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mc:AlternateContent xmlns:mc="http://schemas.openxmlformats.org/markup-compatibility/2006">
    <mc:Choice Requires="x15">
      <x15ac:absPath xmlns:x15ac="http://schemas.microsoft.com/office/spreadsheetml/2010/11/ac" url="C:\projects\herd\sikendis\database\data\"/>
    </mc:Choice>
  </mc:AlternateContent>
  <xr:revisionPtr revIDLastSave="0" documentId="8_{922285AA-8B48-4308-BD6D-AFCFA0DEF4AA}" xr6:coauthVersionLast="47" xr6:coauthVersionMax="47" xr10:uidLastSave="{00000000-0000-0000-0000-000000000000}"/>
  <bookViews>
    <workbookView xWindow="-110" yWindow="-110" windowWidth="25820" windowHeight="13900" activeTab="2" xr2:uid="{00000000-000D-0000-FFFF-FFFF00000000}"/>
  </bookViews>
  <sheets>
    <sheet name="Alokasi" sheetId="1" r:id="rId1"/>
    <sheet name="Dashboard" sheetId="2" r:id="rId2"/>
    <sheet name="Alokasi Honor" sheetId="3" r:id="rId3"/>
    <sheet name="Database Mitra" sheetId="4" r:id="rId4"/>
    <sheet name="Alokasi Honor Hingga Sekarang" sheetId="5" r:id="rId5"/>
    <sheet name="Honor" sheetId="6" r:id="rId6"/>
    <sheet name="Input Kegiatan" sheetId="7" r:id="rId7"/>
    <sheet name="Batasan Honor" sheetId="8" r:id="rId8"/>
    <sheet name="Old Batasan Honor" sheetId="9" state="hidden" r:id="rId9"/>
    <sheet name="Matriks Bulanan" sheetId="10" r:id="rId10"/>
    <sheet name="Mitra per Bulan" sheetId="11" r:id="rId11"/>
    <sheet name="Rule" sheetId="12" r:id="rId12"/>
    <sheet name="Master SLS" sheetId="13" r:id="rId13"/>
    <sheet name="Rangking Keterlibatan Mitra" sheetId="14" r:id="rId14"/>
    <sheet name="Sheet18" sheetId="15" r:id="rId15"/>
    <sheet name="Scratch" sheetId="16" r:id="rId16"/>
    <sheet name="Cleaned Alokasi Honor" sheetId="17" r:id="rId17"/>
    <sheet name="Copy of Cleaned Alokasi Honor" sheetId="18" r:id="rId18"/>
    <sheet name="POK" sheetId="19" r:id="rId19"/>
  </sheets>
  <definedNames>
    <definedName name="_xlnm._FilterDatabase" localSheetId="2" hidden="1">'Alokasi Honor'!$A$1:$AE$795</definedName>
    <definedName name="_xlnm._FilterDatabase" localSheetId="1" hidden="1">Dashboard!$C$11:$E$44</definedName>
    <definedName name="_xlnm._FilterDatabase" localSheetId="3" hidden="1">'Database Mitra'!$A$1:$AL$432</definedName>
    <definedName name="_xlnm._FilterDatabase" localSheetId="5" hidden="1">Honor!$A$1:$Q$171</definedName>
    <definedName name="_xlnm._FilterDatabase" localSheetId="6" hidden="1">'Input Kegiatan'!$A$1:$H$131</definedName>
    <definedName name="_xlnm._FilterDatabase" localSheetId="12" hidden="1">'Master SLS'!$A$1:$O$1330</definedName>
    <definedName name="_xlnm._FilterDatabase" localSheetId="9" hidden="1">'Matriks Bulanan'!$A$2:$AC$81</definedName>
    <definedName name="_xlnm._FilterDatabase" localSheetId="10" hidden="1">'Mitra per Bulan'!$A$1:$O$443</definedName>
    <definedName name="_xlnm._FilterDatabase" localSheetId="13" hidden="1">'Rangking Keterlibatan Mitra'!$A$10:$F$443</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E1" i="17" l="1"/>
  <c r="AD1" i="17"/>
  <c r="AC1" i="17"/>
  <c r="AB1" i="17"/>
  <c r="AA1" i="17"/>
  <c r="Z1" i="17"/>
  <c r="Y1" i="17"/>
  <c r="X1" i="17"/>
  <c r="W1" i="17"/>
  <c r="V1" i="17"/>
  <c r="U1" i="17"/>
  <c r="T1" i="17"/>
  <c r="S1" i="17"/>
  <c r="R1" i="17"/>
  <c r="Q1" i="17"/>
  <c r="P1" i="17"/>
  <c r="O1" i="17"/>
  <c r="N1" i="17"/>
  <c r="M1" i="17"/>
  <c r="L1" i="17"/>
  <c r="K1" i="17"/>
  <c r="J1" i="17"/>
  <c r="I1" i="17"/>
  <c r="H1" i="17"/>
  <c r="G1" i="17"/>
  <c r="F1" i="17"/>
  <c r="E1" i="17"/>
  <c r="D1" i="17"/>
  <c r="C1" i="17"/>
  <c r="B1" i="17"/>
  <c r="A1" i="17"/>
  <c r="AK13" i="16"/>
  <c r="AJ13" i="16"/>
  <c r="AI13" i="16"/>
  <c r="AH13" i="16"/>
  <c r="AD13" i="16"/>
  <c r="AC13" i="16"/>
  <c r="AB13" i="16"/>
  <c r="AA13" i="16"/>
  <c r="Z13" i="16"/>
  <c r="Y13" i="16"/>
  <c r="X13" i="16"/>
  <c r="W13" i="16"/>
  <c r="V13" i="16"/>
  <c r="U13" i="16"/>
  <c r="T13" i="16"/>
  <c r="S13" i="16"/>
  <c r="R13" i="16"/>
  <c r="N13" i="16"/>
  <c r="M13" i="16"/>
  <c r="L13" i="16"/>
  <c r="K13" i="16"/>
  <c r="J13" i="16"/>
  <c r="I13" i="16"/>
  <c r="H13" i="16"/>
  <c r="G13" i="16"/>
  <c r="F13" i="16"/>
  <c r="E13" i="16"/>
  <c r="D13" i="16"/>
  <c r="C13" i="16"/>
  <c r="B13" i="16"/>
  <c r="A13" i="16" a="1"/>
  <c r="AG13" i="16" s="1"/>
  <c r="AK12" i="16"/>
  <c r="AJ12" i="16"/>
  <c r="AI12" i="16"/>
  <c r="AI11" i="16" s="1"/>
  <c r="AH12" i="16"/>
  <c r="AH11" i="16" s="1"/>
  <c r="AG12" i="16"/>
  <c r="AG11" i="16" s="1"/>
  <c r="AF12" i="16"/>
  <c r="AF10" i="16" s="1"/>
  <c r="AE12" i="16"/>
  <c r="AE10" i="16" s="1"/>
  <c r="AD12" i="16"/>
  <c r="AD11" i="16" s="1"/>
  <c r="AC12" i="16"/>
  <c r="AC11" i="16" s="1"/>
  <c r="AB12" i="16"/>
  <c r="AA12" i="16"/>
  <c r="AA11" i="16" s="1"/>
  <c r="Z12" i="16"/>
  <c r="Z11" i="16" s="1"/>
  <c r="Y12" i="16"/>
  <c r="X12" i="16"/>
  <c r="X11" i="16" s="1"/>
  <c r="W12" i="16"/>
  <c r="W10" i="16" s="1"/>
  <c r="V12" i="16"/>
  <c r="V10" i="16" s="1"/>
  <c r="U12" i="16"/>
  <c r="U10" i="16" s="1"/>
  <c r="T12" i="16"/>
  <c r="S12" i="16"/>
  <c r="R12" i="16"/>
  <c r="Q12" i="16"/>
  <c r="Q10" i="16" s="1"/>
  <c r="P12" i="16"/>
  <c r="P10" i="16" s="1"/>
  <c r="O12" i="16"/>
  <c r="O10" i="16" s="1"/>
  <c r="N12" i="16"/>
  <c r="N11" i="16" s="1"/>
  <c r="M12" i="16"/>
  <c r="M11" i="16" s="1"/>
  <c r="L12" i="16"/>
  <c r="L11" i="16" s="1"/>
  <c r="K12" i="16"/>
  <c r="J12" i="16"/>
  <c r="I12" i="16"/>
  <c r="H12" i="16"/>
  <c r="H11" i="16" s="1"/>
  <c r="G12" i="16"/>
  <c r="G11" i="16" s="1"/>
  <c r="F12" i="16"/>
  <c r="F11" i="16" s="1"/>
  <c r="E12" i="16"/>
  <c r="E11" i="16" s="1"/>
  <c r="D12" i="16"/>
  <c r="C12" i="16"/>
  <c r="B12" i="16"/>
  <c r="B10" i="16" s="1"/>
  <c r="A12" i="16"/>
  <c r="A11" i="16" s="1"/>
  <c r="A8" i="16" s="1"/>
  <c r="R11" i="16"/>
  <c r="Q11" i="16"/>
  <c r="P11" i="16"/>
  <c r="O11" i="16"/>
  <c r="AI10" i="16"/>
  <c r="AH10" i="16"/>
  <c r="AD10" i="16"/>
  <c r="AC10" i="16"/>
  <c r="R10" i="16"/>
  <c r="N10" i="16"/>
  <c r="M10" i="16"/>
  <c r="AE6" i="16"/>
  <c r="AD6" i="16"/>
  <c r="AC6" i="16"/>
  <c r="AB6" i="16"/>
  <c r="AA6" i="16"/>
  <c r="Z6" i="16"/>
  <c r="Y6" i="16"/>
  <c r="X6" i="16"/>
  <c r="W6" i="16"/>
  <c r="V6" i="16"/>
  <c r="U6" i="16"/>
  <c r="T6" i="16"/>
  <c r="S6" i="16"/>
  <c r="R6" i="16"/>
  <c r="P6" i="16"/>
  <c r="O6" i="16"/>
  <c r="N6" i="16"/>
  <c r="M6" i="16"/>
  <c r="L6" i="16"/>
  <c r="K6" i="16"/>
  <c r="J6" i="16"/>
  <c r="I6" i="16"/>
  <c r="H6" i="16"/>
  <c r="G6" i="16"/>
  <c r="F6" i="16"/>
  <c r="E6" i="16"/>
  <c r="D6" i="16"/>
  <c r="C6" i="16"/>
  <c r="B6" i="16"/>
  <c r="A6" i="16" a="1"/>
  <c r="Q6" i="16" s="1"/>
  <c r="A6" i="16"/>
  <c r="AE5" i="16"/>
  <c r="AD5" i="16"/>
  <c r="AD3" i="16" s="1"/>
  <c r="AC5" i="16"/>
  <c r="AB5" i="16"/>
  <c r="AA5" i="16"/>
  <c r="AA3" i="16" s="1"/>
  <c r="Z5" i="16"/>
  <c r="Z4" i="16" s="1"/>
  <c r="Y5" i="16"/>
  <c r="Y4" i="16" s="1"/>
  <c r="X5" i="16"/>
  <c r="X3" i="16" s="1"/>
  <c r="W5" i="16"/>
  <c r="V5" i="16"/>
  <c r="U5" i="16"/>
  <c r="T5" i="16"/>
  <c r="T4" i="16" s="1"/>
  <c r="S5" i="16"/>
  <c r="S3" i="16" s="1"/>
  <c r="R5" i="16"/>
  <c r="R4" i="16" s="1"/>
  <c r="Q5" i="16"/>
  <c r="Q4" i="16" s="1"/>
  <c r="P5" i="16"/>
  <c r="P4" i="16" s="1"/>
  <c r="O5" i="16"/>
  <c r="N5" i="16"/>
  <c r="M5" i="16"/>
  <c r="M4" i="16" s="1"/>
  <c r="L5" i="16"/>
  <c r="K5" i="16"/>
  <c r="J5" i="16"/>
  <c r="J4" i="16" s="1"/>
  <c r="I5" i="16"/>
  <c r="I4" i="16" s="1"/>
  <c r="H5" i="16"/>
  <c r="H4" i="16" s="1"/>
  <c r="G5" i="16"/>
  <c r="F5" i="16"/>
  <c r="E5" i="16"/>
  <c r="D5" i="16"/>
  <c r="D3" i="16" s="1"/>
  <c r="C5" i="16"/>
  <c r="B5" i="16"/>
  <c r="B4" i="16" s="1"/>
  <c r="A5" i="16"/>
  <c r="AA4" i="16"/>
  <c r="J3" i="16"/>
  <c r="I3" i="16"/>
  <c r="F443" i="14"/>
  <c r="C443" i="14"/>
  <c r="D443" i="14" s="1"/>
  <c r="F442" i="14"/>
  <c r="C442" i="14"/>
  <c r="D442" i="14" s="1"/>
  <c r="F441" i="14"/>
  <c r="C441" i="14"/>
  <c r="D441" i="14" s="1"/>
  <c r="F440" i="14"/>
  <c r="C440" i="14"/>
  <c r="D440" i="14" s="1"/>
  <c r="F439" i="14"/>
  <c r="C439" i="14"/>
  <c r="D439" i="14" s="1"/>
  <c r="F438" i="14"/>
  <c r="C438" i="14"/>
  <c r="D438" i="14" s="1"/>
  <c r="F437" i="14"/>
  <c r="C437" i="14"/>
  <c r="D437" i="14" s="1"/>
  <c r="F436" i="14"/>
  <c r="C436" i="14"/>
  <c r="D436" i="14" s="1"/>
  <c r="F435" i="14"/>
  <c r="C435" i="14"/>
  <c r="D435" i="14" s="1"/>
  <c r="F434" i="14"/>
  <c r="C434" i="14"/>
  <c r="D434" i="14" s="1"/>
  <c r="F433" i="14"/>
  <c r="C433" i="14"/>
  <c r="D433" i="14" s="1"/>
  <c r="F432" i="14"/>
  <c r="C432" i="14"/>
  <c r="D432" i="14" s="1"/>
  <c r="F431" i="14"/>
  <c r="C431" i="14"/>
  <c r="D431" i="14" s="1"/>
  <c r="F430" i="14"/>
  <c r="C430" i="14"/>
  <c r="D430" i="14" s="1"/>
  <c r="F429" i="14"/>
  <c r="C429" i="14"/>
  <c r="D429" i="14" s="1"/>
  <c r="F428" i="14"/>
  <c r="C428" i="14"/>
  <c r="D428" i="14" s="1"/>
  <c r="F427" i="14"/>
  <c r="C427" i="14"/>
  <c r="D427" i="14" s="1"/>
  <c r="F426" i="14"/>
  <c r="C426" i="14"/>
  <c r="D426" i="14" s="1"/>
  <c r="F425" i="14"/>
  <c r="C425" i="14"/>
  <c r="D425" i="14" s="1"/>
  <c r="F424" i="14"/>
  <c r="C424" i="14"/>
  <c r="D424" i="14" s="1"/>
  <c r="F423" i="14"/>
  <c r="D423" i="14"/>
  <c r="C423" i="14"/>
  <c r="F422" i="14"/>
  <c r="C422" i="14"/>
  <c r="D422" i="14" s="1"/>
  <c r="F421" i="14"/>
  <c r="C421" i="14"/>
  <c r="D421" i="14" s="1"/>
  <c r="F420" i="14"/>
  <c r="C420" i="14"/>
  <c r="D420" i="14" s="1"/>
  <c r="F419" i="14"/>
  <c r="C419" i="14"/>
  <c r="D419" i="14" s="1"/>
  <c r="F418" i="14"/>
  <c r="C418" i="14"/>
  <c r="D418" i="14" s="1"/>
  <c r="F417" i="14"/>
  <c r="C417" i="14"/>
  <c r="D417" i="14" s="1"/>
  <c r="F416" i="14"/>
  <c r="C416" i="14"/>
  <c r="D416" i="14" s="1"/>
  <c r="F415" i="14"/>
  <c r="C415" i="14"/>
  <c r="D415" i="14" s="1"/>
  <c r="F414" i="14"/>
  <c r="C414" i="14"/>
  <c r="D414" i="14" s="1"/>
  <c r="F413" i="14"/>
  <c r="C413" i="14"/>
  <c r="D413" i="14" s="1"/>
  <c r="F412" i="14"/>
  <c r="C412" i="14"/>
  <c r="D412" i="14" s="1"/>
  <c r="F411" i="14"/>
  <c r="C411" i="14"/>
  <c r="D411" i="14" s="1"/>
  <c r="F410" i="14"/>
  <c r="C410" i="14"/>
  <c r="D410" i="14" s="1"/>
  <c r="F409" i="14"/>
  <c r="C409" i="14"/>
  <c r="D409" i="14" s="1"/>
  <c r="F408" i="14"/>
  <c r="C408" i="14"/>
  <c r="D408" i="14" s="1"/>
  <c r="F407" i="14"/>
  <c r="C407" i="14"/>
  <c r="D407" i="14" s="1"/>
  <c r="F406" i="14"/>
  <c r="C406" i="14"/>
  <c r="D406" i="14" s="1"/>
  <c r="F405" i="14"/>
  <c r="C405" i="14"/>
  <c r="D405" i="14" s="1"/>
  <c r="F404" i="14"/>
  <c r="C404" i="14"/>
  <c r="D404" i="14" s="1"/>
  <c r="F403" i="14"/>
  <c r="C403" i="14"/>
  <c r="D403" i="14" s="1"/>
  <c r="F402" i="14"/>
  <c r="C402" i="14"/>
  <c r="D402" i="14" s="1"/>
  <c r="F401" i="14"/>
  <c r="C401" i="14"/>
  <c r="D401" i="14" s="1"/>
  <c r="F400" i="14"/>
  <c r="C400" i="14"/>
  <c r="D400" i="14" s="1"/>
  <c r="F399" i="14"/>
  <c r="C399" i="14"/>
  <c r="D399" i="14" s="1"/>
  <c r="F398" i="14"/>
  <c r="C398" i="14"/>
  <c r="D398" i="14" s="1"/>
  <c r="F397" i="14"/>
  <c r="C397" i="14"/>
  <c r="D397" i="14" s="1"/>
  <c r="F396" i="14"/>
  <c r="C396" i="14"/>
  <c r="D396" i="14" s="1"/>
  <c r="F395" i="14"/>
  <c r="C395" i="14"/>
  <c r="D395" i="14" s="1"/>
  <c r="F394" i="14"/>
  <c r="C394" i="14"/>
  <c r="D394" i="14" s="1"/>
  <c r="F393" i="14"/>
  <c r="C393" i="14"/>
  <c r="D393" i="14" s="1"/>
  <c r="F392" i="14"/>
  <c r="C392" i="14"/>
  <c r="D392" i="14" s="1"/>
  <c r="F391" i="14"/>
  <c r="C391" i="14"/>
  <c r="D391" i="14" s="1"/>
  <c r="F390" i="14"/>
  <c r="C390" i="14"/>
  <c r="D390" i="14" s="1"/>
  <c r="F389" i="14"/>
  <c r="C389" i="14"/>
  <c r="D389" i="14" s="1"/>
  <c r="F388" i="14"/>
  <c r="C388" i="14"/>
  <c r="D388" i="14" s="1"/>
  <c r="F387" i="14"/>
  <c r="C387" i="14"/>
  <c r="D387" i="14" s="1"/>
  <c r="F386" i="14"/>
  <c r="C386" i="14"/>
  <c r="D386" i="14" s="1"/>
  <c r="F385" i="14"/>
  <c r="C385" i="14"/>
  <c r="D385" i="14" s="1"/>
  <c r="F384" i="14"/>
  <c r="C384" i="14"/>
  <c r="D384" i="14" s="1"/>
  <c r="F383" i="14"/>
  <c r="C383" i="14"/>
  <c r="D383" i="14" s="1"/>
  <c r="F382" i="14"/>
  <c r="C382" i="14"/>
  <c r="D382" i="14" s="1"/>
  <c r="F381" i="14"/>
  <c r="C381" i="14"/>
  <c r="D381" i="14" s="1"/>
  <c r="F380" i="14"/>
  <c r="C380" i="14"/>
  <c r="D380" i="14" s="1"/>
  <c r="F379" i="14"/>
  <c r="C379" i="14"/>
  <c r="D379" i="14" s="1"/>
  <c r="F378" i="14"/>
  <c r="C378" i="14"/>
  <c r="D378" i="14" s="1"/>
  <c r="F377" i="14"/>
  <c r="C377" i="14"/>
  <c r="D377" i="14" s="1"/>
  <c r="F376" i="14"/>
  <c r="C376" i="14"/>
  <c r="D376" i="14" s="1"/>
  <c r="F375" i="14"/>
  <c r="C375" i="14"/>
  <c r="D375" i="14" s="1"/>
  <c r="F374" i="14"/>
  <c r="C374" i="14"/>
  <c r="D374" i="14" s="1"/>
  <c r="F373" i="14"/>
  <c r="C373" i="14"/>
  <c r="D373" i="14" s="1"/>
  <c r="F372" i="14"/>
  <c r="C372" i="14"/>
  <c r="D372" i="14" s="1"/>
  <c r="F371" i="14"/>
  <c r="C371" i="14"/>
  <c r="D371" i="14" s="1"/>
  <c r="F370" i="14"/>
  <c r="C370" i="14"/>
  <c r="D370" i="14" s="1"/>
  <c r="F369" i="14"/>
  <c r="C369" i="14"/>
  <c r="D369" i="14" s="1"/>
  <c r="F368" i="14"/>
  <c r="C368" i="14"/>
  <c r="D368" i="14" s="1"/>
  <c r="F367" i="14"/>
  <c r="C367" i="14"/>
  <c r="D367" i="14" s="1"/>
  <c r="F366" i="14"/>
  <c r="C366" i="14"/>
  <c r="D366" i="14" s="1"/>
  <c r="F365" i="14"/>
  <c r="C365" i="14"/>
  <c r="D365" i="14" s="1"/>
  <c r="F364" i="14"/>
  <c r="C364" i="14"/>
  <c r="D364" i="14" s="1"/>
  <c r="F363" i="14"/>
  <c r="C363" i="14"/>
  <c r="D363" i="14" s="1"/>
  <c r="F362" i="14"/>
  <c r="C362" i="14"/>
  <c r="D362" i="14" s="1"/>
  <c r="F361" i="14"/>
  <c r="C361" i="14"/>
  <c r="D361" i="14" s="1"/>
  <c r="F360" i="14"/>
  <c r="C360" i="14"/>
  <c r="D360" i="14" s="1"/>
  <c r="F359" i="14"/>
  <c r="C359" i="14"/>
  <c r="D359" i="14" s="1"/>
  <c r="F358" i="14"/>
  <c r="C358" i="14"/>
  <c r="D358" i="14" s="1"/>
  <c r="F357" i="14"/>
  <c r="C357" i="14"/>
  <c r="D357" i="14" s="1"/>
  <c r="F356" i="14"/>
  <c r="C356" i="14"/>
  <c r="D356" i="14" s="1"/>
  <c r="F355" i="14"/>
  <c r="C355" i="14"/>
  <c r="D355" i="14" s="1"/>
  <c r="F354" i="14"/>
  <c r="C354" i="14"/>
  <c r="D354" i="14" s="1"/>
  <c r="F353" i="14"/>
  <c r="C353" i="14"/>
  <c r="D353" i="14" s="1"/>
  <c r="F352" i="14"/>
  <c r="C352" i="14"/>
  <c r="D352" i="14" s="1"/>
  <c r="F351" i="14"/>
  <c r="C351" i="14"/>
  <c r="D351" i="14" s="1"/>
  <c r="F350" i="14"/>
  <c r="C350" i="14"/>
  <c r="D350" i="14" s="1"/>
  <c r="F349" i="14"/>
  <c r="D349" i="14"/>
  <c r="C349" i="14"/>
  <c r="F348" i="14"/>
  <c r="C348" i="14"/>
  <c r="D348" i="14" s="1"/>
  <c r="F347" i="14"/>
  <c r="C347" i="14"/>
  <c r="D347" i="14" s="1"/>
  <c r="F346" i="14"/>
  <c r="C346" i="14"/>
  <c r="D346" i="14" s="1"/>
  <c r="F345" i="14"/>
  <c r="C345" i="14"/>
  <c r="D345" i="14" s="1"/>
  <c r="F344" i="14"/>
  <c r="C344" i="14"/>
  <c r="D344" i="14" s="1"/>
  <c r="F343" i="14"/>
  <c r="C343" i="14"/>
  <c r="D343" i="14" s="1"/>
  <c r="F342" i="14"/>
  <c r="D342" i="14"/>
  <c r="C342" i="14"/>
  <c r="F341" i="14"/>
  <c r="C341" i="14"/>
  <c r="D341" i="14" s="1"/>
  <c r="F340" i="14"/>
  <c r="C340" i="14"/>
  <c r="D340" i="14" s="1"/>
  <c r="F339" i="14"/>
  <c r="C339" i="14"/>
  <c r="D339" i="14" s="1"/>
  <c r="F338" i="14"/>
  <c r="C338" i="14"/>
  <c r="D338" i="14" s="1"/>
  <c r="F337" i="14"/>
  <c r="C337" i="14"/>
  <c r="D337" i="14" s="1"/>
  <c r="F336" i="14"/>
  <c r="C336" i="14"/>
  <c r="D336" i="14" s="1"/>
  <c r="F335" i="14"/>
  <c r="C335" i="14"/>
  <c r="D335" i="14" s="1"/>
  <c r="F334" i="14"/>
  <c r="D334" i="14"/>
  <c r="C334" i="14"/>
  <c r="F333" i="14"/>
  <c r="C333" i="14"/>
  <c r="D333" i="14" s="1"/>
  <c r="F332" i="14"/>
  <c r="C332" i="14"/>
  <c r="D332" i="14" s="1"/>
  <c r="F331" i="14"/>
  <c r="C331" i="14"/>
  <c r="D331" i="14" s="1"/>
  <c r="F330" i="14"/>
  <c r="C330" i="14"/>
  <c r="D330" i="14" s="1"/>
  <c r="F329" i="14"/>
  <c r="C329" i="14"/>
  <c r="D329" i="14" s="1"/>
  <c r="F328" i="14"/>
  <c r="C328" i="14"/>
  <c r="D328" i="14" s="1"/>
  <c r="F327" i="14"/>
  <c r="C327" i="14"/>
  <c r="D327" i="14" s="1"/>
  <c r="F326" i="14"/>
  <c r="C326" i="14"/>
  <c r="D326" i="14" s="1"/>
  <c r="F325" i="14"/>
  <c r="C325" i="14"/>
  <c r="D325" i="14" s="1"/>
  <c r="F324" i="14"/>
  <c r="C324" i="14"/>
  <c r="D324" i="14" s="1"/>
  <c r="F323" i="14"/>
  <c r="C323" i="14"/>
  <c r="D323" i="14" s="1"/>
  <c r="F322" i="14"/>
  <c r="C322" i="14"/>
  <c r="D322" i="14" s="1"/>
  <c r="F321" i="14"/>
  <c r="C321" i="14"/>
  <c r="D321" i="14" s="1"/>
  <c r="F320" i="14"/>
  <c r="C320" i="14"/>
  <c r="D320" i="14" s="1"/>
  <c r="F319" i="14"/>
  <c r="C319" i="14"/>
  <c r="D319" i="14" s="1"/>
  <c r="F318" i="14"/>
  <c r="C318" i="14"/>
  <c r="D318" i="14" s="1"/>
  <c r="F317" i="14"/>
  <c r="C317" i="14"/>
  <c r="D317" i="14" s="1"/>
  <c r="F316" i="14"/>
  <c r="C316" i="14"/>
  <c r="D316" i="14" s="1"/>
  <c r="F315" i="14"/>
  <c r="C315" i="14"/>
  <c r="D315" i="14" s="1"/>
  <c r="F314" i="14"/>
  <c r="C314" i="14"/>
  <c r="D314" i="14" s="1"/>
  <c r="F313" i="14"/>
  <c r="C313" i="14"/>
  <c r="D313" i="14" s="1"/>
  <c r="F312" i="14"/>
  <c r="C312" i="14"/>
  <c r="D312" i="14" s="1"/>
  <c r="F311" i="14"/>
  <c r="C311" i="14"/>
  <c r="D311" i="14" s="1"/>
  <c r="F310" i="14"/>
  <c r="C310" i="14"/>
  <c r="D310" i="14" s="1"/>
  <c r="F309" i="14"/>
  <c r="C309" i="14"/>
  <c r="D309" i="14" s="1"/>
  <c r="F308" i="14"/>
  <c r="C308" i="14"/>
  <c r="D308" i="14" s="1"/>
  <c r="F307" i="14"/>
  <c r="C307" i="14"/>
  <c r="D307" i="14" s="1"/>
  <c r="F306" i="14"/>
  <c r="C306" i="14"/>
  <c r="D306" i="14" s="1"/>
  <c r="F305" i="14"/>
  <c r="C305" i="14"/>
  <c r="D305" i="14" s="1"/>
  <c r="F304" i="14"/>
  <c r="C304" i="14"/>
  <c r="D304" i="14" s="1"/>
  <c r="F303" i="14"/>
  <c r="D303" i="14"/>
  <c r="C303" i="14"/>
  <c r="F302" i="14"/>
  <c r="C302" i="14"/>
  <c r="D302" i="14" s="1"/>
  <c r="F301" i="14"/>
  <c r="C301" i="14"/>
  <c r="D301" i="14" s="1"/>
  <c r="F300" i="14"/>
  <c r="C300" i="14"/>
  <c r="D300" i="14" s="1"/>
  <c r="F299" i="14"/>
  <c r="C299" i="14"/>
  <c r="D299" i="14" s="1"/>
  <c r="F298" i="14"/>
  <c r="C298" i="14"/>
  <c r="D298" i="14" s="1"/>
  <c r="F297" i="14"/>
  <c r="C297" i="14"/>
  <c r="D297" i="14" s="1"/>
  <c r="F296" i="14"/>
  <c r="C296" i="14"/>
  <c r="D296" i="14" s="1"/>
  <c r="F295" i="14"/>
  <c r="C295" i="14"/>
  <c r="D295" i="14" s="1"/>
  <c r="F294" i="14"/>
  <c r="C294" i="14"/>
  <c r="D294" i="14" s="1"/>
  <c r="F293" i="14"/>
  <c r="C293" i="14"/>
  <c r="D293" i="14" s="1"/>
  <c r="F292" i="14"/>
  <c r="C292" i="14"/>
  <c r="D292" i="14" s="1"/>
  <c r="F291" i="14"/>
  <c r="C291" i="14"/>
  <c r="D291" i="14" s="1"/>
  <c r="F290" i="14"/>
  <c r="C290" i="14"/>
  <c r="D290" i="14" s="1"/>
  <c r="F289" i="14"/>
  <c r="C289" i="14"/>
  <c r="D289" i="14" s="1"/>
  <c r="F288" i="14"/>
  <c r="C288" i="14"/>
  <c r="D288" i="14" s="1"/>
  <c r="F287" i="14"/>
  <c r="C287" i="14"/>
  <c r="D287" i="14" s="1"/>
  <c r="F286" i="14"/>
  <c r="C286" i="14"/>
  <c r="D286" i="14" s="1"/>
  <c r="F285" i="14"/>
  <c r="C285" i="14"/>
  <c r="D285" i="14" s="1"/>
  <c r="F284" i="14"/>
  <c r="C284" i="14"/>
  <c r="D284" i="14" s="1"/>
  <c r="F283" i="14"/>
  <c r="C283" i="14"/>
  <c r="D283" i="14" s="1"/>
  <c r="F282" i="14"/>
  <c r="C282" i="14"/>
  <c r="D282" i="14" s="1"/>
  <c r="F281" i="14"/>
  <c r="C281" i="14"/>
  <c r="D281" i="14" s="1"/>
  <c r="F280" i="14"/>
  <c r="C280" i="14"/>
  <c r="D280" i="14" s="1"/>
  <c r="F279" i="14"/>
  <c r="C279" i="14"/>
  <c r="D279" i="14" s="1"/>
  <c r="F278" i="14"/>
  <c r="C278" i="14"/>
  <c r="D278" i="14" s="1"/>
  <c r="F277" i="14"/>
  <c r="C277" i="14"/>
  <c r="D277" i="14" s="1"/>
  <c r="F276" i="14"/>
  <c r="C276" i="14"/>
  <c r="D276" i="14" s="1"/>
  <c r="F275" i="14"/>
  <c r="C275" i="14"/>
  <c r="D275" i="14" s="1"/>
  <c r="F274" i="14"/>
  <c r="C274" i="14"/>
  <c r="D274" i="14" s="1"/>
  <c r="F273" i="14"/>
  <c r="C273" i="14"/>
  <c r="D273" i="14" s="1"/>
  <c r="F272" i="14"/>
  <c r="C272" i="14"/>
  <c r="D272" i="14" s="1"/>
  <c r="F271" i="14"/>
  <c r="C271" i="14"/>
  <c r="D271" i="14" s="1"/>
  <c r="F270" i="14"/>
  <c r="C270" i="14"/>
  <c r="D270" i="14" s="1"/>
  <c r="F269" i="14"/>
  <c r="C269" i="14"/>
  <c r="D269" i="14" s="1"/>
  <c r="F268" i="14"/>
  <c r="C268" i="14"/>
  <c r="D268" i="14" s="1"/>
  <c r="F267" i="14"/>
  <c r="C267" i="14"/>
  <c r="D267" i="14" s="1"/>
  <c r="F266" i="14"/>
  <c r="C266" i="14"/>
  <c r="D266" i="14" s="1"/>
  <c r="F265" i="14"/>
  <c r="C265" i="14"/>
  <c r="D265" i="14" s="1"/>
  <c r="F264" i="14"/>
  <c r="C264" i="14"/>
  <c r="D264" i="14" s="1"/>
  <c r="F263" i="14"/>
  <c r="C263" i="14"/>
  <c r="D263" i="14" s="1"/>
  <c r="F262" i="14"/>
  <c r="C262" i="14"/>
  <c r="D262" i="14" s="1"/>
  <c r="F261" i="14"/>
  <c r="C261" i="14"/>
  <c r="D261" i="14" s="1"/>
  <c r="F260" i="14"/>
  <c r="C260" i="14"/>
  <c r="D260" i="14" s="1"/>
  <c r="F259" i="14"/>
  <c r="C259" i="14"/>
  <c r="D259" i="14" s="1"/>
  <c r="F258" i="14"/>
  <c r="C258" i="14"/>
  <c r="D258" i="14" s="1"/>
  <c r="F257" i="14"/>
  <c r="C257" i="14"/>
  <c r="D257" i="14" s="1"/>
  <c r="F256" i="14"/>
  <c r="C256" i="14"/>
  <c r="D256" i="14" s="1"/>
  <c r="F255" i="14"/>
  <c r="C255" i="14"/>
  <c r="D255" i="14" s="1"/>
  <c r="F254" i="14"/>
  <c r="C254" i="14"/>
  <c r="D254" i="14" s="1"/>
  <c r="F253" i="14"/>
  <c r="C253" i="14"/>
  <c r="D253" i="14" s="1"/>
  <c r="F252" i="14"/>
  <c r="C252" i="14"/>
  <c r="D252" i="14" s="1"/>
  <c r="F251" i="14"/>
  <c r="C251" i="14"/>
  <c r="D251" i="14" s="1"/>
  <c r="F250" i="14"/>
  <c r="C250" i="14"/>
  <c r="D250" i="14" s="1"/>
  <c r="F249" i="14"/>
  <c r="C249" i="14"/>
  <c r="D249" i="14" s="1"/>
  <c r="F248" i="14"/>
  <c r="C248" i="14"/>
  <c r="D248" i="14" s="1"/>
  <c r="F247" i="14"/>
  <c r="C247" i="14"/>
  <c r="D247" i="14" s="1"/>
  <c r="F246" i="14"/>
  <c r="C246" i="14"/>
  <c r="D246" i="14" s="1"/>
  <c r="F245" i="14"/>
  <c r="C245" i="14"/>
  <c r="D245" i="14" s="1"/>
  <c r="F244" i="14"/>
  <c r="C244" i="14"/>
  <c r="D244" i="14" s="1"/>
  <c r="F243" i="14"/>
  <c r="C243" i="14"/>
  <c r="D243" i="14" s="1"/>
  <c r="F242" i="14"/>
  <c r="C242" i="14"/>
  <c r="D242" i="14" s="1"/>
  <c r="F241" i="14"/>
  <c r="C241" i="14"/>
  <c r="D241" i="14" s="1"/>
  <c r="F240" i="14"/>
  <c r="C240" i="14"/>
  <c r="D240" i="14" s="1"/>
  <c r="F239" i="14"/>
  <c r="C239" i="14"/>
  <c r="D239" i="14" s="1"/>
  <c r="F238" i="14"/>
  <c r="C238" i="14"/>
  <c r="D238" i="14" s="1"/>
  <c r="F237" i="14"/>
  <c r="C237" i="14"/>
  <c r="D237" i="14" s="1"/>
  <c r="F236" i="14"/>
  <c r="C236" i="14"/>
  <c r="D236" i="14" s="1"/>
  <c r="F235" i="14"/>
  <c r="C235" i="14"/>
  <c r="D235" i="14" s="1"/>
  <c r="F234" i="14"/>
  <c r="C234" i="14"/>
  <c r="D234" i="14" s="1"/>
  <c r="F233" i="14"/>
  <c r="C233" i="14"/>
  <c r="D233" i="14" s="1"/>
  <c r="F232" i="14"/>
  <c r="C232" i="14"/>
  <c r="D232" i="14" s="1"/>
  <c r="F231" i="14"/>
  <c r="C231" i="14"/>
  <c r="D231" i="14" s="1"/>
  <c r="F230" i="14"/>
  <c r="C230" i="14"/>
  <c r="D230" i="14" s="1"/>
  <c r="F229" i="14"/>
  <c r="C229" i="14"/>
  <c r="D229" i="14" s="1"/>
  <c r="F228" i="14"/>
  <c r="C228" i="14"/>
  <c r="D228" i="14" s="1"/>
  <c r="F227" i="14"/>
  <c r="C227" i="14"/>
  <c r="D227" i="14" s="1"/>
  <c r="F226" i="14"/>
  <c r="C226" i="14"/>
  <c r="D226" i="14" s="1"/>
  <c r="F225" i="14"/>
  <c r="C225" i="14"/>
  <c r="D225" i="14" s="1"/>
  <c r="F224" i="14"/>
  <c r="C224" i="14"/>
  <c r="D224" i="14" s="1"/>
  <c r="F223" i="14"/>
  <c r="C223" i="14"/>
  <c r="D223" i="14" s="1"/>
  <c r="F222" i="14"/>
  <c r="C222" i="14"/>
  <c r="D222" i="14" s="1"/>
  <c r="F221" i="14"/>
  <c r="C221" i="14"/>
  <c r="D221" i="14" s="1"/>
  <c r="F220" i="14"/>
  <c r="C220" i="14"/>
  <c r="D220" i="14" s="1"/>
  <c r="F219" i="14"/>
  <c r="C219" i="14"/>
  <c r="D219" i="14" s="1"/>
  <c r="F218" i="14"/>
  <c r="C218" i="14"/>
  <c r="D218" i="14" s="1"/>
  <c r="F217" i="14"/>
  <c r="C217" i="14"/>
  <c r="D217" i="14" s="1"/>
  <c r="F216" i="14"/>
  <c r="C216" i="14"/>
  <c r="D216" i="14" s="1"/>
  <c r="F215" i="14"/>
  <c r="C215" i="14"/>
  <c r="D215" i="14" s="1"/>
  <c r="F214" i="14"/>
  <c r="C214" i="14"/>
  <c r="D214" i="14" s="1"/>
  <c r="F213" i="14"/>
  <c r="C213" i="14"/>
  <c r="D213" i="14" s="1"/>
  <c r="F212" i="14"/>
  <c r="C212" i="14"/>
  <c r="D212" i="14" s="1"/>
  <c r="F211" i="14"/>
  <c r="C211" i="14"/>
  <c r="D211" i="14" s="1"/>
  <c r="F210" i="14"/>
  <c r="C210" i="14"/>
  <c r="D210" i="14" s="1"/>
  <c r="F209" i="14"/>
  <c r="C209" i="14"/>
  <c r="D209" i="14" s="1"/>
  <c r="F208" i="14"/>
  <c r="C208" i="14"/>
  <c r="D208" i="14" s="1"/>
  <c r="F207" i="14"/>
  <c r="C207" i="14"/>
  <c r="D207" i="14" s="1"/>
  <c r="F206" i="14"/>
  <c r="C206" i="14"/>
  <c r="D206" i="14" s="1"/>
  <c r="F205" i="14"/>
  <c r="C205" i="14"/>
  <c r="D205" i="14" s="1"/>
  <c r="F204" i="14"/>
  <c r="C204" i="14"/>
  <c r="D204" i="14" s="1"/>
  <c r="F203" i="14"/>
  <c r="C203" i="14"/>
  <c r="D203" i="14" s="1"/>
  <c r="F202" i="14"/>
  <c r="C202" i="14"/>
  <c r="D202" i="14" s="1"/>
  <c r="F201" i="14"/>
  <c r="C201" i="14"/>
  <c r="D201" i="14" s="1"/>
  <c r="F200" i="14"/>
  <c r="C200" i="14"/>
  <c r="D200" i="14" s="1"/>
  <c r="F199" i="14"/>
  <c r="C199" i="14"/>
  <c r="D199" i="14" s="1"/>
  <c r="F198" i="14"/>
  <c r="C198" i="14"/>
  <c r="D198" i="14" s="1"/>
  <c r="F197" i="14"/>
  <c r="C197" i="14"/>
  <c r="D197" i="14" s="1"/>
  <c r="F196" i="14"/>
  <c r="C196" i="14"/>
  <c r="D196" i="14" s="1"/>
  <c r="F195" i="14"/>
  <c r="C195" i="14"/>
  <c r="D195" i="14" s="1"/>
  <c r="F194" i="14"/>
  <c r="C194" i="14"/>
  <c r="D194" i="14" s="1"/>
  <c r="F193" i="14"/>
  <c r="C193" i="14"/>
  <c r="D193" i="14" s="1"/>
  <c r="F192" i="14"/>
  <c r="C192" i="14"/>
  <c r="D192" i="14" s="1"/>
  <c r="F191" i="14"/>
  <c r="C191" i="14"/>
  <c r="D191" i="14" s="1"/>
  <c r="F190" i="14"/>
  <c r="D190" i="14"/>
  <c r="C190" i="14"/>
  <c r="F189" i="14"/>
  <c r="C189" i="14"/>
  <c r="D189" i="14" s="1"/>
  <c r="F188" i="14"/>
  <c r="C188" i="14"/>
  <c r="D188" i="14" s="1"/>
  <c r="F187" i="14"/>
  <c r="C187" i="14"/>
  <c r="D187" i="14" s="1"/>
  <c r="F186" i="14"/>
  <c r="C186" i="14"/>
  <c r="D186" i="14" s="1"/>
  <c r="F185" i="14"/>
  <c r="C185" i="14"/>
  <c r="D185" i="14" s="1"/>
  <c r="F184" i="14"/>
  <c r="C184" i="14"/>
  <c r="D184" i="14" s="1"/>
  <c r="F183" i="14"/>
  <c r="C183" i="14"/>
  <c r="D183" i="14" s="1"/>
  <c r="F182" i="14"/>
  <c r="C182" i="14"/>
  <c r="D182" i="14" s="1"/>
  <c r="F181" i="14"/>
  <c r="C181" i="14"/>
  <c r="D181" i="14" s="1"/>
  <c r="F180" i="14"/>
  <c r="C180" i="14"/>
  <c r="D180" i="14" s="1"/>
  <c r="F179" i="14"/>
  <c r="C179" i="14"/>
  <c r="D179" i="14" s="1"/>
  <c r="F178" i="14"/>
  <c r="C178" i="14"/>
  <c r="D178" i="14" s="1"/>
  <c r="F177" i="14"/>
  <c r="C177" i="14"/>
  <c r="D177" i="14" s="1"/>
  <c r="G176" i="14" a="1"/>
  <c r="G176" i="14" s="1"/>
  <c r="F176" i="14"/>
  <c r="C176" i="14"/>
  <c r="D176" i="14" s="1"/>
  <c r="F175" i="14"/>
  <c r="C175" i="14"/>
  <c r="D175" i="14" s="1"/>
  <c r="F174" i="14"/>
  <c r="C174" i="14"/>
  <c r="D174" i="14" s="1"/>
  <c r="F173" i="14"/>
  <c r="C173" i="14"/>
  <c r="D173" i="14" s="1"/>
  <c r="F172" i="14"/>
  <c r="C172" i="14"/>
  <c r="D172" i="14" s="1"/>
  <c r="F171" i="14"/>
  <c r="C171" i="14"/>
  <c r="D171" i="14" s="1"/>
  <c r="F170" i="14"/>
  <c r="C170" i="14"/>
  <c r="D170" i="14" s="1"/>
  <c r="F169" i="14"/>
  <c r="C169" i="14"/>
  <c r="D169" i="14" s="1"/>
  <c r="F168" i="14"/>
  <c r="C168" i="14"/>
  <c r="D168" i="14" s="1"/>
  <c r="F167" i="14"/>
  <c r="C167" i="14"/>
  <c r="D167" i="14" s="1"/>
  <c r="F166" i="14"/>
  <c r="C166" i="14"/>
  <c r="D166" i="14" s="1"/>
  <c r="F165" i="14"/>
  <c r="C165" i="14"/>
  <c r="D165" i="14" s="1"/>
  <c r="F164" i="14"/>
  <c r="C164" i="14"/>
  <c r="D164" i="14" s="1"/>
  <c r="F163" i="14"/>
  <c r="C163" i="14"/>
  <c r="D163" i="14" s="1"/>
  <c r="F162" i="14"/>
  <c r="C162" i="14"/>
  <c r="D162" i="14" s="1"/>
  <c r="F161" i="14"/>
  <c r="C161" i="14"/>
  <c r="D161" i="14" s="1"/>
  <c r="F160" i="14"/>
  <c r="C160" i="14"/>
  <c r="D160" i="14" s="1"/>
  <c r="F159" i="14"/>
  <c r="D159" i="14"/>
  <c r="C159" i="14"/>
  <c r="F158" i="14"/>
  <c r="C158" i="14"/>
  <c r="D158" i="14" s="1"/>
  <c r="F157" i="14"/>
  <c r="C157" i="14"/>
  <c r="D157" i="14" s="1"/>
  <c r="F156" i="14"/>
  <c r="C156" i="14"/>
  <c r="D156" i="14" s="1"/>
  <c r="F155" i="14"/>
  <c r="C155" i="14"/>
  <c r="D155" i="14" s="1"/>
  <c r="F154" i="14"/>
  <c r="C154" i="14"/>
  <c r="D154" i="14" s="1"/>
  <c r="F153" i="14"/>
  <c r="C153" i="14"/>
  <c r="D153" i="14" s="1"/>
  <c r="F152" i="14"/>
  <c r="C152" i="14"/>
  <c r="D152" i="14" s="1"/>
  <c r="F151" i="14"/>
  <c r="C151" i="14"/>
  <c r="D151" i="14" s="1"/>
  <c r="F150" i="14"/>
  <c r="C150" i="14"/>
  <c r="D150" i="14" s="1"/>
  <c r="F149" i="14"/>
  <c r="C149" i="14"/>
  <c r="D149" i="14" s="1"/>
  <c r="F148" i="14"/>
  <c r="C148" i="14"/>
  <c r="D148" i="14" s="1"/>
  <c r="F147" i="14"/>
  <c r="C147" i="14"/>
  <c r="D147" i="14" s="1"/>
  <c r="F146" i="14"/>
  <c r="C146" i="14"/>
  <c r="D146" i="14" s="1"/>
  <c r="F145" i="14"/>
  <c r="C145" i="14"/>
  <c r="D145" i="14" s="1"/>
  <c r="F144" i="14"/>
  <c r="C144" i="14"/>
  <c r="D144" i="14" s="1"/>
  <c r="F143" i="14"/>
  <c r="C143" i="14"/>
  <c r="D143" i="14" s="1"/>
  <c r="F142" i="14"/>
  <c r="C142" i="14"/>
  <c r="D142" i="14" s="1"/>
  <c r="F141" i="14"/>
  <c r="C141" i="14"/>
  <c r="D141" i="14" s="1"/>
  <c r="F140" i="14"/>
  <c r="C140" i="14"/>
  <c r="D140" i="14" s="1"/>
  <c r="F139" i="14"/>
  <c r="C139" i="14"/>
  <c r="D139" i="14" s="1"/>
  <c r="F138" i="14"/>
  <c r="C138" i="14"/>
  <c r="D138" i="14" s="1"/>
  <c r="F137" i="14"/>
  <c r="C137" i="14"/>
  <c r="D137" i="14" s="1"/>
  <c r="F136" i="14"/>
  <c r="C136" i="14"/>
  <c r="D136" i="14" s="1"/>
  <c r="F135" i="14"/>
  <c r="C135" i="14"/>
  <c r="D135" i="14" s="1"/>
  <c r="F134" i="14"/>
  <c r="C134" i="14"/>
  <c r="D134" i="14" s="1"/>
  <c r="F133" i="14"/>
  <c r="C133" i="14"/>
  <c r="D133" i="14" s="1"/>
  <c r="F132" i="14"/>
  <c r="C132" i="14"/>
  <c r="D132" i="14" s="1"/>
  <c r="F131" i="14"/>
  <c r="C131" i="14"/>
  <c r="D131" i="14" s="1"/>
  <c r="F130" i="14"/>
  <c r="C130" i="14"/>
  <c r="D130" i="14" s="1"/>
  <c r="F129" i="14"/>
  <c r="C129" i="14"/>
  <c r="D129" i="14" s="1"/>
  <c r="F128" i="14"/>
  <c r="C128" i="14"/>
  <c r="D128" i="14" s="1"/>
  <c r="F127" i="14"/>
  <c r="C127" i="14"/>
  <c r="D127" i="14" s="1"/>
  <c r="F126" i="14"/>
  <c r="C126" i="14"/>
  <c r="D126" i="14" s="1"/>
  <c r="F125" i="14"/>
  <c r="C125" i="14"/>
  <c r="D125" i="14" s="1"/>
  <c r="F124" i="14"/>
  <c r="C124" i="14"/>
  <c r="D124" i="14" s="1"/>
  <c r="F123" i="14"/>
  <c r="C123" i="14"/>
  <c r="D123" i="14" s="1"/>
  <c r="F122" i="14"/>
  <c r="C122" i="14"/>
  <c r="D122" i="14" s="1"/>
  <c r="F121" i="14"/>
  <c r="C121" i="14"/>
  <c r="D121" i="14" s="1"/>
  <c r="F120" i="14"/>
  <c r="C120" i="14"/>
  <c r="D120" i="14" s="1"/>
  <c r="F119" i="14"/>
  <c r="C119" i="14"/>
  <c r="D119" i="14" s="1"/>
  <c r="F118" i="14"/>
  <c r="C118" i="14"/>
  <c r="D118" i="14" s="1"/>
  <c r="F117" i="14"/>
  <c r="C117" i="14"/>
  <c r="D117" i="14" s="1"/>
  <c r="F116" i="14"/>
  <c r="C116" i="14"/>
  <c r="D116" i="14" s="1"/>
  <c r="F115" i="14"/>
  <c r="C115" i="14"/>
  <c r="D115" i="14" s="1"/>
  <c r="F114" i="14"/>
  <c r="C114" i="14"/>
  <c r="D114" i="14" s="1"/>
  <c r="F113" i="14"/>
  <c r="D113" i="14"/>
  <c r="C113" i="14"/>
  <c r="F112" i="14"/>
  <c r="C112" i="14"/>
  <c r="D112" i="14" s="1"/>
  <c r="F111" i="14"/>
  <c r="C111" i="14"/>
  <c r="D111" i="14" s="1"/>
  <c r="F110" i="14"/>
  <c r="C110" i="14"/>
  <c r="D110" i="14" s="1"/>
  <c r="F109" i="14"/>
  <c r="C109" i="14"/>
  <c r="D109" i="14" s="1"/>
  <c r="F108" i="14"/>
  <c r="C108" i="14"/>
  <c r="D108" i="14" s="1"/>
  <c r="F107" i="14"/>
  <c r="C107" i="14"/>
  <c r="D107" i="14" s="1"/>
  <c r="F106" i="14"/>
  <c r="C106" i="14"/>
  <c r="D106" i="14" s="1"/>
  <c r="F105" i="14"/>
  <c r="C105" i="14"/>
  <c r="D105" i="14" s="1"/>
  <c r="F104" i="14"/>
  <c r="C104" i="14"/>
  <c r="D104" i="14" s="1"/>
  <c r="F103" i="14"/>
  <c r="C103" i="14"/>
  <c r="D103" i="14" s="1"/>
  <c r="F102" i="14"/>
  <c r="C102" i="14"/>
  <c r="D102" i="14" s="1"/>
  <c r="F101" i="14"/>
  <c r="C101" i="14"/>
  <c r="D101" i="14" s="1"/>
  <c r="F100" i="14"/>
  <c r="C100" i="14"/>
  <c r="D100" i="14" s="1"/>
  <c r="F99" i="14"/>
  <c r="C99" i="14"/>
  <c r="D99" i="14" s="1"/>
  <c r="F98" i="14"/>
  <c r="C98" i="14"/>
  <c r="D98" i="14" s="1"/>
  <c r="F97" i="14"/>
  <c r="C97" i="14"/>
  <c r="D97" i="14" s="1"/>
  <c r="F96" i="14"/>
  <c r="C96" i="14"/>
  <c r="D96" i="14" s="1"/>
  <c r="F95" i="14"/>
  <c r="C95" i="14"/>
  <c r="D95" i="14" s="1"/>
  <c r="F94" i="14"/>
  <c r="C94" i="14"/>
  <c r="D94" i="14" s="1"/>
  <c r="F93" i="14"/>
  <c r="C93" i="14"/>
  <c r="D93" i="14" s="1"/>
  <c r="F92" i="14"/>
  <c r="C92" i="14"/>
  <c r="D92" i="14" s="1"/>
  <c r="F91" i="14"/>
  <c r="C91" i="14"/>
  <c r="D91" i="14" s="1"/>
  <c r="F90" i="14"/>
  <c r="C90" i="14"/>
  <c r="D90" i="14" s="1"/>
  <c r="F89" i="14"/>
  <c r="C89" i="14"/>
  <c r="D89" i="14" s="1"/>
  <c r="F88" i="14"/>
  <c r="C88" i="14"/>
  <c r="D88" i="14" s="1"/>
  <c r="F87" i="14"/>
  <c r="C87" i="14"/>
  <c r="D87" i="14" s="1"/>
  <c r="F86" i="14"/>
  <c r="C86" i="14"/>
  <c r="D86" i="14" s="1"/>
  <c r="F85" i="14"/>
  <c r="C85" i="14"/>
  <c r="D85" i="14" s="1"/>
  <c r="F84" i="14"/>
  <c r="C84" i="14"/>
  <c r="D84" i="14" s="1"/>
  <c r="F83" i="14"/>
  <c r="C83" i="14"/>
  <c r="D83" i="14" s="1"/>
  <c r="F82" i="14"/>
  <c r="C82" i="14"/>
  <c r="D82" i="14" s="1"/>
  <c r="F81" i="14"/>
  <c r="C81" i="14"/>
  <c r="D81" i="14" s="1"/>
  <c r="F80" i="14"/>
  <c r="C80" i="14"/>
  <c r="D80" i="14" s="1"/>
  <c r="F79" i="14"/>
  <c r="C79" i="14"/>
  <c r="D79" i="14" s="1"/>
  <c r="F78" i="14"/>
  <c r="C78" i="14"/>
  <c r="D78" i="14" s="1"/>
  <c r="F77" i="14"/>
  <c r="C77" i="14"/>
  <c r="D77" i="14" s="1"/>
  <c r="F76" i="14"/>
  <c r="C76" i="14"/>
  <c r="D76" i="14" s="1"/>
  <c r="F75" i="14"/>
  <c r="C75" i="14"/>
  <c r="D75" i="14" s="1"/>
  <c r="F74" i="14"/>
  <c r="C74" i="14"/>
  <c r="D74" i="14" s="1"/>
  <c r="F73" i="14"/>
  <c r="C73" i="14"/>
  <c r="D73" i="14" s="1"/>
  <c r="F72" i="14"/>
  <c r="C72" i="14"/>
  <c r="D72" i="14" s="1"/>
  <c r="F71" i="14"/>
  <c r="C71" i="14"/>
  <c r="D71" i="14" s="1"/>
  <c r="F70" i="14"/>
  <c r="C70" i="14"/>
  <c r="D70" i="14" s="1"/>
  <c r="F69" i="14"/>
  <c r="C69" i="14"/>
  <c r="D69" i="14" s="1"/>
  <c r="F68" i="14"/>
  <c r="C68" i="14"/>
  <c r="D68" i="14" s="1"/>
  <c r="F67" i="14"/>
  <c r="C67" i="14"/>
  <c r="D67" i="14" s="1"/>
  <c r="F66" i="14"/>
  <c r="C66" i="14"/>
  <c r="D66" i="14" s="1"/>
  <c r="F65" i="14"/>
  <c r="C65" i="14"/>
  <c r="D65" i="14" s="1"/>
  <c r="F64" i="14"/>
  <c r="C64" i="14"/>
  <c r="D64" i="14" s="1"/>
  <c r="F63" i="14"/>
  <c r="C63" i="14"/>
  <c r="D63" i="14" s="1"/>
  <c r="F62" i="14"/>
  <c r="C62" i="14"/>
  <c r="D62" i="14" s="1"/>
  <c r="F61" i="14"/>
  <c r="C61" i="14"/>
  <c r="D61" i="14" s="1"/>
  <c r="F60" i="14"/>
  <c r="C60" i="14"/>
  <c r="D60" i="14" s="1"/>
  <c r="F59" i="14"/>
  <c r="C59" i="14"/>
  <c r="D59" i="14" s="1"/>
  <c r="F58" i="14"/>
  <c r="C58" i="14"/>
  <c r="D58" i="14" s="1"/>
  <c r="F57" i="14"/>
  <c r="C57" i="14"/>
  <c r="D57" i="14" s="1"/>
  <c r="F56" i="14"/>
  <c r="C56" i="14"/>
  <c r="D56" i="14" s="1"/>
  <c r="F55" i="14"/>
  <c r="C55" i="14"/>
  <c r="D55" i="14" s="1"/>
  <c r="F54" i="14"/>
  <c r="C54" i="14"/>
  <c r="D54" i="14" s="1"/>
  <c r="F53" i="14"/>
  <c r="C53" i="14"/>
  <c r="D53" i="14" s="1"/>
  <c r="F52" i="14"/>
  <c r="C52" i="14"/>
  <c r="D52" i="14" s="1"/>
  <c r="F51" i="14"/>
  <c r="C51" i="14"/>
  <c r="D51" i="14" s="1"/>
  <c r="F50" i="14"/>
  <c r="C50" i="14"/>
  <c r="D50" i="14" s="1"/>
  <c r="F49" i="14"/>
  <c r="C49" i="14"/>
  <c r="D49" i="14" s="1"/>
  <c r="F48" i="14"/>
  <c r="C48" i="14"/>
  <c r="D48" i="14" s="1"/>
  <c r="F47" i="14"/>
  <c r="C47" i="14"/>
  <c r="D47" i="14" s="1"/>
  <c r="F46" i="14"/>
  <c r="C46" i="14"/>
  <c r="D46" i="14" s="1"/>
  <c r="F45" i="14"/>
  <c r="C45" i="14"/>
  <c r="D45" i="14" s="1"/>
  <c r="F44" i="14"/>
  <c r="C44" i="14"/>
  <c r="D44" i="14" s="1"/>
  <c r="F43" i="14"/>
  <c r="C43" i="14"/>
  <c r="D43" i="14" s="1"/>
  <c r="F42" i="14"/>
  <c r="C42" i="14"/>
  <c r="D42" i="14" s="1"/>
  <c r="F41" i="14"/>
  <c r="C41" i="14"/>
  <c r="D41" i="14" s="1"/>
  <c r="F40" i="14"/>
  <c r="C40" i="14"/>
  <c r="D40" i="14" s="1"/>
  <c r="F39" i="14"/>
  <c r="C39" i="14"/>
  <c r="D39" i="14" s="1"/>
  <c r="F38" i="14"/>
  <c r="C38" i="14"/>
  <c r="D38" i="14" s="1"/>
  <c r="F37" i="14"/>
  <c r="C37" i="14"/>
  <c r="D37" i="14" s="1"/>
  <c r="F36" i="14"/>
  <c r="C36" i="14"/>
  <c r="D36" i="14" s="1"/>
  <c r="F35" i="14"/>
  <c r="C35" i="14"/>
  <c r="D35" i="14" s="1"/>
  <c r="F34" i="14"/>
  <c r="C34" i="14"/>
  <c r="D34" i="14" s="1"/>
  <c r="F33" i="14"/>
  <c r="C33" i="14"/>
  <c r="D33" i="14" s="1"/>
  <c r="F32" i="14"/>
  <c r="C32" i="14"/>
  <c r="D32" i="14" s="1"/>
  <c r="F31" i="14"/>
  <c r="C31" i="14"/>
  <c r="D31" i="14" s="1"/>
  <c r="F30" i="14"/>
  <c r="C30" i="14"/>
  <c r="D30" i="14" s="1"/>
  <c r="F29" i="14"/>
  <c r="C29" i="14"/>
  <c r="D29" i="14" s="1"/>
  <c r="F28" i="14"/>
  <c r="C28" i="14"/>
  <c r="D28" i="14" s="1"/>
  <c r="F27" i="14"/>
  <c r="C27" i="14"/>
  <c r="D27" i="14" s="1"/>
  <c r="F26" i="14"/>
  <c r="C26" i="14"/>
  <c r="D26" i="14" s="1"/>
  <c r="F25" i="14"/>
  <c r="C25" i="14"/>
  <c r="D25" i="14" s="1"/>
  <c r="F24" i="14"/>
  <c r="C24" i="14"/>
  <c r="D24" i="14" s="1"/>
  <c r="F23" i="14"/>
  <c r="C23" i="14"/>
  <c r="D23" i="14" s="1"/>
  <c r="F22" i="14"/>
  <c r="C22" i="14"/>
  <c r="D22" i="14" s="1"/>
  <c r="F21" i="14"/>
  <c r="C21" i="14"/>
  <c r="D21" i="14" s="1"/>
  <c r="F20" i="14"/>
  <c r="C20" i="14"/>
  <c r="D20" i="14" s="1"/>
  <c r="F19" i="14"/>
  <c r="C19" i="14"/>
  <c r="D19" i="14" s="1"/>
  <c r="F18" i="14"/>
  <c r="C18" i="14"/>
  <c r="D18" i="14" s="1"/>
  <c r="F17" i="14"/>
  <c r="C17" i="14"/>
  <c r="D17" i="14" s="1"/>
  <c r="F16" i="14"/>
  <c r="C16" i="14"/>
  <c r="D16" i="14" s="1"/>
  <c r="F15" i="14"/>
  <c r="C15" i="14"/>
  <c r="D15" i="14" s="1"/>
  <c r="F14" i="14"/>
  <c r="C14" i="14"/>
  <c r="D14" i="14" s="1"/>
  <c r="F13" i="14"/>
  <c r="C13" i="14"/>
  <c r="D13" i="14" s="1"/>
  <c r="F12" i="14"/>
  <c r="C12" i="14"/>
  <c r="D12" i="14" s="1"/>
  <c r="F11" i="14"/>
  <c r="C11" i="14"/>
  <c r="D11" i="14" s="1"/>
  <c r="B3" i="14" s="1" a="1"/>
  <c r="B3" i="14" s="1"/>
  <c r="C3" i="14" s="1" a="1"/>
  <c r="C3" i="14" s="1"/>
  <c r="C8" i="14"/>
  <c r="B8" i="14"/>
  <c r="C7" i="14"/>
  <c r="B7" i="14"/>
  <c r="C5" i="14"/>
  <c r="B5" i="14"/>
  <c r="A1" i="14"/>
  <c r="O1330" i="13"/>
  <c r="N1330" i="13"/>
  <c r="M1330" i="13"/>
  <c r="L1330" i="13"/>
  <c r="K1330" i="13"/>
  <c r="O1329" i="13"/>
  <c r="N1329" i="13"/>
  <c r="M1329" i="13"/>
  <c r="L1329" i="13"/>
  <c r="K1329" i="13"/>
  <c r="O1328" i="13"/>
  <c r="N1328" i="13"/>
  <c r="M1328" i="13"/>
  <c r="L1328" i="13"/>
  <c r="K1328" i="13"/>
  <c r="O1327" i="13"/>
  <c r="N1327" i="13"/>
  <c r="M1327" i="13"/>
  <c r="L1327" i="13"/>
  <c r="K1327" i="13"/>
  <c r="O1326" i="13"/>
  <c r="N1326" i="13"/>
  <c r="M1326" i="13"/>
  <c r="L1326" i="13"/>
  <c r="K1326" i="13"/>
  <c r="O1325" i="13"/>
  <c r="N1325" i="13"/>
  <c r="M1325" i="13"/>
  <c r="L1325" i="13"/>
  <c r="K1325" i="13"/>
  <c r="O1324" i="13"/>
  <c r="N1324" i="13"/>
  <c r="M1324" i="13"/>
  <c r="L1324" i="13"/>
  <c r="K1324" i="13"/>
  <c r="O1323" i="13"/>
  <c r="N1323" i="13"/>
  <c r="M1323" i="13"/>
  <c r="L1323" i="13"/>
  <c r="K1323" i="13"/>
  <c r="O1322" i="13"/>
  <c r="N1322" i="13"/>
  <c r="M1322" i="13"/>
  <c r="L1322" i="13"/>
  <c r="K1322" i="13"/>
  <c r="O1321" i="13"/>
  <c r="N1321" i="13"/>
  <c r="M1321" i="13"/>
  <c r="L1321" i="13"/>
  <c r="K1321" i="13"/>
  <c r="O1320" i="13"/>
  <c r="N1320" i="13"/>
  <c r="M1320" i="13"/>
  <c r="L1320" i="13"/>
  <c r="K1320" i="13"/>
  <c r="O1319" i="13"/>
  <c r="N1319" i="13"/>
  <c r="M1319" i="13"/>
  <c r="L1319" i="13"/>
  <c r="K1319" i="13"/>
  <c r="O1318" i="13"/>
  <c r="N1318" i="13"/>
  <c r="M1318" i="13"/>
  <c r="L1318" i="13"/>
  <c r="K1318" i="13"/>
  <c r="O1317" i="13"/>
  <c r="N1317" i="13"/>
  <c r="M1317" i="13"/>
  <c r="L1317" i="13"/>
  <c r="K1317" i="13"/>
  <c r="O1316" i="13"/>
  <c r="N1316" i="13"/>
  <c r="M1316" i="13"/>
  <c r="L1316" i="13"/>
  <c r="K1316" i="13"/>
  <c r="O1315" i="13"/>
  <c r="N1315" i="13"/>
  <c r="M1315" i="13"/>
  <c r="L1315" i="13"/>
  <c r="K1315" i="13"/>
  <c r="O1314" i="13"/>
  <c r="N1314" i="13"/>
  <c r="M1314" i="13"/>
  <c r="L1314" i="13"/>
  <c r="K1314" i="13"/>
  <c r="O1313" i="13"/>
  <c r="N1313" i="13"/>
  <c r="M1313" i="13"/>
  <c r="L1313" i="13"/>
  <c r="K1313" i="13"/>
  <c r="O1312" i="13"/>
  <c r="N1312" i="13"/>
  <c r="M1312" i="13"/>
  <c r="L1312" i="13"/>
  <c r="K1312" i="13"/>
  <c r="O1311" i="13"/>
  <c r="N1311" i="13"/>
  <c r="M1311" i="13"/>
  <c r="L1311" i="13"/>
  <c r="K1311" i="13"/>
  <c r="O1310" i="13"/>
  <c r="N1310" i="13"/>
  <c r="M1310" i="13"/>
  <c r="L1310" i="13"/>
  <c r="K1310" i="13"/>
  <c r="O1309" i="13"/>
  <c r="N1309" i="13"/>
  <c r="M1309" i="13"/>
  <c r="L1309" i="13"/>
  <c r="K1309" i="13"/>
  <c r="O1308" i="13"/>
  <c r="N1308" i="13"/>
  <c r="M1308" i="13"/>
  <c r="L1308" i="13"/>
  <c r="K1308" i="13"/>
  <c r="O1307" i="13"/>
  <c r="N1307" i="13"/>
  <c r="M1307" i="13"/>
  <c r="L1307" i="13"/>
  <c r="K1307" i="13"/>
  <c r="O1306" i="13"/>
  <c r="N1306" i="13"/>
  <c r="M1306" i="13"/>
  <c r="L1306" i="13"/>
  <c r="K1306" i="13"/>
  <c r="O1305" i="13"/>
  <c r="N1305" i="13"/>
  <c r="M1305" i="13"/>
  <c r="L1305" i="13"/>
  <c r="K1305" i="13"/>
  <c r="O1304" i="13"/>
  <c r="N1304" i="13"/>
  <c r="M1304" i="13"/>
  <c r="L1304" i="13"/>
  <c r="K1304" i="13"/>
  <c r="O1303" i="13"/>
  <c r="N1303" i="13"/>
  <c r="M1303" i="13"/>
  <c r="L1303" i="13"/>
  <c r="K1303" i="13"/>
  <c r="O1302" i="13"/>
  <c r="N1302" i="13"/>
  <c r="M1302" i="13"/>
  <c r="L1302" i="13"/>
  <c r="K1302" i="13"/>
  <c r="O1301" i="13"/>
  <c r="N1301" i="13"/>
  <c r="M1301" i="13"/>
  <c r="L1301" i="13"/>
  <c r="K1301" i="13"/>
  <c r="O1300" i="13"/>
  <c r="N1300" i="13"/>
  <c r="M1300" i="13"/>
  <c r="L1300" i="13"/>
  <c r="K1300" i="13"/>
  <c r="O1299" i="13"/>
  <c r="N1299" i="13"/>
  <c r="M1299" i="13"/>
  <c r="L1299" i="13"/>
  <c r="K1299" i="13"/>
  <c r="O1298" i="13"/>
  <c r="N1298" i="13"/>
  <c r="M1298" i="13"/>
  <c r="L1298" i="13"/>
  <c r="K1298" i="13"/>
  <c r="O1297" i="13"/>
  <c r="N1297" i="13"/>
  <c r="M1297" i="13"/>
  <c r="L1297" i="13"/>
  <c r="K1297" i="13"/>
  <c r="O1296" i="13"/>
  <c r="N1296" i="13"/>
  <c r="M1296" i="13"/>
  <c r="L1296" i="13"/>
  <c r="K1296" i="13"/>
  <c r="O1295" i="13"/>
  <c r="N1295" i="13"/>
  <c r="M1295" i="13"/>
  <c r="L1295" i="13"/>
  <c r="K1295" i="13"/>
  <c r="O1294" i="13"/>
  <c r="N1294" i="13"/>
  <c r="M1294" i="13"/>
  <c r="L1294" i="13"/>
  <c r="K1294" i="13"/>
  <c r="O1293" i="13"/>
  <c r="N1293" i="13"/>
  <c r="M1293" i="13"/>
  <c r="L1293" i="13"/>
  <c r="K1293" i="13"/>
  <c r="O1292" i="13"/>
  <c r="N1292" i="13"/>
  <c r="M1292" i="13"/>
  <c r="L1292" i="13"/>
  <c r="K1292" i="13"/>
  <c r="O1291" i="13"/>
  <c r="N1291" i="13"/>
  <c r="M1291" i="13"/>
  <c r="L1291" i="13"/>
  <c r="K1291" i="13"/>
  <c r="O1290" i="13"/>
  <c r="N1290" i="13"/>
  <c r="M1290" i="13"/>
  <c r="L1290" i="13"/>
  <c r="K1290" i="13"/>
  <c r="O1289" i="13"/>
  <c r="N1289" i="13"/>
  <c r="M1289" i="13"/>
  <c r="L1289" i="13"/>
  <c r="K1289" i="13"/>
  <c r="O1288" i="13"/>
  <c r="N1288" i="13"/>
  <c r="M1288" i="13"/>
  <c r="L1288" i="13"/>
  <c r="K1288" i="13"/>
  <c r="O1287" i="13"/>
  <c r="N1287" i="13"/>
  <c r="M1287" i="13"/>
  <c r="L1287" i="13"/>
  <c r="K1287" i="13"/>
  <c r="O1286" i="13"/>
  <c r="N1286" i="13"/>
  <c r="M1286" i="13"/>
  <c r="L1286" i="13"/>
  <c r="K1286" i="13"/>
  <c r="O1285" i="13"/>
  <c r="N1285" i="13"/>
  <c r="M1285" i="13"/>
  <c r="L1285" i="13"/>
  <c r="K1285" i="13"/>
  <c r="O1284" i="13"/>
  <c r="N1284" i="13"/>
  <c r="M1284" i="13"/>
  <c r="L1284" i="13"/>
  <c r="K1284" i="13"/>
  <c r="O1283" i="13"/>
  <c r="N1283" i="13"/>
  <c r="M1283" i="13"/>
  <c r="L1283" i="13"/>
  <c r="K1283" i="13"/>
  <c r="O1282" i="13"/>
  <c r="N1282" i="13"/>
  <c r="M1282" i="13"/>
  <c r="L1282" i="13"/>
  <c r="K1282" i="13"/>
  <c r="O1281" i="13"/>
  <c r="N1281" i="13"/>
  <c r="M1281" i="13"/>
  <c r="L1281" i="13"/>
  <c r="K1281" i="13"/>
  <c r="O1280" i="13"/>
  <c r="N1280" i="13"/>
  <c r="M1280" i="13"/>
  <c r="L1280" i="13"/>
  <c r="K1280" i="13"/>
  <c r="O1279" i="13"/>
  <c r="N1279" i="13"/>
  <c r="M1279" i="13"/>
  <c r="L1279" i="13"/>
  <c r="K1279" i="13"/>
  <c r="O1278" i="13"/>
  <c r="N1278" i="13"/>
  <c r="M1278" i="13"/>
  <c r="L1278" i="13"/>
  <c r="K1278" i="13"/>
  <c r="O1277" i="13"/>
  <c r="N1277" i="13"/>
  <c r="M1277" i="13"/>
  <c r="L1277" i="13"/>
  <c r="K1277" i="13"/>
  <c r="O1276" i="13"/>
  <c r="N1276" i="13"/>
  <c r="M1276" i="13"/>
  <c r="L1276" i="13"/>
  <c r="K1276" i="13"/>
  <c r="O1275" i="13"/>
  <c r="N1275" i="13"/>
  <c r="M1275" i="13"/>
  <c r="L1275" i="13"/>
  <c r="K1275" i="13"/>
  <c r="O1274" i="13"/>
  <c r="N1274" i="13"/>
  <c r="M1274" i="13"/>
  <c r="L1274" i="13"/>
  <c r="K1274" i="13"/>
  <c r="O1273" i="13"/>
  <c r="N1273" i="13"/>
  <c r="M1273" i="13"/>
  <c r="L1273" i="13"/>
  <c r="K1273" i="13"/>
  <c r="O1272" i="13"/>
  <c r="N1272" i="13"/>
  <c r="M1272" i="13"/>
  <c r="L1272" i="13"/>
  <c r="K1272" i="13"/>
  <c r="O1271" i="13"/>
  <c r="N1271" i="13"/>
  <c r="M1271" i="13"/>
  <c r="L1271" i="13"/>
  <c r="K1271" i="13"/>
  <c r="O1270" i="13"/>
  <c r="N1270" i="13"/>
  <c r="M1270" i="13"/>
  <c r="L1270" i="13"/>
  <c r="K1270" i="13"/>
  <c r="O1269" i="13"/>
  <c r="N1269" i="13"/>
  <c r="M1269" i="13"/>
  <c r="L1269" i="13"/>
  <c r="K1269" i="13"/>
  <c r="O1268" i="13"/>
  <c r="N1268" i="13"/>
  <c r="M1268" i="13"/>
  <c r="L1268" i="13"/>
  <c r="K1268" i="13"/>
  <c r="O1267" i="13"/>
  <c r="N1267" i="13"/>
  <c r="M1267" i="13"/>
  <c r="L1267" i="13"/>
  <c r="K1267" i="13"/>
  <c r="O1266" i="13"/>
  <c r="N1266" i="13"/>
  <c r="M1266" i="13"/>
  <c r="L1266" i="13"/>
  <c r="K1266" i="13"/>
  <c r="O1265" i="13"/>
  <c r="N1265" i="13"/>
  <c r="M1265" i="13"/>
  <c r="L1265" i="13"/>
  <c r="K1265" i="13"/>
  <c r="O1264" i="13"/>
  <c r="N1264" i="13"/>
  <c r="M1264" i="13"/>
  <c r="L1264" i="13"/>
  <c r="K1264" i="13"/>
  <c r="O1263" i="13"/>
  <c r="N1263" i="13"/>
  <c r="M1263" i="13"/>
  <c r="L1263" i="13"/>
  <c r="K1263" i="13"/>
  <c r="O1262" i="13"/>
  <c r="N1262" i="13"/>
  <c r="M1262" i="13"/>
  <c r="L1262" i="13"/>
  <c r="K1262" i="13"/>
  <c r="O1261" i="13"/>
  <c r="N1261" i="13"/>
  <c r="M1261" i="13"/>
  <c r="L1261" i="13"/>
  <c r="K1261" i="13"/>
  <c r="O1260" i="13"/>
  <c r="N1260" i="13"/>
  <c r="M1260" i="13"/>
  <c r="L1260" i="13"/>
  <c r="K1260" i="13"/>
  <c r="O1259" i="13"/>
  <c r="N1259" i="13"/>
  <c r="M1259" i="13"/>
  <c r="L1259" i="13"/>
  <c r="K1259" i="13"/>
  <c r="O1258" i="13"/>
  <c r="N1258" i="13"/>
  <c r="M1258" i="13"/>
  <c r="L1258" i="13"/>
  <c r="K1258" i="13"/>
  <c r="O1257" i="13"/>
  <c r="N1257" i="13"/>
  <c r="M1257" i="13"/>
  <c r="L1257" i="13"/>
  <c r="K1257" i="13"/>
  <c r="O1256" i="13"/>
  <c r="N1256" i="13"/>
  <c r="M1256" i="13"/>
  <c r="L1256" i="13"/>
  <c r="K1256" i="13"/>
  <c r="O1255" i="13"/>
  <c r="N1255" i="13"/>
  <c r="M1255" i="13"/>
  <c r="L1255" i="13"/>
  <c r="K1255" i="13"/>
  <c r="O1254" i="13"/>
  <c r="N1254" i="13"/>
  <c r="M1254" i="13"/>
  <c r="L1254" i="13"/>
  <c r="K1254" i="13"/>
  <c r="O1253" i="13"/>
  <c r="N1253" i="13"/>
  <c r="M1253" i="13"/>
  <c r="L1253" i="13"/>
  <c r="K1253" i="13"/>
  <c r="O1252" i="13"/>
  <c r="N1252" i="13"/>
  <c r="M1252" i="13"/>
  <c r="L1252" i="13"/>
  <c r="K1252" i="13"/>
  <c r="O1251" i="13"/>
  <c r="N1251" i="13"/>
  <c r="M1251" i="13"/>
  <c r="L1251" i="13"/>
  <c r="K1251" i="13"/>
  <c r="O1250" i="13"/>
  <c r="N1250" i="13"/>
  <c r="M1250" i="13"/>
  <c r="L1250" i="13"/>
  <c r="K1250" i="13"/>
  <c r="O1249" i="13"/>
  <c r="N1249" i="13"/>
  <c r="M1249" i="13"/>
  <c r="L1249" i="13"/>
  <c r="K1249" i="13"/>
  <c r="O1248" i="13"/>
  <c r="N1248" i="13"/>
  <c r="M1248" i="13"/>
  <c r="L1248" i="13"/>
  <c r="K1248" i="13"/>
  <c r="O1247" i="13"/>
  <c r="N1247" i="13"/>
  <c r="M1247" i="13"/>
  <c r="L1247" i="13"/>
  <c r="K1247" i="13"/>
  <c r="O1246" i="13"/>
  <c r="N1246" i="13"/>
  <c r="M1246" i="13"/>
  <c r="L1246" i="13"/>
  <c r="K1246" i="13"/>
  <c r="O1245" i="13"/>
  <c r="N1245" i="13"/>
  <c r="M1245" i="13"/>
  <c r="L1245" i="13"/>
  <c r="K1245" i="13"/>
  <c r="O1244" i="13"/>
  <c r="N1244" i="13"/>
  <c r="M1244" i="13"/>
  <c r="L1244" i="13"/>
  <c r="K1244" i="13"/>
  <c r="O1243" i="13"/>
  <c r="N1243" i="13"/>
  <c r="M1243" i="13"/>
  <c r="L1243" i="13"/>
  <c r="K1243" i="13"/>
  <c r="O1242" i="13"/>
  <c r="N1242" i="13"/>
  <c r="M1242" i="13"/>
  <c r="L1242" i="13"/>
  <c r="K1242" i="13"/>
  <c r="O1241" i="13"/>
  <c r="N1241" i="13"/>
  <c r="M1241" i="13"/>
  <c r="L1241" i="13"/>
  <c r="K1241" i="13"/>
  <c r="O1240" i="13"/>
  <c r="N1240" i="13"/>
  <c r="M1240" i="13"/>
  <c r="L1240" i="13"/>
  <c r="K1240" i="13"/>
  <c r="O1239" i="13"/>
  <c r="N1239" i="13"/>
  <c r="M1239" i="13"/>
  <c r="L1239" i="13"/>
  <c r="K1239" i="13"/>
  <c r="O1238" i="13"/>
  <c r="N1238" i="13"/>
  <c r="M1238" i="13"/>
  <c r="L1238" i="13"/>
  <c r="K1238" i="13"/>
  <c r="O1237" i="13"/>
  <c r="N1237" i="13"/>
  <c r="M1237" i="13"/>
  <c r="L1237" i="13"/>
  <c r="K1237" i="13"/>
  <c r="O1236" i="13"/>
  <c r="N1236" i="13"/>
  <c r="M1236" i="13"/>
  <c r="L1236" i="13"/>
  <c r="K1236" i="13"/>
  <c r="O1235" i="13"/>
  <c r="N1235" i="13"/>
  <c r="M1235" i="13"/>
  <c r="L1235" i="13"/>
  <c r="K1235" i="13"/>
  <c r="O1234" i="13"/>
  <c r="N1234" i="13"/>
  <c r="M1234" i="13"/>
  <c r="L1234" i="13"/>
  <c r="K1234" i="13"/>
  <c r="O1233" i="13"/>
  <c r="N1233" i="13"/>
  <c r="M1233" i="13"/>
  <c r="L1233" i="13"/>
  <c r="K1233" i="13"/>
  <c r="O1232" i="13"/>
  <c r="N1232" i="13"/>
  <c r="M1232" i="13"/>
  <c r="L1232" i="13"/>
  <c r="K1232" i="13"/>
  <c r="O1231" i="13"/>
  <c r="N1231" i="13"/>
  <c r="M1231" i="13"/>
  <c r="L1231" i="13"/>
  <c r="K1231" i="13"/>
  <c r="O1230" i="13"/>
  <c r="N1230" i="13"/>
  <c r="M1230" i="13"/>
  <c r="L1230" i="13"/>
  <c r="K1230" i="13"/>
  <c r="O1229" i="13"/>
  <c r="N1229" i="13"/>
  <c r="M1229" i="13"/>
  <c r="L1229" i="13"/>
  <c r="K1229" i="13"/>
  <c r="O1228" i="13"/>
  <c r="N1228" i="13"/>
  <c r="M1228" i="13"/>
  <c r="L1228" i="13"/>
  <c r="K1228" i="13"/>
  <c r="O1227" i="13"/>
  <c r="N1227" i="13"/>
  <c r="M1227" i="13"/>
  <c r="L1227" i="13"/>
  <c r="K1227" i="13"/>
  <c r="O1226" i="13"/>
  <c r="N1226" i="13"/>
  <c r="M1226" i="13"/>
  <c r="L1226" i="13"/>
  <c r="K1226" i="13"/>
  <c r="O1225" i="13"/>
  <c r="N1225" i="13"/>
  <c r="M1225" i="13"/>
  <c r="L1225" i="13"/>
  <c r="K1225" i="13"/>
  <c r="O1224" i="13"/>
  <c r="N1224" i="13"/>
  <c r="M1224" i="13"/>
  <c r="L1224" i="13"/>
  <c r="K1224" i="13"/>
  <c r="O1223" i="13"/>
  <c r="N1223" i="13"/>
  <c r="M1223" i="13"/>
  <c r="L1223" i="13"/>
  <c r="K1223" i="13"/>
  <c r="O1222" i="13"/>
  <c r="N1222" i="13"/>
  <c r="M1222" i="13"/>
  <c r="L1222" i="13"/>
  <c r="K1222" i="13"/>
  <c r="O1221" i="13"/>
  <c r="N1221" i="13"/>
  <c r="M1221" i="13"/>
  <c r="L1221" i="13"/>
  <c r="K1221" i="13"/>
  <c r="O1220" i="13"/>
  <c r="N1220" i="13"/>
  <c r="M1220" i="13"/>
  <c r="L1220" i="13"/>
  <c r="K1220" i="13"/>
  <c r="O1219" i="13"/>
  <c r="N1219" i="13"/>
  <c r="M1219" i="13"/>
  <c r="L1219" i="13"/>
  <c r="K1219" i="13"/>
  <c r="O1218" i="13"/>
  <c r="N1218" i="13"/>
  <c r="M1218" i="13"/>
  <c r="L1218" i="13"/>
  <c r="K1218" i="13"/>
  <c r="O1217" i="13"/>
  <c r="N1217" i="13"/>
  <c r="M1217" i="13"/>
  <c r="L1217" i="13"/>
  <c r="K1217" i="13"/>
  <c r="O1216" i="13"/>
  <c r="N1216" i="13"/>
  <c r="M1216" i="13"/>
  <c r="L1216" i="13"/>
  <c r="K1216" i="13"/>
  <c r="O1215" i="13"/>
  <c r="N1215" i="13"/>
  <c r="M1215" i="13"/>
  <c r="L1215" i="13"/>
  <c r="K1215" i="13"/>
  <c r="O1214" i="13"/>
  <c r="N1214" i="13"/>
  <c r="M1214" i="13"/>
  <c r="L1214" i="13"/>
  <c r="K1214" i="13"/>
  <c r="O1213" i="13"/>
  <c r="N1213" i="13"/>
  <c r="M1213" i="13"/>
  <c r="L1213" i="13"/>
  <c r="K1213" i="13"/>
  <c r="O1212" i="13"/>
  <c r="N1212" i="13"/>
  <c r="M1212" i="13"/>
  <c r="L1212" i="13"/>
  <c r="K1212" i="13"/>
  <c r="O1211" i="13"/>
  <c r="N1211" i="13"/>
  <c r="M1211" i="13"/>
  <c r="L1211" i="13"/>
  <c r="K1211" i="13"/>
  <c r="O1210" i="13"/>
  <c r="N1210" i="13"/>
  <c r="M1210" i="13"/>
  <c r="L1210" i="13"/>
  <c r="K1210" i="13"/>
  <c r="O1209" i="13"/>
  <c r="N1209" i="13"/>
  <c r="M1209" i="13"/>
  <c r="L1209" i="13"/>
  <c r="K1209" i="13"/>
  <c r="O1208" i="13"/>
  <c r="N1208" i="13"/>
  <c r="M1208" i="13"/>
  <c r="L1208" i="13"/>
  <c r="K1208" i="13"/>
  <c r="O1207" i="13"/>
  <c r="N1207" i="13"/>
  <c r="M1207" i="13"/>
  <c r="L1207" i="13"/>
  <c r="K1207" i="13"/>
  <c r="O1206" i="13"/>
  <c r="N1206" i="13"/>
  <c r="M1206" i="13"/>
  <c r="L1206" i="13"/>
  <c r="K1206" i="13"/>
  <c r="O1205" i="13"/>
  <c r="N1205" i="13"/>
  <c r="M1205" i="13"/>
  <c r="L1205" i="13"/>
  <c r="K1205" i="13"/>
  <c r="O1204" i="13"/>
  <c r="N1204" i="13"/>
  <c r="M1204" i="13"/>
  <c r="L1204" i="13"/>
  <c r="K1204" i="13"/>
  <c r="O1203" i="13"/>
  <c r="N1203" i="13"/>
  <c r="M1203" i="13"/>
  <c r="L1203" i="13"/>
  <c r="K1203" i="13"/>
  <c r="O1202" i="13"/>
  <c r="N1202" i="13"/>
  <c r="M1202" i="13"/>
  <c r="L1202" i="13"/>
  <c r="K1202" i="13"/>
  <c r="O1201" i="13"/>
  <c r="N1201" i="13"/>
  <c r="M1201" i="13"/>
  <c r="L1201" i="13"/>
  <c r="K1201" i="13"/>
  <c r="O1200" i="13"/>
  <c r="N1200" i="13"/>
  <c r="M1200" i="13"/>
  <c r="L1200" i="13"/>
  <c r="K1200" i="13"/>
  <c r="O1199" i="13"/>
  <c r="N1199" i="13"/>
  <c r="M1199" i="13"/>
  <c r="L1199" i="13"/>
  <c r="K1199" i="13"/>
  <c r="O1198" i="13"/>
  <c r="N1198" i="13"/>
  <c r="M1198" i="13"/>
  <c r="L1198" i="13"/>
  <c r="K1198" i="13"/>
  <c r="O1197" i="13"/>
  <c r="N1197" i="13"/>
  <c r="M1197" i="13"/>
  <c r="L1197" i="13"/>
  <c r="K1197" i="13"/>
  <c r="O1196" i="13"/>
  <c r="N1196" i="13"/>
  <c r="M1196" i="13"/>
  <c r="L1196" i="13"/>
  <c r="K1196" i="13"/>
  <c r="O1195" i="13"/>
  <c r="N1195" i="13"/>
  <c r="M1195" i="13"/>
  <c r="L1195" i="13"/>
  <c r="K1195" i="13"/>
  <c r="O1194" i="13"/>
  <c r="N1194" i="13"/>
  <c r="M1194" i="13"/>
  <c r="L1194" i="13"/>
  <c r="K1194" i="13"/>
  <c r="O1193" i="13"/>
  <c r="N1193" i="13"/>
  <c r="M1193" i="13"/>
  <c r="L1193" i="13"/>
  <c r="K1193" i="13"/>
  <c r="O1192" i="13"/>
  <c r="N1192" i="13"/>
  <c r="M1192" i="13"/>
  <c r="L1192" i="13"/>
  <c r="K1192" i="13"/>
  <c r="O1191" i="13"/>
  <c r="N1191" i="13"/>
  <c r="M1191" i="13"/>
  <c r="L1191" i="13"/>
  <c r="K1191" i="13"/>
  <c r="O1190" i="13"/>
  <c r="N1190" i="13"/>
  <c r="M1190" i="13"/>
  <c r="L1190" i="13"/>
  <c r="K1190" i="13"/>
  <c r="O1189" i="13"/>
  <c r="N1189" i="13"/>
  <c r="M1189" i="13"/>
  <c r="L1189" i="13"/>
  <c r="K1189" i="13"/>
  <c r="O1188" i="13"/>
  <c r="N1188" i="13"/>
  <c r="M1188" i="13"/>
  <c r="L1188" i="13"/>
  <c r="K1188" i="13"/>
  <c r="O1187" i="13"/>
  <c r="N1187" i="13"/>
  <c r="M1187" i="13"/>
  <c r="L1187" i="13"/>
  <c r="K1187" i="13"/>
  <c r="O1186" i="13"/>
  <c r="N1186" i="13"/>
  <c r="M1186" i="13"/>
  <c r="L1186" i="13"/>
  <c r="K1186" i="13"/>
  <c r="O1185" i="13"/>
  <c r="N1185" i="13"/>
  <c r="M1185" i="13"/>
  <c r="L1185" i="13"/>
  <c r="K1185" i="13"/>
  <c r="O1184" i="13"/>
  <c r="N1184" i="13"/>
  <c r="M1184" i="13"/>
  <c r="L1184" i="13"/>
  <c r="K1184" i="13"/>
  <c r="O1183" i="13"/>
  <c r="N1183" i="13"/>
  <c r="M1183" i="13"/>
  <c r="L1183" i="13"/>
  <c r="K1183" i="13"/>
  <c r="O1182" i="13"/>
  <c r="N1182" i="13"/>
  <c r="M1182" i="13"/>
  <c r="L1182" i="13"/>
  <c r="K1182" i="13"/>
  <c r="O1181" i="13"/>
  <c r="N1181" i="13"/>
  <c r="M1181" i="13"/>
  <c r="L1181" i="13"/>
  <c r="K1181" i="13"/>
  <c r="O1180" i="13"/>
  <c r="N1180" i="13"/>
  <c r="M1180" i="13"/>
  <c r="L1180" i="13"/>
  <c r="K1180" i="13"/>
  <c r="O1179" i="13"/>
  <c r="N1179" i="13"/>
  <c r="M1179" i="13"/>
  <c r="L1179" i="13"/>
  <c r="K1179" i="13"/>
  <c r="O1178" i="13"/>
  <c r="N1178" i="13"/>
  <c r="M1178" i="13"/>
  <c r="L1178" i="13"/>
  <c r="K1178" i="13"/>
  <c r="O1177" i="13"/>
  <c r="N1177" i="13"/>
  <c r="M1177" i="13"/>
  <c r="L1177" i="13"/>
  <c r="K1177" i="13"/>
  <c r="O1176" i="13"/>
  <c r="N1176" i="13"/>
  <c r="M1176" i="13"/>
  <c r="L1176" i="13"/>
  <c r="K1176" i="13"/>
  <c r="O1175" i="13"/>
  <c r="N1175" i="13"/>
  <c r="M1175" i="13"/>
  <c r="L1175" i="13"/>
  <c r="K1175" i="13"/>
  <c r="O1174" i="13"/>
  <c r="N1174" i="13"/>
  <c r="M1174" i="13"/>
  <c r="L1174" i="13"/>
  <c r="K1174" i="13"/>
  <c r="O1173" i="13"/>
  <c r="N1173" i="13"/>
  <c r="M1173" i="13"/>
  <c r="L1173" i="13"/>
  <c r="K1173" i="13"/>
  <c r="O1172" i="13"/>
  <c r="N1172" i="13"/>
  <c r="M1172" i="13"/>
  <c r="L1172" i="13"/>
  <c r="K1172" i="13"/>
  <c r="O1171" i="13"/>
  <c r="N1171" i="13"/>
  <c r="M1171" i="13"/>
  <c r="L1171" i="13"/>
  <c r="K1171" i="13"/>
  <c r="O1170" i="13"/>
  <c r="N1170" i="13"/>
  <c r="M1170" i="13"/>
  <c r="L1170" i="13"/>
  <c r="K1170" i="13"/>
  <c r="O1169" i="13"/>
  <c r="N1169" i="13"/>
  <c r="M1169" i="13"/>
  <c r="L1169" i="13"/>
  <c r="K1169" i="13"/>
  <c r="O1168" i="13"/>
  <c r="N1168" i="13"/>
  <c r="M1168" i="13"/>
  <c r="L1168" i="13"/>
  <c r="K1168" i="13"/>
  <c r="O1167" i="13"/>
  <c r="N1167" i="13"/>
  <c r="M1167" i="13"/>
  <c r="L1167" i="13"/>
  <c r="K1167" i="13"/>
  <c r="O1166" i="13"/>
  <c r="N1166" i="13"/>
  <c r="M1166" i="13"/>
  <c r="L1166" i="13"/>
  <c r="K1166" i="13"/>
  <c r="O1165" i="13"/>
  <c r="N1165" i="13"/>
  <c r="M1165" i="13"/>
  <c r="L1165" i="13"/>
  <c r="K1165" i="13"/>
  <c r="O1164" i="13"/>
  <c r="N1164" i="13"/>
  <c r="M1164" i="13"/>
  <c r="L1164" i="13"/>
  <c r="K1164" i="13"/>
  <c r="O1163" i="13"/>
  <c r="N1163" i="13"/>
  <c r="M1163" i="13"/>
  <c r="L1163" i="13"/>
  <c r="K1163" i="13"/>
  <c r="O1162" i="13"/>
  <c r="N1162" i="13"/>
  <c r="M1162" i="13"/>
  <c r="L1162" i="13"/>
  <c r="K1162" i="13"/>
  <c r="O1161" i="13"/>
  <c r="N1161" i="13"/>
  <c r="M1161" i="13"/>
  <c r="L1161" i="13"/>
  <c r="K1161" i="13"/>
  <c r="O1160" i="13"/>
  <c r="N1160" i="13"/>
  <c r="M1160" i="13"/>
  <c r="L1160" i="13"/>
  <c r="K1160" i="13"/>
  <c r="O1159" i="13"/>
  <c r="N1159" i="13"/>
  <c r="M1159" i="13"/>
  <c r="L1159" i="13"/>
  <c r="K1159" i="13"/>
  <c r="O1158" i="13"/>
  <c r="N1158" i="13"/>
  <c r="M1158" i="13"/>
  <c r="L1158" i="13"/>
  <c r="K1158" i="13"/>
  <c r="O1157" i="13"/>
  <c r="N1157" i="13"/>
  <c r="M1157" i="13"/>
  <c r="L1157" i="13"/>
  <c r="K1157" i="13"/>
  <c r="O1156" i="13"/>
  <c r="N1156" i="13"/>
  <c r="M1156" i="13"/>
  <c r="L1156" i="13"/>
  <c r="K1156" i="13"/>
  <c r="O1155" i="13"/>
  <c r="N1155" i="13"/>
  <c r="M1155" i="13"/>
  <c r="L1155" i="13"/>
  <c r="K1155" i="13"/>
  <c r="O1154" i="13"/>
  <c r="N1154" i="13"/>
  <c r="M1154" i="13"/>
  <c r="L1154" i="13"/>
  <c r="K1154" i="13"/>
  <c r="O1153" i="13"/>
  <c r="N1153" i="13"/>
  <c r="M1153" i="13"/>
  <c r="L1153" i="13"/>
  <c r="K1153" i="13"/>
  <c r="O1152" i="13"/>
  <c r="N1152" i="13"/>
  <c r="M1152" i="13"/>
  <c r="L1152" i="13"/>
  <c r="K1152" i="13"/>
  <c r="O1151" i="13"/>
  <c r="N1151" i="13"/>
  <c r="M1151" i="13"/>
  <c r="L1151" i="13"/>
  <c r="K1151" i="13"/>
  <c r="O1150" i="13"/>
  <c r="N1150" i="13"/>
  <c r="M1150" i="13"/>
  <c r="L1150" i="13"/>
  <c r="K1150" i="13"/>
  <c r="O1149" i="13"/>
  <c r="N1149" i="13"/>
  <c r="M1149" i="13"/>
  <c r="L1149" i="13"/>
  <c r="K1149" i="13"/>
  <c r="O1148" i="13"/>
  <c r="N1148" i="13"/>
  <c r="M1148" i="13"/>
  <c r="L1148" i="13"/>
  <c r="K1148" i="13"/>
  <c r="O1147" i="13"/>
  <c r="N1147" i="13"/>
  <c r="M1147" i="13"/>
  <c r="L1147" i="13"/>
  <c r="K1147" i="13"/>
  <c r="O1146" i="13"/>
  <c r="N1146" i="13"/>
  <c r="M1146" i="13"/>
  <c r="L1146" i="13"/>
  <c r="K1146" i="13"/>
  <c r="O1145" i="13"/>
  <c r="N1145" i="13"/>
  <c r="M1145" i="13"/>
  <c r="L1145" i="13"/>
  <c r="K1145" i="13"/>
  <c r="O1144" i="13"/>
  <c r="N1144" i="13"/>
  <c r="M1144" i="13"/>
  <c r="L1144" i="13"/>
  <c r="K1144" i="13"/>
  <c r="O1143" i="13"/>
  <c r="N1143" i="13"/>
  <c r="M1143" i="13"/>
  <c r="L1143" i="13"/>
  <c r="K1143" i="13"/>
  <c r="O1142" i="13"/>
  <c r="N1142" i="13"/>
  <c r="M1142" i="13"/>
  <c r="L1142" i="13"/>
  <c r="K1142" i="13"/>
  <c r="O1141" i="13"/>
  <c r="N1141" i="13"/>
  <c r="M1141" i="13"/>
  <c r="L1141" i="13"/>
  <c r="K1141" i="13"/>
  <c r="O1140" i="13"/>
  <c r="N1140" i="13"/>
  <c r="M1140" i="13"/>
  <c r="L1140" i="13"/>
  <c r="K1140" i="13"/>
  <c r="O1139" i="13"/>
  <c r="N1139" i="13"/>
  <c r="M1139" i="13"/>
  <c r="L1139" i="13"/>
  <c r="K1139" i="13"/>
  <c r="O1138" i="13"/>
  <c r="N1138" i="13"/>
  <c r="M1138" i="13"/>
  <c r="L1138" i="13"/>
  <c r="K1138" i="13"/>
  <c r="O1137" i="13"/>
  <c r="N1137" i="13"/>
  <c r="M1137" i="13"/>
  <c r="L1137" i="13"/>
  <c r="K1137" i="13"/>
  <c r="O1136" i="13"/>
  <c r="N1136" i="13"/>
  <c r="M1136" i="13"/>
  <c r="L1136" i="13"/>
  <c r="K1136" i="13"/>
  <c r="O1135" i="13"/>
  <c r="N1135" i="13"/>
  <c r="M1135" i="13"/>
  <c r="L1135" i="13"/>
  <c r="K1135" i="13"/>
  <c r="O1134" i="13"/>
  <c r="N1134" i="13"/>
  <c r="M1134" i="13"/>
  <c r="L1134" i="13"/>
  <c r="K1134" i="13"/>
  <c r="O1133" i="13"/>
  <c r="N1133" i="13"/>
  <c r="M1133" i="13"/>
  <c r="L1133" i="13"/>
  <c r="K1133" i="13"/>
  <c r="O1132" i="13"/>
  <c r="N1132" i="13"/>
  <c r="M1132" i="13"/>
  <c r="L1132" i="13"/>
  <c r="K1132" i="13"/>
  <c r="O1131" i="13"/>
  <c r="N1131" i="13"/>
  <c r="M1131" i="13"/>
  <c r="L1131" i="13"/>
  <c r="K1131" i="13"/>
  <c r="O1130" i="13"/>
  <c r="N1130" i="13"/>
  <c r="M1130" i="13"/>
  <c r="L1130" i="13"/>
  <c r="K1130" i="13"/>
  <c r="O1129" i="13"/>
  <c r="N1129" i="13"/>
  <c r="M1129" i="13"/>
  <c r="L1129" i="13"/>
  <c r="K1129" i="13"/>
  <c r="O1128" i="13"/>
  <c r="N1128" i="13"/>
  <c r="M1128" i="13"/>
  <c r="L1128" i="13"/>
  <c r="K1128" i="13"/>
  <c r="O1127" i="13"/>
  <c r="N1127" i="13"/>
  <c r="M1127" i="13"/>
  <c r="L1127" i="13"/>
  <c r="K1127" i="13"/>
  <c r="O1126" i="13"/>
  <c r="N1126" i="13"/>
  <c r="M1126" i="13"/>
  <c r="L1126" i="13"/>
  <c r="K1126" i="13"/>
  <c r="O1125" i="13"/>
  <c r="N1125" i="13"/>
  <c r="M1125" i="13"/>
  <c r="L1125" i="13"/>
  <c r="K1125" i="13"/>
  <c r="O1124" i="13"/>
  <c r="N1124" i="13"/>
  <c r="M1124" i="13"/>
  <c r="L1124" i="13"/>
  <c r="K1124" i="13"/>
  <c r="O1123" i="13"/>
  <c r="N1123" i="13"/>
  <c r="M1123" i="13"/>
  <c r="L1123" i="13"/>
  <c r="K1123" i="13"/>
  <c r="O1122" i="13"/>
  <c r="N1122" i="13"/>
  <c r="M1122" i="13"/>
  <c r="L1122" i="13"/>
  <c r="K1122" i="13"/>
  <c r="O1121" i="13"/>
  <c r="N1121" i="13"/>
  <c r="M1121" i="13"/>
  <c r="L1121" i="13"/>
  <c r="K1121" i="13"/>
  <c r="O1120" i="13"/>
  <c r="N1120" i="13"/>
  <c r="M1120" i="13"/>
  <c r="L1120" i="13"/>
  <c r="K1120" i="13"/>
  <c r="O1119" i="13"/>
  <c r="N1119" i="13"/>
  <c r="M1119" i="13"/>
  <c r="L1119" i="13"/>
  <c r="K1119" i="13"/>
  <c r="O1118" i="13"/>
  <c r="N1118" i="13"/>
  <c r="M1118" i="13"/>
  <c r="L1118" i="13"/>
  <c r="K1118" i="13"/>
  <c r="O1117" i="13"/>
  <c r="N1117" i="13"/>
  <c r="M1117" i="13"/>
  <c r="L1117" i="13"/>
  <c r="K1117" i="13"/>
  <c r="O1116" i="13"/>
  <c r="N1116" i="13"/>
  <c r="M1116" i="13"/>
  <c r="L1116" i="13"/>
  <c r="K1116" i="13"/>
  <c r="O1115" i="13"/>
  <c r="N1115" i="13"/>
  <c r="M1115" i="13"/>
  <c r="L1115" i="13"/>
  <c r="K1115" i="13"/>
  <c r="O1114" i="13"/>
  <c r="N1114" i="13"/>
  <c r="M1114" i="13"/>
  <c r="L1114" i="13"/>
  <c r="K1114" i="13"/>
  <c r="O1113" i="13"/>
  <c r="N1113" i="13"/>
  <c r="M1113" i="13"/>
  <c r="L1113" i="13"/>
  <c r="K1113" i="13"/>
  <c r="O1112" i="13"/>
  <c r="N1112" i="13"/>
  <c r="M1112" i="13"/>
  <c r="L1112" i="13"/>
  <c r="K1112" i="13"/>
  <c r="O1111" i="13"/>
  <c r="N1111" i="13"/>
  <c r="M1111" i="13"/>
  <c r="L1111" i="13"/>
  <c r="K1111" i="13"/>
  <c r="O1110" i="13"/>
  <c r="N1110" i="13"/>
  <c r="M1110" i="13"/>
  <c r="L1110" i="13"/>
  <c r="K1110" i="13"/>
  <c r="O1109" i="13"/>
  <c r="N1109" i="13"/>
  <c r="M1109" i="13"/>
  <c r="L1109" i="13"/>
  <c r="K1109" i="13"/>
  <c r="O1108" i="13"/>
  <c r="N1108" i="13"/>
  <c r="M1108" i="13"/>
  <c r="L1108" i="13"/>
  <c r="K1108" i="13"/>
  <c r="O1107" i="13"/>
  <c r="N1107" i="13"/>
  <c r="M1107" i="13"/>
  <c r="L1107" i="13"/>
  <c r="K1107" i="13"/>
  <c r="O1106" i="13"/>
  <c r="N1106" i="13"/>
  <c r="M1106" i="13"/>
  <c r="L1106" i="13"/>
  <c r="K1106" i="13"/>
  <c r="O1105" i="13"/>
  <c r="N1105" i="13"/>
  <c r="M1105" i="13"/>
  <c r="L1105" i="13"/>
  <c r="K1105" i="13"/>
  <c r="O1104" i="13"/>
  <c r="N1104" i="13"/>
  <c r="M1104" i="13"/>
  <c r="L1104" i="13"/>
  <c r="K1104" i="13"/>
  <c r="O1103" i="13"/>
  <c r="N1103" i="13"/>
  <c r="M1103" i="13"/>
  <c r="L1103" i="13"/>
  <c r="K1103" i="13"/>
  <c r="O1102" i="13"/>
  <c r="N1102" i="13"/>
  <c r="M1102" i="13"/>
  <c r="L1102" i="13"/>
  <c r="K1102" i="13"/>
  <c r="O1101" i="13"/>
  <c r="N1101" i="13"/>
  <c r="M1101" i="13"/>
  <c r="L1101" i="13"/>
  <c r="K1101" i="13"/>
  <c r="O1100" i="13"/>
  <c r="N1100" i="13"/>
  <c r="M1100" i="13"/>
  <c r="L1100" i="13"/>
  <c r="K1100" i="13"/>
  <c r="O1099" i="13"/>
  <c r="N1099" i="13"/>
  <c r="M1099" i="13"/>
  <c r="L1099" i="13"/>
  <c r="K1099" i="13"/>
  <c r="O1098" i="13"/>
  <c r="N1098" i="13"/>
  <c r="M1098" i="13"/>
  <c r="L1098" i="13"/>
  <c r="K1098" i="13"/>
  <c r="O1097" i="13"/>
  <c r="N1097" i="13"/>
  <c r="M1097" i="13"/>
  <c r="L1097" i="13"/>
  <c r="K1097" i="13"/>
  <c r="O1096" i="13"/>
  <c r="N1096" i="13"/>
  <c r="M1096" i="13"/>
  <c r="L1096" i="13"/>
  <c r="K1096" i="13"/>
  <c r="O1095" i="13"/>
  <c r="N1095" i="13"/>
  <c r="M1095" i="13"/>
  <c r="L1095" i="13"/>
  <c r="K1095" i="13"/>
  <c r="O1094" i="13"/>
  <c r="N1094" i="13"/>
  <c r="M1094" i="13"/>
  <c r="L1094" i="13"/>
  <c r="K1094" i="13"/>
  <c r="O1093" i="13"/>
  <c r="N1093" i="13"/>
  <c r="M1093" i="13"/>
  <c r="L1093" i="13"/>
  <c r="K1093" i="13"/>
  <c r="O1092" i="13"/>
  <c r="N1092" i="13"/>
  <c r="M1092" i="13"/>
  <c r="L1092" i="13"/>
  <c r="K1092" i="13"/>
  <c r="O1091" i="13"/>
  <c r="N1091" i="13"/>
  <c r="M1091" i="13"/>
  <c r="L1091" i="13"/>
  <c r="K1091" i="13"/>
  <c r="O1090" i="13"/>
  <c r="N1090" i="13"/>
  <c r="M1090" i="13"/>
  <c r="L1090" i="13"/>
  <c r="K1090" i="13"/>
  <c r="O1089" i="13"/>
  <c r="N1089" i="13"/>
  <c r="M1089" i="13"/>
  <c r="L1089" i="13"/>
  <c r="K1089" i="13"/>
  <c r="O1088" i="13"/>
  <c r="N1088" i="13"/>
  <c r="M1088" i="13"/>
  <c r="L1088" i="13"/>
  <c r="K1088" i="13"/>
  <c r="O1087" i="13"/>
  <c r="N1087" i="13"/>
  <c r="M1087" i="13"/>
  <c r="L1087" i="13"/>
  <c r="K1087" i="13"/>
  <c r="O1086" i="13"/>
  <c r="N1086" i="13"/>
  <c r="M1086" i="13"/>
  <c r="L1086" i="13"/>
  <c r="K1086" i="13"/>
  <c r="O1085" i="13"/>
  <c r="N1085" i="13"/>
  <c r="M1085" i="13"/>
  <c r="L1085" i="13"/>
  <c r="K1085" i="13"/>
  <c r="O1084" i="13"/>
  <c r="N1084" i="13"/>
  <c r="M1084" i="13"/>
  <c r="L1084" i="13"/>
  <c r="K1084" i="13"/>
  <c r="O1083" i="13"/>
  <c r="N1083" i="13"/>
  <c r="M1083" i="13"/>
  <c r="L1083" i="13"/>
  <c r="K1083" i="13"/>
  <c r="O1082" i="13"/>
  <c r="N1082" i="13"/>
  <c r="M1082" i="13"/>
  <c r="L1082" i="13"/>
  <c r="K1082" i="13"/>
  <c r="O1081" i="13"/>
  <c r="N1081" i="13"/>
  <c r="M1081" i="13"/>
  <c r="L1081" i="13"/>
  <c r="K1081" i="13"/>
  <c r="O1080" i="13"/>
  <c r="N1080" i="13"/>
  <c r="M1080" i="13"/>
  <c r="L1080" i="13"/>
  <c r="K1080" i="13"/>
  <c r="O1079" i="13"/>
  <c r="N1079" i="13"/>
  <c r="M1079" i="13"/>
  <c r="L1079" i="13"/>
  <c r="K1079" i="13"/>
  <c r="O1078" i="13"/>
  <c r="N1078" i="13"/>
  <c r="M1078" i="13"/>
  <c r="L1078" i="13"/>
  <c r="K1078" i="13"/>
  <c r="O1077" i="13"/>
  <c r="N1077" i="13"/>
  <c r="M1077" i="13"/>
  <c r="L1077" i="13"/>
  <c r="K1077" i="13"/>
  <c r="O1076" i="13"/>
  <c r="N1076" i="13"/>
  <c r="M1076" i="13"/>
  <c r="L1076" i="13"/>
  <c r="K1076" i="13"/>
  <c r="O1075" i="13"/>
  <c r="N1075" i="13"/>
  <c r="M1075" i="13"/>
  <c r="L1075" i="13"/>
  <c r="K1075" i="13"/>
  <c r="O1074" i="13"/>
  <c r="N1074" i="13"/>
  <c r="M1074" i="13"/>
  <c r="L1074" i="13"/>
  <c r="K1074" i="13"/>
  <c r="O1073" i="13"/>
  <c r="N1073" i="13"/>
  <c r="M1073" i="13"/>
  <c r="L1073" i="13"/>
  <c r="K1073" i="13"/>
  <c r="O1072" i="13"/>
  <c r="N1072" i="13"/>
  <c r="M1072" i="13"/>
  <c r="L1072" i="13"/>
  <c r="K1072" i="13"/>
  <c r="O1071" i="13"/>
  <c r="N1071" i="13"/>
  <c r="M1071" i="13"/>
  <c r="L1071" i="13"/>
  <c r="K1071" i="13"/>
  <c r="O1070" i="13"/>
  <c r="N1070" i="13"/>
  <c r="M1070" i="13"/>
  <c r="L1070" i="13"/>
  <c r="K1070" i="13"/>
  <c r="O1069" i="13"/>
  <c r="N1069" i="13"/>
  <c r="M1069" i="13"/>
  <c r="L1069" i="13"/>
  <c r="K1069" i="13"/>
  <c r="O1068" i="13"/>
  <c r="N1068" i="13"/>
  <c r="M1068" i="13"/>
  <c r="L1068" i="13"/>
  <c r="K1068" i="13"/>
  <c r="O1067" i="13"/>
  <c r="N1067" i="13"/>
  <c r="M1067" i="13"/>
  <c r="L1067" i="13"/>
  <c r="K1067" i="13"/>
  <c r="O1066" i="13"/>
  <c r="N1066" i="13"/>
  <c r="M1066" i="13"/>
  <c r="L1066" i="13"/>
  <c r="K1066" i="13"/>
  <c r="O1065" i="13"/>
  <c r="N1065" i="13"/>
  <c r="M1065" i="13"/>
  <c r="L1065" i="13"/>
  <c r="K1065" i="13"/>
  <c r="O1064" i="13"/>
  <c r="N1064" i="13"/>
  <c r="M1064" i="13"/>
  <c r="L1064" i="13"/>
  <c r="K1064" i="13"/>
  <c r="O1063" i="13"/>
  <c r="N1063" i="13"/>
  <c r="M1063" i="13"/>
  <c r="L1063" i="13"/>
  <c r="K1063" i="13"/>
  <c r="O1062" i="13"/>
  <c r="N1062" i="13"/>
  <c r="M1062" i="13"/>
  <c r="L1062" i="13"/>
  <c r="K1062" i="13"/>
  <c r="O1061" i="13"/>
  <c r="N1061" i="13"/>
  <c r="M1061" i="13"/>
  <c r="L1061" i="13"/>
  <c r="K1061" i="13"/>
  <c r="O1060" i="13"/>
  <c r="N1060" i="13"/>
  <c r="M1060" i="13"/>
  <c r="L1060" i="13"/>
  <c r="K1060" i="13"/>
  <c r="O1059" i="13"/>
  <c r="N1059" i="13"/>
  <c r="M1059" i="13"/>
  <c r="L1059" i="13"/>
  <c r="K1059" i="13"/>
  <c r="O1058" i="13"/>
  <c r="N1058" i="13"/>
  <c r="M1058" i="13"/>
  <c r="L1058" i="13"/>
  <c r="K1058" i="13"/>
  <c r="O1057" i="13"/>
  <c r="N1057" i="13"/>
  <c r="M1057" i="13"/>
  <c r="L1057" i="13"/>
  <c r="K1057" i="13"/>
  <c r="O1056" i="13"/>
  <c r="N1056" i="13"/>
  <c r="M1056" i="13"/>
  <c r="L1056" i="13"/>
  <c r="K1056" i="13"/>
  <c r="O1055" i="13"/>
  <c r="N1055" i="13"/>
  <c r="M1055" i="13"/>
  <c r="L1055" i="13"/>
  <c r="K1055" i="13"/>
  <c r="O1054" i="13"/>
  <c r="N1054" i="13"/>
  <c r="M1054" i="13"/>
  <c r="L1054" i="13"/>
  <c r="K1054" i="13"/>
  <c r="O1053" i="13"/>
  <c r="N1053" i="13"/>
  <c r="M1053" i="13"/>
  <c r="L1053" i="13"/>
  <c r="K1053" i="13"/>
  <c r="O1052" i="13"/>
  <c r="N1052" i="13"/>
  <c r="M1052" i="13"/>
  <c r="L1052" i="13"/>
  <c r="K1052" i="13"/>
  <c r="O1051" i="13"/>
  <c r="N1051" i="13"/>
  <c r="M1051" i="13"/>
  <c r="L1051" i="13"/>
  <c r="K1051" i="13"/>
  <c r="O1050" i="13"/>
  <c r="N1050" i="13"/>
  <c r="M1050" i="13"/>
  <c r="L1050" i="13"/>
  <c r="K1050" i="13"/>
  <c r="O1049" i="13"/>
  <c r="N1049" i="13"/>
  <c r="M1049" i="13"/>
  <c r="L1049" i="13"/>
  <c r="K1049" i="13"/>
  <c r="O1048" i="13"/>
  <c r="N1048" i="13"/>
  <c r="M1048" i="13"/>
  <c r="L1048" i="13"/>
  <c r="K1048" i="13"/>
  <c r="O1047" i="13"/>
  <c r="N1047" i="13"/>
  <c r="M1047" i="13"/>
  <c r="L1047" i="13"/>
  <c r="K1047" i="13"/>
  <c r="O1046" i="13"/>
  <c r="N1046" i="13"/>
  <c r="M1046" i="13"/>
  <c r="L1046" i="13"/>
  <c r="K1046" i="13"/>
  <c r="O1045" i="13"/>
  <c r="N1045" i="13"/>
  <c r="M1045" i="13"/>
  <c r="L1045" i="13"/>
  <c r="K1045" i="13"/>
  <c r="O1044" i="13"/>
  <c r="N1044" i="13"/>
  <c r="M1044" i="13"/>
  <c r="L1044" i="13"/>
  <c r="K1044" i="13"/>
  <c r="O1043" i="13"/>
  <c r="N1043" i="13"/>
  <c r="M1043" i="13"/>
  <c r="L1043" i="13"/>
  <c r="K1043" i="13"/>
  <c r="O1042" i="13"/>
  <c r="N1042" i="13"/>
  <c r="M1042" i="13"/>
  <c r="L1042" i="13"/>
  <c r="K1042" i="13"/>
  <c r="O1041" i="13"/>
  <c r="N1041" i="13"/>
  <c r="M1041" i="13"/>
  <c r="L1041" i="13"/>
  <c r="K1041" i="13"/>
  <c r="O1040" i="13"/>
  <c r="N1040" i="13"/>
  <c r="M1040" i="13"/>
  <c r="L1040" i="13"/>
  <c r="K1040" i="13"/>
  <c r="O1039" i="13"/>
  <c r="N1039" i="13"/>
  <c r="M1039" i="13"/>
  <c r="L1039" i="13"/>
  <c r="K1039" i="13"/>
  <c r="O1038" i="13"/>
  <c r="N1038" i="13"/>
  <c r="M1038" i="13"/>
  <c r="L1038" i="13"/>
  <c r="K1038" i="13"/>
  <c r="O1037" i="13"/>
  <c r="N1037" i="13"/>
  <c r="M1037" i="13"/>
  <c r="L1037" i="13"/>
  <c r="K1037" i="13"/>
  <c r="O1036" i="13"/>
  <c r="N1036" i="13"/>
  <c r="M1036" i="13"/>
  <c r="L1036" i="13"/>
  <c r="K1036" i="13"/>
  <c r="O1035" i="13"/>
  <c r="N1035" i="13"/>
  <c r="M1035" i="13"/>
  <c r="L1035" i="13"/>
  <c r="K1035" i="13"/>
  <c r="O1034" i="13"/>
  <c r="N1034" i="13"/>
  <c r="M1034" i="13"/>
  <c r="L1034" i="13"/>
  <c r="K1034" i="13"/>
  <c r="O1033" i="13"/>
  <c r="N1033" i="13"/>
  <c r="M1033" i="13"/>
  <c r="L1033" i="13"/>
  <c r="K1033" i="13"/>
  <c r="O1032" i="13"/>
  <c r="N1032" i="13"/>
  <c r="M1032" i="13"/>
  <c r="L1032" i="13"/>
  <c r="K1032" i="13"/>
  <c r="O1031" i="13"/>
  <c r="N1031" i="13"/>
  <c r="M1031" i="13"/>
  <c r="L1031" i="13"/>
  <c r="K1031" i="13"/>
  <c r="O1030" i="13"/>
  <c r="N1030" i="13"/>
  <c r="M1030" i="13"/>
  <c r="L1030" i="13"/>
  <c r="K1030" i="13"/>
  <c r="O1029" i="13"/>
  <c r="N1029" i="13"/>
  <c r="M1029" i="13"/>
  <c r="L1029" i="13"/>
  <c r="K1029" i="13"/>
  <c r="O1028" i="13"/>
  <c r="N1028" i="13"/>
  <c r="M1028" i="13"/>
  <c r="L1028" i="13"/>
  <c r="K1028" i="13"/>
  <c r="O1027" i="13"/>
  <c r="N1027" i="13"/>
  <c r="M1027" i="13"/>
  <c r="L1027" i="13"/>
  <c r="K1027" i="13"/>
  <c r="O1026" i="13"/>
  <c r="N1026" i="13"/>
  <c r="M1026" i="13"/>
  <c r="L1026" i="13"/>
  <c r="K1026" i="13"/>
  <c r="O1025" i="13"/>
  <c r="N1025" i="13"/>
  <c r="M1025" i="13"/>
  <c r="L1025" i="13"/>
  <c r="K1025" i="13"/>
  <c r="O1024" i="13"/>
  <c r="N1024" i="13"/>
  <c r="M1024" i="13"/>
  <c r="L1024" i="13"/>
  <c r="K1024" i="13"/>
  <c r="O1023" i="13"/>
  <c r="N1023" i="13"/>
  <c r="M1023" i="13"/>
  <c r="L1023" i="13"/>
  <c r="K1023" i="13"/>
  <c r="O1022" i="13"/>
  <c r="N1022" i="13"/>
  <c r="M1022" i="13"/>
  <c r="L1022" i="13"/>
  <c r="K1022" i="13"/>
  <c r="O1021" i="13"/>
  <c r="N1021" i="13"/>
  <c r="M1021" i="13"/>
  <c r="L1021" i="13"/>
  <c r="K1021" i="13"/>
  <c r="O1020" i="13"/>
  <c r="N1020" i="13"/>
  <c r="M1020" i="13"/>
  <c r="L1020" i="13"/>
  <c r="K1020" i="13"/>
  <c r="O1019" i="13"/>
  <c r="N1019" i="13"/>
  <c r="M1019" i="13"/>
  <c r="L1019" i="13"/>
  <c r="K1019" i="13"/>
  <c r="O1018" i="13"/>
  <c r="N1018" i="13"/>
  <c r="M1018" i="13"/>
  <c r="L1018" i="13"/>
  <c r="K1018" i="13"/>
  <c r="O1017" i="13"/>
  <c r="N1017" i="13"/>
  <c r="M1017" i="13"/>
  <c r="L1017" i="13"/>
  <c r="K1017" i="13"/>
  <c r="O1016" i="13"/>
  <c r="N1016" i="13"/>
  <c r="M1016" i="13"/>
  <c r="L1016" i="13"/>
  <c r="K1016" i="13"/>
  <c r="O1015" i="13"/>
  <c r="N1015" i="13"/>
  <c r="M1015" i="13"/>
  <c r="L1015" i="13"/>
  <c r="K1015" i="13"/>
  <c r="O1014" i="13"/>
  <c r="N1014" i="13"/>
  <c r="M1014" i="13"/>
  <c r="L1014" i="13"/>
  <c r="K1014" i="13"/>
  <c r="O1013" i="13"/>
  <c r="N1013" i="13"/>
  <c r="M1013" i="13"/>
  <c r="L1013" i="13"/>
  <c r="K1013" i="13"/>
  <c r="O1012" i="13"/>
  <c r="N1012" i="13"/>
  <c r="M1012" i="13"/>
  <c r="L1012" i="13"/>
  <c r="K1012" i="13"/>
  <c r="O1011" i="13"/>
  <c r="N1011" i="13"/>
  <c r="M1011" i="13"/>
  <c r="L1011" i="13"/>
  <c r="K1011" i="13"/>
  <c r="O1010" i="13"/>
  <c r="N1010" i="13"/>
  <c r="M1010" i="13"/>
  <c r="L1010" i="13"/>
  <c r="K1010" i="13"/>
  <c r="O1009" i="13"/>
  <c r="N1009" i="13"/>
  <c r="M1009" i="13"/>
  <c r="L1009" i="13"/>
  <c r="K1009" i="13"/>
  <c r="O1008" i="13"/>
  <c r="N1008" i="13"/>
  <c r="M1008" i="13"/>
  <c r="L1008" i="13"/>
  <c r="K1008" i="13"/>
  <c r="O1007" i="13"/>
  <c r="N1007" i="13"/>
  <c r="M1007" i="13"/>
  <c r="L1007" i="13"/>
  <c r="K1007" i="13"/>
  <c r="O1006" i="13"/>
  <c r="N1006" i="13"/>
  <c r="M1006" i="13"/>
  <c r="L1006" i="13"/>
  <c r="K1006" i="13"/>
  <c r="O1005" i="13"/>
  <c r="N1005" i="13"/>
  <c r="M1005" i="13"/>
  <c r="L1005" i="13"/>
  <c r="K1005" i="13"/>
  <c r="O1004" i="13"/>
  <c r="N1004" i="13"/>
  <c r="M1004" i="13"/>
  <c r="L1004" i="13"/>
  <c r="K1004" i="13"/>
  <c r="O1003" i="13"/>
  <c r="N1003" i="13"/>
  <c r="M1003" i="13"/>
  <c r="L1003" i="13"/>
  <c r="K1003" i="13"/>
  <c r="O1002" i="13"/>
  <c r="N1002" i="13"/>
  <c r="M1002" i="13"/>
  <c r="L1002" i="13"/>
  <c r="K1002" i="13"/>
  <c r="O1001" i="13"/>
  <c r="N1001" i="13"/>
  <c r="M1001" i="13"/>
  <c r="L1001" i="13"/>
  <c r="K1001" i="13"/>
  <c r="O1000" i="13"/>
  <c r="N1000" i="13"/>
  <c r="M1000" i="13"/>
  <c r="L1000" i="13"/>
  <c r="K1000" i="13"/>
  <c r="O999" i="13"/>
  <c r="N999" i="13"/>
  <c r="M999" i="13"/>
  <c r="L999" i="13"/>
  <c r="K999" i="13"/>
  <c r="O998" i="13"/>
  <c r="N998" i="13"/>
  <c r="M998" i="13"/>
  <c r="L998" i="13"/>
  <c r="K998" i="13"/>
  <c r="O997" i="13"/>
  <c r="N997" i="13"/>
  <c r="M997" i="13"/>
  <c r="L997" i="13"/>
  <c r="K997" i="13"/>
  <c r="O996" i="13"/>
  <c r="N996" i="13"/>
  <c r="M996" i="13"/>
  <c r="L996" i="13"/>
  <c r="K996" i="13"/>
  <c r="O995" i="13"/>
  <c r="N995" i="13"/>
  <c r="M995" i="13"/>
  <c r="L995" i="13"/>
  <c r="K995" i="13"/>
  <c r="O994" i="13"/>
  <c r="N994" i="13"/>
  <c r="M994" i="13"/>
  <c r="L994" i="13"/>
  <c r="K994" i="13"/>
  <c r="O993" i="13"/>
  <c r="N993" i="13"/>
  <c r="M993" i="13"/>
  <c r="L993" i="13"/>
  <c r="K993" i="13"/>
  <c r="O992" i="13"/>
  <c r="N992" i="13"/>
  <c r="M992" i="13"/>
  <c r="L992" i="13"/>
  <c r="K992" i="13"/>
  <c r="O991" i="13"/>
  <c r="N991" i="13"/>
  <c r="M991" i="13"/>
  <c r="L991" i="13"/>
  <c r="K991" i="13"/>
  <c r="O990" i="13"/>
  <c r="N990" i="13"/>
  <c r="M990" i="13"/>
  <c r="L990" i="13"/>
  <c r="K990" i="13"/>
  <c r="O989" i="13"/>
  <c r="N989" i="13"/>
  <c r="M989" i="13"/>
  <c r="L989" i="13"/>
  <c r="K989" i="13"/>
  <c r="O988" i="13"/>
  <c r="N988" i="13"/>
  <c r="M988" i="13"/>
  <c r="L988" i="13"/>
  <c r="K988" i="13"/>
  <c r="O987" i="13"/>
  <c r="N987" i="13"/>
  <c r="M987" i="13"/>
  <c r="L987" i="13"/>
  <c r="K987" i="13"/>
  <c r="O986" i="13"/>
  <c r="N986" i="13"/>
  <c r="M986" i="13"/>
  <c r="L986" i="13"/>
  <c r="K986" i="13"/>
  <c r="O985" i="13"/>
  <c r="N985" i="13"/>
  <c r="M985" i="13"/>
  <c r="L985" i="13"/>
  <c r="K985" i="13"/>
  <c r="O984" i="13"/>
  <c r="N984" i="13"/>
  <c r="M984" i="13"/>
  <c r="L984" i="13"/>
  <c r="K984" i="13"/>
  <c r="O983" i="13"/>
  <c r="N983" i="13"/>
  <c r="M983" i="13"/>
  <c r="L983" i="13"/>
  <c r="K983" i="13"/>
  <c r="O982" i="13"/>
  <c r="N982" i="13"/>
  <c r="M982" i="13"/>
  <c r="L982" i="13"/>
  <c r="K982" i="13"/>
  <c r="O981" i="13"/>
  <c r="N981" i="13"/>
  <c r="M981" i="13"/>
  <c r="L981" i="13"/>
  <c r="K981" i="13"/>
  <c r="O980" i="13"/>
  <c r="N980" i="13"/>
  <c r="M980" i="13"/>
  <c r="L980" i="13"/>
  <c r="K980" i="13"/>
  <c r="O979" i="13"/>
  <c r="N979" i="13"/>
  <c r="M979" i="13"/>
  <c r="L979" i="13"/>
  <c r="K979" i="13"/>
  <c r="O978" i="13"/>
  <c r="N978" i="13"/>
  <c r="M978" i="13"/>
  <c r="L978" i="13"/>
  <c r="K978" i="13"/>
  <c r="O977" i="13"/>
  <c r="N977" i="13"/>
  <c r="M977" i="13"/>
  <c r="L977" i="13"/>
  <c r="K977" i="13"/>
  <c r="O976" i="13"/>
  <c r="N976" i="13"/>
  <c r="M976" i="13"/>
  <c r="L976" i="13"/>
  <c r="K976" i="13"/>
  <c r="O975" i="13"/>
  <c r="N975" i="13"/>
  <c r="M975" i="13"/>
  <c r="L975" i="13"/>
  <c r="K975" i="13"/>
  <c r="O974" i="13"/>
  <c r="N974" i="13"/>
  <c r="M974" i="13"/>
  <c r="L974" i="13"/>
  <c r="K974" i="13"/>
  <c r="O973" i="13"/>
  <c r="N973" i="13"/>
  <c r="M973" i="13"/>
  <c r="L973" i="13"/>
  <c r="K973" i="13"/>
  <c r="O972" i="13"/>
  <c r="N972" i="13"/>
  <c r="M972" i="13"/>
  <c r="L972" i="13"/>
  <c r="K972" i="13"/>
  <c r="O971" i="13"/>
  <c r="N971" i="13"/>
  <c r="M971" i="13"/>
  <c r="L971" i="13"/>
  <c r="K971" i="13"/>
  <c r="O970" i="13"/>
  <c r="N970" i="13"/>
  <c r="M970" i="13"/>
  <c r="L970" i="13"/>
  <c r="K970" i="13"/>
  <c r="O969" i="13"/>
  <c r="N969" i="13"/>
  <c r="M969" i="13"/>
  <c r="L969" i="13"/>
  <c r="K969" i="13"/>
  <c r="O968" i="13"/>
  <c r="N968" i="13"/>
  <c r="M968" i="13"/>
  <c r="L968" i="13"/>
  <c r="K968" i="13"/>
  <c r="O967" i="13"/>
  <c r="N967" i="13"/>
  <c r="M967" i="13"/>
  <c r="L967" i="13"/>
  <c r="K967" i="13"/>
  <c r="O966" i="13"/>
  <c r="N966" i="13"/>
  <c r="M966" i="13"/>
  <c r="L966" i="13"/>
  <c r="K966" i="13"/>
  <c r="O965" i="13"/>
  <c r="N965" i="13"/>
  <c r="M965" i="13"/>
  <c r="L965" i="13"/>
  <c r="K965" i="13"/>
  <c r="O964" i="13"/>
  <c r="N964" i="13"/>
  <c r="M964" i="13"/>
  <c r="L964" i="13"/>
  <c r="K964" i="13"/>
  <c r="O963" i="13"/>
  <c r="N963" i="13"/>
  <c r="M963" i="13"/>
  <c r="L963" i="13"/>
  <c r="K963" i="13"/>
  <c r="O962" i="13"/>
  <c r="N962" i="13"/>
  <c r="M962" i="13"/>
  <c r="L962" i="13"/>
  <c r="K962" i="13"/>
  <c r="O961" i="13"/>
  <c r="N961" i="13"/>
  <c r="M961" i="13"/>
  <c r="L961" i="13"/>
  <c r="K961" i="13"/>
  <c r="O960" i="13"/>
  <c r="N960" i="13"/>
  <c r="M960" i="13"/>
  <c r="L960" i="13"/>
  <c r="K960" i="13"/>
  <c r="O959" i="13"/>
  <c r="N959" i="13"/>
  <c r="M959" i="13"/>
  <c r="L959" i="13"/>
  <c r="K959" i="13"/>
  <c r="O958" i="13"/>
  <c r="N958" i="13"/>
  <c r="M958" i="13"/>
  <c r="L958" i="13"/>
  <c r="K958" i="13"/>
  <c r="O957" i="13"/>
  <c r="N957" i="13"/>
  <c r="M957" i="13"/>
  <c r="L957" i="13"/>
  <c r="K957" i="13"/>
  <c r="O956" i="13"/>
  <c r="N956" i="13"/>
  <c r="M956" i="13"/>
  <c r="L956" i="13"/>
  <c r="K956" i="13"/>
  <c r="O955" i="13"/>
  <c r="N955" i="13"/>
  <c r="M955" i="13"/>
  <c r="L955" i="13"/>
  <c r="K955" i="13"/>
  <c r="O954" i="13"/>
  <c r="N954" i="13"/>
  <c r="M954" i="13"/>
  <c r="L954" i="13"/>
  <c r="K954" i="13"/>
  <c r="O953" i="13"/>
  <c r="N953" i="13"/>
  <c r="M953" i="13"/>
  <c r="L953" i="13"/>
  <c r="K953" i="13"/>
  <c r="O952" i="13"/>
  <c r="N952" i="13"/>
  <c r="M952" i="13"/>
  <c r="L952" i="13"/>
  <c r="K952" i="13"/>
  <c r="O951" i="13"/>
  <c r="N951" i="13"/>
  <c r="M951" i="13"/>
  <c r="L951" i="13"/>
  <c r="K951" i="13"/>
  <c r="O950" i="13"/>
  <c r="N950" i="13"/>
  <c r="M950" i="13"/>
  <c r="L950" i="13"/>
  <c r="K950" i="13"/>
  <c r="O949" i="13"/>
  <c r="N949" i="13"/>
  <c r="M949" i="13"/>
  <c r="L949" i="13"/>
  <c r="K949" i="13"/>
  <c r="O948" i="13"/>
  <c r="N948" i="13"/>
  <c r="M948" i="13"/>
  <c r="L948" i="13"/>
  <c r="K948" i="13"/>
  <c r="O947" i="13"/>
  <c r="N947" i="13"/>
  <c r="M947" i="13"/>
  <c r="L947" i="13"/>
  <c r="K947" i="13"/>
  <c r="O946" i="13"/>
  <c r="N946" i="13"/>
  <c r="M946" i="13"/>
  <c r="L946" i="13"/>
  <c r="K946" i="13"/>
  <c r="O945" i="13"/>
  <c r="N945" i="13"/>
  <c r="M945" i="13"/>
  <c r="L945" i="13"/>
  <c r="K945" i="13"/>
  <c r="O944" i="13"/>
  <c r="N944" i="13"/>
  <c r="M944" i="13"/>
  <c r="L944" i="13"/>
  <c r="K944" i="13"/>
  <c r="O943" i="13"/>
  <c r="N943" i="13"/>
  <c r="M943" i="13"/>
  <c r="L943" i="13"/>
  <c r="K943" i="13"/>
  <c r="O942" i="13"/>
  <c r="N942" i="13"/>
  <c r="M942" i="13"/>
  <c r="L942" i="13"/>
  <c r="K942" i="13"/>
  <c r="O941" i="13"/>
  <c r="N941" i="13"/>
  <c r="M941" i="13"/>
  <c r="L941" i="13"/>
  <c r="K941" i="13"/>
  <c r="O940" i="13"/>
  <c r="N940" i="13"/>
  <c r="M940" i="13"/>
  <c r="L940" i="13"/>
  <c r="K940" i="13"/>
  <c r="O939" i="13"/>
  <c r="N939" i="13"/>
  <c r="M939" i="13"/>
  <c r="L939" i="13"/>
  <c r="K939" i="13"/>
  <c r="O938" i="13"/>
  <c r="N938" i="13"/>
  <c r="M938" i="13"/>
  <c r="L938" i="13"/>
  <c r="K938" i="13"/>
  <c r="O937" i="13"/>
  <c r="N937" i="13"/>
  <c r="M937" i="13"/>
  <c r="L937" i="13"/>
  <c r="K937" i="13"/>
  <c r="O936" i="13"/>
  <c r="N936" i="13"/>
  <c r="M936" i="13"/>
  <c r="L936" i="13"/>
  <c r="K936" i="13"/>
  <c r="O935" i="13"/>
  <c r="N935" i="13"/>
  <c r="M935" i="13"/>
  <c r="L935" i="13"/>
  <c r="K935" i="13"/>
  <c r="O934" i="13"/>
  <c r="N934" i="13"/>
  <c r="M934" i="13"/>
  <c r="L934" i="13"/>
  <c r="K934" i="13"/>
  <c r="O933" i="13"/>
  <c r="N933" i="13"/>
  <c r="M933" i="13"/>
  <c r="L933" i="13"/>
  <c r="K933" i="13"/>
  <c r="O932" i="13"/>
  <c r="N932" i="13"/>
  <c r="M932" i="13"/>
  <c r="L932" i="13"/>
  <c r="K932" i="13"/>
  <c r="O931" i="13"/>
  <c r="N931" i="13"/>
  <c r="M931" i="13"/>
  <c r="L931" i="13"/>
  <c r="K931" i="13"/>
  <c r="O930" i="13"/>
  <c r="N930" i="13"/>
  <c r="M930" i="13"/>
  <c r="L930" i="13"/>
  <c r="K930" i="13"/>
  <c r="O929" i="13"/>
  <c r="N929" i="13"/>
  <c r="M929" i="13"/>
  <c r="L929" i="13"/>
  <c r="K929" i="13"/>
  <c r="O928" i="13"/>
  <c r="N928" i="13"/>
  <c r="M928" i="13"/>
  <c r="L928" i="13"/>
  <c r="K928" i="13"/>
  <c r="O927" i="13"/>
  <c r="N927" i="13"/>
  <c r="M927" i="13"/>
  <c r="L927" i="13"/>
  <c r="K927" i="13"/>
  <c r="O926" i="13"/>
  <c r="N926" i="13"/>
  <c r="M926" i="13"/>
  <c r="L926" i="13"/>
  <c r="K926" i="13"/>
  <c r="O925" i="13"/>
  <c r="N925" i="13"/>
  <c r="M925" i="13"/>
  <c r="L925" i="13"/>
  <c r="K925" i="13"/>
  <c r="O924" i="13"/>
  <c r="N924" i="13"/>
  <c r="M924" i="13"/>
  <c r="L924" i="13"/>
  <c r="K924" i="13"/>
  <c r="O923" i="13"/>
  <c r="N923" i="13"/>
  <c r="M923" i="13"/>
  <c r="L923" i="13"/>
  <c r="K923" i="13"/>
  <c r="O922" i="13"/>
  <c r="N922" i="13"/>
  <c r="M922" i="13"/>
  <c r="L922" i="13"/>
  <c r="K922" i="13"/>
  <c r="O921" i="13"/>
  <c r="N921" i="13"/>
  <c r="M921" i="13"/>
  <c r="L921" i="13"/>
  <c r="K921" i="13"/>
  <c r="O920" i="13"/>
  <c r="N920" i="13"/>
  <c r="M920" i="13"/>
  <c r="L920" i="13"/>
  <c r="K920" i="13"/>
  <c r="O919" i="13"/>
  <c r="N919" i="13"/>
  <c r="M919" i="13"/>
  <c r="L919" i="13"/>
  <c r="K919" i="13"/>
  <c r="O918" i="13"/>
  <c r="N918" i="13"/>
  <c r="M918" i="13"/>
  <c r="L918" i="13"/>
  <c r="K918" i="13"/>
  <c r="O917" i="13"/>
  <c r="N917" i="13"/>
  <c r="M917" i="13"/>
  <c r="L917" i="13"/>
  <c r="K917" i="13"/>
  <c r="O916" i="13"/>
  <c r="N916" i="13"/>
  <c r="M916" i="13"/>
  <c r="L916" i="13"/>
  <c r="K916" i="13"/>
  <c r="O915" i="13"/>
  <c r="N915" i="13"/>
  <c r="M915" i="13"/>
  <c r="L915" i="13"/>
  <c r="K915" i="13"/>
  <c r="O914" i="13"/>
  <c r="N914" i="13"/>
  <c r="M914" i="13"/>
  <c r="L914" i="13"/>
  <c r="K914" i="13"/>
  <c r="O913" i="13"/>
  <c r="N913" i="13"/>
  <c r="M913" i="13"/>
  <c r="L913" i="13"/>
  <c r="K913" i="13"/>
  <c r="O912" i="13"/>
  <c r="N912" i="13"/>
  <c r="M912" i="13"/>
  <c r="L912" i="13"/>
  <c r="K912" i="13"/>
  <c r="O911" i="13"/>
  <c r="N911" i="13"/>
  <c r="M911" i="13"/>
  <c r="L911" i="13"/>
  <c r="K911" i="13"/>
  <c r="O910" i="13"/>
  <c r="N910" i="13"/>
  <c r="M910" i="13"/>
  <c r="L910" i="13"/>
  <c r="K910" i="13"/>
  <c r="O909" i="13"/>
  <c r="N909" i="13"/>
  <c r="M909" i="13"/>
  <c r="L909" i="13"/>
  <c r="K909" i="13"/>
  <c r="O908" i="13"/>
  <c r="N908" i="13"/>
  <c r="M908" i="13"/>
  <c r="L908" i="13"/>
  <c r="K908" i="13"/>
  <c r="O907" i="13"/>
  <c r="N907" i="13"/>
  <c r="M907" i="13"/>
  <c r="L907" i="13"/>
  <c r="K907" i="13"/>
  <c r="O906" i="13"/>
  <c r="N906" i="13"/>
  <c r="M906" i="13"/>
  <c r="L906" i="13"/>
  <c r="K906" i="13"/>
  <c r="O905" i="13"/>
  <c r="N905" i="13"/>
  <c r="M905" i="13"/>
  <c r="L905" i="13"/>
  <c r="K905" i="13"/>
  <c r="O904" i="13"/>
  <c r="N904" i="13"/>
  <c r="M904" i="13"/>
  <c r="L904" i="13"/>
  <c r="K904" i="13"/>
  <c r="O903" i="13"/>
  <c r="N903" i="13"/>
  <c r="M903" i="13"/>
  <c r="L903" i="13"/>
  <c r="K903" i="13"/>
  <c r="O902" i="13"/>
  <c r="N902" i="13"/>
  <c r="M902" i="13"/>
  <c r="L902" i="13"/>
  <c r="K902" i="13"/>
  <c r="O901" i="13"/>
  <c r="N901" i="13"/>
  <c r="M901" i="13"/>
  <c r="L901" i="13"/>
  <c r="K901" i="13"/>
  <c r="O900" i="13"/>
  <c r="N900" i="13"/>
  <c r="M900" i="13"/>
  <c r="L900" i="13"/>
  <c r="K900" i="13"/>
  <c r="O899" i="13"/>
  <c r="N899" i="13"/>
  <c r="M899" i="13"/>
  <c r="L899" i="13"/>
  <c r="K899" i="13"/>
  <c r="O898" i="13"/>
  <c r="N898" i="13"/>
  <c r="M898" i="13"/>
  <c r="L898" i="13"/>
  <c r="K898" i="13"/>
  <c r="O897" i="13"/>
  <c r="N897" i="13"/>
  <c r="M897" i="13"/>
  <c r="L897" i="13"/>
  <c r="K897" i="13"/>
  <c r="O896" i="13"/>
  <c r="N896" i="13"/>
  <c r="M896" i="13"/>
  <c r="L896" i="13"/>
  <c r="K896" i="13"/>
  <c r="O895" i="13"/>
  <c r="N895" i="13"/>
  <c r="M895" i="13"/>
  <c r="L895" i="13"/>
  <c r="K895" i="13"/>
  <c r="O894" i="13"/>
  <c r="N894" i="13"/>
  <c r="M894" i="13"/>
  <c r="L894" i="13"/>
  <c r="K894" i="13"/>
  <c r="O893" i="13"/>
  <c r="N893" i="13"/>
  <c r="M893" i="13"/>
  <c r="L893" i="13"/>
  <c r="K893" i="13"/>
  <c r="O892" i="13"/>
  <c r="N892" i="13"/>
  <c r="M892" i="13"/>
  <c r="L892" i="13"/>
  <c r="K892" i="13"/>
  <c r="O891" i="13"/>
  <c r="N891" i="13"/>
  <c r="M891" i="13"/>
  <c r="L891" i="13"/>
  <c r="K891" i="13"/>
  <c r="O890" i="13"/>
  <c r="N890" i="13"/>
  <c r="M890" i="13"/>
  <c r="L890" i="13"/>
  <c r="K890" i="13"/>
  <c r="O889" i="13"/>
  <c r="N889" i="13"/>
  <c r="M889" i="13"/>
  <c r="L889" i="13"/>
  <c r="K889" i="13"/>
  <c r="O888" i="13"/>
  <c r="N888" i="13"/>
  <c r="M888" i="13"/>
  <c r="L888" i="13"/>
  <c r="K888" i="13"/>
  <c r="O887" i="13"/>
  <c r="N887" i="13"/>
  <c r="M887" i="13"/>
  <c r="L887" i="13"/>
  <c r="K887" i="13"/>
  <c r="O886" i="13"/>
  <c r="N886" i="13"/>
  <c r="M886" i="13"/>
  <c r="L886" i="13"/>
  <c r="K886" i="13"/>
  <c r="O885" i="13"/>
  <c r="N885" i="13"/>
  <c r="M885" i="13"/>
  <c r="L885" i="13"/>
  <c r="K885" i="13"/>
  <c r="O884" i="13"/>
  <c r="N884" i="13"/>
  <c r="M884" i="13"/>
  <c r="L884" i="13"/>
  <c r="K884" i="13"/>
  <c r="O883" i="13"/>
  <c r="N883" i="13"/>
  <c r="M883" i="13"/>
  <c r="L883" i="13"/>
  <c r="K883" i="13"/>
  <c r="O882" i="13"/>
  <c r="N882" i="13"/>
  <c r="M882" i="13"/>
  <c r="L882" i="13"/>
  <c r="K882" i="13"/>
  <c r="O881" i="13"/>
  <c r="N881" i="13"/>
  <c r="M881" i="13"/>
  <c r="L881" i="13"/>
  <c r="K881" i="13"/>
  <c r="O880" i="13"/>
  <c r="N880" i="13"/>
  <c r="M880" i="13"/>
  <c r="L880" i="13"/>
  <c r="K880" i="13"/>
  <c r="O879" i="13"/>
  <c r="N879" i="13"/>
  <c r="M879" i="13"/>
  <c r="L879" i="13"/>
  <c r="K879" i="13"/>
  <c r="O878" i="13"/>
  <c r="N878" i="13"/>
  <c r="M878" i="13"/>
  <c r="L878" i="13"/>
  <c r="K878" i="13"/>
  <c r="O877" i="13"/>
  <c r="N877" i="13"/>
  <c r="M877" i="13"/>
  <c r="L877" i="13"/>
  <c r="K877" i="13"/>
  <c r="O876" i="13"/>
  <c r="N876" i="13"/>
  <c r="M876" i="13"/>
  <c r="L876" i="13"/>
  <c r="K876" i="13"/>
  <c r="O875" i="13"/>
  <c r="N875" i="13"/>
  <c r="M875" i="13"/>
  <c r="L875" i="13"/>
  <c r="K875" i="13"/>
  <c r="O874" i="13"/>
  <c r="N874" i="13"/>
  <c r="M874" i="13"/>
  <c r="L874" i="13"/>
  <c r="K874" i="13"/>
  <c r="O873" i="13"/>
  <c r="N873" i="13"/>
  <c r="M873" i="13"/>
  <c r="L873" i="13"/>
  <c r="K873" i="13"/>
  <c r="O872" i="13"/>
  <c r="N872" i="13"/>
  <c r="M872" i="13"/>
  <c r="L872" i="13"/>
  <c r="K872" i="13"/>
  <c r="O871" i="13"/>
  <c r="N871" i="13"/>
  <c r="M871" i="13"/>
  <c r="L871" i="13"/>
  <c r="K871" i="13"/>
  <c r="O870" i="13"/>
  <c r="N870" i="13"/>
  <c r="M870" i="13"/>
  <c r="L870" i="13"/>
  <c r="K870" i="13"/>
  <c r="O869" i="13"/>
  <c r="N869" i="13"/>
  <c r="M869" i="13"/>
  <c r="L869" i="13"/>
  <c r="K869" i="13"/>
  <c r="O868" i="13"/>
  <c r="N868" i="13"/>
  <c r="M868" i="13"/>
  <c r="L868" i="13"/>
  <c r="K868" i="13"/>
  <c r="O867" i="13"/>
  <c r="N867" i="13"/>
  <c r="M867" i="13"/>
  <c r="L867" i="13"/>
  <c r="K867" i="13"/>
  <c r="O866" i="13"/>
  <c r="N866" i="13"/>
  <c r="M866" i="13"/>
  <c r="L866" i="13"/>
  <c r="K866" i="13"/>
  <c r="O865" i="13"/>
  <c r="N865" i="13"/>
  <c r="M865" i="13"/>
  <c r="L865" i="13"/>
  <c r="K865" i="13"/>
  <c r="O864" i="13"/>
  <c r="N864" i="13"/>
  <c r="M864" i="13"/>
  <c r="L864" i="13"/>
  <c r="K864" i="13"/>
  <c r="O863" i="13"/>
  <c r="N863" i="13"/>
  <c r="M863" i="13"/>
  <c r="L863" i="13"/>
  <c r="K863" i="13"/>
  <c r="O862" i="13"/>
  <c r="N862" i="13"/>
  <c r="M862" i="13"/>
  <c r="L862" i="13"/>
  <c r="K862" i="13"/>
  <c r="O861" i="13"/>
  <c r="N861" i="13"/>
  <c r="M861" i="13"/>
  <c r="L861" i="13"/>
  <c r="K861" i="13"/>
  <c r="O860" i="13"/>
  <c r="N860" i="13"/>
  <c r="M860" i="13"/>
  <c r="L860" i="13"/>
  <c r="K860" i="13"/>
  <c r="O859" i="13"/>
  <c r="N859" i="13"/>
  <c r="M859" i="13"/>
  <c r="L859" i="13"/>
  <c r="K859" i="13"/>
  <c r="O858" i="13"/>
  <c r="N858" i="13"/>
  <c r="M858" i="13"/>
  <c r="L858" i="13"/>
  <c r="K858" i="13"/>
  <c r="O857" i="13"/>
  <c r="N857" i="13"/>
  <c r="M857" i="13"/>
  <c r="L857" i="13"/>
  <c r="K857" i="13"/>
  <c r="O856" i="13"/>
  <c r="N856" i="13"/>
  <c r="M856" i="13"/>
  <c r="L856" i="13"/>
  <c r="K856" i="13"/>
  <c r="O855" i="13"/>
  <c r="N855" i="13"/>
  <c r="M855" i="13"/>
  <c r="L855" i="13"/>
  <c r="K855" i="13"/>
  <c r="O854" i="13"/>
  <c r="N854" i="13"/>
  <c r="M854" i="13"/>
  <c r="L854" i="13"/>
  <c r="K854" i="13"/>
  <c r="O853" i="13"/>
  <c r="N853" i="13"/>
  <c r="M853" i="13"/>
  <c r="L853" i="13"/>
  <c r="K853" i="13"/>
  <c r="O852" i="13"/>
  <c r="N852" i="13"/>
  <c r="M852" i="13"/>
  <c r="L852" i="13"/>
  <c r="K852" i="13"/>
  <c r="O851" i="13"/>
  <c r="N851" i="13"/>
  <c r="M851" i="13"/>
  <c r="L851" i="13"/>
  <c r="K851" i="13"/>
  <c r="O850" i="13"/>
  <c r="N850" i="13"/>
  <c r="M850" i="13"/>
  <c r="L850" i="13"/>
  <c r="K850" i="13"/>
  <c r="O849" i="13"/>
  <c r="N849" i="13"/>
  <c r="M849" i="13"/>
  <c r="L849" i="13"/>
  <c r="K849" i="13"/>
  <c r="O848" i="13"/>
  <c r="N848" i="13"/>
  <c r="M848" i="13"/>
  <c r="L848" i="13"/>
  <c r="K848" i="13"/>
  <c r="O847" i="13"/>
  <c r="N847" i="13"/>
  <c r="M847" i="13"/>
  <c r="L847" i="13"/>
  <c r="K847" i="13"/>
  <c r="O846" i="13"/>
  <c r="N846" i="13"/>
  <c r="M846" i="13"/>
  <c r="L846" i="13"/>
  <c r="K846" i="13"/>
  <c r="O845" i="13"/>
  <c r="N845" i="13"/>
  <c r="M845" i="13"/>
  <c r="L845" i="13"/>
  <c r="K845" i="13"/>
  <c r="O844" i="13"/>
  <c r="N844" i="13"/>
  <c r="M844" i="13"/>
  <c r="L844" i="13"/>
  <c r="K844" i="13"/>
  <c r="O843" i="13"/>
  <c r="N843" i="13"/>
  <c r="M843" i="13"/>
  <c r="L843" i="13"/>
  <c r="K843" i="13"/>
  <c r="O842" i="13"/>
  <c r="N842" i="13"/>
  <c r="M842" i="13"/>
  <c r="L842" i="13"/>
  <c r="K842" i="13"/>
  <c r="O841" i="13"/>
  <c r="N841" i="13"/>
  <c r="M841" i="13"/>
  <c r="L841" i="13"/>
  <c r="K841" i="13"/>
  <c r="O840" i="13"/>
  <c r="N840" i="13"/>
  <c r="M840" i="13"/>
  <c r="L840" i="13"/>
  <c r="K840" i="13"/>
  <c r="O839" i="13"/>
  <c r="N839" i="13"/>
  <c r="M839" i="13"/>
  <c r="L839" i="13"/>
  <c r="K839" i="13"/>
  <c r="O838" i="13"/>
  <c r="N838" i="13"/>
  <c r="M838" i="13"/>
  <c r="L838" i="13"/>
  <c r="K838" i="13"/>
  <c r="O837" i="13"/>
  <c r="N837" i="13"/>
  <c r="M837" i="13"/>
  <c r="L837" i="13"/>
  <c r="K837" i="13"/>
  <c r="O836" i="13"/>
  <c r="N836" i="13"/>
  <c r="M836" i="13"/>
  <c r="L836" i="13"/>
  <c r="K836" i="13"/>
  <c r="O835" i="13"/>
  <c r="N835" i="13"/>
  <c r="M835" i="13"/>
  <c r="L835" i="13"/>
  <c r="K835" i="13"/>
  <c r="O834" i="13"/>
  <c r="N834" i="13"/>
  <c r="M834" i="13"/>
  <c r="L834" i="13"/>
  <c r="K834" i="13"/>
  <c r="O833" i="13"/>
  <c r="N833" i="13"/>
  <c r="M833" i="13"/>
  <c r="L833" i="13"/>
  <c r="K833" i="13"/>
  <c r="O832" i="13"/>
  <c r="N832" i="13"/>
  <c r="M832" i="13"/>
  <c r="L832" i="13"/>
  <c r="K832" i="13"/>
  <c r="O831" i="13"/>
  <c r="N831" i="13"/>
  <c r="M831" i="13"/>
  <c r="L831" i="13"/>
  <c r="K831" i="13"/>
  <c r="O830" i="13"/>
  <c r="N830" i="13"/>
  <c r="M830" i="13"/>
  <c r="L830" i="13"/>
  <c r="K830" i="13"/>
  <c r="O829" i="13"/>
  <c r="N829" i="13"/>
  <c r="M829" i="13"/>
  <c r="L829" i="13"/>
  <c r="K829" i="13"/>
  <c r="O828" i="13"/>
  <c r="N828" i="13"/>
  <c r="M828" i="13"/>
  <c r="L828" i="13"/>
  <c r="K828" i="13"/>
  <c r="O827" i="13"/>
  <c r="N827" i="13"/>
  <c r="M827" i="13"/>
  <c r="L827" i="13"/>
  <c r="K827" i="13"/>
  <c r="O826" i="13"/>
  <c r="N826" i="13"/>
  <c r="M826" i="13"/>
  <c r="L826" i="13"/>
  <c r="K826" i="13"/>
  <c r="O825" i="13"/>
  <c r="N825" i="13"/>
  <c r="M825" i="13"/>
  <c r="L825" i="13"/>
  <c r="K825" i="13"/>
  <c r="O824" i="13"/>
  <c r="N824" i="13"/>
  <c r="M824" i="13"/>
  <c r="L824" i="13"/>
  <c r="K824" i="13"/>
  <c r="O823" i="13"/>
  <c r="N823" i="13"/>
  <c r="M823" i="13"/>
  <c r="L823" i="13"/>
  <c r="K823" i="13"/>
  <c r="O822" i="13"/>
  <c r="N822" i="13"/>
  <c r="M822" i="13"/>
  <c r="L822" i="13"/>
  <c r="K822" i="13"/>
  <c r="O821" i="13"/>
  <c r="N821" i="13"/>
  <c r="M821" i="13"/>
  <c r="L821" i="13"/>
  <c r="K821" i="13"/>
  <c r="O820" i="13"/>
  <c r="N820" i="13"/>
  <c r="M820" i="13"/>
  <c r="L820" i="13"/>
  <c r="K820" i="13"/>
  <c r="O819" i="13"/>
  <c r="N819" i="13"/>
  <c r="M819" i="13"/>
  <c r="L819" i="13"/>
  <c r="K819" i="13"/>
  <c r="O818" i="13"/>
  <c r="N818" i="13"/>
  <c r="M818" i="13"/>
  <c r="L818" i="13"/>
  <c r="K818" i="13"/>
  <c r="O817" i="13"/>
  <c r="N817" i="13"/>
  <c r="M817" i="13"/>
  <c r="L817" i="13"/>
  <c r="K817" i="13"/>
  <c r="O816" i="13"/>
  <c r="N816" i="13"/>
  <c r="M816" i="13"/>
  <c r="L816" i="13"/>
  <c r="K816" i="13"/>
  <c r="O815" i="13"/>
  <c r="N815" i="13"/>
  <c r="M815" i="13"/>
  <c r="L815" i="13"/>
  <c r="K815" i="13"/>
  <c r="O814" i="13"/>
  <c r="N814" i="13"/>
  <c r="M814" i="13"/>
  <c r="L814" i="13"/>
  <c r="K814" i="13"/>
  <c r="O813" i="13"/>
  <c r="N813" i="13"/>
  <c r="M813" i="13"/>
  <c r="L813" i="13"/>
  <c r="K813" i="13"/>
  <c r="O812" i="13"/>
  <c r="N812" i="13"/>
  <c r="M812" i="13"/>
  <c r="L812" i="13"/>
  <c r="K812" i="13"/>
  <c r="O811" i="13"/>
  <c r="N811" i="13"/>
  <c r="M811" i="13"/>
  <c r="L811" i="13"/>
  <c r="K811" i="13"/>
  <c r="O810" i="13"/>
  <c r="N810" i="13"/>
  <c r="M810" i="13"/>
  <c r="L810" i="13"/>
  <c r="K810" i="13"/>
  <c r="O809" i="13"/>
  <c r="N809" i="13"/>
  <c r="M809" i="13"/>
  <c r="L809" i="13"/>
  <c r="K809" i="13"/>
  <c r="O808" i="13"/>
  <c r="N808" i="13"/>
  <c r="M808" i="13"/>
  <c r="L808" i="13"/>
  <c r="K808" i="13"/>
  <c r="O807" i="13"/>
  <c r="N807" i="13"/>
  <c r="M807" i="13"/>
  <c r="L807" i="13"/>
  <c r="K807" i="13"/>
  <c r="O806" i="13"/>
  <c r="N806" i="13"/>
  <c r="M806" i="13"/>
  <c r="L806" i="13"/>
  <c r="K806" i="13"/>
  <c r="O805" i="13"/>
  <c r="N805" i="13"/>
  <c r="M805" i="13"/>
  <c r="L805" i="13"/>
  <c r="K805" i="13"/>
  <c r="O804" i="13"/>
  <c r="N804" i="13"/>
  <c r="M804" i="13"/>
  <c r="L804" i="13"/>
  <c r="K804" i="13"/>
  <c r="O803" i="13"/>
  <c r="N803" i="13"/>
  <c r="M803" i="13"/>
  <c r="L803" i="13"/>
  <c r="K803" i="13"/>
  <c r="O802" i="13"/>
  <c r="N802" i="13"/>
  <c r="M802" i="13"/>
  <c r="L802" i="13"/>
  <c r="K802" i="13"/>
  <c r="O801" i="13"/>
  <c r="N801" i="13"/>
  <c r="M801" i="13"/>
  <c r="L801" i="13"/>
  <c r="K801" i="13"/>
  <c r="O800" i="13"/>
  <c r="N800" i="13"/>
  <c r="M800" i="13"/>
  <c r="L800" i="13"/>
  <c r="K800" i="13"/>
  <c r="O799" i="13"/>
  <c r="N799" i="13"/>
  <c r="M799" i="13"/>
  <c r="L799" i="13"/>
  <c r="K799" i="13"/>
  <c r="O798" i="13"/>
  <c r="N798" i="13"/>
  <c r="M798" i="13"/>
  <c r="L798" i="13"/>
  <c r="K798" i="13"/>
  <c r="O797" i="13"/>
  <c r="N797" i="13"/>
  <c r="M797" i="13"/>
  <c r="L797" i="13"/>
  <c r="K797" i="13"/>
  <c r="O796" i="13"/>
  <c r="N796" i="13"/>
  <c r="M796" i="13"/>
  <c r="L796" i="13"/>
  <c r="K796" i="13"/>
  <c r="O795" i="13"/>
  <c r="N795" i="13"/>
  <c r="M795" i="13"/>
  <c r="L795" i="13"/>
  <c r="K795" i="13"/>
  <c r="O794" i="13"/>
  <c r="N794" i="13"/>
  <c r="M794" i="13"/>
  <c r="L794" i="13"/>
  <c r="K794" i="13"/>
  <c r="O793" i="13"/>
  <c r="N793" i="13"/>
  <c r="M793" i="13"/>
  <c r="L793" i="13"/>
  <c r="K793" i="13"/>
  <c r="O792" i="13"/>
  <c r="N792" i="13"/>
  <c r="M792" i="13"/>
  <c r="L792" i="13"/>
  <c r="K792" i="13"/>
  <c r="O791" i="13"/>
  <c r="N791" i="13"/>
  <c r="M791" i="13"/>
  <c r="L791" i="13"/>
  <c r="K791" i="13"/>
  <c r="O790" i="13"/>
  <c r="N790" i="13"/>
  <c r="M790" i="13"/>
  <c r="L790" i="13"/>
  <c r="K790" i="13"/>
  <c r="O789" i="13"/>
  <c r="N789" i="13"/>
  <c r="M789" i="13"/>
  <c r="L789" i="13"/>
  <c r="K789" i="13"/>
  <c r="O788" i="13"/>
  <c r="N788" i="13"/>
  <c r="M788" i="13"/>
  <c r="L788" i="13"/>
  <c r="K788" i="13"/>
  <c r="O787" i="13"/>
  <c r="N787" i="13"/>
  <c r="M787" i="13"/>
  <c r="L787" i="13"/>
  <c r="K787" i="13"/>
  <c r="O786" i="13"/>
  <c r="N786" i="13"/>
  <c r="M786" i="13"/>
  <c r="L786" i="13"/>
  <c r="K786" i="13"/>
  <c r="O785" i="13"/>
  <c r="N785" i="13"/>
  <c r="M785" i="13"/>
  <c r="L785" i="13"/>
  <c r="K785" i="13"/>
  <c r="O784" i="13"/>
  <c r="N784" i="13"/>
  <c r="M784" i="13"/>
  <c r="L784" i="13"/>
  <c r="K784" i="13"/>
  <c r="O783" i="13"/>
  <c r="N783" i="13"/>
  <c r="M783" i="13"/>
  <c r="L783" i="13"/>
  <c r="K783" i="13"/>
  <c r="O782" i="13"/>
  <c r="N782" i="13"/>
  <c r="M782" i="13"/>
  <c r="L782" i="13"/>
  <c r="K782" i="13"/>
  <c r="O781" i="13"/>
  <c r="N781" i="13"/>
  <c r="M781" i="13"/>
  <c r="L781" i="13"/>
  <c r="K781" i="13"/>
  <c r="O780" i="13"/>
  <c r="N780" i="13"/>
  <c r="M780" i="13"/>
  <c r="L780" i="13"/>
  <c r="K780" i="13"/>
  <c r="O779" i="13"/>
  <c r="N779" i="13"/>
  <c r="M779" i="13"/>
  <c r="L779" i="13"/>
  <c r="K779" i="13"/>
  <c r="O778" i="13"/>
  <c r="N778" i="13"/>
  <c r="M778" i="13"/>
  <c r="L778" i="13"/>
  <c r="K778" i="13"/>
  <c r="O777" i="13"/>
  <c r="N777" i="13"/>
  <c r="M777" i="13"/>
  <c r="L777" i="13"/>
  <c r="K777" i="13"/>
  <c r="O776" i="13"/>
  <c r="N776" i="13"/>
  <c r="M776" i="13"/>
  <c r="L776" i="13"/>
  <c r="K776" i="13"/>
  <c r="O775" i="13"/>
  <c r="N775" i="13"/>
  <c r="M775" i="13"/>
  <c r="L775" i="13"/>
  <c r="K775" i="13"/>
  <c r="O774" i="13"/>
  <c r="N774" i="13"/>
  <c r="M774" i="13"/>
  <c r="L774" i="13"/>
  <c r="K774" i="13"/>
  <c r="O773" i="13"/>
  <c r="N773" i="13"/>
  <c r="M773" i="13"/>
  <c r="L773" i="13"/>
  <c r="K773" i="13"/>
  <c r="O772" i="13"/>
  <c r="N772" i="13"/>
  <c r="M772" i="13"/>
  <c r="L772" i="13"/>
  <c r="K772" i="13"/>
  <c r="O771" i="13"/>
  <c r="N771" i="13"/>
  <c r="M771" i="13"/>
  <c r="L771" i="13"/>
  <c r="K771" i="13"/>
  <c r="O770" i="13"/>
  <c r="N770" i="13"/>
  <c r="M770" i="13"/>
  <c r="L770" i="13"/>
  <c r="K770" i="13"/>
  <c r="O769" i="13"/>
  <c r="N769" i="13"/>
  <c r="M769" i="13"/>
  <c r="L769" i="13"/>
  <c r="K769" i="13"/>
  <c r="O768" i="13"/>
  <c r="N768" i="13"/>
  <c r="M768" i="13"/>
  <c r="L768" i="13"/>
  <c r="K768" i="13"/>
  <c r="O767" i="13"/>
  <c r="N767" i="13"/>
  <c r="M767" i="13"/>
  <c r="L767" i="13"/>
  <c r="K767" i="13"/>
  <c r="O766" i="13"/>
  <c r="N766" i="13"/>
  <c r="M766" i="13"/>
  <c r="L766" i="13"/>
  <c r="K766" i="13"/>
  <c r="O765" i="13"/>
  <c r="N765" i="13"/>
  <c r="M765" i="13"/>
  <c r="L765" i="13"/>
  <c r="K765" i="13"/>
  <c r="O764" i="13"/>
  <c r="N764" i="13"/>
  <c r="M764" i="13"/>
  <c r="L764" i="13"/>
  <c r="K764" i="13"/>
  <c r="O763" i="13"/>
  <c r="N763" i="13"/>
  <c r="M763" i="13"/>
  <c r="L763" i="13"/>
  <c r="K763" i="13"/>
  <c r="O762" i="13"/>
  <c r="N762" i="13"/>
  <c r="M762" i="13"/>
  <c r="L762" i="13"/>
  <c r="K762" i="13"/>
  <c r="O761" i="13"/>
  <c r="N761" i="13"/>
  <c r="M761" i="13"/>
  <c r="L761" i="13"/>
  <c r="K761" i="13"/>
  <c r="O760" i="13"/>
  <c r="N760" i="13"/>
  <c r="M760" i="13"/>
  <c r="L760" i="13"/>
  <c r="K760" i="13"/>
  <c r="O759" i="13"/>
  <c r="N759" i="13"/>
  <c r="M759" i="13"/>
  <c r="L759" i="13"/>
  <c r="K759" i="13"/>
  <c r="O758" i="13"/>
  <c r="N758" i="13"/>
  <c r="M758" i="13"/>
  <c r="L758" i="13"/>
  <c r="K758" i="13"/>
  <c r="O757" i="13"/>
  <c r="N757" i="13"/>
  <c r="M757" i="13"/>
  <c r="L757" i="13"/>
  <c r="K757" i="13"/>
  <c r="O756" i="13"/>
  <c r="N756" i="13"/>
  <c r="M756" i="13"/>
  <c r="L756" i="13"/>
  <c r="K756" i="13"/>
  <c r="O755" i="13"/>
  <c r="N755" i="13"/>
  <c r="M755" i="13"/>
  <c r="L755" i="13"/>
  <c r="K755" i="13"/>
  <c r="O754" i="13"/>
  <c r="N754" i="13"/>
  <c r="M754" i="13"/>
  <c r="L754" i="13"/>
  <c r="K754" i="13"/>
  <c r="O753" i="13"/>
  <c r="N753" i="13"/>
  <c r="M753" i="13"/>
  <c r="L753" i="13"/>
  <c r="K753" i="13"/>
  <c r="O752" i="13"/>
  <c r="N752" i="13"/>
  <c r="M752" i="13"/>
  <c r="L752" i="13"/>
  <c r="K752" i="13"/>
  <c r="O751" i="13"/>
  <c r="N751" i="13"/>
  <c r="M751" i="13"/>
  <c r="L751" i="13"/>
  <c r="K751" i="13"/>
  <c r="O750" i="13"/>
  <c r="N750" i="13"/>
  <c r="M750" i="13"/>
  <c r="L750" i="13"/>
  <c r="K750" i="13"/>
  <c r="O749" i="13"/>
  <c r="N749" i="13"/>
  <c r="M749" i="13"/>
  <c r="L749" i="13"/>
  <c r="K749" i="13"/>
  <c r="O748" i="13"/>
  <c r="N748" i="13"/>
  <c r="M748" i="13"/>
  <c r="L748" i="13"/>
  <c r="K748" i="13"/>
  <c r="O747" i="13"/>
  <c r="N747" i="13"/>
  <c r="M747" i="13"/>
  <c r="L747" i="13"/>
  <c r="K747" i="13"/>
  <c r="O746" i="13"/>
  <c r="N746" i="13"/>
  <c r="M746" i="13"/>
  <c r="L746" i="13"/>
  <c r="K746" i="13"/>
  <c r="O745" i="13"/>
  <c r="N745" i="13"/>
  <c r="M745" i="13"/>
  <c r="L745" i="13"/>
  <c r="K745" i="13"/>
  <c r="O744" i="13"/>
  <c r="N744" i="13"/>
  <c r="M744" i="13"/>
  <c r="L744" i="13"/>
  <c r="K744" i="13"/>
  <c r="O743" i="13"/>
  <c r="N743" i="13"/>
  <c r="M743" i="13"/>
  <c r="L743" i="13"/>
  <c r="K743" i="13"/>
  <c r="O742" i="13"/>
  <c r="N742" i="13"/>
  <c r="M742" i="13"/>
  <c r="L742" i="13"/>
  <c r="K742" i="13"/>
  <c r="O741" i="13"/>
  <c r="N741" i="13"/>
  <c r="M741" i="13"/>
  <c r="L741" i="13"/>
  <c r="K741" i="13"/>
  <c r="O740" i="13"/>
  <c r="N740" i="13"/>
  <c r="M740" i="13"/>
  <c r="L740" i="13"/>
  <c r="K740" i="13"/>
  <c r="O739" i="13"/>
  <c r="N739" i="13"/>
  <c r="M739" i="13"/>
  <c r="L739" i="13"/>
  <c r="K739" i="13"/>
  <c r="O738" i="13"/>
  <c r="N738" i="13"/>
  <c r="M738" i="13"/>
  <c r="L738" i="13"/>
  <c r="K738" i="13"/>
  <c r="O737" i="13"/>
  <c r="N737" i="13"/>
  <c r="M737" i="13"/>
  <c r="L737" i="13"/>
  <c r="K737" i="13"/>
  <c r="O736" i="13"/>
  <c r="N736" i="13"/>
  <c r="M736" i="13"/>
  <c r="L736" i="13"/>
  <c r="K736" i="13"/>
  <c r="O735" i="13"/>
  <c r="N735" i="13"/>
  <c r="M735" i="13"/>
  <c r="L735" i="13"/>
  <c r="K735" i="13"/>
  <c r="O734" i="13"/>
  <c r="N734" i="13"/>
  <c r="M734" i="13"/>
  <c r="L734" i="13"/>
  <c r="K734" i="13"/>
  <c r="O733" i="13"/>
  <c r="N733" i="13"/>
  <c r="M733" i="13"/>
  <c r="L733" i="13"/>
  <c r="K733" i="13"/>
  <c r="O732" i="13"/>
  <c r="N732" i="13"/>
  <c r="M732" i="13"/>
  <c r="L732" i="13"/>
  <c r="K732" i="13"/>
  <c r="O731" i="13"/>
  <c r="N731" i="13"/>
  <c r="M731" i="13"/>
  <c r="L731" i="13"/>
  <c r="K731" i="13"/>
  <c r="O730" i="13"/>
  <c r="N730" i="13"/>
  <c r="M730" i="13"/>
  <c r="L730" i="13"/>
  <c r="K730" i="13"/>
  <c r="O729" i="13"/>
  <c r="N729" i="13"/>
  <c r="M729" i="13"/>
  <c r="L729" i="13"/>
  <c r="K729" i="13"/>
  <c r="O728" i="13"/>
  <c r="N728" i="13"/>
  <c r="M728" i="13"/>
  <c r="L728" i="13"/>
  <c r="K728" i="13"/>
  <c r="O727" i="13"/>
  <c r="N727" i="13"/>
  <c r="M727" i="13"/>
  <c r="L727" i="13"/>
  <c r="K727" i="13"/>
  <c r="O726" i="13"/>
  <c r="N726" i="13"/>
  <c r="M726" i="13"/>
  <c r="L726" i="13"/>
  <c r="K726" i="13"/>
  <c r="O725" i="13"/>
  <c r="N725" i="13"/>
  <c r="M725" i="13"/>
  <c r="L725" i="13"/>
  <c r="K725" i="13"/>
  <c r="O724" i="13"/>
  <c r="N724" i="13"/>
  <c r="M724" i="13"/>
  <c r="L724" i="13"/>
  <c r="K724" i="13"/>
  <c r="O723" i="13"/>
  <c r="N723" i="13"/>
  <c r="M723" i="13"/>
  <c r="L723" i="13"/>
  <c r="K723" i="13"/>
  <c r="O722" i="13"/>
  <c r="N722" i="13"/>
  <c r="M722" i="13"/>
  <c r="L722" i="13"/>
  <c r="K722" i="13"/>
  <c r="O721" i="13"/>
  <c r="N721" i="13"/>
  <c r="M721" i="13"/>
  <c r="L721" i="13"/>
  <c r="K721" i="13"/>
  <c r="O720" i="13"/>
  <c r="N720" i="13"/>
  <c r="M720" i="13"/>
  <c r="L720" i="13"/>
  <c r="K720" i="13"/>
  <c r="O719" i="13"/>
  <c r="N719" i="13"/>
  <c r="M719" i="13"/>
  <c r="L719" i="13"/>
  <c r="K719" i="13"/>
  <c r="O718" i="13"/>
  <c r="N718" i="13"/>
  <c r="M718" i="13"/>
  <c r="L718" i="13"/>
  <c r="K718" i="13"/>
  <c r="O717" i="13"/>
  <c r="N717" i="13"/>
  <c r="M717" i="13"/>
  <c r="L717" i="13"/>
  <c r="K717" i="13"/>
  <c r="O716" i="13"/>
  <c r="N716" i="13"/>
  <c r="M716" i="13"/>
  <c r="L716" i="13"/>
  <c r="K716" i="13"/>
  <c r="O715" i="13"/>
  <c r="N715" i="13"/>
  <c r="M715" i="13"/>
  <c r="L715" i="13"/>
  <c r="K715" i="13"/>
  <c r="O714" i="13"/>
  <c r="N714" i="13"/>
  <c r="M714" i="13"/>
  <c r="L714" i="13"/>
  <c r="K714" i="13"/>
  <c r="O713" i="13"/>
  <c r="N713" i="13"/>
  <c r="M713" i="13"/>
  <c r="L713" i="13"/>
  <c r="K713" i="13"/>
  <c r="O712" i="13"/>
  <c r="N712" i="13"/>
  <c r="M712" i="13"/>
  <c r="L712" i="13"/>
  <c r="K712" i="13"/>
  <c r="O711" i="13"/>
  <c r="N711" i="13"/>
  <c r="M711" i="13"/>
  <c r="L711" i="13"/>
  <c r="K711" i="13"/>
  <c r="O710" i="13"/>
  <c r="N710" i="13"/>
  <c r="M710" i="13"/>
  <c r="L710" i="13"/>
  <c r="K710" i="13"/>
  <c r="O709" i="13"/>
  <c r="N709" i="13"/>
  <c r="M709" i="13"/>
  <c r="L709" i="13"/>
  <c r="K709" i="13"/>
  <c r="O708" i="13"/>
  <c r="N708" i="13"/>
  <c r="M708" i="13"/>
  <c r="L708" i="13"/>
  <c r="K708" i="13"/>
  <c r="O707" i="13"/>
  <c r="N707" i="13"/>
  <c r="M707" i="13"/>
  <c r="L707" i="13"/>
  <c r="K707" i="13"/>
  <c r="O706" i="13"/>
  <c r="N706" i="13"/>
  <c r="M706" i="13"/>
  <c r="L706" i="13"/>
  <c r="K706" i="13"/>
  <c r="O705" i="13"/>
  <c r="N705" i="13"/>
  <c r="M705" i="13"/>
  <c r="L705" i="13"/>
  <c r="K705" i="13"/>
  <c r="O704" i="13"/>
  <c r="N704" i="13"/>
  <c r="M704" i="13"/>
  <c r="L704" i="13"/>
  <c r="K704" i="13"/>
  <c r="O703" i="13"/>
  <c r="N703" i="13"/>
  <c r="M703" i="13"/>
  <c r="L703" i="13"/>
  <c r="K703" i="13"/>
  <c r="O702" i="13"/>
  <c r="N702" i="13"/>
  <c r="M702" i="13"/>
  <c r="L702" i="13"/>
  <c r="K702" i="13"/>
  <c r="O701" i="13"/>
  <c r="N701" i="13"/>
  <c r="M701" i="13"/>
  <c r="L701" i="13"/>
  <c r="K701" i="13"/>
  <c r="O700" i="13"/>
  <c r="N700" i="13"/>
  <c r="M700" i="13"/>
  <c r="L700" i="13"/>
  <c r="K700" i="13"/>
  <c r="O699" i="13"/>
  <c r="N699" i="13"/>
  <c r="M699" i="13"/>
  <c r="L699" i="13"/>
  <c r="K699" i="13"/>
  <c r="O698" i="13"/>
  <c r="N698" i="13"/>
  <c r="M698" i="13"/>
  <c r="L698" i="13"/>
  <c r="K698" i="13"/>
  <c r="O697" i="13"/>
  <c r="N697" i="13"/>
  <c r="M697" i="13"/>
  <c r="L697" i="13"/>
  <c r="K697" i="13"/>
  <c r="O696" i="13"/>
  <c r="N696" i="13"/>
  <c r="M696" i="13"/>
  <c r="L696" i="13"/>
  <c r="K696" i="13"/>
  <c r="O695" i="13"/>
  <c r="N695" i="13"/>
  <c r="M695" i="13"/>
  <c r="L695" i="13"/>
  <c r="K695" i="13"/>
  <c r="O694" i="13"/>
  <c r="N694" i="13"/>
  <c r="M694" i="13"/>
  <c r="L694" i="13"/>
  <c r="K694" i="13"/>
  <c r="O693" i="13"/>
  <c r="N693" i="13"/>
  <c r="M693" i="13"/>
  <c r="L693" i="13"/>
  <c r="K693" i="13"/>
  <c r="O692" i="13"/>
  <c r="N692" i="13"/>
  <c r="M692" i="13"/>
  <c r="L692" i="13"/>
  <c r="K692" i="13"/>
  <c r="O691" i="13"/>
  <c r="N691" i="13"/>
  <c r="M691" i="13"/>
  <c r="L691" i="13"/>
  <c r="K691" i="13"/>
  <c r="O690" i="13"/>
  <c r="N690" i="13"/>
  <c r="M690" i="13"/>
  <c r="L690" i="13"/>
  <c r="K690" i="13"/>
  <c r="O689" i="13"/>
  <c r="N689" i="13"/>
  <c r="M689" i="13"/>
  <c r="L689" i="13"/>
  <c r="K689" i="13"/>
  <c r="O688" i="13"/>
  <c r="N688" i="13"/>
  <c r="M688" i="13"/>
  <c r="L688" i="13"/>
  <c r="K688" i="13"/>
  <c r="O687" i="13"/>
  <c r="N687" i="13"/>
  <c r="M687" i="13"/>
  <c r="L687" i="13"/>
  <c r="K687" i="13"/>
  <c r="O686" i="13"/>
  <c r="N686" i="13"/>
  <c r="M686" i="13"/>
  <c r="L686" i="13"/>
  <c r="K686" i="13"/>
  <c r="O685" i="13"/>
  <c r="N685" i="13"/>
  <c r="M685" i="13"/>
  <c r="L685" i="13"/>
  <c r="K685" i="13"/>
  <c r="O684" i="13"/>
  <c r="N684" i="13"/>
  <c r="M684" i="13"/>
  <c r="L684" i="13"/>
  <c r="K684" i="13"/>
  <c r="O683" i="13"/>
  <c r="N683" i="13"/>
  <c r="M683" i="13"/>
  <c r="L683" i="13"/>
  <c r="K683" i="13"/>
  <c r="O682" i="13"/>
  <c r="N682" i="13"/>
  <c r="M682" i="13"/>
  <c r="L682" i="13"/>
  <c r="K682" i="13"/>
  <c r="O681" i="13"/>
  <c r="N681" i="13"/>
  <c r="M681" i="13"/>
  <c r="L681" i="13"/>
  <c r="K681" i="13"/>
  <c r="O680" i="13"/>
  <c r="N680" i="13"/>
  <c r="M680" i="13"/>
  <c r="L680" i="13"/>
  <c r="K680" i="13"/>
  <c r="O679" i="13"/>
  <c r="N679" i="13"/>
  <c r="M679" i="13"/>
  <c r="L679" i="13"/>
  <c r="K679" i="13"/>
  <c r="O678" i="13"/>
  <c r="N678" i="13"/>
  <c r="M678" i="13"/>
  <c r="L678" i="13"/>
  <c r="K678" i="13"/>
  <c r="O677" i="13"/>
  <c r="N677" i="13"/>
  <c r="M677" i="13"/>
  <c r="L677" i="13"/>
  <c r="K677" i="13"/>
  <c r="O676" i="13"/>
  <c r="N676" i="13"/>
  <c r="M676" i="13"/>
  <c r="L676" i="13"/>
  <c r="K676" i="13"/>
  <c r="O675" i="13"/>
  <c r="N675" i="13"/>
  <c r="M675" i="13"/>
  <c r="L675" i="13"/>
  <c r="K675" i="13"/>
  <c r="O674" i="13"/>
  <c r="N674" i="13"/>
  <c r="M674" i="13"/>
  <c r="L674" i="13"/>
  <c r="K674" i="13"/>
  <c r="O673" i="13"/>
  <c r="N673" i="13"/>
  <c r="M673" i="13"/>
  <c r="L673" i="13"/>
  <c r="K673" i="13"/>
  <c r="O672" i="13"/>
  <c r="N672" i="13"/>
  <c r="M672" i="13"/>
  <c r="L672" i="13"/>
  <c r="K672" i="13"/>
  <c r="O671" i="13"/>
  <c r="N671" i="13"/>
  <c r="M671" i="13"/>
  <c r="L671" i="13"/>
  <c r="K671" i="13"/>
  <c r="O670" i="13"/>
  <c r="N670" i="13"/>
  <c r="M670" i="13"/>
  <c r="L670" i="13"/>
  <c r="K670" i="13"/>
  <c r="O669" i="13"/>
  <c r="N669" i="13"/>
  <c r="M669" i="13"/>
  <c r="L669" i="13"/>
  <c r="K669" i="13"/>
  <c r="O668" i="13"/>
  <c r="N668" i="13"/>
  <c r="M668" i="13"/>
  <c r="L668" i="13"/>
  <c r="K668" i="13"/>
  <c r="O667" i="13"/>
  <c r="N667" i="13"/>
  <c r="M667" i="13"/>
  <c r="L667" i="13"/>
  <c r="K667" i="13"/>
  <c r="O666" i="13"/>
  <c r="N666" i="13"/>
  <c r="M666" i="13"/>
  <c r="L666" i="13"/>
  <c r="K666" i="13"/>
  <c r="O665" i="13"/>
  <c r="N665" i="13"/>
  <c r="M665" i="13"/>
  <c r="L665" i="13"/>
  <c r="K665" i="13"/>
  <c r="O664" i="13"/>
  <c r="N664" i="13"/>
  <c r="M664" i="13"/>
  <c r="L664" i="13"/>
  <c r="K664" i="13"/>
  <c r="O663" i="13"/>
  <c r="N663" i="13"/>
  <c r="M663" i="13"/>
  <c r="L663" i="13"/>
  <c r="K663" i="13"/>
  <c r="O662" i="13"/>
  <c r="N662" i="13"/>
  <c r="M662" i="13"/>
  <c r="L662" i="13"/>
  <c r="K662" i="13"/>
  <c r="O661" i="13"/>
  <c r="N661" i="13"/>
  <c r="M661" i="13"/>
  <c r="L661" i="13"/>
  <c r="K661" i="13"/>
  <c r="O660" i="13"/>
  <c r="N660" i="13"/>
  <c r="M660" i="13"/>
  <c r="L660" i="13"/>
  <c r="K660" i="13"/>
  <c r="O659" i="13"/>
  <c r="N659" i="13"/>
  <c r="M659" i="13"/>
  <c r="L659" i="13"/>
  <c r="K659" i="13"/>
  <c r="O658" i="13"/>
  <c r="N658" i="13"/>
  <c r="M658" i="13"/>
  <c r="L658" i="13"/>
  <c r="K658" i="13"/>
  <c r="O657" i="13"/>
  <c r="N657" i="13"/>
  <c r="M657" i="13"/>
  <c r="L657" i="13"/>
  <c r="K657" i="13"/>
  <c r="O656" i="13"/>
  <c r="N656" i="13"/>
  <c r="M656" i="13"/>
  <c r="L656" i="13"/>
  <c r="K656" i="13"/>
  <c r="O655" i="13"/>
  <c r="N655" i="13"/>
  <c r="M655" i="13"/>
  <c r="L655" i="13"/>
  <c r="K655" i="13"/>
  <c r="O654" i="13"/>
  <c r="N654" i="13"/>
  <c r="M654" i="13"/>
  <c r="L654" i="13"/>
  <c r="K654" i="13"/>
  <c r="O653" i="13"/>
  <c r="N653" i="13"/>
  <c r="M653" i="13"/>
  <c r="L653" i="13"/>
  <c r="K653" i="13"/>
  <c r="O652" i="13"/>
  <c r="N652" i="13"/>
  <c r="M652" i="13"/>
  <c r="L652" i="13"/>
  <c r="K652" i="13"/>
  <c r="O651" i="13"/>
  <c r="N651" i="13"/>
  <c r="M651" i="13"/>
  <c r="L651" i="13"/>
  <c r="K651" i="13"/>
  <c r="O650" i="13"/>
  <c r="N650" i="13"/>
  <c r="M650" i="13"/>
  <c r="L650" i="13"/>
  <c r="K650" i="13"/>
  <c r="O649" i="13"/>
  <c r="N649" i="13"/>
  <c r="M649" i="13"/>
  <c r="L649" i="13"/>
  <c r="K649" i="13"/>
  <c r="O648" i="13"/>
  <c r="N648" i="13"/>
  <c r="M648" i="13"/>
  <c r="L648" i="13"/>
  <c r="K648" i="13"/>
  <c r="O647" i="13"/>
  <c r="N647" i="13"/>
  <c r="M647" i="13"/>
  <c r="L647" i="13"/>
  <c r="K647" i="13"/>
  <c r="O646" i="13"/>
  <c r="N646" i="13"/>
  <c r="M646" i="13"/>
  <c r="L646" i="13"/>
  <c r="K646" i="13"/>
  <c r="O645" i="13"/>
  <c r="N645" i="13"/>
  <c r="M645" i="13"/>
  <c r="L645" i="13"/>
  <c r="K645" i="13"/>
  <c r="O644" i="13"/>
  <c r="N644" i="13"/>
  <c r="M644" i="13"/>
  <c r="L644" i="13"/>
  <c r="K644" i="13"/>
  <c r="O643" i="13"/>
  <c r="N643" i="13"/>
  <c r="M643" i="13"/>
  <c r="L643" i="13"/>
  <c r="K643" i="13"/>
  <c r="O642" i="13"/>
  <c r="N642" i="13"/>
  <c r="M642" i="13"/>
  <c r="L642" i="13"/>
  <c r="K642" i="13"/>
  <c r="O641" i="13"/>
  <c r="N641" i="13"/>
  <c r="M641" i="13"/>
  <c r="L641" i="13"/>
  <c r="K641" i="13"/>
  <c r="O640" i="13"/>
  <c r="N640" i="13"/>
  <c r="M640" i="13"/>
  <c r="L640" i="13"/>
  <c r="K640" i="13"/>
  <c r="O639" i="13"/>
  <c r="N639" i="13"/>
  <c r="M639" i="13"/>
  <c r="L639" i="13"/>
  <c r="K639" i="13"/>
  <c r="O638" i="13"/>
  <c r="N638" i="13"/>
  <c r="M638" i="13"/>
  <c r="L638" i="13"/>
  <c r="K638" i="13"/>
  <c r="O637" i="13"/>
  <c r="N637" i="13"/>
  <c r="M637" i="13"/>
  <c r="L637" i="13"/>
  <c r="K637" i="13"/>
  <c r="O636" i="13"/>
  <c r="N636" i="13"/>
  <c r="M636" i="13"/>
  <c r="L636" i="13"/>
  <c r="K636" i="13"/>
  <c r="O635" i="13"/>
  <c r="N635" i="13"/>
  <c r="M635" i="13"/>
  <c r="L635" i="13"/>
  <c r="K635" i="13"/>
  <c r="O634" i="13"/>
  <c r="N634" i="13"/>
  <c r="M634" i="13"/>
  <c r="L634" i="13"/>
  <c r="K634" i="13"/>
  <c r="O633" i="13"/>
  <c r="N633" i="13"/>
  <c r="M633" i="13"/>
  <c r="L633" i="13"/>
  <c r="K633" i="13"/>
  <c r="O632" i="13"/>
  <c r="N632" i="13"/>
  <c r="M632" i="13"/>
  <c r="L632" i="13"/>
  <c r="K632" i="13"/>
  <c r="O631" i="13"/>
  <c r="N631" i="13"/>
  <c r="M631" i="13"/>
  <c r="L631" i="13"/>
  <c r="K631" i="13"/>
  <c r="O630" i="13"/>
  <c r="N630" i="13"/>
  <c r="M630" i="13"/>
  <c r="L630" i="13"/>
  <c r="K630" i="13"/>
  <c r="O629" i="13"/>
  <c r="N629" i="13"/>
  <c r="M629" i="13"/>
  <c r="L629" i="13"/>
  <c r="K629" i="13"/>
  <c r="O628" i="13"/>
  <c r="N628" i="13"/>
  <c r="M628" i="13"/>
  <c r="L628" i="13"/>
  <c r="K628" i="13"/>
  <c r="O627" i="13"/>
  <c r="N627" i="13"/>
  <c r="M627" i="13"/>
  <c r="L627" i="13"/>
  <c r="K627" i="13"/>
  <c r="O626" i="13"/>
  <c r="N626" i="13"/>
  <c r="M626" i="13"/>
  <c r="L626" i="13"/>
  <c r="K626" i="13"/>
  <c r="O625" i="13"/>
  <c r="N625" i="13"/>
  <c r="M625" i="13"/>
  <c r="L625" i="13"/>
  <c r="K625" i="13"/>
  <c r="O624" i="13"/>
  <c r="N624" i="13"/>
  <c r="M624" i="13"/>
  <c r="L624" i="13"/>
  <c r="K624" i="13"/>
  <c r="O623" i="13"/>
  <c r="N623" i="13"/>
  <c r="M623" i="13"/>
  <c r="L623" i="13"/>
  <c r="K623" i="13"/>
  <c r="O622" i="13"/>
  <c r="N622" i="13"/>
  <c r="M622" i="13"/>
  <c r="L622" i="13"/>
  <c r="K622" i="13"/>
  <c r="O621" i="13"/>
  <c r="N621" i="13"/>
  <c r="M621" i="13"/>
  <c r="L621" i="13"/>
  <c r="K621" i="13"/>
  <c r="O620" i="13"/>
  <c r="N620" i="13"/>
  <c r="M620" i="13"/>
  <c r="L620" i="13"/>
  <c r="K620" i="13"/>
  <c r="O619" i="13"/>
  <c r="N619" i="13"/>
  <c r="M619" i="13"/>
  <c r="L619" i="13"/>
  <c r="K619" i="13"/>
  <c r="O618" i="13"/>
  <c r="N618" i="13"/>
  <c r="M618" i="13"/>
  <c r="L618" i="13"/>
  <c r="K618" i="13"/>
  <c r="O617" i="13"/>
  <c r="N617" i="13"/>
  <c r="M617" i="13"/>
  <c r="L617" i="13"/>
  <c r="K617" i="13"/>
  <c r="O616" i="13"/>
  <c r="N616" i="13"/>
  <c r="M616" i="13"/>
  <c r="L616" i="13"/>
  <c r="K616" i="13"/>
  <c r="O615" i="13"/>
  <c r="N615" i="13"/>
  <c r="M615" i="13"/>
  <c r="L615" i="13"/>
  <c r="K615" i="13"/>
  <c r="O614" i="13"/>
  <c r="N614" i="13"/>
  <c r="M614" i="13"/>
  <c r="L614" i="13"/>
  <c r="K614" i="13"/>
  <c r="O613" i="13"/>
  <c r="N613" i="13"/>
  <c r="M613" i="13"/>
  <c r="L613" i="13"/>
  <c r="K613" i="13"/>
  <c r="O612" i="13"/>
  <c r="N612" i="13"/>
  <c r="M612" i="13"/>
  <c r="L612" i="13"/>
  <c r="K612" i="13"/>
  <c r="O611" i="13"/>
  <c r="N611" i="13"/>
  <c r="M611" i="13"/>
  <c r="L611" i="13"/>
  <c r="K611" i="13"/>
  <c r="O610" i="13"/>
  <c r="N610" i="13"/>
  <c r="M610" i="13"/>
  <c r="L610" i="13"/>
  <c r="K610" i="13"/>
  <c r="O609" i="13"/>
  <c r="N609" i="13"/>
  <c r="M609" i="13"/>
  <c r="L609" i="13"/>
  <c r="K609" i="13"/>
  <c r="O608" i="13"/>
  <c r="N608" i="13"/>
  <c r="M608" i="13"/>
  <c r="L608" i="13"/>
  <c r="K608" i="13"/>
  <c r="O607" i="13"/>
  <c r="N607" i="13"/>
  <c r="M607" i="13"/>
  <c r="L607" i="13"/>
  <c r="K607" i="13"/>
  <c r="O606" i="13"/>
  <c r="N606" i="13"/>
  <c r="M606" i="13"/>
  <c r="L606" i="13"/>
  <c r="K606" i="13"/>
  <c r="O605" i="13"/>
  <c r="N605" i="13"/>
  <c r="M605" i="13"/>
  <c r="L605" i="13"/>
  <c r="K605" i="13"/>
  <c r="O604" i="13"/>
  <c r="N604" i="13"/>
  <c r="M604" i="13"/>
  <c r="L604" i="13"/>
  <c r="K604" i="13"/>
  <c r="O603" i="13"/>
  <c r="N603" i="13"/>
  <c r="M603" i="13"/>
  <c r="L603" i="13"/>
  <c r="K603" i="13"/>
  <c r="O602" i="13"/>
  <c r="N602" i="13"/>
  <c r="M602" i="13"/>
  <c r="L602" i="13"/>
  <c r="K602" i="13"/>
  <c r="O601" i="13"/>
  <c r="N601" i="13"/>
  <c r="M601" i="13"/>
  <c r="L601" i="13"/>
  <c r="K601" i="13"/>
  <c r="O600" i="13"/>
  <c r="N600" i="13"/>
  <c r="M600" i="13"/>
  <c r="L600" i="13"/>
  <c r="K600" i="13"/>
  <c r="O599" i="13"/>
  <c r="N599" i="13"/>
  <c r="M599" i="13"/>
  <c r="L599" i="13"/>
  <c r="K599" i="13"/>
  <c r="O598" i="13"/>
  <c r="N598" i="13"/>
  <c r="M598" i="13"/>
  <c r="L598" i="13"/>
  <c r="K598" i="13"/>
  <c r="O597" i="13"/>
  <c r="N597" i="13"/>
  <c r="M597" i="13"/>
  <c r="L597" i="13"/>
  <c r="K597" i="13"/>
  <c r="O596" i="13"/>
  <c r="N596" i="13"/>
  <c r="M596" i="13"/>
  <c r="L596" i="13"/>
  <c r="K596" i="13"/>
  <c r="O595" i="13"/>
  <c r="N595" i="13"/>
  <c r="M595" i="13"/>
  <c r="L595" i="13"/>
  <c r="K595" i="13"/>
  <c r="O594" i="13"/>
  <c r="N594" i="13"/>
  <c r="M594" i="13"/>
  <c r="L594" i="13"/>
  <c r="K594" i="13"/>
  <c r="O593" i="13"/>
  <c r="N593" i="13"/>
  <c r="M593" i="13"/>
  <c r="L593" i="13"/>
  <c r="K593" i="13"/>
  <c r="O592" i="13"/>
  <c r="N592" i="13"/>
  <c r="M592" i="13"/>
  <c r="L592" i="13"/>
  <c r="K592" i="13"/>
  <c r="O591" i="13"/>
  <c r="N591" i="13"/>
  <c r="M591" i="13"/>
  <c r="L591" i="13"/>
  <c r="K591" i="13"/>
  <c r="O590" i="13"/>
  <c r="N590" i="13"/>
  <c r="M590" i="13"/>
  <c r="L590" i="13"/>
  <c r="K590" i="13"/>
  <c r="O589" i="13"/>
  <c r="N589" i="13"/>
  <c r="M589" i="13"/>
  <c r="L589" i="13"/>
  <c r="K589" i="13"/>
  <c r="O588" i="13"/>
  <c r="N588" i="13"/>
  <c r="M588" i="13"/>
  <c r="L588" i="13"/>
  <c r="K588" i="13"/>
  <c r="O587" i="13"/>
  <c r="N587" i="13"/>
  <c r="M587" i="13"/>
  <c r="L587" i="13"/>
  <c r="K587" i="13"/>
  <c r="O586" i="13"/>
  <c r="N586" i="13"/>
  <c r="M586" i="13"/>
  <c r="L586" i="13"/>
  <c r="K586" i="13"/>
  <c r="O585" i="13"/>
  <c r="N585" i="13"/>
  <c r="M585" i="13"/>
  <c r="L585" i="13"/>
  <c r="K585" i="13"/>
  <c r="O584" i="13"/>
  <c r="N584" i="13"/>
  <c r="M584" i="13"/>
  <c r="L584" i="13"/>
  <c r="K584" i="13"/>
  <c r="O583" i="13"/>
  <c r="N583" i="13"/>
  <c r="M583" i="13"/>
  <c r="L583" i="13"/>
  <c r="K583" i="13"/>
  <c r="O582" i="13"/>
  <c r="N582" i="13"/>
  <c r="M582" i="13"/>
  <c r="L582" i="13"/>
  <c r="K582" i="13"/>
  <c r="O581" i="13"/>
  <c r="N581" i="13"/>
  <c r="M581" i="13"/>
  <c r="L581" i="13"/>
  <c r="K581" i="13"/>
  <c r="O580" i="13"/>
  <c r="N580" i="13"/>
  <c r="M580" i="13"/>
  <c r="L580" i="13"/>
  <c r="K580" i="13"/>
  <c r="O579" i="13"/>
  <c r="N579" i="13"/>
  <c r="M579" i="13"/>
  <c r="L579" i="13"/>
  <c r="K579" i="13"/>
  <c r="O578" i="13"/>
  <c r="N578" i="13"/>
  <c r="M578" i="13"/>
  <c r="L578" i="13"/>
  <c r="K578" i="13"/>
  <c r="O577" i="13"/>
  <c r="N577" i="13"/>
  <c r="M577" i="13"/>
  <c r="L577" i="13"/>
  <c r="K577" i="13"/>
  <c r="O576" i="13"/>
  <c r="N576" i="13"/>
  <c r="M576" i="13"/>
  <c r="L576" i="13"/>
  <c r="K576" i="13"/>
  <c r="O575" i="13"/>
  <c r="N575" i="13"/>
  <c r="M575" i="13"/>
  <c r="L575" i="13"/>
  <c r="K575" i="13"/>
  <c r="O574" i="13"/>
  <c r="N574" i="13"/>
  <c r="M574" i="13"/>
  <c r="L574" i="13"/>
  <c r="K574" i="13"/>
  <c r="O573" i="13"/>
  <c r="N573" i="13"/>
  <c r="M573" i="13"/>
  <c r="L573" i="13"/>
  <c r="K573" i="13"/>
  <c r="O572" i="13"/>
  <c r="N572" i="13"/>
  <c r="M572" i="13"/>
  <c r="L572" i="13"/>
  <c r="K572" i="13"/>
  <c r="O571" i="13"/>
  <c r="N571" i="13"/>
  <c r="M571" i="13"/>
  <c r="L571" i="13"/>
  <c r="K571" i="13"/>
  <c r="O570" i="13"/>
  <c r="N570" i="13"/>
  <c r="M570" i="13"/>
  <c r="L570" i="13"/>
  <c r="K570" i="13"/>
  <c r="O569" i="13"/>
  <c r="N569" i="13"/>
  <c r="M569" i="13"/>
  <c r="L569" i="13"/>
  <c r="K569" i="13"/>
  <c r="O568" i="13"/>
  <c r="N568" i="13"/>
  <c r="M568" i="13"/>
  <c r="L568" i="13"/>
  <c r="K568" i="13"/>
  <c r="O567" i="13"/>
  <c r="N567" i="13"/>
  <c r="M567" i="13"/>
  <c r="L567" i="13"/>
  <c r="K567" i="13"/>
  <c r="O566" i="13"/>
  <c r="N566" i="13"/>
  <c r="M566" i="13"/>
  <c r="L566" i="13"/>
  <c r="K566" i="13"/>
  <c r="O565" i="13"/>
  <c r="N565" i="13"/>
  <c r="M565" i="13"/>
  <c r="L565" i="13"/>
  <c r="K565" i="13"/>
  <c r="O564" i="13"/>
  <c r="N564" i="13"/>
  <c r="M564" i="13"/>
  <c r="L564" i="13"/>
  <c r="K564" i="13"/>
  <c r="O563" i="13"/>
  <c r="N563" i="13"/>
  <c r="M563" i="13"/>
  <c r="L563" i="13"/>
  <c r="K563" i="13"/>
  <c r="O562" i="13"/>
  <c r="N562" i="13"/>
  <c r="M562" i="13"/>
  <c r="L562" i="13"/>
  <c r="K562" i="13"/>
  <c r="O561" i="13"/>
  <c r="N561" i="13"/>
  <c r="M561" i="13"/>
  <c r="L561" i="13"/>
  <c r="K561" i="13"/>
  <c r="O560" i="13"/>
  <c r="N560" i="13"/>
  <c r="M560" i="13"/>
  <c r="L560" i="13"/>
  <c r="K560" i="13"/>
  <c r="O559" i="13"/>
  <c r="N559" i="13"/>
  <c r="M559" i="13"/>
  <c r="L559" i="13"/>
  <c r="K559" i="13"/>
  <c r="O558" i="13"/>
  <c r="N558" i="13"/>
  <c r="M558" i="13"/>
  <c r="L558" i="13"/>
  <c r="K558" i="13"/>
  <c r="O557" i="13"/>
  <c r="N557" i="13"/>
  <c r="M557" i="13"/>
  <c r="L557" i="13"/>
  <c r="K557" i="13"/>
  <c r="O556" i="13"/>
  <c r="N556" i="13"/>
  <c r="M556" i="13"/>
  <c r="L556" i="13"/>
  <c r="K556" i="13"/>
  <c r="O555" i="13"/>
  <c r="N555" i="13"/>
  <c r="M555" i="13"/>
  <c r="L555" i="13"/>
  <c r="K555" i="13"/>
  <c r="O554" i="13"/>
  <c r="N554" i="13"/>
  <c r="M554" i="13"/>
  <c r="L554" i="13"/>
  <c r="K554" i="13"/>
  <c r="O553" i="13"/>
  <c r="N553" i="13"/>
  <c r="M553" i="13"/>
  <c r="L553" i="13"/>
  <c r="K553" i="13"/>
  <c r="O552" i="13"/>
  <c r="N552" i="13"/>
  <c r="M552" i="13"/>
  <c r="L552" i="13"/>
  <c r="K552" i="13"/>
  <c r="O551" i="13"/>
  <c r="N551" i="13"/>
  <c r="M551" i="13"/>
  <c r="L551" i="13"/>
  <c r="K551" i="13"/>
  <c r="O550" i="13"/>
  <c r="N550" i="13"/>
  <c r="M550" i="13"/>
  <c r="L550" i="13"/>
  <c r="K550" i="13"/>
  <c r="O549" i="13"/>
  <c r="N549" i="13"/>
  <c r="M549" i="13"/>
  <c r="L549" i="13"/>
  <c r="K549" i="13"/>
  <c r="O548" i="13"/>
  <c r="N548" i="13"/>
  <c r="M548" i="13"/>
  <c r="L548" i="13"/>
  <c r="K548" i="13"/>
  <c r="O547" i="13"/>
  <c r="N547" i="13"/>
  <c r="M547" i="13"/>
  <c r="L547" i="13"/>
  <c r="K547" i="13"/>
  <c r="O546" i="13"/>
  <c r="N546" i="13"/>
  <c r="M546" i="13"/>
  <c r="L546" i="13"/>
  <c r="K546" i="13"/>
  <c r="O545" i="13"/>
  <c r="N545" i="13"/>
  <c r="M545" i="13"/>
  <c r="L545" i="13"/>
  <c r="K545" i="13"/>
  <c r="O544" i="13"/>
  <c r="N544" i="13"/>
  <c r="M544" i="13"/>
  <c r="L544" i="13"/>
  <c r="K544" i="13"/>
  <c r="O543" i="13"/>
  <c r="N543" i="13"/>
  <c r="M543" i="13"/>
  <c r="L543" i="13"/>
  <c r="K543" i="13"/>
  <c r="O542" i="13"/>
  <c r="N542" i="13"/>
  <c r="M542" i="13"/>
  <c r="L542" i="13"/>
  <c r="K542" i="13"/>
  <c r="O541" i="13"/>
  <c r="N541" i="13"/>
  <c r="M541" i="13"/>
  <c r="L541" i="13"/>
  <c r="K541" i="13"/>
  <c r="O540" i="13"/>
  <c r="N540" i="13"/>
  <c r="M540" i="13"/>
  <c r="L540" i="13"/>
  <c r="K540" i="13"/>
  <c r="O539" i="13"/>
  <c r="N539" i="13"/>
  <c r="M539" i="13"/>
  <c r="L539" i="13"/>
  <c r="K539" i="13"/>
  <c r="O538" i="13"/>
  <c r="N538" i="13"/>
  <c r="M538" i="13"/>
  <c r="L538" i="13"/>
  <c r="K538" i="13"/>
  <c r="O537" i="13"/>
  <c r="N537" i="13"/>
  <c r="M537" i="13"/>
  <c r="L537" i="13"/>
  <c r="K537" i="13"/>
  <c r="O536" i="13"/>
  <c r="N536" i="13"/>
  <c r="M536" i="13"/>
  <c r="L536" i="13"/>
  <c r="K536" i="13"/>
  <c r="O535" i="13"/>
  <c r="N535" i="13"/>
  <c r="M535" i="13"/>
  <c r="L535" i="13"/>
  <c r="K535" i="13"/>
  <c r="O534" i="13"/>
  <c r="N534" i="13"/>
  <c r="M534" i="13"/>
  <c r="L534" i="13"/>
  <c r="K534" i="13"/>
  <c r="O533" i="13"/>
  <c r="N533" i="13"/>
  <c r="M533" i="13"/>
  <c r="L533" i="13"/>
  <c r="K533" i="13"/>
  <c r="O532" i="13"/>
  <c r="N532" i="13"/>
  <c r="M532" i="13"/>
  <c r="L532" i="13"/>
  <c r="K532" i="13"/>
  <c r="O531" i="13"/>
  <c r="N531" i="13"/>
  <c r="M531" i="13"/>
  <c r="L531" i="13"/>
  <c r="K531" i="13"/>
  <c r="O530" i="13"/>
  <c r="N530" i="13"/>
  <c r="M530" i="13"/>
  <c r="L530" i="13"/>
  <c r="K530" i="13"/>
  <c r="O529" i="13"/>
  <c r="N529" i="13"/>
  <c r="M529" i="13"/>
  <c r="L529" i="13"/>
  <c r="K529" i="13"/>
  <c r="O528" i="13"/>
  <c r="N528" i="13"/>
  <c r="M528" i="13"/>
  <c r="L528" i="13"/>
  <c r="K528" i="13"/>
  <c r="O527" i="13"/>
  <c r="N527" i="13"/>
  <c r="M527" i="13"/>
  <c r="L527" i="13"/>
  <c r="K527" i="13"/>
  <c r="O526" i="13"/>
  <c r="N526" i="13"/>
  <c r="M526" i="13"/>
  <c r="L526" i="13"/>
  <c r="K526" i="13"/>
  <c r="O525" i="13"/>
  <c r="N525" i="13"/>
  <c r="M525" i="13"/>
  <c r="L525" i="13"/>
  <c r="K525" i="13"/>
  <c r="O524" i="13"/>
  <c r="N524" i="13"/>
  <c r="M524" i="13"/>
  <c r="L524" i="13"/>
  <c r="K524" i="13"/>
  <c r="O523" i="13"/>
  <c r="N523" i="13"/>
  <c r="M523" i="13"/>
  <c r="L523" i="13"/>
  <c r="K523" i="13"/>
  <c r="O522" i="13"/>
  <c r="N522" i="13"/>
  <c r="M522" i="13"/>
  <c r="L522" i="13"/>
  <c r="K522" i="13"/>
  <c r="O521" i="13"/>
  <c r="N521" i="13"/>
  <c r="M521" i="13"/>
  <c r="L521" i="13"/>
  <c r="K521" i="13"/>
  <c r="O520" i="13"/>
  <c r="N520" i="13"/>
  <c r="M520" i="13"/>
  <c r="L520" i="13"/>
  <c r="K520" i="13"/>
  <c r="O519" i="13"/>
  <c r="N519" i="13"/>
  <c r="M519" i="13"/>
  <c r="L519" i="13"/>
  <c r="K519" i="13"/>
  <c r="O518" i="13"/>
  <c r="N518" i="13"/>
  <c r="M518" i="13"/>
  <c r="L518" i="13"/>
  <c r="K518" i="13"/>
  <c r="O517" i="13"/>
  <c r="N517" i="13"/>
  <c r="M517" i="13"/>
  <c r="L517" i="13"/>
  <c r="K517" i="13"/>
  <c r="O516" i="13"/>
  <c r="N516" i="13"/>
  <c r="M516" i="13"/>
  <c r="L516" i="13"/>
  <c r="K516" i="13"/>
  <c r="O515" i="13"/>
  <c r="N515" i="13"/>
  <c r="M515" i="13"/>
  <c r="L515" i="13"/>
  <c r="K515" i="13"/>
  <c r="O514" i="13"/>
  <c r="N514" i="13"/>
  <c r="M514" i="13"/>
  <c r="L514" i="13"/>
  <c r="K514" i="13"/>
  <c r="O513" i="13"/>
  <c r="N513" i="13"/>
  <c r="M513" i="13"/>
  <c r="L513" i="13"/>
  <c r="K513" i="13"/>
  <c r="O512" i="13"/>
  <c r="N512" i="13"/>
  <c r="M512" i="13"/>
  <c r="L512" i="13"/>
  <c r="K512" i="13"/>
  <c r="O511" i="13"/>
  <c r="N511" i="13"/>
  <c r="M511" i="13"/>
  <c r="L511" i="13"/>
  <c r="K511" i="13"/>
  <c r="O510" i="13"/>
  <c r="N510" i="13"/>
  <c r="M510" i="13"/>
  <c r="L510" i="13"/>
  <c r="K510" i="13"/>
  <c r="O509" i="13"/>
  <c r="N509" i="13"/>
  <c r="M509" i="13"/>
  <c r="L509" i="13"/>
  <c r="K509" i="13"/>
  <c r="O508" i="13"/>
  <c r="N508" i="13"/>
  <c r="M508" i="13"/>
  <c r="L508" i="13"/>
  <c r="K508" i="13"/>
  <c r="O507" i="13"/>
  <c r="N507" i="13"/>
  <c r="M507" i="13"/>
  <c r="L507" i="13"/>
  <c r="K507" i="13"/>
  <c r="O506" i="13"/>
  <c r="N506" i="13"/>
  <c r="M506" i="13"/>
  <c r="L506" i="13"/>
  <c r="K506" i="13"/>
  <c r="O505" i="13"/>
  <c r="N505" i="13"/>
  <c r="M505" i="13"/>
  <c r="L505" i="13"/>
  <c r="K505" i="13"/>
  <c r="O504" i="13"/>
  <c r="N504" i="13"/>
  <c r="M504" i="13"/>
  <c r="L504" i="13"/>
  <c r="K504" i="13"/>
  <c r="O503" i="13"/>
  <c r="N503" i="13"/>
  <c r="M503" i="13"/>
  <c r="L503" i="13"/>
  <c r="K503" i="13"/>
  <c r="O502" i="13"/>
  <c r="N502" i="13"/>
  <c r="M502" i="13"/>
  <c r="L502" i="13"/>
  <c r="K502" i="13"/>
  <c r="O501" i="13"/>
  <c r="N501" i="13"/>
  <c r="M501" i="13"/>
  <c r="L501" i="13"/>
  <c r="K501" i="13"/>
  <c r="O500" i="13"/>
  <c r="N500" i="13"/>
  <c r="M500" i="13"/>
  <c r="L500" i="13"/>
  <c r="K500" i="13"/>
  <c r="O499" i="13"/>
  <c r="N499" i="13"/>
  <c r="M499" i="13"/>
  <c r="L499" i="13"/>
  <c r="K499" i="13"/>
  <c r="O498" i="13"/>
  <c r="N498" i="13"/>
  <c r="M498" i="13"/>
  <c r="L498" i="13"/>
  <c r="K498" i="13"/>
  <c r="O497" i="13"/>
  <c r="N497" i="13"/>
  <c r="M497" i="13"/>
  <c r="L497" i="13"/>
  <c r="K497" i="13"/>
  <c r="O496" i="13"/>
  <c r="N496" i="13"/>
  <c r="M496" i="13"/>
  <c r="L496" i="13"/>
  <c r="K496" i="13"/>
  <c r="O495" i="13"/>
  <c r="N495" i="13"/>
  <c r="M495" i="13"/>
  <c r="L495" i="13"/>
  <c r="K495" i="13"/>
  <c r="O494" i="13"/>
  <c r="N494" i="13"/>
  <c r="M494" i="13"/>
  <c r="L494" i="13"/>
  <c r="K494" i="13"/>
  <c r="O493" i="13"/>
  <c r="N493" i="13"/>
  <c r="M493" i="13"/>
  <c r="L493" i="13"/>
  <c r="K493" i="13"/>
  <c r="O492" i="13"/>
  <c r="N492" i="13"/>
  <c r="M492" i="13"/>
  <c r="L492" i="13"/>
  <c r="K492" i="13"/>
  <c r="O491" i="13"/>
  <c r="N491" i="13"/>
  <c r="M491" i="13"/>
  <c r="L491" i="13"/>
  <c r="K491" i="13"/>
  <c r="O490" i="13"/>
  <c r="N490" i="13"/>
  <c r="M490" i="13"/>
  <c r="L490" i="13"/>
  <c r="K490" i="13"/>
  <c r="O489" i="13"/>
  <c r="N489" i="13"/>
  <c r="M489" i="13"/>
  <c r="L489" i="13"/>
  <c r="K489" i="13"/>
  <c r="O488" i="13"/>
  <c r="N488" i="13"/>
  <c r="M488" i="13"/>
  <c r="L488" i="13"/>
  <c r="K488" i="13"/>
  <c r="O487" i="13"/>
  <c r="N487" i="13"/>
  <c r="M487" i="13"/>
  <c r="L487" i="13"/>
  <c r="K487" i="13"/>
  <c r="O486" i="13"/>
  <c r="N486" i="13"/>
  <c r="M486" i="13"/>
  <c r="L486" i="13"/>
  <c r="K486" i="13"/>
  <c r="O485" i="13"/>
  <c r="N485" i="13"/>
  <c r="M485" i="13"/>
  <c r="L485" i="13"/>
  <c r="K485" i="13"/>
  <c r="O484" i="13"/>
  <c r="N484" i="13"/>
  <c r="M484" i="13"/>
  <c r="L484" i="13"/>
  <c r="K484" i="13"/>
  <c r="O483" i="13"/>
  <c r="N483" i="13"/>
  <c r="M483" i="13"/>
  <c r="L483" i="13"/>
  <c r="K483" i="13"/>
  <c r="O482" i="13"/>
  <c r="N482" i="13"/>
  <c r="M482" i="13"/>
  <c r="L482" i="13"/>
  <c r="K482" i="13"/>
  <c r="O481" i="13"/>
  <c r="N481" i="13"/>
  <c r="M481" i="13"/>
  <c r="L481" i="13"/>
  <c r="K481" i="13"/>
  <c r="O480" i="13"/>
  <c r="N480" i="13"/>
  <c r="M480" i="13"/>
  <c r="L480" i="13"/>
  <c r="K480" i="13"/>
  <c r="O479" i="13"/>
  <c r="N479" i="13"/>
  <c r="M479" i="13"/>
  <c r="L479" i="13"/>
  <c r="K479" i="13"/>
  <c r="O478" i="13"/>
  <c r="N478" i="13"/>
  <c r="M478" i="13"/>
  <c r="L478" i="13"/>
  <c r="K478" i="13"/>
  <c r="O477" i="13"/>
  <c r="N477" i="13"/>
  <c r="M477" i="13"/>
  <c r="L477" i="13"/>
  <c r="K477" i="13"/>
  <c r="O476" i="13"/>
  <c r="N476" i="13"/>
  <c r="M476" i="13"/>
  <c r="L476" i="13"/>
  <c r="K476" i="13"/>
  <c r="O475" i="13"/>
  <c r="N475" i="13"/>
  <c r="M475" i="13"/>
  <c r="L475" i="13"/>
  <c r="K475" i="13"/>
  <c r="O474" i="13"/>
  <c r="N474" i="13"/>
  <c r="M474" i="13"/>
  <c r="L474" i="13"/>
  <c r="K474" i="13"/>
  <c r="O473" i="13"/>
  <c r="N473" i="13"/>
  <c r="M473" i="13"/>
  <c r="L473" i="13"/>
  <c r="K473" i="13"/>
  <c r="O472" i="13"/>
  <c r="N472" i="13"/>
  <c r="M472" i="13"/>
  <c r="L472" i="13"/>
  <c r="K472" i="13"/>
  <c r="O471" i="13"/>
  <c r="N471" i="13"/>
  <c r="M471" i="13"/>
  <c r="L471" i="13"/>
  <c r="K471" i="13"/>
  <c r="O470" i="13"/>
  <c r="N470" i="13"/>
  <c r="M470" i="13"/>
  <c r="L470" i="13"/>
  <c r="K470" i="13"/>
  <c r="O469" i="13"/>
  <c r="N469" i="13"/>
  <c r="M469" i="13"/>
  <c r="L469" i="13"/>
  <c r="K469" i="13"/>
  <c r="O468" i="13"/>
  <c r="N468" i="13"/>
  <c r="M468" i="13"/>
  <c r="L468" i="13"/>
  <c r="K468" i="13"/>
  <c r="O467" i="13"/>
  <c r="N467" i="13"/>
  <c r="M467" i="13"/>
  <c r="L467" i="13"/>
  <c r="K467" i="13"/>
  <c r="O466" i="13"/>
  <c r="N466" i="13"/>
  <c r="M466" i="13"/>
  <c r="L466" i="13"/>
  <c r="K466" i="13"/>
  <c r="O465" i="13"/>
  <c r="N465" i="13"/>
  <c r="M465" i="13"/>
  <c r="L465" i="13"/>
  <c r="K465" i="13"/>
  <c r="O464" i="13"/>
  <c r="N464" i="13"/>
  <c r="M464" i="13"/>
  <c r="L464" i="13"/>
  <c r="K464" i="13"/>
  <c r="O463" i="13"/>
  <c r="N463" i="13"/>
  <c r="M463" i="13"/>
  <c r="L463" i="13"/>
  <c r="K463" i="13"/>
  <c r="O462" i="13"/>
  <c r="N462" i="13"/>
  <c r="M462" i="13"/>
  <c r="L462" i="13"/>
  <c r="K462" i="13"/>
  <c r="O461" i="13"/>
  <c r="N461" i="13"/>
  <c r="M461" i="13"/>
  <c r="L461" i="13"/>
  <c r="K461" i="13"/>
  <c r="O460" i="13"/>
  <c r="N460" i="13"/>
  <c r="M460" i="13"/>
  <c r="L460" i="13"/>
  <c r="K460" i="13"/>
  <c r="O459" i="13"/>
  <c r="N459" i="13"/>
  <c r="M459" i="13"/>
  <c r="L459" i="13"/>
  <c r="K459" i="13"/>
  <c r="O458" i="13"/>
  <c r="N458" i="13"/>
  <c r="M458" i="13"/>
  <c r="L458" i="13"/>
  <c r="K458" i="13"/>
  <c r="O457" i="13"/>
  <c r="N457" i="13"/>
  <c r="M457" i="13"/>
  <c r="L457" i="13"/>
  <c r="K457" i="13"/>
  <c r="O456" i="13"/>
  <c r="N456" i="13"/>
  <c r="M456" i="13"/>
  <c r="L456" i="13"/>
  <c r="K456" i="13"/>
  <c r="O455" i="13"/>
  <c r="N455" i="13"/>
  <c r="M455" i="13"/>
  <c r="L455" i="13"/>
  <c r="K455" i="13"/>
  <c r="O454" i="13"/>
  <c r="N454" i="13"/>
  <c r="M454" i="13"/>
  <c r="L454" i="13"/>
  <c r="K454" i="13"/>
  <c r="O453" i="13"/>
  <c r="N453" i="13"/>
  <c r="M453" i="13"/>
  <c r="L453" i="13"/>
  <c r="K453" i="13"/>
  <c r="O452" i="13"/>
  <c r="N452" i="13"/>
  <c r="M452" i="13"/>
  <c r="L452" i="13"/>
  <c r="K452" i="13"/>
  <c r="O451" i="13"/>
  <c r="N451" i="13"/>
  <c r="M451" i="13"/>
  <c r="L451" i="13"/>
  <c r="K451" i="13"/>
  <c r="O450" i="13"/>
  <c r="N450" i="13"/>
  <c r="M450" i="13"/>
  <c r="L450" i="13"/>
  <c r="K450" i="13"/>
  <c r="O449" i="13"/>
  <c r="N449" i="13"/>
  <c r="M449" i="13"/>
  <c r="L449" i="13"/>
  <c r="K449" i="13"/>
  <c r="O448" i="13"/>
  <c r="N448" i="13"/>
  <c r="M448" i="13"/>
  <c r="L448" i="13"/>
  <c r="K448" i="13"/>
  <c r="O447" i="13"/>
  <c r="N447" i="13"/>
  <c r="M447" i="13"/>
  <c r="L447" i="13"/>
  <c r="K447" i="13"/>
  <c r="O446" i="13"/>
  <c r="N446" i="13"/>
  <c r="M446" i="13"/>
  <c r="L446" i="13"/>
  <c r="K446" i="13"/>
  <c r="O445" i="13"/>
  <c r="N445" i="13"/>
  <c r="M445" i="13"/>
  <c r="L445" i="13"/>
  <c r="K445" i="13"/>
  <c r="O444" i="13"/>
  <c r="N444" i="13"/>
  <c r="M444" i="13"/>
  <c r="L444" i="13"/>
  <c r="K444" i="13"/>
  <c r="O443" i="13"/>
  <c r="N443" i="13"/>
  <c r="M443" i="13"/>
  <c r="L443" i="13"/>
  <c r="K443" i="13"/>
  <c r="O442" i="13"/>
  <c r="N442" i="13"/>
  <c r="M442" i="13"/>
  <c r="L442" i="13"/>
  <c r="K442" i="13"/>
  <c r="O441" i="13"/>
  <c r="N441" i="13"/>
  <c r="M441" i="13"/>
  <c r="L441" i="13"/>
  <c r="K441" i="13"/>
  <c r="O440" i="13"/>
  <c r="N440" i="13"/>
  <c r="M440" i="13"/>
  <c r="L440" i="13"/>
  <c r="K440" i="13"/>
  <c r="O439" i="13"/>
  <c r="N439" i="13"/>
  <c r="M439" i="13"/>
  <c r="L439" i="13"/>
  <c r="K439" i="13"/>
  <c r="O438" i="13"/>
  <c r="N438" i="13"/>
  <c r="M438" i="13"/>
  <c r="L438" i="13"/>
  <c r="K438" i="13"/>
  <c r="O437" i="13"/>
  <c r="N437" i="13"/>
  <c r="M437" i="13"/>
  <c r="L437" i="13"/>
  <c r="K437" i="13"/>
  <c r="O436" i="13"/>
  <c r="N436" i="13"/>
  <c r="M436" i="13"/>
  <c r="L436" i="13"/>
  <c r="K436" i="13"/>
  <c r="O435" i="13"/>
  <c r="N435" i="13"/>
  <c r="M435" i="13"/>
  <c r="L435" i="13"/>
  <c r="K435" i="13"/>
  <c r="O434" i="13"/>
  <c r="N434" i="13"/>
  <c r="M434" i="13"/>
  <c r="L434" i="13"/>
  <c r="K434" i="13"/>
  <c r="O433" i="13"/>
  <c r="N433" i="13"/>
  <c r="M433" i="13"/>
  <c r="L433" i="13"/>
  <c r="K433" i="13"/>
  <c r="O432" i="13"/>
  <c r="N432" i="13"/>
  <c r="M432" i="13"/>
  <c r="L432" i="13"/>
  <c r="K432" i="13"/>
  <c r="O431" i="13"/>
  <c r="N431" i="13"/>
  <c r="M431" i="13"/>
  <c r="L431" i="13"/>
  <c r="K431" i="13"/>
  <c r="O430" i="13"/>
  <c r="N430" i="13"/>
  <c r="M430" i="13"/>
  <c r="L430" i="13"/>
  <c r="K430" i="13"/>
  <c r="O429" i="13"/>
  <c r="N429" i="13"/>
  <c r="M429" i="13"/>
  <c r="L429" i="13"/>
  <c r="K429" i="13"/>
  <c r="O428" i="13"/>
  <c r="N428" i="13"/>
  <c r="M428" i="13"/>
  <c r="L428" i="13"/>
  <c r="K428" i="13"/>
  <c r="O427" i="13"/>
  <c r="N427" i="13"/>
  <c r="M427" i="13"/>
  <c r="L427" i="13"/>
  <c r="K427" i="13"/>
  <c r="O426" i="13"/>
  <c r="N426" i="13"/>
  <c r="M426" i="13"/>
  <c r="L426" i="13"/>
  <c r="K426" i="13"/>
  <c r="O425" i="13"/>
  <c r="N425" i="13"/>
  <c r="M425" i="13"/>
  <c r="L425" i="13"/>
  <c r="K425" i="13"/>
  <c r="O424" i="13"/>
  <c r="N424" i="13"/>
  <c r="M424" i="13"/>
  <c r="L424" i="13"/>
  <c r="K424" i="13"/>
  <c r="O423" i="13"/>
  <c r="N423" i="13"/>
  <c r="M423" i="13"/>
  <c r="L423" i="13"/>
  <c r="K423" i="13"/>
  <c r="O422" i="13"/>
  <c r="N422" i="13"/>
  <c r="M422" i="13"/>
  <c r="L422" i="13"/>
  <c r="K422" i="13"/>
  <c r="O421" i="13"/>
  <c r="N421" i="13"/>
  <c r="M421" i="13"/>
  <c r="L421" i="13"/>
  <c r="K421" i="13"/>
  <c r="O420" i="13"/>
  <c r="N420" i="13"/>
  <c r="M420" i="13"/>
  <c r="L420" i="13"/>
  <c r="K420" i="13"/>
  <c r="O419" i="13"/>
  <c r="N419" i="13"/>
  <c r="M419" i="13"/>
  <c r="L419" i="13"/>
  <c r="K419" i="13"/>
  <c r="O418" i="13"/>
  <c r="N418" i="13"/>
  <c r="M418" i="13"/>
  <c r="L418" i="13"/>
  <c r="K418" i="13"/>
  <c r="O417" i="13"/>
  <c r="N417" i="13"/>
  <c r="M417" i="13"/>
  <c r="L417" i="13"/>
  <c r="K417" i="13"/>
  <c r="O416" i="13"/>
  <c r="N416" i="13"/>
  <c r="M416" i="13"/>
  <c r="L416" i="13"/>
  <c r="K416" i="13"/>
  <c r="O415" i="13"/>
  <c r="N415" i="13"/>
  <c r="M415" i="13"/>
  <c r="L415" i="13"/>
  <c r="K415" i="13"/>
  <c r="O414" i="13"/>
  <c r="N414" i="13"/>
  <c r="M414" i="13"/>
  <c r="L414" i="13"/>
  <c r="K414" i="13"/>
  <c r="O413" i="13"/>
  <c r="N413" i="13"/>
  <c r="M413" i="13"/>
  <c r="L413" i="13"/>
  <c r="K413" i="13"/>
  <c r="O412" i="13"/>
  <c r="N412" i="13"/>
  <c r="M412" i="13"/>
  <c r="L412" i="13"/>
  <c r="K412" i="13"/>
  <c r="O411" i="13"/>
  <c r="N411" i="13"/>
  <c r="M411" i="13"/>
  <c r="L411" i="13"/>
  <c r="K411" i="13"/>
  <c r="O410" i="13"/>
  <c r="N410" i="13"/>
  <c r="M410" i="13"/>
  <c r="L410" i="13"/>
  <c r="K410" i="13"/>
  <c r="O409" i="13"/>
  <c r="N409" i="13"/>
  <c r="M409" i="13"/>
  <c r="L409" i="13"/>
  <c r="K409" i="13"/>
  <c r="O408" i="13"/>
  <c r="N408" i="13"/>
  <c r="M408" i="13"/>
  <c r="L408" i="13"/>
  <c r="K408" i="13"/>
  <c r="O407" i="13"/>
  <c r="N407" i="13"/>
  <c r="M407" i="13"/>
  <c r="L407" i="13"/>
  <c r="K407" i="13"/>
  <c r="O406" i="13"/>
  <c r="N406" i="13"/>
  <c r="M406" i="13"/>
  <c r="L406" i="13"/>
  <c r="K406" i="13"/>
  <c r="O405" i="13"/>
  <c r="N405" i="13"/>
  <c r="M405" i="13"/>
  <c r="L405" i="13"/>
  <c r="K405" i="13"/>
  <c r="O404" i="13"/>
  <c r="N404" i="13"/>
  <c r="M404" i="13"/>
  <c r="L404" i="13"/>
  <c r="K404" i="13"/>
  <c r="O403" i="13"/>
  <c r="N403" i="13"/>
  <c r="M403" i="13"/>
  <c r="L403" i="13"/>
  <c r="K403" i="13"/>
  <c r="O402" i="13"/>
  <c r="N402" i="13"/>
  <c r="M402" i="13"/>
  <c r="L402" i="13"/>
  <c r="K402" i="13"/>
  <c r="O401" i="13"/>
  <c r="N401" i="13"/>
  <c r="M401" i="13"/>
  <c r="L401" i="13"/>
  <c r="K401" i="13"/>
  <c r="O400" i="13"/>
  <c r="N400" i="13"/>
  <c r="M400" i="13"/>
  <c r="L400" i="13"/>
  <c r="K400" i="13"/>
  <c r="O399" i="13"/>
  <c r="N399" i="13"/>
  <c r="M399" i="13"/>
  <c r="L399" i="13"/>
  <c r="K399" i="13"/>
  <c r="O398" i="13"/>
  <c r="N398" i="13"/>
  <c r="M398" i="13"/>
  <c r="L398" i="13"/>
  <c r="K398" i="13"/>
  <c r="O397" i="13"/>
  <c r="N397" i="13"/>
  <c r="M397" i="13"/>
  <c r="L397" i="13"/>
  <c r="K397" i="13"/>
  <c r="O396" i="13"/>
  <c r="N396" i="13"/>
  <c r="M396" i="13"/>
  <c r="L396" i="13"/>
  <c r="K396" i="13"/>
  <c r="O395" i="13"/>
  <c r="N395" i="13"/>
  <c r="M395" i="13"/>
  <c r="L395" i="13"/>
  <c r="K395" i="13"/>
  <c r="O394" i="13"/>
  <c r="N394" i="13"/>
  <c r="M394" i="13"/>
  <c r="L394" i="13"/>
  <c r="K394" i="13"/>
  <c r="O393" i="13"/>
  <c r="N393" i="13"/>
  <c r="M393" i="13"/>
  <c r="L393" i="13"/>
  <c r="K393" i="13"/>
  <c r="O392" i="13"/>
  <c r="N392" i="13"/>
  <c r="M392" i="13"/>
  <c r="L392" i="13"/>
  <c r="K392" i="13"/>
  <c r="O391" i="13"/>
  <c r="N391" i="13"/>
  <c r="M391" i="13"/>
  <c r="L391" i="13"/>
  <c r="K391" i="13"/>
  <c r="O390" i="13"/>
  <c r="N390" i="13"/>
  <c r="M390" i="13"/>
  <c r="L390" i="13"/>
  <c r="K390" i="13"/>
  <c r="O389" i="13"/>
  <c r="N389" i="13"/>
  <c r="M389" i="13"/>
  <c r="L389" i="13"/>
  <c r="K389" i="13"/>
  <c r="O388" i="13"/>
  <c r="N388" i="13"/>
  <c r="M388" i="13"/>
  <c r="L388" i="13"/>
  <c r="K388" i="13"/>
  <c r="O387" i="13"/>
  <c r="N387" i="13"/>
  <c r="M387" i="13"/>
  <c r="L387" i="13"/>
  <c r="K387" i="13"/>
  <c r="O386" i="13"/>
  <c r="N386" i="13"/>
  <c r="M386" i="13"/>
  <c r="L386" i="13"/>
  <c r="K386" i="13"/>
  <c r="O385" i="13"/>
  <c r="N385" i="13"/>
  <c r="M385" i="13"/>
  <c r="L385" i="13"/>
  <c r="K385" i="13"/>
  <c r="O384" i="13"/>
  <c r="N384" i="13"/>
  <c r="M384" i="13"/>
  <c r="L384" i="13"/>
  <c r="K384" i="13"/>
  <c r="O383" i="13"/>
  <c r="N383" i="13"/>
  <c r="M383" i="13"/>
  <c r="L383" i="13"/>
  <c r="K383" i="13"/>
  <c r="O382" i="13"/>
  <c r="N382" i="13"/>
  <c r="M382" i="13"/>
  <c r="L382" i="13"/>
  <c r="K382" i="13"/>
  <c r="O381" i="13"/>
  <c r="N381" i="13"/>
  <c r="M381" i="13"/>
  <c r="L381" i="13"/>
  <c r="K381" i="13"/>
  <c r="O380" i="13"/>
  <c r="N380" i="13"/>
  <c r="M380" i="13"/>
  <c r="L380" i="13"/>
  <c r="K380" i="13"/>
  <c r="O379" i="13"/>
  <c r="N379" i="13"/>
  <c r="M379" i="13"/>
  <c r="L379" i="13"/>
  <c r="K379" i="13"/>
  <c r="O378" i="13"/>
  <c r="N378" i="13"/>
  <c r="M378" i="13"/>
  <c r="L378" i="13"/>
  <c r="K378" i="13"/>
  <c r="O377" i="13"/>
  <c r="N377" i="13"/>
  <c r="M377" i="13"/>
  <c r="L377" i="13"/>
  <c r="K377" i="13"/>
  <c r="O376" i="13"/>
  <c r="N376" i="13"/>
  <c r="M376" i="13"/>
  <c r="L376" i="13"/>
  <c r="K376" i="13"/>
  <c r="O375" i="13"/>
  <c r="N375" i="13"/>
  <c r="M375" i="13"/>
  <c r="L375" i="13"/>
  <c r="K375" i="13"/>
  <c r="O374" i="13"/>
  <c r="N374" i="13"/>
  <c r="M374" i="13"/>
  <c r="L374" i="13"/>
  <c r="K374" i="13"/>
  <c r="O373" i="13"/>
  <c r="N373" i="13"/>
  <c r="M373" i="13"/>
  <c r="L373" i="13"/>
  <c r="K373" i="13"/>
  <c r="O372" i="13"/>
  <c r="N372" i="13"/>
  <c r="M372" i="13"/>
  <c r="L372" i="13"/>
  <c r="K372" i="13"/>
  <c r="O371" i="13"/>
  <c r="N371" i="13"/>
  <c r="M371" i="13"/>
  <c r="L371" i="13"/>
  <c r="K371" i="13"/>
  <c r="O370" i="13"/>
  <c r="N370" i="13"/>
  <c r="M370" i="13"/>
  <c r="L370" i="13"/>
  <c r="K370" i="13"/>
  <c r="O369" i="13"/>
  <c r="N369" i="13"/>
  <c r="M369" i="13"/>
  <c r="L369" i="13"/>
  <c r="K369" i="13"/>
  <c r="O368" i="13"/>
  <c r="N368" i="13"/>
  <c r="M368" i="13"/>
  <c r="L368" i="13"/>
  <c r="K368" i="13"/>
  <c r="O367" i="13"/>
  <c r="N367" i="13"/>
  <c r="M367" i="13"/>
  <c r="L367" i="13"/>
  <c r="K367" i="13"/>
  <c r="O366" i="13"/>
  <c r="N366" i="13"/>
  <c r="M366" i="13"/>
  <c r="L366" i="13"/>
  <c r="K366" i="13"/>
  <c r="O365" i="13"/>
  <c r="N365" i="13"/>
  <c r="M365" i="13"/>
  <c r="L365" i="13"/>
  <c r="K365" i="13"/>
  <c r="O364" i="13"/>
  <c r="N364" i="13"/>
  <c r="M364" i="13"/>
  <c r="L364" i="13"/>
  <c r="K364" i="13"/>
  <c r="O363" i="13"/>
  <c r="N363" i="13"/>
  <c r="M363" i="13"/>
  <c r="L363" i="13"/>
  <c r="K363" i="13"/>
  <c r="O362" i="13"/>
  <c r="N362" i="13"/>
  <c r="M362" i="13"/>
  <c r="L362" i="13"/>
  <c r="K362" i="13"/>
  <c r="O361" i="13"/>
  <c r="N361" i="13"/>
  <c r="M361" i="13"/>
  <c r="L361" i="13"/>
  <c r="K361" i="13"/>
  <c r="O360" i="13"/>
  <c r="N360" i="13"/>
  <c r="M360" i="13"/>
  <c r="L360" i="13"/>
  <c r="K360" i="13"/>
  <c r="O359" i="13"/>
  <c r="N359" i="13"/>
  <c r="M359" i="13"/>
  <c r="L359" i="13"/>
  <c r="K359" i="13"/>
  <c r="O358" i="13"/>
  <c r="N358" i="13"/>
  <c r="M358" i="13"/>
  <c r="L358" i="13"/>
  <c r="K358" i="13"/>
  <c r="O357" i="13"/>
  <c r="N357" i="13"/>
  <c r="M357" i="13"/>
  <c r="L357" i="13"/>
  <c r="K357" i="13"/>
  <c r="O356" i="13"/>
  <c r="N356" i="13"/>
  <c r="M356" i="13"/>
  <c r="L356" i="13"/>
  <c r="K356" i="13"/>
  <c r="O355" i="13"/>
  <c r="N355" i="13"/>
  <c r="M355" i="13"/>
  <c r="L355" i="13"/>
  <c r="K355" i="13"/>
  <c r="O354" i="13"/>
  <c r="N354" i="13"/>
  <c r="M354" i="13"/>
  <c r="L354" i="13"/>
  <c r="K354" i="13"/>
  <c r="O353" i="13"/>
  <c r="N353" i="13"/>
  <c r="M353" i="13"/>
  <c r="L353" i="13"/>
  <c r="K353" i="13"/>
  <c r="O352" i="13"/>
  <c r="N352" i="13"/>
  <c r="M352" i="13"/>
  <c r="L352" i="13"/>
  <c r="K352" i="13"/>
  <c r="O351" i="13"/>
  <c r="N351" i="13"/>
  <c r="M351" i="13"/>
  <c r="L351" i="13"/>
  <c r="K351" i="13"/>
  <c r="O350" i="13"/>
  <c r="N350" i="13"/>
  <c r="M350" i="13"/>
  <c r="L350" i="13"/>
  <c r="K350" i="13"/>
  <c r="O349" i="13"/>
  <c r="N349" i="13"/>
  <c r="M349" i="13"/>
  <c r="L349" i="13"/>
  <c r="K349" i="13"/>
  <c r="O348" i="13"/>
  <c r="N348" i="13"/>
  <c r="M348" i="13"/>
  <c r="L348" i="13"/>
  <c r="K348" i="13"/>
  <c r="O347" i="13"/>
  <c r="N347" i="13"/>
  <c r="M347" i="13"/>
  <c r="L347" i="13"/>
  <c r="K347" i="13"/>
  <c r="O346" i="13"/>
  <c r="N346" i="13"/>
  <c r="M346" i="13"/>
  <c r="L346" i="13"/>
  <c r="K346" i="13"/>
  <c r="O345" i="13"/>
  <c r="N345" i="13"/>
  <c r="M345" i="13"/>
  <c r="L345" i="13"/>
  <c r="K345" i="13"/>
  <c r="O344" i="13"/>
  <c r="N344" i="13"/>
  <c r="M344" i="13"/>
  <c r="L344" i="13"/>
  <c r="K344" i="13"/>
  <c r="O343" i="13"/>
  <c r="N343" i="13"/>
  <c r="M343" i="13"/>
  <c r="L343" i="13"/>
  <c r="K343" i="13"/>
  <c r="O342" i="13"/>
  <c r="N342" i="13"/>
  <c r="M342" i="13"/>
  <c r="L342" i="13"/>
  <c r="K342" i="13"/>
  <c r="O341" i="13"/>
  <c r="N341" i="13"/>
  <c r="M341" i="13"/>
  <c r="L341" i="13"/>
  <c r="K341" i="13"/>
  <c r="O340" i="13"/>
  <c r="N340" i="13"/>
  <c r="M340" i="13"/>
  <c r="L340" i="13"/>
  <c r="K340" i="13"/>
  <c r="O339" i="13"/>
  <c r="N339" i="13"/>
  <c r="M339" i="13"/>
  <c r="L339" i="13"/>
  <c r="K339" i="13"/>
  <c r="O338" i="13"/>
  <c r="N338" i="13"/>
  <c r="M338" i="13"/>
  <c r="L338" i="13"/>
  <c r="K338" i="13"/>
  <c r="O337" i="13"/>
  <c r="N337" i="13"/>
  <c r="M337" i="13"/>
  <c r="L337" i="13"/>
  <c r="K337" i="13"/>
  <c r="O336" i="13"/>
  <c r="N336" i="13"/>
  <c r="M336" i="13"/>
  <c r="L336" i="13"/>
  <c r="K336" i="13"/>
  <c r="O335" i="13"/>
  <c r="N335" i="13"/>
  <c r="M335" i="13"/>
  <c r="L335" i="13"/>
  <c r="K335" i="13"/>
  <c r="O334" i="13"/>
  <c r="N334" i="13"/>
  <c r="M334" i="13"/>
  <c r="L334" i="13"/>
  <c r="K334" i="13"/>
  <c r="O333" i="13"/>
  <c r="N333" i="13"/>
  <c r="M333" i="13"/>
  <c r="L333" i="13"/>
  <c r="K333" i="13"/>
  <c r="O332" i="13"/>
  <c r="N332" i="13"/>
  <c r="M332" i="13"/>
  <c r="L332" i="13"/>
  <c r="K332" i="13"/>
  <c r="O331" i="13"/>
  <c r="N331" i="13"/>
  <c r="M331" i="13"/>
  <c r="L331" i="13"/>
  <c r="K331" i="13"/>
  <c r="O330" i="13"/>
  <c r="N330" i="13"/>
  <c r="M330" i="13"/>
  <c r="L330" i="13"/>
  <c r="K330" i="13"/>
  <c r="O329" i="13"/>
  <c r="N329" i="13"/>
  <c r="M329" i="13"/>
  <c r="L329" i="13"/>
  <c r="K329" i="13"/>
  <c r="O328" i="13"/>
  <c r="N328" i="13"/>
  <c r="M328" i="13"/>
  <c r="L328" i="13"/>
  <c r="K328" i="13"/>
  <c r="O327" i="13"/>
  <c r="N327" i="13"/>
  <c r="M327" i="13"/>
  <c r="L327" i="13"/>
  <c r="K327" i="13"/>
  <c r="O326" i="13"/>
  <c r="N326" i="13"/>
  <c r="M326" i="13"/>
  <c r="L326" i="13"/>
  <c r="K326" i="13"/>
  <c r="O325" i="13"/>
  <c r="N325" i="13"/>
  <c r="M325" i="13"/>
  <c r="L325" i="13"/>
  <c r="K325" i="13"/>
  <c r="O324" i="13"/>
  <c r="N324" i="13"/>
  <c r="M324" i="13"/>
  <c r="L324" i="13"/>
  <c r="K324" i="13"/>
  <c r="O323" i="13"/>
  <c r="N323" i="13"/>
  <c r="M323" i="13"/>
  <c r="L323" i="13"/>
  <c r="K323" i="13"/>
  <c r="O322" i="13"/>
  <c r="N322" i="13"/>
  <c r="M322" i="13"/>
  <c r="L322" i="13"/>
  <c r="K322" i="13"/>
  <c r="O321" i="13"/>
  <c r="N321" i="13"/>
  <c r="M321" i="13"/>
  <c r="L321" i="13"/>
  <c r="K321" i="13"/>
  <c r="O320" i="13"/>
  <c r="N320" i="13"/>
  <c r="M320" i="13"/>
  <c r="L320" i="13"/>
  <c r="K320" i="13"/>
  <c r="O319" i="13"/>
  <c r="N319" i="13"/>
  <c r="M319" i="13"/>
  <c r="L319" i="13"/>
  <c r="K319" i="13"/>
  <c r="O318" i="13"/>
  <c r="N318" i="13"/>
  <c r="M318" i="13"/>
  <c r="L318" i="13"/>
  <c r="K318" i="13"/>
  <c r="O317" i="13"/>
  <c r="N317" i="13"/>
  <c r="M317" i="13"/>
  <c r="L317" i="13"/>
  <c r="K317" i="13"/>
  <c r="O316" i="13"/>
  <c r="N316" i="13"/>
  <c r="M316" i="13"/>
  <c r="L316" i="13"/>
  <c r="K316" i="13"/>
  <c r="O315" i="13"/>
  <c r="N315" i="13"/>
  <c r="M315" i="13"/>
  <c r="L315" i="13"/>
  <c r="K315" i="13"/>
  <c r="O314" i="13"/>
  <c r="N314" i="13"/>
  <c r="M314" i="13"/>
  <c r="L314" i="13"/>
  <c r="K314" i="13"/>
  <c r="O313" i="13"/>
  <c r="N313" i="13"/>
  <c r="M313" i="13"/>
  <c r="L313" i="13"/>
  <c r="K313" i="13"/>
  <c r="O312" i="13"/>
  <c r="N312" i="13"/>
  <c r="M312" i="13"/>
  <c r="L312" i="13"/>
  <c r="K312" i="13"/>
  <c r="O311" i="13"/>
  <c r="N311" i="13"/>
  <c r="M311" i="13"/>
  <c r="L311" i="13"/>
  <c r="K311" i="13"/>
  <c r="O310" i="13"/>
  <c r="N310" i="13"/>
  <c r="M310" i="13"/>
  <c r="L310" i="13"/>
  <c r="K310" i="13"/>
  <c r="O309" i="13"/>
  <c r="N309" i="13"/>
  <c r="M309" i="13"/>
  <c r="L309" i="13"/>
  <c r="K309" i="13"/>
  <c r="O308" i="13"/>
  <c r="N308" i="13"/>
  <c r="M308" i="13"/>
  <c r="L308" i="13"/>
  <c r="K308" i="13"/>
  <c r="O307" i="13"/>
  <c r="N307" i="13"/>
  <c r="M307" i="13"/>
  <c r="L307" i="13"/>
  <c r="K307" i="13"/>
  <c r="O306" i="13"/>
  <c r="N306" i="13"/>
  <c r="M306" i="13"/>
  <c r="L306" i="13"/>
  <c r="K306" i="13"/>
  <c r="O305" i="13"/>
  <c r="N305" i="13"/>
  <c r="M305" i="13"/>
  <c r="L305" i="13"/>
  <c r="K305" i="13"/>
  <c r="O304" i="13"/>
  <c r="N304" i="13"/>
  <c r="M304" i="13"/>
  <c r="L304" i="13"/>
  <c r="K304" i="13"/>
  <c r="O303" i="13"/>
  <c r="N303" i="13"/>
  <c r="M303" i="13"/>
  <c r="L303" i="13"/>
  <c r="K303" i="13"/>
  <c r="O302" i="13"/>
  <c r="N302" i="13"/>
  <c r="M302" i="13"/>
  <c r="L302" i="13"/>
  <c r="K302" i="13"/>
  <c r="O301" i="13"/>
  <c r="N301" i="13"/>
  <c r="M301" i="13"/>
  <c r="L301" i="13"/>
  <c r="K301" i="13"/>
  <c r="O300" i="13"/>
  <c r="N300" i="13"/>
  <c r="M300" i="13"/>
  <c r="L300" i="13"/>
  <c r="K300" i="13"/>
  <c r="O299" i="13"/>
  <c r="N299" i="13"/>
  <c r="M299" i="13"/>
  <c r="L299" i="13"/>
  <c r="K299" i="13"/>
  <c r="O298" i="13"/>
  <c r="N298" i="13"/>
  <c r="M298" i="13"/>
  <c r="L298" i="13"/>
  <c r="K298" i="13"/>
  <c r="O297" i="13"/>
  <c r="N297" i="13"/>
  <c r="M297" i="13"/>
  <c r="L297" i="13"/>
  <c r="K297" i="13"/>
  <c r="O296" i="13"/>
  <c r="N296" i="13"/>
  <c r="M296" i="13"/>
  <c r="L296" i="13"/>
  <c r="K296" i="13"/>
  <c r="O295" i="13"/>
  <c r="N295" i="13"/>
  <c r="M295" i="13"/>
  <c r="L295" i="13"/>
  <c r="K295" i="13"/>
  <c r="O294" i="13"/>
  <c r="N294" i="13"/>
  <c r="M294" i="13"/>
  <c r="L294" i="13"/>
  <c r="K294" i="13"/>
  <c r="O293" i="13"/>
  <c r="N293" i="13"/>
  <c r="M293" i="13"/>
  <c r="L293" i="13"/>
  <c r="K293" i="13"/>
  <c r="O292" i="13"/>
  <c r="N292" i="13"/>
  <c r="M292" i="13"/>
  <c r="L292" i="13"/>
  <c r="K292" i="13"/>
  <c r="O291" i="13"/>
  <c r="N291" i="13"/>
  <c r="M291" i="13"/>
  <c r="L291" i="13"/>
  <c r="K291" i="13"/>
  <c r="O290" i="13"/>
  <c r="N290" i="13"/>
  <c r="M290" i="13"/>
  <c r="L290" i="13"/>
  <c r="K290" i="13"/>
  <c r="O289" i="13"/>
  <c r="N289" i="13"/>
  <c r="M289" i="13"/>
  <c r="L289" i="13"/>
  <c r="K289" i="13"/>
  <c r="O288" i="13"/>
  <c r="N288" i="13"/>
  <c r="M288" i="13"/>
  <c r="L288" i="13"/>
  <c r="K288" i="13"/>
  <c r="O287" i="13"/>
  <c r="N287" i="13"/>
  <c r="M287" i="13"/>
  <c r="L287" i="13"/>
  <c r="K287" i="13"/>
  <c r="O286" i="13"/>
  <c r="N286" i="13"/>
  <c r="M286" i="13"/>
  <c r="L286" i="13"/>
  <c r="K286" i="13"/>
  <c r="O285" i="13"/>
  <c r="N285" i="13"/>
  <c r="M285" i="13"/>
  <c r="L285" i="13"/>
  <c r="K285" i="13"/>
  <c r="O284" i="13"/>
  <c r="N284" i="13"/>
  <c r="M284" i="13"/>
  <c r="L284" i="13"/>
  <c r="K284" i="13"/>
  <c r="O283" i="13"/>
  <c r="N283" i="13"/>
  <c r="M283" i="13"/>
  <c r="L283" i="13"/>
  <c r="K283" i="13"/>
  <c r="O282" i="13"/>
  <c r="N282" i="13"/>
  <c r="M282" i="13"/>
  <c r="L282" i="13"/>
  <c r="K282" i="13"/>
  <c r="O281" i="13"/>
  <c r="N281" i="13"/>
  <c r="M281" i="13"/>
  <c r="L281" i="13"/>
  <c r="K281" i="13"/>
  <c r="O280" i="13"/>
  <c r="N280" i="13"/>
  <c r="M280" i="13"/>
  <c r="L280" i="13"/>
  <c r="K280" i="13"/>
  <c r="O279" i="13"/>
  <c r="N279" i="13"/>
  <c r="M279" i="13"/>
  <c r="L279" i="13"/>
  <c r="K279" i="13"/>
  <c r="O278" i="13"/>
  <c r="N278" i="13"/>
  <c r="M278" i="13"/>
  <c r="L278" i="13"/>
  <c r="K278" i="13"/>
  <c r="O277" i="13"/>
  <c r="N277" i="13"/>
  <c r="M277" i="13"/>
  <c r="L277" i="13"/>
  <c r="K277" i="13"/>
  <c r="O276" i="13"/>
  <c r="N276" i="13"/>
  <c r="M276" i="13"/>
  <c r="L276" i="13"/>
  <c r="K276" i="13"/>
  <c r="O275" i="13"/>
  <c r="N275" i="13"/>
  <c r="M275" i="13"/>
  <c r="L275" i="13"/>
  <c r="K275" i="13"/>
  <c r="O274" i="13"/>
  <c r="N274" i="13"/>
  <c r="M274" i="13"/>
  <c r="L274" i="13"/>
  <c r="K274" i="13"/>
  <c r="O273" i="13"/>
  <c r="N273" i="13"/>
  <c r="M273" i="13"/>
  <c r="L273" i="13"/>
  <c r="K273" i="13"/>
  <c r="O272" i="13"/>
  <c r="N272" i="13"/>
  <c r="M272" i="13"/>
  <c r="L272" i="13"/>
  <c r="K272" i="13"/>
  <c r="O271" i="13"/>
  <c r="N271" i="13"/>
  <c r="M271" i="13"/>
  <c r="L271" i="13"/>
  <c r="K271" i="13"/>
  <c r="O270" i="13"/>
  <c r="N270" i="13"/>
  <c r="M270" i="13"/>
  <c r="L270" i="13"/>
  <c r="K270" i="13"/>
  <c r="O269" i="13"/>
  <c r="N269" i="13"/>
  <c r="M269" i="13"/>
  <c r="L269" i="13"/>
  <c r="K269" i="13"/>
  <c r="O268" i="13"/>
  <c r="N268" i="13"/>
  <c r="M268" i="13"/>
  <c r="L268" i="13"/>
  <c r="K268" i="13"/>
  <c r="O267" i="13"/>
  <c r="N267" i="13"/>
  <c r="M267" i="13"/>
  <c r="L267" i="13"/>
  <c r="K267" i="13"/>
  <c r="O266" i="13"/>
  <c r="N266" i="13"/>
  <c r="M266" i="13"/>
  <c r="L266" i="13"/>
  <c r="K266" i="13"/>
  <c r="O265" i="13"/>
  <c r="N265" i="13"/>
  <c r="M265" i="13"/>
  <c r="L265" i="13"/>
  <c r="K265" i="13"/>
  <c r="O264" i="13"/>
  <c r="N264" i="13"/>
  <c r="M264" i="13"/>
  <c r="L264" i="13"/>
  <c r="K264" i="13"/>
  <c r="O263" i="13"/>
  <c r="N263" i="13"/>
  <c r="M263" i="13"/>
  <c r="L263" i="13"/>
  <c r="K263" i="13"/>
  <c r="O262" i="13"/>
  <c r="N262" i="13"/>
  <c r="M262" i="13"/>
  <c r="L262" i="13"/>
  <c r="K262" i="13"/>
  <c r="O261" i="13"/>
  <c r="N261" i="13"/>
  <c r="M261" i="13"/>
  <c r="L261" i="13"/>
  <c r="K261" i="13"/>
  <c r="O260" i="13"/>
  <c r="N260" i="13"/>
  <c r="M260" i="13"/>
  <c r="L260" i="13"/>
  <c r="K260" i="13"/>
  <c r="O259" i="13"/>
  <c r="N259" i="13"/>
  <c r="M259" i="13"/>
  <c r="L259" i="13"/>
  <c r="K259" i="13"/>
  <c r="O258" i="13"/>
  <c r="N258" i="13"/>
  <c r="M258" i="13"/>
  <c r="L258" i="13"/>
  <c r="K258" i="13"/>
  <c r="O257" i="13"/>
  <c r="N257" i="13"/>
  <c r="M257" i="13"/>
  <c r="L257" i="13"/>
  <c r="K257" i="13"/>
  <c r="O256" i="13"/>
  <c r="N256" i="13"/>
  <c r="M256" i="13"/>
  <c r="L256" i="13"/>
  <c r="K256" i="13"/>
  <c r="O255" i="13"/>
  <c r="N255" i="13"/>
  <c r="M255" i="13"/>
  <c r="L255" i="13"/>
  <c r="K255" i="13"/>
  <c r="O254" i="13"/>
  <c r="N254" i="13"/>
  <c r="M254" i="13"/>
  <c r="L254" i="13"/>
  <c r="K254" i="13"/>
  <c r="O253" i="13"/>
  <c r="N253" i="13"/>
  <c r="M253" i="13"/>
  <c r="L253" i="13"/>
  <c r="K253" i="13"/>
  <c r="O252" i="13"/>
  <c r="N252" i="13"/>
  <c r="M252" i="13"/>
  <c r="L252" i="13"/>
  <c r="K252" i="13"/>
  <c r="O251" i="13"/>
  <c r="N251" i="13"/>
  <c r="M251" i="13"/>
  <c r="L251" i="13"/>
  <c r="K251" i="13"/>
  <c r="O250" i="13"/>
  <c r="N250" i="13"/>
  <c r="M250" i="13"/>
  <c r="L250" i="13"/>
  <c r="K250" i="13"/>
  <c r="O249" i="13"/>
  <c r="N249" i="13"/>
  <c r="M249" i="13"/>
  <c r="L249" i="13"/>
  <c r="K249" i="13"/>
  <c r="O248" i="13"/>
  <c r="N248" i="13"/>
  <c r="M248" i="13"/>
  <c r="L248" i="13"/>
  <c r="K248" i="13"/>
  <c r="O247" i="13"/>
  <c r="N247" i="13"/>
  <c r="M247" i="13"/>
  <c r="L247" i="13"/>
  <c r="K247" i="13"/>
  <c r="O246" i="13"/>
  <c r="N246" i="13"/>
  <c r="M246" i="13"/>
  <c r="L246" i="13"/>
  <c r="K246" i="13"/>
  <c r="O245" i="13"/>
  <c r="N245" i="13"/>
  <c r="M245" i="13"/>
  <c r="L245" i="13"/>
  <c r="K245" i="13"/>
  <c r="O244" i="13"/>
  <c r="N244" i="13"/>
  <c r="M244" i="13"/>
  <c r="L244" i="13"/>
  <c r="K244" i="13"/>
  <c r="O243" i="13"/>
  <c r="N243" i="13"/>
  <c r="M243" i="13"/>
  <c r="L243" i="13"/>
  <c r="K243" i="13"/>
  <c r="O242" i="13"/>
  <c r="N242" i="13"/>
  <c r="M242" i="13"/>
  <c r="L242" i="13"/>
  <c r="K242" i="13"/>
  <c r="O241" i="13"/>
  <c r="N241" i="13"/>
  <c r="M241" i="13"/>
  <c r="L241" i="13"/>
  <c r="K241" i="13"/>
  <c r="O240" i="13"/>
  <c r="N240" i="13"/>
  <c r="M240" i="13"/>
  <c r="L240" i="13"/>
  <c r="K240" i="13"/>
  <c r="O239" i="13"/>
  <c r="N239" i="13"/>
  <c r="M239" i="13"/>
  <c r="L239" i="13"/>
  <c r="K239" i="13"/>
  <c r="O238" i="13"/>
  <c r="N238" i="13"/>
  <c r="M238" i="13"/>
  <c r="L238" i="13"/>
  <c r="K238" i="13"/>
  <c r="O237" i="13"/>
  <c r="N237" i="13"/>
  <c r="M237" i="13"/>
  <c r="L237" i="13"/>
  <c r="K237" i="13"/>
  <c r="O236" i="13"/>
  <c r="N236" i="13"/>
  <c r="M236" i="13"/>
  <c r="L236" i="13"/>
  <c r="K236" i="13"/>
  <c r="O235" i="13"/>
  <c r="N235" i="13"/>
  <c r="M235" i="13"/>
  <c r="L235" i="13"/>
  <c r="K235" i="13"/>
  <c r="O234" i="13"/>
  <c r="N234" i="13"/>
  <c r="M234" i="13"/>
  <c r="L234" i="13"/>
  <c r="K234" i="13"/>
  <c r="O233" i="13"/>
  <c r="N233" i="13"/>
  <c r="M233" i="13"/>
  <c r="L233" i="13"/>
  <c r="K233" i="13"/>
  <c r="O232" i="13"/>
  <c r="N232" i="13"/>
  <c r="M232" i="13"/>
  <c r="L232" i="13"/>
  <c r="K232" i="13"/>
  <c r="O231" i="13"/>
  <c r="N231" i="13"/>
  <c r="M231" i="13"/>
  <c r="L231" i="13"/>
  <c r="K231" i="13"/>
  <c r="O230" i="13"/>
  <c r="N230" i="13"/>
  <c r="M230" i="13"/>
  <c r="L230" i="13"/>
  <c r="K230" i="13"/>
  <c r="O229" i="13"/>
  <c r="N229" i="13"/>
  <c r="M229" i="13"/>
  <c r="L229" i="13"/>
  <c r="K229" i="13"/>
  <c r="O228" i="13"/>
  <c r="N228" i="13"/>
  <c r="M228" i="13"/>
  <c r="L228" i="13"/>
  <c r="K228" i="13"/>
  <c r="O227" i="13"/>
  <c r="N227" i="13"/>
  <c r="M227" i="13"/>
  <c r="L227" i="13"/>
  <c r="K227" i="13"/>
  <c r="O226" i="13"/>
  <c r="N226" i="13"/>
  <c r="M226" i="13"/>
  <c r="L226" i="13"/>
  <c r="K226" i="13"/>
  <c r="O225" i="13"/>
  <c r="N225" i="13"/>
  <c r="M225" i="13"/>
  <c r="L225" i="13"/>
  <c r="K225" i="13"/>
  <c r="O224" i="13"/>
  <c r="N224" i="13"/>
  <c r="M224" i="13"/>
  <c r="L224" i="13"/>
  <c r="K224" i="13"/>
  <c r="O223" i="13"/>
  <c r="N223" i="13"/>
  <c r="M223" i="13"/>
  <c r="L223" i="13"/>
  <c r="K223" i="13"/>
  <c r="O222" i="13"/>
  <c r="N222" i="13"/>
  <c r="M222" i="13"/>
  <c r="L222" i="13"/>
  <c r="K222" i="13"/>
  <c r="O221" i="13"/>
  <c r="N221" i="13"/>
  <c r="M221" i="13"/>
  <c r="L221" i="13"/>
  <c r="K221" i="13"/>
  <c r="O220" i="13"/>
  <c r="N220" i="13"/>
  <c r="M220" i="13"/>
  <c r="L220" i="13"/>
  <c r="K220" i="13"/>
  <c r="O219" i="13"/>
  <c r="N219" i="13"/>
  <c r="M219" i="13"/>
  <c r="L219" i="13"/>
  <c r="K219" i="13"/>
  <c r="O218" i="13"/>
  <c r="N218" i="13"/>
  <c r="M218" i="13"/>
  <c r="L218" i="13"/>
  <c r="K218" i="13"/>
  <c r="O217" i="13"/>
  <c r="N217" i="13"/>
  <c r="M217" i="13"/>
  <c r="L217" i="13"/>
  <c r="K217" i="13"/>
  <c r="O216" i="13"/>
  <c r="N216" i="13"/>
  <c r="M216" i="13"/>
  <c r="L216" i="13"/>
  <c r="K216" i="13"/>
  <c r="O215" i="13"/>
  <c r="N215" i="13"/>
  <c r="M215" i="13"/>
  <c r="L215" i="13"/>
  <c r="K215" i="13"/>
  <c r="O214" i="13"/>
  <c r="N214" i="13"/>
  <c r="M214" i="13"/>
  <c r="L214" i="13"/>
  <c r="K214" i="13"/>
  <c r="O213" i="13"/>
  <c r="N213" i="13"/>
  <c r="M213" i="13"/>
  <c r="L213" i="13"/>
  <c r="K213" i="13"/>
  <c r="O212" i="13"/>
  <c r="N212" i="13"/>
  <c r="M212" i="13"/>
  <c r="L212" i="13"/>
  <c r="K212" i="13"/>
  <c r="O211" i="13"/>
  <c r="N211" i="13"/>
  <c r="M211" i="13"/>
  <c r="L211" i="13"/>
  <c r="K211" i="13"/>
  <c r="O210" i="13"/>
  <c r="N210" i="13"/>
  <c r="M210" i="13"/>
  <c r="L210" i="13"/>
  <c r="K210" i="13"/>
  <c r="O209" i="13"/>
  <c r="N209" i="13"/>
  <c r="M209" i="13"/>
  <c r="L209" i="13"/>
  <c r="K209" i="13"/>
  <c r="O208" i="13"/>
  <c r="N208" i="13"/>
  <c r="M208" i="13"/>
  <c r="L208" i="13"/>
  <c r="K208" i="13"/>
  <c r="O207" i="13"/>
  <c r="N207" i="13"/>
  <c r="M207" i="13"/>
  <c r="L207" i="13"/>
  <c r="K207" i="13"/>
  <c r="O206" i="13"/>
  <c r="N206" i="13"/>
  <c r="M206" i="13"/>
  <c r="L206" i="13"/>
  <c r="K206" i="13"/>
  <c r="O205" i="13"/>
  <c r="N205" i="13"/>
  <c r="M205" i="13"/>
  <c r="L205" i="13"/>
  <c r="K205" i="13"/>
  <c r="O204" i="13"/>
  <c r="N204" i="13"/>
  <c r="M204" i="13"/>
  <c r="L204" i="13"/>
  <c r="K204" i="13"/>
  <c r="O203" i="13"/>
  <c r="N203" i="13"/>
  <c r="M203" i="13"/>
  <c r="L203" i="13"/>
  <c r="K203" i="13"/>
  <c r="O202" i="13"/>
  <c r="N202" i="13"/>
  <c r="M202" i="13"/>
  <c r="L202" i="13"/>
  <c r="K202" i="13"/>
  <c r="O201" i="13"/>
  <c r="N201" i="13"/>
  <c r="M201" i="13"/>
  <c r="L201" i="13"/>
  <c r="K201" i="13"/>
  <c r="O200" i="13"/>
  <c r="N200" i="13"/>
  <c r="M200" i="13"/>
  <c r="L200" i="13"/>
  <c r="K200" i="13"/>
  <c r="O199" i="13"/>
  <c r="N199" i="13"/>
  <c r="M199" i="13"/>
  <c r="L199" i="13"/>
  <c r="K199" i="13"/>
  <c r="O198" i="13"/>
  <c r="N198" i="13"/>
  <c r="M198" i="13"/>
  <c r="L198" i="13"/>
  <c r="K198" i="13"/>
  <c r="O197" i="13"/>
  <c r="N197" i="13"/>
  <c r="M197" i="13"/>
  <c r="L197" i="13"/>
  <c r="K197" i="13"/>
  <c r="O196" i="13"/>
  <c r="N196" i="13"/>
  <c r="M196" i="13"/>
  <c r="L196" i="13"/>
  <c r="K196" i="13"/>
  <c r="O195" i="13"/>
  <c r="N195" i="13"/>
  <c r="M195" i="13"/>
  <c r="L195" i="13"/>
  <c r="K195" i="13"/>
  <c r="O194" i="13"/>
  <c r="N194" i="13"/>
  <c r="M194" i="13"/>
  <c r="L194" i="13"/>
  <c r="K194" i="13"/>
  <c r="O193" i="13"/>
  <c r="N193" i="13"/>
  <c r="M193" i="13"/>
  <c r="L193" i="13"/>
  <c r="K193" i="13"/>
  <c r="O192" i="13"/>
  <c r="N192" i="13"/>
  <c r="M192" i="13"/>
  <c r="L192" i="13"/>
  <c r="K192" i="13"/>
  <c r="O191" i="13"/>
  <c r="N191" i="13"/>
  <c r="M191" i="13"/>
  <c r="L191" i="13"/>
  <c r="K191" i="13"/>
  <c r="O190" i="13"/>
  <c r="N190" i="13"/>
  <c r="M190" i="13"/>
  <c r="L190" i="13"/>
  <c r="K190" i="13"/>
  <c r="O189" i="13"/>
  <c r="N189" i="13"/>
  <c r="M189" i="13"/>
  <c r="L189" i="13"/>
  <c r="K189" i="13"/>
  <c r="O188" i="13"/>
  <c r="N188" i="13"/>
  <c r="M188" i="13"/>
  <c r="L188" i="13"/>
  <c r="K188" i="13"/>
  <c r="O187" i="13"/>
  <c r="N187" i="13"/>
  <c r="M187" i="13"/>
  <c r="L187" i="13"/>
  <c r="K187" i="13"/>
  <c r="O186" i="13"/>
  <c r="N186" i="13"/>
  <c r="M186" i="13"/>
  <c r="L186" i="13"/>
  <c r="K186" i="13"/>
  <c r="O185" i="13"/>
  <c r="N185" i="13"/>
  <c r="M185" i="13"/>
  <c r="L185" i="13"/>
  <c r="K185" i="13"/>
  <c r="O184" i="13"/>
  <c r="N184" i="13"/>
  <c r="M184" i="13"/>
  <c r="L184" i="13"/>
  <c r="K184" i="13"/>
  <c r="O183" i="13"/>
  <c r="N183" i="13"/>
  <c r="M183" i="13"/>
  <c r="L183" i="13"/>
  <c r="K183" i="13"/>
  <c r="O182" i="13"/>
  <c r="N182" i="13"/>
  <c r="M182" i="13"/>
  <c r="L182" i="13"/>
  <c r="K182" i="13"/>
  <c r="O181" i="13"/>
  <c r="N181" i="13"/>
  <c r="M181" i="13"/>
  <c r="L181" i="13"/>
  <c r="K181" i="13"/>
  <c r="O180" i="13"/>
  <c r="N180" i="13"/>
  <c r="M180" i="13"/>
  <c r="L180" i="13"/>
  <c r="K180" i="13"/>
  <c r="O179" i="13"/>
  <c r="N179" i="13"/>
  <c r="M179" i="13"/>
  <c r="L179" i="13"/>
  <c r="K179" i="13"/>
  <c r="O178" i="13"/>
  <c r="N178" i="13"/>
  <c r="M178" i="13"/>
  <c r="L178" i="13"/>
  <c r="K178" i="13"/>
  <c r="O177" i="13"/>
  <c r="N177" i="13"/>
  <c r="M177" i="13"/>
  <c r="L177" i="13"/>
  <c r="K177" i="13"/>
  <c r="O176" i="13"/>
  <c r="N176" i="13"/>
  <c r="M176" i="13"/>
  <c r="L176" i="13"/>
  <c r="K176" i="13"/>
  <c r="O175" i="13"/>
  <c r="N175" i="13"/>
  <c r="M175" i="13"/>
  <c r="L175" i="13"/>
  <c r="K175" i="13"/>
  <c r="O174" i="13"/>
  <c r="N174" i="13"/>
  <c r="M174" i="13"/>
  <c r="L174" i="13"/>
  <c r="K174" i="13"/>
  <c r="O173" i="13"/>
  <c r="N173" i="13"/>
  <c r="M173" i="13"/>
  <c r="L173" i="13"/>
  <c r="K173" i="13"/>
  <c r="O172" i="13"/>
  <c r="N172" i="13"/>
  <c r="M172" i="13"/>
  <c r="L172" i="13"/>
  <c r="K172" i="13"/>
  <c r="O171" i="13"/>
  <c r="N171" i="13"/>
  <c r="M171" i="13"/>
  <c r="L171" i="13"/>
  <c r="K171" i="13"/>
  <c r="O170" i="13"/>
  <c r="N170" i="13"/>
  <c r="M170" i="13"/>
  <c r="L170" i="13"/>
  <c r="K170" i="13"/>
  <c r="O169" i="13"/>
  <c r="N169" i="13"/>
  <c r="M169" i="13"/>
  <c r="L169" i="13"/>
  <c r="K169" i="13"/>
  <c r="O168" i="13"/>
  <c r="N168" i="13"/>
  <c r="M168" i="13"/>
  <c r="L168" i="13"/>
  <c r="K168" i="13"/>
  <c r="O167" i="13"/>
  <c r="N167" i="13"/>
  <c r="M167" i="13"/>
  <c r="L167" i="13"/>
  <c r="K167" i="13"/>
  <c r="O166" i="13"/>
  <c r="N166" i="13"/>
  <c r="M166" i="13"/>
  <c r="L166" i="13"/>
  <c r="K166" i="13"/>
  <c r="O165" i="13"/>
  <c r="N165" i="13"/>
  <c r="M165" i="13"/>
  <c r="L165" i="13"/>
  <c r="K165" i="13"/>
  <c r="O164" i="13"/>
  <c r="N164" i="13"/>
  <c r="M164" i="13"/>
  <c r="L164" i="13"/>
  <c r="K164" i="13"/>
  <c r="O163" i="13"/>
  <c r="N163" i="13"/>
  <c r="M163" i="13"/>
  <c r="L163" i="13"/>
  <c r="K163" i="13"/>
  <c r="O162" i="13"/>
  <c r="N162" i="13"/>
  <c r="M162" i="13"/>
  <c r="L162" i="13"/>
  <c r="K162" i="13"/>
  <c r="O161" i="13"/>
  <c r="N161" i="13"/>
  <c r="M161" i="13"/>
  <c r="L161" i="13"/>
  <c r="K161" i="13"/>
  <c r="O160" i="13"/>
  <c r="N160" i="13"/>
  <c r="M160" i="13"/>
  <c r="L160" i="13"/>
  <c r="K160" i="13"/>
  <c r="O159" i="13"/>
  <c r="N159" i="13"/>
  <c r="M159" i="13"/>
  <c r="L159" i="13"/>
  <c r="K159" i="13"/>
  <c r="O158" i="13"/>
  <c r="N158" i="13"/>
  <c r="M158" i="13"/>
  <c r="L158" i="13"/>
  <c r="K158" i="13"/>
  <c r="O157" i="13"/>
  <c r="N157" i="13"/>
  <c r="M157" i="13"/>
  <c r="L157" i="13"/>
  <c r="K157" i="13"/>
  <c r="O156" i="13"/>
  <c r="N156" i="13"/>
  <c r="M156" i="13"/>
  <c r="L156" i="13"/>
  <c r="K156" i="13"/>
  <c r="O155" i="13"/>
  <c r="N155" i="13"/>
  <c r="M155" i="13"/>
  <c r="L155" i="13"/>
  <c r="K155" i="13"/>
  <c r="O154" i="13"/>
  <c r="N154" i="13"/>
  <c r="M154" i="13"/>
  <c r="L154" i="13"/>
  <c r="K154" i="13"/>
  <c r="O153" i="13"/>
  <c r="N153" i="13"/>
  <c r="M153" i="13"/>
  <c r="L153" i="13"/>
  <c r="K153" i="13"/>
  <c r="O152" i="13"/>
  <c r="N152" i="13"/>
  <c r="M152" i="13"/>
  <c r="L152" i="13"/>
  <c r="K152" i="13"/>
  <c r="O151" i="13"/>
  <c r="N151" i="13"/>
  <c r="M151" i="13"/>
  <c r="L151" i="13"/>
  <c r="K151" i="13"/>
  <c r="O150" i="13"/>
  <c r="N150" i="13"/>
  <c r="M150" i="13"/>
  <c r="L150" i="13"/>
  <c r="K150" i="13"/>
  <c r="O149" i="13"/>
  <c r="N149" i="13"/>
  <c r="M149" i="13"/>
  <c r="L149" i="13"/>
  <c r="K149" i="13"/>
  <c r="O148" i="13"/>
  <c r="N148" i="13"/>
  <c r="M148" i="13"/>
  <c r="L148" i="13"/>
  <c r="K148" i="13"/>
  <c r="O147" i="13"/>
  <c r="N147" i="13"/>
  <c r="M147" i="13"/>
  <c r="L147" i="13"/>
  <c r="K147" i="13"/>
  <c r="O146" i="13"/>
  <c r="N146" i="13"/>
  <c r="M146" i="13"/>
  <c r="L146" i="13"/>
  <c r="K146" i="13"/>
  <c r="O145" i="13"/>
  <c r="N145" i="13"/>
  <c r="M145" i="13"/>
  <c r="L145" i="13"/>
  <c r="K145" i="13"/>
  <c r="O144" i="13"/>
  <c r="N144" i="13"/>
  <c r="M144" i="13"/>
  <c r="L144" i="13"/>
  <c r="K144" i="13"/>
  <c r="O143" i="13"/>
  <c r="N143" i="13"/>
  <c r="M143" i="13"/>
  <c r="L143" i="13"/>
  <c r="K143" i="13"/>
  <c r="O142" i="13"/>
  <c r="N142" i="13"/>
  <c r="M142" i="13"/>
  <c r="L142" i="13"/>
  <c r="K142" i="13"/>
  <c r="O141" i="13"/>
  <c r="N141" i="13"/>
  <c r="M141" i="13"/>
  <c r="L141" i="13"/>
  <c r="K141" i="13"/>
  <c r="O140" i="13"/>
  <c r="N140" i="13"/>
  <c r="M140" i="13"/>
  <c r="L140" i="13"/>
  <c r="K140" i="13"/>
  <c r="O139" i="13"/>
  <c r="N139" i="13"/>
  <c r="M139" i="13"/>
  <c r="L139" i="13"/>
  <c r="K139" i="13"/>
  <c r="O138" i="13"/>
  <c r="N138" i="13"/>
  <c r="M138" i="13"/>
  <c r="L138" i="13"/>
  <c r="K138" i="13"/>
  <c r="O137" i="13"/>
  <c r="N137" i="13"/>
  <c r="M137" i="13"/>
  <c r="L137" i="13"/>
  <c r="K137" i="13"/>
  <c r="O136" i="13"/>
  <c r="N136" i="13"/>
  <c r="M136" i="13"/>
  <c r="L136" i="13"/>
  <c r="K136" i="13"/>
  <c r="O135" i="13"/>
  <c r="N135" i="13"/>
  <c r="M135" i="13"/>
  <c r="L135" i="13"/>
  <c r="K135" i="13"/>
  <c r="O134" i="13"/>
  <c r="N134" i="13"/>
  <c r="M134" i="13"/>
  <c r="L134" i="13"/>
  <c r="K134" i="13"/>
  <c r="O133" i="13"/>
  <c r="N133" i="13"/>
  <c r="M133" i="13"/>
  <c r="L133" i="13"/>
  <c r="K133" i="13"/>
  <c r="O132" i="13"/>
  <c r="N132" i="13"/>
  <c r="M132" i="13"/>
  <c r="L132" i="13"/>
  <c r="K132" i="13"/>
  <c r="O131" i="13"/>
  <c r="N131" i="13"/>
  <c r="M131" i="13"/>
  <c r="L131" i="13"/>
  <c r="K131" i="13"/>
  <c r="O130" i="13"/>
  <c r="N130" i="13"/>
  <c r="M130" i="13"/>
  <c r="L130" i="13"/>
  <c r="K130" i="13"/>
  <c r="O129" i="13"/>
  <c r="N129" i="13"/>
  <c r="M129" i="13"/>
  <c r="L129" i="13"/>
  <c r="K129" i="13"/>
  <c r="O128" i="13"/>
  <c r="N128" i="13"/>
  <c r="M128" i="13"/>
  <c r="L128" i="13"/>
  <c r="K128" i="13"/>
  <c r="O127" i="13"/>
  <c r="N127" i="13"/>
  <c r="M127" i="13"/>
  <c r="L127" i="13"/>
  <c r="K127" i="13"/>
  <c r="O126" i="13"/>
  <c r="N126" i="13"/>
  <c r="M126" i="13"/>
  <c r="L126" i="13"/>
  <c r="K126" i="13"/>
  <c r="O125" i="13"/>
  <c r="N125" i="13"/>
  <c r="M125" i="13"/>
  <c r="L125" i="13"/>
  <c r="K125" i="13"/>
  <c r="O124" i="13"/>
  <c r="N124" i="13"/>
  <c r="M124" i="13"/>
  <c r="L124" i="13"/>
  <c r="K124" i="13"/>
  <c r="O123" i="13"/>
  <c r="N123" i="13"/>
  <c r="M123" i="13"/>
  <c r="L123" i="13"/>
  <c r="K123" i="13"/>
  <c r="O122" i="13"/>
  <c r="N122" i="13"/>
  <c r="M122" i="13"/>
  <c r="L122" i="13"/>
  <c r="K122" i="13"/>
  <c r="O121" i="13"/>
  <c r="N121" i="13"/>
  <c r="M121" i="13"/>
  <c r="L121" i="13"/>
  <c r="K121" i="13"/>
  <c r="O120" i="13"/>
  <c r="N120" i="13"/>
  <c r="M120" i="13"/>
  <c r="L120" i="13"/>
  <c r="K120" i="13"/>
  <c r="O119" i="13"/>
  <c r="N119" i="13"/>
  <c r="M119" i="13"/>
  <c r="L119" i="13"/>
  <c r="K119" i="13"/>
  <c r="O118" i="13"/>
  <c r="N118" i="13"/>
  <c r="M118" i="13"/>
  <c r="L118" i="13"/>
  <c r="K118" i="13"/>
  <c r="O117" i="13"/>
  <c r="N117" i="13"/>
  <c r="M117" i="13"/>
  <c r="L117" i="13"/>
  <c r="K117" i="13"/>
  <c r="O116" i="13"/>
  <c r="N116" i="13"/>
  <c r="M116" i="13"/>
  <c r="L116" i="13"/>
  <c r="K116" i="13"/>
  <c r="O115" i="13"/>
  <c r="N115" i="13"/>
  <c r="M115" i="13"/>
  <c r="L115" i="13"/>
  <c r="K115" i="13"/>
  <c r="O114" i="13"/>
  <c r="N114" i="13"/>
  <c r="M114" i="13"/>
  <c r="L114" i="13"/>
  <c r="K114" i="13"/>
  <c r="O113" i="13"/>
  <c r="N113" i="13"/>
  <c r="M113" i="13"/>
  <c r="L113" i="13"/>
  <c r="K113" i="13"/>
  <c r="O112" i="13"/>
  <c r="N112" i="13"/>
  <c r="M112" i="13"/>
  <c r="L112" i="13"/>
  <c r="K112" i="13"/>
  <c r="O111" i="13"/>
  <c r="N111" i="13"/>
  <c r="M111" i="13"/>
  <c r="L111" i="13"/>
  <c r="K111" i="13"/>
  <c r="O110" i="13"/>
  <c r="N110" i="13"/>
  <c r="M110" i="13"/>
  <c r="L110" i="13"/>
  <c r="K110" i="13"/>
  <c r="O109" i="13"/>
  <c r="N109" i="13"/>
  <c r="M109" i="13"/>
  <c r="L109" i="13"/>
  <c r="K109" i="13"/>
  <c r="O108" i="13"/>
  <c r="N108" i="13"/>
  <c r="M108" i="13"/>
  <c r="L108" i="13"/>
  <c r="K108" i="13"/>
  <c r="O107" i="13"/>
  <c r="N107" i="13"/>
  <c r="M107" i="13"/>
  <c r="L107" i="13"/>
  <c r="K107" i="13"/>
  <c r="O106" i="13"/>
  <c r="N106" i="13"/>
  <c r="M106" i="13"/>
  <c r="L106" i="13"/>
  <c r="K106" i="13"/>
  <c r="O105" i="13"/>
  <c r="N105" i="13"/>
  <c r="M105" i="13"/>
  <c r="L105" i="13"/>
  <c r="K105" i="13"/>
  <c r="O104" i="13"/>
  <c r="N104" i="13"/>
  <c r="M104" i="13"/>
  <c r="L104" i="13"/>
  <c r="K104" i="13"/>
  <c r="O103" i="13"/>
  <c r="N103" i="13"/>
  <c r="M103" i="13"/>
  <c r="L103" i="13"/>
  <c r="K103" i="13"/>
  <c r="O102" i="13"/>
  <c r="N102" i="13"/>
  <c r="M102" i="13"/>
  <c r="L102" i="13"/>
  <c r="K102" i="13"/>
  <c r="O101" i="13"/>
  <c r="N101" i="13"/>
  <c r="M101" i="13"/>
  <c r="L101" i="13"/>
  <c r="K101" i="13"/>
  <c r="O100" i="13"/>
  <c r="N100" i="13"/>
  <c r="M100" i="13"/>
  <c r="L100" i="13"/>
  <c r="K100" i="13"/>
  <c r="O99" i="13"/>
  <c r="N99" i="13"/>
  <c r="M99" i="13"/>
  <c r="L99" i="13"/>
  <c r="K99" i="13"/>
  <c r="O98" i="13"/>
  <c r="N98" i="13"/>
  <c r="M98" i="13"/>
  <c r="L98" i="13"/>
  <c r="K98" i="13"/>
  <c r="O97" i="13"/>
  <c r="N97" i="13"/>
  <c r="M97" i="13"/>
  <c r="L97" i="13"/>
  <c r="K97" i="13"/>
  <c r="O96" i="13"/>
  <c r="N96" i="13"/>
  <c r="M96" i="13"/>
  <c r="L96" i="13"/>
  <c r="K96" i="13"/>
  <c r="O95" i="13"/>
  <c r="N95" i="13"/>
  <c r="M95" i="13"/>
  <c r="L95" i="13"/>
  <c r="K95" i="13"/>
  <c r="O94" i="13"/>
  <c r="N94" i="13"/>
  <c r="M94" i="13"/>
  <c r="L94" i="13"/>
  <c r="K94" i="13"/>
  <c r="O93" i="13"/>
  <c r="N93" i="13"/>
  <c r="M93" i="13"/>
  <c r="L93" i="13"/>
  <c r="K93" i="13"/>
  <c r="O92" i="13"/>
  <c r="N92" i="13"/>
  <c r="M92" i="13"/>
  <c r="L92" i="13"/>
  <c r="K92" i="13"/>
  <c r="O91" i="13"/>
  <c r="N91" i="13"/>
  <c r="M91" i="13"/>
  <c r="L91" i="13"/>
  <c r="K91" i="13"/>
  <c r="O90" i="13"/>
  <c r="N90" i="13"/>
  <c r="M90" i="13"/>
  <c r="L90" i="13"/>
  <c r="K90" i="13"/>
  <c r="O89" i="13"/>
  <c r="N89" i="13"/>
  <c r="M89" i="13"/>
  <c r="L89" i="13"/>
  <c r="K89" i="13"/>
  <c r="O88" i="13"/>
  <c r="N88" i="13"/>
  <c r="M88" i="13"/>
  <c r="L88" i="13"/>
  <c r="K88" i="13"/>
  <c r="O87" i="13"/>
  <c r="N87" i="13"/>
  <c r="M87" i="13"/>
  <c r="L87" i="13"/>
  <c r="K87" i="13"/>
  <c r="O86" i="13"/>
  <c r="N86" i="13"/>
  <c r="M86" i="13"/>
  <c r="L86" i="13"/>
  <c r="K86" i="13"/>
  <c r="O85" i="13"/>
  <c r="N85" i="13"/>
  <c r="M85" i="13"/>
  <c r="L85" i="13"/>
  <c r="K85" i="13"/>
  <c r="O84" i="13"/>
  <c r="N84" i="13"/>
  <c r="M84" i="13"/>
  <c r="L84" i="13"/>
  <c r="K84" i="13"/>
  <c r="O83" i="13"/>
  <c r="N83" i="13"/>
  <c r="M83" i="13"/>
  <c r="L83" i="13"/>
  <c r="K83" i="13"/>
  <c r="O82" i="13"/>
  <c r="N82" i="13"/>
  <c r="M82" i="13"/>
  <c r="L82" i="13"/>
  <c r="K82" i="13"/>
  <c r="O81" i="13"/>
  <c r="N81" i="13"/>
  <c r="M81" i="13"/>
  <c r="L81" i="13"/>
  <c r="K81" i="13"/>
  <c r="O80" i="13"/>
  <c r="N80" i="13"/>
  <c r="M80" i="13"/>
  <c r="L80" i="13"/>
  <c r="K80" i="13"/>
  <c r="O79" i="13"/>
  <c r="N79" i="13"/>
  <c r="M79" i="13"/>
  <c r="L79" i="13"/>
  <c r="K79" i="13"/>
  <c r="O78" i="13"/>
  <c r="N78" i="13"/>
  <c r="M78" i="13"/>
  <c r="L78" i="13"/>
  <c r="K78" i="13"/>
  <c r="O77" i="13"/>
  <c r="N77" i="13"/>
  <c r="M77" i="13"/>
  <c r="L77" i="13"/>
  <c r="K77" i="13"/>
  <c r="O76" i="13"/>
  <c r="N76" i="13"/>
  <c r="M76" i="13"/>
  <c r="L76" i="13"/>
  <c r="K76" i="13"/>
  <c r="O75" i="13"/>
  <c r="N75" i="13"/>
  <c r="M75" i="13"/>
  <c r="L75" i="13"/>
  <c r="K75" i="13"/>
  <c r="O74" i="13"/>
  <c r="N74" i="13"/>
  <c r="M74" i="13"/>
  <c r="L74" i="13"/>
  <c r="K74" i="13"/>
  <c r="O73" i="13"/>
  <c r="N73" i="13"/>
  <c r="M73" i="13"/>
  <c r="L73" i="13"/>
  <c r="K73" i="13"/>
  <c r="O72" i="13"/>
  <c r="N72" i="13"/>
  <c r="M72" i="13"/>
  <c r="L72" i="13"/>
  <c r="K72" i="13"/>
  <c r="O71" i="13"/>
  <c r="N71" i="13"/>
  <c r="M71" i="13"/>
  <c r="L71" i="13"/>
  <c r="K71" i="13"/>
  <c r="O70" i="13"/>
  <c r="N70" i="13"/>
  <c r="M70" i="13"/>
  <c r="L70" i="13"/>
  <c r="K70" i="13"/>
  <c r="O69" i="13"/>
  <c r="N69" i="13"/>
  <c r="M69" i="13"/>
  <c r="L69" i="13"/>
  <c r="K69" i="13"/>
  <c r="O68" i="13"/>
  <c r="N68" i="13"/>
  <c r="M68" i="13"/>
  <c r="L68" i="13"/>
  <c r="K68" i="13"/>
  <c r="O67" i="13"/>
  <c r="N67" i="13"/>
  <c r="M67" i="13"/>
  <c r="L67" i="13"/>
  <c r="K67" i="13"/>
  <c r="O66" i="13"/>
  <c r="N66" i="13"/>
  <c r="M66" i="13"/>
  <c r="L66" i="13"/>
  <c r="K66" i="13"/>
  <c r="O65" i="13"/>
  <c r="N65" i="13"/>
  <c r="M65" i="13"/>
  <c r="L65" i="13"/>
  <c r="K65" i="13"/>
  <c r="O64" i="13"/>
  <c r="N64" i="13"/>
  <c r="M64" i="13"/>
  <c r="L64" i="13"/>
  <c r="K64" i="13"/>
  <c r="O63" i="13"/>
  <c r="N63" i="13"/>
  <c r="M63" i="13"/>
  <c r="L63" i="13"/>
  <c r="K63" i="13"/>
  <c r="O62" i="13"/>
  <c r="N62" i="13"/>
  <c r="M62" i="13"/>
  <c r="L62" i="13"/>
  <c r="K62" i="13"/>
  <c r="O61" i="13"/>
  <c r="N61" i="13"/>
  <c r="M61" i="13"/>
  <c r="L61" i="13"/>
  <c r="K61" i="13"/>
  <c r="O60" i="13"/>
  <c r="N60" i="13"/>
  <c r="M60" i="13"/>
  <c r="L60" i="13"/>
  <c r="K60" i="13"/>
  <c r="O59" i="13"/>
  <c r="N59" i="13"/>
  <c r="M59" i="13"/>
  <c r="L59" i="13"/>
  <c r="K59" i="13"/>
  <c r="O58" i="13"/>
  <c r="N58" i="13"/>
  <c r="M58" i="13"/>
  <c r="L58" i="13"/>
  <c r="K58" i="13"/>
  <c r="O57" i="13"/>
  <c r="N57" i="13"/>
  <c r="M57" i="13"/>
  <c r="L57" i="13"/>
  <c r="K57" i="13"/>
  <c r="O56" i="13"/>
  <c r="N56" i="13"/>
  <c r="M56" i="13"/>
  <c r="L56" i="13"/>
  <c r="K56" i="13"/>
  <c r="O55" i="13"/>
  <c r="N55" i="13"/>
  <c r="M55" i="13"/>
  <c r="L55" i="13"/>
  <c r="K55" i="13"/>
  <c r="O54" i="13"/>
  <c r="N54" i="13"/>
  <c r="M54" i="13"/>
  <c r="L54" i="13"/>
  <c r="K54" i="13"/>
  <c r="O53" i="13"/>
  <c r="N53" i="13"/>
  <c r="M53" i="13"/>
  <c r="L53" i="13"/>
  <c r="K53" i="13"/>
  <c r="O52" i="13"/>
  <c r="N52" i="13"/>
  <c r="M52" i="13"/>
  <c r="L52" i="13"/>
  <c r="K52" i="13"/>
  <c r="O51" i="13"/>
  <c r="N51" i="13"/>
  <c r="M51" i="13"/>
  <c r="L51" i="13"/>
  <c r="K51" i="13"/>
  <c r="O50" i="13"/>
  <c r="N50" i="13"/>
  <c r="M50" i="13"/>
  <c r="L50" i="13"/>
  <c r="K50" i="13"/>
  <c r="O49" i="13"/>
  <c r="N49" i="13"/>
  <c r="M49" i="13"/>
  <c r="L49" i="13"/>
  <c r="K49" i="13"/>
  <c r="O48" i="13"/>
  <c r="N48" i="13"/>
  <c r="M48" i="13"/>
  <c r="L48" i="13"/>
  <c r="K48" i="13"/>
  <c r="O47" i="13"/>
  <c r="N47" i="13"/>
  <c r="M47" i="13"/>
  <c r="L47" i="13"/>
  <c r="K47" i="13"/>
  <c r="O46" i="13"/>
  <c r="N46" i="13"/>
  <c r="M46" i="13"/>
  <c r="L46" i="13"/>
  <c r="K46" i="13"/>
  <c r="O45" i="13"/>
  <c r="N45" i="13"/>
  <c r="M45" i="13"/>
  <c r="L45" i="13"/>
  <c r="K45" i="13"/>
  <c r="O44" i="13"/>
  <c r="N44" i="13"/>
  <c r="M44" i="13"/>
  <c r="L44" i="13"/>
  <c r="K44" i="13"/>
  <c r="O43" i="13"/>
  <c r="N43" i="13"/>
  <c r="M43" i="13"/>
  <c r="L43" i="13"/>
  <c r="K43" i="13"/>
  <c r="O42" i="13"/>
  <c r="N42" i="13"/>
  <c r="M42" i="13"/>
  <c r="L42" i="13"/>
  <c r="K42" i="13"/>
  <c r="O41" i="13"/>
  <c r="N41" i="13"/>
  <c r="M41" i="13"/>
  <c r="L41" i="13"/>
  <c r="K41" i="13"/>
  <c r="O40" i="13"/>
  <c r="N40" i="13"/>
  <c r="M40" i="13"/>
  <c r="L40" i="13"/>
  <c r="K40" i="13"/>
  <c r="O39" i="13"/>
  <c r="N39" i="13"/>
  <c r="M39" i="13"/>
  <c r="L39" i="13"/>
  <c r="K39" i="13"/>
  <c r="O38" i="13"/>
  <c r="N38" i="13"/>
  <c r="M38" i="13"/>
  <c r="L38" i="13"/>
  <c r="K38" i="13"/>
  <c r="O37" i="13"/>
  <c r="N37" i="13"/>
  <c r="M37" i="13"/>
  <c r="L37" i="13"/>
  <c r="K37" i="13"/>
  <c r="O36" i="13"/>
  <c r="N36" i="13"/>
  <c r="M36" i="13"/>
  <c r="L36" i="13"/>
  <c r="K36" i="13"/>
  <c r="O35" i="13"/>
  <c r="N35" i="13"/>
  <c r="M35" i="13"/>
  <c r="L35" i="13"/>
  <c r="K35" i="13"/>
  <c r="O34" i="13"/>
  <c r="N34" i="13"/>
  <c r="M34" i="13"/>
  <c r="L34" i="13"/>
  <c r="K34" i="13"/>
  <c r="O33" i="13"/>
  <c r="N33" i="13"/>
  <c r="M33" i="13"/>
  <c r="L33" i="13"/>
  <c r="K33" i="13"/>
  <c r="O32" i="13"/>
  <c r="N32" i="13"/>
  <c r="M32" i="13"/>
  <c r="L32" i="13"/>
  <c r="K32" i="13"/>
  <c r="O31" i="13"/>
  <c r="N31" i="13"/>
  <c r="M31" i="13"/>
  <c r="L31" i="13"/>
  <c r="K31" i="13"/>
  <c r="O30" i="13"/>
  <c r="N30" i="13"/>
  <c r="M30" i="13"/>
  <c r="L30" i="13"/>
  <c r="K30" i="13"/>
  <c r="O29" i="13"/>
  <c r="N29" i="13"/>
  <c r="M29" i="13"/>
  <c r="L29" i="13"/>
  <c r="K29" i="13"/>
  <c r="O28" i="13"/>
  <c r="N28" i="13"/>
  <c r="M28" i="13"/>
  <c r="L28" i="13"/>
  <c r="K28" i="13"/>
  <c r="O27" i="13"/>
  <c r="N27" i="13"/>
  <c r="M27" i="13"/>
  <c r="L27" i="13"/>
  <c r="K27" i="13"/>
  <c r="O26" i="13"/>
  <c r="N26" i="13"/>
  <c r="M26" i="13"/>
  <c r="L26" i="13"/>
  <c r="K26" i="13"/>
  <c r="O25" i="13"/>
  <c r="N25" i="13"/>
  <c r="M25" i="13"/>
  <c r="L25" i="13"/>
  <c r="K25" i="13"/>
  <c r="O24" i="13"/>
  <c r="N24" i="13"/>
  <c r="M24" i="13"/>
  <c r="L24" i="13"/>
  <c r="K24" i="13"/>
  <c r="O23" i="13"/>
  <c r="N23" i="13"/>
  <c r="M23" i="13"/>
  <c r="L23" i="13"/>
  <c r="K23" i="13"/>
  <c r="O22" i="13"/>
  <c r="N22" i="13"/>
  <c r="M22" i="13"/>
  <c r="L22" i="13"/>
  <c r="K22" i="13"/>
  <c r="O21" i="13"/>
  <c r="N21" i="13"/>
  <c r="M21" i="13"/>
  <c r="L21" i="13"/>
  <c r="K21" i="13"/>
  <c r="O20" i="13"/>
  <c r="N20" i="13"/>
  <c r="M20" i="13"/>
  <c r="L20" i="13"/>
  <c r="K20" i="13"/>
  <c r="O19" i="13"/>
  <c r="N19" i="13"/>
  <c r="M19" i="13"/>
  <c r="L19" i="13"/>
  <c r="K19" i="13"/>
  <c r="O18" i="13"/>
  <c r="N18" i="13"/>
  <c r="M18" i="13"/>
  <c r="L18" i="13"/>
  <c r="K18" i="13"/>
  <c r="O17" i="13"/>
  <c r="N17" i="13"/>
  <c r="M17" i="13"/>
  <c r="L17" i="13"/>
  <c r="K17" i="13"/>
  <c r="O16" i="13"/>
  <c r="N16" i="13"/>
  <c r="M16" i="13"/>
  <c r="L16" i="13"/>
  <c r="K16" i="13"/>
  <c r="O15" i="13"/>
  <c r="N15" i="13"/>
  <c r="M15" i="13"/>
  <c r="L15" i="13"/>
  <c r="K15" i="13"/>
  <c r="O14" i="13"/>
  <c r="N14" i="13"/>
  <c r="M14" i="13"/>
  <c r="L14" i="13"/>
  <c r="K14" i="13"/>
  <c r="O13" i="13"/>
  <c r="N13" i="13"/>
  <c r="M13" i="13"/>
  <c r="L13" i="13"/>
  <c r="K13" i="13"/>
  <c r="O12" i="13"/>
  <c r="N12" i="13"/>
  <c r="M12" i="13"/>
  <c r="L12" i="13"/>
  <c r="K12" i="13"/>
  <c r="O11" i="13"/>
  <c r="N11" i="13"/>
  <c r="M11" i="13"/>
  <c r="L11" i="13"/>
  <c r="K11" i="13"/>
  <c r="O10" i="13"/>
  <c r="N10" i="13"/>
  <c r="M10" i="13"/>
  <c r="L10" i="13"/>
  <c r="K10" i="13"/>
  <c r="O9" i="13"/>
  <c r="N9" i="13"/>
  <c r="M9" i="13"/>
  <c r="L9" i="13"/>
  <c r="K9" i="13"/>
  <c r="O8" i="13"/>
  <c r="N8" i="13"/>
  <c r="M8" i="13"/>
  <c r="L8" i="13"/>
  <c r="K8" i="13"/>
  <c r="O7" i="13"/>
  <c r="N7" i="13"/>
  <c r="M7" i="13"/>
  <c r="L7" i="13"/>
  <c r="K7" i="13"/>
  <c r="O6" i="13"/>
  <c r="N6" i="13"/>
  <c r="M6" i="13"/>
  <c r="L6" i="13"/>
  <c r="K6" i="13"/>
  <c r="O5" i="13"/>
  <c r="N5" i="13"/>
  <c r="M5" i="13"/>
  <c r="L5" i="13"/>
  <c r="K5" i="13"/>
  <c r="O4" i="13"/>
  <c r="N4" i="13"/>
  <c r="M4" i="13"/>
  <c r="L4" i="13"/>
  <c r="K4" i="13"/>
  <c r="O3" i="13"/>
  <c r="N3" i="13"/>
  <c r="M3" i="13"/>
  <c r="L3" i="13"/>
  <c r="K3" i="13"/>
  <c r="O2" i="13"/>
  <c r="N2" i="13"/>
  <c r="M2" i="13"/>
  <c r="L2" i="13"/>
  <c r="K2" i="13"/>
  <c r="N993" i="11"/>
  <c r="H993" i="11" s="1" a="1"/>
  <c r="H993" i="11" s="1"/>
  <c r="I993" i="11"/>
  <c r="C993" i="11"/>
  <c r="N992" i="11"/>
  <c r="H992" i="11" s="1" a="1"/>
  <c r="M992" i="11"/>
  <c r="I992" i="11"/>
  <c r="H992" i="11"/>
  <c r="C992" i="11"/>
  <c r="N991" i="11"/>
  <c r="M991" i="11"/>
  <c r="L991" i="11" a="1"/>
  <c r="L991" i="11" s="1"/>
  <c r="C991" i="11"/>
  <c r="N990" i="11"/>
  <c r="H990" i="11" s="1" a="1"/>
  <c r="L990" i="11" a="1"/>
  <c r="L990" i="11" s="1"/>
  <c r="H990" i="11"/>
  <c r="C990" i="11"/>
  <c r="N989" i="11"/>
  <c r="L989" i="11" s="1" a="1"/>
  <c r="L989" i="11" s="1"/>
  <c r="M989" i="11"/>
  <c r="I989" i="11"/>
  <c r="H989" i="11" a="1"/>
  <c r="H989" i="11"/>
  <c r="C989" i="11"/>
  <c r="N988" i="11"/>
  <c r="C988" i="11"/>
  <c r="N987" i="11"/>
  <c r="M987" i="11"/>
  <c r="L987" i="11" a="1"/>
  <c r="L987" i="11" s="1"/>
  <c r="I987" i="11"/>
  <c r="H987" i="11" a="1"/>
  <c r="H987" i="11" s="1"/>
  <c r="C987" i="11"/>
  <c r="N986" i="11"/>
  <c r="H986" i="11" s="1" a="1"/>
  <c r="H986" i="11" s="1"/>
  <c r="M986" i="11"/>
  <c r="L986" i="11" a="1"/>
  <c r="L986" i="11" s="1"/>
  <c r="I986" i="11"/>
  <c r="C986" i="11"/>
  <c r="N985" i="11"/>
  <c r="C985" i="11"/>
  <c r="N984" i="11"/>
  <c r="L984" i="11" a="1"/>
  <c r="L984" i="11" s="1"/>
  <c r="C984" i="11"/>
  <c r="N983" i="11"/>
  <c r="M983" i="11"/>
  <c r="L983" i="11" a="1"/>
  <c r="L983" i="11" s="1"/>
  <c r="I983" i="11"/>
  <c r="H983" i="11" a="1"/>
  <c r="H983" i="11" s="1"/>
  <c r="C983" i="11"/>
  <c r="N982" i="11"/>
  <c r="M982" i="11"/>
  <c r="C982" i="11"/>
  <c r="N981" i="11"/>
  <c r="M981" i="11"/>
  <c r="L981" i="11" a="1"/>
  <c r="L981" i="11"/>
  <c r="I981" i="11"/>
  <c r="H981" i="11" a="1"/>
  <c r="H981" i="11" s="1"/>
  <c r="C981" i="11"/>
  <c r="N980" i="11"/>
  <c r="C980" i="11"/>
  <c r="N979" i="11"/>
  <c r="I979" i="11"/>
  <c r="H979" i="11" a="1"/>
  <c r="H979" i="11"/>
  <c r="C979" i="11"/>
  <c r="N978" i="11"/>
  <c r="M978" i="11" s="1"/>
  <c r="C978" i="11"/>
  <c r="N977" i="11"/>
  <c r="L977" i="11" s="1" a="1"/>
  <c r="L977" i="11" s="1"/>
  <c r="M977" i="11"/>
  <c r="I977" i="11"/>
  <c r="H977" i="11" a="1"/>
  <c r="H977" i="11"/>
  <c r="C977" i="11"/>
  <c r="N976" i="11"/>
  <c r="M976" i="11" s="1"/>
  <c r="L976" i="11" a="1"/>
  <c r="L976" i="11" s="1"/>
  <c r="C976" i="11"/>
  <c r="N975" i="11"/>
  <c r="M975" i="11" s="1"/>
  <c r="L975" i="11" a="1"/>
  <c r="L975" i="11" s="1"/>
  <c r="H975" i="11" a="1"/>
  <c r="H975" i="11" s="1"/>
  <c r="C975" i="11"/>
  <c r="N974" i="11"/>
  <c r="H974" i="11" s="1" a="1"/>
  <c r="M974" i="11"/>
  <c r="L974" i="11" a="1"/>
  <c r="L974" i="11"/>
  <c r="H974" i="11"/>
  <c r="C974" i="11"/>
  <c r="N973" i="11"/>
  <c r="C973" i="11"/>
  <c r="N972" i="11"/>
  <c r="M972" i="11" s="1"/>
  <c r="C972" i="11"/>
  <c r="N971" i="11"/>
  <c r="H971" i="11" s="1" a="1"/>
  <c r="H971" i="11" s="1"/>
  <c r="M971" i="11"/>
  <c r="L971" i="11" a="1"/>
  <c r="L971" i="11" s="1"/>
  <c r="I971" i="11"/>
  <c r="C971" i="11"/>
  <c r="N970" i="11"/>
  <c r="H970" i="11" s="1" a="1"/>
  <c r="H970" i="11" s="1"/>
  <c r="L970" i="11" a="1"/>
  <c r="L970" i="11"/>
  <c r="I970" i="11"/>
  <c r="C970" i="11"/>
  <c r="N969" i="11"/>
  <c r="C969" i="11"/>
  <c r="N968" i="11"/>
  <c r="H968" i="11" s="1" a="1"/>
  <c r="M968" i="11"/>
  <c r="I968" i="11"/>
  <c r="H968" i="11"/>
  <c r="C968" i="11"/>
  <c r="N967" i="11"/>
  <c r="M967" i="11"/>
  <c r="C967" i="11"/>
  <c r="N966" i="11"/>
  <c r="H966" i="11" s="1" a="1"/>
  <c r="M966" i="11"/>
  <c r="L966" i="11" a="1"/>
  <c r="L966" i="11" s="1"/>
  <c r="I966" i="11"/>
  <c r="H966" i="11"/>
  <c r="C966" i="11"/>
  <c r="N965" i="11"/>
  <c r="H965" i="11" s="1" a="1"/>
  <c r="H965" i="11" s="1"/>
  <c r="M965" i="11"/>
  <c r="L965" i="11" a="1"/>
  <c r="L965" i="11" s="1"/>
  <c r="I965" i="11"/>
  <c r="C965" i="11"/>
  <c r="N964" i="11"/>
  <c r="H964" i="11" s="1" a="1"/>
  <c r="M964" i="11"/>
  <c r="L964" i="11" a="1"/>
  <c r="L964" i="11"/>
  <c r="I964" i="11"/>
  <c r="H964" i="11"/>
  <c r="C964" i="11"/>
  <c r="N963" i="11"/>
  <c r="I963" i="11" s="1"/>
  <c r="M963" i="11"/>
  <c r="L963" i="11" a="1"/>
  <c r="L963" i="11" s="1"/>
  <c r="H963" i="11" a="1"/>
  <c r="H963" i="11" s="1"/>
  <c r="C963" i="11"/>
  <c r="N962" i="11"/>
  <c r="I962" i="11" s="1"/>
  <c r="C962" i="11"/>
  <c r="N961" i="11"/>
  <c r="M961" i="11"/>
  <c r="L961" i="11" a="1"/>
  <c r="L961" i="11" s="1"/>
  <c r="C961" i="11"/>
  <c r="N960" i="11"/>
  <c r="H960" i="11" s="1" a="1"/>
  <c r="M960" i="11"/>
  <c r="I960" i="11"/>
  <c r="H960" i="11"/>
  <c r="C960" i="11"/>
  <c r="N959" i="11"/>
  <c r="C959" i="11"/>
  <c r="N958" i="11"/>
  <c r="H958" i="11" s="1" a="1"/>
  <c r="L958" i="11" a="1"/>
  <c r="L958" i="11" s="1"/>
  <c r="H958" i="11"/>
  <c r="C958" i="11"/>
  <c r="N957" i="11"/>
  <c r="M957" i="11" s="1"/>
  <c r="L957" i="11" a="1"/>
  <c r="L957" i="11"/>
  <c r="I957" i="11"/>
  <c r="H957" i="11" a="1"/>
  <c r="H957" i="11"/>
  <c r="C957" i="11"/>
  <c r="N956" i="11"/>
  <c r="C956" i="11"/>
  <c r="N955" i="11"/>
  <c r="C955" i="11"/>
  <c r="N954" i="11"/>
  <c r="H954" i="11" s="1" a="1"/>
  <c r="H954" i="11" s="1"/>
  <c r="M954" i="11"/>
  <c r="L954" i="11" a="1"/>
  <c r="L954" i="11" s="1"/>
  <c r="I954" i="11"/>
  <c r="C954" i="11"/>
  <c r="N953" i="11"/>
  <c r="M953" i="11" s="1"/>
  <c r="L953" i="11" a="1"/>
  <c r="L953" i="11"/>
  <c r="C953" i="11"/>
  <c r="N952" i="11"/>
  <c r="L952" i="11" s="1" a="1"/>
  <c r="L952" i="11" s="1"/>
  <c r="C952" i="11"/>
  <c r="N951" i="11"/>
  <c r="M951" i="11"/>
  <c r="L951" i="11" a="1"/>
  <c r="L951" i="11"/>
  <c r="I951" i="11"/>
  <c r="H951" i="11" a="1"/>
  <c r="H951" i="11"/>
  <c r="C951" i="11"/>
  <c r="N950" i="11"/>
  <c r="M950" i="11" s="1"/>
  <c r="C950" i="11"/>
  <c r="N949" i="11"/>
  <c r="M949" i="11"/>
  <c r="L949" i="11" a="1"/>
  <c r="L949" i="11" s="1"/>
  <c r="I949" i="11"/>
  <c r="H949" i="11" a="1"/>
  <c r="H949" i="11"/>
  <c r="C949" i="11"/>
  <c r="N948" i="11"/>
  <c r="H948" i="11" s="1" a="1"/>
  <c r="H948" i="11" s="1"/>
  <c r="M948" i="11"/>
  <c r="L948" i="11" a="1"/>
  <c r="L948" i="11" s="1"/>
  <c r="I948" i="11"/>
  <c r="C948" i="11"/>
  <c r="N947" i="11"/>
  <c r="I947" i="11"/>
  <c r="H947" i="11" a="1"/>
  <c r="H947" i="11" s="1"/>
  <c r="C947" i="11"/>
  <c r="N946" i="11"/>
  <c r="M946" i="11"/>
  <c r="C946" i="11"/>
  <c r="N945" i="11"/>
  <c r="L945" i="11" s="1" a="1"/>
  <c r="L945" i="11" s="1"/>
  <c r="M945" i="11"/>
  <c r="I945" i="11"/>
  <c r="H945" i="11" a="1"/>
  <c r="H945" i="11" s="1"/>
  <c r="C945" i="11"/>
  <c r="N944" i="11"/>
  <c r="H944" i="11" s="1" a="1"/>
  <c r="H944" i="11" s="1"/>
  <c r="M944" i="11"/>
  <c r="I944" i="11"/>
  <c r="C944" i="11"/>
  <c r="N943" i="11"/>
  <c r="M943" i="11" s="1"/>
  <c r="L943" i="11" a="1"/>
  <c r="L943" i="11" s="1"/>
  <c r="H943" i="11" a="1"/>
  <c r="H943" i="11"/>
  <c r="C943" i="11"/>
  <c r="N942" i="11"/>
  <c r="M942" i="11" s="1"/>
  <c r="C942" i="11"/>
  <c r="N941" i="11"/>
  <c r="C941" i="11"/>
  <c r="N940" i="11"/>
  <c r="C940" i="11"/>
  <c r="N939" i="11"/>
  <c r="H939" i="11" s="1" a="1"/>
  <c r="H939" i="11" s="1"/>
  <c r="M939" i="11"/>
  <c r="L939" i="11" a="1"/>
  <c r="L939" i="11" s="1"/>
  <c r="I939" i="11"/>
  <c r="C939" i="11"/>
  <c r="N938" i="11"/>
  <c r="H938" i="11" s="1" a="1"/>
  <c r="M938" i="11"/>
  <c r="L938" i="11" a="1"/>
  <c r="L938" i="11" s="1"/>
  <c r="I938" i="11"/>
  <c r="H938" i="11"/>
  <c r="C938" i="11"/>
  <c r="N937" i="11"/>
  <c r="L937" i="11" a="1"/>
  <c r="L937" i="11" s="1"/>
  <c r="H937" i="11" a="1"/>
  <c r="H937" i="11" s="1"/>
  <c r="C937" i="11"/>
  <c r="N936" i="11"/>
  <c r="H936" i="11" s="1" a="1"/>
  <c r="H936" i="11" s="1"/>
  <c r="I936" i="11"/>
  <c r="C936" i="11"/>
  <c r="N935" i="11"/>
  <c r="M935" i="11" s="1"/>
  <c r="C935" i="11"/>
  <c r="N934" i="11"/>
  <c r="H934" i="11" s="1" a="1"/>
  <c r="M934" i="11"/>
  <c r="L934" i="11" a="1"/>
  <c r="L934" i="11" s="1"/>
  <c r="I934" i="11"/>
  <c r="H934" i="11"/>
  <c r="C934" i="11"/>
  <c r="N933" i="11"/>
  <c r="H933" i="11" s="1" a="1"/>
  <c r="H933" i="11" s="1"/>
  <c r="M933" i="11"/>
  <c r="I933" i="11"/>
  <c r="C933" i="11"/>
  <c r="N932" i="11"/>
  <c r="H932" i="11" s="1" a="1"/>
  <c r="L932" i="11" a="1"/>
  <c r="L932" i="11"/>
  <c r="I932" i="11"/>
  <c r="H932" i="11"/>
  <c r="C932" i="11"/>
  <c r="N931" i="11"/>
  <c r="C931" i="11"/>
  <c r="N930" i="11"/>
  <c r="I930" i="11"/>
  <c r="C930" i="11"/>
  <c r="N929" i="11"/>
  <c r="H929" i="11" s="1" a="1"/>
  <c r="H929" i="11"/>
  <c r="C929" i="11"/>
  <c r="N928" i="11"/>
  <c r="H928" i="11" s="1" a="1"/>
  <c r="M928" i="11"/>
  <c r="L928" i="11" a="1"/>
  <c r="L928" i="11" s="1"/>
  <c r="I928" i="11"/>
  <c r="H928" i="11"/>
  <c r="C928" i="11"/>
  <c r="N927" i="11"/>
  <c r="M927" i="11"/>
  <c r="C927" i="11"/>
  <c r="N926" i="11"/>
  <c r="H926" i="11" s="1" a="1"/>
  <c r="L926" i="11" a="1"/>
  <c r="L926" i="11" s="1"/>
  <c r="H926" i="11"/>
  <c r="C926" i="11"/>
  <c r="N925" i="11"/>
  <c r="M925" i="11" s="1"/>
  <c r="L925" i="11" a="1"/>
  <c r="L925" i="11"/>
  <c r="H925" i="11" a="1"/>
  <c r="H925" i="11"/>
  <c r="C925" i="11"/>
  <c r="N924" i="11"/>
  <c r="C924" i="11"/>
  <c r="N923" i="11"/>
  <c r="M923" i="11"/>
  <c r="L923" i="11" a="1"/>
  <c r="L923" i="11" s="1"/>
  <c r="C923" i="11"/>
  <c r="N922" i="11"/>
  <c r="H922" i="11" s="1" a="1"/>
  <c r="M922" i="11"/>
  <c r="L922" i="11" a="1"/>
  <c r="L922" i="11" s="1"/>
  <c r="I922" i="11"/>
  <c r="H922" i="11"/>
  <c r="C922" i="11"/>
  <c r="N921" i="11"/>
  <c r="M921" i="11"/>
  <c r="L921" i="11" a="1"/>
  <c r="L921" i="11" s="1"/>
  <c r="C921" i="11"/>
  <c r="N920" i="11"/>
  <c r="L920" i="11" a="1"/>
  <c r="L920" i="11" s="1"/>
  <c r="C920" i="11"/>
  <c r="N919" i="11"/>
  <c r="M919" i="11"/>
  <c r="L919" i="11" a="1"/>
  <c r="L919" i="11"/>
  <c r="I919" i="11"/>
  <c r="H919" i="11" a="1"/>
  <c r="H919" i="11" s="1"/>
  <c r="C919" i="11"/>
  <c r="N918" i="11"/>
  <c r="C918" i="11"/>
  <c r="N917" i="11"/>
  <c r="M917" i="11" s="1"/>
  <c r="L917" i="11" a="1"/>
  <c r="L917" i="11"/>
  <c r="I917" i="11"/>
  <c r="H917" i="11" a="1"/>
  <c r="H917" i="11"/>
  <c r="C917" i="11"/>
  <c r="N916" i="11"/>
  <c r="C916" i="11"/>
  <c r="N915" i="11"/>
  <c r="C915" i="11"/>
  <c r="N914" i="11"/>
  <c r="M914" i="11" s="1"/>
  <c r="L914" i="11" a="1"/>
  <c r="L914" i="11"/>
  <c r="C914" i="11"/>
  <c r="N913" i="11"/>
  <c r="M913" i="11"/>
  <c r="L913" i="11" a="1"/>
  <c r="L913" i="11" s="1"/>
  <c r="I913" i="11"/>
  <c r="H913" i="11" a="1"/>
  <c r="H913" i="11" s="1"/>
  <c r="C913" i="11"/>
  <c r="N912" i="11"/>
  <c r="H912" i="11" s="1" a="1"/>
  <c r="H912" i="11" s="1"/>
  <c r="L912" i="11" a="1"/>
  <c r="L912" i="11"/>
  <c r="C912" i="11"/>
  <c r="N911" i="11"/>
  <c r="M911" i="11" s="1"/>
  <c r="L911" i="11" a="1"/>
  <c r="L911" i="11" s="1"/>
  <c r="H911" i="11" a="1"/>
  <c r="H911" i="11" s="1"/>
  <c r="C911" i="11"/>
  <c r="N910" i="11"/>
  <c r="M910" i="11" s="1"/>
  <c r="L910" i="11" a="1"/>
  <c r="L910" i="11"/>
  <c r="C910" i="11"/>
  <c r="N909" i="11"/>
  <c r="C909" i="11"/>
  <c r="N908" i="11"/>
  <c r="M908" i="11" s="1"/>
  <c r="C908" i="11"/>
  <c r="N907" i="11"/>
  <c r="M907" i="11"/>
  <c r="L907" i="11" a="1"/>
  <c r="L907" i="11" s="1"/>
  <c r="I907" i="11"/>
  <c r="H907" i="11" a="1"/>
  <c r="H907" i="11" s="1"/>
  <c r="C907" i="11"/>
  <c r="N906" i="11"/>
  <c r="H906" i="11" s="1" a="1"/>
  <c r="L906" i="11" a="1"/>
  <c r="L906" i="11" s="1"/>
  <c r="I906" i="11"/>
  <c r="H906" i="11"/>
  <c r="C906" i="11"/>
  <c r="N905" i="11"/>
  <c r="L905" i="11" a="1"/>
  <c r="L905" i="11" s="1"/>
  <c r="H905" i="11" a="1"/>
  <c r="H905" i="11" s="1"/>
  <c r="C905" i="11"/>
  <c r="N904" i="11"/>
  <c r="C904" i="11"/>
  <c r="N903" i="11"/>
  <c r="M903" i="11"/>
  <c r="C903" i="11"/>
  <c r="N902" i="11"/>
  <c r="H902" i="11" s="1" a="1"/>
  <c r="M902" i="11"/>
  <c r="L902" i="11" a="1"/>
  <c r="L902" i="11"/>
  <c r="I902" i="11"/>
  <c r="H902" i="11"/>
  <c r="C902" i="11"/>
  <c r="N901" i="11"/>
  <c r="H901" i="11" s="1" a="1"/>
  <c r="H901" i="11" s="1"/>
  <c r="M901" i="11"/>
  <c r="L901" i="11" a="1"/>
  <c r="L901" i="11" s="1"/>
  <c r="C901" i="11"/>
  <c r="N900" i="11"/>
  <c r="H900" i="11" s="1" a="1"/>
  <c r="L900" i="11" a="1"/>
  <c r="L900" i="11"/>
  <c r="I900" i="11"/>
  <c r="H900" i="11"/>
  <c r="C900" i="11"/>
  <c r="N899" i="11"/>
  <c r="M899" i="11" s="1"/>
  <c r="L899" i="11" a="1"/>
  <c r="L899" i="11" s="1"/>
  <c r="C899" i="11"/>
  <c r="N898" i="11"/>
  <c r="I898" i="11" s="1"/>
  <c r="C898" i="11"/>
  <c r="N897" i="11"/>
  <c r="H897" i="11" s="1" a="1"/>
  <c r="I897" i="11"/>
  <c r="H897" i="11"/>
  <c r="C897" i="11"/>
  <c r="N896" i="11"/>
  <c r="H896" i="11" s="1" a="1"/>
  <c r="M896" i="11"/>
  <c r="L896" i="11" a="1"/>
  <c r="L896" i="11" s="1"/>
  <c r="I896" i="11"/>
  <c r="H896" i="11"/>
  <c r="C896" i="11"/>
  <c r="N895" i="11"/>
  <c r="M895" i="11"/>
  <c r="L895" i="11" a="1"/>
  <c r="L895" i="11"/>
  <c r="I895" i="11"/>
  <c r="H895" i="11" a="1"/>
  <c r="H895" i="11" s="1"/>
  <c r="C895" i="11"/>
  <c r="N894" i="11"/>
  <c r="H894" i="11" s="1" a="1"/>
  <c r="L894" i="11" a="1"/>
  <c r="L894" i="11" s="1"/>
  <c r="H894" i="11"/>
  <c r="C894" i="11"/>
  <c r="N893" i="11"/>
  <c r="M893" i="11" s="1"/>
  <c r="I893" i="11"/>
  <c r="C893" i="11"/>
  <c r="N892" i="11"/>
  <c r="C892" i="11"/>
  <c r="N891" i="11"/>
  <c r="M891" i="11" s="1"/>
  <c r="C891" i="11"/>
  <c r="N890" i="11"/>
  <c r="H890" i="11" s="1" a="1"/>
  <c r="M890" i="11"/>
  <c r="L890" i="11" a="1"/>
  <c r="L890" i="11" s="1"/>
  <c r="I890" i="11"/>
  <c r="H890" i="11"/>
  <c r="C890" i="11"/>
  <c r="N889" i="11"/>
  <c r="M889" i="11"/>
  <c r="C889" i="11"/>
  <c r="N888" i="11"/>
  <c r="L888" i="11" a="1"/>
  <c r="L888" i="11"/>
  <c r="C888" i="11"/>
  <c r="N887" i="11"/>
  <c r="M887" i="11"/>
  <c r="L887" i="11" a="1"/>
  <c r="L887" i="11" s="1"/>
  <c r="I887" i="11"/>
  <c r="H887" i="11" a="1"/>
  <c r="H887" i="11"/>
  <c r="C887" i="11"/>
  <c r="N886" i="11"/>
  <c r="C886" i="11"/>
  <c r="N885" i="11"/>
  <c r="M885" i="11" s="1"/>
  <c r="L885" i="11" a="1"/>
  <c r="L885" i="11"/>
  <c r="I885" i="11"/>
  <c r="H885" i="11" a="1"/>
  <c r="H885" i="11" s="1"/>
  <c r="C885" i="11"/>
  <c r="N884" i="11"/>
  <c r="H884" i="11" s="1" a="1"/>
  <c r="M884" i="11"/>
  <c r="I884" i="11"/>
  <c r="H884" i="11"/>
  <c r="C884" i="11"/>
  <c r="N883" i="11"/>
  <c r="I883" i="11"/>
  <c r="H883" i="11" a="1"/>
  <c r="H883" i="11" s="1"/>
  <c r="C883" i="11"/>
  <c r="N882" i="11"/>
  <c r="M882" i="11" s="1"/>
  <c r="L882" i="11" a="1"/>
  <c r="L882" i="11" s="1"/>
  <c r="C882" i="11"/>
  <c r="N881" i="11"/>
  <c r="M881" i="11"/>
  <c r="L881" i="11" a="1"/>
  <c r="L881" i="11" s="1"/>
  <c r="I881" i="11"/>
  <c r="H881" i="11" a="1"/>
  <c r="H881" i="11" s="1"/>
  <c r="C881" i="11"/>
  <c r="N880" i="11"/>
  <c r="H880" i="11" s="1" a="1"/>
  <c r="H880" i="11" s="1"/>
  <c r="L880" i="11" a="1"/>
  <c r="L880" i="11" s="1"/>
  <c r="I880" i="11"/>
  <c r="C880" i="11"/>
  <c r="N879" i="11"/>
  <c r="L879" i="11" a="1"/>
  <c r="L879" i="11" s="1"/>
  <c r="H879" i="11" a="1"/>
  <c r="H879" i="11" s="1"/>
  <c r="C879" i="11"/>
  <c r="N878" i="11"/>
  <c r="C878" i="11"/>
  <c r="N877" i="11"/>
  <c r="M877" i="11"/>
  <c r="C877" i="11"/>
  <c r="N876" i="11"/>
  <c r="H876" i="11" s="1" a="1"/>
  <c r="H876" i="11" s="1"/>
  <c r="C876" i="11"/>
  <c r="N875" i="11"/>
  <c r="M875" i="11"/>
  <c r="L875" i="11" a="1"/>
  <c r="L875" i="11" s="1"/>
  <c r="I875" i="11"/>
  <c r="H875" i="11" a="1"/>
  <c r="H875" i="11" s="1"/>
  <c r="C875" i="11"/>
  <c r="N874" i="11"/>
  <c r="C874" i="11"/>
  <c r="N873" i="11"/>
  <c r="C873" i="11"/>
  <c r="N872" i="11"/>
  <c r="H872" i="11" s="1" a="1"/>
  <c r="M872" i="11"/>
  <c r="L872" i="11" a="1"/>
  <c r="L872" i="11"/>
  <c r="I872" i="11"/>
  <c r="H872" i="11"/>
  <c r="C872" i="11"/>
  <c r="N871" i="11"/>
  <c r="M871" i="11" s="1"/>
  <c r="C871" i="11"/>
  <c r="N870" i="11"/>
  <c r="H870" i="11" s="1" a="1"/>
  <c r="M870" i="11"/>
  <c r="L870" i="11" a="1"/>
  <c r="L870" i="11" s="1"/>
  <c r="I870" i="11"/>
  <c r="H870" i="11"/>
  <c r="C870" i="11"/>
  <c r="N869" i="11"/>
  <c r="M869" i="11"/>
  <c r="L869" i="11" a="1"/>
  <c r="L869" i="11" s="1"/>
  <c r="I869" i="11"/>
  <c r="H869" i="11" a="1"/>
  <c r="H869" i="11" s="1"/>
  <c r="C869" i="11"/>
  <c r="N868" i="11"/>
  <c r="C868" i="11"/>
  <c r="N867" i="11"/>
  <c r="I867" i="11" s="1"/>
  <c r="M867" i="11"/>
  <c r="L867" i="11" a="1"/>
  <c r="L867" i="11"/>
  <c r="H867" i="11" a="1"/>
  <c r="H867" i="11" s="1"/>
  <c r="C867" i="11"/>
  <c r="N866" i="11"/>
  <c r="M866" i="11"/>
  <c r="I866" i="11"/>
  <c r="C866" i="11"/>
  <c r="N865" i="11"/>
  <c r="H865" i="11" s="1" a="1"/>
  <c r="M865" i="11"/>
  <c r="L865" i="11" a="1"/>
  <c r="L865" i="11" s="1"/>
  <c r="I865" i="11"/>
  <c r="H865" i="11"/>
  <c r="C865" i="11"/>
  <c r="N864" i="11"/>
  <c r="H864" i="11" s="1" a="1"/>
  <c r="M864" i="11"/>
  <c r="L864" i="11" a="1"/>
  <c r="L864" i="11" s="1"/>
  <c r="I864" i="11"/>
  <c r="H864" i="11"/>
  <c r="C864" i="11"/>
  <c r="N863" i="11"/>
  <c r="C863" i="11"/>
  <c r="N862" i="11"/>
  <c r="M862" i="11"/>
  <c r="L862" i="11" a="1"/>
  <c r="L862" i="11"/>
  <c r="C862" i="11"/>
  <c r="N861" i="11"/>
  <c r="M861" i="11"/>
  <c r="L861" i="11" a="1"/>
  <c r="L861" i="11"/>
  <c r="C861" i="11"/>
  <c r="N860" i="11"/>
  <c r="H860" i="11" s="1" a="1"/>
  <c r="L860" i="11" a="1"/>
  <c r="L860" i="11" s="1"/>
  <c r="I860" i="11"/>
  <c r="H860" i="11"/>
  <c r="C860" i="11"/>
  <c r="N859" i="11"/>
  <c r="H859" i="11" s="1" a="1"/>
  <c r="H859" i="11" s="1"/>
  <c r="L859" i="11" a="1"/>
  <c r="L859" i="11"/>
  <c r="I859" i="11"/>
  <c r="C859" i="11"/>
  <c r="N858" i="11"/>
  <c r="H858" i="11" s="1" a="1"/>
  <c r="M858" i="11"/>
  <c r="I858" i="11"/>
  <c r="H858" i="11"/>
  <c r="C858" i="11"/>
  <c r="N857" i="11"/>
  <c r="M857" i="11" s="1"/>
  <c r="I857" i="11"/>
  <c r="H857" i="11" a="1"/>
  <c r="H857" i="11" s="1"/>
  <c r="C857" i="11"/>
  <c r="N856" i="11"/>
  <c r="H856" i="11" s="1" a="1"/>
  <c r="M856" i="11"/>
  <c r="L856" i="11" a="1"/>
  <c r="L856" i="11" s="1"/>
  <c r="I856" i="11"/>
  <c r="H856" i="11"/>
  <c r="C856" i="11"/>
  <c r="N855" i="11"/>
  <c r="M855" i="11" s="1"/>
  <c r="L855" i="11" a="1"/>
  <c r="L855" i="11" s="1"/>
  <c r="I855" i="11"/>
  <c r="H855" i="11" a="1"/>
  <c r="H855" i="11"/>
  <c r="C855" i="11"/>
  <c r="N854" i="11"/>
  <c r="H854" i="11" s="1" a="1"/>
  <c r="L854" i="11" a="1"/>
  <c r="L854" i="11"/>
  <c r="H854" i="11"/>
  <c r="C854" i="11"/>
  <c r="N853" i="11"/>
  <c r="M853" i="11" s="1"/>
  <c r="H853" i="11" a="1"/>
  <c r="H853" i="11"/>
  <c r="C853" i="11"/>
  <c r="N852" i="11"/>
  <c r="H852" i="11" s="1" a="1"/>
  <c r="H852" i="11" s="1"/>
  <c r="I852" i="11"/>
  <c r="C852" i="11"/>
  <c r="N851" i="11"/>
  <c r="M851" i="11" s="1"/>
  <c r="C851" i="11"/>
  <c r="N850" i="11"/>
  <c r="C850" i="11"/>
  <c r="N849" i="11"/>
  <c r="M849" i="11"/>
  <c r="L849" i="11" a="1"/>
  <c r="L849" i="11" s="1"/>
  <c r="I849" i="11"/>
  <c r="H849" i="11" a="1"/>
  <c r="H849" i="11" s="1"/>
  <c r="C849" i="11"/>
  <c r="N848" i="11"/>
  <c r="M848" i="11"/>
  <c r="C848" i="11"/>
  <c r="N847" i="11"/>
  <c r="M847" i="11"/>
  <c r="L847" i="11" a="1"/>
  <c r="L847" i="11" s="1"/>
  <c r="I847" i="11"/>
  <c r="H847" i="11" a="1"/>
  <c r="H847" i="11"/>
  <c r="C847" i="11"/>
  <c r="N846" i="11"/>
  <c r="C846" i="11"/>
  <c r="N845" i="11"/>
  <c r="M845" i="11" s="1"/>
  <c r="L845" i="11" a="1"/>
  <c r="L845" i="11" s="1"/>
  <c r="I845" i="11"/>
  <c r="H845" i="11" a="1"/>
  <c r="H845" i="11" s="1"/>
  <c r="C845" i="11"/>
  <c r="N844" i="11"/>
  <c r="M844" i="11" s="1"/>
  <c r="L844" i="11" a="1"/>
  <c r="L844" i="11"/>
  <c r="C844" i="11"/>
  <c r="N843" i="11"/>
  <c r="L843" i="11" s="1" a="1"/>
  <c r="M843" i="11"/>
  <c r="L843" i="11"/>
  <c r="I843" i="11"/>
  <c r="H843" i="11" a="1"/>
  <c r="H843" i="11"/>
  <c r="C843" i="11"/>
  <c r="N842" i="11"/>
  <c r="H842" i="11" s="1" a="1"/>
  <c r="H842" i="11" s="1"/>
  <c r="M842" i="11"/>
  <c r="L842" i="11" a="1"/>
  <c r="L842" i="11"/>
  <c r="I842" i="11"/>
  <c r="C842" i="11"/>
  <c r="N841" i="11"/>
  <c r="M841" i="11"/>
  <c r="L841" i="11" a="1"/>
  <c r="L841" i="11" s="1"/>
  <c r="I841" i="11"/>
  <c r="H841" i="11" a="1"/>
  <c r="H841" i="11" s="1"/>
  <c r="C841" i="11"/>
  <c r="N840" i="11"/>
  <c r="C840" i="11"/>
  <c r="N839" i="11"/>
  <c r="M839" i="11" s="1"/>
  <c r="L839" i="11" a="1"/>
  <c r="L839" i="11"/>
  <c r="H839" i="11" a="1"/>
  <c r="H839" i="11" s="1"/>
  <c r="C839" i="11"/>
  <c r="N838" i="11"/>
  <c r="H838" i="11" s="1" a="1"/>
  <c r="L838" i="11" a="1"/>
  <c r="L838" i="11"/>
  <c r="I838" i="11"/>
  <c r="H838" i="11"/>
  <c r="C838" i="11"/>
  <c r="N837" i="11"/>
  <c r="M837" i="11" s="1"/>
  <c r="I837" i="11"/>
  <c r="C837" i="11"/>
  <c r="N836" i="11"/>
  <c r="H836" i="11" s="1" a="1"/>
  <c r="M836" i="11"/>
  <c r="L836" i="11" a="1"/>
  <c r="L836" i="11"/>
  <c r="I836" i="11"/>
  <c r="H836" i="11"/>
  <c r="C836" i="11"/>
  <c r="N835" i="11"/>
  <c r="H835" i="11" a="1"/>
  <c r="H835" i="11" s="1"/>
  <c r="C835" i="11"/>
  <c r="N834" i="11"/>
  <c r="C834" i="11"/>
  <c r="N833" i="11"/>
  <c r="M833" i="11"/>
  <c r="C833" i="11"/>
  <c r="N832" i="11"/>
  <c r="H832" i="11" s="1" a="1"/>
  <c r="M832" i="11"/>
  <c r="I832" i="11"/>
  <c r="H832" i="11"/>
  <c r="C832" i="11"/>
  <c r="N831" i="11"/>
  <c r="M831" i="11" s="1"/>
  <c r="C831" i="11"/>
  <c r="N830" i="11"/>
  <c r="H830" i="11" s="1" a="1"/>
  <c r="M830" i="11"/>
  <c r="L830" i="11" a="1"/>
  <c r="L830" i="11"/>
  <c r="I830" i="11"/>
  <c r="H830" i="11"/>
  <c r="C830" i="11"/>
  <c r="N829" i="11"/>
  <c r="L829" i="11" s="1" a="1"/>
  <c r="L829" i="11" s="1"/>
  <c r="M829" i="11"/>
  <c r="C829" i="11"/>
  <c r="N828" i="11"/>
  <c r="L828" i="11" s="1" a="1"/>
  <c r="L828" i="11" s="1"/>
  <c r="C828" i="11"/>
  <c r="N827" i="11"/>
  <c r="H827" i="11" s="1" a="1"/>
  <c r="H827" i="11" s="1"/>
  <c r="M827" i="11"/>
  <c r="L827" i="11" a="1"/>
  <c r="L827" i="11" s="1"/>
  <c r="I827" i="11"/>
  <c r="C827" i="11"/>
  <c r="N826" i="11"/>
  <c r="H826" i="11" s="1" a="1"/>
  <c r="M826" i="11"/>
  <c r="I826" i="11"/>
  <c r="H826" i="11"/>
  <c r="C826" i="11"/>
  <c r="N825" i="11"/>
  <c r="M825" i="11" s="1"/>
  <c r="I825" i="11"/>
  <c r="H825" i="11" a="1"/>
  <c r="H825" i="11" s="1"/>
  <c r="C825" i="11"/>
  <c r="N824" i="11"/>
  <c r="H824" i="11" s="1" a="1"/>
  <c r="M824" i="11"/>
  <c r="L824" i="11" a="1"/>
  <c r="L824" i="11" s="1"/>
  <c r="I824" i="11"/>
  <c r="H824" i="11"/>
  <c r="C824" i="11"/>
  <c r="N823" i="11"/>
  <c r="M823" i="11"/>
  <c r="L823" i="11" a="1"/>
  <c r="L823" i="11"/>
  <c r="I823" i="11"/>
  <c r="H823" i="11" a="1"/>
  <c r="H823" i="11"/>
  <c r="C823" i="11"/>
  <c r="N822" i="11"/>
  <c r="H822" i="11" s="1" a="1"/>
  <c r="L822" i="11" a="1"/>
  <c r="L822" i="11"/>
  <c r="H822" i="11"/>
  <c r="C822" i="11"/>
  <c r="N821" i="11"/>
  <c r="L821" i="11" s="1" a="1"/>
  <c r="L821" i="11" s="1"/>
  <c r="M821" i="11"/>
  <c r="C821" i="11"/>
  <c r="N820" i="11"/>
  <c r="H820" i="11" s="1" a="1"/>
  <c r="H820" i="11" s="1"/>
  <c r="I820" i="11"/>
  <c r="C820" i="11"/>
  <c r="N819" i="11"/>
  <c r="M819" i="11"/>
  <c r="L819" i="11" a="1"/>
  <c r="L819" i="11"/>
  <c r="I819" i="11"/>
  <c r="H819" i="11" a="1"/>
  <c r="H819" i="11"/>
  <c r="C819" i="11"/>
  <c r="N818" i="11"/>
  <c r="C818" i="11"/>
  <c r="N817" i="11"/>
  <c r="M817" i="11" s="1"/>
  <c r="I817" i="11"/>
  <c r="H817" i="11" a="1"/>
  <c r="H817" i="11" s="1"/>
  <c r="C817" i="11"/>
  <c r="N816" i="11"/>
  <c r="M816" i="11"/>
  <c r="C816" i="11"/>
  <c r="N815" i="11"/>
  <c r="M815" i="11"/>
  <c r="L815" i="11" a="1"/>
  <c r="L815" i="11"/>
  <c r="I815" i="11"/>
  <c r="H815" i="11" a="1"/>
  <c r="H815" i="11" s="1"/>
  <c r="C815" i="11"/>
  <c r="N814" i="11"/>
  <c r="L814" i="11" s="1" a="1"/>
  <c r="L814" i="11" s="1"/>
  <c r="M814" i="11"/>
  <c r="C814" i="11"/>
  <c r="N813" i="11"/>
  <c r="M813" i="11" s="1"/>
  <c r="L813" i="11" a="1"/>
  <c r="L813" i="11" s="1"/>
  <c r="I813" i="11"/>
  <c r="H813" i="11" a="1"/>
  <c r="H813" i="11"/>
  <c r="C813" i="11"/>
  <c r="N812" i="11"/>
  <c r="M812" i="11" s="1"/>
  <c r="C812" i="11"/>
  <c r="N811" i="11"/>
  <c r="L811" i="11" s="1" a="1"/>
  <c r="L811" i="11" s="1"/>
  <c r="M811" i="11"/>
  <c r="I811" i="11"/>
  <c r="H811" i="11" a="1"/>
  <c r="H811" i="11"/>
  <c r="C811" i="11"/>
  <c r="N810" i="11"/>
  <c r="L810" i="11" s="1" a="1"/>
  <c r="L810" i="11" s="1"/>
  <c r="M810" i="11"/>
  <c r="C810" i="11"/>
  <c r="N809" i="11"/>
  <c r="M809" i="11"/>
  <c r="L809" i="11" a="1"/>
  <c r="L809" i="11" s="1"/>
  <c r="I809" i="11"/>
  <c r="H809" i="11" a="1"/>
  <c r="H809" i="11"/>
  <c r="C809" i="11"/>
  <c r="N808" i="11"/>
  <c r="C808" i="11"/>
  <c r="N807" i="11"/>
  <c r="M807" i="11" s="1"/>
  <c r="L807" i="11" a="1"/>
  <c r="L807" i="11"/>
  <c r="H807" i="11" a="1"/>
  <c r="H807" i="11" s="1"/>
  <c r="C807" i="11"/>
  <c r="N806" i="11"/>
  <c r="H806" i="11" s="1" a="1"/>
  <c r="M806" i="11"/>
  <c r="L806" i="11" a="1"/>
  <c r="L806" i="11"/>
  <c r="I806" i="11"/>
  <c r="H806" i="11"/>
  <c r="C806" i="11"/>
  <c r="N805" i="11"/>
  <c r="M805" i="11" s="1"/>
  <c r="I805" i="11"/>
  <c r="C805" i="11"/>
  <c r="N804" i="11"/>
  <c r="H804" i="11" s="1" a="1"/>
  <c r="M804" i="11"/>
  <c r="L804" i="11" a="1"/>
  <c r="L804" i="11" s="1"/>
  <c r="I804" i="11"/>
  <c r="H804" i="11"/>
  <c r="C804" i="11"/>
  <c r="N803" i="11"/>
  <c r="H803" i="11" a="1"/>
  <c r="H803" i="11" s="1"/>
  <c r="C803" i="11"/>
  <c r="N802" i="11"/>
  <c r="M802" i="11"/>
  <c r="L802" i="11" a="1"/>
  <c r="L802" i="11" s="1"/>
  <c r="C802" i="11"/>
  <c r="N801" i="11"/>
  <c r="M801" i="11" s="1"/>
  <c r="C801" i="11"/>
  <c r="N800" i="11"/>
  <c r="H800" i="11" s="1" a="1"/>
  <c r="I800" i="11"/>
  <c r="H800" i="11"/>
  <c r="C800" i="11"/>
  <c r="N799" i="11"/>
  <c r="M799" i="11"/>
  <c r="C799" i="11"/>
  <c r="N798" i="11"/>
  <c r="H798" i="11" s="1" a="1"/>
  <c r="M798" i="11"/>
  <c r="L798" i="11" a="1"/>
  <c r="L798" i="11" s="1"/>
  <c r="I798" i="11"/>
  <c r="H798" i="11"/>
  <c r="C798" i="11"/>
  <c r="N797" i="11"/>
  <c r="M797" i="11" s="1"/>
  <c r="C797" i="11"/>
  <c r="N796" i="11"/>
  <c r="L796" i="11" s="1" a="1"/>
  <c r="L796" i="11" s="1"/>
  <c r="C796" i="11"/>
  <c r="N795" i="11"/>
  <c r="H795" i="11" s="1" a="1"/>
  <c r="H795" i="11" s="1"/>
  <c r="L795" i="11" a="1"/>
  <c r="L795" i="11" s="1"/>
  <c r="I795" i="11"/>
  <c r="C795" i="11"/>
  <c r="N794" i="11"/>
  <c r="H794" i="11" s="1" a="1"/>
  <c r="M794" i="11"/>
  <c r="I794" i="11"/>
  <c r="H794" i="11"/>
  <c r="C794" i="11"/>
  <c r="N793" i="11"/>
  <c r="M793" i="11"/>
  <c r="L793" i="11" a="1"/>
  <c r="L793" i="11"/>
  <c r="I793" i="11"/>
  <c r="H793" i="11" a="1"/>
  <c r="H793" i="11" s="1"/>
  <c r="C793" i="11"/>
  <c r="N792" i="11"/>
  <c r="H792" i="11" s="1" a="1"/>
  <c r="M792" i="11"/>
  <c r="L792" i="11" a="1"/>
  <c r="L792" i="11" s="1"/>
  <c r="I792" i="11"/>
  <c r="H792" i="11"/>
  <c r="C792" i="11"/>
  <c r="N791" i="11"/>
  <c r="M791" i="11" s="1"/>
  <c r="C791" i="11"/>
  <c r="N790" i="11"/>
  <c r="H790" i="11" s="1" a="1"/>
  <c r="L790" i="11" a="1"/>
  <c r="L790" i="11" s="1"/>
  <c r="H790" i="11"/>
  <c r="C790" i="11"/>
  <c r="N789" i="11"/>
  <c r="L789" i="11" s="1" a="1"/>
  <c r="L789" i="11" s="1"/>
  <c r="M789" i="11"/>
  <c r="I789" i="11"/>
  <c r="H789" i="11" a="1"/>
  <c r="H789" i="11" s="1"/>
  <c r="C789" i="11"/>
  <c r="N788" i="11"/>
  <c r="H788" i="11" s="1" a="1"/>
  <c r="H788" i="11" s="1"/>
  <c r="I788" i="11"/>
  <c r="C788" i="11"/>
  <c r="N787" i="11"/>
  <c r="M787" i="11"/>
  <c r="L787" i="11" a="1"/>
  <c r="L787" i="11" s="1"/>
  <c r="I787" i="11"/>
  <c r="H787" i="11" a="1"/>
  <c r="H787" i="11"/>
  <c r="C787" i="11"/>
  <c r="N786" i="11"/>
  <c r="I786" i="11" s="1"/>
  <c r="C786" i="11"/>
  <c r="N785" i="11"/>
  <c r="M785" i="11"/>
  <c r="L785" i="11" a="1"/>
  <c r="L785" i="11" s="1"/>
  <c r="I785" i="11"/>
  <c r="H785" i="11" a="1"/>
  <c r="H785" i="11" s="1"/>
  <c r="C785" i="11"/>
  <c r="N784" i="11"/>
  <c r="M784" i="11" s="1"/>
  <c r="C784" i="11"/>
  <c r="N783" i="11"/>
  <c r="M783" i="11"/>
  <c r="L783" i="11" a="1"/>
  <c r="L783" i="11"/>
  <c r="I783" i="11"/>
  <c r="H783" i="11" a="1"/>
  <c r="H783" i="11" s="1"/>
  <c r="C783" i="11"/>
  <c r="N782" i="11"/>
  <c r="M782" i="11" s="1"/>
  <c r="C782" i="11"/>
  <c r="N781" i="11"/>
  <c r="M781" i="11" s="1"/>
  <c r="L781" i="11" a="1"/>
  <c r="L781" i="11" s="1"/>
  <c r="I781" i="11"/>
  <c r="H781" i="11" a="1"/>
  <c r="H781" i="11"/>
  <c r="C781" i="11"/>
  <c r="N780" i="11"/>
  <c r="M780" i="11" s="1"/>
  <c r="C780" i="11"/>
  <c r="N779" i="11"/>
  <c r="M779" i="11"/>
  <c r="C779" i="11"/>
  <c r="N778" i="11"/>
  <c r="M778" i="11"/>
  <c r="L778" i="11" a="1"/>
  <c r="L778" i="11" s="1"/>
  <c r="C778" i="11"/>
  <c r="N777" i="11"/>
  <c r="M777" i="11"/>
  <c r="L777" i="11" a="1"/>
  <c r="L777" i="11" s="1"/>
  <c r="I777" i="11"/>
  <c r="H777" i="11" a="1"/>
  <c r="H777" i="11"/>
  <c r="C777" i="11"/>
  <c r="N776" i="11"/>
  <c r="H776" i="11" s="1" a="1"/>
  <c r="M776" i="11"/>
  <c r="I776" i="11"/>
  <c r="H776" i="11"/>
  <c r="C776" i="11"/>
  <c r="N775" i="11"/>
  <c r="M775" i="11" s="1"/>
  <c r="L775" i="11" a="1"/>
  <c r="L775" i="11"/>
  <c r="H775" i="11" a="1"/>
  <c r="H775" i="11" s="1"/>
  <c r="C775" i="11"/>
  <c r="N774" i="11"/>
  <c r="M774" i="11" s="1"/>
  <c r="L774" i="11" a="1"/>
  <c r="L774" i="11" s="1"/>
  <c r="C774" i="11"/>
  <c r="N773" i="11"/>
  <c r="M773" i="11" s="1"/>
  <c r="I773" i="11"/>
  <c r="C773" i="11"/>
  <c r="N772" i="11"/>
  <c r="H772" i="11" s="1" a="1"/>
  <c r="I772" i="11"/>
  <c r="H772" i="11"/>
  <c r="C772" i="11"/>
  <c r="N771" i="11"/>
  <c r="I771" i="11" s="1"/>
  <c r="H771" i="11" a="1"/>
  <c r="H771" i="11" s="1"/>
  <c r="C771" i="11"/>
  <c r="N770" i="11"/>
  <c r="M770" i="11"/>
  <c r="C770" i="11"/>
  <c r="N769" i="11"/>
  <c r="M769" i="11"/>
  <c r="H769" i="11" a="1"/>
  <c r="H769" i="11"/>
  <c r="C769" i="11"/>
  <c r="N768" i="11"/>
  <c r="H768" i="11" s="1" a="1"/>
  <c r="M768" i="11"/>
  <c r="L768" i="11" a="1"/>
  <c r="L768" i="11" s="1"/>
  <c r="I768" i="11"/>
  <c r="H768" i="11"/>
  <c r="C768" i="11"/>
  <c r="N767" i="11"/>
  <c r="M767" i="11" s="1"/>
  <c r="C767" i="11"/>
  <c r="N766" i="11"/>
  <c r="H766" i="11" s="1" a="1"/>
  <c r="M766" i="11"/>
  <c r="L766" i="11" a="1"/>
  <c r="L766" i="11" s="1"/>
  <c r="I766" i="11"/>
  <c r="H766" i="11"/>
  <c r="C766" i="11"/>
  <c r="N765" i="11"/>
  <c r="M765" i="11"/>
  <c r="L765" i="11" a="1"/>
  <c r="L765" i="11" s="1"/>
  <c r="C765" i="11"/>
  <c r="N764" i="11"/>
  <c r="I764" i="11" s="1"/>
  <c r="L764" i="11" a="1"/>
  <c r="L764" i="11" s="1"/>
  <c r="C764" i="11"/>
  <c r="N763" i="11"/>
  <c r="H763" i="11" s="1" a="1"/>
  <c r="H763" i="11" s="1"/>
  <c r="M763" i="11"/>
  <c r="I763" i="11"/>
  <c r="C763" i="11"/>
  <c r="N762" i="11"/>
  <c r="M762" i="11" s="1"/>
  <c r="C762" i="11"/>
  <c r="N761" i="11"/>
  <c r="M761" i="11" s="1"/>
  <c r="L761" i="11" a="1"/>
  <c r="L761" i="11"/>
  <c r="I761" i="11"/>
  <c r="H761" i="11" a="1"/>
  <c r="H761" i="11" s="1"/>
  <c r="C761" i="11"/>
  <c r="N760" i="11"/>
  <c r="H760" i="11" s="1" a="1"/>
  <c r="M760" i="11"/>
  <c r="L760" i="11" a="1"/>
  <c r="L760" i="11" s="1"/>
  <c r="I760" i="11"/>
  <c r="H760" i="11"/>
  <c r="C760" i="11"/>
  <c r="N759" i="11"/>
  <c r="M759" i="11" s="1"/>
  <c r="H759" i="11" a="1"/>
  <c r="H759" i="11" s="1"/>
  <c r="C759" i="11"/>
  <c r="N758" i="11"/>
  <c r="H758" i="11" s="1" a="1"/>
  <c r="L758" i="11" a="1"/>
  <c r="L758" i="11" s="1"/>
  <c r="H758" i="11"/>
  <c r="C758" i="11"/>
  <c r="N757" i="11"/>
  <c r="M757" i="11" s="1"/>
  <c r="C757" i="11"/>
  <c r="N756" i="11"/>
  <c r="H756" i="11" s="1" a="1"/>
  <c r="H756" i="11" s="1"/>
  <c r="I756" i="11"/>
  <c r="C756" i="11"/>
  <c r="N755" i="11"/>
  <c r="M755" i="11"/>
  <c r="L755" i="11" a="1"/>
  <c r="L755" i="11"/>
  <c r="I755" i="11"/>
  <c r="H755" i="11" a="1"/>
  <c r="H755" i="11" s="1"/>
  <c r="C755" i="11"/>
  <c r="N754" i="11"/>
  <c r="I754" i="11"/>
  <c r="C754" i="11"/>
  <c r="N753" i="11"/>
  <c r="C753" i="11"/>
  <c r="N752" i="11"/>
  <c r="M752" i="11"/>
  <c r="C752" i="11"/>
  <c r="N751" i="11"/>
  <c r="M751" i="11"/>
  <c r="L751" i="11" a="1"/>
  <c r="L751" i="11" s="1"/>
  <c r="I751" i="11"/>
  <c r="H751" i="11" a="1"/>
  <c r="H751" i="11" s="1"/>
  <c r="C751" i="11"/>
  <c r="N750" i="11"/>
  <c r="M750" i="11" s="1"/>
  <c r="C750" i="11"/>
  <c r="N749" i="11"/>
  <c r="L749" i="11" a="1"/>
  <c r="L749" i="11" s="1"/>
  <c r="C749" i="11"/>
  <c r="N748" i="11"/>
  <c r="M748" i="11"/>
  <c r="L748" i="11" a="1"/>
  <c r="L748" i="11" s="1"/>
  <c r="C748" i="11"/>
  <c r="N747" i="11"/>
  <c r="C747" i="11"/>
  <c r="N746" i="11"/>
  <c r="H746" i="11" s="1" a="1"/>
  <c r="H746" i="11" s="1"/>
  <c r="C746" i="11"/>
  <c r="N745" i="11"/>
  <c r="M745" i="11"/>
  <c r="L745" i="11" a="1"/>
  <c r="L745" i="11" s="1"/>
  <c r="I745" i="11"/>
  <c r="H745" i="11" a="1"/>
  <c r="H745" i="11" s="1"/>
  <c r="C745" i="11"/>
  <c r="N744" i="11"/>
  <c r="M744" i="11" s="1"/>
  <c r="C744" i="11"/>
  <c r="N743" i="11"/>
  <c r="M743" i="11" s="1"/>
  <c r="L743" i="11" a="1"/>
  <c r="L743" i="11" s="1"/>
  <c r="H743" i="11" a="1"/>
  <c r="H743" i="11" s="1"/>
  <c r="C743" i="11"/>
  <c r="N742" i="11"/>
  <c r="H742" i="11" s="1" a="1"/>
  <c r="H742" i="11" s="1"/>
  <c r="L742" i="11" a="1"/>
  <c r="L742" i="11"/>
  <c r="I742" i="11"/>
  <c r="C742" i="11"/>
  <c r="N741" i="11"/>
  <c r="M741" i="11" s="1"/>
  <c r="I741" i="11"/>
  <c r="C741" i="11"/>
  <c r="N740" i="11"/>
  <c r="C740" i="11"/>
  <c r="N739" i="11"/>
  <c r="I739" i="11" s="1"/>
  <c r="C739" i="11"/>
  <c r="N738" i="11"/>
  <c r="H738" i="11" s="1" a="1"/>
  <c r="M738" i="11"/>
  <c r="L738" i="11" a="1"/>
  <c r="L738" i="11" s="1"/>
  <c r="I738" i="11"/>
  <c r="H738" i="11"/>
  <c r="C738" i="11"/>
  <c r="N737" i="11"/>
  <c r="C737" i="11"/>
  <c r="N736" i="11"/>
  <c r="M736" i="11"/>
  <c r="C736" i="11"/>
  <c r="N735" i="11"/>
  <c r="M735" i="11"/>
  <c r="L735" i="11" a="1"/>
  <c r="L735" i="11" s="1"/>
  <c r="C735" i="11"/>
  <c r="N734" i="11"/>
  <c r="H734" i="11" s="1" a="1"/>
  <c r="M734" i="11"/>
  <c r="L734" i="11" a="1"/>
  <c r="L734" i="11"/>
  <c r="I734" i="11"/>
  <c r="H734" i="11"/>
  <c r="C734" i="11"/>
  <c r="N733" i="11"/>
  <c r="M733" i="11" s="1"/>
  <c r="C733" i="11"/>
  <c r="N732" i="11"/>
  <c r="L732" i="11" a="1"/>
  <c r="L732" i="11" s="1"/>
  <c r="I732" i="11"/>
  <c r="C732" i="11"/>
  <c r="N731" i="11"/>
  <c r="M731" i="11"/>
  <c r="L731" i="11" a="1"/>
  <c r="L731" i="11" s="1"/>
  <c r="C731" i="11"/>
  <c r="N730" i="11"/>
  <c r="I730" i="11" s="1"/>
  <c r="M730" i="11"/>
  <c r="C730" i="11"/>
  <c r="N729" i="11"/>
  <c r="M729" i="11"/>
  <c r="L729" i="11" a="1"/>
  <c r="L729" i="11" s="1"/>
  <c r="I729" i="11"/>
  <c r="H729" i="11" a="1"/>
  <c r="H729" i="11" s="1"/>
  <c r="C729" i="11"/>
  <c r="N728" i="11"/>
  <c r="H728" i="11" s="1" a="1"/>
  <c r="M728" i="11"/>
  <c r="L728" i="11" a="1"/>
  <c r="L728" i="11" s="1"/>
  <c r="I728" i="11"/>
  <c r="H728" i="11"/>
  <c r="C728" i="11"/>
  <c r="N727" i="11"/>
  <c r="M727" i="11"/>
  <c r="L727" i="11" a="1"/>
  <c r="L727" i="11" s="1"/>
  <c r="I727" i="11"/>
  <c r="H727" i="11" a="1"/>
  <c r="H727" i="11" s="1"/>
  <c r="C727" i="11"/>
  <c r="N726" i="11"/>
  <c r="H726" i="11" s="1" a="1"/>
  <c r="M726" i="11"/>
  <c r="L726" i="11" a="1"/>
  <c r="L726" i="11" s="1"/>
  <c r="H726" i="11"/>
  <c r="C726" i="11"/>
  <c r="N725" i="11"/>
  <c r="M725" i="11" s="1"/>
  <c r="I725" i="11"/>
  <c r="H725" i="11" a="1"/>
  <c r="H725" i="11" s="1"/>
  <c r="C725" i="11"/>
  <c r="N724" i="11"/>
  <c r="H724" i="11" s="1" a="1"/>
  <c r="H724" i="11" s="1"/>
  <c r="I724" i="11"/>
  <c r="C724" i="11"/>
  <c r="N723" i="11"/>
  <c r="C723" i="11"/>
  <c r="N722" i="11"/>
  <c r="I722" i="11"/>
  <c r="C722" i="11"/>
  <c r="N721" i="11"/>
  <c r="C721" i="11"/>
  <c r="N720" i="11"/>
  <c r="M720" i="11" s="1"/>
  <c r="C720" i="11"/>
  <c r="N719" i="11"/>
  <c r="M719" i="11"/>
  <c r="L719" i="11" a="1"/>
  <c r="L719" i="11"/>
  <c r="I719" i="11"/>
  <c r="H719" i="11" a="1"/>
  <c r="H719" i="11" s="1"/>
  <c r="C719" i="11"/>
  <c r="N718" i="11"/>
  <c r="C718" i="11"/>
  <c r="N717" i="11"/>
  <c r="M717" i="11" s="1"/>
  <c r="I717" i="11"/>
  <c r="H717" i="11" a="1"/>
  <c r="H717" i="11"/>
  <c r="C717" i="11"/>
  <c r="N716" i="11"/>
  <c r="M716" i="11"/>
  <c r="L716" i="11" a="1"/>
  <c r="L716" i="11"/>
  <c r="C716" i="11"/>
  <c r="N715" i="11"/>
  <c r="C715" i="11"/>
  <c r="N714" i="11"/>
  <c r="M714" i="11" s="1"/>
  <c r="L714" i="11" a="1"/>
  <c r="L714" i="11"/>
  <c r="C714" i="11"/>
  <c r="N713" i="11"/>
  <c r="M713" i="11"/>
  <c r="L713" i="11" a="1"/>
  <c r="L713" i="11" s="1"/>
  <c r="I713" i="11"/>
  <c r="H713" i="11" a="1"/>
  <c r="H713" i="11"/>
  <c r="C713" i="11"/>
  <c r="N712" i="11"/>
  <c r="H712" i="11" s="1" a="1"/>
  <c r="I712" i="11"/>
  <c r="H712" i="11"/>
  <c r="C712" i="11"/>
  <c r="N711" i="11"/>
  <c r="I711" i="11" s="1"/>
  <c r="M711" i="11"/>
  <c r="L711" i="11" a="1"/>
  <c r="L711" i="11"/>
  <c r="H711" i="11" a="1"/>
  <c r="H711" i="11"/>
  <c r="C711" i="11"/>
  <c r="N710" i="11"/>
  <c r="H710" i="11" s="1" a="1"/>
  <c r="H710" i="11"/>
  <c r="C710" i="11"/>
  <c r="N709" i="11"/>
  <c r="M709" i="11" s="1"/>
  <c r="I709" i="11"/>
  <c r="C709" i="11"/>
  <c r="N708" i="11"/>
  <c r="M708" i="11" s="1"/>
  <c r="C708" i="11"/>
  <c r="N707" i="11"/>
  <c r="I707" i="11" s="1"/>
  <c r="H707" i="11" a="1"/>
  <c r="H707" i="11" s="1"/>
  <c r="C707" i="11"/>
  <c r="N706" i="11"/>
  <c r="H706" i="11" s="1" a="1"/>
  <c r="M706" i="11"/>
  <c r="L706" i="11" a="1"/>
  <c r="L706" i="11" s="1"/>
  <c r="I706" i="11"/>
  <c r="H706" i="11"/>
  <c r="C706" i="11"/>
  <c r="N705" i="11"/>
  <c r="C705" i="11"/>
  <c r="N704" i="11"/>
  <c r="H704" i="11" s="1" a="1"/>
  <c r="L704" i="11" a="1"/>
  <c r="L704" i="11" s="1"/>
  <c r="I704" i="11"/>
  <c r="H704" i="11"/>
  <c r="C704" i="11"/>
  <c r="N703" i="11"/>
  <c r="M703" i="11" s="1"/>
  <c r="L703" i="11" a="1"/>
  <c r="L703" i="11" s="1"/>
  <c r="C703" i="11"/>
  <c r="N702" i="11"/>
  <c r="H702" i="11" s="1" a="1"/>
  <c r="M702" i="11"/>
  <c r="L702" i="11" a="1"/>
  <c r="L702" i="11"/>
  <c r="I702" i="11"/>
  <c r="H702" i="11"/>
  <c r="C702" i="11"/>
  <c r="N701" i="11"/>
  <c r="C701" i="11"/>
  <c r="N700" i="11"/>
  <c r="L700" i="11" a="1"/>
  <c r="L700" i="11"/>
  <c r="I700" i="11"/>
  <c r="C700" i="11"/>
  <c r="N699" i="11"/>
  <c r="H699" i="11" s="1" a="1"/>
  <c r="H699" i="11" s="1"/>
  <c r="M699" i="11"/>
  <c r="L699" i="11" a="1"/>
  <c r="L699" i="11" s="1"/>
  <c r="I699" i="11"/>
  <c r="C699" i="11"/>
  <c r="N698" i="11"/>
  <c r="M698" i="11" s="1"/>
  <c r="C698" i="11"/>
  <c r="N697" i="11"/>
  <c r="M697" i="11"/>
  <c r="C697" i="11"/>
  <c r="N696" i="11"/>
  <c r="H696" i="11" s="1" a="1"/>
  <c r="M696" i="11"/>
  <c r="L696" i="11" a="1"/>
  <c r="L696" i="11" s="1"/>
  <c r="I696" i="11"/>
  <c r="H696" i="11"/>
  <c r="C696" i="11"/>
  <c r="N695" i="11"/>
  <c r="M695" i="11" s="1"/>
  <c r="L695" i="11" a="1"/>
  <c r="L695" i="11" s="1"/>
  <c r="C695" i="11"/>
  <c r="N694" i="11"/>
  <c r="H694" i="11" s="1" a="1"/>
  <c r="M694" i="11"/>
  <c r="L694" i="11" a="1"/>
  <c r="L694" i="11"/>
  <c r="H694" i="11"/>
  <c r="C694" i="11"/>
  <c r="N693" i="11"/>
  <c r="H693" i="11" s="1" a="1"/>
  <c r="H693" i="11" s="1"/>
  <c r="M693" i="11"/>
  <c r="I693" i="11"/>
  <c r="C693" i="11"/>
  <c r="N692" i="11"/>
  <c r="H692" i="11" s="1" a="1"/>
  <c r="H692" i="11" s="1"/>
  <c r="I692" i="11"/>
  <c r="C692" i="11"/>
  <c r="N691" i="11"/>
  <c r="M691" i="11"/>
  <c r="L691" i="11" a="1"/>
  <c r="L691" i="11" s="1"/>
  <c r="I691" i="11"/>
  <c r="H691" i="11" a="1"/>
  <c r="H691" i="11"/>
  <c r="C691" i="11"/>
  <c r="N690" i="11"/>
  <c r="I690" i="11"/>
  <c r="C690" i="11"/>
  <c r="N689" i="11"/>
  <c r="M689" i="11" s="1"/>
  <c r="H689" i="11" a="1"/>
  <c r="H689" i="11" s="1"/>
  <c r="C689" i="11"/>
  <c r="N688" i="11"/>
  <c r="M688" i="11"/>
  <c r="C688" i="11"/>
  <c r="N687" i="11"/>
  <c r="M687" i="11"/>
  <c r="L687" i="11" a="1"/>
  <c r="L687" i="11" s="1"/>
  <c r="I687" i="11"/>
  <c r="H687" i="11" a="1"/>
  <c r="H687" i="11"/>
  <c r="C687" i="11"/>
  <c r="N686" i="11"/>
  <c r="M686" i="11"/>
  <c r="L686" i="11" a="1"/>
  <c r="L686" i="11" s="1"/>
  <c r="C686" i="11"/>
  <c r="N685" i="11"/>
  <c r="M685" i="11" s="1"/>
  <c r="I685" i="11"/>
  <c r="H685" i="11" a="1"/>
  <c r="H685" i="11"/>
  <c r="C685" i="11"/>
  <c r="N684" i="11"/>
  <c r="M684" i="11"/>
  <c r="L684" i="11" a="1"/>
  <c r="L684" i="11"/>
  <c r="C684" i="11"/>
  <c r="N683" i="11"/>
  <c r="L683" i="11" s="1" a="1"/>
  <c r="M683" i="11"/>
  <c r="L683" i="11"/>
  <c r="I683" i="11"/>
  <c r="H683" i="11" a="1"/>
  <c r="H683" i="11" s="1"/>
  <c r="C683" i="11"/>
  <c r="N682" i="11"/>
  <c r="M682" i="11" s="1"/>
  <c r="L682" i="11" a="1"/>
  <c r="L682" i="11"/>
  <c r="C682" i="11"/>
  <c r="N681" i="11"/>
  <c r="M681" i="11"/>
  <c r="L681" i="11" a="1"/>
  <c r="L681" i="11" s="1"/>
  <c r="I681" i="11"/>
  <c r="H681" i="11" a="1"/>
  <c r="H681" i="11" s="1"/>
  <c r="C681" i="11"/>
  <c r="N680" i="11"/>
  <c r="H680" i="11" s="1" a="1"/>
  <c r="M680" i="11"/>
  <c r="L680" i="11" a="1"/>
  <c r="L680" i="11"/>
  <c r="I680" i="11"/>
  <c r="H680" i="11"/>
  <c r="C680" i="11"/>
  <c r="N679" i="11"/>
  <c r="M679" i="11" s="1"/>
  <c r="L679" i="11" a="1"/>
  <c r="L679" i="11" s="1"/>
  <c r="H679" i="11" a="1"/>
  <c r="H679" i="11" s="1"/>
  <c r="C679" i="11"/>
  <c r="N678" i="11"/>
  <c r="M678" i="11"/>
  <c r="L678" i="11" a="1"/>
  <c r="L678" i="11" s="1"/>
  <c r="C678" i="11"/>
  <c r="N677" i="11"/>
  <c r="M677" i="11" s="1"/>
  <c r="I677" i="11"/>
  <c r="C677" i="11"/>
  <c r="N676" i="11"/>
  <c r="H676" i="11" s="1" a="1"/>
  <c r="M676" i="11"/>
  <c r="L676" i="11" a="1"/>
  <c r="L676" i="11" s="1"/>
  <c r="I676" i="11"/>
  <c r="H676" i="11"/>
  <c r="C676" i="11"/>
  <c r="N675" i="11"/>
  <c r="C675" i="11"/>
  <c r="N674" i="11"/>
  <c r="M674" i="11"/>
  <c r="L674" i="11" a="1"/>
  <c r="L674" i="11" s="1"/>
  <c r="C674" i="11"/>
  <c r="N673" i="11"/>
  <c r="M673" i="11" s="1"/>
  <c r="H673" i="11" a="1"/>
  <c r="H673" i="11"/>
  <c r="C673" i="11"/>
  <c r="N672" i="11"/>
  <c r="C672" i="11"/>
  <c r="N671" i="11"/>
  <c r="M671" i="11"/>
  <c r="L671" i="11" a="1"/>
  <c r="L671" i="11" s="1"/>
  <c r="C671" i="11"/>
  <c r="N670" i="11"/>
  <c r="H670" i="11" s="1" a="1"/>
  <c r="M670" i="11"/>
  <c r="L670" i="11" a="1"/>
  <c r="L670" i="11"/>
  <c r="I670" i="11"/>
  <c r="H670" i="11"/>
  <c r="C670" i="11"/>
  <c r="N669" i="11"/>
  <c r="M669" i="11" s="1"/>
  <c r="L669" i="11" a="1"/>
  <c r="L669" i="11"/>
  <c r="C669" i="11"/>
  <c r="N668" i="11"/>
  <c r="L668" i="11" s="1" a="1"/>
  <c r="L668" i="11" s="1"/>
  <c r="C668" i="11"/>
  <c r="N667" i="11"/>
  <c r="H667" i="11" s="1" a="1"/>
  <c r="H667" i="11" s="1"/>
  <c r="L667" i="11" a="1"/>
  <c r="L667" i="11"/>
  <c r="I667" i="11"/>
  <c r="C667" i="11"/>
  <c r="N666" i="11"/>
  <c r="M666" i="11" s="1"/>
  <c r="C666" i="11"/>
  <c r="N665" i="11"/>
  <c r="M665" i="11" s="1"/>
  <c r="I665" i="11"/>
  <c r="H665" i="11" a="1"/>
  <c r="H665" i="11" s="1"/>
  <c r="C665" i="11"/>
  <c r="N664" i="11"/>
  <c r="H664" i="11" s="1" a="1"/>
  <c r="M664" i="11"/>
  <c r="L664" i="11" a="1"/>
  <c r="L664" i="11" s="1"/>
  <c r="I664" i="11"/>
  <c r="H664" i="11"/>
  <c r="C664" i="11"/>
  <c r="N663" i="11"/>
  <c r="M663" i="11"/>
  <c r="L663" i="11" a="1"/>
  <c r="L663" i="11"/>
  <c r="I663" i="11"/>
  <c r="H663" i="11" a="1"/>
  <c r="H663" i="11"/>
  <c r="C663" i="11"/>
  <c r="N662" i="11"/>
  <c r="H662" i="11" s="1" a="1"/>
  <c r="M662" i="11"/>
  <c r="L662" i="11" a="1"/>
  <c r="L662" i="11"/>
  <c r="H662" i="11"/>
  <c r="C662" i="11"/>
  <c r="N661" i="11"/>
  <c r="M661" i="11" s="1"/>
  <c r="C661" i="11"/>
  <c r="N660" i="11"/>
  <c r="H660" i="11" s="1" a="1"/>
  <c r="H660" i="11" s="1"/>
  <c r="I660" i="11"/>
  <c r="C660" i="11"/>
  <c r="N659" i="11"/>
  <c r="L659" i="11" s="1" a="1"/>
  <c r="L659" i="11" s="1"/>
  <c r="M659" i="11"/>
  <c r="C659" i="11"/>
  <c r="N658" i="11"/>
  <c r="I658" i="11"/>
  <c r="C658" i="11"/>
  <c r="N657" i="11"/>
  <c r="M657" i="11"/>
  <c r="L657" i="11" a="1"/>
  <c r="L657" i="11"/>
  <c r="I657" i="11"/>
  <c r="H657" i="11" a="1"/>
  <c r="H657" i="11" s="1"/>
  <c r="C657" i="11"/>
  <c r="N656" i="11"/>
  <c r="C656" i="11"/>
  <c r="N655" i="11"/>
  <c r="M655" i="11"/>
  <c r="L655" i="11" a="1"/>
  <c r="L655" i="11" s="1"/>
  <c r="I655" i="11"/>
  <c r="H655" i="11" a="1"/>
  <c r="H655" i="11" s="1"/>
  <c r="C655" i="11"/>
  <c r="N654" i="11"/>
  <c r="M654" i="11" s="1"/>
  <c r="L654" i="11" a="1"/>
  <c r="L654" i="11" s="1"/>
  <c r="C654" i="11"/>
  <c r="N653" i="11"/>
  <c r="L653" i="11" a="1"/>
  <c r="L653" i="11" s="1"/>
  <c r="C653" i="11"/>
  <c r="N652" i="11"/>
  <c r="M652" i="11"/>
  <c r="L652" i="11" a="1"/>
  <c r="L652" i="11"/>
  <c r="C652" i="11"/>
  <c r="N651" i="11"/>
  <c r="L651" i="11" s="1" a="1"/>
  <c r="M651" i="11"/>
  <c r="L651" i="11"/>
  <c r="I651" i="11"/>
  <c r="H651" i="11" a="1"/>
  <c r="H651" i="11" s="1"/>
  <c r="C651" i="11"/>
  <c r="N650" i="11"/>
  <c r="H650" i="11" s="1" a="1"/>
  <c r="H650" i="11" s="1"/>
  <c r="C650" i="11"/>
  <c r="N649" i="11"/>
  <c r="M649" i="11"/>
  <c r="L649" i="11" a="1"/>
  <c r="L649" i="11" s="1"/>
  <c r="I649" i="11"/>
  <c r="H649" i="11" a="1"/>
  <c r="H649" i="11"/>
  <c r="C649" i="11"/>
  <c r="N648" i="11"/>
  <c r="M648" i="11"/>
  <c r="C648" i="11"/>
  <c r="N647" i="11"/>
  <c r="I647" i="11" s="1"/>
  <c r="M647" i="11"/>
  <c r="L647" i="11" a="1"/>
  <c r="L647" i="11"/>
  <c r="H647" i="11" a="1"/>
  <c r="H647" i="11"/>
  <c r="C647" i="11"/>
  <c r="N646" i="11"/>
  <c r="C646" i="11"/>
  <c r="N645" i="11"/>
  <c r="M645" i="11" s="1"/>
  <c r="I645" i="11"/>
  <c r="C645" i="11"/>
  <c r="N644" i="11"/>
  <c r="H644" i="11" s="1" a="1"/>
  <c r="M644" i="11"/>
  <c r="L644" i="11" a="1"/>
  <c r="L644" i="11" s="1"/>
  <c r="I644" i="11"/>
  <c r="H644" i="11"/>
  <c r="C644" i="11"/>
  <c r="N643" i="11"/>
  <c r="C643" i="11"/>
  <c r="N642" i="11"/>
  <c r="H642" i="11" s="1" a="1"/>
  <c r="I642" i="11"/>
  <c r="H642" i="11"/>
  <c r="C642" i="11"/>
  <c r="N641" i="11"/>
  <c r="M641" i="11" s="1"/>
  <c r="H641" i="11" a="1"/>
  <c r="H641" i="11"/>
  <c r="C641" i="11"/>
  <c r="N640" i="11"/>
  <c r="C640" i="11"/>
  <c r="N639" i="11"/>
  <c r="M639" i="11" s="1"/>
  <c r="L639" i="11" a="1"/>
  <c r="L639" i="11" s="1"/>
  <c r="C639" i="11"/>
  <c r="N638" i="11"/>
  <c r="H638" i="11" s="1" a="1"/>
  <c r="M638" i="11"/>
  <c r="L638" i="11" a="1"/>
  <c r="L638" i="11"/>
  <c r="I638" i="11"/>
  <c r="H638" i="11"/>
  <c r="C638" i="11"/>
  <c r="N637" i="11"/>
  <c r="M637" i="11"/>
  <c r="L637" i="11" a="1"/>
  <c r="L637" i="11" s="1"/>
  <c r="C637" i="11"/>
  <c r="N636" i="11"/>
  <c r="C636" i="11"/>
  <c r="N635" i="11"/>
  <c r="M635" i="11" s="1"/>
  <c r="L635" i="11" a="1"/>
  <c r="L635" i="11" s="1"/>
  <c r="C635" i="11"/>
  <c r="N634" i="11"/>
  <c r="M634" i="11" s="1"/>
  <c r="I634" i="11"/>
  <c r="C634" i="11"/>
  <c r="N633" i="11"/>
  <c r="C633" i="11"/>
  <c r="N632" i="11"/>
  <c r="H632" i="11" s="1" a="1"/>
  <c r="M632" i="11"/>
  <c r="L632" i="11" a="1"/>
  <c r="L632" i="11" s="1"/>
  <c r="I632" i="11"/>
  <c r="H632" i="11"/>
  <c r="C632" i="11"/>
  <c r="N631" i="11"/>
  <c r="M631" i="11"/>
  <c r="L631" i="11" a="1"/>
  <c r="L631" i="11" s="1"/>
  <c r="I631" i="11"/>
  <c r="H631" i="11" a="1"/>
  <c r="H631" i="11"/>
  <c r="C631" i="11"/>
  <c r="N630" i="11"/>
  <c r="H630" i="11" s="1" a="1"/>
  <c r="M630" i="11"/>
  <c r="L630" i="11" a="1"/>
  <c r="L630" i="11"/>
  <c r="H630" i="11"/>
  <c r="C630" i="11"/>
  <c r="N629" i="11"/>
  <c r="M629" i="11" s="1"/>
  <c r="L629" i="11" a="1"/>
  <c r="L629" i="11"/>
  <c r="I629" i="11"/>
  <c r="H629" i="11" a="1"/>
  <c r="H629" i="11" s="1"/>
  <c r="C629" i="11"/>
  <c r="N628" i="11"/>
  <c r="H628" i="11" s="1" a="1"/>
  <c r="H628" i="11" s="1"/>
  <c r="I628" i="11"/>
  <c r="C628" i="11"/>
  <c r="N627" i="11"/>
  <c r="M627" i="11"/>
  <c r="L627" i="11" a="1"/>
  <c r="L627" i="11"/>
  <c r="I627" i="11"/>
  <c r="H627" i="11" a="1"/>
  <c r="H627" i="11"/>
  <c r="C627" i="11"/>
  <c r="N626" i="11"/>
  <c r="C626" i="11"/>
  <c r="N625" i="11"/>
  <c r="L625" i="11" s="1" a="1"/>
  <c r="L625" i="11" s="1"/>
  <c r="M625" i="11"/>
  <c r="C625" i="11"/>
  <c r="N624" i="11"/>
  <c r="M624" i="11" s="1"/>
  <c r="C624" i="11"/>
  <c r="N623" i="11"/>
  <c r="M623" i="11"/>
  <c r="L623" i="11" a="1"/>
  <c r="L623" i="11"/>
  <c r="I623" i="11"/>
  <c r="H623" i="11" a="1"/>
  <c r="H623" i="11"/>
  <c r="C623" i="11"/>
  <c r="N622" i="11"/>
  <c r="M622" i="11"/>
  <c r="L622" i="11" a="1"/>
  <c r="L622" i="11" s="1"/>
  <c r="C622" i="11"/>
  <c r="N621" i="11"/>
  <c r="M621" i="11" s="1"/>
  <c r="I621" i="11"/>
  <c r="H621" i="11" a="1"/>
  <c r="H621" i="11"/>
  <c r="C621" i="11"/>
  <c r="N620" i="11"/>
  <c r="M620" i="11"/>
  <c r="L620" i="11" a="1"/>
  <c r="L620" i="11"/>
  <c r="C620" i="11"/>
  <c r="N619" i="11"/>
  <c r="L619" i="11" s="1" a="1"/>
  <c r="M619" i="11"/>
  <c r="L619" i="11"/>
  <c r="I619" i="11"/>
  <c r="H619" i="11" a="1"/>
  <c r="H619" i="11" s="1"/>
  <c r="C619" i="11"/>
  <c r="N618" i="11"/>
  <c r="H618" i="11" s="1" a="1"/>
  <c r="H618" i="11" s="1"/>
  <c r="M618" i="11"/>
  <c r="L618" i="11" a="1"/>
  <c r="L618" i="11"/>
  <c r="I618" i="11"/>
  <c r="C618" i="11"/>
  <c r="N617" i="11"/>
  <c r="M617" i="11"/>
  <c r="L617" i="11" a="1"/>
  <c r="L617" i="11" s="1"/>
  <c r="I617" i="11"/>
  <c r="H617" i="11" a="1"/>
  <c r="H617" i="11" s="1"/>
  <c r="C617" i="11"/>
  <c r="N616" i="11"/>
  <c r="H616" i="11" s="1" a="1"/>
  <c r="L616" i="11" a="1"/>
  <c r="L616" i="11" s="1"/>
  <c r="I616" i="11"/>
  <c r="H616" i="11"/>
  <c r="C616" i="11"/>
  <c r="N615" i="11"/>
  <c r="I615" i="11" s="1"/>
  <c r="M615" i="11"/>
  <c r="L615" i="11" a="1"/>
  <c r="L615" i="11" s="1"/>
  <c r="H615" i="11" a="1"/>
  <c r="H615" i="11" s="1"/>
  <c r="C615" i="11"/>
  <c r="N614" i="11"/>
  <c r="H614" i="11" s="1" a="1"/>
  <c r="M614" i="11"/>
  <c r="L614" i="11" a="1"/>
  <c r="L614" i="11" s="1"/>
  <c r="I614" i="11"/>
  <c r="H614" i="11"/>
  <c r="C614" i="11"/>
  <c r="N613" i="11"/>
  <c r="M613" i="11" s="1"/>
  <c r="I613" i="11"/>
  <c r="C613" i="11"/>
  <c r="N612" i="11"/>
  <c r="M612" i="11"/>
  <c r="C612" i="11"/>
  <c r="N611" i="11"/>
  <c r="I611" i="11"/>
  <c r="H611" i="11" a="1"/>
  <c r="H611" i="11" s="1"/>
  <c r="C611" i="11"/>
  <c r="N610" i="11"/>
  <c r="M610" i="11"/>
  <c r="L610" i="11" a="1"/>
  <c r="L610" i="11" s="1"/>
  <c r="C610" i="11"/>
  <c r="N609" i="11"/>
  <c r="M609" i="11"/>
  <c r="H609" i="11" a="1"/>
  <c r="H609" i="11"/>
  <c r="C609" i="11"/>
  <c r="N608" i="11"/>
  <c r="H608" i="11" s="1" a="1"/>
  <c r="M608" i="11"/>
  <c r="L608" i="11" a="1"/>
  <c r="L608" i="11" s="1"/>
  <c r="I608" i="11"/>
  <c r="H608" i="11"/>
  <c r="C608" i="11"/>
  <c r="N607" i="11"/>
  <c r="C607" i="11"/>
  <c r="N606" i="11"/>
  <c r="H606" i="11" s="1" a="1"/>
  <c r="M606" i="11"/>
  <c r="L606" i="11" a="1"/>
  <c r="L606" i="11" s="1"/>
  <c r="I606" i="11"/>
  <c r="H606" i="11"/>
  <c r="C606" i="11"/>
  <c r="N605" i="11"/>
  <c r="M605" i="11" s="1"/>
  <c r="L605" i="11" a="1"/>
  <c r="L605" i="11"/>
  <c r="C605" i="11"/>
  <c r="N604" i="11"/>
  <c r="C604" i="11"/>
  <c r="N603" i="11"/>
  <c r="H603" i="11" s="1" a="1"/>
  <c r="H603" i="11" s="1"/>
  <c r="I603" i="11"/>
  <c r="C603" i="11"/>
  <c r="N602" i="11"/>
  <c r="M602" i="11"/>
  <c r="I602" i="11"/>
  <c r="C602" i="11"/>
  <c r="N601" i="11"/>
  <c r="C601" i="11"/>
  <c r="N600" i="11"/>
  <c r="H600" i="11" s="1" a="1"/>
  <c r="M600" i="11"/>
  <c r="L600" i="11" a="1"/>
  <c r="L600" i="11" s="1"/>
  <c r="I600" i="11"/>
  <c r="H600" i="11"/>
  <c r="C600" i="11"/>
  <c r="N599" i="11"/>
  <c r="M599" i="11"/>
  <c r="L599" i="11" a="1"/>
  <c r="L599" i="11"/>
  <c r="C599" i="11"/>
  <c r="N598" i="11"/>
  <c r="H598" i="11" s="1" a="1"/>
  <c r="M598" i="11"/>
  <c r="L598" i="11" a="1"/>
  <c r="L598" i="11"/>
  <c r="H598" i="11"/>
  <c r="C598" i="11"/>
  <c r="N597" i="11"/>
  <c r="L597" i="11" s="1" a="1"/>
  <c r="L597" i="11" s="1"/>
  <c r="M597" i="11"/>
  <c r="I597" i="11"/>
  <c r="H597" i="11" a="1"/>
  <c r="H597" i="11" s="1"/>
  <c r="C597" i="11"/>
  <c r="N596" i="11"/>
  <c r="H596" i="11" s="1" a="1"/>
  <c r="H596" i="11" s="1"/>
  <c r="I596" i="11"/>
  <c r="C596" i="11"/>
  <c r="N595" i="11"/>
  <c r="C595" i="11"/>
  <c r="N594" i="11"/>
  <c r="M594" i="11"/>
  <c r="C594" i="11"/>
  <c r="N593" i="11"/>
  <c r="M593" i="11" s="1"/>
  <c r="I593" i="11"/>
  <c r="H593" i="11" a="1"/>
  <c r="H593" i="11"/>
  <c r="C593" i="11"/>
  <c r="N592" i="11"/>
  <c r="M592" i="11" s="1"/>
  <c r="L592" i="11" a="1"/>
  <c r="L592" i="11" s="1"/>
  <c r="C592" i="11"/>
  <c r="N591" i="11"/>
  <c r="M591" i="11"/>
  <c r="L591" i="11" a="1"/>
  <c r="L591" i="11"/>
  <c r="I591" i="11"/>
  <c r="H591" i="11" a="1"/>
  <c r="H591" i="11"/>
  <c r="C591" i="11"/>
  <c r="N590" i="11"/>
  <c r="M590" i="11"/>
  <c r="L590" i="11" a="1"/>
  <c r="L590" i="11" s="1"/>
  <c r="C590" i="11"/>
  <c r="N589" i="11"/>
  <c r="L589" i="11" s="1" a="1"/>
  <c r="L589" i="11" s="1"/>
  <c r="C589" i="11"/>
  <c r="N588" i="11"/>
  <c r="H588" i="11" s="1" a="1"/>
  <c r="H588" i="11" s="1"/>
  <c r="L588" i="11" a="1"/>
  <c r="L588" i="11"/>
  <c r="I588" i="11"/>
  <c r="C588" i="11"/>
  <c r="N587" i="11"/>
  <c r="L587" i="11" s="1" a="1"/>
  <c r="L587" i="11"/>
  <c r="I587" i="11"/>
  <c r="H587" i="11" a="1"/>
  <c r="H587" i="11" s="1"/>
  <c r="C587" i="11"/>
  <c r="N586" i="11"/>
  <c r="H586" i="11" s="1" a="1"/>
  <c r="H586" i="11"/>
  <c r="C586" i="11"/>
  <c r="N585" i="11"/>
  <c r="M585" i="11"/>
  <c r="L585" i="11" a="1"/>
  <c r="L585" i="11" s="1"/>
  <c r="I585" i="11"/>
  <c r="H585" i="11" a="1"/>
  <c r="H585" i="11"/>
  <c r="C585" i="11"/>
  <c r="N584" i="11"/>
  <c r="C584" i="11"/>
  <c r="N583" i="11"/>
  <c r="M583" i="11" s="1"/>
  <c r="L583" i="11" a="1"/>
  <c r="L583" i="11" s="1"/>
  <c r="H583" i="11" a="1"/>
  <c r="H583" i="11" s="1"/>
  <c r="C583" i="11"/>
  <c r="N582" i="11"/>
  <c r="C582" i="11"/>
  <c r="N581" i="11"/>
  <c r="I581" i="11" s="1"/>
  <c r="C581" i="11"/>
  <c r="N580" i="11"/>
  <c r="H580" i="11" s="1" a="1"/>
  <c r="M580" i="11"/>
  <c r="L580" i="11" a="1"/>
  <c r="L580" i="11" s="1"/>
  <c r="I580" i="11"/>
  <c r="H580" i="11"/>
  <c r="C580" i="11"/>
  <c r="N579" i="11"/>
  <c r="C579" i="11"/>
  <c r="N578" i="11"/>
  <c r="H578" i="11" s="1" a="1"/>
  <c r="L578" i="11" a="1"/>
  <c r="L578" i="11" s="1"/>
  <c r="I578" i="11"/>
  <c r="H578" i="11"/>
  <c r="C578" i="11"/>
  <c r="N577" i="11"/>
  <c r="I577" i="11" s="1"/>
  <c r="L577" i="11" a="1"/>
  <c r="L577" i="11" s="1"/>
  <c r="H577" i="11" a="1"/>
  <c r="H577" i="11"/>
  <c r="C577" i="11"/>
  <c r="N576" i="11"/>
  <c r="H576" i="11" s="1" a="1"/>
  <c r="H576" i="11"/>
  <c r="C576" i="11"/>
  <c r="N575" i="11"/>
  <c r="C575" i="11"/>
  <c r="N574" i="11"/>
  <c r="H574" i="11" s="1" a="1"/>
  <c r="M574" i="11"/>
  <c r="L574" i="11" a="1"/>
  <c r="L574" i="11"/>
  <c r="I574" i="11"/>
  <c r="H574" i="11"/>
  <c r="C574" i="11"/>
  <c r="N573" i="11"/>
  <c r="H573" i="11" s="1" a="1"/>
  <c r="H573" i="11" s="1"/>
  <c r="M573" i="11"/>
  <c r="L573" i="11" a="1"/>
  <c r="L573" i="11"/>
  <c r="I573" i="11"/>
  <c r="C573" i="11"/>
  <c r="N572" i="11"/>
  <c r="L572" i="11" a="1"/>
  <c r="L572" i="11" s="1"/>
  <c r="I572" i="11"/>
  <c r="C572" i="11"/>
  <c r="N571" i="11"/>
  <c r="M571" i="11" s="1"/>
  <c r="H571" i="11" a="1"/>
  <c r="H571" i="11" s="1"/>
  <c r="C571" i="11"/>
  <c r="N570" i="11"/>
  <c r="M570" i="11"/>
  <c r="C570" i="11"/>
  <c r="N569" i="11"/>
  <c r="M569" i="11" s="1"/>
  <c r="C569" i="11"/>
  <c r="N568" i="11"/>
  <c r="H568" i="11" s="1" a="1"/>
  <c r="M568" i="11"/>
  <c r="L568" i="11" a="1"/>
  <c r="L568" i="11" s="1"/>
  <c r="I568" i="11"/>
  <c r="H568" i="11"/>
  <c r="C568" i="11"/>
  <c r="N567" i="11"/>
  <c r="M567" i="11"/>
  <c r="C567" i="11"/>
  <c r="N566" i="11"/>
  <c r="H566" i="11" s="1" a="1"/>
  <c r="M566" i="11"/>
  <c r="L566" i="11" a="1"/>
  <c r="L566" i="11" s="1"/>
  <c r="H566" i="11"/>
  <c r="C566" i="11"/>
  <c r="N565" i="11"/>
  <c r="M565" i="11"/>
  <c r="L565" i="11" a="1"/>
  <c r="L565" i="11"/>
  <c r="I565" i="11"/>
  <c r="H565" i="11" a="1"/>
  <c r="H565" i="11" s="1"/>
  <c r="C565" i="11"/>
  <c r="N564" i="11"/>
  <c r="H564" i="11" s="1" a="1"/>
  <c r="H564" i="11" s="1"/>
  <c r="M564" i="11"/>
  <c r="L564" i="11" a="1"/>
  <c r="L564" i="11" s="1"/>
  <c r="I564" i="11"/>
  <c r="C564" i="11"/>
  <c r="N563" i="11"/>
  <c r="M563" i="11" s="1"/>
  <c r="I563" i="11"/>
  <c r="H563" i="11" a="1"/>
  <c r="H563" i="11" s="1"/>
  <c r="C563" i="11"/>
  <c r="N562" i="11"/>
  <c r="H562" i="11" s="1" a="1"/>
  <c r="H562" i="11" s="1"/>
  <c r="M562" i="11"/>
  <c r="L562" i="11" a="1"/>
  <c r="L562" i="11"/>
  <c r="I562" i="11"/>
  <c r="C562" i="11"/>
  <c r="N561" i="11"/>
  <c r="C561" i="11"/>
  <c r="N560" i="11"/>
  <c r="C560" i="11"/>
  <c r="N559" i="11"/>
  <c r="M559" i="11"/>
  <c r="L559" i="11" a="1"/>
  <c r="L559" i="11"/>
  <c r="I559" i="11"/>
  <c r="H559" i="11" a="1"/>
  <c r="H559" i="11" s="1"/>
  <c r="C559" i="11"/>
  <c r="N558" i="11"/>
  <c r="M558" i="11" s="1"/>
  <c r="C558" i="11"/>
  <c r="N557" i="11"/>
  <c r="M557" i="11" s="1"/>
  <c r="L557" i="11" a="1"/>
  <c r="L557" i="11"/>
  <c r="I557" i="11"/>
  <c r="H557" i="11" a="1"/>
  <c r="H557" i="11"/>
  <c r="C557" i="11"/>
  <c r="N556" i="11"/>
  <c r="M556" i="11" s="1"/>
  <c r="L556" i="11" a="1"/>
  <c r="L556" i="11"/>
  <c r="C556" i="11"/>
  <c r="N555" i="11"/>
  <c r="L555" i="11" s="1" a="1"/>
  <c r="L555" i="11" s="1"/>
  <c r="I555" i="11"/>
  <c r="H555" i="11" a="1"/>
  <c r="H555" i="11"/>
  <c r="C555" i="11"/>
  <c r="N554" i="11"/>
  <c r="H554" i="11" s="1" a="1"/>
  <c r="M554" i="11"/>
  <c r="L554" i="11" a="1"/>
  <c r="L554" i="11"/>
  <c r="I554" i="11"/>
  <c r="H554" i="11"/>
  <c r="C554" i="11"/>
  <c r="N553" i="11"/>
  <c r="M553" i="11" s="1"/>
  <c r="C553" i="11"/>
  <c r="N552" i="11"/>
  <c r="C552" i="11"/>
  <c r="N551" i="11"/>
  <c r="C551" i="11"/>
  <c r="N550" i="11"/>
  <c r="H550" i="11" s="1" a="1"/>
  <c r="M550" i="11"/>
  <c r="L550" i="11" a="1"/>
  <c r="L550" i="11"/>
  <c r="I550" i="11"/>
  <c r="H550" i="11"/>
  <c r="C550" i="11"/>
  <c r="N549" i="11"/>
  <c r="C549" i="11"/>
  <c r="N548" i="11"/>
  <c r="H548" i="11" s="1" a="1"/>
  <c r="L548" i="11" a="1"/>
  <c r="L548" i="11"/>
  <c r="I548" i="11"/>
  <c r="H548" i="11"/>
  <c r="C548" i="11"/>
  <c r="N547" i="11"/>
  <c r="C547" i="11"/>
  <c r="N546" i="11"/>
  <c r="H546" i="11" s="1" a="1"/>
  <c r="M546" i="11"/>
  <c r="I546" i="11"/>
  <c r="H546" i="11"/>
  <c r="C546" i="11"/>
  <c r="N545" i="11"/>
  <c r="M545" i="11"/>
  <c r="L545" i="11" a="1"/>
  <c r="L545" i="11" s="1"/>
  <c r="I545" i="11"/>
  <c r="H545" i="11" a="1"/>
  <c r="H545" i="11"/>
  <c r="C545" i="11"/>
  <c r="N544" i="11"/>
  <c r="H544" i="11" s="1" a="1"/>
  <c r="H544" i="11"/>
  <c r="C544" i="11"/>
  <c r="N543" i="11"/>
  <c r="C543" i="11"/>
  <c r="N542" i="11"/>
  <c r="H542" i="11" s="1" a="1"/>
  <c r="M542" i="11"/>
  <c r="L542" i="11" a="1"/>
  <c r="L542" i="11"/>
  <c r="I542" i="11"/>
  <c r="H542" i="11"/>
  <c r="C542" i="11"/>
  <c r="N541" i="11"/>
  <c r="M541" i="11"/>
  <c r="C541" i="11"/>
  <c r="N540" i="11"/>
  <c r="C540" i="11"/>
  <c r="N539" i="11"/>
  <c r="M539" i="11"/>
  <c r="L539" i="11" a="1"/>
  <c r="L539" i="11"/>
  <c r="I539" i="11"/>
  <c r="H539" i="11" a="1"/>
  <c r="H539" i="11"/>
  <c r="C539" i="11"/>
  <c r="N538" i="11"/>
  <c r="M538" i="11"/>
  <c r="C538" i="11"/>
  <c r="N537" i="11"/>
  <c r="M537" i="11" s="1"/>
  <c r="I537" i="11"/>
  <c r="H537" i="11" a="1"/>
  <c r="H537" i="11"/>
  <c r="C537" i="11"/>
  <c r="N536" i="11"/>
  <c r="H536" i="11" s="1" a="1"/>
  <c r="M536" i="11"/>
  <c r="I536" i="11"/>
  <c r="H536" i="11"/>
  <c r="C536" i="11"/>
  <c r="N535" i="11"/>
  <c r="M535" i="11" s="1"/>
  <c r="H535" i="11" a="1"/>
  <c r="H535" i="11" s="1"/>
  <c r="C535" i="11"/>
  <c r="N534" i="11"/>
  <c r="M534" i="11"/>
  <c r="L534" i="11" a="1"/>
  <c r="L534" i="11" s="1"/>
  <c r="C534" i="11"/>
  <c r="N533" i="11"/>
  <c r="C533" i="11"/>
  <c r="N532" i="11"/>
  <c r="M532" i="11"/>
  <c r="L532" i="11" a="1"/>
  <c r="L532" i="11" s="1"/>
  <c r="C532" i="11"/>
  <c r="N531" i="11"/>
  <c r="M531" i="11"/>
  <c r="L531" i="11" a="1"/>
  <c r="L531" i="11" s="1"/>
  <c r="C531" i="11"/>
  <c r="N530" i="11"/>
  <c r="H530" i="11" s="1" a="1"/>
  <c r="M530" i="11"/>
  <c r="L530" i="11" a="1"/>
  <c r="L530" i="11"/>
  <c r="I530" i="11"/>
  <c r="H530" i="11"/>
  <c r="C530" i="11"/>
  <c r="N529" i="11"/>
  <c r="M529" i="11"/>
  <c r="L529" i="11" a="1"/>
  <c r="L529" i="11" s="1"/>
  <c r="C529" i="11"/>
  <c r="N528" i="11"/>
  <c r="H528" i="11" s="1" a="1"/>
  <c r="L528" i="11" a="1"/>
  <c r="L528" i="11"/>
  <c r="I528" i="11"/>
  <c r="H528" i="11"/>
  <c r="C528" i="11"/>
  <c r="N527" i="11"/>
  <c r="M527" i="11"/>
  <c r="L527" i="11" a="1"/>
  <c r="L527" i="11"/>
  <c r="I527" i="11"/>
  <c r="H527" i="11" a="1"/>
  <c r="H527" i="11"/>
  <c r="C527" i="11"/>
  <c r="N526" i="11"/>
  <c r="H526" i="11" s="1" a="1"/>
  <c r="I526" i="11"/>
  <c r="H526" i="11"/>
  <c r="C526" i="11"/>
  <c r="N525" i="11"/>
  <c r="M525" i="11" s="1"/>
  <c r="L525" i="11" a="1"/>
  <c r="L525" i="11" s="1"/>
  <c r="I525" i="11"/>
  <c r="H525" i="11" a="1"/>
  <c r="H525" i="11"/>
  <c r="C525" i="11"/>
  <c r="N524" i="11"/>
  <c r="H524" i="11" s="1" a="1"/>
  <c r="H524" i="11"/>
  <c r="C524" i="11"/>
  <c r="N523" i="11"/>
  <c r="C523" i="11"/>
  <c r="N522" i="11"/>
  <c r="C522" i="11"/>
  <c r="N521" i="11"/>
  <c r="M521" i="11"/>
  <c r="L521" i="11" a="1"/>
  <c r="L521" i="11" s="1"/>
  <c r="I521" i="11"/>
  <c r="H521" i="11" a="1"/>
  <c r="H521" i="11" s="1"/>
  <c r="C521" i="11"/>
  <c r="N520" i="11"/>
  <c r="C520" i="11"/>
  <c r="N519" i="11"/>
  <c r="I519" i="11" s="1"/>
  <c r="L519" i="11" a="1"/>
  <c r="L519" i="11"/>
  <c r="H519" i="11" a="1"/>
  <c r="H519" i="11" s="1"/>
  <c r="C519" i="11"/>
  <c r="N518" i="11"/>
  <c r="H518" i="11" s="1" a="1"/>
  <c r="H518" i="11" s="1"/>
  <c r="M518" i="11"/>
  <c r="L518" i="11" a="1"/>
  <c r="L518" i="11" s="1"/>
  <c r="I518" i="11"/>
  <c r="C518" i="11"/>
  <c r="N517" i="11"/>
  <c r="H517" i="11" s="1" a="1"/>
  <c r="M517" i="11"/>
  <c r="L517" i="11" a="1"/>
  <c r="L517" i="11" s="1"/>
  <c r="I517" i="11"/>
  <c r="H517" i="11"/>
  <c r="C517" i="11"/>
  <c r="N516" i="11"/>
  <c r="H516" i="11" s="1" a="1"/>
  <c r="M516" i="11"/>
  <c r="L516" i="11" a="1"/>
  <c r="L516" i="11"/>
  <c r="I516" i="11"/>
  <c r="H516" i="11"/>
  <c r="C516" i="11"/>
  <c r="N515" i="11"/>
  <c r="M515" i="11"/>
  <c r="L515" i="11" a="1"/>
  <c r="L515" i="11"/>
  <c r="I515" i="11"/>
  <c r="H515" i="11" a="1"/>
  <c r="H515" i="11" s="1"/>
  <c r="C515" i="11"/>
  <c r="N514" i="11"/>
  <c r="H514" i="11" s="1" a="1"/>
  <c r="M514" i="11"/>
  <c r="L514" i="11" a="1"/>
  <c r="L514" i="11"/>
  <c r="I514" i="11"/>
  <c r="H514" i="11"/>
  <c r="C514" i="11"/>
  <c r="N513" i="11"/>
  <c r="M513" i="11"/>
  <c r="C513" i="11"/>
  <c r="N512" i="11"/>
  <c r="C512" i="11"/>
  <c r="N511" i="11"/>
  <c r="M511" i="11"/>
  <c r="L511" i="11" a="1"/>
  <c r="L511" i="11" s="1"/>
  <c r="C511" i="11"/>
  <c r="N510" i="11"/>
  <c r="H510" i="11" s="1" a="1"/>
  <c r="M510" i="11"/>
  <c r="L510" i="11" a="1"/>
  <c r="L510" i="11"/>
  <c r="I510" i="11"/>
  <c r="H510" i="11"/>
  <c r="C510" i="11"/>
  <c r="N509" i="11"/>
  <c r="C509" i="11"/>
  <c r="N508" i="11"/>
  <c r="L508" i="11" s="1" a="1"/>
  <c r="L508" i="11"/>
  <c r="I508" i="11"/>
  <c r="C508" i="11"/>
  <c r="N507" i="11"/>
  <c r="I507" i="11" s="1"/>
  <c r="H507" i="11" a="1"/>
  <c r="H507" i="11" s="1"/>
  <c r="C507" i="11"/>
  <c r="N506" i="11"/>
  <c r="I506" i="11" s="1"/>
  <c r="M506" i="11"/>
  <c r="C506" i="11"/>
  <c r="N505" i="11"/>
  <c r="M505" i="11"/>
  <c r="L505" i="11" a="1"/>
  <c r="L505" i="11" s="1"/>
  <c r="I505" i="11"/>
  <c r="H505" i="11" a="1"/>
  <c r="H505" i="11"/>
  <c r="C505" i="11"/>
  <c r="N504" i="11"/>
  <c r="H504" i="11" s="1" a="1"/>
  <c r="M504" i="11"/>
  <c r="L504" i="11" a="1"/>
  <c r="L504" i="11" s="1"/>
  <c r="I504" i="11"/>
  <c r="H504" i="11"/>
  <c r="C504" i="11"/>
  <c r="N503" i="11"/>
  <c r="M503" i="11"/>
  <c r="L503" i="11" a="1"/>
  <c r="L503" i="11"/>
  <c r="I503" i="11"/>
  <c r="H503" i="11" a="1"/>
  <c r="H503" i="11"/>
  <c r="C503" i="11"/>
  <c r="N502" i="11"/>
  <c r="M502" i="11"/>
  <c r="C502" i="11"/>
  <c r="N501" i="11"/>
  <c r="M501" i="11" s="1"/>
  <c r="L501" i="11" a="1"/>
  <c r="L501" i="11" s="1"/>
  <c r="I501" i="11"/>
  <c r="H501" i="11" a="1"/>
  <c r="H501" i="11" s="1"/>
  <c r="C501" i="11"/>
  <c r="N500" i="11"/>
  <c r="M500" i="11"/>
  <c r="L500" i="11" a="1"/>
  <c r="L500" i="11" s="1"/>
  <c r="C500" i="11"/>
  <c r="N499" i="11"/>
  <c r="L499" i="11" s="1" a="1"/>
  <c r="L499" i="11" s="1"/>
  <c r="M499" i="11"/>
  <c r="I499" i="11"/>
  <c r="H499" i="11" a="1"/>
  <c r="H499" i="11"/>
  <c r="C499" i="11"/>
  <c r="N498" i="11"/>
  <c r="C498" i="11"/>
  <c r="N497" i="11"/>
  <c r="M497" i="11" s="1"/>
  <c r="H497" i="11" a="1"/>
  <c r="H497" i="11"/>
  <c r="C497" i="11"/>
  <c r="N496" i="11"/>
  <c r="M496" i="11"/>
  <c r="C496" i="11"/>
  <c r="N495" i="11"/>
  <c r="M495" i="11"/>
  <c r="L495" i="11" a="1"/>
  <c r="L495" i="11"/>
  <c r="I495" i="11"/>
  <c r="H495" i="11" a="1"/>
  <c r="H495" i="11"/>
  <c r="C495" i="11"/>
  <c r="N494" i="11"/>
  <c r="H494" i="11" s="1" a="1"/>
  <c r="H494" i="11" s="1"/>
  <c r="L494" i="11" a="1"/>
  <c r="L494" i="11" s="1"/>
  <c r="I494" i="11"/>
  <c r="C494" i="11"/>
  <c r="N493" i="11"/>
  <c r="C493" i="11"/>
  <c r="N492" i="11"/>
  <c r="H492" i="11" s="1" a="1"/>
  <c r="M492" i="11"/>
  <c r="L492" i="11" a="1"/>
  <c r="L492" i="11"/>
  <c r="I492" i="11"/>
  <c r="H492" i="11"/>
  <c r="C492" i="11"/>
  <c r="N491" i="11"/>
  <c r="M491" i="11"/>
  <c r="C491" i="11"/>
  <c r="N490" i="11"/>
  <c r="H490" i="11" s="1" a="1"/>
  <c r="L490" i="11" a="1"/>
  <c r="L490" i="11"/>
  <c r="I490" i="11"/>
  <c r="H490" i="11"/>
  <c r="C490" i="11"/>
  <c r="N489" i="11"/>
  <c r="M489" i="11"/>
  <c r="L489" i="11" a="1"/>
  <c r="L489" i="11" s="1"/>
  <c r="I489" i="11"/>
  <c r="H489" i="11" a="1"/>
  <c r="H489" i="11" s="1"/>
  <c r="C489" i="11"/>
  <c r="N488" i="11"/>
  <c r="H488" i="11" s="1" a="1"/>
  <c r="M488" i="11"/>
  <c r="I488" i="11"/>
  <c r="H488" i="11"/>
  <c r="C488" i="11"/>
  <c r="N487" i="11"/>
  <c r="M487" i="11"/>
  <c r="C487" i="11"/>
  <c r="N486" i="11"/>
  <c r="H486" i="11" s="1" a="1"/>
  <c r="H486" i="11" s="1"/>
  <c r="M486" i="11"/>
  <c r="L486" i="11" a="1"/>
  <c r="L486" i="11"/>
  <c r="I486" i="11"/>
  <c r="C486" i="11"/>
  <c r="N485" i="11"/>
  <c r="H485" i="11" s="1" a="1"/>
  <c r="H485" i="11" s="1"/>
  <c r="C485" i="11"/>
  <c r="N484" i="11"/>
  <c r="M484" i="11"/>
  <c r="C484" i="11"/>
  <c r="N483" i="11"/>
  <c r="M483" i="11"/>
  <c r="L483" i="11" a="1"/>
  <c r="L483" i="11"/>
  <c r="I483" i="11"/>
  <c r="H483" i="11" a="1"/>
  <c r="H483" i="11" s="1"/>
  <c r="C483" i="11"/>
  <c r="N482" i="11"/>
  <c r="M482" i="11" s="1"/>
  <c r="C482" i="11"/>
  <c r="N481" i="11"/>
  <c r="M481" i="11" s="1"/>
  <c r="I481" i="11"/>
  <c r="H481" i="11" a="1"/>
  <c r="H481" i="11"/>
  <c r="C481" i="11"/>
  <c r="N480" i="11"/>
  <c r="H480" i="11" s="1" a="1"/>
  <c r="H480" i="11" s="1"/>
  <c r="M480" i="11"/>
  <c r="L480" i="11" a="1"/>
  <c r="L480" i="11" s="1"/>
  <c r="I480" i="11"/>
  <c r="C480" i="11"/>
  <c r="N479" i="11"/>
  <c r="L479" i="11" s="1" a="1"/>
  <c r="L479" i="11" s="1"/>
  <c r="M479" i="11"/>
  <c r="I479" i="11"/>
  <c r="H479" i="11" a="1"/>
  <c r="H479" i="11"/>
  <c r="C479" i="11"/>
  <c r="N478" i="11"/>
  <c r="H478" i="11" s="1" a="1"/>
  <c r="M478" i="11"/>
  <c r="L478" i="11" a="1"/>
  <c r="L478" i="11"/>
  <c r="I478" i="11"/>
  <c r="H478" i="11"/>
  <c r="C478" i="11"/>
  <c r="N477" i="11"/>
  <c r="M477" i="11" s="1"/>
  <c r="H477" i="11" a="1"/>
  <c r="H477" i="11"/>
  <c r="C477" i="11"/>
  <c r="N476" i="11"/>
  <c r="L476" i="11" s="1" a="1"/>
  <c r="L476" i="11" s="1"/>
  <c r="C476" i="11"/>
  <c r="N475" i="11"/>
  <c r="C475" i="11"/>
  <c r="N474" i="11"/>
  <c r="M474" i="11" s="1"/>
  <c r="I474" i="11"/>
  <c r="C474" i="11"/>
  <c r="N473" i="11"/>
  <c r="L473" i="11" s="1" a="1"/>
  <c r="L473" i="11" s="1"/>
  <c r="M473" i="11"/>
  <c r="C473" i="11"/>
  <c r="N472" i="11"/>
  <c r="H472" i="11" s="1" a="1"/>
  <c r="M472" i="11"/>
  <c r="L472" i="11" a="1"/>
  <c r="L472" i="11" s="1"/>
  <c r="I472" i="11"/>
  <c r="H472" i="11"/>
  <c r="C472" i="11"/>
  <c r="N471" i="11"/>
  <c r="H471" i="11" s="1" a="1"/>
  <c r="H471" i="11" s="1"/>
  <c r="L471" i="11" a="1"/>
  <c r="L471" i="11"/>
  <c r="I471" i="11"/>
  <c r="C471" i="11"/>
  <c r="N470" i="11"/>
  <c r="M470" i="11" s="1"/>
  <c r="C470" i="11"/>
  <c r="N469" i="11"/>
  <c r="L469" i="11" s="1" a="1"/>
  <c r="L469" i="11" s="1"/>
  <c r="M469" i="11"/>
  <c r="I469" i="11"/>
  <c r="H469" i="11" a="1"/>
  <c r="H469" i="11"/>
  <c r="C469" i="11"/>
  <c r="N468" i="11"/>
  <c r="H468" i="11" s="1" a="1"/>
  <c r="H468" i="11" s="1"/>
  <c r="C468" i="11"/>
  <c r="N467" i="11"/>
  <c r="M467" i="11" s="1"/>
  <c r="C467" i="11"/>
  <c r="G466" i="11"/>
  <c r="F466" i="11"/>
  <c r="E466" i="11"/>
  <c r="D466" i="11"/>
  <c r="C466" i="11"/>
  <c r="A466" i="11"/>
  <c r="N466" i="11" s="1"/>
  <c r="G465" i="11"/>
  <c r="F465" i="11"/>
  <c r="E465" i="11"/>
  <c r="D465" i="11"/>
  <c r="C465" i="11"/>
  <c r="A465" i="11"/>
  <c r="N465" i="11" s="1"/>
  <c r="H465" i="11" s="1" a="1"/>
  <c r="H465" i="11" s="1"/>
  <c r="O464" i="11"/>
  <c r="J464" i="11"/>
  <c r="G464" i="11"/>
  <c r="F464" i="11"/>
  <c r="E464" i="11"/>
  <c r="D464" i="11"/>
  <c r="C464" i="11"/>
  <c r="B464" i="11"/>
  <c r="A464" i="11"/>
  <c r="N464" i="11" s="1"/>
  <c r="O463" i="11"/>
  <c r="J463" i="11"/>
  <c r="G463" i="11"/>
  <c r="F463" i="11"/>
  <c r="E463" i="11"/>
  <c r="D463" i="11"/>
  <c r="C463" i="11"/>
  <c r="A463" i="11"/>
  <c r="N463" i="11" s="1"/>
  <c r="O462" i="11"/>
  <c r="J462" i="11"/>
  <c r="G462" i="11"/>
  <c r="F462" i="11"/>
  <c r="E462" i="11"/>
  <c r="D462" i="11"/>
  <c r="C462" i="11"/>
  <c r="B462" i="11"/>
  <c r="A462" i="11"/>
  <c r="N462" i="11" s="1"/>
  <c r="O461" i="11"/>
  <c r="J461" i="11"/>
  <c r="G461" i="11"/>
  <c r="F461" i="11"/>
  <c r="E461" i="11"/>
  <c r="D461" i="11"/>
  <c r="C461" i="11"/>
  <c r="A461" i="11"/>
  <c r="N461" i="11" s="1"/>
  <c r="O460" i="11"/>
  <c r="J460" i="11"/>
  <c r="G460" i="11"/>
  <c r="F460" i="11"/>
  <c r="E460" i="11"/>
  <c r="D460" i="11"/>
  <c r="C460" i="11"/>
  <c r="B460" i="11" s="1"/>
  <c r="A460" i="11"/>
  <c r="N460" i="11" s="1"/>
  <c r="O459" i="11"/>
  <c r="J459" i="11"/>
  <c r="G459" i="11"/>
  <c r="F459" i="11"/>
  <c r="E459" i="11"/>
  <c r="D459" i="11"/>
  <c r="C459" i="11"/>
  <c r="A459" i="11"/>
  <c r="N459" i="11" s="1"/>
  <c r="L459" i="11" s="1" a="1"/>
  <c r="L459" i="11" s="1"/>
  <c r="O458" i="11"/>
  <c r="J458" i="11"/>
  <c r="G458" i="11"/>
  <c r="F458" i="11"/>
  <c r="L458" i="11" s="1" a="1"/>
  <c r="L458" i="11" s="1"/>
  <c r="E458" i="11"/>
  <c r="D458" i="11"/>
  <c r="C458" i="11"/>
  <c r="A458" i="11"/>
  <c r="N458" i="11" s="1"/>
  <c r="O457" i="11"/>
  <c r="J457" i="11"/>
  <c r="G457" i="11"/>
  <c r="F457" i="11"/>
  <c r="E457" i="11"/>
  <c r="D457" i="11"/>
  <c r="C457" i="11"/>
  <c r="A457" i="11"/>
  <c r="N457" i="11" s="1"/>
  <c r="O456" i="11"/>
  <c r="J456" i="11"/>
  <c r="G456" i="11"/>
  <c r="F456" i="11"/>
  <c r="E456" i="11"/>
  <c r="D456" i="11"/>
  <c r="B456" i="11" s="1"/>
  <c r="C456" i="11"/>
  <c r="A456" i="11"/>
  <c r="N456" i="11" s="1"/>
  <c r="O455" i="11"/>
  <c r="J455" i="11"/>
  <c r="G455" i="11"/>
  <c r="F455" i="11"/>
  <c r="E455" i="11"/>
  <c r="D455" i="11"/>
  <c r="C455" i="11"/>
  <c r="A455" i="11"/>
  <c r="N455" i="11" s="1"/>
  <c r="O454" i="11"/>
  <c r="J454" i="11"/>
  <c r="G454" i="11"/>
  <c r="F454" i="11"/>
  <c r="E454" i="11"/>
  <c r="D454" i="11"/>
  <c r="C454" i="11"/>
  <c r="A454" i="11"/>
  <c r="N454" i="11" s="1"/>
  <c r="O453" i="11"/>
  <c r="J453" i="11"/>
  <c r="G453" i="11"/>
  <c r="F453" i="11"/>
  <c r="E453" i="11"/>
  <c r="D453" i="11"/>
  <c r="C453" i="11"/>
  <c r="B453" i="11"/>
  <c r="A453" i="11"/>
  <c r="N453" i="11" s="1"/>
  <c r="O452" i="11"/>
  <c r="N452" i="11"/>
  <c r="J452" i="11"/>
  <c r="G452" i="11"/>
  <c r="F452" i="11"/>
  <c r="E452" i="11"/>
  <c r="D452" i="11"/>
  <c r="C452" i="11"/>
  <c r="A452" i="11"/>
  <c r="O451" i="11"/>
  <c r="J451" i="11"/>
  <c r="G451" i="11"/>
  <c r="F451" i="11"/>
  <c r="E451" i="11"/>
  <c r="D451" i="11"/>
  <c r="C451" i="11"/>
  <c r="B451" i="11"/>
  <c r="A451" i="11"/>
  <c r="N451" i="11" s="1"/>
  <c r="O450" i="11"/>
  <c r="J450" i="11"/>
  <c r="G450" i="11"/>
  <c r="F450" i="11"/>
  <c r="E450" i="11"/>
  <c r="D450" i="11"/>
  <c r="C450" i="11"/>
  <c r="B450" i="11" s="1"/>
  <c r="A450" i="11"/>
  <c r="N450" i="11" s="1"/>
  <c r="O449" i="11"/>
  <c r="J449" i="11"/>
  <c r="G449" i="11"/>
  <c r="F449" i="11"/>
  <c r="E449" i="11"/>
  <c r="D449" i="11"/>
  <c r="C449" i="11"/>
  <c r="A449" i="11"/>
  <c r="N449" i="11" s="1"/>
  <c r="O448" i="11"/>
  <c r="J448" i="11"/>
  <c r="G448" i="11"/>
  <c r="F448" i="11"/>
  <c r="E448" i="11"/>
  <c r="D448" i="11"/>
  <c r="C448" i="11"/>
  <c r="B448" i="11" s="1"/>
  <c r="A448" i="11"/>
  <c r="N448" i="11" s="1"/>
  <c r="O447" i="11"/>
  <c r="N447" i="11"/>
  <c r="J447" i="11"/>
  <c r="G447" i="11"/>
  <c r="F447" i="11"/>
  <c r="E447" i="11"/>
  <c r="D447" i="11"/>
  <c r="C447" i="11"/>
  <c r="A447" i="11"/>
  <c r="O446" i="11"/>
  <c r="J446" i="11"/>
  <c r="G446" i="11"/>
  <c r="F446" i="11"/>
  <c r="E446" i="11"/>
  <c r="D446" i="11"/>
  <c r="C446" i="11"/>
  <c r="B446" i="11"/>
  <c r="A446" i="11"/>
  <c r="N446" i="11" s="1"/>
  <c r="O445" i="11"/>
  <c r="N445" i="11"/>
  <c r="J445" i="11"/>
  <c r="G445" i="11"/>
  <c r="F445" i="11"/>
  <c r="E445" i="11"/>
  <c r="D445" i="11"/>
  <c r="C445" i="11"/>
  <c r="B445" i="11" s="1"/>
  <c r="A445" i="11"/>
  <c r="O444" i="11"/>
  <c r="J444" i="11"/>
  <c r="G444" i="11"/>
  <c r="F444" i="11"/>
  <c r="E444" i="11"/>
  <c r="D444" i="11"/>
  <c r="C444" i="11"/>
  <c r="A444" i="11"/>
  <c r="N444" i="11" s="1"/>
  <c r="L444" i="11" s="1" a="1"/>
  <c r="L444" i="11" s="1"/>
  <c r="O443" i="11"/>
  <c r="J443" i="11"/>
  <c r="G443" i="11"/>
  <c r="F443" i="11"/>
  <c r="E443" i="11"/>
  <c r="D443" i="11"/>
  <c r="C443" i="11"/>
  <c r="A443" i="11"/>
  <c r="N443" i="11" s="1"/>
  <c r="O442" i="11"/>
  <c r="J442" i="11"/>
  <c r="G442" i="11"/>
  <c r="F442" i="11"/>
  <c r="E442" i="11"/>
  <c r="D442" i="11"/>
  <c r="C442" i="11"/>
  <c r="B442" i="11" s="1"/>
  <c r="A442" i="11"/>
  <c r="N442" i="11" s="1"/>
  <c r="O441" i="11"/>
  <c r="J441" i="11"/>
  <c r="G441" i="11"/>
  <c r="F441" i="11"/>
  <c r="E441" i="11"/>
  <c r="D441" i="11"/>
  <c r="C441" i="11"/>
  <c r="A441" i="11"/>
  <c r="N441" i="11" s="1"/>
  <c r="O440" i="11"/>
  <c r="J440" i="11"/>
  <c r="G440" i="11"/>
  <c r="F440" i="11"/>
  <c r="E440" i="11"/>
  <c r="D440" i="11"/>
  <c r="C440" i="11"/>
  <c r="A440" i="11"/>
  <c r="N440" i="11" s="1"/>
  <c r="O439" i="11"/>
  <c r="N439" i="11"/>
  <c r="J439" i="11"/>
  <c r="G439" i="11"/>
  <c r="F439" i="11"/>
  <c r="E439" i="11"/>
  <c r="D439" i="11"/>
  <c r="C439" i="11"/>
  <c r="A439" i="11"/>
  <c r="O438" i="11"/>
  <c r="J438" i="11"/>
  <c r="G438" i="11"/>
  <c r="F438" i="11"/>
  <c r="E438" i="11"/>
  <c r="D438" i="11"/>
  <c r="C438" i="11"/>
  <c r="B438" i="11" s="1"/>
  <c r="A438" i="11"/>
  <c r="N438" i="11" s="1"/>
  <c r="O437" i="11"/>
  <c r="J437" i="11"/>
  <c r="G437" i="11"/>
  <c r="F437" i="11"/>
  <c r="E437" i="11"/>
  <c r="D437" i="11"/>
  <c r="C437" i="11"/>
  <c r="A437" i="11"/>
  <c r="N437" i="11" s="1"/>
  <c r="O436" i="11"/>
  <c r="J436" i="11"/>
  <c r="G436" i="11"/>
  <c r="F436" i="11"/>
  <c r="E436" i="11"/>
  <c r="D436" i="11"/>
  <c r="C436" i="11"/>
  <c r="A436" i="11"/>
  <c r="N436" i="11" s="1"/>
  <c r="O435" i="11"/>
  <c r="J435" i="11"/>
  <c r="G435" i="11"/>
  <c r="F435" i="11"/>
  <c r="E435" i="11"/>
  <c r="D435" i="11"/>
  <c r="C435" i="11"/>
  <c r="A435" i="11"/>
  <c r="N435" i="11" s="1"/>
  <c r="O434" i="11"/>
  <c r="J434" i="11"/>
  <c r="G434" i="11"/>
  <c r="F434" i="11"/>
  <c r="E434" i="11"/>
  <c r="D434" i="11"/>
  <c r="C434" i="11"/>
  <c r="A434" i="11"/>
  <c r="N434" i="11" s="1"/>
  <c r="O433" i="11"/>
  <c r="N433" i="11"/>
  <c r="H433" i="11" s="1" a="1"/>
  <c r="H433" i="11" s="1"/>
  <c r="J433" i="11"/>
  <c r="G433" i="11"/>
  <c r="F433" i="11"/>
  <c r="E433" i="11"/>
  <c r="D433" i="11"/>
  <c r="C433" i="11"/>
  <c r="B433" i="11" s="1"/>
  <c r="A433" i="11"/>
  <c r="O432" i="11"/>
  <c r="J432" i="11"/>
  <c r="G432" i="11"/>
  <c r="F432" i="11"/>
  <c r="E432" i="11"/>
  <c r="D432" i="11"/>
  <c r="C432" i="11"/>
  <c r="A432" i="11"/>
  <c r="N432" i="11" s="1"/>
  <c r="O431" i="11"/>
  <c r="J431" i="11"/>
  <c r="G431" i="11"/>
  <c r="F431" i="11"/>
  <c r="E431" i="11"/>
  <c r="D431" i="11"/>
  <c r="C431" i="11"/>
  <c r="A431" i="11"/>
  <c r="N431" i="11" s="1"/>
  <c r="O430" i="11"/>
  <c r="J430" i="11"/>
  <c r="G430" i="11"/>
  <c r="F430" i="11"/>
  <c r="E430" i="11"/>
  <c r="D430" i="11"/>
  <c r="C430" i="11"/>
  <c r="A430" i="11"/>
  <c r="N430" i="11" s="1"/>
  <c r="O429" i="11"/>
  <c r="J429" i="11"/>
  <c r="G429" i="11"/>
  <c r="F429" i="11"/>
  <c r="E429" i="11"/>
  <c r="D429" i="11"/>
  <c r="C429" i="11"/>
  <c r="A429" i="11"/>
  <c r="N429" i="11" s="1"/>
  <c r="O428" i="11"/>
  <c r="N428" i="11"/>
  <c r="J428" i="11"/>
  <c r="G428" i="11"/>
  <c r="F428" i="11"/>
  <c r="E428" i="11"/>
  <c r="D428" i="11"/>
  <c r="C428" i="11"/>
  <c r="A428" i="11"/>
  <c r="O427" i="11"/>
  <c r="J427" i="11"/>
  <c r="G427" i="11"/>
  <c r="F427" i="11"/>
  <c r="E427" i="11"/>
  <c r="D427" i="11"/>
  <c r="C427" i="11"/>
  <c r="B427" i="11" s="1"/>
  <c r="A427" i="11"/>
  <c r="N427" i="11" s="1"/>
  <c r="O426" i="11"/>
  <c r="N426" i="11"/>
  <c r="H426" i="11" s="1" a="1"/>
  <c r="H426" i="11" s="1"/>
  <c r="J426" i="11"/>
  <c r="G426" i="11"/>
  <c r="F426" i="11"/>
  <c r="E426" i="11"/>
  <c r="D426" i="11"/>
  <c r="C426" i="11"/>
  <c r="A426" i="11"/>
  <c r="J425" i="11"/>
  <c r="G425" i="11"/>
  <c r="F425" i="11"/>
  <c r="E425" i="11"/>
  <c r="D425" i="11"/>
  <c r="C425" i="11"/>
  <c r="A425" i="11"/>
  <c r="N425" i="11" s="1"/>
  <c r="J424" i="11"/>
  <c r="G424" i="11"/>
  <c r="F424" i="11"/>
  <c r="L424" i="11" s="1" a="1"/>
  <c r="L424" i="11" s="1"/>
  <c r="E424" i="11"/>
  <c r="D424" i="11"/>
  <c r="C424" i="11"/>
  <c r="A424" i="11"/>
  <c r="N424" i="11" s="1"/>
  <c r="J423" i="11"/>
  <c r="G423" i="11"/>
  <c r="F423" i="11"/>
  <c r="E423" i="11"/>
  <c r="D423" i="11"/>
  <c r="C423" i="11"/>
  <c r="A423" i="11"/>
  <c r="N423" i="11" s="1"/>
  <c r="J422" i="11"/>
  <c r="G422" i="11"/>
  <c r="F422" i="11"/>
  <c r="E422" i="11"/>
  <c r="D422" i="11"/>
  <c r="C422" i="11"/>
  <c r="A422" i="11"/>
  <c r="N422" i="11" s="1"/>
  <c r="J421" i="11"/>
  <c r="G421" i="11"/>
  <c r="F421" i="11"/>
  <c r="E421" i="11"/>
  <c r="D421" i="11"/>
  <c r="C421" i="11"/>
  <c r="A421" i="11"/>
  <c r="N421" i="11" s="1"/>
  <c r="J420" i="11"/>
  <c r="G420" i="11"/>
  <c r="F420" i="11"/>
  <c r="E420" i="11"/>
  <c r="D420" i="11"/>
  <c r="C420" i="11"/>
  <c r="A420" i="11"/>
  <c r="N420" i="11" s="1"/>
  <c r="J419" i="11"/>
  <c r="G419" i="11"/>
  <c r="F419" i="11"/>
  <c r="E419" i="11"/>
  <c r="D419" i="11"/>
  <c r="C419" i="11"/>
  <c r="B419" i="11"/>
  <c r="A419" i="11"/>
  <c r="N419" i="11" s="1"/>
  <c r="J418" i="11"/>
  <c r="G418" i="11"/>
  <c r="F418" i="11"/>
  <c r="E418" i="11"/>
  <c r="D418" i="11"/>
  <c r="C418" i="11"/>
  <c r="A418" i="11"/>
  <c r="N418" i="11" s="1"/>
  <c r="L418" i="11" s="1" a="1"/>
  <c r="L418" i="11" s="1"/>
  <c r="N417" i="11"/>
  <c r="J417" i="11"/>
  <c r="G417" i="11"/>
  <c r="F417" i="11"/>
  <c r="E417" i="11"/>
  <c r="D417" i="11"/>
  <c r="C417" i="11"/>
  <c r="A417" i="11"/>
  <c r="J416" i="11"/>
  <c r="G416" i="11"/>
  <c r="F416" i="11"/>
  <c r="E416" i="11"/>
  <c r="D416" i="11"/>
  <c r="C416" i="11"/>
  <c r="A416" i="11"/>
  <c r="N416" i="11" s="1"/>
  <c r="L416" i="11" s="1" a="1"/>
  <c r="L416" i="11" s="1"/>
  <c r="J415" i="11"/>
  <c r="G415" i="11"/>
  <c r="F415" i="11"/>
  <c r="E415" i="11"/>
  <c r="D415" i="11"/>
  <c r="C415" i="11"/>
  <c r="A415" i="11"/>
  <c r="N415" i="11" s="1"/>
  <c r="J414" i="11"/>
  <c r="G414" i="11"/>
  <c r="F414" i="11"/>
  <c r="E414" i="11"/>
  <c r="D414" i="11"/>
  <c r="C414" i="11"/>
  <c r="B414" i="11" s="1"/>
  <c r="A414" i="11"/>
  <c r="N414" i="11" s="1"/>
  <c r="N413" i="11"/>
  <c r="J413" i="11"/>
  <c r="G413" i="11"/>
  <c r="F413" i="11"/>
  <c r="E413" i="11"/>
  <c r="D413" i="11"/>
  <c r="C413" i="11"/>
  <c r="A413" i="11"/>
  <c r="J412" i="11"/>
  <c r="G412" i="11"/>
  <c r="F412" i="11"/>
  <c r="E412" i="11"/>
  <c r="D412" i="11"/>
  <c r="C412" i="11"/>
  <c r="B412" i="11" s="1"/>
  <c r="A412" i="11"/>
  <c r="N412" i="11" s="1"/>
  <c r="J411" i="11"/>
  <c r="G411" i="11"/>
  <c r="F411" i="11"/>
  <c r="E411" i="11"/>
  <c r="D411" i="11"/>
  <c r="C411" i="11"/>
  <c r="A411" i="11"/>
  <c r="N411" i="11" s="1"/>
  <c r="J410" i="11"/>
  <c r="G410" i="11"/>
  <c r="F410" i="11"/>
  <c r="E410" i="11"/>
  <c r="D410" i="11"/>
  <c r="C410" i="11"/>
  <c r="B410" i="11" s="1"/>
  <c r="A410" i="11"/>
  <c r="N410" i="11" s="1"/>
  <c r="J409" i="11"/>
  <c r="G409" i="11"/>
  <c r="F409" i="11"/>
  <c r="E409" i="11"/>
  <c r="D409" i="11"/>
  <c r="C409" i="11"/>
  <c r="A409" i="11"/>
  <c r="N409" i="11" s="1"/>
  <c r="J408" i="11"/>
  <c r="G408" i="11"/>
  <c r="F408" i="11"/>
  <c r="E408" i="11"/>
  <c r="D408" i="11"/>
  <c r="C408" i="11"/>
  <c r="B408" i="11" s="1"/>
  <c r="A408" i="11"/>
  <c r="N408" i="11" s="1"/>
  <c r="L408" i="11" s="1" a="1"/>
  <c r="L408" i="11" s="1"/>
  <c r="J407" i="11"/>
  <c r="G407" i="11"/>
  <c r="F407" i="11"/>
  <c r="E407" i="11"/>
  <c r="D407" i="11"/>
  <c r="C407" i="11"/>
  <c r="B407" i="11" s="1"/>
  <c r="A407" i="11"/>
  <c r="N407" i="11" s="1"/>
  <c r="L407" i="11" s="1" a="1"/>
  <c r="L407" i="11" s="1"/>
  <c r="J406" i="11"/>
  <c r="G406" i="11"/>
  <c r="F406" i="11"/>
  <c r="E406" i="11"/>
  <c r="D406" i="11"/>
  <c r="C406" i="11"/>
  <c r="B406" i="11"/>
  <c r="A406" i="11"/>
  <c r="N406" i="11" s="1"/>
  <c r="J405" i="11"/>
  <c r="G405" i="11"/>
  <c r="F405" i="11"/>
  <c r="E405" i="11"/>
  <c r="D405" i="11"/>
  <c r="C405" i="11"/>
  <c r="A405" i="11"/>
  <c r="N405" i="11" s="1"/>
  <c r="J404" i="11"/>
  <c r="G404" i="11"/>
  <c r="F404" i="11"/>
  <c r="E404" i="11"/>
  <c r="D404" i="11"/>
  <c r="C404" i="11"/>
  <c r="A404" i="11"/>
  <c r="N404" i="11" s="1"/>
  <c r="J403" i="11"/>
  <c r="G403" i="11"/>
  <c r="F403" i="11"/>
  <c r="E403" i="11"/>
  <c r="D403" i="11"/>
  <c r="C403" i="11"/>
  <c r="A403" i="11"/>
  <c r="N403" i="11" s="1"/>
  <c r="J402" i="11"/>
  <c r="G402" i="11"/>
  <c r="F402" i="11"/>
  <c r="E402" i="11"/>
  <c r="D402" i="11"/>
  <c r="B402" i="11" s="1"/>
  <c r="C402" i="11"/>
  <c r="A402" i="11"/>
  <c r="N402" i="11" s="1"/>
  <c r="J401" i="11"/>
  <c r="G401" i="11"/>
  <c r="F401" i="11"/>
  <c r="E401" i="11"/>
  <c r="D401" i="11"/>
  <c r="C401" i="11"/>
  <c r="B401" i="11" s="1"/>
  <c r="A401" i="11"/>
  <c r="N401" i="11" s="1"/>
  <c r="J400" i="11"/>
  <c r="G400" i="11"/>
  <c r="F400" i="11"/>
  <c r="E400" i="11"/>
  <c r="D400" i="11"/>
  <c r="C400" i="11"/>
  <c r="B400" i="11" s="1"/>
  <c r="A400" i="11"/>
  <c r="N400" i="11" s="1"/>
  <c r="J399" i="11"/>
  <c r="G399" i="11"/>
  <c r="F399" i="11"/>
  <c r="E399" i="11"/>
  <c r="D399" i="11"/>
  <c r="C399" i="11"/>
  <c r="A399" i="11"/>
  <c r="N399" i="11" s="1"/>
  <c r="J398" i="11"/>
  <c r="G398" i="11"/>
  <c r="F398" i="11"/>
  <c r="E398" i="11"/>
  <c r="D398" i="11"/>
  <c r="C398" i="11"/>
  <c r="B398" i="11" s="1"/>
  <c r="A398" i="11"/>
  <c r="N398" i="11" s="1"/>
  <c r="J397" i="11"/>
  <c r="G397" i="11"/>
  <c r="F397" i="11"/>
  <c r="E397" i="11"/>
  <c r="D397" i="11"/>
  <c r="C397" i="11"/>
  <c r="A397" i="11"/>
  <c r="N397" i="11" s="1"/>
  <c r="J396" i="11"/>
  <c r="G396" i="11"/>
  <c r="F396" i="11"/>
  <c r="E396" i="11"/>
  <c r="D396" i="11"/>
  <c r="C396" i="11"/>
  <c r="B396" i="11"/>
  <c r="A396" i="11"/>
  <c r="N396" i="11" s="1"/>
  <c r="N395" i="11"/>
  <c r="J395" i="11"/>
  <c r="G395" i="11"/>
  <c r="F395" i="11"/>
  <c r="E395" i="11"/>
  <c r="D395" i="11"/>
  <c r="C395" i="11"/>
  <c r="B395" i="11" s="1"/>
  <c r="A395" i="11"/>
  <c r="J394" i="11"/>
  <c r="G394" i="11"/>
  <c r="F394" i="11"/>
  <c r="E394" i="11"/>
  <c r="D394" i="11"/>
  <c r="C394" i="11"/>
  <c r="B394" i="11" s="1"/>
  <c r="A394" i="11"/>
  <c r="N394" i="11" s="1"/>
  <c r="H394" i="11" s="1" a="1"/>
  <c r="H394" i="11" s="1"/>
  <c r="N393" i="11"/>
  <c r="J393" i="11"/>
  <c r="G393" i="11"/>
  <c r="F393" i="11"/>
  <c r="E393" i="11"/>
  <c r="D393" i="11"/>
  <c r="C393" i="11"/>
  <c r="A393" i="11"/>
  <c r="J392" i="11"/>
  <c r="G392" i="11"/>
  <c r="F392" i="11"/>
  <c r="E392" i="11"/>
  <c r="D392" i="11"/>
  <c r="C392" i="11"/>
  <c r="A392" i="11"/>
  <c r="N392" i="11" s="1"/>
  <c r="N391" i="11"/>
  <c r="J391" i="11"/>
  <c r="G391" i="11"/>
  <c r="F391" i="11"/>
  <c r="E391" i="11"/>
  <c r="D391" i="11"/>
  <c r="C391" i="11"/>
  <c r="A391" i="11"/>
  <c r="J390" i="11"/>
  <c r="G390" i="11"/>
  <c r="F390" i="11"/>
  <c r="E390" i="11"/>
  <c r="D390" i="11"/>
  <c r="C390" i="11"/>
  <c r="B390" i="11"/>
  <c r="A390" i="11"/>
  <c r="N390" i="11" s="1"/>
  <c r="J389" i="11"/>
  <c r="G389" i="11"/>
  <c r="F389" i="11"/>
  <c r="E389" i="11"/>
  <c r="D389" i="11"/>
  <c r="C389" i="11"/>
  <c r="A389" i="11"/>
  <c r="N389" i="11" s="1"/>
  <c r="J388" i="11"/>
  <c r="G388" i="11"/>
  <c r="F388" i="11"/>
  <c r="E388" i="11"/>
  <c r="D388" i="11"/>
  <c r="C388" i="11"/>
  <c r="A388" i="11"/>
  <c r="N388" i="11" s="1"/>
  <c r="J387" i="11"/>
  <c r="G387" i="11"/>
  <c r="F387" i="11"/>
  <c r="E387" i="11"/>
  <c r="D387" i="11"/>
  <c r="C387" i="11"/>
  <c r="A387" i="11"/>
  <c r="N387" i="11" s="1"/>
  <c r="J386" i="11"/>
  <c r="G386" i="11"/>
  <c r="F386" i="11"/>
  <c r="E386" i="11"/>
  <c r="D386" i="11"/>
  <c r="C386" i="11"/>
  <c r="B386" i="11" s="1"/>
  <c r="A386" i="11"/>
  <c r="N386" i="11" s="1"/>
  <c r="L386" i="11" s="1" a="1"/>
  <c r="L386" i="11" s="1"/>
  <c r="N385" i="11"/>
  <c r="J385" i="11"/>
  <c r="H385" i="11" a="1"/>
  <c r="H385" i="11" s="1"/>
  <c r="G385" i="11"/>
  <c r="F385" i="11"/>
  <c r="E385" i="11"/>
  <c r="D385" i="11"/>
  <c r="C385" i="11"/>
  <c r="A385" i="11"/>
  <c r="J384" i="11"/>
  <c r="G384" i="11"/>
  <c r="F384" i="11"/>
  <c r="E384" i="11"/>
  <c r="D384" i="11"/>
  <c r="C384" i="11"/>
  <c r="A384" i="11"/>
  <c r="N384" i="11" s="1"/>
  <c r="N383" i="11"/>
  <c r="J383" i="11"/>
  <c r="G383" i="11"/>
  <c r="F383" i="11"/>
  <c r="E383" i="11"/>
  <c r="D383" i="11"/>
  <c r="C383" i="11"/>
  <c r="A383" i="11"/>
  <c r="J382" i="11"/>
  <c r="G382" i="11"/>
  <c r="F382" i="11"/>
  <c r="E382" i="11"/>
  <c r="D382" i="11"/>
  <c r="C382" i="11"/>
  <c r="A382" i="11"/>
  <c r="N382" i="11" s="1"/>
  <c r="N381" i="11"/>
  <c r="J381" i="11"/>
  <c r="G381" i="11"/>
  <c r="F381" i="11"/>
  <c r="E381" i="11"/>
  <c r="D381" i="11"/>
  <c r="C381" i="11"/>
  <c r="H381" i="11" s="1" a="1"/>
  <c r="H381" i="11" s="1"/>
  <c r="A381" i="11"/>
  <c r="J380" i="11"/>
  <c r="G380" i="11"/>
  <c r="F380" i="11"/>
  <c r="E380" i="11"/>
  <c r="D380" i="11"/>
  <c r="C380" i="11"/>
  <c r="A380" i="11"/>
  <c r="N380" i="11" s="1"/>
  <c r="J379" i="11"/>
  <c r="G379" i="11"/>
  <c r="F379" i="11"/>
  <c r="E379" i="11"/>
  <c r="D379" i="11"/>
  <c r="C379" i="11"/>
  <c r="A379" i="11"/>
  <c r="N379" i="11" s="1"/>
  <c r="J378" i="11"/>
  <c r="G378" i="11"/>
  <c r="F378" i="11"/>
  <c r="E378" i="11"/>
  <c r="D378" i="11"/>
  <c r="C378" i="11"/>
  <c r="A378" i="11"/>
  <c r="N378" i="11" s="1"/>
  <c r="J377" i="11"/>
  <c r="G377" i="11"/>
  <c r="F377" i="11"/>
  <c r="E377" i="11"/>
  <c r="D377" i="11"/>
  <c r="C377" i="11"/>
  <c r="B377" i="11"/>
  <c r="A377" i="11"/>
  <c r="N377" i="11" s="1"/>
  <c r="J376" i="11"/>
  <c r="G376" i="11"/>
  <c r="F376" i="11"/>
  <c r="E376" i="11"/>
  <c r="D376" i="11"/>
  <c r="C376" i="11"/>
  <c r="A376" i="11"/>
  <c r="N376" i="11" s="1"/>
  <c r="J375" i="11"/>
  <c r="G375" i="11"/>
  <c r="F375" i="11"/>
  <c r="E375" i="11"/>
  <c r="D375" i="11"/>
  <c r="C375" i="11"/>
  <c r="B375" i="11" s="1"/>
  <c r="A375" i="11"/>
  <c r="N375" i="11" s="1"/>
  <c r="J374" i="11"/>
  <c r="G374" i="11"/>
  <c r="F374" i="11"/>
  <c r="E374" i="11"/>
  <c r="D374" i="11"/>
  <c r="C374" i="11"/>
  <c r="B374" i="11" s="1"/>
  <c r="A374" i="11"/>
  <c r="N374" i="11" s="1"/>
  <c r="J373" i="11"/>
  <c r="G373" i="11"/>
  <c r="F373" i="11"/>
  <c r="E373" i="11"/>
  <c r="D373" i="11"/>
  <c r="C373" i="11"/>
  <c r="A373" i="11"/>
  <c r="N373" i="11" s="1"/>
  <c r="J372" i="11"/>
  <c r="G372" i="11"/>
  <c r="F372" i="11"/>
  <c r="E372" i="11"/>
  <c r="D372" i="11"/>
  <c r="C372" i="11"/>
  <c r="A372" i="11"/>
  <c r="N372" i="11" s="1"/>
  <c r="J371" i="11"/>
  <c r="G371" i="11"/>
  <c r="F371" i="11"/>
  <c r="E371" i="11"/>
  <c r="D371" i="11"/>
  <c r="C371" i="11"/>
  <c r="A371" i="11"/>
  <c r="N371" i="11" s="1"/>
  <c r="J370" i="11"/>
  <c r="G370" i="11"/>
  <c r="F370" i="11"/>
  <c r="E370" i="11"/>
  <c r="D370" i="11"/>
  <c r="C370" i="11"/>
  <c r="A370" i="11"/>
  <c r="N370" i="11" s="1"/>
  <c r="J369" i="11"/>
  <c r="G369" i="11"/>
  <c r="F369" i="11"/>
  <c r="E369" i="11"/>
  <c r="D369" i="11"/>
  <c r="C369" i="11"/>
  <c r="A369" i="11"/>
  <c r="N369" i="11" s="1"/>
  <c r="J368" i="11"/>
  <c r="G368" i="11"/>
  <c r="F368" i="11"/>
  <c r="E368" i="11"/>
  <c r="D368" i="11"/>
  <c r="C368" i="11"/>
  <c r="B368" i="11" s="1"/>
  <c r="A368" i="11"/>
  <c r="N368" i="11" s="1"/>
  <c r="J367" i="11"/>
  <c r="G367" i="11"/>
  <c r="F367" i="11"/>
  <c r="E367" i="11"/>
  <c r="D367" i="11"/>
  <c r="C367" i="11"/>
  <c r="A367" i="11"/>
  <c r="N367" i="11" s="1"/>
  <c r="J366" i="11"/>
  <c r="G366" i="11"/>
  <c r="F366" i="11"/>
  <c r="E366" i="11"/>
  <c r="D366" i="11"/>
  <c r="C366" i="11"/>
  <c r="B366" i="11" s="1"/>
  <c r="A366" i="11"/>
  <c r="N366" i="11" s="1"/>
  <c r="N365" i="11"/>
  <c r="J365" i="11"/>
  <c r="G365" i="11"/>
  <c r="F365" i="11"/>
  <c r="L365" i="11" s="1" a="1"/>
  <c r="L365" i="11" s="1"/>
  <c r="E365" i="11"/>
  <c r="D365" i="11"/>
  <c r="C365" i="11"/>
  <c r="A365" i="11"/>
  <c r="J364" i="11"/>
  <c r="G364" i="11"/>
  <c r="F364" i="11"/>
  <c r="E364" i="11"/>
  <c r="D364" i="11"/>
  <c r="C364" i="11"/>
  <c r="B364" i="11"/>
  <c r="A364" i="11"/>
  <c r="N364" i="11" s="1"/>
  <c r="H364" i="11" s="1" a="1"/>
  <c r="H364" i="11" s="1"/>
  <c r="J363" i="11"/>
  <c r="H363" i="11" a="1"/>
  <c r="H363" i="11" s="1"/>
  <c r="G363" i="11"/>
  <c r="F363" i="11"/>
  <c r="E363" i="11"/>
  <c r="D363" i="11"/>
  <c r="C363" i="11"/>
  <c r="A363" i="11"/>
  <c r="N363" i="11" s="1"/>
  <c r="J362" i="11"/>
  <c r="G362" i="11"/>
  <c r="F362" i="11"/>
  <c r="E362" i="11"/>
  <c r="D362" i="11"/>
  <c r="C362" i="11"/>
  <c r="B362" i="11" s="1"/>
  <c r="A362" i="11"/>
  <c r="N362" i="11" s="1"/>
  <c r="N361" i="11"/>
  <c r="J361" i="11"/>
  <c r="G361" i="11"/>
  <c r="F361" i="11"/>
  <c r="E361" i="11"/>
  <c r="D361" i="11"/>
  <c r="C361" i="11"/>
  <c r="A361" i="11"/>
  <c r="J360" i="11"/>
  <c r="G360" i="11"/>
  <c r="F360" i="11"/>
  <c r="E360" i="11"/>
  <c r="D360" i="11"/>
  <c r="C360" i="11"/>
  <c r="A360" i="11"/>
  <c r="N360" i="11" s="1"/>
  <c r="N359" i="11"/>
  <c r="J359" i="11"/>
  <c r="G359" i="11"/>
  <c r="F359" i="11"/>
  <c r="E359" i="11"/>
  <c r="D359" i="11"/>
  <c r="C359" i="11"/>
  <c r="A359" i="11"/>
  <c r="J358" i="11"/>
  <c r="G358" i="11"/>
  <c r="F358" i="11"/>
  <c r="E358" i="11"/>
  <c r="D358" i="11"/>
  <c r="C358" i="11"/>
  <c r="B358" i="11"/>
  <c r="A358" i="11"/>
  <c r="N358" i="11" s="1"/>
  <c r="J357" i="11"/>
  <c r="G357" i="11"/>
  <c r="F357" i="11"/>
  <c r="E357" i="11"/>
  <c r="D357" i="11"/>
  <c r="C357" i="11"/>
  <c r="A357" i="11"/>
  <c r="N357" i="11" s="1"/>
  <c r="J356" i="11"/>
  <c r="G356" i="11"/>
  <c r="F356" i="11"/>
  <c r="E356" i="11"/>
  <c r="D356" i="11"/>
  <c r="C356" i="11"/>
  <c r="A356" i="11"/>
  <c r="N356" i="11" s="1"/>
  <c r="J355" i="11"/>
  <c r="G355" i="11"/>
  <c r="F355" i="11"/>
  <c r="E355" i="11"/>
  <c r="D355" i="11"/>
  <c r="C355" i="11"/>
  <c r="A355" i="11"/>
  <c r="N355" i="11" s="1"/>
  <c r="J354" i="11"/>
  <c r="G354" i="11"/>
  <c r="F354" i="11"/>
  <c r="E354" i="11"/>
  <c r="D354" i="11"/>
  <c r="C354" i="11"/>
  <c r="B354" i="11"/>
  <c r="A354" i="11"/>
  <c r="N354" i="11" s="1"/>
  <c r="J353" i="11"/>
  <c r="G353" i="11"/>
  <c r="F353" i="11"/>
  <c r="E353" i="11"/>
  <c r="D353" i="11"/>
  <c r="C353" i="11"/>
  <c r="B353" i="11" s="1"/>
  <c r="A353" i="11"/>
  <c r="N353" i="11" s="1"/>
  <c r="J352" i="11"/>
  <c r="G352" i="11"/>
  <c r="F352" i="11"/>
  <c r="E352" i="11"/>
  <c r="D352" i="11"/>
  <c r="C352" i="11"/>
  <c r="A352" i="11"/>
  <c r="N352" i="11" s="1"/>
  <c r="L352" i="11" s="1" a="1"/>
  <c r="L352" i="11" s="1"/>
  <c r="J351" i="11"/>
  <c r="G351" i="11"/>
  <c r="F351" i="11"/>
  <c r="E351" i="11"/>
  <c r="D351" i="11"/>
  <c r="C351" i="11"/>
  <c r="A351" i="11"/>
  <c r="N351" i="11" s="1"/>
  <c r="L351" i="11" s="1" a="1"/>
  <c r="L351" i="11" s="1"/>
  <c r="J350" i="11"/>
  <c r="G350" i="11"/>
  <c r="F350" i="11"/>
  <c r="E350" i="11"/>
  <c r="D350" i="11"/>
  <c r="C350" i="11"/>
  <c r="A350" i="11"/>
  <c r="N350" i="11" s="1"/>
  <c r="J349" i="11"/>
  <c r="G349" i="11"/>
  <c r="F349" i="11"/>
  <c r="E349" i="11"/>
  <c r="D349" i="11"/>
  <c r="C349" i="11"/>
  <c r="A349" i="11"/>
  <c r="N349" i="11" s="1"/>
  <c r="J348" i="11"/>
  <c r="G348" i="11"/>
  <c r="F348" i="11"/>
  <c r="E348" i="11"/>
  <c r="D348" i="11"/>
  <c r="C348" i="11"/>
  <c r="A348" i="11"/>
  <c r="N348" i="11" s="1"/>
  <c r="J347" i="11"/>
  <c r="G347" i="11"/>
  <c r="F347" i="11"/>
  <c r="E347" i="11"/>
  <c r="D347" i="11"/>
  <c r="C347" i="11"/>
  <c r="A347" i="11"/>
  <c r="N347" i="11" s="1"/>
  <c r="H347" i="11" s="1" a="1"/>
  <c r="H347" i="11" s="1"/>
  <c r="J346" i="11"/>
  <c r="G346" i="11"/>
  <c r="F346" i="11"/>
  <c r="E346" i="11"/>
  <c r="D346" i="11"/>
  <c r="C346" i="11"/>
  <c r="A346" i="11"/>
  <c r="N346" i="11" s="1"/>
  <c r="J345" i="11"/>
  <c r="G345" i="11"/>
  <c r="F345" i="11"/>
  <c r="E345" i="11"/>
  <c r="D345" i="11"/>
  <c r="C345" i="11"/>
  <c r="A345" i="11"/>
  <c r="N345" i="11" s="1"/>
  <c r="J344" i="11"/>
  <c r="G344" i="11"/>
  <c r="F344" i="11"/>
  <c r="E344" i="11"/>
  <c r="D344" i="11"/>
  <c r="C344" i="11"/>
  <c r="A344" i="11"/>
  <c r="N344" i="11" s="1"/>
  <c r="J343" i="11"/>
  <c r="G343" i="11"/>
  <c r="F343" i="11"/>
  <c r="E343" i="11"/>
  <c r="D343" i="11"/>
  <c r="C343" i="11"/>
  <c r="A343" i="11"/>
  <c r="N343" i="11" s="1"/>
  <c r="J342" i="11"/>
  <c r="G342" i="11"/>
  <c r="F342" i="11"/>
  <c r="E342" i="11"/>
  <c r="D342" i="11"/>
  <c r="C342" i="11"/>
  <c r="A342" i="11"/>
  <c r="N342" i="11" s="1"/>
  <c r="J341" i="11"/>
  <c r="G341" i="11"/>
  <c r="F341" i="11"/>
  <c r="E341" i="11"/>
  <c r="D341" i="11"/>
  <c r="C341" i="11"/>
  <c r="B341" i="11" s="1"/>
  <c r="A341" i="11"/>
  <c r="N341" i="11" s="1"/>
  <c r="N340" i="11"/>
  <c r="J340" i="11"/>
  <c r="G340" i="11"/>
  <c r="F340" i="11"/>
  <c r="L340" i="11" s="1" a="1"/>
  <c r="L340" i="11" s="1"/>
  <c r="E340" i="11"/>
  <c r="D340" i="11"/>
  <c r="C340" i="11"/>
  <c r="A340" i="11"/>
  <c r="J339" i="11"/>
  <c r="G339" i="11"/>
  <c r="F339" i="11"/>
  <c r="E339" i="11"/>
  <c r="D339" i="11"/>
  <c r="C339" i="11"/>
  <c r="A339" i="11"/>
  <c r="N339" i="11" s="1"/>
  <c r="J338" i="11"/>
  <c r="G338" i="11"/>
  <c r="F338" i="11"/>
  <c r="E338" i="11"/>
  <c r="D338" i="11"/>
  <c r="C338" i="11"/>
  <c r="B338" i="11" s="1"/>
  <c r="A338" i="11"/>
  <c r="N338" i="11" s="1"/>
  <c r="J337" i="11"/>
  <c r="G337" i="11"/>
  <c r="F337" i="11"/>
  <c r="E337" i="11"/>
  <c r="D337" i="11"/>
  <c r="C337" i="11"/>
  <c r="A337" i="11"/>
  <c r="N337" i="11" s="1"/>
  <c r="J336" i="11"/>
  <c r="G336" i="11"/>
  <c r="F336" i="11"/>
  <c r="E336" i="11"/>
  <c r="D336" i="11"/>
  <c r="C336" i="11"/>
  <c r="B336" i="11" s="1"/>
  <c r="A336" i="11"/>
  <c r="N336" i="11" s="1"/>
  <c r="J335" i="11"/>
  <c r="G335" i="11"/>
  <c r="F335" i="11"/>
  <c r="E335" i="11"/>
  <c r="D335" i="11"/>
  <c r="C335" i="11"/>
  <c r="A335" i="11"/>
  <c r="N335" i="11" s="1"/>
  <c r="J334" i="11"/>
  <c r="G334" i="11"/>
  <c r="F334" i="11"/>
  <c r="E334" i="11"/>
  <c r="D334" i="11"/>
  <c r="C334" i="11"/>
  <c r="B334" i="11"/>
  <c r="A334" i="11"/>
  <c r="N334" i="11" s="1"/>
  <c r="L334" i="11" s="1" a="1"/>
  <c r="L334" i="11" s="1"/>
  <c r="J333" i="11"/>
  <c r="G333" i="11"/>
  <c r="F333" i="11"/>
  <c r="E333" i="11"/>
  <c r="D333" i="11"/>
  <c r="C333" i="11"/>
  <c r="A333" i="11"/>
  <c r="N333" i="11" s="1"/>
  <c r="J332" i="11"/>
  <c r="G332" i="11"/>
  <c r="F332" i="11"/>
  <c r="E332" i="11"/>
  <c r="D332" i="11"/>
  <c r="C332" i="11"/>
  <c r="B332" i="11" s="1"/>
  <c r="A332" i="11"/>
  <c r="N332" i="11" s="1"/>
  <c r="J331" i="11"/>
  <c r="G331" i="11"/>
  <c r="F331" i="11"/>
  <c r="E331" i="11"/>
  <c r="D331" i="11"/>
  <c r="C331" i="11"/>
  <c r="A331" i="11"/>
  <c r="N331" i="11" s="1"/>
  <c r="J330" i="11"/>
  <c r="G330" i="11"/>
  <c r="F330" i="11"/>
  <c r="E330" i="11"/>
  <c r="D330" i="11"/>
  <c r="C330" i="11"/>
  <c r="B330" i="11" s="1"/>
  <c r="A330" i="11"/>
  <c r="N330" i="11" s="1"/>
  <c r="J329" i="11"/>
  <c r="G329" i="11"/>
  <c r="F329" i="11"/>
  <c r="E329" i="11"/>
  <c r="D329" i="11"/>
  <c r="C329" i="11"/>
  <c r="A329" i="11"/>
  <c r="N329" i="11" s="1"/>
  <c r="J328" i="11"/>
  <c r="G328" i="11"/>
  <c r="F328" i="11"/>
  <c r="E328" i="11"/>
  <c r="D328" i="11"/>
  <c r="C328" i="11"/>
  <c r="A328" i="11"/>
  <c r="N328" i="11" s="1"/>
  <c r="J327" i="11"/>
  <c r="G327" i="11"/>
  <c r="F327" i="11"/>
  <c r="E327" i="11"/>
  <c r="D327" i="11"/>
  <c r="C327" i="11"/>
  <c r="A327" i="11"/>
  <c r="N327" i="11" s="1"/>
  <c r="J326" i="11"/>
  <c r="G326" i="11"/>
  <c r="F326" i="11"/>
  <c r="E326" i="11"/>
  <c r="D326" i="11"/>
  <c r="C326" i="11"/>
  <c r="A326" i="11"/>
  <c r="N326" i="11" s="1"/>
  <c r="J325" i="11"/>
  <c r="G325" i="11"/>
  <c r="F325" i="11"/>
  <c r="E325" i="11"/>
  <c r="D325" i="11"/>
  <c r="C325" i="11"/>
  <c r="A325" i="11"/>
  <c r="N325" i="11" s="1"/>
  <c r="H325" i="11" s="1" a="1"/>
  <c r="H325" i="11" s="1"/>
  <c r="J324" i="11"/>
  <c r="G324" i="11"/>
  <c r="F324" i="11"/>
  <c r="E324" i="11"/>
  <c r="D324" i="11"/>
  <c r="C324" i="11"/>
  <c r="B324" i="11" s="1"/>
  <c r="A324" i="11"/>
  <c r="N324" i="11" s="1"/>
  <c r="J323" i="11"/>
  <c r="G323" i="11"/>
  <c r="F323" i="11"/>
  <c r="E323" i="11"/>
  <c r="D323" i="11"/>
  <c r="C323" i="11"/>
  <c r="A323" i="11"/>
  <c r="N323" i="11" s="1"/>
  <c r="J322" i="11"/>
  <c r="G322" i="11"/>
  <c r="F322" i="11"/>
  <c r="E322" i="11"/>
  <c r="D322" i="11"/>
  <c r="C322" i="11"/>
  <c r="B322" i="11" s="1"/>
  <c r="A322" i="11"/>
  <c r="N322" i="11" s="1"/>
  <c r="J321" i="11"/>
  <c r="G321" i="11"/>
  <c r="F321" i="11"/>
  <c r="E321" i="11"/>
  <c r="D321" i="11"/>
  <c r="C321" i="11"/>
  <c r="B321" i="11" s="1"/>
  <c r="A321" i="11"/>
  <c r="N321" i="11" s="1"/>
  <c r="J320" i="11"/>
  <c r="G320" i="11"/>
  <c r="F320" i="11"/>
  <c r="E320" i="11"/>
  <c r="D320" i="11"/>
  <c r="C320" i="11"/>
  <c r="A320" i="11"/>
  <c r="N320" i="11" s="1"/>
  <c r="J319" i="11"/>
  <c r="G319" i="11"/>
  <c r="F319" i="11"/>
  <c r="E319" i="11"/>
  <c r="D319" i="11"/>
  <c r="C319" i="11"/>
  <c r="A319" i="11"/>
  <c r="N319" i="11" s="1"/>
  <c r="J318" i="11"/>
  <c r="G318" i="11"/>
  <c r="F318" i="11"/>
  <c r="E318" i="11"/>
  <c r="D318" i="11"/>
  <c r="C318" i="11"/>
  <c r="A318" i="11"/>
  <c r="N318" i="11" s="1"/>
  <c r="J317" i="11"/>
  <c r="G317" i="11"/>
  <c r="F317" i="11"/>
  <c r="E317" i="11"/>
  <c r="D317" i="11"/>
  <c r="C317" i="11"/>
  <c r="A317" i="11"/>
  <c r="N317" i="11" s="1"/>
  <c r="J316" i="11"/>
  <c r="G316" i="11"/>
  <c r="F316" i="11"/>
  <c r="E316" i="11"/>
  <c r="D316" i="11"/>
  <c r="C316" i="11"/>
  <c r="A316" i="11"/>
  <c r="N316" i="11" s="1"/>
  <c r="J315" i="11"/>
  <c r="G315" i="11"/>
  <c r="F315" i="11"/>
  <c r="E315" i="11"/>
  <c r="D315" i="11"/>
  <c r="C315" i="11"/>
  <c r="B315" i="11"/>
  <c r="A315" i="11"/>
  <c r="N315" i="11" s="1"/>
  <c r="N314" i="11"/>
  <c r="J314" i="11"/>
  <c r="G314" i="11"/>
  <c r="F314" i="11"/>
  <c r="E314" i="11"/>
  <c r="D314" i="11"/>
  <c r="C314" i="11"/>
  <c r="A314" i="11"/>
  <c r="J313" i="11"/>
  <c r="G313" i="11"/>
  <c r="F313" i="11"/>
  <c r="E313" i="11"/>
  <c r="D313" i="11"/>
  <c r="C313" i="11"/>
  <c r="A313" i="11"/>
  <c r="N313" i="11" s="1"/>
  <c r="J312" i="11"/>
  <c r="G312" i="11"/>
  <c r="F312" i="11"/>
  <c r="E312" i="11"/>
  <c r="D312" i="11"/>
  <c r="C312" i="11"/>
  <c r="A312" i="11"/>
  <c r="N312" i="11" s="1"/>
  <c r="J311" i="11"/>
  <c r="G311" i="11"/>
  <c r="F311" i="11"/>
  <c r="E311" i="11"/>
  <c r="D311" i="11"/>
  <c r="C311" i="11"/>
  <c r="A311" i="11"/>
  <c r="N311" i="11" s="1"/>
  <c r="L311" i="11" s="1" a="1"/>
  <c r="L311" i="11" s="1"/>
  <c r="J310" i="11"/>
  <c r="G310" i="11"/>
  <c r="F310" i="11"/>
  <c r="E310" i="11"/>
  <c r="D310" i="11"/>
  <c r="C310" i="11"/>
  <c r="B310" i="11" s="1"/>
  <c r="A310" i="11"/>
  <c r="N310" i="11" s="1"/>
  <c r="J309" i="11"/>
  <c r="G309" i="11"/>
  <c r="F309" i="11"/>
  <c r="E309" i="11"/>
  <c r="D309" i="11"/>
  <c r="C309" i="11"/>
  <c r="B309" i="11" s="1"/>
  <c r="A309" i="11"/>
  <c r="N309" i="11" s="1"/>
  <c r="H309" i="11" s="1" a="1"/>
  <c r="H309" i="11" s="1"/>
  <c r="J308" i="11"/>
  <c r="G308" i="11"/>
  <c r="F308" i="11"/>
  <c r="E308" i="11"/>
  <c r="D308" i="11"/>
  <c r="C308" i="11"/>
  <c r="A308" i="11"/>
  <c r="N308" i="11" s="1"/>
  <c r="J307" i="11"/>
  <c r="G307" i="11"/>
  <c r="F307" i="11"/>
  <c r="E307" i="11"/>
  <c r="D307" i="11"/>
  <c r="C307" i="11"/>
  <c r="A307" i="11"/>
  <c r="N307" i="11" s="1"/>
  <c r="J306" i="11"/>
  <c r="G306" i="11"/>
  <c r="F306" i="11"/>
  <c r="E306" i="11"/>
  <c r="D306" i="11"/>
  <c r="C306" i="11"/>
  <c r="A306" i="11"/>
  <c r="N306" i="11" s="1"/>
  <c r="J305" i="11"/>
  <c r="G305" i="11"/>
  <c r="F305" i="11"/>
  <c r="E305" i="11"/>
  <c r="D305" i="11"/>
  <c r="C305" i="11"/>
  <c r="A305" i="11"/>
  <c r="N305" i="11" s="1"/>
  <c r="J304" i="11"/>
  <c r="G304" i="11"/>
  <c r="F304" i="11"/>
  <c r="E304" i="11"/>
  <c r="D304" i="11"/>
  <c r="C304" i="11"/>
  <c r="B304" i="11" s="1"/>
  <c r="A304" i="11"/>
  <c r="N304" i="11" s="1"/>
  <c r="J303" i="11"/>
  <c r="G303" i="11"/>
  <c r="F303" i="11"/>
  <c r="E303" i="11"/>
  <c r="D303" i="11"/>
  <c r="C303" i="11"/>
  <c r="A303" i="11"/>
  <c r="N303" i="11" s="1"/>
  <c r="J302" i="11"/>
  <c r="G302" i="11"/>
  <c r="F302" i="11"/>
  <c r="E302" i="11"/>
  <c r="D302" i="11"/>
  <c r="C302" i="11"/>
  <c r="B302" i="11" s="1"/>
  <c r="A302" i="11"/>
  <c r="N302" i="11" s="1"/>
  <c r="J301" i="11"/>
  <c r="G301" i="11"/>
  <c r="F301" i="11"/>
  <c r="E301" i="11"/>
  <c r="D301" i="11"/>
  <c r="C301" i="11"/>
  <c r="B301" i="11"/>
  <c r="A301" i="11"/>
  <c r="N301" i="11" s="1"/>
  <c r="J300" i="11"/>
  <c r="G300" i="11"/>
  <c r="F300" i="11"/>
  <c r="E300" i="11"/>
  <c r="D300" i="11"/>
  <c r="C300" i="11"/>
  <c r="A300" i="11"/>
  <c r="N300" i="11" s="1"/>
  <c r="J299" i="11"/>
  <c r="G299" i="11"/>
  <c r="F299" i="11"/>
  <c r="E299" i="11"/>
  <c r="D299" i="11"/>
  <c r="C299" i="11"/>
  <c r="A299" i="11"/>
  <c r="N299" i="11" s="1"/>
  <c r="L299" i="11" s="1" a="1"/>
  <c r="L299" i="11" s="1"/>
  <c r="N298" i="11"/>
  <c r="J298" i="11"/>
  <c r="G298" i="11"/>
  <c r="F298" i="11"/>
  <c r="E298" i="11"/>
  <c r="D298" i="11"/>
  <c r="C298" i="11"/>
  <c r="A298" i="11"/>
  <c r="J297" i="11"/>
  <c r="G297" i="11"/>
  <c r="F297" i="11"/>
  <c r="E297" i="11"/>
  <c r="D297" i="11"/>
  <c r="C297" i="11"/>
  <c r="A297" i="11"/>
  <c r="N297" i="11" s="1"/>
  <c r="J296" i="11"/>
  <c r="G296" i="11"/>
  <c r="F296" i="11"/>
  <c r="E296" i="11"/>
  <c r="D296" i="11"/>
  <c r="C296" i="11"/>
  <c r="A296" i="11"/>
  <c r="N296" i="11" s="1"/>
  <c r="H296" i="11" s="1" a="1"/>
  <c r="H296" i="11" s="1"/>
  <c r="J295" i="11"/>
  <c r="G295" i="11"/>
  <c r="F295" i="11"/>
  <c r="E295" i="11"/>
  <c r="D295" i="11"/>
  <c r="C295" i="11"/>
  <c r="A295" i="11"/>
  <c r="N295" i="11" s="1"/>
  <c r="N294" i="11"/>
  <c r="J294" i="11"/>
  <c r="G294" i="11"/>
  <c r="F294" i="11"/>
  <c r="E294" i="11"/>
  <c r="D294" i="11"/>
  <c r="C294" i="11"/>
  <c r="A294" i="11"/>
  <c r="J293" i="11"/>
  <c r="G293" i="11"/>
  <c r="F293" i="11"/>
  <c r="E293" i="11"/>
  <c r="D293" i="11"/>
  <c r="C293" i="11"/>
  <c r="A293" i="11"/>
  <c r="N293" i="11" s="1"/>
  <c r="H293" i="11" s="1" a="1"/>
  <c r="H293" i="11" s="1"/>
  <c r="J292" i="11"/>
  <c r="G292" i="11"/>
  <c r="F292" i="11"/>
  <c r="E292" i="11"/>
  <c r="D292" i="11"/>
  <c r="C292" i="11"/>
  <c r="A292" i="11"/>
  <c r="N292" i="11" s="1"/>
  <c r="J291" i="11"/>
  <c r="G291" i="11"/>
  <c r="F291" i="11"/>
  <c r="E291" i="11"/>
  <c r="D291" i="11"/>
  <c r="C291" i="11"/>
  <c r="A291" i="11"/>
  <c r="N291" i="11" s="1"/>
  <c r="J290" i="11"/>
  <c r="G290" i="11"/>
  <c r="F290" i="11"/>
  <c r="E290" i="11"/>
  <c r="D290" i="11"/>
  <c r="C290" i="11"/>
  <c r="B290" i="11" s="1"/>
  <c r="A290" i="11"/>
  <c r="N290" i="11" s="1"/>
  <c r="J289" i="11"/>
  <c r="G289" i="11"/>
  <c r="F289" i="11"/>
  <c r="E289" i="11"/>
  <c r="D289" i="11"/>
  <c r="C289" i="11"/>
  <c r="B289" i="11" s="1"/>
  <c r="A289" i="11"/>
  <c r="N289" i="11" s="1"/>
  <c r="J288" i="11"/>
  <c r="G288" i="11"/>
  <c r="F288" i="11"/>
  <c r="E288" i="11"/>
  <c r="D288" i="11"/>
  <c r="C288" i="11"/>
  <c r="A288" i="11"/>
  <c r="N288" i="11" s="1"/>
  <c r="N287" i="11"/>
  <c r="J287" i="11"/>
  <c r="G287" i="11"/>
  <c r="F287" i="11"/>
  <c r="E287" i="11"/>
  <c r="D287" i="11"/>
  <c r="C287" i="11"/>
  <c r="B287" i="11" s="1"/>
  <c r="A287" i="11"/>
  <c r="J286" i="11"/>
  <c r="G286" i="11"/>
  <c r="F286" i="11"/>
  <c r="E286" i="11"/>
  <c r="D286" i="11"/>
  <c r="C286" i="11"/>
  <c r="A286" i="11"/>
  <c r="N286" i="11" s="1"/>
  <c r="J285" i="11"/>
  <c r="G285" i="11"/>
  <c r="F285" i="11"/>
  <c r="E285" i="11"/>
  <c r="D285" i="11"/>
  <c r="C285" i="11"/>
  <c r="A285" i="11"/>
  <c r="N285" i="11" s="1"/>
  <c r="J284" i="11"/>
  <c r="G284" i="11"/>
  <c r="F284" i="11"/>
  <c r="E284" i="11"/>
  <c r="D284" i="11"/>
  <c r="C284" i="11"/>
  <c r="A284" i="11"/>
  <c r="N284" i="11" s="1"/>
  <c r="H284" i="11" s="1" a="1"/>
  <c r="H284" i="11" s="1"/>
  <c r="J283" i="11"/>
  <c r="G283" i="11"/>
  <c r="F283" i="11"/>
  <c r="E283" i="11"/>
  <c r="D283" i="11"/>
  <c r="C283" i="11"/>
  <c r="A283" i="11"/>
  <c r="N283" i="11" s="1"/>
  <c r="J282" i="11"/>
  <c r="G282" i="11"/>
  <c r="F282" i="11"/>
  <c r="E282" i="11"/>
  <c r="D282" i="11"/>
  <c r="C282" i="11"/>
  <c r="B282" i="11" s="1"/>
  <c r="A282" i="11"/>
  <c r="N282" i="11" s="1"/>
  <c r="J281" i="11"/>
  <c r="G281" i="11"/>
  <c r="F281" i="11"/>
  <c r="E281" i="11"/>
  <c r="D281" i="11"/>
  <c r="C281" i="11"/>
  <c r="A281" i="11"/>
  <c r="N281" i="11" s="1"/>
  <c r="J280" i="11"/>
  <c r="G280" i="11"/>
  <c r="F280" i="11"/>
  <c r="E280" i="11"/>
  <c r="D280" i="11"/>
  <c r="C280" i="11"/>
  <c r="A280" i="11"/>
  <c r="N280" i="11" s="1"/>
  <c r="J279" i="11"/>
  <c r="G279" i="11"/>
  <c r="F279" i="11"/>
  <c r="E279" i="11"/>
  <c r="D279" i="11"/>
  <c r="C279" i="11"/>
  <c r="B279" i="11"/>
  <c r="A279" i="11"/>
  <c r="N279" i="11" s="1"/>
  <c r="J278" i="11"/>
  <c r="G278" i="11"/>
  <c r="F278" i="11"/>
  <c r="E278" i="11"/>
  <c r="D278" i="11"/>
  <c r="C278" i="11"/>
  <c r="A278" i="11"/>
  <c r="N278" i="11" s="1"/>
  <c r="J277" i="11"/>
  <c r="G277" i="11"/>
  <c r="F277" i="11"/>
  <c r="E277" i="11"/>
  <c r="D277" i="11"/>
  <c r="C277" i="11"/>
  <c r="B277" i="11" s="1"/>
  <c r="A277" i="11"/>
  <c r="N277" i="11" s="1"/>
  <c r="N276" i="11"/>
  <c r="L276" i="11" s="1" a="1"/>
  <c r="L276" i="11" s="1"/>
  <c r="J276" i="11"/>
  <c r="G276" i="11"/>
  <c r="F276" i="11"/>
  <c r="E276" i="11"/>
  <c r="D276" i="11"/>
  <c r="C276" i="11"/>
  <c r="A276" i="11"/>
  <c r="J275" i="11"/>
  <c r="G275" i="11"/>
  <c r="F275" i="11"/>
  <c r="E275" i="11"/>
  <c r="D275" i="11"/>
  <c r="C275" i="11"/>
  <c r="A275" i="11"/>
  <c r="N275" i="11" s="1"/>
  <c r="J274" i="11"/>
  <c r="G274" i="11"/>
  <c r="F274" i="11"/>
  <c r="E274" i="11"/>
  <c r="D274" i="11"/>
  <c r="C274" i="11"/>
  <c r="A274" i="11"/>
  <c r="N274" i="11" s="1"/>
  <c r="J273" i="11"/>
  <c r="G273" i="11"/>
  <c r="F273" i="11"/>
  <c r="E273" i="11"/>
  <c r="D273" i="11"/>
  <c r="C273" i="11"/>
  <c r="A273" i="11"/>
  <c r="N273" i="11" s="1"/>
  <c r="J272" i="11"/>
  <c r="G272" i="11"/>
  <c r="F272" i="11"/>
  <c r="E272" i="11"/>
  <c r="D272" i="11"/>
  <c r="C272" i="11"/>
  <c r="A272" i="11"/>
  <c r="N272" i="11" s="1"/>
  <c r="J271" i="11"/>
  <c r="G271" i="11"/>
  <c r="F271" i="11"/>
  <c r="E271" i="11"/>
  <c r="D271" i="11"/>
  <c r="C271" i="11"/>
  <c r="A271" i="11"/>
  <c r="N271" i="11" s="1"/>
  <c r="J270" i="11"/>
  <c r="G270" i="11"/>
  <c r="F270" i="11"/>
  <c r="E270" i="11"/>
  <c r="D270" i="11"/>
  <c r="C270" i="11"/>
  <c r="B270" i="11" s="1"/>
  <c r="A270" i="11"/>
  <c r="N270" i="11" s="1"/>
  <c r="J269" i="11"/>
  <c r="G269" i="11"/>
  <c r="F269" i="11"/>
  <c r="E269" i="11"/>
  <c r="D269" i="11"/>
  <c r="C269" i="11"/>
  <c r="A269" i="11"/>
  <c r="N269" i="11" s="1"/>
  <c r="J268" i="11"/>
  <c r="G268" i="11"/>
  <c r="F268" i="11"/>
  <c r="E268" i="11"/>
  <c r="D268" i="11"/>
  <c r="C268" i="11"/>
  <c r="A268" i="11"/>
  <c r="N268" i="11" s="1"/>
  <c r="J267" i="11"/>
  <c r="G267" i="11"/>
  <c r="F267" i="11"/>
  <c r="E267" i="11"/>
  <c r="D267" i="11"/>
  <c r="C267" i="11"/>
  <c r="A267" i="11"/>
  <c r="N267" i="11" s="1"/>
  <c r="J266" i="11"/>
  <c r="G266" i="11"/>
  <c r="F266" i="11"/>
  <c r="E266" i="11"/>
  <c r="D266" i="11"/>
  <c r="C266" i="11"/>
  <c r="A266" i="11"/>
  <c r="N266" i="11" s="1"/>
  <c r="J265" i="11"/>
  <c r="H265" i="11" a="1"/>
  <c r="H265" i="11" s="1"/>
  <c r="G265" i="11"/>
  <c r="F265" i="11"/>
  <c r="E265" i="11"/>
  <c r="D265" i="11"/>
  <c r="C265" i="11"/>
  <c r="A265" i="11"/>
  <c r="N265" i="11" s="1"/>
  <c r="J264" i="11"/>
  <c r="G264" i="11"/>
  <c r="F264" i="11"/>
  <c r="E264" i="11"/>
  <c r="D264" i="11"/>
  <c r="C264" i="11"/>
  <c r="A264" i="11"/>
  <c r="N264" i="11" s="1"/>
  <c r="J263" i="11"/>
  <c r="G263" i="11"/>
  <c r="F263" i="11"/>
  <c r="E263" i="11"/>
  <c r="D263" i="11"/>
  <c r="C263" i="11"/>
  <c r="A263" i="11"/>
  <c r="N263" i="11" s="1"/>
  <c r="J262" i="11"/>
  <c r="G262" i="11"/>
  <c r="F262" i="11"/>
  <c r="E262" i="11"/>
  <c r="D262" i="11"/>
  <c r="C262" i="11"/>
  <c r="A262" i="11"/>
  <c r="N262" i="11" s="1"/>
  <c r="J261" i="11"/>
  <c r="G261" i="11"/>
  <c r="F261" i="11"/>
  <c r="E261" i="11"/>
  <c r="D261" i="11"/>
  <c r="C261" i="11"/>
  <c r="B261" i="11" s="1"/>
  <c r="A261" i="11"/>
  <c r="N261" i="11" s="1"/>
  <c r="J260" i="11"/>
  <c r="G260" i="11"/>
  <c r="F260" i="11"/>
  <c r="E260" i="11"/>
  <c r="D260" i="11"/>
  <c r="C260" i="11"/>
  <c r="A260" i="11"/>
  <c r="N260" i="11" s="1"/>
  <c r="J259" i="11"/>
  <c r="G259" i="11"/>
  <c r="F259" i="11"/>
  <c r="E259" i="11"/>
  <c r="D259" i="11"/>
  <c r="C259" i="11"/>
  <c r="A259" i="11"/>
  <c r="N259" i="11" s="1"/>
  <c r="J258" i="11"/>
  <c r="G258" i="11"/>
  <c r="F258" i="11"/>
  <c r="E258" i="11"/>
  <c r="D258" i="11"/>
  <c r="C258" i="11"/>
  <c r="A258" i="11"/>
  <c r="N258" i="11" s="1"/>
  <c r="J257" i="11"/>
  <c r="G257" i="11"/>
  <c r="F257" i="11"/>
  <c r="E257" i="11"/>
  <c r="D257" i="11"/>
  <c r="C257" i="11"/>
  <c r="B257" i="11"/>
  <c r="A257" i="11"/>
  <c r="N257" i="11" s="1"/>
  <c r="J256" i="11"/>
  <c r="G256" i="11"/>
  <c r="F256" i="11"/>
  <c r="E256" i="11"/>
  <c r="D256" i="11"/>
  <c r="C256" i="11"/>
  <c r="B256" i="11" s="1"/>
  <c r="A256" i="11"/>
  <c r="N256" i="11" s="1"/>
  <c r="J255" i="11"/>
  <c r="G255" i="11"/>
  <c r="F255" i="11"/>
  <c r="E255" i="11"/>
  <c r="D255" i="11"/>
  <c r="C255" i="11"/>
  <c r="B255" i="11"/>
  <c r="A255" i="11"/>
  <c r="N255" i="11" s="1"/>
  <c r="J254" i="11"/>
  <c r="G254" i="11"/>
  <c r="F254" i="11"/>
  <c r="E254" i="11"/>
  <c r="D254" i="11"/>
  <c r="C254" i="11"/>
  <c r="B254" i="11" s="1"/>
  <c r="A254" i="11"/>
  <c r="N254" i="11" s="1"/>
  <c r="H254" i="11" s="1" a="1"/>
  <c r="H254" i="11" s="1"/>
  <c r="J253" i="11"/>
  <c r="G253" i="11"/>
  <c r="F253" i="11"/>
  <c r="E253" i="11"/>
  <c r="D253" i="11"/>
  <c r="C253" i="11"/>
  <c r="B253" i="11" s="1"/>
  <c r="A253" i="11"/>
  <c r="N253" i="11" s="1"/>
  <c r="N252" i="11"/>
  <c r="J252" i="11"/>
  <c r="G252" i="11"/>
  <c r="F252" i="11"/>
  <c r="E252" i="11"/>
  <c r="D252" i="11"/>
  <c r="C252" i="11"/>
  <c r="A252" i="11"/>
  <c r="J251" i="11"/>
  <c r="G251" i="11"/>
  <c r="F251" i="11"/>
  <c r="E251" i="11"/>
  <c r="D251" i="11"/>
  <c r="C251" i="11"/>
  <c r="A251" i="11"/>
  <c r="N251" i="11" s="1"/>
  <c r="H251" i="11" s="1" a="1"/>
  <c r="H251" i="11" s="1"/>
  <c r="J250" i="11"/>
  <c r="G250" i="11"/>
  <c r="F250" i="11"/>
  <c r="E250" i="11"/>
  <c r="D250" i="11"/>
  <c r="C250" i="11"/>
  <c r="A250" i="11"/>
  <c r="N250" i="11" s="1"/>
  <c r="J249" i="11"/>
  <c r="G249" i="11"/>
  <c r="F249" i="11"/>
  <c r="E249" i="11"/>
  <c r="D249" i="11"/>
  <c r="C249" i="11"/>
  <c r="A249" i="11"/>
  <c r="N249" i="11" s="1"/>
  <c r="N248" i="11"/>
  <c r="J248" i="11"/>
  <c r="G248" i="11"/>
  <c r="F248" i="11"/>
  <c r="E248" i="11"/>
  <c r="D248" i="11"/>
  <c r="C248" i="11"/>
  <c r="A248" i="11"/>
  <c r="J247" i="11"/>
  <c r="G247" i="11"/>
  <c r="F247" i="11"/>
  <c r="E247" i="11"/>
  <c r="D247" i="11"/>
  <c r="C247" i="11"/>
  <c r="A247" i="11"/>
  <c r="N247" i="11" s="1"/>
  <c r="J246" i="11"/>
  <c r="G246" i="11"/>
  <c r="F246" i="11"/>
  <c r="E246" i="11"/>
  <c r="D246" i="11"/>
  <c r="C246" i="11"/>
  <c r="A246" i="11"/>
  <c r="N246" i="11" s="1"/>
  <c r="J245" i="11"/>
  <c r="G245" i="11"/>
  <c r="F245" i="11"/>
  <c r="E245" i="11"/>
  <c r="D245" i="11"/>
  <c r="C245" i="11"/>
  <c r="A245" i="11"/>
  <c r="N245" i="11" s="1"/>
  <c r="J244" i="11"/>
  <c r="G244" i="11"/>
  <c r="F244" i="11"/>
  <c r="E244" i="11"/>
  <c r="D244" i="11"/>
  <c r="C244" i="11"/>
  <c r="A244" i="11"/>
  <c r="N244" i="11" s="1"/>
  <c r="J243" i="11"/>
  <c r="G243" i="11"/>
  <c r="F243" i="11"/>
  <c r="E243" i="11"/>
  <c r="D243" i="11"/>
  <c r="C243" i="11"/>
  <c r="B243" i="11" s="1"/>
  <c r="A243" i="11"/>
  <c r="N243" i="11" s="1"/>
  <c r="J242" i="11"/>
  <c r="G242" i="11"/>
  <c r="F242" i="11"/>
  <c r="E242" i="11"/>
  <c r="D242" i="11"/>
  <c r="C242" i="11"/>
  <c r="B242" i="11" s="1"/>
  <c r="A242" i="11"/>
  <c r="N242" i="11" s="1"/>
  <c r="J241" i="11"/>
  <c r="G241" i="11"/>
  <c r="F241" i="11"/>
  <c r="E241" i="11"/>
  <c r="D241" i="11"/>
  <c r="C241" i="11"/>
  <c r="A241" i="11"/>
  <c r="N241" i="11" s="1"/>
  <c r="J240" i="11"/>
  <c r="G240" i="11"/>
  <c r="F240" i="11"/>
  <c r="E240" i="11"/>
  <c r="D240" i="11"/>
  <c r="C240" i="11"/>
  <c r="B240" i="11"/>
  <c r="A240" i="11"/>
  <c r="N240" i="11" s="1"/>
  <c r="J239" i="11"/>
  <c r="G239" i="11"/>
  <c r="F239" i="11"/>
  <c r="E239" i="11"/>
  <c r="D239" i="11"/>
  <c r="C239" i="11"/>
  <c r="B239" i="11" s="1"/>
  <c r="A239" i="11"/>
  <c r="N239" i="11" s="1"/>
  <c r="J238" i="11"/>
  <c r="G238" i="11"/>
  <c r="F238" i="11"/>
  <c r="E238" i="11"/>
  <c r="D238" i="11"/>
  <c r="C238" i="11"/>
  <c r="B238" i="11" s="1"/>
  <c r="A238" i="11"/>
  <c r="N238" i="11" s="1"/>
  <c r="J237" i="11"/>
  <c r="G237" i="11"/>
  <c r="F237" i="11"/>
  <c r="E237" i="11"/>
  <c r="D237" i="11"/>
  <c r="C237" i="11"/>
  <c r="A237" i="11"/>
  <c r="N237" i="11" s="1"/>
  <c r="H237" i="11" s="1" a="1"/>
  <c r="H237" i="11" s="1"/>
  <c r="J236" i="11"/>
  <c r="G236" i="11"/>
  <c r="F236" i="11"/>
  <c r="E236" i="11"/>
  <c r="D236" i="11"/>
  <c r="C236" i="11"/>
  <c r="A236" i="11"/>
  <c r="N236" i="11" s="1"/>
  <c r="J235" i="11"/>
  <c r="G235" i="11"/>
  <c r="F235" i="11"/>
  <c r="E235" i="11"/>
  <c r="D235" i="11"/>
  <c r="C235" i="11"/>
  <c r="A235" i="11"/>
  <c r="N235" i="11" s="1"/>
  <c r="J234" i="11"/>
  <c r="G234" i="11"/>
  <c r="F234" i="11"/>
  <c r="E234" i="11"/>
  <c r="D234" i="11"/>
  <c r="C234" i="11"/>
  <c r="A234" i="11"/>
  <c r="N234" i="11" s="1"/>
  <c r="J233" i="11"/>
  <c r="G233" i="11"/>
  <c r="F233" i="11"/>
  <c r="E233" i="11"/>
  <c r="D233" i="11"/>
  <c r="C233" i="11"/>
  <c r="A233" i="11"/>
  <c r="N233" i="11" s="1"/>
  <c r="J232" i="11"/>
  <c r="G232" i="11"/>
  <c r="F232" i="11"/>
  <c r="E232" i="11"/>
  <c r="D232" i="11"/>
  <c r="C232" i="11"/>
  <c r="A232" i="11"/>
  <c r="N232" i="11" s="1"/>
  <c r="J231" i="11"/>
  <c r="G231" i="11"/>
  <c r="F231" i="11"/>
  <c r="E231" i="11"/>
  <c r="D231" i="11"/>
  <c r="C231" i="11"/>
  <c r="A231" i="11"/>
  <c r="N231" i="11" s="1"/>
  <c r="J230" i="11"/>
  <c r="G230" i="11"/>
  <c r="F230" i="11"/>
  <c r="E230" i="11"/>
  <c r="D230" i="11"/>
  <c r="C230" i="11"/>
  <c r="A230" i="11"/>
  <c r="N230" i="11" s="1"/>
  <c r="J229" i="11"/>
  <c r="G229" i="11"/>
  <c r="F229" i="11"/>
  <c r="E229" i="11"/>
  <c r="D229" i="11"/>
  <c r="C229" i="11"/>
  <c r="A229" i="11"/>
  <c r="N229" i="11" s="1"/>
  <c r="J228" i="11"/>
  <c r="G228" i="11"/>
  <c r="F228" i="11"/>
  <c r="E228" i="11"/>
  <c r="D228" i="11"/>
  <c r="C228" i="11"/>
  <c r="A228" i="11"/>
  <c r="N228" i="11" s="1"/>
  <c r="J227" i="11"/>
  <c r="G227" i="11"/>
  <c r="F227" i="11"/>
  <c r="E227" i="11"/>
  <c r="D227" i="11"/>
  <c r="C227" i="11"/>
  <c r="A227" i="11"/>
  <c r="N227" i="11" s="1"/>
  <c r="J226" i="11"/>
  <c r="G226" i="11"/>
  <c r="F226" i="11"/>
  <c r="E226" i="11"/>
  <c r="D226" i="11"/>
  <c r="C226" i="11"/>
  <c r="A226" i="11"/>
  <c r="N226" i="11" s="1"/>
  <c r="J225" i="11"/>
  <c r="G225" i="11"/>
  <c r="F225" i="11"/>
  <c r="E225" i="11"/>
  <c r="D225" i="11"/>
  <c r="C225" i="11"/>
  <c r="B225" i="11" s="1"/>
  <c r="A225" i="11"/>
  <c r="N225" i="11" s="1"/>
  <c r="J224" i="11"/>
  <c r="G224" i="11"/>
  <c r="F224" i="11"/>
  <c r="E224" i="11"/>
  <c r="D224" i="11"/>
  <c r="C224" i="11"/>
  <c r="A224" i="11"/>
  <c r="N224" i="11" s="1"/>
  <c r="J223" i="11"/>
  <c r="G223" i="11"/>
  <c r="F223" i="11"/>
  <c r="E223" i="11"/>
  <c r="D223" i="11"/>
  <c r="C223" i="11"/>
  <c r="A223" i="11"/>
  <c r="N223" i="11" s="1"/>
  <c r="L223" i="11" s="1" a="1"/>
  <c r="L223" i="11" s="1"/>
  <c r="J222" i="11"/>
  <c r="H222" i="11" a="1"/>
  <c r="H222" i="11" s="1"/>
  <c r="G222" i="11"/>
  <c r="F222" i="11"/>
  <c r="E222" i="11"/>
  <c r="D222" i="11"/>
  <c r="C222" i="11"/>
  <c r="A222" i="11"/>
  <c r="N222" i="11" s="1"/>
  <c r="J221" i="11"/>
  <c r="G221" i="11"/>
  <c r="F221" i="11"/>
  <c r="E221" i="11"/>
  <c r="D221" i="11"/>
  <c r="C221" i="11"/>
  <c r="A221" i="11"/>
  <c r="N221" i="11" s="1"/>
  <c r="H221" i="11" s="1" a="1"/>
  <c r="H221" i="11" s="1"/>
  <c r="J220" i="11"/>
  <c r="H220" i="11" a="1"/>
  <c r="H220" i="11"/>
  <c r="G220" i="11"/>
  <c r="F220" i="11"/>
  <c r="L220" i="11" s="1" a="1"/>
  <c r="L220" i="11" s="1"/>
  <c r="E220" i="11"/>
  <c r="D220" i="11"/>
  <c r="C220" i="11"/>
  <c r="A220" i="11"/>
  <c r="N220" i="11" s="1"/>
  <c r="J219" i="11"/>
  <c r="G219" i="11"/>
  <c r="F219" i="11"/>
  <c r="E219" i="11"/>
  <c r="D219" i="11"/>
  <c r="C219" i="11"/>
  <c r="A219" i="11"/>
  <c r="N219" i="11" s="1"/>
  <c r="J218" i="11"/>
  <c r="G218" i="11"/>
  <c r="F218" i="11"/>
  <c r="E218" i="11"/>
  <c r="D218" i="11"/>
  <c r="C218" i="11"/>
  <c r="A218" i="11"/>
  <c r="N218" i="11" s="1"/>
  <c r="J217" i="11"/>
  <c r="G217" i="11"/>
  <c r="F217" i="11"/>
  <c r="E217" i="11"/>
  <c r="D217" i="11"/>
  <c r="C217" i="11"/>
  <c r="B217" i="11" s="1"/>
  <c r="A217" i="11"/>
  <c r="N217" i="11" s="1"/>
  <c r="J216" i="11"/>
  <c r="G216" i="11"/>
  <c r="F216" i="11"/>
  <c r="E216" i="11"/>
  <c r="D216" i="11"/>
  <c r="C216" i="11"/>
  <c r="A216" i="11"/>
  <c r="N216" i="11" s="1"/>
  <c r="J215" i="11"/>
  <c r="G215" i="11"/>
  <c r="F215" i="11"/>
  <c r="E215" i="11"/>
  <c r="D215" i="11"/>
  <c r="C215" i="11"/>
  <c r="A215" i="11"/>
  <c r="N215" i="11" s="1"/>
  <c r="J214" i="11"/>
  <c r="G214" i="11"/>
  <c r="F214" i="11"/>
  <c r="E214" i="11"/>
  <c r="D214" i="11"/>
  <c r="C214" i="11"/>
  <c r="B214" i="11"/>
  <c r="A214" i="11"/>
  <c r="N214" i="11" s="1"/>
  <c r="J213" i="11"/>
  <c r="G213" i="11"/>
  <c r="F213" i="11"/>
  <c r="E213" i="11"/>
  <c r="D213" i="11"/>
  <c r="C213" i="11"/>
  <c r="B213" i="11" s="1"/>
  <c r="A213" i="11"/>
  <c r="N213" i="11" s="1"/>
  <c r="J212" i="11"/>
  <c r="G212" i="11"/>
  <c r="F212" i="11"/>
  <c r="E212" i="11"/>
  <c r="D212" i="11"/>
  <c r="C212" i="11"/>
  <c r="A212" i="11"/>
  <c r="N212" i="11" s="1"/>
  <c r="L212" i="11" s="1" a="1"/>
  <c r="L212" i="11" s="1"/>
  <c r="J211" i="11"/>
  <c r="G211" i="11"/>
  <c r="F211" i="11"/>
  <c r="E211" i="11"/>
  <c r="D211" i="11"/>
  <c r="C211" i="11"/>
  <c r="B211" i="11" s="1"/>
  <c r="A211" i="11"/>
  <c r="N211" i="11" s="1"/>
  <c r="J210" i="11"/>
  <c r="G210" i="11"/>
  <c r="F210" i="11"/>
  <c r="E210" i="11"/>
  <c r="D210" i="11"/>
  <c r="C210" i="11"/>
  <c r="A210" i="11"/>
  <c r="N210" i="11" s="1"/>
  <c r="L210" i="11" s="1" a="1"/>
  <c r="L210" i="11" s="1"/>
  <c r="J209" i="11"/>
  <c r="G209" i="11"/>
  <c r="F209" i="11"/>
  <c r="E209" i="11"/>
  <c r="D209" i="11"/>
  <c r="C209" i="11"/>
  <c r="A209" i="11"/>
  <c r="N209" i="11" s="1"/>
  <c r="J208" i="11"/>
  <c r="G208" i="11"/>
  <c r="F208" i="11"/>
  <c r="E208" i="11"/>
  <c r="D208" i="11"/>
  <c r="C208" i="11"/>
  <c r="B208" i="11" s="1"/>
  <c r="A208" i="11"/>
  <c r="N208" i="11" s="1"/>
  <c r="N207" i="11"/>
  <c r="J207" i="11"/>
  <c r="G207" i="11"/>
  <c r="F207" i="11"/>
  <c r="E207" i="11"/>
  <c r="D207" i="11"/>
  <c r="C207" i="11"/>
  <c r="B207" i="11" s="1"/>
  <c r="A207" i="11"/>
  <c r="J206" i="11"/>
  <c r="G206" i="11"/>
  <c r="F206" i="11"/>
  <c r="E206" i="11"/>
  <c r="D206" i="11"/>
  <c r="C206" i="11"/>
  <c r="A206" i="11"/>
  <c r="N206" i="11" s="1"/>
  <c r="H206" i="11" s="1" a="1"/>
  <c r="H206" i="11" s="1"/>
  <c r="J205" i="11"/>
  <c r="G205" i="11"/>
  <c r="F205" i="11"/>
  <c r="E205" i="11"/>
  <c r="D205" i="11"/>
  <c r="C205" i="11"/>
  <c r="A205" i="11"/>
  <c r="N205" i="11" s="1"/>
  <c r="J204" i="11"/>
  <c r="G204" i="11"/>
  <c r="F204" i="11"/>
  <c r="E204" i="11"/>
  <c r="D204" i="11"/>
  <c r="C204" i="11"/>
  <c r="A204" i="11"/>
  <c r="N204" i="11" s="1"/>
  <c r="J203" i="11"/>
  <c r="G203" i="11"/>
  <c r="F203" i="11"/>
  <c r="E203" i="11"/>
  <c r="D203" i="11"/>
  <c r="C203" i="11"/>
  <c r="A203" i="11"/>
  <c r="N203" i="11" s="1"/>
  <c r="J202" i="11"/>
  <c r="G202" i="11"/>
  <c r="F202" i="11"/>
  <c r="E202" i="11"/>
  <c r="D202" i="11"/>
  <c r="C202" i="11"/>
  <c r="A202" i="11"/>
  <c r="N202" i="11" s="1"/>
  <c r="J201" i="11"/>
  <c r="G201" i="11"/>
  <c r="F201" i="11"/>
  <c r="E201" i="11"/>
  <c r="D201" i="11"/>
  <c r="C201" i="11"/>
  <c r="A201" i="11"/>
  <c r="N201" i="11" s="1"/>
  <c r="J200" i="11"/>
  <c r="G200" i="11"/>
  <c r="F200" i="11"/>
  <c r="E200" i="11"/>
  <c r="D200" i="11"/>
  <c r="C200" i="11"/>
  <c r="A200" i="11"/>
  <c r="N200" i="11" s="1"/>
  <c r="J199" i="11"/>
  <c r="G199" i="11"/>
  <c r="F199" i="11"/>
  <c r="E199" i="11"/>
  <c r="D199" i="11"/>
  <c r="C199" i="11"/>
  <c r="A199" i="11"/>
  <c r="N199" i="11" s="1"/>
  <c r="J198" i="11"/>
  <c r="G198" i="11"/>
  <c r="F198" i="11"/>
  <c r="E198" i="11"/>
  <c r="D198" i="11"/>
  <c r="C198" i="11"/>
  <c r="A198" i="11"/>
  <c r="N198" i="11" s="1"/>
  <c r="J197" i="11"/>
  <c r="G197" i="11"/>
  <c r="F197" i="11"/>
  <c r="E197" i="11"/>
  <c r="D197" i="11"/>
  <c r="C197" i="11"/>
  <c r="B197" i="11"/>
  <c r="A197" i="11"/>
  <c r="N197" i="11" s="1"/>
  <c r="J196" i="11"/>
  <c r="G196" i="11"/>
  <c r="F196" i="11"/>
  <c r="E196" i="11"/>
  <c r="D196" i="11"/>
  <c r="C196" i="11"/>
  <c r="A196" i="11"/>
  <c r="N196" i="11" s="1"/>
  <c r="J195" i="11"/>
  <c r="G195" i="11"/>
  <c r="F195" i="11"/>
  <c r="E195" i="11"/>
  <c r="D195" i="11"/>
  <c r="C195" i="11"/>
  <c r="A195" i="11"/>
  <c r="N195" i="11" s="1"/>
  <c r="N194" i="11"/>
  <c r="J194" i="11"/>
  <c r="G194" i="11"/>
  <c r="F194" i="11"/>
  <c r="E194" i="11"/>
  <c r="D194" i="11"/>
  <c r="C194" i="11"/>
  <c r="B194" i="11" s="1"/>
  <c r="A194" i="11"/>
  <c r="J193" i="11"/>
  <c r="G193" i="11"/>
  <c r="F193" i="11"/>
  <c r="E193" i="11"/>
  <c r="D193" i="11"/>
  <c r="C193" i="11"/>
  <c r="B193" i="11"/>
  <c r="A193" i="11"/>
  <c r="N193" i="11" s="1"/>
  <c r="J192" i="11"/>
  <c r="G192" i="11"/>
  <c r="F192" i="11"/>
  <c r="E192" i="11"/>
  <c r="D192" i="11"/>
  <c r="C192" i="11"/>
  <c r="H192" i="11" s="1" a="1"/>
  <c r="H192" i="11" s="1"/>
  <c r="A192" i="11"/>
  <c r="N192" i="11" s="1"/>
  <c r="J191" i="11"/>
  <c r="G191" i="11"/>
  <c r="F191" i="11"/>
  <c r="E191" i="11"/>
  <c r="D191" i="11"/>
  <c r="C191" i="11"/>
  <c r="B191" i="11" s="1"/>
  <c r="A191" i="11"/>
  <c r="N191" i="11" s="1"/>
  <c r="J190" i="11"/>
  <c r="G190" i="11"/>
  <c r="F190" i="11"/>
  <c r="E190" i="11"/>
  <c r="D190" i="11"/>
  <c r="C190" i="11"/>
  <c r="A190" i="11"/>
  <c r="N190" i="11" s="1"/>
  <c r="L190" i="11" s="1" a="1"/>
  <c r="L190" i="11" s="1"/>
  <c r="J189" i="11"/>
  <c r="G189" i="11"/>
  <c r="F189" i="11"/>
  <c r="E189" i="11"/>
  <c r="D189" i="11"/>
  <c r="C189" i="11"/>
  <c r="A189" i="11"/>
  <c r="N189" i="11" s="1"/>
  <c r="J188" i="11"/>
  <c r="G188" i="11"/>
  <c r="F188" i="11"/>
  <c r="E188" i="11"/>
  <c r="D188" i="11"/>
  <c r="C188" i="11"/>
  <c r="A188" i="11"/>
  <c r="N188" i="11" s="1"/>
  <c r="H188" i="11" s="1" a="1"/>
  <c r="H188" i="11" s="1"/>
  <c r="J187" i="11"/>
  <c r="G187" i="11"/>
  <c r="F187" i="11"/>
  <c r="E187" i="11"/>
  <c r="D187" i="11"/>
  <c r="C187" i="11"/>
  <c r="A187" i="11"/>
  <c r="N187" i="11" s="1"/>
  <c r="L187" i="11" s="1" a="1"/>
  <c r="L187" i="11" s="1"/>
  <c r="J186" i="11"/>
  <c r="G186" i="11"/>
  <c r="F186" i="11"/>
  <c r="E186" i="11"/>
  <c r="D186" i="11"/>
  <c r="C186" i="11"/>
  <c r="A186" i="11"/>
  <c r="N186" i="11" s="1"/>
  <c r="J185" i="11"/>
  <c r="G185" i="11"/>
  <c r="F185" i="11"/>
  <c r="E185" i="11"/>
  <c r="D185" i="11"/>
  <c r="C185" i="11"/>
  <c r="A185" i="11"/>
  <c r="N185" i="11" s="1"/>
  <c r="J184" i="11"/>
  <c r="G184" i="11"/>
  <c r="F184" i="11"/>
  <c r="E184" i="11"/>
  <c r="D184" i="11"/>
  <c r="C184" i="11"/>
  <c r="A184" i="11"/>
  <c r="N184" i="11" s="1"/>
  <c r="H184" i="11" s="1" a="1"/>
  <c r="H184" i="11" s="1"/>
  <c r="J183" i="11"/>
  <c r="G183" i="11"/>
  <c r="F183" i="11"/>
  <c r="E183" i="11"/>
  <c r="D183" i="11"/>
  <c r="C183" i="11"/>
  <c r="A183" i="11"/>
  <c r="N183" i="11" s="1"/>
  <c r="J182" i="11"/>
  <c r="G182" i="11"/>
  <c r="F182" i="11"/>
  <c r="E182" i="11"/>
  <c r="D182" i="11"/>
  <c r="C182" i="11"/>
  <c r="A182" i="11"/>
  <c r="N182" i="11" s="1"/>
  <c r="J181" i="11"/>
  <c r="G181" i="11"/>
  <c r="F181" i="11"/>
  <c r="E181" i="11"/>
  <c r="D181" i="11"/>
  <c r="C181" i="11"/>
  <c r="A181" i="11"/>
  <c r="N181" i="11" s="1"/>
  <c r="J180" i="11"/>
  <c r="G180" i="11"/>
  <c r="F180" i="11"/>
  <c r="E180" i="11"/>
  <c r="D180" i="11"/>
  <c r="C180" i="11"/>
  <c r="A180" i="11"/>
  <c r="N180" i="11" s="1"/>
  <c r="J179" i="11"/>
  <c r="G179" i="11"/>
  <c r="F179" i="11"/>
  <c r="E179" i="11"/>
  <c r="D179" i="11"/>
  <c r="C179" i="11"/>
  <c r="A179" i="11"/>
  <c r="N179" i="11" s="1"/>
  <c r="L179" i="11" s="1" a="1"/>
  <c r="L179" i="11" s="1"/>
  <c r="J178" i="11"/>
  <c r="G178" i="11"/>
  <c r="F178" i="11"/>
  <c r="E178" i="11"/>
  <c r="D178" i="11"/>
  <c r="C178" i="11"/>
  <c r="A178" i="11"/>
  <c r="N178" i="11" s="1"/>
  <c r="J177" i="11"/>
  <c r="G177" i="11"/>
  <c r="F177" i="11"/>
  <c r="E177" i="11"/>
  <c r="D177" i="11"/>
  <c r="C177" i="11"/>
  <c r="A177" i="11"/>
  <c r="N177" i="11" s="1"/>
  <c r="N176" i="11"/>
  <c r="J176" i="11"/>
  <c r="G176" i="11"/>
  <c r="F176" i="11"/>
  <c r="E176" i="11"/>
  <c r="D176" i="11"/>
  <c r="C176" i="11"/>
  <c r="A176" i="11"/>
  <c r="J175" i="11"/>
  <c r="G175" i="11"/>
  <c r="F175" i="11"/>
  <c r="E175" i="11"/>
  <c r="D175" i="11"/>
  <c r="C175" i="11"/>
  <c r="A175" i="11"/>
  <c r="N175" i="11" s="1"/>
  <c r="N174" i="11"/>
  <c r="J174" i="11"/>
  <c r="G174" i="11"/>
  <c r="F174" i="11"/>
  <c r="E174" i="11"/>
  <c r="D174" i="11"/>
  <c r="C174" i="11"/>
  <c r="A174" i="11"/>
  <c r="J173" i="11"/>
  <c r="G173" i="11"/>
  <c r="F173" i="11"/>
  <c r="E173" i="11"/>
  <c r="D173" i="11"/>
  <c r="C173" i="11"/>
  <c r="A173" i="11"/>
  <c r="N173" i="11" s="1"/>
  <c r="L173" i="11" s="1" a="1"/>
  <c r="L173" i="11" s="1"/>
  <c r="J172" i="11"/>
  <c r="G172" i="11"/>
  <c r="F172" i="11"/>
  <c r="E172" i="11"/>
  <c r="D172" i="11"/>
  <c r="C172" i="11"/>
  <c r="A172" i="11"/>
  <c r="N172" i="11" s="1"/>
  <c r="H172" i="11" s="1" a="1"/>
  <c r="H172" i="11" s="1"/>
  <c r="J171" i="11"/>
  <c r="G171" i="11"/>
  <c r="F171" i="11"/>
  <c r="E171" i="11"/>
  <c r="D171" i="11"/>
  <c r="C171" i="11"/>
  <c r="A171" i="11"/>
  <c r="N171" i="11" s="1"/>
  <c r="J170" i="11"/>
  <c r="G170" i="11"/>
  <c r="F170" i="11"/>
  <c r="E170" i="11"/>
  <c r="D170" i="11"/>
  <c r="C170" i="11"/>
  <c r="A170" i="11"/>
  <c r="N170" i="11" s="1"/>
  <c r="J169" i="11"/>
  <c r="G169" i="11"/>
  <c r="F169" i="11"/>
  <c r="E169" i="11"/>
  <c r="D169" i="11"/>
  <c r="C169" i="11"/>
  <c r="A169" i="11"/>
  <c r="N169" i="11" s="1"/>
  <c r="J168" i="11"/>
  <c r="G168" i="11"/>
  <c r="F168" i="11"/>
  <c r="E168" i="11"/>
  <c r="D168" i="11"/>
  <c r="C168" i="11"/>
  <c r="A168" i="11"/>
  <c r="N168" i="11" s="1"/>
  <c r="J167" i="11"/>
  <c r="G167" i="11"/>
  <c r="F167" i="11"/>
  <c r="E167" i="11"/>
  <c r="D167" i="11"/>
  <c r="C167" i="11"/>
  <c r="B167" i="11"/>
  <c r="A167" i="11"/>
  <c r="N167" i="11" s="1"/>
  <c r="J166" i="11"/>
  <c r="G166" i="11"/>
  <c r="F166" i="11"/>
  <c r="E166" i="11"/>
  <c r="D166" i="11"/>
  <c r="C166" i="11"/>
  <c r="A166" i="11"/>
  <c r="N166" i="11" s="1"/>
  <c r="J165" i="11"/>
  <c r="G165" i="11"/>
  <c r="F165" i="11"/>
  <c r="E165" i="11"/>
  <c r="D165" i="11"/>
  <c r="C165" i="11"/>
  <c r="A165" i="11"/>
  <c r="N165" i="11" s="1"/>
  <c r="J164" i="11"/>
  <c r="G164" i="11"/>
  <c r="F164" i="11"/>
  <c r="E164" i="11"/>
  <c r="D164" i="11"/>
  <c r="C164" i="11"/>
  <c r="B164" i="11" s="1"/>
  <c r="A164" i="11"/>
  <c r="N164" i="11" s="1"/>
  <c r="J163" i="11"/>
  <c r="G163" i="11"/>
  <c r="F163" i="11"/>
  <c r="L163" i="11" s="1" a="1"/>
  <c r="L163" i="11" s="1"/>
  <c r="E163" i="11"/>
  <c r="D163" i="11"/>
  <c r="C163" i="11"/>
  <c r="A163" i="11"/>
  <c r="N163" i="11" s="1"/>
  <c r="J162" i="11"/>
  <c r="G162" i="11"/>
  <c r="F162" i="11"/>
  <c r="E162" i="11"/>
  <c r="D162" i="11"/>
  <c r="C162" i="11"/>
  <c r="B162" i="11"/>
  <c r="A162" i="11"/>
  <c r="N162" i="11" s="1"/>
  <c r="L162" i="11" s="1" a="1"/>
  <c r="L162" i="11" s="1"/>
  <c r="J161" i="11"/>
  <c r="G161" i="11"/>
  <c r="F161" i="11"/>
  <c r="E161" i="11"/>
  <c r="D161" i="11"/>
  <c r="C161" i="11"/>
  <c r="A161" i="11"/>
  <c r="N161" i="11" s="1"/>
  <c r="J160" i="11"/>
  <c r="G160" i="11"/>
  <c r="F160" i="11"/>
  <c r="E160" i="11"/>
  <c r="D160" i="11"/>
  <c r="C160" i="11"/>
  <c r="B160" i="11"/>
  <c r="A160" i="11"/>
  <c r="N160" i="11" s="1"/>
  <c r="J159" i="11"/>
  <c r="G159" i="11"/>
  <c r="F159" i="11"/>
  <c r="E159" i="11"/>
  <c r="D159" i="11"/>
  <c r="C159" i="11"/>
  <c r="A159" i="11"/>
  <c r="N159" i="11" s="1"/>
  <c r="J158" i="11"/>
  <c r="G158" i="11"/>
  <c r="F158" i="11"/>
  <c r="E158" i="11"/>
  <c r="D158" i="11"/>
  <c r="C158" i="11"/>
  <c r="A158" i="11"/>
  <c r="N158" i="11" s="1"/>
  <c r="J157" i="11"/>
  <c r="G157" i="11"/>
  <c r="F157" i="11"/>
  <c r="E157" i="11"/>
  <c r="D157" i="11"/>
  <c r="C157" i="11"/>
  <c r="A157" i="11"/>
  <c r="N157" i="11" s="1"/>
  <c r="J156" i="11"/>
  <c r="G156" i="11"/>
  <c r="F156" i="11"/>
  <c r="E156" i="11"/>
  <c r="D156" i="11"/>
  <c r="C156" i="11"/>
  <c r="A156" i="11"/>
  <c r="N156" i="11" s="1"/>
  <c r="L156" i="11" s="1" a="1"/>
  <c r="L156" i="11" s="1"/>
  <c r="J155" i="11"/>
  <c r="G155" i="11"/>
  <c r="F155" i="11"/>
  <c r="E155" i="11"/>
  <c r="D155" i="11"/>
  <c r="C155" i="11"/>
  <c r="A155" i="11"/>
  <c r="N155" i="11" s="1"/>
  <c r="H155" i="11" s="1" a="1"/>
  <c r="H155" i="11" s="1"/>
  <c r="J154" i="11"/>
  <c r="G154" i="11"/>
  <c r="F154" i="11"/>
  <c r="E154" i="11"/>
  <c r="D154" i="11"/>
  <c r="C154" i="11"/>
  <c r="A154" i="11"/>
  <c r="N154" i="11" s="1"/>
  <c r="J153" i="11"/>
  <c r="G153" i="11"/>
  <c r="F153" i="11"/>
  <c r="E153" i="11"/>
  <c r="D153" i="11"/>
  <c r="C153" i="11"/>
  <c r="A153" i="11"/>
  <c r="N153" i="11" s="1"/>
  <c r="L153" i="11" s="1" a="1"/>
  <c r="L153" i="11" s="1"/>
  <c r="J152" i="11"/>
  <c r="G152" i="11"/>
  <c r="F152" i="11"/>
  <c r="E152" i="11"/>
  <c r="D152" i="11"/>
  <c r="C152" i="11"/>
  <c r="A152" i="11"/>
  <c r="N152" i="11" s="1"/>
  <c r="J151" i="11"/>
  <c r="G151" i="11"/>
  <c r="F151" i="11"/>
  <c r="E151" i="11"/>
  <c r="D151" i="11"/>
  <c r="C151" i="11"/>
  <c r="B151" i="11" s="1"/>
  <c r="A151" i="11"/>
  <c r="N151" i="11" s="1"/>
  <c r="N150" i="11"/>
  <c r="J150" i="11"/>
  <c r="G150" i="11"/>
  <c r="F150" i="11"/>
  <c r="E150" i="11"/>
  <c r="D150" i="11"/>
  <c r="C150" i="11"/>
  <c r="A150" i="11"/>
  <c r="J149" i="11"/>
  <c r="G149" i="11"/>
  <c r="F149" i="11"/>
  <c r="E149" i="11"/>
  <c r="D149" i="11"/>
  <c r="C149" i="11"/>
  <c r="B149" i="11"/>
  <c r="A149" i="11"/>
  <c r="N149" i="11" s="1"/>
  <c r="N148" i="11"/>
  <c r="J148" i="11"/>
  <c r="G148" i="11"/>
  <c r="F148" i="11"/>
  <c r="E148" i="11"/>
  <c r="D148" i="11"/>
  <c r="C148" i="11"/>
  <c r="A148" i="11"/>
  <c r="J147" i="11"/>
  <c r="G147" i="11"/>
  <c r="F147" i="11"/>
  <c r="E147" i="11"/>
  <c r="D147" i="11"/>
  <c r="C147" i="11"/>
  <c r="B147" i="11"/>
  <c r="A147" i="11"/>
  <c r="N147" i="11" s="1"/>
  <c r="J146" i="11"/>
  <c r="G146" i="11"/>
  <c r="F146" i="11"/>
  <c r="E146" i="11"/>
  <c r="D146" i="11"/>
  <c r="C146" i="11"/>
  <c r="A146" i="11"/>
  <c r="N146" i="11" s="1"/>
  <c r="J145" i="11"/>
  <c r="G145" i="11"/>
  <c r="F145" i="11"/>
  <c r="E145" i="11"/>
  <c r="D145" i="11"/>
  <c r="C145" i="11"/>
  <c r="B145" i="11" s="1"/>
  <c r="A145" i="11"/>
  <c r="N145" i="11" s="1"/>
  <c r="J144" i="11"/>
  <c r="G144" i="11"/>
  <c r="F144" i="11"/>
  <c r="E144" i="11"/>
  <c r="D144" i="11"/>
  <c r="C144" i="11"/>
  <c r="A144" i="11"/>
  <c r="N144" i="11" s="1"/>
  <c r="J143" i="11"/>
  <c r="G143" i="11"/>
  <c r="F143" i="11"/>
  <c r="E143" i="11"/>
  <c r="D143" i="11"/>
  <c r="C143" i="11"/>
  <c r="A143" i="11"/>
  <c r="N143" i="11" s="1"/>
  <c r="L143" i="11" s="1" a="1"/>
  <c r="L143" i="11" s="1"/>
  <c r="J142" i="11"/>
  <c r="G142" i="11"/>
  <c r="F142" i="11"/>
  <c r="E142" i="11"/>
  <c r="D142" i="11"/>
  <c r="C142" i="11"/>
  <c r="A142" i="11"/>
  <c r="N142" i="11" s="1"/>
  <c r="J141" i="11"/>
  <c r="G141" i="11"/>
  <c r="F141" i="11"/>
  <c r="E141" i="11"/>
  <c r="D141" i="11"/>
  <c r="C141" i="11"/>
  <c r="A141" i="11"/>
  <c r="N141" i="11" s="1"/>
  <c r="L141" i="11" s="1" a="1"/>
  <c r="L141" i="11" s="1"/>
  <c r="J140" i="11"/>
  <c r="G140" i="11"/>
  <c r="F140" i="11"/>
  <c r="E140" i="11"/>
  <c r="D140" i="11"/>
  <c r="C140" i="11"/>
  <c r="A140" i="11"/>
  <c r="N140" i="11" s="1"/>
  <c r="J139" i="11"/>
  <c r="G139" i="11"/>
  <c r="F139" i="11"/>
  <c r="E139" i="11"/>
  <c r="D139" i="11"/>
  <c r="C139" i="11"/>
  <c r="A139" i="11"/>
  <c r="N139" i="11" s="1"/>
  <c r="J138" i="11"/>
  <c r="G138" i="11"/>
  <c r="F138" i="11"/>
  <c r="E138" i="11"/>
  <c r="D138" i="11"/>
  <c r="C138" i="11"/>
  <c r="B138" i="11" s="1"/>
  <c r="A138" i="11"/>
  <c r="N138" i="11" s="1"/>
  <c r="J137" i="11"/>
  <c r="G137" i="11"/>
  <c r="F137" i="11"/>
  <c r="E137" i="11"/>
  <c r="D137" i="11"/>
  <c r="C137" i="11"/>
  <c r="B137" i="11" s="1"/>
  <c r="A137" i="11"/>
  <c r="N137" i="11" s="1"/>
  <c r="J136" i="11"/>
  <c r="G136" i="11"/>
  <c r="F136" i="11"/>
  <c r="E136" i="11"/>
  <c r="D136" i="11"/>
  <c r="C136" i="11"/>
  <c r="A136" i="11"/>
  <c r="N136" i="11" s="1"/>
  <c r="H136" i="11" s="1" a="1"/>
  <c r="H136" i="11" s="1"/>
  <c r="J135" i="11"/>
  <c r="G135" i="11"/>
  <c r="F135" i="11"/>
  <c r="E135" i="11"/>
  <c r="D135" i="11"/>
  <c r="C135" i="11"/>
  <c r="A135" i="11"/>
  <c r="N135" i="11" s="1"/>
  <c r="J134" i="11"/>
  <c r="G134" i="11"/>
  <c r="F134" i="11"/>
  <c r="E134" i="11"/>
  <c r="D134" i="11"/>
  <c r="C134" i="11"/>
  <c r="B134" i="11"/>
  <c r="A134" i="11"/>
  <c r="N134" i="11" s="1"/>
  <c r="J133" i="11"/>
  <c r="G133" i="11"/>
  <c r="F133" i="11"/>
  <c r="E133" i="11"/>
  <c r="D133" i="11"/>
  <c r="C133" i="11"/>
  <c r="A133" i="11"/>
  <c r="N133" i="11" s="1"/>
  <c r="J132" i="11"/>
  <c r="G132" i="11"/>
  <c r="F132" i="11"/>
  <c r="E132" i="11"/>
  <c r="D132" i="11"/>
  <c r="C132" i="11"/>
  <c r="A132" i="11"/>
  <c r="N132" i="11" s="1"/>
  <c r="J131" i="11"/>
  <c r="G131" i="11"/>
  <c r="F131" i="11"/>
  <c r="E131" i="11"/>
  <c r="D131" i="11"/>
  <c r="C131" i="11"/>
  <c r="A131" i="11"/>
  <c r="N131" i="11" s="1"/>
  <c r="J130" i="11"/>
  <c r="G130" i="11"/>
  <c r="F130" i="11"/>
  <c r="E130" i="11"/>
  <c r="D130" i="11"/>
  <c r="C130" i="11"/>
  <c r="A130" i="11"/>
  <c r="N130" i="11" s="1"/>
  <c r="J129" i="11"/>
  <c r="G129" i="11"/>
  <c r="F129" i="11"/>
  <c r="E129" i="11"/>
  <c r="D129" i="11"/>
  <c r="C129" i="11"/>
  <c r="A129" i="11"/>
  <c r="N129" i="11" s="1"/>
  <c r="J128" i="11"/>
  <c r="G128" i="11"/>
  <c r="F128" i="11"/>
  <c r="E128" i="11"/>
  <c r="D128" i="11"/>
  <c r="C128" i="11"/>
  <c r="B128" i="11" s="1"/>
  <c r="A128" i="11"/>
  <c r="N128" i="11" s="1"/>
  <c r="J127" i="11"/>
  <c r="G127" i="11"/>
  <c r="F127" i="11"/>
  <c r="E127" i="11"/>
  <c r="D127" i="11"/>
  <c r="C127" i="11"/>
  <c r="A127" i="11"/>
  <c r="N127" i="11" s="1"/>
  <c r="H127" i="11" s="1" a="1"/>
  <c r="H127" i="11" s="1"/>
  <c r="J126" i="11"/>
  <c r="G126" i="11"/>
  <c r="F126" i="11"/>
  <c r="E126" i="11"/>
  <c r="D126" i="11"/>
  <c r="C126" i="11"/>
  <c r="B126" i="11" s="1"/>
  <c r="A126" i="11"/>
  <c r="N126" i="11" s="1"/>
  <c r="J125" i="11"/>
  <c r="G125" i="11"/>
  <c r="F125" i="11"/>
  <c r="E125" i="11"/>
  <c r="D125" i="11"/>
  <c r="C125" i="11"/>
  <c r="A125" i="11"/>
  <c r="N125" i="11" s="1"/>
  <c r="H125" i="11" s="1" a="1"/>
  <c r="H125" i="11" s="1"/>
  <c r="J124" i="11"/>
  <c r="G124" i="11"/>
  <c r="F124" i="11"/>
  <c r="E124" i="11"/>
  <c r="D124" i="11"/>
  <c r="C124" i="11"/>
  <c r="A124" i="11"/>
  <c r="N124" i="11" s="1"/>
  <c r="J123" i="11"/>
  <c r="G123" i="11"/>
  <c r="F123" i="11"/>
  <c r="E123" i="11"/>
  <c r="D123" i="11"/>
  <c r="C123" i="11"/>
  <c r="A123" i="11"/>
  <c r="N123" i="11" s="1"/>
  <c r="L123" i="11" s="1" a="1"/>
  <c r="L123" i="11" s="1"/>
  <c r="J122" i="11"/>
  <c r="H122" i="11" a="1"/>
  <c r="H122" i="11" s="1"/>
  <c r="G122" i="11"/>
  <c r="F122" i="11"/>
  <c r="E122" i="11"/>
  <c r="D122" i="11"/>
  <c r="C122" i="11"/>
  <c r="A122" i="11"/>
  <c r="N122" i="11" s="1"/>
  <c r="J121" i="11"/>
  <c r="G121" i="11"/>
  <c r="F121" i="11"/>
  <c r="E121" i="11"/>
  <c r="D121" i="11"/>
  <c r="C121" i="11"/>
  <c r="A121" i="11"/>
  <c r="N121" i="11" s="1"/>
  <c r="J120" i="11"/>
  <c r="G120" i="11"/>
  <c r="F120" i="11"/>
  <c r="E120" i="11"/>
  <c r="D120" i="11"/>
  <c r="C120" i="11"/>
  <c r="A120" i="11"/>
  <c r="N120" i="11" s="1"/>
  <c r="J119" i="11"/>
  <c r="G119" i="11"/>
  <c r="F119" i="11"/>
  <c r="E119" i="11"/>
  <c r="D119" i="11"/>
  <c r="C119" i="11"/>
  <c r="A119" i="11"/>
  <c r="N119" i="11" s="1"/>
  <c r="J118" i="11"/>
  <c r="G118" i="11"/>
  <c r="F118" i="11"/>
  <c r="E118" i="11"/>
  <c r="D118" i="11"/>
  <c r="C118" i="11"/>
  <c r="B118" i="11" s="1"/>
  <c r="A118" i="11"/>
  <c r="N118" i="11" s="1"/>
  <c r="J117" i="11"/>
  <c r="G117" i="11"/>
  <c r="F117" i="11"/>
  <c r="E117" i="11"/>
  <c r="D117" i="11"/>
  <c r="C117" i="11"/>
  <c r="A117" i="11"/>
  <c r="N117" i="11" s="1"/>
  <c r="J116" i="11"/>
  <c r="G116" i="11"/>
  <c r="F116" i="11"/>
  <c r="E116" i="11"/>
  <c r="D116" i="11"/>
  <c r="C116" i="11"/>
  <c r="A116" i="11"/>
  <c r="N116" i="11" s="1"/>
  <c r="J115" i="11"/>
  <c r="G115" i="11"/>
  <c r="F115" i="11"/>
  <c r="E115" i="11"/>
  <c r="D115" i="11"/>
  <c r="C115" i="11"/>
  <c r="A115" i="11"/>
  <c r="N115" i="11" s="1"/>
  <c r="J114" i="11"/>
  <c r="G114" i="11"/>
  <c r="F114" i="11"/>
  <c r="E114" i="11"/>
  <c r="D114" i="11"/>
  <c r="C114" i="11"/>
  <c r="A114" i="11"/>
  <c r="N114" i="11" s="1"/>
  <c r="J113" i="11"/>
  <c r="G113" i="11"/>
  <c r="F113" i="11"/>
  <c r="E113" i="11"/>
  <c r="D113" i="11"/>
  <c r="B113" i="11" s="1"/>
  <c r="C113" i="11"/>
  <c r="A113" i="11"/>
  <c r="N113" i="11" s="1"/>
  <c r="J112" i="11"/>
  <c r="G112" i="11"/>
  <c r="F112" i="11"/>
  <c r="E112" i="11"/>
  <c r="D112" i="11"/>
  <c r="C112" i="11"/>
  <c r="B112" i="11"/>
  <c r="A112" i="11"/>
  <c r="N112" i="11" s="1"/>
  <c r="J111" i="11"/>
  <c r="G111" i="11"/>
  <c r="F111" i="11"/>
  <c r="E111" i="11"/>
  <c r="D111" i="11"/>
  <c r="C111" i="11"/>
  <c r="B111" i="11" s="1"/>
  <c r="A111" i="11"/>
  <c r="N111" i="11" s="1"/>
  <c r="L111" i="11" s="1" a="1"/>
  <c r="L111" i="11" s="1"/>
  <c r="J110" i="11"/>
  <c r="G110" i="11"/>
  <c r="F110" i="11"/>
  <c r="E110" i="11"/>
  <c r="D110" i="11"/>
  <c r="C110" i="11"/>
  <c r="B110" i="11" s="1"/>
  <c r="A110" i="11"/>
  <c r="N110" i="11" s="1"/>
  <c r="J109" i="11"/>
  <c r="G109" i="11"/>
  <c r="F109" i="11"/>
  <c r="E109" i="11"/>
  <c r="D109" i="11"/>
  <c r="C109" i="11"/>
  <c r="A109" i="11"/>
  <c r="N109" i="11" s="1"/>
  <c r="J108" i="11"/>
  <c r="G108" i="11"/>
  <c r="F108" i="11"/>
  <c r="E108" i="11"/>
  <c r="D108" i="11"/>
  <c r="C108" i="11"/>
  <c r="A108" i="11"/>
  <c r="N108" i="11" s="1"/>
  <c r="J107" i="11"/>
  <c r="G107" i="11"/>
  <c r="F107" i="11"/>
  <c r="E107" i="11"/>
  <c r="D107" i="11"/>
  <c r="C107" i="11"/>
  <c r="A107" i="11"/>
  <c r="N107" i="11" s="1"/>
  <c r="J106" i="11"/>
  <c r="G106" i="11"/>
  <c r="F106" i="11"/>
  <c r="E106" i="11"/>
  <c r="D106" i="11"/>
  <c r="C106" i="11"/>
  <c r="A106" i="11"/>
  <c r="N106" i="11" s="1"/>
  <c r="J105" i="11"/>
  <c r="G105" i="11"/>
  <c r="F105" i="11"/>
  <c r="E105" i="11"/>
  <c r="D105" i="11"/>
  <c r="C105" i="11"/>
  <c r="A105" i="11"/>
  <c r="N105" i="11" s="1"/>
  <c r="J104" i="11"/>
  <c r="G104" i="11"/>
  <c r="F104" i="11"/>
  <c r="E104" i="11"/>
  <c r="D104" i="11"/>
  <c r="C104" i="11"/>
  <c r="A104" i="11"/>
  <c r="N104" i="11" s="1"/>
  <c r="J103" i="11"/>
  <c r="G103" i="11"/>
  <c r="F103" i="11"/>
  <c r="E103" i="11"/>
  <c r="D103" i="11"/>
  <c r="C103" i="11"/>
  <c r="A103" i="11"/>
  <c r="N103" i="11" s="1"/>
  <c r="H103" i="11" s="1" a="1"/>
  <c r="H103" i="11" s="1"/>
  <c r="J102" i="11"/>
  <c r="G102" i="11"/>
  <c r="F102" i="11"/>
  <c r="E102" i="11"/>
  <c r="D102" i="11"/>
  <c r="C102" i="11"/>
  <c r="B102" i="11" s="1"/>
  <c r="A102" i="11"/>
  <c r="N102" i="11" s="1"/>
  <c r="J101" i="11"/>
  <c r="G101" i="11"/>
  <c r="F101" i="11"/>
  <c r="E101" i="11"/>
  <c r="D101" i="11"/>
  <c r="C101" i="11"/>
  <c r="B101" i="11" s="1"/>
  <c r="A101" i="11"/>
  <c r="N101" i="11" s="1"/>
  <c r="J100" i="11"/>
  <c r="G100" i="11"/>
  <c r="F100" i="11"/>
  <c r="E100" i="11"/>
  <c r="D100" i="11"/>
  <c r="C100" i="11"/>
  <c r="B100" i="11" s="1"/>
  <c r="A100" i="11"/>
  <c r="N100" i="11" s="1"/>
  <c r="J99" i="11"/>
  <c r="G99" i="11"/>
  <c r="F99" i="11"/>
  <c r="E99" i="11"/>
  <c r="D99" i="11"/>
  <c r="C99" i="11"/>
  <c r="A99" i="11"/>
  <c r="N99" i="11" s="1"/>
  <c r="N98" i="11"/>
  <c r="J98" i="11"/>
  <c r="G98" i="11"/>
  <c r="F98" i="11"/>
  <c r="E98" i="11"/>
  <c r="D98" i="11"/>
  <c r="B98" i="11" s="1"/>
  <c r="C98" i="11"/>
  <c r="A98" i="11"/>
  <c r="J97" i="11"/>
  <c r="G97" i="11"/>
  <c r="F97" i="11"/>
  <c r="E97" i="11"/>
  <c r="D97" i="11"/>
  <c r="C97" i="11"/>
  <c r="B97" i="11"/>
  <c r="A97" i="11"/>
  <c r="N97" i="11" s="1"/>
  <c r="J96" i="11"/>
  <c r="G96" i="11"/>
  <c r="F96" i="11"/>
  <c r="E96" i="11"/>
  <c r="D96" i="11"/>
  <c r="C96" i="11"/>
  <c r="B96" i="11" s="1"/>
  <c r="A96" i="11"/>
  <c r="N96" i="11" s="1"/>
  <c r="J95" i="11"/>
  <c r="G95" i="11"/>
  <c r="F95" i="11"/>
  <c r="E95" i="11"/>
  <c r="D95" i="11"/>
  <c r="C95" i="11"/>
  <c r="A95" i="11"/>
  <c r="N95" i="11" s="1"/>
  <c r="J94" i="11"/>
  <c r="G94" i="11"/>
  <c r="F94" i="11"/>
  <c r="E94" i="11"/>
  <c r="D94" i="11"/>
  <c r="C94" i="11"/>
  <c r="A94" i="11"/>
  <c r="N94" i="11" s="1"/>
  <c r="J93" i="11"/>
  <c r="G93" i="11"/>
  <c r="F93" i="11"/>
  <c r="E93" i="11"/>
  <c r="D93" i="11"/>
  <c r="C93" i="11"/>
  <c r="A93" i="11"/>
  <c r="N93" i="11" s="1"/>
  <c r="J92" i="11"/>
  <c r="G92" i="11"/>
  <c r="F92" i="11"/>
  <c r="E92" i="11"/>
  <c r="D92" i="11"/>
  <c r="C92" i="11"/>
  <c r="A92" i="11"/>
  <c r="N92" i="11" s="1"/>
  <c r="J91" i="11"/>
  <c r="G91" i="11"/>
  <c r="F91" i="11"/>
  <c r="E91" i="11"/>
  <c r="D91" i="11"/>
  <c r="C91" i="11"/>
  <c r="A91" i="11"/>
  <c r="N91" i="11" s="1"/>
  <c r="J90" i="11"/>
  <c r="G90" i="11"/>
  <c r="F90" i="11"/>
  <c r="E90" i="11"/>
  <c r="D90" i="11"/>
  <c r="C90" i="11"/>
  <c r="A90" i="11"/>
  <c r="N90" i="11" s="1"/>
  <c r="J89" i="11"/>
  <c r="G89" i="11"/>
  <c r="F89" i="11"/>
  <c r="E89" i="11"/>
  <c r="D89" i="11"/>
  <c r="C89" i="11"/>
  <c r="B89" i="11" s="1"/>
  <c r="A89" i="11"/>
  <c r="N89" i="11" s="1"/>
  <c r="H89" i="11" s="1" a="1"/>
  <c r="H89" i="11" s="1"/>
  <c r="J88" i="11"/>
  <c r="G88" i="11"/>
  <c r="F88" i="11"/>
  <c r="E88" i="11"/>
  <c r="D88" i="11"/>
  <c r="C88" i="11"/>
  <c r="A88" i="11"/>
  <c r="N88" i="11" s="1"/>
  <c r="J87" i="11"/>
  <c r="G87" i="11"/>
  <c r="F87" i="11"/>
  <c r="E87" i="11"/>
  <c r="D87" i="11"/>
  <c r="C87" i="11"/>
  <c r="A87" i="11"/>
  <c r="N87" i="11" s="1"/>
  <c r="J86" i="11"/>
  <c r="G86" i="11"/>
  <c r="F86" i="11"/>
  <c r="E86" i="11"/>
  <c r="D86" i="11"/>
  <c r="C86" i="11"/>
  <c r="B86" i="11" s="1"/>
  <c r="A86" i="11"/>
  <c r="N86" i="11" s="1"/>
  <c r="N85" i="11"/>
  <c r="J85" i="11"/>
  <c r="G85" i="11"/>
  <c r="F85" i="11"/>
  <c r="E85" i="11"/>
  <c r="D85" i="11"/>
  <c r="C85" i="11"/>
  <c r="B85" i="11" s="1"/>
  <c r="A85" i="11"/>
  <c r="J84" i="11"/>
  <c r="G84" i="11"/>
  <c r="F84" i="11"/>
  <c r="E84" i="11"/>
  <c r="D84" i="11"/>
  <c r="C84" i="11"/>
  <c r="A84" i="11"/>
  <c r="N84" i="11" s="1"/>
  <c r="J83" i="11"/>
  <c r="G83" i="11"/>
  <c r="F83" i="11"/>
  <c r="E83" i="11"/>
  <c r="D83" i="11"/>
  <c r="C83" i="11"/>
  <c r="A83" i="11"/>
  <c r="N83" i="11" s="1"/>
  <c r="J82" i="11"/>
  <c r="G82" i="11"/>
  <c r="F82" i="11"/>
  <c r="E82" i="11"/>
  <c r="D82" i="11"/>
  <c r="C82" i="11"/>
  <c r="B82" i="11"/>
  <c r="A82" i="11"/>
  <c r="N82" i="11" s="1"/>
  <c r="J81" i="11"/>
  <c r="G81" i="11"/>
  <c r="F81" i="11"/>
  <c r="E81" i="11"/>
  <c r="D81" i="11"/>
  <c r="C81" i="11"/>
  <c r="A81" i="11"/>
  <c r="N81" i="11" s="1"/>
  <c r="J80" i="11"/>
  <c r="G80" i="11"/>
  <c r="F80" i="11"/>
  <c r="E80" i="11"/>
  <c r="D80" i="11"/>
  <c r="C80" i="11"/>
  <c r="B80" i="11" s="1"/>
  <c r="A80" i="11"/>
  <c r="N80" i="11" s="1"/>
  <c r="J79" i="11"/>
  <c r="G79" i="11"/>
  <c r="F79" i="11"/>
  <c r="E79" i="11"/>
  <c r="D79" i="11"/>
  <c r="C79" i="11"/>
  <c r="A79" i="11"/>
  <c r="N79" i="11" s="1"/>
  <c r="N78" i="11"/>
  <c r="L78" i="11" s="1" a="1"/>
  <c r="L78" i="11" s="1"/>
  <c r="J78" i="11"/>
  <c r="G78" i="11"/>
  <c r="F78" i="11"/>
  <c r="E78" i="11"/>
  <c r="D78" i="11"/>
  <c r="C78" i="11"/>
  <c r="A78" i="11"/>
  <c r="J77" i="11"/>
  <c r="G77" i="11"/>
  <c r="F77" i="11"/>
  <c r="E77" i="11"/>
  <c r="D77" i="11"/>
  <c r="C77" i="11"/>
  <c r="A77" i="11"/>
  <c r="N77" i="11" s="1"/>
  <c r="L76" i="11" a="1"/>
  <c r="L76" i="11" s="1"/>
  <c r="J76" i="11"/>
  <c r="G76" i="11"/>
  <c r="F76" i="11"/>
  <c r="E76" i="11"/>
  <c r="D76" i="11"/>
  <c r="C76" i="11"/>
  <c r="A76" i="11"/>
  <c r="N76" i="11" s="1"/>
  <c r="J75" i="11"/>
  <c r="G75" i="11"/>
  <c r="F75" i="11"/>
  <c r="E75" i="11"/>
  <c r="D75" i="11"/>
  <c r="C75" i="11"/>
  <c r="A75" i="11"/>
  <c r="N75" i="11" s="1"/>
  <c r="H75" i="11" s="1" a="1"/>
  <c r="H75" i="11" s="1"/>
  <c r="J74" i="11"/>
  <c r="G74" i="11"/>
  <c r="F74" i="11"/>
  <c r="E74" i="11"/>
  <c r="D74" i="11"/>
  <c r="C74" i="11"/>
  <c r="A74" i="11"/>
  <c r="N74" i="11" s="1"/>
  <c r="J73" i="11"/>
  <c r="G73" i="11"/>
  <c r="F73" i="11"/>
  <c r="E73" i="11"/>
  <c r="D73" i="11"/>
  <c r="C73" i="11"/>
  <c r="B73" i="11"/>
  <c r="A73" i="11"/>
  <c r="N73" i="11" s="1"/>
  <c r="H73" i="11" s="1" a="1"/>
  <c r="H73" i="11" s="1"/>
  <c r="J72" i="11"/>
  <c r="G72" i="11"/>
  <c r="F72" i="11"/>
  <c r="E72" i="11"/>
  <c r="D72" i="11"/>
  <c r="C72" i="11"/>
  <c r="A72" i="11"/>
  <c r="N72" i="11" s="1"/>
  <c r="J71" i="11"/>
  <c r="G71" i="11"/>
  <c r="F71" i="11"/>
  <c r="E71" i="11"/>
  <c r="D71" i="11"/>
  <c r="C71" i="11"/>
  <c r="A71" i="11"/>
  <c r="N71" i="11" s="1"/>
  <c r="N70" i="11"/>
  <c r="J70" i="11"/>
  <c r="G70" i="11"/>
  <c r="F70" i="11"/>
  <c r="E70" i="11"/>
  <c r="D70" i="11"/>
  <c r="C70" i="11"/>
  <c r="A70" i="11"/>
  <c r="J69" i="11"/>
  <c r="G69" i="11"/>
  <c r="F69" i="11"/>
  <c r="E69" i="11"/>
  <c r="D69" i="11"/>
  <c r="C69" i="11"/>
  <c r="A69" i="11"/>
  <c r="N69" i="11" s="1"/>
  <c r="J68" i="11"/>
  <c r="G68" i="11"/>
  <c r="F68" i="11"/>
  <c r="L68" i="11" s="1" a="1"/>
  <c r="L68" i="11" s="1"/>
  <c r="E68" i="11"/>
  <c r="D68" i="11"/>
  <c r="C68" i="11"/>
  <c r="A68" i="11"/>
  <c r="N68" i="11" s="1"/>
  <c r="J67" i="11"/>
  <c r="G67" i="11"/>
  <c r="F67" i="11"/>
  <c r="E67" i="11"/>
  <c r="D67" i="11"/>
  <c r="C67" i="11"/>
  <c r="B67" i="11"/>
  <c r="A67" i="11"/>
  <c r="N67" i="11" s="1"/>
  <c r="N66" i="11"/>
  <c r="J66" i="11"/>
  <c r="H66" i="11" a="1"/>
  <c r="H66" i="11" s="1"/>
  <c r="G66" i="11"/>
  <c r="F66" i="11"/>
  <c r="E66" i="11"/>
  <c r="D66" i="11"/>
  <c r="C66" i="11"/>
  <c r="A66" i="11"/>
  <c r="J65" i="11"/>
  <c r="G65" i="11"/>
  <c r="F65" i="11"/>
  <c r="E65" i="11"/>
  <c r="D65" i="11"/>
  <c r="C65" i="11"/>
  <c r="B65" i="11"/>
  <c r="A65" i="11"/>
  <c r="N65" i="11" s="1"/>
  <c r="N64" i="11"/>
  <c r="J64" i="11"/>
  <c r="G64" i="11"/>
  <c r="F64" i="11"/>
  <c r="E64" i="11"/>
  <c r="D64" i="11"/>
  <c r="B64" i="11" s="1"/>
  <c r="C64" i="11"/>
  <c r="A64" i="11"/>
  <c r="J63" i="11"/>
  <c r="G63" i="11"/>
  <c r="F63" i="11"/>
  <c r="E63" i="11"/>
  <c r="D63" i="11"/>
  <c r="C63" i="11"/>
  <c r="B63" i="11" s="1"/>
  <c r="A63" i="11"/>
  <c r="N63" i="11" s="1"/>
  <c r="L63" i="11" s="1" a="1"/>
  <c r="L63" i="11" s="1"/>
  <c r="N62" i="11"/>
  <c r="J62" i="11"/>
  <c r="G62" i="11"/>
  <c r="F62" i="11"/>
  <c r="E62" i="11"/>
  <c r="D62" i="11"/>
  <c r="C62" i="11"/>
  <c r="A62" i="11"/>
  <c r="J61" i="11"/>
  <c r="G61" i="11"/>
  <c r="F61" i="11"/>
  <c r="E61" i="11"/>
  <c r="D61" i="11"/>
  <c r="C61" i="11"/>
  <c r="A61" i="11"/>
  <c r="N61" i="11" s="1"/>
  <c r="J60" i="11"/>
  <c r="G60" i="11"/>
  <c r="F60" i="11"/>
  <c r="E60" i="11"/>
  <c r="D60" i="11"/>
  <c r="C60" i="11"/>
  <c r="A60" i="11"/>
  <c r="N60" i="11" s="1"/>
  <c r="L60" i="11" s="1" a="1"/>
  <c r="L60" i="11" s="1"/>
  <c r="J59" i="11"/>
  <c r="G59" i="11"/>
  <c r="F59" i="11"/>
  <c r="E59" i="11"/>
  <c r="D59" i="11"/>
  <c r="C59" i="11"/>
  <c r="A59" i="11"/>
  <c r="N59" i="11" s="1"/>
  <c r="H59" i="11" s="1" a="1"/>
  <c r="H59" i="11" s="1"/>
  <c r="J58" i="11"/>
  <c r="G58" i="11"/>
  <c r="F58" i="11"/>
  <c r="E58" i="11"/>
  <c r="D58" i="11"/>
  <c r="C58" i="11"/>
  <c r="A58" i="11"/>
  <c r="N58" i="11" s="1"/>
  <c r="J57" i="11"/>
  <c r="G57" i="11"/>
  <c r="F57" i="11"/>
  <c r="E57" i="11"/>
  <c r="D57" i="11"/>
  <c r="C57" i="11"/>
  <c r="B57" i="11" s="1"/>
  <c r="A57" i="11"/>
  <c r="N57" i="11" s="1"/>
  <c r="J56" i="11"/>
  <c r="G56" i="11"/>
  <c r="F56" i="11"/>
  <c r="E56" i="11"/>
  <c r="D56" i="11"/>
  <c r="C56" i="11"/>
  <c r="A56" i="11"/>
  <c r="N56" i="11" s="1"/>
  <c r="J55" i="11"/>
  <c r="G55" i="11"/>
  <c r="F55" i="11"/>
  <c r="E55" i="11"/>
  <c r="D55" i="11"/>
  <c r="C55" i="11"/>
  <c r="A55" i="11"/>
  <c r="N55" i="11" s="1"/>
  <c r="J54" i="11"/>
  <c r="G54" i="11"/>
  <c r="F54" i="11"/>
  <c r="E54" i="11"/>
  <c r="D54" i="11"/>
  <c r="C54" i="11"/>
  <c r="A54" i="11"/>
  <c r="N54" i="11" s="1"/>
  <c r="J53" i="11"/>
  <c r="G53" i="11"/>
  <c r="F53" i="11"/>
  <c r="E53" i="11"/>
  <c r="B53" i="11" s="1"/>
  <c r="D53" i="11"/>
  <c r="C53" i="11"/>
  <c r="A53" i="11"/>
  <c r="N53" i="11" s="1"/>
  <c r="J52" i="11"/>
  <c r="G52" i="11"/>
  <c r="F52" i="11"/>
  <c r="E52" i="11"/>
  <c r="D52" i="11"/>
  <c r="C52" i="11"/>
  <c r="A52" i="11"/>
  <c r="N52" i="11" s="1"/>
  <c r="J51" i="11"/>
  <c r="G51" i="11"/>
  <c r="F51" i="11"/>
  <c r="E51" i="11"/>
  <c r="D51" i="11"/>
  <c r="C51" i="11"/>
  <c r="B51" i="11" s="1"/>
  <c r="A51" i="11"/>
  <c r="N51" i="11" s="1"/>
  <c r="J50" i="11"/>
  <c r="G50" i="11"/>
  <c r="F50" i="11"/>
  <c r="E50" i="11"/>
  <c r="D50" i="11"/>
  <c r="C50" i="11"/>
  <c r="B50" i="11" s="1"/>
  <c r="A50" i="11"/>
  <c r="N50" i="11" s="1"/>
  <c r="J49" i="11"/>
  <c r="G49" i="11"/>
  <c r="F49" i="11"/>
  <c r="E49" i="11"/>
  <c r="D49" i="11"/>
  <c r="C49" i="11"/>
  <c r="A49" i="11"/>
  <c r="N49" i="11" s="1"/>
  <c r="J48" i="11"/>
  <c r="G48" i="11"/>
  <c r="F48" i="11"/>
  <c r="E48" i="11"/>
  <c r="D48" i="11"/>
  <c r="C48" i="11"/>
  <c r="B48" i="11" s="1"/>
  <c r="A48" i="11"/>
  <c r="N48" i="11" s="1"/>
  <c r="J47" i="11"/>
  <c r="G47" i="11"/>
  <c r="F47" i="11"/>
  <c r="E47" i="11"/>
  <c r="D47" i="11"/>
  <c r="C47" i="11"/>
  <c r="B47" i="11" s="1"/>
  <c r="A47" i="11"/>
  <c r="N47" i="11" s="1"/>
  <c r="J46" i="11"/>
  <c r="G46" i="11"/>
  <c r="F46" i="11"/>
  <c r="E46" i="11"/>
  <c r="D46" i="11"/>
  <c r="C46" i="11"/>
  <c r="A46" i="11"/>
  <c r="N46" i="11" s="1"/>
  <c r="J45" i="11"/>
  <c r="G45" i="11"/>
  <c r="F45" i="11"/>
  <c r="E45" i="11"/>
  <c r="D45" i="11"/>
  <c r="C45" i="11"/>
  <c r="A45" i="11"/>
  <c r="N45" i="11" s="1"/>
  <c r="J44" i="11"/>
  <c r="G44" i="11"/>
  <c r="F44" i="11"/>
  <c r="E44" i="11"/>
  <c r="D44" i="11"/>
  <c r="C44" i="11"/>
  <c r="A44" i="11"/>
  <c r="N44" i="11" s="1"/>
  <c r="J43" i="11"/>
  <c r="G43" i="11"/>
  <c r="F43" i="11"/>
  <c r="E43" i="11"/>
  <c r="D43" i="11"/>
  <c r="C43" i="11"/>
  <c r="A43" i="11"/>
  <c r="N43" i="11" s="1"/>
  <c r="J42" i="11"/>
  <c r="G42" i="11"/>
  <c r="F42" i="11"/>
  <c r="E42" i="11"/>
  <c r="D42" i="11"/>
  <c r="C42" i="11"/>
  <c r="A42" i="11"/>
  <c r="N42" i="11" s="1"/>
  <c r="J41" i="11"/>
  <c r="G41" i="11"/>
  <c r="F41" i="11"/>
  <c r="E41" i="11"/>
  <c r="D41" i="11"/>
  <c r="C41" i="11"/>
  <c r="A41" i="11"/>
  <c r="N41" i="11" s="1"/>
  <c r="J40" i="11"/>
  <c r="G40" i="11"/>
  <c r="F40" i="11"/>
  <c r="E40" i="11"/>
  <c r="D40" i="11"/>
  <c r="C40" i="11"/>
  <c r="A40" i="11"/>
  <c r="N40" i="11" s="1"/>
  <c r="J39" i="11"/>
  <c r="G39" i="11"/>
  <c r="F39" i="11"/>
  <c r="E39" i="11"/>
  <c r="D39" i="11"/>
  <c r="C39" i="11"/>
  <c r="B39" i="11" s="1"/>
  <c r="A39" i="11"/>
  <c r="N39" i="11" s="1"/>
  <c r="J38" i="11"/>
  <c r="G38" i="11"/>
  <c r="F38" i="11"/>
  <c r="E38" i="11"/>
  <c r="D38" i="11"/>
  <c r="C38" i="11"/>
  <c r="B38" i="11" s="1"/>
  <c r="A38" i="11"/>
  <c r="N38" i="11" s="1"/>
  <c r="J37" i="11"/>
  <c r="G37" i="11"/>
  <c r="F37" i="11"/>
  <c r="E37" i="11"/>
  <c r="D37" i="11"/>
  <c r="C37" i="11"/>
  <c r="B37" i="11" s="1"/>
  <c r="A37" i="11"/>
  <c r="N37" i="11" s="1"/>
  <c r="L37" i="11" s="1" a="1"/>
  <c r="L37" i="11" s="1"/>
  <c r="J36" i="11"/>
  <c r="G36" i="11"/>
  <c r="F36" i="11"/>
  <c r="E36" i="11"/>
  <c r="D36" i="11"/>
  <c r="C36" i="11"/>
  <c r="A36" i="11"/>
  <c r="N36" i="11" s="1"/>
  <c r="J35" i="11"/>
  <c r="G35" i="11"/>
  <c r="F35" i="11"/>
  <c r="E35" i="11"/>
  <c r="D35" i="11"/>
  <c r="C35" i="11"/>
  <c r="A35" i="11"/>
  <c r="N35" i="11" s="1"/>
  <c r="J34" i="11"/>
  <c r="G34" i="11"/>
  <c r="F34" i="11"/>
  <c r="E34" i="11"/>
  <c r="D34" i="11"/>
  <c r="C34" i="11"/>
  <c r="B34" i="11"/>
  <c r="A34" i="11"/>
  <c r="N34" i="11" s="1"/>
  <c r="J33" i="11"/>
  <c r="G33" i="11"/>
  <c r="F33" i="11"/>
  <c r="E33" i="11"/>
  <c r="D33" i="11"/>
  <c r="C33" i="11"/>
  <c r="A33" i="11"/>
  <c r="N33" i="11" s="1"/>
  <c r="L33" i="11" s="1" a="1"/>
  <c r="L33" i="11" s="1"/>
  <c r="J32" i="11"/>
  <c r="G32" i="11"/>
  <c r="F32" i="11"/>
  <c r="E32" i="11"/>
  <c r="D32" i="11"/>
  <c r="C32" i="11"/>
  <c r="B32" i="11"/>
  <c r="A32" i="11"/>
  <c r="N32" i="11" s="1"/>
  <c r="J31" i="11"/>
  <c r="G31" i="11"/>
  <c r="F31" i="11"/>
  <c r="E31" i="11"/>
  <c r="D31" i="11"/>
  <c r="C31" i="11"/>
  <c r="A31" i="11"/>
  <c r="N31" i="11" s="1"/>
  <c r="J30" i="11"/>
  <c r="G30" i="11"/>
  <c r="F30" i="11"/>
  <c r="E30" i="11"/>
  <c r="D30" i="11"/>
  <c r="C30" i="11"/>
  <c r="B30" i="11" s="1"/>
  <c r="A30" i="11"/>
  <c r="N30" i="11" s="1"/>
  <c r="J29" i="11"/>
  <c r="G29" i="11"/>
  <c r="F29" i="11"/>
  <c r="E29" i="11"/>
  <c r="D29" i="11"/>
  <c r="C29" i="11"/>
  <c r="A29" i="11"/>
  <c r="N29" i="11" s="1"/>
  <c r="J28" i="11"/>
  <c r="G28" i="11"/>
  <c r="F28" i="11"/>
  <c r="E28" i="11"/>
  <c r="D28" i="11"/>
  <c r="C28" i="11"/>
  <c r="B28" i="11" s="1"/>
  <c r="A28" i="11"/>
  <c r="N28" i="11" s="1"/>
  <c r="N27" i="11"/>
  <c r="J27" i="11"/>
  <c r="G27" i="11"/>
  <c r="F27" i="11"/>
  <c r="E27" i="11"/>
  <c r="D27" i="11"/>
  <c r="C27" i="11"/>
  <c r="A27" i="11"/>
  <c r="J26" i="11"/>
  <c r="G26" i="11"/>
  <c r="F26" i="11"/>
  <c r="E26" i="11"/>
  <c r="D26" i="11"/>
  <c r="C26" i="11"/>
  <c r="B26" i="11" s="1"/>
  <c r="A26" i="11"/>
  <c r="N26" i="11" s="1"/>
  <c r="N25" i="11"/>
  <c r="J25" i="11"/>
  <c r="G25" i="11"/>
  <c r="F25" i="11"/>
  <c r="L25" i="11" s="1" a="1"/>
  <c r="L25" i="11" s="1"/>
  <c r="E25" i="11"/>
  <c r="D25" i="11"/>
  <c r="C25" i="11"/>
  <c r="A25" i="11"/>
  <c r="J24" i="11"/>
  <c r="G24" i="11"/>
  <c r="F24" i="11"/>
  <c r="E24" i="11"/>
  <c r="D24" i="11"/>
  <c r="C24" i="11"/>
  <c r="A24" i="11"/>
  <c r="N24" i="11" s="1"/>
  <c r="L24" i="11" s="1" a="1"/>
  <c r="L24" i="11" s="1"/>
  <c r="J23" i="11"/>
  <c r="G23" i="11"/>
  <c r="F23" i="11"/>
  <c r="E23" i="11"/>
  <c r="D23" i="11"/>
  <c r="C23" i="11"/>
  <c r="A23" i="11"/>
  <c r="N23" i="11" s="1"/>
  <c r="J22" i="11"/>
  <c r="G22" i="11"/>
  <c r="F22" i="11"/>
  <c r="E22" i="11"/>
  <c r="D22" i="11"/>
  <c r="C22" i="11"/>
  <c r="B22" i="11" s="1"/>
  <c r="A22" i="11"/>
  <c r="N22" i="11" s="1"/>
  <c r="J21" i="11"/>
  <c r="G21" i="11"/>
  <c r="F21" i="11"/>
  <c r="E21" i="11"/>
  <c r="D21" i="11"/>
  <c r="C21" i="11"/>
  <c r="H21" i="11" s="1" a="1"/>
  <c r="H21" i="11" s="1"/>
  <c r="B21" i="11"/>
  <c r="A21" i="11"/>
  <c r="N21" i="11" s="1"/>
  <c r="J20" i="11"/>
  <c r="G20" i="11"/>
  <c r="F20" i="11"/>
  <c r="E20" i="11"/>
  <c r="D20" i="11"/>
  <c r="C20" i="11"/>
  <c r="A20" i="11"/>
  <c r="N20" i="11" s="1"/>
  <c r="H20" i="11" s="1" a="1"/>
  <c r="H20" i="11" s="1"/>
  <c r="J19" i="11"/>
  <c r="G19" i="11"/>
  <c r="F19" i="11"/>
  <c r="E19" i="11"/>
  <c r="D19" i="11"/>
  <c r="C19" i="11"/>
  <c r="A19" i="11"/>
  <c r="N19" i="11" s="1"/>
  <c r="N18" i="11"/>
  <c r="J18" i="11"/>
  <c r="G18" i="11"/>
  <c r="F18" i="11"/>
  <c r="E18" i="11"/>
  <c r="D18" i="11"/>
  <c r="C18" i="11"/>
  <c r="A18" i="11"/>
  <c r="J17" i="11"/>
  <c r="G17" i="11"/>
  <c r="F17" i="11"/>
  <c r="E17" i="11"/>
  <c r="D17" i="11"/>
  <c r="C17" i="11"/>
  <c r="A17" i="11"/>
  <c r="N17" i="11" s="1"/>
  <c r="N16" i="11"/>
  <c r="J16" i="11"/>
  <c r="G16" i="11"/>
  <c r="F16" i="11"/>
  <c r="E16" i="11"/>
  <c r="D16" i="11"/>
  <c r="C16" i="11"/>
  <c r="B16" i="11" s="1"/>
  <c r="A16" i="11"/>
  <c r="J15" i="11"/>
  <c r="G15" i="11"/>
  <c r="F15" i="11"/>
  <c r="E15" i="11"/>
  <c r="D15" i="11"/>
  <c r="C15" i="11"/>
  <c r="A15" i="11"/>
  <c r="N15" i="11" s="1"/>
  <c r="J14" i="11"/>
  <c r="G14" i="11"/>
  <c r="F14" i="11"/>
  <c r="E14" i="11"/>
  <c r="D14" i="11"/>
  <c r="C14" i="11"/>
  <c r="A14" i="11"/>
  <c r="N14" i="11" s="1"/>
  <c r="J13" i="11"/>
  <c r="G13" i="11"/>
  <c r="F13" i="11"/>
  <c r="E13" i="11"/>
  <c r="D13" i="11"/>
  <c r="C13" i="11"/>
  <c r="B13" i="11" s="1"/>
  <c r="A13" i="11"/>
  <c r="N13" i="11" s="1"/>
  <c r="J12" i="11"/>
  <c r="G12" i="11"/>
  <c r="F12" i="11"/>
  <c r="E12" i="11"/>
  <c r="D12" i="11"/>
  <c r="C12" i="11"/>
  <c r="A12" i="11"/>
  <c r="N12" i="11" s="1"/>
  <c r="J11" i="11"/>
  <c r="G11" i="11"/>
  <c r="F11" i="11"/>
  <c r="E11" i="11"/>
  <c r="D11" i="11"/>
  <c r="C11" i="11"/>
  <c r="B11" i="11"/>
  <c r="A11" i="11"/>
  <c r="N11" i="11" s="1"/>
  <c r="J10" i="11"/>
  <c r="G10" i="11"/>
  <c r="F10" i="11"/>
  <c r="E10" i="11"/>
  <c r="D10" i="11"/>
  <c r="C10" i="11"/>
  <c r="A10" i="11"/>
  <c r="N10" i="11" s="1"/>
  <c r="J9" i="11"/>
  <c r="G9" i="11"/>
  <c r="F9" i="11"/>
  <c r="E9" i="11"/>
  <c r="D9" i="11"/>
  <c r="C9" i="11"/>
  <c r="A9" i="11"/>
  <c r="N9" i="11" s="1"/>
  <c r="N8" i="11"/>
  <c r="J8" i="11"/>
  <c r="G8" i="11"/>
  <c r="F8" i="11"/>
  <c r="E8" i="11"/>
  <c r="D8" i="11"/>
  <c r="C8" i="11"/>
  <c r="A8" i="11"/>
  <c r="J7" i="11"/>
  <c r="G7" i="11"/>
  <c r="F7" i="11"/>
  <c r="E7" i="11"/>
  <c r="D7" i="11"/>
  <c r="C7" i="11"/>
  <c r="A7" i="11"/>
  <c r="N7" i="11" s="1"/>
  <c r="J6" i="11"/>
  <c r="G6" i="11"/>
  <c r="F6" i="11"/>
  <c r="E6" i="11"/>
  <c r="D6" i="11"/>
  <c r="C6" i="11"/>
  <c r="A6" i="11"/>
  <c r="N6" i="11" s="1"/>
  <c r="J5" i="11"/>
  <c r="G5" i="11"/>
  <c r="F5" i="11"/>
  <c r="E5" i="11"/>
  <c r="D5" i="11"/>
  <c r="C5" i="11"/>
  <c r="A5" i="11"/>
  <c r="N5" i="11" s="1"/>
  <c r="L5" i="11" s="1" a="1"/>
  <c r="L5" i="11" s="1"/>
  <c r="J4" i="11"/>
  <c r="G4" i="11"/>
  <c r="F4" i="11"/>
  <c r="E4" i="11"/>
  <c r="D4" i="11"/>
  <c r="C4" i="11"/>
  <c r="A4" i="11"/>
  <c r="N4" i="11" s="1"/>
  <c r="H4" i="11" s="1" a="1"/>
  <c r="H4" i="11" s="1"/>
  <c r="J3" i="11"/>
  <c r="G3" i="11"/>
  <c r="F3" i="11"/>
  <c r="E3" i="11"/>
  <c r="D3" i="11"/>
  <c r="B3" i="11" s="1"/>
  <c r="C3" i="11"/>
  <c r="A3" i="11"/>
  <c r="N3" i="11" s="1"/>
  <c r="J2" i="11"/>
  <c r="G2" i="11"/>
  <c r="F2" i="11"/>
  <c r="E2" i="11"/>
  <c r="D2" i="11"/>
  <c r="C2" i="11"/>
  <c r="A2" i="11"/>
  <c r="N2" i="11" s="1"/>
  <c r="A91" i="10"/>
  <c r="A90" i="10"/>
  <c r="A89" i="10"/>
  <c r="A88" i="10"/>
  <c r="A87" i="10"/>
  <c r="A86" i="10"/>
  <c r="A85" i="10"/>
  <c r="A84" i="10"/>
  <c r="A83" i="10"/>
  <c r="A82" i="10"/>
  <c r="A81" i="10"/>
  <c r="B81" i="10" s="1" a="1"/>
  <c r="B81" i="10" s="1"/>
  <c r="A80" i="10"/>
  <c r="A79" i="10"/>
  <c r="A78" i="10"/>
  <c r="A77" i="10"/>
  <c r="A76" i="10"/>
  <c r="A75" i="10"/>
  <c r="A74" i="10"/>
  <c r="A73" i="10"/>
  <c r="A72" i="10"/>
  <c r="A71" i="10"/>
  <c r="A70" i="10"/>
  <c r="A69" i="10"/>
  <c r="A68" i="10"/>
  <c r="A67" i="10"/>
  <c r="A66" i="10"/>
  <c r="A65" i="10"/>
  <c r="A64" i="10"/>
  <c r="A63" i="10"/>
  <c r="A62" i="10"/>
  <c r="A61" i="10"/>
  <c r="A60" i="10"/>
  <c r="A59" i="10"/>
  <c r="A58" i="10"/>
  <c r="A57" i="10"/>
  <c r="A56" i="10"/>
  <c r="A55" i="10"/>
  <c r="A54" i="10"/>
  <c r="A53" i="10"/>
  <c r="A52" i="10"/>
  <c r="A51" i="10"/>
  <c r="A50" i="10"/>
  <c r="A49" i="10"/>
  <c r="A48" i="10"/>
  <c r="A47" i="10"/>
  <c r="A46" i="10"/>
  <c r="A45" i="10"/>
  <c r="A44" i="10"/>
  <c r="A43" i="10"/>
  <c r="A42" i="10"/>
  <c r="A41" i="10"/>
  <c r="A40" i="10"/>
  <c r="A39" i="10"/>
  <c r="A38" i="10"/>
  <c r="A37" i="10"/>
  <c r="B37" i="10" s="1" a="1"/>
  <c r="B37" i="10" s="1"/>
  <c r="A36" i="10"/>
  <c r="A35" i="10"/>
  <c r="A34" i="10"/>
  <c r="A33" i="10"/>
  <c r="A32" i="10"/>
  <c r="A31" i="10"/>
  <c r="A30" i="10"/>
  <c r="A29" i="10"/>
  <c r="A28" i="10"/>
  <c r="B28" i="10" s="1" a="1"/>
  <c r="B28" i="10" s="1"/>
  <c r="A27" i="10"/>
  <c r="A26" i="10"/>
  <c r="A25" i="10"/>
  <c r="A24" i="10"/>
  <c r="A23" i="10"/>
  <c r="A22" i="10"/>
  <c r="A21" i="10"/>
  <c r="A20" i="10"/>
  <c r="A19" i="10"/>
  <c r="A18" i="10"/>
  <c r="A17" i="10"/>
  <c r="A16" i="10"/>
  <c r="A15" i="10"/>
  <c r="A14" i="10"/>
  <c r="A13" i="10"/>
  <c r="A12" i="10"/>
  <c r="A11" i="10"/>
  <c r="A10" i="10"/>
  <c r="A9" i="10"/>
  <c r="A8" i="10"/>
  <c r="A7" i="10"/>
  <c r="A6" i="10"/>
  <c r="A5" i="10"/>
  <c r="A4" i="10"/>
  <c r="A3" i="10"/>
  <c r="G8" i="9"/>
  <c r="G7" i="9"/>
  <c r="G6" i="9"/>
  <c r="G5" i="9"/>
  <c r="G4" i="9"/>
  <c r="G3" i="9"/>
  <c r="G2" i="9"/>
  <c r="G8" i="8"/>
  <c r="G7" i="8"/>
  <c r="G6" i="8"/>
  <c r="G5" i="8"/>
  <c r="G4" i="8"/>
  <c r="G3" i="8"/>
  <c r="G2" i="8"/>
  <c r="H131" i="7"/>
  <c r="G131" i="7"/>
  <c r="H130" i="7"/>
  <c r="G130" i="7"/>
  <c r="H129" i="7"/>
  <c r="G129" i="7"/>
  <c r="H128" i="7"/>
  <c r="G128" i="7"/>
  <c r="H127" i="7"/>
  <c r="G127" i="7"/>
  <c r="H126" i="7"/>
  <c r="G126" i="7"/>
  <c r="H125" i="7"/>
  <c r="G125" i="7"/>
  <c r="H124" i="7"/>
  <c r="G124" i="7"/>
  <c r="H123" i="7"/>
  <c r="G123" i="7"/>
  <c r="H122" i="7"/>
  <c r="G122" i="7"/>
  <c r="H121" i="7"/>
  <c r="G121" i="7"/>
  <c r="G120" i="7"/>
  <c r="E120" i="7"/>
  <c r="H120" i="7" s="1"/>
  <c r="H119" i="7"/>
  <c r="G119" i="7"/>
  <c r="E119" i="7"/>
  <c r="B119" i="7"/>
  <c r="A119" i="7"/>
  <c r="G118" i="7"/>
  <c r="E118" i="7"/>
  <c r="H118" i="7" s="1"/>
  <c r="B118" i="7"/>
  <c r="A118" i="7"/>
  <c r="G117" i="7"/>
  <c r="E117" i="7"/>
  <c r="H117" i="7" s="1"/>
  <c r="B117" i="7"/>
  <c r="A117" i="7"/>
  <c r="G116" i="7"/>
  <c r="E116" i="7"/>
  <c r="H116" i="7" s="1"/>
  <c r="B116" i="7"/>
  <c r="A116" i="7"/>
  <c r="H115" i="7"/>
  <c r="G115" i="7"/>
  <c r="E115" i="7"/>
  <c r="B115" i="7"/>
  <c r="A115" i="7"/>
  <c r="H114" i="7"/>
  <c r="G114" i="7"/>
  <c r="H113" i="7"/>
  <c r="G113" i="7"/>
  <c r="H112" i="7"/>
  <c r="G112" i="7"/>
  <c r="H111" i="7"/>
  <c r="G111" i="7"/>
  <c r="H110" i="7"/>
  <c r="G110" i="7"/>
  <c r="H109" i="7"/>
  <c r="G109" i="7"/>
  <c r="N108" i="7"/>
  <c r="M108" i="7"/>
  <c r="H108" i="7"/>
  <c r="G108" i="7"/>
  <c r="N107" i="7"/>
  <c r="M107" i="7"/>
  <c r="H107" i="7"/>
  <c r="G107" i="7"/>
  <c r="N106" i="7"/>
  <c r="M106" i="7"/>
  <c r="H106" i="7"/>
  <c r="G106" i="7"/>
  <c r="N105" i="7"/>
  <c r="M105" i="7"/>
  <c r="H105" i="7"/>
  <c r="G105" i="7"/>
  <c r="N104" i="7"/>
  <c r="M104" i="7"/>
  <c r="H104" i="7"/>
  <c r="G104" i="7"/>
  <c r="N103" i="7"/>
  <c r="M103" i="7"/>
  <c r="H103" i="7"/>
  <c r="G103" i="7"/>
  <c r="N102" i="7"/>
  <c r="M102" i="7"/>
  <c r="H102" i="7"/>
  <c r="G102" i="7"/>
  <c r="N101" i="7"/>
  <c r="M101" i="7"/>
  <c r="H101" i="7"/>
  <c r="G101" i="7"/>
  <c r="N100" i="7"/>
  <c r="K100" i="7"/>
  <c r="J100" i="7"/>
  <c r="L100" i="7" s="1"/>
  <c r="H100" i="7"/>
  <c r="D100" i="7"/>
  <c r="M100" i="7" s="1"/>
  <c r="N99" i="7"/>
  <c r="K99" i="7"/>
  <c r="J99" i="7"/>
  <c r="L99" i="7" s="1"/>
  <c r="H99" i="7"/>
  <c r="G99" i="7"/>
  <c r="D99" i="7"/>
  <c r="M99" i="7" s="1"/>
  <c r="N98" i="7"/>
  <c r="M98" i="7"/>
  <c r="K98" i="7"/>
  <c r="J98" i="7"/>
  <c r="L98" i="7" s="1"/>
  <c r="H98" i="7"/>
  <c r="G98" i="7"/>
  <c r="D98" i="7"/>
  <c r="N97" i="7"/>
  <c r="K97" i="7"/>
  <c r="J97" i="7"/>
  <c r="L97" i="7" s="1"/>
  <c r="H97" i="7"/>
  <c r="D97" i="7"/>
  <c r="M97" i="7" s="1"/>
  <c r="N96" i="7"/>
  <c r="K96" i="7"/>
  <c r="J96" i="7"/>
  <c r="L96" i="7" s="1"/>
  <c r="H96" i="7"/>
  <c r="D96" i="7"/>
  <c r="N95" i="7"/>
  <c r="K95" i="7"/>
  <c r="J95" i="7"/>
  <c r="L95" i="7" s="1"/>
  <c r="H95" i="7"/>
  <c r="G95" i="7"/>
  <c r="D95" i="7"/>
  <c r="M95" i="7" s="1"/>
  <c r="N94" i="7"/>
  <c r="M94" i="7"/>
  <c r="K94" i="7"/>
  <c r="J94" i="7"/>
  <c r="L94" i="7" s="1"/>
  <c r="H94" i="7"/>
  <c r="D94" i="7"/>
  <c r="G94" i="7" s="1"/>
  <c r="N93" i="7"/>
  <c r="K93" i="7"/>
  <c r="J93" i="7"/>
  <c r="L93" i="7" s="1"/>
  <c r="H93" i="7"/>
  <c r="D93" i="7"/>
  <c r="M93" i="7" s="1"/>
  <c r="N92" i="7"/>
  <c r="M92" i="7"/>
  <c r="K92" i="7"/>
  <c r="J92" i="7"/>
  <c r="L92" i="7" s="1"/>
  <c r="H92" i="7"/>
  <c r="G92" i="7"/>
  <c r="D92" i="7"/>
  <c r="N91" i="7"/>
  <c r="K91" i="7"/>
  <c r="J91" i="7"/>
  <c r="L91" i="7" s="1"/>
  <c r="H91" i="7"/>
  <c r="D91" i="7"/>
  <c r="M91" i="7" s="1"/>
  <c r="N90" i="7"/>
  <c r="M90" i="7"/>
  <c r="K90" i="7"/>
  <c r="J90" i="7"/>
  <c r="L90" i="7" s="1"/>
  <c r="H90" i="7"/>
  <c r="G90" i="7"/>
  <c r="N89" i="7"/>
  <c r="L89" i="7"/>
  <c r="K89" i="7"/>
  <c r="J89" i="7"/>
  <c r="H89" i="7"/>
  <c r="D89" i="7"/>
  <c r="M89" i="7" s="1"/>
  <c r="N88" i="7"/>
  <c r="M88" i="7"/>
  <c r="H88" i="7"/>
  <c r="G88" i="7"/>
  <c r="N87" i="7"/>
  <c r="M87" i="7"/>
  <c r="H87" i="7"/>
  <c r="G87" i="7"/>
  <c r="N86" i="7"/>
  <c r="M86" i="7"/>
  <c r="H86" i="7"/>
  <c r="G86" i="7"/>
  <c r="N85" i="7"/>
  <c r="M85" i="7"/>
  <c r="H85" i="7"/>
  <c r="G85" i="7"/>
  <c r="N84" i="7"/>
  <c r="M84" i="7"/>
  <c r="H84" i="7"/>
  <c r="G84" i="7"/>
  <c r="N83" i="7"/>
  <c r="M83" i="7"/>
  <c r="H83" i="7"/>
  <c r="G83" i="7"/>
  <c r="N82" i="7"/>
  <c r="M82" i="7"/>
  <c r="H82" i="7"/>
  <c r="G82" i="7"/>
  <c r="N81" i="7"/>
  <c r="M81" i="7"/>
  <c r="H81" i="7"/>
  <c r="G81" i="7"/>
  <c r="N80" i="7"/>
  <c r="M80" i="7"/>
  <c r="H80" i="7"/>
  <c r="G80" i="7"/>
  <c r="N79" i="7"/>
  <c r="L79" i="7"/>
  <c r="K79" i="7"/>
  <c r="J79" i="7"/>
  <c r="H79" i="7"/>
  <c r="D79" i="7"/>
  <c r="N78" i="7"/>
  <c r="M78" i="7"/>
  <c r="K78" i="7"/>
  <c r="J78" i="7"/>
  <c r="L78" i="7" s="1"/>
  <c r="H78" i="7"/>
  <c r="G78" i="7"/>
  <c r="D78" i="7"/>
  <c r="N77" i="7"/>
  <c r="L77" i="7"/>
  <c r="K77" i="7"/>
  <c r="J77" i="7"/>
  <c r="H77" i="7"/>
  <c r="D77" i="7"/>
  <c r="N76" i="7"/>
  <c r="M76" i="7"/>
  <c r="L76" i="7"/>
  <c r="K76" i="7"/>
  <c r="J76" i="7"/>
  <c r="H76" i="7"/>
  <c r="G76" i="7"/>
  <c r="D76" i="7"/>
  <c r="N75" i="7"/>
  <c r="L75" i="7"/>
  <c r="K75" i="7"/>
  <c r="J75" i="7"/>
  <c r="H75" i="7"/>
  <c r="D75" i="7"/>
  <c r="G75" i="7" s="1"/>
  <c r="N74" i="7"/>
  <c r="M74" i="7"/>
  <c r="L74" i="7"/>
  <c r="K74" i="7"/>
  <c r="J74" i="7"/>
  <c r="H74" i="7"/>
  <c r="G74" i="7"/>
  <c r="D74" i="7"/>
  <c r="N73" i="7"/>
  <c r="M73" i="7"/>
  <c r="L73" i="7"/>
  <c r="K73" i="7"/>
  <c r="J73" i="7"/>
  <c r="H73" i="7"/>
  <c r="D73" i="7"/>
  <c r="G73" i="7" s="1"/>
  <c r="N72" i="7"/>
  <c r="M72" i="7"/>
  <c r="K72" i="7"/>
  <c r="J72" i="7"/>
  <c r="L72" i="7" s="1"/>
  <c r="H72" i="7"/>
  <c r="G72" i="7"/>
  <c r="D72" i="7"/>
  <c r="N71" i="7"/>
  <c r="M71" i="7"/>
  <c r="L71" i="7"/>
  <c r="K71" i="7"/>
  <c r="J71" i="7"/>
  <c r="H71" i="7"/>
  <c r="D71" i="7"/>
  <c r="G71" i="7" s="1"/>
  <c r="N70" i="7"/>
  <c r="M70" i="7"/>
  <c r="K70" i="7"/>
  <c r="J70" i="7"/>
  <c r="L70" i="7" s="1"/>
  <c r="H70" i="7"/>
  <c r="G70" i="7"/>
  <c r="D70" i="7"/>
  <c r="N69" i="7"/>
  <c r="M69" i="7"/>
  <c r="L69" i="7"/>
  <c r="K69" i="7"/>
  <c r="J69" i="7"/>
  <c r="H69" i="7"/>
  <c r="G69" i="7"/>
  <c r="N68" i="7"/>
  <c r="K68" i="7"/>
  <c r="J68" i="7"/>
  <c r="L68" i="7" s="1"/>
  <c r="H68" i="7"/>
  <c r="G68" i="7"/>
  <c r="D68" i="7"/>
  <c r="M68" i="7" s="1"/>
  <c r="N67" i="7"/>
  <c r="M67" i="7"/>
  <c r="L67" i="7"/>
  <c r="K67" i="7"/>
  <c r="J67" i="7"/>
  <c r="H67" i="7"/>
  <c r="D67" i="7"/>
  <c r="G67" i="7" s="1"/>
  <c r="N66" i="7"/>
  <c r="K66" i="7"/>
  <c r="J66" i="7"/>
  <c r="L66" i="7" s="1"/>
  <c r="H66" i="7"/>
  <c r="D66" i="7"/>
  <c r="M66" i="7" s="1"/>
  <c r="N65" i="7"/>
  <c r="M65" i="7"/>
  <c r="L65" i="7"/>
  <c r="K65" i="7"/>
  <c r="J65" i="7"/>
  <c r="H65" i="7"/>
  <c r="D65" i="7"/>
  <c r="G65" i="7" s="1"/>
  <c r="N64" i="7"/>
  <c r="K64" i="7"/>
  <c r="J64" i="7"/>
  <c r="L64" i="7" s="1"/>
  <c r="H64" i="7"/>
  <c r="D64" i="7"/>
  <c r="M64" i="7" s="1"/>
  <c r="N63" i="7"/>
  <c r="M63" i="7"/>
  <c r="L63" i="7"/>
  <c r="K63" i="7"/>
  <c r="J63" i="7"/>
  <c r="H63" i="7"/>
  <c r="D63" i="7"/>
  <c r="G63" i="7" s="1"/>
  <c r="N62" i="7"/>
  <c r="K62" i="7"/>
  <c r="J62" i="7"/>
  <c r="L62" i="7" s="1"/>
  <c r="H62" i="7"/>
  <c r="D62" i="7"/>
  <c r="M62" i="7" s="1"/>
  <c r="N61" i="7"/>
  <c r="M61" i="7"/>
  <c r="L61" i="7"/>
  <c r="K61" i="7"/>
  <c r="J61" i="7"/>
  <c r="H61" i="7"/>
  <c r="D61" i="7"/>
  <c r="G61" i="7" s="1"/>
  <c r="N60" i="7"/>
  <c r="K60" i="7"/>
  <c r="J60" i="7"/>
  <c r="L60" i="7" s="1"/>
  <c r="H60" i="7"/>
  <c r="G60" i="7"/>
  <c r="D60" i="7"/>
  <c r="M60" i="7" s="1"/>
  <c r="N59" i="7"/>
  <c r="M59" i="7"/>
  <c r="L59" i="7"/>
  <c r="K59" i="7"/>
  <c r="J59" i="7"/>
  <c r="H59" i="7"/>
  <c r="D59" i="7"/>
  <c r="G59" i="7" s="1"/>
  <c r="N58" i="7"/>
  <c r="K58" i="7"/>
  <c r="J58" i="7"/>
  <c r="L58" i="7" s="1"/>
  <c r="H58" i="7"/>
  <c r="D58" i="7"/>
  <c r="M58" i="7" s="1"/>
  <c r="N57" i="7"/>
  <c r="M57" i="7"/>
  <c r="L57" i="7"/>
  <c r="K57" i="7"/>
  <c r="J57" i="7"/>
  <c r="H57" i="7"/>
  <c r="G57" i="7"/>
  <c r="N56" i="7"/>
  <c r="K56" i="7"/>
  <c r="J56" i="7"/>
  <c r="L56" i="7" s="1"/>
  <c r="H56" i="7"/>
  <c r="G56" i="7"/>
  <c r="D56" i="7"/>
  <c r="M56" i="7" s="1"/>
  <c r="N55" i="7"/>
  <c r="M55" i="7"/>
  <c r="K55" i="7"/>
  <c r="J55" i="7"/>
  <c r="L55" i="7" s="1"/>
  <c r="H55" i="7"/>
  <c r="G55" i="7"/>
  <c r="D55" i="7"/>
  <c r="N54" i="7"/>
  <c r="K54" i="7"/>
  <c r="J54" i="7"/>
  <c r="L54" i="7" s="1"/>
  <c r="H54" i="7"/>
  <c r="D54" i="7"/>
  <c r="N53" i="7"/>
  <c r="M53" i="7"/>
  <c r="K53" i="7"/>
  <c r="J53" i="7"/>
  <c r="L53" i="7" s="1"/>
  <c r="H53" i="7"/>
  <c r="G53" i="7"/>
  <c r="D53" i="7"/>
  <c r="N52" i="7"/>
  <c r="K52" i="7"/>
  <c r="J52" i="7"/>
  <c r="L52" i="7" s="1"/>
  <c r="H52" i="7"/>
  <c r="G52" i="7"/>
  <c r="D52" i="7"/>
  <c r="M52" i="7" s="1"/>
  <c r="N51" i="7"/>
  <c r="M51" i="7"/>
  <c r="L51" i="7"/>
  <c r="K51" i="7"/>
  <c r="J51" i="7"/>
  <c r="H51" i="7"/>
  <c r="G51" i="7"/>
  <c r="D51" i="7"/>
  <c r="N50" i="7"/>
  <c r="M50" i="7"/>
  <c r="K50" i="7"/>
  <c r="J50" i="7"/>
  <c r="L50" i="7" s="1"/>
  <c r="H50" i="7"/>
  <c r="D50" i="7"/>
  <c r="G50" i="7" s="1"/>
  <c r="N49" i="7"/>
  <c r="M49" i="7"/>
  <c r="K49" i="7"/>
  <c r="J49" i="7"/>
  <c r="L49" i="7" s="1"/>
  <c r="H49" i="7"/>
  <c r="G49" i="7"/>
  <c r="D49" i="7"/>
  <c r="N48" i="7"/>
  <c r="M48" i="7"/>
  <c r="K48" i="7"/>
  <c r="J48" i="7"/>
  <c r="L48" i="7" s="1"/>
  <c r="H48" i="7"/>
  <c r="G48" i="7"/>
  <c r="D48" i="7"/>
  <c r="N47" i="7"/>
  <c r="M47" i="7"/>
  <c r="K47" i="7"/>
  <c r="J47" i="7"/>
  <c r="L47" i="7" s="1"/>
  <c r="H47" i="7"/>
  <c r="G47" i="7"/>
  <c r="D47" i="7"/>
  <c r="N46" i="7"/>
  <c r="M46" i="7"/>
  <c r="K46" i="7"/>
  <c r="J46" i="7"/>
  <c r="L46" i="7" s="1"/>
  <c r="H46" i="7"/>
  <c r="D46" i="7"/>
  <c r="G46" i="7" s="1"/>
  <c r="N45" i="7"/>
  <c r="M45" i="7"/>
  <c r="K45" i="7"/>
  <c r="J45" i="7"/>
  <c r="L45" i="7" s="1"/>
  <c r="H45" i="7"/>
  <c r="G45" i="7"/>
  <c r="N44" i="7"/>
  <c r="L44" i="7"/>
  <c r="K44" i="7"/>
  <c r="J44" i="7"/>
  <c r="H44" i="7"/>
  <c r="G44" i="7"/>
  <c r="D44" i="7"/>
  <c r="M44" i="7" s="1"/>
  <c r="N43" i="7"/>
  <c r="M43" i="7"/>
  <c r="K43" i="7"/>
  <c r="J43" i="7"/>
  <c r="L43" i="7" s="1"/>
  <c r="H43" i="7"/>
  <c r="D43" i="7"/>
  <c r="G43" i="7" s="1"/>
  <c r="N42" i="7"/>
  <c r="L42" i="7"/>
  <c r="K42" i="7"/>
  <c r="J42" i="7"/>
  <c r="H42" i="7"/>
  <c r="D42" i="7"/>
  <c r="N41" i="7"/>
  <c r="M41" i="7"/>
  <c r="L41" i="7"/>
  <c r="K41" i="7"/>
  <c r="J41" i="7"/>
  <c r="H41" i="7"/>
  <c r="D41" i="7"/>
  <c r="G41" i="7" s="1"/>
  <c r="N40" i="7"/>
  <c r="L40" i="7"/>
  <c r="K40" i="7"/>
  <c r="J40" i="7"/>
  <c r="H40" i="7"/>
  <c r="G40" i="7"/>
  <c r="D40" i="7"/>
  <c r="M40" i="7" s="1"/>
  <c r="N39" i="7"/>
  <c r="M39" i="7"/>
  <c r="K39" i="7"/>
  <c r="J39" i="7"/>
  <c r="A39" i="7" s="1"/>
  <c r="H39" i="7"/>
  <c r="G39" i="7"/>
  <c r="D39" i="7"/>
  <c r="N38" i="7"/>
  <c r="K38" i="7"/>
  <c r="J38" i="7"/>
  <c r="H38" i="7"/>
  <c r="D38" i="7"/>
  <c r="M38" i="7" s="1"/>
  <c r="A38" i="7"/>
  <c r="N37" i="7"/>
  <c r="M37" i="7"/>
  <c r="K37" i="7"/>
  <c r="J37" i="7"/>
  <c r="A37" i="7" s="1"/>
  <c r="H37" i="7"/>
  <c r="G37" i="7"/>
  <c r="D37" i="7"/>
  <c r="N36" i="7"/>
  <c r="K36" i="7"/>
  <c r="J36" i="7"/>
  <c r="H36" i="7"/>
  <c r="D36" i="7"/>
  <c r="M36" i="7" s="1"/>
  <c r="A36" i="7"/>
  <c r="N35" i="7"/>
  <c r="M35" i="7"/>
  <c r="K35" i="7"/>
  <c r="J35" i="7"/>
  <c r="A35" i="7" s="1"/>
  <c r="H35" i="7"/>
  <c r="G35" i="7"/>
  <c r="D35" i="7"/>
  <c r="N34" i="7"/>
  <c r="K34" i="7"/>
  <c r="J34" i="7"/>
  <c r="H34" i="7"/>
  <c r="G34" i="7"/>
  <c r="D34" i="7"/>
  <c r="M34" i="7" s="1"/>
  <c r="A34" i="7"/>
  <c r="N33" i="7"/>
  <c r="M33" i="7"/>
  <c r="K33" i="7"/>
  <c r="J33" i="7"/>
  <c r="A33" i="7" s="1"/>
  <c r="H33" i="7"/>
  <c r="G33" i="7"/>
  <c r="D33" i="7"/>
  <c r="N32" i="7"/>
  <c r="K32" i="7"/>
  <c r="J32" i="7"/>
  <c r="H32" i="7"/>
  <c r="G32" i="7"/>
  <c r="D32" i="7"/>
  <c r="M32" i="7" s="1"/>
  <c r="A32" i="7"/>
  <c r="N31" i="7"/>
  <c r="M31" i="7"/>
  <c r="K31" i="7"/>
  <c r="J31" i="7"/>
  <c r="A31" i="7" s="1"/>
  <c r="H31" i="7"/>
  <c r="G31" i="7"/>
  <c r="D31" i="7"/>
  <c r="N30" i="7"/>
  <c r="K30" i="7"/>
  <c r="J30" i="7"/>
  <c r="H30" i="7"/>
  <c r="D30" i="7"/>
  <c r="M30" i="7" s="1"/>
  <c r="A30" i="7"/>
  <c r="N29" i="7"/>
  <c r="M29" i="7"/>
  <c r="K29" i="7"/>
  <c r="J29" i="7"/>
  <c r="A29" i="7" s="1"/>
  <c r="H29" i="7"/>
  <c r="G29" i="7"/>
  <c r="N28" i="7"/>
  <c r="K28" i="7"/>
  <c r="J28" i="7"/>
  <c r="H28" i="7"/>
  <c r="D28" i="7"/>
  <c r="A28" i="7"/>
  <c r="N27" i="7"/>
  <c r="M27" i="7"/>
  <c r="H27" i="7"/>
  <c r="G27" i="7"/>
  <c r="D27" i="7"/>
  <c r="N26" i="7"/>
  <c r="H26" i="7"/>
  <c r="D26" i="7"/>
  <c r="M26" i="7" s="1"/>
  <c r="A26" i="7"/>
  <c r="N25" i="7"/>
  <c r="H25" i="7"/>
  <c r="G25" i="7"/>
  <c r="D25" i="7"/>
  <c r="M25" i="7" s="1"/>
  <c r="A25" i="7"/>
  <c r="N24" i="7"/>
  <c r="M24" i="7"/>
  <c r="H24" i="7"/>
  <c r="D24" i="7"/>
  <c r="G24" i="7" s="1"/>
  <c r="N23" i="7"/>
  <c r="H23" i="7"/>
  <c r="G23" i="7"/>
  <c r="D23" i="7"/>
  <c r="M23" i="7" s="1"/>
  <c r="A23" i="7"/>
  <c r="N22" i="7"/>
  <c r="L22" i="7"/>
  <c r="A27" i="7" s="1"/>
  <c r="H22" i="7"/>
  <c r="G22" i="7"/>
  <c r="D22" i="7"/>
  <c r="M22" i="7" s="1"/>
  <c r="A22" i="7"/>
  <c r="N21" i="7"/>
  <c r="M21" i="7"/>
  <c r="L21" i="7"/>
  <c r="H21" i="7"/>
  <c r="D21" i="7"/>
  <c r="G21" i="7" s="1"/>
  <c r="A21" i="7"/>
  <c r="N20" i="7"/>
  <c r="L20" i="7"/>
  <c r="H20" i="7"/>
  <c r="G20" i="7"/>
  <c r="D20" i="7"/>
  <c r="M20" i="7" s="1"/>
  <c r="N19" i="7"/>
  <c r="M19" i="7"/>
  <c r="L19" i="7"/>
  <c r="A24" i="7" s="1"/>
  <c r="H19" i="7"/>
  <c r="D19" i="7"/>
  <c r="G19" i="7" s="1"/>
  <c r="N18" i="7"/>
  <c r="L18" i="7"/>
  <c r="H18" i="7"/>
  <c r="D18" i="7"/>
  <c r="M18" i="7" s="1"/>
  <c r="A18" i="7"/>
  <c r="N17" i="7"/>
  <c r="M17" i="7"/>
  <c r="L17" i="7"/>
  <c r="H17" i="7"/>
  <c r="G17" i="7"/>
  <c r="N16" i="7"/>
  <c r="M16" i="7"/>
  <c r="L16" i="7"/>
  <c r="H16" i="7"/>
  <c r="G16" i="7"/>
  <c r="D16" i="7"/>
  <c r="A16" i="7"/>
  <c r="N15" i="7"/>
  <c r="L15" i="7"/>
  <c r="A20" i="7" s="1"/>
  <c r="P157" i="6" s="1" a="1"/>
  <c r="P157" i="6" s="1"/>
  <c r="Q157" i="6" s="1"/>
  <c r="H15" i="7"/>
  <c r="D15" i="7"/>
  <c r="N14" i="7"/>
  <c r="M14" i="7"/>
  <c r="L14" i="7"/>
  <c r="A19" i="7" s="1"/>
  <c r="H14" i="7"/>
  <c r="G14" i="7"/>
  <c r="D14" i="7"/>
  <c r="N13" i="7"/>
  <c r="L13" i="7"/>
  <c r="H13" i="7"/>
  <c r="D13" i="7"/>
  <c r="M13" i="7" s="1"/>
  <c r="N12" i="7"/>
  <c r="M12" i="7"/>
  <c r="L12" i="7"/>
  <c r="A17" i="7" s="1"/>
  <c r="H12" i="7"/>
  <c r="D12" i="7"/>
  <c r="G12" i="7" s="1"/>
  <c r="N11" i="7"/>
  <c r="L11" i="7"/>
  <c r="H11" i="7"/>
  <c r="D11" i="7"/>
  <c r="N10" i="7"/>
  <c r="H10" i="7"/>
  <c r="G10" i="7"/>
  <c r="D10" i="7"/>
  <c r="M10" i="7" s="1"/>
  <c r="N9" i="7"/>
  <c r="H9" i="7"/>
  <c r="D9" i="7"/>
  <c r="M9" i="7" s="1"/>
  <c r="N8" i="7"/>
  <c r="H8" i="7"/>
  <c r="D8" i="7"/>
  <c r="M8" i="7" s="1"/>
  <c r="N7" i="7"/>
  <c r="H7" i="7"/>
  <c r="G7" i="7"/>
  <c r="D7" i="7"/>
  <c r="M7" i="7" s="1"/>
  <c r="N6" i="7"/>
  <c r="H6" i="7"/>
  <c r="D6" i="7"/>
  <c r="M6" i="7" s="1"/>
  <c r="N5" i="7"/>
  <c r="M5" i="7"/>
  <c r="H5" i="7"/>
  <c r="G5" i="7"/>
  <c r="D5" i="7"/>
  <c r="N4" i="7"/>
  <c r="M4" i="7"/>
  <c r="H4" i="7"/>
  <c r="G4" i="7"/>
  <c r="N3" i="7"/>
  <c r="M3" i="7"/>
  <c r="H3" i="7"/>
  <c r="G3" i="7"/>
  <c r="N2" i="7"/>
  <c r="M2" i="7"/>
  <c r="H2" i="7"/>
  <c r="G2" i="7"/>
  <c r="M171" i="6"/>
  <c r="K171" i="6"/>
  <c r="A171" i="6"/>
  <c r="N170" i="6" a="1"/>
  <c r="N170" i="6" s="1"/>
  <c r="M170" i="6"/>
  <c r="K170" i="6"/>
  <c r="A170" i="6"/>
  <c r="K169" i="6"/>
  <c r="A169" i="6"/>
  <c r="K168" i="6"/>
  <c r="A168" i="6"/>
  <c r="M167" i="6"/>
  <c r="K167" i="6"/>
  <c r="A167" i="6"/>
  <c r="O166" i="6"/>
  <c r="K166" i="6"/>
  <c r="A166" i="6"/>
  <c r="O165" i="6"/>
  <c r="M165" i="6"/>
  <c r="K165" i="6"/>
  <c r="A165" i="6"/>
  <c r="O164" i="6"/>
  <c r="M164" i="6"/>
  <c r="K164" i="6"/>
  <c r="A164" i="6"/>
  <c r="O163" i="6"/>
  <c r="M163" i="6"/>
  <c r="K163" i="6"/>
  <c r="I58" i="1" s="1"/>
  <c r="A163" i="6"/>
  <c r="O162" i="6"/>
  <c r="V572" i="3" s="1" a="1"/>
  <c r="V572" i="3" s="1"/>
  <c r="M162" i="6"/>
  <c r="K162" i="6"/>
  <c r="A162" i="6"/>
  <c r="O161" i="6"/>
  <c r="M161" i="6"/>
  <c r="K161" i="6"/>
  <c r="A161" i="6"/>
  <c r="O160" i="6"/>
  <c r="M160" i="6"/>
  <c r="K160" i="6"/>
  <c r="A160" i="6"/>
  <c r="O159" i="6"/>
  <c r="N159" i="6" a="1"/>
  <c r="N159" i="6" s="1"/>
  <c r="M159" i="6"/>
  <c r="K159" i="6"/>
  <c r="A159" i="6"/>
  <c r="O158" i="6"/>
  <c r="M158" i="6"/>
  <c r="K158" i="6"/>
  <c r="A158" i="6"/>
  <c r="O157" i="6"/>
  <c r="K157" i="6"/>
  <c r="A157" i="6"/>
  <c r="O156" i="6"/>
  <c r="M156" i="6"/>
  <c r="K156" i="6"/>
  <c r="A156" i="6"/>
  <c r="O155" i="6"/>
  <c r="M155" i="6"/>
  <c r="K155" i="6"/>
  <c r="A155" i="6"/>
  <c r="O154" i="6"/>
  <c r="M154" i="6"/>
  <c r="K154" i="6"/>
  <c r="A154" i="6"/>
  <c r="O153" i="6"/>
  <c r="M153" i="6"/>
  <c r="K153" i="6"/>
  <c r="A153" i="6"/>
  <c r="O152" i="6"/>
  <c r="K152" i="6"/>
  <c r="A152" i="6"/>
  <c r="O151" i="6"/>
  <c r="K151" i="6"/>
  <c r="A151" i="6"/>
  <c r="O150" i="6"/>
  <c r="M150" i="6"/>
  <c r="K150" i="6"/>
  <c r="A150" i="6"/>
  <c r="O149" i="6"/>
  <c r="M149" i="6"/>
  <c r="K149" i="6"/>
  <c r="A149" i="6"/>
  <c r="O148" i="6"/>
  <c r="M148" i="6"/>
  <c r="K148" i="6"/>
  <c r="A148" i="6"/>
  <c r="O556" i="3" s="1" a="1"/>
  <c r="O556" i="3" s="1"/>
  <c r="P147" i="6" a="1"/>
  <c r="P147" i="6" s="1"/>
  <c r="Q147" i="6" s="1"/>
  <c r="O147" i="6"/>
  <c r="M147" i="6"/>
  <c r="K147" i="6"/>
  <c r="A147" i="6"/>
  <c r="O146" i="6"/>
  <c r="M146" i="6"/>
  <c r="K146" i="6"/>
  <c r="A146" i="6"/>
  <c r="O145" i="6"/>
  <c r="M145" i="6"/>
  <c r="K145" i="6"/>
  <c r="A145" i="6"/>
  <c r="O144" i="6"/>
  <c r="M144" i="6"/>
  <c r="K144" i="6"/>
  <c r="I158" i="1" s="1"/>
  <c r="A144" i="6"/>
  <c r="O143" i="6"/>
  <c r="M143" i="6"/>
  <c r="K143" i="6"/>
  <c r="A143" i="6"/>
  <c r="O142" i="6"/>
  <c r="M142" i="6"/>
  <c r="K142" i="6"/>
  <c r="A142" i="6"/>
  <c r="O141" i="6"/>
  <c r="M141" i="6"/>
  <c r="K141" i="6"/>
  <c r="A141" i="6"/>
  <c r="O140" i="6"/>
  <c r="M140" i="6"/>
  <c r="K140" i="6"/>
  <c r="A140" i="6"/>
  <c r="O139" i="6"/>
  <c r="M139" i="6"/>
  <c r="K139" i="6"/>
  <c r="A139" i="6"/>
  <c r="O138" i="6"/>
  <c r="M138" i="6"/>
  <c r="K138" i="6"/>
  <c r="A138" i="6"/>
  <c r="O137" i="6"/>
  <c r="M137" i="6"/>
  <c r="K137" i="6"/>
  <c r="A137" i="6"/>
  <c r="O136" i="6"/>
  <c r="M136" i="6"/>
  <c r="K136" i="6"/>
  <c r="A136" i="6"/>
  <c r="O135" i="6"/>
  <c r="M135" i="6"/>
  <c r="K135" i="6"/>
  <c r="A135" i="6"/>
  <c r="O134" i="6"/>
  <c r="M134" i="6"/>
  <c r="K134" i="6"/>
  <c r="A134" i="6"/>
  <c r="O133" i="6"/>
  <c r="M133" i="6"/>
  <c r="K133" i="6"/>
  <c r="A133" i="6"/>
  <c r="O132" i="6"/>
  <c r="M132" i="6"/>
  <c r="K132" i="6"/>
  <c r="A132" i="6"/>
  <c r="O131" i="6"/>
  <c r="M131" i="6"/>
  <c r="K131" i="6"/>
  <c r="A131" i="6"/>
  <c r="O130" i="6"/>
  <c r="M130" i="6"/>
  <c r="K130" i="6"/>
  <c r="A130" i="6"/>
  <c r="O129" i="6"/>
  <c r="M129" i="6"/>
  <c r="K129" i="6"/>
  <c r="A129" i="6"/>
  <c r="O128" i="6"/>
  <c r="M128" i="6"/>
  <c r="K128" i="6"/>
  <c r="A128" i="6"/>
  <c r="O127" i="6"/>
  <c r="M127" i="6"/>
  <c r="K127" i="6"/>
  <c r="A127" i="6"/>
  <c r="O126" i="6"/>
  <c r="M126" i="6"/>
  <c r="K126" i="6"/>
  <c r="A126" i="6"/>
  <c r="O125" i="6"/>
  <c r="M125" i="6"/>
  <c r="K125" i="6"/>
  <c r="A125" i="6"/>
  <c r="O124" i="6"/>
  <c r="V287" i="3" s="1" a="1"/>
  <c r="V287" i="3" s="1"/>
  <c r="M124" i="6"/>
  <c r="K124" i="6"/>
  <c r="A124" i="6"/>
  <c r="O123" i="6"/>
  <c r="V237" i="3" s="1" a="1"/>
  <c r="V237" i="3" s="1"/>
  <c r="M123" i="6"/>
  <c r="K123" i="6"/>
  <c r="A123" i="6"/>
  <c r="O122" i="6"/>
  <c r="M122" i="6"/>
  <c r="K122" i="6"/>
  <c r="A122" i="6"/>
  <c r="O121" i="6"/>
  <c r="M121" i="6"/>
  <c r="K121" i="6"/>
  <c r="A121" i="6"/>
  <c r="O120" i="6"/>
  <c r="M120" i="6"/>
  <c r="K120" i="6"/>
  <c r="A120" i="6"/>
  <c r="O119" i="6"/>
  <c r="M119" i="6"/>
  <c r="K119" i="6"/>
  <c r="A119" i="6"/>
  <c r="O118" i="6"/>
  <c r="M118" i="6"/>
  <c r="K118" i="6"/>
  <c r="A118" i="6"/>
  <c r="O117" i="6"/>
  <c r="V166" i="3" s="1" a="1"/>
  <c r="V166" i="3" s="1"/>
  <c r="M117" i="6"/>
  <c r="K117" i="6"/>
  <c r="A117" i="6"/>
  <c r="O116" i="6"/>
  <c r="M116" i="6"/>
  <c r="K116" i="6"/>
  <c r="A116" i="6"/>
  <c r="O115" i="6"/>
  <c r="M115" i="6"/>
  <c r="K115" i="6"/>
  <c r="A115" i="6"/>
  <c r="O114" i="6"/>
  <c r="M114" i="6"/>
  <c r="K114" i="6"/>
  <c r="A114" i="6"/>
  <c r="O113" i="6"/>
  <c r="M113" i="6"/>
  <c r="K113" i="6"/>
  <c r="A113" i="6"/>
  <c r="O112" i="6"/>
  <c r="M112" i="6"/>
  <c r="K112" i="6"/>
  <c r="A112" i="6"/>
  <c r="O111" i="6"/>
  <c r="M111" i="6"/>
  <c r="K111" i="6"/>
  <c r="A111" i="6"/>
  <c r="O110" i="6"/>
  <c r="M110" i="6"/>
  <c r="K110" i="6"/>
  <c r="A110" i="6"/>
  <c r="O109" i="6"/>
  <c r="M109" i="6"/>
  <c r="K109" i="6"/>
  <c r="A109" i="6"/>
  <c r="P108" i="6" a="1"/>
  <c r="P108" i="6" s="1"/>
  <c r="Q108" i="6" s="1"/>
  <c r="O108" i="6"/>
  <c r="M108" i="6"/>
  <c r="K108" i="6"/>
  <c r="A108" i="6"/>
  <c r="O107" i="6"/>
  <c r="M107" i="6"/>
  <c r="K107" i="6"/>
  <c r="A107" i="6"/>
  <c r="O106" i="6"/>
  <c r="V428" i="3" s="1" a="1"/>
  <c r="V428" i="3" s="1"/>
  <c r="M106" i="6"/>
  <c r="K106" i="6"/>
  <c r="A106" i="6"/>
  <c r="O105" i="6"/>
  <c r="M105" i="6"/>
  <c r="K105" i="6"/>
  <c r="A105" i="6"/>
  <c r="O104" i="6"/>
  <c r="M104" i="6"/>
  <c r="K104" i="6"/>
  <c r="A104" i="6"/>
  <c r="O103" i="6"/>
  <c r="V280" i="3" s="1" a="1"/>
  <c r="V280" i="3" s="1"/>
  <c r="M103" i="6"/>
  <c r="K103" i="6"/>
  <c r="A103" i="6"/>
  <c r="O102" i="6"/>
  <c r="V224" i="3" s="1" a="1"/>
  <c r="V224" i="3" s="1"/>
  <c r="M102" i="6"/>
  <c r="K102" i="6"/>
  <c r="A102" i="6"/>
  <c r="O101" i="6"/>
  <c r="M101" i="6"/>
  <c r="K101" i="6"/>
  <c r="A101" i="6"/>
  <c r="O100" i="6"/>
  <c r="V8" i="3" s="1" a="1"/>
  <c r="V8" i="3" s="1"/>
  <c r="M100" i="6"/>
  <c r="K100" i="6"/>
  <c r="A100" i="6"/>
  <c r="O99" i="6"/>
  <c r="M99" i="6"/>
  <c r="K99" i="6"/>
  <c r="A99" i="6"/>
  <c r="O98" i="6"/>
  <c r="M98" i="6"/>
  <c r="K98" i="6"/>
  <c r="A98" i="6"/>
  <c r="O97" i="6"/>
  <c r="N97" i="6" a="1"/>
  <c r="N97" i="6" s="1"/>
  <c r="M97" i="6"/>
  <c r="K97" i="6"/>
  <c r="A97" i="6"/>
  <c r="O96" i="6"/>
  <c r="M96" i="6"/>
  <c r="K96" i="6"/>
  <c r="A96" i="6"/>
  <c r="O95" i="6"/>
  <c r="M95" i="6"/>
  <c r="K95" i="6"/>
  <c r="A95" i="6"/>
  <c r="O94" i="6"/>
  <c r="M94" i="6"/>
  <c r="K94" i="6"/>
  <c r="A94" i="6"/>
  <c r="O93" i="6"/>
  <c r="M93" i="6"/>
  <c r="K93" i="6"/>
  <c r="A93" i="6"/>
  <c r="O92" i="6"/>
  <c r="M92" i="6"/>
  <c r="K92" i="6"/>
  <c r="A92" i="6"/>
  <c r="O91" i="6"/>
  <c r="M91" i="6"/>
  <c r="K91" i="6"/>
  <c r="A91" i="6"/>
  <c r="O90" i="6"/>
  <c r="V234" i="3" s="1" a="1"/>
  <c r="V234" i="3" s="1"/>
  <c r="M90" i="6"/>
  <c r="K90" i="6"/>
  <c r="A90" i="6"/>
  <c r="O89" i="6"/>
  <c r="M89" i="6"/>
  <c r="K89" i="6"/>
  <c r="A89" i="6"/>
  <c r="O88" i="6"/>
  <c r="M88" i="6"/>
  <c r="K88" i="6"/>
  <c r="A88" i="6"/>
  <c r="O87" i="6"/>
  <c r="M87" i="6"/>
  <c r="K87" i="6"/>
  <c r="A87" i="6"/>
  <c r="O86" i="6"/>
  <c r="M86" i="6"/>
  <c r="K86" i="6"/>
  <c r="A86" i="6"/>
  <c r="O85" i="6"/>
  <c r="M85" i="6"/>
  <c r="K85" i="6"/>
  <c r="A85" i="6"/>
  <c r="O84" i="6"/>
  <c r="M84" i="6"/>
  <c r="K84" i="6"/>
  <c r="A84" i="6"/>
  <c r="O83" i="6"/>
  <c r="M83" i="6"/>
  <c r="K83" i="6"/>
  <c r="A83" i="6"/>
  <c r="O82" i="6"/>
  <c r="M82" i="6"/>
  <c r="K82" i="6"/>
  <c r="A82" i="6"/>
  <c r="O81" i="6"/>
  <c r="V365" i="3" s="1" a="1"/>
  <c r="V365" i="3" s="1"/>
  <c r="M81" i="6"/>
  <c r="K81" i="6"/>
  <c r="A81" i="6"/>
  <c r="O80" i="6"/>
  <c r="M80" i="6"/>
  <c r="K80" i="6"/>
  <c r="A80" i="6"/>
  <c r="O79" i="6"/>
  <c r="M79" i="6"/>
  <c r="K79" i="6"/>
  <c r="A79" i="6"/>
  <c r="O78" i="6"/>
  <c r="V232" i="3" s="1" a="1"/>
  <c r="V232" i="3" s="1"/>
  <c r="M78" i="6"/>
  <c r="K78" i="6"/>
  <c r="A78" i="6"/>
  <c r="O77" i="6"/>
  <c r="M77" i="6"/>
  <c r="K77" i="6"/>
  <c r="A77" i="6"/>
  <c r="O76" i="6"/>
  <c r="M76" i="6"/>
  <c r="K76" i="6"/>
  <c r="A76" i="6"/>
  <c r="O75" i="6"/>
  <c r="M75" i="6"/>
  <c r="K75" i="6"/>
  <c r="A75" i="6"/>
  <c r="O74" i="6"/>
  <c r="M74" i="6"/>
  <c r="K74" i="6"/>
  <c r="A74" i="6"/>
  <c r="O73" i="6"/>
  <c r="M73" i="6"/>
  <c r="K73" i="6"/>
  <c r="A73" i="6"/>
  <c r="O72" i="6"/>
  <c r="M72" i="6"/>
  <c r="K72" i="6"/>
  <c r="A72" i="6"/>
  <c r="O71" i="6"/>
  <c r="M71" i="6"/>
  <c r="K71" i="6"/>
  <c r="A71" i="6"/>
  <c r="O70" i="6"/>
  <c r="V425" i="3" s="1" a="1"/>
  <c r="V425" i="3" s="1"/>
  <c r="M70" i="6"/>
  <c r="K70" i="6"/>
  <c r="A70" i="6"/>
  <c r="O69" i="6"/>
  <c r="M69" i="6"/>
  <c r="K69" i="6"/>
  <c r="A69" i="6"/>
  <c r="O68" i="6"/>
  <c r="M68" i="6"/>
  <c r="K68" i="6"/>
  <c r="A68" i="6"/>
  <c r="O67" i="6"/>
  <c r="M67" i="6"/>
  <c r="K67" i="6"/>
  <c r="A67" i="6"/>
  <c r="O66" i="6"/>
  <c r="M66" i="6"/>
  <c r="K66" i="6"/>
  <c r="A66" i="6"/>
  <c r="O65" i="6"/>
  <c r="M65" i="6"/>
  <c r="K65" i="6"/>
  <c r="A65" i="6"/>
  <c r="O64" i="6"/>
  <c r="V5" i="3" s="1" a="1"/>
  <c r="V5" i="3" s="1"/>
  <c r="M64" i="6"/>
  <c r="K64" i="6"/>
  <c r="A64" i="6"/>
  <c r="O63" i="6"/>
  <c r="M63" i="6"/>
  <c r="K63" i="6"/>
  <c r="A63" i="6"/>
  <c r="O62" i="6"/>
  <c r="V424" i="3" s="1" a="1"/>
  <c r="V424" i="3" s="1"/>
  <c r="M62" i="6"/>
  <c r="K62" i="6"/>
  <c r="A62" i="6"/>
  <c r="O61" i="6"/>
  <c r="M61" i="6"/>
  <c r="K61" i="6"/>
  <c r="A61" i="6"/>
  <c r="O60" i="6"/>
  <c r="M60" i="6"/>
  <c r="K60" i="6"/>
  <c r="A60" i="6"/>
  <c r="O59" i="6"/>
  <c r="M59" i="6"/>
  <c r="K59" i="6"/>
  <c r="A59" i="6"/>
  <c r="O58" i="6"/>
  <c r="M58" i="6"/>
  <c r="K58" i="6"/>
  <c r="A58" i="6"/>
  <c r="O57" i="6"/>
  <c r="M57" i="6"/>
  <c r="K57" i="6"/>
  <c r="A57" i="6"/>
  <c r="O56" i="6"/>
  <c r="M56" i="6"/>
  <c r="K56" i="6"/>
  <c r="A56" i="6"/>
  <c r="O55" i="6"/>
  <c r="M55" i="6"/>
  <c r="K55" i="6"/>
  <c r="A55" i="6"/>
  <c r="O54" i="6"/>
  <c r="M54" i="6"/>
  <c r="K54" i="6"/>
  <c r="A54" i="6"/>
  <c r="O53" i="6"/>
  <c r="M53" i="6"/>
  <c r="K53" i="6"/>
  <c r="A53" i="6"/>
  <c r="O52" i="6"/>
  <c r="M52" i="6"/>
  <c r="K52" i="6"/>
  <c r="A52" i="6"/>
  <c r="O51" i="6"/>
  <c r="M51" i="6"/>
  <c r="K51" i="6"/>
  <c r="A51" i="6"/>
  <c r="O50" i="6"/>
  <c r="M50" i="6"/>
  <c r="K50" i="6"/>
  <c r="A50" i="6"/>
  <c r="O49" i="6"/>
  <c r="M49" i="6"/>
  <c r="K49" i="6"/>
  <c r="A49" i="6"/>
  <c r="O48" i="6"/>
  <c r="M48" i="6"/>
  <c r="K48" i="6"/>
  <c r="A48" i="6"/>
  <c r="O47" i="6"/>
  <c r="M47" i="6"/>
  <c r="K47" i="6"/>
  <c r="A47" i="6"/>
  <c r="O46" i="6"/>
  <c r="M46" i="6"/>
  <c r="K46" i="6"/>
  <c r="A46" i="6"/>
  <c r="O45" i="6"/>
  <c r="M45" i="6"/>
  <c r="K45" i="6"/>
  <c r="A45" i="6"/>
  <c r="O44" i="6"/>
  <c r="M44" i="6"/>
  <c r="K44" i="6"/>
  <c r="A44" i="6"/>
  <c r="O43" i="6"/>
  <c r="M43" i="6"/>
  <c r="K43" i="6"/>
  <c r="A43" i="6"/>
  <c r="O42" i="6"/>
  <c r="M42" i="6"/>
  <c r="K42" i="6"/>
  <c r="A42" i="6"/>
  <c r="O41" i="6"/>
  <c r="M41" i="6"/>
  <c r="K41" i="6"/>
  <c r="A41" i="6"/>
  <c r="O40" i="6"/>
  <c r="M40" i="6"/>
  <c r="K40" i="6"/>
  <c r="A40" i="6"/>
  <c r="O39" i="6"/>
  <c r="M39" i="6"/>
  <c r="K39" i="6"/>
  <c r="A39" i="6"/>
  <c r="O38" i="6"/>
  <c r="M38" i="6"/>
  <c r="K38" i="6"/>
  <c r="A38" i="6"/>
  <c r="O37" i="6"/>
  <c r="N37" i="6" a="1"/>
  <c r="N37" i="6" s="1"/>
  <c r="M37" i="6"/>
  <c r="K37" i="6"/>
  <c r="A37" i="6"/>
  <c r="P36" i="6" a="1"/>
  <c r="P36" i="6" s="1"/>
  <c r="Q36" i="6" s="1"/>
  <c r="O36" i="6"/>
  <c r="N36" i="6" a="1"/>
  <c r="N36" i="6" s="1"/>
  <c r="M36" i="6"/>
  <c r="K36" i="6"/>
  <c r="A36" i="6"/>
  <c r="Q35" i="6"/>
  <c r="P35" i="6" a="1"/>
  <c r="P35" i="6"/>
  <c r="O35" i="6"/>
  <c r="N35" i="6" a="1"/>
  <c r="N35" i="6" s="1"/>
  <c r="M35" i="6"/>
  <c r="K35" i="6"/>
  <c r="A35" i="6"/>
  <c r="P34" i="6" a="1"/>
  <c r="P34" i="6"/>
  <c r="Q34" i="6" s="1"/>
  <c r="R792" i="3" s="1" a="1"/>
  <c r="R792" i="3" s="1"/>
  <c r="O34" i="6"/>
  <c r="V789" i="3" s="1" a="1"/>
  <c r="V789" i="3" s="1"/>
  <c r="N34" i="6" a="1"/>
  <c r="N34" i="6" s="1"/>
  <c r="M34" i="6"/>
  <c r="K34" i="6"/>
  <c r="A34" i="6"/>
  <c r="P33" i="6" a="1"/>
  <c r="P33" i="6" s="1"/>
  <c r="Q33" i="6" s="1"/>
  <c r="O33" i="6"/>
  <c r="N33" i="6" a="1"/>
  <c r="N33" i="6"/>
  <c r="M33" i="6"/>
  <c r="K33" i="6"/>
  <c r="A33" i="6"/>
  <c r="Q32" i="6"/>
  <c r="P32" i="6" a="1"/>
  <c r="P32" i="6"/>
  <c r="O32" i="6"/>
  <c r="N32" i="6" a="1"/>
  <c r="N32" i="6"/>
  <c r="M32" i="6"/>
  <c r="K32" i="6"/>
  <c r="A32" i="6"/>
  <c r="P31" i="6" a="1"/>
  <c r="P31" i="6"/>
  <c r="Q31" i="6" s="1"/>
  <c r="O31" i="6"/>
  <c r="N31" i="6" a="1"/>
  <c r="N31" i="6"/>
  <c r="M31" i="6"/>
  <c r="K31" i="6"/>
  <c r="A31" i="6"/>
  <c r="P30" i="6" a="1"/>
  <c r="P30" i="6" s="1"/>
  <c r="Q30" i="6" s="1"/>
  <c r="O30" i="6"/>
  <c r="N30" i="6" a="1"/>
  <c r="N30" i="6"/>
  <c r="M30" i="6"/>
  <c r="K30" i="6"/>
  <c r="A30" i="6"/>
  <c r="P29" i="6" a="1"/>
  <c r="P29" i="6" s="1"/>
  <c r="Q29" i="6" s="1"/>
  <c r="O29" i="6"/>
  <c r="N29" i="6" a="1"/>
  <c r="N29" i="6" s="1"/>
  <c r="M29" i="6"/>
  <c r="K29" i="6"/>
  <c r="A29" i="6"/>
  <c r="Q28" i="6"/>
  <c r="P28" i="6" a="1"/>
  <c r="P28" i="6" s="1"/>
  <c r="O28" i="6"/>
  <c r="V608" i="3" s="1" a="1"/>
  <c r="V608" i="3" s="1"/>
  <c r="N28" i="6" a="1"/>
  <c r="N28" i="6"/>
  <c r="M28" i="6"/>
  <c r="K28" i="6"/>
  <c r="A28" i="6"/>
  <c r="P27" i="6" a="1"/>
  <c r="P27" i="6"/>
  <c r="Q27" i="6" s="1"/>
  <c r="O27" i="6"/>
  <c r="N27" i="6" a="1"/>
  <c r="N27" i="6" s="1"/>
  <c r="M27" i="6"/>
  <c r="K27" i="6"/>
  <c r="A27" i="6"/>
  <c r="P26" i="6" a="1"/>
  <c r="P26" i="6"/>
  <c r="Q26" i="6" s="1"/>
  <c r="O26" i="6"/>
  <c r="N26" i="6" a="1"/>
  <c r="N26" i="6"/>
  <c r="M26" i="6"/>
  <c r="K26" i="6"/>
  <c r="A26" i="6"/>
  <c r="Q25" i="6"/>
  <c r="P25" i="6" a="1"/>
  <c r="P25" i="6"/>
  <c r="O25" i="6"/>
  <c r="V446" i="3" s="1" a="1"/>
  <c r="V446" i="3" s="1"/>
  <c r="N25" i="6" a="1"/>
  <c r="N25" i="6"/>
  <c r="M25" i="6"/>
  <c r="K25" i="6"/>
  <c r="A25" i="6"/>
  <c r="P24" i="6" a="1"/>
  <c r="P24" i="6" s="1"/>
  <c r="Q24" i="6" s="1"/>
  <c r="O24" i="6"/>
  <c r="N24" i="6" a="1"/>
  <c r="N24" i="6"/>
  <c r="M24" i="6"/>
  <c r="K24" i="6"/>
  <c r="A24" i="6"/>
  <c r="P23" i="6" a="1"/>
  <c r="P23" i="6"/>
  <c r="Q23" i="6" s="1"/>
  <c r="O23" i="6"/>
  <c r="N23" i="6" a="1"/>
  <c r="N23" i="6" s="1"/>
  <c r="M23" i="6"/>
  <c r="K23" i="6"/>
  <c r="A23" i="6"/>
  <c r="P22" i="6" a="1"/>
  <c r="P22" i="6"/>
  <c r="Q22" i="6" s="1"/>
  <c r="O22" i="6"/>
  <c r="V379" i="3" s="1" a="1"/>
  <c r="V379" i="3" s="1"/>
  <c r="N22" i="6" a="1"/>
  <c r="N22" i="6" s="1"/>
  <c r="M22" i="6"/>
  <c r="K22" i="6"/>
  <c r="A22" i="6"/>
  <c r="P21" i="6" a="1"/>
  <c r="P21" i="6" s="1"/>
  <c r="Q21" i="6" s="1"/>
  <c r="O21" i="6"/>
  <c r="N21" i="6" a="1"/>
  <c r="N21" i="6"/>
  <c r="M21" i="6"/>
  <c r="K21" i="6"/>
  <c r="A21" i="6"/>
  <c r="P20" i="6" a="1"/>
  <c r="P20" i="6" s="1"/>
  <c r="Q20" i="6" s="1"/>
  <c r="O20" i="6"/>
  <c r="V339" i="3" s="1" a="1"/>
  <c r="V339" i="3" s="1"/>
  <c r="N20" i="6" a="1"/>
  <c r="N20" i="6" s="1"/>
  <c r="M20" i="6"/>
  <c r="K20" i="6"/>
  <c r="A20" i="6"/>
  <c r="P19" i="6" a="1"/>
  <c r="P19" i="6"/>
  <c r="Q19" i="6" s="1"/>
  <c r="O19" i="6"/>
  <c r="V296" i="3" s="1" a="1"/>
  <c r="V296" i="3" s="1"/>
  <c r="N19" i="6" a="1"/>
  <c r="N19" i="6" s="1"/>
  <c r="M19" i="6"/>
  <c r="K19" i="6"/>
  <c r="A19" i="6"/>
  <c r="P18" i="6" a="1"/>
  <c r="P18" i="6" s="1"/>
  <c r="Q18" i="6" s="1"/>
  <c r="O18" i="6"/>
  <c r="N18" i="6" a="1"/>
  <c r="N18" i="6"/>
  <c r="M18" i="6"/>
  <c r="K18" i="6"/>
  <c r="A18" i="6"/>
  <c r="Q17" i="6"/>
  <c r="P17" i="6" a="1"/>
  <c r="P17" i="6"/>
  <c r="O17" i="6"/>
  <c r="V250" i="3" s="1" a="1"/>
  <c r="V250" i="3" s="1"/>
  <c r="N17" i="6" a="1"/>
  <c r="N17" i="6"/>
  <c r="M17" i="6"/>
  <c r="K17" i="6"/>
  <c r="A17" i="6"/>
  <c r="Q16" i="6"/>
  <c r="P16" i="6" a="1"/>
  <c r="P16" i="6"/>
  <c r="O16" i="6"/>
  <c r="V263" i="3" s="1" a="1"/>
  <c r="V263" i="3" s="1"/>
  <c r="N16" i="6" a="1"/>
  <c r="N16" i="6"/>
  <c r="M16" i="6"/>
  <c r="K16" i="6"/>
  <c r="A16" i="6"/>
  <c r="P15" i="6" a="1"/>
  <c r="P15" i="6"/>
  <c r="Q15" i="6" s="1"/>
  <c r="O15" i="6"/>
  <c r="V33" i="3" s="1" a="1"/>
  <c r="V33" i="3" s="1"/>
  <c r="N15" i="6" a="1"/>
  <c r="N15" i="6"/>
  <c r="M15" i="6"/>
  <c r="K15" i="6"/>
  <c r="A15" i="6"/>
  <c r="Q14" i="6"/>
  <c r="P14" i="6" a="1"/>
  <c r="P14" i="6" s="1"/>
  <c r="O14" i="6"/>
  <c r="N14" i="6" a="1"/>
  <c r="N14" i="6"/>
  <c r="M14" i="6"/>
  <c r="K14" i="6"/>
  <c r="A14" i="6"/>
  <c r="Q13" i="6"/>
  <c r="P13" i="6" a="1"/>
  <c r="P13" i="6"/>
  <c r="O13" i="6"/>
  <c r="V103" i="3" s="1" a="1"/>
  <c r="V103" i="3" s="1"/>
  <c r="N13" i="6" a="1"/>
  <c r="N13" i="6" s="1"/>
  <c r="M13" i="6"/>
  <c r="K13" i="6"/>
  <c r="A13" i="6"/>
  <c r="P12" i="6" a="1"/>
  <c r="P12" i="6" s="1"/>
  <c r="Q12" i="6" s="1"/>
  <c r="O12" i="6"/>
  <c r="V142" i="3" s="1" a="1"/>
  <c r="V142" i="3" s="1"/>
  <c r="N12" i="6" a="1"/>
  <c r="N12" i="6"/>
  <c r="M12" i="6"/>
  <c r="K12" i="6"/>
  <c r="A12" i="6"/>
  <c r="P11" i="6" a="1"/>
  <c r="P11" i="6"/>
  <c r="Q11" i="6" s="1"/>
  <c r="O11" i="6"/>
  <c r="N11" i="6" a="1"/>
  <c r="N11" i="6" s="1"/>
  <c r="M11" i="6"/>
  <c r="K11" i="6"/>
  <c r="A11" i="6"/>
  <c r="P10" i="6" a="1"/>
  <c r="P10" i="6"/>
  <c r="Q10" i="6" s="1"/>
  <c r="O10" i="6"/>
  <c r="N10" i="6" a="1"/>
  <c r="N10" i="6"/>
  <c r="M10" i="6"/>
  <c r="K10" i="6"/>
  <c r="A10" i="6"/>
  <c r="Q9" i="6"/>
  <c r="P9" i="6" a="1"/>
  <c r="P9" i="6"/>
  <c r="O9" i="6"/>
  <c r="N9" i="6" a="1"/>
  <c r="N9" i="6"/>
  <c r="M9" i="6"/>
  <c r="K9" i="6"/>
  <c r="A9" i="6"/>
  <c r="P8" i="6" a="1"/>
  <c r="P8" i="6" s="1"/>
  <c r="Q8" i="6" s="1"/>
  <c r="O8" i="6"/>
  <c r="V54" i="3" s="1" a="1"/>
  <c r="V54" i="3" s="1"/>
  <c r="N8" i="6" a="1"/>
  <c r="N8" i="6"/>
  <c r="M8" i="6"/>
  <c r="K8" i="6"/>
  <c r="A8" i="6"/>
  <c r="P7" i="6" a="1"/>
  <c r="P7" i="6" s="1"/>
  <c r="Q7" i="6" s="1"/>
  <c r="O7" i="6"/>
  <c r="V81" i="3" s="1" a="1"/>
  <c r="V81" i="3" s="1"/>
  <c r="N7" i="6" a="1"/>
  <c r="N7" i="6" s="1"/>
  <c r="M7" i="6"/>
  <c r="K7" i="6"/>
  <c r="A7" i="6"/>
  <c r="P6" i="6" a="1"/>
  <c r="P6" i="6" s="1"/>
  <c r="Q6" i="6" s="1"/>
  <c r="R245" i="3" s="1" a="1"/>
  <c r="R245" i="3" s="1"/>
  <c r="O6" i="6"/>
  <c r="V248" i="3" s="1" a="1"/>
  <c r="V248" i="3" s="1"/>
  <c r="N6" i="6" a="1"/>
  <c r="N6" i="6" s="1"/>
  <c r="M6" i="6"/>
  <c r="K6" i="6"/>
  <c r="A6" i="6"/>
  <c r="P5" i="6" a="1"/>
  <c r="P5" i="6" s="1"/>
  <c r="Q5" i="6" s="1"/>
  <c r="O5" i="6"/>
  <c r="V169" i="3" s="1" a="1"/>
  <c r="V169" i="3" s="1"/>
  <c r="N5" i="6" a="1"/>
  <c r="N5" i="6" s="1"/>
  <c r="M5" i="6"/>
  <c r="K5" i="6"/>
  <c r="A5" i="6"/>
  <c r="P4" i="6" a="1"/>
  <c r="P4" i="6" s="1"/>
  <c r="Q4" i="6" s="1"/>
  <c r="O4" i="6"/>
  <c r="V180" i="3" s="1" a="1"/>
  <c r="V180" i="3" s="1"/>
  <c r="N4" i="6" a="1"/>
  <c r="N4" i="6" s="1"/>
  <c r="M4" i="6"/>
  <c r="K4" i="6"/>
  <c r="A4" i="6"/>
  <c r="P3" i="6" a="1"/>
  <c r="P3" i="6" s="1"/>
  <c r="Q3" i="6" s="1"/>
  <c r="R155" i="3" s="1" a="1"/>
  <c r="R155" i="3" s="1"/>
  <c r="O3" i="6"/>
  <c r="V156" i="3" s="1" a="1"/>
  <c r="V156" i="3" s="1"/>
  <c r="N3" i="6" a="1"/>
  <c r="N3" i="6" s="1"/>
  <c r="M3" i="6"/>
  <c r="K3" i="6"/>
  <c r="A3" i="6"/>
  <c r="P2" i="6" a="1"/>
  <c r="P2" i="6" s="1"/>
  <c r="Q2" i="6" s="1"/>
  <c r="R160" i="3" s="1" a="1"/>
  <c r="O2" i="6"/>
  <c r="N2" i="6" a="1"/>
  <c r="N2" i="6"/>
  <c r="M2" i="6"/>
  <c r="K2" i="6"/>
  <c r="A2" i="6"/>
  <c r="B1000" i="5"/>
  <c r="B999" i="5"/>
  <c r="B998" i="5"/>
  <c r="B997" i="5"/>
  <c r="B996" i="5"/>
  <c r="B995" i="5"/>
  <c r="B994" i="5"/>
  <c r="B993" i="5"/>
  <c r="B992" i="5"/>
  <c r="B991" i="5"/>
  <c r="B990" i="5"/>
  <c r="B989" i="5"/>
  <c r="B988" i="5"/>
  <c r="B987" i="5"/>
  <c r="B986" i="5"/>
  <c r="B985" i="5"/>
  <c r="B984" i="5"/>
  <c r="B983" i="5"/>
  <c r="B982" i="5"/>
  <c r="B981" i="5"/>
  <c r="B980" i="5"/>
  <c r="B979" i="5"/>
  <c r="B978" i="5"/>
  <c r="B977" i="5"/>
  <c r="B976" i="5"/>
  <c r="B975" i="5"/>
  <c r="B974" i="5"/>
  <c r="B973" i="5"/>
  <c r="B972" i="5"/>
  <c r="B971" i="5"/>
  <c r="B970" i="5"/>
  <c r="B969" i="5"/>
  <c r="B968" i="5"/>
  <c r="B967" i="5"/>
  <c r="B966" i="5"/>
  <c r="B965" i="5"/>
  <c r="B964" i="5"/>
  <c r="A964" i="5" a="1"/>
  <c r="A964" i="5" s="1"/>
  <c r="B963" i="5"/>
  <c r="B962" i="5"/>
  <c r="B961" i="5"/>
  <c r="B960" i="5"/>
  <c r="B959" i="5"/>
  <c r="B958" i="5"/>
  <c r="B957" i="5"/>
  <c r="B956" i="5"/>
  <c r="B955" i="5"/>
  <c r="B954" i="5"/>
  <c r="B953" i="5"/>
  <c r="B952" i="5"/>
  <c r="B951" i="5"/>
  <c r="B950" i="5"/>
  <c r="B949" i="5"/>
  <c r="B948" i="5"/>
  <c r="B947" i="5"/>
  <c r="B946" i="5"/>
  <c r="B945" i="5"/>
  <c r="B944" i="5"/>
  <c r="B943" i="5"/>
  <c r="B942" i="5"/>
  <c r="B941" i="5"/>
  <c r="B940" i="5"/>
  <c r="B939" i="5"/>
  <c r="B938" i="5"/>
  <c r="B937" i="5"/>
  <c r="B936" i="5"/>
  <c r="B935" i="5"/>
  <c r="B934" i="5"/>
  <c r="B933" i="5"/>
  <c r="B932" i="5"/>
  <c r="B931" i="5"/>
  <c r="B930" i="5"/>
  <c r="B929" i="5"/>
  <c r="B928" i="5"/>
  <c r="B927" i="5"/>
  <c r="B926" i="5"/>
  <c r="B925" i="5"/>
  <c r="B924" i="5"/>
  <c r="B923" i="5"/>
  <c r="B922" i="5"/>
  <c r="B921" i="5"/>
  <c r="B920" i="5"/>
  <c r="B919" i="5"/>
  <c r="B918" i="5"/>
  <c r="B917" i="5"/>
  <c r="B916" i="5"/>
  <c r="B915" i="5"/>
  <c r="B914" i="5"/>
  <c r="B913" i="5"/>
  <c r="B912" i="5"/>
  <c r="B911" i="5"/>
  <c r="B910" i="5"/>
  <c r="B909" i="5"/>
  <c r="B908" i="5"/>
  <c r="B907" i="5"/>
  <c r="B906" i="5"/>
  <c r="B905" i="5"/>
  <c r="B904" i="5"/>
  <c r="B903" i="5"/>
  <c r="B902" i="5"/>
  <c r="B901" i="5"/>
  <c r="B900" i="5"/>
  <c r="B899" i="5"/>
  <c r="B898" i="5"/>
  <c r="B897" i="5"/>
  <c r="B896" i="5"/>
  <c r="B895" i="5"/>
  <c r="B894" i="5"/>
  <c r="B893" i="5"/>
  <c r="B892" i="5"/>
  <c r="B891" i="5"/>
  <c r="B890" i="5"/>
  <c r="B889" i="5"/>
  <c r="B888" i="5"/>
  <c r="B887" i="5"/>
  <c r="B886" i="5"/>
  <c r="B885" i="5"/>
  <c r="B884" i="5"/>
  <c r="B883" i="5"/>
  <c r="B882" i="5"/>
  <c r="B881" i="5"/>
  <c r="B880" i="5"/>
  <c r="B879" i="5"/>
  <c r="B878" i="5"/>
  <c r="B877" i="5"/>
  <c r="B876" i="5"/>
  <c r="B875" i="5"/>
  <c r="B874" i="5"/>
  <c r="B873" i="5"/>
  <c r="B872" i="5"/>
  <c r="B871" i="5"/>
  <c r="B870" i="5"/>
  <c r="B869" i="5"/>
  <c r="B868" i="5"/>
  <c r="B867" i="5"/>
  <c r="B866" i="5"/>
  <c r="B865" i="5"/>
  <c r="B864" i="5"/>
  <c r="B863" i="5"/>
  <c r="B862" i="5"/>
  <c r="B861" i="5"/>
  <c r="B860" i="5"/>
  <c r="B859" i="5"/>
  <c r="B858" i="5"/>
  <c r="B857" i="5"/>
  <c r="B856" i="5"/>
  <c r="B855" i="5"/>
  <c r="B854" i="5"/>
  <c r="B853" i="5"/>
  <c r="B852" i="5"/>
  <c r="B851" i="5"/>
  <c r="B850" i="5"/>
  <c r="B849" i="5"/>
  <c r="B848" i="5"/>
  <c r="B847" i="5"/>
  <c r="B846" i="5"/>
  <c r="B845" i="5"/>
  <c r="B844" i="5"/>
  <c r="B843" i="5"/>
  <c r="B842" i="5"/>
  <c r="B841" i="5"/>
  <c r="B840" i="5"/>
  <c r="B839" i="5"/>
  <c r="B838" i="5"/>
  <c r="B837" i="5"/>
  <c r="B836" i="5"/>
  <c r="B835" i="5"/>
  <c r="B834" i="5"/>
  <c r="B833" i="5"/>
  <c r="B832" i="5"/>
  <c r="B831" i="5"/>
  <c r="B830" i="5"/>
  <c r="B829" i="5"/>
  <c r="B828" i="5"/>
  <c r="B827" i="5"/>
  <c r="B826" i="5"/>
  <c r="B825" i="5"/>
  <c r="B824" i="5"/>
  <c r="B823" i="5"/>
  <c r="B822" i="5"/>
  <c r="B821" i="5"/>
  <c r="B820" i="5"/>
  <c r="B819" i="5"/>
  <c r="B818" i="5"/>
  <c r="B817" i="5"/>
  <c r="B816" i="5"/>
  <c r="B815" i="5"/>
  <c r="B814" i="5"/>
  <c r="B813" i="5"/>
  <c r="B812" i="5"/>
  <c r="B811" i="5"/>
  <c r="B810" i="5"/>
  <c r="B809" i="5"/>
  <c r="B808" i="5"/>
  <c r="B807" i="5"/>
  <c r="B806" i="5"/>
  <c r="B805" i="5"/>
  <c r="B804" i="5"/>
  <c r="B803" i="5"/>
  <c r="B802" i="5"/>
  <c r="B801" i="5"/>
  <c r="B800" i="5"/>
  <c r="B799" i="5"/>
  <c r="B798" i="5"/>
  <c r="B797" i="5"/>
  <c r="B796" i="5"/>
  <c r="B795" i="5"/>
  <c r="B794" i="5"/>
  <c r="B793" i="5"/>
  <c r="B792" i="5"/>
  <c r="B791" i="5"/>
  <c r="B790" i="5"/>
  <c r="B789" i="5"/>
  <c r="B788" i="5"/>
  <c r="B787" i="5"/>
  <c r="B786" i="5"/>
  <c r="B785" i="5"/>
  <c r="B784" i="5"/>
  <c r="B783" i="5"/>
  <c r="B782" i="5"/>
  <c r="B781" i="5"/>
  <c r="B780" i="5"/>
  <c r="B779" i="5"/>
  <c r="B778" i="5"/>
  <c r="B777" i="5"/>
  <c r="B776" i="5"/>
  <c r="B775" i="5"/>
  <c r="B774" i="5"/>
  <c r="B773" i="5"/>
  <c r="B772" i="5"/>
  <c r="B771" i="5"/>
  <c r="B770" i="5"/>
  <c r="B769" i="5"/>
  <c r="B768" i="5"/>
  <c r="B767" i="5"/>
  <c r="B766" i="5"/>
  <c r="B765" i="5"/>
  <c r="B764" i="5"/>
  <c r="B763" i="5"/>
  <c r="B762" i="5"/>
  <c r="B761" i="5"/>
  <c r="B760" i="5"/>
  <c r="B759" i="5"/>
  <c r="B758" i="5"/>
  <c r="B757" i="5"/>
  <c r="B756" i="5"/>
  <c r="B755" i="5"/>
  <c r="B754" i="5"/>
  <c r="B753" i="5"/>
  <c r="B752" i="5"/>
  <c r="B751" i="5"/>
  <c r="B750" i="5"/>
  <c r="B749" i="5"/>
  <c r="B748" i="5"/>
  <c r="B747" i="5"/>
  <c r="B746" i="5"/>
  <c r="B745" i="5"/>
  <c r="B744" i="5"/>
  <c r="B743" i="5"/>
  <c r="B742" i="5"/>
  <c r="B741" i="5"/>
  <c r="B740" i="5"/>
  <c r="B739" i="5"/>
  <c r="B738" i="5"/>
  <c r="B737" i="5"/>
  <c r="B736" i="5"/>
  <c r="B735" i="5"/>
  <c r="B734" i="5"/>
  <c r="B733" i="5"/>
  <c r="B732" i="5"/>
  <c r="B731" i="5"/>
  <c r="B730" i="5"/>
  <c r="B729" i="5"/>
  <c r="B728" i="5"/>
  <c r="B727" i="5"/>
  <c r="B726" i="5"/>
  <c r="B725" i="5"/>
  <c r="B724" i="5"/>
  <c r="B723" i="5"/>
  <c r="B722" i="5"/>
  <c r="B721" i="5"/>
  <c r="B720" i="5"/>
  <c r="B719" i="5"/>
  <c r="B718" i="5"/>
  <c r="B717" i="5"/>
  <c r="B716" i="5"/>
  <c r="B715" i="5"/>
  <c r="B714" i="5"/>
  <c r="B713" i="5"/>
  <c r="B712" i="5"/>
  <c r="B711" i="5"/>
  <c r="B710" i="5"/>
  <c r="B709" i="5"/>
  <c r="B708" i="5"/>
  <c r="B707" i="5"/>
  <c r="B706" i="5"/>
  <c r="B705" i="5"/>
  <c r="B704" i="5"/>
  <c r="B703" i="5"/>
  <c r="B702" i="5"/>
  <c r="B701" i="5"/>
  <c r="B700" i="5"/>
  <c r="B699" i="5"/>
  <c r="B698" i="5"/>
  <c r="B697" i="5"/>
  <c r="B696" i="5"/>
  <c r="B695" i="5"/>
  <c r="B694" i="5"/>
  <c r="B693" i="5"/>
  <c r="B692" i="5"/>
  <c r="B691" i="5"/>
  <c r="B690" i="5"/>
  <c r="B689" i="5"/>
  <c r="B688" i="5"/>
  <c r="B687" i="5"/>
  <c r="B686" i="5"/>
  <c r="B685" i="5"/>
  <c r="B684" i="5"/>
  <c r="B683" i="5"/>
  <c r="B682" i="5"/>
  <c r="B681" i="5"/>
  <c r="B680" i="5"/>
  <c r="B679" i="5"/>
  <c r="B678" i="5"/>
  <c r="B677" i="5"/>
  <c r="B676" i="5"/>
  <c r="B675" i="5"/>
  <c r="B674" i="5"/>
  <c r="B673" i="5"/>
  <c r="B672" i="5"/>
  <c r="B671" i="5"/>
  <c r="B670" i="5"/>
  <c r="B669" i="5"/>
  <c r="B668" i="5"/>
  <c r="B667" i="5"/>
  <c r="B666" i="5"/>
  <c r="B665" i="5"/>
  <c r="B664" i="5"/>
  <c r="B663" i="5"/>
  <c r="B662" i="5"/>
  <c r="B661" i="5"/>
  <c r="B660" i="5"/>
  <c r="B659" i="5"/>
  <c r="B658" i="5"/>
  <c r="B657" i="5"/>
  <c r="B656" i="5"/>
  <c r="B655" i="5"/>
  <c r="B654" i="5"/>
  <c r="B653" i="5"/>
  <c r="Q652" i="5"/>
  <c r="O652" i="5"/>
  <c r="N652" i="5"/>
  <c r="M652" i="5"/>
  <c r="L652" i="5"/>
  <c r="K652" i="5"/>
  <c r="J652" i="5"/>
  <c r="I652" i="5"/>
  <c r="H652" i="5"/>
  <c r="G652" i="5"/>
  <c r="F652" i="5"/>
  <c r="D652" i="5"/>
  <c r="C652" i="5"/>
  <c r="B652" i="5"/>
  <c r="Q651" i="5"/>
  <c r="O651" i="5"/>
  <c r="N651" i="5"/>
  <c r="M651" i="5"/>
  <c r="L651" i="5"/>
  <c r="K651" i="5"/>
  <c r="J651" i="5"/>
  <c r="I651" i="5"/>
  <c r="H651" i="5"/>
  <c r="G651" i="5"/>
  <c r="F651" i="5"/>
  <c r="D651" i="5"/>
  <c r="C651" i="5"/>
  <c r="B651" i="5"/>
  <c r="Q650" i="5"/>
  <c r="O650" i="5"/>
  <c r="N650" i="5"/>
  <c r="M650" i="5"/>
  <c r="L650" i="5"/>
  <c r="K650" i="5"/>
  <c r="J650" i="5"/>
  <c r="I650" i="5"/>
  <c r="H650" i="5"/>
  <c r="G650" i="5"/>
  <c r="F650" i="5"/>
  <c r="D650" i="5"/>
  <c r="C650" i="5"/>
  <c r="B650" i="5"/>
  <c r="Q649" i="5"/>
  <c r="O649" i="5"/>
  <c r="N649" i="5"/>
  <c r="M649" i="5"/>
  <c r="L649" i="5"/>
  <c r="K649" i="5"/>
  <c r="J649" i="5"/>
  <c r="I649" i="5"/>
  <c r="H649" i="5"/>
  <c r="G649" i="5"/>
  <c r="F649" i="5"/>
  <c r="D649" i="5"/>
  <c r="C649" i="5"/>
  <c r="A649" i="5" s="1" a="1"/>
  <c r="A649" i="5" s="1"/>
  <c r="B649" i="5"/>
  <c r="Q648" i="5"/>
  <c r="O648" i="5"/>
  <c r="N648" i="5"/>
  <c r="M648" i="5"/>
  <c r="L648" i="5"/>
  <c r="K648" i="5"/>
  <c r="J648" i="5"/>
  <c r="G648" i="5"/>
  <c r="F648" i="5"/>
  <c r="D648" i="5"/>
  <c r="C648" i="5"/>
  <c r="B648" i="5"/>
  <c r="Q647" i="5"/>
  <c r="O647" i="5"/>
  <c r="N647" i="5"/>
  <c r="M647" i="5"/>
  <c r="L647" i="5"/>
  <c r="K647" i="5"/>
  <c r="J647" i="5"/>
  <c r="G647" i="5"/>
  <c r="F647" i="5"/>
  <c r="D647" i="5"/>
  <c r="C647" i="5"/>
  <c r="B647" i="5"/>
  <c r="Q646" i="5"/>
  <c r="O646" i="5"/>
  <c r="N646" i="5"/>
  <c r="M646" i="5"/>
  <c r="L646" i="5"/>
  <c r="K646" i="5"/>
  <c r="J646" i="5"/>
  <c r="G646" i="5"/>
  <c r="F646" i="5"/>
  <c r="D646" i="5"/>
  <c r="C646" i="5"/>
  <c r="B646" i="5"/>
  <c r="Q645" i="5"/>
  <c r="O645" i="5"/>
  <c r="N645" i="5"/>
  <c r="M645" i="5"/>
  <c r="L645" i="5"/>
  <c r="K645" i="5"/>
  <c r="J645" i="5"/>
  <c r="G645" i="5"/>
  <c r="F645" i="5"/>
  <c r="D645" i="5"/>
  <c r="C645" i="5"/>
  <c r="B645" i="5"/>
  <c r="Q644" i="5"/>
  <c r="O644" i="5"/>
  <c r="N644" i="5"/>
  <c r="M644" i="5"/>
  <c r="L644" i="5"/>
  <c r="K644" i="5"/>
  <c r="J644" i="5"/>
  <c r="G644" i="5"/>
  <c r="F644" i="5"/>
  <c r="D644" i="5"/>
  <c r="C644" i="5"/>
  <c r="B644" i="5"/>
  <c r="A644" i="5" a="1"/>
  <c r="A644" i="5" s="1"/>
  <c r="Q643" i="5"/>
  <c r="O643" i="5"/>
  <c r="N643" i="5"/>
  <c r="M643" i="5"/>
  <c r="L643" i="5"/>
  <c r="K643" i="5"/>
  <c r="J643" i="5"/>
  <c r="G643" i="5"/>
  <c r="F643" i="5"/>
  <c r="D643" i="5"/>
  <c r="C643" i="5"/>
  <c r="B643" i="5"/>
  <c r="Q642" i="5"/>
  <c r="O642" i="5"/>
  <c r="N642" i="5"/>
  <c r="M642" i="5"/>
  <c r="L642" i="5"/>
  <c r="K642" i="5"/>
  <c r="J642" i="5"/>
  <c r="G642" i="5"/>
  <c r="F642" i="5"/>
  <c r="D642" i="5"/>
  <c r="C642" i="5"/>
  <c r="B642" i="5"/>
  <c r="Q641" i="5"/>
  <c r="O641" i="5"/>
  <c r="N641" i="5"/>
  <c r="M641" i="5"/>
  <c r="L641" i="5"/>
  <c r="K641" i="5"/>
  <c r="J641" i="5"/>
  <c r="G641" i="5"/>
  <c r="F641" i="5"/>
  <c r="D641" i="5"/>
  <c r="C641" i="5"/>
  <c r="B641" i="5"/>
  <c r="Q640" i="5"/>
  <c r="O640" i="5"/>
  <c r="N640" i="5"/>
  <c r="M640" i="5"/>
  <c r="L640" i="5"/>
  <c r="K640" i="5"/>
  <c r="J640" i="5"/>
  <c r="G640" i="5"/>
  <c r="F640" i="5"/>
  <c r="D640" i="5"/>
  <c r="C640" i="5"/>
  <c r="B640" i="5"/>
  <c r="Q639" i="5"/>
  <c r="O639" i="5"/>
  <c r="N639" i="5"/>
  <c r="M639" i="5"/>
  <c r="L639" i="5"/>
  <c r="K639" i="5"/>
  <c r="J639" i="5"/>
  <c r="G639" i="5"/>
  <c r="F639" i="5"/>
  <c r="D639" i="5"/>
  <c r="C639" i="5"/>
  <c r="B639" i="5"/>
  <c r="Q638" i="5"/>
  <c r="O638" i="5"/>
  <c r="N638" i="5"/>
  <c r="M638" i="5"/>
  <c r="L638" i="5"/>
  <c r="K638" i="5"/>
  <c r="J638" i="5"/>
  <c r="G638" i="5"/>
  <c r="F638" i="5"/>
  <c r="D638" i="5"/>
  <c r="C638" i="5"/>
  <c r="B638" i="5"/>
  <c r="Q637" i="5"/>
  <c r="O637" i="5"/>
  <c r="N637" i="5"/>
  <c r="M637" i="5"/>
  <c r="L637" i="5"/>
  <c r="K637" i="5"/>
  <c r="J637" i="5"/>
  <c r="G637" i="5"/>
  <c r="F637" i="5"/>
  <c r="D637" i="5"/>
  <c r="C637" i="5"/>
  <c r="B637" i="5"/>
  <c r="Q636" i="5"/>
  <c r="O636" i="5"/>
  <c r="N636" i="5"/>
  <c r="M636" i="5"/>
  <c r="L636" i="5"/>
  <c r="K636" i="5"/>
  <c r="J636" i="5"/>
  <c r="G636" i="5"/>
  <c r="F636" i="5"/>
  <c r="D636" i="5"/>
  <c r="C636" i="5"/>
  <c r="B636" i="5"/>
  <c r="Q635" i="5"/>
  <c r="O635" i="5"/>
  <c r="N635" i="5"/>
  <c r="M635" i="5"/>
  <c r="L635" i="5"/>
  <c r="K635" i="5"/>
  <c r="J635" i="5"/>
  <c r="G635" i="5"/>
  <c r="F635" i="5"/>
  <c r="D635" i="5"/>
  <c r="C635" i="5"/>
  <c r="B635" i="5"/>
  <c r="Q634" i="5"/>
  <c r="O634" i="5"/>
  <c r="N634" i="5"/>
  <c r="M634" i="5"/>
  <c r="L634" i="5"/>
  <c r="K634" i="5"/>
  <c r="J634" i="5"/>
  <c r="I634" i="5"/>
  <c r="H634" i="5"/>
  <c r="G634" i="5"/>
  <c r="F634" i="5"/>
  <c r="D634" i="5"/>
  <c r="C634" i="5"/>
  <c r="B634" i="5"/>
  <c r="Q633" i="5"/>
  <c r="O633" i="5"/>
  <c r="N633" i="5"/>
  <c r="M633" i="5"/>
  <c r="L633" i="5"/>
  <c r="K633" i="5"/>
  <c r="J633" i="5"/>
  <c r="I633" i="5"/>
  <c r="H633" i="5"/>
  <c r="G633" i="5"/>
  <c r="F633" i="5"/>
  <c r="D633" i="5"/>
  <c r="C633" i="5"/>
  <c r="B633" i="5"/>
  <c r="Q632" i="5"/>
  <c r="O632" i="5"/>
  <c r="N632" i="5"/>
  <c r="M632" i="5"/>
  <c r="L632" i="5"/>
  <c r="K632" i="5"/>
  <c r="J632" i="5"/>
  <c r="I632" i="5"/>
  <c r="H632" i="5"/>
  <c r="G632" i="5"/>
  <c r="F632" i="5"/>
  <c r="D632" i="5"/>
  <c r="C632" i="5"/>
  <c r="B632" i="5"/>
  <c r="Q631" i="5"/>
  <c r="O631" i="5"/>
  <c r="N631" i="5"/>
  <c r="M631" i="5"/>
  <c r="L631" i="5"/>
  <c r="K631" i="5"/>
  <c r="J631" i="5"/>
  <c r="I631" i="5"/>
  <c r="H631" i="5"/>
  <c r="G631" i="5"/>
  <c r="F631" i="5"/>
  <c r="D631" i="5"/>
  <c r="C631" i="5"/>
  <c r="B631" i="5"/>
  <c r="Q630" i="5"/>
  <c r="O630" i="5"/>
  <c r="N630" i="5"/>
  <c r="M630" i="5"/>
  <c r="L630" i="5"/>
  <c r="K630" i="5"/>
  <c r="J630" i="5"/>
  <c r="I630" i="5"/>
  <c r="H630" i="5"/>
  <c r="G630" i="5"/>
  <c r="F630" i="5"/>
  <c r="D630" i="5"/>
  <c r="C630" i="5"/>
  <c r="B630" i="5"/>
  <c r="Q629" i="5"/>
  <c r="O629" i="5"/>
  <c r="N629" i="5"/>
  <c r="M629" i="5"/>
  <c r="L629" i="5"/>
  <c r="K629" i="5"/>
  <c r="J629" i="5"/>
  <c r="I629" i="5"/>
  <c r="H629" i="5"/>
  <c r="G629" i="5"/>
  <c r="F629" i="5"/>
  <c r="D629" i="5"/>
  <c r="C629" i="5"/>
  <c r="B629" i="5"/>
  <c r="Q628" i="5"/>
  <c r="O628" i="5"/>
  <c r="N628" i="5"/>
  <c r="M628" i="5"/>
  <c r="L628" i="5"/>
  <c r="K628" i="5"/>
  <c r="J628" i="5"/>
  <c r="I628" i="5"/>
  <c r="H628" i="5"/>
  <c r="G628" i="5"/>
  <c r="F628" i="5"/>
  <c r="D628" i="5"/>
  <c r="C628" i="5"/>
  <c r="B628" i="5"/>
  <c r="Q627" i="5"/>
  <c r="O627" i="5"/>
  <c r="N627" i="5"/>
  <c r="M627" i="5"/>
  <c r="L627" i="5"/>
  <c r="K627" i="5"/>
  <c r="J627" i="5"/>
  <c r="I627" i="5"/>
  <c r="H627" i="5"/>
  <c r="G627" i="5"/>
  <c r="F627" i="5"/>
  <c r="D627" i="5"/>
  <c r="C627" i="5"/>
  <c r="B627" i="5"/>
  <c r="Q626" i="5"/>
  <c r="O626" i="5"/>
  <c r="N626" i="5"/>
  <c r="M626" i="5"/>
  <c r="L626" i="5"/>
  <c r="K626" i="5"/>
  <c r="J626" i="5"/>
  <c r="I626" i="5"/>
  <c r="H626" i="5"/>
  <c r="G626" i="5"/>
  <c r="F626" i="5"/>
  <c r="D626" i="5"/>
  <c r="C626" i="5"/>
  <c r="B626" i="5"/>
  <c r="Q625" i="5"/>
  <c r="O625" i="5"/>
  <c r="N625" i="5"/>
  <c r="M625" i="5"/>
  <c r="L625" i="5"/>
  <c r="K625" i="5"/>
  <c r="J625" i="5"/>
  <c r="I625" i="5"/>
  <c r="H625" i="5"/>
  <c r="G625" i="5"/>
  <c r="F625" i="5"/>
  <c r="D625" i="5"/>
  <c r="C625" i="5"/>
  <c r="B625" i="5"/>
  <c r="Q624" i="5"/>
  <c r="O624" i="5"/>
  <c r="N624" i="5"/>
  <c r="M624" i="5"/>
  <c r="L624" i="5"/>
  <c r="K624" i="5"/>
  <c r="J624" i="5"/>
  <c r="I624" i="5"/>
  <c r="H624" i="5"/>
  <c r="G624" i="5"/>
  <c r="F624" i="5"/>
  <c r="D624" i="5"/>
  <c r="C624" i="5"/>
  <c r="B624" i="5"/>
  <c r="Q623" i="5"/>
  <c r="O623" i="5"/>
  <c r="N623" i="5"/>
  <c r="M623" i="5"/>
  <c r="L623" i="5"/>
  <c r="K623" i="5"/>
  <c r="J623" i="5"/>
  <c r="I623" i="5"/>
  <c r="H623" i="5"/>
  <c r="G623" i="5"/>
  <c r="F623" i="5"/>
  <c r="D623" i="5"/>
  <c r="C623" i="5"/>
  <c r="B623" i="5"/>
  <c r="Q622" i="5"/>
  <c r="O622" i="5"/>
  <c r="N622" i="5"/>
  <c r="M622" i="5"/>
  <c r="L622" i="5"/>
  <c r="K622" i="5"/>
  <c r="J622" i="5"/>
  <c r="I622" i="5"/>
  <c r="H622" i="5"/>
  <c r="G622" i="5"/>
  <c r="F622" i="5"/>
  <c r="D622" i="5"/>
  <c r="C622" i="5"/>
  <c r="B622" i="5"/>
  <c r="Q621" i="5"/>
  <c r="O621" i="5"/>
  <c r="N621" i="5"/>
  <c r="M621" i="5"/>
  <c r="L621" i="5"/>
  <c r="K621" i="5"/>
  <c r="J621" i="5"/>
  <c r="I621" i="5"/>
  <c r="H621" i="5"/>
  <c r="G621" i="5"/>
  <c r="F621" i="5"/>
  <c r="D621" i="5"/>
  <c r="C621" i="5"/>
  <c r="B621" i="5"/>
  <c r="Q620" i="5"/>
  <c r="O620" i="5"/>
  <c r="N620" i="5"/>
  <c r="M620" i="5"/>
  <c r="L620" i="5"/>
  <c r="K620" i="5"/>
  <c r="J620" i="5"/>
  <c r="I620" i="5"/>
  <c r="H620" i="5"/>
  <c r="G620" i="5"/>
  <c r="F620" i="5"/>
  <c r="D620" i="5"/>
  <c r="C620" i="5"/>
  <c r="B620" i="5"/>
  <c r="Q619" i="5"/>
  <c r="O619" i="5"/>
  <c r="N619" i="5"/>
  <c r="M619" i="5"/>
  <c r="L619" i="5"/>
  <c r="K619" i="5"/>
  <c r="J619" i="5"/>
  <c r="I619" i="5"/>
  <c r="H619" i="5"/>
  <c r="G619" i="5"/>
  <c r="F619" i="5"/>
  <c r="D619" i="5"/>
  <c r="C619" i="5"/>
  <c r="B619" i="5"/>
  <c r="Q618" i="5"/>
  <c r="O618" i="5"/>
  <c r="N618" i="5"/>
  <c r="M618" i="5"/>
  <c r="L618" i="5"/>
  <c r="K618" i="5"/>
  <c r="J618" i="5"/>
  <c r="I618" i="5"/>
  <c r="H618" i="5"/>
  <c r="G618" i="5"/>
  <c r="F618" i="5"/>
  <c r="D618" i="5"/>
  <c r="C618" i="5"/>
  <c r="B618" i="5"/>
  <c r="Q617" i="5"/>
  <c r="O617" i="5"/>
  <c r="N617" i="5"/>
  <c r="M617" i="5"/>
  <c r="L617" i="5"/>
  <c r="K617" i="5"/>
  <c r="J617" i="5"/>
  <c r="I617" i="5"/>
  <c r="H617" i="5"/>
  <c r="G617" i="5"/>
  <c r="F617" i="5"/>
  <c r="D617" i="5"/>
  <c r="C617" i="5"/>
  <c r="B617" i="5"/>
  <c r="Q616" i="5"/>
  <c r="O616" i="5"/>
  <c r="N616" i="5"/>
  <c r="M616" i="5"/>
  <c r="L616" i="5"/>
  <c r="K616" i="5"/>
  <c r="J616" i="5"/>
  <c r="I616" i="5"/>
  <c r="H616" i="5"/>
  <c r="G616" i="5"/>
  <c r="F616" i="5"/>
  <c r="D616" i="5"/>
  <c r="C616" i="5"/>
  <c r="B616" i="5"/>
  <c r="Q615" i="5"/>
  <c r="O615" i="5"/>
  <c r="N615" i="5"/>
  <c r="M615" i="5"/>
  <c r="L615" i="5"/>
  <c r="K615" i="5"/>
  <c r="J615" i="5"/>
  <c r="I615" i="5"/>
  <c r="H615" i="5"/>
  <c r="G615" i="5"/>
  <c r="F615" i="5"/>
  <c r="D615" i="5"/>
  <c r="C615" i="5"/>
  <c r="B615" i="5"/>
  <c r="Q614" i="5"/>
  <c r="O614" i="5"/>
  <c r="N614" i="5"/>
  <c r="M614" i="5"/>
  <c r="L614" i="5"/>
  <c r="K614" i="5"/>
  <c r="J614" i="5"/>
  <c r="I614" i="5"/>
  <c r="H614" i="5"/>
  <c r="G614" i="5"/>
  <c r="F614" i="5"/>
  <c r="D614" i="5"/>
  <c r="C614" i="5"/>
  <c r="B614" i="5"/>
  <c r="Q613" i="5"/>
  <c r="O613" i="5"/>
  <c r="N613" i="5"/>
  <c r="M613" i="5"/>
  <c r="L613" i="5"/>
  <c r="K613" i="5"/>
  <c r="J613" i="5"/>
  <c r="I613" i="5"/>
  <c r="H613" i="5"/>
  <c r="G613" i="5"/>
  <c r="F613" i="5"/>
  <c r="D613" i="5"/>
  <c r="C613" i="5"/>
  <c r="B613" i="5"/>
  <c r="Q612" i="5"/>
  <c r="O612" i="5"/>
  <c r="N612" i="5"/>
  <c r="M612" i="5"/>
  <c r="L612" i="5"/>
  <c r="K612" i="5"/>
  <c r="J612" i="5"/>
  <c r="I612" i="5"/>
  <c r="H612" i="5"/>
  <c r="G612" i="5"/>
  <c r="F612" i="5"/>
  <c r="D612" i="5"/>
  <c r="C612" i="5"/>
  <c r="B612" i="5"/>
  <c r="Q611" i="5"/>
  <c r="O611" i="5"/>
  <c r="N611" i="5"/>
  <c r="M611" i="5"/>
  <c r="L611" i="5"/>
  <c r="K611" i="5"/>
  <c r="J611" i="5"/>
  <c r="I611" i="5"/>
  <c r="H611" i="5"/>
  <c r="G611" i="5"/>
  <c r="F611" i="5"/>
  <c r="D611" i="5"/>
  <c r="C611" i="5"/>
  <c r="B611" i="5"/>
  <c r="Q610" i="5"/>
  <c r="O610" i="5"/>
  <c r="N610" i="5"/>
  <c r="M610" i="5"/>
  <c r="L610" i="5"/>
  <c r="K610" i="5"/>
  <c r="J610" i="5"/>
  <c r="I610" i="5"/>
  <c r="H610" i="5"/>
  <c r="G610" i="5"/>
  <c r="F610" i="5"/>
  <c r="D610" i="5"/>
  <c r="C610" i="5"/>
  <c r="B610" i="5"/>
  <c r="Q609" i="5"/>
  <c r="O609" i="5"/>
  <c r="N609" i="5"/>
  <c r="M609" i="5"/>
  <c r="L609" i="5"/>
  <c r="K609" i="5"/>
  <c r="J609" i="5"/>
  <c r="I609" i="5"/>
  <c r="H609" i="5"/>
  <c r="G609" i="5"/>
  <c r="F609" i="5"/>
  <c r="D609" i="5"/>
  <c r="C609" i="5"/>
  <c r="B609" i="5"/>
  <c r="Q608" i="5"/>
  <c r="O608" i="5"/>
  <c r="N608" i="5"/>
  <c r="M608" i="5"/>
  <c r="L608" i="5"/>
  <c r="K608" i="5"/>
  <c r="J608" i="5"/>
  <c r="I608" i="5"/>
  <c r="H608" i="5"/>
  <c r="G608" i="5"/>
  <c r="F608" i="5"/>
  <c r="D608" i="5"/>
  <c r="C608" i="5"/>
  <c r="B608" i="5"/>
  <c r="Q607" i="5"/>
  <c r="O607" i="5"/>
  <c r="N607" i="5"/>
  <c r="M607" i="5"/>
  <c r="L607" i="5"/>
  <c r="K607" i="5"/>
  <c r="J607" i="5"/>
  <c r="I607" i="5"/>
  <c r="H607" i="5"/>
  <c r="G607" i="5"/>
  <c r="F607" i="5"/>
  <c r="D607" i="5"/>
  <c r="C607" i="5"/>
  <c r="B607" i="5"/>
  <c r="Q606" i="5"/>
  <c r="O606" i="5"/>
  <c r="N606" i="5"/>
  <c r="M606" i="5"/>
  <c r="L606" i="5"/>
  <c r="K606" i="5"/>
  <c r="J606" i="5"/>
  <c r="I606" i="5"/>
  <c r="H606" i="5"/>
  <c r="G606" i="5"/>
  <c r="F606" i="5"/>
  <c r="D606" i="5"/>
  <c r="C606" i="5"/>
  <c r="B606" i="5"/>
  <c r="Q605" i="5"/>
  <c r="O605" i="5"/>
  <c r="N605" i="5"/>
  <c r="M605" i="5"/>
  <c r="L605" i="5"/>
  <c r="K605" i="5"/>
  <c r="J605" i="5"/>
  <c r="I605" i="5"/>
  <c r="H605" i="5"/>
  <c r="G605" i="5"/>
  <c r="F605" i="5"/>
  <c r="D605" i="5"/>
  <c r="C605" i="5"/>
  <c r="B605" i="5"/>
  <c r="Q604" i="5"/>
  <c r="O604" i="5"/>
  <c r="N604" i="5"/>
  <c r="M604" i="5"/>
  <c r="L604" i="5"/>
  <c r="K604" i="5"/>
  <c r="J604" i="5"/>
  <c r="I604" i="5"/>
  <c r="H604" i="5"/>
  <c r="G604" i="5"/>
  <c r="F604" i="5"/>
  <c r="D604" i="5"/>
  <c r="C604" i="5"/>
  <c r="B604" i="5"/>
  <c r="Q603" i="5"/>
  <c r="O603" i="5"/>
  <c r="N603" i="5"/>
  <c r="M603" i="5"/>
  <c r="L603" i="5"/>
  <c r="K603" i="5"/>
  <c r="J603" i="5"/>
  <c r="I603" i="5"/>
  <c r="H603" i="5"/>
  <c r="G603" i="5"/>
  <c r="F603" i="5"/>
  <c r="D603" i="5"/>
  <c r="C603" i="5"/>
  <c r="B603" i="5"/>
  <c r="Q602" i="5"/>
  <c r="O602" i="5"/>
  <c r="N602" i="5"/>
  <c r="M602" i="5"/>
  <c r="L602" i="5"/>
  <c r="K602" i="5"/>
  <c r="J602" i="5"/>
  <c r="I602" i="5"/>
  <c r="H602" i="5"/>
  <c r="G602" i="5"/>
  <c r="F602" i="5"/>
  <c r="D602" i="5"/>
  <c r="C602" i="5"/>
  <c r="B602" i="5"/>
  <c r="Q601" i="5"/>
  <c r="O601" i="5"/>
  <c r="N601" i="5"/>
  <c r="M601" i="5"/>
  <c r="L601" i="5"/>
  <c r="K601" i="5"/>
  <c r="J601" i="5"/>
  <c r="I601" i="5"/>
  <c r="H601" i="5"/>
  <c r="G601" i="5"/>
  <c r="F601" i="5"/>
  <c r="D601" i="5"/>
  <c r="C601" i="5"/>
  <c r="B601" i="5"/>
  <c r="Q600" i="5"/>
  <c r="O600" i="5"/>
  <c r="N600" i="5"/>
  <c r="M600" i="5"/>
  <c r="L600" i="5"/>
  <c r="K600" i="5"/>
  <c r="J600" i="5"/>
  <c r="I600" i="5"/>
  <c r="H600" i="5"/>
  <c r="G600" i="5"/>
  <c r="F600" i="5"/>
  <c r="D600" i="5"/>
  <c r="C600" i="5"/>
  <c r="B600" i="5"/>
  <c r="Q599" i="5"/>
  <c r="O599" i="5"/>
  <c r="N599" i="5"/>
  <c r="M599" i="5"/>
  <c r="L599" i="5"/>
  <c r="K599" i="5"/>
  <c r="J599" i="5"/>
  <c r="I599" i="5"/>
  <c r="H599" i="5"/>
  <c r="G599" i="5"/>
  <c r="F599" i="5"/>
  <c r="D599" i="5"/>
  <c r="C599" i="5"/>
  <c r="B599" i="5"/>
  <c r="Q598" i="5"/>
  <c r="O598" i="5"/>
  <c r="N598" i="5"/>
  <c r="M598" i="5"/>
  <c r="L598" i="5"/>
  <c r="K598" i="5"/>
  <c r="J598" i="5"/>
  <c r="G598" i="5"/>
  <c r="F598" i="5"/>
  <c r="D598" i="5"/>
  <c r="C598" i="5"/>
  <c r="B598" i="5"/>
  <c r="Q597" i="5"/>
  <c r="O597" i="5"/>
  <c r="N597" i="5"/>
  <c r="M597" i="5"/>
  <c r="L597" i="5"/>
  <c r="K597" i="5"/>
  <c r="J597" i="5"/>
  <c r="I597" i="5"/>
  <c r="H597" i="5"/>
  <c r="G597" i="5"/>
  <c r="F597" i="5"/>
  <c r="D597" i="5"/>
  <c r="C597" i="5"/>
  <c r="B597" i="5"/>
  <c r="Q596" i="5"/>
  <c r="O596" i="5"/>
  <c r="N596" i="5"/>
  <c r="M596" i="5"/>
  <c r="L596" i="5"/>
  <c r="K596" i="5"/>
  <c r="J596" i="5"/>
  <c r="I596" i="5"/>
  <c r="H596" i="5"/>
  <c r="G596" i="5"/>
  <c r="F596" i="5"/>
  <c r="D596" i="5"/>
  <c r="C596" i="5"/>
  <c r="B596" i="5"/>
  <c r="Q595" i="5"/>
  <c r="O595" i="5"/>
  <c r="N595" i="5"/>
  <c r="M595" i="5"/>
  <c r="L595" i="5"/>
  <c r="K595" i="5"/>
  <c r="J595" i="5"/>
  <c r="I595" i="5"/>
  <c r="H595" i="5"/>
  <c r="G595" i="5"/>
  <c r="F595" i="5"/>
  <c r="D595" i="5"/>
  <c r="C595" i="5"/>
  <c r="B595" i="5"/>
  <c r="Q594" i="5"/>
  <c r="O594" i="5"/>
  <c r="N594" i="5"/>
  <c r="M594" i="5"/>
  <c r="L594" i="5"/>
  <c r="K594" i="5"/>
  <c r="J594" i="5"/>
  <c r="I594" i="5"/>
  <c r="H594" i="5"/>
  <c r="G594" i="5"/>
  <c r="F594" i="5"/>
  <c r="D594" i="5"/>
  <c r="C594" i="5"/>
  <c r="B594" i="5"/>
  <c r="Q593" i="5"/>
  <c r="O593" i="5"/>
  <c r="N593" i="5"/>
  <c r="M593" i="5"/>
  <c r="L593" i="5"/>
  <c r="K593" i="5"/>
  <c r="J593" i="5"/>
  <c r="I593" i="5"/>
  <c r="H593" i="5"/>
  <c r="G593" i="5"/>
  <c r="F593" i="5"/>
  <c r="D593" i="5"/>
  <c r="C593" i="5"/>
  <c r="B593" i="5"/>
  <c r="Q592" i="5"/>
  <c r="O592" i="5"/>
  <c r="N592" i="5"/>
  <c r="M592" i="5"/>
  <c r="L592" i="5"/>
  <c r="K592" i="5"/>
  <c r="J592" i="5"/>
  <c r="I592" i="5"/>
  <c r="H592" i="5"/>
  <c r="G592" i="5"/>
  <c r="F592" i="5"/>
  <c r="D592" i="5"/>
  <c r="C592" i="5"/>
  <c r="B592" i="5"/>
  <c r="Q591" i="5"/>
  <c r="O591" i="5"/>
  <c r="N591" i="5"/>
  <c r="M591" i="5"/>
  <c r="L591" i="5"/>
  <c r="K591" i="5"/>
  <c r="J591" i="5"/>
  <c r="I591" i="5"/>
  <c r="H591" i="5"/>
  <c r="G591" i="5"/>
  <c r="F591" i="5"/>
  <c r="D591" i="5"/>
  <c r="C591" i="5"/>
  <c r="B591" i="5"/>
  <c r="Q590" i="5"/>
  <c r="O590" i="5"/>
  <c r="N590" i="5"/>
  <c r="M590" i="5"/>
  <c r="L590" i="5"/>
  <c r="K590" i="5"/>
  <c r="J590" i="5"/>
  <c r="I590" i="5"/>
  <c r="H590" i="5"/>
  <c r="G590" i="5"/>
  <c r="F590" i="5"/>
  <c r="D590" i="5"/>
  <c r="C590" i="5"/>
  <c r="B590" i="5"/>
  <c r="Q589" i="5"/>
  <c r="O589" i="5"/>
  <c r="N589" i="5"/>
  <c r="M589" i="5"/>
  <c r="L589" i="5"/>
  <c r="K589" i="5"/>
  <c r="J589" i="5"/>
  <c r="I589" i="5"/>
  <c r="H589" i="5"/>
  <c r="G589" i="5"/>
  <c r="F589" i="5"/>
  <c r="D589" i="5"/>
  <c r="C589" i="5"/>
  <c r="B589" i="5"/>
  <c r="Q588" i="5"/>
  <c r="O588" i="5"/>
  <c r="N588" i="5"/>
  <c r="M588" i="5"/>
  <c r="L588" i="5"/>
  <c r="K588" i="5"/>
  <c r="J588" i="5"/>
  <c r="I588" i="5"/>
  <c r="H588" i="5"/>
  <c r="G588" i="5"/>
  <c r="F588" i="5"/>
  <c r="D588" i="5"/>
  <c r="C588" i="5"/>
  <c r="B588" i="5"/>
  <c r="Q587" i="5"/>
  <c r="O587" i="5"/>
  <c r="N587" i="5"/>
  <c r="M587" i="5"/>
  <c r="L587" i="5"/>
  <c r="K587" i="5"/>
  <c r="J587" i="5"/>
  <c r="I587" i="5"/>
  <c r="H587" i="5"/>
  <c r="G587" i="5"/>
  <c r="F587" i="5"/>
  <c r="D587" i="5"/>
  <c r="C587" i="5"/>
  <c r="B587" i="5"/>
  <c r="Q586" i="5"/>
  <c r="O586" i="5"/>
  <c r="N586" i="5"/>
  <c r="M586" i="5"/>
  <c r="L586" i="5"/>
  <c r="K586" i="5"/>
  <c r="J586" i="5"/>
  <c r="I586" i="5"/>
  <c r="H586" i="5"/>
  <c r="G586" i="5"/>
  <c r="F586" i="5"/>
  <c r="D586" i="5"/>
  <c r="C586" i="5"/>
  <c r="B586" i="5"/>
  <c r="Q585" i="5"/>
  <c r="O585" i="5"/>
  <c r="N585" i="5"/>
  <c r="M585" i="5"/>
  <c r="L585" i="5"/>
  <c r="K585" i="5"/>
  <c r="J585" i="5"/>
  <c r="I585" i="5"/>
  <c r="H585" i="5"/>
  <c r="G585" i="5"/>
  <c r="F585" i="5"/>
  <c r="D585" i="5"/>
  <c r="C585" i="5"/>
  <c r="B585" i="5"/>
  <c r="Q584" i="5"/>
  <c r="O584" i="5"/>
  <c r="N584" i="5"/>
  <c r="M584" i="5"/>
  <c r="L584" i="5"/>
  <c r="K584" i="5"/>
  <c r="J584" i="5"/>
  <c r="I584" i="5"/>
  <c r="H584" i="5"/>
  <c r="G584" i="5"/>
  <c r="F584" i="5"/>
  <c r="D584" i="5"/>
  <c r="C584" i="5"/>
  <c r="B584" i="5"/>
  <c r="Q583" i="5"/>
  <c r="O583" i="5"/>
  <c r="N583" i="5"/>
  <c r="M583" i="5"/>
  <c r="L583" i="5"/>
  <c r="K583" i="5"/>
  <c r="J583" i="5"/>
  <c r="I583" i="5"/>
  <c r="H583" i="5"/>
  <c r="G583" i="5"/>
  <c r="F583" i="5"/>
  <c r="D583" i="5"/>
  <c r="C583" i="5"/>
  <c r="B583" i="5"/>
  <c r="Q582" i="5"/>
  <c r="O582" i="5"/>
  <c r="N582" i="5"/>
  <c r="M582" i="5"/>
  <c r="L582" i="5"/>
  <c r="K582" i="5"/>
  <c r="J582" i="5"/>
  <c r="I582" i="5"/>
  <c r="H582" i="5"/>
  <c r="G582" i="5"/>
  <c r="F582" i="5"/>
  <c r="D582" i="5"/>
  <c r="C582" i="5"/>
  <c r="B582" i="5"/>
  <c r="Q581" i="5"/>
  <c r="O581" i="5"/>
  <c r="N581" i="5"/>
  <c r="M581" i="5"/>
  <c r="L581" i="5"/>
  <c r="K581" i="5"/>
  <c r="J581" i="5"/>
  <c r="I581" i="5"/>
  <c r="H581" i="5"/>
  <c r="G581" i="5"/>
  <c r="F581" i="5"/>
  <c r="D581" i="5"/>
  <c r="C581" i="5"/>
  <c r="B581" i="5"/>
  <c r="Q580" i="5"/>
  <c r="O580" i="5"/>
  <c r="N580" i="5"/>
  <c r="M580" i="5"/>
  <c r="L580" i="5"/>
  <c r="K580" i="5"/>
  <c r="J580" i="5"/>
  <c r="I580" i="5"/>
  <c r="H580" i="5"/>
  <c r="G580" i="5"/>
  <c r="F580" i="5"/>
  <c r="D580" i="5"/>
  <c r="C580" i="5"/>
  <c r="B580" i="5"/>
  <c r="Q579" i="5"/>
  <c r="O579" i="5"/>
  <c r="N579" i="5"/>
  <c r="M579" i="5"/>
  <c r="L579" i="5"/>
  <c r="K579" i="5"/>
  <c r="J579" i="5"/>
  <c r="I579" i="5"/>
  <c r="H579" i="5"/>
  <c r="G579" i="5"/>
  <c r="F579" i="5"/>
  <c r="D579" i="5"/>
  <c r="C579" i="5"/>
  <c r="B579" i="5"/>
  <c r="Q578" i="5"/>
  <c r="O578" i="5"/>
  <c r="N578" i="5"/>
  <c r="M578" i="5"/>
  <c r="L578" i="5"/>
  <c r="K578" i="5"/>
  <c r="J578" i="5"/>
  <c r="I578" i="5"/>
  <c r="H578" i="5"/>
  <c r="G578" i="5"/>
  <c r="F578" i="5"/>
  <c r="D578" i="5"/>
  <c r="C578" i="5"/>
  <c r="B578" i="5"/>
  <c r="Q577" i="5"/>
  <c r="O577" i="5"/>
  <c r="N577" i="5"/>
  <c r="M577" i="5"/>
  <c r="L577" i="5"/>
  <c r="K577" i="5"/>
  <c r="J577" i="5"/>
  <c r="I577" i="5"/>
  <c r="H577" i="5"/>
  <c r="G577" i="5"/>
  <c r="F577" i="5"/>
  <c r="D577" i="5"/>
  <c r="C577" i="5"/>
  <c r="B577" i="5"/>
  <c r="Q576" i="5"/>
  <c r="O576" i="5"/>
  <c r="N576" i="5"/>
  <c r="M576" i="5"/>
  <c r="L576" i="5"/>
  <c r="K576" i="5"/>
  <c r="J576" i="5"/>
  <c r="I576" i="5"/>
  <c r="H576" i="5"/>
  <c r="G576" i="5"/>
  <c r="F576" i="5"/>
  <c r="D576" i="5"/>
  <c r="C576" i="5"/>
  <c r="B576" i="5"/>
  <c r="Q575" i="5"/>
  <c r="O575" i="5"/>
  <c r="N575" i="5"/>
  <c r="M575" i="5"/>
  <c r="L575" i="5"/>
  <c r="K575" i="5"/>
  <c r="J575" i="5"/>
  <c r="I575" i="5"/>
  <c r="H575" i="5"/>
  <c r="G575" i="5"/>
  <c r="F575" i="5"/>
  <c r="D575" i="5"/>
  <c r="C575" i="5"/>
  <c r="B575" i="5"/>
  <c r="Q574" i="5"/>
  <c r="O574" i="5"/>
  <c r="N574" i="5"/>
  <c r="M574" i="5"/>
  <c r="L574" i="5"/>
  <c r="K574" i="5"/>
  <c r="J574" i="5"/>
  <c r="I574" i="5"/>
  <c r="H574" i="5"/>
  <c r="G574" i="5"/>
  <c r="F574" i="5"/>
  <c r="D574" i="5"/>
  <c r="C574" i="5"/>
  <c r="B574" i="5"/>
  <c r="Q573" i="5"/>
  <c r="O573" i="5"/>
  <c r="N573" i="5"/>
  <c r="M573" i="5"/>
  <c r="L573" i="5"/>
  <c r="K573" i="5"/>
  <c r="J573" i="5"/>
  <c r="I573" i="5"/>
  <c r="H573" i="5"/>
  <c r="G573" i="5"/>
  <c r="F573" i="5"/>
  <c r="D573" i="5"/>
  <c r="C573" i="5"/>
  <c r="B573" i="5"/>
  <c r="Q572" i="5"/>
  <c r="O572" i="5"/>
  <c r="N572" i="5"/>
  <c r="M572" i="5"/>
  <c r="L572" i="5"/>
  <c r="K572" i="5"/>
  <c r="J572" i="5"/>
  <c r="I572" i="5"/>
  <c r="H572" i="5"/>
  <c r="G572" i="5"/>
  <c r="F572" i="5"/>
  <c r="D572" i="5"/>
  <c r="C572" i="5"/>
  <c r="B572" i="5"/>
  <c r="Q571" i="5"/>
  <c r="O571" i="5"/>
  <c r="N571" i="5"/>
  <c r="M571" i="5"/>
  <c r="L571" i="5"/>
  <c r="K571" i="5"/>
  <c r="J571" i="5"/>
  <c r="I571" i="5"/>
  <c r="H571" i="5"/>
  <c r="G571" i="5"/>
  <c r="F571" i="5"/>
  <c r="D571" i="5"/>
  <c r="C571" i="5"/>
  <c r="B571" i="5"/>
  <c r="Q570" i="5"/>
  <c r="O570" i="5"/>
  <c r="N570" i="5"/>
  <c r="M570" i="5"/>
  <c r="L570" i="5"/>
  <c r="K570" i="5"/>
  <c r="J570" i="5"/>
  <c r="I570" i="5"/>
  <c r="H570" i="5"/>
  <c r="G570" i="5"/>
  <c r="F570" i="5"/>
  <c r="D570" i="5"/>
  <c r="C570" i="5"/>
  <c r="B570" i="5"/>
  <c r="Q569" i="5"/>
  <c r="O569" i="5"/>
  <c r="N569" i="5"/>
  <c r="M569" i="5"/>
  <c r="L569" i="5"/>
  <c r="K569" i="5"/>
  <c r="J569" i="5"/>
  <c r="I569" i="5"/>
  <c r="H569" i="5"/>
  <c r="G569" i="5"/>
  <c r="F569" i="5"/>
  <c r="D569" i="5"/>
  <c r="C569" i="5"/>
  <c r="B569" i="5"/>
  <c r="Q568" i="5"/>
  <c r="O568" i="5"/>
  <c r="N568" i="5"/>
  <c r="M568" i="5"/>
  <c r="L568" i="5"/>
  <c r="K568" i="5"/>
  <c r="J568" i="5"/>
  <c r="I568" i="5"/>
  <c r="H568" i="5"/>
  <c r="G568" i="5"/>
  <c r="F568" i="5"/>
  <c r="D568" i="5"/>
  <c r="C568" i="5"/>
  <c r="B568" i="5"/>
  <c r="Q567" i="5"/>
  <c r="O567" i="5"/>
  <c r="N567" i="5"/>
  <c r="M567" i="5"/>
  <c r="L567" i="5"/>
  <c r="K567" i="5"/>
  <c r="J567" i="5"/>
  <c r="I567" i="5"/>
  <c r="H567" i="5"/>
  <c r="G567" i="5"/>
  <c r="F567" i="5"/>
  <c r="D567" i="5"/>
  <c r="C567" i="5"/>
  <c r="B567" i="5"/>
  <c r="Q566" i="5"/>
  <c r="O566" i="5"/>
  <c r="N566" i="5"/>
  <c r="M566" i="5"/>
  <c r="L566" i="5"/>
  <c r="K566" i="5"/>
  <c r="J566" i="5"/>
  <c r="I566" i="5"/>
  <c r="H566" i="5"/>
  <c r="G566" i="5"/>
  <c r="F566" i="5"/>
  <c r="D566" i="5"/>
  <c r="C566" i="5"/>
  <c r="B566" i="5"/>
  <c r="Q565" i="5"/>
  <c r="O565" i="5"/>
  <c r="N565" i="5"/>
  <c r="M565" i="5"/>
  <c r="L565" i="5"/>
  <c r="K565" i="5"/>
  <c r="J565" i="5"/>
  <c r="I565" i="5"/>
  <c r="H565" i="5"/>
  <c r="G565" i="5"/>
  <c r="F565" i="5"/>
  <c r="D565" i="5"/>
  <c r="C565" i="5"/>
  <c r="B565" i="5"/>
  <c r="Q564" i="5"/>
  <c r="O564" i="5"/>
  <c r="N564" i="5"/>
  <c r="M564" i="5"/>
  <c r="L564" i="5"/>
  <c r="K564" i="5"/>
  <c r="J564" i="5"/>
  <c r="I564" i="5"/>
  <c r="H564" i="5"/>
  <c r="G564" i="5"/>
  <c r="F564" i="5"/>
  <c r="D564" i="5"/>
  <c r="C564" i="5"/>
  <c r="B564" i="5"/>
  <c r="Q563" i="5"/>
  <c r="O563" i="5"/>
  <c r="N563" i="5"/>
  <c r="M563" i="5"/>
  <c r="L563" i="5"/>
  <c r="K563" i="5"/>
  <c r="J563" i="5"/>
  <c r="I563" i="5"/>
  <c r="H563" i="5"/>
  <c r="G563" i="5"/>
  <c r="F563" i="5"/>
  <c r="D563" i="5"/>
  <c r="C563" i="5"/>
  <c r="B563" i="5"/>
  <c r="Q562" i="5"/>
  <c r="O562" i="5"/>
  <c r="N562" i="5"/>
  <c r="M562" i="5"/>
  <c r="L562" i="5"/>
  <c r="K562" i="5"/>
  <c r="J562" i="5"/>
  <c r="I562" i="5"/>
  <c r="H562" i="5"/>
  <c r="G562" i="5"/>
  <c r="F562" i="5"/>
  <c r="D562" i="5"/>
  <c r="C562" i="5"/>
  <c r="B562" i="5"/>
  <c r="Q561" i="5"/>
  <c r="O561" i="5"/>
  <c r="N561" i="5"/>
  <c r="M561" i="5"/>
  <c r="L561" i="5"/>
  <c r="K561" i="5"/>
  <c r="J561" i="5"/>
  <c r="I561" i="5"/>
  <c r="H561" i="5"/>
  <c r="G561" i="5"/>
  <c r="F561" i="5"/>
  <c r="D561" i="5"/>
  <c r="C561" i="5"/>
  <c r="B561" i="5"/>
  <c r="Q560" i="5"/>
  <c r="O560" i="5"/>
  <c r="N560" i="5"/>
  <c r="M560" i="5"/>
  <c r="L560" i="5"/>
  <c r="K560" i="5"/>
  <c r="J560" i="5"/>
  <c r="I560" i="5"/>
  <c r="H560" i="5"/>
  <c r="G560" i="5"/>
  <c r="F560" i="5"/>
  <c r="D560" i="5"/>
  <c r="C560" i="5"/>
  <c r="B560" i="5"/>
  <c r="Q559" i="5"/>
  <c r="O559" i="5"/>
  <c r="N559" i="5"/>
  <c r="M559" i="5"/>
  <c r="L559" i="5"/>
  <c r="K559" i="5"/>
  <c r="J559" i="5"/>
  <c r="I559" i="5"/>
  <c r="H559" i="5"/>
  <c r="G559" i="5"/>
  <c r="F559" i="5"/>
  <c r="D559" i="5"/>
  <c r="C559" i="5"/>
  <c r="B559" i="5"/>
  <c r="Q558" i="5"/>
  <c r="O558" i="5"/>
  <c r="N558" i="5"/>
  <c r="M558" i="5"/>
  <c r="L558" i="5"/>
  <c r="K558" i="5"/>
  <c r="J558" i="5"/>
  <c r="I558" i="5"/>
  <c r="H558" i="5"/>
  <c r="G558" i="5"/>
  <c r="F558" i="5"/>
  <c r="D558" i="5"/>
  <c r="C558" i="5"/>
  <c r="B558" i="5"/>
  <c r="Q557" i="5"/>
  <c r="O557" i="5"/>
  <c r="N557" i="5"/>
  <c r="M557" i="5"/>
  <c r="L557" i="5"/>
  <c r="K557" i="5"/>
  <c r="J557" i="5"/>
  <c r="I557" i="5"/>
  <c r="H557" i="5"/>
  <c r="G557" i="5"/>
  <c r="F557" i="5"/>
  <c r="D557" i="5"/>
  <c r="C557" i="5"/>
  <c r="B557" i="5"/>
  <c r="Q556" i="5"/>
  <c r="O556" i="5"/>
  <c r="N556" i="5"/>
  <c r="M556" i="5"/>
  <c r="L556" i="5"/>
  <c r="K556" i="5"/>
  <c r="J556" i="5"/>
  <c r="I556" i="5"/>
  <c r="H556" i="5"/>
  <c r="G556" i="5"/>
  <c r="F556" i="5"/>
  <c r="D556" i="5"/>
  <c r="C556" i="5"/>
  <c r="B556" i="5"/>
  <c r="Q555" i="5"/>
  <c r="O555" i="5"/>
  <c r="N555" i="5"/>
  <c r="M555" i="5"/>
  <c r="L555" i="5"/>
  <c r="K555" i="5"/>
  <c r="J555" i="5"/>
  <c r="I555" i="5"/>
  <c r="H555" i="5"/>
  <c r="G555" i="5"/>
  <c r="F555" i="5"/>
  <c r="D555" i="5"/>
  <c r="C555" i="5"/>
  <c r="B555" i="5"/>
  <c r="Q554" i="5"/>
  <c r="O554" i="5"/>
  <c r="N554" i="5"/>
  <c r="M554" i="5"/>
  <c r="L554" i="5"/>
  <c r="K554" i="5"/>
  <c r="J554" i="5"/>
  <c r="I554" i="5"/>
  <c r="H554" i="5"/>
  <c r="G554" i="5"/>
  <c r="F554" i="5"/>
  <c r="D554" i="5"/>
  <c r="C554" i="5"/>
  <c r="B554" i="5"/>
  <c r="Q553" i="5"/>
  <c r="O553" i="5"/>
  <c r="N553" i="5"/>
  <c r="M553" i="5"/>
  <c r="L553" i="5"/>
  <c r="K553" i="5"/>
  <c r="J553" i="5"/>
  <c r="I553" i="5"/>
  <c r="H553" i="5"/>
  <c r="G553" i="5"/>
  <c r="F553" i="5"/>
  <c r="D553" i="5"/>
  <c r="C553" i="5"/>
  <c r="B553" i="5"/>
  <c r="Q552" i="5"/>
  <c r="O552" i="5"/>
  <c r="N552" i="5"/>
  <c r="M552" i="5"/>
  <c r="L552" i="5"/>
  <c r="K552" i="5"/>
  <c r="J552" i="5"/>
  <c r="I552" i="5"/>
  <c r="H552" i="5"/>
  <c r="G552" i="5"/>
  <c r="F552" i="5"/>
  <c r="D552" i="5"/>
  <c r="C552" i="5"/>
  <c r="B552" i="5"/>
  <c r="Q551" i="5"/>
  <c r="O551" i="5"/>
  <c r="N551" i="5"/>
  <c r="M551" i="5"/>
  <c r="L551" i="5"/>
  <c r="K551" i="5"/>
  <c r="J551" i="5"/>
  <c r="I551" i="5"/>
  <c r="H551" i="5"/>
  <c r="G551" i="5"/>
  <c r="F551" i="5"/>
  <c r="D551" i="5"/>
  <c r="C551" i="5"/>
  <c r="B551" i="5"/>
  <c r="Q550" i="5"/>
  <c r="O550" i="5"/>
  <c r="N550" i="5"/>
  <c r="M550" i="5"/>
  <c r="L550" i="5"/>
  <c r="K550" i="5"/>
  <c r="J550" i="5"/>
  <c r="I550" i="5"/>
  <c r="H550" i="5"/>
  <c r="G550" i="5"/>
  <c r="F550" i="5"/>
  <c r="D550" i="5"/>
  <c r="C550" i="5"/>
  <c r="B550" i="5"/>
  <c r="Q549" i="5"/>
  <c r="O549" i="5"/>
  <c r="N549" i="5"/>
  <c r="M549" i="5"/>
  <c r="L549" i="5"/>
  <c r="K549" i="5"/>
  <c r="J549" i="5"/>
  <c r="I549" i="5"/>
  <c r="H549" i="5"/>
  <c r="G549" i="5"/>
  <c r="F549" i="5"/>
  <c r="D549" i="5"/>
  <c r="C549" i="5"/>
  <c r="B549" i="5"/>
  <c r="Q548" i="5"/>
  <c r="O548" i="5"/>
  <c r="N548" i="5"/>
  <c r="M548" i="5"/>
  <c r="L548" i="5"/>
  <c r="K548" i="5"/>
  <c r="J548" i="5"/>
  <c r="I548" i="5"/>
  <c r="H548" i="5"/>
  <c r="G548" i="5"/>
  <c r="F548" i="5"/>
  <c r="D548" i="5"/>
  <c r="C548" i="5"/>
  <c r="B548" i="5"/>
  <c r="Q547" i="5"/>
  <c r="O547" i="5"/>
  <c r="N547" i="5"/>
  <c r="M547" i="5"/>
  <c r="L547" i="5"/>
  <c r="K547" i="5"/>
  <c r="J547" i="5"/>
  <c r="I547" i="5"/>
  <c r="H547" i="5"/>
  <c r="G547" i="5"/>
  <c r="F547" i="5"/>
  <c r="D547" i="5"/>
  <c r="C547" i="5"/>
  <c r="B547" i="5"/>
  <c r="Q546" i="5"/>
  <c r="O546" i="5"/>
  <c r="N546" i="5"/>
  <c r="M546" i="5"/>
  <c r="L546" i="5"/>
  <c r="K546" i="5"/>
  <c r="J546" i="5"/>
  <c r="I546" i="5"/>
  <c r="H546" i="5"/>
  <c r="G546" i="5"/>
  <c r="F546" i="5"/>
  <c r="D546" i="5"/>
  <c r="C546" i="5"/>
  <c r="B546" i="5"/>
  <c r="Q545" i="5"/>
  <c r="O545" i="5"/>
  <c r="N545" i="5"/>
  <c r="M545" i="5"/>
  <c r="L545" i="5"/>
  <c r="K545" i="5"/>
  <c r="J545" i="5"/>
  <c r="I545" i="5"/>
  <c r="H545" i="5"/>
  <c r="G545" i="5"/>
  <c r="F545" i="5"/>
  <c r="D545" i="5"/>
  <c r="C545" i="5"/>
  <c r="B545" i="5"/>
  <c r="Q544" i="5"/>
  <c r="O544" i="5"/>
  <c r="N544" i="5"/>
  <c r="M544" i="5"/>
  <c r="L544" i="5"/>
  <c r="K544" i="5"/>
  <c r="J544" i="5"/>
  <c r="I544" i="5"/>
  <c r="H544" i="5"/>
  <c r="G544" i="5"/>
  <c r="F544" i="5"/>
  <c r="D544" i="5"/>
  <c r="C544" i="5"/>
  <c r="B544" i="5"/>
  <c r="Q543" i="5"/>
  <c r="O543" i="5"/>
  <c r="N543" i="5"/>
  <c r="M543" i="5"/>
  <c r="L543" i="5"/>
  <c r="K543" i="5"/>
  <c r="J543" i="5"/>
  <c r="I543" i="5"/>
  <c r="H543" i="5"/>
  <c r="G543" i="5"/>
  <c r="F543" i="5"/>
  <c r="D543" i="5"/>
  <c r="C543" i="5"/>
  <c r="B543" i="5"/>
  <c r="Q542" i="5"/>
  <c r="O542" i="5"/>
  <c r="N542" i="5"/>
  <c r="M542" i="5"/>
  <c r="L542" i="5"/>
  <c r="K542" i="5"/>
  <c r="J542" i="5"/>
  <c r="I542" i="5"/>
  <c r="H542" i="5"/>
  <c r="G542" i="5"/>
  <c r="F542" i="5"/>
  <c r="D542" i="5"/>
  <c r="C542" i="5"/>
  <c r="B542" i="5"/>
  <c r="Q541" i="5"/>
  <c r="O541" i="5"/>
  <c r="N541" i="5"/>
  <c r="M541" i="5"/>
  <c r="L541" i="5"/>
  <c r="K541" i="5"/>
  <c r="J541" i="5"/>
  <c r="I541" i="5"/>
  <c r="H541" i="5"/>
  <c r="G541" i="5"/>
  <c r="F541" i="5"/>
  <c r="D541" i="5"/>
  <c r="C541" i="5"/>
  <c r="B541" i="5"/>
  <c r="Q540" i="5"/>
  <c r="O540" i="5"/>
  <c r="N540" i="5"/>
  <c r="M540" i="5"/>
  <c r="L540" i="5"/>
  <c r="K540" i="5"/>
  <c r="J540" i="5"/>
  <c r="I540" i="5"/>
  <c r="H540" i="5"/>
  <c r="G540" i="5"/>
  <c r="F540" i="5"/>
  <c r="D540" i="5"/>
  <c r="C540" i="5"/>
  <c r="B540" i="5"/>
  <c r="Q539" i="5"/>
  <c r="O539" i="5"/>
  <c r="N539" i="5"/>
  <c r="M539" i="5"/>
  <c r="L539" i="5"/>
  <c r="K539" i="5"/>
  <c r="J539" i="5"/>
  <c r="I539" i="5"/>
  <c r="H539" i="5"/>
  <c r="G539" i="5"/>
  <c r="F539" i="5"/>
  <c r="D539" i="5"/>
  <c r="C539" i="5"/>
  <c r="B539" i="5"/>
  <c r="Q538" i="5"/>
  <c r="O538" i="5"/>
  <c r="N538" i="5"/>
  <c r="M538" i="5"/>
  <c r="L538" i="5"/>
  <c r="K538" i="5"/>
  <c r="J538" i="5"/>
  <c r="I538" i="5"/>
  <c r="H538" i="5"/>
  <c r="G538" i="5"/>
  <c r="F538" i="5"/>
  <c r="D538" i="5"/>
  <c r="C538" i="5"/>
  <c r="B538" i="5"/>
  <c r="Q537" i="5"/>
  <c r="O537" i="5"/>
  <c r="N537" i="5"/>
  <c r="M537" i="5"/>
  <c r="L537" i="5"/>
  <c r="K537" i="5"/>
  <c r="J537" i="5"/>
  <c r="I537" i="5"/>
  <c r="H537" i="5"/>
  <c r="G537" i="5"/>
  <c r="F537" i="5"/>
  <c r="D537" i="5"/>
  <c r="C537" i="5"/>
  <c r="B537" i="5"/>
  <c r="Q536" i="5"/>
  <c r="O536" i="5"/>
  <c r="N536" i="5"/>
  <c r="M536" i="5"/>
  <c r="L536" i="5"/>
  <c r="K536" i="5"/>
  <c r="J536" i="5"/>
  <c r="I536" i="5"/>
  <c r="H536" i="5"/>
  <c r="G536" i="5"/>
  <c r="F536" i="5"/>
  <c r="D536" i="5"/>
  <c r="C536" i="5"/>
  <c r="B536" i="5"/>
  <c r="Q535" i="5"/>
  <c r="O535" i="5"/>
  <c r="N535" i="5"/>
  <c r="M535" i="5"/>
  <c r="L535" i="5"/>
  <c r="K535" i="5"/>
  <c r="J535" i="5"/>
  <c r="I535" i="5"/>
  <c r="H535" i="5"/>
  <c r="G535" i="5"/>
  <c r="F535" i="5"/>
  <c r="D535" i="5"/>
  <c r="C535" i="5"/>
  <c r="B535" i="5"/>
  <c r="Q534" i="5"/>
  <c r="O534" i="5"/>
  <c r="N534" i="5"/>
  <c r="M534" i="5"/>
  <c r="L534" i="5"/>
  <c r="K534" i="5"/>
  <c r="J534" i="5"/>
  <c r="I534" i="5"/>
  <c r="H534" i="5"/>
  <c r="G534" i="5"/>
  <c r="F534" i="5"/>
  <c r="D534" i="5"/>
  <c r="C534" i="5"/>
  <c r="B534" i="5"/>
  <c r="Q533" i="5"/>
  <c r="O533" i="5"/>
  <c r="N533" i="5"/>
  <c r="M533" i="5"/>
  <c r="L533" i="5"/>
  <c r="K533" i="5"/>
  <c r="J533" i="5"/>
  <c r="I533" i="5"/>
  <c r="H533" i="5"/>
  <c r="G533" i="5"/>
  <c r="F533" i="5"/>
  <c r="D533" i="5"/>
  <c r="C533" i="5"/>
  <c r="B533" i="5"/>
  <c r="Q532" i="5"/>
  <c r="O532" i="5"/>
  <c r="N532" i="5"/>
  <c r="M532" i="5"/>
  <c r="L532" i="5"/>
  <c r="K532" i="5"/>
  <c r="J532" i="5"/>
  <c r="I532" i="5"/>
  <c r="H532" i="5"/>
  <c r="G532" i="5"/>
  <c r="F532" i="5"/>
  <c r="D532" i="5"/>
  <c r="C532" i="5"/>
  <c r="B532" i="5"/>
  <c r="Q531" i="5"/>
  <c r="O531" i="5"/>
  <c r="N531" i="5"/>
  <c r="M531" i="5"/>
  <c r="L531" i="5"/>
  <c r="K531" i="5"/>
  <c r="J531" i="5"/>
  <c r="I531" i="5"/>
  <c r="H531" i="5"/>
  <c r="G531" i="5"/>
  <c r="F531" i="5"/>
  <c r="D531" i="5"/>
  <c r="C531" i="5"/>
  <c r="B531" i="5"/>
  <c r="Q530" i="5"/>
  <c r="O530" i="5"/>
  <c r="N530" i="5"/>
  <c r="M530" i="5"/>
  <c r="L530" i="5"/>
  <c r="K530" i="5"/>
  <c r="J530" i="5"/>
  <c r="I530" i="5"/>
  <c r="H530" i="5"/>
  <c r="G530" i="5"/>
  <c r="F530" i="5"/>
  <c r="D530" i="5"/>
  <c r="C530" i="5"/>
  <c r="B530" i="5"/>
  <c r="Q529" i="5"/>
  <c r="O529" i="5"/>
  <c r="N529" i="5"/>
  <c r="M529" i="5"/>
  <c r="L529" i="5"/>
  <c r="K529" i="5"/>
  <c r="J529" i="5"/>
  <c r="I529" i="5"/>
  <c r="H529" i="5"/>
  <c r="G529" i="5"/>
  <c r="F529" i="5"/>
  <c r="D529" i="5"/>
  <c r="C529" i="5"/>
  <c r="B529" i="5"/>
  <c r="Q528" i="5"/>
  <c r="O528" i="5"/>
  <c r="N528" i="5"/>
  <c r="M528" i="5"/>
  <c r="L528" i="5"/>
  <c r="K528" i="5"/>
  <c r="J528" i="5"/>
  <c r="I528" i="5"/>
  <c r="H528" i="5"/>
  <c r="G528" i="5"/>
  <c r="F528" i="5"/>
  <c r="D528" i="5"/>
  <c r="C528" i="5"/>
  <c r="B528" i="5"/>
  <c r="Q527" i="5"/>
  <c r="O527" i="5"/>
  <c r="N527" i="5"/>
  <c r="M527" i="5"/>
  <c r="L527" i="5"/>
  <c r="K527" i="5"/>
  <c r="J527" i="5"/>
  <c r="I527" i="5"/>
  <c r="H527" i="5"/>
  <c r="G527" i="5"/>
  <c r="F527" i="5"/>
  <c r="D527" i="5"/>
  <c r="C527" i="5"/>
  <c r="B527" i="5"/>
  <c r="Q526" i="5"/>
  <c r="O526" i="5"/>
  <c r="N526" i="5"/>
  <c r="M526" i="5"/>
  <c r="L526" i="5"/>
  <c r="K526" i="5"/>
  <c r="J526" i="5"/>
  <c r="I526" i="5"/>
  <c r="H526" i="5"/>
  <c r="G526" i="5"/>
  <c r="F526" i="5"/>
  <c r="D526" i="5"/>
  <c r="C526" i="5"/>
  <c r="B526" i="5"/>
  <c r="Q525" i="5"/>
  <c r="O525" i="5"/>
  <c r="N525" i="5"/>
  <c r="M525" i="5"/>
  <c r="L525" i="5"/>
  <c r="K525" i="5"/>
  <c r="J525" i="5"/>
  <c r="I525" i="5"/>
  <c r="H525" i="5"/>
  <c r="G525" i="5"/>
  <c r="F525" i="5"/>
  <c r="D525" i="5"/>
  <c r="C525" i="5"/>
  <c r="B525" i="5"/>
  <c r="Q524" i="5"/>
  <c r="O524" i="5"/>
  <c r="N524" i="5"/>
  <c r="M524" i="5"/>
  <c r="L524" i="5"/>
  <c r="K524" i="5"/>
  <c r="J524" i="5"/>
  <c r="I524" i="5"/>
  <c r="H524" i="5"/>
  <c r="G524" i="5"/>
  <c r="F524" i="5"/>
  <c r="D524" i="5"/>
  <c r="C524" i="5"/>
  <c r="B524" i="5"/>
  <c r="Q523" i="5"/>
  <c r="O523" i="5"/>
  <c r="N523" i="5"/>
  <c r="M523" i="5"/>
  <c r="L523" i="5"/>
  <c r="K523" i="5"/>
  <c r="J523" i="5"/>
  <c r="I523" i="5"/>
  <c r="H523" i="5"/>
  <c r="G523" i="5"/>
  <c r="F523" i="5"/>
  <c r="D523" i="5"/>
  <c r="C523" i="5"/>
  <c r="B523" i="5"/>
  <c r="Q522" i="5"/>
  <c r="O522" i="5"/>
  <c r="N522" i="5"/>
  <c r="M522" i="5"/>
  <c r="L522" i="5"/>
  <c r="K522" i="5"/>
  <c r="J522" i="5"/>
  <c r="I522" i="5"/>
  <c r="H522" i="5"/>
  <c r="G522" i="5"/>
  <c r="F522" i="5"/>
  <c r="D522" i="5"/>
  <c r="C522" i="5"/>
  <c r="B522" i="5"/>
  <c r="Q521" i="5"/>
  <c r="O521" i="5"/>
  <c r="N521" i="5"/>
  <c r="M521" i="5"/>
  <c r="L521" i="5"/>
  <c r="K521" i="5"/>
  <c r="J521" i="5"/>
  <c r="I521" i="5"/>
  <c r="H521" i="5"/>
  <c r="G521" i="5"/>
  <c r="F521" i="5"/>
  <c r="D521" i="5"/>
  <c r="C521" i="5"/>
  <c r="B521" i="5"/>
  <c r="Q520" i="5"/>
  <c r="O520" i="5"/>
  <c r="N520" i="5"/>
  <c r="M520" i="5"/>
  <c r="L520" i="5"/>
  <c r="K520" i="5"/>
  <c r="J520" i="5"/>
  <c r="I520" i="5"/>
  <c r="H520" i="5"/>
  <c r="G520" i="5"/>
  <c r="F520" i="5"/>
  <c r="D520" i="5"/>
  <c r="C520" i="5"/>
  <c r="B520" i="5"/>
  <c r="Q519" i="5"/>
  <c r="O519" i="5"/>
  <c r="N519" i="5"/>
  <c r="M519" i="5"/>
  <c r="L519" i="5"/>
  <c r="K519" i="5"/>
  <c r="J519" i="5"/>
  <c r="I519" i="5"/>
  <c r="H519" i="5"/>
  <c r="G519" i="5"/>
  <c r="F519" i="5"/>
  <c r="D519" i="5"/>
  <c r="C519" i="5"/>
  <c r="B519" i="5"/>
  <c r="Q518" i="5"/>
  <c r="O518" i="5"/>
  <c r="N518" i="5"/>
  <c r="M518" i="5"/>
  <c r="L518" i="5"/>
  <c r="K518" i="5"/>
  <c r="J518" i="5"/>
  <c r="I518" i="5"/>
  <c r="H518" i="5"/>
  <c r="G518" i="5"/>
  <c r="F518" i="5"/>
  <c r="D518" i="5"/>
  <c r="C518" i="5"/>
  <c r="B518" i="5"/>
  <c r="Q517" i="5"/>
  <c r="O517" i="5"/>
  <c r="N517" i="5"/>
  <c r="M517" i="5"/>
  <c r="L517" i="5"/>
  <c r="K517" i="5"/>
  <c r="J517" i="5"/>
  <c r="I517" i="5"/>
  <c r="H517" i="5"/>
  <c r="G517" i="5"/>
  <c r="F517" i="5"/>
  <c r="D517" i="5"/>
  <c r="C517" i="5"/>
  <c r="B517" i="5"/>
  <c r="Q516" i="5"/>
  <c r="O516" i="5"/>
  <c r="N516" i="5"/>
  <c r="M516" i="5"/>
  <c r="L516" i="5"/>
  <c r="K516" i="5"/>
  <c r="J516" i="5"/>
  <c r="I516" i="5"/>
  <c r="H516" i="5"/>
  <c r="G516" i="5"/>
  <c r="F516" i="5"/>
  <c r="D516" i="5"/>
  <c r="C516" i="5"/>
  <c r="B516" i="5"/>
  <c r="Q515" i="5"/>
  <c r="O515" i="5"/>
  <c r="N515" i="5"/>
  <c r="M515" i="5"/>
  <c r="L515" i="5"/>
  <c r="K515" i="5"/>
  <c r="J515" i="5"/>
  <c r="I515" i="5"/>
  <c r="H515" i="5"/>
  <c r="G515" i="5"/>
  <c r="F515" i="5"/>
  <c r="D515" i="5"/>
  <c r="C515" i="5"/>
  <c r="B515" i="5"/>
  <c r="Q514" i="5"/>
  <c r="O514" i="5"/>
  <c r="N514" i="5"/>
  <c r="M514" i="5"/>
  <c r="L514" i="5"/>
  <c r="K514" i="5"/>
  <c r="J514" i="5"/>
  <c r="I514" i="5"/>
  <c r="H514" i="5"/>
  <c r="G514" i="5"/>
  <c r="F514" i="5"/>
  <c r="D514" i="5"/>
  <c r="C514" i="5"/>
  <c r="B514" i="5"/>
  <c r="Q513" i="5"/>
  <c r="O513" i="5"/>
  <c r="N513" i="5"/>
  <c r="M513" i="5"/>
  <c r="L513" i="5"/>
  <c r="K513" i="5"/>
  <c r="J513" i="5"/>
  <c r="I513" i="5"/>
  <c r="H513" i="5"/>
  <c r="G513" i="5"/>
  <c r="F513" i="5"/>
  <c r="D513" i="5"/>
  <c r="C513" i="5"/>
  <c r="B513" i="5"/>
  <c r="Q512" i="5"/>
  <c r="O512" i="5"/>
  <c r="N512" i="5"/>
  <c r="M512" i="5"/>
  <c r="L512" i="5"/>
  <c r="K512" i="5"/>
  <c r="J512" i="5"/>
  <c r="I512" i="5"/>
  <c r="H512" i="5"/>
  <c r="G512" i="5"/>
  <c r="F512" i="5"/>
  <c r="D512" i="5"/>
  <c r="C512" i="5"/>
  <c r="B512" i="5"/>
  <c r="Q511" i="5"/>
  <c r="O511" i="5"/>
  <c r="N511" i="5"/>
  <c r="M511" i="5"/>
  <c r="L511" i="5"/>
  <c r="K511" i="5"/>
  <c r="J511" i="5"/>
  <c r="I511" i="5"/>
  <c r="H511" i="5"/>
  <c r="G511" i="5"/>
  <c r="F511" i="5"/>
  <c r="D511" i="5"/>
  <c r="C511" i="5"/>
  <c r="B511" i="5"/>
  <c r="Q510" i="5"/>
  <c r="O510" i="5"/>
  <c r="N510" i="5"/>
  <c r="M510" i="5"/>
  <c r="L510" i="5"/>
  <c r="K510" i="5"/>
  <c r="J510" i="5"/>
  <c r="I510" i="5"/>
  <c r="H510" i="5"/>
  <c r="G510" i="5"/>
  <c r="F510" i="5"/>
  <c r="D510" i="5"/>
  <c r="C510" i="5"/>
  <c r="B510" i="5"/>
  <c r="Q509" i="5"/>
  <c r="O509" i="5"/>
  <c r="N509" i="5"/>
  <c r="M509" i="5"/>
  <c r="L509" i="5"/>
  <c r="K509" i="5"/>
  <c r="J509" i="5"/>
  <c r="I509" i="5"/>
  <c r="H509" i="5"/>
  <c r="G509" i="5"/>
  <c r="F509" i="5"/>
  <c r="D509" i="5"/>
  <c r="C509" i="5"/>
  <c r="B509" i="5"/>
  <c r="Q508" i="5"/>
  <c r="O508" i="5"/>
  <c r="N508" i="5"/>
  <c r="M508" i="5"/>
  <c r="L508" i="5"/>
  <c r="K508" i="5"/>
  <c r="J508" i="5"/>
  <c r="I508" i="5"/>
  <c r="H508" i="5"/>
  <c r="G508" i="5"/>
  <c r="F508" i="5"/>
  <c r="D508" i="5"/>
  <c r="C508" i="5"/>
  <c r="B508" i="5"/>
  <c r="Q507" i="5"/>
  <c r="O507" i="5"/>
  <c r="N507" i="5"/>
  <c r="M507" i="5"/>
  <c r="L507" i="5"/>
  <c r="K507" i="5"/>
  <c r="J507" i="5"/>
  <c r="I507" i="5"/>
  <c r="H507" i="5"/>
  <c r="G507" i="5"/>
  <c r="F507" i="5"/>
  <c r="D507" i="5"/>
  <c r="C507" i="5"/>
  <c r="B507" i="5"/>
  <c r="Q506" i="5"/>
  <c r="O506" i="5"/>
  <c r="N506" i="5"/>
  <c r="M506" i="5"/>
  <c r="L506" i="5"/>
  <c r="K506" i="5"/>
  <c r="J506" i="5"/>
  <c r="I506" i="5"/>
  <c r="H506" i="5"/>
  <c r="G506" i="5"/>
  <c r="F506" i="5"/>
  <c r="D506" i="5"/>
  <c r="C506" i="5"/>
  <c r="B506" i="5"/>
  <c r="Q505" i="5"/>
  <c r="O505" i="5"/>
  <c r="N505" i="5"/>
  <c r="M505" i="5"/>
  <c r="L505" i="5"/>
  <c r="K505" i="5"/>
  <c r="J505" i="5"/>
  <c r="I505" i="5"/>
  <c r="H505" i="5"/>
  <c r="G505" i="5"/>
  <c r="F505" i="5"/>
  <c r="D505" i="5"/>
  <c r="C505" i="5"/>
  <c r="B505" i="5"/>
  <c r="Q504" i="5"/>
  <c r="O504" i="5"/>
  <c r="N504" i="5"/>
  <c r="M504" i="5"/>
  <c r="L504" i="5"/>
  <c r="K504" i="5"/>
  <c r="J504" i="5"/>
  <c r="I504" i="5"/>
  <c r="H504" i="5"/>
  <c r="G504" i="5"/>
  <c r="F504" i="5"/>
  <c r="D504" i="5"/>
  <c r="C504" i="5"/>
  <c r="B504" i="5"/>
  <c r="Q503" i="5"/>
  <c r="O503" i="5"/>
  <c r="N503" i="5"/>
  <c r="M503" i="5"/>
  <c r="L503" i="5"/>
  <c r="K503" i="5"/>
  <c r="J503" i="5"/>
  <c r="I503" i="5"/>
  <c r="H503" i="5"/>
  <c r="G503" i="5"/>
  <c r="F503" i="5"/>
  <c r="D503" i="5"/>
  <c r="C503" i="5"/>
  <c r="B503" i="5"/>
  <c r="Q502" i="5"/>
  <c r="O502" i="5"/>
  <c r="N502" i="5"/>
  <c r="M502" i="5"/>
  <c r="L502" i="5"/>
  <c r="K502" i="5"/>
  <c r="J502" i="5"/>
  <c r="I502" i="5"/>
  <c r="H502" i="5"/>
  <c r="G502" i="5"/>
  <c r="F502" i="5"/>
  <c r="D502" i="5"/>
  <c r="C502" i="5"/>
  <c r="B502" i="5"/>
  <c r="Q501" i="5"/>
  <c r="O501" i="5"/>
  <c r="N501" i="5"/>
  <c r="M501" i="5"/>
  <c r="L501" i="5"/>
  <c r="K501" i="5"/>
  <c r="J501" i="5"/>
  <c r="I501" i="5"/>
  <c r="H501" i="5"/>
  <c r="G501" i="5"/>
  <c r="F501" i="5"/>
  <c r="D501" i="5"/>
  <c r="C501" i="5"/>
  <c r="B501" i="5"/>
  <c r="Q500" i="5"/>
  <c r="O500" i="5"/>
  <c r="N500" i="5"/>
  <c r="M500" i="5"/>
  <c r="L500" i="5"/>
  <c r="K500" i="5"/>
  <c r="J500" i="5"/>
  <c r="I500" i="5"/>
  <c r="H500" i="5"/>
  <c r="G500" i="5"/>
  <c r="F500" i="5"/>
  <c r="D500" i="5"/>
  <c r="C500" i="5"/>
  <c r="B500" i="5"/>
  <c r="Q499" i="5"/>
  <c r="O499" i="5"/>
  <c r="N499" i="5"/>
  <c r="M499" i="5"/>
  <c r="L499" i="5"/>
  <c r="K499" i="5"/>
  <c r="J499" i="5"/>
  <c r="I499" i="5"/>
  <c r="H499" i="5"/>
  <c r="G499" i="5"/>
  <c r="F499" i="5"/>
  <c r="D499" i="5"/>
  <c r="C499" i="5"/>
  <c r="B499" i="5"/>
  <c r="Q498" i="5"/>
  <c r="O498" i="5"/>
  <c r="N498" i="5"/>
  <c r="M498" i="5"/>
  <c r="L498" i="5"/>
  <c r="K498" i="5"/>
  <c r="J498" i="5"/>
  <c r="I498" i="5"/>
  <c r="H498" i="5"/>
  <c r="G498" i="5"/>
  <c r="F498" i="5"/>
  <c r="D498" i="5"/>
  <c r="C498" i="5"/>
  <c r="B498" i="5"/>
  <c r="Q497" i="5"/>
  <c r="O497" i="5"/>
  <c r="N497" i="5"/>
  <c r="M497" i="5"/>
  <c r="L497" i="5"/>
  <c r="K497" i="5"/>
  <c r="J497" i="5"/>
  <c r="I497" i="5"/>
  <c r="H497" i="5"/>
  <c r="G497" i="5"/>
  <c r="F497" i="5"/>
  <c r="D497" i="5"/>
  <c r="C497" i="5"/>
  <c r="B497" i="5"/>
  <c r="Q496" i="5"/>
  <c r="O496" i="5"/>
  <c r="N496" i="5"/>
  <c r="M496" i="5"/>
  <c r="L496" i="5"/>
  <c r="K496" i="5"/>
  <c r="J496" i="5"/>
  <c r="I496" i="5"/>
  <c r="H496" i="5"/>
  <c r="G496" i="5"/>
  <c r="F496" i="5"/>
  <c r="D496" i="5"/>
  <c r="C496" i="5"/>
  <c r="B496" i="5"/>
  <c r="Q495" i="5"/>
  <c r="O495" i="5"/>
  <c r="N495" i="5"/>
  <c r="M495" i="5"/>
  <c r="L495" i="5"/>
  <c r="K495" i="5"/>
  <c r="J495" i="5"/>
  <c r="I495" i="5"/>
  <c r="H495" i="5"/>
  <c r="G495" i="5"/>
  <c r="F495" i="5"/>
  <c r="D495" i="5"/>
  <c r="C495" i="5"/>
  <c r="B495" i="5"/>
  <c r="Q494" i="5"/>
  <c r="O494" i="5"/>
  <c r="N494" i="5"/>
  <c r="M494" i="5"/>
  <c r="L494" i="5"/>
  <c r="K494" i="5"/>
  <c r="J494" i="5"/>
  <c r="I494" i="5"/>
  <c r="H494" i="5"/>
  <c r="G494" i="5"/>
  <c r="F494" i="5"/>
  <c r="D494" i="5"/>
  <c r="C494" i="5"/>
  <c r="B494" i="5"/>
  <c r="Q493" i="5"/>
  <c r="O493" i="5"/>
  <c r="N493" i="5"/>
  <c r="M493" i="5"/>
  <c r="L493" i="5"/>
  <c r="K493" i="5"/>
  <c r="J493" i="5"/>
  <c r="I493" i="5"/>
  <c r="H493" i="5"/>
  <c r="G493" i="5"/>
  <c r="F493" i="5"/>
  <c r="D493" i="5"/>
  <c r="C493" i="5"/>
  <c r="B493" i="5"/>
  <c r="Q492" i="5"/>
  <c r="O492" i="5"/>
  <c r="N492" i="5"/>
  <c r="M492" i="5"/>
  <c r="L492" i="5"/>
  <c r="K492" i="5"/>
  <c r="J492" i="5"/>
  <c r="I492" i="5"/>
  <c r="H492" i="5"/>
  <c r="G492" i="5"/>
  <c r="F492" i="5"/>
  <c r="D492" i="5"/>
  <c r="C492" i="5"/>
  <c r="B492" i="5"/>
  <c r="Q491" i="5"/>
  <c r="O491" i="5"/>
  <c r="N491" i="5"/>
  <c r="M491" i="5"/>
  <c r="L491" i="5"/>
  <c r="K491" i="5"/>
  <c r="J491" i="5"/>
  <c r="I491" i="5"/>
  <c r="H491" i="5"/>
  <c r="G491" i="5"/>
  <c r="F491" i="5"/>
  <c r="D491" i="5"/>
  <c r="C491" i="5"/>
  <c r="B491" i="5"/>
  <c r="Q490" i="5"/>
  <c r="O490" i="5"/>
  <c r="N490" i="5"/>
  <c r="M490" i="5"/>
  <c r="L490" i="5"/>
  <c r="K490" i="5"/>
  <c r="J490" i="5"/>
  <c r="I490" i="5"/>
  <c r="H490" i="5"/>
  <c r="G490" i="5"/>
  <c r="F490" i="5"/>
  <c r="D490" i="5"/>
  <c r="C490" i="5"/>
  <c r="B490" i="5"/>
  <c r="Q489" i="5"/>
  <c r="O489" i="5"/>
  <c r="N489" i="5"/>
  <c r="M489" i="5"/>
  <c r="L489" i="5"/>
  <c r="K489" i="5"/>
  <c r="J489" i="5"/>
  <c r="I489" i="5"/>
  <c r="H489" i="5"/>
  <c r="G489" i="5"/>
  <c r="F489" i="5"/>
  <c r="D489" i="5"/>
  <c r="C489" i="5"/>
  <c r="B489" i="5"/>
  <c r="Q488" i="5"/>
  <c r="O488" i="5"/>
  <c r="N488" i="5"/>
  <c r="M488" i="5"/>
  <c r="L488" i="5"/>
  <c r="K488" i="5"/>
  <c r="J488" i="5"/>
  <c r="I488" i="5"/>
  <c r="H488" i="5"/>
  <c r="G488" i="5"/>
  <c r="F488" i="5"/>
  <c r="D488" i="5"/>
  <c r="C488" i="5"/>
  <c r="B488" i="5"/>
  <c r="Q487" i="5"/>
  <c r="O487" i="5"/>
  <c r="N487" i="5"/>
  <c r="M487" i="5"/>
  <c r="L487" i="5"/>
  <c r="K487" i="5"/>
  <c r="J487" i="5"/>
  <c r="I487" i="5"/>
  <c r="H487" i="5"/>
  <c r="G487" i="5"/>
  <c r="F487" i="5"/>
  <c r="D487" i="5"/>
  <c r="C487" i="5"/>
  <c r="B487" i="5"/>
  <c r="Q486" i="5"/>
  <c r="O486" i="5"/>
  <c r="N486" i="5"/>
  <c r="M486" i="5"/>
  <c r="L486" i="5"/>
  <c r="K486" i="5"/>
  <c r="J486" i="5"/>
  <c r="I486" i="5"/>
  <c r="H486" i="5"/>
  <c r="G486" i="5"/>
  <c r="F486" i="5"/>
  <c r="D486" i="5"/>
  <c r="C486" i="5"/>
  <c r="B486" i="5"/>
  <c r="Q485" i="5"/>
  <c r="O485" i="5"/>
  <c r="N485" i="5"/>
  <c r="M485" i="5"/>
  <c r="L485" i="5"/>
  <c r="K485" i="5"/>
  <c r="J485" i="5"/>
  <c r="I485" i="5"/>
  <c r="H485" i="5"/>
  <c r="G485" i="5"/>
  <c r="F485" i="5"/>
  <c r="D485" i="5"/>
  <c r="C485" i="5"/>
  <c r="B485" i="5"/>
  <c r="Q484" i="5"/>
  <c r="O484" i="5"/>
  <c r="N484" i="5"/>
  <c r="M484" i="5"/>
  <c r="L484" i="5"/>
  <c r="K484" i="5"/>
  <c r="J484" i="5"/>
  <c r="I484" i="5"/>
  <c r="H484" i="5"/>
  <c r="G484" i="5"/>
  <c r="F484" i="5"/>
  <c r="D484" i="5"/>
  <c r="C484" i="5"/>
  <c r="B484" i="5"/>
  <c r="Q483" i="5"/>
  <c r="O483" i="5"/>
  <c r="N483" i="5"/>
  <c r="M483" i="5"/>
  <c r="L483" i="5"/>
  <c r="K483" i="5"/>
  <c r="J483" i="5"/>
  <c r="I483" i="5"/>
  <c r="H483" i="5"/>
  <c r="G483" i="5"/>
  <c r="F483" i="5"/>
  <c r="D483" i="5"/>
  <c r="C483" i="5"/>
  <c r="A483" i="5" s="1" a="1"/>
  <c r="A483" i="5" s="1"/>
  <c r="B483" i="5"/>
  <c r="Q482" i="5"/>
  <c r="O482" i="5"/>
  <c r="N482" i="5"/>
  <c r="M482" i="5"/>
  <c r="L482" i="5"/>
  <c r="K482" i="5"/>
  <c r="J482" i="5"/>
  <c r="I482" i="5"/>
  <c r="H482" i="5"/>
  <c r="G482" i="5"/>
  <c r="F482" i="5"/>
  <c r="D482" i="5"/>
  <c r="C482" i="5"/>
  <c r="B482" i="5"/>
  <c r="Q481" i="5"/>
  <c r="O481" i="5"/>
  <c r="N481" i="5"/>
  <c r="M481" i="5"/>
  <c r="L481" i="5"/>
  <c r="K481" i="5"/>
  <c r="J481" i="5"/>
  <c r="I481" i="5"/>
  <c r="H481" i="5"/>
  <c r="G481" i="5"/>
  <c r="F481" i="5"/>
  <c r="D481" i="5"/>
  <c r="C481" i="5"/>
  <c r="B481" i="5"/>
  <c r="Q480" i="5"/>
  <c r="O480" i="5"/>
  <c r="N480" i="5"/>
  <c r="M480" i="5"/>
  <c r="L480" i="5"/>
  <c r="K480" i="5"/>
  <c r="J480" i="5"/>
  <c r="I480" i="5"/>
  <c r="H480" i="5"/>
  <c r="G480" i="5"/>
  <c r="F480" i="5"/>
  <c r="D480" i="5"/>
  <c r="C480" i="5"/>
  <c r="B480" i="5"/>
  <c r="Q479" i="5"/>
  <c r="O479" i="5"/>
  <c r="N479" i="5"/>
  <c r="M479" i="5"/>
  <c r="L479" i="5"/>
  <c r="K479" i="5"/>
  <c r="J479" i="5"/>
  <c r="I479" i="5"/>
  <c r="H479" i="5"/>
  <c r="G479" i="5"/>
  <c r="F479" i="5"/>
  <c r="D479" i="5"/>
  <c r="C479" i="5"/>
  <c r="B479" i="5"/>
  <c r="Q478" i="5"/>
  <c r="O478" i="5"/>
  <c r="N478" i="5"/>
  <c r="M478" i="5"/>
  <c r="L478" i="5"/>
  <c r="K478" i="5"/>
  <c r="J478" i="5"/>
  <c r="I478" i="5"/>
  <c r="H478" i="5"/>
  <c r="G478" i="5"/>
  <c r="F478" i="5"/>
  <c r="D478" i="5"/>
  <c r="C478" i="5"/>
  <c r="B478" i="5"/>
  <c r="Q477" i="5"/>
  <c r="O477" i="5"/>
  <c r="N477" i="5"/>
  <c r="M477" i="5"/>
  <c r="L477" i="5"/>
  <c r="K477" i="5"/>
  <c r="J477" i="5"/>
  <c r="I477" i="5"/>
  <c r="H477" i="5"/>
  <c r="G477" i="5"/>
  <c r="F477" i="5"/>
  <c r="D477" i="5"/>
  <c r="C477" i="5"/>
  <c r="B477" i="5"/>
  <c r="Q476" i="5"/>
  <c r="O476" i="5"/>
  <c r="N476" i="5"/>
  <c r="M476" i="5"/>
  <c r="L476" i="5"/>
  <c r="K476" i="5"/>
  <c r="J476" i="5"/>
  <c r="I476" i="5"/>
  <c r="H476" i="5"/>
  <c r="G476" i="5"/>
  <c r="F476" i="5"/>
  <c r="D476" i="5"/>
  <c r="C476" i="5"/>
  <c r="B476" i="5"/>
  <c r="Q475" i="5"/>
  <c r="O475" i="5"/>
  <c r="N475" i="5"/>
  <c r="M475" i="5"/>
  <c r="L475" i="5"/>
  <c r="K475" i="5"/>
  <c r="J475" i="5"/>
  <c r="I475" i="5"/>
  <c r="H475" i="5"/>
  <c r="G475" i="5"/>
  <c r="F475" i="5"/>
  <c r="D475" i="5"/>
  <c r="C475" i="5"/>
  <c r="B475" i="5"/>
  <c r="Q474" i="5"/>
  <c r="O474" i="5"/>
  <c r="N474" i="5"/>
  <c r="M474" i="5"/>
  <c r="L474" i="5"/>
  <c r="K474" i="5"/>
  <c r="J474" i="5"/>
  <c r="I474" i="5"/>
  <c r="H474" i="5"/>
  <c r="G474" i="5"/>
  <c r="F474" i="5"/>
  <c r="D474" i="5"/>
  <c r="C474" i="5"/>
  <c r="B474" i="5"/>
  <c r="Q473" i="5"/>
  <c r="O473" i="5"/>
  <c r="N473" i="5"/>
  <c r="M473" i="5"/>
  <c r="L473" i="5"/>
  <c r="K473" i="5"/>
  <c r="J473" i="5"/>
  <c r="I473" i="5"/>
  <c r="H473" i="5"/>
  <c r="G473" i="5"/>
  <c r="F473" i="5"/>
  <c r="D473" i="5"/>
  <c r="C473" i="5"/>
  <c r="B473" i="5"/>
  <c r="Q472" i="5"/>
  <c r="O472" i="5"/>
  <c r="N472" i="5"/>
  <c r="M472" i="5"/>
  <c r="L472" i="5"/>
  <c r="K472" i="5"/>
  <c r="J472" i="5"/>
  <c r="I472" i="5"/>
  <c r="H472" i="5"/>
  <c r="G472" i="5"/>
  <c r="F472" i="5"/>
  <c r="D472" i="5"/>
  <c r="C472" i="5"/>
  <c r="B472" i="5"/>
  <c r="Q471" i="5"/>
  <c r="O471" i="5"/>
  <c r="N471" i="5"/>
  <c r="M471" i="5"/>
  <c r="L471" i="5"/>
  <c r="K471" i="5"/>
  <c r="J471" i="5"/>
  <c r="I471" i="5"/>
  <c r="H471" i="5"/>
  <c r="G471" i="5"/>
  <c r="F471" i="5"/>
  <c r="D471" i="5"/>
  <c r="C471" i="5"/>
  <c r="B471" i="5"/>
  <c r="Q470" i="5"/>
  <c r="O470" i="5"/>
  <c r="N470" i="5"/>
  <c r="M470" i="5"/>
  <c r="L470" i="5"/>
  <c r="K470" i="5"/>
  <c r="J470" i="5"/>
  <c r="I470" i="5"/>
  <c r="H470" i="5"/>
  <c r="G470" i="5"/>
  <c r="F470" i="5"/>
  <c r="D470" i="5"/>
  <c r="C470" i="5"/>
  <c r="B470" i="5"/>
  <c r="Q469" i="5"/>
  <c r="O469" i="5"/>
  <c r="N469" i="5"/>
  <c r="M469" i="5"/>
  <c r="L469" i="5"/>
  <c r="K469" i="5"/>
  <c r="J469" i="5"/>
  <c r="I469" i="5"/>
  <c r="H469" i="5"/>
  <c r="G469" i="5"/>
  <c r="F469" i="5"/>
  <c r="D469" i="5"/>
  <c r="C469" i="5"/>
  <c r="B469" i="5"/>
  <c r="Q468" i="5"/>
  <c r="O468" i="5"/>
  <c r="N468" i="5"/>
  <c r="M468" i="5"/>
  <c r="L468" i="5"/>
  <c r="K468" i="5"/>
  <c r="J468" i="5"/>
  <c r="I468" i="5"/>
  <c r="H468" i="5"/>
  <c r="G468" i="5"/>
  <c r="F468" i="5"/>
  <c r="D468" i="5"/>
  <c r="C468" i="5"/>
  <c r="B468" i="5"/>
  <c r="Q467" i="5"/>
  <c r="O467" i="5"/>
  <c r="N467" i="5"/>
  <c r="M467" i="5"/>
  <c r="L467" i="5"/>
  <c r="K467" i="5"/>
  <c r="J467" i="5"/>
  <c r="I467" i="5"/>
  <c r="H467" i="5"/>
  <c r="G467" i="5"/>
  <c r="F467" i="5"/>
  <c r="D467" i="5"/>
  <c r="C467" i="5"/>
  <c r="B467" i="5"/>
  <c r="Q466" i="5"/>
  <c r="O466" i="5"/>
  <c r="N466" i="5"/>
  <c r="M466" i="5"/>
  <c r="L466" i="5"/>
  <c r="K466" i="5"/>
  <c r="J466" i="5"/>
  <c r="I466" i="5"/>
  <c r="H466" i="5"/>
  <c r="G466" i="5"/>
  <c r="F466" i="5"/>
  <c r="D466" i="5"/>
  <c r="C466" i="5"/>
  <c r="B466" i="5"/>
  <c r="Q465" i="5"/>
  <c r="O465" i="5"/>
  <c r="N465" i="5"/>
  <c r="M465" i="5"/>
  <c r="L465" i="5"/>
  <c r="K465" i="5"/>
  <c r="J465" i="5"/>
  <c r="I465" i="5"/>
  <c r="H465" i="5"/>
  <c r="G465" i="5"/>
  <c r="F465" i="5"/>
  <c r="D465" i="5"/>
  <c r="C465" i="5"/>
  <c r="B465" i="5"/>
  <c r="Q464" i="5"/>
  <c r="O464" i="5"/>
  <c r="N464" i="5"/>
  <c r="M464" i="5"/>
  <c r="L464" i="5"/>
  <c r="K464" i="5"/>
  <c r="J464" i="5"/>
  <c r="I464" i="5"/>
  <c r="H464" i="5"/>
  <c r="G464" i="5"/>
  <c r="F464" i="5"/>
  <c r="D464" i="5"/>
  <c r="C464" i="5"/>
  <c r="B464" i="5"/>
  <c r="Q463" i="5"/>
  <c r="O463" i="5"/>
  <c r="N463" i="5"/>
  <c r="M463" i="5"/>
  <c r="L463" i="5"/>
  <c r="K463" i="5"/>
  <c r="J463" i="5"/>
  <c r="I463" i="5"/>
  <c r="H463" i="5"/>
  <c r="G463" i="5"/>
  <c r="F463" i="5"/>
  <c r="D463" i="5"/>
  <c r="C463" i="5"/>
  <c r="B463" i="5"/>
  <c r="Q462" i="5"/>
  <c r="O462" i="5"/>
  <c r="N462" i="5"/>
  <c r="M462" i="5"/>
  <c r="L462" i="5"/>
  <c r="K462" i="5"/>
  <c r="J462" i="5"/>
  <c r="I462" i="5"/>
  <c r="H462" i="5"/>
  <c r="G462" i="5"/>
  <c r="F462" i="5"/>
  <c r="D462" i="5"/>
  <c r="C462" i="5"/>
  <c r="B462" i="5"/>
  <c r="Q461" i="5"/>
  <c r="O461" i="5"/>
  <c r="N461" i="5"/>
  <c r="M461" i="5"/>
  <c r="L461" i="5"/>
  <c r="K461" i="5"/>
  <c r="J461" i="5"/>
  <c r="I461" i="5"/>
  <c r="H461" i="5"/>
  <c r="G461" i="5"/>
  <c r="F461" i="5"/>
  <c r="D461" i="5"/>
  <c r="C461" i="5"/>
  <c r="B461" i="5"/>
  <c r="Q460" i="5"/>
  <c r="O460" i="5"/>
  <c r="N460" i="5"/>
  <c r="M460" i="5"/>
  <c r="L460" i="5"/>
  <c r="K460" i="5"/>
  <c r="J460" i="5"/>
  <c r="I460" i="5"/>
  <c r="H460" i="5"/>
  <c r="G460" i="5"/>
  <c r="F460" i="5"/>
  <c r="D460" i="5"/>
  <c r="C460" i="5"/>
  <c r="B460" i="5"/>
  <c r="Q459" i="5"/>
  <c r="O459" i="5"/>
  <c r="N459" i="5"/>
  <c r="M459" i="5"/>
  <c r="L459" i="5"/>
  <c r="K459" i="5"/>
  <c r="J459" i="5"/>
  <c r="G459" i="5"/>
  <c r="F459" i="5"/>
  <c r="D459" i="5"/>
  <c r="C459" i="5"/>
  <c r="B459" i="5"/>
  <c r="Q458" i="5"/>
  <c r="O458" i="5"/>
  <c r="N458" i="5"/>
  <c r="M458" i="5"/>
  <c r="L458" i="5"/>
  <c r="K458" i="5"/>
  <c r="J458" i="5"/>
  <c r="I458" i="5"/>
  <c r="H458" i="5"/>
  <c r="G458" i="5"/>
  <c r="F458" i="5"/>
  <c r="D458" i="5"/>
  <c r="C458" i="5"/>
  <c r="B458" i="5"/>
  <c r="Q457" i="5"/>
  <c r="O457" i="5"/>
  <c r="N457" i="5"/>
  <c r="M457" i="5"/>
  <c r="L457" i="5"/>
  <c r="K457" i="5"/>
  <c r="J457" i="5"/>
  <c r="I457" i="5"/>
  <c r="H457" i="5"/>
  <c r="G457" i="5"/>
  <c r="F457" i="5"/>
  <c r="D457" i="5"/>
  <c r="C457" i="5"/>
  <c r="B457" i="5"/>
  <c r="Q456" i="5"/>
  <c r="O456" i="5"/>
  <c r="N456" i="5"/>
  <c r="M456" i="5"/>
  <c r="L456" i="5"/>
  <c r="K456" i="5"/>
  <c r="J456" i="5"/>
  <c r="I456" i="5"/>
  <c r="H456" i="5"/>
  <c r="G456" i="5"/>
  <c r="F456" i="5"/>
  <c r="D456" i="5"/>
  <c r="C456" i="5"/>
  <c r="B456" i="5"/>
  <c r="Q455" i="5"/>
  <c r="O455" i="5"/>
  <c r="N455" i="5"/>
  <c r="M455" i="5"/>
  <c r="L455" i="5"/>
  <c r="K455" i="5"/>
  <c r="J455" i="5"/>
  <c r="I455" i="5"/>
  <c r="H455" i="5"/>
  <c r="G455" i="5"/>
  <c r="F455" i="5"/>
  <c r="D455" i="5"/>
  <c r="C455" i="5"/>
  <c r="B455" i="5"/>
  <c r="Q454" i="5"/>
  <c r="O454" i="5"/>
  <c r="N454" i="5"/>
  <c r="M454" i="5"/>
  <c r="L454" i="5"/>
  <c r="K454" i="5"/>
  <c r="J454" i="5"/>
  <c r="I454" i="5"/>
  <c r="H454" i="5"/>
  <c r="G454" i="5"/>
  <c r="F454" i="5"/>
  <c r="D454" i="5"/>
  <c r="C454" i="5"/>
  <c r="B454" i="5"/>
  <c r="Q453" i="5"/>
  <c r="O453" i="5"/>
  <c r="N453" i="5"/>
  <c r="M453" i="5"/>
  <c r="L453" i="5"/>
  <c r="K453" i="5"/>
  <c r="J453" i="5"/>
  <c r="I453" i="5"/>
  <c r="H453" i="5"/>
  <c r="G453" i="5"/>
  <c r="F453" i="5"/>
  <c r="D453" i="5"/>
  <c r="C453" i="5"/>
  <c r="B453" i="5"/>
  <c r="Q452" i="5"/>
  <c r="O452" i="5"/>
  <c r="N452" i="5"/>
  <c r="M452" i="5"/>
  <c r="L452" i="5"/>
  <c r="K452" i="5"/>
  <c r="J452" i="5"/>
  <c r="I452" i="5"/>
  <c r="H452" i="5"/>
  <c r="G452" i="5"/>
  <c r="F452" i="5"/>
  <c r="D452" i="5"/>
  <c r="C452" i="5"/>
  <c r="B452" i="5"/>
  <c r="Q451" i="5"/>
  <c r="O451" i="5"/>
  <c r="N451" i="5"/>
  <c r="M451" i="5"/>
  <c r="L451" i="5"/>
  <c r="K451" i="5"/>
  <c r="J451" i="5"/>
  <c r="I451" i="5"/>
  <c r="H451" i="5"/>
  <c r="G451" i="5"/>
  <c r="F451" i="5"/>
  <c r="D451" i="5"/>
  <c r="C451" i="5"/>
  <c r="A451" i="5" s="1" a="1"/>
  <c r="A451" i="5" s="1"/>
  <c r="B451" i="5"/>
  <c r="Q450" i="5"/>
  <c r="O450" i="5"/>
  <c r="N450" i="5"/>
  <c r="M450" i="5"/>
  <c r="L450" i="5"/>
  <c r="K450" i="5"/>
  <c r="J450" i="5"/>
  <c r="I450" i="5"/>
  <c r="H450" i="5"/>
  <c r="G450" i="5"/>
  <c r="F450" i="5"/>
  <c r="D450" i="5"/>
  <c r="C450" i="5"/>
  <c r="B450" i="5"/>
  <c r="Q449" i="5"/>
  <c r="O449" i="5"/>
  <c r="N449" i="5"/>
  <c r="M449" i="5"/>
  <c r="L449" i="5"/>
  <c r="K449" i="5"/>
  <c r="J449" i="5"/>
  <c r="I449" i="5"/>
  <c r="H449" i="5"/>
  <c r="G449" i="5"/>
  <c r="F449" i="5"/>
  <c r="D449" i="5"/>
  <c r="C449" i="5"/>
  <c r="B449" i="5"/>
  <c r="Q448" i="5"/>
  <c r="O448" i="5"/>
  <c r="N448" i="5"/>
  <c r="M448" i="5"/>
  <c r="L448" i="5"/>
  <c r="K448" i="5"/>
  <c r="J448" i="5"/>
  <c r="I448" i="5"/>
  <c r="H448" i="5"/>
  <c r="G448" i="5"/>
  <c r="F448" i="5"/>
  <c r="D448" i="5"/>
  <c r="C448" i="5"/>
  <c r="B448" i="5"/>
  <c r="Q447" i="5"/>
  <c r="O447" i="5"/>
  <c r="N447" i="5"/>
  <c r="M447" i="5"/>
  <c r="L447" i="5"/>
  <c r="K447" i="5"/>
  <c r="J447" i="5"/>
  <c r="I447" i="5"/>
  <c r="H447" i="5"/>
  <c r="G447" i="5"/>
  <c r="F447" i="5"/>
  <c r="D447" i="5"/>
  <c r="C447" i="5"/>
  <c r="B447" i="5"/>
  <c r="Q446" i="5"/>
  <c r="O446" i="5"/>
  <c r="N446" i="5"/>
  <c r="M446" i="5"/>
  <c r="L446" i="5"/>
  <c r="K446" i="5"/>
  <c r="J446" i="5"/>
  <c r="I446" i="5"/>
  <c r="H446" i="5"/>
  <c r="G446" i="5"/>
  <c r="F446" i="5"/>
  <c r="D446" i="5"/>
  <c r="C446" i="5"/>
  <c r="B446" i="5"/>
  <c r="Q445" i="5"/>
  <c r="O445" i="5"/>
  <c r="N445" i="5"/>
  <c r="M445" i="5"/>
  <c r="L445" i="5"/>
  <c r="K445" i="5"/>
  <c r="J445" i="5"/>
  <c r="I445" i="5"/>
  <c r="H445" i="5"/>
  <c r="G445" i="5"/>
  <c r="F445" i="5"/>
  <c r="D445" i="5"/>
  <c r="C445" i="5"/>
  <c r="B445" i="5"/>
  <c r="Q444" i="5"/>
  <c r="O444" i="5"/>
  <c r="N444" i="5"/>
  <c r="M444" i="5"/>
  <c r="L444" i="5"/>
  <c r="K444" i="5"/>
  <c r="J444" i="5"/>
  <c r="I444" i="5"/>
  <c r="H444" i="5"/>
  <c r="G444" i="5"/>
  <c r="F444" i="5"/>
  <c r="D444" i="5"/>
  <c r="C444" i="5"/>
  <c r="B444" i="5"/>
  <c r="Q443" i="5"/>
  <c r="O443" i="5"/>
  <c r="N443" i="5"/>
  <c r="M443" i="5"/>
  <c r="L443" i="5"/>
  <c r="K443" i="5"/>
  <c r="J443" i="5"/>
  <c r="I443" i="5"/>
  <c r="H443" i="5"/>
  <c r="G443" i="5"/>
  <c r="F443" i="5"/>
  <c r="D443" i="5"/>
  <c r="C443" i="5"/>
  <c r="B443" i="5"/>
  <c r="Q442" i="5"/>
  <c r="O442" i="5"/>
  <c r="N442" i="5"/>
  <c r="M442" i="5"/>
  <c r="L442" i="5"/>
  <c r="K442" i="5"/>
  <c r="J442" i="5"/>
  <c r="I442" i="5"/>
  <c r="H442" i="5"/>
  <c r="G442" i="5"/>
  <c r="F442" i="5"/>
  <c r="D442" i="5"/>
  <c r="C442" i="5"/>
  <c r="B442" i="5"/>
  <c r="Q441" i="5"/>
  <c r="O441" i="5"/>
  <c r="N441" i="5"/>
  <c r="M441" i="5"/>
  <c r="L441" i="5"/>
  <c r="K441" i="5"/>
  <c r="J441" i="5"/>
  <c r="I441" i="5"/>
  <c r="H441" i="5"/>
  <c r="G441" i="5"/>
  <c r="F441" i="5"/>
  <c r="D441" i="5"/>
  <c r="C441" i="5"/>
  <c r="B441" i="5"/>
  <c r="Q440" i="5"/>
  <c r="O440" i="5"/>
  <c r="N440" i="5"/>
  <c r="M440" i="5"/>
  <c r="L440" i="5"/>
  <c r="K440" i="5"/>
  <c r="J440" i="5"/>
  <c r="I440" i="5"/>
  <c r="H440" i="5"/>
  <c r="G440" i="5"/>
  <c r="F440" i="5"/>
  <c r="D440" i="5"/>
  <c r="C440" i="5"/>
  <c r="B440" i="5"/>
  <c r="Q439" i="5"/>
  <c r="O439" i="5"/>
  <c r="N439" i="5"/>
  <c r="M439" i="5"/>
  <c r="L439" i="5"/>
  <c r="K439" i="5"/>
  <c r="J439" i="5"/>
  <c r="I439" i="5"/>
  <c r="H439" i="5"/>
  <c r="G439" i="5"/>
  <c r="F439" i="5"/>
  <c r="D439" i="5"/>
  <c r="C439" i="5"/>
  <c r="B439" i="5"/>
  <c r="Q438" i="5"/>
  <c r="O438" i="5"/>
  <c r="N438" i="5"/>
  <c r="M438" i="5"/>
  <c r="L438" i="5"/>
  <c r="K438" i="5"/>
  <c r="J438" i="5"/>
  <c r="I438" i="5"/>
  <c r="H438" i="5"/>
  <c r="G438" i="5"/>
  <c r="F438" i="5"/>
  <c r="D438" i="5"/>
  <c r="C438" i="5"/>
  <c r="B438" i="5"/>
  <c r="Q437" i="5"/>
  <c r="O437" i="5"/>
  <c r="N437" i="5"/>
  <c r="M437" i="5"/>
  <c r="L437" i="5"/>
  <c r="K437" i="5"/>
  <c r="J437" i="5"/>
  <c r="I437" i="5"/>
  <c r="H437" i="5"/>
  <c r="G437" i="5"/>
  <c r="F437" i="5"/>
  <c r="D437" i="5"/>
  <c r="C437" i="5"/>
  <c r="B437" i="5"/>
  <c r="Q436" i="5"/>
  <c r="O436" i="5"/>
  <c r="N436" i="5"/>
  <c r="M436" i="5"/>
  <c r="L436" i="5"/>
  <c r="K436" i="5"/>
  <c r="J436" i="5"/>
  <c r="I436" i="5"/>
  <c r="H436" i="5"/>
  <c r="G436" i="5"/>
  <c r="F436" i="5"/>
  <c r="D436" i="5"/>
  <c r="C436" i="5"/>
  <c r="B436" i="5"/>
  <c r="Q435" i="5"/>
  <c r="O435" i="5"/>
  <c r="N435" i="5"/>
  <c r="M435" i="5"/>
  <c r="L435" i="5"/>
  <c r="K435" i="5"/>
  <c r="J435" i="5"/>
  <c r="I435" i="5"/>
  <c r="H435" i="5"/>
  <c r="G435" i="5"/>
  <c r="F435" i="5"/>
  <c r="D435" i="5"/>
  <c r="C435" i="5"/>
  <c r="B435" i="5"/>
  <c r="Q434" i="5"/>
  <c r="O434" i="5"/>
  <c r="N434" i="5"/>
  <c r="M434" i="5"/>
  <c r="L434" i="5"/>
  <c r="K434" i="5"/>
  <c r="J434" i="5"/>
  <c r="I434" i="5"/>
  <c r="H434" i="5"/>
  <c r="G434" i="5"/>
  <c r="F434" i="5"/>
  <c r="D434" i="5"/>
  <c r="C434" i="5"/>
  <c r="B434" i="5"/>
  <c r="Q433" i="5"/>
  <c r="O433" i="5"/>
  <c r="N433" i="5"/>
  <c r="M433" i="5"/>
  <c r="L433" i="5"/>
  <c r="K433" i="5"/>
  <c r="J433" i="5"/>
  <c r="I433" i="5"/>
  <c r="H433" i="5"/>
  <c r="G433" i="5"/>
  <c r="F433" i="5"/>
  <c r="D433" i="5"/>
  <c r="C433" i="5"/>
  <c r="B433" i="5"/>
  <c r="Q432" i="5"/>
  <c r="O432" i="5"/>
  <c r="N432" i="5"/>
  <c r="M432" i="5"/>
  <c r="L432" i="5"/>
  <c r="K432" i="5"/>
  <c r="J432" i="5"/>
  <c r="I432" i="5"/>
  <c r="H432" i="5"/>
  <c r="G432" i="5"/>
  <c r="F432" i="5"/>
  <c r="D432" i="5"/>
  <c r="C432" i="5"/>
  <c r="B432" i="5"/>
  <c r="Q431" i="5"/>
  <c r="O431" i="5"/>
  <c r="N431" i="5"/>
  <c r="M431" i="5"/>
  <c r="L431" i="5"/>
  <c r="K431" i="5"/>
  <c r="J431" i="5"/>
  <c r="I431" i="5"/>
  <c r="H431" i="5"/>
  <c r="G431" i="5"/>
  <c r="F431" i="5"/>
  <c r="D431" i="5"/>
  <c r="C431" i="5"/>
  <c r="B431" i="5"/>
  <c r="Q430" i="5"/>
  <c r="O430" i="5"/>
  <c r="N430" i="5"/>
  <c r="M430" i="5"/>
  <c r="L430" i="5"/>
  <c r="K430" i="5"/>
  <c r="J430" i="5"/>
  <c r="I430" i="5"/>
  <c r="H430" i="5"/>
  <c r="G430" i="5"/>
  <c r="F430" i="5"/>
  <c r="D430" i="5"/>
  <c r="C430" i="5"/>
  <c r="B430" i="5"/>
  <c r="Q429" i="5"/>
  <c r="O429" i="5"/>
  <c r="N429" i="5"/>
  <c r="M429" i="5"/>
  <c r="L429" i="5"/>
  <c r="K429" i="5"/>
  <c r="J429" i="5"/>
  <c r="I429" i="5"/>
  <c r="H429" i="5"/>
  <c r="G429" i="5"/>
  <c r="F429" i="5"/>
  <c r="D429" i="5"/>
  <c r="C429" i="5"/>
  <c r="B429" i="5"/>
  <c r="Q428" i="5"/>
  <c r="O428" i="5"/>
  <c r="N428" i="5"/>
  <c r="M428" i="5"/>
  <c r="L428" i="5"/>
  <c r="K428" i="5"/>
  <c r="J428" i="5"/>
  <c r="I428" i="5"/>
  <c r="H428" i="5"/>
  <c r="G428" i="5"/>
  <c r="F428" i="5"/>
  <c r="D428" i="5"/>
  <c r="C428" i="5"/>
  <c r="B428" i="5"/>
  <c r="Q427" i="5"/>
  <c r="O427" i="5"/>
  <c r="N427" i="5"/>
  <c r="M427" i="5"/>
  <c r="L427" i="5"/>
  <c r="K427" i="5"/>
  <c r="J427" i="5"/>
  <c r="I427" i="5"/>
  <c r="H427" i="5"/>
  <c r="G427" i="5"/>
  <c r="F427" i="5"/>
  <c r="D427" i="5"/>
  <c r="C427" i="5"/>
  <c r="B427" i="5"/>
  <c r="Q426" i="5"/>
  <c r="O426" i="5"/>
  <c r="N426" i="5"/>
  <c r="M426" i="5"/>
  <c r="L426" i="5"/>
  <c r="K426" i="5"/>
  <c r="J426" i="5"/>
  <c r="I426" i="5"/>
  <c r="H426" i="5"/>
  <c r="G426" i="5"/>
  <c r="F426" i="5"/>
  <c r="D426" i="5"/>
  <c r="C426" i="5"/>
  <c r="B426" i="5"/>
  <c r="Q425" i="5"/>
  <c r="O425" i="5"/>
  <c r="N425" i="5"/>
  <c r="M425" i="5"/>
  <c r="L425" i="5"/>
  <c r="K425" i="5"/>
  <c r="J425" i="5"/>
  <c r="I425" i="5"/>
  <c r="H425" i="5"/>
  <c r="G425" i="5"/>
  <c r="F425" i="5"/>
  <c r="D425" i="5"/>
  <c r="C425" i="5"/>
  <c r="B425" i="5"/>
  <c r="Q424" i="5"/>
  <c r="O424" i="5"/>
  <c r="N424" i="5"/>
  <c r="M424" i="5"/>
  <c r="L424" i="5"/>
  <c r="K424" i="5"/>
  <c r="J424" i="5"/>
  <c r="I424" i="5"/>
  <c r="H424" i="5"/>
  <c r="G424" i="5"/>
  <c r="F424" i="5"/>
  <c r="D424" i="5"/>
  <c r="C424" i="5"/>
  <c r="B424" i="5"/>
  <c r="Q423" i="5"/>
  <c r="O423" i="5"/>
  <c r="N423" i="5"/>
  <c r="M423" i="5"/>
  <c r="L423" i="5"/>
  <c r="K423" i="5"/>
  <c r="J423" i="5"/>
  <c r="I423" i="5"/>
  <c r="H423" i="5"/>
  <c r="G423" i="5"/>
  <c r="F423" i="5"/>
  <c r="D423" i="5"/>
  <c r="C423" i="5"/>
  <c r="B423" i="5"/>
  <c r="Q422" i="5"/>
  <c r="O422" i="5"/>
  <c r="N422" i="5"/>
  <c r="M422" i="5"/>
  <c r="L422" i="5"/>
  <c r="K422" i="5"/>
  <c r="J422" i="5"/>
  <c r="I422" i="5"/>
  <c r="H422" i="5"/>
  <c r="G422" i="5"/>
  <c r="F422" i="5"/>
  <c r="D422" i="5"/>
  <c r="C422" i="5"/>
  <c r="B422" i="5"/>
  <c r="Q421" i="5"/>
  <c r="O421" i="5"/>
  <c r="N421" i="5"/>
  <c r="M421" i="5"/>
  <c r="L421" i="5"/>
  <c r="K421" i="5"/>
  <c r="J421" i="5"/>
  <c r="I421" i="5"/>
  <c r="H421" i="5"/>
  <c r="G421" i="5"/>
  <c r="F421" i="5"/>
  <c r="D421" i="5"/>
  <c r="C421" i="5"/>
  <c r="B421" i="5"/>
  <c r="Q420" i="5"/>
  <c r="O420" i="5"/>
  <c r="N420" i="5"/>
  <c r="M420" i="5"/>
  <c r="L420" i="5"/>
  <c r="K420" i="5"/>
  <c r="J420" i="5"/>
  <c r="I420" i="5"/>
  <c r="H420" i="5"/>
  <c r="G420" i="5"/>
  <c r="F420" i="5"/>
  <c r="D420" i="5"/>
  <c r="C420" i="5"/>
  <c r="B420" i="5"/>
  <c r="Q419" i="5"/>
  <c r="O419" i="5"/>
  <c r="N419" i="5"/>
  <c r="M419" i="5"/>
  <c r="L419" i="5"/>
  <c r="K419" i="5"/>
  <c r="J419" i="5"/>
  <c r="I419" i="5"/>
  <c r="H419" i="5"/>
  <c r="G419" i="5"/>
  <c r="F419" i="5"/>
  <c r="D419" i="5"/>
  <c r="C419" i="5"/>
  <c r="B419" i="5"/>
  <c r="Q418" i="5"/>
  <c r="O418" i="5"/>
  <c r="N418" i="5"/>
  <c r="M418" i="5"/>
  <c r="L418" i="5"/>
  <c r="K418" i="5"/>
  <c r="J418" i="5"/>
  <c r="I418" i="5"/>
  <c r="H418" i="5"/>
  <c r="G418" i="5"/>
  <c r="F418" i="5"/>
  <c r="D418" i="5"/>
  <c r="C418" i="5"/>
  <c r="B418" i="5"/>
  <c r="Q417" i="5"/>
  <c r="O417" i="5"/>
  <c r="N417" i="5"/>
  <c r="M417" i="5"/>
  <c r="L417" i="5"/>
  <c r="K417" i="5"/>
  <c r="J417" i="5"/>
  <c r="I417" i="5"/>
  <c r="H417" i="5"/>
  <c r="G417" i="5"/>
  <c r="F417" i="5"/>
  <c r="D417" i="5"/>
  <c r="C417" i="5"/>
  <c r="B417" i="5"/>
  <c r="Q416" i="5"/>
  <c r="O416" i="5"/>
  <c r="N416" i="5"/>
  <c r="M416" i="5"/>
  <c r="L416" i="5"/>
  <c r="K416" i="5"/>
  <c r="J416" i="5"/>
  <c r="I416" i="5"/>
  <c r="H416" i="5"/>
  <c r="G416" i="5"/>
  <c r="F416" i="5"/>
  <c r="D416" i="5"/>
  <c r="C416" i="5"/>
  <c r="B416" i="5"/>
  <c r="Q415" i="5"/>
  <c r="O415" i="5"/>
  <c r="N415" i="5"/>
  <c r="M415" i="5"/>
  <c r="L415" i="5"/>
  <c r="K415" i="5"/>
  <c r="J415" i="5"/>
  <c r="I415" i="5"/>
  <c r="H415" i="5"/>
  <c r="G415" i="5"/>
  <c r="F415" i="5"/>
  <c r="D415" i="5"/>
  <c r="C415" i="5"/>
  <c r="B415" i="5"/>
  <c r="Q414" i="5"/>
  <c r="O414" i="5"/>
  <c r="N414" i="5"/>
  <c r="M414" i="5"/>
  <c r="L414" i="5"/>
  <c r="K414" i="5"/>
  <c r="J414" i="5"/>
  <c r="I414" i="5"/>
  <c r="H414" i="5"/>
  <c r="G414" i="5"/>
  <c r="F414" i="5"/>
  <c r="D414" i="5"/>
  <c r="C414" i="5"/>
  <c r="B414" i="5"/>
  <c r="Q413" i="5"/>
  <c r="O413" i="5"/>
  <c r="N413" i="5"/>
  <c r="M413" i="5"/>
  <c r="L413" i="5"/>
  <c r="K413" i="5"/>
  <c r="J413" i="5"/>
  <c r="I413" i="5"/>
  <c r="H413" i="5"/>
  <c r="G413" i="5"/>
  <c r="F413" i="5"/>
  <c r="D413" i="5"/>
  <c r="C413" i="5"/>
  <c r="B413" i="5"/>
  <c r="Q412" i="5"/>
  <c r="O412" i="5"/>
  <c r="N412" i="5"/>
  <c r="M412" i="5"/>
  <c r="L412" i="5"/>
  <c r="K412" i="5"/>
  <c r="J412" i="5"/>
  <c r="I412" i="5"/>
  <c r="H412" i="5"/>
  <c r="G412" i="5"/>
  <c r="F412" i="5"/>
  <c r="D412" i="5"/>
  <c r="C412" i="5"/>
  <c r="B412" i="5"/>
  <c r="Q411" i="5"/>
  <c r="O411" i="5"/>
  <c r="N411" i="5"/>
  <c r="M411" i="5"/>
  <c r="L411" i="5"/>
  <c r="K411" i="5"/>
  <c r="J411" i="5"/>
  <c r="I411" i="5"/>
  <c r="H411" i="5"/>
  <c r="G411" i="5"/>
  <c r="F411" i="5"/>
  <c r="D411" i="5"/>
  <c r="C411" i="5"/>
  <c r="B411" i="5"/>
  <c r="Q410" i="5"/>
  <c r="O410" i="5"/>
  <c r="N410" i="5"/>
  <c r="M410" i="5"/>
  <c r="L410" i="5"/>
  <c r="K410" i="5"/>
  <c r="J410" i="5"/>
  <c r="I410" i="5"/>
  <c r="H410" i="5"/>
  <c r="G410" i="5"/>
  <c r="F410" i="5"/>
  <c r="D410" i="5"/>
  <c r="C410" i="5"/>
  <c r="B410" i="5"/>
  <c r="Q409" i="5"/>
  <c r="O409" i="5"/>
  <c r="N409" i="5"/>
  <c r="M409" i="5"/>
  <c r="L409" i="5"/>
  <c r="K409" i="5"/>
  <c r="J409" i="5"/>
  <c r="I409" i="5"/>
  <c r="H409" i="5"/>
  <c r="G409" i="5"/>
  <c r="F409" i="5"/>
  <c r="D409" i="5"/>
  <c r="C409" i="5"/>
  <c r="B409" i="5"/>
  <c r="Q408" i="5"/>
  <c r="O408" i="5"/>
  <c r="N408" i="5"/>
  <c r="M408" i="5"/>
  <c r="L408" i="5"/>
  <c r="K408" i="5"/>
  <c r="J408" i="5"/>
  <c r="I408" i="5"/>
  <c r="H408" i="5"/>
  <c r="G408" i="5"/>
  <c r="F408" i="5"/>
  <c r="D408" i="5"/>
  <c r="C408" i="5"/>
  <c r="B408" i="5"/>
  <c r="Q407" i="5"/>
  <c r="O407" i="5"/>
  <c r="N407" i="5"/>
  <c r="M407" i="5"/>
  <c r="L407" i="5"/>
  <c r="K407" i="5"/>
  <c r="J407" i="5"/>
  <c r="I407" i="5"/>
  <c r="H407" i="5"/>
  <c r="G407" i="5"/>
  <c r="F407" i="5"/>
  <c r="D407" i="5"/>
  <c r="C407" i="5"/>
  <c r="B407" i="5"/>
  <c r="Q406" i="5"/>
  <c r="O406" i="5"/>
  <c r="N406" i="5"/>
  <c r="M406" i="5"/>
  <c r="L406" i="5"/>
  <c r="K406" i="5"/>
  <c r="J406" i="5"/>
  <c r="I406" i="5"/>
  <c r="H406" i="5"/>
  <c r="G406" i="5"/>
  <c r="F406" i="5"/>
  <c r="D406" i="5"/>
  <c r="C406" i="5"/>
  <c r="B406" i="5"/>
  <c r="Q405" i="5"/>
  <c r="O405" i="5"/>
  <c r="N405" i="5"/>
  <c r="M405" i="5"/>
  <c r="L405" i="5"/>
  <c r="K405" i="5"/>
  <c r="J405" i="5"/>
  <c r="I405" i="5"/>
  <c r="H405" i="5"/>
  <c r="G405" i="5"/>
  <c r="F405" i="5"/>
  <c r="D405" i="5"/>
  <c r="C405" i="5"/>
  <c r="B405" i="5"/>
  <c r="Q404" i="5"/>
  <c r="O404" i="5"/>
  <c r="N404" i="5"/>
  <c r="M404" i="5"/>
  <c r="L404" i="5"/>
  <c r="K404" i="5"/>
  <c r="J404" i="5"/>
  <c r="I404" i="5"/>
  <c r="H404" i="5"/>
  <c r="G404" i="5"/>
  <c r="F404" i="5"/>
  <c r="D404" i="5"/>
  <c r="C404" i="5"/>
  <c r="B404" i="5"/>
  <c r="Q403" i="5"/>
  <c r="O403" i="5"/>
  <c r="N403" i="5"/>
  <c r="M403" i="5"/>
  <c r="L403" i="5"/>
  <c r="K403" i="5"/>
  <c r="J403" i="5"/>
  <c r="I403" i="5"/>
  <c r="H403" i="5"/>
  <c r="G403" i="5"/>
  <c r="F403" i="5"/>
  <c r="D403" i="5"/>
  <c r="C403" i="5"/>
  <c r="B403" i="5"/>
  <c r="Q402" i="5"/>
  <c r="O402" i="5"/>
  <c r="N402" i="5"/>
  <c r="M402" i="5"/>
  <c r="L402" i="5"/>
  <c r="K402" i="5"/>
  <c r="J402" i="5"/>
  <c r="I402" i="5"/>
  <c r="H402" i="5"/>
  <c r="G402" i="5"/>
  <c r="F402" i="5"/>
  <c r="D402" i="5"/>
  <c r="C402" i="5"/>
  <c r="B402" i="5"/>
  <c r="Q401" i="5"/>
  <c r="O401" i="5"/>
  <c r="N401" i="5"/>
  <c r="M401" i="5"/>
  <c r="L401" i="5"/>
  <c r="K401" i="5"/>
  <c r="J401" i="5"/>
  <c r="I401" i="5"/>
  <c r="H401" i="5"/>
  <c r="G401" i="5"/>
  <c r="F401" i="5"/>
  <c r="D401" i="5"/>
  <c r="C401" i="5"/>
  <c r="B401" i="5"/>
  <c r="Q400" i="5"/>
  <c r="O400" i="5"/>
  <c r="N400" i="5"/>
  <c r="M400" i="5"/>
  <c r="L400" i="5"/>
  <c r="K400" i="5"/>
  <c r="J400" i="5"/>
  <c r="I400" i="5"/>
  <c r="H400" i="5"/>
  <c r="G400" i="5"/>
  <c r="F400" i="5"/>
  <c r="D400" i="5"/>
  <c r="C400" i="5"/>
  <c r="B400" i="5"/>
  <c r="Q399" i="5"/>
  <c r="O399" i="5"/>
  <c r="N399" i="5"/>
  <c r="M399" i="5"/>
  <c r="L399" i="5"/>
  <c r="K399" i="5"/>
  <c r="J399" i="5"/>
  <c r="I399" i="5"/>
  <c r="H399" i="5"/>
  <c r="G399" i="5"/>
  <c r="F399" i="5"/>
  <c r="D399" i="5"/>
  <c r="C399" i="5"/>
  <c r="B399" i="5"/>
  <c r="Q398" i="5"/>
  <c r="O398" i="5"/>
  <c r="N398" i="5"/>
  <c r="M398" i="5"/>
  <c r="L398" i="5"/>
  <c r="K398" i="5"/>
  <c r="J398" i="5"/>
  <c r="I398" i="5"/>
  <c r="H398" i="5"/>
  <c r="G398" i="5"/>
  <c r="F398" i="5"/>
  <c r="D398" i="5"/>
  <c r="C398" i="5"/>
  <c r="B398" i="5"/>
  <c r="Q397" i="5"/>
  <c r="O397" i="5"/>
  <c r="N397" i="5"/>
  <c r="M397" i="5"/>
  <c r="L397" i="5"/>
  <c r="K397" i="5"/>
  <c r="J397" i="5"/>
  <c r="I397" i="5"/>
  <c r="H397" i="5"/>
  <c r="G397" i="5"/>
  <c r="F397" i="5"/>
  <c r="D397" i="5"/>
  <c r="C397" i="5"/>
  <c r="B397" i="5"/>
  <c r="Q396" i="5"/>
  <c r="O396" i="5"/>
  <c r="N396" i="5"/>
  <c r="M396" i="5"/>
  <c r="L396" i="5"/>
  <c r="K396" i="5"/>
  <c r="J396" i="5"/>
  <c r="I396" i="5"/>
  <c r="H396" i="5"/>
  <c r="G396" i="5"/>
  <c r="F396" i="5"/>
  <c r="D396" i="5"/>
  <c r="C396" i="5"/>
  <c r="B396" i="5"/>
  <c r="Q395" i="5"/>
  <c r="O395" i="5"/>
  <c r="N395" i="5"/>
  <c r="M395" i="5"/>
  <c r="L395" i="5"/>
  <c r="K395" i="5"/>
  <c r="J395" i="5"/>
  <c r="I395" i="5"/>
  <c r="H395" i="5"/>
  <c r="G395" i="5"/>
  <c r="F395" i="5"/>
  <c r="D395" i="5"/>
  <c r="C395" i="5"/>
  <c r="B395" i="5"/>
  <c r="Q394" i="5"/>
  <c r="O394" i="5"/>
  <c r="N394" i="5"/>
  <c r="M394" i="5"/>
  <c r="L394" i="5"/>
  <c r="K394" i="5"/>
  <c r="J394" i="5"/>
  <c r="I394" i="5"/>
  <c r="H394" i="5"/>
  <c r="G394" i="5"/>
  <c r="F394" i="5"/>
  <c r="D394" i="5"/>
  <c r="C394" i="5"/>
  <c r="B394" i="5"/>
  <c r="Q393" i="5"/>
  <c r="O393" i="5"/>
  <c r="N393" i="5"/>
  <c r="M393" i="5"/>
  <c r="L393" i="5"/>
  <c r="K393" i="5"/>
  <c r="J393" i="5"/>
  <c r="I393" i="5"/>
  <c r="H393" i="5"/>
  <c r="G393" i="5"/>
  <c r="F393" i="5"/>
  <c r="D393" i="5"/>
  <c r="C393" i="5"/>
  <c r="B393" i="5"/>
  <c r="Q392" i="5"/>
  <c r="O392" i="5"/>
  <c r="N392" i="5"/>
  <c r="M392" i="5"/>
  <c r="L392" i="5"/>
  <c r="K392" i="5"/>
  <c r="J392" i="5"/>
  <c r="I392" i="5"/>
  <c r="H392" i="5"/>
  <c r="G392" i="5"/>
  <c r="F392" i="5"/>
  <c r="D392" i="5"/>
  <c r="C392" i="5"/>
  <c r="B392" i="5"/>
  <c r="Q391" i="5"/>
  <c r="O391" i="5"/>
  <c r="N391" i="5"/>
  <c r="M391" i="5"/>
  <c r="L391" i="5"/>
  <c r="K391" i="5"/>
  <c r="J391" i="5"/>
  <c r="I391" i="5"/>
  <c r="H391" i="5"/>
  <c r="G391" i="5"/>
  <c r="F391" i="5"/>
  <c r="D391" i="5"/>
  <c r="C391" i="5"/>
  <c r="A391" i="5" s="1" a="1"/>
  <c r="A391" i="5" s="1"/>
  <c r="B391" i="5"/>
  <c r="Q390" i="5"/>
  <c r="O390" i="5"/>
  <c r="N390" i="5"/>
  <c r="M390" i="5"/>
  <c r="L390" i="5"/>
  <c r="K390" i="5"/>
  <c r="J390" i="5"/>
  <c r="I390" i="5"/>
  <c r="H390" i="5"/>
  <c r="G390" i="5"/>
  <c r="F390" i="5"/>
  <c r="D390" i="5"/>
  <c r="C390" i="5"/>
  <c r="B390" i="5"/>
  <c r="Q389" i="5"/>
  <c r="O389" i="5"/>
  <c r="N389" i="5"/>
  <c r="M389" i="5"/>
  <c r="L389" i="5"/>
  <c r="K389" i="5"/>
  <c r="J389" i="5"/>
  <c r="I389" i="5"/>
  <c r="H389" i="5"/>
  <c r="G389" i="5"/>
  <c r="F389" i="5"/>
  <c r="D389" i="5"/>
  <c r="C389" i="5"/>
  <c r="B389" i="5"/>
  <c r="Q388" i="5"/>
  <c r="O388" i="5"/>
  <c r="N388" i="5"/>
  <c r="M388" i="5"/>
  <c r="L388" i="5"/>
  <c r="K388" i="5"/>
  <c r="J388" i="5"/>
  <c r="I388" i="5"/>
  <c r="H388" i="5"/>
  <c r="G388" i="5"/>
  <c r="F388" i="5"/>
  <c r="D388" i="5"/>
  <c r="C388" i="5"/>
  <c r="B388" i="5"/>
  <c r="Q387" i="5"/>
  <c r="O387" i="5"/>
  <c r="N387" i="5"/>
  <c r="M387" i="5"/>
  <c r="L387" i="5"/>
  <c r="K387" i="5"/>
  <c r="J387" i="5"/>
  <c r="I387" i="5"/>
  <c r="H387" i="5"/>
  <c r="G387" i="5"/>
  <c r="F387" i="5"/>
  <c r="D387" i="5"/>
  <c r="C387" i="5"/>
  <c r="B387" i="5"/>
  <c r="Q386" i="5"/>
  <c r="O386" i="5"/>
  <c r="N386" i="5"/>
  <c r="M386" i="5"/>
  <c r="L386" i="5"/>
  <c r="K386" i="5"/>
  <c r="J386" i="5"/>
  <c r="I386" i="5"/>
  <c r="H386" i="5"/>
  <c r="G386" i="5"/>
  <c r="F386" i="5"/>
  <c r="D386" i="5"/>
  <c r="C386" i="5"/>
  <c r="B386" i="5"/>
  <c r="Q385" i="5"/>
  <c r="O385" i="5"/>
  <c r="N385" i="5"/>
  <c r="M385" i="5"/>
  <c r="L385" i="5"/>
  <c r="K385" i="5"/>
  <c r="J385" i="5"/>
  <c r="I385" i="5"/>
  <c r="H385" i="5"/>
  <c r="G385" i="5"/>
  <c r="F385" i="5"/>
  <c r="D385" i="5"/>
  <c r="C385" i="5"/>
  <c r="B385" i="5"/>
  <c r="Q384" i="5"/>
  <c r="O384" i="5"/>
  <c r="N384" i="5"/>
  <c r="M384" i="5"/>
  <c r="L384" i="5"/>
  <c r="K384" i="5"/>
  <c r="J384" i="5"/>
  <c r="I384" i="5"/>
  <c r="H384" i="5"/>
  <c r="G384" i="5"/>
  <c r="F384" i="5"/>
  <c r="D384" i="5"/>
  <c r="C384" i="5"/>
  <c r="B384" i="5"/>
  <c r="Q383" i="5"/>
  <c r="O383" i="5"/>
  <c r="N383" i="5"/>
  <c r="M383" i="5"/>
  <c r="L383" i="5"/>
  <c r="K383" i="5"/>
  <c r="J383" i="5"/>
  <c r="I383" i="5"/>
  <c r="H383" i="5"/>
  <c r="G383" i="5"/>
  <c r="F383" i="5"/>
  <c r="D383" i="5"/>
  <c r="C383" i="5"/>
  <c r="B383" i="5"/>
  <c r="Q382" i="5"/>
  <c r="O382" i="5"/>
  <c r="N382" i="5"/>
  <c r="M382" i="5"/>
  <c r="L382" i="5"/>
  <c r="K382" i="5"/>
  <c r="J382" i="5"/>
  <c r="I382" i="5"/>
  <c r="H382" i="5"/>
  <c r="G382" i="5"/>
  <c r="F382" i="5"/>
  <c r="D382" i="5"/>
  <c r="C382" i="5"/>
  <c r="B382" i="5"/>
  <c r="Q381" i="5"/>
  <c r="O381" i="5"/>
  <c r="N381" i="5"/>
  <c r="M381" i="5"/>
  <c r="L381" i="5"/>
  <c r="K381" i="5"/>
  <c r="J381" i="5"/>
  <c r="I381" i="5"/>
  <c r="H381" i="5"/>
  <c r="G381" i="5"/>
  <c r="F381" i="5"/>
  <c r="D381" i="5"/>
  <c r="C381" i="5"/>
  <c r="B381" i="5"/>
  <c r="Q380" i="5"/>
  <c r="O380" i="5"/>
  <c r="N380" i="5"/>
  <c r="M380" i="5"/>
  <c r="L380" i="5"/>
  <c r="K380" i="5"/>
  <c r="J380" i="5"/>
  <c r="I380" i="5"/>
  <c r="H380" i="5"/>
  <c r="G380" i="5"/>
  <c r="F380" i="5"/>
  <c r="D380" i="5"/>
  <c r="C380" i="5"/>
  <c r="B380" i="5"/>
  <c r="Q379" i="5"/>
  <c r="O379" i="5"/>
  <c r="N379" i="5"/>
  <c r="M379" i="5"/>
  <c r="L379" i="5"/>
  <c r="K379" i="5"/>
  <c r="J379" i="5"/>
  <c r="I379" i="5"/>
  <c r="H379" i="5"/>
  <c r="G379" i="5"/>
  <c r="F379" i="5"/>
  <c r="D379" i="5"/>
  <c r="C379" i="5"/>
  <c r="B379" i="5"/>
  <c r="Q378" i="5"/>
  <c r="O378" i="5"/>
  <c r="N378" i="5"/>
  <c r="M378" i="5"/>
  <c r="L378" i="5"/>
  <c r="K378" i="5"/>
  <c r="J378" i="5"/>
  <c r="I378" i="5"/>
  <c r="H378" i="5"/>
  <c r="G378" i="5"/>
  <c r="F378" i="5"/>
  <c r="D378" i="5"/>
  <c r="C378" i="5"/>
  <c r="B378" i="5"/>
  <c r="Q377" i="5"/>
  <c r="O377" i="5"/>
  <c r="N377" i="5"/>
  <c r="M377" i="5"/>
  <c r="L377" i="5"/>
  <c r="K377" i="5"/>
  <c r="J377" i="5"/>
  <c r="I377" i="5"/>
  <c r="H377" i="5"/>
  <c r="G377" i="5"/>
  <c r="F377" i="5"/>
  <c r="D377" i="5"/>
  <c r="C377" i="5"/>
  <c r="B377" i="5"/>
  <c r="Q376" i="5"/>
  <c r="O376" i="5"/>
  <c r="N376" i="5"/>
  <c r="M376" i="5"/>
  <c r="L376" i="5"/>
  <c r="K376" i="5"/>
  <c r="J376" i="5"/>
  <c r="I376" i="5"/>
  <c r="H376" i="5"/>
  <c r="G376" i="5"/>
  <c r="F376" i="5"/>
  <c r="D376" i="5"/>
  <c r="C376" i="5"/>
  <c r="B376" i="5"/>
  <c r="Q375" i="5"/>
  <c r="O375" i="5"/>
  <c r="N375" i="5"/>
  <c r="M375" i="5"/>
  <c r="L375" i="5"/>
  <c r="K375" i="5"/>
  <c r="J375" i="5"/>
  <c r="I375" i="5"/>
  <c r="H375" i="5"/>
  <c r="G375" i="5"/>
  <c r="F375" i="5"/>
  <c r="D375" i="5"/>
  <c r="C375" i="5"/>
  <c r="B375" i="5"/>
  <c r="Q374" i="5"/>
  <c r="O374" i="5"/>
  <c r="N374" i="5"/>
  <c r="M374" i="5"/>
  <c r="L374" i="5"/>
  <c r="K374" i="5"/>
  <c r="J374" i="5"/>
  <c r="I374" i="5"/>
  <c r="H374" i="5"/>
  <c r="G374" i="5"/>
  <c r="F374" i="5"/>
  <c r="D374" i="5"/>
  <c r="C374" i="5"/>
  <c r="B374" i="5"/>
  <c r="Q373" i="5"/>
  <c r="O373" i="5"/>
  <c r="N373" i="5"/>
  <c r="M373" i="5"/>
  <c r="L373" i="5"/>
  <c r="K373" i="5"/>
  <c r="J373" i="5"/>
  <c r="I373" i="5"/>
  <c r="H373" i="5"/>
  <c r="G373" i="5"/>
  <c r="F373" i="5"/>
  <c r="D373" i="5"/>
  <c r="C373" i="5"/>
  <c r="B373" i="5"/>
  <c r="Q372" i="5"/>
  <c r="O372" i="5"/>
  <c r="N372" i="5"/>
  <c r="M372" i="5"/>
  <c r="L372" i="5"/>
  <c r="K372" i="5"/>
  <c r="J372" i="5"/>
  <c r="I372" i="5"/>
  <c r="H372" i="5"/>
  <c r="G372" i="5"/>
  <c r="F372" i="5"/>
  <c r="D372" i="5"/>
  <c r="C372" i="5"/>
  <c r="B372" i="5"/>
  <c r="Q371" i="5"/>
  <c r="O371" i="5"/>
  <c r="N371" i="5"/>
  <c r="M371" i="5"/>
  <c r="L371" i="5"/>
  <c r="K371" i="5"/>
  <c r="J371" i="5"/>
  <c r="I371" i="5"/>
  <c r="H371" i="5"/>
  <c r="G371" i="5"/>
  <c r="F371" i="5"/>
  <c r="D371" i="5"/>
  <c r="C371" i="5"/>
  <c r="B371" i="5"/>
  <c r="Q370" i="5"/>
  <c r="O370" i="5"/>
  <c r="N370" i="5"/>
  <c r="M370" i="5"/>
  <c r="L370" i="5"/>
  <c r="K370" i="5"/>
  <c r="J370" i="5"/>
  <c r="I370" i="5"/>
  <c r="H370" i="5"/>
  <c r="G370" i="5"/>
  <c r="F370" i="5"/>
  <c r="D370" i="5"/>
  <c r="C370" i="5"/>
  <c r="B370" i="5"/>
  <c r="Q369" i="5"/>
  <c r="O369" i="5"/>
  <c r="N369" i="5"/>
  <c r="M369" i="5"/>
  <c r="L369" i="5"/>
  <c r="K369" i="5"/>
  <c r="J369" i="5"/>
  <c r="I369" i="5"/>
  <c r="H369" i="5"/>
  <c r="G369" i="5"/>
  <c r="F369" i="5"/>
  <c r="D369" i="5"/>
  <c r="C369" i="5"/>
  <c r="B369" i="5"/>
  <c r="Q368" i="5"/>
  <c r="O368" i="5"/>
  <c r="N368" i="5"/>
  <c r="M368" i="5"/>
  <c r="L368" i="5"/>
  <c r="K368" i="5"/>
  <c r="J368" i="5"/>
  <c r="I368" i="5"/>
  <c r="H368" i="5"/>
  <c r="G368" i="5"/>
  <c r="F368" i="5"/>
  <c r="D368" i="5"/>
  <c r="C368" i="5"/>
  <c r="B368" i="5"/>
  <c r="Q367" i="5"/>
  <c r="O367" i="5"/>
  <c r="N367" i="5"/>
  <c r="M367" i="5"/>
  <c r="L367" i="5"/>
  <c r="K367" i="5"/>
  <c r="J367" i="5"/>
  <c r="I367" i="5"/>
  <c r="H367" i="5"/>
  <c r="G367" i="5"/>
  <c r="F367" i="5"/>
  <c r="D367" i="5"/>
  <c r="C367" i="5"/>
  <c r="B367" i="5"/>
  <c r="Q366" i="5"/>
  <c r="O366" i="5"/>
  <c r="N366" i="5"/>
  <c r="M366" i="5"/>
  <c r="L366" i="5"/>
  <c r="K366" i="5"/>
  <c r="J366" i="5"/>
  <c r="I366" i="5"/>
  <c r="H366" i="5"/>
  <c r="G366" i="5"/>
  <c r="F366" i="5"/>
  <c r="D366" i="5"/>
  <c r="C366" i="5"/>
  <c r="B366" i="5"/>
  <c r="Q365" i="5"/>
  <c r="O365" i="5"/>
  <c r="N365" i="5"/>
  <c r="M365" i="5"/>
  <c r="L365" i="5"/>
  <c r="K365" i="5"/>
  <c r="J365" i="5"/>
  <c r="I365" i="5"/>
  <c r="H365" i="5"/>
  <c r="G365" i="5"/>
  <c r="F365" i="5"/>
  <c r="D365" i="5"/>
  <c r="C365" i="5"/>
  <c r="B365" i="5"/>
  <c r="Q364" i="5"/>
  <c r="O364" i="5"/>
  <c r="N364" i="5"/>
  <c r="M364" i="5"/>
  <c r="L364" i="5"/>
  <c r="K364" i="5"/>
  <c r="J364" i="5"/>
  <c r="I364" i="5"/>
  <c r="H364" i="5"/>
  <c r="G364" i="5"/>
  <c r="F364" i="5"/>
  <c r="D364" i="5"/>
  <c r="C364" i="5"/>
  <c r="B364" i="5"/>
  <c r="Q363" i="5"/>
  <c r="O363" i="5"/>
  <c r="N363" i="5"/>
  <c r="M363" i="5"/>
  <c r="L363" i="5"/>
  <c r="K363" i="5"/>
  <c r="J363" i="5"/>
  <c r="I363" i="5"/>
  <c r="H363" i="5"/>
  <c r="G363" i="5"/>
  <c r="F363" i="5"/>
  <c r="D363" i="5"/>
  <c r="C363" i="5"/>
  <c r="B363" i="5"/>
  <c r="Q362" i="5"/>
  <c r="O362" i="5"/>
  <c r="N362" i="5"/>
  <c r="M362" i="5"/>
  <c r="L362" i="5"/>
  <c r="K362" i="5"/>
  <c r="J362" i="5"/>
  <c r="I362" i="5"/>
  <c r="H362" i="5"/>
  <c r="G362" i="5"/>
  <c r="F362" i="5"/>
  <c r="D362" i="5"/>
  <c r="C362" i="5"/>
  <c r="B362" i="5"/>
  <c r="Q361" i="5"/>
  <c r="O361" i="5"/>
  <c r="N361" i="5"/>
  <c r="M361" i="5"/>
  <c r="L361" i="5"/>
  <c r="K361" i="5"/>
  <c r="J361" i="5"/>
  <c r="I361" i="5"/>
  <c r="H361" i="5"/>
  <c r="G361" i="5"/>
  <c r="F361" i="5"/>
  <c r="D361" i="5"/>
  <c r="C361" i="5"/>
  <c r="B361" i="5"/>
  <c r="Q360" i="5"/>
  <c r="O360" i="5"/>
  <c r="N360" i="5"/>
  <c r="M360" i="5"/>
  <c r="L360" i="5"/>
  <c r="K360" i="5"/>
  <c r="J360" i="5"/>
  <c r="I360" i="5"/>
  <c r="H360" i="5"/>
  <c r="G360" i="5"/>
  <c r="F360" i="5"/>
  <c r="D360" i="5"/>
  <c r="C360" i="5"/>
  <c r="B360" i="5"/>
  <c r="Q359" i="5"/>
  <c r="O359" i="5"/>
  <c r="N359" i="5"/>
  <c r="M359" i="5"/>
  <c r="L359" i="5"/>
  <c r="K359" i="5"/>
  <c r="J359" i="5"/>
  <c r="I359" i="5"/>
  <c r="H359" i="5"/>
  <c r="G359" i="5"/>
  <c r="F359" i="5"/>
  <c r="D359" i="5"/>
  <c r="C359" i="5"/>
  <c r="B359" i="5"/>
  <c r="Q358" i="5"/>
  <c r="O358" i="5"/>
  <c r="N358" i="5"/>
  <c r="M358" i="5"/>
  <c r="L358" i="5"/>
  <c r="K358" i="5"/>
  <c r="J358" i="5"/>
  <c r="I358" i="5"/>
  <c r="H358" i="5"/>
  <c r="G358" i="5"/>
  <c r="F358" i="5"/>
  <c r="D358" i="5"/>
  <c r="C358" i="5"/>
  <c r="B358" i="5"/>
  <c r="Q357" i="5"/>
  <c r="O357" i="5"/>
  <c r="N357" i="5"/>
  <c r="M357" i="5"/>
  <c r="L357" i="5"/>
  <c r="K357" i="5"/>
  <c r="J357" i="5"/>
  <c r="I357" i="5"/>
  <c r="H357" i="5"/>
  <c r="G357" i="5"/>
  <c r="F357" i="5"/>
  <c r="D357" i="5"/>
  <c r="C357" i="5"/>
  <c r="B357" i="5"/>
  <c r="Q356" i="5"/>
  <c r="O356" i="5"/>
  <c r="N356" i="5"/>
  <c r="M356" i="5"/>
  <c r="L356" i="5"/>
  <c r="K356" i="5"/>
  <c r="J356" i="5"/>
  <c r="I356" i="5"/>
  <c r="H356" i="5"/>
  <c r="G356" i="5"/>
  <c r="F356" i="5"/>
  <c r="D356" i="5"/>
  <c r="C356" i="5"/>
  <c r="B356" i="5"/>
  <c r="Q355" i="5"/>
  <c r="O355" i="5"/>
  <c r="N355" i="5"/>
  <c r="M355" i="5"/>
  <c r="L355" i="5"/>
  <c r="K355" i="5"/>
  <c r="J355" i="5"/>
  <c r="I355" i="5"/>
  <c r="H355" i="5"/>
  <c r="G355" i="5"/>
  <c r="F355" i="5"/>
  <c r="D355" i="5"/>
  <c r="C355" i="5"/>
  <c r="B355" i="5"/>
  <c r="Q354" i="5"/>
  <c r="O354" i="5"/>
  <c r="N354" i="5"/>
  <c r="M354" i="5"/>
  <c r="L354" i="5"/>
  <c r="K354" i="5"/>
  <c r="J354" i="5"/>
  <c r="I354" i="5"/>
  <c r="H354" i="5"/>
  <c r="G354" i="5"/>
  <c r="F354" i="5"/>
  <c r="D354" i="5"/>
  <c r="C354" i="5"/>
  <c r="B354" i="5"/>
  <c r="Q353" i="5"/>
  <c r="O353" i="5"/>
  <c r="N353" i="5"/>
  <c r="M353" i="5"/>
  <c r="L353" i="5"/>
  <c r="K353" i="5"/>
  <c r="J353" i="5"/>
  <c r="I353" i="5"/>
  <c r="H353" i="5"/>
  <c r="G353" i="5"/>
  <c r="F353" i="5"/>
  <c r="D353" i="5"/>
  <c r="C353" i="5"/>
  <c r="B353" i="5"/>
  <c r="Q352" i="5"/>
  <c r="O352" i="5"/>
  <c r="N352" i="5"/>
  <c r="M352" i="5"/>
  <c r="L352" i="5"/>
  <c r="K352" i="5"/>
  <c r="J352" i="5"/>
  <c r="I352" i="5"/>
  <c r="H352" i="5"/>
  <c r="G352" i="5"/>
  <c r="F352" i="5"/>
  <c r="D352" i="5"/>
  <c r="C352" i="5"/>
  <c r="B352" i="5"/>
  <c r="Q351" i="5"/>
  <c r="O351" i="5"/>
  <c r="N351" i="5"/>
  <c r="M351" i="5"/>
  <c r="L351" i="5"/>
  <c r="K351" i="5"/>
  <c r="J351" i="5"/>
  <c r="I351" i="5"/>
  <c r="H351" i="5"/>
  <c r="G351" i="5"/>
  <c r="F351" i="5"/>
  <c r="D351" i="5"/>
  <c r="C351" i="5"/>
  <c r="B351" i="5"/>
  <c r="Q350" i="5"/>
  <c r="O350" i="5"/>
  <c r="N350" i="5"/>
  <c r="M350" i="5"/>
  <c r="L350" i="5"/>
  <c r="K350" i="5"/>
  <c r="J350" i="5"/>
  <c r="I350" i="5"/>
  <c r="H350" i="5"/>
  <c r="G350" i="5"/>
  <c r="F350" i="5"/>
  <c r="D350" i="5"/>
  <c r="C350" i="5"/>
  <c r="B350" i="5"/>
  <c r="Q349" i="5"/>
  <c r="O349" i="5"/>
  <c r="N349" i="5"/>
  <c r="M349" i="5"/>
  <c r="L349" i="5"/>
  <c r="K349" i="5"/>
  <c r="J349" i="5"/>
  <c r="I349" i="5"/>
  <c r="H349" i="5"/>
  <c r="G349" i="5"/>
  <c r="F349" i="5"/>
  <c r="D349" i="5"/>
  <c r="C349" i="5"/>
  <c r="B349" i="5"/>
  <c r="Q348" i="5"/>
  <c r="O348" i="5"/>
  <c r="N348" i="5"/>
  <c r="M348" i="5"/>
  <c r="L348" i="5"/>
  <c r="K348" i="5"/>
  <c r="J348" i="5"/>
  <c r="I348" i="5"/>
  <c r="H348" i="5"/>
  <c r="G348" i="5"/>
  <c r="F348" i="5"/>
  <c r="D348" i="5"/>
  <c r="C348" i="5"/>
  <c r="B348" i="5"/>
  <c r="Q347" i="5"/>
  <c r="O347" i="5"/>
  <c r="N347" i="5"/>
  <c r="M347" i="5"/>
  <c r="L347" i="5"/>
  <c r="K347" i="5"/>
  <c r="J347" i="5"/>
  <c r="I347" i="5"/>
  <c r="H347" i="5"/>
  <c r="G347" i="5"/>
  <c r="F347" i="5"/>
  <c r="D347" i="5"/>
  <c r="C347" i="5"/>
  <c r="A347" i="5" s="1" a="1"/>
  <c r="A347" i="5" s="1"/>
  <c r="B347" i="5"/>
  <c r="Q346" i="5"/>
  <c r="O346" i="5"/>
  <c r="N346" i="5"/>
  <c r="M346" i="5"/>
  <c r="L346" i="5"/>
  <c r="K346" i="5"/>
  <c r="J346" i="5"/>
  <c r="I346" i="5"/>
  <c r="H346" i="5"/>
  <c r="G346" i="5"/>
  <c r="F346" i="5"/>
  <c r="D346" i="5"/>
  <c r="C346" i="5"/>
  <c r="B346" i="5"/>
  <c r="Q345" i="5"/>
  <c r="O345" i="5"/>
  <c r="N345" i="5"/>
  <c r="M345" i="5"/>
  <c r="L345" i="5"/>
  <c r="K345" i="5"/>
  <c r="J345" i="5"/>
  <c r="I345" i="5"/>
  <c r="H345" i="5"/>
  <c r="G345" i="5"/>
  <c r="F345" i="5"/>
  <c r="D345" i="5"/>
  <c r="C345" i="5"/>
  <c r="B345" i="5"/>
  <c r="Q344" i="5"/>
  <c r="O344" i="5"/>
  <c r="N344" i="5"/>
  <c r="M344" i="5"/>
  <c r="L344" i="5"/>
  <c r="K344" i="5"/>
  <c r="J344" i="5"/>
  <c r="I344" i="5"/>
  <c r="H344" i="5"/>
  <c r="G344" i="5"/>
  <c r="F344" i="5"/>
  <c r="D344" i="5"/>
  <c r="C344" i="5"/>
  <c r="B344" i="5"/>
  <c r="Q343" i="5"/>
  <c r="O343" i="5"/>
  <c r="N343" i="5"/>
  <c r="M343" i="5"/>
  <c r="L343" i="5"/>
  <c r="K343" i="5"/>
  <c r="J343" i="5"/>
  <c r="I343" i="5"/>
  <c r="H343" i="5"/>
  <c r="G343" i="5"/>
  <c r="F343" i="5"/>
  <c r="D343" i="5"/>
  <c r="C343" i="5"/>
  <c r="B343" i="5"/>
  <c r="Q342" i="5"/>
  <c r="O342" i="5"/>
  <c r="N342" i="5"/>
  <c r="M342" i="5"/>
  <c r="L342" i="5"/>
  <c r="K342" i="5"/>
  <c r="J342" i="5"/>
  <c r="I342" i="5"/>
  <c r="H342" i="5"/>
  <c r="G342" i="5"/>
  <c r="F342" i="5"/>
  <c r="D342" i="5"/>
  <c r="C342" i="5"/>
  <c r="B342" i="5"/>
  <c r="Q341" i="5"/>
  <c r="O341" i="5"/>
  <c r="N341" i="5"/>
  <c r="M341" i="5"/>
  <c r="L341" i="5"/>
  <c r="K341" i="5"/>
  <c r="J341" i="5"/>
  <c r="I341" i="5"/>
  <c r="H341" i="5"/>
  <c r="G341" i="5"/>
  <c r="F341" i="5"/>
  <c r="D341" i="5"/>
  <c r="C341" i="5"/>
  <c r="B341" i="5"/>
  <c r="Q340" i="5"/>
  <c r="O340" i="5"/>
  <c r="N340" i="5"/>
  <c r="M340" i="5"/>
  <c r="L340" i="5"/>
  <c r="K340" i="5"/>
  <c r="J340" i="5"/>
  <c r="I340" i="5"/>
  <c r="H340" i="5"/>
  <c r="G340" i="5"/>
  <c r="F340" i="5"/>
  <c r="D340" i="5"/>
  <c r="C340" i="5"/>
  <c r="B340" i="5"/>
  <c r="Q339" i="5"/>
  <c r="O339" i="5"/>
  <c r="N339" i="5"/>
  <c r="M339" i="5"/>
  <c r="L339" i="5"/>
  <c r="K339" i="5"/>
  <c r="J339" i="5"/>
  <c r="I339" i="5"/>
  <c r="H339" i="5"/>
  <c r="G339" i="5"/>
  <c r="F339" i="5"/>
  <c r="D339" i="5"/>
  <c r="C339" i="5"/>
  <c r="B339" i="5"/>
  <c r="Q338" i="5"/>
  <c r="O338" i="5"/>
  <c r="N338" i="5"/>
  <c r="M338" i="5"/>
  <c r="L338" i="5"/>
  <c r="K338" i="5"/>
  <c r="J338" i="5"/>
  <c r="I338" i="5"/>
  <c r="H338" i="5"/>
  <c r="G338" i="5"/>
  <c r="F338" i="5"/>
  <c r="D338" i="5"/>
  <c r="C338" i="5"/>
  <c r="A338" i="5" s="1" a="1"/>
  <c r="A338" i="5" s="1"/>
  <c r="B338" i="5"/>
  <c r="Q337" i="5"/>
  <c r="O337" i="5"/>
  <c r="N337" i="5"/>
  <c r="M337" i="5"/>
  <c r="L337" i="5"/>
  <c r="K337" i="5"/>
  <c r="J337" i="5"/>
  <c r="I337" i="5"/>
  <c r="H337" i="5"/>
  <c r="G337" i="5"/>
  <c r="F337" i="5"/>
  <c r="D337" i="5"/>
  <c r="C337" i="5"/>
  <c r="B337" i="5"/>
  <c r="Q336" i="5"/>
  <c r="O336" i="5"/>
  <c r="N336" i="5"/>
  <c r="M336" i="5"/>
  <c r="L336" i="5"/>
  <c r="K336" i="5"/>
  <c r="J336" i="5"/>
  <c r="I336" i="5"/>
  <c r="H336" i="5"/>
  <c r="G336" i="5"/>
  <c r="F336" i="5"/>
  <c r="D336" i="5"/>
  <c r="C336" i="5"/>
  <c r="B336" i="5"/>
  <c r="Q335" i="5"/>
  <c r="O335" i="5"/>
  <c r="N335" i="5"/>
  <c r="M335" i="5"/>
  <c r="L335" i="5"/>
  <c r="K335" i="5"/>
  <c r="J335" i="5"/>
  <c r="I335" i="5"/>
  <c r="H335" i="5"/>
  <c r="G335" i="5"/>
  <c r="F335" i="5"/>
  <c r="D335" i="5"/>
  <c r="C335" i="5"/>
  <c r="B335" i="5"/>
  <c r="Q334" i="5"/>
  <c r="O334" i="5"/>
  <c r="N334" i="5"/>
  <c r="M334" i="5"/>
  <c r="L334" i="5"/>
  <c r="K334" i="5"/>
  <c r="J334" i="5"/>
  <c r="I334" i="5"/>
  <c r="H334" i="5"/>
  <c r="G334" i="5"/>
  <c r="F334" i="5"/>
  <c r="D334" i="5"/>
  <c r="C334" i="5"/>
  <c r="B334" i="5"/>
  <c r="Q333" i="5"/>
  <c r="O333" i="5"/>
  <c r="N333" i="5"/>
  <c r="M333" i="5"/>
  <c r="L333" i="5"/>
  <c r="K333" i="5"/>
  <c r="J333" i="5"/>
  <c r="I333" i="5"/>
  <c r="H333" i="5"/>
  <c r="G333" i="5"/>
  <c r="F333" i="5"/>
  <c r="D333" i="5"/>
  <c r="C333" i="5"/>
  <c r="B333" i="5"/>
  <c r="Q332" i="5"/>
  <c r="O332" i="5"/>
  <c r="N332" i="5"/>
  <c r="M332" i="5"/>
  <c r="L332" i="5"/>
  <c r="K332" i="5"/>
  <c r="J332" i="5"/>
  <c r="I332" i="5"/>
  <c r="H332" i="5"/>
  <c r="G332" i="5"/>
  <c r="F332" i="5"/>
  <c r="D332" i="5"/>
  <c r="C332" i="5"/>
  <c r="B332" i="5"/>
  <c r="Q331" i="5"/>
  <c r="O331" i="5"/>
  <c r="N331" i="5"/>
  <c r="M331" i="5"/>
  <c r="L331" i="5"/>
  <c r="K331" i="5"/>
  <c r="J331" i="5"/>
  <c r="I331" i="5"/>
  <c r="H331" i="5"/>
  <c r="G331" i="5"/>
  <c r="F331" i="5"/>
  <c r="D331" i="5"/>
  <c r="C331" i="5"/>
  <c r="B331" i="5"/>
  <c r="A331" i="5" a="1"/>
  <c r="A331" i="5" s="1"/>
  <c r="Q330" i="5"/>
  <c r="O330" i="5"/>
  <c r="N330" i="5"/>
  <c r="M330" i="5"/>
  <c r="L330" i="5"/>
  <c r="K330" i="5"/>
  <c r="J330" i="5"/>
  <c r="I330" i="5"/>
  <c r="H330" i="5"/>
  <c r="G330" i="5"/>
  <c r="F330" i="5"/>
  <c r="D330" i="5"/>
  <c r="C330" i="5"/>
  <c r="B330" i="5"/>
  <c r="Q329" i="5"/>
  <c r="O329" i="5"/>
  <c r="N329" i="5"/>
  <c r="M329" i="5"/>
  <c r="L329" i="5"/>
  <c r="K329" i="5"/>
  <c r="J329" i="5"/>
  <c r="I329" i="5"/>
  <c r="H329" i="5"/>
  <c r="G329" i="5"/>
  <c r="F329" i="5"/>
  <c r="D329" i="5"/>
  <c r="C329" i="5"/>
  <c r="B329" i="5"/>
  <c r="Q328" i="5"/>
  <c r="O328" i="5"/>
  <c r="N328" i="5"/>
  <c r="M328" i="5"/>
  <c r="L328" i="5"/>
  <c r="K328" i="5"/>
  <c r="J328" i="5"/>
  <c r="I328" i="5"/>
  <c r="H328" i="5"/>
  <c r="G328" i="5"/>
  <c r="F328" i="5"/>
  <c r="D328" i="5"/>
  <c r="C328" i="5"/>
  <c r="B328" i="5"/>
  <c r="Q327" i="5"/>
  <c r="O327" i="5"/>
  <c r="N327" i="5"/>
  <c r="M327" i="5"/>
  <c r="L327" i="5"/>
  <c r="K327" i="5"/>
  <c r="J327" i="5"/>
  <c r="I327" i="5"/>
  <c r="H327" i="5"/>
  <c r="G327" i="5"/>
  <c r="F327" i="5"/>
  <c r="D327" i="5"/>
  <c r="C327" i="5"/>
  <c r="B327" i="5"/>
  <c r="Q326" i="5"/>
  <c r="O326" i="5"/>
  <c r="N326" i="5"/>
  <c r="M326" i="5"/>
  <c r="L326" i="5"/>
  <c r="K326" i="5"/>
  <c r="J326" i="5"/>
  <c r="I326" i="5"/>
  <c r="H326" i="5"/>
  <c r="G326" i="5"/>
  <c r="F326" i="5"/>
  <c r="D326" i="5"/>
  <c r="C326" i="5"/>
  <c r="B326" i="5"/>
  <c r="Q325" i="5"/>
  <c r="O325" i="5"/>
  <c r="N325" i="5"/>
  <c r="M325" i="5"/>
  <c r="L325" i="5"/>
  <c r="K325" i="5"/>
  <c r="J325" i="5"/>
  <c r="I325" i="5"/>
  <c r="H325" i="5"/>
  <c r="G325" i="5"/>
  <c r="F325" i="5"/>
  <c r="D325" i="5"/>
  <c r="C325" i="5"/>
  <c r="B325" i="5"/>
  <c r="Q324" i="5"/>
  <c r="O324" i="5"/>
  <c r="N324" i="5"/>
  <c r="M324" i="5"/>
  <c r="L324" i="5"/>
  <c r="K324" i="5"/>
  <c r="J324" i="5"/>
  <c r="I324" i="5"/>
  <c r="H324" i="5"/>
  <c r="G324" i="5"/>
  <c r="F324" i="5"/>
  <c r="D324" i="5"/>
  <c r="C324" i="5"/>
  <c r="B324" i="5"/>
  <c r="Q323" i="5"/>
  <c r="O323" i="5"/>
  <c r="N323" i="5"/>
  <c r="M323" i="5"/>
  <c r="L323" i="5"/>
  <c r="K323" i="5"/>
  <c r="J323" i="5"/>
  <c r="I323" i="5"/>
  <c r="H323" i="5"/>
  <c r="G323" i="5"/>
  <c r="F323" i="5"/>
  <c r="D323" i="5"/>
  <c r="C323" i="5"/>
  <c r="B323" i="5"/>
  <c r="Q322" i="5"/>
  <c r="O322" i="5"/>
  <c r="N322" i="5"/>
  <c r="M322" i="5"/>
  <c r="L322" i="5"/>
  <c r="K322" i="5"/>
  <c r="J322" i="5"/>
  <c r="I322" i="5"/>
  <c r="H322" i="5"/>
  <c r="G322" i="5"/>
  <c r="F322" i="5"/>
  <c r="D322" i="5"/>
  <c r="C322" i="5"/>
  <c r="B322" i="5"/>
  <c r="Q321" i="5"/>
  <c r="O321" i="5"/>
  <c r="N321" i="5"/>
  <c r="M321" i="5"/>
  <c r="L321" i="5"/>
  <c r="K321" i="5"/>
  <c r="J321" i="5"/>
  <c r="I321" i="5"/>
  <c r="H321" i="5"/>
  <c r="G321" i="5"/>
  <c r="F321" i="5"/>
  <c r="D321" i="5"/>
  <c r="C321" i="5"/>
  <c r="B321" i="5"/>
  <c r="Q320" i="5"/>
  <c r="O320" i="5"/>
  <c r="N320" i="5"/>
  <c r="M320" i="5"/>
  <c r="L320" i="5"/>
  <c r="K320" i="5"/>
  <c r="J320" i="5"/>
  <c r="I320" i="5"/>
  <c r="H320" i="5"/>
  <c r="G320" i="5"/>
  <c r="F320" i="5"/>
  <c r="D320" i="5"/>
  <c r="C320" i="5"/>
  <c r="B320" i="5"/>
  <c r="Q319" i="5"/>
  <c r="O319" i="5"/>
  <c r="N319" i="5"/>
  <c r="M319" i="5"/>
  <c r="L319" i="5"/>
  <c r="K319" i="5"/>
  <c r="J319" i="5"/>
  <c r="I319" i="5"/>
  <c r="H319" i="5"/>
  <c r="G319" i="5"/>
  <c r="F319" i="5"/>
  <c r="D319" i="5"/>
  <c r="C319" i="5"/>
  <c r="B319" i="5"/>
  <c r="Q318" i="5"/>
  <c r="O318" i="5"/>
  <c r="N318" i="5"/>
  <c r="M318" i="5"/>
  <c r="L318" i="5"/>
  <c r="K318" i="5"/>
  <c r="J318" i="5"/>
  <c r="I318" i="5"/>
  <c r="H318" i="5"/>
  <c r="G318" i="5"/>
  <c r="F318" i="5"/>
  <c r="D318" i="5"/>
  <c r="C318" i="5"/>
  <c r="B318" i="5"/>
  <c r="Q317" i="5"/>
  <c r="O317" i="5"/>
  <c r="N317" i="5"/>
  <c r="M317" i="5"/>
  <c r="L317" i="5"/>
  <c r="K317" i="5"/>
  <c r="J317" i="5"/>
  <c r="I317" i="5"/>
  <c r="H317" i="5"/>
  <c r="G317" i="5"/>
  <c r="F317" i="5"/>
  <c r="D317" i="5"/>
  <c r="C317" i="5"/>
  <c r="B317" i="5"/>
  <c r="Q316" i="5"/>
  <c r="O316" i="5"/>
  <c r="N316" i="5"/>
  <c r="M316" i="5"/>
  <c r="L316" i="5"/>
  <c r="K316" i="5"/>
  <c r="J316" i="5"/>
  <c r="I316" i="5"/>
  <c r="H316" i="5"/>
  <c r="G316" i="5"/>
  <c r="F316" i="5"/>
  <c r="D316" i="5"/>
  <c r="C316" i="5"/>
  <c r="B316" i="5"/>
  <c r="Q315" i="5"/>
  <c r="O315" i="5"/>
  <c r="N315" i="5"/>
  <c r="M315" i="5"/>
  <c r="L315" i="5"/>
  <c r="K315" i="5"/>
  <c r="J315" i="5"/>
  <c r="I315" i="5"/>
  <c r="H315" i="5"/>
  <c r="G315" i="5"/>
  <c r="F315" i="5"/>
  <c r="D315" i="5"/>
  <c r="C315" i="5"/>
  <c r="B315" i="5"/>
  <c r="Q314" i="5"/>
  <c r="O314" i="5"/>
  <c r="N314" i="5"/>
  <c r="M314" i="5"/>
  <c r="L314" i="5"/>
  <c r="K314" i="5"/>
  <c r="J314" i="5"/>
  <c r="I314" i="5"/>
  <c r="H314" i="5"/>
  <c r="G314" i="5"/>
  <c r="F314" i="5"/>
  <c r="D314" i="5"/>
  <c r="C314" i="5"/>
  <c r="B314" i="5"/>
  <c r="Q313" i="5"/>
  <c r="O313" i="5"/>
  <c r="N313" i="5"/>
  <c r="M313" i="5"/>
  <c r="L313" i="5"/>
  <c r="K313" i="5"/>
  <c r="J313" i="5"/>
  <c r="I313" i="5"/>
  <c r="H313" i="5"/>
  <c r="G313" i="5"/>
  <c r="F313" i="5"/>
  <c r="D313" i="5"/>
  <c r="C313" i="5"/>
  <c r="B313" i="5"/>
  <c r="Q312" i="5"/>
  <c r="O312" i="5"/>
  <c r="N312" i="5"/>
  <c r="M312" i="5"/>
  <c r="L312" i="5"/>
  <c r="K312" i="5"/>
  <c r="J312" i="5"/>
  <c r="I312" i="5"/>
  <c r="H312" i="5"/>
  <c r="G312" i="5"/>
  <c r="F312" i="5"/>
  <c r="D312" i="5"/>
  <c r="C312" i="5"/>
  <c r="B312" i="5"/>
  <c r="Q311" i="5"/>
  <c r="O311" i="5"/>
  <c r="N311" i="5"/>
  <c r="M311" i="5"/>
  <c r="L311" i="5"/>
  <c r="K311" i="5"/>
  <c r="J311" i="5"/>
  <c r="I311" i="5"/>
  <c r="H311" i="5"/>
  <c r="G311" i="5"/>
  <c r="F311" i="5"/>
  <c r="D311" i="5"/>
  <c r="C311" i="5"/>
  <c r="B311" i="5"/>
  <c r="Q310" i="5"/>
  <c r="O310" i="5"/>
  <c r="N310" i="5"/>
  <c r="M310" i="5"/>
  <c r="L310" i="5"/>
  <c r="K310" i="5"/>
  <c r="J310" i="5"/>
  <c r="I310" i="5"/>
  <c r="H310" i="5"/>
  <c r="G310" i="5"/>
  <c r="F310" i="5"/>
  <c r="D310" i="5"/>
  <c r="C310" i="5"/>
  <c r="B310" i="5"/>
  <c r="Q309" i="5"/>
  <c r="O309" i="5"/>
  <c r="N309" i="5"/>
  <c r="M309" i="5"/>
  <c r="L309" i="5"/>
  <c r="K309" i="5"/>
  <c r="J309" i="5"/>
  <c r="I309" i="5"/>
  <c r="H309" i="5"/>
  <c r="G309" i="5"/>
  <c r="F309" i="5"/>
  <c r="D309" i="5"/>
  <c r="C309" i="5"/>
  <c r="B309" i="5"/>
  <c r="Q308" i="5"/>
  <c r="O308" i="5"/>
  <c r="N308" i="5"/>
  <c r="M308" i="5"/>
  <c r="L308" i="5"/>
  <c r="K308" i="5"/>
  <c r="J308" i="5"/>
  <c r="I308" i="5"/>
  <c r="H308" i="5"/>
  <c r="G308" i="5"/>
  <c r="F308" i="5"/>
  <c r="D308" i="5"/>
  <c r="C308" i="5"/>
  <c r="B308" i="5"/>
  <c r="Q307" i="5"/>
  <c r="O307" i="5"/>
  <c r="N307" i="5"/>
  <c r="M307" i="5"/>
  <c r="L307" i="5"/>
  <c r="K307" i="5"/>
  <c r="J307" i="5"/>
  <c r="I307" i="5"/>
  <c r="H307" i="5"/>
  <c r="G307" i="5"/>
  <c r="F307" i="5"/>
  <c r="D307" i="5"/>
  <c r="C307" i="5"/>
  <c r="B307" i="5"/>
  <c r="Q306" i="5"/>
  <c r="O306" i="5"/>
  <c r="N306" i="5"/>
  <c r="M306" i="5"/>
  <c r="L306" i="5"/>
  <c r="K306" i="5"/>
  <c r="J306" i="5"/>
  <c r="I306" i="5"/>
  <c r="H306" i="5"/>
  <c r="G306" i="5"/>
  <c r="F306" i="5"/>
  <c r="D306" i="5"/>
  <c r="C306" i="5"/>
  <c r="B306" i="5"/>
  <c r="Q305" i="5"/>
  <c r="O305" i="5"/>
  <c r="N305" i="5"/>
  <c r="M305" i="5"/>
  <c r="L305" i="5"/>
  <c r="K305" i="5"/>
  <c r="J305" i="5"/>
  <c r="I305" i="5"/>
  <c r="H305" i="5"/>
  <c r="G305" i="5"/>
  <c r="F305" i="5"/>
  <c r="D305" i="5"/>
  <c r="C305" i="5"/>
  <c r="B305" i="5"/>
  <c r="Q304" i="5"/>
  <c r="O304" i="5"/>
  <c r="N304" i="5"/>
  <c r="M304" i="5"/>
  <c r="L304" i="5"/>
  <c r="K304" i="5"/>
  <c r="J304" i="5"/>
  <c r="I304" i="5"/>
  <c r="H304" i="5"/>
  <c r="G304" i="5"/>
  <c r="F304" i="5"/>
  <c r="D304" i="5"/>
  <c r="C304" i="5"/>
  <c r="B304" i="5"/>
  <c r="Q303" i="5"/>
  <c r="O303" i="5"/>
  <c r="N303" i="5"/>
  <c r="M303" i="5"/>
  <c r="L303" i="5"/>
  <c r="K303" i="5"/>
  <c r="J303" i="5"/>
  <c r="I303" i="5"/>
  <c r="H303" i="5"/>
  <c r="G303" i="5"/>
  <c r="F303" i="5"/>
  <c r="D303" i="5"/>
  <c r="C303" i="5"/>
  <c r="B303" i="5"/>
  <c r="Q302" i="5"/>
  <c r="O302" i="5"/>
  <c r="N302" i="5"/>
  <c r="M302" i="5"/>
  <c r="L302" i="5"/>
  <c r="K302" i="5"/>
  <c r="J302" i="5"/>
  <c r="I302" i="5"/>
  <c r="H302" i="5"/>
  <c r="G302" i="5"/>
  <c r="F302" i="5"/>
  <c r="D302" i="5"/>
  <c r="C302" i="5"/>
  <c r="B302" i="5"/>
  <c r="Q301" i="5"/>
  <c r="O301" i="5"/>
  <c r="N301" i="5"/>
  <c r="M301" i="5"/>
  <c r="L301" i="5"/>
  <c r="K301" i="5"/>
  <c r="J301" i="5"/>
  <c r="I301" i="5"/>
  <c r="H301" i="5"/>
  <c r="G301" i="5"/>
  <c r="F301" i="5"/>
  <c r="D301" i="5"/>
  <c r="C301" i="5"/>
  <c r="B301" i="5"/>
  <c r="Q300" i="5"/>
  <c r="O300" i="5"/>
  <c r="N300" i="5"/>
  <c r="M300" i="5"/>
  <c r="L300" i="5"/>
  <c r="K300" i="5"/>
  <c r="J300" i="5"/>
  <c r="I300" i="5"/>
  <c r="H300" i="5"/>
  <c r="G300" i="5"/>
  <c r="F300" i="5"/>
  <c r="D300" i="5"/>
  <c r="C300" i="5"/>
  <c r="B300" i="5"/>
  <c r="A300" i="5" a="1"/>
  <c r="A300" i="5" s="1"/>
  <c r="Q299" i="5"/>
  <c r="O299" i="5"/>
  <c r="N299" i="5"/>
  <c r="M299" i="5"/>
  <c r="L299" i="5"/>
  <c r="K299" i="5"/>
  <c r="J299" i="5"/>
  <c r="I299" i="5"/>
  <c r="H299" i="5"/>
  <c r="G299" i="5"/>
  <c r="F299" i="5"/>
  <c r="D299" i="5"/>
  <c r="C299" i="5"/>
  <c r="B299" i="5"/>
  <c r="Q298" i="5"/>
  <c r="O298" i="5"/>
  <c r="N298" i="5"/>
  <c r="M298" i="5"/>
  <c r="L298" i="5"/>
  <c r="K298" i="5"/>
  <c r="J298" i="5"/>
  <c r="I298" i="5"/>
  <c r="H298" i="5"/>
  <c r="G298" i="5"/>
  <c r="F298" i="5"/>
  <c r="D298" i="5"/>
  <c r="C298" i="5"/>
  <c r="B298" i="5"/>
  <c r="Q297" i="5"/>
  <c r="O297" i="5"/>
  <c r="N297" i="5"/>
  <c r="M297" i="5"/>
  <c r="L297" i="5"/>
  <c r="K297" i="5"/>
  <c r="J297" i="5"/>
  <c r="I297" i="5"/>
  <c r="H297" i="5"/>
  <c r="G297" i="5"/>
  <c r="F297" i="5"/>
  <c r="D297" i="5"/>
  <c r="C297" i="5"/>
  <c r="B297" i="5"/>
  <c r="Q296" i="5"/>
  <c r="O296" i="5"/>
  <c r="N296" i="5"/>
  <c r="M296" i="5"/>
  <c r="L296" i="5"/>
  <c r="K296" i="5"/>
  <c r="J296" i="5"/>
  <c r="I296" i="5"/>
  <c r="H296" i="5"/>
  <c r="G296" i="5"/>
  <c r="F296" i="5"/>
  <c r="D296" i="5"/>
  <c r="C296" i="5"/>
  <c r="B296" i="5"/>
  <c r="Q295" i="5"/>
  <c r="O295" i="5"/>
  <c r="N295" i="5"/>
  <c r="M295" i="5"/>
  <c r="L295" i="5"/>
  <c r="K295" i="5"/>
  <c r="J295" i="5"/>
  <c r="I295" i="5"/>
  <c r="H295" i="5"/>
  <c r="G295" i="5"/>
  <c r="F295" i="5"/>
  <c r="D295" i="5"/>
  <c r="C295" i="5"/>
  <c r="B295" i="5"/>
  <c r="Q294" i="5"/>
  <c r="O294" i="5"/>
  <c r="N294" i="5"/>
  <c r="M294" i="5"/>
  <c r="L294" i="5"/>
  <c r="K294" i="5"/>
  <c r="J294" i="5"/>
  <c r="I294" i="5"/>
  <c r="H294" i="5"/>
  <c r="G294" i="5"/>
  <c r="F294" i="5"/>
  <c r="D294" i="5"/>
  <c r="C294" i="5"/>
  <c r="B294" i="5"/>
  <c r="Q293" i="5"/>
  <c r="O293" i="5"/>
  <c r="N293" i="5"/>
  <c r="M293" i="5"/>
  <c r="L293" i="5"/>
  <c r="K293" i="5"/>
  <c r="J293" i="5"/>
  <c r="I293" i="5"/>
  <c r="H293" i="5"/>
  <c r="G293" i="5"/>
  <c r="F293" i="5"/>
  <c r="D293" i="5"/>
  <c r="C293" i="5"/>
  <c r="A293" i="5" s="1" a="1"/>
  <c r="A293" i="5" s="1"/>
  <c r="B293" i="5"/>
  <c r="Q292" i="5"/>
  <c r="O292" i="5"/>
  <c r="N292" i="5"/>
  <c r="M292" i="5"/>
  <c r="L292" i="5"/>
  <c r="K292" i="5"/>
  <c r="J292" i="5"/>
  <c r="I292" i="5"/>
  <c r="H292" i="5"/>
  <c r="G292" i="5"/>
  <c r="F292" i="5"/>
  <c r="D292" i="5"/>
  <c r="C292" i="5"/>
  <c r="B292" i="5"/>
  <c r="Q291" i="5"/>
  <c r="O291" i="5"/>
  <c r="N291" i="5"/>
  <c r="M291" i="5"/>
  <c r="L291" i="5"/>
  <c r="K291" i="5"/>
  <c r="J291" i="5"/>
  <c r="I291" i="5"/>
  <c r="H291" i="5"/>
  <c r="G291" i="5"/>
  <c r="F291" i="5"/>
  <c r="D291" i="5"/>
  <c r="C291" i="5"/>
  <c r="B291" i="5"/>
  <c r="Q290" i="5"/>
  <c r="O290" i="5"/>
  <c r="N290" i="5"/>
  <c r="M290" i="5"/>
  <c r="L290" i="5"/>
  <c r="K290" i="5"/>
  <c r="J290" i="5"/>
  <c r="I290" i="5"/>
  <c r="H290" i="5"/>
  <c r="G290" i="5"/>
  <c r="F290" i="5"/>
  <c r="D290" i="5"/>
  <c r="C290" i="5"/>
  <c r="B290" i="5"/>
  <c r="Q289" i="5"/>
  <c r="O289" i="5"/>
  <c r="N289" i="5"/>
  <c r="M289" i="5"/>
  <c r="L289" i="5"/>
  <c r="K289" i="5"/>
  <c r="J289" i="5"/>
  <c r="I289" i="5"/>
  <c r="H289" i="5"/>
  <c r="G289" i="5"/>
  <c r="F289" i="5"/>
  <c r="D289" i="5"/>
  <c r="C289" i="5"/>
  <c r="B289" i="5"/>
  <c r="Q288" i="5"/>
  <c r="O288" i="5"/>
  <c r="N288" i="5"/>
  <c r="M288" i="5"/>
  <c r="L288" i="5"/>
  <c r="K288" i="5"/>
  <c r="J288" i="5"/>
  <c r="I288" i="5"/>
  <c r="H288" i="5"/>
  <c r="G288" i="5"/>
  <c r="F288" i="5"/>
  <c r="D288" i="5"/>
  <c r="C288" i="5"/>
  <c r="B288" i="5"/>
  <c r="Q287" i="5"/>
  <c r="O287" i="5"/>
  <c r="N287" i="5"/>
  <c r="M287" i="5"/>
  <c r="L287" i="5"/>
  <c r="K287" i="5"/>
  <c r="J287" i="5"/>
  <c r="I287" i="5"/>
  <c r="H287" i="5"/>
  <c r="G287" i="5"/>
  <c r="F287" i="5"/>
  <c r="D287" i="5"/>
  <c r="C287" i="5"/>
  <c r="B287" i="5"/>
  <c r="Q286" i="5"/>
  <c r="O286" i="5"/>
  <c r="N286" i="5"/>
  <c r="M286" i="5"/>
  <c r="L286" i="5"/>
  <c r="K286" i="5"/>
  <c r="J286" i="5"/>
  <c r="I286" i="5"/>
  <c r="H286" i="5"/>
  <c r="G286" i="5"/>
  <c r="F286" i="5"/>
  <c r="D286" i="5"/>
  <c r="C286" i="5"/>
  <c r="B286" i="5"/>
  <c r="Q285" i="5"/>
  <c r="O285" i="5"/>
  <c r="N285" i="5"/>
  <c r="M285" i="5"/>
  <c r="L285" i="5"/>
  <c r="K285" i="5"/>
  <c r="J285" i="5"/>
  <c r="I285" i="5"/>
  <c r="H285" i="5"/>
  <c r="G285" i="5"/>
  <c r="F285" i="5"/>
  <c r="D285" i="5"/>
  <c r="C285" i="5"/>
  <c r="B285" i="5"/>
  <c r="Q284" i="5"/>
  <c r="O284" i="5"/>
  <c r="N284" i="5"/>
  <c r="M284" i="5"/>
  <c r="L284" i="5"/>
  <c r="K284" i="5"/>
  <c r="J284" i="5"/>
  <c r="I284" i="5"/>
  <c r="H284" i="5"/>
  <c r="G284" i="5"/>
  <c r="F284" i="5"/>
  <c r="D284" i="5"/>
  <c r="C284" i="5"/>
  <c r="B284" i="5"/>
  <c r="Q283" i="5"/>
  <c r="O283" i="5"/>
  <c r="N283" i="5"/>
  <c r="M283" i="5"/>
  <c r="L283" i="5"/>
  <c r="K283" i="5"/>
  <c r="J283" i="5"/>
  <c r="I283" i="5"/>
  <c r="H283" i="5"/>
  <c r="G283" i="5"/>
  <c r="F283" i="5"/>
  <c r="D283" i="5"/>
  <c r="C283" i="5"/>
  <c r="B283" i="5"/>
  <c r="Q282" i="5"/>
  <c r="O282" i="5"/>
  <c r="N282" i="5"/>
  <c r="M282" i="5"/>
  <c r="L282" i="5"/>
  <c r="K282" i="5"/>
  <c r="J282" i="5"/>
  <c r="I282" i="5"/>
  <c r="H282" i="5"/>
  <c r="G282" i="5"/>
  <c r="F282" i="5"/>
  <c r="D282" i="5"/>
  <c r="C282" i="5"/>
  <c r="B282" i="5"/>
  <c r="Q281" i="5"/>
  <c r="O281" i="5"/>
  <c r="N281" i="5"/>
  <c r="M281" i="5"/>
  <c r="L281" i="5"/>
  <c r="K281" i="5"/>
  <c r="J281" i="5"/>
  <c r="I281" i="5"/>
  <c r="H281" i="5"/>
  <c r="G281" i="5"/>
  <c r="F281" i="5"/>
  <c r="D281" i="5"/>
  <c r="C281" i="5"/>
  <c r="B281" i="5"/>
  <c r="Q280" i="5"/>
  <c r="O280" i="5"/>
  <c r="N280" i="5"/>
  <c r="M280" i="5"/>
  <c r="L280" i="5"/>
  <c r="K280" i="5"/>
  <c r="J280" i="5"/>
  <c r="I280" i="5"/>
  <c r="H280" i="5"/>
  <c r="G280" i="5"/>
  <c r="F280" i="5"/>
  <c r="D280" i="5"/>
  <c r="C280" i="5"/>
  <c r="B280" i="5"/>
  <c r="Q279" i="5"/>
  <c r="O279" i="5"/>
  <c r="N279" i="5"/>
  <c r="M279" i="5"/>
  <c r="L279" i="5"/>
  <c r="K279" i="5"/>
  <c r="J279" i="5"/>
  <c r="I279" i="5"/>
  <c r="H279" i="5"/>
  <c r="G279" i="5"/>
  <c r="F279" i="5"/>
  <c r="D279" i="5"/>
  <c r="C279" i="5"/>
  <c r="B279" i="5"/>
  <c r="Q278" i="5"/>
  <c r="O278" i="5"/>
  <c r="N278" i="5"/>
  <c r="M278" i="5"/>
  <c r="L278" i="5"/>
  <c r="K278" i="5"/>
  <c r="J278" i="5"/>
  <c r="I278" i="5"/>
  <c r="H278" i="5"/>
  <c r="G278" i="5"/>
  <c r="F278" i="5"/>
  <c r="D278" i="5"/>
  <c r="C278" i="5"/>
  <c r="B278" i="5"/>
  <c r="Q277" i="5"/>
  <c r="O277" i="5"/>
  <c r="N277" i="5"/>
  <c r="M277" i="5"/>
  <c r="L277" i="5"/>
  <c r="K277" i="5"/>
  <c r="J277" i="5"/>
  <c r="I277" i="5"/>
  <c r="H277" i="5"/>
  <c r="G277" i="5"/>
  <c r="F277" i="5"/>
  <c r="D277" i="5"/>
  <c r="C277" i="5"/>
  <c r="B277" i="5"/>
  <c r="Q276" i="5"/>
  <c r="O276" i="5"/>
  <c r="N276" i="5"/>
  <c r="M276" i="5"/>
  <c r="L276" i="5"/>
  <c r="K276" i="5"/>
  <c r="J276" i="5"/>
  <c r="I276" i="5"/>
  <c r="H276" i="5"/>
  <c r="G276" i="5"/>
  <c r="F276" i="5"/>
  <c r="D276" i="5"/>
  <c r="C276" i="5"/>
  <c r="B276" i="5"/>
  <c r="Q275" i="5"/>
  <c r="O275" i="5"/>
  <c r="N275" i="5"/>
  <c r="M275" i="5"/>
  <c r="L275" i="5"/>
  <c r="K275" i="5"/>
  <c r="J275" i="5"/>
  <c r="I275" i="5"/>
  <c r="H275" i="5"/>
  <c r="G275" i="5"/>
  <c r="F275" i="5"/>
  <c r="D275" i="5"/>
  <c r="C275" i="5"/>
  <c r="B275" i="5"/>
  <c r="Q274" i="5"/>
  <c r="O274" i="5"/>
  <c r="N274" i="5"/>
  <c r="M274" i="5"/>
  <c r="L274" i="5"/>
  <c r="K274" i="5"/>
  <c r="J274" i="5"/>
  <c r="I274" i="5"/>
  <c r="H274" i="5"/>
  <c r="G274" i="5"/>
  <c r="F274" i="5"/>
  <c r="D274" i="5"/>
  <c r="C274" i="5"/>
  <c r="B274" i="5"/>
  <c r="Q273" i="5"/>
  <c r="O273" i="5"/>
  <c r="N273" i="5"/>
  <c r="M273" i="5"/>
  <c r="L273" i="5"/>
  <c r="K273" i="5"/>
  <c r="J273" i="5"/>
  <c r="I273" i="5"/>
  <c r="H273" i="5"/>
  <c r="G273" i="5"/>
  <c r="F273" i="5"/>
  <c r="D273" i="5"/>
  <c r="C273" i="5"/>
  <c r="B273" i="5"/>
  <c r="Q272" i="5"/>
  <c r="O272" i="5"/>
  <c r="N272" i="5"/>
  <c r="M272" i="5"/>
  <c r="L272" i="5"/>
  <c r="K272" i="5"/>
  <c r="J272" i="5"/>
  <c r="I272" i="5"/>
  <c r="H272" i="5"/>
  <c r="G272" i="5"/>
  <c r="F272" i="5"/>
  <c r="D272" i="5"/>
  <c r="C272" i="5"/>
  <c r="B272" i="5"/>
  <c r="Q271" i="5"/>
  <c r="O271" i="5"/>
  <c r="N271" i="5"/>
  <c r="M271" i="5"/>
  <c r="L271" i="5"/>
  <c r="K271" i="5"/>
  <c r="J271" i="5"/>
  <c r="I271" i="5"/>
  <c r="H271" i="5"/>
  <c r="G271" i="5"/>
  <c r="F271" i="5"/>
  <c r="D271" i="5"/>
  <c r="C271" i="5"/>
  <c r="B271" i="5"/>
  <c r="Q270" i="5"/>
  <c r="O270" i="5"/>
  <c r="N270" i="5"/>
  <c r="M270" i="5"/>
  <c r="L270" i="5"/>
  <c r="K270" i="5"/>
  <c r="J270" i="5"/>
  <c r="I270" i="5"/>
  <c r="H270" i="5"/>
  <c r="G270" i="5"/>
  <c r="F270" i="5"/>
  <c r="D270" i="5"/>
  <c r="C270" i="5"/>
  <c r="B270" i="5"/>
  <c r="Q269" i="5"/>
  <c r="O269" i="5"/>
  <c r="N269" i="5"/>
  <c r="M269" i="5"/>
  <c r="L269" i="5"/>
  <c r="K269" i="5"/>
  <c r="J269" i="5"/>
  <c r="I269" i="5"/>
  <c r="H269" i="5"/>
  <c r="G269" i="5"/>
  <c r="F269" i="5"/>
  <c r="D269" i="5"/>
  <c r="C269" i="5"/>
  <c r="B269" i="5"/>
  <c r="Q268" i="5"/>
  <c r="O268" i="5"/>
  <c r="N268" i="5"/>
  <c r="M268" i="5"/>
  <c r="L268" i="5"/>
  <c r="K268" i="5"/>
  <c r="J268" i="5"/>
  <c r="I268" i="5"/>
  <c r="H268" i="5"/>
  <c r="G268" i="5"/>
  <c r="F268" i="5"/>
  <c r="D268" i="5"/>
  <c r="C268" i="5"/>
  <c r="B268" i="5"/>
  <c r="Q267" i="5"/>
  <c r="O267" i="5"/>
  <c r="N267" i="5"/>
  <c r="M267" i="5"/>
  <c r="L267" i="5"/>
  <c r="K267" i="5"/>
  <c r="J267" i="5"/>
  <c r="I267" i="5"/>
  <c r="H267" i="5"/>
  <c r="G267" i="5"/>
  <c r="F267" i="5"/>
  <c r="D267" i="5"/>
  <c r="C267" i="5"/>
  <c r="B267" i="5"/>
  <c r="Q266" i="5"/>
  <c r="O266" i="5"/>
  <c r="N266" i="5"/>
  <c r="M266" i="5"/>
  <c r="L266" i="5"/>
  <c r="K266" i="5"/>
  <c r="J266" i="5"/>
  <c r="I266" i="5"/>
  <c r="H266" i="5"/>
  <c r="G266" i="5"/>
  <c r="F266" i="5"/>
  <c r="D266" i="5"/>
  <c r="C266" i="5"/>
  <c r="B266" i="5"/>
  <c r="Q265" i="5"/>
  <c r="O265" i="5"/>
  <c r="N265" i="5"/>
  <c r="M265" i="5"/>
  <c r="L265" i="5"/>
  <c r="K265" i="5"/>
  <c r="J265" i="5"/>
  <c r="I265" i="5"/>
  <c r="H265" i="5"/>
  <c r="G265" i="5"/>
  <c r="F265" i="5"/>
  <c r="D265" i="5"/>
  <c r="C265" i="5"/>
  <c r="B265" i="5"/>
  <c r="Q264" i="5"/>
  <c r="O264" i="5"/>
  <c r="N264" i="5"/>
  <c r="M264" i="5"/>
  <c r="L264" i="5"/>
  <c r="K264" i="5"/>
  <c r="J264" i="5"/>
  <c r="I264" i="5"/>
  <c r="H264" i="5"/>
  <c r="G264" i="5"/>
  <c r="F264" i="5"/>
  <c r="D264" i="5"/>
  <c r="C264" i="5"/>
  <c r="B264" i="5"/>
  <c r="Q263" i="5"/>
  <c r="O263" i="5"/>
  <c r="N263" i="5"/>
  <c r="M263" i="5"/>
  <c r="L263" i="5"/>
  <c r="K263" i="5"/>
  <c r="J263" i="5"/>
  <c r="I263" i="5"/>
  <c r="H263" i="5"/>
  <c r="G263" i="5"/>
  <c r="F263" i="5"/>
  <c r="D263" i="5"/>
  <c r="C263" i="5"/>
  <c r="B263" i="5"/>
  <c r="Q262" i="5"/>
  <c r="O262" i="5"/>
  <c r="N262" i="5"/>
  <c r="M262" i="5"/>
  <c r="L262" i="5"/>
  <c r="K262" i="5"/>
  <c r="J262" i="5"/>
  <c r="I262" i="5"/>
  <c r="H262" i="5"/>
  <c r="G262" i="5"/>
  <c r="F262" i="5"/>
  <c r="D262" i="5"/>
  <c r="C262" i="5"/>
  <c r="B262" i="5"/>
  <c r="Q261" i="5"/>
  <c r="O261" i="5"/>
  <c r="N261" i="5"/>
  <c r="M261" i="5"/>
  <c r="L261" i="5"/>
  <c r="K261" i="5"/>
  <c r="J261" i="5"/>
  <c r="I261" i="5"/>
  <c r="H261" i="5"/>
  <c r="G261" i="5"/>
  <c r="F261" i="5"/>
  <c r="D261" i="5"/>
  <c r="C261" i="5"/>
  <c r="B261" i="5"/>
  <c r="Q260" i="5"/>
  <c r="O260" i="5"/>
  <c r="N260" i="5"/>
  <c r="M260" i="5"/>
  <c r="L260" i="5"/>
  <c r="K260" i="5"/>
  <c r="J260" i="5"/>
  <c r="I260" i="5"/>
  <c r="H260" i="5"/>
  <c r="G260" i="5"/>
  <c r="F260" i="5"/>
  <c r="D260" i="5"/>
  <c r="C260" i="5"/>
  <c r="B260" i="5"/>
  <c r="Q259" i="5"/>
  <c r="O259" i="5"/>
  <c r="N259" i="5"/>
  <c r="M259" i="5"/>
  <c r="L259" i="5"/>
  <c r="K259" i="5"/>
  <c r="J259" i="5"/>
  <c r="I259" i="5"/>
  <c r="H259" i="5"/>
  <c r="G259" i="5"/>
  <c r="F259" i="5"/>
  <c r="D259" i="5"/>
  <c r="C259" i="5"/>
  <c r="B259" i="5"/>
  <c r="A259" i="5" a="1"/>
  <c r="A259" i="5" s="1"/>
  <c r="Q258" i="5"/>
  <c r="O258" i="5"/>
  <c r="N258" i="5"/>
  <c r="M258" i="5"/>
  <c r="L258" i="5"/>
  <c r="K258" i="5"/>
  <c r="J258" i="5"/>
  <c r="I258" i="5"/>
  <c r="H258" i="5"/>
  <c r="G258" i="5"/>
  <c r="F258" i="5"/>
  <c r="D258" i="5"/>
  <c r="C258" i="5"/>
  <c r="B258" i="5"/>
  <c r="Q257" i="5"/>
  <c r="O257" i="5"/>
  <c r="N257" i="5"/>
  <c r="M257" i="5"/>
  <c r="L257" i="5"/>
  <c r="K257" i="5"/>
  <c r="J257" i="5"/>
  <c r="I257" i="5"/>
  <c r="H257" i="5"/>
  <c r="G257" i="5"/>
  <c r="F257" i="5"/>
  <c r="D257" i="5"/>
  <c r="C257" i="5"/>
  <c r="B257" i="5"/>
  <c r="Q256" i="5"/>
  <c r="O256" i="5"/>
  <c r="N256" i="5"/>
  <c r="M256" i="5"/>
  <c r="L256" i="5"/>
  <c r="K256" i="5"/>
  <c r="J256" i="5"/>
  <c r="I256" i="5"/>
  <c r="H256" i="5"/>
  <c r="G256" i="5"/>
  <c r="F256" i="5"/>
  <c r="D256" i="5"/>
  <c r="C256" i="5"/>
  <c r="B256" i="5"/>
  <c r="Q255" i="5"/>
  <c r="O255" i="5"/>
  <c r="N255" i="5"/>
  <c r="M255" i="5"/>
  <c r="L255" i="5"/>
  <c r="K255" i="5"/>
  <c r="J255" i="5"/>
  <c r="I255" i="5"/>
  <c r="H255" i="5"/>
  <c r="G255" i="5"/>
  <c r="F255" i="5"/>
  <c r="D255" i="5"/>
  <c r="C255" i="5"/>
  <c r="B255" i="5"/>
  <c r="Q254" i="5"/>
  <c r="O254" i="5"/>
  <c r="N254" i="5"/>
  <c r="M254" i="5"/>
  <c r="L254" i="5"/>
  <c r="K254" i="5"/>
  <c r="J254" i="5"/>
  <c r="I254" i="5"/>
  <c r="H254" i="5"/>
  <c r="G254" i="5"/>
  <c r="F254" i="5"/>
  <c r="D254" i="5"/>
  <c r="C254" i="5"/>
  <c r="B254" i="5"/>
  <c r="Q253" i="5"/>
  <c r="O253" i="5"/>
  <c r="N253" i="5"/>
  <c r="M253" i="5"/>
  <c r="L253" i="5"/>
  <c r="K253" i="5"/>
  <c r="J253" i="5"/>
  <c r="I253" i="5"/>
  <c r="H253" i="5"/>
  <c r="G253" i="5"/>
  <c r="F253" i="5"/>
  <c r="D253" i="5"/>
  <c r="C253" i="5"/>
  <c r="B253" i="5"/>
  <c r="Q252" i="5"/>
  <c r="O252" i="5"/>
  <c r="N252" i="5"/>
  <c r="M252" i="5"/>
  <c r="L252" i="5"/>
  <c r="K252" i="5"/>
  <c r="J252" i="5"/>
  <c r="I252" i="5"/>
  <c r="H252" i="5"/>
  <c r="G252" i="5"/>
  <c r="F252" i="5"/>
  <c r="D252" i="5"/>
  <c r="C252" i="5"/>
  <c r="B252" i="5"/>
  <c r="A252" i="5" a="1"/>
  <c r="A252" i="5" s="1"/>
  <c r="Q251" i="5"/>
  <c r="O251" i="5"/>
  <c r="N251" i="5"/>
  <c r="M251" i="5"/>
  <c r="L251" i="5"/>
  <c r="K251" i="5"/>
  <c r="J251" i="5"/>
  <c r="I251" i="5"/>
  <c r="H251" i="5"/>
  <c r="G251" i="5"/>
  <c r="F251" i="5"/>
  <c r="D251" i="5"/>
  <c r="C251" i="5"/>
  <c r="B251" i="5"/>
  <c r="Q250" i="5"/>
  <c r="O250" i="5"/>
  <c r="N250" i="5"/>
  <c r="M250" i="5"/>
  <c r="L250" i="5"/>
  <c r="K250" i="5"/>
  <c r="J250" i="5"/>
  <c r="I250" i="5"/>
  <c r="H250" i="5"/>
  <c r="G250" i="5"/>
  <c r="F250" i="5"/>
  <c r="D250" i="5"/>
  <c r="C250" i="5"/>
  <c r="B250" i="5"/>
  <c r="Q249" i="5"/>
  <c r="O249" i="5"/>
  <c r="N249" i="5"/>
  <c r="M249" i="5"/>
  <c r="L249" i="5"/>
  <c r="K249" i="5"/>
  <c r="J249" i="5"/>
  <c r="I249" i="5"/>
  <c r="H249" i="5"/>
  <c r="G249" i="5"/>
  <c r="F249" i="5"/>
  <c r="D249" i="5"/>
  <c r="C249" i="5"/>
  <c r="B249" i="5"/>
  <c r="Q248" i="5"/>
  <c r="O248" i="5"/>
  <c r="N248" i="5"/>
  <c r="M248" i="5"/>
  <c r="L248" i="5"/>
  <c r="K248" i="5"/>
  <c r="J248" i="5"/>
  <c r="I248" i="5"/>
  <c r="H248" i="5"/>
  <c r="G248" i="5"/>
  <c r="F248" i="5"/>
  <c r="D248" i="5"/>
  <c r="C248" i="5"/>
  <c r="B248" i="5"/>
  <c r="Q247" i="5"/>
  <c r="O247" i="5"/>
  <c r="N247" i="5"/>
  <c r="M247" i="5"/>
  <c r="L247" i="5"/>
  <c r="K247" i="5"/>
  <c r="J247" i="5"/>
  <c r="I247" i="5"/>
  <c r="H247" i="5"/>
  <c r="G247" i="5"/>
  <c r="F247" i="5"/>
  <c r="D247" i="5"/>
  <c r="C247" i="5"/>
  <c r="B247" i="5"/>
  <c r="Q246" i="5"/>
  <c r="O246" i="5"/>
  <c r="N246" i="5"/>
  <c r="M246" i="5"/>
  <c r="L246" i="5"/>
  <c r="K246" i="5"/>
  <c r="J246" i="5"/>
  <c r="I246" i="5"/>
  <c r="H246" i="5"/>
  <c r="G246" i="5"/>
  <c r="F246" i="5"/>
  <c r="D246" i="5"/>
  <c r="C246" i="5"/>
  <c r="B246" i="5"/>
  <c r="Q245" i="5"/>
  <c r="O245" i="5"/>
  <c r="N245" i="5"/>
  <c r="M245" i="5"/>
  <c r="L245" i="5"/>
  <c r="K245" i="5"/>
  <c r="J245" i="5"/>
  <c r="I245" i="5"/>
  <c r="H245" i="5"/>
  <c r="G245" i="5"/>
  <c r="F245" i="5"/>
  <c r="D245" i="5"/>
  <c r="C245" i="5"/>
  <c r="B245" i="5"/>
  <c r="Q244" i="5"/>
  <c r="O244" i="5"/>
  <c r="N244" i="5"/>
  <c r="M244" i="5"/>
  <c r="L244" i="5"/>
  <c r="K244" i="5"/>
  <c r="J244" i="5"/>
  <c r="I244" i="5"/>
  <c r="H244" i="5"/>
  <c r="G244" i="5"/>
  <c r="F244" i="5"/>
  <c r="D244" i="5"/>
  <c r="C244" i="5"/>
  <c r="B244" i="5"/>
  <c r="Q243" i="5"/>
  <c r="O243" i="5"/>
  <c r="N243" i="5"/>
  <c r="M243" i="5"/>
  <c r="L243" i="5"/>
  <c r="K243" i="5"/>
  <c r="J243" i="5"/>
  <c r="I243" i="5"/>
  <c r="H243" i="5"/>
  <c r="G243" i="5"/>
  <c r="F243" i="5"/>
  <c r="D243" i="5"/>
  <c r="C243" i="5"/>
  <c r="B243" i="5"/>
  <c r="Q242" i="5"/>
  <c r="O242" i="5"/>
  <c r="N242" i="5"/>
  <c r="M242" i="5"/>
  <c r="L242" i="5"/>
  <c r="K242" i="5"/>
  <c r="J242" i="5"/>
  <c r="I242" i="5"/>
  <c r="H242" i="5"/>
  <c r="G242" i="5"/>
  <c r="F242" i="5"/>
  <c r="D242" i="5"/>
  <c r="C242" i="5"/>
  <c r="B242" i="5"/>
  <c r="Q241" i="5"/>
  <c r="O241" i="5"/>
  <c r="N241" i="5"/>
  <c r="M241" i="5"/>
  <c r="L241" i="5"/>
  <c r="K241" i="5"/>
  <c r="J241" i="5"/>
  <c r="I241" i="5"/>
  <c r="H241" i="5"/>
  <c r="G241" i="5"/>
  <c r="F241" i="5"/>
  <c r="D241" i="5"/>
  <c r="C241" i="5"/>
  <c r="B241" i="5"/>
  <c r="Q240" i="5"/>
  <c r="O240" i="5"/>
  <c r="N240" i="5"/>
  <c r="M240" i="5"/>
  <c r="L240" i="5"/>
  <c r="K240" i="5"/>
  <c r="J240" i="5"/>
  <c r="I240" i="5"/>
  <c r="H240" i="5"/>
  <c r="G240" i="5"/>
  <c r="F240" i="5"/>
  <c r="D240" i="5"/>
  <c r="C240" i="5"/>
  <c r="B240" i="5"/>
  <c r="Q239" i="5"/>
  <c r="O239" i="5"/>
  <c r="N239" i="5"/>
  <c r="M239" i="5"/>
  <c r="L239" i="5"/>
  <c r="K239" i="5"/>
  <c r="J239" i="5"/>
  <c r="I239" i="5"/>
  <c r="H239" i="5"/>
  <c r="G239" i="5"/>
  <c r="F239" i="5"/>
  <c r="D239" i="5"/>
  <c r="C239" i="5"/>
  <c r="B239" i="5"/>
  <c r="Q238" i="5"/>
  <c r="O238" i="5"/>
  <c r="N238" i="5"/>
  <c r="M238" i="5"/>
  <c r="L238" i="5"/>
  <c r="K238" i="5"/>
  <c r="J238" i="5"/>
  <c r="I238" i="5"/>
  <c r="H238" i="5"/>
  <c r="G238" i="5"/>
  <c r="F238" i="5"/>
  <c r="D238" i="5"/>
  <c r="C238" i="5"/>
  <c r="B238" i="5"/>
  <c r="Q237" i="5"/>
  <c r="O237" i="5"/>
  <c r="N237" i="5"/>
  <c r="M237" i="5"/>
  <c r="L237" i="5"/>
  <c r="K237" i="5"/>
  <c r="J237" i="5"/>
  <c r="I237" i="5"/>
  <c r="H237" i="5"/>
  <c r="G237" i="5"/>
  <c r="F237" i="5"/>
  <c r="D237" i="5"/>
  <c r="C237" i="5"/>
  <c r="B237" i="5"/>
  <c r="Q236" i="5"/>
  <c r="O236" i="5"/>
  <c r="N236" i="5"/>
  <c r="M236" i="5"/>
  <c r="L236" i="5"/>
  <c r="K236" i="5"/>
  <c r="J236" i="5"/>
  <c r="I236" i="5"/>
  <c r="H236" i="5"/>
  <c r="G236" i="5"/>
  <c r="F236" i="5"/>
  <c r="D236" i="5"/>
  <c r="C236" i="5"/>
  <c r="B236" i="5"/>
  <c r="Q235" i="5"/>
  <c r="O235" i="5"/>
  <c r="N235" i="5"/>
  <c r="M235" i="5"/>
  <c r="L235" i="5"/>
  <c r="K235" i="5"/>
  <c r="J235" i="5"/>
  <c r="I235" i="5"/>
  <c r="H235" i="5"/>
  <c r="G235" i="5"/>
  <c r="F235" i="5"/>
  <c r="D235" i="5"/>
  <c r="C235" i="5"/>
  <c r="B235" i="5"/>
  <c r="Q234" i="5"/>
  <c r="O234" i="5"/>
  <c r="N234" i="5"/>
  <c r="M234" i="5"/>
  <c r="L234" i="5"/>
  <c r="K234" i="5"/>
  <c r="J234" i="5"/>
  <c r="I234" i="5"/>
  <c r="H234" i="5"/>
  <c r="G234" i="5"/>
  <c r="F234" i="5"/>
  <c r="D234" i="5"/>
  <c r="C234" i="5"/>
  <c r="B234" i="5"/>
  <c r="Q233" i="5"/>
  <c r="O233" i="5"/>
  <c r="N233" i="5"/>
  <c r="M233" i="5"/>
  <c r="L233" i="5"/>
  <c r="K233" i="5"/>
  <c r="J233" i="5"/>
  <c r="I233" i="5"/>
  <c r="H233" i="5"/>
  <c r="G233" i="5"/>
  <c r="F233" i="5"/>
  <c r="D233" i="5"/>
  <c r="C233" i="5"/>
  <c r="B233" i="5"/>
  <c r="Q232" i="5"/>
  <c r="O232" i="5"/>
  <c r="N232" i="5"/>
  <c r="M232" i="5"/>
  <c r="L232" i="5"/>
  <c r="K232" i="5"/>
  <c r="J232" i="5"/>
  <c r="I232" i="5"/>
  <c r="H232" i="5"/>
  <c r="G232" i="5"/>
  <c r="F232" i="5"/>
  <c r="D232" i="5"/>
  <c r="C232" i="5"/>
  <c r="B232" i="5"/>
  <c r="Q231" i="5"/>
  <c r="O231" i="5"/>
  <c r="N231" i="5"/>
  <c r="M231" i="5"/>
  <c r="L231" i="5"/>
  <c r="K231" i="5"/>
  <c r="J231" i="5"/>
  <c r="I231" i="5"/>
  <c r="H231" i="5"/>
  <c r="G231" i="5"/>
  <c r="F231" i="5"/>
  <c r="D231" i="5"/>
  <c r="C231" i="5"/>
  <c r="B231" i="5"/>
  <c r="Q230" i="5"/>
  <c r="O230" i="5"/>
  <c r="N230" i="5"/>
  <c r="M230" i="5"/>
  <c r="L230" i="5"/>
  <c r="K230" i="5"/>
  <c r="J230" i="5"/>
  <c r="I230" i="5"/>
  <c r="H230" i="5"/>
  <c r="G230" i="5"/>
  <c r="F230" i="5"/>
  <c r="D230" i="5"/>
  <c r="C230" i="5"/>
  <c r="B230" i="5"/>
  <c r="Q229" i="5"/>
  <c r="O229" i="5"/>
  <c r="N229" i="5"/>
  <c r="M229" i="5"/>
  <c r="L229" i="5"/>
  <c r="K229" i="5"/>
  <c r="J229" i="5"/>
  <c r="I229" i="5"/>
  <c r="H229" i="5"/>
  <c r="G229" i="5"/>
  <c r="F229" i="5"/>
  <c r="D229" i="5"/>
  <c r="C229" i="5"/>
  <c r="B229" i="5"/>
  <c r="Q228" i="5"/>
  <c r="O228" i="5"/>
  <c r="N228" i="5"/>
  <c r="M228" i="5"/>
  <c r="L228" i="5"/>
  <c r="K228" i="5"/>
  <c r="J228" i="5"/>
  <c r="I228" i="5"/>
  <c r="H228" i="5"/>
  <c r="G228" i="5"/>
  <c r="F228" i="5"/>
  <c r="D228" i="5"/>
  <c r="C228" i="5"/>
  <c r="B228" i="5"/>
  <c r="Q227" i="5"/>
  <c r="O227" i="5"/>
  <c r="N227" i="5"/>
  <c r="M227" i="5"/>
  <c r="L227" i="5"/>
  <c r="K227" i="5"/>
  <c r="J227" i="5"/>
  <c r="I227" i="5"/>
  <c r="H227" i="5"/>
  <c r="G227" i="5"/>
  <c r="F227" i="5"/>
  <c r="D227" i="5"/>
  <c r="C227" i="5"/>
  <c r="B227" i="5"/>
  <c r="Q226" i="5"/>
  <c r="O226" i="5"/>
  <c r="N226" i="5"/>
  <c r="M226" i="5"/>
  <c r="L226" i="5"/>
  <c r="K226" i="5"/>
  <c r="J226" i="5"/>
  <c r="I226" i="5"/>
  <c r="H226" i="5"/>
  <c r="G226" i="5"/>
  <c r="F226" i="5"/>
  <c r="D226" i="5"/>
  <c r="C226" i="5"/>
  <c r="B226" i="5"/>
  <c r="Q225" i="5"/>
  <c r="O225" i="5"/>
  <c r="N225" i="5"/>
  <c r="M225" i="5"/>
  <c r="L225" i="5"/>
  <c r="K225" i="5"/>
  <c r="J225" i="5"/>
  <c r="I225" i="5"/>
  <c r="H225" i="5"/>
  <c r="G225" i="5"/>
  <c r="F225" i="5"/>
  <c r="D225" i="5"/>
  <c r="C225" i="5"/>
  <c r="B225" i="5"/>
  <c r="Q224" i="5"/>
  <c r="O224" i="5"/>
  <c r="N224" i="5"/>
  <c r="M224" i="5"/>
  <c r="L224" i="5"/>
  <c r="K224" i="5"/>
  <c r="J224" i="5"/>
  <c r="I224" i="5"/>
  <c r="H224" i="5"/>
  <c r="G224" i="5"/>
  <c r="F224" i="5"/>
  <c r="D224" i="5"/>
  <c r="C224" i="5"/>
  <c r="B224" i="5"/>
  <c r="Q223" i="5"/>
  <c r="O223" i="5"/>
  <c r="N223" i="5"/>
  <c r="M223" i="5"/>
  <c r="L223" i="5"/>
  <c r="K223" i="5"/>
  <c r="J223" i="5"/>
  <c r="I223" i="5"/>
  <c r="H223" i="5"/>
  <c r="G223" i="5"/>
  <c r="F223" i="5"/>
  <c r="D223" i="5"/>
  <c r="C223" i="5"/>
  <c r="B223" i="5"/>
  <c r="Q222" i="5"/>
  <c r="O222" i="5"/>
  <c r="N222" i="5"/>
  <c r="M222" i="5"/>
  <c r="L222" i="5"/>
  <c r="K222" i="5"/>
  <c r="J222" i="5"/>
  <c r="I222" i="5"/>
  <c r="H222" i="5"/>
  <c r="G222" i="5"/>
  <c r="F222" i="5"/>
  <c r="D222" i="5"/>
  <c r="C222" i="5"/>
  <c r="B222" i="5"/>
  <c r="Q221" i="5"/>
  <c r="O221" i="5"/>
  <c r="N221" i="5"/>
  <c r="M221" i="5"/>
  <c r="L221" i="5"/>
  <c r="K221" i="5"/>
  <c r="J221" i="5"/>
  <c r="I221" i="5"/>
  <c r="H221" i="5"/>
  <c r="G221" i="5"/>
  <c r="F221" i="5"/>
  <c r="D221" i="5"/>
  <c r="C221" i="5"/>
  <c r="B221" i="5"/>
  <c r="Q220" i="5"/>
  <c r="O220" i="5"/>
  <c r="N220" i="5"/>
  <c r="M220" i="5"/>
  <c r="L220" i="5"/>
  <c r="K220" i="5"/>
  <c r="J220" i="5"/>
  <c r="I220" i="5"/>
  <c r="H220" i="5"/>
  <c r="G220" i="5"/>
  <c r="F220" i="5"/>
  <c r="D220" i="5"/>
  <c r="C220" i="5"/>
  <c r="B220" i="5"/>
  <c r="Q219" i="5"/>
  <c r="O219" i="5"/>
  <c r="N219" i="5"/>
  <c r="M219" i="5"/>
  <c r="L219" i="5"/>
  <c r="K219" i="5"/>
  <c r="J219" i="5"/>
  <c r="I219" i="5"/>
  <c r="H219" i="5"/>
  <c r="G219" i="5"/>
  <c r="F219" i="5"/>
  <c r="D219" i="5"/>
  <c r="C219" i="5"/>
  <c r="B219" i="5"/>
  <c r="Q218" i="5"/>
  <c r="O218" i="5"/>
  <c r="N218" i="5"/>
  <c r="M218" i="5"/>
  <c r="L218" i="5"/>
  <c r="K218" i="5"/>
  <c r="J218" i="5"/>
  <c r="I218" i="5"/>
  <c r="H218" i="5"/>
  <c r="G218" i="5"/>
  <c r="F218" i="5"/>
  <c r="D218" i="5"/>
  <c r="C218" i="5"/>
  <c r="B218" i="5"/>
  <c r="Q217" i="5"/>
  <c r="O217" i="5"/>
  <c r="N217" i="5"/>
  <c r="M217" i="5"/>
  <c r="L217" i="5"/>
  <c r="K217" i="5"/>
  <c r="J217" i="5"/>
  <c r="I217" i="5"/>
  <c r="H217" i="5"/>
  <c r="G217" i="5"/>
  <c r="F217" i="5"/>
  <c r="D217" i="5"/>
  <c r="C217" i="5"/>
  <c r="B217" i="5"/>
  <c r="Q216" i="5"/>
  <c r="O216" i="5"/>
  <c r="N216" i="5"/>
  <c r="M216" i="5"/>
  <c r="L216" i="5"/>
  <c r="K216" i="5"/>
  <c r="J216" i="5"/>
  <c r="I216" i="5"/>
  <c r="H216" i="5"/>
  <c r="G216" i="5"/>
  <c r="F216" i="5"/>
  <c r="D216" i="5"/>
  <c r="C216" i="5"/>
  <c r="B216" i="5"/>
  <c r="Q215" i="5"/>
  <c r="O215" i="5"/>
  <c r="N215" i="5"/>
  <c r="M215" i="5"/>
  <c r="L215" i="5"/>
  <c r="K215" i="5"/>
  <c r="J215" i="5"/>
  <c r="I215" i="5"/>
  <c r="H215" i="5"/>
  <c r="G215" i="5"/>
  <c r="F215" i="5"/>
  <c r="D215" i="5"/>
  <c r="C215" i="5"/>
  <c r="B215" i="5"/>
  <c r="Q214" i="5"/>
  <c r="O214" i="5"/>
  <c r="N214" i="5"/>
  <c r="M214" i="5"/>
  <c r="L214" i="5"/>
  <c r="K214" i="5"/>
  <c r="J214" i="5"/>
  <c r="I214" i="5"/>
  <c r="H214" i="5"/>
  <c r="G214" i="5"/>
  <c r="F214" i="5"/>
  <c r="D214" i="5"/>
  <c r="C214" i="5"/>
  <c r="B214" i="5"/>
  <c r="Q213" i="5"/>
  <c r="O213" i="5"/>
  <c r="N213" i="5"/>
  <c r="M213" i="5"/>
  <c r="L213" i="5"/>
  <c r="K213" i="5"/>
  <c r="J213" i="5"/>
  <c r="I213" i="5"/>
  <c r="H213" i="5"/>
  <c r="G213" i="5"/>
  <c r="F213" i="5"/>
  <c r="D213" i="5"/>
  <c r="C213" i="5"/>
  <c r="B213" i="5"/>
  <c r="Q212" i="5"/>
  <c r="O212" i="5"/>
  <c r="N212" i="5"/>
  <c r="M212" i="5"/>
  <c r="L212" i="5"/>
  <c r="K212" i="5"/>
  <c r="J212" i="5"/>
  <c r="I212" i="5"/>
  <c r="H212" i="5"/>
  <c r="G212" i="5"/>
  <c r="F212" i="5"/>
  <c r="D212" i="5"/>
  <c r="C212" i="5"/>
  <c r="B212" i="5"/>
  <c r="Q211" i="5"/>
  <c r="O211" i="5"/>
  <c r="N211" i="5"/>
  <c r="M211" i="5"/>
  <c r="L211" i="5"/>
  <c r="K211" i="5"/>
  <c r="J211" i="5"/>
  <c r="I211" i="5"/>
  <c r="H211" i="5"/>
  <c r="G211" i="5"/>
  <c r="F211" i="5"/>
  <c r="D211" i="5"/>
  <c r="C211" i="5"/>
  <c r="B211" i="5"/>
  <c r="Q210" i="5"/>
  <c r="O210" i="5"/>
  <c r="N210" i="5"/>
  <c r="M210" i="5"/>
  <c r="L210" i="5"/>
  <c r="K210" i="5"/>
  <c r="J210" i="5"/>
  <c r="I210" i="5"/>
  <c r="H210" i="5"/>
  <c r="G210" i="5"/>
  <c r="F210" i="5"/>
  <c r="D210" i="5"/>
  <c r="C210" i="5"/>
  <c r="B210" i="5"/>
  <c r="Q209" i="5"/>
  <c r="O209" i="5"/>
  <c r="N209" i="5"/>
  <c r="M209" i="5"/>
  <c r="L209" i="5"/>
  <c r="K209" i="5"/>
  <c r="J209" i="5"/>
  <c r="I209" i="5"/>
  <c r="H209" i="5"/>
  <c r="G209" i="5"/>
  <c r="F209" i="5"/>
  <c r="D209" i="5"/>
  <c r="C209" i="5"/>
  <c r="B209" i="5"/>
  <c r="Q208" i="5"/>
  <c r="O208" i="5"/>
  <c r="N208" i="5"/>
  <c r="M208" i="5"/>
  <c r="L208" i="5"/>
  <c r="K208" i="5"/>
  <c r="J208" i="5"/>
  <c r="I208" i="5"/>
  <c r="H208" i="5"/>
  <c r="G208" i="5"/>
  <c r="F208" i="5"/>
  <c r="D208" i="5"/>
  <c r="C208" i="5"/>
  <c r="B208" i="5"/>
  <c r="Q207" i="5"/>
  <c r="O207" i="5"/>
  <c r="N207" i="5"/>
  <c r="M207" i="5"/>
  <c r="L207" i="5"/>
  <c r="K207" i="5"/>
  <c r="J207" i="5"/>
  <c r="I207" i="5"/>
  <c r="H207" i="5"/>
  <c r="G207" i="5"/>
  <c r="F207" i="5"/>
  <c r="D207" i="5"/>
  <c r="C207" i="5"/>
  <c r="B207" i="5"/>
  <c r="Q206" i="5"/>
  <c r="O206" i="5"/>
  <c r="N206" i="5"/>
  <c r="M206" i="5"/>
  <c r="L206" i="5"/>
  <c r="K206" i="5"/>
  <c r="J206" i="5"/>
  <c r="I206" i="5"/>
  <c r="H206" i="5"/>
  <c r="G206" i="5"/>
  <c r="F206" i="5"/>
  <c r="D206" i="5"/>
  <c r="C206" i="5"/>
  <c r="B206" i="5"/>
  <c r="Q205" i="5"/>
  <c r="O205" i="5"/>
  <c r="N205" i="5"/>
  <c r="M205" i="5"/>
  <c r="L205" i="5"/>
  <c r="K205" i="5"/>
  <c r="J205" i="5"/>
  <c r="I205" i="5"/>
  <c r="H205" i="5"/>
  <c r="G205" i="5"/>
  <c r="F205" i="5"/>
  <c r="D205" i="5"/>
  <c r="C205" i="5"/>
  <c r="B205" i="5"/>
  <c r="Q204" i="5"/>
  <c r="O204" i="5"/>
  <c r="N204" i="5"/>
  <c r="M204" i="5"/>
  <c r="L204" i="5"/>
  <c r="K204" i="5"/>
  <c r="J204" i="5"/>
  <c r="I204" i="5"/>
  <c r="H204" i="5"/>
  <c r="G204" i="5"/>
  <c r="F204" i="5"/>
  <c r="D204" i="5"/>
  <c r="C204" i="5"/>
  <c r="B204" i="5"/>
  <c r="Q203" i="5"/>
  <c r="O203" i="5"/>
  <c r="N203" i="5"/>
  <c r="M203" i="5"/>
  <c r="L203" i="5"/>
  <c r="K203" i="5"/>
  <c r="J203" i="5"/>
  <c r="I203" i="5"/>
  <c r="H203" i="5"/>
  <c r="G203" i="5"/>
  <c r="F203" i="5"/>
  <c r="D203" i="5"/>
  <c r="C203" i="5"/>
  <c r="B203" i="5"/>
  <c r="Q202" i="5"/>
  <c r="O202" i="5"/>
  <c r="N202" i="5"/>
  <c r="M202" i="5"/>
  <c r="L202" i="5"/>
  <c r="K202" i="5"/>
  <c r="J202" i="5"/>
  <c r="I202" i="5"/>
  <c r="H202" i="5"/>
  <c r="G202" i="5"/>
  <c r="F202" i="5"/>
  <c r="D202" i="5"/>
  <c r="C202" i="5"/>
  <c r="B202" i="5"/>
  <c r="Q201" i="5"/>
  <c r="O201" i="5"/>
  <c r="N201" i="5"/>
  <c r="M201" i="5"/>
  <c r="L201" i="5"/>
  <c r="K201" i="5"/>
  <c r="J201" i="5"/>
  <c r="I201" i="5"/>
  <c r="H201" i="5"/>
  <c r="G201" i="5"/>
  <c r="F201" i="5"/>
  <c r="D201" i="5"/>
  <c r="C201" i="5"/>
  <c r="B201" i="5"/>
  <c r="Q200" i="5"/>
  <c r="O200" i="5"/>
  <c r="N200" i="5"/>
  <c r="M200" i="5"/>
  <c r="L200" i="5"/>
  <c r="K200" i="5"/>
  <c r="J200" i="5"/>
  <c r="I200" i="5"/>
  <c r="H200" i="5"/>
  <c r="G200" i="5"/>
  <c r="F200" i="5"/>
  <c r="D200" i="5"/>
  <c r="C200" i="5"/>
  <c r="B200" i="5"/>
  <c r="Q199" i="5"/>
  <c r="O199" i="5"/>
  <c r="N199" i="5"/>
  <c r="M199" i="5"/>
  <c r="L199" i="5"/>
  <c r="K199" i="5"/>
  <c r="J199" i="5"/>
  <c r="I199" i="5"/>
  <c r="H199" i="5"/>
  <c r="G199" i="5"/>
  <c r="F199" i="5"/>
  <c r="D199" i="5"/>
  <c r="C199" i="5"/>
  <c r="B199" i="5"/>
  <c r="Q198" i="5"/>
  <c r="O198" i="5"/>
  <c r="N198" i="5"/>
  <c r="M198" i="5"/>
  <c r="L198" i="5"/>
  <c r="K198" i="5"/>
  <c r="J198" i="5"/>
  <c r="I198" i="5"/>
  <c r="H198" i="5"/>
  <c r="G198" i="5"/>
  <c r="F198" i="5"/>
  <c r="D198" i="5"/>
  <c r="C198" i="5"/>
  <c r="B198" i="5"/>
  <c r="Q197" i="5"/>
  <c r="O197" i="5"/>
  <c r="N197" i="5"/>
  <c r="M197" i="5"/>
  <c r="L197" i="5"/>
  <c r="K197" i="5"/>
  <c r="J197" i="5"/>
  <c r="I197" i="5"/>
  <c r="H197" i="5"/>
  <c r="G197" i="5"/>
  <c r="F197" i="5"/>
  <c r="D197" i="5"/>
  <c r="C197" i="5"/>
  <c r="B197" i="5"/>
  <c r="Q196" i="5"/>
  <c r="O196" i="5"/>
  <c r="N196" i="5"/>
  <c r="M196" i="5"/>
  <c r="L196" i="5"/>
  <c r="K196" i="5"/>
  <c r="J196" i="5"/>
  <c r="I196" i="5"/>
  <c r="H196" i="5"/>
  <c r="G196" i="5"/>
  <c r="F196" i="5"/>
  <c r="D196" i="5"/>
  <c r="C196" i="5"/>
  <c r="B196" i="5"/>
  <c r="Q195" i="5"/>
  <c r="O195" i="5"/>
  <c r="N195" i="5"/>
  <c r="M195" i="5"/>
  <c r="L195" i="5"/>
  <c r="K195" i="5"/>
  <c r="J195" i="5"/>
  <c r="I195" i="5"/>
  <c r="H195" i="5"/>
  <c r="G195" i="5"/>
  <c r="F195" i="5"/>
  <c r="D195" i="5"/>
  <c r="C195" i="5"/>
  <c r="B195" i="5"/>
  <c r="Q194" i="5"/>
  <c r="O194" i="5"/>
  <c r="N194" i="5"/>
  <c r="M194" i="5"/>
  <c r="L194" i="5"/>
  <c r="K194" i="5"/>
  <c r="J194" i="5"/>
  <c r="I194" i="5"/>
  <c r="H194" i="5"/>
  <c r="G194" i="5"/>
  <c r="F194" i="5"/>
  <c r="D194" i="5"/>
  <c r="C194" i="5"/>
  <c r="B194" i="5"/>
  <c r="Q193" i="5"/>
  <c r="O193" i="5"/>
  <c r="N193" i="5"/>
  <c r="M193" i="5"/>
  <c r="L193" i="5"/>
  <c r="K193" i="5"/>
  <c r="J193" i="5"/>
  <c r="I193" i="5"/>
  <c r="H193" i="5"/>
  <c r="G193" i="5"/>
  <c r="F193" i="5"/>
  <c r="D193" i="5"/>
  <c r="C193" i="5"/>
  <c r="B193" i="5"/>
  <c r="Q192" i="5"/>
  <c r="O192" i="5"/>
  <c r="N192" i="5"/>
  <c r="M192" i="5"/>
  <c r="L192" i="5"/>
  <c r="K192" i="5"/>
  <c r="J192" i="5"/>
  <c r="I192" i="5"/>
  <c r="H192" i="5"/>
  <c r="G192" i="5"/>
  <c r="F192" i="5"/>
  <c r="D192" i="5"/>
  <c r="C192" i="5"/>
  <c r="B192" i="5"/>
  <c r="Q191" i="5"/>
  <c r="O191" i="5"/>
  <c r="N191" i="5"/>
  <c r="M191" i="5"/>
  <c r="L191" i="5"/>
  <c r="K191" i="5"/>
  <c r="J191" i="5"/>
  <c r="I191" i="5"/>
  <c r="H191" i="5"/>
  <c r="G191" i="5"/>
  <c r="F191" i="5"/>
  <c r="D191" i="5"/>
  <c r="C191" i="5"/>
  <c r="B191" i="5"/>
  <c r="Q190" i="5"/>
  <c r="O190" i="5"/>
  <c r="N190" i="5"/>
  <c r="M190" i="5"/>
  <c r="L190" i="5"/>
  <c r="K190" i="5"/>
  <c r="J190" i="5"/>
  <c r="I190" i="5"/>
  <c r="H190" i="5"/>
  <c r="G190" i="5"/>
  <c r="F190" i="5"/>
  <c r="D190" i="5"/>
  <c r="C190" i="5"/>
  <c r="B190" i="5"/>
  <c r="Q189" i="5"/>
  <c r="O189" i="5"/>
  <c r="N189" i="5"/>
  <c r="M189" i="5"/>
  <c r="L189" i="5"/>
  <c r="K189" i="5"/>
  <c r="J189" i="5"/>
  <c r="I189" i="5"/>
  <c r="H189" i="5"/>
  <c r="G189" i="5"/>
  <c r="F189" i="5"/>
  <c r="D189" i="5"/>
  <c r="C189" i="5"/>
  <c r="B189" i="5"/>
  <c r="Q188" i="5"/>
  <c r="O188" i="5"/>
  <c r="N188" i="5"/>
  <c r="M188" i="5"/>
  <c r="L188" i="5"/>
  <c r="K188" i="5"/>
  <c r="J188" i="5"/>
  <c r="I188" i="5"/>
  <c r="H188" i="5"/>
  <c r="G188" i="5"/>
  <c r="F188" i="5"/>
  <c r="D188" i="5"/>
  <c r="C188" i="5"/>
  <c r="B188" i="5"/>
  <c r="Q187" i="5"/>
  <c r="O187" i="5"/>
  <c r="N187" i="5"/>
  <c r="M187" i="5"/>
  <c r="L187" i="5"/>
  <c r="K187" i="5"/>
  <c r="J187" i="5"/>
  <c r="I187" i="5"/>
  <c r="H187" i="5"/>
  <c r="G187" i="5"/>
  <c r="F187" i="5"/>
  <c r="D187" i="5"/>
  <c r="C187" i="5"/>
  <c r="B187" i="5"/>
  <c r="Q186" i="5"/>
  <c r="O186" i="5"/>
  <c r="N186" i="5"/>
  <c r="M186" i="5"/>
  <c r="L186" i="5"/>
  <c r="K186" i="5"/>
  <c r="J186" i="5"/>
  <c r="I186" i="5"/>
  <c r="H186" i="5"/>
  <c r="G186" i="5"/>
  <c r="F186" i="5"/>
  <c r="D186" i="5"/>
  <c r="C186" i="5"/>
  <c r="B186" i="5"/>
  <c r="Q185" i="5"/>
  <c r="O185" i="5"/>
  <c r="N185" i="5"/>
  <c r="M185" i="5"/>
  <c r="L185" i="5"/>
  <c r="K185" i="5"/>
  <c r="J185" i="5"/>
  <c r="I185" i="5"/>
  <c r="H185" i="5"/>
  <c r="G185" i="5"/>
  <c r="F185" i="5"/>
  <c r="D185" i="5"/>
  <c r="C185" i="5"/>
  <c r="B185" i="5"/>
  <c r="Q184" i="5"/>
  <c r="O184" i="5"/>
  <c r="N184" i="5"/>
  <c r="M184" i="5"/>
  <c r="L184" i="5"/>
  <c r="K184" i="5"/>
  <c r="J184" i="5"/>
  <c r="I184" i="5"/>
  <c r="H184" i="5"/>
  <c r="G184" i="5"/>
  <c r="F184" i="5"/>
  <c r="D184" i="5"/>
  <c r="C184" i="5"/>
  <c r="B184" i="5"/>
  <c r="Q183" i="5"/>
  <c r="O183" i="5"/>
  <c r="N183" i="5"/>
  <c r="M183" i="5"/>
  <c r="L183" i="5"/>
  <c r="K183" i="5"/>
  <c r="J183" i="5"/>
  <c r="I183" i="5"/>
  <c r="H183" i="5"/>
  <c r="G183" i="5"/>
  <c r="F183" i="5"/>
  <c r="D183" i="5"/>
  <c r="C183" i="5"/>
  <c r="B183" i="5"/>
  <c r="Q182" i="5"/>
  <c r="O182" i="5"/>
  <c r="N182" i="5"/>
  <c r="M182" i="5"/>
  <c r="L182" i="5"/>
  <c r="K182" i="5"/>
  <c r="J182" i="5"/>
  <c r="I182" i="5"/>
  <c r="H182" i="5"/>
  <c r="G182" i="5"/>
  <c r="F182" i="5"/>
  <c r="D182" i="5"/>
  <c r="C182" i="5"/>
  <c r="B182" i="5"/>
  <c r="Q181" i="5"/>
  <c r="O181" i="5"/>
  <c r="N181" i="5"/>
  <c r="M181" i="5"/>
  <c r="L181" i="5"/>
  <c r="K181" i="5"/>
  <c r="J181" i="5"/>
  <c r="I181" i="5"/>
  <c r="H181" i="5"/>
  <c r="G181" i="5"/>
  <c r="F181" i="5"/>
  <c r="D181" i="5"/>
  <c r="C181" i="5"/>
  <c r="B181" i="5"/>
  <c r="Q180" i="5"/>
  <c r="O180" i="5"/>
  <c r="N180" i="5"/>
  <c r="M180" i="5"/>
  <c r="L180" i="5"/>
  <c r="K180" i="5"/>
  <c r="J180" i="5"/>
  <c r="I180" i="5"/>
  <c r="H180" i="5"/>
  <c r="G180" i="5"/>
  <c r="F180" i="5"/>
  <c r="D180" i="5"/>
  <c r="C180" i="5"/>
  <c r="B180" i="5"/>
  <c r="Q179" i="5"/>
  <c r="O179" i="5"/>
  <c r="N179" i="5"/>
  <c r="M179" i="5"/>
  <c r="L179" i="5"/>
  <c r="K179" i="5"/>
  <c r="J179" i="5"/>
  <c r="I179" i="5"/>
  <c r="H179" i="5"/>
  <c r="G179" i="5"/>
  <c r="F179" i="5"/>
  <c r="D179" i="5"/>
  <c r="C179" i="5"/>
  <c r="B179" i="5"/>
  <c r="Q178" i="5"/>
  <c r="O178" i="5"/>
  <c r="N178" i="5"/>
  <c r="M178" i="5"/>
  <c r="L178" i="5"/>
  <c r="K178" i="5"/>
  <c r="J178" i="5"/>
  <c r="I178" i="5"/>
  <c r="H178" i="5"/>
  <c r="G178" i="5"/>
  <c r="F178" i="5"/>
  <c r="D178" i="5"/>
  <c r="C178" i="5"/>
  <c r="B178" i="5"/>
  <c r="Q177" i="5"/>
  <c r="O177" i="5"/>
  <c r="N177" i="5"/>
  <c r="M177" i="5"/>
  <c r="L177" i="5"/>
  <c r="K177" i="5"/>
  <c r="J177" i="5"/>
  <c r="I177" i="5"/>
  <c r="H177" i="5"/>
  <c r="G177" i="5"/>
  <c r="F177" i="5"/>
  <c r="D177" i="5"/>
  <c r="C177" i="5"/>
  <c r="B177" i="5"/>
  <c r="Q176" i="5"/>
  <c r="O176" i="5"/>
  <c r="N176" i="5"/>
  <c r="M176" i="5"/>
  <c r="L176" i="5"/>
  <c r="K176" i="5"/>
  <c r="J176" i="5"/>
  <c r="I176" i="5"/>
  <c r="H176" i="5"/>
  <c r="G176" i="5"/>
  <c r="F176" i="5"/>
  <c r="D176" i="5"/>
  <c r="C176" i="5"/>
  <c r="B176" i="5"/>
  <c r="Q175" i="5"/>
  <c r="O175" i="5"/>
  <c r="N175" i="5"/>
  <c r="M175" i="5"/>
  <c r="L175" i="5"/>
  <c r="K175" i="5"/>
  <c r="J175" i="5"/>
  <c r="I175" i="5"/>
  <c r="H175" i="5"/>
  <c r="G175" i="5"/>
  <c r="F175" i="5"/>
  <c r="D175" i="5"/>
  <c r="C175" i="5"/>
  <c r="B175" i="5"/>
  <c r="Q174" i="5"/>
  <c r="O174" i="5"/>
  <c r="N174" i="5"/>
  <c r="M174" i="5"/>
  <c r="L174" i="5"/>
  <c r="K174" i="5"/>
  <c r="J174" i="5"/>
  <c r="I174" i="5"/>
  <c r="H174" i="5"/>
  <c r="G174" i="5"/>
  <c r="F174" i="5"/>
  <c r="D174" i="5"/>
  <c r="C174" i="5"/>
  <c r="B174" i="5"/>
  <c r="Q173" i="5"/>
  <c r="O173" i="5"/>
  <c r="N173" i="5"/>
  <c r="M173" i="5"/>
  <c r="L173" i="5"/>
  <c r="K173" i="5"/>
  <c r="J173" i="5"/>
  <c r="I173" i="5"/>
  <c r="H173" i="5"/>
  <c r="G173" i="5"/>
  <c r="F173" i="5"/>
  <c r="D173" i="5"/>
  <c r="C173" i="5"/>
  <c r="B173" i="5"/>
  <c r="Q172" i="5"/>
  <c r="O172" i="5"/>
  <c r="N172" i="5"/>
  <c r="M172" i="5"/>
  <c r="L172" i="5"/>
  <c r="K172" i="5"/>
  <c r="J172" i="5"/>
  <c r="I172" i="5"/>
  <c r="H172" i="5"/>
  <c r="G172" i="5"/>
  <c r="F172" i="5"/>
  <c r="D172" i="5"/>
  <c r="C172" i="5"/>
  <c r="B172" i="5"/>
  <c r="Q171" i="5"/>
  <c r="O171" i="5"/>
  <c r="N171" i="5"/>
  <c r="M171" i="5"/>
  <c r="L171" i="5"/>
  <c r="K171" i="5"/>
  <c r="J171" i="5"/>
  <c r="I171" i="5"/>
  <c r="H171" i="5"/>
  <c r="G171" i="5"/>
  <c r="F171" i="5"/>
  <c r="D171" i="5"/>
  <c r="C171" i="5"/>
  <c r="B171" i="5"/>
  <c r="Q170" i="5"/>
  <c r="O170" i="5"/>
  <c r="N170" i="5"/>
  <c r="M170" i="5"/>
  <c r="L170" i="5"/>
  <c r="K170" i="5"/>
  <c r="J170" i="5"/>
  <c r="I170" i="5"/>
  <c r="H170" i="5"/>
  <c r="G170" i="5"/>
  <c r="F170" i="5"/>
  <c r="D170" i="5"/>
  <c r="C170" i="5"/>
  <c r="B170" i="5"/>
  <c r="Q169" i="5"/>
  <c r="O169" i="5"/>
  <c r="N169" i="5"/>
  <c r="M169" i="5"/>
  <c r="L169" i="5"/>
  <c r="K169" i="5"/>
  <c r="J169" i="5"/>
  <c r="I169" i="5"/>
  <c r="H169" i="5"/>
  <c r="G169" i="5"/>
  <c r="F169" i="5"/>
  <c r="D169" i="5"/>
  <c r="C169" i="5"/>
  <c r="B169" i="5"/>
  <c r="Q168" i="5"/>
  <c r="O168" i="5"/>
  <c r="N168" i="5"/>
  <c r="M168" i="5"/>
  <c r="L168" i="5"/>
  <c r="K168" i="5"/>
  <c r="J168" i="5"/>
  <c r="I168" i="5"/>
  <c r="H168" i="5"/>
  <c r="G168" i="5"/>
  <c r="F168" i="5"/>
  <c r="D168" i="5"/>
  <c r="C168" i="5"/>
  <c r="B168" i="5"/>
  <c r="Q167" i="5"/>
  <c r="O167" i="5"/>
  <c r="N167" i="5"/>
  <c r="M167" i="5"/>
  <c r="L167" i="5"/>
  <c r="K167" i="5"/>
  <c r="J167" i="5"/>
  <c r="I167" i="5"/>
  <c r="H167" i="5"/>
  <c r="G167" i="5"/>
  <c r="F167" i="5"/>
  <c r="D167" i="5"/>
  <c r="C167" i="5"/>
  <c r="B167" i="5"/>
  <c r="Q166" i="5"/>
  <c r="O166" i="5"/>
  <c r="N166" i="5"/>
  <c r="M166" i="5"/>
  <c r="L166" i="5"/>
  <c r="K166" i="5"/>
  <c r="J166" i="5"/>
  <c r="I166" i="5"/>
  <c r="H166" i="5"/>
  <c r="G166" i="5"/>
  <c r="F166" i="5"/>
  <c r="D166" i="5"/>
  <c r="C166" i="5"/>
  <c r="B166" i="5"/>
  <c r="Q165" i="5"/>
  <c r="O165" i="5"/>
  <c r="N165" i="5"/>
  <c r="M165" i="5"/>
  <c r="L165" i="5"/>
  <c r="K165" i="5"/>
  <c r="J165" i="5"/>
  <c r="I165" i="5"/>
  <c r="H165" i="5"/>
  <c r="G165" i="5"/>
  <c r="F165" i="5"/>
  <c r="D165" i="5"/>
  <c r="C165" i="5"/>
  <c r="B165" i="5"/>
  <c r="Q164" i="5"/>
  <c r="O164" i="5"/>
  <c r="N164" i="5"/>
  <c r="M164" i="5"/>
  <c r="L164" i="5"/>
  <c r="K164" i="5"/>
  <c r="J164" i="5"/>
  <c r="I164" i="5"/>
  <c r="H164" i="5"/>
  <c r="G164" i="5"/>
  <c r="F164" i="5"/>
  <c r="D164" i="5"/>
  <c r="C164" i="5"/>
  <c r="B164" i="5"/>
  <c r="Q163" i="5"/>
  <c r="O163" i="5"/>
  <c r="N163" i="5"/>
  <c r="M163" i="5"/>
  <c r="L163" i="5"/>
  <c r="K163" i="5"/>
  <c r="J163" i="5"/>
  <c r="I163" i="5"/>
  <c r="H163" i="5"/>
  <c r="G163" i="5"/>
  <c r="F163" i="5"/>
  <c r="D163" i="5"/>
  <c r="C163" i="5"/>
  <c r="B163" i="5"/>
  <c r="Q162" i="5"/>
  <c r="O162" i="5"/>
  <c r="N162" i="5"/>
  <c r="M162" i="5"/>
  <c r="L162" i="5"/>
  <c r="K162" i="5"/>
  <c r="J162" i="5"/>
  <c r="I162" i="5"/>
  <c r="H162" i="5"/>
  <c r="G162" i="5"/>
  <c r="F162" i="5"/>
  <c r="D162" i="5"/>
  <c r="C162" i="5"/>
  <c r="B162" i="5"/>
  <c r="Q161" i="5"/>
  <c r="O161" i="5"/>
  <c r="N161" i="5"/>
  <c r="M161" i="5"/>
  <c r="L161" i="5"/>
  <c r="K161" i="5"/>
  <c r="J161" i="5"/>
  <c r="I161" i="5"/>
  <c r="H161" i="5"/>
  <c r="G161" i="5"/>
  <c r="F161" i="5"/>
  <c r="D161" i="5"/>
  <c r="C161" i="5"/>
  <c r="B161" i="5"/>
  <c r="Q160" i="5"/>
  <c r="O160" i="5"/>
  <c r="N160" i="5"/>
  <c r="M160" i="5"/>
  <c r="L160" i="5"/>
  <c r="K160" i="5"/>
  <c r="J160" i="5"/>
  <c r="I160" i="5"/>
  <c r="H160" i="5"/>
  <c r="G160" i="5"/>
  <c r="F160" i="5"/>
  <c r="D160" i="5"/>
  <c r="C160" i="5"/>
  <c r="B160" i="5"/>
  <c r="Q159" i="5"/>
  <c r="O159" i="5"/>
  <c r="N159" i="5"/>
  <c r="M159" i="5"/>
  <c r="L159" i="5"/>
  <c r="K159" i="5"/>
  <c r="J159" i="5"/>
  <c r="I159" i="5"/>
  <c r="H159" i="5"/>
  <c r="G159" i="5"/>
  <c r="F159" i="5"/>
  <c r="D159" i="5"/>
  <c r="C159" i="5"/>
  <c r="A159" i="5" s="1" a="1"/>
  <c r="A159" i="5" s="1"/>
  <c r="B159" i="5"/>
  <c r="Q158" i="5"/>
  <c r="O158" i="5"/>
  <c r="N158" i="5"/>
  <c r="M158" i="5"/>
  <c r="L158" i="5"/>
  <c r="K158" i="5"/>
  <c r="J158" i="5"/>
  <c r="I158" i="5"/>
  <c r="H158" i="5"/>
  <c r="G158" i="5"/>
  <c r="F158" i="5"/>
  <c r="D158" i="5"/>
  <c r="C158" i="5"/>
  <c r="B158" i="5"/>
  <c r="Q157" i="5"/>
  <c r="O157" i="5"/>
  <c r="N157" i="5"/>
  <c r="M157" i="5"/>
  <c r="L157" i="5"/>
  <c r="K157" i="5"/>
  <c r="J157" i="5"/>
  <c r="I157" i="5"/>
  <c r="H157" i="5"/>
  <c r="G157" i="5"/>
  <c r="F157" i="5"/>
  <c r="D157" i="5"/>
  <c r="C157" i="5"/>
  <c r="B157" i="5"/>
  <c r="Q156" i="5"/>
  <c r="O156" i="5"/>
  <c r="N156" i="5"/>
  <c r="M156" i="5"/>
  <c r="L156" i="5"/>
  <c r="K156" i="5"/>
  <c r="J156" i="5"/>
  <c r="I156" i="5"/>
  <c r="H156" i="5"/>
  <c r="G156" i="5"/>
  <c r="F156" i="5"/>
  <c r="D156" i="5"/>
  <c r="C156" i="5"/>
  <c r="B156" i="5"/>
  <c r="Q155" i="5"/>
  <c r="O155" i="5"/>
  <c r="N155" i="5"/>
  <c r="M155" i="5"/>
  <c r="L155" i="5"/>
  <c r="K155" i="5"/>
  <c r="J155" i="5"/>
  <c r="I155" i="5"/>
  <c r="H155" i="5"/>
  <c r="G155" i="5"/>
  <c r="F155" i="5"/>
  <c r="D155" i="5"/>
  <c r="C155" i="5"/>
  <c r="B155" i="5"/>
  <c r="Q154" i="5"/>
  <c r="O154" i="5"/>
  <c r="N154" i="5"/>
  <c r="M154" i="5"/>
  <c r="L154" i="5"/>
  <c r="K154" i="5"/>
  <c r="J154" i="5"/>
  <c r="I154" i="5"/>
  <c r="H154" i="5"/>
  <c r="G154" i="5"/>
  <c r="F154" i="5"/>
  <c r="D154" i="5"/>
  <c r="C154" i="5"/>
  <c r="B154" i="5"/>
  <c r="Q153" i="5"/>
  <c r="O153" i="5"/>
  <c r="N153" i="5"/>
  <c r="M153" i="5"/>
  <c r="L153" i="5"/>
  <c r="K153" i="5"/>
  <c r="J153" i="5"/>
  <c r="I153" i="5"/>
  <c r="H153" i="5"/>
  <c r="G153" i="5"/>
  <c r="F153" i="5"/>
  <c r="D153" i="5"/>
  <c r="C153" i="5"/>
  <c r="B153" i="5"/>
  <c r="Q152" i="5"/>
  <c r="O152" i="5"/>
  <c r="N152" i="5"/>
  <c r="M152" i="5"/>
  <c r="L152" i="5"/>
  <c r="K152" i="5"/>
  <c r="J152" i="5"/>
  <c r="I152" i="5"/>
  <c r="H152" i="5"/>
  <c r="G152" i="5"/>
  <c r="F152" i="5"/>
  <c r="D152" i="5"/>
  <c r="C152" i="5"/>
  <c r="B152" i="5"/>
  <c r="Q151" i="5"/>
  <c r="O151" i="5"/>
  <c r="N151" i="5"/>
  <c r="M151" i="5"/>
  <c r="L151" i="5"/>
  <c r="K151" i="5"/>
  <c r="J151" i="5"/>
  <c r="I151" i="5"/>
  <c r="H151" i="5"/>
  <c r="G151" i="5"/>
  <c r="F151" i="5"/>
  <c r="D151" i="5"/>
  <c r="C151" i="5"/>
  <c r="B151" i="5"/>
  <c r="Q150" i="5"/>
  <c r="O150" i="5"/>
  <c r="N150" i="5"/>
  <c r="M150" i="5"/>
  <c r="L150" i="5"/>
  <c r="K150" i="5"/>
  <c r="J150" i="5"/>
  <c r="I150" i="5"/>
  <c r="H150" i="5"/>
  <c r="G150" i="5"/>
  <c r="F150" i="5"/>
  <c r="D150" i="5"/>
  <c r="C150" i="5"/>
  <c r="B150" i="5"/>
  <c r="A150" i="5" a="1"/>
  <c r="A150" i="5" s="1"/>
  <c r="Q149" i="5"/>
  <c r="O149" i="5"/>
  <c r="N149" i="5"/>
  <c r="M149" i="5"/>
  <c r="L149" i="5"/>
  <c r="K149" i="5"/>
  <c r="J149" i="5"/>
  <c r="I149" i="5"/>
  <c r="H149" i="5"/>
  <c r="G149" i="5"/>
  <c r="F149" i="5"/>
  <c r="D149" i="5"/>
  <c r="C149" i="5"/>
  <c r="B149" i="5"/>
  <c r="Q148" i="5"/>
  <c r="O148" i="5"/>
  <c r="N148" i="5"/>
  <c r="M148" i="5"/>
  <c r="L148" i="5"/>
  <c r="K148" i="5"/>
  <c r="J148" i="5"/>
  <c r="I148" i="5"/>
  <c r="H148" i="5"/>
  <c r="G148" i="5"/>
  <c r="F148" i="5"/>
  <c r="D148" i="5"/>
  <c r="C148" i="5"/>
  <c r="B148" i="5"/>
  <c r="Q147" i="5"/>
  <c r="O147" i="5"/>
  <c r="N147" i="5"/>
  <c r="M147" i="5"/>
  <c r="L147" i="5"/>
  <c r="K147" i="5"/>
  <c r="J147" i="5"/>
  <c r="I147" i="5"/>
  <c r="H147" i="5"/>
  <c r="G147" i="5"/>
  <c r="F147" i="5"/>
  <c r="D147" i="5"/>
  <c r="C147" i="5"/>
  <c r="B147" i="5"/>
  <c r="Q146" i="5"/>
  <c r="O146" i="5"/>
  <c r="N146" i="5"/>
  <c r="M146" i="5"/>
  <c r="L146" i="5"/>
  <c r="K146" i="5"/>
  <c r="J146" i="5"/>
  <c r="I146" i="5"/>
  <c r="H146" i="5"/>
  <c r="G146" i="5"/>
  <c r="F146" i="5"/>
  <c r="D146" i="5"/>
  <c r="C146" i="5"/>
  <c r="B146" i="5"/>
  <c r="Q145" i="5"/>
  <c r="O145" i="5"/>
  <c r="N145" i="5"/>
  <c r="M145" i="5"/>
  <c r="L145" i="5"/>
  <c r="K145" i="5"/>
  <c r="J145" i="5"/>
  <c r="I145" i="5"/>
  <c r="H145" i="5"/>
  <c r="G145" i="5"/>
  <c r="F145" i="5"/>
  <c r="D145" i="5"/>
  <c r="C145" i="5"/>
  <c r="B145" i="5"/>
  <c r="Q144" i="5"/>
  <c r="O144" i="5"/>
  <c r="N144" i="5"/>
  <c r="M144" i="5"/>
  <c r="L144" i="5"/>
  <c r="K144" i="5"/>
  <c r="J144" i="5"/>
  <c r="I144" i="5"/>
  <c r="H144" i="5"/>
  <c r="G144" i="5"/>
  <c r="F144" i="5"/>
  <c r="D144" i="5"/>
  <c r="C144" i="5"/>
  <c r="B144" i="5"/>
  <c r="Q143" i="5"/>
  <c r="O143" i="5"/>
  <c r="N143" i="5"/>
  <c r="M143" i="5"/>
  <c r="L143" i="5"/>
  <c r="K143" i="5"/>
  <c r="J143" i="5"/>
  <c r="I143" i="5"/>
  <c r="H143" i="5"/>
  <c r="G143" i="5"/>
  <c r="F143" i="5"/>
  <c r="D143" i="5"/>
  <c r="C143" i="5"/>
  <c r="A143" i="5" s="1" a="1"/>
  <c r="A143" i="5" s="1"/>
  <c r="B143" i="5"/>
  <c r="Q142" i="5"/>
  <c r="O142" i="5"/>
  <c r="N142" i="5"/>
  <c r="M142" i="5"/>
  <c r="L142" i="5"/>
  <c r="K142" i="5"/>
  <c r="J142" i="5"/>
  <c r="I142" i="5"/>
  <c r="H142" i="5"/>
  <c r="G142" i="5"/>
  <c r="F142" i="5"/>
  <c r="D142" i="5"/>
  <c r="C142" i="5"/>
  <c r="B142" i="5"/>
  <c r="Q141" i="5"/>
  <c r="O141" i="5"/>
  <c r="N141" i="5"/>
  <c r="M141" i="5"/>
  <c r="L141" i="5"/>
  <c r="K141" i="5"/>
  <c r="J141" i="5"/>
  <c r="I141" i="5"/>
  <c r="H141" i="5"/>
  <c r="G141" i="5"/>
  <c r="F141" i="5"/>
  <c r="D141" i="5"/>
  <c r="C141" i="5"/>
  <c r="B141" i="5"/>
  <c r="Q140" i="5"/>
  <c r="O140" i="5"/>
  <c r="N140" i="5"/>
  <c r="M140" i="5"/>
  <c r="L140" i="5"/>
  <c r="K140" i="5"/>
  <c r="J140" i="5"/>
  <c r="I140" i="5"/>
  <c r="H140" i="5"/>
  <c r="G140" i="5"/>
  <c r="F140" i="5"/>
  <c r="D140" i="5"/>
  <c r="C140" i="5"/>
  <c r="B140" i="5"/>
  <c r="Q139" i="5"/>
  <c r="O139" i="5"/>
  <c r="N139" i="5"/>
  <c r="M139" i="5"/>
  <c r="L139" i="5"/>
  <c r="K139" i="5"/>
  <c r="J139" i="5"/>
  <c r="I139" i="5"/>
  <c r="H139" i="5"/>
  <c r="G139" i="5"/>
  <c r="F139" i="5"/>
  <c r="D139" i="5"/>
  <c r="C139" i="5"/>
  <c r="B139" i="5"/>
  <c r="Q138" i="5"/>
  <c r="O138" i="5"/>
  <c r="N138" i="5"/>
  <c r="M138" i="5"/>
  <c r="L138" i="5"/>
  <c r="K138" i="5"/>
  <c r="J138" i="5"/>
  <c r="I138" i="5"/>
  <c r="H138" i="5"/>
  <c r="G138" i="5"/>
  <c r="F138" i="5"/>
  <c r="D138" i="5"/>
  <c r="C138" i="5"/>
  <c r="B138" i="5"/>
  <c r="Q137" i="5"/>
  <c r="O137" i="5"/>
  <c r="N137" i="5"/>
  <c r="M137" i="5"/>
  <c r="L137" i="5"/>
  <c r="K137" i="5"/>
  <c r="J137" i="5"/>
  <c r="I137" i="5"/>
  <c r="H137" i="5"/>
  <c r="G137" i="5"/>
  <c r="F137" i="5"/>
  <c r="D137" i="5"/>
  <c r="C137" i="5"/>
  <c r="B137" i="5"/>
  <c r="Q136" i="5"/>
  <c r="O136" i="5"/>
  <c r="N136" i="5"/>
  <c r="M136" i="5"/>
  <c r="L136" i="5"/>
  <c r="K136" i="5"/>
  <c r="J136" i="5"/>
  <c r="I136" i="5"/>
  <c r="H136" i="5"/>
  <c r="G136" i="5"/>
  <c r="F136" i="5"/>
  <c r="D136" i="5"/>
  <c r="C136" i="5"/>
  <c r="B136" i="5"/>
  <c r="Q135" i="5"/>
  <c r="O135" i="5"/>
  <c r="N135" i="5"/>
  <c r="M135" i="5"/>
  <c r="L135" i="5"/>
  <c r="K135" i="5"/>
  <c r="J135" i="5"/>
  <c r="I135" i="5"/>
  <c r="H135" i="5"/>
  <c r="G135" i="5"/>
  <c r="F135" i="5"/>
  <c r="D135" i="5"/>
  <c r="C135" i="5"/>
  <c r="B135" i="5"/>
  <c r="Q134" i="5"/>
  <c r="O134" i="5"/>
  <c r="N134" i="5"/>
  <c r="M134" i="5"/>
  <c r="L134" i="5"/>
  <c r="K134" i="5"/>
  <c r="J134" i="5"/>
  <c r="I134" i="5"/>
  <c r="H134" i="5"/>
  <c r="G134" i="5"/>
  <c r="F134" i="5"/>
  <c r="D134" i="5"/>
  <c r="C134" i="5"/>
  <c r="B134" i="5"/>
  <c r="Q133" i="5"/>
  <c r="O133" i="5"/>
  <c r="N133" i="5"/>
  <c r="M133" i="5"/>
  <c r="L133" i="5"/>
  <c r="K133" i="5"/>
  <c r="J133" i="5"/>
  <c r="I133" i="5"/>
  <c r="H133" i="5"/>
  <c r="G133" i="5"/>
  <c r="F133" i="5"/>
  <c r="D133" i="5"/>
  <c r="C133" i="5"/>
  <c r="B133" i="5"/>
  <c r="Q132" i="5"/>
  <c r="O132" i="5"/>
  <c r="N132" i="5"/>
  <c r="M132" i="5"/>
  <c r="L132" i="5"/>
  <c r="K132" i="5"/>
  <c r="J132" i="5"/>
  <c r="I132" i="5"/>
  <c r="H132" i="5"/>
  <c r="G132" i="5"/>
  <c r="F132" i="5"/>
  <c r="D132" i="5"/>
  <c r="C132" i="5"/>
  <c r="B132" i="5"/>
  <c r="Q131" i="5"/>
  <c r="O131" i="5"/>
  <c r="N131" i="5"/>
  <c r="M131" i="5"/>
  <c r="L131" i="5"/>
  <c r="K131" i="5"/>
  <c r="J131" i="5"/>
  <c r="I131" i="5"/>
  <c r="H131" i="5"/>
  <c r="G131" i="5"/>
  <c r="F131" i="5"/>
  <c r="D131" i="5"/>
  <c r="C131" i="5"/>
  <c r="B131" i="5"/>
  <c r="Q130" i="5"/>
  <c r="O130" i="5"/>
  <c r="N130" i="5"/>
  <c r="M130" i="5"/>
  <c r="L130" i="5"/>
  <c r="K130" i="5"/>
  <c r="J130" i="5"/>
  <c r="I130" i="5"/>
  <c r="H130" i="5"/>
  <c r="G130" i="5"/>
  <c r="F130" i="5"/>
  <c r="D130" i="5"/>
  <c r="C130" i="5"/>
  <c r="B130" i="5"/>
  <c r="Q129" i="5"/>
  <c r="O129" i="5"/>
  <c r="N129" i="5"/>
  <c r="M129" i="5"/>
  <c r="L129" i="5"/>
  <c r="K129" i="5"/>
  <c r="J129" i="5"/>
  <c r="I129" i="5"/>
  <c r="H129" i="5"/>
  <c r="G129" i="5"/>
  <c r="F129" i="5"/>
  <c r="D129" i="5"/>
  <c r="C129" i="5"/>
  <c r="B129" i="5"/>
  <c r="Q128" i="5"/>
  <c r="O128" i="5"/>
  <c r="N128" i="5"/>
  <c r="M128" i="5"/>
  <c r="L128" i="5"/>
  <c r="K128" i="5"/>
  <c r="J128" i="5"/>
  <c r="I128" i="5"/>
  <c r="H128" i="5"/>
  <c r="G128" i="5"/>
  <c r="F128" i="5"/>
  <c r="D128" i="5"/>
  <c r="C128" i="5"/>
  <c r="B128" i="5"/>
  <c r="Q127" i="5"/>
  <c r="O127" i="5"/>
  <c r="N127" i="5"/>
  <c r="M127" i="5"/>
  <c r="L127" i="5"/>
  <c r="K127" i="5"/>
  <c r="J127" i="5"/>
  <c r="I127" i="5"/>
  <c r="H127" i="5"/>
  <c r="G127" i="5"/>
  <c r="F127" i="5"/>
  <c r="D127" i="5"/>
  <c r="C127" i="5"/>
  <c r="B127" i="5"/>
  <c r="Q126" i="5"/>
  <c r="O126" i="5"/>
  <c r="N126" i="5"/>
  <c r="M126" i="5"/>
  <c r="L126" i="5"/>
  <c r="K126" i="5"/>
  <c r="J126" i="5"/>
  <c r="I126" i="5"/>
  <c r="H126" i="5"/>
  <c r="G126" i="5"/>
  <c r="F126" i="5"/>
  <c r="D126" i="5"/>
  <c r="C126" i="5"/>
  <c r="B126" i="5"/>
  <c r="Q125" i="5"/>
  <c r="O125" i="5"/>
  <c r="N125" i="5"/>
  <c r="M125" i="5"/>
  <c r="L125" i="5"/>
  <c r="K125" i="5"/>
  <c r="J125" i="5"/>
  <c r="I125" i="5"/>
  <c r="H125" i="5"/>
  <c r="G125" i="5"/>
  <c r="F125" i="5"/>
  <c r="D125" i="5"/>
  <c r="C125" i="5"/>
  <c r="B125" i="5"/>
  <c r="Q124" i="5"/>
  <c r="O124" i="5"/>
  <c r="N124" i="5"/>
  <c r="M124" i="5"/>
  <c r="L124" i="5"/>
  <c r="K124" i="5"/>
  <c r="J124" i="5"/>
  <c r="I124" i="5"/>
  <c r="H124" i="5"/>
  <c r="G124" i="5"/>
  <c r="F124" i="5"/>
  <c r="D124" i="5"/>
  <c r="C124" i="5"/>
  <c r="B124" i="5"/>
  <c r="Q123" i="5"/>
  <c r="O123" i="5"/>
  <c r="N123" i="5"/>
  <c r="M123" i="5"/>
  <c r="L123" i="5"/>
  <c r="K123" i="5"/>
  <c r="J123" i="5"/>
  <c r="I123" i="5"/>
  <c r="H123" i="5"/>
  <c r="G123" i="5"/>
  <c r="F123" i="5"/>
  <c r="D123" i="5"/>
  <c r="C123" i="5"/>
  <c r="B123" i="5"/>
  <c r="Q122" i="5"/>
  <c r="O122" i="5"/>
  <c r="N122" i="5"/>
  <c r="M122" i="5"/>
  <c r="L122" i="5"/>
  <c r="K122" i="5"/>
  <c r="J122" i="5"/>
  <c r="I122" i="5"/>
  <c r="H122" i="5"/>
  <c r="G122" i="5"/>
  <c r="F122" i="5"/>
  <c r="D122" i="5"/>
  <c r="C122" i="5"/>
  <c r="B122" i="5"/>
  <c r="Q121" i="5"/>
  <c r="O121" i="5"/>
  <c r="N121" i="5"/>
  <c r="M121" i="5"/>
  <c r="L121" i="5"/>
  <c r="K121" i="5"/>
  <c r="J121" i="5"/>
  <c r="I121" i="5"/>
  <c r="H121" i="5"/>
  <c r="G121" i="5"/>
  <c r="F121" i="5"/>
  <c r="D121" i="5"/>
  <c r="C121" i="5"/>
  <c r="B121" i="5"/>
  <c r="Q120" i="5"/>
  <c r="O120" i="5"/>
  <c r="N120" i="5"/>
  <c r="M120" i="5"/>
  <c r="L120" i="5"/>
  <c r="K120" i="5"/>
  <c r="J120" i="5"/>
  <c r="I120" i="5"/>
  <c r="H120" i="5"/>
  <c r="G120" i="5"/>
  <c r="F120" i="5"/>
  <c r="D120" i="5"/>
  <c r="C120" i="5"/>
  <c r="B120" i="5"/>
  <c r="Q119" i="5"/>
  <c r="O119" i="5"/>
  <c r="N119" i="5"/>
  <c r="M119" i="5"/>
  <c r="L119" i="5"/>
  <c r="K119" i="5"/>
  <c r="J119" i="5"/>
  <c r="I119" i="5"/>
  <c r="H119" i="5"/>
  <c r="G119" i="5"/>
  <c r="F119" i="5"/>
  <c r="D119" i="5"/>
  <c r="C119" i="5"/>
  <c r="B119" i="5"/>
  <c r="Q118" i="5"/>
  <c r="O118" i="5"/>
  <c r="N118" i="5"/>
  <c r="M118" i="5"/>
  <c r="L118" i="5"/>
  <c r="K118" i="5"/>
  <c r="J118" i="5"/>
  <c r="I118" i="5"/>
  <c r="H118" i="5"/>
  <c r="G118" i="5"/>
  <c r="F118" i="5"/>
  <c r="D118" i="5"/>
  <c r="C118" i="5"/>
  <c r="B118" i="5"/>
  <c r="Q117" i="5"/>
  <c r="O117" i="5"/>
  <c r="N117" i="5"/>
  <c r="M117" i="5"/>
  <c r="L117" i="5"/>
  <c r="K117" i="5"/>
  <c r="J117" i="5"/>
  <c r="I117" i="5"/>
  <c r="H117" i="5"/>
  <c r="G117" i="5"/>
  <c r="F117" i="5"/>
  <c r="D117" i="5"/>
  <c r="C117" i="5"/>
  <c r="B117" i="5"/>
  <c r="Q116" i="5"/>
  <c r="O116" i="5"/>
  <c r="N116" i="5"/>
  <c r="M116" i="5"/>
  <c r="L116" i="5"/>
  <c r="K116" i="5"/>
  <c r="J116" i="5"/>
  <c r="I116" i="5"/>
  <c r="H116" i="5"/>
  <c r="G116" i="5"/>
  <c r="F116" i="5"/>
  <c r="D116" i="5"/>
  <c r="C116" i="5"/>
  <c r="B116" i="5"/>
  <c r="Q115" i="5"/>
  <c r="O115" i="5"/>
  <c r="N115" i="5"/>
  <c r="M115" i="5"/>
  <c r="L115" i="5"/>
  <c r="K115" i="5"/>
  <c r="J115" i="5"/>
  <c r="I115" i="5"/>
  <c r="H115" i="5"/>
  <c r="G115" i="5"/>
  <c r="F115" i="5"/>
  <c r="D115" i="5"/>
  <c r="C115" i="5"/>
  <c r="B115" i="5"/>
  <c r="Q114" i="5"/>
  <c r="O114" i="5"/>
  <c r="N114" i="5"/>
  <c r="M114" i="5"/>
  <c r="L114" i="5"/>
  <c r="K114" i="5"/>
  <c r="J114" i="5"/>
  <c r="I114" i="5"/>
  <c r="H114" i="5"/>
  <c r="G114" i="5"/>
  <c r="F114" i="5"/>
  <c r="D114" i="5"/>
  <c r="C114" i="5"/>
  <c r="B114" i="5"/>
  <c r="Q113" i="5"/>
  <c r="O113" i="5"/>
  <c r="N113" i="5"/>
  <c r="M113" i="5"/>
  <c r="L113" i="5"/>
  <c r="K113" i="5"/>
  <c r="J113" i="5"/>
  <c r="I113" i="5"/>
  <c r="H113" i="5"/>
  <c r="G113" i="5"/>
  <c r="F113" i="5"/>
  <c r="D113" i="5"/>
  <c r="C113" i="5"/>
  <c r="B113" i="5"/>
  <c r="Q112" i="5"/>
  <c r="O112" i="5"/>
  <c r="N112" i="5"/>
  <c r="M112" i="5"/>
  <c r="L112" i="5"/>
  <c r="K112" i="5"/>
  <c r="J112" i="5"/>
  <c r="I112" i="5"/>
  <c r="H112" i="5"/>
  <c r="G112" i="5"/>
  <c r="F112" i="5"/>
  <c r="D112" i="5"/>
  <c r="C112" i="5"/>
  <c r="B112" i="5"/>
  <c r="Q111" i="5"/>
  <c r="O111" i="5"/>
  <c r="N111" i="5"/>
  <c r="M111" i="5"/>
  <c r="L111" i="5"/>
  <c r="K111" i="5"/>
  <c r="J111" i="5"/>
  <c r="I111" i="5"/>
  <c r="H111" i="5"/>
  <c r="G111" i="5"/>
  <c r="F111" i="5"/>
  <c r="D111" i="5"/>
  <c r="C111" i="5"/>
  <c r="B111" i="5"/>
  <c r="Q110" i="5"/>
  <c r="O110" i="5"/>
  <c r="N110" i="5"/>
  <c r="M110" i="5"/>
  <c r="L110" i="5"/>
  <c r="K110" i="5"/>
  <c r="J110" i="5"/>
  <c r="I110" i="5"/>
  <c r="H110" i="5"/>
  <c r="G110" i="5"/>
  <c r="F110" i="5"/>
  <c r="D110" i="5"/>
  <c r="C110" i="5"/>
  <c r="B110" i="5"/>
  <c r="Q109" i="5"/>
  <c r="O109" i="5"/>
  <c r="N109" i="5"/>
  <c r="M109" i="5"/>
  <c r="L109" i="5"/>
  <c r="K109" i="5"/>
  <c r="J109" i="5"/>
  <c r="I109" i="5"/>
  <c r="H109" i="5"/>
  <c r="G109" i="5"/>
  <c r="F109" i="5"/>
  <c r="D109" i="5"/>
  <c r="C109" i="5"/>
  <c r="B109" i="5"/>
  <c r="Q108" i="5"/>
  <c r="O108" i="5"/>
  <c r="N108" i="5"/>
  <c r="M108" i="5"/>
  <c r="L108" i="5"/>
  <c r="K108" i="5"/>
  <c r="J108" i="5"/>
  <c r="I108" i="5"/>
  <c r="H108" i="5"/>
  <c r="G108" i="5"/>
  <c r="F108" i="5"/>
  <c r="D108" i="5"/>
  <c r="C108" i="5"/>
  <c r="B108" i="5"/>
  <c r="Q107" i="5"/>
  <c r="O107" i="5"/>
  <c r="N107" i="5"/>
  <c r="M107" i="5"/>
  <c r="L107" i="5"/>
  <c r="K107" i="5"/>
  <c r="J107" i="5"/>
  <c r="I107" i="5"/>
  <c r="H107" i="5"/>
  <c r="G107" i="5"/>
  <c r="F107" i="5"/>
  <c r="D107" i="5"/>
  <c r="C107" i="5"/>
  <c r="B107" i="5"/>
  <c r="Q106" i="5"/>
  <c r="O106" i="5"/>
  <c r="N106" i="5"/>
  <c r="M106" i="5"/>
  <c r="L106" i="5"/>
  <c r="K106" i="5"/>
  <c r="J106" i="5"/>
  <c r="I106" i="5"/>
  <c r="H106" i="5"/>
  <c r="G106" i="5"/>
  <c r="F106" i="5"/>
  <c r="D106" i="5"/>
  <c r="C106" i="5"/>
  <c r="B106" i="5"/>
  <c r="Q105" i="5"/>
  <c r="P105" i="5"/>
  <c r="O105" i="5"/>
  <c r="N105" i="5"/>
  <c r="M105" i="5"/>
  <c r="L105" i="5"/>
  <c r="K105" i="5"/>
  <c r="J105" i="5"/>
  <c r="I105" i="5"/>
  <c r="H105" i="5"/>
  <c r="G105" i="5"/>
  <c r="F105" i="5"/>
  <c r="D105" i="5"/>
  <c r="C105" i="5"/>
  <c r="A105" i="5" s="1" a="1"/>
  <c r="A105" i="5" s="1"/>
  <c r="B105" i="5"/>
  <c r="Q104" i="5"/>
  <c r="P104" i="5"/>
  <c r="O104" i="5"/>
  <c r="N104" i="5"/>
  <c r="M104" i="5"/>
  <c r="L104" i="5"/>
  <c r="K104" i="5"/>
  <c r="J104" i="5"/>
  <c r="I104" i="5"/>
  <c r="H104" i="5"/>
  <c r="G104" i="5"/>
  <c r="F104" i="5"/>
  <c r="D104" i="5"/>
  <c r="C104" i="5"/>
  <c r="B104" i="5"/>
  <c r="Q103" i="5"/>
  <c r="P103" i="5"/>
  <c r="O103" i="5"/>
  <c r="N103" i="5"/>
  <c r="M103" i="5"/>
  <c r="L103" i="5"/>
  <c r="K103" i="5"/>
  <c r="J103" i="5"/>
  <c r="I103" i="5"/>
  <c r="H103" i="5"/>
  <c r="G103" i="5"/>
  <c r="F103" i="5"/>
  <c r="D103" i="5"/>
  <c r="C103" i="5"/>
  <c r="B103" i="5"/>
  <c r="Q102" i="5"/>
  <c r="P102" i="5"/>
  <c r="O102" i="5"/>
  <c r="N102" i="5"/>
  <c r="M102" i="5"/>
  <c r="L102" i="5"/>
  <c r="K102" i="5"/>
  <c r="J102" i="5"/>
  <c r="I102" i="5"/>
  <c r="H102" i="5"/>
  <c r="G102" i="5"/>
  <c r="F102" i="5"/>
  <c r="D102" i="5"/>
  <c r="C102" i="5"/>
  <c r="B102" i="5"/>
  <c r="Q101" i="5"/>
  <c r="P101" i="5"/>
  <c r="O101" i="5"/>
  <c r="N101" i="5"/>
  <c r="M101" i="5"/>
  <c r="L101" i="5"/>
  <c r="K101" i="5"/>
  <c r="J101" i="5"/>
  <c r="I101" i="5"/>
  <c r="H101" i="5"/>
  <c r="G101" i="5"/>
  <c r="F101" i="5"/>
  <c r="D101" i="5"/>
  <c r="C101" i="5"/>
  <c r="B101" i="5"/>
  <c r="Q100" i="5"/>
  <c r="P100" i="5"/>
  <c r="O100" i="5"/>
  <c r="N100" i="5"/>
  <c r="M100" i="5"/>
  <c r="L100" i="5"/>
  <c r="K100" i="5"/>
  <c r="J100" i="5"/>
  <c r="I100" i="5"/>
  <c r="H100" i="5"/>
  <c r="G100" i="5"/>
  <c r="F100" i="5"/>
  <c r="D100" i="5"/>
  <c r="C100" i="5"/>
  <c r="B100" i="5"/>
  <c r="Q99" i="5"/>
  <c r="P99" i="5"/>
  <c r="O99" i="5"/>
  <c r="N99" i="5"/>
  <c r="M99" i="5"/>
  <c r="L99" i="5"/>
  <c r="K99" i="5"/>
  <c r="J99" i="5"/>
  <c r="I99" i="5"/>
  <c r="H99" i="5"/>
  <c r="G99" i="5"/>
  <c r="F99" i="5"/>
  <c r="D99" i="5"/>
  <c r="C99" i="5"/>
  <c r="B99" i="5"/>
  <c r="Q98" i="5"/>
  <c r="P98" i="5"/>
  <c r="O98" i="5"/>
  <c r="N98" i="5"/>
  <c r="M98" i="5"/>
  <c r="L98" i="5"/>
  <c r="K98" i="5"/>
  <c r="J98" i="5"/>
  <c r="I98" i="5"/>
  <c r="H98" i="5"/>
  <c r="G98" i="5"/>
  <c r="F98" i="5"/>
  <c r="D98" i="5"/>
  <c r="C98" i="5"/>
  <c r="B98" i="5"/>
  <c r="Q97" i="5"/>
  <c r="P97" i="5"/>
  <c r="O97" i="5"/>
  <c r="N97" i="5"/>
  <c r="M97" i="5"/>
  <c r="L97" i="5"/>
  <c r="K97" i="5"/>
  <c r="J97" i="5"/>
  <c r="I97" i="5"/>
  <c r="H97" i="5"/>
  <c r="G97" i="5"/>
  <c r="F97" i="5"/>
  <c r="D97" i="5"/>
  <c r="C97" i="5"/>
  <c r="B97" i="5"/>
  <c r="Q96" i="5"/>
  <c r="P96" i="5"/>
  <c r="O96" i="5"/>
  <c r="N96" i="5"/>
  <c r="M96" i="5"/>
  <c r="L96" i="5"/>
  <c r="K96" i="5"/>
  <c r="J96" i="5"/>
  <c r="I96" i="5"/>
  <c r="H96" i="5"/>
  <c r="G96" i="5"/>
  <c r="F96" i="5"/>
  <c r="D96" i="5"/>
  <c r="C96" i="5"/>
  <c r="B96" i="5"/>
  <c r="Q95" i="5"/>
  <c r="P95" i="5"/>
  <c r="O95" i="5"/>
  <c r="N95" i="5"/>
  <c r="M95" i="5"/>
  <c r="L95" i="5"/>
  <c r="K95" i="5"/>
  <c r="J95" i="5"/>
  <c r="I95" i="5"/>
  <c r="H95" i="5"/>
  <c r="G95" i="5"/>
  <c r="F95" i="5"/>
  <c r="D95" i="5"/>
  <c r="C95" i="5"/>
  <c r="B95" i="5"/>
  <c r="Q94" i="5"/>
  <c r="P94" i="5"/>
  <c r="O94" i="5"/>
  <c r="N94" i="5"/>
  <c r="M94" i="5"/>
  <c r="L94" i="5"/>
  <c r="K94" i="5"/>
  <c r="J94" i="5"/>
  <c r="I94" i="5"/>
  <c r="H94" i="5"/>
  <c r="G94" i="5"/>
  <c r="F94" i="5"/>
  <c r="D94" i="5"/>
  <c r="C94" i="5"/>
  <c r="B94" i="5"/>
  <c r="Q93" i="5"/>
  <c r="P93" i="5"/>
  <c r="O93" i="5"/>
  <c r="N93" i="5"/>
  <c r="M93" i="5"/>
  <c r="L93" i="5"/>
  <c r="K93" i="5"/>
  <c r="J93" i="5"/>
  <c r="I93" i="5"/>
  <c r="H93" i="5"/>
  <c r="G93" i="5"/>
  <c r="F93" i="5"/>
  <c r="D93" i="5"/>
  <c r="C93" i="5"/>
  <c r="B93" i="5"/>
  <c r="Q92" i="5"/>
  <c r="P92" i="5"/>
  <c r="O92" i="5"/>
  <c r="N92" i="5"/>
  <c r="M92" i="5"/>
  <c r="L92" i="5"/>
  <c r="K92" i="5"/>
  <c r="J92" i="5"/>
  <c r="I92" i="5"/>
  <c r="H92" i="5"/>
  <c r="G92" i="5"/>
  <c r="F92" i="5"/>
  <c r="D92" i="5"/>
  <c r="C92" i="5"/>
  <c r="B92" i="5"/>
  <c r="Q91" i="5"/>
  <c r="P91" i="5"/>
  <c r="O91" i="5"/>
  <c r="N91" i="5"/>
  <c r="M91" i="5"/>
  <c r="L91" i="5"/>
  <c r="K91" i="5"/>
  <c r="J91" i="5"/>
  <c r="I91" i="5"/>
  <c r="H91" i="5"/>
  <c r="G91" i="5"/>
  <c r="F91" i="5"/>
  <c r="D91" i="5"/>
  <c r="C91" i="5"/>
  <c r="B91" i="5"/>
  <c r="Q90" i="5"/>
  <c r="P90" i="5"/>
  <c r="O90" i="5"/>
  <c r="N90" i="5"/>
  <c r="M90" i="5"/>
  <c r="L90" i="5"/>
  <c r="K90" i="5"/>
  <c r="J90" i="5"/>
  <c r="I90" i="5"/>
  <c r="H90" i="5"/>
  <c r="G90" i="5"/>
  <c r="F90" i="5"/>
  <c r="D90" i="5"/>
  <c r="C90" i="5"/>
  <c r="B90" i="5"/>
  <c r="Q89" i="5"/>
  <c r="P89" i="5"/>
  <c r="O89" i="5"/>
  <c r="N89" i="5"/>
  <c r="M89" i="5"/>
  <c r="L89" i="5"/>
  <c r="K89" i="5"/>
  <c r="J89" i="5"/>
  <c r="I89" i="5"/>
  <c r="H89" i="5"/>
  <c r="G89" i="5"/>
  <c r="F89" i="5"/>
  <c r="D89" i="5"/>
  <c r="C89" i="5"/>
  <c r="B89" i="5"/>
  <c r="Q88" i="5"/>
  <c r="P88" i="5"/>
  <c r="O88" i="5"/>
  <c r="N88" i="5"/>
  <c r="M88" i="5"/>
  <c r="L88" i="5"/>
  <c r="K88" i="5"/>
  <c r="J88" i="5"/>
  <c r="I88" i="5"/>
  <c r="H88" i="5"/>
  <c r="G88" i="5"/>
  <c r="F88" i="5"/>
  <c r="D88" i="5"/>
  <c r="C88" i="5"/>
  <c r="B88" i="5"/>
  <c r="Q87" i="5"/>
  <c r="P87" i="5"/>
  <c r="O87" i="5"/>
  <c r="N87" i="5"/>
  <c r="M87" i="5"/>
  <c r="L87" i="5"/>
  <c r="K87" i="5"/>
  <c r="J87" i="5"/>
  <c r="I87" i="5"/>
  <c r="H87" i="5"/>
  <c r="G87" i="5"/>
  <c r="F87" i="5"/>
  <c r="D87" i="5"/>
  <c r="C87" i="5"/>
  <c r="B87" i="5"/>
  <c r="Q86" i="5"/>
  <c r="P86" i="5"/>
  <c r="O86" i="5"/>
  <c r="N86" i="5"/>
  <c r="M86" i="5"/>
  <c r="L86" i="5"/>
  <c r="K86" i="5"/>
  <c r="J86" i="5"/>
  <c r="I86" i="5"/>
  <c r="H86" i="5"/>
  <c r="G86" i="5"/>
  <c r="F86" i="5"/>
  <c r="D86" i="5"/>
  <c r="C86" i="5"/>
  <c r="B86" i="5"/>
  <c r="Q85" i="5"/>
  <c r="P85" i="5"/>
  <c r="O85" i="5"/>
  <c r="N85" i="5"/>
  <c r="M85" i="5"/>
  <c r="L85" i="5"/>
  <c r="K85" i="5"/>
  <c r="J85" i="5"/>
  <c r="I85" i="5"/>
  <c r="H85" i="5"/>
  <c r="G85" i="5"/>
  <c r="F85" i="5"/>
  <c r="D85" i="5"/>
  <c r="C85" i="5"/>
  <c r="B85" i="5"/>
  <c r="Q84" i="5"/>
  <c r="P84" i="5"/>
  <c r="O84" i="5"/>
  <c r="N84" i="5"/>
  <c r="M84" i="5"/>
  <c r="L84" i="5"/>
  <c r="K84" i="5"/>
  <c r="J84" i="5"/>
  <c r="I84" i="5"/>
  <c r="H84" i="5"/>
  <c r="G84" i="5"/>
  <c r="F84" i="5"/>
  <c r="D84" i="5"/>
  <c r="C84" i="5"/>
  <c r="B84" i="5"/>
  <c r="Q83" i="5"/>
  <c r="P83" i="5"/>
  <c r="O83" i="5"/>
  <c r="N83" i="5"/>
  <c r="M83" i="5"/>
  <c r="L83" i="5"/>
  <c r="K83" i="5"/>
  <c r="J83" i="5"/>
  <c r="I83" i="5"/>
  <c r="H83" i="5"/>
  <c r="G83" i="5"/>
  <c r="F83" i="5"/>
  <c r="D83" i="5"/>
  <c r="C83" i="5"/>
  <c r="B83" i="5"/>
  <c r="Q82" i="5"/>
  <c r="P82" i="5"/>
  <c r="O82" i="5"/>
  <c r="N82" i="5"/>
  <c r="M82" i="5"/>
  <c r="L82" i="5"/>
  <c r="K82" i="5"/>
  <c r="J82" i="5"/>
  <c r="I82" i="5"/>
  <c r="H82" i="5"/>
  <c r="G82" i="5"/>
  <c r="F82" i="5"/>
  <c r="D82" i="5"/>
  <c r="C82" i="5"/>
  <c r="B82" i="5"/>
  <c r="Q81" i="5"/>
  <c r="P81" i="5"/>
  <c r="O81" i="5"/>
  <c r="N81" i="5"/>
  <c r="M81" i="5"/>
  <c r="L81" i="5"/>
  <c r="K81" i="5"/>
  <c r="J81" i="5"/>
  <c r="I81" i="5"/>
  <c r="H81" i="5"/>
  <c r="G81" i="5"/>
  <c r="F81" i="5"/>
  <c r="D81" i="5"/>
  <c r="C81" i="5"/>
  <c r="B81" i="5"/>
  <c r="Q80" i="5"/>
  <c r="P80" i="5"/>
  <c r="O80" i="5"/>
  <c r="N80" i="5"/>
  <c r="M80" i="5"/>
  <c r="L80" i="5"/>
  <c r="K80" i="5"/>
  <c r="J80" i="5"/>
  <c r="I80" i="5"/>
  <c r="H80" i="5"/>
  <c r="G80" i="5"/>
  <c r="F80" i="5"/>
  <c r="D80" i="5"/>
  <c r="C80" i="5"/>
  <c r="B80" i="5"/>
  <c r="Q79" i="5"/>
  <c r="P79" i="5"/>
  <c r="O79" i="5"/>
  <c r="N79" i="5"/>
  <c r="M79" i="5"/>
  <c r="L79" i="5"/>
  <c r="K79" i="5"/>
  <c r="J79" i="5"/>
  <c r="I79" i="5"/>
  <c r="H79" i="5"/>
  <c r="G79" i="5"/>
  <c r="F79" i="5"/>
  <c r="D79" i="5"/>
  <c r="C79" i="5"/>
  <c r="B79" i="5"/>
  <c r="Q78" i="5"/>
  <c r="P78" i="5"/>
  <c r="O78" i="5"/>
  <c r="N78" i="5"/>
  <c r="M78" i="5"/>
  <c r="L78" i="5"/>
  <c r="K78" i="5"/>
  <c r="J78" i="5"/>
  <c r="I78" i="5"/>
  <c r="H78" i="5"/>
  <c r="G78" i="5"/>
  <c r="F78" i="5"/>
  <c r="D78" i="5"/>
  <c r="C78" i="5"/>
  <c r="B78" i="5"/>
  <c r="Q77" i="5"/>
  <c r="P77" i="5"/>
  <c r="O77" i="5"/>
  <c r="N77" i="5"/>
  <c r="M77" i="5"/>
  <c r="L77" i="5"/>
  <c r="K77" i="5"/>
  <c r="J77" i="5"/>
  <c r="I77" i="5"/>
  <c r="H77" i="5"/>
  <c r="G77" i="5"/>
  <c r="F77" i="5"/>
  <c r="D77" i="5"/>
  <c r="C77" i="5"/>
  <c r="B77" i="5"/>
  <c r="Q76" i="5"/>
  <c r="P76" i="5"/>
  <c r="O76" i="5"/>
  <c r="N76" i="5"/>
  <c r="M76" i="5"/>
  <c r="L76" i="5"/>
  <c r="K76" i="5"/>
  <c r="J76" i="5"/>
  <c r="I76" i="5"/>
  <c r="H76" i="5"/>
  <c r="G76" i="5"/>
  <c r="F76" i="5"/>
  <c r="D76" i="5"/>
  <c r="C76" i="5"/>
  <c r="B76" i="5"/>
  <c r="Q75" i="5"/>
  <c r="P75" i="5"/>
  <c r="O75" i="5"/>
  <c r="N75" i="5"/>
  <c r="M75" i="5"/>
  <c r="L75" i="5"/>
  <c r="K75" i="5"/>
  <c r="J75" i="5"/>
  <c r="I75" i="5"/>
  <c r="H75" i="5"/>
  <c r="G75" i="5"/>
  <c r="F75" i="5"/>
  <c r="D75" i="5"/>
  <c r="C75" i="5"/>
  <c r="B75" i="5"/>
  <c r="Q74" i="5"/>
  <c r="P74" i="5"/>
  <c r="O74" i="5"/>
  <c r="N74" i="5"/>
  <c r="M74" i="5"/>
  <c r="L74" i="5"/>
  <c r="K74" i="5"/>
  <c r="J74" i="5"/>
  <c r="I74" i="5"/>
  <c r="H74" i="5"/>
  <c r="G74" i="5"/>
  <c r="F74" i="5"/>
  <c r="D74" i="5"/>
  <c r="C74" i="5"/>
  <c r="B74" i="5"/>
  <c r="Q73" i="5"/>
  <c r="P73" i="5"/>
  <c r="O73" i="5"/>
  <c r="N73" i="5"/>
  <c r="M73" i="5"/>
  <c r="L73" i="5"/>
  <c r="K73" i="5"/>
  <c r="J73" i="5"/>
  <c r="I73" i="5"/>
  <c r="H73" i="5"/>
  <c r="G73" i="5"/>
  <c r="F73" i="5"/>
  <c r="D73" i="5"/>
  <c r="C73" i="5"/>
  <c r="B73" i="5"/>
  <c r="Q72" i="5"/>
  <c r="P72" i="5"/>
  <c r="O72" i="5"/>
  <c r="N72" i="5"/>
  <c r="M72" i="5"/>
  <c r="L72" i="5"/>
  <c r="K72" i="5"/>
  <c r="J72" i="5"/>
  <c r="I72" i="5"/>
  <c r="H72" i="5"/>
  <c r="G72" i="5"/>
  <c r="F72" i="5"/>
  <c r="D72" i="5"/>
  <c r="C72" i="5"/>
  <c r="B72" i="5"/>
  <c r="Q71" i="5"/>
  <c r="P71" i="5"/>
  <c r="O71" i="5"/>
  <c r="N71" i="5"/>
  <c r="M71" i="5"/>
  <c r="L71" i="5"/>
  <c r="K71" i="5"/>
  <c r="J71" i="5"/>
  <c r="I71" i="5"/>
  <c r="H71" i="5"/>
  <c r="G71" i="5"/>
  <c r="F71" i="5"/>
  <c r="D71" i="5"/>
  <c r="C71" i="5"/>
  <c r="B71" i="5"/>
  <c r="Q70" i="5"/>
  <c r="P70" i="5"/>
  <c r="O70" i="5"/>
  <c r="N70" i="5"/>
  <c r="M70" i="5"/>
  <c r="L70" i="5"/>
  <c r="K70" i="5"/>
  <c r="J70" i="5"/>
  <c r="I70" i="5"/>
  <c r="H70" i="5"/>
  <c r="G70" i="5"/>
  <c r="F70" i="5"/>
  <c r="D70" i="5"/>
  <c r="C70" i="5"/>
  <c r="B70" i="5"/>
  <c r="Q69" i="5"/>
  <c r="P69" i="5"/>
  <c r="O69" i="5"/>
  <c r="N69" i="5"/>
  <c r="M69" i="5"/>
  <c r="L69" i="5"/>
  <c r="K69" i="5"/>
  <c r="J69" i="5"/>
  <c r="I69" i="5"/>
  <c r="H69" i="5"/>
  <c r="G69" i="5"/>
  <c r="F69" i="5"/>
  <c r="D69" i="5"/>
  <c r="C69" i="5"/>
  <c r="B69" i="5"/>
  <c r="Q68" i="5"/>
  <c r="P68" i="5"/>
  <c r="O68" i="5"/>
  <c r="N68" i="5"/>
  <c r="M68" i="5"/>
  <c r="L68" i="5"/>
  <c r="K68" i="5"/>
  <c r="J68" i="5"/>
  <c r="I68" i="5"/>
  <c r="H68" i="5"/>
  <c r="G68" i="5"/>
  <c r="F68" i="5"/>
  <c r="D68" i="5"/>
  <c r="C68" i="5"/>
  <c r="B68" i="5"/>
  <c r="Q67" i="5"/>
  <c r="P67" i="5"/>
  <c r="O67" i="5"/>
  <c r="N67" i="5"/>
  <c r="M67" i="5"/>
  <c r="L67" i="5"/>
  <c r="K67" i="5"/>
  <c r="J67" i="5"/>
  <c r="I67" i="5"/>
  <c r="H67" i="5"/>
  <c r="G67" i="5"/>
  <c r="F67" i="5"/>
  <c r="D67" i="5"/>
  <c r="C67" i="5"/>
  <c r="B67" i="5"/>
  <c r="Q66" i="5"/>
  <c r="P66" i="5"/>
  <c r="O66" i="5"/>
  <c r="N66" i="5"/>
  <c r="M66" i="5"/>
  <c r="L66" i="5"/>
  <c r="K66" i="5"/>
  <c r="J66" i="5"/>
  <c r="I66" i="5"/>
  <c r="H66" i="5"/>
  <c r="G66" i="5"/>
  <c r="F66" i="5"/>
  <c r="D66" i="5"/>
  <c r="C66" i="5"/>
  <c r="B66" i="5"/>
  <c r="Q65" i="5"/>
  <c r="P65" i="5"/>
  <c r="O65" i="5"/>
  <c r="N65" i="5"/>
  <c r="M65" i="5"/>
  <c r="L65" i="5"/>
  <c r="K65" i="5"/>
  <c r="J65" i="5"/>
  <c r="I65" i="5"/>
  <c r="H65" i="5"/>
  <c r="G65" i="5"/>
  <c r="F65" i="5"/>
  <c r="D65" i="5"/>
  <c r="C65" i="5"/>
  <c r="B65" i="5"/>
  <c r="Q64" i="5"/>
  <c r="P64" i="5"/>
  <c r="O64" i="5"/>
  <c r="N64" i="5"/>
  <c r="M64" i="5"/>
  <c r="L64" i="5"/>
  <c r="K64" i="5"/>
  <c r="J64" i="5"/>
  <c r="I64" i="5"/>
  <c r="H64" i="5"/>
  <c r="G64" i="5"/>
  <c r="F64" i="5"/>
  <c r="D64" i="5"/>
  <c r="C64" i="5"/>
  <c r="B64" i="5"/>
  <c r="Q63" i="5"/>
  <c r="O63" i="5"/>
  <c r="N63" i="5"/>
  <c r="M63" i="5"/>
  <c r="L63" i="5"/>
  <c r="K63" i="5"/>
  <c r="J63" i="5"/>
  <c r="I63" i="5"/>
  <c r="H63" i="5"/>
  <c r="G63" i="5"/>
  <c r="F63" i="5"/>
  <c r="D63" i="5"/>
  <c r="C63" i="5"/>
  <c r="B63" i="5"/>
  <c r="Q62" i="5"/>
  <c r="O62" i="5"/>
  <c r="N62" i="5"/>
  <c r="M62" i="5"/>
  <c r="L62" i="5"/>
  <c r="K62" i="5"/>
  <c r="J62" i="5"/>
  <c r="I62" i="5"/>
  <c r="H62" i="5"/>
  <c r="G62" i="5"/>
  <c r="F62" i="5"/>
  <c r="D62" i="5"/>
  <c r="C62" i="5"/>
  <c r="B62" i="5"/>
  <c r="Q61" i="5"/>
  <c r="O61" i="5"/>
  <c r="N61" i="5"/>
  <c r="M61" i="5"/>
  <c r="L61" i="5"/>
  <c r="K61" i="5"/>
  <c r="J61" i="5"/>
  <c r="I61" i="5"/>
  <c r="H61" i="5"/>
  <c r="G61" i="5"/>
  <c r="F61" i="5"/>
  <c r="D61" i="5"/>
  <c r="C61" i="5"/>
  <c r="B61" i="5"/>
  <c r="Q60" i="5"/>
  <c r="O60" i="5"/>
  <c r="N60" i="5"/>
  <c r="M60" i="5"/>
  <c r="L60" i="5"/>
  <c r="K60" i="5"/>
  <c r="J60" i="5"/>
  <c r="I60" i="5"/>
  <c r="H60" i="5"/>
  <c r="G60" i="5"/>
  <c r="F60" i="5"/>
  <c r="D60" i="5"/>
  <c r="C60" i="5"/>
  <c r="B60" i="5"/>
  <c r="Q59" i="5"/>
  <c r="O59" i="5"/>
  <c r="N59" i="5"/>
  <c r="M59" i="5"/>
  <c r="L59" i="5"/>
  <c r="K59" i="5"/>
  <c r="J59" i="5"/>
  <c r="I59" i="5"/>
  <c r="H59" i="5"/>
  <c r="G59" i="5"/>
  <c r="F59" i="5"/>
  <c r="D59" i="5"/>
  <c r="C59" i="5"/>
  <c r="B59" i="5"/>
  <c r="Q58" i="5"/>
  <c r="O58" i="5"/>
  <c r="N58" i="5"/>
  <c r="M58" i="5"/>
  <c r="L58" i="5"/>
  <c r="K58" i="5"/>
  <c r="J58" i="5"/>
  <c r="I58" i="5"/>
  <c r="H58" i="5"/>
  <c r="G58" i="5"/>
  <c r="F58" i="5"/>
  <c r="D58" i="5"/>
  <c r="C58" i="5"/>
  <c r="B58" i="5"/>
  <c r="Q57" i="5"/>
  <c r="O57" i="5"/>
  <c r="N57" i="5"/>
  <c r="M57" i="5"/>
  <c r="L57" i="5"/>
  <c r="K57" i="5"/>
  <c r="J57" i="5"/>
  <c r="I57" i="5"/>
  <c r="H57" i="5"/>
  <c r="G57" i="5"/>
  <c r="F57" i="5"/>
  <c r="D57" i="5"/>
  <c r="C57" i="5"/>
  <c r="B57" i="5"/>
  <c r="Q56" i="5"/>
  <c r="O56" i="5"/>
  <c r="N56" i="5"/>
  <c r="M56" i="5"/>
  <c r="L56" i="5"/>
  <c r="K56" i="5"/>
  <c r="J56" i="5"/>
  <c r="I56" i="5"/>
  <c r="H56" i="5"/>
  <c r="G56" i="5"/>
  <c r="F56" i="5"/>
  <c r="D56" i="5"/>
  <c r="C56" i="5"/>
  <c r="B56" i="5"/>
  <c r="Q55" i="5"/>
  <c r="O55" i="5"/>
  <c r="N55" i="5"/>
  <c r="M55" i="5"/>
  <c r="L55" i="5"/>
  <c r="K55" i="5"/>
  <c r="J55" i="5"/>
  <c r="I55" i="5"/>
  <c r="H55" i="5"/>
  <c r="G55" i="5"/>
  <c r="F55" i="5"/>
  <c r="D55" i="5"/>
  <c r="C55" i="5"/>
  <c r="B55" i="5"/>
  <c r="Q54" i="5"/>
  <c r="O54" i="5"/>
  <c r="N54" i="5"/>
  <c r="M54" i="5"/>
  <c r="L54" i="5"/>
  <c r="K54" i="5"/>
  <c r="J54" i="5"/>
  <c r="I54" i="5"/>
  <c r="H54" i="5"/>
  <c r="G54" i="5"/>
  <c r="F54" i="5"/>
  <c r="D54" i="5"/>
  <c r="C54" i="5"/>
  <c r="B54" i="5"/>
  <c r="Q53" i="5"/>
  <c r="O53" i="5"/>
  <c r="N53" i="5"/>
  <c r="M53" i="5"/>
  <c r="L53" i="5"/>
  <c r="K53" i="5"/>
  <c r="J53" i="5"/>
  <c r="I53" i="5"/>
  <c r="H53" i="5"/>
  <c r="G53" i="5"/>
  <c r="F53" i="5"/>
  <c r="D53" i="5"/>
  <c r="C53" i="5"/>
  <c r="B53" i="5"/>
  <c r="Q52" i="5"/>
  <c r="O52" i="5"/>
  <c r="N52" i="5"/>
  <c r="M52" i="5"/>
  <c r="L52" i="5"/>
  <c r="K52" i="5"/>
  <c r="J52" i="5"/>
  <c r="I52" i="5"/>
  <c r="H52" i="5"/>
  <c r="G52" i="5"/>
  <c r="F52" i="5"/>
  <c r="D52" i="5"/>
  <c r="C52" i="5"/>
  <c r="B52" i="5"/>
  <c r="Q51" i="5"/>
  <c r="P51" i="5"/>
  <c r="O51" i="5"/>
  <c r="N51" i="5"/>
  <c r="M51" i="5"/>
  <c r="L51" i="5"/>
  <c r="K51" i="5"/>
  <c r="J51" i="5"/>
  <c r="I51" i="5"/>
  <c r="H51" i="5"/>
  <c r="G51" i="5"/>
  <c r="F51" i="5"/>
  <c r="D51" i="5"/>
  <c r="C51" i="5"/>
  <c r="B51" i="5"/>
  <c r="Q50" i="5"/>
  <c r="P50" i="5"/>
  <c r="O50" i="5"/>
  <c r="N50" i="5"/>
  <c r="M50" i="5"/>
  <c r="L50" i="5"/>
  <c r="K50" i="5"/>
  <c r="J50" i="5"/>
  <c r="I50" i="5"/>
  <c r="H50" i="5"/>
  <c r="G50" i="5"/>
  <c r="F50" i="5"/>
  <c r="D50" i="5"/>
  <c r="C50" i="5"/>
  <c r="B50" i="5"/>
  <c r="Q49" i="5"/>
  <c r="P49" i="5"/>
  <c r="O49" i="5"/>
  <c r="N49" i="5"/>
  <c r="M49" i="5"/>
  <c r="L49" i="5"/>
  <c r="K49" i="5"/>
  <c r="J49" i="5"/>
  <c r="I49" i="5"/>
  <c r="H49" i="5"/>
  <c r="G49" i="5"/>
  <c r="F49" i="5"/>
  <c r="D49" i="5"/>
  <c r="C49" i="5"/>
  <c r="B49" i="5"/>
  <c r="Q48" i="5"/>
  <c r="P48" i="5"/>
  <c r="O48" i="5"/>
  <c r="N48" i="5"/>
  <c r="M48" i="5"/>
  <c r="L48" i="5"/>
  <c r="K48" i="5"/>
  <c r="J48" i="5"/>
  <c r="I48" i="5"/>
  <c r="H48" i="5"/>
  <c r="G48" i="5"/>
  <c r="F48" i="5"/>
  <c r="D48" i="5"/>
  <c r="C48" i="5"/>
  <c r="B48" i="5"/>
  <c r="Q47" i="5"/>
  <c r="P47" i="5"/>
  <c r="O47" i="5"/>
  <c r="N47" i="5"/>
  <c r="M47" i="5"/>
  <c r="L47" i="5"/>
  <c r="K47" i="5"/>
  <c r="J47" i="5"/>
  <c r="I47" i="5"/>
  <c r="H47" i="5"/>
  <c r="G47" i="5"/>
  <c r="F47" i="5"/>
  <c r="D47" i="5"/>
  <c r="C47" i="5"/>
  <c r="B47" i="5"/>
  <c r="Q46" i="5"/>
  <c r="P46" i="5"/>
  <c r="O46" i="5"/>
  <c r="N46" i="5"/>
  <c r="M46" i="5"/>
  <c r="L46" i="5"/>
  <c r="K46" i="5"/>
  <c r="J46" i="5"/>
  <c r="I46" i="5"/>
  <c r="H46" i="5"/>
  <c r="G46" i="5"/>
  <c r="F46" i="5"/>
  <c r="D46" i="5"/>
  <c r="C46" i="5"/>
  <c r="B46" i="5"/>
  <c r="Q45" i="5"/>
  <c r="P45" i="5"/>
  <c r="O45" i="5"/>
  <c r="N45" i="5"/>
  <c r="M45" i="5"/>
  <c r="L45" i="5"/>
  <c r="K45" i="5"/>
  <c r="J45" i="5"/>
  <c r="I45" i="5"/>
  <c r="H45" i="5"/>
  <c r="G45" i="5"/>
  <c r="F45" i="5"/>
  <c r="D45" i="5"/>
  <c r="C45" i="5"/>
  <c r="B45" i="5"/>
  <c r="Q44" i="5"/>
  <c r="P44" i="5"/>
  <c r="O44" i="5"/>
  <c r="N44" i="5"/>
  <c r="M44" i="5"/>
  <c r="L44" i="5"/>
  <c r="K44" i="5"/>
  <c r="J44" i="5"/>
  <c r="I44" i="5"/>
  <c r="H44" i="5"/>
  <c r="G44" i="5"/>
  <c r="F44" i="5"/>
  <c r="D44" i="5"/>
  <c r="C44" i="5"/>
  <c r="B44" i="5"/>
  <c r="Q43" i="5"/>
  <c r="P43" i="5"/>
  <c r="O43" i="5"/>
  <c r="N43" i="5"/>
  <c r="M43" i="5"/>
  <c r="L43" i="5"/>
  <c r="K43" i="5"/>
  <c r="J43" i="5"/>
  <c r="I43" i="5"/>
  <c r="H43" i="5"/>
  <c r="G43" i="5"/>
  <c r="F43" i="5"/>
  <c r="D43" i="5"/>
  <c r="C43" i="5"/>
  <c r="B43" i="5"/>
  <c r="Q42" i="5"/>
  <c r="P42" i="5"/>
  <c r="O42" i="5"/>
  <c r="N42" i="5"/>
  <c r="M42" i="5"/>
  <c r="L42" i="5"/>
  <c r="K42" i="5"/>
  <c r="J42" i="5"/>
  <c r="I42" i="5"/>
  <c r="H42" i="5"/>
  <c r="G42" i="5"/>
  <c r="F42" i="5"/>
  <c r="D42" i="5"/>
  <c r="C42" i="5"/>
  <c r="B42" i="5"/>
  <c r="Q41" i="5"/>
  <c r="O41" i="5"/>
  <c r="N41" i="5"/>
  <c r="M41" i="5"/>
  <c r="L41" i="5"/>
  <c r="K41" i="5"/>
  <c r="J41" i="5"/>
  <c r="I41" i="5"/>
  <c r="H41" i="5"/>
  <c r="G41" i="5"/>
  <c r="F41" i="5"/>
  <c r="D41" i="5"/>
  <c r="C41" i="5"/>
  <c r="B41" i="5"/>
  <c r="Q40" i="5"/>
  <c r="P40" i="5"/>
  <c r="O40" i="5"/>
  <c r="N40" i="5"/>
  <c r="M40" i="5"/>
  <c r="L40" i="5"/>
  <c r="K40" i="5"/>
  <c r="J40" i="5"/>
  <c r="I40" i="5"/>
  <c r="H40" i="5"/>
  <c r="G40" i="5"/>
  <c r="F40" i="5"/>
  <c r="D40" i="5"/>
  <c r="C40" i="5"/>
  <c r="B40" i="5"/>
  <c r="Q39" i="5"/>
  <c r="P39" i="5"/>
  <c r="O39" i="5"/>
  <c r="N39" i="5"/>
  <c r="M39" i="5"/>
  <c r="L39" i="5"/>
  <c r="K39" i="5"/>
  <c r="J39" i="5"/>
  <c r="I39" i="5"/>
  <c r="H39" i="5"/>
  <c r="G39" i="5"/>
  <c r="F39" i="5"/>
  <c r="D39" i="5"/>
  <c r="C39" i="5"/>
  <c r="B39" i="5"/>
  <c r="Q38" i="5"/>
  <c r="P38" i="5"/>
  <c r="O38" i="5"/>
  <c r="N38" i="5"/>
  <c r="M38" i="5"/>
  <c r="L38" i="5"/>
  <c r="K38" i="5"/>
  <c r="J38" i="5"/>
  <c r="I38" i="5"/>
  <c r="H38" i="5"/>
  <c r="G38" i="5"/>
  <c r="F38" i="5"/>
  <c r="D38" i="5"/>
  <c r="C38" i="5"/>
  <c r="B38" i="5"/>
  <c r="Q37" i="5"/>
  <c r="P37" i="5"/>
  <c r="O37" i="5"/>
  <c r="N37" i="5"/>
  <c r="M37" i="5"/>
  <c r="L37" i="5"/>
  <c r="K37" i="5"/>
  <c r="J37" i="5"/>
  <c r="I37" i="5"/>
  <c r="H37" i="5"/>
  <c r="G37" i="5"/>
  <c r="F37" i="5"/>
  <c r="D37" i="5"/>
  <c r="C37" i="5"/>
  <c r="B37" i="5"/>
  <c r="Q36" i="5"/>
  <c r="P36" i="5"/>
  <c r="O36" i="5"/>
  <c r="N36" i="5"/>
  <c r="M36" i="5"/>
  <c r="L36" i="5"/>
  <c r="K36" i="5"/>
  <c r="J36" i="5"/>
  <c r="I36" i="5"/>
  <c r="H36" i="5"/>
  <c r="G36" i="5"/>
  <c r="F36" i="5"/>
  <c r="D36" i="5"/>
  <c r="C36" i="5"/>
  <c r="B36" i="5"/>
  <c r="Q35" i="5"/>
  <c r="P35" i="5"/>
  <c r="O35" i="5"/>
  <c r="N35" i="5"/>
  <c r="M35" i="5"/>
  <c r="L35" i="5"/>
  <c r="K35" i="5"/>
  <c r="J35" i="5"/>
  <c r="I35" i="5"/>
  <c r="H35" i="5"/>
  <c r="G35" i="5"/>
  <c r="F35" i="5"/>
  <c r="D35" i="5"/>
  <c r="C35" i="5"/>
  <c r="B35" i="5"/>
  <c r="Q34" i="5"/>
  <c r="P34" i="5"/>
  <c r="O34" i="5"/>
  <c r="N34" i="5"/>
  <c r="M34" i="5"/>
  <c r="L34" i="5"/>
  <c r="K34" i="5"/>
  <c r="J34" i="5"/>
  <c r="I34" i="5"/>
  <c r="H34" i="5"/>
  <c r="G34" i="5"/>
  <c r="F34" i="5"/>
  <c r="D34" i="5"/>
  <c r="C34" i="5"/>
  <c r="B34" i="5"/>
  <c r="Q33" i="5"/>
  <c r="P33" i="5"/>
  <c r="O33" i="5"/>
  <c r="N33" i="5"/>
  <c r="M33" i="5"/>
  <c r="L33" i="5"/>
  <c r="K33" i="5"/>
  <c r="J33" i="5"/>
  <c r="I33" i="5"/>
  <c r="H33" i="5"/>
  <c r="G33" i="5"/>
  <c r="F33" i="5"/>
  <c r="D33" i="5"/>
  <c r="C33" i="5"/>
  <c r="B33" i="5"/>
  <c r="Q32" i="5"/>
  <c r="P32" i="5"/>
  <c r="O32" i="5"/>
  <c r="N32" i="5"/>
  <c r="M32" i="5"/>
  <c r="L32" i="5"/>
  <c r="K32" i="5"/>
  <c r="J32" i="5"/>
  <c r="I32" i="5"/>
  <c r="H32" i="5"/>
  <c r="G32" i="5"/>
  <c r="F32" i="5"/>
  <c r="D32" i="5"/>
  <c r="C32" i="5"/>
  <c r="B32" i="5"/>
  <c r="Q31" i="5"/>
  <c r="P31" i="5"/>
  <c r="O31" i="5"/>
  <c r="N31" i="5"/>
  <c r="M31" i="5"/>
  <c r="L31" i="5"/>
  <c r="K31" i="5"/>
  <c r="J31" i="5"/>
  <c r="I31" i="5"/>
  <c r="H31" i="5"/>
  <c r="G31" i="5"/>
  <c r="F31" i="5"/>
  <c r="D31" i="5"/>
  <c r="C31" i="5"/>
  <c r="B31" i="5"/>
  <c r="Q30" i="5"/>
  <c r="P30" i="5"/>
  <c r="O30" i="5"/>
  <c r="N30" i="5"/>
  <c r="M30" i="5"/>
  <c r="L30" i="5"/>
  <c r="K30" i="5"/>
  <c r="J30" i="5"/>
  <c r="I30" i="5"/>
  <c r="H30" i="5"/>
  <c r="G30" i="5"/>
  <c r="F30" i="5"/>
  <c r="D30" i="5"/>
  <c r="C30" i="5"/>
  <c r="B30" i="5"/>
  <c r="Q29" i="5"/>
  <c r="P29" i="5"/>
  <c r="O29" i="5"/>
  <c r="N29" i="5"/>
  <c r="M29" i="5"/>
  <c r="L29" i="5"/>
  <c r="K29" i="5"/>
  <c r="J29" i="5"/>
  <c r="I29" i="5"/>
  <c r="H29" i="5"/>
  <c r="G29" i="5"/>
  <c r="F29" i="5"/>
  <c r="D29" i="5"/>
  <c r="C29" i="5"/>
  <c r="B29" i="5"/>
  <c r="Q28" i="5"/>
  <c r="P28" i="5"/>
  <c r="O28" i="5"/>
  <c r="N28" i="5"/>
  <c r="M28" i="5"/>
  <c r="L28" i="5"/>
  <c r="K28" i="5"/>
  <c r="J28" i="5"/>
  <c r="I28" i="5"/>
  <c r="H28" i="5"/>
  <c r="G28" i="5"/>
  <c r="F28" i="5"/>
  <c r="D28" i="5"/>
  <c r="C28" i="5"/>
  <c r="B28" i="5"/>
  <c r="Q27" i="5"/>
  <c r="P27" i="5"/>
  <c r="O27" i="5"/>
  <c r="N27" i="5"/>
  <c r="M27" i="5"/>
  <c r="L27" i="5"/>
  <c r="K27" i="5"/>
  <c r="J27" i="5"/>
  <c r="I27" i="5"/>
  <c r="H27" i="5"/>
  <c r="G27" i="5"/>
  <c r="F27" i="5"/>
  <c r="D27" i="5"/>
  <c r="C27" i="5"/>
  <c r="B27" i="5"/>
  <c r="Q26" i="5"/>
  <c r="O26" i="5"/>
  <c r="N26" i="5"/>
  <c r="M26" i="5"/>
  <c r="L26" i="5"/>
  <c r="K26" i="5"/>
  <c r="J26" i="5"/>
  <c r="I26" i="5"/>
  <c r="H26" i="5"/>
  <c r="G26" i="5"/>
  <c r="F26" i="5"/>
  <c r="D26" i="5"/>
  <c r="C26" i="5"/>
  <c r="B26" i="5"/>
  <c r="Q25" i="5"/>
  <c r="O25" i="5"/>
  <c r="N25" i="5"/>
  <c r="M25" i="5"/>
  <c r="L25" i="5"/>
  <c r="K25" i="5"/>
  <c r="J25" i="5"/>
  <c r="I25" i="5"/>
  <c r="H25" i="5"/>
  <c r="G25" i="5"/>
  <c r="F25" i="5"/>
  <c r="D25" i="5"/>
  <c r="C25" i="5"/>
  <c r="B25" i="5"/>
  <c r="Q24" i="5"/>
  <c r="O24" i="5"/>
  <c r="N24" i="5"/>
  <c r="M24" i="5"/>
  <c r="L24" i="5"/>
  <c r="K24" i="5"/>
  <c r="J24" i="5"/>
  <c r="I24" i="5"/>
  <c r="H24" i="5"/>
  <c r="G24" i="5"/>
  <c r="F24" i="5"/>
  <c r="D24" i="5"/>
  <c r="C24" i="5"/>
  <c r="B24" i="5"/>
  <c r="Q23" i="5"/>
  <c r="O23" i="5"/>
  <c r="N23" i="5"/>
  <c r="M23" i="5"/>
  <c r="L23" i="5"/>
  <c r="K23" i="5"/>
  <c r="J23" i="5"/>
  <c r="I23" i="5"/>
  <c r="H23" i="5"/>
  <c r="G23" i="5"/>
  <c r="F23" i="5"/>
  <c r="D23" i="5"/>
  <c r="C23" i="5"/>
  <c r="B23" i="5"/>
  <c r="Q22" i="5"/>
  <c r="P22" i="5"/>
  <c r="O22" i="5"/>
  <c r="N22" i="5"/>
  <c r="M22" i="5"/>
  <c r="L22" i="5"/>
  <c r="K22" i="5"/>
  <c r="J22" i="5"/>
  <c r="I22" i="5"/>
  <c r="H22" i="5"/>
  <c r="G22" i="5"/>
  <c r="F22" i="5"/>
  <c r="D22" i="5"/>
  <c r="C22" i="5"/>
  <c r="B22" i="5"/>
  <c r="Q21" i="5"/>
  <c r="P21" i="5"/>
  <c r="O21" i="5"/>
  <c r="N21" i="5"/>
  <c r="M21" i="5"/>
  <c r="L21" i="5"/>
  <c r="K21" i="5"/>
  <c r="J21" i="5"/>
  <c r="I21" i="5"/>
  <c r="H21" i="5"/>
  <c r="G21" i="5"/>
  <c r="F21" i="5"/>
  <c r="D21" i="5"/>
  <c r="C21" i="5"/>
  <c r="B21" i="5"/>
  <c r="Q20" i="5"/>
  <c r="P20" i="5"/>
  <c r="O20" i="5"/>
  <c r="N20" i="5"/>
  <c r="M20" i="5"/>
  <c r="L20" i="5"/>
  <c r="K20" i="5"/>
  <c r="J20" i="5"/>
  <c r="I20" i="5"/>
  <c r="H20" i="5"/>
  <c r="G20" i="5"/>
  <c r="F20" i="5"/>
  <c r="D20" i="5"/>
  <c r="C20" i="5"/>
  <c r="B20" i="5"/>
  <c r="Q19" i="5"/>
  <c r="P19" i="5"/>
  <c r="O19" i="5"/>
  <c r="N19" i="5"/>
  <c r="M19" i="5"/>
  <c r="L19" i="5"/>
  <c r="K19" i="5"/>
  <c r="J19" i="5"/>
  <c r="I19" i="5"/>
  <c r="H19" i="5"/>
  <c r="G19" i="5"/>
  <c r="F19" i="5"/>
  <c r="D19" i="5"/>
  <c r="C19" i="5"/>
  <c r="B19" i="5"/>
  <c r="Q18" i="5"/>
  <c r="O18" i="5"/>
  <c r="N18" i="5"/>
  <c r="M18" i="5"/>
  <c r="L18" i="5"/>
  <c r="K18" i="5"/>
  <c r="J18" i="5"/>
  <c r="I18" i="5"/>
  <c r="H18" i="5"/>
  <c r="G18" i="5"/>
  <c r="F18" i="5"/>
  <c r="D18" i="5"/>
  <c r="C18" i="5"/>
  <c r="B18" i="5"/>
  <c r="Q17" i="5"/>
  <c r="O17" i="5"/>
  <c r="N17" i="5"/>
  <c r="M17" i="5"/>
  <c r="L17" i="5"/>
  <c r="K17" i="5"/>
  <c r="J17" i="5"/>
  <c r="I17" i="5"/>
  <c r="H17" i="5"/>
  <c r="G17" i="5"/>
  <c r="F17" i="5"/>
  <c r="D17" i="5"/>
  <c r="C17" i="5"/>
  <c r="B17" i="5"/>
  <c r="Q16" i="5"/>
  <c r="O16" i="5"/>
  <c r="N16" i="5"/>
  <c r="M16" i="5"/>
  <c r="L16" i="5"/>
  <c r="K16" i="5"/>
  <c r="J16" i="5"/>
  <c r="I16" i="5"/>
  <c r="H16" i="5"/>
  <c r="G16" i="5"/>
  <c r="F16" i="5"/>
  <c r="D16" i="5"/>
  <c r="C16" i="5"/>
  <c r="B16" i="5"/>
  <c r="Q15" i="5"/>
  <c r="O15" i="5"/>
  <c r="N15" i="5"/>
  <c r="M15" i="5"/>
  <c r="L15" i="5"/>
  <c r="K15" i="5"/>
  <c r="J15" i="5"/>
  <c r="I15" i="5"/>
  <c r="H15" i="5"/>
  <c r="G15" i="5"/>
  <c r="F15" i="5"/>
  <c r="D15" i="5"/>
  <c r="C15" i="5"/>
  <c r="B15" i="5"/>
  <c r="Q14" i="5"/>
  <c r="O14" i="5"/>
  <c r="N14" i="5"/>
  <c r="M14" i="5"/>
  <c r="L14" i="5"/>
  <c r="K14" i="5"/>
  <c r="J14" i="5"/>
  <c r="I14" i="5"/>
  <c r="H14" i="5"/>
  <c r="G14" i="5"/>
  <c r="F14" i="5"/>
  <c r="D14" i="5"/>
  <c r="C14" i="5"/>
  <c r="B14" i="5"/>
  <c r="Q13" i="5"/>
  <c r="O13" i="5"/>
  <c r="N13" i="5"/>
  <c r="M13" i="5"/>
  <c r="L13" i="5"/>
  <c r="K13" i="5"/>
  <c r="J13" i="5"/>
  <c r="I13" i="5"/>
  <c r="H13" i="5"/>
  <c r="G13" i="5"/>
  <c r="F13" i="5"/>
  <c r="D13" i="5"/>
  <c r="C13" i="5"/>
  <c r="B13" i="5"/>
  <c r="Q12" i="5"/>
  <c r="O12" i="5"/>
  <c r="N12" i="5"/>
  <c r="M12" i="5"/>
  <c r="L12" i="5"/>
  <c r="K12" i="5"/>
  <c r="J12" i="5"/>
  <c r="I12" i="5"/>
  <c r="H12" i="5"/>
  <c r="G12" i="5"/>
  <c r="F12" i="5"/>
  <c r="D12" i="5"/>
  <c r="C12" i="5"/>
  <c r="B12" i="5"/>
  <c r="Q11" i="5"/>
  <c r="O11" i="5"/>
  <c r="N11" i="5"/>
  <c r="M11" i="5"/>
  <c r="L11" i="5"/>
  <c r="K11" i="5"/>
  <c r="J11" i="5"/>
  <c r="I11" i="5"/>
  <c r="H11" i="5"/>
  <c r="G11" i="5"/>
  <c r="F11" i="5"/>
  <c r="D11" i="5"/>
  <c r="C11" i="5"/>
  <c r="B11" i="5"/>
  <c r="Q10" i="5"/>
  <c r="O10" i="5"/>
  <c r="N10" i="5"/>
  <c r="M10" i="5"/>
  <c r="L10" i="5"/>
  <c r="K10" i="5"/>
  <c r="J10" i="5"/>
  <c r="I10" i="5"/>
  <c r="H10" i="5"/>
  <c r="G10" i="5"/>
  <c r="F10" i="5"/>
  <c r="D10" i="5"/>
  <c r="C10" i="5"/>
  <c r="B10" i="5"/>
  <c r="A10" i="5" a="1"/>
  <c r="A10" i="5" s="1"/>
  <c r="Q9" i="5"/>
  <c r="O9" i="5"/>
  <c r="N9" i="5"/>
  <c r="M9" i="5"/>
  <c r="L9" i="5"/>
  <c r="K9" i="5"/>
  <c r="J9" i="5"/>
  <c r="I9" i="5"/>
  <c r="H9" i="5"/>
  <c r="G9" i="5"/>
  <c r="F9" i="5"/>
  <c r="D9" i="5"/>
  <c r="C9" i="5"/>
  <c r="B9" i="5"/>
  <c r="Q8" i="5"/>
  <c r="O8" i="5"/>
  <c r="N8" i="5"/>
  <c r="M8" i="5"/>
  <c r="L8" i="5"/>
  <c r="K8" i="5"/>
  <c r="J8" i="5"/>
  <c r="I8" i="5"/>
  <c r="H8" i="5"/>
  <c r="G8" i="5"/>
  <c r="F8" i="5"/>
  <c r="D8" i="5"/>
  <c r="C8" i="5"/>
  <c r="B8" i="5"/>
  <c r="Q7" i="5"/>
  <c r="O7" i="5"/>
  <c r="N7" i="5"/>
  <c r="M7" i="5"/>
  <c r="L7" i="5"/>
  <c r="K7" i="5"/>
  <c r="J7" i="5"/>
  <c r="I7" i="5"/>
  <c r="H7" i="5"/>
  <c r="G7" i="5"/>
  <c r="F7" i="5"/>
  <c r="D7" i="5"/>
  <c r="C7" i="5"/>
  <c r="B7" i="5"/>
  <c r="Q6" i="5"/>
  <c r="O6" i="5"/>
  <c r="N6" i="5"/>
  <c r="M6" i="5"/>
  <c r="L6" i="5"/>
  <c r="K6" i="5"/>
  <c r="J6" i="5"/>
  <c r="I6" i="5"/>
  <c r="H6" i="5"/>
  <c r="G6" i="5"/>
  <c r="F6" i="5"/>
  <c r="D6" i="5"/>
  <c r="C6" i="5"/>
  <c r="B6" i="5"/>
  <c r="Q5" i="5"/>
  <c r="O5" i="5"/>
  <c r="N5" i="5"/>
  <c r="M5" i="5"/>
  <c r="L5" i="5"/>
  <c r="K5" i="5"/>
  <c r="J5" i="5"/>
  <c r="I5" i="5"/>
  <c r="H5" i="5"/>
  <c r="G5" i="5"/>
  <c r="F5" i="5"/>
  <c r="D5" i="5"/>
  <c r="C5" i="5"/>
  <c r="B5" i="5"/>
  <c r="Q4" i="5"/>
  <c r="O4" i="5"/>
  <c r="N4" i="5"/>
  <c r="M4" i="5"/>
  <c r="L4" i="5"/>
  <c r="K4" i="5"/>
  <c r="J4" i="5"/>
  <c r="I4" i="5"/>
  <c r="H4" i="5"/>
  <c r="G4" i="5"/>
  <c r="F4" i="5"/>
  <c r="D4" i="5"/>
  <c r="C4" i="5"/>
  <c r="B4" i="5"/>
  <c r="Q3" i="5"/>
  <c r="O3" i="5"/>
  <c r="N3" i="5"/>
  <c r="M3" i="5"/>
  <c r="L3" i="5"/>
  <c r="K3" i="5"/>
  <c r="J3" i="5"/>
  <c r="I3" i="5"/>
  <c r="H3" i="5"/>
  <c r="G3" i="5"/>
  <c r="F3" i="5"/>
  <c r="D3" i="5"/>
  <c r="C3" i="5"/>
  <c r="B3" i="5"/>
  <c r="Q2" i="5"/>
  <c r="O2" i="5"/>
  <c r="N2" i="5"/>
  <c r="M2" i="5"/>
  <c r="L2" i="5"/>
  <c r="K2" i="5"/>
  <c r="J2" i="5"/>
  <c r="I2" i="5"/>
  <c r="H2" i="5"/>
  <c r="G2" i="5"/>
  <c r="F2" i="5"/>
  <c r="D2" i="5"/>
  <c r="C2" i="5"/>
  <c r="B2" i="5"/>
  <c r="F452" i="4"/>
  <c r="F451" i="4"/>
  <c r="F450" i="4"/>
  <c r="F449" i="4"/>
  <c r="F448" i="4"/>
  <c r="F447" i="4"/>
  <c r="F446" i="4"/>
  <c r="F445" i="4"/>
  <c r="F444" i="4"/>
  <c r="F443" i="4"/>
  <c r="F442" i="4"/>
  <c r="F441" i="4"/>
  <c r="F440" i="4"/>
  <c r="F439" i="4"/>
  <c r="F438" i="4"/>
  <c r="AL434" i="4"/>
  <c r="F434" i="4" s="1" a="1"/>
  <c r="F434" i="4" s="1"/>
  <c r="E434" i="4" a="1"/>
  <c r="E434" i="4" s="1"/>
  <c r="C434" i="4"/>
  <c r="B434" i="4"/>
  <c r="A434" i="4"/>
  <c r="AL433" i="4"/>
  <c r="F433" i="4" a="1"/>
  <c r="F433" i="4"/>
  <c r="E433" i="4" a="1"/>
  <c r="E433" i="4" s="1"/>
  <c r="C433" i="4"/>
  <c r="A433" i="4" s="1"/>
  <c r="B433" i="4"/>
  <c r="AL432" i="4"/>
  <c r="F432" i="4" s="1" a="1"/>
  <c r="F432" i="4" s="1"/>
  <c r="E432" i="4" a="1"/>
  <c r="E432" i="4" s="1"/>
  <c r="C432" i="4"/>
  <c r="B432" i="4"/>
  <c r="A432" i="4"/>
  <c r="AL431" i="4"/>
  <c r="F431" i="4" a="1"/>
  <c r="F431" i="4"/>
  <c r="E431" i="4" a="1"/>
  <c r="E431" i="4"/>
  <c r="C431" i="4"/>
  <c r="B431" i="4"/>
  <c r="AL430" i="4"/>
  <c r="F430" i="4" s="1" a="1"/>
  <c r="F430" i="4" s="1"/>
  <c r="E430" i="4" a="1"/>
  <c r="E430" i="4" s="1"/>
  <c r="C430" i="4"/>
  <c r="B430" i="4"/>
  <c r="A430" i="4"/>
  <c r="AL429" i="4"/>
  <c r="F429" i="4" s="1" a="1"/>
  <c r="F429" i="4"/>
  <c r="E429" i="4" a="1"/>
  <c r="E429" i="4" s="1"/>
  <c r="C429" i="4"/>
  <c r="B429" i="4"/>
  <c r="AL428" i="4"/>
  <c r="F428" i="4" s="1" a="1"/>
  <c r="F428" i="4" s="1"/>
  <c r="E428" i="4" a="1"/>
  <c r="E428" i="4" s="1"/>
  <c r="C428" i="4"/>
  <c r="B428" i="4"/>
  <c r="A428" i="4"/>
  <c r="AL427" i="4"/>
  <c r="F427" i="4" a="1"/>
  <c r="F427" i="4"/>
  <c r="E427" i="4" a="1"/>
  <c r="E427" i="4"/>
  <c r="C427" i="4"/>
  <c r="A427" i="4" s="1"/>
  <c r="B427" i="4"/>
  <c r="AL426" i="4"/>
  <c r="F426" i="4" s="1" a="1"/>
  <c r="F426" i="4" s="1"/>
  <c r="E426" i="4" a="1"/>
  <c r="E426" i="4" s="1"/>
  <c r="C426" i="4"/>
  <c r="B426" i="4"/>
  <c r="A426" i="4"/>
  <c r="AL425" i="4"/>
  <c r="F425" i="4" s="1" a="1"/>
  <c r="F425" i="4" s="1"/>
  <c r="E425" i="4" a="1"/>
  <c r="E425" i="4" s="1"/>
  <c r="C425" i="4"/>
  <c r="A425" i="4" s="1"/>
  <c r="B425" i="4"/>
  <c r="AL424" i="4"/>
  <c r="F424" i="4" s="1" a="1"/>
  <c r="F424" i="4" s="1"/>
  <c r="E424" i="4" a="1"/>
  <c r="E424" i="4" s="1"/>
  <c r="C424" i="4"/>
  <c r="B424" i="4"/>
  <c r="A424" i="4"/>
  <c r="AL423" i="4"/>
  <c r="F423" i="4" s="1" a="1"/>
  <c r="F423" i="4" s="1"/>
  <c r="E423" i="4" a="1"/>
  <c r="E423" i="4"/>
  <c r="C423" i="4"/>
  <c r="B423" i="4"/>
  <c r="AL422" i="4"/>
  <c r="F422" i="4" s="1" a="1"/>
  <c r="F422" i="4" s="1"/>
  <c r="E422" i="4" a="1"/>
  <c r="E422" i="4" s="1"/>
  <c r="C422" i="4"/>
  <c r="B422" i="4"/>
  <c r="A422" i="4"/>
  <c r="AL421" i="4"/>
  <c r="F421" i="4" s="1" a="1"/>
  <c r="F421" i="4"/>
  <c r="E421" i="4" a="1"/>
  <c r="E421" i="4"/>
  <c r="C421" i="4"/>
  <c r="A421" i="4" s="1"/>
  <c r="B421" i="4"/>
  <c r="AL420" i="4"/>
  <c r="F420" i="4" s="1" a="1"/>
  <c r="F420" i="4" s="1"/>
  <c r="E420" i="4" a="1"/>
  <c r="E420" i="4" s="1"/>
  <c r="C420" i="4"/>
  <c r="B420" i="4"/>
  <c r="A420" i="4"/>
  <c r="AL419" i="4"/>
  <c r="F419" i="4" a="1"/>
  <c r="F419" i="4"/>
  <c r="E419" i="4" a="1"/>
  <c r="E419" i="4"/>
  <c r="C419" i="4"/>
  <c r="A419" i="4" s="1"/>
  <c r="B419" i="4"/>
  <c r="AL418" i="4"/>
  <c r="F418" i="4" s="1" a="1"/>
  <c r="F418" i="4" s="1"/>
  <c r="E418" i="4" a="1"/>
  <c r="E418" i="4" s="1"/>
  <c r="C418" i="4"/>
  <c r="B418" i="4"/>
  <c r="A418" i="4"/>
  <c r="AL417" i="4"/>
  <c r="E417" i="4" s="1" a="1"/>
  <c r="E417" i="4" s="1"/>
  <c r="F417" i="4" a="1"/>
  <c r="F417" i="4" s="1"/>
  <c r="C417" i="4"/>
  <c r="A417" i="4" s="1"/>
  <c r="B417" i="4"/>
  <c r="AL416" i="4"/>
  <c r="F416" i="4" s="1" a="1"/>
  <c r="F416" i="4" s="1"/>
  <c r="E416" i="4" a="1"/>
  <c r="E416" i="4" s="1"/>
  <c r="C416" i="4"/>
  <c r="B416" i="4"/>
  <c r="A416" i="4"/>
  <c r="AL415" i="4"/>
  <c r="F415" i="4" a="1"/>
  <c r="F415" i="4"/>
  <c r="E415" i="4" a="1"/>
  <c r="E415" i="4" s="1"/>
  <c r="C415" i="4"/>
  <c r="A415" i="4" s="1"/>
  <c r="B415" i="4"/>
  <c r="AL414" i="4"/>
  <c r="F414" i="4" s="1" a="1"/>
  <c r="F414" i="4" s="1"/>
  <c r="E414" i="4" a="1"/>
  <c r="E414" i="4" s="1"/>
  <c r="C414" i="4"/>
  <c r="B414" i="4"/>
  <c r="A414" i="4"/>
  <c r="AL413" i="4"/>
  <c r="F413" i="4" s="1" a="1"/>
  <c r="F413" i="4"/>
  <c r="E413" i="4" a="1"/>
  <c r="E413" i="4"/>
  <c r="C413" i="4"/>
  <c r="A413" i="4" s="1"/>
  <c r="B413" i="4"/>
  <c r="AL412" i="4"/>
  <c r="F412" i="4" s="1" a="1"/>
  <c r="F412" i="4" s="1"/>
  <c r="E412" i="4" a="1"/>
  <c r="E412" i="4" s="1"/>
  <c r="C412" i="4"/>
  <c r="B412" i="4"/>
  <c r="A412" i="4"/>
  <c r="AL411" i="4"/>
  <c r="F411" i="4" a="1"/>
  <c r="F411" i="4"/>
  <c r="E411" i="4" a="1"/>
  <c r="E411" i="4"/>
  <c r="C411" i="4"/>
  <c r="A411" i="4" s="1"/>
  <c r="B411" i="4"/>
  <c r="AL410" i="4"/>
  <c r="F410" i="4" s="1" a="1"/>
  <c r="F410" i="4" s="1"/>
  <c r="E410" i="4" a="1"/>
  <c r="E410" i="4" s="1"/>
  <c r="C410" i="4"/>
  <c r="B410" i="4"/>
  <c r="A410" i="4"/>
  <c r="AL409" i="4"/>
  <c r="F409" i="4" s="1" a="1"/>
  <c r="F409" i="4" s="1"/>
  <c r="E409" i="4" a="1"/>
  <c r="E409" i="4" s="1"/>
  <c r="C409" i="4"/>
  <c r="A409" i="4" s="1"/>
  <c r="B409" i="4"/>
  <c r="AL408" i="4"/>
  <c r="F408" i="4" s="1" a="1"/>
  <c r="F408" i="4" s="1"/>
  <c r="E408" i="4" a="1"/>
  <c r="E408" i="4" s="1"/>
  <c r="C408" i="4"/>
  <c r="B408" i="4"/>
  <c r="A408" i="4"/>
  <c r="AL407" i="4"/>
  <c r="F407" i="4" a="1"/>
  <c r="F407" i="4" s="1"/>
  <c r="E407" i="4" a="1"/>
  <c r="E407" i="4"/>
  <c r="C407" i="4"/>
  <c r="B407" i="4"/>
  <c r="AL406" i="4"/>
  <c r="F406" i="4" s="1" a="1"/>
  <c r="F406" i="4" s="1"/>
  <c r="E406" i="4" a="1"/>
  <c r="E406" i="4" s="1"/>
  <c r="C406" i="4"/>
  <c r="B406" i="4"/>
  <c r="A406" i="4"/>
  <c r="AL405" i="4"/>
  <c r="F405" i="4" s="1" a="1"/>
  <c r="F405" i="4" s="1"/>
  <c r="E405" i="4" a="1"/>
  <c r="E405" i="4" s="1"/>
  <c r="C405" i="4"/>
  <c r="B405" i="4"/>
  <c r="AL404" i="4"/>
  <c r="F404" i="4" s="1" a="1"/>
  <c r="F404" i="4" s="1"/>
  <c r="E404" i="4" a="1"/>
  <c r="E404" i="4" s="1"/>
  <c r="C404" i="4"/>
  <c r="B404" i="4"/>
  <c r="A404" i="4"/>
  <c r="AL403" i="4"/>
  <c r="F403" i="4" a="1"/>
  <c r="F403" i="4"/>
  <c r="E403" i="4" a="1"/>
  <c r="E403" i="4"/>
  <c r="C403" i="4"/>
  <c r="A403" i="4" s="1"/>
  <c r="B403" i="4"/>
  <c r="AL402" i="4"/>
  <c r="F402" i="4" s="1" a="1"/>
  <c r="F402" i="4" s="1"/>
  <c r="E402" i="4" a="1"/>
  <c r="E402" i="4" s="1"/>
  <c r="C402" i="4"/>
  <c r="B402" i="4"/>
  <c r="A402" i="4"/>
  <c r="AL401" i="4"/>
  <c r="E401" i="4" s="1" a="1"/>
  <c r="E401" i="4" s="1"/>
  <c r="F401" i="4" a="1"/>
  <c r="F401" i="4" s="1"/>
  <c r="C401" i="4"/>
  <c r="A401" i="4" s="1"/>
  <c r="B401" i="4"/>
  <c r="AL400" i="4"/>
  <c r="F400" i="4" s="1" a="1"/>
  <c r="F400" i="4" s="1"/>
  <c r="E400" i="4" a="1"/>
  <c r="E400" i="4" s="1"/>
  <c r="C400" i="4"/>
  <c r="B400" i="4"/>
  <c r="A400" i="4"/>
  <c r="AL399" i="4"/>
  <c r="F399" i="4" s="1" a="1"/>
  <c r="F399" i="4" s="1"/>
  <c r="E399" i="4" a="1"/>
  <c r="E399" i="4" s="1"/>
  <c r="C399" i="4"/>
  <c r="A399" i="4" s="1"/>
  <c r="B399" i="4"/>
  <c r="AL398" i="4"/>
  <c r="F398" i="4" s="1" a="1"/>
  <c r="F398" i="4" s="1"/>
  <c r="E398" i="4" a="1"/>
  <c r="E398" i="4" s="1"/>
  <c r="C398" i="4"/>
  <c r="B398" i="4"/>
  <c r="A398" i="4"/>
  <c r="AL397" i="4"/>
  <c r="F397" i="4" s="1" a="1"/>
  <c r="F397" i="4" s="1"/>
  <c r="E397" i="4" a="1"/>
  <c r="E397" i="4"/>
  <c r="C397" i="4"/>
  <c r="A397" i="4" s="1"/>
  <c r="B397" i="4"/>
  <c r="AL396" i="4"/>
  <c r="F396" i="4" s="1" a="1"/>
  <c r="F396" i="4" s="1"/>
  <c r="E396" i="4" a="1"/>
  <c r="E396" i="4" s="1"/>
  <c r="C396" i="4"/>
  <c r="B396" i="4"/>
  <c r="A396" i="4"/>
  <c r="AL395" i="4"/>
  <c r="F395" i="4" a="1"/>
  <c r="F395" i="4"/>
  <c r="E395" i="4" a="1"/>
  <c r="E395" i="4"/>
  <c r="C395" i="4"/>
  <c r="A395" i="4" s="1"/>
  <c r="B395" i="4"/>
  <c r="AL394" i="4"/>
  <c r="F394" i="4" s="1" a="1"/>
  <c r="F394" i="4" s="1"/>
  <c r="E394" i="4" a="1"/>
  <c r="E394" i="4" s="1"/>
  <c r="C394" i="4"/>
  <c r="B394" i="4"/>
  <c r="A394" i="4"/>
  <c r="AL393" i="4"/>
  <c r="F393" i="4" s="1" a="1"/>
  <c r="F393" i="4" s="1"/>
  <c r="E393" i="4" a="1"/>
  <c r="E393" i="4" s="1"/>
  <c r="C393" i="4"/>
  <c r="A393" i="4" s="1"/>
  <c r="B393" i="4"/>
  <c r="AL392" i="4"/>
  <c r="F392" i="4" s="1" a="1"/>
  <c r="F392" i="4" s="1"/>
  <c r="E392" i="4" a="1"/>
  <c r="E392" i="4" s="1"/>
  <c r="C392" i="4"/>
  <c r="B392" i="4"/>
  <c r="A392" i="4"/>
  <c r="AL391" i="4"/>
  <c r="F391" i="4" s="1" a="1"/>
  <c r="F391" i="4" s="1"/>
  <c r="E391" i="4" a="1"/>
  <c r="E391" i="4" s="1"/>
  <c r="C391" i="4"/>
  <c r="A391" i="4" s="1"/>
  <c r="B391" i="4"/>
  <c r="AL390" i="4"/>
  <c r="F390" i="4" s="1" a="1"/>
  <c r="F390" i="4" s="1"/>
  <c r="E390" i="4" a="1"/>
  <c r="E390" i="4" s="1"/>
  <c r="C390" i="4"/>
  <c r="B390" i="4"/>
  <c r="A390" i="4"/>
  <c r="AL389" i="4"/>
  <c r="F389" i="4" s="1" a="1"/>
  <c r="F389" i="4" s="1"/>
  <c r="E389" i="4" a="1"/>
  <c r="E389" i="4"/>
  <c r="C389" i="4"/>
  <c r="A389" i="4" s="1"/>
  <c r="B389" i="4"/>
  <c r="AL388" i="4"/>
  <c r="F388" i="4" s="1" a="1"/>
  <c r="F388" i="4" s="1"/>
  <c r="E388" i="4" a="1"/>
  <c r="E388" i="4" s="1"/>
  <c r="C388" i="4"/>
  <c r="B388" i="4"/>
  <c r="A388" i="4"/>
  <c r="AL387" i="4"/>
  <c r="F387" i="4" a="1"/>
  <c r="F387" i="4"/>
  <c r="E387" i="4" a="1"/>
  <c r="E387" i="4"/>
  <c r="C387" i="4"/>
  <c r="A387" i="4" s="1"/>
  <c r="B387" i="4"/>
  <c r="AL386" i="4"/>
  <c r="F386" i="4" s="1" a="1"/>
  <c r="F386" i="4" s="1"/>
  <c r="E386" i="4" a="1"/>
  <c r="E386" i="4" s="1"/>
  <c r="C386" i="4"/>
  <c r="B386" i="4"/>
  <c r="A386" i="4"/>
  <c r="AL385" i="4"/>
  <c r="C385" i="4"/>
  <c r="A385" i="4" s="1"/>
  <c r="B385" i="4"/>
  <c r="AL384" i="4"/>
  <c r="F384" i="4" s="1" a="1"/>
  <c r="F384" i="4" s="1"/>
  <c r="E384" i="4" a="1"/>
  <c r="E384" i="4" s="1"/>
  <c r="C384" i="4"/>
  <c r="B384" i="4"/>
  <c r="A384" i="4"/>
  <c r="AL383" i="4"/>
  <c r="C383" i="4"/>
  <c r="A383" i="4" s="1"/>
  <c r="B383" i="4"/>
  <c r="AL382" i="4"/>
  <c r="F382" i="4" s="1" a="1"/>
  <c r="F382" i="4" s="1"/>
  <c r="E382" i="4" a="1"/>
  <c r="E382" i="4" s="1"/>
  <c r="C382" i="4"/>
  <c r="B382" i="4"/>
  <c r="A382" i="4"/>
  <c r="AL381" i="4"/>
  <c r="F381" i="4" s="1" a="1"/>
  <c r="F381" i="4"/>
  <c r="E381" i="4" a="1"/>
  <c r="E381" i="4"/>
  <c r="C381" i="4"/>
  <c r="A381" i="4" s="1"/>
  <c r="B381" i="4"/>
  <c r="AL380" i="4"/>
  <c r="F380" i="4" s="1" a="1"/>
  <c r="F380" i="4" s="1"/>
  <c r="E380" i="4" a="1"/>
  <c r="E380" i="4" s="1"/>
  <c r="C380" i="4"/>
  <c r="B380" i="4"/>
  <c r="A380" i="4"/>
  <c r="AL379" i="4"/>
  <c r="F379" i="4" a="1"/>
  <c r="F379" i="4"/>
  <c r="E379" i="4" a="1"/>
  <c r="E379" i="4"/>
  <c r="C379" i="4"/>
  <c r="B379" i="4"/>
  <c r="AL378" i="4"/>
  <c r="F378" i="4" s="1" a="1"/>
  <c r="F378" i="4" s="1"/>
  <c r="E378" i="4" a="1"/>
  <c r="E378" i="4" s="1"/>
  <c r="C378" i="4"/>
  <c r="B378" i="4"/>
  <c r="A378" i="4"/>
  <c r="AL377" i="4"/>
  <c r="E377" i="4" s="1" a="1"/>
  <c r="E377" i="4" s="1"/>
  <c r="F377" i="4" a="1"/>
  <c r="F377" i="4"/>
  <c r="C377" i="4"/>
  <c r="A377" i="4" s="1"/>
  <c r="B377" i="4"/>
  <c r="AL376" i="4"/>
  <c r="F376" i="4" s="1" a="1"/>
  <c r="F376" i="4" s="1"/>
  <c r="E376" i="4" a="1"/>
  <c r="E376" i="4" s="1"/>
  <c r="C376" i="4"/>
  <c r="B376" i="4"/>
  <c r="A376" i="4"/>
  <c r="AL375" i="4"/>
  <c r="F375" i="4" s="1" a="1"/>
  <c r="F375" i="4" s="1"/>
  <c r="E375" i="4" a="1"/>
  <c r="E375" i="4"/>
  <c r="C375" i="4"/>
  <c r="A375" i="4" s="1"/>
  <c r="B375" i="4"/>
  <c r="AL374" i="4"/>
  <c r="F374" i="4" s="1" a="1"/>
  <c r="F374" i="4" s="1"/>
  <c r="E374" i="4" a="1"/>
  <c r="E374" i="4" s="1"/>
  <c r="C374" i="4"/>
  <c r="B374" i="4"/>
  <c r="A374" i="4"/>
  <c r="AL373" i="4"/>
  <c r="F373" i="4" s="1" a="1"/>
  <c r="F373" i="4" s="1"/>
  <c r="E373" i="4" a="1"/>
  <c r="E373" i="4"/>
  <c r="C373" i="4"/>
  <c r="A373" i="4" s="1"/>
  <c r="B373" i="4"/>
  <c r="AL372" i="4"/>
  <c r="F372" i="4" s="1" a="1"/>
  <c r="F372" i="4" s="1"/>
  <c r="E372" i="4" a="1"/>
  <c r="E372" i="4" s="1"/>
  <c r="C372" i="4"/>
  <c r="B372" i="4"/>
  <c r="A372" i="4"/>
  <c r="AL371" i="4"/>
  <c r="F371" i="4" a="1"/>
  <c r="F371" i="4"/>
  <c r="E371" i="4" a="1"/>
  <c r="E371" i="4"/>
  <c r="C371" i="4"/>
  <c r="A371" i="4" s="1"/>
  <c r="B371" i="4"/>
  <c r="AL370" i="4"/>
  <c r="F370" i="4" s="1" a="1"/>
  <c r="F370" i="4" s="1"/>
  <c r="E370" i="4" a="1"/>
  <c r="E370" i="4" s="1"/>
  <c r="C370" i="4"/>
  <c r="B370" i="4"/>
  <c r="A370" i="4"/>
  <c r="AL369" i="4"/>
  <c r="F369" i="4" a="1"/>
  <c r="F369" i="4"/>
  <c r="E369" i="4" a="1"/>
  <c r="E369" i="4" s="1"/>
  <c r="C369" i="4"/>
  <c r="A369" i="4" s="1"/>
  <c r="B369" i="4"/>
  <c r="AL368" i="4"/>
  <c r="F368" i="4" s="1" a="1"/>
  <c r="F368" i="4" s="1"/>
  <c r="E368" i="4" a="1"/>
  <c r="E368" i="4" s="1"/>
  <c r="C368" i="4"/>
  <c r="B368" i="4"/>
  <c r="A368" i="4"/>
  <c r="AL367" i="4"/>
  <c r="F367" i="4" a="1"/>
  <c r="F367" i="4" s="1"/>
  <c r="E367" i="4" a="1"/>
  <c r="E367" i="4" s="1"/>
  <c r="C367" i="4"/>
  <c r="A367" i="4" s="1"/>
  <c r="B367" i="4"/>
  <c r="AL366" i="4"/>
  <c r="F366" i="4" s="1" a="1"/>
  <c r="F366" i="4" s="1"/>
  <c r="E366" i="4" a="1"/>
  <c r="E366" i="4" s="1"/>
  <c r="C366" i="4"/>
  <c r="B366" i="4"/>
  <c r="A366" i="4"/>
  <c r="AL365" i="4"/>
  <c r="F365" i="4" s="1" a="1"/>
  <c r="F365" i="4"/>
  <c r="E365" i="4" a="1"/>
  <c r="E365" i="4" s="1"/>
  <c r="C365" i="4"/>
  <c r="A365" i="4" s="1"/>
  <c r="B365" i="4"/>
  <c r="AL364" i="4"/>
  <c r="F364" i="4" s="1" a="1"/>
  <c r="F364" i="4" s="1"/>
  <c r="E364" i="4" a="1"/>
  <c r="E364" i="4" s="1"/>
  <c r="C364" i="4"/>
  <c r="B364" i="4"/>
  <c r="A364" i="4"/>
  <c r="AL363" i="4"/>
  <c r="F363" i="4" a="1"/>
  <c r="F363" i="4"/>
  <c r="E363" i="4" a="1"/>
  <c r="E363" i="4"/>
  <c r="C363" i="4"/>
  <c r="A363" i="4" s="1"/>
  <c r="B363" i="4"/>
  <c r="AL362" i="4"/>
  <c r="F362" i="4" s="1" a="1"/>
  <c r="F362" i="4" s="1"/>
  <c r="E362" i="4" a="1"/>
  <c r="E362" i="4" s="1"/>
  <c r="C362" i="4"/>
  <c r="B362" i="4"/>
  <c r="A362" i="4"/>
  <c r="AL361" i="4"/>
  <c r="F361" i="4" a="1"/>
  <c r="F361" i="4" s="1"/>
  <c r="E361" i="4" a="1"/>
  <c r="E361" i="4" s="1"/>
  <c r="C361" i="4"/>
  <c r="A361" i="4" s="1"/>
  <c r="B361" i="4"/>
  <c r="AL360" i="4"/>
  <c r="F360" i="4" s="1" a="1"/>
  <c r="F360" i="4" s="1"/>
  <c r="E360" i="4" a="1"/>
  <c r="E360" i="4" s="1"/>
  <c r="C360" i="4"/>
  <c r="B360" i="4"/>
  <c r="A360" i="4"/>
  <c r="AL359" i="4"/>
  <c r="F359" i="4" s="1" a="1"/>
  <c r="F359" i="4" s="1"/>
  <c r="E359" i="4" a="1"/>
  <c r="E359" i="4" s="1"/>
  <c r="C359" i="4"/>
  <c r="A359" i="4" s="1"/>
  <c r="B359" i="4"/>
  <c r="AL358" i="4"/>
  <c r="F358" i="4" s="1" a="1"/>
  <c r="F358" i="4" s="1"/>
  <c r="E358" i="4" a="1"/>
  <c r="E358" i="4" s="1"/>
  <c r="C358" i="4"/>
  <c r="B358" i="4"/>
  <c r="A358" i="4"/>
  <c r="AL357" i="4"/>
  <c r="F357" i="4" s="1" a="1"/>
  <c r="F357" i="4"/>
  <c r="E357" i="4" a="1"/>
  <c r="E357" i="4"/>
  <c r="C357" i="4"/>
  <c r="A357" i="4" s="1"/>
  <c r="B357" i="4"/>
  <c r="AL356" i="4"/>
  <c r="F356" i="4" s="1" a="1"/>
  <c r="F356" i="4" s="1"/>
  <c r="E356" i="4" a="1"/>
  <c r="E356" i="4" s="1"/>
  <c r="C356" i="4"/>
  <c r="B356" i="4"/>
  <c r="A356" i="4"/>
  <c r="AL355" i="4"/>
  <c r="F355" i="4" a="1"/>
  <c r="F355" i="4"/>
  <c r="E355" i="4" a="1"/>
  <c r="E355" i="4"/>
  <c r="C355" i="4"/>
  <c r="A355" i="4" s="1"/>
  <c r="B355" i="4"/>
  <c r="AL354" i="4"/>
  <c r="F354" i="4" s="1" a="1"/>
  <c r="F354" i="4" s="1"/>
  <c r="E354" i="4" a="1"/>
  <c r="E354" i="4" s="1"/>
  <c r="C354" i="4"/>
  <c r="B354" i="4"/>
  <c r="A354" i="4"/>
  <c r="AL353" i="4"/>
  <c r="C353" i="4"/>
  <c r="A353" i="4" s="1"/>
  <c r="B353" i="4"/>
  <c r="AL352" i="4"/>
  <c r="F352" i="4" s="1" a="1"/>
  <c r="F352" i="4" s="1"/>
  <c r="E352" i="4" a="1"/>
  <c r="E352" i="4" s="1"/>
  <c r="C352" i="4"/>
  <c r="B352" i="4"/>
  <c r="A352" i="4"/>
  <c r="AL351" i="4"/>
  <c r="F351" i="4" a="1"/>
  <c r="F351" i="4"/>
  <c r="E351" i="4" a="1"/>
  <c r="E351" i="4" s="1"/>
  <c r="C351" i="4"/>
  <c r="B351" i="4"/>
  <c r="E113" i="3" s="1" a="1"/>
  <c r="E113" i="3" s="1"/>
  <c r="AL350" i="4"/>
  <c r="F350" i="4" s="1" a="1"/>
  <c r="F350" i="4" s="1"/>
  <c r="E350" i="4" a="1"/>
  <c r="E350" i="4" s="1"/>
  <c r="C350" i="4"/>
  <c r="B350" i="4"/>
  <c r="A350" i="4"/>
  <c r="AL349" i="4"/>
  <c r="F349" i="4" s="1" a="1"/>
  <c r="F349" i="4"/>
  <c r="E349" i="4" a="1"/>
  <c r="E349" i="4"/>
  <c r="C349" i="4"/>
  <c r="A349" i="4" s="1"/>
  <c r="B349" i="4"/>
  <c r="AL348" i="4"/>
  <c r="F348" i="4" s="1" a="1"/>
  <c r="F348" i="4" s="1"/>
  <c r="E348" i="4" a="1"/>
  <c r="E348" i="4" s="1"/>
  <c r="C348" i="4"/>
  <c r="B348" i="4"/>
  <c r="A348" i="4"/>
  <c r="AL347" i="4"/>
  <c r="F347" i="4" a="1"/>
  <c r="F347" i="4"/>
  <c r="E347" i="4" a="1"/>
  <c r="E347" i="4"/>
  <c r="C347" i="4"/>
  <c r="A347" i="4" s="1"/>
  <c r="B347" i="4"/>
  <c r="AL346" i="4"/>
  <c r="F346" i="4" s="1" a="1"/>
  <c r="F346" i="4" s="1"/>
  <c r="E346" i="4" a="1"/>
  <c r="E346" i="4" s="1"/>
  <c r="C346" i="4"/>
  <c r="B346" i="4"/>
  <c r="A346" i="4"/>
  <c r="AL345" i="4"/>
  <c r="F345" i="4" s="1" a="1"/>
  <c r="F345" i="4"/>
  <c r="E345" i="4" a="1"/>
  <c r="E345" i="4" s="1"/>
  <c r="C345" i="4"/>
  <c r="A345" i="4" s="1"/>
  <c r="B345" i="4"/>
  <c r="AL344" i="4"/>
  <c r="F344" i="4" s="1" a="1"/>
  <c r="F344" i="4" s="1"/>
  <c r="E344" i="4" a="1"/>
  <c r="E344" i="4" s="1"/>
  <c r="C344" i="4"/>
  <c r="B344" i="4"/>
  <c r="A344" i="4"/>
  <c r="AL343" i="4"/>
  <c r="F343" i="4" a="1"/>
  <c r="F343" i="4" s="1"/>
  <c r="E343" i="4" a="1"/>
  <c r="E343" i="4"/>
  <c r="C343" i="4"/>
  <c r="A343" i="4" s="1"/>
  <c r="B343" i="4"/>
  <c r="AL342" i="4"/>
  <c r="F342" i="4" s="1" a="1"/>
  <c r="F342" i="4" s="1"/>
  <c r="E342" i="4" a="1"/>
  <c r="E342" i="4" s="1"/>
  <c r="C342" i="4"/>
  <c r="B342" i="4"/>
  <c r="A342" i="4"/>
  <c r="AL341" i="4"/>
  <c r="F341" i="4" s="1" a="1"/>
  <c r="F341" i="4" s="1"/>
  <c r="E341" i="4" a="1"/>
  <c r="E341" i="4"/>
  <c r="C341" i="4"/>
  <c r="A341" i="4" s="1"/>
  <c r="B341" i="4"/>
  <c r="AL340" i="4"/>
  <c r="F340" i="4" s="1" a="1"/>
  <c r="F340" i="4" s="1"/>
  <c r="E340" i="4" a="1"/>
  <c r="E340" i="4" s="1"/>
  <c r="C340" i="4"/>
  <c r="B340" i="4"/>
  <c r="A340" i="4"/>
  <c r="AL339" i="4"/>
  <c r="F339" i="4" a="1"/>
  <c r="F339" i="4"/>
  <c r="E339" i="4" a="1"/>
  <c r="E339" i="4"/>
  <c r="C339" i="4"/>
  <c r="A339" i="4" s="1"/>
  <c r="B339" i="4"/>
  <c r="AL338" i="4"/>
  <c r="F338" i="4" s="1" a="1"/>
  <c r="F338" i="4" s="1"/>
  <c r="E338" i="4" a="1"/>
  <c r="E338" i="4" s="1"/>
  <c r="C338" i="4"/>
  <c r="B338" i="4"/>
  <c r="A338" i="4"/>
  <c r="AL337" i="4"/>
  <c r="E337" i="4" s="1" a="1"/>
  <c r="E337" i="4" s="1"/>
  <c r="F337" i="4" a="1"/>
  <c r="F337" i="4" s="1"/>
  <c r="C337" i="4"/>
  <c r="A337" i="4" s="1"/>
  <c r="B337" i="4"/>
  <c r="AL336" i="4"/>
  <c r="F336" i="4" s="1" a="1"/>
  <c r="F336" i="4" s="1"/>
  <c r="E336" i="4" a="1"/>
  <c r="E336" i="4" s="1"/>
  <c r="C336" i="4"/>
  <c r="B336" i="4"/>
  <c r="A336" i="4"/>
  <c r="AL335" i="4"/>
  <c r="C335" i="4"/>
  <c r="A335" i="4" s="1"/>
  <c r="B335" i="4"/>
  <c r="AL334" i="4"/>
  <c r="F334" i="4" s="1" a="1"/>
  <c r="F334" i="4" s="1"/>
  <c r="E334" i="4" a="1"/>
  <c r="E334" i="4" s="1"/>
  <c r="C334" i="4"/>
  <c r="B334" i="4"/>
  <c r="A334" i="4"/>
  <c r="AL333" i="4"/>
  <c r="F333" i="4" s="1" a="1"/>
  <c r="F333" i="4"/>
  <c r="E333" i="4" a="1"/>
  <c r="E333" i="4" s="1"/>
  <c r="C333" i="4"/>
  <c r="A333" i="4" s="1"/>
  <c r="B333" i="4"/>
  <c r="AL332" i="4"/>
  <c r="F332" i="4" s="1" a="1"/>
  <c r="F332" i="4" s="1"/>
  <c r="E332" i="4" a="1"/>
  <c r="E332" i="4" s="1"/>
  <c r="C332" i="4"/>
  <c r="B332" i="4"/>
  <c r="A332" i="4"/>
  <c r="AL331" i="4"/>
  <c r="F331" i="4" a="1"/>
  <c r="F331" i="4"/>
  <c r="E331" i="4" a="1"/>
  <c r="E331" i="4"/>
  <c r="C331" i="4"/>
  <c r="A331" i="4" s="1"/>
  <c r="B331" i="4"/>
  <c r="AL330" i="4"/>
  <c r="F330" i="4" s="1" a="1"/>
  <c r="F330" i="4" s="1"/>
  <c r="E330" i="4" a="1"/>
  <c r="E330" i="4" s="1"/>
  <c r="C330" i="4"/>
  <c r="B330" i="4"/>
  <c r="A330" i="4"/>
  <c r="AL329" i="4"/>
  <c r="F329" i="4" s="1" a="1"/>
  <c r="F329" i="4" s="1"/>
  <c r="C329" i="4"/>
  <c r="A329" i="4" s="1"/>
  <c r="B329" i="4"/>
  <c r="AL328" i="4"/>
  <c r="F328" i="4" s="1" a="1"/>
  <c r="F328" i="4" s="1"/>
  <c r="E328" i="4" a="1"/>
  <c r="E328" i="4" s="1"/>
  <c r="C328" i="4"/>
  <c r="B328" i="4"/>
  <c r="A328" i="4"/>
  <c r="AL327" i="4"/>
  <c r="F327" i="4" s="1" a="1"/>
  <c r="F327" i="4" s="1"/>
  <c r="E327" i="4" a="1"/>
  <c r="E327" i="4" s="1"/>
  <c r="C327" i="4"/>
  <c r="A327" i="4" s="1"/>
  <c r="B327" i="4"/>
  <c r="AL326" i="4"/>
  <c r="F326" i="4" s="1" a="1"/>
  <c r="F326" i="4" s="1"/>
  <c r="E326" i="4" a="1"/>
  <c r="E326" i="4" s="1"/>
  <c r="C326" i="4"/>
  <c r="B326" i="4"/>
  <c r="A326" i="4"/>
  <c r="AL325" i="4"/>
  <c r="F325" i="4" s="1" a="1"/>
  <c r="F325" i="4"/>
  <c r="E325" i="4" a="1"/>
  <c r="E325" i="4" s="1"/>
  <c r="C325" i="4"/>
  <c r="A325" i="4" s="1"/>
  <c r="B325" i="4"/>
  <c r="AL324" i="4"/>
  <c r="F324" i="4" s="1" a="1"/>
  <c r="F324" i="4" s="1"/>
  <c r="E324" i="4" a="1"/>
  <c r="E324" i="4" s="1"/>
  <c r="C324" i="4"/>
  <c r="B324" i="4"/>
  <c r="A324" i="4"/>
  <c r="AL323" i="4"/>
  <c r="F323" i="4" a="1"/>
  <c r="F323" i="4"/>
  <c r="E323" i="4" a="1"/>
  <c r="E323" i="4"/>
  <c r="C323" i="4"/>
  <c r="A323" i="4" s="1"/>
  <c r="B323" i="4"/>
  <c r="AL322" i="4"/>
  <c r="F322" i="4" s="1" a="1"/>
  <c r="F322" i="4" s="1"/>
  <c r="E322" i="4" a="1"/>
  <c r="E322" i="4" s="1"/>
  <c r="C322" i="4"/>
  <c r="B322" i="4"/>
  <c r="A322" i="4"/>
  <c r="AL321" i="4"/>
  <c r="C321" i="4"/>
  <c r="A321" i="4" s="1"/>
  <c r="B321" i="4"/>
  <c r="AL320" i="4"/>
  <c r="F320" i="4" s="1" a="1"/>
  <c r="F320" i="4" s="1"/>
  <c r="E320" i="4" a="1"/>
  <c r="E320" i="4" s="1"/>
  <c r="C320" i="4"/>
  <c r="B320" i="4"/>
  <c r="A320" i="4"/>
  <c r="AL319" i="4"/>
  <c r="F319" i="4" a="1"/>
  <c r="F319" i="4"/>
  <c r="E319" i="4" a="1"/>
  <c r="E319" i="4"/>
  <c r="C319" i="4"/>
  <c r="A319" i="4" s="1"/>
  <c r="B319" i="4"/>
  <c r="AL318" i="4"/>
  <c r="F318" i="4" s="1" a="1"/>
  <c r="F318" i="4" s="1"/>
  <c r="E318" i="4" a="1"/>
  <c r="E318" i="4" s="1"/>
  <c r="C318" i="4"/>
  <c r="B318" i="4"/>
  <c r="A318" i="4"/>
  <c r="AL317" i="4"/>
  <c r="F317" i="4" s="1" a="1"/>
  <c r="F317" i="4"/>
  <c r="E317" i="4" a="1"/>
  <c r="E317" i="4" s="1"/>
  <c r="C317" i="4"/>
  <c r="A317" i="4" s="1"/>
  <c r="B317" i="4"/>
  <c r="AL316" i="4"/>
  <c r="F316" i="4" s="1" a="1"/>
  <c r="F316" i="4" s="1"/>
  <c r="E316" i="4" a="1"/>
  <c r="E316" i="4" s="1"/>
  <c r="C316" i="4"/>
  <c r="B316" i="4"/>
  <c r="A316" i="4"/>
  <c r="AL315" i="4"/>
  <c r="F315" i="4" a="1"/>
  <c r="F315" i="4"/>
  <c r="E315" i="4" a="1"/>
  <c r="E315" i="4"/>
  <c r="C315" i="4"/>
  <c r="A315" i="4" s="1"/>
  <c r="B315" i="4"/>
  <c r="AL314" i="4"/>
  <c r="F314" i="4" s="1" a="1"/>
  <c r="F314" i="4" s="1"/>
  <c r="E314" i="4" a="1"/>
  <c r="E314" i="4" s="1"/>
  <c r="C314" i="4"/>
  <c r="B314" i="4"/>
  <c r="A314" i="4"/>
  <c r="AL313" i="4"/>
  <c r="E313" i="4" s="1" a="1"/>
  <c r="E313" i="4" s="1"/>
  <c r="C313" i="4"/>
  <c r="A313" i="4" s="1"/>
  <c r="B313" i="4"/>
  <c r="AL312" i="4"/>
  <c r="F312" i="4" s="1" a="1"/>
  <c r="F312" i="4" s="1"/>
  <c r="E312" i="4" a="1"/>
  <c r="E312" i="4" s="1"/>
  <c r="C312" i="4"/>
  <c r="B312" i="4"/>
  <c r="A312" i="4"/>
  <c r="AL311" i="4"/>
  <c r="F311" i="4" a="1"/>
  <c r="F311" i="4" s="1"/>
  <c r="E311" i="4" a="1"/>
  <c r="E311" i="4"/>
  <c r="C311" i="4"/>
  <c r="H31" i="11" s="1" a="1"/>
  <c r="H31" i="11" s="1"/>
  <c r="B311" i="4"/>
  <c r="AL310" i="4"/>
  <c r="F310" i="4" s="1" a="1"/>
  <c r="F310" i="4" s="1"/>
  <c r="E310" i="4" a="1"/>
  <c r="E310" i="4" s="1"/>
  <c r="C310" i="4"/>
  <c r="B310" i="4"/>
  <c r="A310" i="4"/>
  <c r="AL309" i="4"/>
  <c r="F309" i="4" s="1" a="1"/>
  <c r="F309" i="4" s="1"/>
  <c r="E309" i="4" a="1"/>
  <c r="E309" i="4"/>
  <c r="C309" i="4"/>
  <c r="B309" i="4"/>
  <c r="AL308" i="4"/>
  <c r="F308" i="4" s="1" a="1"/>
  <c r="F308" i="4" s="1"/>
  <c r="E308" i="4" a="1"/>
  <c r="E308" i="4" s="1"/>
  <c r="C308" i="4"/>
  <c r="B308" i="4"/>
  <c r="A308" i="4"/>
  <c r="AL307" i="4"/>
  <c r="F307" i="4" a="1"/>
  <c r="F307" i="4"/>
  <c r="E307" i="4" a="1"/>
  <c r="E307" i="4"/>
  <c r="C307" i="4"/>
  <c r="A307" i="4" s="1"/>
  <c r="B307" i="4"/>
  <c r="AL306" i="4"/>
  <c r="F306" i="4" s="1" a="1"/>
  <c r="F306" i="4" s="1"/>
  <c r="E306" i="4" a="1"/>
  <c r="E306" i="4" s="1"/>
  <c r="C306" i="4"/>
  <c r="B306" i="4"/>
  <c r="A306" i="4"/>
  <c r="AL305" i="4"/>
  <c r="F305" i="4" a="1"/>
  <c r="F305" i="4"/>
  <c r="E305" i="4" a="1"/>
  <c r="E305" i="4" s="1"/>
  <c r="C305" i="4"/>
  <c r="A305" i="4" s="1"/>
  <c r="B305" i="4"/>
  <c r="AL304" i="4"/>
  <c r="F304" i="4" s="1" a="1"/>
  <c r="F304" i="4" s="1"/>
  <c r="E304" i="4" a="1"/>
  <c r="E304" i="4" s="1"/>
  <c r="C304" i="4"/>
  <c r="B304" i="4"/>
  <c r="A304" i="4"/>
  <c r="AL303" i="4"/>
  <c r="F303" i="4" a="1"/>
  <c r="F303" i="4" s="1"/>
  <c r="E303" i="4" a="1"/>
  <c r="E303" i="4"/>
  <c r="C303" i="4"/>
  <c r="A303" i="4" s="1"/>
  <c r="B303" i="4"/>
  <c r="AL302" i="4"/>
  <c r="C302" i="4"/>
  <c r="B302" i="4"/>
  <c r="A302" i="4"/>
  <c r="AL301" i="4"/>
  <c r="F301" i="4" a="1"/>
  <c r="F301" i="4"/>
  <c r="E301" i="4" a="1"/>
  <c r="E301" i="4" s="1"/>
  <c r="C301" i="4"/>
  <c r="B301" i="4"/>
  <c r="A301" i="4"/>
  <c r="AL300" i="4"/>
  <c r="E300" i="4" s="1" a="1"/>
  <c r="E300" i="4" s="1"/>
  <c r="C300" i="4"/>
  <c r="B300" i="4"/>
  <c r="A300" i="4"/>
  <c r="AL299" i="4"/>
  <c r="F299" i="4" a="1"/>
  <c r="F299" i="4"/>
  <c r="E299" i="4" a="1"/>
  <c r="E299" i="4" s="1"/>
  <c r="C299" i="4"/>
  <c r="A299" i="4" s="1"/>
  <c r="B299" i="4"/>
  <c r="AL298" i="4"/>
  <c r="E298" i="4" s="1" a="1"/>
  <c r="E298" i="4" s="1"/>
  <c r="F298" i="4" a="1"/>
  <c r="F298" i="4" s="1"/>
  <c r="C298" i="4"/>
  <c r="B298" i="4"/>
  <c r="A298" i="4"/>
  <c r="AL297" i="4"/>
  <c r="F297" i="4" a="1"/>
  <c r="F297" i="4"/>
  <c r="E297" i="4" a="1"/>
  <c r="E297" i="4" s="1"/>
  <c r="C297" i="4"/>
  <c r="B297" i="4"/>
  <c r="A297" i="4"/>
  <c r="AL296" i="4"/>
  <c r="E296" i="4" s="1" a="1"/>
  <c r="E296" i="4" s="1"/>
  <c r="F296" i="4" a="1"/>
  <c r="F296" i="4" s="1"/>
  <c r="C296" i="4"/>
  <c r="B296" i="4"/>
  <c r="A296" i="4"/>
  <c r="AL295" i="4"/>
  <c r="F295" i="4" a="1"/>
  <c r="F295" i="4"/>
  <c r="E295" i="4" a="1"/>
  <c r="E295" i="4"/>
  <c r="C295" i="4"/>
  <c r="B295" i="4"/>
  <c r="A295" i="4"/>
  <c r="AL294" i="4"/>
  <c r="E294" i="4" s="1" a="1"/>
  <c r="E294" i="4" s="1"/>
  <c r="F294" i="4" a="1"/>
  <c r="F294" i="4"/>
  <c r="C294" i="4"/>
  <c r="B294" i="4"/>
  <c r="A294" i="4"/>
  <c r="AL293" i="4"/>
  <c r="F293" i="4" a="1"/>
  <c r="F293" i="4"/>
  <c r="E293" i="4" a="1"/>
  <c r="E293" i="4" s="1"/>
  <c r="C293" i="4"/>
  <c r="B293" i="4"/>
  <c r="A293" i="4"/>
  <c r="AL292" i="4"/>
  <c r="E292" i="4" s="1" a="1"/>
  <c r="E292" i="4" s="1"/>
  <c r="F292" i="4" a="1"/>
  <c r="F292" i="4" s="1"/>
  <c r="C292" i="4"/>
  <c r="B292" i="4"/>
  <c r="A292" i="4"/>
  <c r="AL291" i="4"/>
  <c r="F291" i="4" a="1"/>
  <c r="F291" i="4"/>
  <c r="E291" i="4" a="1"/>
  <c r="E291" i="4"/>
  <c r="C291" i="4"/>
  <c r="A291" i="4" s="1"/>
  <c r="B291" i="4"/>
  <c r="AL290" i="4"/>
  <c r="E290" i="4" s="1" a="1"/>
  <c r="E290" i="4" s="1"/>
  <c r="F290" i="4" a="1"/>
  <c r="F290" i="4" s="1"/>
  <c r="C290" i="4"/>
  <c r="B290" i="4"/>
  <c r="A290" i="4"/>
  <c r="AL289" i="4"/>
  <c r="F289" i="4" a="1"/>
  <c r="F289" i="4"/>
  <c r="E289" i="4" a="1"/>
  <c r="E289" i="4"/>
  <c r="C289" i="4"/>
  <c r="B289" i="4"/>
  <c r="A289" i="4"/>
  <c r="AL288" i="4"/>
  <c r="C288" i="4"/>
  <c r="B288" i="4"/>
  <c r="A288" i="4"/>
  <c r="AL287" i="4"/>
  <c r="F287" i="4" a="1"/>
  <c r="F287" i="4"/>
  <c r="E287" i="4" a="1"/>
  <c r="E287" i="4" s="1"/>
  <c r="C287" i="4"/>
  <c r="A287" i="4" s="1"/>
  <c r="B287" i="4"/>
  <c r="AL286" i="4"/>
  <c r="C286" i="4"/>
  <c r="A286" i="4" s="1"/>
  <c r="B286" i="4"/>
  <c r="AL285" i="4"/>
  <c r="F285" i="4" s="1" a="1"/>
  <c r="F285" i="4" s="1"/>
  <c r="E285" i="4" a="1"/>
  <c r="E285" i="4" s="1"/>
  <c r="C285" i="4"/>
  <c r="B285" i="4"/>
  <c r="A285" i="4"/>
  <c r="AL284" i="4"/>
  <c r="F284" i="4" a="1"/>
  <c r="F284" i="4" s="1"/>
  <c r="E284" i="4" a="1"/>
  <c r="E284" i="4" s="1"/>
  <c r="C284" i="4"/>
  <c r="A284" i="4" s="1"/>
  <c r="B284" i="4"/>
  <c r="AL283" i="4"/>
  <c r="F283" i="4" s="1" a="1"/>
  <c r="F283" i="4" s="1"/>
  <c r="E283" i="4" a="1"/>
  <c r="E283" i="4" s="1"/>
  <c r="C283" i="4"/>
  <c r="B283" i="4"/>
  <c r="A283" i="4"/>
  <c r="AL282" i="4"/>
  <c r="F282" i="4" a="1"/>
  <c r="F282" i="4" s="1"/>
  <c r="E282" i="4" a="1"/>
  <c r="E282" i="4" s="1"/>
  <c r="C282" i="4"/>
  <c r="A282" i="4" s="1"/>
  <c r="B282" i="4"/>
  <c r="AL281" i="4"/>
  <c r="F281" i="4" s="1" a="1"/>
  <c r="F281" i="4" s="1"/>
  <c r="E281" i="4" a="1"/>
  <c r="E281" i="4" s="1"/>
  <c r="C281" i="4"/>
  <c r="H350" i="11" s="1" a="1"/>
  <c r="H350" i="11" s="1"/>
  <c r="B281" i="4"/>
  <c r="A281" i="4"/>
  <c r="AL280" i="4"/>
  <c r="E280" i="4" s="1" a="1"/>
  <c r="E280" i="4" s="1"/>
  <c r="F280" i="4" a="1"/>
  <c r="F280" i="4"/>
  <c r="C280" i="4"/>
  <c r="A280" i="4" s="1"/>
  <c r="B280" i="4"/>
  <c r="AL279" i="4"/>
  <c r="F279" i="4" s="1" a="1"/>
  <c r="F279" i="4" s="1"/>
  <c r="E279" i="4" a="1"/>
  <c r="E279" i="4" s="1"/>
  <c r="C279" i="4"/>
  <c r="B279" i="4"/>
  <c r="A279" i="4"/>
  <c r="AL278" i="4"/>
  <c r="E278" i="4" s="1" a="1"/>
  <c r="E278" i="4" s="1"/>
  <c r="F278" i="4" a="1"/>
  <c r="F278" i="4" s="1"/>
  <c r="C278" i="4"/>
  <c r="A278" i="4" s="1"/>
  <c r="B278" i="4"/>
  <c r="AL277" i="4"/>
  <c r="F277" i="4" s="1" a="1"/>
  <c r="F277" i="4" s="1"/>
  <c r="E277" i="4" a="1"/>
  <c r="E277" i="4" s="1"/>
  <c r="C277" i="4"/>
  <c r="B277" i="4"/>
  <c r="A277" i="4"/>
  <c r="AL276" i="4"/>
  <c r="F276" i="4" a="1"/>
  <c r="F276" i="4"/>
  <c r="E276" i="4" a="1"/>
  <c r="E276" i="4"/>
  <c r="C276" i="4"/>
  <c r="A276" i="4" s="1"/>
  <c r="B276" i="4"/>
  <c r="AL275" i="4"/>
  <c r="F275" i="4" s="1" a="1"/>
  <c r="F275" i="4" s="1"/>
  <c r="E275" i="4" a="1"/>
  <c r="E275" i="4" s="1"/>
  <c r="C275" i="4"/>
  <c r="B275" i="4"/>
  <c r="A275" i="4"/>
  <c r="AL274" i="4"/>
  <c r="F274" i="4" a="1"/>
  <c r="F274" i="4" s="1"/>
  <c r="E274" i="4" a="1"/>
  <c r="E274" i="4" s="1"/>
  <c r="C274" i="4"/>
  <c r="A274" i="4" s="1"/>
  <c r="B274" i="4"/>
  <c r="AL273" i="4"/>
  <c r="F273" i="4" s="1" a="1"/>
  <c r="F273" i="4" s="1"/>
  <c r="E273" i="4" a="1"/>
  <c r="E273" i="4" s="1"/>
  <c r="C273" i="4"/>
  <c r="B273" i="4"/>
  <c r="A273" i="4"/>
  <c r="AL272" i="4"/>
  <c r="C272" i="4"/>
  <c r="A272" i="4" s="1"/>
  <c r="B272" i="4"/>
  <c r="AL271" i="4"/>
  <c r="F271" i="4" s="1" a="1"/>
  <c r="F271" i="4" s="1"/>
  <c r="E271" i="4" a="1"/>
  <c r="E271" i="4" s="1"/>
  <c r="C271" i="4"/>
  <c r="B271" i="4"/>
  <c r="A271" i="4"/>
  <c r="AL270" i="4"/>
  <c r="F270" i="4" a="1"/>
  <c r="F270" i="4"/>
  <c r="E270" i="4" a="1"/>
  <c r="E270" i="4"/>
  <c r="C270" i="4"/>
  <c r="A270" i="4" s="1"/>
  <c r="B270" i="4"/>
  <c r="AL269" i="4"/>
  <c r="F269" i="4" s="1" a="1"/>
  <c r="F269" i="4" s="1"/>
  <c r="E269" i="4" a="1"/>
  <c r="E269" i="4" s="1"/>
  <c r="C269" i="4"/>
  <c r="B269" i="4"/>
  <c r="A269" i="4"/>
  <c r="AL268" i="4"/>
  <c r="F268" i="4" a="1"/>
  <c r="F268" i="4" s="1"/>
  <c r="E268" i="4" a="1"/>
  <c r="E268" i="4" s="1"/>
  <c r="C268" i="4"/>
  <c r="A268" i="4" s="1"/>
  <c r="B268" i="4"/>
  <c r="AL267" i="4"/>
  <c r="F267" i="4" s="1" a="1"/>
  <c r="F267" i="4" s="1"/>
  <c r="E267" i="4" a="1"/>
  <c r="E267" i="4" s="1"/>
  <c r="C267" i="4"/>
  <c r="B267" i="4"/>
  <c r="A267" i="4"/>
  <c r="AL266" i="4"/>
  <c r="F266" i="4" a="1"/>
  <c r="F266" i="4" s="1"/>
  <c r="E266" i="4" a="1"/>
  <c r="E266" i="4" s="1"/>
  <c r="C266" i="4"/>
  <c r="A266" i="4" s="1"/>
  <c r="B266" i="4"/>
  <c r="AL265" i="4"/>
  <c r="F265" i="4" s="1" a="1"/>
  <c r="F265" i="4" s="1"/>
  <c r="E265" i="4" a="1"/>
  <c r="E265" i="4" s="1"/>
  <c r="C265" i="4"/>
  <c r="B265" i="4"/>
  <c r="A265" i="4"/>
  <c r="AL264" i="4"/>
  <c r="E264" i="4" s="1" a="1"/>
  <c r="E264" i="4" s="1"/>
  <c r="F264" i="4" a="1"/>
  <c r="F264" i="4" s="1"/>
  <c r="C264" i="4"/>
  <c r="A264" i="4" s="1"/>
  <c r="B264" i="4"/>
  <c r="AL263" i="4"/>
  <c r="F263" i="4" s="1" a="1"/>
  <c r="F263" i="4" s="1"/>
  <c r="E263" i="4" a="1"/>
  <c r="E263" i="4" s="1"/>
  <c r="C263" i="4"/>
  <c r="B263" i="4"/>
  <c r="A263" i="4"/>
  <c r="AL262" i="4"/>
  <c r="F262" i="4" s="1" a="1"/>
  <c r="F262" i="4" s="1"/>
  <c r="E262" i="4" a="1"/>
  <c r="E262" i="4"/>
  <c r="C262" i="4"/>
  <c r="A262" i="4" s="1"/>
  <c r="B262" i="4"/>
  <c r="AL261" i="4"/>
  <c r="F261" i="4" s="1" a="1"/>
  <c r="F261" i="4" s="1"/>
  <c r="E261" i="4" a="1"/>
  <c r="E261" i="4" s="1"/>
  <c r="C261" i="4"/>
  <c r="B261" i="4"/>
  <c r="A261" i="4"/>
  <c r="AL260" i="4"/>
  <c r="F260" i="4" a="1"/>
  <c r="F260" i="4" s="1"/>
  <c r="E260" i="4" a="1"/>
  <c r="E260" i="4"/>
  <c r="C260" i="4"/>
  <c r="A260" i="4" s="1"/>
  <c r="B260" i="4"/>
  <c r="AL259" i="4"/>
  <c r="C259" i="4"/>
  <c r="B259" i="4"/>
  <c r="A259" i="4"/>
  <c r="AL258" i="4"/>
  <c r="F258" i="4" a="1"/>
  <c r="F258" i="4"/>
  <c r="E258" i="4" a="1"/>
  <c r="E258" i="4"/>
  <c r="C258" i="4"/>
  <c r="B258" i="4"/>
  <c r="A258" i="4"/>
  <c r="AL257" i="4"/>
  <c r="E257" i="4" s="1" a="1"/>
  <c r="E257" i="4" s="1"/>
  <c r="F257" i="4" a="1"/>
  <c r="F257" i="4" s="1"/>
  <c r="C257" i="4"/>
  <c r="B257" i="4"/>
  <c r="A257" i="4"/>
  <c r="AL256" i="4"/>
  <c r="F256" i="4" a="1"/>
  <c r="F256" i="4"/>
  <c r="E256" i="4" a="1"/>
  <c r="E256" i="4"/>
  <c r="C256" i="4"/>
  <c r="A256" i="4" s="1"/>
  <c r="B256" i="4"/>
  <c r="AL255" i="4"/>
  <c r="E255" i="4" s="1" a="1"/>
  <c r="E255" i="4" s="1"/>
  <c r="F255" i="4" a="1"/>
  <c r="F255" i="4" s="1"/>
  <c r="C255" i="4"/>
  <c r="B255" i="4"/>
  <c r="A255" i="4"/>
  <c r="AL254" i="4"/>
  <c r="F254" i="4" a="1"/>
  <c r="F254" i="4"/>
  <c r="E254" i="4" a="1"/>
  <c r="E254" i="4" s="1"/>
  <c r="C254" i="4"/>
  <c r="A254" i="4" s="1"/>
  <c r="B254" i="4"/>
  <c r="AL253" i="4"/>
  <c r="E253" i="4" s="1" a="1"/>
  <c r="E253" i="4" s="1"/>
  <c r="C253" i="4"/>
  <c r="B253" i="4"/>
  <c r="A253" i="4"/>
  <c r="AL252" i="4"/>
  <c r="F252" i="4" a="1"/>
  <c r="F252" i="4"/>
  <c r="E252" i="4" a="1"/>
  <c r="E252" i="4" s="1"/>
  <c r="C252" i="4"/>
  <c r="A252" i="4" s="1"/>
  <c r="B252" i="4"/>
  <c r="AL251" i="4"/>
  <c r="C251" i="4"/>
  <c r="A251" i="4" s="1"/>
  <c r="B251" i="4"/>
  <c r="AL250" i="4"/>
  <c r="F250" i="4" s="1" a="1"/>
  <c r="F250" i="4" s="1"/>
  <c r="E250" i="4" a="1"/>
  <c r="E250" i="4" s="1"/>
  <c r="C250" i="4"/>
  <c r="B250" i="4"/>
  <c r="A250" i="4"/>
  <c r="AL249" i="4"/>
  <c r="F249" i="4" a="1"/>
  <c r="F249" i="4" s="1"/>
  <c r="E249" i="4" a="1"/>
  <c r="E249" i="4"/>
  <c r="C249" i="4"/>
  <c r="A249" i="4" s="1"/>
  <c r="B249" i="4"/>
  <c r="AL248" i="4"/>
  <c r="C248" i="4"/>
  <c r="B248" i="4"/>
  <c r="A248" i="4"/>
  <c r="AL247" i="4"/>
  <c r="F247" i="4" a="1"/>
  <c r="F247" i="4"/>
  <c r="E247" i="4" a="1"/>
  <c r="E247" i="4" s="1"/>
  <c r="C247" i="4"/>
  <c r="B247" i="4"/>
  <c r="A247" i="4"/>
  <c r="AL246" i="4"/>
  <c r="C246" i="4"/>
  <c r="A246" i="4" s="1"/>
  <c r="B246" i="4"/>
  <c r="AL245" i="4"/>
  <c r="F245" i="4" s="1" a="1"/>
  <c r="F245" i="4" s="1"/>
  <c r="E245" i="4" a="1"/>
  <c r="E245" i="4" s="1"/>
  <c r="C245" i="4"/>
  <c r="B245" i="4"/>
  <c r="A245" i="4"/>
  <c r="AL244" i="4"/>
  <c r="F244" i="4" a="1"/>
  <c r="F244" i="4"/>
  <c r="E244" i="4" a="1"/>
  <c r="E244" i="4" s="1"/>
  <c r="C244" i="4"/>
  <c r="A244" i="4" s="1"/>
  <c r="B244" i="4"/>
  <c r="AL243" i="4"/>
  <c r="F243" i="4" s="1" a="1"/>
  <c r="F243" i="4" s="1"/>
  <c r="E243" i="4" a="1"/>
  <c r="E243" i="4" s="1"/>
  <c r="C243" i="4"/>
  <c r="B243" i="4"/>
  <c r="A243" i="4"/>
  <c r="AL242" i="4"/>
  <c r="F242" i="4" a="1"/>
  <c r="F242" i="4" s="1"/>
  <c r="E242" i="4" a="1"/>
  <c r="E242" i="4" s="1"/>
  <c r="C242" i="4"/>
  <c r="A242" i="4" s="1"/>
  <c r="B242" i="4"/>
  <c r="AL241" i="4"/>
  <c r="F241" i="4" s="1" a="1"/>
  <c r="F241" i="4" s="1"/>
  <c r="E241" i="4" a="1"/>
  <c r="E241" i="4" s="1"/>
  <c r="C241" i="4"/>
  <c r="B241" i="4"/>
  <c r="A241" i="4"/>
  <c r="AL240" i="4"/>
  <c r="C240" i="4"/>
  <c r="A240" i="4" s="1"/>
  <c r="B240" i="4"/>
  <c r="AL239" i="4"/>
  <c r="C239" i="4"/>
  <c r="B239" i="4"/>
  <c r="A239" i="4"/>
  <c r="AL238" i="4"/>
  <c r="F238" i="4" a="1"/>
  <c r="F238" i="4"/>
  <c r="E238" i="4" a="1"/>
  <c r="E238" i="4"/>
  <c r="C238" i="4"/>
  <c r="A238" i="4" s="1"/>
  <c r="B238" i="4"/>
  <c r="AL237" i="4"/>
  <c r="E237" i="4" s="1" a="1"/>
  <c r="E237" i="4" s="1"/>
  <c r="F237" i="4" a="1"/>
  <c r="F237" i="4"/>
  <c r="C237" i="4"/>
  <c r="B237" i="4"/>
  <c r="A237" i="4"/>
  <c r="AL236" i="4"/>
  <c r="F236" i="4" a="1"/>
  <c r="F236" i="4"/>
  <c r="E236" i="4" a="1"/>
  <c r="E236" i="4"/>
  <c r="C236" i="4"/>
  <c r="B236" i="4"/>
  <c r="A236" i="4"/>
  <c r="AL235" i="4"/>
  <c r="E235" i="4" s="1" a="1"/>
  <c r="E235" i="4" s="1"/>
  <c r="F235" i="4" a="1"/>
  <c r="F235" i="4" s="1"/>
  <c r="C235" i="4"/>
  <c r="B235" i="4"/>
  <c r="A235" i="4"/>
  <c r="AL234" i="4"/>
  <c r="F234" i="4" a="1"/>
  <c r="F234" i="4"/>
  <c r="E234" i="4" a="1"/>
  <c r="E234" i="4"/>
  <c r="C234" i="4"/>
  <c r="B234" i="4"/>
  <c r="A234" i="4"/>
  <c r="AL233" i="4"/>
  <c r="E233" i="4" s="1" a="1"/>
  <c r="E233" i="4" s="1"/>
  <c r="F233" i="4" a="1"/>
  <c r="F233" i="4"/>
  <c r="C233" i="4"/>
  <c r="B233" i="4"/>
  <c r="A233" i="4"/>
  <c r="AL232" i="4"/>
  <c r="F232" i="4" a="1"/>
  <c r="F232" i="4"/>
  <c r="E232" i="4" a="1"/>
  <c r="E232" i="4"/>
  <c r="C232" i="4"/>
  <c r="A232" i="4" s="1"/>
  <c r="B232" i="4"/>
  <c r="AL231" i="4"/>
  <c r="E231" i="4" s="1" a="1"/>
  <c r="E231" i="4" s="1"/>
  <c r="F231" i="4" a="1"/>
  <c r="F231" i="4" s="1"/>
  <c r="C231" i="4"/>
  <c r="B231" i="4"/>
  <c r="A231" i="4"/>
  <c r="AL230" i="4"/>
  <c r="F230" i="4" a="1"/>
  <c r="F230" i="4"/>
  <c r="E230" i="4" a="1"/>
  <c r="E230" i="4"/>
  <c r="C230" i="4"/>
  <c r="B230" i="4"/>
  <c r="A230" i="4"/>
  <c r="AL229" i="4"/>
  <c r="C229" i="4"/>
  <c r="B229" i="4"/>
  <c r="A229" i="4"/>
  <c r="AL228" i="4"/>
  <c r="F228" i="4" a="1"/>
  <c r="F228" i="4"/>
  <c r="E228" i="4" a="1"/>
  <c r="E228" i="4"/>
  <c r="C228" i="4"/>
  <c r="A228" i="4" s="1"/>
  <c r="B228" i="4"/>
  <c r="AL227" i="4"/>
  <c r="E227" i="4" s="1" a="1"/>
  <c r="E227" i="4" s="1"/>
  <c r="F227" i="4" a="1"/>
  <c r="F227" i="4" s="1"/>
  <c r="C227" i="4"/>
  <c r="B227" i="4"/>
  <c r="A227" i="4"/>
  <c r="AL226" i="4"/>
  <c r="F226" i="4" a="1"/>
  <c r="F226" i="4"/>
  <c r="E226" i="4" a="1"/>
  <c r="E226" i="4" s="1"/>
  <c r="C226" i="4"/>
  <c r="A226" i="4" s="1"/>
  <c r="B226" i="4"/>
  <c r="AL225" i="4"/>
  <c r="E225" i="4" s="1" a="1"/>
  <c r="E225" i="4" s="1"/>
  <c r="C225" i="4"/>
  <c r="B225" i="4"/>
  <c r="A225" i="4"/>
  <c r="AL224" i="4"/>
  <c r="F224" i="4" a="1"/>
  <c r="F224" i="4"/>
  <c r="E224" i="4" a="1"/>
  <c r="E224" i="4" s="1"/>
  <c r="C224" i="4"/>
  <c r="A224" i="4" s="1"/>
  <c r="B224" i="4"/>
  <c r="AL223" i="4"/>
  <c r="E223" i="4" s="1" a="1"/>
  <c r="E223" i="4" s="1"/>
  <c r="C223" i="4"/>
  <c r="B223" i="4"/>
  <c r="A223" i="4"/>
  <c r="AL222" i="4"/>
  <c r="F222" i="4" a="1"/>
  <c r="F222" i="4"/>
  <c r="E222" i="4" a="1"/>
  <c r="E222" i="4" s="1"/>
  <c r="C222" i="4"/>
  <c r="A222" i="4" s="1"/>
  <c r="B222" i="4"/>
  <c r="AL221" i="4"/>
  <c r="E221" i="4" s="1" a="1"/>
  <c r="E221" i="4" s="1"/>
  <c r="F221" i="4" a="1"/>
  <c r="F221" i="4"/>
  <c r="C221" i="4"/>
  <c r="B221" i="4"/>
  <c r="A221" i="4"/>
  <c r="AL220" i="4"/>
  <c r="F220" i="4" a="1"/>
  <c r="F220" i="4"/>
  <c r="E220" i="4" a="1"/>
  <c r="E220" i="4"/>
  <c r="C220" i="4"/>
  <c r="B220" i="4"/>
  <c r="A220" i="4"/>
  <c r="AL219" i="4"/>
  <c r="C219" i="4"/>
  <c r="B219" i="4"/>
  <c r="A219" i="4"/>
  <c r="AL218" i="4"/>
  <c r="F218" i="4" a="1"/>
  <c r="F218" i="4"/>
  <c r="E218" i="4" a="1"/>
  <c r="E218" i="4"/>
  <c r="C218" i="4"/>
  <c r="B218" i="4"/>
  <c r="A218" i="4"/>
  <c r="AL217" i="4"/>
  <c r="E217" i="4" s="1" a="1"/>
  <c r="E217" i="4" s="1"/>
  <c r="C217" i="4"/>
  <c r="B217" i="4"/>
  <c r="A217" i="4"/>
  <c r="AL216" i="4"/>
  <c r="F216" i="4" a="1"/>
  <c r="F216" i="4"/>
  <c r="E216" i="4" a="1"/>
  <c r="E216" i="4"/>
  <c r="C216" i="4"/>
  <c r="A216" i="4" s="1"/>
  <c r="B216" i="4"/>
  <c r="AL215" i="4"/>
  <c r="E215" i="4" s="1" a="1"/>
  <c r="E215" i="4" s="1"/>
  <c r="F215" i="4" a="1"/>
  <c r="F215" i="4" s="1"/>
  <c r="C215" i="4"/>
  <c r="B215" i="4"/>
  <c r="A215" i="4"/>
  <c r="AL214" i="4"/>
  <c r="F214" i="4" a="1"/>
  <c r="F214" i="4"/>
  <c r="E214" i="4" a="1"/>
  <c r="E214" i="4"/>
  <c r="C214" i="4"/>
  <c r="B214" i="4"/>
  <c r="A214" i="4"/>
  <c r="AL213" i="4"/>
  <c r="C213" i="4"/>
  <c r="B213" i="4"/>
  <c r="A213" i="4"/>
  <c r="AL212" i="4"/>
  <c r="F212" i="4" a="1"/>
  <c r="F212" i="4"/>
  <c r="E212" i="4" a="1"/>
  <c r="E212" i="4"/>
  <c r="C212" i="4"/>
  <c r="A212" i="4" s="1"/>
  <c r="B212" i="4"/>
  <c r="AL211" i="4"/>
  <c r="C211" i="4"/>
  <c r="B211" i="4"/>
  <c r="A211" i="4"/>
  <c r="AL210" i="4"/>
  <c r="F210" i="4" a="1"/>
  <c r="F210" i="4"/>
  <c r="E210" i="4" a="1"/>
  <c r="E210" i="4" s="1"/>
  <c r="C210" i="4"/>
  <c r="A210" i="4" s="1"/>
  <c r="B210" i="4"/>
  <c r="AL209" i="4"/>
  <c r="E209" i="4" s="1" a="1"/>
  <c r="E209" i="4" s="1"/>
  <c r="C209" i="4"/>
  <c r="B209" i="4"/>
  <c r="A209" i="4"/>
  <c r="AL208" i="4"/>
  <c r="F208" i="4" a="1"/>
  <c r="F208" i="4"/>
  <c r="E208" i="4" a="1"/>
  <c r="E208" i="4"/>
  <c r="C208" i="4"/>
  <c r="B208" i="4"/>
  <c r="AL207" i="4"/>
  <c r="E207" i="4" s="1" a="1"/>
  <c r="E207" i="4" s="1"/>
  <c r="C207" i="4"/>
  <c r="B207" i="4"/>
  <c r="A207" i="4"/>
  <c r="AL206" i="4"/>
  <c r="F206" i="4" a="1"/>
  <c r="F206" i="4"/>
  <c r="E206" i="4" a="1"/>
  <c r="E206" i="4" s="1"/>
  <c r="C43" i="1" s="1" a="1"/>
  <c r="C43" i="1" s="1"/>
  <c r="C206" i="4"/>
  <c r="B206" i="4"/>
  <c r="AL205" i="4"/>
  <c r="E205" i="4" s="1" a="1"/>
  <c r="E205" i="4" s="1"/>
  <c r="F205" i="4" a="1"/>
  <c r="F205" i="4"/>
  <c r="C205" i="4"/>
  <c r="B205" i="4"/>
  <c r="A205" i="4"/>
  <c r="AL204" i="4"/>
  <c r="F204" i="4" a="1"/>
  <c r="F204" i="4"/>
  <c r="E204" i="4" a="1"/>
  <c r="E204" i="4"/>
  <c r="C204" i="4"/>
  <c r="B204" i="4"/>
  <c r="A204" i="4"/>
  <c r="AL203" i="4"/>
  <c r="E203" i="4" s="1" a="1"/>
  <c r="E203" i="4" s="1"/>
  <c r="F203" i="4" a="1"/>
  <c r="F203" i="4" s="1"/>
  <c r="C203" i="4"/>
  <c r="B203" i="4"/>
  <c r="A203" i="4"/>
  <c r="AL202" i="4"/>
  <c r="F202" i="4" a="1"/>
  <c r="F202" i="4"/>
  <c r="E202" i="4" a="1"/>
  <c r="E202" i="4"/>
  <c r="C202" i="4"/>
  <c r="B202" i="4"/>
  <c r="AL201" i="4"/>
  <c r="E201" i="4" s="1" a="1"/>
  <c r="E201" i="4" s="1"/>
  <c r="F201" i="4" a="1"/>
  <c r="F201" i="4"/>
  <c r="C201" i="4"/>
  <c r="B201" i="4"/>
  <c r="A201" i="4"/>
  <c r="AL200" i="4"/>
  <c r="F200" i="4" a="1"/>
  <c r="F200" i="4"/>
  <c r="E200" i="4" a="1"/>
  <c r="E200" i="4"/>
  <c r="C200" i="4"/>
  <c r="B200" i="4"/>
  <c r="A200" i="4"/>
  <c r="AL199" i="4"/>
  <c r="E199" i="4" s="1" a="1"/>
  <c r="E199" i="4" s="1"/>
  <c r="F199" i="4" a="1"/>
  <c r="F199" i="4"/>
  <c r="C199" i="4"/>
  <c r="B199" i="4"/>
  <c r="A199" i="4"/>
  <c r="AL198" i="4"/>
  <c r="F198" i="4" a="1"/>
  <c r="F198" i="4"/>
  <c r="E198" i="4" a="1"/>
  <c r="E198" i="4"/>
  <c r="C198" i="4"/>
  <c r="B198" i="4"/>
  <c r="A198" i="4"/>
  <c r="AL197" i="4"/>
  <c r="E197" i="4" s="1" a="1"/>
  <c r="E197" i="4" s="1"/>
  <c r="F197" i="4" a="1"/>
  <c r="F197" i="4" s="1"/>
  <c r="C197" i="4"/>
  <c r="B197" i="4"/>
  <c r="A197" i="4"/>
  <c r="AL196" i="4"/>
  <c r="C196" i="4"/>
  <c r="B196" i="4"/>
  <c r="A196" i="4"/>
  <c r="AL195" i="4"/>
  <c r="F195" i="4" s="1" a="1"/>
  <c r="F195" i="4" s="1"/>
  <c r="C195" i="4"/>
  <c r="A195" i="4" s="1"/>
  <c r="B195" i="4"/>
  <c r="AL194" i="4"/>
  <c r="F194" i="4" s="1" a="1"/>
  <c r="F194" i="4" s="1"/>
  <c r="E194" i="4" a="1"/>
  <c r="E194" i="4" s="1"/>
  <c r="C194" i="4"/>
  <c r="B194" i="4"/>
  <c r="A194" i="4"/>
  <c r="AL193" i="4"/>
  <c r="E193" i="4" s="1" a="1"/>
  <c r="E193" i="4" s="1"/>
  <c r="F193" i="4" a="1"/>
  <c r="F193" i="4" s="1"/>
  <c r="C193" i="4"/>
  <c r="A193" i="4" s="1"/>
  <c r="B193" i="4"/>
  <c r="AL192" i="4"/>
  <c r="F192" i="4" s="1" a="1"/>
  <c r="F192" i="4" s="1"/>
  <c r="E192" i="4" a="1"/>
  <c r="E192" i="4" s="1"/>
  <c r="C192" i="4"/>
  <c r="B192" i="4"/>
  <c r="A192" i="4"/>
  <c r="AL191" i="4"/>
  <c r="F191" i="4" s="1" a="1"/>
  <c r="F191" i="4"/>
  <c r="E191" i="4" a="1"/>
  <c r="E191" i="4"/>
  <c r="C191" i="4"/>
  <c r="A191" i="4" s="1"/>
  <c r="B191" i="4"/>
  <c r="AL190" i="4"/>
  <c r="F190" i="4" s="1" a="1"/>
  <c r="F190" i="4" s="1"/>
  <c r="E190" i="4" a="1"/>
  <c r="E190" i="4" s="1"/>
  <c r="C190" i="4"/>
  <c r="B190" i="4"/>
  <c r="A190" i="4"/>
  <c r="AL189" i="4"/>
  <c r="F189" i="4" s="1" a="1"/>
  <c r="F189" i="4" s="1"/>
  <c r="E189" i="4" a="1"/>
  <c r="E189" i="4" s="1"/>
  <c r="C189" i="4"/>
  <c r="A189" i="4" s="1"/>
  <c r="B189" i="4"/>
  <c r="AL188" i="4"/>
  <c r="F188" i="4" s="1" a="1"/>
  <c r="F188" i="4" s="1"/>
  <c r="E188" i="4" a="1"/>
  <c r="E188" i="4" s="1"/>
  <c r="C188" i="4"/>
  <c r="B188" i="4"/>
  <c r="A188" i="4"/>
  <c r="AL187" i="4"/>
  <c r="F187" i="4" s="1" a="1"/>
  <c r="F187" i="4" s="1"/>
  <c r="C187" i="4"/>
  <c r="A187" i="4" s="1"/>
  <c r="B187" i="4"/>
  <c r="AL186" i="4"/>
  <c r="F186" i="4" s="1" a="1"/>
  <c r="F186" i="4" s="1"/>
  <c r="E186" i="4" a="1"/>
  <c r="E186" i="4" s="1"/>
  <c r="C186" i="4"/>
  <c r="B186" i="4"/>
  <c r="A186" i="4"/>
  <c r="AL185" i="4"/>
  <c r="E185" i="4" s="1" a="1"/>
  <c r="E185" i="4" s="1"/>
  <c r="F185" i="4" a="1"/>
  <c r="F185" i="4" s="1"/>
  <c r="C185" i="4"/>
  <c r="A185" i="4" s="1"/>
  <c r="B185" i="4"/>
  <c r="AL184" i="4"/>
  <c r="F184" i="4" s="1" a="1"/>
  <c r="F184" i="4" s="1"/>
  <c r="E184" i="4" a="1"/>
  <c r="E184" i="4" s="1"/>
  <c r="C184" i="4"/>
  <c r="B184" i="4"/>
  <c r="A184" i="4"/>
  <c r="AL183" i="4"/>
  <c r="C183" i="4"/>
  <c r="A183" i="4" s="1"/>
  <c r="B183" i="4"/>
  <c r="AL182" i="4"/>
  <c r="F182" i="4" s="1" a="1"/>
  <c r="F182" i="4" s="1"/>
  <c r="E182" i="4" a="1"/>
  <c r="E182" i="4" s="1"/>
  <c r="C182" i="4"/>
  <c r="B182" i="4"/>
  <c r="A182" i="4"/>
  <c r="AL181" i="4"/>
  <c r="F181" i="4" s="1" a="1"/>
  <c r="F181" i="4" s="1"/>
  <c r="E181" i="4" a="1"/>
  <c r="E181" i="4" s="1"/>
  <c r="C181" i="4"/>
  <c r="A181" i="4" s="1"/>
  <c r="B181" i="4"/>
  <c r="AL180" i="4"/>
  <c r="F180" i="4" s="1" a="1"/>
  <c r="F180" i="4" s="1"/>
  <c r="E180" i="4" a="1"/>
  <c r="E180" i="4" s="1"/>
  <c r="C180" i="4"/>
  <c r="B180" i="4"/>
  <c r="A180" i="4"/>
  <c r="AL179" i="4"/>
  <c r="F179" i="4" s="1" a="1"/>
  <c r="F179" i="4" s="1"/>
  <c r="C179" i="4"/>
  <c r="A179" i="4" s="1"/>
  <c r="B179" i="4"/>
  <c r="AL178" i="4"/>
  <c r="F178" i="4" s="1" a="1"/>
  <c r="F178" i="4" s="1"/>
  <c r="E178" i="4" a="1"/>
  <c r="E178" i="4" s="1"/>
  <c r="C178" i="4"/>
  <c r="B178" i="4"/>
  <c r="A178" i="4"/>
  <c r="AL177" i="4"/>
  <c r="E177" i="4" s="1" a="1"/>
  <c r="E177" i="4" s="1"/>
  <c r="F177" i="4" a="1"/>
  <c r="F177" i="4" s="1"/>
  <c r="C177" i="4"/>
  <c r="A177" i="4" s="1"/>
  <c r="B177" i="4"/>
  <c r="AL176" i="4"/>
  <c r="F176" i="4" s="1" a="1"/>
  <c r="F176" i="4" s="1"/>
  <c r="E176" i="4" a="1"/>
  <c r="E176" i="4" s="1"/>
  <c r="C176" i="4"/>
  <c r="B176" i="4"/>
  <c r="A176" i="4"/>
  <c r="AL175" i="4"/>
  <c r="F175" i="4" s="1" a="1"/>
  <c r="F175" i="4" s="1"/>
  <c r="C175" i="4"/>
  <c r="A175" i="4" s="1"/>
  <c r="B175" i="4"/>
  <c r="AL174" i="4"/>
  <c r="F174" i="4" s="1" a="1"/>
  <c r="F174" i="4" s="1"/>
  <c r="E174" i="4" a="1"/>
  <c r="E174" i="4" s="1"/>
  <c r="C174" i="4"/>
  <c r="B174" i="4"/>
  <c r="A174" i="4"/>
  <c r="AL173" i="4"/>
  <c r="F173" i="4" s="1" a="1"/>
  <c r="F173" i="4"/>
  <c r="E173" i="4" a="1"/>
  <c r="E173" i="4"/>
  <c r="C173" i="4"/>
  <c r="A173" i="4" s="1"/>
  <c r="B173" i="4"/>
  <c r="AL172" i="4"/>
  <c r="F172" i="4" s="1" a="1"/>
  <c r="F172" i="4" s="1"/>
  <c r="E172" i="4" a="1"/>
  <c r="E172" i="4" s="1"/>
  <c r="C172" i="4"/>
  <c r="B172" i="4"/>
  <c r="A172" i="4"/>
  <c r="AL171" i="4"/>
  <c r="F171" i="4" s="1" a="1"/>
  <c r="F171" i="4" s="1"/>
  <c r="C171" i="4"/>
  <c r="A171" i="4" s="1"/>
  <c r="B171" i="4"/>
  <c r="AL170" i="4"/>
  <c r="F170" i="4" s="1" a="1"/>
  <c r="F170" i="4" s="1"/>
  <c r="E170" i="4" a="1"/>
  <c r="E170" i="4" s="1"/>
  <c r="C170" i="4"/>
  <c r="B170" i="4"/>
  <c r="A170" i="4"/>
  <c r="AL169" i="4"/>
  <c r="C169" i="4"/>
  <c r="B169" i="4"/>
  <c r="AL168" i="4"/>
  <c r="F168" i="4" s="1" a="1"/>
  <c r="F168" i="4" s="1"/>
  <c r="E168" i="4" a="1"/>
  <c r="E168" i="4" s="1"/>
  <c r="C168" i="4"/>
  <c r="B168" i="4"/>
  <c r="A168" i="4"/>
  <c r="AL167" i="4"/>
  <c r="E167" i="4" s="1" a="1"/>
  <c r="F167" i="4" a="1"/>
  <c r="F167" i="4" s="1"/>
  <c r="E167" i="4"/>
  <c r="C167" i="4"/>
  <c r="A167" i="4" s="1"/>
  <c r="B167" i="4"/>
  <c r="AL166" i="4"/>
  <c r="F166" i="4" s="1" a="1"/>
  <c r="F166" i="4" s="1"/>
  <c r="E166" i="4" a="1"/>
  <c r="E166" i="4" s="1"/>
  <c r="C166" i="4"/>
  <c r="B166" i="4"/>
  <c r="A166" i="4"/>
  <c r="AL165" i="4"/>
  <c r="C165" i="4"/>
  <c r="A165" i="4" s="1"/>
  <c r="B165" i="4"/>
  <c r="AL164" i="4"/>
  <c r="F164" i="4" s="1" a="1"/>
  <c r="F164" i="4" s="1"/>
  <c r="E164" i="4" a="1"/>
  <c r="E164" i="4" s="1"/>
  <c r="C164" i="4"/>
  <c r="B164" i="4"/>
  <c r="A164" i="4"/>
  <c r="AL163" i="4"/>
  <c r="F163" i="4" s="1" a="1"/>
  <c r="F163" i="4" s="1"/>
  <c r="C163" i="4"/>
  <c r="A163" i="4" s="1"/>
  <c r="B163" i="4"/>
  <c r="AL162" i="4"/>
  <c r="F162" i="4" s="1" a="1"/>
  <c r="F162" i="4" s="1"/>
  <c r="E162" i="4" a="1"/>
  <c r="E162" i="4" s="1"/>
  <c r="C162" i="4"/>
  <c r="B162" i="4"/>
  <c r="A162" i="4"/>
  <c r="AL161" i="4"/>
  <c r="C161" i="4"/>
  <c r="A161" i="4" s="1"/>
  <c r="B161" i="4"/>
  <c r="AL160" i="4"/>
  <c r="F160" i="4" s="1" a="1"/>
  <c r="F160" i="4" s="1"/>
  <c r="E160" i="4" a="1"/>
  <c r="E160" i="4" s="1"/>
  <c r="C160" i="4"/>
  <c r="B160" i="4"/>
  <c r="A160" i="4"/>
  <c r="AL159" i="4"/>
  <c r="C159" i="4"/>
  <c r="A159" i="4" s="1"/>
  <c r="B159" i="4"/>
  <c r="AL158" i="4"/>
  <c r="F158" i="4" s="1" a="1"/>
  <c r="F158" i="4" s="1"/>
  <c r="E158" i="4" a="1"/>
  <c r="E158" i="4" s="1"/>
  <c r="C158" i="4"/>
  <c r="B158" i="4"/>
  <c r="A158" i="4"/>
  <c r="AL157" i="4"/>
  <c r="F157" i="4" a="1"/>
  <c r="F157" i="4"/>
  <c r="E157" i="4" a="1"/>
  <c r="E157" i="4" s="1"/>
  <c r="C61" i="1" s="1" a="1"/>
  <c r="C61" i="1" s="1"/>
  <c r="C157" i="4"/>
  <c r="B157" i="4"/>
  <c r="AL156" i="4"/>
  <c r="F156" i="4" s="1" a="1"/>
  <c r="F156" i="4" s="1"/>
  <c r="E156" i="4" a="1"/>
  <c r="E156" i="4" s="1"/>
  <c r="C156" i="4"/>
  <c r="B156" i="4"/>
  <c r="A156" i="4"/>
  <c r="AL155" i="4"/>
  <c r="F155" i="4" s="1" a="1"/>
  <c r="F155" i="4" s="1"/>
  <c r="C155" i="4"/>
  <c r="A155" i="4" s="1"/>
  <c r="B155" i="4"/>
  <c r="A909" i="5" s="1" a="1"/>
  <c r="A909" i="5" s="1"/>
  <c r="AL154" i="4"/>
  <c r="F154" i="4" s="1" a="1"/>
  <c r="F154" i="4" s="1"/>
  <c r="E154" i="4" a="1"/>
  <c r="E154" i="4" s="1"/>
  <c r="C154" i="4"/>
  <c r="B154" i="4"/>
  <c r="A154" i="4"/>
  <c r="AL153" i="4"/>
  <c r="E153" i="4" s="1" a="1"/>
  <c r="E153" i="4" s="1"/>
  <c r="F153" i="4" a="1"/>
  <c r="F153" i="4" s="1"/>
  <c r="C153" i="4"/>
  <c r="A153" i="4" s="1"/>
  <c r="B153" i="4"/>
  <c r="AL152" i="4"/>
  <c r="F152" i="4" s="1" a="1"/>
  <c r="F152" i="4" s="1"/>
  <c r="E152" i="4" a="1"/>
  <c r="E152" i="4" s="1"/>
  <c r="C152" i="4"/>
  <c r="B152" i="4"/>
  <c r="A152" i="4"/>
  <c r="AL151" i="4"/>
  <c r="F151" i="4" a="1"/>
  <c r="F151" i="4" s="1"/>
  <c r="E151" i="4" a="1"/>
  <c r="E151" i="4" s="1"/>
  <c r="C151" i="4"/>
  <c r="A151" i="4" s="1"/>
  <c r="B151" i="4"/>
  <c r="AL150" i="4"/>
  <c r="F150" i="4" s="1" a="1"/>
  <c r="F150" i="4" s="1"/>
  <c r="E150" i="4" a="1"/>
  <c r="E150" i="4" s="1"/>
  <c r="C150" i="4"/>
  <c r="B150" i="4"/>
  <c r="A150" i="4"/>
  <c r="AL149" i="4"/>
  <c r="E149" i="4" s="1" a="1"/>
  <c r="F149" i="4" a="1"/>
  <c r="F149" i="4" s="1"/>
  <c r="E149" i="4"/>
  <c r="C149" i="4"/>
  <c r="B149" i="4"/>
  <c r="AL148" i="4"/>
  <c r="F148" i="4" s="1" a="1"/>
  <c r="F148" i="4" s="1"/>
  <c r="E148" i="4" a="1"/>
  <c r="E148" i="4" s="1"/>
  <c r="C148" i="4"/>
  <c r="B148" i="4"/>
  <c r="A148" i="4"/>
  <c r="AL147" i="4"/>
  <c r="F147" i="4" s="1" a="1"/>
  <c r="F147" i="4" s="1"/>
  <c r="C147" i="4"/>
  <c r="A147" i="4" s="1"/>
  <c r="B147" i="4"/>
  <c r="AL146" i="4"/>
  <c r="F146" i="4" s="1" a="1"/>
  <c r="F146" i="4" s="1"/>
  <c r="E146" i="4" a="1"/>
  <c r="E146" i="4" s="1"/>
  <c r="C146" i="4"/>
  <c r="B146" i="4"/>
  <c r="A146" i="4"/>
  <c r="AL145" i="4"/>
  <c r="E145" i="4" s="1" a="1"/>
  <c r="E145" i="4" s="1"/>
  <c r="C145" i="4"/>
  <c r="A145" i="4" s="1"/>
  <c r="B145" i="4"/>
  <c r="AL144" i="4"/>
  <c r="F144" i="4" s="1" a="1"/>
  <c r="F144" i="4" s="1"/>
  <c r="E144" i="4" a="1"/>
  <c r="E144" i="4" s="1"/>
  <c r="C144" i="4"/>
  <c r="B144" i="4"/>
  <c r="A144" i="4"/>
  <c r="AL143" i="4"/>
  <c r="F143" i="4" s="1" a="1"/>
  <c r="F143" i="4" s="1"/>
  <c r="C143" i="4"/>
  <c r="A143" i="4" s="1"/>
  <c r="B143" i="4"/>
  <c r="AL142" i="4"/>
  <c r="F142" i="4" s="1" a="1"/>
  <c r="F142" i="4" s="1"/>
  <c r="E142" i="4" a="1"/>
  <c r="E142" i="4" s="1"/>
  <c r="C142" i="4"/>
  <c r="B142" i="4"/>
  <c r="A142" i="4"/>
  <c r="AL141" i="4"/>
  <c r="E141" i="4" s="1" a="1"/>
  <c r="F141" i="4" a="1"/>
  <c r="F141" i="4"/>
  <c r="E141" i="4"/>
  <c r="C141" i="4"/>
  <c r="A141" i="4" s="1"/>
  <c r="B141" i="4"/>
  <c r="AL140" i="4"/>
  <c r="F140" i="4" s="1" a="1"/>
  <c r="F140" i="4" s="1"/>
  <c r="E140" i="4" a="1"/>
  <c r="E140" i="4" s="1"/>
  <c r="C140" i="4"/>
  <c r="B140" i="4"/>
  <c r="A140" i="4"/>
  <c r="AL139" i="4"/>
  <c r="F139" i="4" s="1" a="1"/>
  <c r="F139" i="4" s="1"/>
  <c r="C139" i="4"/>
  <c r="A139" i="4" s="1"/>
  <c r="B139" i="4"/>
  <c r="AL138" i="4"/>
  <c r="F138" i="4" s="1" a="1"/>
  <c r="F138" i="4" s="1"/>
  <c r="E138" i="4" a="1"/>
  <c r="E138" i="4" s="1"/>
  <c r="C138" i="4"/>
  <c r="B138" i="4"/>
  <c r="A138" i="4"/>
  <c r="AL137" i="4"/>
  <c r="E137" i="4" s="1" a="1"/>
  <c r="E137" i="4" s="1"/>
  <c r="F137" i="4" a="1"/>
  <c r="F137" i="4" s="1"/>
  <c r="C137" i="4"/>
  <c r="A137" i="4" s="1"/>
  <c r="B137" i="4"/>
  <c r="AL136" i="4"/>
  <c r="F136" i="4" s="1" a="1"/>
  <c r="F136" i="4" s="1"/>
  <c r="E136" i="4" a="1"/>
  <c r="E136" i="4" s="1"/>
  <c r="C136" i="4"/>
  <c r="B136" i="4"/>
  <c r="A136" i="4"/>
  <c r="AL135" i="4"/>
  <c r="F135" i="4" a="1"/>
  <c r="F135" i="4" s="1"/>
  <c r="E135" i="4" a="1"/>
  <c r="E135" i="4"/>
  <c r="C135" i="4"/>
  <c r="A135" i="4" s="1"/>
  <c r="B135" i="4"/>
  <c r="AL134" i="4"/>
  <c r="F134" i="4" s="1" a="1"/>
  <c r="F134" i="4" s="1"/>
  <c r="E134" i="4" a="1"/>
  <c r="E134" i="4" s="1"/>
  <c r="C134" i="4"/>
  <c r="B134" i="4"/>
  <c r="A134" i="4"/>
  <c r="AL133" i="4"/>
  <c r="C133" i="4"/>
  <c r="A133" i="4" s="1"/>
  <c r="B133" i="4"/>
  <c r="AL132" i="4"/>
  <c r="F132" i="4" s="1" a="1"/>
  <c r="F132" i="4" s="1"/>
  <c r="E132" i="4" a="1"/>
  <c r="E132" i="4" s="1"/>
  <c r="C132" i="4"/>
  <c r="B132" i="4"/>
  <c r="A132" i="4"/>
  <c r="AL131" i="4"/>
  <c r="F131" i="4" s="1" a="1"/>
  <c r="F131" i="4" s="1"/>
  <c r="C131" i="4"/>
  <c r="B131" i="4"/>
  <c r="AL130" i="4"/>
  <c r="F130" i="4" s="1" a="1"/>
  <c r="F130" i="4" s="1"/>
  <c r="E130" i="4" a="1"/>
  <c r="E130" i="4" s="1"/>
  <c r="C130" i="4"/>
  <c r="B130" i="4"/>
  <c r="A130" i="4"/>
  <c r="AL129" i="4"/>
  <c r="E129" i="4" s="1" a="1"/>
  <c r="E129" i="4" s="1"/>
  <c r="C129" i="4"/>
  <c r="A129" i="4" s="1"/>
  <c r="B129" i="4"/>
  <c r="AL128" i="4"/>
  <c r="F128" i="4" s="1" a="1"/>
  <c r="F128" i="4" s="1"/>
  <c r="E128" i="4" a="1"/>
  <c r="E128" i="4" s="1"/>
  <c r="C128" i="4"/>
  <c r="B128" i="4"/>
  <c r="A128" i="4"/>
  <c r="AL127" i="4"/>
  <c r="F127" i="4" s="1" a="1"/>
  <c r="F127" i="4"/>
  <c r="E127" i="4" a="1"/>
  <c r="E127" i="4" s="1"/>
  <c r="C127" i="4"/>
  <c r="A127" i="4" s="1"/>
  <c r="B127" i="4"/>
  <c r="AL126" i="4"/>
  <c r="F126" i="4" s="1" a="1"/>
  <c r="F126" i="4" s="1"/>
  <c r="E126" i="4" a="1"/>
  <c r="E126" i="4" s="1"/>
  <c r="C126" i="4"/>
  <c r="B126" i="4"/>
  <c r="A126" i="4"/>
  <c r="AL125" i="4"/>
  <c r="F125" i="4" s="1" a="1"/>
  <c r="F125" i="4" s="1"/>
  <c r="E125" i="4" a="1"/>
  <c r="E125" i="4" s="1"/>
  <c r="C125" i="4"/>
  <c r="A125" i="4" s="1"/>
  <c r="B125" i="4"/>
  <c r="AL124" i="4"/>
  <c r="F124" i="4" s="1" a="1"/>
  <c r="F124" i="4" s="1"/>
  <c r="E124" i="4" a="1"/>
  <c r="E124" i="4" s="1"/>
  <c r="C124" i="4"/>
  <c r="B124" i="4"/>
  <c r="A124" i="4"/>
  <c r="AL123" i="4"/>
  <c r="F123" i="4" s="1" a="1"/>
  <c r="F123" i="4" s="1"/>
  <c r="C123" i="4"/>
  <c r="A123" i="4" s="1"/>
  <c r="B123" i="4"/>
  <c r="AL122" i="4"/>
  <c r="F122" i="4" s="1" a="1"/>
  <c r="F122" i="4" s="1"/>
  <c r="E122" i="4" a="1"/>
  <c r="E122" i="4" s="1"/>
  <c r="C122" i="4"/>
  <c r="B122" i="4"/>
  <c r="A122" i="4"/>
  <c r="AL121" i="4"/>
  <c r="E121" i="4" s="1" a="1"/>
  <c r="E121" i="4" s="1"/>
  <c r="F121" i="4" a="1"/>
  <c r="F121" i="4" s="1"/>
  <c r="C121" i="4"/>
  <c r="B121" i="4"/>
  <c r="AL120" i="4"/>
  <c r="F120" i="4" s="1" a="1"/>
  <c r="F120" i="4" s="1"/>
  <c r="E120" i="4" a="1"/>
  <c r="E120" i="4" s="1"/>
  <c r="C120" i="4"/>
  <c r="B120" i="4"/>
  <c r="A120" i="4"/>
  <c r="AL119" i="4"/>
  <c r="C119" i="4"/>
  <c r="A119" i="4" s="1"/>
  <c r="B119" i="4"/>
  <c r="AL118" i="4"/>
  <c r="F118" i="4" s="1" a="1"/>
  <c r="F118" i="4" s="1"/>
  <c r="E118" i="4" a="1"/>
  <c r="E118" i="4" s="1"/>
  <c r="C118" i="4"/>
  <c r="B118" i="4"/>
  <c r="A118" i="4"/>
  <c r="AL117" i="4"/>
  <c r="F117" i="4" s="1" a="1"/>
  <c r="F117" i="4" s="1"/>
  <c r="C117" i="4"/>
  <c r="A117" i="4" s="1"/>
  <c r="B117" i="4"/>
  <c r="AL116" i="4"/>
  <c r="F116" i="4" s="1" a="1"/>
  <c r="F116" i="4" s="1"/>
  <c r="E116" i="4" a="1"/>
  <c r="E116" i="4" s="1"/>
  <c r="C116" i="4"/>
  <c r="B116" i="4"/>
  <c r="A116" i="4"/>
  <c r="AL115" i="4"/>
  <c r="F115" i="4" s="1" a="1"/>
  <c r="F115" i="4" s="1"/>
  <c r="C115" i="4"/>
  <c r="B115" i="4"/>
  <c r="AL114" i="4"/>
  <c r="F114" i="4" s="1" a="1"/>
  <c r="F114" i="4" s="1"/>
  <c r="E114" i="4" a="1"/>
  <c r="E114" i="4" s="1"/>
  <c r="C114" i="4"/>
  <c r="B114" i="4"/>
  <c r="A114" i="4"/>
  <c r="AL113" i="4"/>
  <c r="E113" i="4" s="1" a="1"/>
  <c r="E113" i="4" s="1"/>
  <c r="F113" i="4" a="1"/>
  <c r="F113" i="4" s="1"/>
  <c r="C113" i="4"/>
  <c r="A113" i="4" s="1"/>
  <c r="B113" i="4"/>
  <c r="AL112" i="4"/>
  <c r="F112" i="4" s="1" a="1"/>
  <c r="F112" i="4" s="1"/>
  <c r="E112" i="4" a="1"/>
  <c r="E112" i="4" s="1"/>
  <c r="C112" i="4"/>
  <c r="B112" i="4"/>
  <c r="G688" i="3" s="1" a="1"/>
  <c r="G688" i="3" s="1"/>
  <c r="A112" i="4"/>
  <c r="AL111" i="4"/>
  <c r="C111" i="4"/>
  <c r="A111" i="4" s="1"/>
  <c r="B111" i="4"/>
  <c r="AL110" i="4"/>
  <c r="F110" i="4" s="1" a="1"/>
  <c r="F110" i="4" s="1"/>
  <c r="E110" i="4" a="1"/>
  <c r="E110" i="4" s="1"/>
  <c r="C110" i="4"/>
  <c r="B110" i="4"/>
  <c r="A110" i="4"/>
  <c r="AL109" i="4"/>
  <c r="F109" i="4" s="1" a="1"/>
  <c r="F109" i="4"/>
  <c r="E109" i="4" a="1"/>
  <c r="E109" i="4"/>
  <c r="C109" i="4"/>
  <c r="A109" i="4" s="1"/>
  <c r="B109" i="4"/>
  <c r="AL108" i="4"/>
  <c r="F108" i="4" s="1" a="1"/>
  <c r="F108" i="4" s="1"/>
  <c r="E108" i="4" a="1"/>
  <c r="E108" i="4" s="1"/>
  <c r="C108" i="4"/>
  <c r="B108" i="4"/>
  <c r="A108" i="4"/>
  <c r="AL107" i="4"/>
  <c r="F107" i="4" s="1" a="1"/>
  <c r="F107" i="4" s="1"/>
  <c r="C107" i="4"/>
  <c r="A107" i="4" s="1"/>
  <c r="B107" i="4"/>
  <c r="AL106" i="4"/>
  <c r="F106" i="4" s="1" a="1"/>
  <c r="F106" i="4" s="1"/>
  <c r="E106" i="4" a="1"/>
  <c r="E106" i="4" s="1"/>
  <c r="C106" i="4"/>
  <c r="B106" i="4"/>
  <c r="A106" i="4"/>
  <c r="AL105" i="4"/>
  <c r="E105" i="4" s="1" a="1"/>
  <c r="E105" i="4" s="1"/>
  <c r="F105" i="4" a="1"/>
  <c r="F105" i="4" s="1"/>
  <c r="C105" i="4"/>
  <c r="A105" i="4" s="1"/>
  <c r="B105" i="4"/>
  <c r="AL104" i="4"/>
  <c r="F104" i="4" s="1" a="1"/>
  <c r="F104" i="4" s="1"/>
  <c r="E104" i="4" a="1"/>
  <c r="E104" i="4" s="1"/>
  <c r="C104" i="4"/>
  <c r="B104" i="4"/>
  <c r="A104" i="4"/>
  <c r="AL103" i="4"/>
  <c r="E103" i="4" s="1" a="1"/>
  <c r="F103" i="4" a="1"/>
  <c r="F103" i="4" s="1"/>
  <c r="E103" i="4"/>
  <c r="C103" i="4"/>
  <c r="A103" i="4" s="1"/>
  <c r="B103" i="4"/>
  <c r="AL102" i="4"/>
  <c r="F102" i="4" s="1" a="1"/>
  <c r="F102" i="4" s="1"/>
  <c r="E102" i="4" a="1"/>
  <c r="E102" i="4" s="1"/>
  <c r="C102" i="4"/>
  <c r="B102" i="4"/>
  <c r="A102" i="4"/>
  <c r="AL101" i="4"/>
  <c r="C101" i="4"/>
  <c r="A101" i="4" s="1"/>
  <c r="B101" i="4"/>
  <c r="AL100" i="4"/>
  <c r="F100" i="4" s="1" a="1"/>
  <c r="F100" i="4" s="1"/>
  <c r="E100" i="4" a="1"/>
  <c r="E100" i="4" s="1"/>
  <c r="C100" i="4"/>
  <c r="B100" i="4"/>
  <c r="A100" i="4"/>
  <c r="AL99" i="4"/>
  <c r="F99" i="4" s="1" a="1"/>
  <c r="F99" i="4" s="1"/>
  <c r="C99" i="4"/>
  <c r="A99" i="4" s="1"/>
  <c r="B99" i="4"/>
  <c r="AL98" i="4"/>
  <c r="F98" i="4" s="1" a="1"/>
  <c r="F98" i="4" s="1"/>
  <c r="E98" i="4" a="1"/>
  <c r="E98" i="4" s="1"/>
  <c r="C98" i="4"/>
  <c r="B98" i="4"/>
  <c r="A98" i="4"/>
  <c r="AL97" i="4"/>
  <c r="C97" i="4"/>
  <c r="A97" i="4" s="1"/>
  <c r="B97" i="4"/>
  <c r="AL96" i="4"/>
  <c r="F96" i="4" s="1" a="1"/>
  <c r="F96" i="4" s="1"/>
  <c r="E96" i="4" a="1"/>
  <c r="E96" i="4" s="1"/>
  <c r="C96" i="4"/>
  <c r="B96" i="4"/>
  <c r="A96" i="4"/>
  <c r="AL95" i="4"/>
  <c r="E95" i="4" s="1" a="1"/>
  <c r="F95" i="4" a="1"/>
  <c r="F95" i="4"/>
  <c r="E95" i="4"/>
  <c r="C95" i="4"/>
  <c r="A95" i="4" s="1"/>
  <c r="B95" i="4"/>
  <c r="AL94" i="4"/>
  <c r="F94" i="4" s="1" a="1"/>
  <c r="F94" i="4" s="1"/>
  <c r="E94" i="4" a="1"/>
  <c r="E94" i="4" s="1"/>
  <c r="C94" i="4"/>
  <c r="B94" i="4"/>
  <c r="A94" i="4"/>
  <c r="AL93" i="4"/>
  <c r="C93" i="4"/>
  <c r="A93" i="4" s="1"/>
  <c r="B93" i="4"/>
  <c r="AL92" i="4"/>
  <c r="F92" i="4" s="1" a="1"/>
  <c r="F92" i="4" s="1"/>
  <c r="E92" i="4" a="1"/>
  <c r="E92" i="4" s="1"/>
  <c r="C92" i="4"/>
  <c r="B92" i="4"/>
  <c r="A92" i="4"/>
  <c r="AL91" i="4"/>
  <c r="F91" i="4" s="1" a="1"/>
  <c r="F91" i="4" s="1"/>
  <c r="C91" i="4"/>
  <c r="A91" i="4" s="1"/>
  <c r="B91" i="4"/>
  <c r="AL90" i="4"/>
  <c r="F90" i="4" s="1" a="1"/>
  <c r="F90" i="4" s="1"/>
  <c r="E90" i="4" a="1"/>
  <c r="E90" i="4" s="1"/>
  <c r="C90" i="4"/>
  <c r="B90" i="4"/>
  <c r="A90" i="4"/>
  <c r="AL89" i="4"/>
  <c r="E89" i="4" s="1" a="1"/>
  <c r="E89" i="4" s="1"/>
  <c r="F89" i="4" a="1"/>
  <c r="F89" i="4" s="1"/>
  <c r="C89" i="4"/>
  <c r="B89" i="4"/>
  <c r="AL88" i="4"/>
  <c r="F88" i="4" s="1" a="1"/>
  <c r="F88" i="4" s="1"/>
  <c r="E88" i="4" a="1"/>
  <c r="E88" i="4" s="1"/>
  <c r="C88" i="4"/>
  <c r="B88" i="4"/>
  <c r="A88" i="4"/>
  <c r="AL87" i="4"/>
  <c r="E87" i="4" s="1" a="1"/>
  <c r="E87" i="4" s="1"/>
  <c r="F87" i="4" a="1"/>
  <c r="F87" i="4" s="1"/>
  <c r="C87" i="4"/>
  <c r="A87" i="4" s="1"/>
  <c r="B87" i="4"/>
  <c r="AL86" i="4"/>
  <c r="F86" i="4" s="1" a="1"/>
  <c r="F86" i="4" s="1"/>
  <c r="E86" i="4" a="1"/>
  <c r="E86" i="4" s="1"/>
  <c r="C86" i="4"/>
  <c r="B86" i="4"/>
  <c r="A86" i="4"/>
  <c r="AL85" i="4"/>
  <c r="E85" i="4" s="1" a="1"/>
  <c r="F85" i="4" a="1"/>
  <c r="F85" i="4" s="1"/>
  <c r="E85" i="4"/>
  <c r="C85" i="4"/>
  <c r="A85" i="4" s="1"/>
  <c r="B85" i="4"/>
  <c r="AL84" i="4"/>
  <c r="F84" i="4" s="1" a="1"/>
  <c r="F84" i="4" s="1"/>
  <c r="E84" i="4" a="1"/>
  <c r="E84" i="4" s="1"/>
  <c r="C84" i="4"/>
  <c r="B84" i="4"/>
  <c r="A84" i="4"/>
  <c r="AL83" i="4"/>
  <c r="F83" i="4" s="1" a="1"/>
  <c r="F83" i="4" s="1"/>
  <c r="C83" i="4"/>
  <c r="A83" i="4" s="1"/>
  <c r="B83" i="4"/>
  <c r="AL82" i="4"/>
  <c r="F82" i="4" s="1" a="1"/>
  <c r="F82" i="4" s="1"/>
  <c r="E82" i="4" a="1"/>
  <c r="E82" i="4" s="1"/>
  <c r="C82" i="4"/>
  <c r="B82" i="4"/>
  <c r="A82" i="4"/>
  <c r="AL81" i="4"/>
  <c r="C81" i="4"/>
  <c r="A81" i="4" s="1"/>
  <c r="B81" i="4"/>
  <c r="AL80" i="4"/>
  <c r="F80" i="4" s="1" a="1"/>
  <c r="F80" i="4" s="1"/>
  <c r="E80" i="4" a="1"/>
  <c r="E80" i="4" s="1"/>
  <c r="C80" i="4"/>
  <c r="B80" i="4"/>
  <c r="A80" i="4"/>
  <c r="AL79" i="4"/>
  <c r="F79" i="4" s="1" a="1"/>
  <c r="F79" i="4" s="1"/>
  <c r="E79" i="4" a="1"/>
  <c r="E79" i="4" s="1"/>
  <c r="C79" i="4"/>
  <c r="A79" i="4" s="1"/>
  <c r="B79" i="4"/>
  <c r="AL78" i="4"/>
  <c r="F78" i="4" s="1" a="1"/>
  <c r="F78" i="4" s="1"/>
  <c r="E78" i="4" a="1"/>
  <c r="E78" i="4" s="1"/>
  <c r="C78" i="4"/>
  <c r="B78" i="4"/>
  <c r="A78" i="4"/>
  <c r="AL77" i="4"/>
  <c r="E77" i="4" s="1" a="1"/>
  <c r="F77" i="4" a="1"/>
  <c r="F77" i="4" s="1"/>
  <c r="E77" i="4"/>
  <c r="C77" i="4"/>
  <c r="B77" i="4"/>
  <c r="AL76" i="4"/>
  <c r="F76" i="4" s="1" a="1"/>
  <c r="F76" i="4" s="1"/>
  <c r="E76" i="4" a="1"/>
  <c r="E76" i="4" s="1"/>
  <c r="C76" i="4"/>
  <c r="B76" i="4"/>
  <c r="A76" i="4"/>
  <c r="AL75" i="4"/>
  <c r="F75" i="4" s="1" a="1"/>
  <c r="F75" i="4" s="1"/>
  <c r="C75" i="4"/>
  <c r="A75" i="4" s="1"/>
  <c r="B75" i="4"/>
  <c r="AL74" i="4"/>
  <c r="F74" i="4" s="1" a="1"/>
  <c r="F74" i="4" s="1"/>
  <c r="E74" i="4" a="1"/>
  <c r="E74" i="4" s="1"/>
  <c r="C74" i="4"/>
  <c r="B74" i="4"/>
  <c r="A74" i="4"/>
  <c r="AL73" i="4"/>
  <c r="E73" i="4" s="1" a="1"/>
  <c r="E73" i="4" s="1"/>
  <c r="F73" i="4" a="1"/>
  <c r="F73" i="4" s="1"/>
  <c r="C73" i="4"/>
  <c r="A73" i="4" s="1"/>
  <c r="B73" i="4"/>
  <c r="AL72" i="4"/>
  <c r="F72" i="4" s="1" a="1"/>
  <c r="F72" i="4" s="1"/>
  <c r="E72" i="4" a="1"/>
  <c r="E72" i="4" s="1"/>
  <c r="C72" i="4"/>
  <c r="B72" i="4"/>
  <c r="A72" i="4"/>
  <c r="AL71" i="4"/>
  <c r="E71" i="4" s="1" a="1"/>
  <c r="E71" i="4" s="1"/>
  <c r="C71" i="4"/>
  <c r="A71" i="4" s="1"/>
  <c r="B71" i="4"/>
  <c r="AL70" i="4"/>
  <c r="F70" i="4" s="1" a="1"/>
  <c r="F70" i="4" s="1"/>
  <c r="E70" i="4" a="1"/>
  <c r="E70" i="4" s="1"/>
  <c r="C70" i="4"/>
  <c r="B70" i="4"/>
  <c r="A70" i="4"/>
  <c r="AL69" i="4"/>
  <c r="F69" i="4" s="1" a="1"/>
  <c r="F69" i="4" s="1"/>
  <c r="E69" i="4" a="1"/>
  <c r="E69" i="4" s="1"/>
  <c r="C69" i="4"/>
  <c r="A69" i="4" s="1"/>
  <c r="B69" i="4"/>
  <c r="AL68" i="4"/>
  <c r="C68" i="4"/>
  <c r="B68" i="4"/>
  <c r="A68" i="4"/>
  <c r="AL67" i="4"/>
  <c r="F67" i="4" a="1"/>
  <c r="F67" i="4"/>
  <c r="E67" i="4" a="1"/>
  <c r="E67" i="4" s="1"/>
  <c r="C67" i="4"/>
  <c r="B67" i="4"/>
  <c r="A67" i="4"/>
  <c r="AL66" i="4"/>
  <c r="E66" i="4" s="1" a="1"/>
  <c r="E66" i="4" s="1"/>
  <c r="F66" i="4" a="1"/>
  <c r="F66" i="4" s="1"/>
  <c r="C66" i="4"/>
  <c r="B66" i="4"/>
  <c r="A66" i="4"/>
  <c r="AL65" i="4"/>
  <c r="F65" i="4" a="1"/>
  <c r="F65" i="4"/>
  <c r="E65" i="4" a="1"/>
  <c r="E65" i="4" s="1"/>
  <c r="C65" i="4"/>
  <c r="B65" i="4"/>
  <c r="A65" i="4"/>
  <c r="AL64" i="4"/>
  <c r="E64" i="4" s="1" a="1"/>
  <c r="E64" i="4" s="1"/>
  <c r="F64" i="4" a="1"/>
  <c r="F64" i="4" s="1"/>
  <c r="C64" i="4"/>
  <c r="B64" i="4"/>
  <c r="A64" i="4"/>
  <c r="AL63" i="4"/>
  <c r="F63" i="4" a="1"/>
  <c r="F63" i="4"/>
  <c r="E63" i="4" a="1"/>
  <c r="E63" i="4"/>
  <c r="C63" i="4"/>
  <c r="B63" i="4"/>
  <c r="A63" i="4"/>
  <c r="AL62" i="4"/>
  <c r="E62" i="4" s="1" a="1"/>
  <c r="E62" i="4" s="1"/>
  <c r="F62" i="4" a="1"/>
  <c r="F62" i="4" s="1"/>
  <c r="C62" i="4"/>
  <c r="B62" i="4"/>
  <c r="A62" i="4"/>
  <c r="AL61" i="4"/>
  <c r="F61" i="4" a="1"/>
  <c r="F61" i="4"/>
  <c r="E61" i="4" a="1"/>
  <c r="E61" i="4" s="1"/>
  <c r="C61" i="4"/>
  <c r="B61" i="4"/>
  <c r="A61" i="4"/>
  <c r="AL60" i="4"/>
  <c r="E60" i="4" s="1" a="1"/>
  <c r="E60" i="4" s="1"/>
  <c r="F60" i="4" a="1"/>
  <c r="F60" i="4" s="1"/>
  <c r="C60" i="4"/>
  <c r="B60" i="4"/>
  <c r="A60" i="4"/>
  <c r="AL59" i="4"/>
  <c r="F59" i="4" a="1"/>
  <c r="F59" i="4"/>
  <c r="E59" i="4" a="1"/>
  <c r="E59" i="4"/>
  <c r="C59" i="4"/>
  <c r="A59" i="4" s="1"/>
  <c r="B59" i="4"/>
  <c r="AL58" i="4"/>
  <c r="E58" i="4" s="1" a="1"/>
  <c r="E58" i="4" s="1"/>
  <c r="F58" i="4" a="1"/>
  <c r="F58" i="4" s="1"/>
  <c r="C58" i="4"/>
  <c r="B58" i="4"/>
  <c r="A58" i="4"/>
  <c r="AL57" i="4"/>
  <c r="F57" i="4" a="1"/>
  <c r="F57" i="4"/>
  <c r="E57" i="4" a="1"/>
  <c r="E57" i="4"/>
  <c r="C57" i="4"/>
  <c r="A57" i="4" s="1"/>
  <c r="B57" i="4"/>
  <c r="AL56" i="4"/>
  <c r="C56" i="4"/>
  <c r="B56" i="4"/>
  <c r="A56" i="4"/>
  <c r="AL55" i="4"/>
  <c r="F55" i="4" a="1"/>
  <c r="F55" i="4"/>
  <c r="E55" i="4" a="1"/>
  <c r="E55" i="4"/>
  <c r="C55" i="4"/>
  <c r="A55" i="4" s="1"/>
  <c r="B55" i="4"/>
  <c r="AL54" i="4"/>
  <c r="E54" i="4" s="1" a="1"/>
  <c r="E54" i="4" s="1"/>
  <c r="F54" i="4" a="1"/>
  <c r="F54" i="4"/>
  <c r="C54" i="4"/>
  <c r="B54" i="4"/>
  <c r="A54" i="4"/>
  <c r="AL53" i="4"/>
  <c r="F53" i="4" a="1"/>
  <c r="F53" i="4"/>
  <c r="E53" i="4" a="1"/>
  <c r="E53" i="4"/>
  <c r="C53" i="4"/>
  <c r="B53" i="4"/>
  <c r="A53" i="4"/>
  <c r="AL52" i="4"/>
  <c r="E52" i="4" s="1" a="1"/>
  <c r="E52" i="4" s="1"/>
  <c r="C52" i="4"/>
  <c r="B52" i="4"/>
  <c r="A52" i="4"/>
  <c r="AL51" i="4"/>
  <c r="F51" i="4" a="1"/>
  <c r="F51" i="4"/>
  <c r="E51" i="4" a="1"/>
  <c r="E51" i="4" s="1"/>
  <c r="C51" i="4"/>
  <c r="B51" i="4"/>
  <c r="A51" i="4"/>
  <c r="AL50" i="4"/>
  <c r="E50" i="4" s="1" a="1"/>
  <c r="E50" i="4" s="1"/>
  <c r="F50" i="4" a="1"/>
  <c r="F50" i="4"/>
  <c r="C50" i="4"/>
  <c r="B50" i="4"/>
  <c r="A50" i="4"/>
  <c r="AL49" i="4"/>
  <c r="F49" i="4" a="1"/>
  <c r="F49" i="4"/>
  <c r="E49" i="4" a="1"/>
  <c r="E49" i="4" s="1"/>
  <c r="C49" i="4"/>
  <c r="B49" i="4"/>
  <c r="A49" i="4"/>
  <c r="AL48" i="4"/>
  <c r="C48" i="4"/>
  <c r="B48" i="4"/>
  <c r="A48" i="4"/>
  <c r="AL47" i="4"/>
  <c r="F47" i="4" a="1"/>
  <c r="F47" i="4"/>
  <c r="E47" i="4" a="1"/>
  <c r="E47" i="4"/>
  <c r="C47" i="4"/>
  <c r="B47" i="4"/>
  <c r="A47" i="4"/>
  <c r="AL46" i="4"/>
  <c r="E46" i="4" s="1" a="1"/>
  <c r="E46" i="4" s="1"/>
  <c r="F46" i="4" a="1"/>
  <c r="F46" i="4"/>
  <c r="C46" i="4"/>
  <c r="B46" i="4"/>
  <c r="A46" i="4"/>
  <c r="AL45" i="4"/>
  <c r="F45" i="4" a="1"/>
  <c r="F45" i="4"/>
  <c r="E45" i="4" a="1"/>
  <c r="E45" i="4"/>
  <c r="C45" i="4"/>
  <c r="B45" i="4"/>
  <c r="A45" i="4"/>
  <c r="AL44" i="4"/>
  <c r="C44" i="4"/>
  <c r="A44" i="4" s="1"/>
  <c r="B44" i="4"/>
  <c r="AL43" i="4"/>
  <c r="F43" i="4" s="1" a="1"/>
  <c r="F43" i="4" s="1"/>
  <c r="E43" i="4" a="1"/>
  <c r="E43" i="4" s="1"/>
  <c r="C65" i="1" s="1" a="1"/>
  <c r="C65" i="1" s="1"/>
  <c r="C43" i="4"/>
  <c r="B43" i="4"/>
  <c r="A43" i="4"/>
  <c r="AL42" i="4"/>
  <c r="E42" i="4" s="1" a="1"/>
  <c r="F42" i="4" a="1"/>
  <c r="F42" i="4" s="1"/>
  <c r="E42" i="4"/>
  <c r="C42" i="4"/>
  <c r="A42" i="4" s="1"/>
  <c r="B42" i="4"/>
  <c r="AL41" i="4"/>
  <c r="F41" i="4" s="1" a="1"/>
  <c r="F41" i="4" s="1"/>
  <c r="E41" i="4" a="1"/>
  <c r="E41" i="4" s="1"/>
  <c r="C41" i="4"/>
  <c r="B41" i="4"/>
  <c r="A41" i="4"/>
  <c r="AL40" i="4"/>
  <c r="C40" i="4"/>
  <c r="A40" i="4" s="1"/>
  <c r="B40" i="4"/>
  <c r="AL39" i="4"/>
  <c r="F39" i="4" s="1" a="1"/>
  <c r="F39" i="4" s="1"/>
  <c r="E39" i="4" a="1"/>
  <c r="E39" i="4" s="1"/>
  <c r="C39" i="4"/>
  <c r="B39" i="4"/>
  <c r="A39" i="4"/>
  <c r="AL38" i="4"/>
  <c r="F38" i="4" a="1"/>
  <c r="F38" i="4" s="1"/>
  <c r="E38" i="4" a="1"/>
  <c r="E38" i="4" s="1"/>
  <c r="C38" i="4"/>
  <c r="A38" i="4" s="1"/>
  <c r="B38" i="4"/>
  <c r="AL37" i="4"/>
  <c r="F37" i="4" s="1" a="1"/>
  <c r="F37" i="4" s="1"/>
  <c r="E37" i="4" a="1"/>
  <c r="E37" i="4" s="1"/>
  <c r="C37" i="4"/>
  <c r="B37" i="4"/>
  <c r="A37" i="4"/>
  <c r="AL36" i="4"/>
  <c r="C36" i="4"/>
  <c r="B36" i="4"/>
  <c r="A36" i="4"/>
  <c r="AL35" i="4"/>
  <c r="E35" i="4" s="1" a="1"/>
  <c r="E35" i="4" s="1"/>
  <c r="F35" i="4" a="1"/>
  <c r="F35" i="4" s="1"/>
  <c r="C35" i="4"/>
  <c r="B35" i="4"/>
  <c r="A35" i="4"/>
  <c r="AL34" i="4"/>
  <c r="F34" i="4" a="1"/>
  <c r="F34" i="4"/>
  <c r="E34" i="4" a="1"/>
  <c r="E34" i="4"/>
  <c r="C34" i="4"/>
  <c r="A34" i="4" s="1"/>
  <c r="B34" i="4"/>
  <c r="AL33" i="4"/>
  <c r="E33" i="4" s="1" a="1"/>
  <c r="E33" i="4" s="1"/>
  <c r="F33" i="4" a="1"/>
  <c r="F33" i="4" s="1"/>
  <c r="C33" i="4"/>
  <c r="B33" i="4"/>
  <c r="A33" i="4"/>
  <c r="AL32" i="4"/>
  <c r="C32" i="4"/>
  <c r="B32" i="4"/>
  <c r="A32" i="4"/>
  <c r="AL31" i="4"/>
  <c r="C31" i="4"/>
  <c r="A31" i="4" s="1"/>
  <c r="B31" i="4"/>
  <c r="AL30" i="4"/>
  <c r="F30" i="4" s="1" a="1"/>
  <c r="F30" i="4" s="1"/>
  <c r="E30" i="4" a="1"/>
  <c r="E30" i="4" s="1"/>
  <c r="C30" i="4"/>
  <c r="B30" i="4"/>
  <c r="A30" i="4"/>
  <c r="AL29" i="4"/>
  <c r="C29" i="4"/>
  <c r="B29" i="4"/>
  <c r="AL28" i="4"/>
  <c r="F28" i="4" s="1" a="1"/>
  <c r="F28" i="4" s="1"/>
  <c r="E28" i="4" a="1"/>
  <c r="E28" i="4" s="1"/>
  <c r="C28" i="4"/>
  <c r="B28" i="4"/>
  <c r="A28" i="4"/>
  <c r="AL27" i="4"/>
  <c r="F27" i="4" a="1"/>
  <c r="F27" i="4" s="1"/>
  <c r="E27" i="4" a="1"/>
  <c r="E27" i="4"/>
  <c r="C27" i="4"/>
  <c r="A27" i="4" s="1"/>
  <c r="B27" i="4"/>
  <c r="AL26" i="4"/>
  <c r="F26" i="4" s="1" a="1"/>
  <c r="F26" i="4" s="1"/>
  <c r="E26" i="4" a="1"/>
  <c r="E26" i="4" s="1"/>
  <c r="C26" i="4"/>
  <c r="B26" i="4"/>
  <c r="A26" i="4"/>
  <c r="AL25" i="4"/>
  <c r="C25" i="4"/>
  <c r="A25" i="4" s="1"/>
  <c r="B25" i="4"/>
  <c r="AL24" i="4"/>
  <c r="F24" i="4" s="1" a="1"/>
  <c r="F24" i="4" s="1"/>
  <c r="E24" i="4" a="1"/>
  <c r="E24" i="4" s="1"/>
  <c r="C24" i="4"/>
  <c r="B24" i="4"/>
  <c r="A24" i="4"/>
  <c r="AL23" i="4"/>
  <c r="F23" i="4" a="1"/>
  <c r="F23" i="4" s="1"/>
  <c r="E23" i="4" a="1"/>
  <c r="E23" i="4" s="1"/>
  <c r="C23" i="4"/>
  <c r="A23" i="4" s="1"/>
  <c r="B23" i="4"/>
  <c r="AL22" i="4"/>
  <c r="F22" i="4" s="1" a="1"/>
  <c r="F22" i="4" s="1"/>
  <c r="E22" i="4" a="1"/>
  <c r="E22" i="4" s="1"/>
  <c r="C22" i="4"/>
  <c r="B22" i="4"/>
  <c r="A22" i="4"/>
  <c r="AL21" i="4"/>
  <c r="F21" i="4" a="1"/>
  <c r="F21" i="4"/>
  <c r="E21" i="4" a="1"/>
  <c r="E21" i="4"/>
  <c r="C21" i="4"/>
  <c r="A21" i="4" s="1"/>
  <c r="B21" i="4"/>
  <c r="AL20" i="4"/>
  <c r="F20" i="4" s="1" a="1"/>
  <c r="F20" i="4" s="1"/>
  <c r="E20" i="4" a="1"/>
  <c r="E20" i="4" s="1"/>
  <c r="C20" i="4"/>
  <c r="B20" i="4"/>
  <c r="A20" i="4"/>
  <c r="AL19" i="4"/>
  <c r="F19" i="4" a="1"/>
  <c r="F19" i="4" s="1"/>
  <c r="E19" i="4" a="1"/>
  <c r="E19" i="4" s="1"/>
  <c r="C19" i="4"/>
  <c r="A19" i="4" s="1"/>
  <c r="B19" i="4"/>
  <c r="AL18" i="4"/>
  <c r="F18" i="4" s="1" a="1"/>
  <c r="F18" i="4" s="1"/>
  <c r="E18" i="4" a="1"/>
  <c r="E18" i="4" s="1"/>
  <c r="C18" i="4"/>
  <c r="B18" i="4"/>
  <c r="A18" i="4"/>
  <c r="AL17" i="4"/>
  <c r="C17" i="4"/>
  <c r="A17" i="4" s="1"/>
  <c r="B17" i="4"/>
  <c r="AL16" i="4"/>
  <c r="F16" i="4" s="1" a="1"/>
  <c r="F16" i="4" s="1"/>
  <c r="E16" i="4" a="1"/>
  <c r="E16" i="4" s="1"/>
  <c r="C16" i="4"/>
  <c r="B16" i="4"/>
  <c r="A16" i="4"/>
  <c r="AL15" i="4"/>
  <c r="F15" i="4" s="1" a="1"/>
  <c r="F15" i="4"/>
  <c r="E15" i="4" a="1"/>
  <c r="E15" i="4"/>
  <c r="C15" i="4"/>
  <c r="A15" i="4" s="1"/>
  <c r="B15" i="4"/>
  <c r="AL14" i="4"/>
  <c r="F14" i="4" s="1" a="1"/>
  <c r="F14" i="4" s="1"/>
  <c r="E14" i="4" a="1"/>
  <c r="E14" i="4" s="1"/>
  <c r="C14" i="4"/>
  <c r="B14" i="4"/>
  <c r="A14" i="4"/>
  <c r="AL13" i="4"/>
  <c r="F13" i="4" s="1" a="1"/>
  <c r="F13" i="4" s="1"/>
  <c r="E13" i="4" a="1"/>
  <c r="E13" i="4" s="1"/>
  <c r="C13" i="4"/>
  <c r="A13" i="4" s="1"/>
  <c r="B13" i="4"/>
  <c r="AL12" i="4"/>
  <c r="F12" i="4" s="1" a="1"/>
  <c r="F12" i="4" s="1"/>
  <c r="E12" i="4" a="1"/>
  <c r="E12" i="4" s="1"/>
  <c r="C12" i="4"/>
  <c r="B12" i="4"/>
  <c r="A12" i="4"/>
  <c r="AL11" i="4"/>
  <c r="F11" i="4" a="1"/>
  <c r="F11" i="4" s="1"/>
  <c r="E11" i="4" a="1"/>
  <c r="E11" i="4" s="1"/>
  <c r="C11" i="4"/>
  <c r="A11" i="4" s="1"/>
  <c r="B11" i="4"/>
  <c r="AL10" i="4"/>
  <c r="F10" i="4" s="1" a="1"/>
  <c r="F10" i="4" s="1"/>
  <c r="E10" i="4" a="1"/>
  <c r="E10" i="4" s="1"/>
  <c r="C10" i="4"/>
  <c r="B10" i="4"/>
  <c r="A10" i="4"/>
  <c r="AL9" i="4"/>
  <c r="C9" i="4"/>
  <c r="A9" i="4" s="1"/>
  <c r="B9" i="4"/>
  <c r="AL8" i="4"/>
  <c r="F8" i="4" s="1" a="1"/>
  <c r="F8" i="4" s="1"/>
  <c r="E8" i="4" a="1"/>
  <c r="E8" i="4" s="1"/>
  <c r="C8" i="4"/>
  <c r="B8" i="4"/>
  <c r="A8" i="4"/>
  <c r="AL7" i="4"/>
  <c r="F7" i="4" a="1"/>
  <c r="F7" i="4" s="1"/>
  <c r="E7" i="4" a="1"/>
  <c r="E7" i="4"/>
  <c r="C7" i="4"/>
  <c r="A7" i="4" s="1"/>
  <c r="B7" i="4"/>
  <c r="AL6" i="4"/>
  <c r="F6" i="4" s="1" a="1"/>
  <c r="F6" i="4" s="1"/>
  <c r="E6" i="4" a="1"/>
  <c r="E6" i="4" s="1"/>
  <c r="C6" i="4"/>
  <c r="B6" i="4"/>
  <c r="A6" i="4"/>
  <c r="AL5" i="4"/>
  <c r="C5" i="4"/>
  <c r="A5" i="4" s="1"/>
  <c r="B5" i="4"/>
  <c r="AL4" i="4"/>
  <c r="F4" i="4" s="1" a="1"/>
  <c r="F4" i="4" s="1"/>
  <c r="E4" i="4" a="1"/>
  <c r="E4" i="4" s="1"/>
  <c r="C4" i="4"/>
  <c r="B4" i="4"/>
  <c r="A4" i="4"/>
  <c r="AL3" i="4"/>
  <c r="F3" i="4" a="1"/>
  <c r="F3" i="4" s="1"/>
  <c r="E3" i="4" a="1"/>
  <c r="E3" i="4"/>
  <c r="C3" i="4"/>
  <c r="A3" i="4" s="1"/>
  <c r="B3" i="4"/>
  <c r="A823" i="5" s="1" a="1"/>
  <c r="A823" i="5" s="1"/>
  <c r="AL2" i="4"/>
  <c r="F2" i="4" s="1" a="1"/>
  <c r="F2" i="4" s="1"/>
  <c r="E2" i="4" a="1"/>
  <c r="E2" i="4" s="1"/>
  <c r="C2" i="4"/>
  <c r="B2" i="4"/>
  <c r="A2" i="4"/>
  <c r="X792" i="3" a="1"/>
  <c r="X792" i="3"/>
  <c r="I792" i="3"/>
  <c r="X791" i="3" a="1"/>
  <c r="X791" i="3"/>
  <c r="I791" i="3"/>
  <c r="X790" i="3" a="1"/>
  <c r="X790" i="3" s="1"/>
  <c r="I790" i="3"/>
  <c r="X789" i="3" a="1"/>
  <c r="X789" i="3"/>
  <c r="I789" i="3"/>
  <c r="X788" i="3" a="1"/>
  <c r="X788" i="3"/>
  <c r="I788" i="3"/>
  <c r="G788" i="3" a="1"/>
  <c r="G788" i="3" s="1"/>
  <c r="E788" i="3" a="1"/>
  <c r="E788" i="3" s="1"/>
  <c r="X787" i="3" a="1"/>
  <c r="X787" i="3"/>
  <c r="I787" i="3"/>
  <c r="X786" i="3" a="1"/>
  <c r="X786" i="3"/>
  <c r="I786" i="3"/>
  <c r="X785" i="3" a="1"/>
  <c r="X785" i="3" s="1"/>
  <c r="I785" i="3"/>
  <c r="X784" i="3" a="1"/>
  <c r="X784" i="3" s="1"/>
  <c r="I784" i="3"/>
  <c r="X783" i="3" a="1"/>
  <c r="X783" i="3" s="1"/>
  <c r="I783" i="3"/>
  <c r="X782" i="3" a="1"/>
  <c r="X782" i="3" s="1"/>
  <c r="I782" i="3"/>
  <c r="X781" i="3" a="1"/>
  <c r="X781" i="3" s="1"/>
  <c r="I781" i="3"/>
  <c r="X780" i="3" a="1"/>
  <c r="X780" i="3"/>
  <c r="O780" i="3" a="1"/>
  <c r="O780" i="3" s="1"/>
  <c r="I780" i="3"/>
  <c r="X779" i="3" a="1"/>
  <c r="X779" i="3" s="1"/>
  <c r="I779" i="3"/>
  <c r="K764" i="3" a="1"/>
  <c r="K764" i="3" s="1"/>
  <c r="M764" i="3" s="1"/>
  <c r="K749" i="3" a="1"/>
  <c r="K749" i="3"/>
  <c r="M749" i="3" s="1"/>
  <c r="X733" i="3" a="1"/>
  <c r="X733" i="3" s="1"/>
  <c r="I733" i="3"/>
  <c r="X732" i="3" a="1"/>
  <c r="X732" i="3" s="1"/>
  <c r="I732" i="3"/>
  <c r="X731" i="3" a="1"/>
  <c r="X731" i="3"/>
  <c r="I731" i="3"/>
  <c r="X730" i="3" a="1"/>
  <c r="X730" i="3"/>
  <c r="I730" i="3"/>
  <c r="X729" i="3" a="1"/>
  <c r="X729" i="3" s="1"/>
  <c r="V729" i="3" a="1"/>
  <c r="V729" i="3" s="1"/>
  <c r="I729" i="3"/>
  <c r="X728" i="3" a="1"/>
  <c r="X728" i="3"/>
  <c r="I728" i="3"/>
  <c r="X727" i="3" a="1"/>
  <c r="X727" i="3" s="1"/>
  <c r="I727" i="3"/>
  <c r="X726" i="3" a="1"/>
  <c r="X726" i="3" s="1"/>
  <c r="I726" i="3"/>
  <c r="X725" i="3" a="1"/>
  <c r="X725" i="3"/>
  <c r="I725" i="3"/>
  <c r="X724" i="3" a="1"/>
  <c r="X724" i="3" s="1"/>
  <c r="I724" i="3"/>
  <c r="X723" i="3" a="1"/>
  <c r="X723" i="3" s="1"/>
  <c r="I723" i="3"/>
  <c r="X722" i="3" a="1"/>
  <c r="X722" i="3"/>
  <c r="I722" i="3"/>
  <c r="G722" i="3" a="1"/>
  <c r="G722" i="3" s="1"/>
  <c r="X721" i="3" a="1"/>
  <c r="X721" i="3"/>
  <c r="I721" i="3"/>
  <c r="X720" i="3" a="1"/>
  <c r="X720" i="3"/>
  <c r="I720" i="3"/>
  <c r="X709" i="3" a="1"/>
  <c r="X709" i="3" s="1"/>
  <c r="G705" i="3" a="1"/>
  <c r="G705" i="3" s="1"/>
  <c r="K702" i="3" a="1"/>
  <c r="K702" i="3" s="1"/>
  <c r="M702" i="3" s="1"/>
  <c r="J702" i="3" a="1"/>
  <c r="J702" i="3" s="1"/>
  <c r="X695" i="3" a="1"/>
  <c r="X695" i="3" s="1"/>
  <c r="I695" i="3"/>
  <c r="X694" i="3" a="1"/>
  <c r="X694" i="3" s="1"/>
  <c r="I694" i="3"/>
  <c r="X693" i="3" a="1"/>
  <c r="X693" i="3" s="1"/>
  <c r="I693" i="3"/>
  <c r="X692" i="3" a="1"/>
  <c r="X692" i="3" s="1"/>
  <c r="I692" i="3"/>
  <c r="X691" i="3" a="1"/>
  <c r="X691" i="3"/>
  <c r="I691" i="3"/>
  <c r="X690" i="3" a="1"/>
  <c r="X690" i="3"/>
  <c r="I690" i="3"/>
  <c r="X689" i="3" a="1"/>
  <c r="X689" i="3" s="1"/>
  <c r="I689" i="3"/>
  <c r="X688" i="3" a="1"/>
  <c r="X688" i="3"/>
  <c r="J688" i="3" a="1"/>
  <c r="J688" i="3" s="1"/>
  <c r="I688" i="3"/>
  <c r="X687" i="3" a="1"/>
  <c r="X687" i="3"/>
  <c r="I687" i="3"/>
  <c r="X686" i="3" a="1"/>
  <c r="X686" i="3"/>
  <c r="I686" i="3"/>
  <c r="X685" i="3" a="1"/>
  <c r="X685" i="3"/>
  <c r="I685" i="3"/>
  <c r="X684" i="3" a="1"/>
  <c r="X684" i="3"/>
  <c r="I684" i="3"/>
  <c r="X683" i="3" a="1"/>
  <c r="X683" i="3"/>
  <c r="I683" i="3"/>
  <c r="X682" i="3" a="1"/>
  <c r="X682" i="3"/>
  <c r="I682" i="3"/>
  <c r="X679" i="3" a="1"/>
  <c r="X679" i="3" s="1"/>
  <c r="O666" i="3" a="1"/>
  <c r="O666" i="3" s="1"/>
  <c r="X665" i="3" a="1"/>
  <c r="X665" i="3" s="1"/>
  <c r="X663" i="3" a="1"/>
  <c r="X663" i="3" s="1"/>
  <c r="G656" i="3" a="1"/>
  <c r="G656" i="3" s="1"/>
  <c r="X654" i="3" a="1"/>
  <c r="X654" i="3" s="1"/>
  <c r="X643" i="3" a="1"/>
  <c r="X643" i="3" s="1"/>
  <c r="K643" i="3" a="1"/>
  <c r="K643" i="3" s="1"/>
  <c r="M643" i="3" s="1"/>
  <c r="G633" i="3" a="1"/>
  <c r="G633" i="3" s="1"/>
  <c r="X627" i="3" a="1"/>
  <c r="X627" i="3" s="1"/>
  <c r="X612" i="3" a="1"/>
  <c r="X612" i="3" s="1"/>
  <c r="I612" i="3"/>
  <c r="X611" i="3" a="1"/>
  <c r="X611" i="3"/>
  <c r="I611" i="3"/>
  <c r="X610" i="3" a="1"/>
  <c r="X610" i="3" s="1"/>
  <c r="I610" i="3"/>
  <c r="X609" i="3" a="1"/>
  <c r="X609" i="3" s="1"/>
  <c r="I609" i="3"/>
  <c r="X608" i="3" a="1"/>
  <c r="X608" i="3"/>
  <c r="I608" i="3"/>
  <c r="X607" i="3" a="1"/>
  <c r="X607" i="3" s="1"/>
  <c r="O607" i="3" a="1"/>
  <c r="O607" i="3" s="1"/>
  <c r="I607" i="3"/>
  <c r="X606" i="3" a="1"/>
  <c r="X606" i="3"/>
  <c r="I606" i="3"/>
  <c r="X605" i="3" a="1"/>
  <c r="X605" i="3" s="1"/>
  <c r="I605" i="3"/>
  <c r="X604" i="3" a="1"/>
  <c r="X604" i="3"/>
  <c r="R604" i="3" a="1"/>
  <c r="R604" i="3" s="1"/>
  <c r="I604" i="3"/>
  <c r="X603" i="3" a="1"/>
  <c r="X603" i="3"/>
  <c r="I603" i="3"/>
  <c r="X602" i="3" a="1"/>
  <c r="X602" i="3" s="1"/>
  <c r="I602" i="3"/>
  <c r="X601" i="3" a="1"/>
  <c r="X601" i="3"/>
  <c r="I601" i="3"/>
  <c r="X600" i="3" a="1"/>
  <c r="X600" i="3" s="1"/>
  <c r="I600" i="3"/>
  <c r="X599" i="3" a="1"/>
  <c r="X599" i="3"/>
  <c r="I599" i="3"/>
  <c r="X596" i="3" a="1"/>
  <c r="X596" i="3" s="1"/>
  <c r="K593" i="3" a="1"/>
  <c r="K593" i="3"/>
  <c r="M593" i="3" s="1"/>
  <c r="E591" i="3" a="1"/>
  <c r="E591" i="3"/>
  <c r="X584" i="3" a="1"/>
  <c r="X584" i="3" s="1"/>
  <c r="O582" i="3" a="1"/>
  <c r="O582" i="3" s="1"/>
  <c r="K582" i="3" a="1"/>
  <c r="K582" i="3" s="1"/>
  <c r="M582" i="3" s="1"/>
  <c r="J581" i="3" a="1"/>
  <c r="J581" i="3" s="1"/>
  <c r="X572" i="3" a="1"/>
  <c r="X572" i="3" s="1"/>
  <c r="E536" i="3" a="1"/>
  <c r="E536" i="3" s="1"/>
  <c r="X522" i="3" a="1"/>
  <c r="X522" i="3" s="1"/>
  <c r="E522" i="3" a="1"/>
  <c r="E522" i="3" s="1"/>
  <c r="O521" i="3" a="1"/>
  <c r="O521" i="3" s="1"/>
  <c r="G517" i="3" a="1"/>
  <c r="G517" i="3" s="1"/>
  <c r="X513" i="3" a="1"/>
  <c r="X513" i="3" s="1"/>
  <c r="G513" i="3" a="1"/>
  <c r="G513" i="3" s="1"/>
  <c r="X510" i="3" a="1"/>
  <c r="X510" i="3" s="1"/>
  <c r="X505" i="3" a="1"/>
  <c r="X505" i="3" s="1"/>
  <c r="X497" i="3" a="1"/>
  <c r="X497" i="3"/>
  <c r="X494" i="3" a="1"/>
  <c r="X494" i="3" s="1"/>
  <c r="R494" i="3" a="1"/>
  <c r="R494" i="3" s="1"/>
  <c r="I494" i="3"/>
  <c r="X493" i="3" a="1"/>
  <c r="X493" i="3" s="1"/>
  <c r="O493" i="3" a="1"/>
  <c r="O493" i="3" s="1"/>
  <c r="I493" i="3"/>
  <c r="X492" i="3" a="1"/>
  <c r="X492" i="3" s="1"/>
  <c r="I492" i="3"/>
  <c r="X491" i="3" a="1"/>
  <c r="X491" i="3" s="1"/>
  <c r="K491" i="3" a="1"/>
  <c r="K491" i="3"/>
  <c r="M491" i="3" s="1"/>
  <c r="J491" i="3" a="1"/>
  <c r="J491" i="3" s="1"/>
  <c r="I491" i="3"/>
  <c r="X490" i="3" a="1"/>
  <c r="X490" i="3"/>
  <c r="I490" i="3"/>
  <c r="X489" i="3" a="1"/>
  <c r="X489" i="3"/>
  <c r="I489" i="3"/>
  <c r="X488" i="3" a="1"/>
  <c r="X488" i="3"/>
  <c r="I488" i="3"/>
  <c r="X487" i="3" a="1"/>
  <c r="X487" i="3"/>
  <c r="I487" i="3"/>
  <c r="X486" i="3" a="1"/>
  <c r="X486" i="3"/>
  <c r="K486" i="3" a="1"/>
  <c r="K486" i="3" s="1"/>
  <c r="M486" i="3" s="1"/>
  <c r="I486" i="3"/>
  <c r="X485" i="3" a="1"/>
  <c r="X485" i="3"/>
  <c r="I485" i="3"/>
  <c r="X484" i="3" a="1"/>
  <c r="X484" i="3" s="1"/>
  <c r="R484" i="3" a="1"/>
  <c r="R484" i="3" s="1"/>
  <c r="I484" i="3"/>
  <c r="X483" i="3" a="1"/>
  <c r="X483" i="3" s="1"/>
  <c r="K483" i="3" a="1"/>
  <c r="K483" i="3"/>
  <c r="M483" i="3" s="1"/>
  <c r="J483" i="3" a="1"/>
  <c r="J483" i="3"/>
  <c r="I483" i="3"/>
  <c r="G483" i="3" a="1"/>
  <c r="G483" i="3" s="1"/>
  <c r="X482" i="3" a="1"/>
  <c r="X482" i="3" s="1"/>
  <c r="I482" i="3"/>
  <c r="G480" i="3" a="1"/>
  <c r="G480" i="3" s="1"/>
  <c r="J474" i="3" a="1"/>
  <c r="J474" i="3"/>
  <c r="G474" i="3" a="1"/>
  <c r="G474" i="3" s="1"/>
  <c r="O470" i="3" a="1"/>
  <c r="O470" i="3" s="1"/>
  <c r="G470" i="3" a="1"/>
  <c r="G470" i="3" s="1"/>
  <c r="K468" i="3" a="1"/>
  <c r="K468" i="3"/>
  <c r="M468" i="3" s="1"/>
  <c r="G465" i="3" a="1"/>
  <c r="G465" i="3" s="1"/>
  <c r="K464" i="3" a="1"/>
  <c r="K464" i="3" s="1"/>
  <c r="M464" i="3" s="1"/>
  <c r="E459" i="3" a="1"/>
  <c r="E459" i="3" s="1"/>
  <c r="AB455" i="3"/>
  <c r="X455" i="3" a="1"/>
  <c r="X455" i="3" s="1"/>
  <c r="O455" i="3" a="1"/>
  <c r="O455" i="3" s="1"/>
  <c r="P455" i="3" s="1"/>
  <c r="I455" i="3"/>
  <c r="X454" i="3" a="1"/>
  <c r="X454" i="3" s="1"/>
  <c r="K454" i="3" a="1"/>
  <c r="K454" i="3" s="1"/>
  <c r="M454" i="3" s="1"/>
  <c r="I454" i="3"/>
  <c r="X453" i="3" a="1"/>
  <c r="X453" i="3"/>
  <c r="I453" i="3"/>
  <c r="X452" i="3" a="1"/>
  <c r="X452" i="3" s="1"/>
  <c r="I452" i="3"/>
  <c r="X451" i="3" a="1"/>
  <c r="X451" i="3"/>
  <c r="I451" i="3"/>
  <c r="G451" i="3" a="1"/>
  <c r="G451" i="3" s="1"/>
  <c r="E451" i="3" a="1"/>
  <c r="E451" i="3" s="1"/>
  <c r="X450" i="3" a="1"/>
  <c r="X450" i="3" s="1"/>
  <c r="I450" i="3"/>
  <c r="X449" i="3" a="1"/>
  <c r="X449" i="3"/>
  <c r="Q449" i="3"/>
  <c r="P449" i="3"/>
  <c r="S449" i="3" s="1"/>
  <c r="O449" i="3"/>
  <c r="AB449" i="3" s="1"/>
  <c r="I449" i="3"/>
  <c r="O449" i="3" s="1" a="1"/>
  <c r="X448" i="3" a="1"/>
  <c r="X448" i="3"/>
  <c r="P448" i="3"/>
  <c r="O448" i="3" a="1"/>
  <c r="O448" i="3"/>
  <c r="I448" i="3"/>
  <c r="X447" i="3" a="1"/>
  <c r="X447" i="3" s="1"/>
  <c r="I447" i="3"/>
  <c r="X446" i="3" a="1"/>
  <c r="X446" i="3"/>
  <c r="I446" i="3"/>
  <c r="X445" i="3" a="1"/>
  <c r="X445" i="3"/>
  <c r="I445" i="3"/>
  <c r="X444" i="3" a="1"/>
  <c r="X444" i="3"/>
  <c r="I444" i="3"/>
  <c r="X443" i="3" a="1"/>
  <c r="X443" i="3" s="1"/>
  <c r="I443" i="3"/>
  <c r="O438" i="3" a="1"/>
  <c r="O438" i="3" s="1"/>
  <c r="K438" i="3" a="1"/>
  <c r="K438" i="3" s="1"/>
  <c r="M438" i="3" s="1"/>
  <c r="G434" i="3" a="1"/>
  <c r="G434" i="3" s="1"/>
  <c r="Q433" i="3"/>
  <c r="O433" i="3" a="1"/>
  <c r="O433" i="3" s="1"/>
  <c r="O430" i="3" a="1"/>
  <c r="O430" i="3"/>
  <c r="X424" i="3" a="1"/>
  <c r="X424" i="3" s="1"/>
  <c r="X420" i="3" a="1"/>
  <c r="X420" i="3" s="1"/>
  <c r="X417" i="3" a="1"/>
  <c r="X417" i="3"/>
  <c r="M417" i="3"/>
  <c r="O408" i="3" a="1"/>
  <c r="O408" i="3" s="1"/>
  <c r="O398" i="3" a="1"/>
  <c r="O398" i="3"/>
  <c r="K398" i="3" a="1"/>
  <c r="K398" i="3" s="1"/>
  <c r="M398" i="3" s="1"/>
  <c r="X393" i="3" a="1"/>
  <c r="X393" i="3" s="1"/>
  <c r="X392" i="3" a="1"/>
  <c r="X392" i="3" s="1"/>
  <c r="G392" i="3" a="1"/>
  <c r="G392" i="3"/>
  <c r="K391" i="3" a="1"/>
  <c r="K391" i="3"/>
  <c r="M391" i="3" s="1"/>
  <c r="G391" i="3" a="1"/>
  <c r="G391" i="3" s="1"/>
  <c r="G389" i="3" a="1"/>
  <c r="G389" i="3" s="1"/>
  <c r="E388" i="3" a="1"/>
  <c r="E388" i="3" s="1"/>
  <c r="O386" i="3" a="1"/>
  <c r="O386" i="3" s="1"/>
  <c r="P386" i="3" s="1"/>
  <c r="X382" i="3" a="1"/>
  <c r="X382" i="3"/>
  <c r="J382" i="3" a="1"/>
  <c r="J382" i="3" s="1"/>
  <c r="I382" i="3"/>
  <c r="X381" i="3" a="1"/>
  <c r="X381" i="3" s="1"/>
  <c r="I381" i="3"/>
  <c r="G381" i="3" a="1"/>
  <c r="G381" i="3" s="1"/>
  <c r="E381" i="3" a="1"/>
  <c r="E381" i="3"/>
  <c r="X380" i="3" a="1"/>
  <c r="X380" i="3"/>
  <c r="I380" i="3"/>
  <c r="X379" i="3" a="1"/>
  <c r="X379" i="3"/>
  <c r="I379" i="3"/>
  <c r="X378" i="3" a="1"/>
  <c r="X378" i="3"/>
  <c r="I378" i="3"/>
  <c r="X377" i="3" a="1"/>
  <c r="X377" i="3"/>
  <c r="K377" i="3" a="1"/>
  <c r="K377" i="3" s="1"/>
  <c r="M377" i="3" s="1"/>
  <c r="I377" i="3"/>
  <c r="X376" i="3" a="1"/>
  <c r="X376" i="3"/>
  <c r="I376" i="3"/>
  <c r="X375" i="3" a="1"/>
  <c r="X375" i="3" s="1"/>
  <c r="R375" i="3" a="1"/>
  <c r="R375" i="3" s="1"/>
  <c r="I375" i="3"/>
  <c r="AB374" i="3"/>
  <c r="X374" i="3" a="1"/>
  <c r="X374" i="3"/>
  <c r="O374" i="3" a="1"/>
  <c r="O374" i="3" s="1"/>
  <c r="I374" i="3"/>
  <c r="X373" i="3" a="1"/>
  <c r="X373" i="3" s="1"/>
  <c r="I373" i="3"/>
  <c r="X372" i="3" a="1"/>
  <c r="X372" i="3" s="1"/>
  <c r="J372" i="3" a="1"/>
  <c r="J372" i="3" s="1"/>
  <c r="I372" i="3"/>
  <c r="J371" i="3" a="1"/>
  <c r="J371" i="3" s="1"/>
  <c r="J370" i="3" a="1"/>
  <c r="J370" i="3" s="1"/>
  <c r="E361" i="3" a="1"/>
  <c r="E361" i="3"/>
  <c r="O358" i="3" a="1"/>
  <c r="O358" i="3" s="1"/>
  <c r="G358" i="3" a="1"/>
  <c r="G358" i="3" s="1"/>
  <c r="E358" i="3" a="1"/>
  <c r="E358" i="3" s="1"/>
  <c r="O353" i="3" a="1"/>
  <c r="O353" i="3" s="1"/>
  <c r="Q353" i="3" s="1"/>
  <c r="X350" i="3" a="1"/>
  <c r="X350" i="3"/>
  <c r="G348" i="3" a="1"/>
  <c r="G348" i="3" s="1"/>
  <c r="G347" i="3" a="1"/>
  <c r="G347" i="3" s="1"/>
  <c r="E347" i="3" a="1"/>
  <c r="E347" i="3" s="1"/>
  <c r="O346" i="3" a="1"/>
  <c r="O346" i="3" s="1"/>
  <c r="E346" i="3" a="1"/>
  <c r="E346" i="3" s="1"/>
  <c r="O345" i="3" a="1"/>
  <c r="O345" i="3" s="1"/>
  <c r="K345" i="3" a="1"/>
  <c r="K345" i="3" s="1"/>
  <c r="M345" i="3" s="1"/>
  <c r="X342" i="3" a="1"/>
  <c r="X342" i="3"/>
  <c r="I342" i="3"/>
  <c r="X341" i="3" a="1"/>
  <c r="X341" i="3" s="1"/>
  <c r="J341" i="3" a="1"/>
  <c r="J341" i="3" s="1"/>
  <c r="I341" i="3"/>
  <c r="X340" i="3" a="1"/>
  <c r="X340" i="3" s="1"/>
  <c r="I340" i="3"/>
  <c r="X339" i="3" a="1"/>
  <c r="X339" i="3" s="1"/>
  <c r="K339" i="3" a="1"/>
  <c r="K339" i="3" s="1"/>
  <c r="M339" i="3" s="1"/>
  <c r="I339" i="3"/>
  <c r="X338" i="3" a="1"/>
  <c r="X338" i="3"/>
  <c r="R338" i="3" a="1"/>
  <c r="R338" i="3" s="1"/>
  <c r="K338" i="3" a="1"/>
  <c r="K338" i="3"/>
  <c r="M338" i="3" s="1"/>
  <c r="I338" i="3"/>
  <c r="G338" i="3" a="1"/>
  <c r="G338" i="3"/>
  <c r="E338" i="3" a="1"/>
  <c r="E338" i="3" s="1"/>
  <c r="X337" i="3" a="1"/>
  <c r="X337" i="3"/>
  <c r="R337" i="3" a="1"/>
  <c r="R337" i="3" s="1"/>
  <c r="I337" i="3"/>
  <c r="X336" i="3" a="1"/>
  <c r="X336" i="3"/>
  <c r="I336" i="3"/>
  <c r="E336" i="3" a="1"/>
  <c r="E336" i="3"/>
  <c r="X335" i="3" a="1"/>
  <c r="X335" i="3"/>
  <c r="O335" i="3" a="1"/>
  <c r="O335" i="3" s="1"/>
  <c r="I335" i="3"/>
  <c r="X334" i="3" a="1"/>
  <c r="X334" i="3" s="1"/>
  <c r="I334" i="3"/>
  <c r="X333" i="3" a="1"/>
  <c r="X333" i="3"/>
  <c r="I333" i="3"/>
  <c r="X332" i="3" a="1"/>
  <c r="X332" i="3"/>
  <c r="I332" i="3"/>
  <c r="X331" i="3" a="1"/>
  <c r="X331" i="3"/>
  <c r="V331" i="3" a="1"/>
  <c r="V331" i="3" s="1"/>
  <c r="O331" i="3" a="1"/>
  <c r="O331" i="3" s="1"/>
  <c r="I331" i="3"/>
  <c r="G331" i="3" a="1"/>
  <c r="G331" i="3"/>
  <c r="E331" i="3" a="1"/>
  <c r="E331" i="3"/>
  <c r="X330" i="3" a="1"/>
  <c r="X330" i="3"/>
  <c r="I330" i="3"/>
  <c r="E330" i="3" a="1"/>
  <c r="E330" i="3" s="1"/>
  <c r="X329" i="3" a="1"/>
  <c r="X329" i="3" s="1"/>
  <c r="J329" i="3" a="1"/>
  <c r="J329" i="3" s="1"/>
  <c r="I329" i="3"/>
  <c r="X328" i="3" a="1"/>
  <c r="X328" i="3" s="1"/>
  <c r="X327" i="3" a="1"/>
  <c r="X327" i="3" s="1"/>
  <c r="K324" i="3" a="1"/>
  <c r="K324" i="3" s="1"/>
  <c r="M324" i="3" s="1"/>
  <c r="X323" i="3" a="1"/>
  <c r="X323" i="3" s="1"/>
  <c r="O321" i="3" a="1"/>
  <c r="O321" i="3" s="1"/>
  <c r="K321" i="3" a="1"/>
  <c r="K321" i="3" s="1"/>
  <c r="M321" i="3" s="1"/>
  <c r="X315" i="3" a="1"/>
  <c r="X315" i="3" s="1"/>
  <c r="X314" i="3" a="1"/>
  <c r="X314" i="3" s="1"/>
  <c r="G311" i="3" a="1"/>
  <c r="G311" i="3" s="1"/>
  <c r="O308" i="3" a="1"/>
  <c r="O308" i="3" s="1"/>
  <c r="K308" i="3" a="1"/>
  <c r="K308" i="3"/>
  <c r="M308" i="3" s="1"/>
  <c r="X304" i="3" a="1"/>
  <c r="X304" i="3" s="1"/>
  <c r="J304" i="3" a="1"/>
  <c r="J304" i="3" s="1"/>
  <c r="I304" i="3"/>
  <c r="X303" i="3" a="1"/>
  <c r="X303" i="3"/>
  <c r="I303" i="3"/>
  <c r="G303" i="3" a="1"/>
  <c r="G303" i="3" s="1"/>
  <c r="E303" i="3" a="1"/>
  <c r="E303" i="3" s="1"/>
  <c r="X302" i="3" a="1"/>
  <c r="X302" i="3" s="1"/>
  <c r="I302" i="3"/>
  <c r="X301" i="3" a="1"/>
  <c r="X301" i="3"/>
  <c r="O301" i="3" a="1"/>
  <c r="O301" i="3" s="1"/>
  <c r="K301" i="3" a="1"/>
  <c r="K301" i="3" s="1"/>
  <c r="M301" i="3" s="1"/>
  <c r="I301" i="3"/>
  <c r="X300" i="3" a="1"/>
  <c r="X300" i="3"/>
  <c r="O300" i="3" a="1"/>
  <c r="O300" i="3"/>
  <c r="I300" i="3"/>
  <c r="X299" i="3" a="1"/>
  <c r="X299" i="3" s="1"/>
  <c r="V299" i="3" a="1"/>
  <c r="V299" i="3" s="1"/>
  <c r="I299" i="3"/>
  <c r="R299" i="3" s="1" a="1"/>
  <c r="R299" i="3" s="1"/>
  <c r="X298" i="3" a="1"/>
  <c r="X298" i="3"/>
  <c r="I298" i="3"/>
  <c r="G298" i="3" a="1"/>
  <c r="G298" i="3"/>
  <c r="X297" i="3" a="1"/>
  <c r="X297" i="3" s="1"/>
  <c r="I297" i="3"/>
  <c r="X296" i="3" a="1"/>
  <c r="X296" i="3" s="1"/>
  <c r="R296" i="3" a="1"/>
  <c r="R296" i="3"/>
  <c r="I296" i="3"/>
  <c r="X295" i="3" a="1"/>
  <c r="X295" i="3"/>
  <c r="R295" i="3" a="1"/>
  <c r="R295" i="3" s="1"/>
  <c r="I295" i="3"/>
  <c r="X294" i="3" a="1"/>
  <c r="X294" i="3" s="1"/>
  <c r="R294" i="3" a="1"/>
  <c r="R294" i="3" s="1"/>
  <c r="I294" i="3"/>
  <c r="X293" i="3" a="1"/>
  <c r="X293" i="3"/>
  <c r="O293" i="3" a="1"/>
  <c r="O293" i="3" s="1"/>
  <c r="K293" i="3" a="1"/>
  <c r="K293" i="3" s="1"/>
  <c r="M293" i="3" s="1"/>
  <c r="I293" i="3"/>
  <c r="X292" i="3" a="1"/>
  <c r="X292" i="3"/>
  <c r="M292" i="3"/>
  <c r="K292" i="3" a="1"/>
  <c r="K292" i="3"/>
  <c r="I292" i="3"/>
  <c r="X291" i="3" a="1"/>
  <c r="X291" i="3" s="1"/>
  <c r="I291" i="3"/>
  <c r="X288" i="3" a="1"/>
  <c r="X288" i="3" s="1"/>
  <c r="J284" i="3" a="1"/>
  <c r="J284" i="3" s="1"/>
  <c r="O283" i="3" a="1"/>
  <c r="O283" i="3" s="1"/>
  <c r="J283" i="3" a="1"/>
  <c r="J283" i="3"/>
  <c r="G283" i="3" a="1"/>
  <c r="G283" i="3"/>
  <c r="X280" i="3" a="1"/>
  <c r="X280" i="3" s="1"/>
  <c r="J279" i="3" a="1"/>
  <c r="J279" i="3"/>
  <c r="G279" i="3" a="1"/>
  <c r="G279" i="3" s="1"/>
  <c r="X276" i="3" a="1"/>
  <c r="X276" i="3" s="1"/>
  <c r="X273" i="3" a="1"/>
  <c r="X273" i="3" s="1"/>
  <c r="J272" i="3" a="1"/>
  <c r="J272" i="3" s="1"/>
  <c r="G272" i="3" a="1"/>
  <c r="G272" i="3" s="1"/>
  <c r="E272" i="3" a="1"/>
  <c r="E272" i="3" s="1"/>
  <c r="X271" i="3" a="1"/>
  <c r="X271" i="3"/>
  <c r="X269" i="3" a="1"/>
  <c r="X269" i="3" s="1"/>
  <c r="J269" i="3" a="1"/>
  <c r="J269" i="3" s="1"/>
  <c r="J268" i="3" a="1"/>
  <c r="J268" i="3" s="1"/>
  <c r="J266" i="3" a="1"/>
  <c r="J266" i="3" s="1"/>
  <c r="G266" i="3" a="1"/>
  <c r="G266" i="3"/>
  <c r="X265" i="3" a="1"/>
  <c r="X265" i="3" s="1"/>
  <c r="J265" i="3" a="1"/>
  <c r="J265" i="3" s="1"/>
  <c r="G264" i="3" a="1"/>
  <c r="G264" i="3"/>
  <c r="X263" i="3" a="1"/>
  <c r="X263" i="3"/>
  <c r="I263" i="3"/>
  <c r="X262" i="3" a="1"/>
  <c r="X262" i="3" s="1"/>
  <c r="I262" i="3"/>
  <c r="X261" i="3" a="1"/>
  <c r="X261" i="3" s="1"/>
  <c r="I261" i="3"/>
  <c r="E261" i="3" a="1"/>
  <c r="E261" i="3"/>
  <c r="X260" i="3" a="1"/>
  <c r="X260" i="3"/>
  <c r="I260" i="3"/>
  <c r="X259" i="3" a="1"/>
  <c r="X259" i="3" s="1"/>
  <c r="O259" i="3" a="1"/>
  <c r="O259" i="3" s="1"/>
  <c r="K259" i="3" a="1"/>
  <c r="K259" i="3" s="1"/>
  <c r="M259" i="3" s="1"/>
  <c r="J259" i="3" a="1"/>
  <c r="J259" i="3"/>
  <c r="I259" i="3"/>
  <c r="G259" i="3" a="1"/>
  <c r="G259" i="3" s="1"/>
  <c r="X258" i="3" a="1"/>
  <c r="X258" i="3"/>
  <c r="J258" i="3" a="1"/>
  <c r="J258" i="3"/>
  <c r="I258" i="3"/>
  <c r="G258" i="3" a="1"/>
  <c r="G258" i="3" s="1"/>
  <c r="X257" i="3" a="1"/>
  <c r="X257" i="3"/>
  <c r="R257" i="3" a="1"/>
  <c r="R257" i="3" s="1"/>
  <c r="O257" i="3" a="1"/>
  <c r="O257" i="3" s="1"/>
  <c r="I257" i="3"/>
  <c r="E257" i="3" a="1"/>
  <c r="E257" i="3" s="1"/>
  <c r="X256" i="3" a="1"/>
  <c r="X256" i="3" s="1"/>
  <c r="O256" i="3" a="1"/>
  <c r="O256" i="3"/>
  <c r="AB256" i="3" s="1"/>
  <c r="I256" i="3"/>
  <c r="X255" i="3" a="1"/>
  <c r="X255" i="3" s="1"/>
  <c r="I255" i="3"/>
  <c r="O255" i="3" s="1" a="1"/>
  <c r="O255" i="3" s="1"/>
  <c r="X254" i="3" a="1"/>
  <c r="X254" i="3" s="1"/>
  <c r="I254" i="3"/>
  <c r="X253" i="3" a="1"/>
  <c r="X253" i="3" s="1"/>
  <c r="K253" i="3" a="1"/>
  <c r="K253" i="3" s="1"/>
  <c r="M253" i="3" s="1"/>
  <c r="I253" i="3"/>
  <c r="X252" i="3" a="1"/>
  <c r="X252" i="3"/>
  <c r="R252" i="3" a="1"/>
  <c r="R252" i="3" s="1"/>
  <c r="I252" i="3"/>
  <c r="E252" i="3" a="1"/>
  <c r="E252" i="3" s="1"/>
  <c r="AC251" i="3"/>
  <c r="X251" i="3" a="1"/>
  <c r="X251" i="3" s="1"/>
  <c r="R251" i="3" a="1"/>
  <c r="R251" i="3" s="1"/>
  <c r="O251" i="3" a="1"/>
  <c r="O251" i="3" s="1"/>
  <c r="AB251" i="3" s="1"/>
  <c r="AA251" i="3" s="1"/>
  <c r="I251" i="3"/>
  <c r="X250" i="3" a="1"/>
  <c r="X250" i="3"/>
  <c r="K250" i="3" a="1"/>
  <c r="K250" i="3" s="1"/>
  <c r="M250" i="3" s="1"/>
  <c r="I250" i="3"/>
  <c r="E250" i="3" a="1"/>
  <c r="E250" i="3" s="1"/>
  <c r="X249" i="3" a="1"/>
  <c r="X249" i="3" s="1"/>
  <c r="I249" i="3"/>
  <c r="G249" i="3" a="1"/>
  <c r="G249" i="3" s="1"/>
  <c r="X248" i="3" a="1"/>
  <c r="X248" i="3"/>
  <c r="K248" i="3" a="1"/>
  <c r="K248" i="3" s="1"/>
  <c r="M248" i="3" s="1"/>
  <c r="I248" i="3"/>
  <c r="G248" i="3" a="1"/>
  <c r="G248" i="3"/>
  <c r="X247" i="3" a="1"/>
  <c r="X247" i="3"/>
  <c r="I247" i="3"/>
  <c r="AE246" i="3"/>
  <c r="X246" i="3" a="1"/>
  <c r="X246" i="3"/>
  <c r="R246" i="3" a="1"/>
  <c r="R246" i="3"/>
  <c r="Q246" i="3"/>
  <c r="S246" i="3" s="1"/>
  <c r="P246" i="3"/>
  <c r="O246" i="3"/>
  <c r="AB246" i="3" s="1"/>
  <c r="AC246" i="3" s="1"/>
  <c r="AD246" i="3" s="1"/>
  <c r="K246" i="3" a="1"/>
  <c r="K246" i="3" s="1"/>
  <c r="M246" i="3" s="1"/>
  <c r="J246" i="3" a="1"/>
  <c r="J246" i="3"/>
  <c r="I246" i="3"/>
  <c r="O246" i="3" s="1" a="1"/>
  <c r="X245" i="3" a="1"/>
  <c r="X245" i="3"/>
  <c r="O245" i="3" a="1"/>
  <c r="O245" i="3" s="1"/>
  <c r="K245" i="3" a="1"/>
  <c r="K245" i="3" s="1"/>
  <c r="M245" i="3" s="1"/>
  <c r="J245" i="3" a="1"/>
  <c r="J245" i="3" s="1"/>
  <c r="I245" i="3"/>
  <c r="X244" i="3" a="1"/>
  <c r="X244" i="3" s="1"/>
  <c r="K244" i="3" a="1"/>
  <c r="K244" i="3" s="1"/>
  <c r="M244" i="3" s="1"/>
  <c r="J244" i="3" a="1"/>
  <c r="J244" i="3"/>
  <c r="I244" i="3"/>
  <c r="X243" i="3" a="1"/>
  <c r="X243" i="3"/>
  <c r="V243" i="3" a="1"/>
  <c r="V243" i="3" s="1"/>
  <c r="K243" i="3" a="1"/>
  <c r="K243" i="3" s="1"/>
  <c r="M243" i="3" s="1"/>
  <c r="J243" i="3" a="1"/>
  <c r="J243" i="3" s="1"/>
  <c r="I243" i="3"/>
  <c r="X242" i="3" a="1"/>
  <c r="X242" i="3"/>
  <c r="V242" i="3" a="1"/>
  <c r="V242" i="3" s="1"/>
  <c r="I242" i="3"/>
  <c r="X241" i="3" a="1"/>
  <c r="X241" i="3"/>
  <c r="O241" i="3" a="1"/>
  <c r="O241" i="3" s="1"/>
  <c r="AB241" i="3" s="1"/>
  <c r="J241" i="3" a="1"/>
  <c r="J241" i="3" s="1"/>
  <c r="I241" i="3"/>
  <c r="K241" i="3" s="1" a="1"/>
  <c r="K241" i="3" s="1"/>
  <c r="M241" i="3" s="1"/>
  <c r="X240" i="3" a="1"/>
  <c r="X240" i="3" s="1"/>
  <c r="V240" i="3" a="1"/>
  <c r="V240" i="3" s="1"/>
  <c r="O240" i="3" a="1"/>
  <c r="O240" i="3"/>
  <c r="K240" i="3" a="1"/>
  <c r="K240" i="3" s="1"/>
  <c r="M240" i="3" s="1"/>
  <c r="J240" i="3" a="1"/>
  <c r="J240" i="3" s="1"/>
  <c r="I240" i="3"/>
  <c r="G240" i="3" a="1"/>
  <c r="G240" i="3" s="1"/>
  <c r="X238" i="3" a="1"/>
  <c r="X238" i="3" s="1"/>
  <c r="X237" i="3" a="1"/>
  <c r="X237" i="3" s="1"/>
  <c r="O235" i="3" a="1"/>
  <c r="O235" i="3" s="1"/>
  <c r="AB235" i="3" s="1"/>
  <c r="X234" i="3" a="1"/>
  <c r="X234" i="3"/>
  <c r="X233" i="3" a="1"/>
  <c r="X233" i="3" s="1"/>
  <c r="K229" i="3" a="1"/>
  <c r="K229" i="3" s="1"/>
  <c r="M229" i="3" s="1"/>
  <c r="G229" i="3" a="1"/>
  <c r="G229" i="3" s="1"/>
  <c r="O227" i="3" a="1"/>
  <c r="O227" i="3" s="1"/>
  <c r="K227" i="3" a="1"/>
  <c r="K227" i="3" s="1"/>
  <c r="M227" i="3" s="1"/>
  <c r="X225" i="3" a="1"/>
  <c r="X225" i="3"/>
  <c r="X222" i="3" a="1"/>
  <c r="X222" i="3"/>
  <c r="X221" i="3" a="1"/>
  <c r="X221" i="3" s="1"/>
  <c r="O219" i="3" a="1"/>
  <c r="O219" i="3" s="1"/>
  <c r="K219" i="3" a="1"/>
  <c r="K219" i="3"/>
  <c r="M219" i="3" s="1"/>
  <c r="J219" i="3" a="1"/>
  <c r="J219" i="3"/>
  <c r="G218" i="3" a="1"/>
  <c r="G218" i="3"/>
  <c r="X217" i="3" a="1"/>
  <c r="X217" i="3"/>
  <c r="R217" i="3" a="1"/>
  <c r="R217" i="3" s="1"/>
  <c r="K217" i="3" a="1"/>
  <c r="K217" i="3" s="1"/>
  <c r="M217" i="3" s="1"/>
  <c r="I217" i="3"/>
  <c r="X216" i="3" a="1"/>
  <c r="X216" i="3"/>
  <c r="R216" i="3" a="1"/>
  <c r="R216" i="3"/>
  <c r="O216" i="3" a="1"/>
  <c r="O216" i="3" s="1"/>
  <c r="AB216" i="3" s="1"/>
  <c r="K216" i="3" a="1"/>
  <c r="K216" i="3" s="1"/>
  <c r="M216" i="3" s="1"/>
  <c r="J216" i="3" a="1"/>
  <c r="J216" i="3"/>
  <c r="I216" i="3"/>
  <c r="AB215" i="3"/>
  <c r="AC215" i="3" s="1"/>
  <c r="X215" i="3" a="1"/>
  <c r="X215" i="3" s="1"/>
  <c r="V215" i="3" a="1"/>
  <c r="V215" i="3" s="1"/>
  <c r="R215" i="3" a="1"/>
  <c r="R215" i="3" s="1"/>
  <c r="O215" i="3" a="1"/>
  <c r="O215" i="3" s="1"/>
  <c r="K215" i="3" a="1"/>
  <c r="K215" i="3" s="1"/>
  <c r="M215" i="3" s="1"/>
  <c r="J215" i="3" a="1"/>
  <c r="J215" i="3" s="1"/>
  <c r="I215" i="3"/>
  <c r="X214" i="3" a="1"/>
  <c r="X214" i="3"/>
  <c r="R214" i="3" a="1"/>
  <c r="R214" i="3"/>
  <c r="P214" i="3"/>
  <c r="O214" i="3" a="1"/>
  <c r="O214" i="3" s="1"/>
  <c r="AB214" i="3" s="1"/>
  <c r="K214" i="3" a="1"/>
  <c r="K214" i="3" s="1"/>
  <c r="M214" i="3" s="1"/>
  <c r="J214" i="3" a="1"/>
  <c r="J214" i="3" s="1"/>
  <c r="I214" i="3"/>
  <c r="X213" i="3" a="1"/>
  <c r="X213" i="3" s="1"/>
  <c r="V213" i="3" a="1"/>
  <c r="V213" i="3" s="1"/>
  <c r="R213" i="3" a="1"/>
  <c r="R213" i="3"/>
  <c r="O213" i="3" a="1"/>
  <c r="O213" i="3"/>
  <c r="K213" i="3" a="1"/>
  <c r="K213" i="3"/>
  <c r="M213" i="3" s="1"/>
  <c r="J213" i="3" a="1"/>
  <c r="J213" i="3"/>
  <c r="I213" i="3"/>
  <c r="X212" i="3" a="1"/>
  <c r="X212" i="3"/>
  <c r="J212" i="3" a="1"/>
  <c r="J212" i="3" s="1"/>
  <c r="I212" i="3"/>
  <c r="R212" i="3" s="1" a="1"/>
  <c r="R212" i="3" s="1"/>
  <c r="G212" i="3" a="1"/>
  <c r="G212" i="3" s="1"/>
  <c r="X211" i="3" a="1"/>
  <c r="X211" i="3" s="1"/>
  <c r="I211" i="3"/>
  <c r="G211" i="3" a="1"/>
  <c r="G211" i="3"/>
  <c r="X210" i="3" a="1"/>
  <c r="X210" i="3" s="1"/>
  <c r="R210" i="3" a="1"/>
  <c r="R210" i="3" s="1"/>
  <c r="J210" i="3" a="1"/>
  <c r="J210" i="3" s="1"/>
  <c r="I210" i="3"/>
  <c r="O210" i="3" s="1" a="1"/>
  <c r="O210" i="3" s="1"/>
  <c r="G210" i="3" a="1"/>
  <c r="G210" i="3" s="1"/>
  <c r="E210" i="3" a="1"/>
  <c r="E210" i="3"/>
  <c r="X209" i="3" a="1"/>
  <c r="X209" i="3" s="1"/>
  <c r="S209" i="3"/>
  <c r="R209" i="3" a="1"/>
  <c r="R209" i="3"/>
  <c r="Q209" i="3"/>
  <c r="P209" i="3"/>
  <c r="O209" i="3" a="1"/>
  <c r="O209" i="3" s="1"/>
  <c r="AB209" i="3" s="1"/>
  <c r="M209" i="3"/>
  <c r="K209" i="3"/>
  <c r="J209" i="3" a="1"/>
  <c r="J209" i="3" s="1"/>
  <c r="I209" i="3"/>
  <c r="K209" i="3" s="1" a="1"/>
  <c r="AC208" i="3"/>
  <c r="AD208" i="3" s="1"/>
  <c r="AA208" i="3"/>
  <c r="X208" i="3" a="1"/>
  <c r="X208" i="3" s="1"/>
  <c r="R208" i="3" a="1"/>
  <c r="R208" i="3"/>
  <c r="O208" i="3"/>
  <c r="AB208" i="3" s="1"/>
  <c r="K208" i="3" a="1"/>
  <c r="K208" i="3" s="1"/>
  <c r="M208" i="3" s="1"/>
  <c r="J208" i="3" a="1"/>
  <c r="J208" i="3"/>
  <c r="I208" i="3"/>
  <c r="O208" i="3" s="1" a="1"/>
  <c r="X207" i="3" a="1"/>
  <c r="X207" i="3" s="1"/>
  <c r="I207" i="3"/>
  <c r="X206" i="3" a="1"/>
  <c r="X206" i="3"/>
  <c r="J206" i="3" a="1"/>
  <c r="J206" i="3"/>
  <c r="I206" i="3"/>
  <c r="G206" i="3" a="1"/>
  <c r="G206" i="3" s="1"/>
  <c r="X205" i="3" a="1"/>
  <c r="X205" i="3"/>
  <c r="I205" i="3"/>
  <c r="X204" i="3" a="1"/>
  <c r="X204" i="3"/>
  <c r="O204" i="3" a="1"/>
  <c r="O204" i="3" s="1"/>
  <c r="P204" i="3" s="1"/>
  <c r="I204" i="3"/>
  <c r="AB203" i="3"/>
  <c r="X203" i="3" a="1"/>
  <c r="X203" i="3"/>
  <c r="R203" i="3" a="1"/>
  <c r="R203" i="3" s="1"/>
  <c r="Q203" i="3"/>
  <c r="P203" i="3"/>
  <c r="O203" i="3" a="1"/>
  <c r="O203" i="3" s="1"/>
  <c r="K203" i="3" a="1"/>
  <c r="K203" i="3" s="1"/>
  <c r="M203" i="3" s="1"/>
  <c r="J203" i="3" a="1"/>
  <c r="J203" i="3" s="1"/>
  <c r="I203" i="3"/>
  <c r="X202" i="3" a="1"/>
  <c r="X202" i="3" s="1"/>
  <c r="I202" i="3"/>
  <c r="X201" i="3" a="1"/>
  <c r="X201" i="3"/>
  <c r="J201" i="3" a="1"/>
  <c r="J201" i="3"/>
  <c r="I201" i="3"/>
  <c r="X200" i="3" a="1"/>
  <c r="X200" i="3"/>
  <c r="I200" i="3"/>
  <c r="X199" i="3" a="1"/>
  <c r="X199" i="3" s="1"/>
  <c r="R199" i="3" a="1"/>
  <c r="R199" i="3" s="1"/>
  <c r="O199" i="3" a="1"/>
  <c r="O199" i="3" s="1"/>
  <c r="K199" i="3" a="1"/>
  <c r="K199" i="3" s="1"/>
  <c r="M199" i="3" s="1"/>
  <c r="J199" i="3" a="1"/>
  <c r="J199" i="3"/>
  <c r="I199" i="3"/>
  <c r="AC198" i="3"/>
  <c r="AD198" i="3" s="1"/>
  <c r="AB198" i="3"/>
  <c r="AA198" i="3" s="1"/>
  <c r="X198" i="3" a="1"/>
  <c r="X198" i="3"/>
  <c r="S198" i="3"/>
  <c r="T198" i="3" s="1"/>
  <c r="R198" i="3" a="1"/>
  <c r="R198" i="3" s="1"/>
  <c r="Q198" i="3"/>
  <c r="P198" i="3"/>
  <c r="O198" i="3" a="1"/>
  <c r="O198" i="3"/>
  <c r="M198" i="3"/>
  <c r="K198" i="3" a="1"/>
  <c r="K198" i="3" s="1"/>
  <c r="I198" i="3"/>
  <c r="X197" i="3" a="1"/>
  <c r="X197" i="3" s="1"/>
  <c r="R197" i="3" a="1"/>
  <c r="R197" i="3"/>
  <c r="O197" i="3" a="1"/>
  <c r="O197" i="3" s="1"/>
  <c r="M197" i="3"/>
  <c r="K197" i="3" a="1"/>
  <c r="K197" i="3"/>
  <c r="J197" i="3" a="1"/>
  <c r="J197" i="3"/>
  <c r="I197" i="3"/>
  <c r="X196" i="3" a="1"/>
  <c r="X196" i="3"/>
  <c r="K196" i="3" a="1"/>
  <c r="K196" i="3" s="1"/>
  <c r="M196" i="3" s="1"/>
  <c r="I196" i="3"/>
  <c r="X195" i="3" a="1"/>
  <c r="X195" i="3" s="1"/>
  <c r="I195" i="3"/>
  <c r="G195" i="3" a="1"/>
  <c r="G195" i="3"/>
  <c r="E195" i="3" a="1"/>
  <c r="E195" i="3" s="1"/>
  <c r="X194" i="3" a="1"/>
  <c r="X194" i="3"/>
  <c r="I194" i="3"/>
  <c r="X193" i="3" a="1"/>
  <c r="X193" i="3"/>
  <c r="R193" i="3" a="1"/>
  <c r="R193" i="3"/>
  <c r="J193" i="3" a="1"/>
  <c r="J193" i="3" s="1"/>
  <c r="I193" i="3"/>
  <c r="K193" i="3" s="1" a="1"/>
  <c r="K193" i="3" s="1"/>
  <c r="M193" i="3" s="1"/>
  <c r="G193" i="3" a="1"/>
  <c r="G193" i="3"/>
  <c r="X192" i="3" a="1"/>
  <c r="X192" i="3" s="1"/>
  <c r="R192" i="3" a="1"/>
  <c r="R192" i="3"/>
  <c r="O192" i="3"/>
  <c r="AB192" i="3" s="1"/>
  <c r="K192" i="3" a="1"/>
  <c r="K192" i="3" s="1"/>
  <c r="M192" i="3" s="1"/>
  <c r="J192" i="3" a="1"/>
  <c r="J192" i="3" s="1"/>
  <c r="I192" i="3"/>
  <c r="O192" i="3" s="1" a="1"/>
  <c r="AB191" i="3"/>
  <c r="X191" i="3" a="1"/>
  <c r="X191" i="3" s="1"/>
  <c r="R191" i="3" a="1"/>
  <c r="R191" i="3" s="1"/>
  <c r="O191" i="3" a="1"/>
  <c r="O191" i="3" s="1"/>
  <c r="P191" i="3" s="1"/>
  <c r="M191" i="3"/>
  <c r="K191" i="3" a="1"/>
  <c r="K191" i="3"/>
  <c r="J191" i="3" a="1"/>
  <c r="J191" i="3"/>
  <c r="I191" i="3"/>
  <c r="X190" i="3" a="1"/>
  <c r="X190" i="3"/>
  <c r="K190" i="3" a="1"/>
  <c r="K190" i="3"/>
  <c r="M190" i="3" s="1"/>
  <c r="J190" i="3" a="1"/>
  <c r="J190" i="3" s="1"/>
  <c r="I190" i="3"/>
  <c r="X189" i="3" a="1"/>
  <c r="X189" i="3"/>
  <c r="J189" i="3" a="1"/>
  <c r="J189" i="3" s="1"/>
  <c r="I189" i="3"/>
  <c r="X188" i="3" a="1"/>
  <c r="X188" i="3" s="1"/>
  <c r="I188" i="3"/>
  <c r="G188" i="3" a="1"/>
  <c r="G188" i="3"/>
  <c r="X187" i="3" a="1"/>
  <c r="X187" i="3"/>
  <c r="R187" i="3" a="1"/>
  <c r="R187" i="3" s="1"/>
  <c r="O187" i="3" a="1"/>
  <c r="O187" i="3"/>
  <c r="AB187" i="3" s="1"/>
  <c r="I187" i="3"/>
  <c r="AB186" i="3"/>
  <c r="AC186" i="3" s="1"/>
  <c r="AA186" i="3"/>
  <c r="X186" i="3" a="1"/>
  <c r="X186" i="3"/>
  <c r="R186" i="3"/>
  <c r="Q186" i="3"/>
  <c r="O186" i="3" a="1"/>
  <c r="O186" i="3"/>
  <c r="P186" i="3" s="1"/>
  <c r="S186" i="3" s="1"/>
  <c r="M186" i="3"/>
  <c r="K186" i="3" a="1"/>
  <c r="K186" i="3"/>
  <c r="J186" i="3" a="1"/>
  <c r="J186" i="3" s="1"/>
  <c r="I186" i="3"/>
  <c r="R186" i="3" s="1" a="1"/>
  <c r="X185" i="3" a="1"/>
  <c r="X185" i="3" s="1"/>
  <c r="K185" i="3" a="1"/>
  <c r="K185" i="3" s="1"/>
  <c r="M185" i="3" s="1"/>
  <c r="J185" i="3" a="1"/>
  <c r="J185" i="3"/>
  <c r="I185" i="3"/>
  <c r="X184" i="3" a="1"/>
  <c r="X184" i="3"/>
  <c r="I184" i="3"/>
  <c r="X183" i="3" a="1"/>
  <c r="X183" i="3" s="1"/>
  <c r="R183" i="3" a="1"/>
  <c r="R183" i="3" s="1"/>
  <c r="O183" i="3" a="1"/>
  <c r="O183" i="3" s="1"/>
  <c r="K183" i="3" a="1"/>
  <c r="K183" i="3" s="1"/>
  <c r="M183" i="3" s="1"/>
  <c r="J183" i="3" a="1"/>
  <c r="J183" i="3"/>
  <c r="I183" i="3"/>
  <c r="G183" i="3" a="1"/>
  <c r="G183" i="3" s="1"/>
  <c r="X182" i="3" a="1"/>
  <c r="X182" i="3"/>
  <c r="R182" i="3" a="1"/>
  <c r="R182" i="3" s="1"/>
  <c r="I182" i="3"/>
  <c r="AB181" i="3"/>
  <c r="AA181" i="3" s="1"/>
  <c r="X181" i="3" a="1"/>
  <c r="X181" i="3" s="1"/>
  <c r="S181" i="3"/>
  <c r="R181" i="3" a="1"/>
  <c r="R181" i="3" s="1"/>
  <c r="Q181" i="3"/>
  <c r="P181" i="3"/>
  <c r="O181" i="3" a="1"/>
  <c r="O181" i="3"/>
  <c r="M181" i="3"/>
  <c r="K181" i="3" a="1"/>
  <c r="K181" i="3" s="1"/>
  <c r="J181" i="3" a="1"/>
  <c r="J181" i="3"/>
  <c r="I181" i="3"/>
  <c r="X180" i="3" a="1"/>
  <c r="X180" i="3"/>
  <c r="R180" i="3" a="1"/>
  <c r="R180" i="3" s="1"/>
  <c r="O180" i="3" a="1"/>
  <c r="O180" i="3"/>
  <c r="M180" i="3"/>
  <c r="K180" i="3" a="1"/>
  <c r="K180" i="3" s="1"/>
  <c r="J180" i="3" a="1"/>
  <c r="J180" i="3" s="1"/>
  <c r="I180" i="3"/>
  <c r="X179" i="3" a="1"/>
  <c r="X179" i="3" s="1"/>
  <c r="I179" i="3"/>
  <c r="X178" i="3" a="1"/>
  <c r="X178" i="3" s="1"/>
  <c r="K178" i="3" a="1"/>
  <c r="K178" i="3" s="1"/>
  <c r="M178" i="3" s="1"/>
  <c r="J178" i="3" a="1"/>
  <c r="J178" i="3" s="1"/>
  <c r="I178" i="3"/>
  <c r="X177" i="3" a="1"/>
  <c r="X177" i="3"/>
  <c r="O177" i="3" a="1"/>
  <c r="O177" i="3" s="1"/>
  <c r="J177" i="3" a="1"/>
  <c r="J177" i="3" s="1"/>
  <c r="I177" i="3"/>
  <c r="X176" i="3" a="1"/>
  <c r="X176" i="3"/>
  <c r="R176" i="3" a="1"/>
  <c r="R176" i="3" s="1"/>
  <c r="Q176" i="3"/>
  <c r="J176" i="3" a="1"/>
  <c r="J176" i="3" s="1"/>
  <c r="I176" i="3"/>
  <c r="O176" i="3" s="1" a="1"/>
  <c r="O176" i="3" s="1"/>
  <c r="X175" i="3" a="1"/>
  <c r="X175" i="3" s="1"/>
  <c r="R175" i="3" a="1"/>
  <c r="R175" i="3"/>
  <c r="Q175" i="3"/>
  <c r="O175" i="3" a="1"/>
  <c r="O175" i="3" s="1"/>
  <c r="M175" i="3"/>
  <c r="K175" i="3" a="1"/>
  <c r="K175" i="3" s="1"/>
  <c r="J175" i="3" a="1"/>
  <c r="J175" i="3" s="1"/>
  <c r="I175" i="3"/>
  <c r="X174" i="3" a="1"/>
  <c r="X174" i="3" s="1"/>
  <c r="R174" i="3" a="1"/>
  <c r="R174" i="3" s="1"/>
  <c r="O174" i="3"/>
  <c r="M174" i="3"/>
  <c r="K174" i="3" a="1"/>
  <c r="K174" i="3"/>
  <c r="J174" i="3" a="1"/>
  <c r="J174" i="3"/>
  <c r="I174" i="3"/>
  <c r="O174" i="3" s="1" a="1"/>
  <c r="X173" i="3" a="1"/>
  <c r="X173" i="3"/>
  <c r="K173" i="3" a="1"/>
  <c r="K173" i="3" s="1"/>
  <c r="M173" i="3" s="1"/>
  <c r="J173" i="3" a="1"/>
  <c r="J173" i="3"/>
  <c r="I173" i="3"/>
  <c r="X172" i="3" a="1"/>
  <c r="X172" i="3"/>
  <c r="I172" i="3"/>
  <c r="G172" i="3" a="1"/>
  <c r="G172" i="3"/>
  <c r="X171" i="3" a="1"/>
  <c r="X171" i="3" s="1"/>
  <c r="I171" i="3"/>
  <c r="X170" i="3" a="1"/>
  <c r="X170" i="3"/>
  <c r="O170" i="3" a="1"/>
  <c r="O170" i="3"/>
  <c r="I170" i="3"/>
  <c r="AB169" i="3"/>
  <c r="AC169" i="3" s="1"/>
  <c r="AA169" i="3"/>
  <c r="X169" i="3" a="1"/>
  <c r="X169" i="3"/>
  <c r="R169" i="3" a="1"/>
  <c r="R169" i="3"/>
  <c r="O169" i="3" a="1"/>
  <c r="O169" i="3"/>
  <c r="Q169" i="3" s="1"/>
  <c r="K169" i="3" a="1"/>
  <c r="K169" i="3"/>
  <c r="M169" i="3" s="1"/>
  <c r="J169" i="3" a="1"/>
  <c r="J169" i="3" s="1"/>
  <c r="I169" i="3"/>
  <c r="X168" i="3" a="1"/>
  <c r="X168" i="3" s="1"/>
  <c r="K168" i="3" a="1"/>
  <c r="K168" i="3"/>
  <c r="M168" i="3" s="1"/>
  <c r="I168" i="3"/>
  <c r="K167" i="3" a="1"/>
  <c r="K167" i="3"/>
  <c r="M167" i="3" s="1"/>
  <c r="G165" i="3" a="1"/>
  <c r="G165" i="3"/>
  <c r="E165" i="3" a="1"/>
  <c r="E165" i="3" s="1"/>
  <c r="X164" i="3" a="1"/>
  <c r="X164" i="3" s="1"/>
  <c r="I164" i="3"/>
  <c r="X163" i="3" a="1"/>
  <c r="X163" i="3"/>
  <c r="I163" i="3"/>
  <c r="X162" i="3" a="1"/>
  <c r="X162" i="3" s="1"/>
  <c r="R162" i="3" a="1"/>
  <c r="R162" i="3" s="1"/>
  <c r="O162" i="3" a="1"/>
  <c r="O162" i="3" s="1"/>
  <c r="K162" i="3" a="1"/>
  <c r="K162" i="3" s="1"/>
  <c r="M162" i="3" s="1"/>
  <c r="J162" i="3" a="1"/>
  <c r="J162" i="3"/>
  <c r="I162" i="3"/>
  <c r="AB161" i="3"/>
  <c r="AC161" i="3" s="1"/>
  <c r="X161" i="3" a="1"/>
  <c r="X161" i="3" s="1"/>
  <c r="O161" i="3" a="1"/>
  <c r="O161" i="3"/>
  <c r="Q161" i="3" s="1"/>
  <c r="K161" i="3" a="1"/>
  <c r="K161" i="3"/>
  <c r="M161" i="3" s="1"/>
  <c r="J161" i="3" a="1"/>
  <c r="J161" i="3"/>
  <c r="I161" i="3"/>
  <c r="V161" i="3" s="1" a="1"/>
  <c r="V161" i="3" s="1"/>
  <c r="AC160" i="3"/>
  <c r="AE160" i="3" s="1"/>
  <c r="AB160" i="3"/>
  <c r="AA160" i="3"/>
  <c r="X160" i="3" a="1"/>
  <c r="X160" i="3" s="1"/>
  <c r="R160" i="3"/>
  <c r="Q160" i="3"/>
  <c r="O160" i="3" a="1"/>
  <c r="O160" i="3"/>
  <c r="P160" i="3" s="1"/>
  <c r="S160" i="3" s="1"/>
  <c r="K160" i="3" a="1"/>
  <c r="K160" i="3"/>
  <c r="M160" i="3" s="1"/>
  <c r="J160" i="3" a="1"/>
  <c r="J160" i="3" s="1"/>
  <c r="I160" i="3"/>
  <c r="X159" i="3" a="1"/>
  <c r="X159" i="3" s="1"/>
  <c r="V159" i="3" a="1"/>
  <c r="V159" i="3"/>
  <c r="R159" i="3" a="1"/>
  <c r="R159" i="3" s="1"/>
  <c r="Q159" i="3"/>
  <c r="O159" i="3" a="1"/>
  <c r="O159" i="3"/>
  <c r="P159" i="3" s="1"/>
  <c r="M159" i="3"/>
  <c r="K159" i="3" a="1"/>
  <c r="K159" i="3"/>
  <c r="J159" i="3" a="1"/>
  <c r="J159" i="3" s="1"/>
  <c r="I159" i="3"/>
  <c r="G159" i="3" a="1"/>
  <c r="G159" i="3"/>
  <c r="E159" i="3" a="1"/>
  <c r="E159" i="3"/>
  <c r="X158" i="3" a="1"/>
  <c r="X158" i="3"/>
  <c r="V158" i="3" a="1"/>
  <c r="V158" i="3" s="1"/>
  <c r="R158" i="3" a="1"/>
  <c r="R158" i="3"/>
  <c r="O158" i="3" a="1"/>
  <c r="O158" i="3"/>
  <c r="M158" i="3"/>
  <c r="K158" i="3" a="1"/>
  <c r="K158" i="3" s="1"/>
  <c r="J158" i="3" a="1"/>
  <c r="J158" i="3" s="1"/>
  <c r="I158" i="3"/>
  <c r="X157" i="3" a="1"/>
  <c r="X157" i="3"/>
  <c r="I157" i="3"/>
  <c r="E157" i="3" a="1"/>
  <c r="E157" i="3"/>
  <c r="X156" i="3" a="1"/>
  <c r="X156" i="3" s="1"/>
  <c r="R156" i="3" a="1"/>
  <c r="R156" i="3"/>
  <c r="O156" i="3" a="1"/>
  <c r="O156" i="3" s="1"/>
  <c r="K156" i="3" a="1"/>
  <c r="K156" i="3" s="1"/>
  <c r="M156" i="3" s="1"/>
  <c r="J156" i="3" a="1"/>
  <c r="J156" i="3"/>
  <c r="I156" i="3"/>
  <c r="AE155" i="3"/>
  <c r="AD155" i="3"/>
  <c r="AC155" i="3"/>
  <c r="AB155" i="3"/>
  <c r="AA155" i="3" s="1"/>
  <c r="X155" i="3" a="1"/>
  <c r="X155" i="3"/>
  <c r="Q155" i="3"/>
  <c r="O155" i="3" a="1"/>
  <c r="O155" i="3" s="1"/>
  <c r="P155" i="3" s="1"/>
  <c r="S155" i="3" s="1"/>
  <c r="J155" i="3" a="1"/>
  <c r="J155" i="3" s="1"/>
  <c r="I155" i="3"/>
  <c r="K155" i="3" s="1" a="1"/>
  <c r="K155" i="3" s="1"/>
  <c r="M155" i="3" s="1"/>
  <c r="X154" i="3" a="1"/>
  <c r="X154" i="3"/>
  <c r="R154" i="3" a="1"/>
  <c r="R154" i="3" s="1"/>
  <c r="I154" i="3"/>
  <c r="X153" i="3" a="1"/>
  <c r="X153" i="3"/>
  <c r="R153" i="3" a="1"/>
  <c r="R153" i="3" s="1"/>
  <c r="I153" i="3"/>
  <c r="X152" i="3" a="1"/>
  <c r="X152" i="3"/>
  <c r="I152" i="3"/>
  <c r="X151" i="3" a="1"/>
  <c r="X151" i="3"/>
  <c r="I151" i="3"/>
  <c r="J151" i="3" s="1" a="1"/>
  <c r="J151" i="3" s="1"/>
  <c r="X150" i="3" a="1"/>
  <c r="X150" i="3" s="1"/>
  <c r="O150" i="3" a="1"/>
  <c r="O150" i="3" s="1"/>
  <c r="K150" i="3" a="1"/>
  <c r="K150" i="3" s="1"/>
  <c r="M150" i="3" s="1"/>
  <c r="I150" i="3"/>
  <c r="R150" i="3" s="1" a="1"/>
  <c r="R150" i="3" s="1"/>
  <c r="G150" i="3" a="1"/>
  <c r="G150" i="3" s="1"/>
  <c r="E150" i="3" a="1"/>
  <c r="E150" i="3"/>
  <c r="X149" i="3" a="1"/>
  <c r="X149" i="3"/>
  <c r="I149" i="3"/>
  <c r="G149" i="3" a="1"/>
  <c r="G149" i="3"/>
  <c r="X148" i="3" a="1"/>
  <c r="X148" i="3"/>
  <c r="I148" i="3"/>
  <c r="G148" i="3" a="1"/>
  <c r="G148" i="3" s="1"/>
  <c r="X147" i="3" a="1"/>
  <c r="X147" i="3"/>
  <c r="O147" i="3" a="1"/>
  <c r="O147" i="3" s="1"/>
  <c r="K147" i="3" a="1"/>
  <c r="K147" i="3"/>
  <c r="M147" i="3" s="1"/>
  <c r="J147" i="3" a="1"/>
  <c r="J147" i="3" s="1"/>
  <c r="I147" i="3"/>
  <c r="X146" i="3" a="1"/>
  <c r="X146" i="3" s="1"/>
  <c r="O146" i="3" a="1"/>
  <c r="O146" i="3" s="1"/>
  <c r="I146" i="3"/>
  <c r="AC145" i="3"/>
  <c r="AB145" i="3"/>
  <c r="AA145" i="3" s="1"/>
  <c r="X145" i="3" a="1"/>
  <c r="X145" i="3" s="1"/>
  <c r="Q145" i="3"/>
  <c r="P145" i="3"/>
  <c r="S145" i="3" s="1"/>
  <c r="O145" i="3" a="1"/>
  <c r="O145" i="3"/>
  <c r="K145" i="3" a="1"/>
  <c r="K145" i="3" s="1"/>
  <c r="M145" i="3" s="1"/>
  <c r="J145" i="3" a="1"/>
  <c r="J145" i="3"/>
  <c r="I145" i="3"/>
  <c r="V145" i="3" s="1" a="1"/>
  <c r="V145" i="3" s="1"/>
  <c r="AD144" i="3"/>
  <c r="AC144" i="3"/>
  <c r="AE144" i="3" s="1"/>
  <c r="X144" i="3" a="1"/>
  <c r="X144" i="3" s="1"/>
  <c r="Q144" i="3"/>
  <c r="O144" i="3" a="1"/>
  <c r="O144" i="3"/>
  <c r="AB144" i="3" s="1"/>
  <c r="AA144" i="3" s="1"/>
  <c r="K144" i="3" a="1"/>
  <c r="K144" i="3"/>
  <c r="M144" i="3" s="1"/>
  <c r="J144" i="3" a="1"/>
  <c r="J144" i="3" s="1"/>
  <c r="I144" i="3"/>
  <c r="AB143" i="3"/>
  <c r="AA143" i="3" s="1"/>
  <c r="X143" i="3" a="1"/>
  <c r="X143" i="3" s="1"/>
  <c r="O143" i="3" a="1"/>
  <c r="O143" i="3"/>
  <c r="Q143" i="3" s="1"/>
  <c r="K143" i="3" a="1"/>
  <c r="K143" i="3"/>
  <c r="M143" i="3" s="1"/>
  <c r="I143" i="3"/>
  <c r="G143" i="3" a="1"/>
  <c r="G143" i="3"/>
  <c r="E143" i="3" a="1"/>
  <c r="E143" i="3"/>
  <c r="X142" i="3" a="1"/>
  <c r="X142" i="3"/>
  <c r="O142" i="3" a="1"/>
  <c r="O142" i="3" s="1"/>
  <c r="M142" i="3"/>
  <c r="K142" i="3" a="1"/>
  <c r="K142" i="3" s="1"/>
  <c r="I142" i="3"/>
  <c r="X141" i="3" a="1"/>
  <c r="X141" i="3"/>
  <c r="I141" i="3"/>
  <c r="E141" i="3" a="1"/>
  <c r="E141" i="3" s="1"/>
  <c r="X138" i="3" a="1"/>
  <c r="X138" i="3" s="1"/>
  <c r="E137" i="3" a="1"/>
  <c r="E137" i="3" s="1"/>
  <c r="X134" i="3" a="1"/>
  <c r="X134" i="3" s="1"/>
  <c r="X133" i="3" a="1"/>
  <c r="X133" i="3" s="1"/>
  <c r="E133" i="3" a="1"/>
  <c r="E133" i="3" s="1"/>
  <c r="X130" i="3" a="1"/>
  <c r="X130" i="3" s="1"/>
  <c r="X129" i="3" a="1"/>
  <c r="X129" i="3" s="1"/>
  <c r="E129" i="3" a="1"/>
  <c r="E129" i="3" s="1"/>
  <c r="X126" i="3" a="1"/>
  <c r="X126" i="3" s="1"/>
  <c r="X125" i="3" a="1"/>
  <c r="X125" i="3" s="1"/>
  <c r="O123" i="3" a="1"/>
  <c r="O123" i="3" s="1"/>
  <c r="X122" i="3" a="1"/>
  <c r="X122" i="3" s="1"/>
  <c r="X121" i="3" a="1"/>
  <c r="X121" i="3" s="1"/>
  <c r="O119" i="3" a="1"/>
  <c r="O119" i="3"/>
  <c r="AB119" i="3" s="1"/>
  <c r="X117" i="3" a="1"/>
  <c r="X117" i="3" s="1"/>
  <c r="O115" i="3" a="1"/>
  <c r="O115" i="3"/>
  <c r="AB115" i="3" s="1"/>
  <c r="O111" i="3" a="1"/>
  <c r="O111" i="3" s="1"/>
  <c r="AB111" i="3" s="1"/>
  <c r="E109" i="3" a="1"/>
  <c r="E109" i="3"/>
  <c r="X106" i="3" a="1"/>
  <c r="X106" i="3" s="1"/>
  <c r="X105" i="3" a="1"/>
  <c r="X105" i="3" s="1"/>
  <c r="R105" i="3" a="1"/>
  <c r="R105" i="3"/>
  <c r="O105" i="3" a="1"/>
  <c r="O105" i="3"/>
  <c r="I105" i="3"/>
  <c r="E105" i="3" a="1"/>
  <c r="E105" i="3" s="1"/>
  <c r="X104" i="3" a="1"/>
  <c r="X104" i="3"/>
  <c r="V104" i="3" a="1"/>
  <c r="V104" i="3" s="1"/>
  <c r="R104" i="3" a="1"/>
  <c r="R104" i="3"/>
  <c r="O104" i="3" a="1"/>
  <c r="O104" i="3" s="1"/>
  <c r="J104" i="3" a="1"/>
  <c r="J104" i="3" s="1"/>
  <c r="I104" i="3"/>
  <c r="K104" i="3" s="1" a="1"/>
  <c r="K104" i="3" s="1"/>
  <c r="M104" i="3" s="1"/>
  <c r="X103" i="3" a="1"/>
  <c r="X103" i="3"/>
  <c r="I103" i="3"/>
  <c r="X102" i="3" a="1"/>
  <c r="X102" i="3" s="1"/>
  <c r="I102" i="3"/>
  <c r="G102" i="3" a="1"/>
  <c r="G102" i="3"/>
  <c r="E102" i="3" a="1"/>
  <c r="E102" i="3" s="1"/>
  <c r="X101" i="3" a="1"/>
  <c r="X101" i="3"/>
  <c r="I101" i="3"/>
  <c r="X100" i="3" a="1"/>
  <c r="X100" i="3"/>
  <c r="R100" i="3" a="1"/>
  <c r="R100" i="3" s="1"/>
  <c r="J100" i="3" a="1"/>
  <c r="J100" i="3"/>
  <c r="I100" i="3"/>
  <c r="X99" i="3" a="1"/>
  <c r="X99" i="3" s="1"/>
  <c r="I99" i="3"/>
  <c r="G99" i="3" a="1"/>
  <c r="G99" i="3"/>
  <c r="E99" i="3" a="1"/>
  <c r="E99" i="3" s="1"/>
  <c r="X98" i="3" a="1"/>
  <c r="X98" i="3" s="1"/>
  <c r="I98" i="3"/>
  <c r="X97" i="3" a="1"/>
  <c r="X97" i="3" s="1"/>
  <c r="V97" i="3" a="1"/>
  <c r="V97" i="3" s="1"/>
  <c r="K97" i="3" a="1"/>
  <c r="K97" i="3" s="1"/>
  <c r="M97" i="3" s="1"/>
  <c r="I97" i="3"/>
  <c r="X96" i="3" a="1"/>
  <c r="X96" i="3"/>
  <c r="J96" i="3" a="1"/>
  <c r="J96" i="3"/>
  <c r="I96" i="3"/>
  <c r="X95" i="3" a="1"/>
  <c r="X95" i="3"/>
  <c r="O95" i="3" a="1"/>
  <c r="O95" i="3"/>
  <c r="M95" i="3"/>
  <c r="K95" i="3" a="1"/>
  <c r="K95" i="3"/>
  <c r="J95" i="3" a="1"/>
  <c r="J95" i="3" s="1"/>
  <c r="I95" i="3"/>
  <c r="X94" i="3" a="1"/>
  <c r="X94" i="3" s="1"/>
  <c r="O94" i="3" a="1"/>
  <c r="O94" i="3" s="1"/>
  <c r="K94" i="3" a="1"/>
  <c r="K94" i="3" s="1"/>
  <c r="M94" i="3" s="1"/>
  <c r="J94" i="3" a="1"/>
  <c r="J94" i="3" s="1"/>
  <c r="I94" i="3"/>
  <c r="X93" i="3" a="1"/>
  <c r="X93" i="3" s="1"/>
  <c r="R93" i="3" a="1"/>
  <c r="R93" i="3"/>
  <c r="O93" i="3" a="1"/>
  <c r="O93" i="3" s="1"/>
  <c r="K93" i="3" a="1"/>
  <c r="K93" i="3"/>
  <c r="M93" i="3" s="1"/>
  <c r="J93" i="3" a="1"/>
  <c r="J93" i="3" s="1"/>
  <c r="I93" i="3"/>
  <c r="V93" i="3" s="1" a="1"/>
  <c r="V93" i="3" s="1"/>
  <c r="X92" i="3" a="1"/>
  <c r="X92" i="3" s="1"/>
  <c r="R92" i="3" a="1"/>
  <c r="R92" i="3" s="1"/>
  <c r="O92" i="3" a="1"/>
  <c r="O92" i="3" s="1"/>
  <c r="M92" i="3"/>
  <c r="K92" i="3" a="1"/>
  <c r="K92" i="3"/>
  <c r="J92" i="3" a="1"/>
  <c r="J92" i="3" s="1"/>
  <c r="I92" i="3"/>
  <c r="AB91" i="3"/>
  <c r="AC91" i="3" s="1"/>
  <c r="AA91" i="3"/>
  <c r="X91" i="3" a="1"/>
  <c r="X91" i="3"/>
  <c r="S91" i="3"/>
  <c r="R91" i="3" a="1"/>
  <c r="R91" i="3" s="1"/>
  <c r="Q91" i="3"/>
  <c r="P91" i="3"/>
  <c r="O91" i="3" a="1"/>
  <c r="O91" i="3"/>
  <c r="M91" i="3"/>
  <c r="K91" i="3" a="1"/>
  <c r="K91" i="3" s="1"/>
  <c r="J91" i="3" a="1"/>
  <c r="J91" i="3" s="1"/>
  <c r="I91" i="3"/>
  <c r="G91" i="3" a="1"/>
  <c r="G91" i="3" s="1"/>
  <c r="X90" i="3" a="1"/>
  <c r="X90" i="3"/>
  <c r="I90" i="3"/>
  <c r="AB89" i="3"/>
  <c r="AC89" i="3" s="1"/>
  <c r="AA89" i="3"/>
  <c r="X89" i="3" a="1"/>
  <c r="X89" i="3" s="1"/>
  <c r="R89" i="3" a="1"/>
  <c r="R89" i="3"/>
  <c r="O89" i="3" a="1"/>
  <c r="O89" i="3"/>
  <c r="Q89" i="3" s="1"/>
  <c r="K89" i="3" a="1"/>
  <c r="K89" i="3" s="1"/>
  <c r="M89" i="3" s="1"/>
  <c r="J89" i="3" a="1"/>
  <c r="J89" i="3"/>
  <c r="I89" i="3"/>
  <c r="X88" i="3" a="1"/>
  <c r="X88" i="3"/>
  <c r="R88" i="3" a="1"/>
  <c r="R88" i="3" s="1"/>
  <c r="O88" i="3" a="1"/>
  <c r="O88" i="3" s="1"/>
  <c r="AB88" i="3" s="1"/>
  <c r="J88" i="3" a="1"/>
  <c r="J88" i="3" s="1"/>
  <c r="I88" i="3"/>
  <c r="K88" i="3" s="1" a="1"/>
  <c r="K88" i="3" s="1"/>
  <c r="M88" i="3" s="1"/>
  <c r="G88" i="3" a="1"/>
  <c r="G88" i="3" s="1"/>
  <c r="X87" i="3" a="1"/>
  <c r="X87" i="3"/>
  <c r="V87" i="3" a="1"/>
  <c r="V87" i="3" s="1"/>
  <c r="R87" i="3" a="1"/>
  <c r="R87" i="3" s="1"/>
  <c r="I87" i="3"/>
  <c r="X86" i="3" a="1"/>
  <c r="X86" i="3" s="1"/>
  <c r="I86" i="3"/>
  <c r="G86" i="3" a="1"/>
  <c r="G86" i="3"/>
  <c r="E86" i="3" a="1"/>
  <c r="E86" i="3"/>
  <c r="X85" i="3" a="1"/>
  <c r="X85" i="3" s="1"/>
  <c r="I85" i="3"/>
  <c r="G85" i="3" a="1"/>
  <c r="G85" i="3" s="1"/>
  <c r="X84" i="3" a="1"/>
  <c r="X84" i="3" s="1"/>
  <c r="V84" i="3" a="1"/>
  <c r="V84" i="3" s="1"/>
  <c r="R84" i="3" a="1"/>
  <c r="R84" i="3" s="1"/>
  <c r="I84" i="3"/>
  <c r="X83" i="3" a="1"/>
  <c r="X83" i="3"/>
  <c r="J83" i="3" a="1"/>
  <c r="J83" i="3"/>
  <c r="I83" i="3"/>
  <c r="X82" i="3" a="1"/>
  <c r="X82" i="3"/>
  <c r="K82" i="3" a="1"/>
  <c r="K82" i="3" s="1"/>
  <c r="M82" i="3" s="1"/>
  <c r="J82" i="3" a="1"/>
  <c r="J82" i="3" s="1"/>
  <c r="I82" i="3"/>
  <c r="X81" i="3" a="1"/>
  <c r="X81" i="3"/>
  <c r="K81" i="3" a="1"/>
  <c r="K81" i="3"/>
  <c r="M81" i="3" s="1"/>
  <c r="I81" i="3"/>
  <c r="X80" i="3" a="1"/>
  <c r="X80" i="3"/>
  <c r="I80" i="3"/>
  <c r="X79" i="3" a="1"/>
  <c r="X79" i="3"/>
  <c r="K79" i="3" a="1"/>
  <c r="K79" i="3" s="1"/>
  <c r="M79" i="3" s="1"/>
  <c r="J79" i="3" a="1"/>
  <c r="J79" i="3"/>
  <c r="I79" i="3"/>
  <c r="X78" i="3" a="1"/>
  <c r="X78" i="3" s="1"/>
  <c r="O78" i="3" a="1"/>
  <c r="O78" i="3" s="1"/>
  <c r="K78" i="3" a="1"/>
  <c r="K78" i="3"/>
  <c r="M78" i="3" s="1"/>
  <c r="J78" i="3" a="1"/>
  <c r="J78" i="3" s="1"/>
  <c r="I78" i="3"/>
  <c r="AB77" i="3"/>
  <c r="AC77" i="3" s="1"/>
  <c r="X77" i="3" a="1"/>
  <c r="X77" i="3" s="1"/>
  <c r="R77" i="3" a="1"/>
  <c r="R77" i="3"/>
  <c r="O77" i="3" a="1"/>
  <c r="O77" i="3"/>
  <c r="Q77" i="3" s="1"/>
  <c r="K77" i="3" a="1"/>
  <c r="K77" i="3"/>
  <c r="M77" i="3" s="1"/>
  <c r="J77" i="3" a="1"/>
  <c r="J77" i="3" s="1"/>
  <c r="I77" i="3"/>
  <c r="V77" i="3" s="1" a="1"/>
  <c r="V77" i="3" s="1"/>
  <c r="E77" i="3" a="1"/>
  <c r="E77" i="3" s="1"/>
  <c r="X76" i="3" a="1"/>
  <c r="X76" i="3" s="1"/>
  <c r="R76" i="3" a="1"/>
  <c r="R76" i="3"/>
  <c r="O76" i="3" a="1"/>
  <c r="O76" i="3"/>
  <c r="K76" i="3" a="1"/>
  <c r="K76" i="3"/>
  <c r="M76" i="3" s="1"/>
  <c r="J76" i="3" a="1"/>
  <c r="J76" i="3" s="1"/>
  <c r="I76" i="3"/>
  <c r="AB75" i="3"/>
  <c r="AC75" i="3" s="1"/>
  <c r="AA75" i="3"/>
  <c r="X75" i="3" a="1"/>
  <c r="X75" i="3" s="1"/>
  <c r="R75" i="3" a="1"/>
  <c r="R75" i="3"/>
  <c r="Q75" i="3"/>
  <c r="O75" i="3" a="1"/>
  <c r="O75" i="3"/>
  <c r="P75" i="3" s="1"/>
  <c r="S75" i="3" s="1"/>
  <c r="T75" i="3" s="1"/>
  <c r="M75" i="3"/>
  <c r="K75" i="3" a="1"/>
  <c r="K75" i="3" s="1"/>
  <c r="J75" i="3" a="1"/>
  <c r="J75" i="3" s="1"/>
  <c r="I75" i="3"/>
  <c r="G75" i="3" a="1"/>
  <c r="G75" i="3" s="1"/>
  <c r="X74" i="3" a="1"/>
  <c r="X74" i="3"/>
  <c r="O74" i="3" a="1"/>
  <c r="O74" i="3" s="1"/>
  <c r="I74" i="3"/>
  <c r="X73" i="3" a="1"/>
  <c r="X73" i="3" s="1"/>
  <c r="R73" i="3" a="1"/>
  <c r="R73" i="3" s="1"/>
  <c r="O73" i="3" a="1"/>
  <c r="O73" i="3" s="1"/>
  <c r="AB73" i="3" s="1"/>
  <c r="K73" i="3" a="1"/>
  <c r="K73" i="3" s="1"/>
  <c r="M73" i="3" s="1"/>
  <c r="J73" i="3" a="1"/>
  <c r="J73" i="3"/>
  <c r="I73" i="3"/>
  <c r="AB72" i="3"/>
  <c r="AA72" i="3" s="1"/>
  <c r="X72" i="3" a="1"/>
  <c r="X72" i="3"/>
  <c r="R72" i="3" a="1"/>
  <c r="R72" i="3"/>
  <c r="Q72" i="3"/>
  <c r="O72" i="3" a="1"/>
  <c r="O72" i="3" s="1"/>
  <c r="P72" i="3" s="1"/>
  <c r="J72" i="3" a="1"/>
  <c r="J72" i="3" s="1"/>
  <c r="I72" i="3"/>
  <c r="K72" i="3" s="1" a="1"/>
  <c r="K72" i="3" s="1"/>
  <c r="M72" i="3" s="1"/>
  <c r="X71" i="3" a="1"/>
  <c r="X71" i="3"/>
  <c r="R71" i="3" a="1"/>
  <c r="R71" i="3"/>
  <c r="I71" i="3"/>
  <c r="X70" i="3" a="1"/>
  <c r="X70" i="3" s="1"/>
  <c r="I70" i="3"/>
  <c r="G70" i="3" a="1"/>
  <c r="G70" i="3"/>
  <c r="X69" i="3" a="1"/>
  <c r="X69" i="3" s="1"/>
  <c r="I69" i="3"/>
  <c r="R69" i="3" s="1" a="1"/>
  <c r="R69" i="3" s="1"/>
  <c r="X68" i="3" a="1"/>
  <c r="X68" i="3"/>
  <c r="V68" i="3" a="1"/>
  <c r="V68" i="3"/>
  <c r="R68" i="3" a="1"/>
  <c r="R68" i="3" s="1"/>
  <c r="J68" i="3" a="1"/>
  <c r="J68" i="3"/>
  <c r="I68" i="3"/>
  <c r="X67" i="3" a="1"/>
  <c r="X67" i="3" s="1"/>
  <c r="J67" i="3" a="1"/>
  <c r="J67" i="3" s="1"/>
  <c r="I67" i="3"/>
  <c r="R67" i="3" s="1" a="1"/>
  <c r="R67" i="3" s="1"/>
  <c r="G67" i="3" a="1"/>
  <c r="G67" i="3"/>
  <c r="E67" i="3" a="1"/>
  <c r="E67" i="3"/>
  <c r="X66" i="3" a="1"/>
  <c r="X66" i="3" s="1"/>
  <c r="J66" i="3" a="1"/>
  <c r="J66" i="3" s="1"/>
  <c r="I66" i="3"/>
  <c r="X65" i="3" a="1"/>
  <c r="X65" i="3"/>
  <c r="J65" i="3" a="1"/>
  <c r="J65" i="3" s="1"/>
  <c r="I65" i="3"/>
  <c r="X64" i="3" a="1"/>
  <c r="X64" i="3"/>
  <c r="R64" i="3"/>
  <c r="O64" i="3" a="1"/>
  <c r="O64" i="3"/>
  <c r="M64" i="3"/>
  <c r="K64" i="3" a="1"/>
  <c r="K64" i="3" s="1"/>
  <c r="J64" i="3" a="1"/>
  <c r="J64" i="3"/>
  <c r="I64" i="3"/>
  <c r="R64" i="3" s="1" a="1"/>
  <c r="X63" i="3" a="1"/>
  <c r="X63" i="3"/>
  <c r="I63" i="3"/>
  <c r="AB62" i="3"/>
  <c r="AC62" i="3" s="1"/>
  <c r="AA62" i="3"/>
  <c r="X62" i="3" a="1"/>
  <c r="X62" i="3" s="1"/>
  <c r="P62" i="3"/>
  <c r="S62" i="3" s="1"/>
  <c r="O62" i="3" a="1"/>
  <c r="O62" i="3"/>
  <c r="Q62" i="3" s="1"/>
  <c r="K62" i="3" a="1"/>
  <c r="K62" i="3"/>
  <c r="M62" i="3" s="1"/>
  <c r="J62" i="3" a="1"/>
  <c r="J62" i="3" s="1"/>
  <c r="I62" i="3"/>
  <c r="AB61" i="3"/>
  <c r="X61" i="3" a="1"/>
  <c r="X61" i="3" s="1"/>
  <c r="R61" i="3" a="1"/>
  <c r="R61" i="3"/>
  <c r="Q61" i="3"/>
  <c r="O61" i="3" a="1"/>
  <c r="O61" i="3" s="1"/>
  <c r="P61" i="3" s="1"/>
  <c r="K61" i="3" a="1"/>
  <c r="K61" i="3"/>
  <c r="M61" i="3" s="1"/>
  <c r="J61" i="3" a="1"/>
  <c r="J61" i="3" s="1"/>
  <c r="I61" i="3"/>
  <c r="V61" i="3" s="1" a="1"/>
  <c r="V61" i="3" s="1"/>
  <c r="E61" i="3" a="1"/>
  <c r="E61" i="3" s="1"/>
  <c r="AB60" i="3"/>
  <c r="AC60" i="3" s="1"/>
  <c r="X60" i="3" a="1"/>
  <c r="X60" i="3" s="1"/>
  <c r="R60" i="3" a="1"/>
  <c r="R60" i="3"/>
  <c r="O60" i="3" a="1"/>
  <c r="O60" i="3" s="1"/>
  <c r="K60" i="3" a="1"/>
  <c r="K60" i="3" s="1"/>
  <c r="M60" i="3" s="1"/>
  <c r="J60" i="3" a="1"/>
  <c r="J60" i="3" s="1"/>
  <c r="I60" i="3"/>
  <c r="AB59" i="3"/>
  <c r="X59" i="3" a="1"/>
  <c r="X59" i="3" s="1"/>
  <c r="R59" i="3" a="1"/>
  <c r="R59" i="3" s="1"/>
  <c r="O59" i="3" a="1"/>
  <c r="O59" i="3" s="1"/>
  <c r="M59" i="3"/>
  <c r="K59" i="3" a="1"/>
  <c r="K59" i="3" s="1"/>
  <c r="J59" i="3" a="1"/>
  <c r="J59" i="3" s="1"/>
  <c r="I59" i="3"/>
  <c r="X58" i="3" a="1"/>
  <c r="X58" i="3"/>
  <c r="O58" i="3" a="1"/>
  <c r="O58" i="3"/>
  <c r="I58" i="3"/>
  <c r="X57" i="3" a="1"/>
  <c r="X57" i="3" s="1"/>
  <c r="R57" i="3" a="1"/>
  <c r="R57" i="3" s="1"/>
  <c r="O57" i="3" a="1"/>
  <c r="O57" i="3"/>
  <c r="AB57" i="3" s="1"/>
  <c r="K57" i="3" a="1"/>
  <c r="K57" i="3" s="1"/>
  <c r="M57" i="3" s="1"/>
  <c r="J57" i="3"/>
  <c r="I57" i="3"/>
  <c r="J57" i="3" s="1" a="1"/>
  <c r="AC56" i="3"/>
  <c r="AB56" i="3"/>
  <c r="AA56" i="3" s="1"/>
  <c r="X56" i="3" a="1"/>
  <c r="X56" i="3"/>
  <c r="R56" i="3" a="1"/>
  <c r="R56" i="3"/>
  <c r="Q56" i="3"/>
  <c r="O56" i="3" a="1"/>
  <c r="O56" i="3" s="1"/>
  <c r="P56" i="3" s="1"/>
  <c r="S56" i="3" s="1"/>
  <c r="J56" i="3" a="1"/>
  <c r="J56" i="3" s="1"/>
  <c r="I56" i="3"/>
  <c r="K56" i="3" s="1" a="1"/>
  <c r="K56" i="3" s="1"/>
  <c r="M56" i="3" s="1"/>
  <c r="X55" i="3" a="1"/>
  <c r="X55" i="3"/>
  <c r="R55" i="3" a="1"/>
  <c r="R55" i="3"/>
  <c r="I55" i="3"/>
  <c r="G55" i="3" a="1"/>
  <c r="G55" i="3" s="1"/>
  <c r="X54" i="3" a="1"/>
  <c r="X54" i="3" s="1"/>
  <c r="R54" i="3" a="1"/>
  <c r="R54" i="3" s="1"/>
  <c r="I54" i="3"/>
  <c r="X53" i="3" a="1"/>
  <c r="X53" i="3"/>
  <c r="I53" i="3"/>
  <c r="G53" i="3" a="1"/>
  <c r="G53" i="3" s="1"/>
  <c r="X52" i="3" a="1"/>
  <c r="X52" i="3"/>
  <c r="I52" i="3"/>
  <c r="X51" i="3" a="1"/>
  <c r="X51" i="3"/>
  <c r="O51" i="3" a="1"/>
  <c r="O51" i="3" s="1"/>
  <c r="K51" i="3" a="1"/>
  <c r="K51" i="3"/>
  <c r="M51" i="3" s="1"/>
  <c r="J51" i="3" a="1"/>
  <c r="J51" i="3" s="1"/>
  <c r="I51" i="3"/>
  <c r="R51" i="3" s="1" a="1"/>
  <c r="R51" i="3" s="1"/>
  <c r="X50" i="3" a="1"/>
  <c r="X50" i="3"/>
  <c r="I50" i="3"/>
  <c r="G50" i="3" a="1"/>
  <c r="G50" i="3" s="1"/>
  <c r="E50" i="3" a="1"/>
  <c r="E50" i="3" s="1"/>
  <c r="X49" i="3" a="1"/>
  <c r="X49" i="3" s="1"/>
  <c r="I49" i="3"/>
  <c r="K49" i="3" s="1" a="1"/>
  <c r="K49" i="3" s="1"/>
  <c r="M49" i="3" s="1"/>
  <c r="G49" i="3" a="1"/>
  <c r="G49" i="3" s="1"/>
  <c r="X48" i="3" a="1"/>
  <c r="X48" i="3"/>
  <c r="R48" i="3"/>
  <c r="O48" i="3" a="1"/>
  <c r="O48" i="3"/>
  <c r="K48" i="3" a="1"/>
  <c r="K48" i="3"/>
  <c r="M48" i="3" s="1"/>
  <c r="J48" i="3" a="1"/>
  <c r="J48" i="3"/>
  <c r="I48" i="3"/>
  <c r="R48" i="3" s="1" a="1"/>
  <c r="X47" i="3" a="1"/>
  <c r="X47" i="3" s="1"/>
  <c r="R47" i="3" a="1"/>
  <c r="R47" i="3" s="1"/>
  <c r="P47" i="3"/>
  <c r="O47" i="3" a="1"/>
  <c r="O47" i="3"/>
  <c r="J47" i="3" a="1"/>
  <c r="J47" i="3" s="1"/>
  <c r="I47" i="3"/>
  <c r="AD46" i="3"/>
  <c r="AC46" i="3"/>
  <c r="AE46" i="3" s="1"/>
  <c r="AB46" i="3"/>
  <c r="AA46" i="3"/>
  <c r="X46" i="3" a="1"/>
  <c r="X46" i="3" s="1"/>
  <c r="O46" i="3" a="1"/>
  <c r="O46" i="3" s="1"/>
  <c r="K46" i="3" a="1"/>
  <c r="K46" i="3" s="1"/>
  <c r="M46" i="3" s="1"/>
  <c r="J46" i="3" a="1"/>
  <c r="J46" i="3"/>
  <c r="I46" i="3"/>
  <c r="G46" i="3" a="1"/>
  <c r="G46" i="3" s="1"/>
  <c r="E46" i="3" a="1"/>
  <c r="E46" i="3"/>
  <c r="X45" i="3" a="1"/>
  <c r="X45" i="3" s="1"/>
  <c r="R45" i="3" a="1"/>
  <c r="R45" i="3"/>
  <c r="Q45" i="3"/>
  <c r="O45" i="3" a="1"/>
  <c r="O45" i="3"/>
  <c r="AB45" i="3" s="1"/>
  <c r="M45" i="3"/>
  <c r="K45" i="3" a="1"/>
  <c r="K45" i="3" s="1"/>
  <c r="J45" i="3" a="1"/>
  <c r="J45" i="3" s="1"/>
  <c r="I45" i="3"/>
  <c r="AB44" i="3"/>
  <c r="AC44" i="3" s="1"/>
  <c r="AA44" i="3"/>
  <c r="X44" i="3" a="1"/>
  <c r="X44" i="3" s="1"/>
  <c r="R44" i="3" a="1"/>
  <c r="R44" i="3" s="1"/>
  <c r="Q44" i="3"/>
  <c r="P44" i="3"/>
  <c r="S44" i="3" s="1"/>
  <c r="O44" i="3" a="1"/>
  <c r="O44" i="3"/>
  <c r="K44" i="3" a="1"/>
  <c r="K44" i="3" s="1"/>
  <c r="M44" i="3" s="1"/>
  <c r="J44" i="3" a="1"/>
  <c r="J44" i="3" s="1"/>
  <c r="I44" i="3"/>
  <c r="V44" i="3" s="1" a="1"/>
  <c r="V44" i="3" s="1"/>
  <c r="X43" i="3" a="1"/>
  <c r="X43" i="3" s="1"/>
  <c r="V43" i="3" a="1"/>
  <c r="V43" i="3" s="1"/>
  <c r="R43" i="3" a="1"/>
  <c r="R43" i="3" s="1"/>
  <c r="Q43" i="3"/>
  <c r="O43" i="3" a="1"/>
  <c r="O43" i="3" s="1"/>
  <c r="AB43" i="3" s="1"/>
  <c r="K43" i="3" a="1"/>
  <c r="K43" i="3" s="1"/>
  <c r="M43" i="3" s="1"/>
  <c r="J43" i="3" a="1"/>
  <c r="J43" i="3" s="1"/>
  <c r="I43" i="3"/>
  <c r="X42" i="3" a="1"/>
  <c r="X42" i="3"/>
  <c r="I42" i="3"/>
  <c r="O41" i="3" a="1"/>
  <c r="O41" i="3" s="1"/>
  <c r="AB40" i="3"/>
  <c r="X40" i="3" a="1"/>
  <c r="X40" i="3" s="1"/>
  <c r="S40" i="3"/>
  <c r="R40" i="3" a="1"/>
  <c r="R40" i="3"/>
  <c r="Q40" i="3"/>
  <c r="P40" i="3"/>
  <c r="O40" i="3" a="1"/>
  <c r="O40" i="3" s="1"/>
  <c r="I40" i="3"/>
  <c r="X39" i="3" a="1"/>
  <c r="X39" i="3"/>
  <c r="J39" i="3" a="1"/>
  <c r="J39" i="3" s="1"/>
  <c r="I39" i="3"/>
  <c r="K39" i="3" s="1" a="1"/>
  <c r="K39" i="3" s="1"/>
  <c r="M39" i="3" s="1"/>
  <c r="X38" i="3" a="1"/>
  <c r="X38" i="3"/>
  <c r="I38" i="3"/>
  <c r="R38" i="3" s="1" a="1"/>
  <c r="R38" i="3" s="1"/>
  <c r="X37" i="3" a="1"/>
  <c r="X37" i="3"/>
  <c r="R37" i="3" a="1"/>
  <c r="R37" i="3" s="1"/>
  <c r="I37" i="3"/>
  <c r="X36" i="3" a="1"/>
  <c r="X36" i="3" s="1"/>
  <c r="R36" i="3" a="1"/>
  <c r="R36" i="3" s="1"/>
  <c r="I36" i="3"/>
  <c r="G36" i="3" a="1"/>
  <c r="G36" i="3"/>
  <c r="E36" i="3" a="1"/>
  <c r="E36" i="3" s="1"/>
  <c r="X35" i="3" a="1"/>
  <c r="X35" i="3"/>
  <c r="R35" i="3" a="1"/>
  <c r="R35" i="3" s="1"/>
  <c r="J35" i="3" a="1"/>
  <c r="J35" i="3" s="1"/>
  <c r="I35" i="3"/>
  <c r="X34" i="3" a="1"/>
  <c r="X34" i="3"/>
  <c r="V34" i="3" a="1"/>
  <c r="V34" i="3" s="1"/>
  <c r="O34" i="3" a="1"/>
  <c r="O34" i="3" s="1"/>
  <c r="K34" i="3" a="1"/>
  <c r="K34" i="3"/>
  <c r="M34" i="3" s="1"/>
  <c r="I34" i="3"/>
  <c r="G34" i="3" a="1"/>
  <c r="G34" i="3" s="1"/>
  <c r="X33" i="3" a="1"/>
  <c r="X33" i="3" s="1"/>
  <c r="K33" i="3" a="1"/>
  <c r="K33" i="3" s="1"/>
  <c r="M33" i="3" s="1"/>
  <c r="I33" i="3"/>
  <c r="G33" i="3" a="1"/>
  <c r="G33" i="3"/>
  <c r="X32" i="3" a="1"/>
  <c r="X32" i="3"/>
  <c r="V32" i="3" a="1"/>
  <c r="V32" i="3" s="1"/>
  <c r="K32" i="3" a="1"/>
  <c r="K32" i="3"/>
  <c r="M32" i="3" s="1"/>
  <c r="I32" i="3"/>
  <c r="X31" i="3" a="1"/>
  <c r="X31" i="3" s="1"/>
  <c r="V31" i="3" a="1"/>
  <c r="V31" i="3" s="1"/>
  <c r="O31" i="3" a="1"/>
  <c r="O31" i="3" s="1"/>
  <c r="K31" i="3" a="1"/>
  <c r="K31" i="3" s="1"/>
  <c r="M31" i="3" s="1"/>
  <c r="J31" i="3" a="1"/>
  <c r="J31" i="3" s="1"/>
  <c r="I31" i="3"/>
  <c r="X30" i="3" a="1"/>
  <c r="X30" i="3"/>
  <c r="I30" i="3"/>
  <c r="C48" i="6" s="1"/>
  <c r="X29" i="3" a="1"/>
  <c r="X29" i="3" s="1"/>
  <c r="M29" i="3"/>
  <c r="K29" i="3" a="1"/>
  <c r="K29" i="3"/>
  <c r="J29" i="3" a="1"/>
  <c r="J29" i="3"/>
  <c r="I29" i="3"/>
  <c r="V29" i="3" s="1" a="1"/>
  <c r="V29" i="3" s="1"/>
  <c r="G29" i="3" a="1"/>
  <c r="G29" i="3" s="1"/>
  <c r="E29" i="3" a="1"/>
  <c r="E29" i="3"/>
  <c r="X28" i="3" a="1"/>
  <c r="X28" i="3" s="1"/>
  <c r="O28" i="3" a="1"/>
  <c r="O28" i="3" s="1"/>
  <c r="AB28" i="3" s="1"/>
  <c r="I28" i="3"/>
  <c r="X27" i="3" a="1"/>
  <c r="X27" i="3" s="1"/>
  <c r="K27" i="3" a="1"/>
  <c r="K27" i="3"/>
  <c r="M27" i="3" s="1"/>
  <c r="I27" i="3"/>
  <c r="K26" i="3" a="1"/>
  <c r="K26" i="3" s="1"/>
  <c r="M26" i="3" s="1"/>
  <c r="V25" i="3" a="1"/>
  <c r="V25" i="3" s="1"/>
  <c r="V24" i="3" a="1"/>
  <c r="V24" i="3" s="1"/>
  <c r="K19" i="3" a="1"/>
  <c r="K19" i="3" s="1"/>
  <c r="M19" i="3" s="1"/>
  <c r="V17" i="3" a="1"/>
  <c r="V17" i="3" s="1"/>
  <c r="O15" i="3" a="1"/>
  <c r="O15" i="3" s="1"/>
  <c r="O14" i="3" a="1"/>
  <c r="O14" i="3"/>
  <c r="K14" i="3" a="1"/>
  <c r="K14" i="3" s="1"/>
  <c r="M14" i="3" s="1"/>
  <c r="O10" i="3" a="1"/>
  <c r="O10" i="3" s="1"/>
  <c r="O7" i="3" a="1"/>
  <c r="O7" i="3"/>
  <c r="K7" i="3" a="1"/>
  <c r="K7" i="3" s="1"/>
  <c r="M7" i="3" s="1"/>
  <c r="O5" i="3" a="1"/>
  <c r="O5" i="3" s="1"/>
  <c r="X4" i="3" a="1"/>
  <c r="X4" i="3" s="1"/>
  <c r="K4" i="3" a="1"/>
  <c r="K4" i="3" s="1"/>
  <c r="M4" i="3" s="1"/>
  <c r="X3" i="3" a="1"/>
  <c r="X3" i="3" s="1"/>
  <c r="V2" i="3" a="1"/>
  <c r="V2" i="3" s="1"/>
  <c r="K2" i="3" a="1"/>
  <c r="K2" i="3" s="1"/>
  <c r="M2" i="3" s="1"/>
  <c r="E997" i="2" a="1"/>
  <c r="E997" i="2" s="1"/>
  <c r="D997" i="2" a="1"/>
  <c r="D997" i="2"/>
  <c r="E996" i="2" a="1"/>
  <c r="E996" i="2" s="1"/>
  <c r="D996" i="2" a="1"/>
  <c r="D996" i="2" s="1"/>
  <c r="E995" i="2" a="1"/>
  <c r="E995" i="2" s="1"/>
  <c r="D995" i="2" a="1"/>
  <c r="D995" i="2"/>
  <c r="E994" i="2" a="1"/>
  <c r="E994" i="2"/>
  <c r="D994" i="2" a="1"/>
  <c r="D994" i="2" s="1"/>
  <c r="E993" i="2" a="1"/>
  <c r="E993" i="2"/>
  <c r="D993" i="2" a="1"/>
  <c r="D993" i="2" s="1"/>
  <c r="E992" i="2" a="1"/>
  <c r="E992" i="2"/>
  <c r="D992" i="2" a="1"/>
  <c r="D992" i="2" s="1"/>
  <c r="E991" i="2" a="1"/>
  <c r="E991" i="2" s="1"/>
  <c r="D991" i="2" a="1"/>
  <c r="D991" i="2" s="1"/>
  <c r="E990" i="2" a="1"/>
  <c r="E990" i="2"/>
  <c r="D990" i="2" a="1"/>
  <c r="D990" i="2"/>
  <c r="E989" i="2" a="1"/>
  <c r="E989" i="2" s="1"/>
  <c r="D989" i="2" a="1"/>
  <c r="D989" i="2"/>
  <c r="E988" i="2" a="1"/>
  <c r="E988" i="2" s="1"/>
  <c r="D988" i="2" a="1"/>
  <c r="D988" i="2" s="1"/>
  <c r="E987" i="2" a="1"/>
  <c r="E987" i="2" s="1"/>
  <c r="D987" i="2" a="1"/>
  <c r="D987" i="2"/>
  <c r="E986" i="2" a="1"/>
  <c r="E986" i="2"/>
  <c r="D986" i="2" a="1"/>
  <c r="D986" i="2" s="1"/>
  <c r="E985" i="2" a="1"/>
  <c r="E985" i="2" s="1"/>
  <c r="D985" i="2" a="1"/>
  <c r="D985" i="2" s="1"/>
  <c r="E984" i="2" a="1"/>
  <c r="E984" i="2"/>
  <c r="D984" i="2" a="1"/>
  <c r="D984" i="2" s="1"/>
  <c r="E983" i="2" a="1"/>
  <c r="E983" i="2" s="1"/>
  <c r="D983" i="2" a="1"/>
  <c r="D983" i="2"/>
  <c r="E982" i="2" a="1"/>
  <c r="E982" i="2"/>
  <c r="D982" i="2" a="1"/>
  <c r="D982" i="2" s="1"/>
  <c r="E981" i="2" a="1"/>
  <c r="E981" i="2"/>
  <c r="D981" i="2" a="1"/>
  <c r="D981" i="2"/>
  <c r="E980" i="2" a="1"/>
  <c r="E980" i="2" s="1"/>
  <c r="D980" i="2" a="1"/>
  <c r="D980" i="2" s="1"/>
  <c r="E979" i="2" a="1"/>
  <c r="E979" i="2" s="1"/>
  <c r="D979" i="2" a="1"/>
  <c r="D979" i="2" s="1"/>
  <c r="E978" i="2" a="1"/>
  <c r="E978" i="2"/>
  <c r="D978" i="2" a="1"/>
  <c r="D978" i="2" s="1"/>
  <c r="E977" i="2" a="1"/>
  <c r="E977" i="2"/>
  <c r="D977" i="2" a="1"/>
  <c r="D977" i="2"/>
  <c r="E976" i="2" a="1"/>
  <c r="E976" i="2" s="1"/>
  <c r="D976" i="2" a="1"/>
  <c r="D976" i="2" s="1"/>
  <c r="E975" i="2" a="1"/>
  <c r="E975" i="2" s="1"/>
  <c r="D975" i="2" a="1"/>
  <c r="D975" i="2"/>
  <c r="E974" i="2" a="1"/>
  <c r="E974" i="2"/>
  <c r="D974" i="2" a="1"/>
  <c r="D974" i="2"/>
  <c r="E973" i="2" a="1"/>
  <c r="E973" i="2" s="1"/>
  <c r="D973" i="2" a="1"/>
  <c r="D973" i="2"/>
  <c r="E972" i="2" a="1"/>
  <c r="E972" i="2"/>
  <c r="D972" i="2" a="1"/>
  <c r="D972" i="2" s="1"/>
  <c r="E971" i="2" a="1"/>
  <c r="E971" i="2" s="1"/>
  <c r="D971" i="2" a="1"/>
  <c r="D971" i="2" s="1"/>
  <c r="E970" i="2" a="1"/>
  <c r="E970" i="2"/>
  <c r="D970" i="2" a="1"/>
  <c r="D970" i="2" s="1"/>
  <c r="E969" i="2" a="1"/>
  <c r="E969" i="2"/>
  <c r="D969" i="2" a="1"/>
  <c r="D969" i="2"/>
  <c r="E968" i="2" a="1"/>
  <c r="E968" i="2" s="1"/>
  <c r="D968" i="2" a="1"/>
  <c r="D968" i="2" s="1"/>
  <c r="E967" i="2" a="1"/>
  <c r="E967" i="2" s="1"/>
  <c r="D967" i="2" a="1"/>
  <c r="D967" i="2" s="1"/>
  <c r="E966" i="2" a="1"/>
  <c r="E966" i="2"/>
  <c r="D966" i="2" a="1"/>
  <c r="D966" i="2"/>
  <c r="E965" i="2" a="1"/>
  <c r="E965" i="2" s="1"/>
  <c r="D965" i="2" a="1"/>
  <c r="D965" i="2"/>
  <c r="E964" i="2" a="1"/>
  <c r="E964" i="2"/>
  <c r="D964" i="2" a="1"/>
  <c r="D964" i="2" s="1"/>
  <c r="E963" i="2" a="1"/>
  <c r="E963" i="2" s="1"/>
  <c r="D963" i="2" a="1"/>
  <c r="D963" i="2"/>
  <c r="E962" i="2" a="1"/>
  <c r="E962" i="2"/>
  <c r="D962" i="2" a="1"/>
  <c r="D962" i="2" s="1"/>
  <c r="E961" i="2" a="1"/>
  <c r="E961" i="2"/>
  <c r="D961" i="2" a="1"/>
  <c r="D961" i="2" s="1"/>
  <c r="E960" i="2" a="1"/>
  <c r="E960" i="2"/>
  <c r="D960" i="2" a="1"/>
  <c r="D960" i="2" s="1"/>
  <c r="E959" i="2" a="1"/>
  <c r="E959" i="2" s="1"/>
  <c r="D959" i="2" a="1"/>
  <c r="D959" i="2"/>
  <c r="E958" i="2" a="1"/>
  <c r="E958" i="2"/>
  <c r="D958" i="2" a="1"/>
  <c r="D958" i="2"/>
  <c r="E957" i="2" a="1"/>
  <c r="E957" i="2" s="1"/>
  <c r="D957" i="2" a="1"/>
  <c r="D957" i="2"/>
  <c r="E956" i="2" a="1"/>
  <c r="E956" i="2" s="1"/>
  <c r="D956" i="2" a="1"/>
  <c r="D956" i="2" s="1"/>
  <c r="E955" i="2" a="1"/>
  <c r="E955" i="2" s="1"/>
  <c r="D955" i="2" a="1"/>
  <c r="D955" i="2"/>
  <c r="E954" i="2" a="1"/>
  <c r="E954" i="2"/>
  <c r="D954" i="2" a="1"/>
  <c r="D954" i="2"/>
  <c r="E953" i="2" a="1"/>
  <c r="E953" i="2" s="1"/>
  <c r="D953" i="2" a="1"/>
  <c r="D953" i="2" s="1"/>
  <c r="E952" i="2" a="1"/>
  <c r="E952" i="2"/>
  <c r="D952" i="2" a="1"/>
  <c r="D952" i="2" s="1"/>
  <c r="E951" i="2" a="1"/>
  <c r="E951" i="2" s="1"/>
  <c r="D951" i="2" a="1"/>
  <c r="D951" i="2"/>
  <c r="E950" i="2" a="1"/>
  <c r="E950" i="2"/>
  <c r="D950" i="2" a="1"/>
  <c r="D950" i="2"/>
  <c r="E949" i="2" a="1"/>
  <c r="E949" i="2" s="1"/>
  <c r="D949" i="2" a="1"/>
  <c r="D949" i="2"/>
  <c r="E948" i="2" a="1"/>
  <c r="E948" i="2" s="1"/>
  <c r="D948" i="2" a="1"/>
  <c r="D948" i="2" s="1"/>
  <c r="E947" i="2" a="1"/>
  <c r="E947" i="2" s="1"/>
  <c r="D947" i="2" a="1"/>
  <c r="D947" i="2" s="1"/>
  <c r="E946" i="2" a="1"/>
  <c r="E946" i="2"/>
  <c r="D946" i="2" a="1"/>
  <c r="D946" i="2" s="1"/>
  <c r="E945" i="2" a="1"/>
  <c r="E945" i="2" s="1"/>
  <c r="D945" i="2" a="1"/>
  <c r="D945" i="2" s="1"/>
  <c r="E944" i="2" a="1"/>
  <c r="E944" i="2" s="1"/>
  <c r="D944" i="2" a="1"/>
  <c r="D944" i="2" s="1"/>
  <c r="E943" i="2" a="1"/>
  <c r="E943" i="2" s="1"/>
  <c r="D943" i="2" a="1"/>
  <c r="D943" i="2"/>
  <c r="E942" i="2" a="1"/>
  <c r="E942" i="2"/>
  <c r="D942" i="2" a="1"/>
  <c r="D942" i="2"/>
  <c r="E941" i="2" a="1"/>
  <c r="E941" i="2"/>
  <c r="D941" i="2" a="1"/>
  <c r="D941" i="2" s="1"/>
  <c r="E940" i="2" a="1"/>
  <c r="E940" i="2" s="1"/>
  <c r="D940" i="2" a="1"/>
  <c r="D940" i="2" s="1"/>
  <c r="E939" i="2" a="1"/>
  <c r="E939" i="2" s="1"/>
  <c r="D939" i="2" a="1"/>
  <c r="D939" i="2" s="1"/>
  <c r="E938" i="2" a="1"/>
  <c r="E938" i="2"/>
  <c r="D938" i="2" a="1"/>
  <c r="D938" i="2" s="1"/>
  <c r="E937" i="2" a="1"/>
  <c r="E937" i="2"/>
  <c r="D937" i="2" a="1"/>
  <c r="D937" i="2"/>
  <c r="E936" i="2" a="1"/>
  <c r="E936" i="2"/>
  <c r="D936" i="2" a="1"/>
  <c r="D936" i="2" s="1"/>
  <c r="E935" i="2" a="1"/>
  <c r="E935" i="2" s="1"/>
  <c r="D935" i="2" a="1"/>
  <c r="D935" i="2" s="1"/>
  <c r="E934" i="2" a="1"/>
  <c r="E934" i="2"/>
  <c r="D934" i="2" a="1"/>
  <c r="D934" i="2"/>
  <c r="E933" i="2" a="1"/>
  <c r="E933" i="2" s="1"/>
  <c r="D933" i="2" a="1"/>
  <c r="D933" i="2"/>
  <c r="E932" i="2" a="1"/>
  <c r="E932" i="2"/>
  <c r="D932" i="2" a="1"/>
  <c r="D932" i="2" s="1"/>
  <c r="E931" i="2" a="1"/>
  <c r="E931" i="2" s="1"/>
  <c r="D931" i="2" a="1"/>
  <c r="D931" i="2"/>
  <c r="E930" i="2" a="1"/>
  <c r="E930" i="2"/>
  <c r="D930" i="2" a="1"/>
  <c r="D930" i="2" s="1"/>
  <c r="E929" i="2" a="1"/>
  <c r="E929" i="2"/>
  <c r="D929" i="2" a="1"/>
  <c r="D929" i="2" s="1"/>
  <c r="E928" i="2" a="1"/>
  <c r="E928" i="2"/>
  <c r="D928" i="2" a="1"/>
  <c r="D928" i="2" s="1"/>
  <c r="E927" i="2" a="1"/>
  <c r="E927" i="2" s="1"/>
  <c r="D927" i="2" a="1"/>
  <c r="D927" i="2"/>
  <c r="E926" i="2" a="1"/>
  <c r="E926" i="2"/>
  <c r="D926" i="2" a="1"/>
  <c r="D926" i="2"/>
  <c r="E925" i="2" a="1"/>
  <c r="E925" i="2" s="1"/>
  <c r="D925" i="2" a="1"/>
  <c r="D925" i="2"/>
  <c r="E924" i="2" a="1"/>
  <c r="E924" i="2" s="1"/>
  <c r="D924" i="2" a="1"/>
  <c r="D924" i="2" s="1"/>
  <c r="E923" i="2" a="1"/>
  <c r="E923" i="2" s="1"/>
  <c r="D923" i="2" a="1"/>
  <c r="D923" i="2" s="1"/>
  <c r="E922" i="2" a="1"/>
  <c r="E922" i="2"/>
  <c r="D922" i="2" a="1"/>
  <c r="D922" i="2"/>
  <c r="E921" i="2" a="1"/>
  <c r="E921" i="2"/>
  <c r="D921" i="2" a="1"/>
  <c r="D921" i="2" s="1"/>
  <c r="E920" i="2" a="1"/>
  <c r="E920" i="2"/>
  <c r="D920" i="2" a="1"/>
  <c r="D920" i="2" s="1"/>
  <c r="E919" i="2" a="1"/>
  <c r="E919" i="2" s="1"/>
  <c r="D919" i="2" a="1"/>
  <c r="D919" i="2"/>
  <c r="E918" i="2" a="1"/>
  <c r="E918" i="2"/>
  <c r="D918" i="2" a="1"/>
  <c r="D918" i="2" s="1"/>
  <c r="E917" i="2" a="1"/>
  <c r="E917" i="2"/>
  <c r="D917" i="2" a="1"/>
  <c r="D917" i="2"/>
  <c r="E916" i="2" a="1"/>
  <c r="E916" i="2" s="1"/>
  <c r="D916" i="2" a="1"/>
  <c r="D916" i="2" s="1"/>
  <c r="E915" i="2" a="1"/>
  <c r="E915" i="2" s="1"/>
  <c r="D915" i="2" a="1"/>
  <c r="D915" i="2" s="1"/>
  <c r="E914" i="2" a="1"/>
  <c r="E914" i="2"/>
  <c r="D914" i="2" a="1"/>
  <c r="D914" i="2" s="1"/>
  <c r="E913" i="2" a="1"/>
  <c r="E913" i="2"/>
  <c r="D913" i="2" a="1"/>
  <c r="D913" i="2" s="1"/>
  <c r="E912" i="2" a="1"/>
  <c r="E912" i="2"/>
  <c r="D912" i="2" a="1"/>
  <c r="D912" i="2" s="1"/>
  <c r="E911" i="2" a="1"/>
  <c r="E911" i="2" s="1"/>
  <c r="D911" i="2" a="1"/>
  <c r="D911" i="2"/>
  <c r="E910" i="2" a="1"/>
  <c r="E910" i="2"/>
  <c r="D910" i="2" a="1"/>
  <c r="D910" i="2"/>
  <c r="E909" i="2" a="1"/>
  <c r="E909" i="2" s="1"/>
  <c r="D909" i="2" a="1"/>
  <c r="D909" i="2"/>
  <c r="E908" i="2" a="1"/>
  <c r="E908" i="2" s="1"/>
  <c r="D908" i="2" a="1"/>
  <c r="D908" i="2" s="1"/>
  <c r="E907" i="2" a="1"/>
  <c r="E907" i="2" s="1"/>
  <c r="D907" i="2" a="1"/>
  <c r="D907" i="2" s="1"/>
  <c r="E906" i="2" a="1"/>
  <c r="E906" i="2"/>
  <c r="D906" i="2" a="1"/>
  <c r="D906" i="2" s="1"/>
  <c r="E905" i="2" a="1"/>
  <c r="E905" i="2"/>
  <c r="D905" i="2" a="1"/>
  <c r="D905" i="2"/>
  <c r="E904" i="2" a="1"/>
  <c r="E904" i="2" s="1"/>
  <c r="D904" i="2" a="1"/>
  <c r="D904" i="2" s="1"/>
  <c r="E903" i="2" a="1"/>
  <c r="E903" i="2" s="1"/>
  <c r="D903" i="2" a="1"/>
  <c r="D903" i="2" s="1"/>
  <c r="E902" i="2" a="1"/>
  <c r="E902" i="2"/>
  <c r="D902" i="2" a="1"/>
  <c r="D902" i="2"/>
  <c r="E901" i="2" a="1"/>
  <c r="E901" i="2" s="1"/>
  <c r="D901" i="2" a="1"/>
  <c r="D901" i="2"/>
  <c r="E900" i="2" a="1"/>
  <c r="E900" i="2"/>
  <c r="D900" i="2" a="1"/>
  <c r="D900" i="2" s="1"/>
  <c r="E899" i="2" a="1"/>
  <c r="E899" i="2" s="1"/>
  <c r="D899" i="2" a="1"/>
  <c r="D899" i="2"/>
  <c r="E898" i="2" a="1"/>
  <c r="E898" i="2"/>
  <c r="D898" i="2" a="1"/>
  <c r="D898" i="2" s="1"/>
  <c r="E897" i="2" a="1"/>
  <c r="E897" i="2"/>
  <c r="D897" i="2" a="1"/>
  <c r="D897" i="2" s="1"/>
  <c r="E896" i="2" a="1"/>
  <c r="E896" i="2"/>
  <c r="D896" i="2" a="1"/>
  <c r="D896" i="2" s="1"/>
  <c r="E895" i="2" a="1"/>
  <c r="E895" i="2" s="1"/>
  <c r="D895" i="2" a="1"/>
  <c r="D895" i="2"/>
  <c r="E894" i="2" a="1"/>
  <c r="E894" i="2"/>
  <c r="D894" i="2" a="1"/>
  <c r="D894" i="2"/>
  <c r="E893" i="2" a="1"/>
  <c r="E893" i="2" s="1"/>
  <c r="D893" i="2" a="1"/>
  <c r="D893" i="2"/>
  <c r="E892" i="2" a="1"/>
  <c r="E892" i="2" s="1"/>
  <c r="D892" i="2" a="1"/>
  <c r="D892" i="2" s="1"/>
  <c r="E891" i="2" a="1"/>
  <c r="E891" i="2" s="1"/>
  <c r="D891" i="2" a="1"/>
  <c r="D891" i="2" s="1"/>
  <c r="E890" i="2" a="1"/>
  <c r="E890" i="2"/>
  <c r="D890" i="2" a="1"/>
  <c r="D890" i="2"/>
  <c r="E889" i="2" a="1"/>
  <c r="E889" i="2"/>
  <c r="D889" i="2" a="1"/>
  <c r="D889" i="2" s="1"/>
  <c r="E888" i="2" a="1"/>
  <c r="E888" i="2"/>
  <c r="D888" i="2" a="1"/>
  <c r="D888" i="2" s="1"/>
  <c r="E887" i="2" a="1"/>
  <c r="E887" i="2" s="1"/>
  <c r="D887" i="2" a="1"/>
  <c r="D887" i="2"/>
  <c r="E886" i="2" a="1"/>
  <c r="E886" i="2"/>
  <c r="D886" i="2" a="1"/>
  <c r="D886" i="2"/>
  <c r="E885" i="2" a="1"/>
  <c r="E885" i="2"/>
  <c r="D885" i="2" a="1"/>
  <c r="D885" i="2"/>
  <c r="E884" i="2" a="1"/>
  <c r="E884" i="2" s="1"/>
  <c r="D884" i="2" a="1"/>
  <c r="D884" i="2" s="1"/>
  <c r="E883" i="2" a="1"/>
  <c r="E883" i="2" s="1"/>
  <c r="D883" i="2" a="1"/>
  <c r="D883" i="2" s="1"/>
  <c r="E882" i="2" a="1"/>
  <c r="E882" i="2"/>
  <c r="D882" i="2" a="1"/>
  <c r="D882" i="2"/>
  <c r="E881" i="2" a="1"/>
  <c r="E881" i="2"/>
  <c r="D881" i="2" a="1"/>
  <c r="D881" i="2"/>
  <c r="E880" i="2" a="1"/>
  <c r="E880" i="2"/>
  <c r="D880" i="2" a="1"/>
  <c r="D880" i="2" s="1"/>
  <c r="E879" i="2" a="1"/>
  <c r="E879" i="2" s="1"/>
  <c r="D879" i="2" a="1"/>
  <c r="D879" i="2"/>
  <c r="E878" i="2" a="1"/>
  <c r="E878" i="2"/>
  <c r="D878" i="2" a="1"/>
  <c r="D878" i="2"/>
  <c r="E877" i="2" a="1"/>
  <c r="E877" i="2"/>
  <c r="D877" i="2" a="1"/>
  <c r="D877" i="2"/>
  <c r="E876" i="2" a="1"/>
  <c r="E876" i="2"/>
  <c r="D876" i="2" a="1"/>
  <c r="D876" i="2" s="1"/>
  <c r="E875" i="2" a="1"/>
  <c r="E875" i="2" s="1"/>
  <c r="D875" i="2" a="1"/>
  <c r="D875" i="2" s="1"/>
  <c r="E874" i="2" a="1"/>
  <c r="E874" i="2"/>
  <c r="D874" i="2" a="1"/>
  <c r="D874" i="2" s="1"/>
  <c r="E873" i="2" a="1"/>
  <c r="E873" i="2"/>
  <c r="D873" i="2" a="1"/>
  <c r="D873" i="2" s="1"/>
  <c r="E872" i="2" a="1"/>
  <c r="E872" i="2"/>
  <c r="D872" i="2" a="1"/>
  <c r="D872" i="2" s="1"/>
  <c r="E871" i="2" a="1"/>
  <c r="E871" i="2" s="1"/>
  <c r="D871" i="2" a="1"/>
  <c r="D871" i="2" s="1"/>
  <c r="E870" i="2" a="1"/>
  <c r="E870" i="2"/>
  <c r="D870" i="2" a="1"/>
  <c r="D870" i="2"/>
  <c r="E869" i="2" a="1"/>
  <c r="E869" i="2" s="1"/>
  <c r="D869" i="2" a="1"/>
  <c r="D869" i="2"/>
  <c r="E868" i="2" a="1"/>
  <c r="E868" i="2" s="1"/>
  <c r="D868" i="2" a="1"/>
  <c r="D868" i="2" s="1"/>
  <c r="E867" i="2" a="1"/>
  <c r="E867" i="2" s="1"/>
  <c r="D867" i="2" a="1"/>
  <c r="D867" i="2"/>
  <c r="E866" i="2" a="1"/>
  <c r="E866" i="2"/>
  <c r="D866" i="2" a="1"/>
  <c r="D866" i="2" s="1"/>
  <c r="E865" i="2" a="1"/>
  <c r="E865" i="2"/>
  <c r="D865" i="2" a="1"/>
  <c r="D865" i="2" s="1"/>
  <c r="E864" i="2" a="1"/>
  <c r="E864" i="2"/>
  <c r="D864" i="2" a="1"/>
  <c r="D864" i="2" s="1"/>
  <c r="E863" i="2" a="1"/>
  <c r="E863" i="2" s="1"/>
  <c r="D863" i="2" a="1"/>
  <c r="D863" i="2" s="1"/>
  <c r="E862" i="2" a="1"/>
  <c r="E862" i="2"/>
  <c r="D862" i="2" a="1"/>
  <c r="D862" i="2"/>
  <c r="E861" i="2" a="1"/>
  <c r="E861" i="2" s="1"/>
  <c r="D861" i="2" a="1"/>
  <c r="D861" i="2"/>
  <c r="E860" i="2" a="1"/>
  <c r="E860" i="2" s="1"/>
  <c r="D860" i="2" a="1"/>
  <c r="D860" i="2" s="1"/>
  <c r="E859" i="2" a="1"/>
  <c r="E859" i="2" s="1"/>
  <c r="D859" i="2" a="1"/>
  <c r="D859" i="2"/>
  <c r="E858" i="2" a="1"/>
  <c r="E858" i="2"/>
  <c r="D858" i="2" a="1"/>
  <c r="D858" i="2" s="1"/>
  <c r="E857" i="2" a="1"/>
  <c r="E857" i="2"/>
  <c r="D857" i="2" a="1"/>
  <c r="D857" i="2" s="1"/>
  <c r="E856" i="2" a="1"/>
  <c r="E856" i="2"/>
  <c r="D856" i="2" a="1"/>
  <c r="D856" i="2" s="1"/>
  <c r="E855" i="2" a="1"/>
  <c r="E855" i="2" s="1"/>
  <c r="D855" i="2" a="1"/>
  <c r="D855" i="2"/>
  <c r="E854" i="2" a="1"/>
  <c r="E854" i="2"/>
  <c r="D854" i="2" a="1"/>
  <c r="D854" i="2" s="1"/>
  <c r="E853" i="2" a="1"/>
  <c r="E853" i="2"/>
  <c r="D853" i="2" a="1"/>
  <c r="D853" i="2" s="1"/>
  <c r="E852" i="2" a="1"/>
  <c r="E852" i="2" s="1"/>
  <c r="D852" i="2" a="1"/>
  <c r="D852" i="2" s="1"/>
  <c r="E851" i="2" a="1"/>
  <c r="E851" i="2" s="1"/>
  <c r="D851" i="2" a="1"/>
  <c r="D851" i="2" s="1"/>
  <c r="E850" i="2" a="1"/>
  <c r="E850" i="2"/>
  <c r="D850" i="2" a="1"/>
  <c r="D850" i="2" s="1"/>
  <c r="E849" i="2" a="1"/>
  <c r="E849" i="2"/>
  <c r="D849" i="2" a="1"/>
  <c r="D849" i="2" s="1"/>
  <c r="E848" i="2" a="1"/>
  <c r="E848" i="2"/>
  <c r="D848" i="2" a="1"/>
  <c r="D848" i="2" s="1"/>
  <c r="E847" i="2" a="1"/>
  <c r="E847" i="2" s="1"/>
  <c r="D847" i="2" a="1"/>
  <c r="D847" i="2"/>
  <c r="E846" i="2" a="1"/>
  <c r="E846" i="2"/>
  <c r="D846" i="2" a="1"/>
  <c r="D846" i="2"/>
  <c r="E845" i="2" a="1"/>
  <c r="E845" i="2"/>
  <c r="D845" i="2" a="1"/>
  <c r="D845" i="2"/>
  <c r="E844" i="2" a="1"/>
  <c r="E844" i="2" s="1"/>
  <c r="D844" i="2" a="1"/>
  <c r="D844" i="2" s="1"/>
  <c r="E843" i="2" a="1"/>
  <c r="E843" i="2" s="1"/>
  <c r="D843" i="2" a="1"/>
  <c r="D843" i="2" s="1"/>
  <c r="E842" i="2" a="1"/>
  <c r="E842" i="2"/>
  <c r="D842" i="2" a="1"/>
  <c r="D842" i="2" s="1"/>
  <c r="E841" i="2" a="1"/>
  <c r="E841" i="2"/>
  <c r="D841" i="2" a="1"/>
  <c r="D841" i="2"/>
  <c r="E840" i="2" a="1"/>
  <c r="E840" i="2"/>
  <c r="D840" i="2" a="1"/>
  <c r="D840" i="2" s="1"/>
  <c r="E839" i="2" a="1"/>
  <c r="E839" i="2" s="1"/>
  <c r="D839" i="2" a="1"/>
  <c r="D839" i="2" s="1"/>
  <c r="E838" i="2" a="1"/>
  <c r="E838" i="2"/>
  <c r="D838" i="2" a="1"/>
  <c r="D838" i="2"/>
  <c r="E837" i="2" a="1"/>
  <c r="E837" i="2" s="1"/>
  <c r="D837" i="2" a="1"/>
  <c r="D837" i="2"/>
  <c r="E836" i="2" a="1"/>
  <c r="E836" i="2"/>
  <c r="D836" i="2" a="1"/>
  <c r="D836" i="2" s="1"/>
  <c r="E835" i="2" a="1"/>
  <c r="E835" i="2" s="1"/>
  <c r="D835" i="2" a="1"/>
  <c r="D835" i="2"/>
  <c r="E834" i="2" a="1"/>
  <c r="E834" i="2"/>
  <c r="D834" i="2" a="1"/>
  <c r="D834" i="2" s="1"/>
  <c r="E833" i="2" a="1"/>
  <c r="E833" i="2"/>
  <c r="D833" i="2" a="1"/>
  <c r="D833" i="2" s="1"/>
  <c r="E832" i="2" a="1"/>
  <c r="E832" i="2"/>
  <c r="D832" i="2" a="1"/>
  <c r="D832" i="2" s="1"/>
  <c r="E831" i="2" a="1"/>
  <c r="E831" i="2" s="1"/>
  <c r="D831" i="2" a="1"/>
  <c r="D831" i="2"/>
  <c r="E830" i="2" a="1"/>
  <c r="E830" i="2"/>
  <c r="D830" i="2" a="1"/>
  <c r="D830" i="2"/>
  <c r="E829" i="2" a="1"/>
  <c r="E829" i="2" s="1"/>
  <c r="D829" i="2" a="1"/>
  <c r="D829" i="2"/>
  <c r="E828" i="2" a="1"/>
  <c r="E828" i="2" s="1"/>
  <c r="D828" i="2" a="1"/>
  <c r="D828" i="2" s="1"/>
  <c r="E827" i="2" a="1"/>
  <c r="E827" i="2" s="1"/>
  <c r="D827" i="2" a="1"/>
  <c r="D827" i="2"/>
  <c r="E826" i="2" a="1"/>
  <c r="E826" i="2"/>
  <c r="D826" i="2" a="1"/>
  <c r="D826" i="2"/>
  <c r="E825" i="2" a="1"/>
  <c r="E825" i="2"/>
  <c r="D825" i="2" a="1"/>
  <c r="D825" i="2" s="1"/>
  <c r="E824" i="2" a="1"/>
  <c r="E824" i="2"/>
  <c r="D824" i="2" a="1"/>
  <c r="D824" i="2" s="1"/>
  <c r="E823" i="2" a="1"/>
  <c r="E823" i="2" s="1"/>
  <c r="D823" i="2" a="1"/>
  <c r="D823" i="2"/>
  <c r="E822" i="2" a="1"/>
  <c r="E822" i="2"/>
  <c r="D822" i="2" a="1"/>
  <c r="D822" i="2"/>
  <c r="E821" i="2" a="1"/>
  <c r="E821" i="2"/>
  <c r="D821" i="2" a="1"/>
  <c r="D821" i="2"/>
  <c r="E820" i="2" a="1"/>
  <c r="E820" i="2" s="1"/>
  <c r="D820" i="2" a="1"/>
  <c r="D820" i="2" s="1"/>
  <c r="E819" i="2" a="1"/>
  <c r="E819" i="2" s="1"/>
  <c r="D819" i="2" a="1"/>
  <c r="D819" i="2" s="1"/>
  <c r="E818" i="2" a="1"/>
  <c r="E818" i="2"/>
  <c r="D818" i="2" a="1"/>
  <c r="D818" i="2"/>
  <c r="E817" i="2" a="1"/>
  <c r="E817" i="2" s="1"/>
  <c r="D817" i="2" a="1"/>
  <c r="D817" i="2"/>
  <c r="E816" i="2" a="1"/>
  <c r="E816" i="2" s="1"/>
  <c r="D816" i="2" a="1"/>
  <c r="D816" i="2" s="1"/>
  <c r="E815" i="2" a="1"/>
  <c r="E815" i="2" s="1"/>
  <c r="D815" i="2" a="1"/>
  <c r="D815" i="2"/>
  <c r="E814" i="2" a="1"/>
  <c r="E814" i="2"/>
  <c r="D814" i="2" a="1"/>
  <c r="D814" i="2"/>
  <c r="E813" i="2" a="1"/>
  <c r="E813" i="2"/>
  <c r="D813" i="2" a="1"/>
  <c r="D813" i="2" s="1"/>
  <c r="E812" i="2" a="1"/>
  <c r="E812" i="2"/>
  <c r="D812" i="2" a="1"/>
  <c r="D812" i="2" s="1"/>
  <c r="E811" i="2" a="1"/>
  <c r="E811" i="2" s="1"/>
  <c r="D811" i="2" a="1"/>
  <c r="D811" i="2" s="1"/>
  <c r="E810" i="2" a="1"/>
  <c r="E810" i="2"/>
  <c r="D810" i="2" a="1"/>
  <c r="D810" i="2" s="1"/>
  <c r="E809" i="2" a="1"/>
  <c r="E809" i="2"/>
  <c r="D809" i="2" a="1"/>
  <c r="D809" i="2" s="1"/>
  <c r="E808" i="2" a="1"/>
  <c r="E808" i="2"/>
  <c r="D808" i="2" a="1"/>
  <c r="D808" i="2" s="1"/>
  <c r="E807" i="2" a="1"/>
  <c r="E807" i="2" s="1"/>
  <c r="D807" i="2" a="1"/>
  <c r="D807" i="2"/>
  <c r="E806" i="2" a="1"/>
  <c r="E806" i="2"/>
  <c r="D806" i="2" a="1"/>
  <c r="D806" i="2"/>
  <c r="E805" i="2" a="1"/>
  <c r="E805" i="2" s="1"/>
  <c r="D805" i="2" a="1"/>
  <c r="D805" i="2"/>
  <c r="E804" i="2" a="1"/>
  <c r="E804" i="2"/>
  <c r="D804" i="2" a="1"/>
  <c r="D804" i="2" s="1"/>
  <c r="E803" i="2" a="1"/>
  <c r="E803" i="2" s="1"/>
  <c r="D803" i="2" a="1"/>
  <c r="D803" i="2" s="1"/>
  <c r="E802" i="2" a="1"/>
  <c r="E802" i="2"/>
  <c r="D802" i="2" a="1"/>
  <c r="D802" i="2" s="1"/>
  <c r="E801" i="2" a="1"/>
  <c r="E801" i="2"/>
  <c r="D801" i="2" a="1"/>
  <c r="D801" i="2" s="1"/>
  <c r="E800" i="2" a="1"/>
  <c r="E800" i="2"/>
  <c r="D800" i="2" a="1"/>
  <c r="D800" i="2" s="1"/>
  <c r="E799" i="2" a="1"/>
  <c r="E799" i="2" s="1"/>
  <c r="D799" i="2" a="1"/>
  <c r="D799" i="2"/>
  <c r="E798" i="2" a="1"/>
  <c r="E798" i="2"/>
  <c r="D798" i="2" a="1"/>
  <c r="D798" i="2" s="1"/>
  <c r="E797" i="2" a="1"/>
  <c r="E797" i="2" s="1"/>
  <c r="D797" i="2" a="1"/>
  <c r="D797" i="2"/>
  <c r="E796" i="2" a="1"/>
  <c r="E796" i="2" s="1"/>
  <c r="D796" i="2" a="1"/>
  <c r="D796" i="2" s="1"/>
  <c r="E795" i="2" a="1"/>
  <c r="E795" i="2" s="1"/>
  <c r="D795" i="2" a="1"/>
  <c r="D795" i="2"/>
  <c r="E794" i="2" a="1"/>
  <c r="E794" i="2"/>
  <c r="D794" i="2" a="1"/>
  <c r="D794" i="2"/>
  <c r="E793" i="2" a="1"/>
  <c r="E793" i="2"/>
  <c r="D793" i="2" a="1"/>
  <c r="D793" i="2" s="1"/>
  <c r="E792" i="2" a="1"/>
  <c r="E792" i="2"/>
  <c r="D792" i="2" a="1"/>
  <c r="D792" i="2" s="1"/>
  <c r="E791" i="2" a="1"/>
  <c r="E791" i="2" s="1"/>
  <c r="D791" i="2" a="1"/>
  <c r="D791" i="2"/>
  <c r="E790" i="2" a="1"/>
  <c r="E790" i="2"/>
  <c r="D790" i="2" a="1"/>
  <c r="D790" i="2" s="1"/>
  <c r="E789" i="2" a="1"/>
  <c r="E789" i="2"/>
  <c r="D789" i="2" a="1"/>
  <c r="D789" i="2" s="1"/>
  <c r="E788" i="2" a="1"/>
  <c r="E788" i="2" s="1"/>
  <c r="D788" i="2" a="1"/>
  <c r="D788" i="2" s="1"/>
  <c r="E787" i="2" a="1"/>
  <c r="E787" i="2" s="1"/>
  <c r="D787" i="2" a="1"/>
  <c r="D787" i="2" s="1"/>
  <c r="E786" i="2" a="1"/>
  <c r="E786" i="2"/>
  <c r="D786" i="2" a="1"/>
  <c r="D786" i="2" s="1"/>
  <c r="E785" i="2" a="1"/>
  <c r="E785" i="2" s="1"/>
  <c r="D785" i="2" a="1"/>
  <c r="D785" i="2"/>
  <c r="E784" i="2" a="1"/>
  <c r="E784" i="2" s="1"/>
  <c r="D784" i="2" a="1"/>
  <c r="D784" i="2" s="1"/>
  <c r="E783" i="2" a="1"/>
  <c r="E783" i="2" s="1"/>
  <c r="D783" i="2" a="1"/>
  <c r="D783" i="2"/>
  <c r="E782" i="2" a="1"/>
  <c r="E782" i="2"/>
  <c r="D782" i="2" a="1"/>
  <c r="D782" i="2"/>
  <c r="E781" i="2" a="1"/>
  <c r="E781" i="2" s="1"/>
  <c r="D781" i="2" a="1"/>
  <c r="D781" i="2" s="1"/>
  <c r="E780" i="2" a="1"/>
  <c r="E780" i="2"/>
  <c r="D780" i="2" a="1"/>
  <c r="D780" i="2" s="1"/>
  <c r="E779" i="2" a="1"/>
  <c r="E779" i="2" s="1"/>
  <c r="D779" i="2" a="1"/>
  <c r="D779" i="2" s="1"/>
  <c r="E778" i="2" a="1"/>
  <c r="E778" i="2"/>
  <c r="D778" i="2" a="1"/>
  <c r="D778" i="2" s="1"/>
  <c r="E777" i="2" a="1"/>
  <c r="E777" i="2"/>
  <c r="D777" i="2" a="1"/>
  <c r="D777" i="2"/>
  <c r="E776" i="2" a="1"/>
  <c r="E776" i="2" s="1"/>
  <c r="D776" i="2" a="1"/>
  <c r="D776" i="2" s="1"/>
  <c r="E775" i="2" a="1"/>
  <c r="E775" i="2" s="1"/>
  <c r="D775" i="2" a="1"/>
  <c r="D775" i="2"/>
  <c r="E774" i="2" a="1"/>
  <c r="E774" i="2"/>
  <c r="D774" i="2" a="1"/>
  <c r="D774" i="2"/>
  <c r="E773" i="2" a="1"/>
  <c r="E773" i="2" s="1"/>
  <c r="D773" i="2" a="1"/>
  <c r="D773" i="2"/>
  <c r="E772" i="2" a="1"/>
  <c r="E772" i="2"/>
  <c r="D772" i="2" a="1"/>
  <c r="D772" i="2" s="1"/>
  <c r="E771" i="2" a="1"/>
  <c r="E771" i="2" s="1"/>
  <c r="D771" i="2" a="1"/>
  <c r="D771" i="2"/>
  <c r="E770" i="2" a="1"/>
  <c r="E770" i="2"/>
  <c r="D770" i="2" a="1"/>
  <c r="D770" i="2" s="1"/>
  <c r="E769" i="2" a="1"/>
  <c r="E769" i="2"/>
  <c r="D769" i="2" a="1"/>
  <c r="D769" i="2" s="1"/>
  <c r="E768" i="2" a="1"/>
  <c r="E768" i="2"/>
  <c r="D768" i="2" a="1"/>
  <c r="D768" i="2" s="1"/>
  <c r="E767" i="2" a="1"/>
  <c r="E767" i="2" s="1"/>
  <c r="D767" i="2" a="1"/>
  <c r="D767" i="2"/>
  <c r="E766" i="2" a="1"/>
  <c r="E766" i="2"/>
  <c r="D766" i="2" a="1"/>
  <c r="D766" i="2"/>
  <c r="E765" i="2" a="1"/>
  <c r="E765" i="2" s="1"/>
  <c r="D765" i="2" a="1"/>
  <c r="D765" i="2"/>
  <c r="E764" i="2" a="1"/>
  <c r="E764" i="2" s="1"/>
  <c r="D764" i="2" a="1"/>
  <c r="D764" i="2" s="1"/>
  <c r="E763" i="2" a="1"/>
  <c r="E763" i="2" s="1"/>
  <c r="D763" i="2" a="1"/>
  <c r="D763" i="2"/>
  <c r="E762" i="2" a="1"/>
  <c r="E762" i="2"/>
  <c r="D762" i="2" a="1"/>
  <c r="D762" i="2"/>
  <c r="E761" i="2" a="1"/>
  <c r="E761" i="2"/>
  <c r="D761" i="2" a="1"/>
  <c r="D761" i="2" s="1"/>
  <c r="E760" i="2" a="1"/>
  <c r="E760" i="2"/>
  <c r="D760" i="2" a="1"/>
  <c r="D760" i="2" s="1"/>
  <c r="E759" i="2" a="1"/>
  <c r="E759" i="2" s="1"/>
  <c r="D759" i="2" a="1"/>
  <c r="D759" i="2"/>
  <c r="E758" i="2" a="1"/>
  <c r="E758" i="2"/>
  <c r="D758" i="2" a="1"/>
  <c r="D758" i="2"/>
  <c r="E757" i="2" a="1"/>
  <c r="E757" i="2" s="1"/>
  <c r="D757" i="2" a="1"/>
  <c r="D757" i="2"/>
  <c r="E756" i="2" a="1"/>
  <c r="E756" i="2" s="1"/>
  <c r="D756" i="2" a="1"/>
  <c r="D756" i="2" s="1"/>
  <c r="E755" i="2" a="1"/>
  <c r="E755" i="2" s="1"/>
  <c r="D755" i="2" a="1"/>
  <c r="D755" i="2" s="1"/>
  <c r="E754" i="2" a="1"/>
  <c r="E754" i="2"/>
  <c r="D754" i="2" a="1"/>
  <c r="D754" i="2" s="1"/>
  <c r="E753" i="2" a="1"/>
  <c r="E753" i="2" s="1"/>
  <c r="D753" i="2" a="1"/>
  <c r="D753" i="2"/>
  <c r="E752" i="2" a="1"/>
  <c r="E752" i="2" s="1"/>
  <c r="D752" i="2" a="1"/>
  <c r="D752" i="2" s="1"/>
  <c r="E751" i="2" a="1"/>
  <c r="E751" i="2" s="1"/>
  <c r="D751" i="2" a="1"/>
  <c r="D751" i="2"/>
  <c r="E750" i="2" a="1"/>
  <c r="E750" i="2"/>
  <c r="D750" i="2" a="1"/>
  <c r="D750" i="2"/>
  <c r="E749" i="2" a="1"/>
  <c r="E749" i="2"/>
  <c r="D749" i="2" a="1"/>
  <c r="D749" i="2" s="1"/>
  <c r="E748" i="2" a="1"/>
  <c r="E748" i="2"/>
  <c r="D748" i="2" a="1"/>
  <c r="D748" i="2" s="1"/>
  <c r="E747" i="2" a="1"/>
  <c r="E747" i="2" s="1"/>
  <c r="D747" i="2" a="1"/>
  <c r="D747" i="2" s="1"/>
  <c r="E746" i="2" a="1"/>
  <c r="E746" i="2"/>
  <c r="D746" i="2" a="1"/>
  <c r="D746" i="2" s="1"/>
  <c r="E745" i="2" a="1"/>
  <c r="E745" i="2"/>
  <c r="D745" i="2" a="1"/>
  <c r="D745" i="2" s="1"/>
  <c r="E744" i="2" a="1"/>
  <c r="E744" i="2" s="1"/>
  <c r="D744" i="2" a="1"/>
  <c r="D744" i="2" s="1"/>
  <c r="E743" i="2" a="1"/>
  <c r="E743" i="2" s="1"/>
  <c r="D743" i="2" a="1"/>
  <c r="D743" i="2"/>
  <c r="E742" i="2" a="1"/>
  <c r="E742" i="2"/>
  <c r="D742" i="2" a="1"/>
  <c r="D742" i="2"/>
  <c r="E741" i="2" a="1"/>
  <c r="E741" i="2" s="1"/>
  <c r="D741" i="2" a="1"/>
  <c r="D741" i="2"/>
  <c r="E740" i="2" a="1"/>
  <c r="E740" i="2"/>
  <c r="D740" i="2" a="1"/>
  <c r="D740" i="2" s="1"/>
  <c r="E739" i="2" a="1"/>
  <c r="E739" i="2" s="1"/>
  <c r="D739" i="2" a="1"/>
  <c r="D739" i="2"/>
  <c r="E738" i="2" a="1"/>
  <c r="E738" i="2"/>
  <c r="D738" i="2" a="1"/>
  <c r="D738" i="2" s="1"/>
  <c r="E737" i="2" a="1"/>
  <c r="E737" i="2"/>
  <c r="D737" i="2" a="1"/>
  <c r="D737" i="2" s="1"/>
  <c r="E736" i="2" a="1"/>
  <c r="E736" i="2"/>
  <c r="D736" i="2" a="1"/>
  <c r="D736" i="2" s="1"/>
  <c r="E735" i="2" a="1"/>
  <c r="E735" i="2" s="1"/>
  <c r="D735" i="2" a="1"/>
  <c r="D735" i="2"/>
  <c r="E734" i="2" a="1"/>
  <c r="E734" i="2"/>
  <c r="D734" i="2" a="1"/>
  <c r="D734" i="2"/>
  <c r="E733" i="2" a="1"/>
  <c r="E733" i="2" s="1"/>
  <c r="D733" i="2" a="1"/>
  <c r="D733" i="2"/>
  <c r="E732" i="2" a="1"/>
  <c r="E732" i="2" s="1"/>
  <c r="D732" i="2" a="1"/>
  <c r="D732" i="2" s="1"/>
  <c r="E731" i="2" a="1"/>
  <c r="E731" i="2" s="1"/>
  <c r="D731" i="2" a="1"/>
  <c r="D731" i="2" s="1"/>
  <c r="E730" i="2" a="1"/>
  <c r="E730" i="2"/>
  <c r="D730" i="2" a="1"/>
  <c r="D730" i="2"/>
  <c r="E729" i="2" a="1"/>
  <c r="E729" i="2"/>
  <c r="D729" i="2" a="1"/>
  <c r="D729" i="2" s="1"/>
  <c r="E728" i="2" a="1"/>
  <c r="E728" i="2"/>
  <c r="D728" i="2" a="1"/>
  <c r="D728" i="2" s="1"/>
  <c r="E727" i="2" a="1"/>
  <c r="E727" i="2" s="1"/>
  <c r="D727" i="2" a="1"/>
  <c r="D727" i="2"/>
  <c r="E726" i="2" a="1"/>
  <c r="E726" i="2"/>
  <c r="D726" i="2" a="1"/>
  <c r="D726" i="2" s="1"/>
  <c r="E725" i="2" a="1"/>
  <c r="E725" i="2"/>
  <c r="D725" i="2" a="1"/>
  <c r="D725" i="2" s="1"/>
  <c r="E724" i="2" a="1"/>
  <c r="E724" i="2" s="1"/>
  <c r="D724" i="2" a="1"/>
  <c r="D724" i="2" s="1"/>
  <c r="E723" i="2" a="1"/>
  <c r="E723" i="2" s="1"/>
  <c r="D723" i="2" a="1"/>
  <c r="D723" i="2" s="1"/>
  <c r="E722" i="2" a="1"/>
  <c r="E722" i="2"/>
  <c r="D722" i="2" a="1"/>
  <c r="D722" i="2" s="1"/>
  <c r="E721" i="2" a="1"/>
  <c r="E721" i="2"/>
  <c r="D721" i="2" a="1"/>
  <c r="D721" i="2"/>
  <c r="E720" i="2" a="1"/>
  <c r="E720" i="2" s="1"/>
  <c r="D720" i="2" a="1"/>
  <c r="D720" i="2" s="1"/>
  <c r="E719" i="2" a="1"/>
  <c r="E719" i="2" s="1"/>
  <c r="D719" i="2" a="1"/>
  <c r="D719" i="2"/>
  <c r="E718" i="2" a="1"/>
  <c r="E718" i="2"/>
  <c r="D718" i="2" a="1"/>
  <c r="D718" i="2"/>
  <c r="E717" i="2" a="1"/>
  <c r="E717" i="2" s="1"/>
  <c r="D717" i="2" a="1"/>
  <c r="D717" i="2"/>
  <c r="E716" i="2" a="1"/>
  <c r="E716" i="2"/>
  <c r="D716" i="2" a="1"/>
  <c r="D716" i="2" s="1"/>
  <c r="E715" i="2" a="1"/>
  <c r="E715" i="2" s="1"/>
  <c r="D715" i="2" a="1"/>
  <c r="D715" i="2" s="1"/>
  <c r="E714" i="2" a="1"/>
  <c r="E714" i="2"/>
  <c r="D714" i="2" a="1"/>
  <c r="D714" i="2" s="1"/>
  <c r="E713" i="2" a="1"/>
  <c r="E713" i="2"/>
  <c r="D713" i="2" a="1"/>
  <c r="D713" i="2"/>
  <c r="E712" i="2" a="1"/>
  <c r="E712" i="2" s="1"/>
  <c r="D712" i="2" a="1"/>
  <c r="D712" i="2" s="1"/>
  <c r="E711" i="2" a="1"/>
  <c r="E711" i="2" s="1"/>
  <c r="D711" i="2" a="1"/>
  <c r="D711" i="2" s="1"/>
  <c r="E710" i="2" a="1"/>
  <c r="E710" i="2"/>
  <c r="D710" i="2" a="1"/>
  <c r="D710" i="2"/>
  <c r="E709" i="2" a="1"/>
  <c r="E709" i="2" s="1"/>
  <c r="D709" i="2" a="1"/>
  <c r="D709" i="2"/>
  <c r="E708" i="2" a="1"/>
  <c r="E708" i="2"/>
  <c r="D708" i="2" a="1"/>
  <c r="D708" i="2" s="1"/>
  <c r="E707" i="2" a="1"/>
  <c r="E707" i="2" s="1"/>
  <c r="D707" i="2" a="1"/>
  <c r="D707" i="2"/>
  <c r="E706" i="2" a="1"/>
  <c r="E706" i="2"/>
  <c r="D706" i="2" a="1"/>
  <c r="D706" i="2" s="1"/>
  <c r="E705" i="2" a="1"/>
  <c r="E705" i="2"/>
  <c r="D705" i="2" a="1"/>
  <c r="D705" i="2" s="1"/>
  <c r="E704" i="2" a="1"/>
  <c r="E704" i="2"/>
  <c r="D704" i="2" a="1"/>
  <c r="D704" i="2" s="1"/>
  <c r="E703" i="2" a="1"/>
  <c r="E703" i="2" s="1"/>
  <c r="D703" i="2" a="1"/>
  <c r="D703" i="2"/>
  <c r="E702" i="2" a="1"/>
  <c r="E702" i="2"/>
  <c r="D702" i="2" a="1"/>
  <c r="D702" i="2"/>
  <c r="E701" i="2" a="1"/>
  <c r="E701" i="2" s="1"/>
  <c r="D701" i="2" a="1"/>
  <c r="D701" i="2"/>
  <c r="E700" i="2" a="1"/>
  <c r="E700" i="2" s="1"/>
  <c r="D700" i="2" a="1"/>
  <c r="D700" i="2" s="1"/>
  <c r="E699" i="2" a="1"/>
  <c r="E699" i="2" s="1"/>
  <c r="D699" i="2" a="1"/>
  <c r="D699" i="2"/>
  <c r="E698" i="2" a="1"/>
  <c r="E698" i="2"/>
  <c r="D698" i="2" a="1"/>
  <c r="D698" i="2"/>
  <c r="E697" i="2" a="1"/>
  <c r="E697" i="2" s="1"/>
  <c r="D697" i="2" a="1"/>
  <c r="D697" i="2" s="1"/>
  <c r="E696" i="2" a="1"/>
  <c r="E696" i="2"/>
  <c r="D696" i="2" a="1"/>
  <c r="D696" i="2" s="1"/>
  <c r="E695" i="2" a="1"/>
  <c r="E695" i="2" s="1"/>
  <c r="D695" i="2" a="1"/>
  <c r="D695" i="2"/>
  <c r="E694" i="2" a="1"/>
  <c r="E694" i="2"/>
  <c r="D694" i="2" a="1"/>
  <c r="D694" i="2"/>
  <c r="E693" i="2" a="1"/>
  <c r="E693" i="2" s="1"/>
  <c r="D693" i="2" a="1"/>
  <c r="D693" i="2"/>
  <c r="E692" i="2" a="1"/>
  <c r="E692" i="2" s="1"/>
  <c r="D692" i="2" a="1"/>
  <c r="D692" i="2" s="1"/>
  <c r="E691" i="2" a="1"/>
  <c r="E691" i="2" s="1"/>
  <c r="D691" i="2" a="1"/>
  <c r="D691" i="2" s="1"/>
  <c r="E690" i="2" a="1"/>
  <c r="E690" i="2"/>
  <c r="D690" i="2" a="1"/>
  <c r="D690" i="2" s="1"/>
  <c r="E689" i="2" a="1"/>
  <c r="E689" i="2" s="1"/>
  <c r="D689" i="2" a="1"/>
  <c r="D689" i="2" s="1"/>
  <c r="E688" i="2" a="1"/>
  <c r="E688" i="2" s="1"/>
  <c r="D688" i="2" a="1"/>
  <c r="D688" i="2" s="1"/>
  <c r="E687" i="2" a="1"/>
  <c r="E687" i="2" s="1"/>
  <c r="D687" i="2" a="1"/>
  <c r="D687" i="2"/>
  <c r="E686" i="2" a="1"/>
  <c r="E686" i="2"/>
  <c r="D686" i="2" a="1"/>
  <c r="D686" i="2"/>
  <c r="E685" i="2" a="1"/>
  <c r="E685" i="2"/>
  <c r="D685" i="2" a="1"/>
  <c r="D685" i="2" s="1"/>
  <c r="E684" i="2" a="1"/>
  <c r="E684" i="2" s="1"/>
  <c r="D684" i="2" a="1"/>
  <c r="D684" i="2" s="1"/>
  <c r="E683" i="2" a="1"/>
  <c r="E683" i="2" s="1"/>
  <c r="D683" i="2" a="1"/>
  <c r="D683" i="2" s="1"/>
  <c r="E682" i="2" a="1"/>
  <c r="E682" i="2"/>
  <c r="D682" i="2" a="1"/>
  <c r="D682" i="2" s="1"/>
  <c r="E681" i="2" a="1"/>
  <c r="E681" i="2"/>
  <c r="D681" i="2" a="1"/>
  <c r="D681" i="2"/>
  <c r="E680" i="2" a="1"/>
  <c r="E680" i="2"/>
  <c r="D680" i="2" a="1"/>
  <c r="D680" i="2" s="1"/>
  <c r="E679" i="2" a="1"/>
  <c r="E679" i="2" s="1"/>
  <c r="D679" i="2" a="1"/>
  <c r="D679" i="2" s="1"/>
  <c r="E678" i="2" a="1"/>
  <c r="E678" i="2"/>
  <c r="D678" i="2" a="1"/>
  <c r="D678" i="2"/>
  <c r="E677" i="2" a="1"/>
  <c r="E677" i="2" s="1"/>
  <c r="D677" i="2" a="1"/>
  <c r="D677" i="2"/>
  <c r="E676" i="2" a="1"/>
  <c r="E676" i="2"/>
  <c r="D676" i="2" a="1"/>
  <c r="D676" i="2" s="1"/>
  <c r="E675" i="2" a="1"/>
  <c r="E675" i="2" s="1"/>
  <c r="D675" i="2" a="1"/>
  <c r="D675" i="2" s="1"/>
  <c r="E674" i="2" a="1"/>
  <c r="E674" i="2"/>
  <c r="D674" i="2" a="1"/>
  <c r="D674" i="2" s="1"/>
  <c r="E673" i="2" a="1"/>
  <c r="E673" i="2"/>
  <c r="D673" i="2" a="1"/>
  <c r="D673" i="2" s="1"/>
  <c r="E672" i="2" a="1"/>
  <c r="E672" i="2"/>
  <c r="D672" i="2" a="1"/>
  <c r="D672" i="2" s="1"/>
  <c r="E671" i="2" a="1"/>
  <c r="E671" i="2" s="1"/>
  <c r="D671" i="2" a="1"/>
  <c r="D671" i="2"/>
  <c r="E670" i="2" a="1"/>
  <c r="E670" i="2"/>
  <c r="D670" i="2" a="1"/>
  <c r="D670" i="2" s="1"/>
  <c r="E669" i="2" a="1"/>
  <c r="E669" i="2" s="1"/>
  <c r="D669" i="2" a="1"/>
  <c r="D669" i="2"/>
  <c r="E668" i="2" a="1"/>
  <c r="E668" i="2" s="1"/>
  <c r="D668" i="2" a="1"/>
  <c r="D668" i="2" s="1"/>
  <c r="E667" i="2" a="1"/>
  <c r="E667" i="2" s="1"/>
  <c r="D667" i="2" a="1"/>
  <c r="D667" i="2" s="1"/>
  <c r="E666" i="2" a="1"/>
  <c r="E666" i="2"/>
  <c r="D666" i="2" a="1"/>
  <c r="D666" i="2"/>
  <c r="E665" i="2" a="1"/>
  <c r="E665" i="2"/>
  <c r="D665" i="2" a="1"/>
  <c r="D665" i="2" s="1"/>
  <c r="E664" i="2" a="1"/>
  <c r="E664" i="2"/>
  <c r="D664" i="2" a="1"/>
  <c r="D664" i="2" s="1"/>
  <c r="E663" i="2" a="1"/>
  <c r="E663" i="2" s="1"/>
  <c r="D663" i="2" a="1"/>
  <c r="D663" i="2"/>
  <c r="E662" i="2" a="1"/>
  <c r="E662" i="2"/>
  <c r="D662" i="2" a="1"/>
  <c r="D662" i="2" s="1"/>
  <c r="E661" i="2" a="1"/>
  <c r="E661" i="2"/>
  <c r="D661" i="2" a="1"/>
  <c r="D661" i="2"/>
  <c r="E660" i="2" a="1"/>
  <c r="E660" i="2" s="1"/>
  <c r="D660" i="2" a="1"/>
  <c r="D660" i="2" s="1"/>
  <c r="E659" i="2" a="1"/>
  <c r="E659" i="2" s="1"/>
  <c r="D659" i="2" a="1"/>
  <c r="D659" i="2" s="1"/>
  <c r="E658" i="2" a="1"/>
  <c r="E658" i="2"/>
  <c r="D658" i="2" a="1"/>
  <c r="D658" i="2" s="1"/>
  <c r="E657" i="2" a="1"/>
  <c r="E657" i="2" s="1"/>
  <c r="D657" i="2" a="1"/>
  <c r="D657" i="2" s="1"/>
  <c r="E656" i="2" a="1"/>
  <c r="E656" i="2"/>
  <c r="D656" i="2" a="1"/>
  <c r="D656" i="2" s="1"/>
  <c r="E655" i="2" a="1"/>
  <c r="E655" i="2" s="1"/>
  <c r="D655" i="2" a="1"/>
  <c r="D655" i="2"/>
  <c r="E654" i="2" a="1"/>
  <c r="E654" i="2"/>
  <c r="D654" i="2" a="1"/>
  <c r="D654" i="2"/>
  <c r="E653" i="2" a="1"/>
  <c r="E653" i="2" s="1"/>
  <c r="D653" i="2" a="1"/>
  <c r="D653" i="2" s="1"/>
  <c r="E652" i="2" a="1"/>
  <c r="E652" i="2" s="1"/>
  <c r="D652" i="2" a="1"/>
  <c r="D652" i="2" s="1"/>
  <c r="E651" i="2" a="1"/>
  <c r="E651" i="2" s="1"/>
  <c r="D651" i="2" a="1"/>
  <c r="D651" i="2" s="1"/>
  <c r="E650" i="2" a="1"/>
  <c r="E650" i="2"/>
  <c r="D650" i="2" a="1"/>
  <c r="D650" i="2" s="1"/>
  <c r="E649" i="2" a="1"/>
  <c r="E649" i="2"/>
  <c r="D649" i="2" a="1"/>
  <c r="D649" i="2"/>
  <c r="E648" i="2" a="1"/>
  <c r="E648" i="2" s="1"/>
  <c r="D648" i="2" a="1"/>
  <c r="D648" i="2" s="1"/>
  <c r="E647" i="2" a="1"/>
  <c r="E647" i="2" s="1"/>
  <c r="D647" i="2" a="1"/>
  <c r="D647" i="2" s="1"/>
  <c r="E646" i="2" a="1"/>
  <c r="E646" i="2"/>
  <c r="D646" i="2" a="1"/>
  <c r="D646" i="2"/>
  <c r="E645" i="2" a="1"/>
  <c r="E645" i="2" s="1"/>
  <c r="D645" i="2" a="1"/>
  <c r="D645" i="2"/>
  <c r="E644" i="2" a="1"/>
  <c r="E644" i="2"/>
  <c r="D644" i="2" a="1"/>
  <c r="D644" i="2" s="1"/>
  <c r="E643" i="2" a="1"/>
  <c r="E643" i="2" s="1"/>
  <c r="D643" i="2" a="1"/>
  <c r="D643" i="2"/>
  <c r="E642" i="2" a="1"/>
  <c r="E642" i="2"/>
  <c r="D642" i="2" a="1"/>
  <c r="D642" i="2" s="1"/>
  <c r="E641" i="2" a="1"/>
  <c r="E641" i="2"/>
  <c r="D641" i="2" a="1"/>
  <c r="D641" i="2" s="1"/>
  <c r="E640" i="2" a="1"/>
  <c r="E640" i="2"/>
  <c r="D640" i="2" a="1"/>
  <c r="D640" i="2" s="1"/>
  <c r="E639" i="2" a="1"/>
  <c r="E639" i="2" s="1"/>
  <c r="D639" i="2" a="1"/>
  <c r="D639" i="2"/>
  <c r="E638" i="2" a="1"/>
  <c r="E638" i="2"/>
  <c r="D638" i="2" a="1"/>
  <c r="D638" i="2"/>
  <c r="E637" i="2" a="1"/>
  <c r="E637" i="2" s="1"/>
  <c r="D637" i="2" a="1"/>
  <c r="D637" i="2"/>
  <c r="E636" i="2" a="1"/>
  <c r="E636" i="2" s="1"/>
  <c r="D636" i="2" a="1"/>
  <c r="D636" i="2" s="1"/>
  <c r="E635" i="2" a="1"/>
  <c r="E635" i="2" s="1"/>
  <c r="D635" i="2" a="1"/>
  <c r="D635" i="2"/>
  <c r="E634" i="2" a="1"/>
  <c r="E634" i="2"/>
  <c r="D634" i="2" a="1"/>
  <c r="D634" i="2"/>
  <c r="E633" i="2" a="1"/>
  <c r="E633" i="2"/>
  <c r="D633" i="2" a="1"/>
  <c r="D633" i="2" s="1"/>
  <c r="E632" i="2" a="1"/>
  <c r="E632" i="2"/>
  <c r="D632" i="2" a="1"/>
  <c r="D632" i="2" s="1"/>
  <c r="E631" i="2" a="1"/>
  <c r="E631" i="2" s="1"/>
  <c r="D631" i="2" a="1"/>
  <c r="D631" i="2"/>
  <c r="E630" i="2" a="1"/>
  <c r="E630" i="2"/>
  <c r="D630" i="2" a="1"/>
  <c r="D630" i="2" s="1"/>
  <c r="E629" i="2" a="1"/>
  <c r="E629" i="2" s="1"/>
  <c r="D629" i="2" a="1"/>
  <c r="D629" i="2"/>
  <c r="E628" i="2" a="1"/>
  <c r="E628" i="2" s="1"/>
  <c r="D628" i="2" a="1"/>
  <c r="D628" i="2" s="1"/>
  <c r="E627" i="2" a="1"/>
  <c r="E627" i="2" s="1"/>
  <c r="D627" i="2" a="1"/>
  <c r="D627" i="2" s="1"/>
  <c r="E626" i="2" a="1"/>
  <c r="E626" i="2"/>
  <c r="D626" i="2" a="1"/>
  <c r="D626" i="2"/>
  <c r="E625" i="2" a="1"/>
  <c r="E625" i="2"/>
  <c r="D625" i="2" a="1"/>
  <c r="D625" i="2" s="1"/>
  <c r="E624" i="2" a="1"/>
  <c r="E624" i="2" s="1"/>
  <c r="D624" i="2" a="1"/>
  <c r="D624" i="2" s="1"/>
  <c r="E623" i="2" a="1"/>
  <c r="E623" i="2" s="1"/>
  <c r="D623" i="2" a="1"/>
  <c r="D623" i="2"/>
  <c r="E622" i="2" a="1"/>
  <c r="E622" i="2"/>
  <c r="D622" i="2" a="1"/>
  <c r="D622" i="2"/>
  <c r="E621" i="2" a="1"/>
  <c r="E621" i="2"/>
  <c r="D621" i="2" a="1"/>
  <c r="D621" i="2"/>
  <c r="E620" i="2" a="1"/>
  <c r="E620" i="2" s="1"/>
  <c r="D620" i="2" a="1"/>
  <c r="D620" i="2" s="1"/>
  <c r="E619" i="2" a="1"/>
  <c r="E619" i="2" s="1"/>
  <c r="D619" i="2" a="1"/>
  <c r="D619" i="2" s="1"/>
  <c r="E618" i="2" a="1"/>
  <c r="E618" i="2"/>
  <c r="D618" i="2" a="1"/>
  <c r="D618" i="2" s="1"/>
  <c r="E617" i="2" a="1"/>
  <c r="E617" i="2"/>
  <c r="D617" i="2" a="1"/>
  <c r="D617" i="2" s="1"/>
  <c r="E616" i="2" a="1"/>
  <c r="E616" i="2"/>
  <c r="D616" i="2" a="1"/>
  <c r="D616" i="2" s="1"/>
  <c r="E615" i="2" a="1"/>
  <c r="E615" i="2" s="1"/>
  <c r="D615" i="2" a="1"/>
  <c r="D615" i="2"/>
  <c r="E614" i="2" a="1"/>
  <c r="E614" i="2"/>
  <c r="D614" i="2" a="1"/>
  <c r="D614" i="2"/>
  <c r="E613" i="2" a="1"/>
  <c r="E613" i="2" s="1"/>
  <c r="D613" i="2" a="1"/>
  <c r="D613" i="2"/>
  <c r="E612" i="2" a="1"/>
  <c r="E612" i="2" s="1"/>
  <c r="D612" i="2" a="1"/>
  <c r="D612" i="2" s="1"/>
  <c r="E611" i="2" a="1"/>
  <c r="E611" i="2" s="1"/>
  <c r="D611" i="2" a="1"/>
  <c r="D611" i="2"/>
  <c r="E610" i="2" a="1"/>
  <c r="E610" i="2"/>
  <c r="D610" i="2" a="1"/>
  <c r="D610" i="2" s="1"/>
  <c r="E609" i="2" a="1"/>
  <c r="E609" i="2"/>
  <c r="D609" i="2" a="1"/>
  <c r="D609" i="2" s="1"/>
  <c r="E608" i="2" a="1"/>
  <c r="E608" i="2"/>
  <c r="D608" i="2" a="1"/>
  <c r="D608" i="2" s="1"/>
  <c r="E607" i="2" a="1"/>
  <c r="E607" i="2" s="1"/>
  <c r="D607" i="2" a="1"/>
  <c r="D607" i="2" s="1"/>
  <c r="E606" i="2" a="1"/>
  <c r="E606" i="2"/>
  <c r="D606" i="2" a="1"/>
  <c r="D606" i="2"/>
  <c r="E605" i="2" a="1"/>
  <c r="E605" i="2" s="1"/>
  <c r="D605" i="2" a="1"/>
  <c r="D605" i="2"/>
  <c r="E604" i="2" a="1"/>
  <c r="E604" i="2" s="1"/>
  <c r="D604" i="2" a="1"/>
  <c r="D604" i="2" s="1"/>
  <c r="E603" i="2" a="1"/>
  <c r="E603" i="2" s="1"/>
  <c r="D603" i="2" a="1"/>
  <c r="D603" i="2" s="1"/>
  <c r="E602" i="2" a="1"/>
  <c r="E602" i="2"/>
  <c r="D602" i="2" a="1"/>
  <c r="D602" i="2" s="1"/>
  <c r="E601" i="2" a="1"/>
  <c r="E601" i="2"/>
  <c r="D601" i="2" a="1"/>
  <c r="D601" i="2" s="1"/>
  <c r="E600" i="2" a="1"/>
  <c r="E600" i="2"/>
  <c r="D600" i="2" a="1"/>
  <c r="D600" i="2" s="1"/>
  <c r="E599" i="2" a="1"/>
  <c r="E599" i="2" s="1"/>
  <c r="D599" i="2" a="1"/>
  <c r="D599" i="2"/>
  <c r="E598" i="2" a="1"/>
  <c r="E598" i="2"/>
  <c r="D598" i="2" a="1"/>
  <c r="D598" i="2" s="1"/>
  <c r="E597" i="2" a="1"/>
  <c r="E597" i="2"/>
  <c r="D597" i="2" a="1"/>
  <c r="D597" i="2" s="1"/>
  <c r="E596" i="2" a="1"/>
  <c r="E596" i="2" s="1"/>
  <c r="D596" i="2" a="1"/>
  <c r="D596" i="2" s="1"/>
  <c r="E595" i="2" a="1"/>
  <c r="E595" i="2" s="1"/>
  <c r="D595" i="2" a="1"/>
  <c r="D595" i="2" s="1"/>
  <c r="E594" i="2" a="1"/>
  <c r="E594" i="2"/>
  <c r="D594" i="2" a="1"/>
  <c r="D594" i="2"/>
  <c r="E593" i="2" a="1"/>
  <c r="E593" i="2"/>
  <c r="D593" i="2" a="1"/>
  <c r="D593" i="2" s="1"/>
  <c r="E592" i="2" a="1"/>
  <c r="E592" i="2"/>
  <c r="D592" i="2" a="1"/>
  <c r="D592" i="2" s="1"/>
  <c r="E591" i="2" a="1"/>
  <c r="E591" i="2" s="1"/>
  <c r="D591" i="2" a="1"/>
  <c r="D591" i="2"/>
  <c r="E590" i="2" a="1"/>
  <c r="E590" i="2"/>
  <c r="D590" i="2" a="1"/>
  <c r="D590" i="2"/>
  <c r="E589" i="2" a="1"/>
  <c r="E589" i="2"/>
  <c r="D589" i="2" a="1"/>
  <c r="D589" i="2" s="1"/>
  <c r="E588" i="2" a="1"/>
  <c r="E588" i="2" s="1"/>
  <c r="D588" i="2" a="1"/>
  <c r="D588" i="2" s="1"/>
  <c r="E587" i="2" a="1"/>
  <c r="E587" i="2" s="1"/>
  <c r="D587" i="2" a="1"/>
  <c r="D587" i="2" s="1"/>
  <c r="E586" i="2" a="1"/>
  <c r="E586" i="2"/>
  <c r="D586" i="2" a="1"/>
  <c r="D586" i="2" s="1"/>
  <c r="E585" i="2" a="1"/>
  <c r="E585" i="2"/>
  <c r="D585" i="2" a="1"/>
  <c r="D585" i="2"/>
  <c r="E584" i="2" a="1"/>
  <c r="E584" i="2"/>
  <c r="D584" i="2" a="1"/>
  <c r="D584" i="2" s="1"/>
  <c r="E583" i="2" a="1"/>
  <c r="E583" i="2" s="1"/>
  <c r="D583" i="2" a="1"/>
  <c r="D583" i="2" s="1"/>
  <c r="E582" i="2" a="1"/>
  <c r="E582" i="2"/>
  <c r="D582" i="2" a="1"/>
  <c r="D582" i="2"/>
  <c r="E581" i="2" a="1"/>
  <c r="E581" i="2" s="1"/>
  <c r="D581" i="2" a="1"/>
  <c r="D581" i="2"/>
  <c r="E580" i="2" a="1"/>
  <c r="E580" i="2" s="1"/>
  <c r="D580" i="2" a="1"/>
  <c r="D580" i="2" s="1"/>
  <c r="E579" i="2" a="1"/>
  <c r="E579" i="2" s="1"/>
  <c r="D579" i="2" a="1"/>
  <c r="D579" i="2"/>
  <c r="E578" i="2" a="1"/>
  <c r="E578" i="2"/>
  <c r="D578" i="2" a="1"/>
  <c r="D578" i="2" s="1"/>
  <c r="E577" i="2" a="1"/>
  <c r="E577" i="2"/>
  <c r="D577" i="2" a="1"/>
  <c r="D577" i="2" s="1"/>
  <c r="E576" i="2" a="1"/>
  <c r="E576" i="2"/>
  <c r="D576" i="2" a="1"/>
  <c r="D576" i="2" s="1"/>
  <c r="E575" i="2" a="1"/>
  <c r="E575" i="2" s="1"/>
  <c r="D575" i="2" a="1"/>
  <c r="D575" i="2" s="1"/>
  <c r="E574" i="2" a="1"/>
  <c r="E574" i="2"/>
  <c r="D574" i="2" a="1"/>
  <c r="D574" i="2"/>
  <c r="E573" i="2" a="1"/>
  <c r="E573" i="2" s="1"/>
  <c r="D573" i="2" a="1"/>
  <c r="D573" i="2"/>
  <c r="E572" i="2" a="1"/>
  <c r="E572" i="2" s="1"/>
  <c r="D572" i="2" a="1"/>
  <c r="D572" i="2" s="1"/>
  <c r="E571" i="2" a="1"/>
  <c r="E571" i="2" s="1"/>
  <c r="D571" i="2" a="1"/>
  <c r="D571" i="2"/>
  <c r="E570" i="2" a="1"/>
  <c r="E570" i="2"/>
  <c r="D570" i="2" a="1"/>
  <c r="D570" i="2" s="1"/>
  <c r="E569" i="2" a="1"/>
  <c r="E569" i="2"/>
  <c r="D569" i="2" a="1"/>
  <c r="D569" i="2" s="1"/>
  <c r="E568" i="2" a="1"/>
  <c r="E568" i="2"/>
  <c r="D568" i="2" a="1"/>
  <c r="D568" i="2" s="1"/>
  <c r="E567" i="2" a="1"/>
  <c r="E567" i="2" s="1"/>
  <c r="D567" i="2" a="1"/>
  <c r="D567" i="2"/>
  <c r="E566" i="2" a="1"/>
  <c r="E566" i="2"/>
  <c r="D566" i="2" a="1"/>
  <c r="D566" i="2"/>
  <c r="E565" i="2" a="1"/>
  <c r="E565" i="2"/>
  <c r="D565" i="2" a="1"/>
  <c r="D565" i="2" s="1"/>
  <c r="E564" i="2" a="1"/>
  <c r="E564" i="2" s="1"/>
  <c r="D564" i="2" a="1"/>
  <c r="D564" i="2" s="1"/>
  <c r="E563" i="2" a="1"/>
  <c r="E563" i="2" s="1"/>
  <c r="D563" i="2" a="1"/>
  <c r="D563" i="2" s="1"/>
  <c r="E562" i="2" a="1"/>
  <c r="E562" i="2"/>
  <c r="D562" i="2" a="1"/>
  <c r="D562" i="2"/>
  <c r="E561" i="2" a="1"/>
  <c r="E561" i="2" s="1"/>
  <c r="D561" i="2" a="1"/>
  <c r="D561" i="2"/>
  <c r="E560" i="2" a="1"/>
  <c r="E560" i="2"/>
  <c r="D560" i="2" a="1"/>
  <c r="D560" i="2" s="1"/>
  <c r="E559" i="2" a="1"/>
  <c r="E559" i="2" s="1"/>
  <c r="D559" i="2" a="1"/>
  <c r="D559" i="2"/>
  <c r="E558" i="2" a="1"/>
  <c r="E558" i="2"/>
  <c r="D558" i="2" a="1"/>
  <c r="D558" i="2" s="1"/>
  <c r="E557" i="2" a="1"/>
  <c r="E557" i="2" s="1"/>
  <c r="D557" i="2" a="1"/>
  <c r="D557" i="2" s="1"/>
  <c r="E556" i="2" a="1"/>
  <c r="E556" i="2"/>
  <c r="D556" i="2" a="1"/>
  <c r="D556" i="2" s="1"/>
  <c r="E555" i="2" a="1"/>
  <c r="E555" i="2" s="1"/>
  <c r="D555" i="2" a="1"/>
  <c r="D555" i="2" s="1"/>
  <c r="E554" i="2" a="1"/>
  <c r="E554" i="2"/>
  <c r="D554" i="2" a="1"/>
  <c r="D554" i="2" s="1"/>
  <c r="E553" i="2" a="1"/>
  <c r="E553" i="2" s="1"/>
  <c r="D553" i="2" a="1"/>
  <c r="D553" i="2" s="1"/>
  <c r="E552" i="2" a="1"/>
  <c r="E552" i="2"/>
  <c r="D552" i="2" a="1"/>
  <c r="D552" i="2" s="1"/>
  <c r="E551" i="2" a="1"/>
  <c r="E551" i="2" s="1"/>
  <c r="D551" i="2" a="1"/>
  <c r="D551" i="2"/>
  <c r="E550" i="2" a="1"/>
  <c r="E550" i="2"/>
  <c r="D550" i="2" a="1"/>
  <c r="D550" i="2"/>
  <c r="E549" i="2" a="1"/>
  <c r="E549" i="2" s="1"/>
  <c r="D549" i="2" a="1"/>
  <c r="D549" i="2"/>
  <c r="E548" i="2" a="1"/>
  <c r="E548" i="2" s="1"/>
  <c r="D548" i="2" a="1"/>
  <c r="D548" i="2" s="1"/>
  <c r="E547" i="2" a="1"/>
  <c r="E547" i="2" s="1"/>
  <c r="D547" i="2" a="1"/>
  <c r="D547" i="2" s="1"/>
  <c r="E546" i="2" a="1"/>
  <c r="E546" i="2"/>
  <c r="D546" i="2" a="1"/>
  <c r="D546" i="2" s="1"/>
  <c r="E545" i="2" a="1"/>
  <c r="E545" i="2"/>
  <c r="D545" i="2" a="1"/>
  <c r="D545" i="2" s="1"/>
  <c r="E544" i="2" a="1"/>
  <c r="E544" i="2"/>
  <c r="D544" i="2" a="1"/>
  <c r="D544" i="2" s="1"/>
  <c r="E543" i="2" a="1"/>
  <c r="E543" i="2" s="1"/>
  <c r="D543" i="2" a="1"/>
  <c r="D543" i="2" s="1"/>
  <c r="E542" i="2" a="1"/>
  <c r="E542" i="2"/>
  <c r="D542" i="2" a="1"/>
  <c r="D542" i="2" s="1"/>
  <c r="E541" i="2" a="1"/>
  <c r="E541" i="2" s="1"/>
  <c r="D541" i="2" a="1"/>
  <c r="D541" i="2" s="1"/>
  <c r="E540" i="2" a="1"/>
  <c r="E540" i="2" s="1"/>
  <c r="D540" i="2" a="1"/>
  <c r="D540" i="2" s="1"/>
  <c r="E539" i="2" a="1"/>
  <c r="E539" i="2" s="1"/>
  <c r="D539" i="2" a="1"/>
  <c r="D539" i="2"/>
  <c r="E538" i="2" a="1"/>
  <c r="E538" i="2"/>
  <c r="D538" i="2" a="1"/>
  <c r="D538" i="2" s="1"/>
  <c r="E537" i="2" a="1"/>
  <c r="E537" i="2" s="1"/>
  <c r="D537" i="2" a="1"/>
  <c r="D537" i="2" s="1"/>
  <c r="E536" i="2" a="1"/>
  <c r="E536" i="2" s="1"/>
  <c r="D536" i="2" a="1"/>
  <c r="D536" i="2" s="1"/>
  <c r="E535" i="2" a="1"/>
  <c r="E535" i="2" s="1"/>
  <c r="D535" i="2" a="1"/>
  <c r="D535" i="2"/>
  <c r="E534" i="2" a="1"/>
  <c r="E534" i="2"/>
  <c r="D534" i="2" a="1"/>
  <c r="D534" i="2" s="1"/>
  <c r="E533" i="2" a="1"/>
  <c r="E533" i="2" s="1"/>
  <c r="D533" i="2" a="1"/>
  <c r="D533" i="2"/>
  <c r="E532" i="2" a="1"/>
  <c r="E532" i="2" s="1"/>
  <c r="D532" i="2" a="1"/>
  <c r="D532" i="2" s="1"/>
  <c r="E531" i="2" a="1"/>
  <c r="E531" i="2" s="1"/>
  <c r="D531" i="2" a="1"/>
  <c r="D531" i="2" s="1"/>
  <c r="E530" i="2" a="1"/>
  <c r="E530" i="2"/>
  <c r="D530" i="2" a="1"/>
  <c r="D530" i="2"/>
  <c r="E529" i="2" a="1"/>
  <c r="E529" i="2"/>
  <c r="D529" i="2" a="1"/>
  <c r="D529" i="2" s="1"/>
  <c r="E528" i="2" a="1"/>
  <c r="E528" i="2" s="1"/>
  <c r="D528" i="2" a="1"/>
  <c r="D528" i="2" s="1"/>
  <c r="E527" i="2" a="1"/>
  <c r="E527" i="2" s="1"/>
  <c r="D527" i="2" a="1"/>
  <c r="D527" i="2" s="1"/>
  <c r="E526" i="2" a="1"/>
  <c r="E526" i="2"/>
  <c r="D526" i="2" a="1"/>
  <c r="D526" i="2" s="1"/>
  <c r="E525" i="2" a="1"/>
  <c r="E525" i="2"/>
  <c r="D525" i="2" a="1"/>
  <c r="D525" i="2" s="1"/>
  <c r="E524" i="2" a="1"/>
  <c r="E524" i="2"/>
  <c r="D524" i="2" a="1"/>
  <c r="D524" i="2" s="1"/>
  <c r="E523" i="2" a="1"/>
  <c r="E523" i="2" s="1"/>
  <c r="D523" i="2" a="1"/>
  <c r="D523" i="2" s="1"/>
  <c r="E522" i="2" a="1"/>
  <c r="E522" i="2"/>
  <c r="D522" i="2" a="1"/>
  <c r="D522" i="2" s="1"/>
  <c r="E521" i="2" a="1"/>
  <c r="E521" i="2"/>
  <c r="D521" i="2" a="1"/>
  <c r="D521" i="2" s="1"/>
  <c r="E520" i="2" a="1"/>
  <c r="E520" i="2"/>
  <c r="D520" i="2" a="1"/>
  <c r="D520" i="2" s="1"/>
  <c r="E519" i="2" a="1"/>
  <c r="E519" i="2" s="1"/>
  <c r="D519" i="2" a="1"/>
  <c r="D519" i="2" s="1"/>
  <c r="E518" i="2" a="1"/>
  <c r="E518" i="2" s="1"/>
  <c r="D518" i="2" a="1"/>
  <c r="D518" i="2" s="1"/>
  <c r="E517" i="2" a="1"/>
  <c r="E517" i="2" s="1"/>
  <c r="D517" i="2" a="1"/>
  <c r="D517" i="2" s="1"/>
  <c r="E516" i="2" a="1"/>
  <c r="E516" i="2" s="1"/>
  <c r="D516" i="2" a="1"/>
  <c r="D516" i="2" s="1"/>
  <c r="E515" i="2" a="1"/>
  <c r="E515" i="2" s="1"/>
  <c r="D515" i="2" a="1"/>
  <c r="D515" i="2" s="1"/>
  <c r="E514" i="2" a="1"/>
  <c r="E514" i="2"/>
  <c r="D514" i="2" a="1"/>
  <c r="D514" i="2" s="1"/>
  <c r="E513" i="2" a="1"/>
  <c r="E513" i="2" s="1"/>
  <c r="D513" i="2" a="1"/>
  <c r="D513" i="2" s="1"/>
  <c r="E512" i="2" a="1"/>
  <c r="E512" i="2" s="1"/>
  <c r="D512" i="2" a="1"/>
  <c r="D512" i="2" s="1"/>
  <c r="E511" i="2" a="1"/>
  <c r="E511" i="2" s="1"/>
  <c r="D511" i="2" a="1"/>
  <c r="D511" i="2"/>
  <c r="E510" i="2" a="1"/>
  <c r="E510" i="2"/>
  <c r="D510" i="2" a="1"/>
  <c r="D510" i="2" s="1"/>
  <c r="E509" i="2" a="1"/>
  <c r="E509" i="2" s="1"/>
  <c r="D509" i="2" a="1"/>
  <c r="D509" i="2" s="1"/>
  <c r="E508" i="2" a="1"/>
  <c r="E508" i="2" s="1"/>
  <c r="D508" i="2" a="1"/>
  <c r="D508" i="2" s="1"/>
  <c r="E507" i="2" a="1"/>
  <c r="E507" i="2" s="1"/>
  <c r="D507" i="2" a="1"/>
  <c r="D507" i="2"/>
  <c r="E506" i="2" a="1"/>
  <c r="E506" i="2" s="1"/>
  <c r="D506" i="2" a="1"/>
  <c r="D506" i="2"/>
  <c r="E505" i="2" a="1"/>
  <c r="E505" i="2" s="1"/>
  <c r="D505" i="2" a="1"/>
  <c r="D505" i="2" s="1"/>
  <c r="E504" i="2" a="1"/>
  <c r="E504" i="2" s="1"/>
  <c r="D504" i="2" a="1"/>
  <c r="D504" i="2" s="1"/>
  <c r="E503" i="2" a="1"/>
  <c r="E503" i="2" s="1"/>
  <c r="D503" i="2" a="1"/>
  <c r="D503" i="2"/>
  <c r="E502" i="2" a="1"/>
  <c r="E502" i="2"/>
  <c r="D502" i="2" a="1"/>
  <c r="D502" i="2" s="1"/>
  <c r="E501" i="2" a="1"/>
  <c r="E501" i="2"/>
  <c r="D501" i="2" a="1"/>
  <c r="D501" i="2"/>
  <c r="E500" i="2" a="1"/>
  <c r="E500" i="2" s="1"/>
  <c r="D500" i="2" a="1"/>
  <c r="D500" i="2" s="1"/>
  <c r="E499" i="2" a="1"/>
  <c r="E499" i="2" s="1"/>
  <c r="D499" i="2" a="1"/>
  <c r="D499" i="2" s="1"/>
  <c r="E498" i="2" a="1"/>
  <c r="E498" i="2" s="1"/>
  <c r="D498" i="2" a="1"/>
  <c r="D498" i="2"/>
  <c r="E497" i="2" a="1"/>
  <c r="E497" i="2"/>
  <c r="D497" i="2" a="1"/>
  <c r="D497" i="2"/>
  <c r="E496" i="2" a="1"/>
  <c r="E496" i="2" s="1"/>
  <c r="D496" i="2" a="1"/>
  <c r="D496" i="2" s="1"/>
  <c r="E495" i="2" a="1"/>
  <c r="E495" i="2" s="1"/>
  <c r="D495" i="2" a="1"/>
  <c r="D495" i="2" s="1"/>
  <c r="E494" i="2" a="1"/>
  <c r="E494" i="2" s="1"/>
  <c r="D494" i="2" a="1"/>
  <c r="D494" i="2"/>
  <c r="E493" i="2" a="1"/>
  <c r="E493" i="2" s="1"/>
  <c r="D493" i="2" a="1"/>
  <c r="D493" i="2"/>
  <c r="E492" i="2" a="1"/>
  <c r="E492" i="2"/>
  <c r="D492" i="2" a="1"/>
  <c r="D492" i="2" s="1"/>
  <c r="E491" i="2" a="1"/>
  <c r="E491" i="2" s="1"/>
  <c r="D491" i="2" a="1"/>
  <c r="D491" i="2" s="1"/>
  <c r="E490" i="2" a="1"/>
  <c r="E490" i="2" s="1"/>
  <c r="D490" i="2" a="1"/>
  <c r="D490" i="2" s="1"/>
  <c r="E489" i="2" a="1"/>
  <c r="E489" i="2" s="1"/>
  <c r="D489" i="2" a="1"/>
  <c r="D489" i="2"/>
  <c r="E488" i="2" a="1"/>
  <c r="E488" i="2" s="1"/>
  <c r="D488" i="2" a="1"/>
  <c r="D488" i="2" s="1"/>
  <c r="E487" i="2" a="1"/>
  <c r="E487" i="2" s="1"/>
  <c r="D487" i="2" a="1"/>
  <c r="D487" i="2"/>
  <c r="E486" i="2" a="1"/>
  <c r="E486" i="2" s="1"/>
  <c r="D486" i="2" a="1"/>
  <c r="D486" i="2"/>
  <c r="E485" i="2" a="1"/>
  <c r="E485" i="2" s="1"/>
  <c r="D485" i="2" a="1"/>
  <c r="D485" i="2"/>
  <c r="E484" i="2" a="1"/>
  <c r="E484" i="2" s="1"/>
  <c r="D484" i="2" a="1"/>
  <c r="D484" i="2" s="1"/>
  <c r="E483" i="2" a="1"/>
  <c r="E483" i="2" s="1"/>
  <c r="D483" i="2" a="1"/>
  <c r="D483" i="2" s="1"/>
  <c r="E482" i="2" a="1"/>
  <c r="E482" i="2"/>
  <c r="D482" i="2" a="1"/>
  <c r="D482" i="2" s="1"/>
  <c r="E481" i="2" a="1"/>
  <c r="E481" i="2"/>
  <c r="D481" i="2" a="1"/>
  <c r="D481" i="2" s="1"/>
  <c r="E480" i="2" a="1"/>
  <c r="E480" i="2"/>
  <c r="D480" i="2" a="1"/>
  <c r="D480" i="2" s="1"/>
  <c r="E479" i="2" a="1"/>
  <c r="E479" i="2" s="1"/>
  <c r="D479" i="2" a="1"/>
  <c r="D479" i="2" s="1"/>
  <c r="E478" i="2" a="1"/>
  <c r="E478" i="2"/>
  <c r="D478" i="2" a="1"/>
  <c r="D478" i="2" s="1"/>
  <c r="E477" i="2" a="1"/>
  <c r="E477" i="2" s="1"/>
  <c r="D477" i="2" a="1"/>
  <c r="D477" i="2"/>
  <c r="E476" i="2" a="1"/>
  <c r="E476" i="2" s="1"/>
  <c r="D476" i="2" a="1"/>
  <c r="D476" i="2" s="1"/>
  <c r="E475" i="2" a="1"/>
  <c r="E475" i="2" s="1"/>
  <c r="D475" i="2" a="1"/>
  <c r="D475" i="2"/>
  <c r="E474" i="2" a="1"/>
  <c r="E474" i="2"/>
  <c r="D474" i="2" a="1"/>
  <c r="D474" i="2"/>
  <c r="E473" i="2" a="1"/>
  <c r="E473" i="2"/>
  <c r="D473" i="2" a="1"/>
  <c r="D473" i="2" s="1"/>
  <c r="E472" i="2" a="1"/>
  <c r="E472" i="2" s="1"/>
  <c r="D472" i="2" a="1"/>
  <c r="D472" i="2" s="1"/>
  <c r="E471" i="2" a="1"/>
  <c r="E471" i="2" s="1"/>
  <c r="D471" i="2" a="1"/>
  <c r="D471" i="2" s="1"/>
  <c r="E470" i="2" a="1"/>
  <c r="E470" i="2"/>
  <c r="D470" i="2" a="1"/>
  <c r="D470" i="2"/>
  <c r="E469" i="2" a="1"/>
  <c r="E469" i="2"/>
  <c r="D469" i="2" a="1"/>
  <c r="D469" i="2" s="1"/>
  <c r="E468" i="2" a="1"/>
  <c r="E468" i="2" s="1"/>
  <c r="D468" i="2" a="1"/>
  <c r="D468" i="2" s="1"/>
  <c r="E467" i="2" a="1"/>
  <c r="E467" i="2" s="1"/>
  <c r="D467" i="2" a="1"/>
  <c r="D467" i="2" s="1"/>
  <c r="E466" i="2" a="1"/>
  <c r="E466" i="2"/>
  <c r="D466" i="2" a="1"/>
  <c r="D466" i="2"/>
  <c r="E465" i="2" a="1"/>
  <c r="E465" i="2"/>
  <c r="D465" i="2" a="1"/>
  <c r="D465" i="2"/>
  <c r="E464" i="2" a="1"/>
  <c r="E464" i="2"/>
  <c r="D464" i="2" a="1"/>
  <c r="D464" i="2" s="1"/>
  <c r="E463" i="2" a="1"/>
  <c r="E463" i="2" s="1"/>
  <c r="D463" i="2" a="1"/>
  <c r="D463" i="2"/>
  <c r="E462" i="2" a="1"/>
  <c r="E462" i="2" s="1"/>
  <c r="D462" i="2" a="1"/>
  <c r="D462" i="2"/>
  <c r="E461" i="2" a="1"/>
  <c r="E461" i="2" s="1"/>
  <c r="D461" i="2" a="1"/>
  <c r="D461" i="2" s="1"/>
  <c r="E460" i="2" a="1"/>
  <c r="E460" i="2"/>
  <c r="D460" i="2" a="1"/>
  <c r="D460" i="2" s="1"/>
  <c r="E459" i="2" a="1"/>
  <c r="E459" i="2" s="1"/>
  <c r="D459" i="2" a="1"/>
  <c r="D459" i="2" s="1"/>
  <c r="E458" i="2" a="1"/>
  <c r="E458" i="2" s="1"/>
  <c r="D458" i="2" a="1"/>
  <c r="D458" i="2" s="1"/>
  <c r="E457" i="2" a="1"/>
  <c r="E457" i="2" s="1"/>
  <c r="D457" i="2" a="1"/>
  <c r="D457" i="2"/>
  <c r="E456" i="2" a="1"/>
  <c r="E456" i="2"/>
  <c r="D456" i="2" a="1"/>
  <c r="D456" i="2" s="1"/>
  <c r="E455" i="2" a="1"/>
  <c r="E455" i="2" s="1"/>
  <c r="D455" i="2" a="1"/>
  <c r="D455" i="2" s="1"/>
  <c r="E454" i="2" a="1"/>
  <c r="E454" i="2" s="1"/>
  <c r="D454" i="2" a="1"/>
  <c r="D454" i="2" s="1"/>
  <c r="E453" i="2" a="1"/>
  <c r="E453" i="2" s="1"/>
  <c r="D453" i="2" a="1"/>
  <c r="D453" i="2"/>
  <c r="E452" i="2" a="1"/>
  <c r="E452" i="2" s="1"/>
  <c r="D452" i="2" a="1"/>
  <c r="D452" i="2" s="1"/>
  <c r="E451" i="2" a="1"/>
  <c r="E451" i="2" s="1"/>
  <c r="D451" i="2" a="1"/>
  <c r="D451" i="2" s="1"/>
  <c r="E450" i="2" a="1"/>
  <c r="E450" i="2"/>
  <c r="D450" i="2" a="1"/>
  <c r="D450" i="2" s="1"/>
  <c r="E449" i="2" a="1"/>
  <c r="E449" i="2" s="1"/>
  <c r="D449" i="2" a="1"/>
  <c r="D449" i="2" s="1"/>
  <c r="E448" i="2" a="1"/>
  <c r="E448" i="2"/>
  <c r="D448" i="2" a="1"/>
  <c r="D448" i="2" s="1"/>
  <c r="E447" i="2" a="1"/>
  <c r="E447" i="2" s="1"/>
  <c r="D447" i="2" a="1"/>
  <c r="D447" i="2" s="1"/>
  <c r="E446" i="2" a="1"/>
  <c r="E446" i="2"/>
  <c r="D446" i="2" a="1"/>
  <c r="D446" i="2"/>
  <c r="E445" i="2" a="1"/>
  <c r="E445" i="2" s="1"/>
  <c r="D445" i="2" a="1"/>
  <c r="D445" i="2"/>
  <c r="E444" i="2" a="1"/>
  <c r="E444" i="2" s="1"/>
  <c r="D444" i="2" a="1"/>
  <c r="D444" i="2" s="1"/>
  <c r="E443" i="2" a="1"/>
  <c r="E443" i="2" s="1"/>
  <c r="D443" i="2" a="1"/>
  <c r="D443" i="2"/>
  <c r="E442" i="2" a="1"/>
  <c r="E442" i="2"/>
  <c r="D442" i="2" a="1"/>
  <c r="D442" i="2" s="1"/>
  <c r="E441" i="2" a="1"/>
  <c r="E441" i="2"/>
  <c r="D441" i="2" a="1"/>
  <c r="D441" i="2" s="1"/>
  <c r="E440" i="2" a="1"/>
  <c r="E440" i="2"/>
  <c r="D440" i="2" a="1"/>
  <c r="D440" i="2" s="1"/>
  <c r="E439" i="2" a="1"/>
  <c r="E439" i="2" s="1"/>
  <c r="D439" i="2" a="1"/>
  <c r="D439" i="2" s="1"/>
  <c r="E438" i="2" a="1"/>
  <c r="E438" i="2" s="1"/>
  <c r="D438" i="2" a="1"/>
  <c r="D438" i="2" s="1"/>
  <c r="E437" i="2" a="1"/>
  <c r="E437" i="2"/>
  <c r="D437" i="2" a="1"/>
  <c r="D437" i="2" s="1"/>
  <c r="E436" i="2" a="1"/>
  <c r="E436" i="2" s="1"/>
  <c r="D436" i="2" a="1"/>
  <c r="D436" i="2" s="1"/>
  <c r="E435" i="2" a="1"/>
  <c r="E435" i="2" s="1"/>
  <c r="D435" i="2" a="1"/>
  <c r="D435" i="2" s="1"/>
  <c r="E434" i="2" a="1"/>
  <c r="E434" i="2"/>
  <c r="D434" i="2" a="1"/>
  <c r="D434" i="2"/>
  <c r="E433" i="2" a="1"/>
  <c r="E433" i="2" s="1"/>
  <c r="D433" i="2" a="1"/>
  <c r="D433" i="2" s="1"/>
  <c r="E432" i="2" a="1"/>
  <c r="E432" i="2"/>
  <c r="D432" i="2" a="1"/>
  <c r="D432" i="2" s="1"/>
  <c r="E431" i="2" a="1"/>
  <c r="E431" i="2" s="1"/>
  <c r="D431" i="2" a="1"/>
  <c r="D431" i="2"/>
  <c r="E430" i="2" a="1"/>
  <c r="E430" i="2" s="1"/>
  <c r="D430" i="2" a="1"/>
  <c r="D430" i="2" s="1"/>
  <c r="E429" i="2" a="1"/>
  <c r="E429" i="2"/>
  <c r="D429" i="2" a="1"/>
  <c r="D429" i="2"/>
  <c r="E428" i="2" a="1"/>
  <c r="E428" i="2" s="1"/>
  <c r="D428" i="2" a="1"/>
  <c r="D428" i="2" s="1"/>
  <c r="E427" i="2" a="1"/>
  <c r="E427" i="2" s="1"/>
  <c r="D427" i="2" a="1"/>
  <c r="D427" i="2" s="1"/>
  <c r="E426" i="2" a="1"/>
  <c r="E426" i="2" s="1"/>
  <c r="D426" i="2" a="1"/>
  <c r="D426" i="2" s="1"/>
  <c r="E425" i="2" a="1"/>
  <c r="E425" i="2"/>
  <c r="D425" i="2" a="1"/>
  <c r="D425" i="2"/>
  <c r="E424" i="2" a="1"/>
  <c r="E424" i="2" s="1"/>
  <c r="D424" i="2" a="1"/>
  <c r="D424" i="2" s="1"/>
  <c r="E423" i="2" a="1"/>
  <c r="E423" i="2" s="1"/>
  <c r="D423" i="2" a="1"/>
  <c r="D423" i="2"/>
  <c r="E422" i="2" a="1"/>
  <c r="E422" i="2" s="1"/>
  <c r="D422" i="2" a="1"/>
  <c r="D422" i="2" s="1"/>
  <c r="E421" i="2" a="1"/>
  <c r="E421" i="2" s="1"/>
  <c r="D421" i="2" a="1"/>
  <c r="D421" i="2"/>
  <c r="E420" i="2" a="1"/>
  <c r="E420" i="2" s="1"/>
  <c r="D420" i="2" a="1"/>
  <c r="D420" i="2" s="1"/>
  <c r="E419" i="2" a="1"/>
  <c r="E419" i="2" s="1"/>
  <c r="D419" i="2" a="1"/>
  <c r="D419" i="2" s="1"/>
  <c r="E418" i="2" a="1"/>
  <c r="E418" i="2" s="1"/>
  <c r="D418" i="2" a="1"/>
  <c r="D418" i="2" s="1"/>
  <c r="E417" i="2" a="1"/>
  <c r="E417" i="2" s="1"/>
  <c r="D417" i="2" a="1"/>
  <c r="D417" i="2" s="1"/>
  <c r="E416" i="2" a="1"/>
  <c r="E416" i="2" s="1"/>
  <c r="D416" i="2" a="1"/>
  <c r="D416" i="2" s="1"/>
  <c r="E415" i="2" a="1"/>
  <c r="E415" i="2" s="1"/>
  <c r="D415" i="2" a="1"/>
  <c r="D415" i="2"/>
  <c r="E414" i="2" a="1"/>
  <c r="E414" i="2" s="1"/>
  <c r="D414" i="2" a="1"/>
  <c r="D414" i="2"/>
  <c r="E413" i="2" a="1"/>
  <c r="E413" i="2" s="1"/>
  <c r="D413" i="2" a="1"/>
  <c r="D413" i="2" s="1"/>
  <c r="E412" i="2" a="1"/>
  <c r="E412" i="2" s="1"/>
  <c r="D412" i="2" a="1"/>
  <c r="D412" i="2" s="1"/>
  <c r="E411" i="2" a="1"/>
  <c r="E411" i="2" s="1"/>
  <c r="D411" i="2" a="1"/>
  <c r="D411" i="2" s="1"/>
  <c r="E410" i="2" a="1"/>
  <c r="E410" i="2"/>
  <c r="D410" i="2" a="1"/>
  <c r="D410" i="2"/>
  <c r="E409" i="2" a="1"/>
  <c r="E409" i="2"/>
  <c r="D409" i="2" a="1"/>
  <c r="D409" i="2" s="1"/>
  <c r="E408" i="2" a="1"/>
  <c r="E408" i="2"/>
  <c r="D408" i="2" a="1"/>
  <c r="D408" i="2" s="1"/>
  <c r="E407" i="2" a="1"/>
  <c r="E407" i="2" s="1"/>
  <c r="D407" i="2" a="1"/>
  <c r="D407" i="2" s="1"/>
  <c r="E406" i="2" a="1"/>
  <c r="E406" i="2"/>
  <c r="D406" i="2" a="1"/>
  <c r="D406" i="2" s="1"/>
  <c r="E405" i="2" a="1"/>
  <c r="E405" i="2"/>
  <c r="D405" i="2" a="1"/>
  <c r="D405" i="2"/>
  <c r="E404" i="2" a="1"/>
  <c r="E404" i="2" s="1"/>
  <c r="D404" i="2" a="1"/>
  <c r="D404" i="2" s="1"/>
  <c r="E403" i="2" a="1"/>
  <c r="E403" i="2" s="1"/>
  <c r="D403" i="2" a="1"/>
  <c r="D403" i="2" s="1"/>
  <c r="E402" i="2" a="1"/>
  <c r="E402" i="2"/>
  <c r="D402" i="2" a="1"/>
  <c r="D402" i="2" s="1"/>
  <c r="E401" i="2" a="1"/>
  <c r="E401" i="2" s="1"/>
  <c r="D401" i="2" a="1"/>
  <c r="D401" i="2" s="1"/>
  <c r="E400" i="2" a="1"/>
  <c r="E400" i="2"/>
  <c r="D400" i="2" a="1"/>
  <c r="D400" i="2" s="1"/>
  <c r="E399" i="2" a="1"/>
  <c r="E399" i="2" s="1"/>
  <c r="D399" i="2" a="1"/>
  <c r="D399" i="2"/>
  <c r="E398" i="2" a="1"/>
  <c r="E398" i="2" s="1"/>
  <c r="D398" i="2" a="1"/>
  <c r="D398" i="2"/>
  <c r="E397" i="2" a="1"/>
  <c r="E397" i="2" s="1"/>
  <c r="D397" i="2" a="1"/>
  <c r="D397" i="2"/>
  <c r="E396" i="2" a="1"/>
  <c r="E396" i="2" s="1"/>
  <c r="D396" i="2" a="1"/>
  <c r="D396" i="2" s="1"/>
  <c r="E395" i="2" a="1"/>
  <c r="E395" i="2" s="1"/>
  <c r="D395" i="2" a="1"/>
  <c r="D395" i="2" s="1"/>
  <c r="E394" i="2" a="1"/>
  <c r="E394" i="2" s="1"/>
  <c r="D394" i="2" a="1"/>
  <c r="D394" i="2" s="1"/>
  <c r="E393" i="2" a="1"/>
  <c r="E393" i="2"/>
  <c r="D393" i="2" a="1"/>
  <c r="D393" i="2"/>
  <c r="E392" i="2" a="1"/>
  <c r="E392" i="2"/>
  <c r="D392" i="2" a="1"/>
  <c r="D392" i="2" s="1"/>
  <c r="E391" i="2" a="1"/>
  <c r="E391" i="2" s="1"/>
  <c r="D391" i="2" a="1"/>
  <c r="D391" i="2" s="1"/>
  <c r="E390" i="2" a="1"/>
  <c r="E390" i="2" s="1"/>
  <c r="D390" i="2" a="1"/>
  <c r="D390" i="2"/>
  <c r="E389" i="2" a="1"/>
  <c r="E389" i="2" s="1"/>
  <c r="D389" i="2" a="1"/>
  <c r="D389" i="2" s="1"/>
  <c r="E388" i="2" a="1"/>
  <c r="E388" i="2" s="1"/>
  <c r="D388" i="2" a="1"/>
  <c r="D388" i="2" s="1"/>
  <c r="E387" i="2" a="1"/>
  <c r="E387" i="2" s="1"/>
  <c r="D387" i="2" a="1"/>
  <c r="D387" i="2"/>
  <c r="E386" i="2" a="1"/>
  <c r="E386" i="2"/>
  <c r="D386" i="2" a="1"/>
  <c r="D386" i="2" s="1"/>
  <c r="E385" i="2" a="1"/>
  <c r="E385" i="2" s="1"/>
  <c r="D385" i="2" a="1"/>
  <c r="D385" i="2" s="1"/>
  <c r="E384" i="2" a="1"/>
  <c r="E384" i="2" s="1"/>
  <c r="D384" i="2" a="1"/>
  <c r="D384" i="2" s="1"/>
  <c r="E383" i="2" a="1"/>
  <c r="E383" i="2" s="1"/>
  <c r="D383" i="2" a="1"/>
  <c r="D383" i="2"/>
  <c r="E382" i="2" a="1"/>
  <c r="E382" i="2"/>
  <c r="D382" i="2" a="1"/>
  <c r="D382" i="2"/>
  <c r="E381" i="2" a="1"/>
  <c r="E381" i="2" s="1"/>
  <c r="D381" i="2" a="1"/>
  <c r="D381" i="2"/>
  <c r="E380" i="2" a="1"/>
  <c r="E380" i="2" s="1"/>
  <c r="D380" i="2" a="1"/>
  <c r="D380" i="2" s="1"/>
  <c r="E379" i="2" a="1"/>
  <c r="E379" i="2" s="1"/>
  <c r="D379" i="2" a="1"/>
  <c r="D379" i="2" s="1"/>
  <c r="E378" i="2" a="1"/>
  <c r="E378" i="2"/>
  <c r="D378" i="2" a="1"/>
  <c r="D378" i="2"/>
  <c r="E377" i="2" a="1"/>
  <c r="E377" i="2"/>
  <c r="D377" i="2" a="1"/>
  <c r="D377" i="2" s="1"/>
  <c r="E376" i="2" a="1"/>
  <c r="E376" i="2" s="1"/>
  <c r="D376" i="2" a="1"/>
  <c r="D376" i="2" s="1"/>
  <c r="E375" i="2" a="1"/>
  <c r="E375" i="2" s="1"/>
  <c r="D375" i="2" a="1"/>
  <c r="D375" i="2" s="1"/>
  <c r="E374" i="2" a="1"/>
  <c r="E374" i="2"/>
  <c r="D374" i="2" a="1"/>
  <c r="D374" i="2" s="1"/>
  <c r="E373" i="2" a="1"/>
  <c r="E373" i="2"/>
  <c r="D373" i="2" a="1"/>
  <c r="D373" i="2" s="1"/>
  <c r="E372" i="2" a="1"/>
  <c r="E372" i="2" s="1"/>
  <c r="D372" i="2" a="1"/>
  <c r="D372" i="2" s="1"/>
  <c r="E371" i="2" a="1"/>
  <c r="E371" i="2" s="1"/>
  <c r="D371" i="2" a="1"/>
  <c r="D371" i="2" s="1"/>
  <c r="E370" i="2" a="1"/>
  <c r="E370" i="2"/>
  <c r="D370" i="2" a="1"/>
  <c r="D370" i="2" s="1"/>
  <c r="E369" i="2" a="1"/>
  <c r="E369" i="2"/>
  <c r="D369" i="2" a="1"/>
  <c r="D369" i="2"/>
  <c r="E368" i="2" a="1"/>
  <c r="E368" i="2" s="1"/>
  <c r="D368" i="2" a="1"/>
  <c r="D368" i="2" s="1"/>
  <c r="E367" i="2" a="1"/>
  <c r="E367" i="2" s="1"/>
  <c r="D367" i="2" a="1"/>
  <c r="D367" i="2"/>
  <c r="E366" i="2" a="1"/>
  <c r="E366" i="2" s="1"/>
  <c r="D366" i="2" a="1"/>
  <c r="D366" i="2"/>
  <c r="E365" i="2" a="1"/>
  <c r="E365" i="2" s="1"/>
  <c r="D365" i="2" a="1"/>
  <c r="D365" i="2"/>
  <c r="E364" i="2" a="1"/>
  <c r="E364" i="2"/>
  <c r="D364" i="2" a="1"/>
  <c r="D364" i="2" s="1"/>
  <c r="E363" i="2" a="1"/>
  <c r="E363" i="2" s="1"/>
  <c r="D363" i="2" a="1"/>
  <c r="D363" i="2" s="1"/>
  <c r="E362" i="2" a="1"/>
  <c r="E362" i="2"/>
  <c r="D362" i="2" a="1"/>
  <c r="D362" i="2" s="1"/>
  <c r="E361" i="2" a="1"/>
  <c r="E361" i="2"/>
  <c r="D361" i="2" a="1"/>
  <c r="D361" i="2"/>
  <c r="E360" i="2" a="1"/>
  <c r="E360" i="2" s="1"/>
  <c r="D360" i="2" a="1"/>
  <c r="D360" i="2" s="1"/>
  <c r="E359" i="2" a="1"/>
  <c r="E359" i="2" s="1"/>
  <c r="D359" i="2" a="1"/>
  <c r="D359" i="2"/>
  <c r="E358" i="2" a="1"/>
  <c r="E358" i="2" s="1"/>
  <c r="D358" i="2" a="1"/>
  <c r="D358" i="2"/>
  <c r="E357" i="2" a="1"/>
  <c r="E357" i="2" s="1"/>
  <c r="D357" i="2" a="1"/>
  <c r="D357" i="2"/>
  <c r="E356" i="2" a="1"/>
  <c r="E356" i="2" s="1"/>
  <c r="D356" i="2" a="1"/>
  <c r="D356" i="2" s="1"/>
  <c r="E355" i="2" a="1"/>
  <c r="E355" i="2" s="1"/>
  <c r="D355" i="2" a="1"/>
  <c r="D355" i="2" s="1"/>
  <c r="E354" i="2" a="1"/>
  <c r="E354" i="2"/>
  <c r="D354" i="2" a="1"/>
  <c r="D354" i="2" s="1"/>
  <c r="E353" i="2" a="1"/>
  <c r="E353" i="2"/>
  <c r="D353" i="2" a="1"/>
  <c r="D353" i="2" s="1"/>
  <c r="E352" i="2" a="1"/>
  <c r="E352" i="2"/>
  <c r="D352" i="2" a="1"/>
  <c r="D352" i="2" s="1"/>
  <c r="E351" i="2" a="1"/>
  <c r="E351" i="2" s="1"/>
  <c r="D351" i="2" a="1"/>
  <c r="D351" i="2"/>
  <c r="E350" i="2" a="1"/>
  <c r="E350" i="2"/>
  <c r="D350" i="2" a="1"/>
  <c r="D350" i="2" s="1"/>
  <c r="E349" i="2" a="1"/>
  <c r="E349" i="2" s="1"/>
  <c r="D349" i="2" a="1"/>
  <c r="D349" i="2"/>
  <c r="E348" i="2" a="1"/>
  <c r="E348" i="2" s="1"/>
  <c r="D348" i="2" a="1"/>
  <c r="D348" i="2" s="1"/>
  <c r="E347" i="2" a="1"/>
  <c r="E347" i="2" s="1"/>
  <c r="D347" i="2" a="1"/>
  <c r="D347" i="2"/>
  <c r="E346" i="2" a="1"/>
  <c r="E346" i="2"/>
  <c r="D346" i="2" a="1"/>
  <c r="D346" i="2"/>
  <c r="E345" i="2" a="1"/>
  <c r="E345" i="2"/>
  <c r="D345" i="2" a="1"/>
  <c r="D345" i="2" s="1"/>
  <c r="E344" i="2" a="1"/>
  <c r="E344" i="2" s="1"/>
  <c r="D344" i="2" a="1"/>
  <c r="D344" i="2" s="1"/>
  <c r="E343" i="2" a="1"/>
  <c r="E343" i="2" s="1"/>
  <c r="D343" i="2" a="1"/>
  <c r="D343" i="2"/>
  <c r="E342" i="2" a="1"/>
  <c r="E342" i="2"/>
  <c r="D342" i="2" a="1"/>
  <c r="D342" i="2"/>
  <c r="E341" i="2" a="1"/>
  <c r="E341" i="2"/>
  <c r="D341" i="2" a="1"/>
  <c r="D341" i="2" s="1"/>
  <c r="E340" i="2" a="1"/>
  <c r="E340" i="2" s="1"/>
  <c r="D340" i="2" a="1"/>
  <c r="D340" i="2" s="1"/>
  <c r="E339" i="2" a="1"/>
  <c r="E339" i="2" s="1"/>
  <c r="D339" i="2" a="1"/>
  <c r="D339" i="2" s="1"/>
  <c r="E338" i="2" a="1"/>
  <c r="E338" i="2"/>
  <c r="D338" i="2" a="1"/>
  <c r="D338" i="2" s="1"/>
  <c r="E337" i="2" a="1"/>
  <c r="E337" i="2"/>
  <c r="D337" i="2" a="1"/>
  <c r="D337" i="2"/>
  <c r="E336" i="2" a="1"/>
  <c r="E336" i="2"/>
  <c r="D336" i="2" a="1"/>
  <c r="D336" i="2" s="1"/>
  <c r="E335" i="2" a="1"/>
  <c r="E335" i="2" s="1"/>
  <c r="D335" i="2" a="1"/>
  <c r="D335" i="2"/>
  <c r="E334" i="2" a="1"/>
  <c r="E334" i="2" s="1"/>
  <c r="D334" i="2" a="1"/>
  <c r="D334" i="2"/>
  <c r="E333" i="2" a="1"/>
  <c r="E333" i="2"/>
  <c r="D333" i="2" a="1"/>
  <c r="D333" i="2"/>
  <c r="E332" i="2" a="1"/>
  <c r="E332" i="2"/>
  <c r="D332" i="2" a="1"/>
  <c r="D332" i="2" s="1"/>
  <c r="E331" i="2" a="1"/>
  <c r="E331" i="2" s="1"/>
  <c r="D331" i="2" a="1"/>
  <c r="D331" i="2" s="1"/>
  <c r="E330" i="2" a="1"/>
  <c r="E330" i="2" s="1"/>
  <c r="D330" i="2" a="1"/>
  <c r="D330" i="2" s="1"/>
  <c r="E329" i="2" a="1"/>
  <c r="E329" i="2" s="1"/>
  <c r="D329" i="2" a="1"/>
  <c r="D329" i="2"/>
  <c r="E328" i="2" a="1"/>
  <c r="E328" i="2" s="1"/>
  <c r="D328" i="2" a="1"/>
  <c r="D328" i="2" s="1"/>
  <c r="E327" i="2" a="1"/>
  <c r="E327" i="2" s="1"/>
  <c r="D327" i="2" a="1"/>
  <c r="D327" i="2" s="1"/>
  <c r="E326" i="2" a="1"/>
  <c r="E326" i="2" s="1"/>
  <c r="D326" i="2" a="1"/>
  <c r="D326" i="2"/>
  <c r="E325" i="2" a="1"/>
  <c r="E325" i="2" s="1"/>
  <c r="D325" i="2" a="1"/>
  <c r="D325" i="2"/>
  <c r="E324" i="2" a="1"/>
  <c r="E324" i="2" s="1"/>
  <c r="D324" i="2" a="1"/>
  <c r="D324" i="2" s="1"/>
  <c r="E323" i="2" a="1"/>
  <c r="E323" i="2" s="1"/>
  <c r="D323" i="2" a="1"/>
  <c r="D323" i="2"/>
  <c r="E322" i="2" a="1"/>
  <c r="E322" i="2"/>
  <c r="D322" i="2" a="1"/>
  <c r="D322" i="2" s="1"/>
  <c r="E321" i="2" a="1"/>
  <c r="E321" i="2" s="1"/>
  <c r="D321" i="2" a="1"/>
  <c r="D321" i="2" s="1"/>
  <c r="E320" i="2" a="1"/>
  <c r="E320" i="2"/>
  <c r="D320" i="2" a="1"/>
  <c r="D320" i="2" s="1"/>
  <c r="E319" i="2" a="1"/>
  <c r="E319" i="2" s="1"/>
  <c r="D319" i="2" a="1"/>
  <c r="D319" i="2" s="1"/>
  <c r="E318" i="2" a="1"/>
  <c r="E318" i="2"/>
  <c r="D318" i="2" a="1"/>
  <c r="D318" i="2" s="1"/>
  <c r="E317" i="2" a="1"/>
  <c r="E317" i="2" s="1"/>
  <c r="D317" i="2" a="1"/>
  <c r="D317" i="2"/>
  <c r="E316" i="2" a="1"/>
  <c r="E316" i="2" s="1"/>
  <c r="D316" i="2" a="1"/>
  <c r="D316" i="2" s="1"/>
  <c r="E315" i="2" a="1"/>
  <c r="E315" i="2" s="1"/>
  <c r="D315" i="2" a="1"/>
  <c r="D315" i="2"/>
  <c r="E314" i="2" a="1"/>
  <c r="E314" i="2"/>
  <c r="D314" i="2" a="1"/>
  <c r="D314" i="2" s="1"/>
  <c r="E313" i="2" a="1"/>
  <c r="E313" i="2"/>
  <c r="D313" i="2" a="1"/>
  <c r="D313" i="2" s="1"/>
  <c r="E312" i="2" a="1"/>
  <c r="E312" i="2" s="1"/>
  <c r="D312" i="2" a="1"/>
  <c r="D312" i="2" s="1"/>
  <c r="E311" i="2" a="1"/>
  <c r="E311" i="2" s="1"/>
  <c r="D311" i="2" a="1"/>
  <c r="D311" i="2"/>
  <c r="E310" i="2" a="1"/>
  <c r="E310" i="2"/>
  <c r="D310" i="2" a="1"/>
  <c r="D310" i="2" s="1"/>
  <c r="E309" i="2" a="1"/>
  <c r="E309" i="2"/>
  <c r="D309" i="2" a="1"/>
  <c r="D309" i="2" s="1"/>
  <c r="E308" i="2" a="1"/>
  <c r="E308" i="2" s="1"/>
  <c r="D308" i="2" a="1"/>
  <c r="D308" i="2" s="1"/>
  <c r="E307" i="2" a="1"/>
  <c r="E307" i="2" s="1"/>
  <c r="D307" i="2" a="1"/>
  <c r="D307" i="2" s="1"/>
  <c r="E306" i="2" a="1"/>
  <c r="E306" i="2" s="1"/>
  <c r="D306" i="2" a="1"/>
  <c r="D306" i="2" s="1"/>
  <c r="E305" i="2" a="1"/>
  <c r="E305" i="2"/>
  <c r="D305" i="2" a="1"/>
  <c r="D305" i="2" s="1"/>
  <c r="E304" i="2" a="1"/>
  <c r="E304" i="2" s="1"/>
  <c r="D304" i="2" a="1"/>
  <c r="D304" i="2" s="1"/>
  <c r="E303" i="2" a="1"/>
  <c r="E303" i="2" s="1"/>
  <c r="D303" i="2" a="1"/>
  <c r="D303" i="2"/>
  <c r="E302" i="2" a="1"/>
  <c r="E302" i="2" s="1"/>
  <c r="D302" i="2" a="1"/>
  <c r="D302" i="2"/>
  <c r="E301" i="2" a="1"/>
  <c r="E301" i="2" s="1"/>
  <c r="D301" i="2" a="1"/>
  <c r="D301" i="2" s="1"/>
  <c r="E300" i="2" a="1"/>
  <c r="E300" i="2"/>
  <c r="D300" i="2" a="1"/>
  <c r="D300" i="2" s="1"/>
  <c r="E299" i="2" a="1"/>
  <c r="E299" i="2" s="1"/>
  <c r="D299" i="2" a="1"/>
  <c r="D299" i="2" s="1"/>
  <c r="E298" i="2" a="1"/>
  <c r="E298" i="2" s="1"/>
  <c r="D298" i="2" a="1"/>
  <c r="D298" i="2" s="1"/>
  <c r="E297" i="2" a="1"/>
  <c r="E297" i="2" s="1"/>
  <c r="D297" i="2" a="1"/>
  <c r="D297" i="2" s="1"/>
  <c r="E296" i="2" a="1"/>
  <c r="E296" i="2"/>
  <c r="D296" i="2" a="1"/>
  <c r="D296" i="2" s="1"/>
  <c r="E295" i="2" a="1"/>
  <c r="E295" i="2" s="1"/>
  <c r="D295" i="2" a="1"/>
  <c r="D295" i="2"/>
  <c r="E294" i="2" a="1"/>
  <c r="E294" i="2" s="1"/>
  <c r="D294" i="2" a="1"/>
  <c r="D294" i="2"/>
  <c r="E293" i="2" a="1"/>
  <c r="E293" i="2" s="1"/>
  <c r="D293" i="2" a="1"/>
  <c r="D293" i="2"/>
  <c r="E292" i="2" a="1"/>
  <c r="E292" i="2"/>
  <c r="D292" i="2" a="1"/>
  <c r="D292" i="2" s="1"/>
  <c r="E291" i="2" a="1"/>
  <c r="E291" i="2" s="1"/>
  <c r="D291" i="2" a="1"/>
  <c r="D291" i="2"/>
  <c r="E290" i="2" a="1"/>
  <c r="E290" i="2"/>
  <c r="D290" i="2" a="1"/>
  <c r="D290" i="2" s="1"/>
  <c r="E289" i="2" a="1"/>
  <c r="E289" i="2" s="1"/>
  <c r="D289" i="2" a="1"/>
  <c r="D289" i="2" s="1"/>
  <c r="E288" i="2" a="1"/>
  <c r="E288" i="2" s="1"/>
  <c r="D288" i="2" a="1"/>
  <c r="D288" i="2" s="1"/>
  <c r="E287" i="2" a="1"/>
  <c r="E287" i="2" s="1"/>
  <c r="D287" i="2" a="1"/>
  <c r="D287" i="2"/>
  <c r="E286" i="2" a="1"/>
  <c r="E286" i="2"/>
  <c r="D286" i="2" a="1"/>
  <c r="D286" i="2" s="1"/>
  <c r="E285" i="2" a="1"/>
  <c r="E285" i="2" s="1"/>
  <c r="D285" i="2" a="1"/>
  <c r="D285" i="2" s="1"/>
  <c r="E284" i="2" a="1"/>
  <c r="E284" i="2" s="1"/>
  <c r="D284" i="2" a="1"/>
  <c r="D284" i="2" s="1"/>
  <c r="E283" i="2" a="1"/>
  <c r="E283" i="2" s="1"/>
  <c r="D283" i="2" a="1"/>
  <c r="D283" i="2" s="1"/>
  <c r="E282" i="2" a="1"/>
  <c r="E282" i="2"/>
  <c r="D282" i="2" a="1"/>
  <c r="D282" i="2"/>
  <c r="E281" i="2" a="1"/>
  <c r="E281" i="2" s="1"/>
  <c r="D281" i="2" a="1"/>
  <c r="D281" i="2" s="1"/>
  <c r="E280" i="2" a="1"/>
  <c r="E280" i="2" s="1"/>
  <c r="D280" i="2" a="1"/>
  <c r="D280" i="2" s="1"/>
  <c r="E279" i="2" a="1"/>
  <c r="E279" i="2" s="1"/>
  <c r="D279" i="2" a="1"/>
  <c r="D279" i="2" s="1"/>
  <c r="E278" i="2" a="1"/>
  <c r="E278" i="2" s="1"/>
  <c r="D278" i="2" a="1"/>
  <c r="D278" i="2" s="1"/>
  <c r="E277" i="2" a="1"/>
  <c r="E277" i="2"/>
  <c r="D277" i="2" a="1"/>
  <c r="D277" i="2"/>
  <c r="E276" i="2" a="1"/>
  <c r="E276" i="2" s="1"/>
  <c r="D276" i="2" a="1"/>
  <c r="D276" i="2" s="1"/>
  <c r="E275" i="2" a="1"/>
  <c r="E275" i="2" s="1"/>
  <c r="D275" i="2" a="1"/>
  <c r="D275" i="2" s="1"/>
  <c r="E274" i="2" a="1"/>
  <c r="E274" i="2" s="1"/>
  <c r="D274" i="2" a="1"/>
  <c r="D274" i="2" s="1"/>
  <c r="E273" i="2" a="1"/>
  <c r="E273" i="2" s="1"/>
  <c r="D273" i="2" a="1"/>
  <c r="D273" i="2" s="1"/>
  <c r="E272" i="2" a="1"/>
  <c r="E272" i="2"/>
  <c r="D272" i="2" a="1"/>
  <c r="D272" i="2" s="1"/>
  <c r="E271" i="2" a="1"/>
  <c r="E271" i="2" s="1"/>
  <c r="D271" i="2" a="1"/>
  <c r="D271" i="2"/>
  <c r="E270" i="2" a="1"/>
  <c r="E270" i="2" s="1"/>
  <c r="D270" i="2" a="1"/>
  <c r="D270" i="2"/>
  <c r="E269" i="2" a="1"/>
  <c r="E269" i="2"/>
  <c r="D269" i="2" a="1"/>
  <c r="D269" i="2"/>
  <c r="E268" i="2" a="1"/>
  <c r="E268" i="2" s="1"/>
  <c r="D268" i="2" a="1"/>
  <c r="D268" i="2" s="1"/>
  <c r="E267" i="2" a="1"/>
  <c r="E267" i="2" s="1"/>
  <c r="D267" i="2" a="1"/>
  <c r="D267" i="2" s="1"/>
  <c r="E266" i="2" a="1"/>
  <c r="E266" i="2"/>
  <c r="D266" i="2" a="1"/>
  <c r="D266" i="2" s="1"/>
  <c r="E265" i="2" a="1"/>
  <c r="E265" i="2"/>
  <c r="D265" i="2" a="1"/>
  <c r="D265" i="2"/>
  <c r="E264" i="2" a="1"/>
  <c r="E264" i="2"/>
  <c r="D264" i="2" a="1"/>
  <c r="D264" i="2" s="1"/>
  <c r="E263" i="2" a="1"/>
  <c r="E263" i="2" s="1"/>
  <c r="D263" i="2" a="1"/>
  <c r="D263" i="2" s="1"/>
  <c r="E262" i="2" a="1"/>
  <c r="E262" i="2" s="1"/>
  <c r="D262" i="2" a="1"/>
  <c r="D262" i="2"/>
  <c r="E261" i="2" a="1"/>
  <c r="E261" i="2" s="1"/>
  <c r="D261" i="2" a="1"/>
  <c r="D261" i="2"/>
  <c r="E260" i="2" a="1"/>
  <c r="E260" i="2"/>
  <c r="D260" i="2" a="1"/>
  <c r="D260" i="2" s="1"/>
  <c r="E259" i="2" a="1"/>
  <c r="E259" i="2" s="1"/>
  <c r="D259" i="2" a="1"/>
  <c r="D259" i="2"/>
  <c r="E258" i="2" a="1"/>
  <c r="E258" i="2"/>
  <c r="D258" i="2" a="1"/>
  <c r="D258" i="2" s="1"/>
  <c r="E257" i="2" a="1"/>
  <c r="E257" i="2" s="1"/>
  <c r="D257" i="2" a="1"/>
  <c r="D257" i="2" s="1"/>
  <c r="E256" i="2" a="1"/>
  <c r="E256" i="2"/>
  <c r="D256" i="2" a="1"/>
  <c r="D256" i="2" s="1"/>
  <c r="E255" i="2" a="1"/>
  <c r="E255" i="2" s="1"/>
  <c r="D255" i="2" a="1"/>
  <c r="D255" i="2"/>
  <c r="E254" i="2" a="1"/>
  <c r="E254" i="2"/>
  <c r="D254" i="2" a="1"/>
  <c r="D254" i="2"/>
  <c r="E253" i="2" a="1"/>
  <c r="E253" i="2" s="1"/>
  <c r="D253" i="2" a="1"/>
  <c r="D253" i="2"/>
  <c r="E252" i="2" a="1"/>
  <c r="E252" i="2" s="1"/>
  <c r="D252" i="2" a="1"/>
  <c r="D252" i="2" s="1"/>
  <c r="E251" i="2" a="1"/>
  <c r="E251" i="2" s="1"/>
  <c r="D251" i="2" a="1"/>
  <c r="D251" i="2"/>
  <c r="E250" i="2" a="1"/>
  <c r="E250" i="2"/>
  <c r="D250" i="2" a="1"/>
  <c r="D250" i="2"/>
  <c r="E249" i="2" a="1"/>
  <c r="E249" i="2"/>
  <c r="D249" i="2" a="1"/>
  <c r="D249" i="2" s="1"/>
  <c r="E248" i="2" a="1"/>
  <c r="E248" i="2" s="1"/>
  <c r="D248" i="2" a="1"/>
  <c r="D248" i="2" s="1"/>
  <c r="E247" i="2" a="1"/>
  <c r="E247" i="2" s="1"/>
  <c r="D247" i="2" a="1"/>
  <c r="D247" i="2" s="1"/>
  <c r="E246" i="2" a="1"/>
  <c r="E246" i="2"/>
  <c r="D246" i="2" a="1"/>
  <c r="D246" i="2" s="1"/>
  <c r="E245" i="2" a="1"/>
  <c r="E245" i="2" s="1"/>
  <c r="D245" i="2" a="1"/>
  <c r="D245" i="2"/>
  <c r="E244" i="2" a="1"/>
  <c r="E244" i="2" s="1"/>
  <c r="D244" i="2" a="1"/>
  <c r="D244" i="2" s="1"/>
  <c r="E243" i="2" a="1"/>
  <c r="E243" i="2" s="1"/>
  <c r="D243" i="2" a="1"/>
  <c r="D243" i="2" s="1"/>
  <c r="E242" i="2" a="1"/>
  <c r="E242" i="2"/>
  <c r="D242" i="2" a="1"/>
  <c r="D242" i="2" s="1"/>
  <c r="E241" i="2" a="1"/>
  <c r="E241" i="2"/>
  <c r="D241" i="2" a="1"/>
  <c r="D241" i="2"/>
  <c r="E240" i="2" a="1"/>
  <c r="E240" i="2"/>
  <c r="D240" i="2" a="1"/>
  <c r="D240" i="2" s="1"/>
  <c r="E239" i="2" a="1"/>
  <c r="E239" i="2" s="1"/>
  <c r="D239" i="2" a="1"/>
  <c r="D239" i="2" s="1"/>
  <c r="E238" i="2" a="1"/>
  <c r="E238" i="2" s="1"/>
  <c r="D238" i="2" a="1"/>
  <c r="D238" i="2"/>
  <c r="E237" i="2" a="1"/>
  <c r="E237" i="2" s="1"/>
  <c r="D237" i="2" a="1"/>
  <c r="D237" i="2"/>
  <c r="E236" i="2" a="1"/>
  <c r="E236" i="2" s="1"/>
  <c r="D236" i="2" a="1"/>
  <c r="D236" i="2" s="1"/>
  <c r="E235" i="2" a="1"/>
  <c r="E235" i="2" s="1"/>
  <c r="D235" i="2" a="1"/>
  <c r="D235" i="2" s="1"/>
  <c r="E234" i="2" a="1"/>
  <c r="E234" i="2" s="1"/>
  <c r="D234" i="2" a="1"/>
  <c r="D234" i="2" s="1"/>
  <c r="E233" i="2" a="1"/>
  <c r="E233" i="2"/>
  <c r="D233" i="2" a="1"/>
  <c r="D233" i="2"/>
  <c r="E232" i="2" a="1"/>
  <c r="E232" i="2" s="1"/>
  <c r="D232" i="2" a="1"/>
  <c r="D232" i="2" s="1"/>
  <c r="E231" i="2" a="1"/>
  <c r="E231" i="2" s="1"/>
  <c r="D231" i="2" a="1"/>
  <c r="D231" i="2"/>
  <c r="E230" i="2" a="1"/>
  <c r="E230" i="2" s="1"/>
  <c r="D230" i="2" a="1"/>
  <c r="D230" i="2"/>
  <c r="E229" i="2" a="1"/>
  <c r="E229" i="2" s="1"/>
  <c r="D229" i="2" a="1"/>
  <c r="D229" i="2" s="1"/>
  <c r="E228" i="2" a="1"/>
  <c r="E228" i="2"/>
  <c r="D228" i="2" a="1"/>
  <c r="D228" i="2" s="1"/>
  <c r="E227" i="2" a="1"/>
  <c r="E227" i="2" s="1"/>
  <c r="D227" i="2" a="1"/>
  <c r="D227" i="2" s="1"/>
  <c r="E226" i="2" a="1"/>
  <c r="E226" i="2"/>
  <c r="D226" i="2" a="1"/>
  <c r="D226" i="2" s="1"/>
  <c r="E225" i="2" a="1"/>
  <c r="E225" i="2"/>
  <c r="D225" i="2" a="1"/>
  <c r="D225" i="2" s="1"/>
  <c r="E224" i="2" a="1"/>
  <c r="E224" i="2"/>
  <c r="D224" i="2" a="1"/>
  <c r="D224" i="2" s="1"/>
  <c r="E223" i="2" a="1"/>
  <c r="E223" i="2" s="1"/>
  <c r="D223" i="2" a="1"/>
  <c r="D223" i="2"/>
  <c r="E222" i="2" a="1"/>
  <c r="E222" i="2"/>
  <c r="D222" i="2" a="1"/>
  <c r="D222" i="2" s="1"/>
  <c r="E221" i="2" a="1"/>
  <c r="E221" i="2" s="1"/>
  <c r="D221" i="2" a="1"/>
  <c r="D221" i="2"/>
  <c r="E220" i="2" a="1"/>
  <c r="E220" i="2" s="1"/>
  <c r="D220" i="2" a="1"/>
  <c r="D220" i="2" s="1"/>
  <c r="E219" i="2" a="1"/>
  <c r="E219" i="2" s="1"/>
  <c r="D219" i="2" a="1"/>
  <c r="D219" i="2"/>
  <c r="E218" i="2" a="1"/>
  <c r="E218" i="2" s="1"/>
  <c r="D218" i="2" a="1"/>
  <c r="D218" i="2" s="1"/>
  <c r="E217" i="2" a="1"/>
  <c r="E217" i="2"/>
  <c r="D217" i="2" a="1"/>
  <c r="D217" i="2" s="1"/>
  <c r="E216" i="2" a="1"/>
  <c r="E216" i="2" s="1"/>
  <c r="D216" i="2" a="1"/>
  <c r="D216" i="2" s="1"/>
  <c r="E215" i="2" a="1"/>
  <c r="E215" i="2" s="1"/>
  <c r="D215" i="2" a="1"/>
  <c r="D215" i="2" s="1"/>
  <c r="E214" i="2" a="1"/>
  <c r="E214" i="2"/>
  <c r="D214" i="2" a="1"/>
  <c r="D214" i="2"/>
  <c r="E213" i="2" a="1"/>
  <c r="E213" i="2" s="1"/>
  <c r="D213" i="2" a="1"/>
  <c r="D213" i="2" s="1"/>
  <c r="E212" i="2" a="1"/>
  <c r="E212" i="2" s="1"/>
  <c r="D212" i="2" a="1"/>
  <c r="D212" i="2" s="1"/>
  <c r="E211" i="2" a="1"/>
  <c r="E211" i="2" s="1"/>
  <c r="D211" i="2" a="1"/>
  <c r="D211" i="2" s="1"/>
  <c r="E210" i="2" a="1"/>
  <c r="E210" i="2"/>
  <c r="D210" i="2" a="1"/>
  <c r="D210" i="2"/>
  <c r="E209" i="2" a="1"/>
  <c r="E209" i="2" s="1"/>
  <c r="D209" i="2" a="1"/>
  <c r="D209" i="2" s="1"/>
  <c r="E208" i="2" a="1"/>
  <c r="E208" i="2"/>
  <c r="D208" i="2" a="1"/>
  <c r="D208" i="2" s="1"/>
  <c r="E207" i="2" a="1"/>
  <c r="E207" i="2" s="1"/>
  <c r="D207" i="2" a="1"/>
  <c r="D207" i="2"/>
  <c r="E206" i="2" a="1"/>
  <c r="E206" i="2" s="1"/>
  <c r="D206" i="2" a="1"/>
  <c r="D206" i="2"/>
  <c r="E205" i="2" a="1"/>
  <c r="E205" i="2"/>
  <c r="D205" i="2" a="1"/>
  <c r="D205" i="2"/>
  <c r="E204" i="2" a="1"/>
  <c r="E204" i="2" s="1"/>
  <c r="D204" i="2" a="1"/>
  <c r="D204" i="2" s="1"/>
  <c r="E203" i="2" a="1"/>
  <c r="E203" i="2" s="1"/>
  <c r="D203" i="2" a="1"/>
  <c r="D203" i="2" s="1"/>
  <c r="E202" i="2" a="1"/>
  <c r="E202" i="2" s="1"/>
  <c r="D202" i="2" a="1"/>
  <c r="D202" i="2" s="1"/>
  <c r="E201" i="2" a="1"/>
  <c r="E201" i="2" s="1"/>
  <c r="D201" i="2" a="1"/>
  <c r="D201" i="2"/>
  <c r="E200" i="2" a="1"/>
  <c r="E200" i="2" s="1"/>
  <c r="D200" i="2" a="1"/>
  <c r="D200" i="2" s="1"/>
  <c r="E199" i="2" a="1"/>
  <c r="E199" i="2" s="1"/>
  <c r="D199" i="2" a="1"/>
  <c r="D199" i="2"/>
  <c r="E198" i="2" a="1"/>
  <c r="E198" i="2" s="1"/>
  <c r="D198" i="2" a="1"/>
  <c r="D198" i="2" s="1"/>
  <c r="E197" i="2" a="1"/>
  <c r="E197" i="2" s="1"/>
  <c r="D197" i="2" a="1"/>
  <c r="D197" i="2"/>
  <c r="E196" i="2" a="1"/>
  <c r="E196" i="2" s="1"/>
  <c r="D196" i="2" a="1"/>
  <c r="D196" i="2" s="1"/>
  <c r="E195" i="2" a="1"/>
  <c r="E195" i="2" s="1"/>
  <c r="D195" i="2" a="1"/>
  <c r="D195" i="2"/>
  <c r="E194" i="2" a="1"/>
  <c r="E194" i="2" s="1"/>
  <c r="D194" i="2" a="1"/>
  <c r="D194" i="2" s="1"/>
  <c r="E193" i="2" a="1"/>
  <c r="E193" i="2" s="1"/>
  <c r="D193" i="2" a="1"/>
  <c r="D193" i="2" s="1"/>
  <c r="E192" i="2" a="1"/>
  <c r="E192" i="2" s="1"/>
  <c r="D192" i="2" a="1"/>
  <c r="D192" i="2" s="1"/>
  <c r="E191" i="2" a="1"/>
  <c r="E191" i="2" s="1"/>
  <c r="D191" i="2" a="1"/>
  <c r="D191" i="2" s="1"/>
  <c r="E190" i="2" a="1"/>
  <c r="E190" i="2"/>
  <c r="D190" i="2" a="1"/>
  <c r="D190" i="2"/>
  <c r="E189" i="2" a="1"/>
  <c r="E189" i="2" s="1"/>
  <c r="D189" i="2" a="1"/>
  <c r="D189" i="2"/>
  <c r="E188" i="2" a="1"/>
  <c r="E188" i="2" s="1"/>
  <c r="D188" i="2" a="1"/>
  <c r="D188" i="2" s="1"/>
  <c r="E187" i="2" a="1"/>
  <c r="E187" i="2" s="1"/>
  <c r="D187" i="2" a="1"/>
  <c r="D187" i="2"/>
  <c r="E186" i="2" a="1"/>
  <c r="E186" i="2"/>
  <c r="D186" i="2" a="1"/>
  <c r="D186" i="2" s="1"/>
  <c r="E185" i="2" a="1"/>
  <c r="E185" i="2"/>
  <c r="D185" i="2" a="1"/>
  <c r="D185" i="2" s="1"/>
  <c r="E184" i="2" a="1"/>
  <c r="E184" i="2"/>
  <c r="D184" i="2" a="1"/>
  <c r="D184" i="2" s="1"/>
  <c r="E183" i="2" a="1"/>
  <c r="E183" i="2" s="1"/>
  <c r="D183" i="2" a="1"/>
  <c r="D183" i="2" s="1"/>
  <c r="E182" i="2" a="1"/>
  <c r="E182" i="2"/>
  <c r="D182" i="2" a="1"/>
  <c r="D182" i="2" s="1"/>
  <c r="E181" i="2" a="1"/>
  <c r="E181" i="2" s="1"/>
  <c r="D181" i="2" a="1"/>
  <c r="D181" i="2" s="1"/>
  <c r="E180" i="2" a="1"/>
  <c r="E180" i="2" s="1"/>
  <c r="D180" i="2" a="1"/>
  <c r="D180" i="2" s="1"/>
  <c r="E179" i="2" a="1"/>
  <c r="E179" i="2" s="1"/>
  <c r="D179" i="2" a="1"/>
  <c r="D179" i="2" s="1"/>
  <c r="E178" i="2" a="1"/>
  <c r="E178" i="2"/>
  <c r="D178" i="2" a="1"/>
  <c r="D178" i="2"/>
  <c r="E177" i="2" a="1"/>
  <c r="E177" i="2"/>
  <c r="D177" i="2" a="1"/>
  <c r="D177" i="2" s="1"/>
  <c r="E176" i="2" a="1"/>
  <c r="E176" i="2"/>
  <c r="D176" i="2" a="1"/>
  <c r="D176" i="2" s="1"/>
  <c r="E175" i="2" a="1"/>
  <c r="E175" i="2" s="1"/>
  <c r="D175" i="2" a="1"/>
  <c r="D175" i="2"/>
  <c r="E174" i="2" a="1"/>
  <c r="E174" i="2" s="1"/>
  <c r="D174" i="2" a="1"/>
  <c r="D174" i="2" s="1"/>
  <c r="E173" i="2" a="1"/>
  <c r="E173" i="2"/>
  <c r="D173" i="2" a="1"/>
  <c r="D173" i="2"/>
  <c r="E172" i="2" a="1"/>
  <c r="E172" i="2"/>
  <c r="D172" i="2" a="1"/>
  <c r="D172" i="2" s="1"/>
  <c r="E171" i="2" a="1"/>
  <c r="E171" i="2" s="1"/>
  <c r="D171" i="2" a="1"/>
  <c r="D171" i="2" s="1"/>
  <c r="E170" i="2" a="1"/>
  <c r="E170" i="2" s="1"/>
  <c r="D170" i="2" a="1"/>
  <c r="D170" i="2" s="1"/>
  <c r="E169" i="2" a="1"/>
  <c r="E169" i="2"/>
  <c r="D169" i="2" a="1"/>
  <c r="D169" i="2"/>
  <c r="E168" i="2" a="1"/>
  <c r="E168" i="2"/>
  <c r="D168" i="2" a="1"/>
  <c r="D168" i="2" s="1"/>
  <c r="E167" i="2" a="1"/>
  <c r="E167" i="2" s="1"/>
  <c r="D167" i="2" a="1"/>
  <c r="D167" i="2"/>
  <c r="E166" i="2" a="1"/>
  <c r="E166" i="2" s="1"/>
  <c r="D166" i="2" a="1"/>
  <c r="D166" i="2" s="1"/>
  <c r="E165" i="2" a="1"/>
  <c r="E165" i="2" s="1"/>
  <c r="D165" i="2" a="1"/>
  <c r="D165" i="2"/>
  <c r="E164" i="2" a="1"/>
  <c r="E164" i="2"/>
  <c r="D164" i="2" a="1"/>
  <c r="D164" i="2" s="1"/>
  <c r="E163" i="2" a="1"/>
  <c r="E163" i="2" s="1"/>
  <c r="D163" i="2" a="1"/>
  <c r="D163" i="2"/>
  <c r="E162" i="2" a="1"/>
  <c r="E162" i="2"/>
  <c r="D162" i="2" a="1"/>
  <c r="D162" i="2" s="1"/>
  <c r="E161" i="2" a="1"/>
  <c r="E161" i="2" s="1"/>
  <c r="D161" i="2" a="1"/>
  <c r="D161" i="2" s="1"/>
  <c r="E160" i="2" a="1"/>
  <c r="E160" i="2" s="1"/>
  <c r="D160" i="2" a="1"/>
  <c r="D160" i="2" s="1"/>
  <c r="E159" i="2" a="1"/>
  <c r="E159" i="2" s="1"/>
  <c r="D159" i="2" a="1"/>
  <c r="D159" i="2" s="1"/>
  <c r="E158" i="2" a="1"/>
  <c r="E158" i="2"/>
  <c r="D158" i="2" a="1"/>
  <c r="D158" i="2"/>
  <c r="E157" i="2" a="1"/>
  <c r="E157" i="2" s="1"/>
  <c r="D157" i="2" a="1"/>
  <c r="D157" i="2"/>
  <c r="E156" i="2" a="1"/>
  <c r="E156" i="2" s="1"/>
  <c r="D156" i="2" a="1"/>
  <c r="D156" i="2" s="1"/>
  <c r="E155" i="2" a="1"/>
  <c r="E155" i="2" s="1"/>
  <c r="D155" i="2" a="1"/>
  <c r="D155" i="2" s="1"/>
  <c r="E154" i="2" a="1"/>
  <c r="E154" i="2"/>
  <c r="D154" i="2" a="1"/>
  <c r="D154" i="2" s="1"/>
  <c r="E153" i="2" a="1"/>
  <c r="E153" i="2"/>
  <c r="D153" i="2" a="1"/>
  <c r="D153" i="2" s="1"/>
  <c r="E152" i="2" a="1"/>
  <c r="E152" i="2"/>
  <c r="D152" i="2" a="1"/>
  <c r="D152" i="2" s="1"/>
  <c r="E151" i="2" a="1"/>
  <c r="E151" i="2" s="1"/>
  <c r="D151" i="2" a="1"/>
  <c r="D151" i="2" s="1"/>
  <c r="E150" i="2" a="1"/>
  <c r="E150" i="2"/>
  <c r="D150" i="2" a="1"/>
  <c r="D150" i="2" s="1"/>
  <c r="E149" i="2" a="1"/>
  <c r="E149" i="2"/>
  <c r="D149" i="2" a="1"/>
  <c r="D149" i="2" s="1"/>
  <c r="E148" i="2" a="1"/>
  <c r="E148" i="2" s="1"/>
  <c r="D148" i="2" a="1"/>
  <c r="D148" i="2" s="1"/>
  <c r="E147" i="2" a="1"/>
  <c r="E147" i="2" s="1"/>
  <c r="D147" i="2" a="1"/>
  <c r="D147" i="2" s="1"/>
  <c r="E146" i="2" a="1"/>
  <c r="E146" i="2"/>
  <c r="D146" i="2" a="1"/>
  <c r="D146" i="2" s="1"/>
  <c r="E145" i="2" a="1"/>
  <c r="E145" i="2"/>
  <c r="D145" i="2" a="1"/>
  <c r="D145" i="2" s="1"/>
  <c r="E144" i="2" a="1"/>
  <c r="E144" i="2"/>
  <c r="D144" i="2" a="1"/>
  <c r="D144" i="2" s="1"/>
  <c r="E143" i="2" a="1"/>
  <c r="E143" i="2" s="1"/>
  <c r="D143" i="2" a="1"/>
  <c r="D143" i="2" s="1"/>
  <c r="E142" i="2" a="1"/>
  <c r="E142" i="2" s="1"/>
  <c r="D142" i="2" a="1"/>
  <c r="D142" i="2"/>
  <c r="E141" i="2" a="1"/>
  <c r="E141" i="2" s="1"/>
  <c r="D141" i="2" a="1"/>
  <c r="D141" i="2"/>
  <c r="E140" i="2" a="1"/>
  <c r="E140" i="2" s="1"/>
  <c r="D140" i="2" a="1"/>
  <c r="D140" i="2" s="1"/>
  <c r="E139" i="2" a="1"/>
  <c r="E139" i="2" s="1"/>
  <c r="D139" i="2" a="1"/>
  <c r="D139" i="2" s="1"/>
  <c r="E138" i="2" a="1"/>
  <c r="E138" i="2"/>
  <c r="D138" i="2" a="1"/>
  <c r="D138" i="2" s="1"/>
  <c r="E137" i="2" a="1"/>
  <c r="E137" i="2"/>
  <c r="D137" i="2" a="1"/>
  <c r="D137" i="2" s="1"/>
  <c r="E136" i="2" a="1"/>
  <c r="E136" i="2"/>
  <c r="D136" i="2" a="1"/>
  <c r="D136" i="2" s="1"/>
  <c r="E135" i="2" a="1"/>
  <c r="E135" i="2" s="1"/>
  <c r="D135" i="2" a="1"/>
  <c r="D135" i="2" s="1"/>
  <c r="E134" i="2" a="1"/>
  <c r="E134" i="2" s="1"/>
  <c r="D134" i="2" a="1"/>
  <c r="D134" i="2"/>
  <c r="E133" i="2" a="1"/>
  <c r="E133" i="2" s="1"/>
  <c r="D133" i="2" a="1"/>
  <c r="D133" i="2"/>
  <c r="E132" i="2" a="1"/>
  <c r="E132" i="2"/>
  <c r="D132" i="2" a="1"/>
  <c r="D132" i="2" s="1"/>
  <c r="E131" i="2" a="1"/>
  <c r="E131" i="2" s="1"/>
  <c r="D131" i="2" a="1"/>
  <c r="D131" i="2"/>
  <c r="E130" i="2" a="1"/>
  <c r="E130" i="2"/>
  <c r="D130" i="2" a="1"/>
  <c r="D130" i="2" s="1"/>
  <c r="E129" i="2" a="1"/>
  <c r="E129" i="2" s="1"/>
  <c r="D129" i="2" a="1"/>
  <c r="D129" i="2" s="1"/>
  <c r="E128" i="2" a="1"/>
  <c r="E128" i="2"/>
  <c r="D128" i="2" a="1"/>
  <c r="D128" i="2" s="1"/>
  <c r="E127" i="2" a="1"/>
  <c r="E127" i="2" s="1"/>
  <c r="D127" i="2" a="1"/>
  <c r="D127" i="2"/>
  <c r="E126" i="2" a="1"/>
  <c r="E126" i="2"/>
  <c r="D126" i="2" a="1"/>
  <c r="D126" i="2" s="1"/>
  <c r="E125" i="2" a="1"/>
  <c r="E125" i="2" s="1"/>
  <c r="D125" i="2" a="1"/>
  <c r="D125" i="2" s="1"/>
  <c r="E124" i="2" a="1"/>
  <c r="E124" i="2" s="1"/>
  <c r="D124" i="2" a="1"/>
  <c r="D124" i="2" s="1"/>
  <c r="E123" i="2" a="1"/>
  <c r="E123" i="2" s="1"/>
  <c r="D123" i="2" a="1"/>
  <c r="D123" i="2" s="1"/>
  <c r="E122" i="2" a="1"/>
  <c r="E122" i="2"/>
  <c r="D122" i="2" a="1"/>
  <c r="D122" i="2"/>
  <c r="E121" i="2" a="1"/>
  <c r="E121" i="2"/>
  <c r="D121" i="2" a="1"/>
  <c r="D121" i="2" s="1"/>
  <c r="E120" i="2" a="1"/>
  <c r="E120" i="2" s="1"/>
  <c r="D120" i="2" a="1"/>
  <c r="D120" i="2" s="1"/>
  <c r="E119" i="2" a="1"/>
  <c r="E119" i="2" s="1"/>
  <c r="D119" i="2" a="1"/>
  <c r="D119" i="2" s="1"/>
  <c r="E118" i="2" a="1"/>
  <c r="E118" i="2"/>
  <c r="D118" i="2" a="1"/>
  <c r="D118" i="2"/>
  <c r="E117" i="2" a="1"/>
  <c r="E117" i="2"/>
  <c r="D117" i="2" a="1"/>
  <c r="D117" i="2"/>
  <c r="E116" i="2" a="1"/>
  <c r="E116" i="2" s="1"/>
  <c r="D116" i="2" a="1"/>
  <c r="D116" i="2" s="1"/>
  <c r="E115" i="2" a="1"/>
  <c r="E115" i="2" s="1"/>
  <c r="D115" i="2" a="1"/>
  <c r="D115" i="2" s="1"/>
  <c r="E114" i="2" a="1"/>
  <c r="E114" i="2"/>
  <c r="D114" i="2" a="1"/>
  <c r="D114" i="2" s="1"/>
  <c r="E113" i="2" a="1"/>
  <c r="E113" i="2"/>
  <c r="D113" i="2" a="1"/>
  <c r="D113" i="2"/>
  <c r="E112" i="2" a="1"/>
  <c r="E112" i="2" s="1"/>
  <c r="D112" i="2" a="1"/>
  <c r="D112" i="2" s="1"/>
  <c r="E111" i="2" a="1"/>
  <c r="E111" i="2" s="1"/>
  <c r="D111" i="2" a="1"/>
  <c r="D111" i="2"/>
  <c r="E110" i="2" a="1"/>
  <c r="E110" i="2" s="1"/>
  <c r="D110" i="2" a="1"/>
  <c r="D110" i="2"/>
  <c r="E109" i="2" a="1"/>
  <c r="E109" i="2" s="1"/>
  <c r="D109" i="2" a="1"/>
  <c r="D109" i="2"/>
  <c r="E108" i="2" a="1"/>
  <c r="E108" i="2"/>
  <c r="D108" i="2" a="1"/>
  <c r="D108" i="2" s="1"/>
  <c r="E107" i="2" a="1"/>
  <c r="E107" i="2" s="1"/>
  <c r="D107" i="2" a="1"/>
  <c r="D107" i="2" s="1"/>
  <c r="E106" i="2" a="1"/>
  <c r="E106" i="2"/>
  <c r="D106" i="2" a="1"/>
  <c r="D106" i="2" s="1"/>
  <c r="E105" i="2" a="1"/>
  <c r="E105" i="2"/>
  <c r="D105" i="2" a="1"/>
  <c r="D105" i="2"/>
  <c r="E104" i="2" a="1"/>
  <c r="E104" i="2" s="1"/>
  <c r="D104" i="2" a="1"/>
  <c r="D104" i="2" s="1"/>
  <c r="E103" i="2" a="1"/>
  <c r="E103" i="2" s="1"/>
  <c r="D103" i="2" a="1"/>
  <c r="D103" i="2" s="1"/>
  <c r="E102" i="2" a="1"/>
  <c r="E102" i="2" s="1"/>
  <c r="D102" i="2" a="1"/>
  <c r="D102" i="2"/>
  <c r="E101" i="2" a="1"/>
  <c r="E101" i="2" s="1"/>
  <c r="D101" i="2" a="1"/>
  <c r="D101" i="2" s="1"/>
  <c r="E100" i="2" a="1"/>
  <c r="E100" i="2"/>
  <c r="D100" i="2" a="1"/>
  <c r="D100" i="2" s="1"/>
  <c r="E99" i="2" a="1"/>
  <c r="E99" i="2" s="1"/>
  <c r="D99" i="2" a="1"/>
  <c r="D99" i="2" s="1"/>
  <c r="E98" i="2" a="1"/>
  <c r="E98" i="2"/>
  <c r="D98" i="2" a="1"/>
  <c r="D98" i="2" s="1"/>
  <c r="E97" i="2" a="1"/>
  <c r="E97" i="2" s="1"/>
  <c r="D97" i="2" a="1"/>
  <c r="D97" i="2" s="1"/>
  <c r="E96" i="2" a="1"/>
  <c r="E96" i="2"/>
  <c r="D96" i="2" a="1"/>
  <c r="D96" i="2" s="1"/>
  <c r="E95" i="2" a="1"/>
  <c r="E95" i="2" s="1"/>
  <c r="D95" i="2" a="1"/>
  <c r="D95" i="2" s="1"/>
  <c r="E94" i="2" a="1"/>
  <c r="E94" i="2"/>
  <c r="D94" i="2" a="1"/>
  <c r="D94" i="2" s="1"/>
  <c r="E93" i="2" a="1"/>
  <c r="E93" i="2" s="1"/>
  <c r="D93" i="2" a="1"/>
  <c r="D93" i="2"/>
  <c r="E92" i="2" a="1"/>
  <c r="E92" i="2" s="1"/>
  <c r="D92" i="2" a="1"/>
  <c r="D92" i="2" s="1"/>
  <c r="E91" i="2" a="1"/>
  <c r="E91" i="2" s="1"/>
  <c r="D91" i="2" a="1"/>
  <c r="D91" i="2" s="1"/>
  <c r="E90" i="2" a="1"/>
  <c r="E90" i="2"/>
  <c r="D90" i="2" a="1"/>
  <c r="D90" i="2"/>
  <c r="E89" i="2" a="1"/>
  <c r="E89" i="2"/>
  <c r="D89" i="2" a="1"/>
  <c r="D89" i="2" s="1"/>
  <c r="E88" i="2" a="1"/>
  <c r="E88" i="2" s="1"/>
  <c r="D88" i="2" a="1"/>
  <c r="D88" i="2" s="1"/>
  <c r="E87" i="2" a="1"/>
  <c r="E87" i="2" s="1"/>
  <c r="D87" i="2" a="1"/>
  <c r="D87" i="2"/>
  <c r="E86" i="2" a="1"/>
  <c r="E86" i="2" s="1"/>
  <c r="D86" i="2" a="1"/>
  <c r="D86" i="2" s="1"/>
  <c r="E85" i="2" a="1"/>
  <c r="E85" i="2"/>
  <c r="D85" i="2" a="1"/>
  <c r="D85" i="2" s="1"/>
  <c r="E84" i="2" a="1"/>
  <c r="E84" i="2" s="1"/>
  <c r="D84" i="2" a="1"/>
  <c r="D84" i="2" s="1"/>
  <c r="E83" i="2" a="1"/>
  <c r="E83" i="2" s="1"/>
  <c r="D83" i="2" a="1"/>
  <c r="D83" i="2" s="1"/>
  <c r="E82" i="2" a="1"/>
  <c r="E82" i="2"/>
  <c r="D82" i="2" a="1"/>
  <c r="D82" i="2" s="1"/>
  <c r="E81" i="2" a="1"/>
  <c r="E81" i="2"/>
  <c r="D81" i="2" a="1"/>
  <c r="D81" i="2"/>
  <c r="E80" i="2" a="1"/>
  <c r="E80" i="2"/>
  <c r="D80" i="2" a="1"/>
  <c r="D80" i="2" s="1"/>
  <c r="E79" i="2" a="1"/>
  <c r="E79" i="2" s="1"/>
  <c r="D79" i="2" a="1"/>
  <c r="D79" i="2"/>
  <c r="E78" i="2" a="1"/>
  <c r="E78" i="2" s="1"/>
  <c r="D78" i="2" a="1"/>
  <c r="D78" i="2"/>
  <c r="E77" i="2" a="1"/>
  <c r="E77" i="2"/>
  <c r="D77" i="2" a="1"/>
  <c r="D77" i="2"/>
  <c r="E76" i="2" a="1"/>
  <c r="E76" i="2" s="1"/>
  <c r="D76" i="2" a="1"/>
  <c r="D76" i="2" s="1"/>
  <c r="E75" i="2" a="1"/>
  <c r="E75" i="2" s="1"/>
  <c r="D75" i="2" a="1"/>
  <c r="D75" i="2" s="1"/>
  <c r="E74" i="2" a="1"/>
  <c r="E74" i="2" s="1"/>
  <c r="D74" i="2" a="1"/>
  <c r="D74" i="2" s="1"/>
  <c r="E73" i="2" a="1"/>
  <c r="E73" i="2" s="1"/>
  <c r="D73" i="2" a="1"/>
  <c r="D73" i="2"/>
  <c r="E72" i="2" a="1"/>
  <c r="E72" i="2"/>
  <c r="D72" i="2" a="1"/>
  <c r="D72" i="2" s="1"/>
  <c r="E71" i="2" a="1"/>
  <c r="E71" i="2" s="1"/>
  <c r="D71" i="2" a="1"/>
  <c r="D71" i="2"/>
  <c r="E70" i="2" a="1"/>
  <c r="E70" i="2" s="1"/>
  <c r="D70" i="2" a="1"/>
  <c r="D70" i="2"/>
  <c r="E69" i="2" a="1"/>
  <c r="E69" i="2" s="1"/>
  <c r="D69" i="2" a="1"/>
  <c r="D69" i="2"/>
  <c r="E68" i="2" a="1"/>
  <c r="E68" i="2" s="1"/>
  <c r="D68" i="2" a="1"/>
  <c r="D68" i="2" s="1"/>
  <c r="E67" i="2" a="1"/>
  <c r="E67" i="2" s="1"/>
  <c r="D67" i="2" a="1"/>
  <c r="D67" i="2" s="1"/>
  <c r="E66" i="2" a="1"/>
  <c r="E66" i="2" s="1"/>
  <c r="D66" i="2" a="1"/>
  <c r="D66" i="2" s="1"/>
  <c r="E65" i="2" a="1"/>
  <c r="E65" i="2"/>
  <c r="D65" i="2" a="1"/>
  <c r="D65" i="2" s="1"/>
  <c r="E64" i="2" a="1"/>
  <c r="E64" i="2"/>
  <c r="D64" i="2" a="1"/>
  <c r="D64" i="2" s="1"/>
  <c r="E63" i="2" a="1"/>
  <c r="E63" i="2" s="1"/>
  <c r="D63" i="2" a="1"/>
  <c r="D63" i="2" s="1"/>
  <c r="E62" i="2" a="1"/>
  <c r="E62" i="2"/>
  <c r="D62" i="2" a="1"/>
  <c r="D62" i="2"/>
  <c r="E61" i="2" a="1"/>
  <c r="E61" i="2" s="1"/>
  <c r="D61" i="2" a="1"/>
  <c r="D61" i="2" s="1"/>
  <c r="E60" i="2" a="1"/>
  <c r="E60" i="2" s="1"/>
  <c r="D60" i="2" a="1"/>
  <c r="D60" i="2" s="1"/>
  <c r="E59" i="2" a="1"/>
  <c r="E59" i="2" s="1"/>
  <c r="D59" i="2" a="1"/>
  <c r="D59" i="2" s="1"/>
  <c r="E58" i="2" a="1"/>
  <c r="E58" i="2"/>
  <c r="D58" i="2" a="1"/>
  <c r="D58" i="2" s="1"/>
  <c r="E57" i="2" a="1"/>
  <c r="E57" i="2"/>
  <c r="D57" i="2" a="1"/>
  <c r="D57" i="2" s="1"/>
  <c r="E56" i="2" a="1"/>
  <c r="E56" i="2" s="1"/>
  <c r="D56" i="2" a="1"/>
  <c r="D56" i="2" s="1"/>
  <c r="E55" i="2" a="1"/>
  <c r="E55" i="2" s="1"/>
  <c r="D55" i="2" a="1"/>
  <c r="D55" i="2" s="1"/>
  <c r="K54" i="2"/>
  <c r="J54" i="2"/>
  <c r="E54" i="2" a="1"/>
  <c r="E54" i="2" s="1"/>
  <c r="D54" i="2" a="1"/>
  <c r="D54" i="2"/>
  <c r="K53" i="2"/>
  <c r="J53" i="2"/>
  <c r="E53" i="2" a="1"/>
  <c r="E53" i="2" s="1"/>
  <c r="D53" i="2" a="1"/>
  <c r="D53" i="2" s="1"/>
  <c r="K52" i="2"/>
  <c r="J52" i="2"/>
  <c r="C52" i="2"/>
  <c r="K51" i="2"/>
  <c r="J51" i="2"/>
  <c r="C51" i="2"/>
  <c r="K50" i="2"/>
  <c r="J50" i="2"/>
  <c r="C50" i="2"/>
  <c r="K49" i="2"/>
  <c r="J49" i="2"/>
  <c r="C49" i="2"/>
  <c r="E49" i="2" s="1" a="1"/>
  <c r="E49" i="2" s="1"/>
  <c r="K48" i="2"/>
  <c r="J48" i="2"/>
  <c r="C48" i="2"/>
  <c r="K47" i="2"/>
  <c r="J47" i="2"/>
  <c r="C47" i="2"/>
  <c r="K46" i="2"/>
  <c r="J46" i="2"/>
  <c r="C46" i="2"/>
  <c r="E46" i="2" s="1" a="1"/>
  <c r="E46" i="2" s="1"/>
  <c r="K45" i="2"/>
  <c r="J45" i="2"/>
  <c r="C45" i="2"/>
  <c r="K44" i="2"/>
  <c r="J44" i="2"/>
  <c r="C44" i="2"/>
  <c r="K43" i="2"/>
  <c r="J43" i="2"/>
  <c r="C43" i="2"/>
  <c r="K42" i="2"/>
  <c r="J42" i="2"/>
  <c r="C42" i="2"/>
  <c r="K41" i="2"/>
  <c r="J41" i="2"/>
  <c r="C41" i="2"/>
  <c r="K40" i="2"/>
  <c r="J40" i="2"/>
  <c r="C40" i="2"/>
  <c r="K39" i="2"/>
  <c r="J39" i="2"/>
  <c r="C39" i="2"/>
  <c r="K38" i="2"/>
  <c r="J38" i="2"/>
  <c r="C38" i="2"/>
  <c r="K37" i="2"/>
  <c r="J37" i="2"/>
  <c r="C37" i="2"/>
  <c r="E37" i="2" s="1" a="1"/>
  <c r="E37" i="2" s="1"/>
  <c r="K36" i="2"/>
  <c r="J36" i="2"/>
  <c r="C36" i="2"/>
  <c r="K35" i="2"/>
  <c r="J35" i="2"/>
  <c r="C35" i="2"/>
  <c r="K34" i="2"/>
  <c r="J34" i="2"/>
  <c r="C34" i="2"/>
  <c r="K33" i="2"/>
  <c r="J33" i="2"/>
  <c r="C33" i="2"/>
  <c r="K32" i="2"/>
  <c r="J32" i="2"/>
  <c r="C32" i="2"/>
  <c r="E32" i="2" s="1" a="1"/>
  <c r="E32" i="2" s="1"/>
  <c r="K31" i="2"/>
  <c r="J31" i="2"/>
  <c r="C31" i="2"/>
  <c r="K30" i="2"/>
  <c r="J30" i="2"/>
  <c r="C30" i="2"/>
  <c r="K29" i="2"/>
  <c r="J29" i="2"/>
  <c r="C29" i="2"/>
  <c r="K28" i="2"/>
  <c r="J28" i="2"/>
  <c r="C28" i="2"/>
  <c r="K27" i="2"/>
  <c r="J27" i="2"/>
  <c r="C27" i="2"/>
  <c r="K26" i="2"/>
  <c r="J26" i="2"/>
  <c r="C26" i="2"/>
  <c r="K25" i="2"/>
  <c r="J25" i="2"/>
  <c r="I25" i="2"/>
  <c r="H25" i="2"/>
  <c r="G25" i="2"/>
  <c r="C25" i="2"/>
  <c r="K24" i="2"/>
  <c r="J24" i="2"/>
  <c r="I24" i="2"/>
  <c r="H24" i="2"/>
  <c r="G24" i="2"/>
  <c r="C24" i="2"/>
  <c r="E24" i="2" s="1" a="1"/>
  <c r="E24" i="2" s="1"/>
  <c r="K23" i="2"/>
  <c r="J23" i="2"/>
  <c r="I23" i="2"/>
  <c r="H23" i="2"/>
  <c r="G23" i="2"/>
  <c r="C23" i="2"/>
  <c r="K22" i="2"/>
  <c r="J22" i="2"/>
  <c r="I22" i="2"/>
  <c r="H22" i="2"/>
  <c r="G22" i="2"/>
  <c r="C22" i="2"/>
  <c r="K21" i="2"/>
  <c r="J21" i="2"/>
  <c r="I21" i="2"/>
  <c r="H21" i="2"/>
  <c r="G21" i="2"/>
  <c r="C21" i="2"/>
  <c r="K20" i="2"/>
  <c r="J20" i="2"/>
  <c r="I20" i="2"/>
  <c r="H20" i="2"/>
  <c r="G20" i="2"/>
  <c r="C20" i="2"/>
  <c r="K19" i="2"/>
  <c r="J19" i="2"/>
  <c r="I19" i="2"/>
  <c r="H19" i="2"/>
  <c r="G19" i="2"/>
  <c r="C19" i="2"/>
  <c r="K18" i="2"/>
  <c r="J18" i="2"/>
  <c r="I18" i="2"/>
  <c r="H18" i="2"/>
  <c r="G18" i="2"/>
  <c r="C18" i="2"/>
  <c r="K17" i="2"/>
  <c r="J17" i="2"/>
  <c r="I17" i="2"/>
  <c r="H17" i="2"/>
  <c r="G17" i="2"/>
  <c r="C17" i="2"/>
  <c r="K16" i="2"/>
  <c r="J16" i="2"/>
  <c r="I16" i="2"/>
  <c r="H16" i="2"/>
  <c r="G16" i="2"/>
  <c r="C16" i="2"/>
  <c r="E16" i="2" s="1" a="1"/>
  <c r="E16" i="2" s="1"/>
  <c r="K15" i="2"/>
  <c r="J15" i="2"/>
  <c r="I15" i="2"/>
  <c r="H15" i="2"/>
  <c r="G15" i="2"/>
  <c r="C15" i="2"/>
  <c r="K14" i="2"/>
  <c r="J14" i="2"/>
  <c r="I14" i="2"/>
  <c r="H14" i="2"/>
  <c r="G14" i="2"/>
  <c r="C14" i="2"/>
  <c r="K13" i="2"/>
  <c r="J13" i="2"/>
  <c r="I13" i="2"/>
  <c r="H13" i="2"/>
  <c r="G13" i="2"/>
  <c r="C13" i="2"/>
  <c r="K12" i="2"/>
  <c r="G7" i="2" s="1" a="1"/>
  <c r="G7" i="2" s="1"/>
  <c r="J12" i="2"/>
  <c r="I12" i="2"/>
  <c r="H12" i="2"/>
  <c r="G12" i="2"/>
  <c r="C12" i="2"/>
  <c r="E12" i="2" s="1" a="1"/>
  <c r="E12" i="2" s="1"/>
  <c r="P10" i="2"/>
  <c r="H7" i="2"/>
  <c r="D7" i="2"/>
  <c r="C7" i="2"/>
  <c r="D5" i="2"/>
  <c r="C5" i="2"/>
  <c r="H4" i="2"/>
  <c r="C1" i="2"/>
  <c r="D1" i="2" s="1"/>
  <c r="W905" i="1"/>
  <c r="C905" i="1" s="1" a="1"/>
  <c r="C905" i="1" s="1"/>
  <c r="V905" i="1"/>
  <c r="U905" i="1"/>
  <c r="F905" i="1" a="1"/>
  <c r="F905" i="1" s="1"/>
  <c r="E905" i="1" a="1"/>
  <c r="E905" i="1" s="1"/>
  <c r="W904" i="1"/>
  <c r="V904" i="1"/>
  <c r="U904" i="1"/>
  <c r="S904" i="1"/>
  <c r="P904" i="1"/>
  <c r="O904" i="1"/>
  <c r="M904" i="1"/>
  <c r="L904" i="1"/>
  <c r="K904" i="1"/>
  <c r="J904" i="1"/>
  <c r="I904" i="1"/>
  <c r="H904" i="1" a="1"/>
  <c r="H904" i="1" s="1"/>
  <c r="G904" i="1" a="1"/>
  <c r="G904" i="1" s="1"/>
  <c r="F904" i="1" a="1"/>
  <c r="F904" i="1" s="1"/>
  <c r="E904" i="1" a="1"/>
  <c r="E904" i="1" s="1"/>
  <c r="C904" i="1" a="1"/>
  <c r="C904" i="1" s="1"/>
  <c r="B904" i="1" a="1"/>
  <c r="B904" i="1"/>
  <c r="W903" i="1"/>
  <c r="V903" i="1"/>
  <c r="U903" i="1"/>
  <c r="O903" i="1"/>
  <c r="M903" i="1"/>
  <c r="L903" i="1"/>
  <c r="K903" i="1"/>
  <c r="I903" i="1"/>
  <c r="G903" i="1" a="1"/>
  <c r="G903" i="1" s="1"/>
  <c r="F903" i="1" a="1"/>
  <c r="F903" i="1" s="1"/>
  <c r="C903" i="1" a="1"/>
  <c r="C903" i="1" s="1"/>
  <c r="W902" i="1"/>
  <c r="P902" i="1" s="1"/>
  <c r="V902" i="1"/>
  <c r="U902" i="1"/>
  <c r="S902" i="1"/>
  <c r="O902" i="1"/>
  <c r="M902" i="1"/>
  <c r="L902" i="1"/>
  <c r="K902" i="1"/>
  <c r="J902" i="1"/>
  <c r="I902" i="1"/>
  <c r="H902" i="1" a="1"/>
  <c r="H902" i="1" s="1"/>
  <c r="G902" i="1" a="1"/>
  <c r="G902" i="1" s="1"/>
  <c r="C902" i="1" a="1"/>
  <c r="C902" i="1" s="1"/>
  <c r="B902" i="1" a="1"/>
  <c r="B902" i="1"/>
  <c r="W901" i="1"/>
  <c r="S901" i="1" s="1"/>
  <c r="V901" i="1"/>
  <c r="U901" i="1"/>
  <c r="P901" i="1"/>
  <c r="O901" i="1"/>
  <c r="M901" i="1"/>
  <c r="L901" i="1"/>
  <c r="J901" i="1"/>
  <c r="I901" i="1"/>
  <c r="E901" i="1" a="1"/>
  <c r="E901" i="1" s="1"/>
  <c r="C901" i="1" a="1"/>
  <c r="C901" i="1" s="1"/>
  <c r="W900" i="1"/>
  <c r="S900" i="1" s="1"/>
  <c r="V900" i="1"/>
  <c r="U900" i="1"/>
  <c r="L900" i="1"/>
  <c r="J900" i="1"/>
  <c r="G900" i="1" a="1"/>
  <c r="G900" i="1"/>
  <c r="F900" i="1" a="1"/>
  <c r="F900" i="1"/>
  <c r="E900" i="1" a="1"/>
  <c r="E900" i="1"/>
  <c r="C900" i="1" a="1"/>
  <c r="C900" i="1" s="1"/>
  <c r="B900" i="1" a="1"/>
  <c r="B900" i="1" s="1"/>
  <c r="W899" i="1"/>
  <c r="P899" i="1" s="1"/>
  <c r="V899" i="1"/>
  <c r="U899" i="1"/>
  <c r="O899" i="1"/>
  <c r="I899" i="1"/>
  <c r="H899" i="1" a="1"/>
  <c r="H899" i="1"/>
  <c r="E899" i="1" a="1"/>
  <c r="E899" i="1"/>
  <c r="C899" i="1" a="1"/>
  <c r="C899" i="1"/>
  <c r="W898" i="1"/>
  <c r="F898" i="1" s="1" a="1"/>
  <c r="F898" i="1" s="1"/>
  <c r="V898" i="1"/>
  <c r="U898" i="1"/>
  <c r="W897" i="1"/>
  <c r="V897" i="1"/>
  <c r="U897" i="1"/>
  <c r="S897" i="1"/>
  <c r="P897" i="1"/>
  <c r="O897" i="1"/>
  <c r="M897" i="1"/>
  <c r="L897" i="1"/>
  <c r="K897" i="1"/>
  <c r="J897" i="1"/>
  <c r="H897" i="1" a="1"/>
  <c r="H897" i="1" s="1"/>
  <c r="C897" i="1" a="1"/>
  <c r="C897" i="1"/>
  <c r="B897" i="1" a="1"/>
  <c r="B897" i="1"/>
  <c r="W896" i="1"/>
  <c r="S896" i="1" s="1"/>
  <c r="V896" i="1"/>
  <c r="U896" i="1"/>
  <c r="P896" i="1"/>
  <c r="L896" i="1"/>
  <c r="J896" i="1"/>
  <c r="G896" i="1" a="1"/>
  <c r="G896" i="1" s="1"/>
  <c r="E896" i="1" a="1"/>
  <c r="E896" i="1" s="1"/>
  <c r="C896" i="1" a="1"/>
  <c r="C896" i="1" s="1"/>
  <c r="B896" i="1" a="1"/>
  <c r="B896" i="1"/>
  <c r="W895" i="1"/>
  <c r="V895" i="1"/>
  <c r="U895" i="1"/>
  <c r="P895" i="1"/>
  <c r="O895" i="1"/>
  <c r="M895" i="1"/>
  <c r="L895" i="1"/>
  <c r="K895" i="1"/>
  <c r="J895" i="1"/>
  <c r="I895" i="1"/>
  <c r="H895" i="1" a="1"/>
  <c r="H895" i="1" s="1"/>
  <c r="G895" i="1" a="1"/>
  <c r="G895" i="1" s="1"/>
  <c r="F895" i="1" a="1"/>
  <c r="F895" i="1"/>
  <c r="B895" i="1" a="1"/>
  <c r="B895" i="1"/>
  <c r="W894" i="1"/>
  <c r="V894" i="1"/>
  <c r="U894" i="1"/>
  <c r="S894" i="1"/>
  <c r="L894" i="1"/>
  <c r="K894" i="1"/>
  <c r="J894" i="1"/>
  <c r="H894" i="1" a="1"/>
  <c r="H894" i="1" s="1"/>
  <c r="G894" i="1" a="1"/>
  <c r="G894" i="1" s="1"/>
  <c r="F894" i="1" a="1"/>
  <c r="F894" i="1"/>
  <c r="E894" i="1" a="1"/>
  <c r="E894" i="1" s="1"/>
  <c r="C894" i="1" a="1"/>
  <c r="C894" i="1" s="1"/>
  <c r="B894" i="1" a="1"/>
  <c r="B894" i="1"/>
  <c r="W893" i="1"/>
  <c r="V893" i="1"/>
  <c r="U893" i="1"/>
  <c r="P893" i="1"/>
  <c r="M893" i="1"/>
  <c r="L893" i="1"/>
  <c r="K893" i="1"/>
  <c r="I893" i="1"/>
  <c r="H893" i="1" a="1"/>
  <c r="H893" i="1" s="1"/>
  <c r="G893" i="1" a="1"/>
  <c r="G893" i="1" s="1"/>
  <c r="F893" i="1" a="1"/>
  <c r="F893" i="1" s="1"/>
  <c r="E893" i="1" a="1"/>
  <c r="E893" i="1"/>
  <c r="W892" i="1"/>
  <c r="P892" i="1" s="1"/>
  <c r="V892" i="1"/>
  <c r="U892" i="1"/>
  <c r="S892" i="1"/>
  <c r="O892" i="1"/>
  <c r="M892" i="1"/>
  <c r="L892" i="1"/>
  <c r="K892" i="1"/>
  <c r="J892" i="1"/>
  <c r="I892" i="1"/>
  <c r="H892" i="1" a="1"/>
  <c r="H892" i="1" s="1"/>
  <c r="F892" i="1" a="1"/>
  <c r="F892" i="1" s="1"/>
  <c r="C892" i="1" a="1"/>
  <c r="C892" i="1"/>
  <c r="B892" i="1" a="1"/>
  <c r="B892" i="1" s="1"/>
  <c r="W891" i="1"/>
  <c r="S891" i="1" s="1"/>
  <c r="V891" i="1"/>
  <c r="U891" i="1"/>
  <c r="P891" i="1"/>
  <c r="M891" i="1"/>
  <c r="K891" i="1"/>
  <c r="J891" i="1"/>
  <c r="H891" i="1" a="1"/>
  <c r="H891" i="1" s="1"/>
  <c r="C891" i="1" a="1"/>
  <c r="C891" i="1" s="1"/>
  <c r="W890" i="1"/>
  <c r="V890" i="1"/>
  <c r="U890" i="1"/>
  <c r="S890" i="1"/>
  <c r="P890" i="1"/>
  <c r="O890" i="1"/>
  <c r="M890" i="1"/>
  <c r="L890" i="1"/>
  <c r="K890" i="1"/>
  <c r="J890" i="1"/>
  <c r="I890" i="1"/>
  <c r="H890" i="1" a="1"/>
  <c r="H890" i="1"/>
  <c r="G890" i="1" a="1"/>
  <c r="G890" i="1" s="1"/>
  <c r="F890" i="1" a="1"/>
  <c r="F890" i="1" s="1"/>
  <c r="E890" i="1" a="1"/>
  <c r="E890" i="1"/>
  <c r="C890" i="1" a="1"/>
  <c r="C890" i="1" s="1"/>
  <c r="B890" i="1" a="1"/>
  <c r="B890" i="1" s="1"/>
  <c r="W889" i="1"/>
  <c r="V889" i="1"/>
  <c r="U889" i="1"/>
  <c r="S889" i="1"/>
  <c r="P889" i="1"/>
  <c r="O889" i="1"/>
  <c r="K889" i="1"/>
  <c r="I889" i="1"/>
  <c r="H889" i="1" a="1"/>
  <c r="H889" i="1"/>
  <c r="G889" i="1" a="1"/>
  <c r="G889" i="1"/>
  <c r="F889" i="1" a="1"/>
  <c r="F889" i="1" s="1"/>
  <c r="E889" i="1" a="1"/>
  <c r="E889" i="1" s="1"/>
  <c r="C889" i="1" a="1"/>
  <c r="C889" i="1"/>
  <c r="B889" i="1" a="1"/>
  <c r="B889" i="1" s="1"/>
  <c r="W888" i="1"/>
  <c r="V888" i="1"/>
  <c r="U888" i="1"/>
  <c r="S888" i="1"/>
  <c r="P888" i="1"/>
  <c r="O888" i="1"/>
  <c r="M888" i="1"/>
  <c r="L888" i="1"/>
  <c r="K888" i="1"/>
  <c r="J888" i="1"/>
  <c r="I888" i="1"/>
  <c r="H888" i="1" a="1"/>
  <c r="H888" i="1" s="1"/>
  <c r="G888" i="1" a="1"/>
  <c r="G888" i="1"/>
  <c r="F888" i="1" a="1"/>
  <c r="F888" i="1" s="1"/>
  <c r="E888" i="1" a="1"/>
  <c r="E888" i="1" s="1"/>
  <c r="C888" i="1" a="1"/>
  <c r="C888" i="1"/>
  <c r="B888" i="1" a="1"/>
  <c r="B888" i="1"/>
  <c r="W887" i="1"/>
  <c r="C887" i="1" s="1" a="1"/>
  <c r="C887" i="1" s="1"/>
  <c r="V887" i="1"/>
  <c r="U887" i="1"/>
  <c r="W886" i="1"/>
  <c r="V886" i="1"/>
  <c r="U886" i="1"/>
  <c r="E886" i="1" a="1"/>
  <c r="E886" i="1" s="1"/>
  <c r="C886" i="1" a="1"/>
  <c r="C886" i="1" s="1"/>
  <c r="B886" i="1" a="1"/>
  <c r="B886" i="1"/>
  <c r="W885" i="1"/>
  <c r="V885" i="1"/>
  <c r="U885" i="1"/>
  <c r="P885" i="1"/>
  <c r="O885" i="1"/>
  <c r="M885" i="1"/>
  <c r="L885" i="1"/>
  <c r="K885" i="1"/>
  <c r="J885" i="1"/>
  <c r="I885" i="1"/>
  <c r="F885" i="1" a="1"/>
  <c r="F885" i="1"/>
  <c r="E885" i="1" a="1"/>
  <c r="E885" i="1"/>
  <c r="C885" i="1" a="1"/>
  <c r="C885" i="1"/>
  <c r="W884" i="1"/>
  <c r="B884" i="1" s="1" a="1"/>
  <c r="B884" i="1" s="1"/>
  <c r="V884" i="1"/>
  <c r="U884" i="1"/>
  <c r="S884" i="1"/>
  <c r="O884" i="1"/>
  <c r="L884" i="1"/>
  <c r="K884" i="1"/>
  <c r="J884" i="1"/>
  <c r="I884" i="1"/>
  <c r="H884" i="1" a="1"/>
  <c r="H884" i="1"/>
  <c r="G884" i="1" a="1"/>
  <c r="G884" i="1"/>
  <c r="E884" i="1" a="1"/>
  <c r="E884" i="1"/>
  <c r="C884" i="1" a="1"/>
  <c r="C884" i="1" s="1"/>
  <c r="W883" i="1"/>
  <c r="V883" i="1"/>
  <c r="U883" i="1"/>
  <c r="S883" i="1"/>
  <c r="P883" i="1"/>
  <c r="O883" i="1"/>
  <c r="M883" i="1"/>
  <c r="L883" i="1"/>
  <c r="K883" i="1"/>
  <c r="J883" i="1"/>
  <c r="I883" i="1"/>
  <c r="C883" i="1" a="1"/>
  <c r="C883" i="1"/>
  <c r="B883" i="1" a="1"/>
  <c r="B883" i="1" s="1"/>
  <c r="W882" i="1"/>
  <c r="S882" i="1" s="1"/>
  <c r="V882" i="1"/>
  <c r="U882" i="1"/>
  <c r="P882" i="1"/>
  <c r="J882" i="1"/>
  <c r="H882" i="1" a="1"/>
  <c r="H882" i="1"/>
  <c r="E882" i="1" a="1"/>
  <c r="E882" i="1"/>
  <c r="C882" i="1" a="1"/>
  <c r="C882" i="1"/>
  <c r="B882" i="1" a="1"/>
  <c r="B882" i="1" s="1"/>
  <c r="W881" i="1"/>
  <c r="V881" i="1"/>
  <c r="U881" i="1"/>
  <c r="W880" i="1"/>
  <c r="V880" i="1"/>
  <c r="U880" i="1"/>
  <c r="S880" i="1"/>
  <c r="P880" i="1"/>
  <c r="O880" i="1"/>
  <c r="M880" i="1"/>
  <c r="L880" i="1"/>
  <c r="J880" i="1"/>
  <c r="H880" i="1" a="1"/>
  <c r="H880" i="1"/>
  <c r="G880" i="1" a="1"/>
  <c r="G880" i="1" s="1"/>
  <c r="E880" i="1" a="1"/>
  <c r="E880" i="1"/>
  <c r="C880" i="1" a="1"/>
  <c r="C880" i="1"/>
  <c r="B880" i="1" a="1"/>
  <c r="B880" i="1" s="1"/>
  <c r="W879" i="1"/>
  <c r="V879" i="1"/>
  <c r="U879" i="1"/>
  <c r="P879" i="1"/>
  <c r="O879" i="1"/>
  <c r="M879" i="1"/>
  <c r="L879" i="1"/>
  <c r="K879" i="1"/>
  <c r="I879" i="1"/>
  <c r="H879" i="1" a="1"/>
  <c r="H879" i="1"/>
  <c r="G879" i="1" a="1"/>
  <c r="G879" i="1" s="1"/>
  <c r="F879" i="1" a="1"/>
  <c r="F879" i="1"/>
  <c r="B879" i="1" a="1"/>
  <c r="B879" i="1"/>
  <c r="W878" i="1"/>
  <c r="S878" i="1" s="1"/>
  <c r="V878" i="1"/>
  <c r="U878" i="1"/>
  <c r="O878" i="1"/>
  <c r="M878" i="1"/>
  <c r="L878" i="1"/>
  <c r="K878" i="1"/>
  <c r="J878" i="1"/>
  <c r="G878" i="1" a="1"/>
  <c r="G878" i="1" s="1"/>
  <c r="C878" i="1" a="1"/>
  <c r="C878" i="1"/>
  <c r="W877" i="1"/>
  <c r="P877" i="1" s="1"/>
  <c r="V877" i="1"/>
  <c r="U877" i="1"/>
  <c r="L877" i="1"/>
  <c r="J877" i="1"/>
  <c r="I877" i="1"/>
  <c r="F877" i="1" a="1"/>
  <c r="F877" i="1"/>
  <c r="W876" i="1"/>
  <c r="V876" i="1"/>
  <c r="U876" i="1"/>
  <c r="F876" i="1" a="1"/>
  <c r="F876" i="1"/>
  <c r="E876" i="1" a="1"/>
  <c r="E876" i="1"/>
  <c r="C876" i="1" a="1"/>
  <c r="C876" i="1"/>
  <c r="B876" i="1" a="1"/>
  <c r="B876" i="1" s="1"/>
  <c r="W875" i="1"/>
  <c r="P875" i="1" s="1"/>
  <c r="V875" i="1"/>
  <c r="U875" i="1"/>
  <c r="S875" i="1"/>
  <c r="M875" i="1"/>
  <c r="K875" i="1"/>
  <c r="I875" i="1"/>
  <c r="H875" i="1" a="1"/>
  <c r="H875" i="1"/>
  <c r="G875" i="1" a="1"/>
  <c r="G875" i="1"/>
  <c r="F875" i="1" a="1"/>
  <c r="F875" i="1"/>
  <c r="E875" i="1" a="1"/>
  <c r="E875" i="1"/>
  <c r="C875" i="1" a="1"/>
  <c r="C875" i="1"/>
  <c r="W874" i="1"/>
  <c r="V874" i="1"/>
  <c r="U874" i="1"/>
  <c r="S874" i="1"/>
  <c r="P874" i="1"/>
  <c r="O874" i="1"/>
  <c r="M874" i="1"/>
  <c r="L874" i="1"/>
  <c r="K874" i="1"/>
  <c r="J874" i="1"/>
  <c r="I874" i="1"/>
  <c r="H874" i="1" a="1"/>
  <c r="H874" i="1"/>
  <c r="G874" i="1" a="1"/>
  <c r="G874" i="1" s="1"/>
  <c r="F874" i="1" a="1"/>
  <c r="F874" i="1" s="1"/>
  <c r="E874" i="1" a="1"/>
  <c r="E874" i="1" s="1"/>
  <c r="C874" i="1" a="1"/>
  <c r="C874" i="1"/>
  <c r="B874" i="1" a="1"/>
  <c r="B874" i="1"/>
  <c r="W873" i="1"/>
  <c r="V873" i="1"/>
  <c r="U873" i="1"/>
  <c r="S873" i="1"/>
  <c r="P873" i="1"/>
  <c r="O873" i="1"/>
  <c r="M873" i="1"/>
  <c r="K873" i="1"/>
  <c r="H873" i="1" a="1"/>
  <c r="H873" i="1"/>
  <c r="E873" i="1" a="1"/>
  <c r="E873" i="1" s="1"/>
  <c r="C873" i="1" a="1"/>
  <c r="C873" i="1"/>
  <c r="B873" i="1" a="1"/>
  <c r="B873" i="1"/>
  <c r="W872" i="1"/>
  <c r="V872" i="1"/>
  <c r="U872" i="1"/>
  <c r="S872" i="1"/>
  <c r="P872" i="1"/>
  <c r="O872" i="1"/>
  <c r="M872" i="1"/>
  <c r="L872" i="1"/>
  <c r="K872" i="1"/>
  <c r="J872" i="1"/>
  <c r="I872" i="1"/>
  <c r="H872" i="1" a="1"/>
  <c r="H872" i="1"/>
  <c r="G872" i="1" a="1"/>
  <c r="G872" i="1" s="1"/>
  <c r="F872" i="1" a="1"/>
  <c r="F872" i="1" s="1"/>
  <c r="E872" i="1" a="1"/>
  <c r="E872" i="1" s="1"/>
  <c r="C872" i="1" a="1"/>
  <c r="C872" i="1"/>
  <c r="B872" i="1" a="1"/>
  <c r="B872" i="1" s="1"/>
  <c r="W871" i="1"/>
  <c r="V871" i="1"/>
  <c r="U871" i="1"/>
  <c r="M871" i="1"/>
  <c r="L871" i="1"/>
  <c r="K871" i="1"/>
  <c r="I871" i="1"/>
  <c r="W870" i="1"/>
  <c r="P870" i="1" s="1"/>
  <c r="V870" i="1"/>
  <c r="U870" i="1"/>
  <c r="S870" i="1"/>
  <c r="O870" i="1"/>
  <c r="M870" i="1"/>
  <c r="L870" i="1"/>
  <c r="K870" i="1"/>
  <c r="J870" i="1"/>
  <c r="I870" i="1"/>
  <c r="H870" i="1" a="1"/>
  <c r="H870" i="1" s="1"/>
  <c r="G870" i="1" a="1"/>
  <c r="G870" i="1"/>
  <c r="F870" i="1" a="1"/>
  <c r="F870" i="1" s="1"/>
  <c r="E870" i="1" a="1"/>
  <c r="E870" i="1" s="1"/>
  <c r="C870" i="1" a="1"/>
  <c r="C870" i="1" s="1"/>
  <c r="B870" i="1" a="1"/>
  <c r="B870" i="1"/>
  <c r="W869" i="1"/>
  <c r="P869" i="1" s="1"/>
  <c r="V869" i="1"/>
  <c r="U869" i="1"/>
  <c r="S869" i="1"/>
  <c r="C869" i="1" a="1"/>
  <c r="C869" i="1"/>
  <c r="B869" i="1" a="1"/>
  <c r="B869" i="1"/>
  <c r="W868" i="1"/>
  <c r="B868" i="1" s="1" a="1"/>
  <c r="B868" i="1" s="1"/>
  <c r="V868" i="1"/>
  <c r="U868" i="1"/>
  <c r="S868" i="1"/>
  <c r="O868" i="1"/>
  <c r="W867" i="1"/>
  <c r="M867" i="1" s="1"/>
  <c r="V867" i="1"/>
  <c r="U867" i="1"/>
  <c r="O867" i="1"/>
  <c r="I867" i="1"/>
  <c r="H867" i="1" a="1"/>
  <c r="H867" i="1" s="1"/>
  <c r="W866" i="1"/>
  <c r="P866" i="1" s="1"/>
  <c r="V866" i="1"/>
  <c r="U866" i="1"/>
  <c r="S866" i="1"/>
  <c r="O866" i="1"/>
  <c r="L866" i="1"/>
  <c r="J866" i="1"/>
  <c r="I866" i="1"/>
  <c r="H866" i="1" a="1"/>
  <c r="H866" i="1"/>
  <c r="G866" i="1" a="1"/>
  <c r="G866" i="1" s="1"/>
  <c r="F866" i="1" a="1"/>
  <c r="F866" i="1" s="1"/>
  <c r="E866" i="1" a="1"/>
  <c r="E866" i="1"/>
  <c r="C866" i="1" a="1"/>
  <c r="C866" i="1"/>
  <c r="B866" i="1" a="1"/>
  <c r="B866" i="1" s="1"/>
  <c r="W865" i="1"/>
  <c r="V865" i="1"/>
  <c r="U865" i="1"/>
  <c r="S865" i="1"/>
  <c r="P865" i="1"/>
  <c r="O865" i="1"/>
  <c r="M865" i="1"/>
  <c r="L865" i="1"/>
  <c r="K865" i="1"/>
  <c r="J865" i="1"/>
  <c r="H865" i="1" a="1"/>
  <c r="H865" i="1" s="1"/>
  <c r="G865" i="1" a="1"/>
  <c r="G865" i="1" s="1"/>
  <c r="C865" i="1" a="1"/>
  <c r="C865" i="1" s="1"/>
  <c r="B865" i="1" a="1"/>
  <c r="B865" i="1"/>
  <c r="W864" i="1"/>
  <c r="V864" i="1"/>
  <c r="U864" i="1"/>
  <c r="S864" i="1"/>
  <c r="W863" i="1"/>
  <c r="V863" i="1"/>
  <c r="U863" i="1"/>
  <c r="P863" i="1"/>
  <c r="O863" i="1"/>
  <c r="M863" i="1"/>
  <c r="L863" i="1"/>
  <c r="K863" i="1"/>
  <c r="J863" i="1"/>
  <c r="I863" i="1"/>
  <c r="H863" i="1" a="1"/>
  <c r="H863" i="1"/>
  <c r="G863" i="1" a="1"/>
  <c r="G863" i="1"/>
  <c r="F863" i="1" a="1"/>
  <c r="F863" i="1"/>
  <c r="B863" i="1" a="1"/>
  <c r="B863" i="1"/>
  <c r="W862" i="1"/>
  <c r="V862" i="1"/>
  <c r="U862" i="1"/>
  <c r="G862" i="1" a="1"/>
  <c r="G862" i="1" s="1"/>
  <c r="F862" i="1" a="1"/>
  <c r="F862" i="1"/>
  <c r="E862" i="1" a="1"/>
  <c r="E862" i="1"/>
  <c r="W861" i="1"/>
  <c r="V861" i="1"/>
  <c r="U861" i="1"/>
  <c r="G861" i="1" a="1"/>
  <c r="G861" i="1"/>
  <c r="F861" i="1" a="1"/>
  <c r="F861" i="1"/>
  <c r="W860" i="1"/>
  <c r="P860" i="1" s="1"/>
  <c r="V860" i="1"/>
  <c r="U860" i="1"/>
  <c r="S860" i="1"/>
  <c r="O860" i="1"/>
  <c r="M860" i="1"/>
  <c r="L860" i="1"/>
  <c r="K860" i="1"/>
  <c r="J860" i="1"/>
  <c r="I860" i="1"/>
  <c r="H860" i="1" a="1"/>
  <c r="H860" i="1" s="1"/>
  <c r="G860" i="1" a="1"/>
  <c r="G860" i="1" s="1"/>
  <c r="F860" i="1" a="1"/>
  <c r="F860" i="1"/>
  <c r="E860" i="1" a="1"/>
  <c r="E860" i="1" s="1"/>
  <c r="C860" i="1" a="1"/>
  <c r="C860" i="1"/>
  <c r="B860" i="1" a="1"/>
  <c r="B860" i="1" s="1"/>
  <c r="W859" i="1"/>
  <c r="S859" i="1" s="1"/>
  <c r="V859" i="1"/>
  <c r="U859" i="1"/>
  <c r="P859" i="1"/>
  <c r="K859" i="1"/>
  <c r="J859" i="1"/>
  <c r="I859" i="1"/>
  <c r="G859" i="1" a="1"/>
  <c r="G859" i="1" s="1"/>
  <c r="C859" i="1" a="1"/>
  <c r="C859" i="1"/>
  <c r="W858" i="1"/>
  <c r="V858" i="1"/>
  <c r="U858" i="1"/>
  <c r="S858" i="1"/>
  <c r="P858" i="1"/>
  <c r="O858" i="1"/>
  <c r="M858" i="1"/>
  <c r="L858" i="1"/>
  <c r="K858" i="1"/>
  <c r="J858" i="1"/>
  <c r="I858" i="1"/>
  <c r="H858" i="1" a="1"/>
  <c r="H858" i="1"/>
  <c r="G858" i="1" a="1"/>
  <c r="G858" i="1" s="1"/>
  <c r="F858" i="1" a="1"/>
  <c r="F858" i="1" s="1"/>
  <c r="E858" i="1" a="1"/>
  <c r="E858" i="1"/>
  <c r="C858" i="1" a="1"/>
  <c r="C858" i="1"/>
  <c r="B858" i="1" a="1"/>
  <c r="B858" i="1" s="1"/>
  <c r="W857" i="1"/>
  <c r="V857" i="1"/>
  <c r="U857" i="1"/>
  <c r="S857" i="1"/>
  <c r="I857" i="1"/>
  <c r="H857" i="1" a="1"/>
  <c r="H857" i="1" s="1"/>
  <c r="G857" i="1" a="1"/>
  <c r="G857" i="1"/>
  <c r="F857" i="1" a="1"/>
  <c r="F857" i="1"/>
  <c r="E857" i="1" a="1"/>
  <c r="E857" i="1" s="1"/>
  <c r="C857" i="1" a="1"/>
  <c r="C857" i="1" s="1"/>
  <c r="B857" i="1" a="1"/>
  <c r="B857" i="1" s="1"/>
  <c r="W856" i="1"/>
  <c r="V856" i="1"/>
  <c r="U856" i="1"/>
  <c r="S856" i="1"/>
  <c r="P856" i="1"/>
  <c r="O856" i="1"/>
  <c r="M856" i="1"/>
  <c r="L856" i="1"/>
  <c r="K856" i="1"/>
  <c r="J856" i="1"/>
  <c r="I856" i="1"/>
  <c r="H856" i="1" a="1"/>
  <c r="H856" i="1" s="1"/>
  <c r="G856" i="1" a="1"/>
  <c r="G856" i="1"/>
  <c r="F856" i="1" a="1"/>
  <c r="F856" i="1" s="1"/>
  <c r="E856" i="1" a="1"/>
  <c r="E856" i="1" s="1"/>
  <c r="C856" i="1" a="1"/>
  <c r="C856" i="1"/>
  <c r="B856" i="1" a="1"/>
  <c r="B856" i="1" s="1"/>
  <c r="W855" i="1"/>
  <c r="P855" i="1" s="1"/>
  <c r="V855" i="1"/>
  <c r="U855" i="1"/>
  <c r="S855" i="1"/>
  <c r="O855" i="1"/>
  <c r="M855" i="1"/>
  <c r="B855" i="1" a="1"/>
  <c r="B855" i="1"/>
  <c r="W854" i="1"/>
  <c r="V854" i="1"/>
  <c r="U854" i="1"/>
  <c r="S854" i="1"/>
  <c r="M854" i="1"/>
  <c r="W853" i="1"/>
  <c r="V853" i="1"/>
  <c r="U853" i="1"/>
  <c r="P853" i="1"/>
  <c r="K853" i="1"/>
  <c r="J853" i="1"/>
  <c r="I853" i="1"/>
  <c r="W852" i="1"/>
  <c r="J852" i="1" s="1"/>
  <c r="V852" i="1"/>
  <c r="U852" i="1"/>
  <c r="O852" i="1"/>
  <c r="L852" i="1"/>
  <c r="W851" i="1"/>
  <c r="V851" i="1"/>
  <c r="U851" i="1"/>
  <c r="S851" i="1"/>
  <c r="P851" i="1"/>
  <c r="O851" i="1"/>
  <c r="M851" i="1"/>
  <c r="L851" i="1"/>
  <c r="K851" i="1"/>
  <c r="J851" i="1"/>
  <c r="I851" i="1"/>
  <c r="E851" i="1" a="1"/>
  <c r="E851" i="1" s="1"/>
  <c r="C851" i="1" a="1"/>
  <c r="C851" i="1"/>
  <c r="B851" i="1" a="1"/>
  <c r="B851" i="1"/>
  <c r="W850" i="1"/>
  <c r="V850" i="1"/>
  <c r="U850" i="1"/>
  <c r="S850" i="1"/>
  <c r="P850" i="1"/>
  <c r="O850" i="1"/>
  <c r="J850" i="1"/>
  <c r="I850" i="1"/>
  <c r="W849" i="1"/>
  <c r="V849" i="1"/>
  <c r="U849" i="1"/>
  <c r="S849" i="1"/>
  <c r="W848" i="1"/>
  <c r="V848" i="1"/>
  <c r="U848" i="1"/>
  <c r="S848" i="1"/>
  <c r="L848" i="1"/>
  <c r="J848" i="1"/>
  <c r="H848" i="1" a="1"/>
  <c r="H848" i="1"/>
  <c r="G848" i="1" a="1"/>
  <c r="G848" i="1" s="1"/>
  <c r="W847" i="1"/>
  <c r="B847" i="1" s="1" a="1"/>
  <c r="B847" i="1" s="1"/>
  <c r="V847" i="1"/>
  <c r="U847" i="1"/>
  <c r="P847" i="1"/>
  <c r="O847" i="1"/>
  <c r="M847" i="1"/>
  <c r="L847" i="1"/>
  <c r="K847" i="1"/>
  <c r="I847" i="1"/>
  <c r="H847" i="1" a="1"/>
  <c r="H847" i="1"/>
  <c r="G847" i="1" a="1"/>
  <c r="G847" i="1" s="1"/>
  <c r="W846" i="1"/>
  <c r="V846" i="1"/>
  <c r="U846" i="1"/>
  <c r="S846" i="1"/>
  <c r="O846" i="1"/>
  <c r="M846" i="1"/>
  <c r="L846" i="1"/>
  <c r="K846" i="1"/>
  <c r="J846" i="1"/>
  <c r="H846" i="1" a="1"/>
  <c r="H846" i="1" s="1"/>
  <c r="W845" i="1"/>
  <c r="V845" i="1"/>
  <c r="U845" i="1"/>
  <c r="P845" i="1"/>
  <c r="M845" i="1"/>
  <c r="L845" i="1"/>
  <c r="K845" i="1"/>
  <c r="I845" i="1"/>
  <c r="H845" i="1" a="1"/>
  <c r="H845" i="1" s="1"/>
  <c r="F845" i="1" a="1"/>
  <c r="F845" i="1"/>
  <c r="W844" i="1"/>
  <c r="V844" i="1"/>
  <c r="U844" i="1"/>
  <c r="S844" i="1"/>
  <c r="P844" i="1"/>
  <c r="M844" i="1"/>
  <c r="L844" i="1"/>
  <c r="H844" i="1" a="1"/>
  <c r="H844" i="1" s="1"/>
  <c r="F844" i="1" a="1"/>
  <c r="F844" i="1"/>
  <c r="E844" i="1" a="1"/>
  <c r="E844" i="1"/>
  <c r="C844" i="1" a="1"/>
  <c r="C844" i="1" s="1"/>
  <c r="B844" i="1" a="1"/>
  <c r="B844" i="1"/>
  <c r="W843" i="1"/>
  <c r="V843" i="1"/>
  <c r="U843" i="1"/>
  <c r="S843" i="1"/>
  <c r="I843" i="1"/>
  <c r="H843" i="1" a="1"/>
  <c r="H843" i="1"/>
  <c r="G843" i="1" a="1"/>
  <c r="G843" i="1" s="1"/>
  <c r="F843" i="1" a="1"/>
  <c r="F843" i="1"/>
  <c r="E843" i="1" a="1"/>
  <c r="E843" i="1"/>
  <c r="C843" i="1" a="1"/>
  <c r="C843" i="1" s="1"/>
  <c r="W842" i="1"/>
  <c r="V842" i="1"/>
  <c r="U842" i="1"/>
  <c r="S842" i="1"/>
  <c r="P842" i="1"/>
  <c r="O842" i="1"/>
  <c r="M842" i="1"/>
  <c r="L842" i="1"/>
  <c r="K842" i="1"/>
  <c r="J842" i="1"/>
  <c r="I842" i="1"/>
  <c r="H842" i="1" a="1"/>
  <c r="H842" i="1"/>
  <c r="G842" i="1" a="1"/>
  <c r="G842" i="1" s="1"/>
  <c r="F842" i="1" a="1"/>
  <c r="F842" i="1" s="1"/>
  <c r="E842" i="1" a="1"/>
  <c r="E842" i="1"/>
  <c r="C842" i="1" a="1"/>
  <c r="C842" i="1" s="1"/>
  <c r="B842" i="1" a="1"/>
  <c r="B842" i="1"/>
  <c r="W841" i="1"/>
  <c r="V841" i="1"/>
  <c r="U841" i="1"/>
  <c r="S841" i="1"/>
  <c r="P841" i="1"/>
  <c r="O841" i="1"/>
  <c r="M841" i="1"/>
  <c r="K841" i="1"/>
  <c r="I841" i="1"/>
  <c r="W840" i="1"/>
  <c r="V840" i="1"/>
  <c r="U840" i="1"/>
  <c r="S840" i="1"/>
  <c r="P840" i="1"/>
  <c r="O840" i="1"/>
  <c r="M840" i="1"/>
  <c r="L840" i="1"/>
  <c r="K840" i="1"/>
  <c r="J840" i="1"/>
  <c r="I840" i="1"/>
  <c r="H840" i="1" a="1"/>
  <c r="H840" i="1" s="1"/>
  <c r="G840" i="1" a="1"/>
  <c r="G840" i="1" s="1"/>
  <c r="F840" i="1" a="1"/>
  <c r="F840" i="1" s="1"/>
  <c r="E840" i="1" a="1"/>
  <c r="E840" i="1" s="1"/>
  <c r="C840" i="1" a="1"/>
  <c r="C840" i="1"/>
  <c r="B840" i="1" a="1"/>
  <c r="B840" i="1" s="1"/>
  <c r="W839" i="1"/>
  <c r="V839" i="1"/>
  <c r="U839" i="1"/>
  <c r="O839" i="1"/>
  <c r="W838" i="1"/>
  <c r="V838" i="1"/>
  <c r="U838" i="1"/>
  <c r="S838" i="1"/>
  <c r="O838" i="1"/>
  <c r="M838" i="1"/>
  <c r="C838" i="1" a="1"/>
  <c r="C838" i="1" s="1"/>
  <c r="B838" i="1" a="1"/>
  <c r="B838" i="1"/>
  <c r="W837" i="1"/>
  <c r="P837" i="1" s="1"/>
  <c r="V837" i="1"/>
  <c r="U837" i="1"/>
  <c r="W836" i="1"/>
  <c r="V836" i="1"/>
  <c r="U836" i="1"/>
  <c r="S836" i="1"/>
  <c r="J836" i="1"/>
  <c r="E836" i="1" a="1"/>
  <c r="E836" i="1"/>
  <c r="B836" i="1" a="1"/>
  <c r="B836" i="1" s="1"/>
  <c r="W835" i="1"/>
  <c r="E835" i="1" s="1" a="1"/>
  <c r="E835" i="1" s="1"/>
  <c r="V835" i="1"/>
  <c r="U835" i="1"/>
  <c r="W834" i="1"/>
  <c r="V834" i="1"/>
  <c r="U834" i="1"/>
  <c r="S834" i="1"/>
  <c r="P834" i="1"/>
  <c r="O834" i="1"/>
  <c r="C834" i="1" a="1"/>
  <c r="C834" i="1"/>
  <c r="W833" i="1"/>
  <c r="M833" i="1" s="1"/>
  <c r="V833" i="1"/>
  <c r="U833" i="1"/>
  <c r="S833" i="1"/>
  <c r="P833" i="1"/>
  <c r="C833" i="1" a="1"/>
  <c r="C833" i="1"/>
  <c r="B833" i="1" a="1"/>
  <c r="B833" i="1"/>
  <c r="W832" i="1"/>
  <c r="P832" i="1" s="1"/>
  <c r="V832" i="1"/>
  <c r="U832" i="1"/>
  <c r="S832" i="1"/>
  <c r="O832" i="1"/>
  <c r="M832" i="1"/>
  <c r="L832" i="1"/>
  <c r="J832" i="1"/>
  <c r="H832" i="1" a="1"/>
  <c r="H832" i="1"/>
  <c r="G832" i="1" a="1"/>
  <c r="G832" i="1"/>
  <c r="F832" i="1" a="1"/>
  <c r="F832" i="1"/>
  <c r="E832" i="1" a="1"/>
  <c r="E832" i="1" s="1"/>
  <c r="C832" i="1" a="1"/>
  <c r="C832" i="1"/>
  <c r="B832" i="1" a="1"/>
  <c r="B832" i="1" s="1"/>
  <c r="W831" i="1"/>
  <c r="V831" i="1"/>
  <c r="U831" i="1"/>
  <c r="P831" i="1"/>
  <c r="O831" i="1"/>
  <c r="M831" i="1"/>
  <c r="L831" i="1"/>
  <c r="K831" i="1"/>
  <c r="J831" i="1"/>
  <c r="I831" i="1"/>
  <c r="H831" i="1" a="1"/>
  <c r="H831" i="1" s="1"/>
  <c r="G831" i="1" a="1"/>
  <c r="G831" i="1"/>
  <c r="B831" i="1" a="1"/>
  <c r="B831" i="1"/>
  <c r="W830" i="1"/>
  <c r="C830" i="1" s="1" a="1"/>
  <c r="C830" i="1" s="1"/>
  <c r="V830" i="1"/>
  <c r="U830" i="1"/>
  <c r="W829" i="1"/>
  <c r="V829" i="1"/>
  <c r="U829" i="1"/>
  <c r="F829" i="1" a="1"/>
  <c r="F829" i="1"/>
  <c r="E829" i="1" a="1"/>
  <c r="E829" i="1"/>
  <c r="W828" i="1"/>
  <c r="G828" i="1" s="1" a="1"/>
  <c r="G828" i="1" s="1"/>
  <c r="V828" i="1"/>
  <c r="U828" i="1"/>
  <c r="F828" i="1" a="1"/>
  <c r="F828" i="1" s="1"/>
  <c r="C828" i="1" a="1"/>
  <c r="C828" i="1" s="1"/>
  <c r="W827" i="1"/>
  <c r="V827" i="1"/>
  <c r="U827" i="1"/>
  <c r="S827" i="1"/>
  <c r="C827" i="1" a="1"/>
  <c r="C827" i="1"/>
  <c r="W826" i="1"/>
  <c r="V826" i="1"/>
  <c r="U826" i="1"/>
  <c r="S826" i="1"/>
  <c r="P826" i="1"/>
  <c r="O826" i="1"/>
  <c r="M826" i="1"/>
  <c r="L826" i="1"/>
  <c r="K826" i="1"/>
  <c r="J826" i="1"/>
  <c r="I826" i="1"/>
  <c r="H826" i="1" a="1"/>
  <c r="H826" i="1"/>
  <c r="G826" i="1" a="1"/>
  <c r="G826" i="1" s="1"/>
  <c r="F826" i="1" a="1"/>
  <c r="F826" i="1" s="1"/>
  <c r="E826" i="1" a="1"/>
  <c r="E826" i="1"/>
  <c r="C826" i="1" a="1"/>
  <c r="C826" i="1" s="1"/>
  <c r="B826" i="1" a="1"/>
  <c r="B826" i="1" s="1"/>
  <c r="W825" i="1"/>
  <c r="S825" i="1" s="1"/>
  <c r="V825" i="1"/>
  <c r="U825" i="1"/>
  <c r="I825" i="1"/>
  <c r="H825" i="1" a="1"/>
  <c r="H825" i="1"/>
  <c r="G825" i="1" a="1"/>
  <c r="G825" i="1"/>
  <c r="F825" i="1" a="1"/>
  <c r="F825" i="1"/>
  <c r="E825" i="1" a="1"/>
  <c r="E825" i="1" s="1"/>
  <c r="W824" i="1"/>
  <c r="V824" i="1"/>
  <c r="U824" i="1"/>
  <c r="S824" i="1"/>
  <c r="P824" i="1"/>
  <c r="O824" i="1"/>
  <c r="M824" i="1"/>
  <c r="L824" i="1"/>
  <c r="K824" i="1"/>
  <c r="J824" i="1"/>
  <c r="I824" i="1"/>
  <c r="H824" i="1" a="1"/>
  <c r="H824" i="1" s="1"/>
  <c r="G824" i="1" a="1"/>
  <c r="G824" i="1"/>
  <c r="F824" i="1" a="1"/>
  <c r="F824" i="1" s="1"/>
  <c r="E824" i="1" a="1"/>
  <c r="E824" i="1" s="1"/>
  <c r="C824" i="1" a="1"/>
  <c r="C824" i="1"/>
  <c r="B824" i="1" a="1"/>
  <c r="B824" i="1"/>
  <c r="W823" i="1"/>
  <c r="V823" i="1"/>
  <c r="U823" i="1"/>
  <c r="S823" i="1"/>
  <c r="P823" i="1"/>
  <c r="O823" i="1"/>
  <c r="M823" i="1"/>
  <c r="K823" i="1"/>
  <c r="I823" i="1"/>
  <c r="F823" i="1" a="1"/>
  <c r="F823" i="1" s="1"/>
  <c r="E823" i="1" a="1"/>
  <c r="E823" i="1"/>
  <c r="C823" i="1" a="1"/>
  <c r="C823" i="1" s="1"/>
  <c r="B823" i="1" a="1"/>
  <c r="B823" i="1" s="1"/>
  <c r="W822" i="1"/>
  <c r="V822" i="1"/>
  <c r="U822" i="1"/>
  <c r="S822" i="1"/>
  <c r="O822" i="1"/>
  <c r="J822" i="1"/>
  <c r="I822" i="1"/>
  <c r="H822" i="1" a="1"/>
  <c r="H822" i="1"/>
  <c r="G822" i="1" a="1"/>
  <c r="G822" i="1" s="1"/>
  <c r="W821" i="1"/>
  <c r="V821" i="1"/>
  <c r="U821" i="1"/>
  <c r="P821" i="1"/>
  <c r="O821" i="1"/>
  <c r="M821" i="1"/>
  <c r="L821" i="1"/>
  <c r="K821" i="1"/>
  <c r="J821" i="1"/>
  <c r="I821" i="1"/>
  <c r="W820" i="1"/>
  <c r="V820" i="1"/>
  <c r="U820" i="1"/>
  <c r="S820" i="1"/>
  <c r="O820" i="1"/>
  <c r="L820" i="1"/>
  <c r="K820" i="1"/>
  <c r="J820" i="1"/>
  <c r="I820" i="1"/>
  <c r="W819" i="1"/>
  <c r="V819" i="1"/>
  <c r="U819" i="1"/>
  <c r="S819" i="1"/>
  <c r="P819" i="1"/>
  <c r="O819" i="1"/>
  <c r="L819" i="1"/>
  <c r="K819" i="1"/>
  <c r="E819" i="1" a="1"/>
  <c r="E819" i="1"/>
  <c r="C819" i="1" a="1"/>
  <c r="C819" i="1" s="1"/>
  <c r="B819" i="1" a="1"/>
  <c r="B819" i="1" s="1"/>
  <c r="W818" i="1"/>
  <c r="V818" i="1"/>
  <c r="U818" i="1"/>
  <c r="S818" i="1"/>
  <c r="J818" i="1"/>
  <c r="I818" i="1"/>
  <c r="H818" i="1" a="1"/>
  <c r="H818" i="1"/>
  <c r="G818" i="1" a="1"/>
  <c r="G818" i="1"/>
  <c r="W817" i="1"/>
  <c r="C817" i="1" s="1" a="1"/>
  <c r="C817" i="1" s="1"/>
  <c r="V817" i="1"/>
  <c r="U817" i="1"/>
  <c r="S817" i="1"/>
  <c r="P817" i="1"/>
  <c r="O817" i="1"/>
  <c r="M817" i="1"/>
  <c r="L817" i="1"/>
  <c r="K817" i="1"/>
  <c r="J817" i="1"/>
  <c r="I817" i="1"/>
  <c r="H817" i="1" a="1"/>
  <c r="H817" i="1"/>
  <c r="B817" i="1" a="1"/>
  <c r="B817" i="1"/>
  <c r="W816" i="1"/>
  <c r="V816" i="1"/>
  <c r="U816" i="1"/>
  <c r="S816" i="1"/>
  <c r="P816" i="1"/>
  <c r="W815" i="1"/>
  <c r="V815" i="1"/>
  <c r="U815" i="1"/>
  <c r="O815" i="1"/>
  <c r="M815" i="1"/>
  <c r="I815" i="1"/>
  <c r="H815" i="1" a="1"/>
  <c r="H815" i="1"/>
  <c r="W814" i="1"/>
  <c r="M814" i="1" s="1"/>
  <c r="V814" i="1"/>
  <c r="U814" i="1"/>
  <c r="W813" i="1"/>
  <c r="V813" i="1"/>
  <c r="U813" i="1"/>
  <c r="P813" i="1"/>
  <c r="M813" i="1"/>
  <c r="L813" i="1"/>
  <c r="K813" i="1"/>
  <c r="J813" i="1"/>
  <c r="I813" i="1"/>
  <c r="H813" i="1" a="1"/>
  <c r="H813" i="1" s="1"/>
  <c r="W812" i="1"/>
  <c r="V812" i="1"/>
  <c r="U812" i="1"/>
  <c r="S812" i="1"/>
  <c r="P812" i="1"/>
  <c r="O812" i="1"/>
  <c r="M812" i="1"/>
  <c r="K812" i="1"/>
  <c r="J812" i="1"/>
  <c r="F812" i="1" a="1"/>
  <c r="F812" i="1"/>
  <c r="E812" i="1" a="1"/>
  <c r="E812" i="1"/>
  <c r="C812" i="1" a="1"/>
  <c r="C812" i="1" s="1"/>
  <c r="B812" i="1" a="1"/>
  <c r="B812" i="1" s="1"/>
  <c r="W811" i="1"/>
  <c r="V811" i="1"/>
  <c r="U811" i="1"/>
  <c r="S811" i="1"/>
  <c r="P811" i="1"/>
  <c r="I811" i="1"/>
  <c r="H811" i="1" a="1"/>
  <c r="H811" i="1" s="1"/>
  <c r="G811" i="1" a="1"/>
  <c r="G811" i="1"/>
  <c r="W810" i="1"/>
  <c r="V810" i="1"/>
  <c r="U810" i="1"/>
  <c r="S810" i="1"/>
  <c r="P810" i="1"/>
  <c r="O810" i="1"/>
  <c r="M810" i="1"/>
  <c r="L810" i="1"/>
  <c r="K810" i="1"/>
  <c r="J810" i="1"/>
  <c r="I810" i="1"/>
  <c r="H810" i="1" a="1"/>
  <c r="H810" i="1"/>
  <c r="G810" i="1" a="1"/>
  <c r="G810" i="1" s="1"/>
  <c r="F810" i="1" a="1"/>
  <c r="F810" i="1" s="1"/>
  <c r="E810" i="1" a="1"/>
  <c r="E810" i="1"/>
  <c r="C810" i="1" a="1"/>
  <c r="C810" i="1" s="1"/>
  <c r="B810" i="1" a="1"/>
  <c r="B810" i="1"/>
  <c r="W809" i="1"/>
  <c r="P809" i="1" s="1"/>
  <c r="V809" i="1"/>
  <c r="U809" i="1"/>
  <c r="W808" i="1"/>
  <c r="V808" i="1"/>
  <c r="U808" i="1"/>
  <c r="S808" i="1"/>
  <c r="P808" i="1"/>
  <c r="O808" i="1"/>
  <c r="M808" i="1"/>
  <c r="L808" i="1"/>
  <c r="K808" i="1"/>
  <c r="J808" i="1"/>
  <c r="I808" i="1"/>
  <c r="H808" i="1" a="1"/>
  <c r="H808" i="1"/>
  <c r="G808" i="1" a="1"/>
  <c r="G808" i="1" s="1"/>
  <c r="F808" i="1" a="1"/>
  <c r="F808" i="1" s="1"/>
  <c r="E808" i="1" a="1"/>
  <c r="E808" i="1" s="1"/>
  <c r="C808" i="1" a="1"/>
  <c r="C808" i="1"/>
  <c r="B808" i="1" a="1"/>
  <c r="B808" i="1" s="1"/>
  <c r="W807" i="1"/>
  <c r="V807" i="1"/>
  <c r="U807" i="1"/>
  <c r="G807" i="1" a="1"/>
  <c r="G807" i="1" s="1"/>
  <c r="W806" i="1"/>
  <c r="V806" i="1"/>
  <c r="U806" i="1"/>
  <c r="I806" i="1"/>
  <c r="G806" i="1" a="1"/>
  <c r="G806" i="1" s="1"/>
  <c r="E806" i="1" a="1"/>
  <c r="E806" i="1" s="1"/>
  <c r="C806" i="1" a="1"/>
  <c r="C806" i="1" s="1"/>
  <c r="B806" i="1" a="1"/>
  <c r="B806" i="1"/>
  <c r="W805" i="1"/>
  <c r="E805" i="1" s="1" a="1"/>
  <c r="E805" i="1" s="1"/>
  <c r="V805" i="1"/>
  <c r="U805" i="1"/>
  <c r="W804" i="1"/>
  <c r="B804" i="1" s="1" a="1"/>
  <c r="B804" i="1" s="1"/>
  <c r="V804" i="1"/>
  <c r="U804" i="1"/>
  <c r="G804" i="1" a="1"/>
  <c r="G804" i="1"/>
  <c r="F804" i="1" a="1"/>
  <c r="F804" i="1" s="1"/>
  <c r="W803" i="1"/>
  <c r="V803" i="1"/>
  <c r="U803" i="1"/>
  <c r="I803" i="1"/>
  <c r="H803" i="1" a="1"/>
  <c r="H803" i="1"/>
  <c r="E803" i="1" a="1"/>
  <c r="E803" i="1"/>
  <c r="W802" i="1"/>
  <c r="G802" i="1" s="1" a="1"/>
  <c r="G802" i="1" s="1"/>
  <c r="V802" i="1"/>
  <c r="U802" i="1"/>
  <c r="W801" i="1"/>
  <c r="V801" i="1"/>
  <c r="U801" i="1"/>
  <c r="G801" i="1" a="1"/>
  <c r="G801" i="1"/>
  <c r="C801" i="1" a="1"/>
  <c r="C801" i="1" s="1"/>
  <c r="W800" i="1"/>
  <c r="P800" i="1" s="1"/>
  <c r="V800" i="1"/>
  <c r="U800" i="1"/>
  <c r="S800" i="1"/>
  <c r="O800" i="1"/>
  <c r="M800" i="1"/>
  <c r="L800" i="1"/>
  <c r="J800" i="1"/>
  <c r="H800" i="1" a="1"/>
  <c r="H800" i="1"/>
  <c r="G800" i="1" a="1"/>
  <c r="G800" i="1"/>
  <c r="F800" i="1" a="1"/>
  <c r="F800" i="1" s="1"/>
  <c r="E800" i="1" a="1"/>
  <c r="E800" i="1" s="1"/>
  <c r="C800" i="1" a="1"/>
  <c r="C800" i="1" s="1"/>
  <c r="B800" i="1" a="1"/>
  <c r="B800" i="1" s="1"/>
  <c r="W799" i="1"/>
  <c r="V799" i="1"/>
  <c r="U799" i="1"/>
  <c r="P799" i="1"/>
  <c r="O799" i="1"/>
  <c r="M799" i="1"/>
  <c r="L799" i="1"/>
  <c r="K799" i="1"/>
  <c r="J799" i="1"/>
  <c r="I799" i="1"/>
  <c r="H799" i="1" a="1"/>
  <c r="H799" i="1" s="1"/>
  <c r="G799" i="1" a="1"/>
  <c r="G799" i="1"/>
  <c r="B799" i="1" a="1"/>
  <c r="B799" i="1" s="1"/>
  <c r="W798" i="1"/>
  <c r="S798" i="1" s="1"/>
  <c r="V798" i="1"/>
  <c r="U798" i="1"/>
  <c r="O798" i="1"/>
  <c r="M798" i="1"/>
  <c r="K798" i="1"/>
  <c r="J798" i="1"/>
  <c r="F798" i="1" a="1"/>
  <c r="F798" i="1"/>
  <c r="E798" i="1" a="1"/>
  <c r="E798" i="1"/>
  <c r="C798" i="1" a="1"/>
  <c r="C798" i="1" s="1"/>
  <c r="W797" i="1"/>
  <c r="P797" i="1" s="1"/>
  <c r="V797" i="1"/>
  <c r="U797" i="1"/>
  <c r="M797" i="1"/>
  <c r="I797" i="1"/>
  <c r="H797" i="1" a="1"/>
  <c r="H797" i="1"/>
  <c r="G797" i="1" a="1"/>
  <c r="G797" i="1"/>
  <c r="F797" i="1" a="1"/>
  <c r="F797" i="1"/>
  <c r="E797" i="1" a="1"/>
  <c r="E797" i="1"/>
  <c r="W796" i="1"/>
  <c r="O796" i="1" s="1"/>
  <c r="V796" i="1"/>
  <c r="U796" i="1"/>
  <c r="L796" i="1"/>
  <c r="K796" i="1"/>
  <c r="J796" i="1"/>
  <c r="I796" i="1"/>
  <c r="H796" i="1" a="1"/>
  <c r="H796" i="1" s="1"/>
  <c r="G796" i="1" a="1"/>
  <c r="G796" i="1" s="1"/>
  <c r="F796" i="1" a="1"/>
  <c r="F796" i="1"/>
  <c r="C796" i="1" a="1"/>
  <c r="C796" i="1" s="1"/>
  <c r="W795" i="1"/>
  <c r="S795" i="1" s="1"/>
  <c r="V795" i="1"/>
  <c r="U795" i="1"/>
  <c r="K795" i="1"/>
  <c r="J795" i="1"/>
  <c r="I795" i="1"/>
  <c r="H795" i="1" a="1"/>
  <c r="H795" i="1" s="1"/>
  <c r="G795" i="1" a="1"/>
  <c r="G795" i="1" s="1"/>
  <c r="C795" i="1" a="1"/>
  <c r="C795" i="1" s="1"/>
  <c r="W794" i="1"/>
  <c r="V794" i="1"/>
  <c r="U794" i="1"/>
  <c r="S794" i="1"/>
  <c r="P794" i="1"/>
  <c r="O794" i="1"/>
  <c r="M794" i="1"/>
  <c r="L794" i="1"/>
  <c r="K794" i="1"/>
  <c r="J794" i="1"/>
  <c r="I794" i="1"/>
  <c r="H794" i="1" a="1"/>
  <c r="H794" i="1"/>
  <c r="G794" i="1" a="1"/>
  <c r="G794" i="1" s="1"/>
  <c r="F794" i="1" a="1"/>
  <c r="F794" i="1" s="1"/>
  <c r="E794" i="1" a="1"/>
  <c r="E794" i="1" s="1"/>
  <c r="C794" i="1" a="1"/>
  <c r="C794" i="1"/>
  <c r="B794" i="1" a="1"/>
  <c r="B794" i="1"/>
  <c r="W793" i="1"/>
  <c r="V793" i="1"/>
  <c r="U793" i="1"/>
  <c r="S793" i="1"/>
  <c r="K793" i="1"/>
  <c r="I793" i="1"/>
  <c r="H793" i="1" a="1"/>
  <c r="H793" i="1" s="1"/>
  <c r="G793" i="1" a="1"/>
  <c r="G793" i="1" s="1"/>
  <c r="F793" i="1" a="1"/>
  <c r="F793" i="1" s="1"/>
  <c r="E793" i="1" a="1"/>
  <c r="E793" i="1"/>
  <c r="B793" i="1" a="1"/>
  <c r="B793" i="1" s="1"/>
  <c r="W792" i="1"/>
  <c r="V792" i="1"/>
  <c r="U792" i="1"/>
  <c r="S792" i="1"/>
  <c r="P792" i="1"/>
  <c r="O792" i="1"/>
  <c r="M792" i="1"/>
  <c r="L792" i="1"/>
  <c r="K792" i="1"/>
  <c r="J792" i="1"/>
  <c r="I792" i="1"/>
  <c r="H792" i="1" a="1"/>
  <c r="H792" i="1" s="1"/>
  <c r="G792" i="1" a="1"/>
  <c r="G792" i="1"/>
  <c r="F792" i="1" a="1"/>
  <c r="F792" i="1" s="1"/>
  <c r="E792" i="1" a="1"/>
  <c r="E792" i="1" s="1"/>
  <c r="C792" i="1" a="1"/>
  <c r="C792" i="1"/>
  <c r="B792" i="1" a="1"/>
  <c r="B792" i="1"/>
  <c r="W791" i="1"/>
  <c r="P791" i="1" s="1"/>
  <c r="V791" i="1"/>
  <c r="U791" i="1"/>
  <c r="W790" i="1"/>
  <c r="V790" i="1"/>
  <c r="U790" i="1"/>
  <c r="S790" i="1"/>
  <c r="O790" i="1"/>
  <c r="J790" i="1"/>
  <c r="E790" i="1" a="1"/>
  <c r="E790" i="1" s="1"/>
  <c r="C790" i="1" a="1"/>
  <c r="C790" i="1" s="1"/>
  <c r="W789" i="1"/>
  <c r="M789" i="1" s="1"/>
  <c r="V789" i="1"/>
  <c r="U789" i="1"/>
  <c r="P789" i="1"/>
  <c r="O789" i="1"/>
  <c r="E789" i="1" a="1"/>
  <c r="E789" i="1"/>
  <c r="W788" i="1"/>
  <c r="V788" i="1"/>
  <c r="U788" i="1"/>
  <c r="S788" i="1"/>
  <c r="O788" i="1"/>
  <c r="L788" i="1"/>
  <c r="W787" i="1"/>
  <c r="P787" i="1" s="1"/>
  <c r="V787" i="1"/>
  <c r="U787" i="1"/>
  <c r="S787" i="1"/>
  <c r="O787" i="1"/>
  <c r="L787" i="1"/>
  <c r="B787" i="1" a="1"/>
  <c r="B787" i="1"/>
  <c r="W786" i="1"/>
  <c r="B786" i="1" s="1" a="1"/>
  <c r="B786" i="1" s="1"/>
  <c r="V786" i="1"/>
  <c r="U786" i="1"/>
  <c r="S786" i="1"/>
  <c r="W785" i="1"/>
  <c r="C785" i="1" s="1" a="1"/>
  <c r="C785" i="1" s="1"/>
  <c r="V785" i="1"/>
  <c r="U785" i="1"/>
  <c r="S785" i="1"/>
  <c r="P785" i="1"/>
  <c r="O785" i="1"/>
  <c r="M785" i="1"/>
  <c r="L785" i="1"/>
  <c r="K785" i="1"/>
  <c r="J785" i="1"/>
  <c r="I785" i="1"/>
  <c r="H785" i="1" a="1"/>
  <c r="H785" i="1"/>
  <c r="B785" i="1" a="1"/>
  <c r="B785" i="1" s="1"/>
  <c r="W784" i="1"/>
  <c r="V784" i="1"/>
  <c r="U784" i="1"/>
  <c r="S784" i="1"/>
  <c r="P784" i="1"/>
  <c r="C784" i="1" a="1"/>
  <c r="C784" i="1"/>
  <c r="B784" i="1" a="1"/>
  <c r="B784" i="1"/>
  <c r="W783" i="1"/>
  <c r="O783" i="1" s="1"/>
  <c r="V783" i="1"/>
  <c r="U783" i="1"/>
  <c r="B783" i="1" a="1"/>
  <c r="B783" i="1" s="1"/>
  <c r="W782" i="1"/>
  <c r="V782" i="1"/>
  <c r="U782" i="1"/>
  <c r="O782" i="1"/>
  <c r="M782" i="1"/>
  <c r="C782" i="1" a="1"/>
  <c r="C782" i="1" s="1"/>
  <c r="W781" i="1"/>
  <c r="P781" i="1" s="1"/>
  <c r="V781" i="1"/>
  <c r="U781" i="1"/>
  <c r="M781" i="1"/>
  <c r="L781" i="1"/>
  <c r="W780" i="1"/>
  <c r="V780" i="1"/>
  <c r="U780" i="1"/>
  <c r="S780" i="1"/>
  <c r="P780" i="1"/>
  <c r="O780" i="1"/>
  <c r="M780" i="1"/>
  <c r="W779" i="1"/>
  <c r="P779" i="1" s="1"/>
  <c r="V779" i="1"/>
  <c r="U779" i="1"/>
  <c r="S779" i="1"/>
  <c r="I779" i="1"/>
  <c r="C779" i="1" a="1"/>
  <c r="C779" i="1" s="1"/>
  <c r="W778" i="1"/>
  <c r="V778" i="1"/>
  <c r="U778" i="1"/>
  <c r="S778" i="1"/>
  <c r="P778" i="1"/>
  <c r="O778" i="1"/>
  <c r="M778" i="1"/>
  <c r="L778" i="1"/>
  <c r="K778" i="1"/>
  <c r="J778" i="1"/>
  <c r="I778" i="1"/>
  <c r="H778" i="1" a="1"/>
  <c r="H778" i="1"/>
  <c r="G778" i="1" a="1"/>
  <c r="G778" i="1" s="1"/>
  <c r="F778" i="1" a="1"/>
  <c r="F778" i="1" s="1"/>
  <c r="E778" i="1" a="1"/>
  <c r="E778" i="1"/>
  <c r="C778" i="1" a="1"/>
  <c r="C778" i="1" s="1"/>
  <c r="B778" i="1" a="1"/>
  <c r="B778" i="1"/>
  <c r="W777" i="1"/>
  <c r="E777" i="1" s="1" a="1"/>
  <c r="E777" i="1" s="1"/>
  <c r="V777" i="1"/>
  <c r="U777" i="1"/>
  <c r="W776" i="1"/>
  <c r="V776" i="1"/>
  <c r="U776" i="1"/>
  <c r="S776" i="1"/>
  <c r="P776" i="1"/>
  <c r="O776" i="1"/>
  <c r="M776" i="1"/>
  <c r="L776" i="1"/>
  <c r="K776" i="1"/>
  <c r="J776" i="1"/>
  <c r="I776" i="1"/>
  <c r="H776" i="1" a="1"/>
  <c r="H776" i="1" s="1"/>
  <c r="G776" i="1" a="1"/>
  <c r="G776" i="1"/>
  <c r="F776" i="1" a="1"/>
  <c r="F776" i="1" s="1"/>
  <c r="E776" i="1" a="1"/>
  <c r="E776" i="1" s="1"/>
  <c r="C776" i="1" a="1"/>
  <c r="C776" i="1"/>
  <c r="B776" i="1" a="1"/>
  <c r="B776" i="1" s="1"/>
  <c r="W775" i="1"/>
  <c r="V775" i="1"/>
  <c r="U775" i="1"/>
  <c r="O775" i="1"/>
  <c r="M775" i="1"/>
  <c r="L775" i="1"/>
  <c r="K775" i="1"/>
  <c r="I775" i="1"/>
  <c r="G775" i="1" a="1"/>
  <c r="G775" i="1"/>
  <c r="F775" i="1" a="1"/>
  <c r="F775" i="1"/>
  <c r="C775" i="1" a="1"/>
  <c r="C775" i="1" s="1"/>
  <c r="W774" i="1"/>
  <c r="S774" i="1" s="1"/>
  <c r="V774" i="1"/>
  <c r="U774" i="1"/>
  <c r="O774" i="1"/>
  <c r="M774" i="1"/>
  <c r="L774" i="1"/>
  <c r="K774" i="1"/>
  <c r="J774" i="1"/>
  <c r="I774" i="1"/>
  <c r="G774" i="1" a="1"/>
  <c r="G774" i="1" s="1"/>
  <c r="E774" i="1" a="1"/>
  <c r="E774" i="1" s="1"/>
  <c r="C774" i="1" a="1"/>
  <c r="C774" i="1" s="1"/>
  <c r="W773" i="1"/>
  <c r="S773" i="1" s="1"/>
  <c r="V773" i="1"/>
  <c r="U773" i="1"/>
  <c r="P773" i="1"/>
  <c r="O773" i="1"/>
  <c r="L773" i="1"/>
  <c r="K773" i="1"/>
  <c r="F773" i="1" a="1"/>
  <c r="F773" i="1" s="1"/>
  <c r="E773" i="1" a="1"/>
  <c r="E773" i="1"/>
  <c r="C773" i="1" a="1"/>
  <c r="C773" i="1" s="1"/>
  <c r="W772" i="1"/>
  <c r="V772" i="1"/>
  <c r="U772" i="1"/>
  <c r="S772" i="1"/>
  <c r="J772" i="1"/>
  <c r="I772" i="1"/>
  <c r="H772" i="1" a="1"/>
  <c r="H772" i="1"/>
  <c r="G772" i="1" a="1"/>
  <c r="G772" i="1"/>
  <c r="F772" i="1" a="1"/>
  <c r="F772" i="1"/>
  <c r="E772" i="1" a="1"/>
  <c r="E772" i="1" s="1"/>
  <c r="B772" i="1" a="1"/>
  <c r="B772" i="1" s="1"/>
  <c r="W771" i="1"/>
  <c r="P771" i="1" s="1"/>
  <c r="V771" i="1"/>
  <c r="U771" i="1"/>
  <c r="O771" i="1"/>
  <c r="M771" i="1"/>
  <c r="L771" i="1"/>
  <c r="K771" i="1"/>
  <c r="J771" i="1"/>
  <c r="I771" i="1"/>
  <c r="H771" i="1" a="1"/>
  <c r="H771" i="1"/>
  <c r="E771" i="1" a="1"/>
  <c r="E771" i="1" s="1"/>
  <c r="W770" i="1"/>
  <c r="S770" i="1" s="1"/>
  <c r="V770" i="1"/>
  <c r="U770" i="1"/>
  <c r="P770" i="1"/>
  <c r="O770" i="1"/>
  <c r="L770" i="1"/>
  <c r="J770" i="1"/>
  <c r="I770" i="1"/>
  <c r="G770" i="1" a="1"/>
  <c r="G770" i="1" s="1"/>
  <c r="E770" i="1" a="1"/>
  <c r="E770" i="1"/>
  <c r="C770" i="1" a="1"/>
  <c r="C770" i="1" s="1"/>
  <c r="W769" i="1"/>
  <c r="S769" i="1" s="1"/>
  <c r="V769" i="1"/>
  <c r="U769" i="1"/>
  <c r="P769" i="1"/>
  <c r="M769" i="1"/>
  <c r="L769" i="1"/>
  <c r="H769" i="1" a="1"/>
  <c r="H769" i="1" s="1"/>
  <c r="G769" i="1" a="1"/>
  <c r="G769" i="1"/>
  <c r="C769" i="1" a="1"/>
  <c r="C769" i="1" s="1"/>
  <c r="W768" i="1"/>
  <c r="P768" i="1" s="1"/>
  <c r="V768" i="1"/>
  <c r="U768" i="1"/>
  <c r="S768" i="1"/>
  <c r="O768" i="1"/>
  <c r="M768" i="1"/>
  <c r="L768" i="1"/>
  <c r="J768" i="1"/>
  <c r="H768" i="1" a="1"/>
  <c r="H768" i="1"/>
  <c r="G768" i="1" a="1"/>
  <c r="G768" i="1" s="1"/>
  <c r="F768" i="1" a="1"/>
  <c r="F768" i="1" s="1"/>
  <c r="E768" i="1" a="1"/>
  <c r="E768" i="1" s="1"/>
  <c r="C768" i="1" a="1"/>
  <c r="C768" i="1" s="1"/>
  <c r="B768" i="1" a="1"/>
  <c r="B768" i="1" s="1"/>
  <c r="W767" i="1"/>
  <c r="V767" i="1"/>
  <c r="U767" i="1"/>
  <c r="P767" i="1"/>
  <c r="O767" i="1"/>
  <c r="M767" i="1"/>
  <c r="L767" i="1"/>
  <c r="K767" i="1"/>
  <c r="J767" i="1"/>
  <c r="I767" i="1"/>
  <c r="H767" i="1" a="1"/>
  <c r="H767" i="1" s="1"/>
  <c r="G767" i="1" a="1"/>
  <c r="G767" i="1"/>
  <c r="B767" i="1" a="1"/>
  <c r="B767" i="1"/>
  <c r="W766" i="1"/>
  <c r="V766" i="1"/>
  <c r="U766" i="1"/>
  <c r="S766" i="1"/>
  <c r="P766" i="1"/>
  <c r="O766" i="1"/>
  <c r="M766" i="1"/>
  <c r="K766" i="1"/>
  <c r="J766" i="1"/>
  <c r="F766" i="1" a="1"/>
  <c r="F766" i="1"/>
  <c r="E766" i="1" a="1"/>
  <c r="E766" i="1"/>
  <c r="C766" i="1" a="1"/>
  <c r="C766" i="1" s="1"/>
  <c r="B766" i="1" a="1"/>
  <c r="B766" i="1" s="1"/>
  <c r="W765" i="1"/>
  <c r="V765" i="1"/>
  <c r="U765" i="1"/>
  <c r="P765" i="1"/>
  <c r="M765" i="1"/>
  <c r="I765" i="1"/>
  <c r="H765" i="1" a="1"/>
  <c r="H765" i="1" s="1"/>
  <c r="G765" i="1" a="1"/>
  <c r="G765" i="1" s="1"/>
  <c r="W764" i="1"/>
  <c r="V764" i="1"/>
  <c r="U764" i="1"/>
  <c r="O764" i="1"/>
  <c r="M764" i="1"/>
  <c r="L764" i="1"/>
  <c r="K764" i="1"/>
  <c r="J764" i="1"/>
  <c r="I764" i="1"/>
  <c r="H764" i="1" a="1"/>
  <c r="H764" i="1" s="1"/>
  <c r="G764" i="1" a="1"/>
  <c r="G764" i="1" s="1"/>
  <c r="F764" i="1" a="1"/>
  <c r="F764" i="1"/>
  <c r="C764" i="1" a="1"/>
  <c r="C764" i="1" s="1"/>
  <c r="W763" i="1"/>
  <c r="V763" i="1"/>
  <c r="U763" i="1"/>
  <c r="S763" i="1"/>
  <c r="P763" i="1"/>
  <c r="M763" i="1"/>
  <c r="K763" i="1"/>
  <c r="J763" i="1"/>
  <c r="I763" i="1"/>
  <c r="H763" i="1" a="1"/>
  <c r="H763" i="1" s="1"/>
  <c r="G763" i="1" a="1"/>
  <c r="G763" i="1"/>
  <c r="C763" i="1" a="1"/>
  <c r="C763" i="1"/>
  <c r="W762" i="1"/>
  <c r="V762" i="1"/>
  <c r="U762" i="1"/>
  <c r="S762" i="1"/>
  <c r="P762" i="1"/>
  <c r="O762" i="1"/>
  <c r="M762" i="1"/>
  <c r="L762" i="1"/>
  <c r="K762" i="1"/>
  <c r="J762" i="1"/>
  <c r="I762" i="1"/>
  <c r="H762" i="1" a="1"/>
  <c r="H762" i="1"/>
  <c r="G762" i="1" a="1"/>
  <c r="G762" i="1" s="1"/>
  <c r="F762" i="1" a="1"/>
  <c r="F762" i="1" s="1"/>
  <c r="E762" i="1" a="1"/>
  <c r="E762" i="1"/>
  <c r="C762" i="1" a="1"/>
  <c r="C762" i="1"/>
  <c r="B762" i="1" a="1"/>
  <c r="B762" i="1" s="1"/>
  <c r="W761" i="1"/>
  <c r="V761" i="1"/>
  <c r="U761" i="1"/>
  <c r="S761" i="1"/>
  <c r="K761" i="1"/>
  <c r="I761" i="1"/>
  <c r="H761" i="1" a="1"/>
  <c r="H761" i="1" s="1"/>
  <c r="B761" i="1" a="1"/>
  <c r="B761" i="1" s="1"/>
  <c r="W760" i="1"/>
  <c r="V760" i="1"/>
  <c r="U760" i="1"/>
  <c r="S760" i="1"/>
  <c r="P760" i="1"/>
  <c r="O760" i="1"/>
  <c r="M760" i="1"/>
  <c r="L760" i="1"/>
  <c r="K760" i="1"/>
  <c r="J760" i="1"/>
  <c r="I760" i="1"/>
  <c r="H760" i="1" a="1"/>
  <c r="H760" i="1" s="1"/>
  <c r="G760" i="1" a="1"/>
  <c r="G760" i="1"/>
  <c r="F760" i="1" a="1"/>
  <c r="F760" i="1" s="1"/>
  <c r="E760" i="1" a="1"/>
  <c r="E760" i="1" s="1"/>
  <c r="C760" i="1" a="1"/>
  <c r="C760" i="1"/>
  <c r="B760" i="1" a="1"/>
  <c r="B760" i="1" s="1"/>
  <c r="W759" i="1"/>
  <c r="V759" i="1"/>
  <c r="U759" i="1"/>
  <c r="E759" i="1" a="1"/>
  <c r="E759" i="1" s="1"/>
  <c r="C759" i="1" a="1"/>
  <c r="C759" i="1"/>
  <c r="B759" i="1" a="1"/>
  <c r="B759" i="1"/>
  <c r="W758" i="1"/>
  <c r="B758" i="1" s="1" a="1"/>
  <c r="B758" i="1" s="1"/>
  <c r="V758" i="1"/>
  <c r="U758" i="1"/>
  <c r="G758" i="1" a="1"/>
  <c r="G758" i="1"/>
  <c r="W757" i="1"/>
  <c r="G757" i="1" s="1" a="1"/>
  <c r="G757" i="1" s="1"/>
  <c r="V757" i="1"/>
  <c r="U757" i="1"/>
  <c r="S757" i="1"/>
  <c r="P757" i="1"/>
  <c r="O757" i="1"/>
  <c r="M757" i="1"/>
  <c r="L757" i="1"/>
  <c r="K757" i="1"/>
  <c r="J757" i="1"/>
  <c r="I757" i="1"/>
  <c r="H757" i="1" a="1"/>
  <c r="H757" i="1" s="1"/>
  <c r="F757" i="1" a="1"/>
  <c r="F757" i="1"/>
  <c r="E757" i="1" a="1"/>
  <c r="E757" i="1" s="1"/>
  <c r="C757" i="1" a="1"/>
  <c r="C757" i="1"/>
  <c r="B757" i="1" a="1"/>
  <c r="B757" i="1"/>
  <c r="W756" i="1"/>
  <c r="V756" i="1"/>
  <c r="U756" i="1"/>
  <c r="S756" i="1"/>
  <c r="P756" i="1"/>
  <c r="O756" i="1"/>
  <c r="L756" i="1"/>
  <c r="J756" i="1"/>
  <c r="I756" i="1"/>
  <c r="F756" i="1" a="1"/>
  <c r="F756" i="1" s="1"/>
  <c r="E756" i="1" a="1"/>
  <c r="E756" i="1" s="1"/>
  <c r="C756" i="1" a="1"/>
  <c r="C756" i="1"/>
  <c r="B756" i="1" a="1"/>
  <c r="B756" i="1" s="1"/>
  <c r="W755" i="1"/>
  <c r="V755" i="1"/>
  <c r="U755" i="1"/>
  <c r="S755" i="1"/>
  <c r="P755" i="1"/>
  <c r="K755" i="1"/>
  <c r="J755" i="1"/>
  <c r="I755" i="1"/>
  <c r="H755" i="1" a="1"/>
  <c r="H755" i="1" s="1"/>
  <c r="G755" i="1" a="1"/>
  <c r="G755" i="1" s="1"/>
  <c r="E755" i="1" a="1"/>
  <c r="E755" i="1"/>
  <c r="B755" i="1" a="1"/>
  <c r="B755" i="1" s="1"/>
  <c r="W754" i="1"/>
  <c r="K754" i="1" s="1"/>
  <c r="V754" i="1"/>
  <c r="U754" i="1"/>
  <c r="S754" i="1"/>
  <c r="P754" i="1"/>
  <c r="O754" i="1"/>
  <c r="M754" i="1"/>
  <c r="L754" i="1"/>
  <c r="J754" i="1"/>
  <c r="I754" i="1"/>
  <c r="H754" i="1" a="1"/>
  <c r="H754" i="1" s="1"/>
  <c r="F754" i="1" a="1"/>
  <c r="F754" i="1" s="1"/>
  <c r="E754" i="1" a="1"/>
  <c r="E754" i="1"/>
  <c r="C754" i="1" a="1"/>
  <c r="C754" i="1"/>
  <c r="B754" i="1" a="1"/>
  <c r="B754" i="1"/>
  <c r="W753" i="1"/>
  <c r="B753" i="1" s="1" a="1"/>
  <c r="B753" i="1" s="1"/>
  <c r="V753" i="1"/>
  <c r="U753" i="1"/>
  <c r="S753" i="1"/>
  <c r="P753" i="1"/>
  <c r="W752" i="1"/>
  <c r="I752" i="1" s="1"/>
  <c r="V752" i="1"/>
  <c r="U752" i="1"/>
  <c r="S752" i="1"/>
  <c r="P752" i="1"/>
  <c r="O752" i="1"/>
  <c r="M752" i="1"/>
  <c r="L752" i="1"/>
  <c r="K752" i="1"/>
  <c r="J752" i="1"/>
  <c r="H752" i="1" a="1"/>
  <c r="H752" i="1"/>
  <c r="G752" i="1" a="1"/>
  <c r="G752" i="1" s="1"/>
  <c r="F752" i="1" a="1"/>
  <c r="F752" i="1" s="1"/>
  <c r="E752" i="1" a="1"/>
  <c r="E752" i="1"/>
  <c r="C752" i="1" a="1"/>
  <c r="C752" i="1" s="1"/>
  <c r="B752" i="1" a="1"/>
  <c r="B752" i="1"/>
  <c r="W751" i="1"/>
  <c r="P751" i="1" s="1"/>
  <c r="V751" i="1"/>
  <c r="U751" i="1"/>
  <c r="O751" i="1"/>
  <c r="L751" i="1"/>
  <c r="K751" i="1"/>
  <c r="J751" i="1"/>
  <c r="I751" i="1"/>
  <c r="G751" i="1" a="1"/>
  <c r="G751" i="1" s="1"/>
  <c r="E751" i="1" a="1"/>
  <c r="E751" i="1" s="1"/>
  <c r="B751" i="1" a="1"/>
  <c r="B751" i="1" s="1"/>
  <c r="W750" i="1"/>
  <c r="S750" i="1" s="1"/>
  <c r="V750" i="1"/>
  <c r="U750" i="1"/>
  <c r="M750" i="1"/>
  <c r="L750" i="1"/>
  <c r="H750" i="1" a="1"/>
  <c r="H750" i="1" s="1"/>
  <c r="G750" i="1" a="1"/>
  <c r="G750" i="1" s="1"/>
  <c r="F750" i="1" a="1"/>
  <c r="F750" i="1" s="1"/>
  <c r="E750" i="1" a="1"/>
  <c r="E750" i="1"/>
  <c r="C750" i="1" a="1"/>
  <c r="C750" i="1" s="1"/>
  <c r="B750" i="1" a="1"/>
  <c r="B750" i="1" s="1"/>
  <c r="W749" i="1"/>
  <c r="M749" i="1" s="1"/>
  <c r="V749" i="1"/>
  <c r="U749" i="1"/>
  <c r="L749" i="1"/>
  <c r="K749" i="1"/>
  <c r="J749" i="1"/>
  <c r="I749" i="1"/>
  <c r="H749" i="1" a="1"/>
  <c r="H749" i="1"/>
  <c r="G749" i="1" a="1"/>
  <c r="G749" i="1"/>
  <c r="F749" i="1" a="1"/>
  <c r="F749" i="1" s="1"/>
  <c r="E749" i="1" a="1"/>
  <c r="E749" i="1" s="1"/>
  <c r="W748" i="1"/>
  <c r="S748" i="1" s="1"/>
  <c r="V748" i="1"/>
  <c r="U748" i="1"/>
  <c r="O748" i="1"/>
  <c r="M748" i="1"/>
  <c r="L748" i="1"/>
  <c r="K748" i="1"/>
  <c r="J748" i="1"/>
  <c r="H748" i="1" a="1"/>
  <c r="H748" i="1"/>
  <c r="E748" i="1" a="1"/>
  <c r="E748" i="1"/>
  <c r="C748" i="1" a="1"/>
  <c r="C748" i="1" s="1"/>
  <c r="B748" i="1" a="1"/>
  <c r="B748" i="1"/>
  <c r="W747" i="1"/>
  <c r="V747" i="1"/>
  <c r="U747" i="1"/>
  <c r="S747" i="1"/>
  <c r="O747" i="1"/>
  <c r="M747" i="1"/>
  <c r="H747" i="1" a="1"/>
  <c r="H747" i="1"/>
  <c r="G747" i="1" a="1"/>
  <c r="G747" i="1"/>
  <c r="F747" i="1" a="1"/>
  <c r="F747" i="1"/>
  <c r="E747" i="1" a="1"/>
  <c r="E747" i="1" s="1"/>
  <c r="C747" i="1" a="1"/>
  <c r="C747" i="1"/>
  <c r="W746" i="1"/>
  <c r="V746" i="1"/>
  <c r="U746" i="1"/>
  <c r="S746" i="1"/>
  <c r="P746" i="1"/>
  <c r="O746" i="1"/>
  <c r="M746" i="1"/>
  <c r="L746" i="1"/>
  <c r="K746" i="1"/>
  <c r="J746" i="1"/>
  <c r="I746" i="1"/>
  <c r="H746" i="1" a="1"/>
  <c r="H746" i="1" s="1"/>
  <c r="G746" i="1" a="1"/>
  <c r="G746" i="1" s="1"/>
  <c r="F746" i="1" a="1"/>
  <c r="F746" i="1" s="1"/>
  <c r="E746" i="1" a="1"/>
  <c r="E746" i="1" s="1"/>
  <c r="C746" i="1" a="1"/>
  <c r="C746" i="1"/>
  <c r="B746" i="1" a="1"/>
  <c r="B746" i="1"/>
  <c r="W745" i="1"/>
  <c r="V745" i="1"/>
  <c r="U745" i="1"/>
  <c r="S745" i="1"/>
  <c r="P745" i="1"/>
  <c r="O745" i="1"/>
  <c r="M745" i="1"/>
  <c r="L745" i="1"/>
  <c r="B745" i="1" a="1"/>
  <c r="B745" i="1"/>
  <c r="W744" i="1"/>
  <c r="V744" i="1"/>
  <c r="U744" i="1"/>
  <c r="S744" i="1"/>
  <c r="P744" i="1"/>
  <c r="K744" i="1"/>
  <c r="E744" i="1" a="1"/>
  <c r="E744" i="1" s="1"/>
  <c r="C744" i="1" a="1"/>
  <c r="C744" i="1"/>
  <c r="W743" i="1"/>
  <c r="H743" i="1" s="1" a="1"/>
  <c r="H743" i="1" s="1"/>
  <c r="V743" i="1"/>
  <c r="U743" i="1"/>
  <c r="S743" i="1"/>
  <c r="P743" i="1"/>
  <c r="O743" i="1"/>
  <c r="M743" i="1"/>
  <c r="L743" i="1"/>
  <c r="K743" i="1"/>
  <c r="J743" i="1"/>
  <c r="I743" i="1"/>
  <c r="G743" i="1" a="1"/>
  <c r="G743" i="1" s="1"/>
  <c r="E743" i="1" a="1"/>
  <c r="E743" i="1"/>
  <c r="C743" i="1" a="1"/>
  <c r="C743" i="1"/>
  <c r="B743" i="1" a="1"/>
  <c r="B743" i="1"/>
  <c r="W742" i="1"/>
  <c r="B742" i="1" s="1" a="1"/>
  <c r="B742" i="1" s="1"/>
  <c r="V742" i="1"/>
  <c r="U742" i="1"/>
  <c r="G742" i="1" a="1"/>
  <c r="G742" i="1" s="1"/>
  <c r="W741" i="1"/>
  <c r="G741" i="1" s="1" a="1"/>
  <c r="V741" i="1"/>
  <c r="U741" i="1"/>
  <c r="S741" i="1"/>
  <c r="P741" i="1"/>
  <c r="O741" i="1"/>
  <c r="M741" i="1"/>
  <c r="L741" i="1"/>
  <c r="K741" i="1"/>
  <c r="J741" i="1"/>
  <c r="I741" i="1"/>
  <c r="H741" i="1" a="1"/>
  <c r="H741" i="1"/>
  <c r="G741" i="1"/>
  <c r="F741" i="1" a="1"/>
  <c r="F741" i="1" s="1"/>
  <c r="C741" i="1" a="1"/>
  <c r="C741" i="1" s="1"/>
  <c r="B741" i="1" a="1"/>
  <c r="B741" i="1"/>
  <c r="W740" i="1"/>
  <c r="V740" i="1"/>
  <c r="U740" i="1"/>
  <c r="S740" i="1"/>
  <c r="P740" i="1"/>
  <c r="O740" i="1"/>
  <c r="L740" i="1"/>
  <c r="K740" i="1"/>
  <c r="G740" i="1" a="1"/>
  <c r="G740" i="1"/>
  <c r="F740" i="1" a="1"/>
  <c r="F740" i="1" s="1"/>
  <c r="E740" i="1" a="1"/>
  <c r="E740" i="1"/>
  <c r="C740" i="1" a="1"/>
  <c r="C740" i="1" s="1"/>
  <c r="B740" i="1" a="1"/>
  <c r="B740" i="1" s="1"/>
  <c r="W739" i="1"/>
  <c r="V739" i="1"/>
  <c r="U739" i="1"/>
  <c r="O739" i="1"/>
  <c r="M739" i="1"/>
  <c r="L739" i="1"/>
  <c r="K739" i="1"/>
  <c r="J739" i="1"/>
  <c r="I739" i="1"/>
  <c r="H739" i="1" a="1"/>
  <c r="H739" i="1" s="1"/>
  <c r="G739" i="1" a="1"/>
  <c r="G739" i="1"/>
  <c r="E739" i="1" a="1"/>
  <c r="E739" i="1" s="1"/>
  <c r="B739" i="1" a="1"/>
  <c r="B739" i="1" s="1"/>
  <c r="W738" i="1"/>
  <c r="V738" i="1"/>
  <c r="U738" i="1"/>
  <c r="S738" i="1"/>
  <c r="P738" i="1"/>
  <c r="O738" i="1"/>
  <c r="M738" i="1"/>
  <c r="L738" i="1"/>
  <c r="J738" i="1"/>
  <c r="I738" i="1"/>
  <c r="B738" i="1" a="1"/>
  <c r="B738" i="1" s="1"/>
  <c r="W737" i="1"/>
  <c r="V737" i="1"/>
  <c r="U737" i="1"/>
  <c r="S737" i="1"/>
  <c r="L737" i="1"/>
  <c r="K737" i="1"/>
  <c r="J737" i="1"/>
  <c r="C737" i="1" a="1"/>
  <c r="C737" i="1" s="1"/>
  <c r="W736" i="1"/>
  <c r="V736" i="1"/>
  <c r="U736" i="1"/>
  <c r="W735" i="1"/>
  <c r="B735" i="1" s="1" a="1"/>
  <c r="B735" i="1" s="1"/>
  <c r="V735" i="1"/>
  <c r="U735" i="1"/>
  <c r="P735" i="1"/>
  <c r="F735" i="1" a="1"/>
  <c r="F735" i="1" s="1"/>
  <c r="W734" i="1"/>
  <c r="V734" i="1"/>
  <c r="U734" i="1"/>
  <c r="S734" i="1"/>
  <c r="P734" i="1"/>
  <c r="O734" i="1"/>
  <c r="M734" i="1"/>
  <c r="L734" i="1"/>
  <c r="K734" i="1"/>
  <c r="J734" i="1"/>
  <c r="I734" i="1"/>
  <c r="H734" i="1" a="1"/>
  <c r="H734" i="1" s="1"/>
  <c r="G734" i="1" a="1"/>
  <c r="G734" i="1" s="1"/>
  <c r="F734" i="1" a="1"/>
  <c r="F734" i="1" s="1"/>
  <c r="E734" i="1" a="1"/>
  <c r="E734" i="1"/>
  <c r="C734" i="1" a="1"/>
  <c r="C734" i="1"/>
  <c r="B734" i="1" a="1"/>
  <c r="B734" i="1"/>
  <c r="W733" i="1"/>
  <c r="S733" i="1" s="1"/>
  <c r="V733" i="1"/>
  <c r="U733" i="1"/>
  <c r="P733" i="1"/>
  <c r="M733" i="1"/>
  <c r="L733" i="1"/>
  <c r="H733" i="1" a="1"/>
  <c r="H733" i="1"/>
  <c r="G733" i="1" a="1"/>
  <c r="G733" i="1" s="1"/>
  <c r="F733" i="1" a="1"/>
  <c r="F733" i="1" s="1"/>
  <c r="E733" i="1" a="1"/>
  <c r="E733" i="1" s="1"/>
  <c r="W732" i="1"/>
  <c r="V732" i="1"/>
  <c r="U732" i="1"/>
  <c r="P732" i="1"/>
  <c r="O732" i="1"/>
  <c r="M732" i="1"/>
  <c r="L732" i="1"/>
  <c r="K732" i="1"/>
  <c r="J732" i="1"/>
  <c r="I732" i="1"/>
  <c r="H732" i="1" a="1"/>
  <c r="H732" i="1" s="1"/>
  <c r="F732" i="1" a="1"/>
  <c r="F732" i="1"/>
  <c r="B732" i="1" a="1"/>
  <c r="B732" i="1" s="1"/>
  <c r="W731" i="1"/>
  <c r="V731" i="1"/>
  <c r="U731" i="1"/>
  <c r="S731" i="1"/>
  <c r="P731" i="1"/>
  <c r="O731" i="1"/>
  <c r="M731" i="1"/>
  <c r="K731" i="1"/>
  <c r="J731" i="1"/>
  <c r="C731" i="1" a="1"/>
  <c r="C731" i="1"/>
  <c r="B731" i="1" a="1"/>
  <c r="B731" i="1" s="1"/>
  <c r="W730" i="1"/>
  <c r="V730" i="1"/>
  <c r="U730" i="1"/>
  <c r="S730" i="1"/>
  <c r="P730" i="1"/>
  <c r="O730" i="1"/>
  <c r="M730" i="1"/>
  <c r="L730" i="1"/>
  <c r="K730" i="1"/>
  <c r="J730" i="1"/>
  <c r="I730" i="1"/>
  <c r="H730" i="1" a="1"/>
  <c r="H730" i="1"/>
  <c r="G730" i="1" a="1"/>
  <c r="G730" i="1" s="1"/>
  <c r="F730" i="1" a="1"/>
  <c r="F730" i="1" s="1"/>
  <c r="E730" i="1" a="1"/>
  <c r="E730" i="1" s="1"/>
  <c r="C730" i="1" a="1"/>
  <c r="C730" i="1" s="1"/>
  <c r="B730" i="1" a="1"/>
  <c r="B730" i="1"/>
  <c r="W729" i="1"/>
  <c r="C729" i="1" s="1" a="1"/>
  <c r="C729" i="1" s="1"/>
  <c r="V729" i="1"/>
  <c r="U729" i="1"/>
  <c r="K729" i="1"/>
  <c r="I729" i="1"/>
  <c r="H729" i="1" a="1"/>
  <c r="H729" i="1" s="1"/>
  <c r="W728" i="1"/>
  <c r="V728" i="1"/>
  <c r="U728" i="1"/>
  <c r="S728" i="1"/>
  <c r="P728" i="1"/>
  <c r="L728" i="1"/>
  <c r="K728" i="1"/>
  <c r="J728" i="1"/>
  <c r="I728" i="1"/>
  <c r="H728" i="1" a="1"/>
  <c r="H728" i="1"/>
  <c r="G728" i="1" a="1"/>
  <c r="G728" i="1"/>
  <c r="F728" i="1" a="1"/>
  <c r="F728" i="1"/>
  <c r="E728" i="1" a="1"/>
  <c r="E728" i="1" s="1"/>
  <c r="C728" i="1" a="1"/>
  <c r="C728" i="1"/>
  <c r="W727" i="1"/>
  <c r="V727" i="1"/>
  <c r="U727" i="1"/>
  <c r="S727" i="1"/>
  <c r="P727" i="1"/>
  <c r="O727" i="1"/>
  <c r="M727" i="1"/>
  <c r="L727" i="1"/>
  <c r="K727" i="1"/>
  <c r="J727" i="1"/>
  <c r="I727" i="1"/>
  <c r="G727" i="1" a="1"/>
  <c r="G727" i="1" s="1"/>
  <c r="E727" i="1" a="1"/>
  <c r="E727" i="1"/>
  <c r="C727" i="1" a="1"/>
  <c r="C727" i="1"/>
  <c r="B727" i="1" a="1"/>
  <c r="B727" i="1"/>
  <c r="W726" i="1"/>
  <c r="C726" i="1" s="1" a="1"/>
  <c r="C726" i="1" s="1"/>
  <c r="V726" i="1"/>
  <c r="U726" i="1"/>
  <c r="S726" i="1"/>
  <c r="O726" i="1"/>
  <c r="M726" i="1"/>
  <c r="J726" i="1"/>
  <c r="W725" i="1"/>
  <c r="G725" i="1" s="1" a="1"/>
  <c r="G725" i="1" s="1"/>
  <c r="V725" i="1"/>
  <c r="U725" i="1"/>
  <c r="S725" i="1"/>
  <c r="P725" i="1"/>
  <c r="O725" i="1"/>
  <c r="M725" i="1"/>
  <c r="L725" i="1"/>
  <c r="K725" i="1"/>
  <c r="J725" i="1"/>
  <c r="I725" i="1"/>
  <c r="H725" i="1" a="1"/>
  <c r="H725" i="1"/>
  <c r="F725" i="1" a="1"/>
  <c r="F725" i="1" s="1"/>
  <c r="C725" i="1" a="1"/>
  <c r="C725" i="1" s="1"/>
  <c r="B725" i="1" a="1"/>
  <c r="B725" i="1"/>
  <c r="W724" i="1"/>
  <c r="S724" i="1" s="1"/>
  <c r="V724" i="1"/>
  <c r="U724" i="1"/>
  <c r="L724" i="1"/>
  <c r="K724" i="1"/>
  <c r="H724" i="1" a="1"/>
  <c r="H724" i="1"/>
  <c r="G724" i="1" a="1"/>
  <c r="G724" i="1"/>
  <c r="F724" i="1" a="1"/>
  <c r="F724" i="1" s="1"/>
  <c r="E724" i="1" a="1"/>
  <c r="E724" i="1" s="1"/>
  <c r="C724" i="1" a="1"/>
  <c r="C724" i="1"/>
  <c r="B724" i="1" a="1"/>
  <c r="B724" i="1" s="1"/>
  <c r="W723" i="1"/>
  <c r="V723" i="1"/>
  <c r="U723" i="1"/>
  <c r="P723" i="1"/>
  <c r="O723" i="1"/>
  <c r="M723" i="1"/>
  <c r="L723" i="1"/>
  <c r="K723" i="1"/>
  <c r="J723" i="1"/>
  <c r="I723" i="1"/>
  <c r="H723" i="1" a="1"/>
  <c r="H723" i="1"/>
  <c r="G723" i="1" a="1"/>
  <c r="G723" i="1" s="1"/>
  <c r="E723" i="1" a="1"/>
  <c r="E723" i="1" s="1"/>
  <c r="B723" i="1" a="1"/>
  <c r="B723" i="1" s="1"/>
  <c r="W722" i="1"/>
  <c r="V722" i="1"/>
  <c r="U722" i="1"/>
  <c r="S722" i="1"/>
  <c r="P722" i="1"/>
  <c r="O722" i="1"/>
  <c r="M722" i="1"/>
  <c r="L722" i="1"/>
  <c r="J722" i="1"/>
  <c r="I722" i="1"/>
  <c r="C722" i="1" a="1"/>
  <c r="C722" i="1"/>
  <c r="B722" i="1" a="1"/>
  <c r="B722" i="1" s="1"/>
  <c r="W721" i="1"/>
  <c r="V721" i="1"/>
  <c r="U721" i="1"/>
  <c r="S721" i="1"/>
  <c r="M721" i="1"/>
  <c r="L721" i="1"/>
  <c r="F721" i="1" a="1"/>
  <c r="F721" i="1"/>
  <c r="C721" i="1" a="1"/>
  <c r="C721" i="1" s="1"/>
  <c r="W720" i="1"/>
  <c r="F720" i="1" s="1" a="1"/>
  <c r="F720" i="1" s="1"/>
  <c r="V720" i="1"/>
  <c r="U720" i="1"/>
  <c r="S720" i="1"/>
  <c r="E720" i="1" a="1"/>
  <c r="E720" i="1"/>
  <c r="C720" i="1" a="1"/>
  <c r="C720" i="1"/>
  <c r="B720" i="1" a="1"/>
  <c r="B720" i="1"/>
  <c r="W719" i="1"/>
  <c r="P719" i="1" s="1"/>
  <c r="V719" i="1"/>
  <c r="U719" i="1"/>
  <c r="O719" i="1"/>
  <c r="J719" i="1"/>
  <c r="I719" i="1"/>
  <c r="H719" i="1" a="1"/>
  <c r="H719" i="1" s="1"/>
  <c r="G719" i="1" a="1"/>
  <c r="G719" i="1"/>
  <c r="F719" i="1" a="1"/>
  <c r="F719" i="1"/>
  <c r="E719" i="1" a="1"/>
  <c r="E719" i="1"/>
  <c r="B719" i="1" a="1"/>
  <c r="B719" i="1" s="1"/>
  <c r="W718" i="1"/>
  <c r="V718" i="1"/>
  <c r="U718" i="1"/>
  <c r="S718" i="1"/>
  <c r="P718" i="1"/>
  <c r="O718" i="1"/>
  <c r="M718" i="1"/>
  <c r="L718" i="1"/>
  <c r="K718" i="1"/>
  <c r="J718" i="1"/>
  <c r="I718" i="1"/>
  <c r="H718" i="1" a="1"/>
  <c r="H718" i="1" s="1"/>
  <c r="G718" i="1" a="1"/>
  <c r="G718" i="1"/>
  <c r="F718" i="1" a="1"/>
  <c r="F718" i="1" s="1"/>
  <c r="E718" i="1" a="1"/>
  <c r="E718" i="1"/>
  <c r="C718" i="1" a="1"/>
  <c r="C718" i="1"/>
  <c r="B718" i="1" a="1"/>
  <c r="B718" i="1"/>
  <c r="W717" i="1"/>
  <c r="P717" i="1" s="1"/>
  <c r="V717" i="1"/>
  <c r="U717" i="1"/>
  <c r="S717" i="1"/>
  <c r="M717" i="1"/>
  <c r="L717" i="1"/>
  <c r="I717" i="1"/>
  <c r="H717" i="1" a="1"/>
  <c r="H717" i="1" s="1"/>
  <c r="C717" i="1" a="1"/>
  <c r="C717" i="1"/>
  <c r="W716" i="1"/>
  <c r="P716" i="1" s="1"/>
  <c r="V716" i="1"/>
  <c r="U716" i="1"/>
  <c r="W715" i="1"/>
  <c r="E715" i="1" s="1" a="1"/>
  <c r="E715" i="1" s="1"/>
  <c r="V715" i="1"/>
  <c r="U715" i="1"/>
  <c r="G715" i="1" a="1"/>
  <c r="G715" i="1" s="1"/>
  <c r="W714" i="1"/>
  <c r="V714" i="1"/>
  <c r="U714" i="1"/>
  <c r="S714" i="1"/>
  <c r="P714" i="1"/>
  <c r="O714" i="1"/>
  <c r="M714" i="1"/>
  <c r="L714" i="1"/>
  <c r="K714" i="1"/>
  <c r="J714" i="1"/>
  <c r="I714" i="1"/>
  <c r="H714" i="1" a="1"/>
  <c r="H714" i="1" s="1"/>
  <c r="G714" i="1" a="1"/>
  <c r="G714" i="1" s="1"/>
  <c r="F714" i="1" a="1"/>
  <c r="F714" i="1" s="1"/>
  <c r="E714" i="1" a="1"/>
  <c r="E714" i="1" s="1"/>
  <c r="C714" i="1" a="1"/>
  <c r="C714" i="1" s="1"/>
  <c r="B714" i="1" a="1"/>
  <c r="B714" i="1"/>
  <c r="W713" i="1"/>
  <c r="B713" i="1" s="1" a="1"/>
  <c r="B713" i="1" s="1"/>
  <c r="V713" i="1"/>
  <c r="U713" i="1"/>
  <c r="S713" i="1"/>
  <c r="P713" i="1"/>
  <c r="O713" i="1"/>
  <c r="W712" i="1"/>
  <c r="V712" i="1"/>
  <c r="U712" i="1"/>
  <c r="S712" i="1"/>
  <c r="P712" i="1"/>
  <c r="F712" i="1" a="1"/>
  <c r="F712" i="1"/>
  <c r="E712" i="1" a="1"/>
  <c r="E712" i="1" s="1"/>
  <c r="W711" i="1"/>
  <c r="V711" i="1"/>
  <c r="U711" i="1"/>
  <c r="I711" i="1"/>
  <c r="G711" i="1" a="1"/>
  <c r="G711" i="1" s="1"/>
  <c r="E711" i="1" a="1"/>
  <c r="E711" i="1"/>
  <c r="C711" i="1" a="1"/>
  <c r="C711" i="1"/>
  <c r="B711" i="1" a="1"/>
  <c r="B711" i="1" s="1"/>
  <c r="W710" i="1"/>
  <c r="S710" i="1" s="1"/>
  <c r="V710" i="1"/>
  <c r="U710" i="1"/>
  <c r="M710" i="1"/>
  <c r="J710" i="1"/>
  <c r="I710" i="1"/>
  <c r="H710" i="1" a="1"/>
  <c r="H710" i="1" s="1"/>
  <c r="G710" i="1" a="1"/>
  <c r="G710" i="1"/>
  <c r="F710" i="1" a="1"/>
  <c r="F710" i="1"/>
  <c r="E710" i="1" a="1"/>
  <c r="E710" i="1" s="1"/>
  <c r="C710" i="1" a="1"/>
  <c r="C710" i="1" s="1"/>
  <c r="B710" i="1" a="1"/>
  <c r="B710" i="1" s="1"/>
  <c r="W709" i="1"/>
  <c r="G709" i="1" s="1" a="1"/>
  <c r="V709" i="1"/>
  <c r="U709" i="1"/>
  <c r="S709" i="1"/>
  <c r="P709" i="1"/>
  <c r="O709" i="1"/>
  <c r="M709" i="1"/>
  <c r="L709" i="1"/>
  <c r="K709" i="1"/>
  <c r="J709" i="1"/>
  <c r="I709" i="1"/>
  <c r="H709" i="1" a="1"/>
  <c r="H709" i="1" s="1"/>
  <c r="G709" i="1"/>
  <c r="F709" i="1" a="1"/>
  <c r="F709" i="1" s="1"/>
  <c r="C709" i="1" a="1"/>
  <c r="C709" i="1" s="1"/>
  <c r="B709" i="1" a="1"/>
  <c r="B709" i="1"/>
  <c r="W708" i="1"/>
  <c r="S708" i="1" s="1"/>
  <c r="V708" i="1"/>
  <c r="U708" i="1"/>
  <c r="W707" i="1"/>
  <c r="E707" i="1" s="1" a="1"/>
  <c r="E707" i="1" s="1"/>
  <c r="V707" i="1"/>
  <c r="U707" i="1"/>
  <c r="P707" i="1"/>
  <c r="O707" i="1"/>
  <c r="G707" i="1" a="1"/>
  <c r="G707" i="1" s="1"/>
  <c r="W706" i="1"/>
  <c r="V706" i="1"/>
  <c r="U706" i="1"/>
  <c r="I706" i="1"/>
  <c r="G706" i="1" a="1"/>
  <c r="G706" i="1"/>
  <c r="F706" i="1" a="1"/>
  <c r="F706" i="1"/>
  <c r="E706" i="1" a="1"/>
  <c r="E706" i="1"/>
  <c r="C706" i="1" a="1"/>
  <c r="C706" i="1"/>
  <c r="W705" i="1"/>
  <c r="S705" i="1" s="1"/>
  <c r="V705" i="1"/>
  <c r="U705" i="1"/>
  <c r="M705" i="1"/>
  <c r="L705" i="1"/>
  <c r="K705" i="1"/>
  <c r="J705" i="1"/>
  <c r="I705" i="1"/>
  <c r="H705" i="1" a="1"/>
  <c r="H705" i="1"/>
  <c r="G705" i="1" a="1"/>
  <c r="G705" i="1"/>
  <c r="F705" i="1" a="1"/>
  <c r="F705" i="1" s="1"/>
  <c r="C705" i="1" a="1"/>
  <c r="C705" i="1" s="1"/>
  <c r="W704" i="1"/>
  <c r="V704" i="1"/>
  <c r="U704" i="1"/>
  <c r="S704" i="1"/>
  <c r="P704" i="1"/>
  <c r="O704" i="1"/>
  <c r="M704" i="1"/>
  <c r="L704" i="1"/>
  <c r="K704" i="1"/>
  <c r="J704" i="1"/>
  <c r="H704" i="1" a="1"/>
  <c r="H704" i="1"/>
  <c r="E704" i="1" a="1"/>
  <c r="E704" i="1" s="1"/>
  <c r="C704" i="1" a="1"/>
  <c r="C704" i="1" s="1"/>
  <c r="B704" i="1" a="1"/>
  <c r="B704" i="1"/>
  <c r="W703" i="1"/>
  <c r="J703" i="1" s="1"/>
  <c r="V703" i="1"/>
  <c r="U703" i="1"/>
  <c r="P703" i="1"/>
  <c r="O703" i="1"/>
  <c r="K703" i="1"/>
  <c r="I703" i="1"/>
  <c r="B703" i="1" a="1"/>
  <c r="B703" i="1" s="1"/>
  <c r="W702" i="1"/>
  <c r="V702" i="1"/>
  <c r="U702" i="1"/>
  <c r="S702" i="1"/>
  <c r="P702" i="1"/>
  <c r="O702" i="1"/>
  <c r="M702" i="1"/>
  <c r="L702" i="1"/>
  <c r="K702" i="1"/>
  <c r="J702" i="1"/>
  <c r="I702" i="1"/>
  <c r="H702" i="1" a="1"/>
  <c r="H702" i="1" s="1"/>
  <c r="G702" i="1" a="1"/>
  <c r="G702" i="1"/>
  <c r="F702" i="1" a="1"/>
  <c r="F702" i="1" s="1"/>
  <c r="E702" i="1" a="1"/>
  <c r="E702" i="1"/>
  <c r="C702" i="1" a="1"/>
  <c r="C702" i="1"/>
  <c r="B702" i="1" a="1"/>
  <c r="B702" i="1"/>
  <c r="W701" i="1"/>
  <c r="V701" i="1"/>
  <c r="U701" i="1"/>
  <c r="H701" i="1" a="1"/>
  <c r="H701" i="1"/>
  <c r="G701" i="1" a="1"/>
  <c r="G701" i="1" s="1"/>
  <c r="F701" i="1" a="1"/>
  <c r="F701" i="1"/>
  <c r="E701" i="1" a="1"/>
  <c r="E701" i="1"/>
  <c r="C701" i="1" a="1"/>
  <c r="C701" i="1" s="1"/>
  <c r="W700" i="1"/>
  <c r="E700" i="1" s="1" a="1"/>
  <c r="E700" i="1" s="1"/>
  <c r="V700" i="1"/>
  <c r="U700" i="1"/>
  <c r="P700" i="1"/>
  <c r="O700" i="1"/>
  <c r="M700" i="1"/>
  <c r="L700" i="1"/>
  <c r="K700" i="1"/>
  <c r="J700" i="1"/>
  <c r="I700" i="1"/>
  <c r="H700" i="1" a="1"/>
  <c r="H700" i="1"/>
  <c r="G700" i="1" a="1"/>
  <c r="G700" i="1" s="1"/>
  <c r="C700" i="1" a="1"/>
  <c r="C700" i="1" s="1"/>
  <c r="W699" i="1"/>
  <c r="V699" i="1"/>
  <c r="U699" i="1"/>
  <c r="S699" i="1"/>
  <c r="P699" i="1"/>
  <c r="O699" i="1"/>
  <c r="M699" i="1"/>
  <c r="K699" i="1"/>
  <c r="J699" i="1"/>
  <c r="C699" i="1" a="1"/>
  <c r="C699" i="1"/>
  <c r="B699" i="1" a="1"/>
  <c r="B699" i="1"/>
  <c r="W698" i="1"/>
  <c r="V698" i="1"/>
  <c r="U698" i="1"/>
  <c r="S698" i="1"/>
  <c r="P698" i="1"/>
  <c r="O698" i="1"/>
  <c r="M698" i="1"/>
  <c r="L698" i="1"/>
  <c r="K698" i="1"/>
  <c r="J698" i="1"/>
  <c r="I698" i="1"/>
  <c r="H698" i="1" a="1"/>
  <c r="H698" i="1"/>
  <c r="G698" i="1" a="1"/>
  <c r="G698" i="1" s="1"/>
  <c r="F698" i="1" a="1"/>
  <c r="F698" i="1" s="1"/>
  <c r="E698" i="1" a="1"/>
  <c r="E698" i="1"/>
  <c r="C698" i="1" a="1"/>
  <c r="C698" i="1" s="1"/>
  <c r="B698" i="1" a="1"/>
  <c r="B698" i="1"/>
  <c r="W697" i="1"/>
  <c r="I697" i="1" s="1"/>
  <c r="V697" i="1"/>
  <c r="U697" i="1"/>
  <c r="W696" i="1"/>
  <c r="V696" i="1"/>
  <c r="U696" i="1"/>
  <c r="S696" i="1"/>
  <c r="P696" i="1"/>
  <c r="L696" i="1"/>
  <c r="K696" i="1"/>
  <c r="J696" i="1"/>
  <c r="I696" i="1"/>
  <c r="H696" i="1" a="1"/>
  <c r="H696" i="1" s="1"/>
  <c r="G696" i="1" a="1"/>
  <c r="G696" i="1" s="1"/>
  <c r="F696" i="1" a="1"/>
  <c r="F696" i="1"/>
  <c r="E696" i="1" a="1"/>
  <c r="E696" i="1" s="1"/>
  <c r="C696" i="1" a="1"/>
  <c r="C696" i="1"/>
  <c r="W695" i="1"/>
  <c r="V695" i="1"/>
  <c r="U695" i="1"/>
  <c r="S695" i="1"/>
  <c r="P695" i="1"/>
  <c r="O695" i="1"/>
  <c r="M695" i="1"/>
  <c r="L695" i="1"/>
  <c r="K695" i="1"/>
  <c r="J695" i="1"/>
  <c r="I695" i="1"/>
  <c r="G695" i="1" a="1"/>
  <c r="G695" i="1" s="1"/>
  <c r="C695" i="1" a="1"/>
  <c r="C695" i="1"/>
  <c r="B695" i="1" a="1"/>
  <c r="B695" i="1"/>
  <c r="W694" i="1"/>
  <c r="C694" i="1" s="1" a="1"/>
  <c r="C694" i="1" s="1"/>
  <c r="V694" i="1"/>
  <c r="U694" i="1"/>
  <c r="S694" i="1"/>
  <c r="O694" i="1"/>
  <c r="W693" i="1"/>
  <c r="G693" i="1" s="1" a="1"/>
  <c r="G693" i="1" s="1"/>
  <c r="V693" i="1"/>
  <c r="U693" i="1"/>
  <c r="S693" i="1"/>
  <c r="P693" i="1"/>
  <c r="O693" i="1"/>
  <c r="M693" i="1"/>
  <c r="L693" i="1"/>
  <c r="K693" i="1"/>
  <c r="J693" i="1"/>
  <c r="I693" i="1"/>
  <c r="H693" i="1" a="1"/>
  <c r="H693" i="1" s="1"/>
  <c r="F693" i="1" a="1"/>
  <c r="F693" i="1" s="1"/>
  <c r="C693" i="1" a="1"/>
  <c r="C693" i="1"/>
  <c r="B693" i="1" a="1"/>
  <c r="B693" i="1"/>
  <c r="W692" i="1"/>
  <c r="S692" i="1" s="1"/>
  <c r="V692" i="1"/>
  <c r="U692" i="1"/>
  <c r="L692" i="1"/>
  <c r="K692" i="1"/>
  <c r="H692" i="1" a="1"/>
  <c r="H692" i="1"/>
  <c r="G692" i="1" a="1"/>
  <c r="G692" i="1" s="1"/>
  <c r="F692" i="1" a="1"/>
  <c r="F692" i="1" s="1"/>
  <c r="E692" i="1" a="1"/>
  <c r="E692" i="1"/>
  <c r="C692" i="1" a="1"/>
  <c r="C692" i="1"/>
  <c r="B692" i="1" a="1"/>
  <c r="B692" i="1" s="1"/>
  <c r="W691" i="1"/>
  <c r="V691" i="1"/>
  <c r="U691" i="1"/>
  <c r="P691" i="1"/>
  <c r="O691" i="1"/>
  <c r="M691" i="1"/>
  <c r="L691" i="1"/>
  <c r="K691" i="1"/>
  <c r="J691" i="1"/>
  <c r="I691" i="1"/>
  <c r="H691" i="1" a="1"/>
  <c r="H691" i="1" s="1"/>
  <c r="G691" i="1" a="1"/>
  <c r="G691" i="1" s="1"/>
  <c r="E691" i="1" a="1"/>
  <c r="E691" i="1" s="1"/>
  <c r="B691" i="1" a="1"/>
  <c r="B691" i="1" s="1"/>
  <c r="W690" i="1"/>
  <c r="V690" i="1"/>
  <c r="U690" i="1"/>
  <c r="S690" i="1"/>
  <c r="P690" i="1"/>
  <c r="O690" i="1"/>
  <c r="M690" i="1"/>
  <c r="L690" i="1"/>
  <c r="J690" i="1"/>
  <c r="I690" i="1"/>
  <c r="C690" i="1" a="1"/>
  <c r="C690" i="1"/>
  <c r="B690" i="1" a="1"/>
  <c r="B690" i="1"/>
  <c r="W689" i="1"/>
  <c r="V689" i="1"/>
  <c r="U689" i="1"/>
  <c r="S689" i="1"/>
  <c r="M689" i="1"/>
  <c r="L689" i="1"/>
  <c r="F689" i="1" a="1"/>
  <c r="F689" i="1"/>
  <c r="W688" i="1"/>
  <c r="S688" i="1" s="1"/>
  <c r="V688" i="1"/>
  <c r="U688" i="1"/>
  <c r="F688" i="1" a="1"/>
  <c r="F688" i="1"/>
  <c r="E688" i="1" a="1"/>
  <c r="E688" i="1"/>
  <c r="C688" i="1" a="1"/>
  <c r="C688" i="1"/>
  <c r="B688" i="1" a="1"/>
  <c r="B688" i="1"/>
  <c r="W687" i="1"/>
  <c r="P687" i="1" s="1"/>
  <c r="V687" i="1"/>
  <c r="U687" i="1"/>
  <c r="J687" i="1"/>
  <c r="I687" i="1"/>
  <c r="H687" i="1" a="1"/>
  <c r="H687" i="1" s="1"/>
  <c r="G687" i="1" a="1"/>
  <c r="G687" i="1"/>
  <c r="F687" i="1" a="1"/>
  <c r="F687" i="1"/>
  <c r="E687" i="1" a="1"/>
  <c r="E687" i="1"/>
  <c r="B687" i="1" a="1"/>
  <c r="B687" i="1" s="1"/>
  <c r="W686" i="1"/>
  <c r="V686" i="1"/>
  <c r="U686" i="1"/>
  <c r="S686" i="1"/>
  <c r="P686" i="1"/>
  <c r="O686" i="1"/>
  <c r="M686" i="1"/>
  <c r="L686" i="1"/>
  <c r="K686" i="1"/>
  <c r="J686" i="1"/>
  <c r="I686" i="1"/>
  <c r="H686" i="1" a="1"/>
  <c r="H686" i="1" s="1"/>
  <c r="G686" i="1" a="1"/>
  <c r="G686" i="1"/>
  <c r="F686" i="1" a="1"/>
  <c r="F686" i="1" s="1"/>
  <c r="E686" i="1" a="1"/>
  <c r="E686" i="1"/>
  <c r="C686" i="1" a="1"/>
  <c r="C686" i="1"/>
  <c r="B686" i="1" a="1"/>
  <c r="B686" i="1"/>
  <c r="W685" i="1"/>
  <c r="S685" i="1" s="1"/>
  <c r="V685" i="1"/>
  <c r="U685" i="1"/>
  <c r="P685" i="1"/>
  <c r="M685" i="1"/>
  <c r="L685" i="1"/>
  <c r="I685" i="1"/>
  <c r="H685" i="1" a="1"/>
  <c r="H685" i="1" s="1"/>
  <c r="C685" i="1" a="1"/>
  <c r="C685" i="1"/>
  <c r="W684" i="1"/>
  <c r="V684" i="1"/>
  <c r="U684" i="1"/>
  <c r="W683" i="1"/>
  <c r="F683" i="1" s="1" a="1"/>
  <c r="F683" i="1" s="1"/>
  <c r="V683" i="1"/>
  <c r="U683" i="1"/>
  <c r="W682" i="1"/>
  <c r="P682" i="1" s="1"/>
  <c r="V682" i="1"/>
  <c r="U682" i="1"/>
  <c r="S682" i="1"/>
  <c r="O682" i="1"/>
  <c r="M682" i="1"/>
  <c r="L682" i="1"/>
  <c r="K682" i="1"/>
  <c r="J682" i="1"/>
  <c r="I682" i="1"/>
  <c r="H682" i="1" a="1"/>
  <c r="H682" i="1" s="1"/>
  <c r="G682" i="1" a="1"/>
  <c r="G682" i="1" s="1"/>
  <c r="F682" i="1" a="1"/>
  <c r="F682" i="1" s="1"/>
  <c r="E682" i="1" a="1"/>
  <c r="E682" i="1"/>
  <c r="C682" i="1" a="1"/>
  <c r="C682" i="1" s="1"/>
  <c r="B682" i="1" a="1"/>
  <c r="B682" i="1" s="1"/>
  <c r="W681" i="1"/>
  <c r="V681" i="1"/>
  <c r="U681" i="1"/>
  <c r="S681" i="1"/>
  <c r="P681" i="1"/>
  <c r="O681" i="1"/>
  <c r="M681" i="1"/>
  <c r="L681" i="1"/>
  <c r="K681" i="1"/>
  <c r="I681" i="1"/>
  <c r="C681" i="1" a="1"/>
  <c r="C681" i="1"/>
  <c r="B681" i="1" a="1"/>
  <c r="B681" i="1"/>
  <c r="W680" i="1"/>
  <c r="V680" i="1"/>
  <c r="U680" i="1"/>
  <c r="S680" i="1"/>
  <c r="P680" i="1"/>
  <c r="L680" i="1"/>
  <c r="F680" i="1" a="1"/>
  <c r="F680" i="1" s="1"/>
  <c r="W679" i="1"/>
  <c r="V679" i="1"/>
  <c r="U679" i="1"/>
  <c r="S679" i="1"/>
  <c r="G679" i="1" a="1"/>
  <c r="G679" i="1" s="1"/>
  <c r="E679" i="1" a="1"/>
  <c r="E679" i="1"/>
  <c r="C679" i="1" a="1"/>
  <c r="C679" i="1"/>
  <c r="B679" i="1" a="1"/>
  <c r="B679" i="1" s="1"/>
  <c r="W678" i="1"/>
  <c r="S678" i="1" s="1"/>
  <c r="V678" i="1"/>
  <c r="U678" i="1"/>
  <c r="J678" i="1"/>
  <c r="I678" i="1"/>
  <c r="H678" i="1" a="1"/>
  <c r="H678" i="1"/>
  <c r="G678" i="1" a="1"/>
  <c r="G678" i="1"/>
  <c r="F678" i="1" a="1"/>
  <c r="F678" i="1"/>
  <c r="E678" i="1" a="1"/>
  <c r="E678" i="1"/>
  <c r="C678" i="1" a="1"/>
  <c r="C678" i="1" s="1"/>
  <c r="B678" i="1" a="1"/>
  <c r="B678" i="1"/>
  <c r="W677" i="1"/>
  <c r="G677" i="1" s="1" a="1"/>
  <c r="V677" i="1"/>
  <c r="U677" i="1"/>
  <c r="S677" i="1"/>
  <c r="P677" i="1"/>
  <c r="O677" i="1"/>
  <c r="M677" i="1"/>
  <c r="L677" i="1"/>
  <c r="K677" i="1"/>
  <c r="J677" i="1"/>
  <c r="I677" i="1"/>
  <c r="H677" i="1" a="1"/>
  <c r="H677" i="1"/>
  <c r="G677" i="1"/>
  <c r="F677" i="1" a="1"/>
  <c r="F677" i="1" s="1"/>
  <c r="C677" i="1" a="1"/>
  <c r="C677" i="1"/>
  <c r="B677" i="1" a="1"/>
  <c r="B677" i="1"/>
  <c r="W676" i="1"/>
  <c r="V676" i="1"/>
  <c r="U676" i="1"/>
  <c r="S676" i="1"/>
  <c r="P676" i="1"/>
  <c r="O676" i="1"/>
  <c r="L676" i="1"/>
  <c r="K676" i="1"/>
  <c r="H676" i="1" a="1"/>
  <c r="H676" i="1" s="1"/>
  <c r="C676" i="1" a="1"/>
  <c r="C676" i="1"/>
  <c r="B676" i="1" a="1"/>
  <c r="B676" i="1" s="1"/>
  <c r="W675" i="1"/>
  <c r="V675" i="1"/>
  <c r="U675" i="1"/>
  <c r="P675" i="1"/>
  <c r="O675" i="1"/>
  <c r="M675" i="1"/>
  <c r="E675" i="1" a="1"/>
  <c r="E675" i="1" s="1"/>
  <c r="B675" i="1" a="1"/>
  <c r="B675" i="1"/>
  <c r="W674" i="1"/>
  <c r="V674" i="1"/>
  <c r="U674" i="1"/>
  <c r="G674" i="1" a="1"/>
  <c r="G674" i="1" s="1"/>
  <c r="W673" i="1"/>
  <c r="S673" i="1" s="1"/>
  <c r="V673" i="1"/>
  <c r="U673" i="1"/>
  <c r="L673" i="1"/>
  <c r="K673" i="1"/>
  <c r="J673" i="1"/>
  <c r="I673" i="1"/>
  <c r="H673" i="1" a="1"/>
  <c r="H673" i="1" s="1"/>
  <c r="G673" i="1" a="1"/>
  <c r="G673" i="1"/>
  <c r="F673" i="1" a="1"/>
  <c r="F673" i="1"/>
  <c r="C673" i="1" a="1"/>
  <c r="C673" i="1" s="1"/>
  <c r="W672" i="1"/>
  <c r="B672" i="1" s="1" a="1"/>
  <c r="B672" i="1" s="1"/>
  <c r="V672" i="1"/>
  <c r="U672" i="1"/>
  <c r="S672" i="1"/>
  <c r="P672" i="1"/>
  <c r="O672" i="1"/>
  <c r="M672" i="1"/>
  <c r="L672" i="1"/>
  <c r="K672" i="1"/>
  <c r="J672" i="1"/>
  <c r="H672" i="1" a="1"/>
  <c r="H672" i="1"/>
  <c r="F672" i="1" a="1"/>
  <c r="F672" i="1" s="1"/>
  <c r="E672" i="1" a="1"/>
  <c r="E672" i="1"/>
  <c r="C672" i="1" a="1"/>
  <c r="C672" i="1"/>
  <c r="W671" i="1"/>
  <c r="V671" i="1"/>
  <c r="U671" i="1"/>
  <c r="P671" i="1"/>
  <c r="O671" i="1"/>
  <c r="K671" i="1"/>
  <c r="J671" i="1"/>
  <c r="I671" i="1"/>
  <c r="H671" i="1" a="1"/>
  <c r="H671" i="1" s="1"/>
  <c r="W670" i="1"/>
  <c r="V670" i="1"/>
  <c r="U670" i="1"/>
  <c r="S670" i="1"/>
  <c r="P670" i="1"/>
  <c r="O670" i="1"/>
  <c r="M670" i="1"/>
  <c r="L670" i="1"/>
  <c r="K670" i="1"/>
  <c r="J670" i="1"/>
  <c r="I670" i="1"/>
  <c r="H670" i="1" a="1"/>
  <c r="H670" i="1" s="1"/>
  <c r="G670" i="1" a="1"/>
  <c r="G670" i="1"/>
  <c r="F670" i="1" a="1"/>
  <c r="F670" i="1" s="1"/>
  <c r="E670" i="1" a="1"/>
  <c r="E670" i="1"/>
  <c r="C670" i="1" a="1"/>
  <c r="C670" i="1"/>
  <c r="B670" i="1" a="1"/>
  <c r="B670" i="1" s="1"/>
  <c r="W669" i="1"/>
  <c r="V669" i="1"/>
  <c r="U669" i="1"/>
  <c r="G669" i="1" a="1"/>
  <c r="G669" i="1"/>
  <c r="F669" i="1" a="1"/>
  <c r="F669" i="1"/>
  <c r="E669" i="1" a="1"/>
  <c r="E669" i="1" s="1"/>
  <c r="W668" i="1"/>
  <c r="E668" i="1" s="1" a="1"/>
  <c r="E668" i="1" s="1"/>
  <c r="V668" i="1"/>
  <c r="U668" i="1"/>
  <c r="O668" i="1"/>
  <c r="M668" i="1"/>
  <c r="L668" i="1"/>
  <c r="K668" i="1"/>
  <c r="J668" i="1"/>
  <c r="I668" i="1"/>
  <c r="H668" i="1" a="1"/>
  <c r="H668" i="1"/>
  <c r="G668" i="1" a="1"/>
  <c r="G668" i="1" s="1"/>
  <c r="F668" i="1" a="1"/>
  <c r="F668" i="1" s="1"/>
  <c r="C668" i="1" a="1"/>
  <c r="C668" i="1"/>
  <c r="W667" i="1"/>
  <c r="V667" i="1"/>
  <c r="U667" i="1"/>
  <c r="S667" i="1"/>
  <c r="P667" i="1"/>
  <c r="O667" i="1"/>
  <c r="M667" i="1"/>
  <c r="K667" i="1"/>
  <c r="J667" i="1"/>
  <c r="G667" i="1" a="1"/>
  <c r="G667" i="1" s="1"/>
  <c r="F667" i="1" a="1"/>
  <c r="F667" i="1"/>
  <c r="E667" i="1" a="1"/>
  <c r="E667" i="1"/>
  <c r="C667" i="1" a="1"/>
  <c r="C667" i="1"/>
  <c r="B667" i="1" a="1"/>
  <c r="B667" i="1"/>
  <c r="W666" i="1"/>
  <c r="P666" i="1" s="1"/>
  <c r="V666" i="1"/>
  <c r="U666" i="1"/>
  <c r="S666" i="1"/>
  <c r="O666" i="1"/>
  <c r="M666" i="1"/>
  <c r="L666" i="1"/>
  <c r="K666" i="1"/>
  <c r="J666" i="1"/>
  <c r="I666" i="1"/>
  <c r="H666" i="1" a="1"/>
  <c r="H666" i="1"/>
  <c r="G666" i="1" a="1"/>
  <c r="G666" i="1"/>
  <c r="F666" i="1" a="1"/>
  <c r="F666" i="1" s="1"/>
  <c r="E666" i="1" a="1"/>
  <c r="E666" i="1" s="1"/>
  <c r="C666" i="1" a="1"/>
  <c r="C666" i="1" s="1"/>
  <c r="B666" i="1" a="1"/>
  <c r="B666" i="1"/>
  <c r="W665" i="1"/>
  <c r="B665" i="1" s="1" a="1"/>
  <c r="B665" i="1" s="1"/>
  <c r="V665" i="1"/>
  <c r="U665" i="1"/>
  <c r="H665" i="1" a="1"/>
  <c r="H665" i="1" s="1"/>
  <c r="F665" i="1" a="1"/>
  <c r="F665" i="1"/>
  <c r="W664" i="1"/>
  <c r="S664" i="1" s="1"/>
  <c r="V664" i="1"/>
  <c r="U664" i="1"/>
  <c r="L664" i="1"/>
  <c r="K664" i="1"/>
  <c r="J664" i="1"/>
  <c r="I664" i="1"/>
  <c r="H664" i="1" a="1"/>
  <c r="H664" i="1"/>
  <c r="G664" i="1" a="1"/>
  <c r="G664" i="1"/>
  <c r="F664" i="1" a="1"/>
  <c r="F664" i="1"/>
  <c r="C664" i="1" a="1"/>
  <c r="C664" i="1"/>
  <c r="W663" i="1"/>
  <c r="V663" i="1"/>
  <c r="U663" i="1"/>
  <c r="S663" i="1"/>
  <c r="P663" i="1"/>
  <c r="O663" i="1"/>
  <c r="M663" i="1"/>
  <c r="L663" i="1"/>
  <c r="K663" i="1"/>
  <c r="J663" i="1"/>
  <c r="I663" i="1"/>
  <c r="G663" i="1" a="1"/>
  <c r="G663" i="1" s="1"/>
  <c r="E663" i="1" a="1"/>
  <c r="E663" i="1"/>
  <c r="C663" i="1" a="1"/>
  <c r="C663" i="1"/>
  <c r="B663" i="1" a="1"/>
  <c r="B663" i="1"/>
  <c r="W662" i="1"/>
  <c r="V662" i="1"/>
  <c r="U662" i="1"/>
  <c r="S662" i="1"/>
  <c r="O662" i="1"/>
  <c r="M662" i="1"/>
  <c r="J662" i="1"/>
  <c r="I662" i="1"/>
  <c r="H662" i="1" a="1"/>
  <c r="H662" i="1" s="1"/>
  <c r="W661" i="1"/>
  <c r="G661" i="1" s="1" a="1"/>
  <c r="G661" i="1" s="1"/>
  <c r="V661" i="1"/>
  <c r="U661" i="1"/>
  <c r="S661" i="1"/>
  <c r="P661" i="1"/>
  <c r="O661" i="1"/>
  <c r="M661" i="1"/>
  <c r="L661" i="1"/>
  <c r="K661" i="1"/>
  <c r="J661" i="1"/>
  <c r="I661" i="1"/>
  <c r="H661" i="1" a="1"/>
  <c r="H661" i="1"/>
  <c r="F661" i="1" a="1"/>
  <c r="F661" i="1" s="1"/>
  <c r="C661" i="1" a="1"/>
  <c r="C661" i="1"/>
  <c r="B661" i="1" a="1"/>
  <c r="B661" i="1" s="1"/>
  <c r="W660" i="1"/>
  <c r="V660" i="1"/>
  <c r="U660" i="1"/>
  <c r="G660" i="1" a="1"/>
  <c r="G660" i="1"/>
  <c r="F660" i="1" a="1"/>
  <c r="F660" i="1"/>
  <c r="E660" i="1" a="1"/>
  <c r="E660" i="1" s="1"/>
  <c r="W659" i="1"/>
  <c r="P659" i="1" s="1"/>
  <c r="V659" i="1"/>
  <c r="U659" i="1"/>
  <c r="M659" i="1"/>
  <c r="L659" i="1"/>
  <c r="K659" i="1"/>
  <c r="J659" i="1"/>
  <c r="I659" i="1"/>
  <c r="H659" i="1" a="1"/>
  <c r="H659" i="1"/>
  <c r="G659" i="1" a="1"/>
  <c r="G659" i="1"/>
  <c r="B659" i="1" a="1"/>
  <c r="B659" i="1" s="1"/>
  <c r="W658" i="1"/>
  <c r="V658" i="1"/>
  <c r="U658" i="1"/>
  <c r="S658" i="1"/>
  <c r="P658" i="1"/>
  <c r="O658" i="1"/>
  <c r="M658" i="1"/>
  <c r="L658" i="1"/>
  <c r="J658" i="1"/>
  <c r="I658" i="1"/>
  <c r="G658" i="1" a="1"/>
  <c r="G658" i="1"/>
  <c r="F658" i="1" a="1"/>
  <c r="F658" i="1"/>
  <c r="E658" i="1" a="1"/>
  <c r="E658" i="1" s="1"/>
  <c r="C658" i="1" a="1"/>
  <c r="C658" i="1" s="1"/>
  <c r="B658" i="1" a="1"/>
  <c r="B658" i="1"/>
  <c r="W657" i="1"/>
  <c r="S657" i="1" s="1"/>
  <c r="V657" i="1"/>
  <c r="U657" i="1"/>
  <c r="M657" i="1"/>
  <c r="L657" i="1"/>
  <c r="K657" i="1"/>
  <c r="J657" i="1"/>
  <c r="C657" i="1" a="1"/>
  <c r="C657" i="1" s="1"/>
  <c r="W656" i="1"/>
  <c r="O656" i="1" s="1"/>
  <c r="V656" i="1"/>
  <c r="U656" i="1"/>
  <c r="W655" i="1"/>
  <c r="E655" i="1" s="1" a="1"/>
  <c r="E655" i="1" s="1"/>
  <c r="V655" i="1"/>
  <c r="U655" i="1"/>
  <c r="G655" i="1" a="1"/>
  <c r="G655" i="1" s="1"/>
  <c r="W654" i="1"/>
  <c r="V654" i="1"/>
  <c r="U654" i="1"/>
  <c r="S654" i="1"/>
  <c r="P654" i="1"/>
  <c r="O654" i="1"/>
  <c r="M654" i="1"/>
  <c r="L654" i="1"/>
  <c r="K654" i="1"/>
  <c r="J654" i="1"/>
  <c r="I654" i="1"/>
  <c r="H654" i="1" a="1"/>
  <c r="H654" i="1" s="1"/>
  <c r="G654" i="1" a="1"/>
  <c r="G654" i="1"/>
  <c r="F654" i="1" a="1"/>
  <c r="F654" i="1" s="1"/>
  <c r="E654" i="1" a="1"/>
  <c r="E654" i="1" s="1"/>
  <c r="C654" i="1" a="1"/>
  <c r="C654" i="1"/>
  <c r="B654" i="1" a="1"/>
  <c r="B654" i="1"/>
  <c r="W653" i="1"/>
  <c r="V653" i="1"/>
  <c r="U653" i="1"/>
  <c r="S653" i="1"/>
  <c r="P653" i="1"/>
  <c r="M653" i="1"/>
  <c r="L653" i="1"/>
  <c r="I653" i="1"/>
  <c r="H653" i="1" a="1"/>
  <c r="H653" i="1"/>
  <c r="G653" i="1" a="1"/>
  <c r="G653" i="1" s="1"/>
  <c r="F653" i="1" a="1"/>
  <c r="F653" i="1"/>
  <c r="C653" i="1" a="1"/>
  <c r="C653" i="1"/>
  <c r="W652" i="1"/>
  <c r="L652" i="1" s="1"/>
  <c r="V652" i="1"/>
  <c r="U652" i="1"/>
  <c r="S652" i="1"/>
  <c r="P652" i="1"/>
  <c r="W651" i="1"/>
  <c r="B651" i="1" s="1" a="1"/>
  <c r="B651" i="1" s="1"/>
  <c r="V651" i="1"/>
  <c r="U651" i="1"/>
  <c r="S651" i="1"/>
  <c r="F651" i="1" a="1"/>
  <c r="F651" i="1"/>
  <c r="E651" i="1" a="1"/>
  <c r="E651" i="1" s="1"/>
  <c r="W650" i="1"/>
  <c r="V650" i="1"/>
  <c r="U650" i="1"/>
  <c r="S650" i="1"/>
  <c r="P650" i="1"/>
  <c r="O650" i="1"/>
  <c r="M650" i="1"/>
  <c r="L650" i="1"/>
  <c r="K650" i="1"/>
  <c r="J650" i="1"/>
  <c r="I650" i="1"/>
  <c r="H650" i="1" a="1"/>
  <c r="H650" i="1"/>
  <c r="G650" i="1" a="1"/>
  <c r="G650" i="1" s="1"/>
  <c r="F650" i="1" a="1"/>
  <c r="F650" i="1" s="1"/>
  <c r="E650" i="1" a="1"/>
  <c r="E650" i="1"/>
  <c r="C650" i="1" a="1"/>
  <c r="C650" i="1" s="1"/>
  <c r="B650" i="1" a="1"/>
  <c r="B650" i="1"/>
  <c r="W649" i="1"/>
  <c r="V649" i="1"/>
  <c r="U649" i="1"/>
  <c r="S649" i="1"/>
  <c r="P649" i="1"/>
  <c r="O649" i="1"/>
  <c r="M649" i="1"/>
  <c r="L649" i="1"/>
  <c r="K649" i="1"/>
  <c r="I649" i="1"/>
  <c r="H649" i="1" a="1"/>
  <c r="H649" i="1" s="1"/>
  <c r="F649" i="1" a="1"/>
  <c r="F649" i="1"/>
  <c r="C649" i="1" a="1"/>
  <c r="C649" i="1"/>
  <c r="B649" i="1" a="1"/>
  <c r="B649" i="1"/>
  <c r="W648" i="1"/>
  <c r="E648" i="1" s="1" a="1"/>
  <c r="E648" i="1" s="1"/>
  <c r="V648" i="1"/>
  <c r="U648" i="1"/>
  <c r="S648" i="1"/>
  <c r="P648" i="1"/>
  <c r="W647" i="1"/>
  <c r="V647" i="1"/>
  <c r="U647" i="1"/>
  <c r="S647" i="1"/>
  <c r="P647" i="1"/>
  <c r="G647" i="1" a="1"/>
  <c r="G647" i="1" s="1"/>
  <c r="E647" i="1" a="1"/>
  <c r="E647" i="1"/>
  <c r="C647" i="1" a="1"/>
  <c r="C647" i="1" s="1"/>
  <c r="B647" i="1" a="1"/>
  <c r="B647" i="1"/>
  <c r="W646" i="1"/>
  <c r="H646" i="1" s="1" a="1"/>
  <c r="H646" i="1" s="1"/>
  <c r="V646" i="1"/>
  <c r="U646" i="1"/>
  <c r="G646" i="1" a="1"/>
  <c r="G646" i="1"/>
  <c r="F646" i="1" a="1"/>
  <c r="F646" i="1"/>
  <c r="E646" i="1" a="1"/>
  <c r="E646" i="1"/>
  <c r="C646" i="1" a="1"/>
  <c r="C646" i="1" s="1"/>
  <c r="W645" i="1"/>
  <c r="G645" i="1" s="1" a="1"/>
  <c r="V645" i="1"/>
  <c r="U645" i="1"/>
  <c r="S645" i="1"/>
  <c r="P645" i="1"/>
  <c r="O645" i="1"/>
  <c r="M645" i="1"/>
  <c r="L645" i="1"/>
  <c r="K645" i="1"/>
  <c r="J645" i="1"/>
  <c r="I645" i="1"/>
  <c r="H645" i="1" a="1"/>
  <c r="H645" i="1"/>
  <c r="G645" i="1"/>
  <c r="F645" i="1" a="1"/>
  <c r="F645" i="1" s="1"/>
  <c r="C645" i="1" a="1"/>
  <c r="C645" i="1" s="1"/>
  <c r="B645" i="1" a="1"/>
  <c r="B645" i="1" s="1"/>
  <c r="W644" i="1"/>
  <c r="V644" i="1"/>
  <c r="U644" i="1"/>
  <c r="S644" i="1"/>
  <c r="P644" i="1"/>
  <c r="O644" i="1"/>
  <c r="L644" i="1"/>
  <c r="K644" i="1"/>
  <c r="H644" i="1" a="1"/>
  <c r="H644" i="1"/>
  <c r="C644" i="1" a="1"/>
  <c r="C644" i="1"/>
  <c r="B644" i="1" a="1"/>
  <c r="B644" i="1" s="1"/>
  <c r="W643" i="1"/>
  <c r="V643" i="1"/>
  <c r="U643" i="1"/>
  <c r="W642" i="1"/>
  <c r="V642" i="1"/>
  <c r="U642" i="1"/>
  <c r="S642" i="1"/>
  <c r="F642" i="1" a="1"/>
  <c r="F642" i="1"/>
  <c r="W641" i="1"/>
  <c r="S641" i="1" s="1"/>
  <c r="V641" i="1"/>
  <c r="U641" i="1"/>
  <c r="M641" i="1"/>
  <c r="K641" i="1"/>
  <c r="J641" i="1"/>
  <c r="I641" i="1"/>
  <c r="H641" i="1" a="1"/>
  <c r="H641" i="1"/>
  <c r="G641" i="1" a="1"/>
  <c r="G641" i="1" s="1"/>
  <c r="F641" i="1" a="1"/>
  <c r="F641" i="1"/>
  <c r="C641" i="1" a="1"/>
  <c r="C641" i="1" s="1"/>
  <c r="W640" i="1"/>
  <c r="B640" i="1" s="1" a="1"/>
  <c r="B640" i="1" s="1"/>
  <c r="V640" i="1"/>
  <c r="U640" i="1"/>
  <c r="P640" i="1"/>
  <c r="O640" i="1"/>
  <c r="M640" i="1"/>
  <c r="L640" i="1"/>
  <c r="K640" i="1"/>
  <c r="J640" i="1"/>
  <c r="H640" i="1" a="1"/>
  <c r="H640" i="1"/>
  <c r="F640" i="1" a="1"/>
  <c r="F640" i="1"/>
  <c r="C640" i="1" a="1"/>
  <c r="C640" i="1" s="1"/>
  <c r="W639" i="1"/>
  <c r="V639" i="1"/>
  <c r="U639" i="1"/>
  <c r="P639" i="1"/>
  <c r="O639" i="1"/>
  <c r="K639" i="1"/>
  <c r="J639" i="1"/>
  <c r="I639" i="1"/>
  <c r="H639" i="1" a="1"/>
  <c r="H639" i="1"/>
  <c r="B639" i="1" a="1"/>
  <c r="B639" i="1" s="1"/>
  <c r="W638" i="1"/>
  <c r="V638" i="1"/>
  <c r="U638" i="1"/>
  <c r="S638" i="1"/>
  <c r="P638" i="1"/>
  <c r="O638" i="1"/>
  <c r="M638" i="1"/>
  <c r="L638" i="1"/>
  <c r="K638" i="1"/>
  <c r="J638" i="1"/>
  <c r="I638" i="1"/>
  <c r="H638" i="1" a="1"/>
  <c r="H638" i="1" s="1"/>
  <c r="G638" i="1" a="1"/>
  <c r="G638" i="1" s="1"/>
  <c r="F638" i="1" a="1"/>
  <c r="F638" i="1" s="1"/>
  <c r="E638" i="1" a="1"/>
  <c r="E638" i="1"/>
  <c r="C638" i="1" a="1"/>
  <c r="C638" i="1"/>
  <c r="B638" i="1" a="1"/>
  <c r="B638" i="1"/>
  <c r="W637" i="1"/>
  <c r="V637" i="1"/>
  <c r="U637" i="1"/>
  <c r="G637" i="1" a="1"/>
  <c r="G637" i="1" s="1"/>
  <c r="F637" i="1" a="1"/>
  <c r="F637" i="1"/>
  <c r="E637" i="1" a="1"/>
  <c r="E637" i="1"/>
  <c r="C637" i="1" a="1"/>
  <c r="C637" i="1"/>
  <c r="W636" i="1"/>
  <c r="E636" i="1" s="1" a="1"/>
  <c r="E636" i="1" s="1"/>
  <c r="V636" i="1"/>
  <c r="U636" i="1"/>
  <c r="P636" i="1"/>
  <c r="M636" i="1"/>
  <c r="L636" i="1"/>
  <c r="K636" i="1"/>
  <c r="J636" i="1"/>
  <c r="I636" i="1"/>
  <c r="H636" i="1" a="1"/>
  <c r="H636" i="1"/>
  <c r="G636" i="1" a="1"/>
  <c r="G636" i="1" s="1"/>
  <c r="F636" i="1" a="1"/>
  <c r="F636" i="1"/>
  <c r="C636" i="1" a="1"/>
  <c r="C636" i="1"/>
  <c r="B636" i="1" a="1"/>
  <c r="B636" i="1" s="1"/>
  <c r="W635" i="1"/>
  <c r="V635" i="1"/>
  <c r="U635" i="1"/>
  <c r="S635" i="1"/>
  <c r="P635" i="1"/>
  <c r="O635" i="1"/>
  <c r="M635" i="1"/>
  <c r="K635" i="1"/>
  <c r="J635" i="1"/>
  <c r="G635" i="1" a="1"/>
  <c r="G635" i="1" s="1"/>
  <c r="E635" i="1" a="1"/>
  <c r="E635" i="1" s="1"/>
  <c r="C635" i="1" a="1"/>
  <c r="C635" i="1" s="1"/>
  <c r="B635" i="1" a="1"/>
  <c r="B635" i="1"/>
  <c r="W634" i="1"/>
  <c r="V634" i="1"/>
  <c r="U634" i="1"/>
  <c r="S634" i="1"/>
  <c r="P634" i="1"/>
  <c r="O634" i="1"/>
  <c r="M634" i="1"/>
  <c r="L634" i="1"/>
  <c r="K634" i="1"/>
  <c r="J634" i="1"/>
  <c r="I634" i="1"/>
  <c r="H634" i="1" a="1"/>
  <c r="H634" i="1"/>
  <c r="G634" i="1" a="1"/>
  <c r="G634" i="1"/>
  <c r="F634" i="1" a="1"/>
  <c r="F634" i="1" s="1"/>
  <c r="E634" i="1" a="1"/>
  <c r="E634" i="1" s="1"/>
  <c r="C634" i="1" a="1"/>
  <c r="C634" i="1" s="1"/>
  <c r="B634" i="1" a="1"/>
  <c r="B634" i="1" s="1"/>
  <c r="W633" i="1"/>
  <c r="V633" i="1"/>
  <c r="U633" i="1"/>
  <c r="H633" i="1" a="1"/>
  <c r="H633" i="1" s="1"/>
  <c r="F633" i="1" a="1"/>
  <c r="F633" i="1" s="1"/>
  <c r="E633" i="1" a="1"/>
  <c r="E633" i="1"/>
  <c r="C633" i="1" a="1"/>
  <c r="C633" i="1"/>
  <c r="B633" i="1" a="1"/>
  <c r="B633" i="1" s="1"/>
  <c r="W632" i="1"/>
  <c r="S632" i="1" s="1"/>
  <c r="V632" i="1"/>
  <c r="U632" i="1"/>
  <c r="L632" i="1"/>
  <c r="K632" i="1"/>
  <c r="J632" i="1"/>
  <c r="I632" i="1"/>
  <c r="H632" i="1" a="1"/>
  <c r="H632" i="1"/>
  <c r="G632" i="1" a="1"/>
  <c r="G632" i="1"/>
  <c r="F632" i="1" a="1"/>
  <c r="F632" i="1"/>
  <c r="C632" i="1" a="1"/>
  <c r="C632" i="1"/>
  <c r="W631" i="1"/>
  <c r="V631" i="1"/>
  <c r="U631" i="1"/>
  <c r="S631" i="1"/>
  <c r="P631" i="1"/>
  <c r="O631" i="1"/>
  <c r="M631" i="1"/>
  <c r="L631" i="1"/>
  <c r="K631" i="1"/>
  <c r="J631" i="1"/>
  <c r="I631" i="1"/>
  <c r="G631" i="1" a="1"/>
  <c r="G631" i="1" s="1"/>
  <c r="E631" i="1" a="1"/>
  <c r="E631" i="1"/>
  <c r="C631" i="1" a="1"/>
  <c r="C631" i="1"/>
  <c r="B631" i="1" a="1"/>
  <c r="B631" i="1"/>
  <c r="W630" i="1"/>
  <c r="O630" i="1" s="1"/>
  <c r="V630" i="1"/>
  <c r="U630" i="1"/>
  <c r="S630" i="1"/>
  <c r="M630" i="1"/>
  <c r="J630" i="1"/>
  <c r="I630" i="1"/>
  <c r="H630" i="1" a="1"/>
  <c r="H630" i="1" s="1"/>
  <c r="C630" i="1" a="1"/>
  <c r="C630" i="1" s="1"/>
  <c r="B630" i="1" a="1"/>
  <c r="B630" i="1"/>
  <c r="W629" i="1"/>
  <c r="G629" i="1" s="1" a="1"/>
  <c r="G629" i="1" s="1"/>
  <c r="V629" i="1"/>
  <c r="U629" i="1"/>
  <c r="S629" i="1"/>
  <c r="P629" i="1"/>
  <c r="O629" i="1"/>
  <c r="M629" i="1"/>
  <c r="L629" i="1"/>
  <c r="K629" i="1"/>
  <c r="J629" i="1"/>
  <c r="I629" i="1"/>
  <c r="H629" i="1" a="1"/>
  <c r="H629" i="1"/>
  <c r="F629" i="1" a="1"/>
  <c r="F629" i="1" s="1"/>
  <c r="C629" i="1" a="1"/>
  <c r="C629" i="1"/>
  <c r="B629" i="1" a="1"/>
  <c r="B629" i="1"/>
  <c r="W628" i="1"/>
  <c r="G628" i="1" s="1" a="1"/>
  <c r="G628" i="1" s="1"/>
  <c r="V628" i="1"/>
  <c r="U628" i="1"/>
  <c r="F628" i="1" a="1"/>
  <c r="F628" i="1"/>
  <c r="E628" i="1" a="1"/>
  <c r="E628" i="1"/>
  <c r="C628" i="1" a="1"/>
  <c r="C628" i="1"/>
  <c r="W627" i="1"/>
  <c r="P627" i="1" s="1"/>
  <c r="V627" i="1"/>
  <c r="U627" i="1"/>
  <c r="M627" i="1"/>
  <c r="L627" i="1"/>
  <c r="K627" i="1"/>
  <c r="J627" i="1"/>
  <c r="I627" i="1"/>
  <c r="H627" i="1" a="1"/>
  <c r="H627" i="1"/>
  <c r="G627" i="1" a="1"/>
  <c r="G627" i="1"/>
  <c r="B627" i="1" a="1"/>
  <c r="B627" i="1" s="1"/>
  <c r="W626" i="1"/>
  <c r="V626" i="1"/>
  <c r="U626" i="1"/>
  <c r="S626" i="1"/>
  <c r="P626" i="1"/>
  <c r="O626" i="1"/>
  <c r="M626" i="1"/>
  <c r="L626" i="1"/>
  <c r="J626" i="1"/>
  <c r="I626" i="1"/>
  <c r="G626" i="1" a="1"/>
  <c r="G626" i="1"/>
  <c r="E626" i="1" a="1"/>
  <c r="E626" i="1" s="1"/>
  <c r="C626" i="1" a="1"/>
  <c r="C626" i="1" s="1"/>
  <c r="B626" i="1" a="1"/>
  <c r="B626" i="1"/>
  <c r="W625" i="1"/>
  <c r="L625" i="1" s="1"/>
  <c r="V625" i="1"/>
  <c r="U625" i="1"/>
  <c r="S625" i="1"/>
  <c r="W624" i="1"/>
  <c r="V624" i="1"/>
  <c r="U624" i="1"/>
  <c r="S624" i="1"/>
  <c r="P624" i="1"/>
  <c r="O624" i="1"/>
  <c r="E624" i="1" a="1"/>
  <c r="E624" i="1"/>
  <c r="W623" i="1"/>
  <c r="V623" i="1"/>
  <c r="U623" i="1"/>
  <c r="G623" i="1" a="1"/>
  <c r="G623" i="1"/>
  <c r="F623" i="1" a="1"/>
  <c r="F623" i="1"/>
  <c r="E623" i="1" a="1"/>
  <c r="E623" i="1"/>
  <c r="B623" i="1" a="1"/>
  <c r="B623" i="1" s="1"/>
  <c r="W622" i="1"/>
  <c r="V622" i="1"/>
  <c r="U622" i="1"/>
  <c r="S622" i="1"/>
  <c r="P622" i="1"/>
  <c r="O622" i="1"/>
  <c r="M622" i="1"/>
  <c r="L622" i="1"/>
  <c r="K622" i="1"/>
  <c r="J622" i="1"/>
  <c r="I622" i="1"/>
  <c r="H622" i="1" a="1"/>
  <c r="H622" i="1" s="1"/>
  <c r="G622" i="1" a="1"/>
  <c r="G622" i="1"/>
  <c r="F622" i="1" a="1"/>
  <c r="F622" i="1" s="1"/>
  <c r="E622" i="1" a="1"/>
  <c r="E622" i="1" s="1"/>
  <c r="C622" i="1" a="1"/>
  <c r="C622" i="1"/>
  <c r="B622" i="1" a="1"/>
  <c r="B622" i="1"/>
  <c r="W621" i="1"/>
  <c r="V621" i="1"/>
  <c r="U621" i="1"/>
  <c r="S621" i="1"/>
  <c r="P621" i="1"/>
  <c r="M621" i="1"/>
  <c r="L621" i="1"/>
  <c r="I621" i="1"/>
  <c r="H621" i="1" a="1"/>
  <c r="H621" i="1"/>
  <c r="G621" i="1" a="1"/>
  <c r="G621" i="1" s="1"/>
  <c r="F621" i="1" a="1"/>
  <c r="F621" i="1"/>
  <c r="C621" i="1" a="1"/>
  <c r="C621" i="1"/>
  <c r="W620" i="1"/>
  <c r="V620" i="1"/>
  <c r="U620" i="1"/>
  <c r="S620" i="1"/>
  <c r="P620" i="1"/>
  <c r="O620" i="1"/>
  <c r="M620" i="1"/>
  <c r="L620" i="1"/>
  <c r="C620" i="1" a="1"/>
  <c r="C620" i="1"/>
  <c r="B620" i="1" a="1"/>
  <c r="B620" i="1" s="1"/>
  <c r="W619" i="1"/>
  <c r="V619" i="1"/>
  <c r="U619" i="1"/>
  <c r="S619" i="1"/>
  <c r="F619" i="1" a="1"/>
  <c r="F619" i="1"/>
  <c r="E619" i="1" a="1"/>
  <c r="E619" i="1"/>
  <c r="C619" i="1" a="1"/>
  <c r="C619" i="1"/>
  <c r="B619" i="1" a="1"/>
  <c r="B619" i="1"/>
  <c r="W618" i="1"/>
  <c r="V618" i="1"/>
  <c r="U618" i="1"/>
  <c r="S618" i="1"/>
  <c r="P618" i="1"/>
  <c r="O618" i="1"/>
  <c r="M618" i="1"/>
  <c r="L618" i="1"/>
  <c r="K618" i="1"/>
  <c r="J618" i="1"/>
  <c r="I618" i="1"/>
  <c r="H618" i="1" a="1"/>
  <c r="H618" i="1"/>
  <c r="G618" i="1" a="1"/>
  <c r="G618" i="1"/>
  <c r="F618" i="1" a="1"/>
  <c r="F618" i="1" s="1"/>
  <c r="E618" i="1" a="1"/>
  <c r="E618" i="1"/>
  <c r="C618" i="1" a="1"/>
  <c r="C618" i="1" s="1"/>
  <c r="B618" i="1" a="1"/>
  <c r="B618" i="1"/>
  <c r="W617" i="1"/>
  <c r="V617" i="1"/>
  <c r="U617" i="1"/>
  <c r="S617" i="1"/>
  <c r="P617" i="1"/>
  <c r="O617" i="1"/>
  <c r="M617" i="1"/>
  <c r="L617" i="1"/>
  <c r="K617" i="1"/>
  <c r="I617" i="1"/>
  <c r="H617" i="1" a="1"/>
  <c r="H617" i="1" s="1"/>
  <c r="F617" i="1" a="1"/>
  <c r="F617" i="1"/>
  <c r="C617" i="1" a="1"/>
  <c r="C617" i="1"/>
  <c r="B617" i="1" a="1"/>
  <c r="B617" i="1" s="1"/>
  <c r="W616" i="1"/>
  <c r="V616" i="1"/>
  <c r="U616" i="1"/>
  <c r="S616" i="1"/>
  <c r="P616" i="1"/>
  <c r="L616" i="1"/>
  <c r="K616" i="1"/>
  <c r="E616" i="1" a="1"/>
  <c r="E616" i="1" s="1"/>
  <c r="C616" i="1" a="1"/>
  <c r="C616" i="1"/>
  <c r="W615" i="1"/>
  <c r="P615" i="1" s="1"/>
  <c r="V615" i="1"/>
  <c r="U615" i="1"/>
  <c r="W614" i="1"/>
  <c r="E614" i="1" s="1" a="1"/>
  <c r="E614" i="1" s="1"/>
  <c r="V614" i="1"/>
  <c r="U614" i="1"/>
  <c r="H614" i="1" a="1"/>
  <c r="H614" i="1" s="1"/>
  <c r="W613" i="1"/>
  <c r="G613" i="1" s="1" a="1"/>
  <c r="V613" i="1"/>
  <c r="U613" i="1"/>
  <c r="S613" i="1"/>
  <c r="P613" i="1"/>
  <c r="O613" i="1"/>
  <c r="M613" i="1"/>
  <c r="L613" i="1"/>
  <c r="K613" i="1"/>
  <c r="J613" i="1"/>
  <c r="I613" i="1"/>
  <c r="H613" i="1" a="1"/>
  <c r="H613" i="1"/>
  <c r="G613" i="1"/>
  <c r="F613" i="1" a="1"/>
  <c r="F613" i="1" s="1"/>
  <c r="C613" i="1" a="1"/>
  <c r="C613" i="1" s="1"/>
  <c r="B613" i="1" a="1"/>
  <c r="B613" i="1" s="1"/>
  <c r="W612" i="1"/>
  <c r="V612" i="1"/>
  <c r="U612" i="1"/>
  <c r="S612" i="1"/>
  <c r="P612" i="1"/>
  <c r="O612" i="1"/>
  <c r="L612" i="1"/>
  <c r="K612" i="1"/>
  <c r="H612" i="1" a="1"/>
  <c r="H612" i="1"/>
  <c r="C612" i="1" a="1"/>
  <c r="C612" i="1"/>
  <c r="B612" i="1" a="1"/>
  <c r="B612" i="1" s="1"/>
  <c r="W611" i="1"/>
  <c r="V611" i="1"/>
  <c r="U611" i="1"/>
  <c r="P611" i="1"/>
  <c r="O611" i="1"/>
  <c r="M611" i="1"/>
  <c r="L611" i="1"/>
  <c r="E611" i="1" a="1"/>
  <c r="E611" i="1" s="1"/>
  <c r="W610" i="1"/>
  <c r="V610" i="1"/>
  <c r="U610" i="1"/>
  <c r="S610" i="1"/>
  <c r="F610" i="1" a="1"/>
  <c r="F610" i="1"/>
  <c r="E610" i="1" a="1"/>
  <c r="E610" i="1"/>
  <c r="C610" i="1" a="1"/>
  <c r="C610" i="1"/>
  <c r="B610" i="1" a="1"/>
  <c r="B610" i="1"/>
  <c r="W609" i="1"/>
  <c r="S609" i="1" s="1"/>
  <c r="V609" i="1"/>
  <c r="U609" i="1"/>
  <c r="K609" i="1"/>
  <c r="J609" i="1"/>
  <c r="I609" i="1"/>
  <c r="H609" i="1" a="1"/>
  <c r="H609" i="1" s="1"/>
  <c r="G609" i="1" a="1"/>
  <c r="G609" i="1"/>
  <c r="F609" i="1" a="1"/>
  <c r="F609" i="1"/>
  <c r="C609" i="1" a="1"/>
  <c r="C609" i="1" s="1"/>
  <c r="W608" i="1"/>
  <c r="B608" i="1" s="1" a="1"/>
  <c r="B608" i="1" s="1"/>
  <c r="V608" i="1"/>
  <c r="U608" i="1"/>
  <c r="P608" i="1"/>
  <c r="O608" i="1"/>
  <c r="M608" i="1"/>
  <c r="L608" i="1"/>
  <c r="K608" i="1"/>
  <c r="J608" i="1"/>
  <c r="H608" i="1" a="1"/>
  <c r="H608" i="1"/>
  <c r="F608" i="1" a="1"/>
  <c r="F608" i="1"/>
  <c r="C608" i="1" a="1"/>
  <c r="C608" i="1" s="1"/>
  <c r="W607" i="1"/>
  <c r="V607" i="1"/>
  <c r="U607" i="1"/>
  <c r="P607" i="1"/>
  <c r="O607" i="1"/>
  <c r="K607" i="1"/>
  <c r="J607" i="1"/>
  <c r="I607" i="1"/>
  <c r="H607" i="1" a="1"/>
  <c r="H607" i="1"/>
  <c r="B607" i="1" a="1"/>
  <c r="B607" i="1" s="1"/>
  <c r="W606" i="1"/>
  <c r="V606" i="1"/>
  <c r="U606" i="1"/>
  <c r="S606" i="1"/>
  <c r="P606" i="1"/>
  <c r="O606" i="1"/>
  <c r="M606" i="1"/>
  <c r="L606" i="1"/>
  <c r="K606" i="1"/>
  <c r="J606" i="1"/>
  <c r="I606" i="1"/>
  <c r="H606" i="1" a="1"/>
  <c r="H606" i="1" s="1"/>
  <c r="G606" i="1" a="1"/>
  <c r="G606" i="1" s="1"/>
  <c r="F606" i="1" a="1"/>
  <c r="F606" i="1" s="1"/>
  <c r="E606" i="1" a="1"/>
  <c r="E606" i="1" s="1"/>
  <c r="C606" i="1" a="1"/>
  <c r="C606" i="1"/>
  <c r="B606" i="1" a="1"/>
  <c r="B606" i="1"/>
  <c r="W605" i="1"/>
  <c r="V605" i="1"/>
  <c r="U605" i="1"/>
  <c r="G605" i="1" a="1"/>
  <c r="G605" i="1"/>
  <c r="F605" i="1" a="1"/>
  <c r="F605" i="1" s="1"/>
  <c r="W604" i="1"/>
  <c r="E604" i="1" s="1" a="1"/>
  <c r="E604" i="1" s="1"/>
  <c r="V604" i="1"/>
  <c r="U604" i="1"/>
  <c r="M604" i="1"/>
  <c r="L604" i="1"/>
  <c r="K604" i="1"/>
  <c r="J604" i="1"/>
  <c r="I604" i="1"/>
  <c r="H604" i="1" a="1"/>
  <c r="H604" i="1"/>
  <c r="G604" i="1" a="1"/>
  <c r="G604" i="1" s="1"/>
  <c r="F604" i="1" a="1"/>
  <c r="F604" i="1"/>
  <c r="C604" i="1" a="1"/>
  <c r="C604" i="1"/>
  <c r="B604" i="1" a="1"/>
  <c r="B604" i="1" s="1"/>
  <c r="W603" i="1"/>
  <c r="V603" i="1"/>
  <c r="U603" i="1"/>
  <c r="S603" i="1"/>
  <c r="P603" i="1"/>
  <c r="O603" i="1"/>
  <c r="M603" i="1"/>
  <c r="K603" i="1"/>
  <c r="J603" i="1"/>
  <c r="G603" i="1" a="1"/>
  <c r="G603" i="1"/>
  <c r="F603" i="1" a="1"/>
  <c r="F603" i="1"/>
  <c r="E603" i="1" a="1"/>
  <c r="E603" i="1" s="1"/>
  <c r="C603" i="1" a="1"/>
  <c r="C603" i="1" s="1"/>
  <c r="B603" i="1" a="1"/>
  <c r="B603" i="1"/>
  <c r="W602" i="1"/>
  <c r="V602" i="1"/>
  <c r="U602" i="1"/>
  <c r="S602" i="1"/>
  <c r="P602" i="1"/>
  <c r="O602" i="1"/>
  <c r="M602" i="1"/>
  <c r="L602" i="1"/>
  <c r="K602" i="1"/>
  <c r="J602" i="1"/>
  <c r="I602" i="1"/>
  <c r="H602" i="1" a="1"/>
  <c r="H602" i="1"/>
  <c r="G602" i="1" a="1"/>
  <c r="G602" i="1"/>
  <c r="F602" i="1" a="1"/>
  <c r="F602" i="1" s="1"/>
  <c r="E602" i="1" a="1"/>
  <c r="E602" i="1"/>
  <c r="C602" i="1" a="1"/>
  <c r="C602" i="1" s="1"/>
  <c r="B602" i="1" a="1"/>
  <c r="B602" i="1"/>
  <c r="W601" i="1"/>
  <c r="C601" i="1" s="1" a="1"/>
  <c r="C601" i="1" s="1"/>
  <c r="V601" i="1"/>
  <c r="U601" i="1"/>
  <c r="W600" i="1"/>
  <c r="S600" i="1" s="1"/>
  <c r="V600" i="1"/>
  <c r="U600" i="1"/>
  <c r="L600" i="1"/>
  <c r="K600" i="1"/>
  <c r="J600" i="1"/>
  <c r="I600" i="1"/>
  <c r="H600" i="1" a="1"/>
  <c r="H600" i="1"/>
  <c r="G600" i="1" a="1"/>
  <c r="G600" i="1" s="1"/>
  <c r="F600" i="1" a="1"/>
  <c r="F600" i="1" s="1"/>
  <c r="C600" i="1" a="1"/>
  <c r="C600" i="1"/>
  <c r="W599" i="1"/>
  <c r="V599" i="1"/>
  <c r="U599" i="1"/>
  <c r="S599" i="1"/>
  <c r="P599" i="1"/>
  <c r="O599" i="1"/>
  <c r="M599" i="1"/>
  <c r="L599" i="1"/>
  <c r="K599" i="1"/>
  <c r="J599" i="1"/>
  <c r="I599" i="1"/>
  <c r="G599" i="1" a="1"/>
  <c r="G599" i="1" s="1"/>
  <c r="E599" i="1" a="1"/>
  <c r="E599" i="1"/>
  <c r="C599" i="1" a="1"/>
  <c r="C599" i="1"/>
  <c r="B599" i="1" a="1"/>
  <c r="B599" i="1"/>
  <c r="W598" i="1"/>
  <c r="I598" i="1" s="1"/>
  <c r="V598" i="1"/>
  <c r="U598" i="1"/>
  <c r="S598" i="1"/>
  <c r="O598" i="1"/>
  <c r="W597" i="1"/>
  <c r="G597" i="1" s="1" a="1"/>
  <c r="G597" i="1" s="1"/>
  <c r="V597" i="1"/>
  <c r="U597" i="1"/>
  <c r="S597" i="1"/>
  <c r="P597" i="1"/>
  <c r="O597" i="1"/>
  <c r="M597" i="1"/>
  <c r="L597" i="1"/>
  <c r="K597" i="1"/>
  <c r="J597" i="1"/>
  <c r="I597" i="1"/>
  <c r="H597" i="1" a="1"/>
  <c r="H597" i="1"/>
  <c r="F597" i="1" a="1"/>
  <c r="F597" i="1" s="1"/>
  <c r="C597" i="1" a="1"/>
  <c r="C597" i="1"/>
  <c r="B597" i="1" a="1"/>
  <c r="B597" i="1"/>
  <c r="W596" i="1"/>
  <c r="F596" i="1" s="1" a="1"/>
  <c r="F596" i="1" s="1"/>
  <c r="V596" i="1"/>
  <c r="U596" i="1"/>
  <c r="G596" i="1" a="1"/>
  <c r="G596" i="1" s="1"/>
  <c r="W595" i="1"/>
  <c r="P595" i="1" s="1"/>
  <c r="V595" i="1"/>
  <c r="U595" i="1"/>
  <c r="M595" i="1"/>
  <c r="L595" i="1"/>
  <c r="K595" i="1"/>
  <c r="J595" i="1"/>
  <c r="I595" i="1"/>
  <c r="H595" i="1" a="1"/>
  <c r="H595" i="1" s="1"/>
  <c r="G595" i="1" a="1"/>
  <c r="G595" i="1"/>
  <c r="B595" i="1" a="1"/>
  <c r="B595" i="1" s="1"/>
  <c r="W594" i="1"/>
  <c r="V594" i="1"/>
  <c r="U594" i="1"/>
  <c r="S594" i="1"/>
  <c r="P594" i="1"/>
  <c r="O594" i="1"/>
  <c r="M594" i="1"/>
  <c r="L594" i="1"/>
  <c r="J594" i="1"/>
  <c r="I594" i="1"/>
  <c r="G594" i="1" a="1"/>
  <c r="G594" i="1" s="1"/>
  <c r="F594" i="1" a="1"/>
  <c r="F594" i="1"/>
  <c r="E594" i="1" a="1"/>
  <c r="E594" i="1" s="1"/>
  <c r="C594" i="1" a="1"/>
  <c r="C594" i="1" s="1"/>
  <c r="B594" i="1" a="1"/>
  <c r="B594" i="1"/>
  <c r="W593" i="1"/>
  <c r="V593" i="1"/>
  <c r="U593" i="1"/>
  <c r="S593" i="1"/>
  <c r="M593" i="1"/>
  <c r="L593" i="1"/>
  <c r="K593" i="1"/>
  <c r="J593" i="1"/>
  <c r="W592" i="1"/>
  <c r="P592" i="1" s="1"/>
  <c r="V592" i="1"/>
  <c r="U592" i="1"/>
  <c r="S592" i="1"/>
  <c r="O592" i="1"/>
  <c r="E592" i="1" a="1"/>
  <c r="E592" i="1"/>
  <c r="C592" i="1" a="1"/>
  <c r="C592" i="1"/>
  <c r="B592" i="1" a="1"/>
  <c r="B592" i="1"/>
  <c r="W591" i="1"/>
  <c r="G591" i="1" s="1" a="1"/>
  <c r="G591" i="1" s="1"/>
  <c r="V591" i="1"/>
  <c r="U591" i="1"/>
  <c r="W590" i="1"/>
  <c r="V590" i="1"/>
  <c r="U590" i="1"/>
  <c r="S590" i="1"/>
  <c r="P590" i="1"/>
  <c r="O590" i="1"/>
  <c r="M590" i="1"/>
  <c r="L590" i="1"/>
  <c r="K590" i="1"/>
  <c r="J590" i="1"/>
  <c r="I590" i="1"/>
  <c r="H590" i="1" a="1"/>
  <c r="H590" i="1" s="1"/>
  <c r="G590" i="1" a="1"/>
  <c r="G590" i="1"/>
  <c r="F590" i="1" a="1"/>
  <c r="F590" i="1" s="1"/>
  <c r="E590" i="1" a="1"/>
  <c r="E590" i="1" s="1"/>
  <c r="C590" i="1" a="1"/>
  <c r="C590" i="1"/>
  <c r="B590" i="1" a="1"/>
  <c r="B590" i="1"/>
  <c r="W589" i="1"/>
  <c r="V589" i="1"/>
  <c r="U589" i="1"/>
  <c r="S589" i="1"/>
  <c r="P589" i="1"/>
  <c r="M589" i="1"/>
  <c r="L589" i="1"/>
  <c r="I589" i="1"/>
  <c r="H589" i="1" a="1"/>
  <c r="H589" i="1"/>
  <c r="G589" i="1" a="1"/>
  <c r="G589" i="1" s="1"/>
  <c r="F589" i="1" a="1"/>
  <c r="F589" i="1"/>
  <c r="E589" i="1" a="1"/>
  <c r="E589" i="1"/>
  <c r="C589" i="1" a="1"/>
  <c r="C589" i="1"/>
  <c r="W588" i="1"/>
  <c r="O588" i="1" s="1"/>
  <c r="V588" i="1"/>
  <c r="U588" i="1"/>
  <c r="S588" i="1"/>
  <c r="P588" i="1"/>
  <c r="M588" i="1"/>
  <c r="L588" i="1"/>
  <c r="C588" i="1" a="1"/>
  <c r="C588" i="1"/>
  <c r="B588" i="1" a="1"/>
  <c r="B588" i="1"/>
  <c r="W587" i="1"/>
  <c r="F587" i="1" s="1" a="1"/>
  <c r="F587" i="1" s="1"/>
  <c r="V587" i="1"/>
  <c r="U587" i="1"/>
  <c r="W586" i="1"/>
  <c r="P586" i="1" s="1"/>
  <c r="V586" i="1"/>
  <c r="U586" i="1"/>
  <c r="S586" i="1"/>
  <c r="O586" i="1"/>
  <c r="M586" i="1"/>
  <c r="L586" i="1"/>
  <c r="K586" i="1"/>
  <c r="J586" i="1"/>
  <c r="I586" i="1"/>
  <c r="H586" i="1" a="1"/>
  <c r="H586" i="1" s="1"/>
  <c r="G586" i="1" a="1"/>
  <c r="G586" i="1"/>
  <c r="F586" i="1" a="1"/>
  <c r="F586" i="1" s="1"/>
  <c r="E586" i="1" a="1"/>
  <c r="E586" i="1" s="1"/>
  <c r="C586" i="1" a="1"/>
  <c r="C586" i="1" s="1"/>
  <c r="B586" i="1" a="1"/>
  <c r="B586" i="1" s="1"/>
  <c r="W585" i="1"/>
  <c r="V585" i="1"/>
  <c r="U585" i="1"/>
  <c r="S585" i="1"/>
  <c r="P585" i="1"/>
  <c r="O585" i="1"/>
  <c r="M585" i="1"/>
  <c r="L585" i="1"/>
  <c r="K585" i="1"/>
  <c r="I585" i="1"/>
  <c r="H585" i="1" a="1"/>
  <c r="H585" i="1" s="1"/>
  <c r="F585" i="1" a="1"/>
  <c r="F585" i="1"/>
  <c r="E585" i="1" a="1"/>
  <c r="E585" i="1" s="1"/>
  <c r="C585" i="1" a="1"/>
  <c r="C585" i="1" s="1"/>
  <c r="B585" i="1" a="1"/>
  <c r="B585" i="1"/>
  <c r="W584" i="1"/>
  <c r="P584" i="1" s="1"/>
  <c r="V584" i="1"/>
  <c r="U584" i="1"/>
  <c r="W583" i="1"/>
  <c r="C583" i="1" s="1" a="1"/>
  <c r="C583" i="1" s="1"/>
  <c r="V583" i="1"/>
  <c r="U583" i="1"/>
  <c r="S583" i="1"/>
  <c r="P583" i="1"/>
  <c r="O583" i="1"/>
  <c r="W582" i="1"/>
  <c r="V582" i="1"/>
  <c r="U582" i="1"/>
  <c r="G582" i="1" a="1"/>
  <c r="G582" i="1"/>
  <c r="F582" i="1" a="1"/>
  <c r="F582" i="1"/>
  <c r="E582" i="1" a="1"/>
  <c r="E582" i="1" s="1"/>
  <c r="W581" i="1"/>
  <c r="G581" i="1" s="1" a="1"/>
  <c r="V581" i="1"/>
  <c r="U581" i="1"/>
  <c r="S581" i="1"/>
  <c r="P581" i="1"/>
  <c r="O581" i="1"/>
  <c r="M581" i="1"/>
  <c r="L581" i="1"/>
  <c r="K581" i="1"/>
  <c r="J581" i="1"/>
  <c r="I581" i="1"/>
  <c r="H581" i="1" a="1"/>
  <c r="H581" i="1"/>
  <c r="G581" i="1"/>
  <c r="F581" i="1" a="1"/>
  <c r="F581" i="1" s="1"/>
  <c r="C581" i="1" a="1"/>
  <c r="C581" i="1"/>
  <c r="B581" i="1" a="1"/>
  <c r="B581" i="1"/>
  <c r="W580" i="1"/>
  <c r="V580" i="1"/>
  <c r="U580" i="1"/>
  <c r="S580" i="1"/>
  <c r="P580" i="1"/>
  <c r="O580" i="1"/>
  <c r="L580" i="1"/>
  <c r="K580" i="1"/>
  <c r="H580" i="1" a="1"/>
  <c r="H580" i="1"/>
  <c r="G580" i="1" a="1"/>
  <c r="G580" i="1" s="1"/>
  <c r="F580" i="1" a="1"/>
  <c r="F580" i="1"/>
  <c r="E580" i="1" a="1"/>
  <c r="E580" i="1"/>
  <c r="C580" i="1" a="1"/>
  <c r="C580" i="1"/>
  <c r="B580" i="1" a="1"/>
  <c r="B580" i="1" s="1"/>
  <c r="W579" i="1"/>
  <c r="V579" i="1"/>
  <c r="U579" i="1"/>
  <c r="P579" i="1"/>
  <c r="O579" i="1"/>
  <c r="M579" i="1"/>
  <c r="L579" i="1"/>
  <c r="K579" i="1"/>
  <c r="W578" i="1"/>
  <c r="V578" i="1"/>
  <c r="U578" i="1"/>
  <c r="S578" i="1"/>
  <c r="P578" i="1"/>
  <c r="F578" i="1" a="1"/>
  <c r="F578" i="1"/>
  <c r="E578" i="1" a="1"/>
  <c r="E578" i="1"/>
  <c r="C578" i="1" a="1"/>
  <c r="C578" i="1"/>
  <c r="B578" i="1" a="1"/>
  <c r="B578" i="1" s="1"/>
  <c r="W577" i="1"/>
  <c r="V577" i="1"/>
  <c r="U577" i="1"/>
  <c r="I577" i="1"/>
  <c r="H577" i="1" a="1"/>
  <c r="H577" i="1" s="1"/>
  <c r="G577" i="1" a="1"/>
  <c r="G577" i="1"/>
  <c r="F577" i="1" a="1"/>
  <c r="F577" i="1"/>
  <c r="C577" i="1" a="1"/>
  <c r="C577" i="1" s="1"/>
  <c r="W576" i="1"/>
  <c r="B576" i="1" s="1" a="1"/>
  <c r="B576" i="1" s="1"/>
  <c r="V576" i="1"/>
  <c r="U576" i="1"/>
  <c r="O576" i="1"/>
  <c r="M576" i="1"/>
  <c r="L576" i="1"/>
  <c r="K576" i="1"/>
  <c r="J576" i="1"/>
  <c r="H576" i="1" a="1"/>
  <c r="H576" i="1" s="1"/>
  <c r="F576" i="1" a="1"/>
  <c r="F576" i="1"/>
  <c r="E576" i="1" a="1"/>
  <c r="E576" i="1" s="1"/>
  <c r="C576" i="1" a="1"/>
  <c r="C576" i="1"/>
  <c r="W575" i="1"/>
  <c r="V575" i="1"/>
  <c r="U575" i="1"/>
  <c r="P575" i="1"/>
  <c r="O575" i="1"/>
  <c r="K575" i="1"/>
  <c r="J575" i="1"/>
  <c r="I575" i="1"/>
  <c r="H575" i="1" a="1"/>
  <c r="H575" i="1" s="1"/>
  <c r="G575" i="1" a="1"/>
  <c r="G575" i="1" s="1"/>
  <c r="F575" i="1" a="1"/>
  <c r="F575" i="1"/>
  <c r="E575" i="1" a="1"/>
  <c r="E575" i="1"/>
  <c r="B575" i="1" a="1"/>
  <c r="B575" i="1" s="1"/>
  <c r="W574" i="1"/>
  <c r="V574" i="1"/>
  <c r="U574" i="1"/>
  <c r="S574" i="1"/>
  <c r="P574" i="1"/>
  <c r="O574" i="1"/>
  <c r="M574" i="1"/>
  <c r="L574" i="1"/>
  <c r="K574" i="1"/>
  <c r="J574" i="1"/>
  <c r="I574" i="1"/>
  <c r="H574" i="1" a="1"/>
  <c r="H574" i="1" s="1"/>
  <c r="G574" i="1" a="1"/>
  <c r="G574" i="1"/>
  <c r="F574" i="1" a="1"/>
  <c r="F574" i="1" s="1"/>
  <c r="E574" i="1" a="1"/>
  <c r="E574" i="1"/>
  <c r="C574" i="1" a="1"/>
  <c r="C574" i="1"/>
  <c r="B574" i="1" a="1"/>
  <c r="B574" i="1" s="1"/>
  <c r="W573" i="1"/>
  <c r="F573" i="1" s="1" a="1"/>
  <c r="F573" i="1" s="1"/>
  <c r="V573" i="1"/>
  <c r="U573" i="1"/>
  <c r="S573" i="1"/>
  <c r="E573" i="1" a="1"/>
  <c r="E573" i="1"/>
  <c r="C573" i="1" a="1"/>
  <c r="C573" i="1"/>
  <c r="W572" i="1"/>
  <c r="F572" i="1" s="1" a="1"/>
  <c r="F572" i="1" s="1"/>
  <c r="V572" i="1"/>
  <c r="U572" i="1"/>
  <c r="W571" i="1"/>
  <c r="B571" i="1" s="1" a="1"/>
  <c r="B571" i="1" s="1"/>
  <c r="V571" i="1"/>
  <c r="U571" i="1"/>
  <c r="S571" i="1"/>
  <c r="P571" i="1"/>
  <c r="O571" i="1"/>
  <c r="M571" i="1"/>
  <c r="K571" i="1"/>
  <c r="J571" i="1"/>
  <c r="G571" i="1" a="1"/>
  <c r="G571" i="1"/>
  <c r="F571" i="1" a="1"/>
  <c r="F571" i="1" s="1"/>
  <c r="E571" i="1" a="1"/>
  <c r="E571" i="1"/>
  <c r="C571" i="1" a="1"/>
  <c r="C571" i="1"/>
  <c r="W570" i="1"/>
  <c r="P570" i="1" s="1"/>
  <c r="V570" i="1"/>
  <c r="U570" i="1"/>
  <c r="S570" i="1"/>
  <c r="O570" i="1"/>
  <c r="M570" i="1"/>
  <c r="L570" i="1"/>
  <c r="K570" i="1"/>
  <c r="J570" i="1"/>
  <c r="I570" i="1"/>
  <c r="H570" i="1" a="1"/>
  <c r="H570" i="1"/>
  <c r="G570" i="1" a="1"/>
  <c r="G570" i="1"/>
  <c r="F570" i="1" a="1"/>
  <c r="F570" i="1" s="1"/>
  <c r="E570" i="1" a="1"/>
  <c r="E570" i="1"/>
  <c r="C570" i="1" a="1"/>
  <c r="C570" i="1" s="1"/>
  <c r="B570" i="1" a="1"/>
  <c r="B570" i="1"/>
  <c r="W569" i="1"/>
  <c r="S569" i="1" s="1"/>
  <c r="V569" i="1"/>
  <c r="U569" i="1"/>
  <c r="W568" i="1"/>
  <c r="F568" i="1" s="1" a="1"/>
  <c r="F568" i="1" s="1"/>
  <c r="V568" i="1"/>
  <c r="U568" i="1"/>
  <c r="I568" i="1"/>
  <c r="H568" i="1" a="1"/>
  <c r="H568" i="1" s="1"/>
  <c r="W567" i="1"/>
  <c r="B567" i="1" s="1" a="1"/>
  <c r="B567" i="1" s="1"/>
  <c r="V567" i="1"/>
  <c r="U567" i="1"/>
  <c r="O567" i="1"/>
  <c r="M567" i="1"/>
  <c r="L567" i="1"/>
  <c r="K567" i="1"/>
  <c r="J567" i="1"/>
  <c r="I567" i="1"/>
  <c r="G567" i="1" a="1"/>
  <c r="G567" i="1" s="1"/>
  <c r="E567" i="1" a="1"/>
  <c r="E567" i="1" s="1"/>
  <c r="C567" i="1" a="1"/>
  <c r="C567" i="1"/>
  <c r="W566" i="1"/>
  <c r="V566" i="1"/>
  <c r="U566" i="1"/>
  <c r="S566" i="1"/>
  <c r="O566" i="1"/>
  <c r="M566" i="1"/>
  <c r="J566" i="1"/>
  <c r="I566" i="1"/>
  <c r="H566" i="1" a="1"/>
  <c r="H566" i="1"/>
  <c r="G566" i="1" a="1"/>
  <c r="G566" i="1" s="1"/>
  <c r="F566" i="1" a="1"/>
  <c r="F566" i="1"/>
  <c r="E566" i="1" a="1"/>
  <c r="E566" i="1"/>
  <c r="C566" i="1" a="1"/>
  <c r="C566" i="1" s="1"/>
  <c r="B566" i="1" a="1"/>
  <c r="B566" i="1"/>
  <c r="W565" i="1"/>
  <c r="G565" i="1" s="1" a="1"/>
  <c r="G565" i="1" s="1"/>
  <c r="V565" i="1"/>
  <c r="U565" i="1"/>
  <c r="S565" i="1"/>
  <c r="P565" i="1"/>
  <c r="O565" i="1"/>
  <c r="M565" i="1"/>
  <c r="L565" i="1"/>
  <c r="K565" i="1"/>
  <c r="J565" i="1"/>
  <c r="I565" i="1"/>
  <c r="H565" i="1" a="1"/>
  <c r="H565" i="1"/>
  <c r="F565" i="1" a="1"/>
  <c r="F565" i="1" s="1"/>
  <c r="C565" i="1" a="1"/>
  <c r="C565" i="1"/>
  <c r="B565" i="1" a="1"/>
  <c r="B565" i="1"/>
  <c r="W564" i="1"/>
  <c r="B564" i="1" s="1" a="1"/>
  <c r="B564" i="1" s="1"/>
  <c r="V564" i="1"/>
  <c r="U564" i="1"/>
  <c r="S564" i="1"/>
  <c r="W563" i="1"/>
  <c r="V563" i="1"/>
  <c r="U563" i="1"/>
  <c r="J563" i="1"/>
  <c r="I563" i="1"/>
  <c r="H563" i="1" a="1"/>
  <c r="H563" i="1"/>
  <c r="G563" i="1" a="1"/>
  <c r="G563" i="1"/>
  <c r="W562" i="1"/>
  <c r="B562" i="1" s="1" a="1"/>
  <c r="B562" i="1" s="1"/>
  <c r="V562" i="1"/>
  <c r="U562" i="1"/>
  <c r="P562" i="1"/>
  <c r="O562" i="1"/>
  <c r="M562" i="1"/>
  <c r="L562" i="1"/>
  <c r="J562" i="1"/>
  <c r="I562" i="1"/>
  <c r="G562" i="1" a="1"/>
  <c r="G562" i="1"/>
  <c r="F562" i="1" a="1"/>
  <c r="F562" i="1"/>
  <c r="C562" i="1" a="1"/>
  <c r="C562" i="1" s="1"/>
  <c r="W561" i="1"/>
  <c r="V561" i="1"/>
  <c r="U561" i="1"/>
  <c r="S561" i="1"/>
  <c r="M561" i="1"/>
  <c r="L561" i="1"/>
  <c r="K561" i="1"/>
  <c r="J561" i="1"/>
  <c r="I561" i="1"/>
  <c r="H561" i="1" a="1"/>
  <c r="H561" i="1" s="1"/>
  <c r="C561" i="1" a="1"/>
  <c r="C561" i="1" s="1"/>
  <c r="W560" i="1"/>
  <c r="V560" i="1"/>
  <c r="U560" i="1"/>
  <c r="W559" i="1"/>
  <c r="V559" i="1"/>
  <c r="U559" i="1"/>
  <c r="P559" i="1"/>
  <c r="F559" i="1" a="1"/>
  <c r="F559" i="1" s="1"/>
  <c r="W558" i="1"/>
  <c r="V558" i="1"/>
  <c r="U558" i="1"/>
  <c r="S558" i="1"/>
  <c r="P558" i="1"/>
  <c r="O558" i="1"/>
  <c r="M558" i="1"/>
  <c r="L558" i="1"/>
  <c r="K558" i="1"/>
  <c r="J558" i="1"/>
  <c r="I558" i="1"/>
  <c r="H558" i="1" a="1"/>
  <c r="H558" i="1" s="1"/>
  <c r="G558" i="1" a="1"/>
  <c r="G558" i="1"/>
  <c r="F558" i="1" a="1"/>
  <c r="F558" i="1" s="1"/>
  <c r="E558" i="1" a="1"/>
  <c r="E558" i="1" s="1"/>
  <c r="C558" i="1" a="1"/>
  <c r="C558" i="1" s="1"/>
  <c r="B558" i="1" a="1"/>
  <c r="B558" i="1"/>
  <c r="W557" i="1"/>
  <c r="V557" i="1"/>
  <c r="U557" i="1"/>
  <c r="S557" i="1"/>
  <c r="P557" i="1"/>
  <c r="M557" i="1"/>
  <c r="L557" i="1"/>
  <c r="I557" i="1"/>
  <c r="H557" i="1" a="1"/>
  <c r="H557" i="1"/>
  <c r="G557" i="1" a="1"/>
  <c r="G557" i="1"/>
  <c r="F557" i="1" a="1"/>
  <c r="F557" i="1" s="1"/>
  <c r="E557" i="1" a="1"/>
  <c r="E557" i="1"/>
  <c r="C557" i="1" a="1"/>
  <c r="C557" i="1"/>
  <c r="W556" i="1"/>
  <c r="E556" i="1" s="1" a="1"/>
  <c r="E556" i="1" s="1"/>
  <c r="V556" i="1"/>
  <c r="U556" i="1"/>
  <c r="S556" i="1"/>
  <c r="P556" i="1"/>
  <c r="O556" i="1"/>
  <c r="M556" i="1"/>
  <c r="L556" i="1"/>
  <c r="K556" i="1"/>
  <c r="J556" i="1"/>
  <c r="C556" i="1" a="1"/>
  <c r="C556" i="1"/>
  <c r="B556" i="1" a="1"/>
  <c r="B556" i="1"/>
  <c r="W555" i="1"/>
  <c r="V555" i="1"/>
  <c r="U555" i="1"/>
  <c r="S555" i="1"/>
  <c r="P555" i="1"/>
  <c r="O555" i="1"/>
  <c r="E555" i="1" a="1"/>
  <c r="E555" i="1" s="1"/>
  <c r="W554" i="1"/>
  <c r="V554" i="1"/>
  <c r="U554" i="1"/>
  <c r="S554" i="1"/>
  <c r="P554" i="1"/>
  <c r="O554" i="1"/>
  <c r="M554" i="1"/>
  <c r="L554" i="1"/>
  <c r="K554" i="1"/>
  <c r="J554" i="1"/>
  <c r="I554" i="1"/>
  <c r="H554" i="1" a="1"/>
  <c r="H554" i="1"/>
  <c r="G554" i="1" a="1"/>
  <c r="G554" i="1" s="1"/>
  <c r="F554" i="1" a="1"/>
  <c r="F554" i="1" s="1"/>
  <c r="E554" i="1" a="1"/>
  <c r="E554" i="1" s="1"/>
  <c r="C554" i="1" a="1"/>
  <c r="C554" i="1" s="1"/>
  <c r="B554" i="1" a="1"/>
  <c r="B554" i="1"/>
  <c r="W553" i="1"/>
  <c r="B553" i="1" s="1" a="1"/>
  <c r="B553" i="1" s="1"/>
  <c r="V553" i="1"/>
  <c r="U553" i="1"/>
  <c r="S553" i="1"/>
  <c r="P553" i="1"/>
  <c r="O553" i="1"/>
  <c r="M553" i="1"/>
  <c r="L553" i="1"/>
  <c r="K553" i="1"/>
  <c r="I553" i="1"/>
  <c r="H553" i="1" a="1"/>
  <c r="H553" i="1" s="1"/>
  <c r="F553" i="1" a="1"/>
  <c r="F553" i="1" s="1"/>
  <c r="E553" i="1" a="1"/>
  <c r="E553" i="1"/>
  <c r="C553" i="1" a="1"/>
  <c r="C553" i="1"/>
  <c r="W552" i="1"/>
  <c r="V552" i="1"/>
  <c r="U552" i="1"/>
  <c r="S552" i="1"/>
  <c r="P552" i="1"/>
  <c r="W551" i="1"/>
  <c r="V551" i="1"/>
  <c r="U551" i="1"/>
  <c r="S551" i="1"/>
  <c r="P551" i="1"/>
  <c r="O551" i="1"/>
  <c r="M551" i="1"/>
  <c r="E551" i="1" a="1"/>
  <c r="E551" i="1"/>
  <c r="C551" i="1" a="1"/>
  <c r="C551" i="1" s="1"/>
  <c r="W550" i="1"/>
  <c r="G550" i="1" s="1" a="1"/>
  <c r="G550" i="1" s="1"/>
  <c r="V550" i="1"/>
  <c r="U550" i="1"/>
  <c r="F550" i="1" a="1"/>
  <c r="F550" i="1"/>
  <c r="E550" i="1" a="1"/>
  <c r="E550" i="1"/>
  <c r="C550" i="1" a="1"/>
  <c r="C550" i="1" s="1"/>
  <c r="B550" i="1" a="1"/>
  <c r="B550" i="1"/>
  <c r="W549" i="1"/>
  <c r="G549" i="1" s="1" a="1"/>
  <c r="V549" i="1"/>
  <c r="U549" i="1"/>
  <c r="S549" i="1"/>
  <c r="P549" i="1"/>
  <c r="O549" i="1"/>
  <c r="M549" i="1"/>
  <c r="L549" i="1"/>
  <c r="K549" i="1"/>
  <c r="J549" i="1"/>
  <c r="I549" i="1"/>
  <c r="H549" i="1" a="1"/>
  <c r="H549" i="1"/>
  <c r="G549" i="1"/>
  <c r="F549" i="1" a="1"/>
  <c r="F549" i="1" s="1"/>
  <c r="C549" i="1" a="1"/>
  <c r="C549" i="1"/>
  <c r="B549" i="1" a="1"/>
  <c r="B549" i="1" s="1"/>
  <c r="W548" i="1"/>
  <c r="V548" i="1"/>
  <c r="U548" i="1"/>
  <c r="S548" i="1"/>
  <c r="P548" i="1"/>
  <c r="O548" i="1"/>
  <c r="L548" i="1"/>
  <c r="K548" i="1"/>
  <c r="H548" i="1" a="1"/>
  <c r="H548" i="1"/>
  <c r="G548" i="1" a="1"/>
  <c r="G548" i="1"/>
  <c r="F548" i="1" a="1"/>
  <c r="F548" i="1"/>
  <c r="E548" i="1" a="1"/>
  <c r="E548" i="1" s="1"/>
  <c r="C548" i="1" a="1"/>
  <c r="C548" i="1" s="1"/>
  <c r="B548" i="1" a="1"/>
  <c r="B548" i="1" s="1"/>
  <c r="W547" i="1"/>
  <c r="P547" i="1" s="1"/>
  <c r="V547" i="1"/>
  <c r="U547" i="1"/>
  <c r="O547" i="1"/>
  <c r="M547" i="1"/>
  <c r="L547" i="1"/>
  <c r="K547" i="1"/>
  <c r="J547" i="1"/>
  <c r="B547" i="1" a="1"/>
  <c r="B547" i="1"/>
  <c r="W546" i="1"/>
  <c r="P546" i="1" s="1"/>
  <c r="V546" i="1"/>
  <c r="U546" i="1"/>
  <c r="W545" i="1"/>
  <c r="F545" i="1" s="1" a="1"/>
  <c r="F545" i="1" s="1"/>
  <c r="V545" i="1"/>
  <c r="U545" i="1"/>
  <c r="H545" i="1" a="1"/>
  <c r="H545" i="1" s="1"/>
  <c r="W544" i="1"/>
  <c r="S544" i="1" s="1"/>
  <c r="V544" i="1"/>
  <c r="U544" i="1"/>
  <c r="M544" i="1"/>
  <c r="L544" i="1"/>
  <c r="K544" i="1"/>
  <c r="J544" i="1"/>
  <c r="H544" i="1" a="1"/>
  <c r="H544" i="1" s="1"/>
  <c r="F544" i="1" a="1"/>
  <c r="F544" i="1"/>
  <c r="E544" i="1" a="1"/>
  <c r="E544" i="1"/>
  <c r="C544" i="1" a="1"/>
  <c r="C544" i="1"/>
  <c r="B544" i="1" a="1"/>
  <c r="B544" i="1" s="1"/>
  <c r="W543" i="1"/>
  <c r="B543" i="1" s="1" a="1"/>
  <c r="B543" i="1" s="1"/>
  <c r="V543" i="1"/>
  <c r="U543" i="1"/>
  <c r="P543" i="1"/>
  <c r="O543" i="1"/>
  <c r="K543" i="1"/>
  <c r="J543" i="1"/>
  <c r="I543" i="1"/>
  <c r="H543" i="1" a="1"/>
  <c r="H543" i="1"/>
  <c r="G543" i="1" a="1"/>
  <c r="G543" i="1" s="1"/>
  <c r="F543" i="1" a="1"/>
  <c r="F543" i="1"/>
  <c r="E543" i="1" a="1"/>
  <c r="E543" i="1" s="1"/>
  <c r="W542" i="1"/>
  <c r="V542" i="1"/>
  <c r="U542" i="1"/>
  <c r="S542" i="1"/>
  <c r="P542" i="1"/>
  <c r="O542" i="1"/>
  <c r="M542" i="1"/>
  <c r="L542" i="1"/>
  <c r="K542" i="1"/>
  <c r="J542" i="1"/>
  <c r="I542" i="1"/>
  <c r="H542" i="1" a="1"/>
  <c r="H542" i="1" s="1"/>
  <c r="G542" i="1" a="1"/>
  <c r="G542" i="1" s="1"/>
  <c r="F542" i="1" a="1"/>
  <c r="F542" i="1" s="1"/>
  <c r="E542" i="1" a="1"/>
  <c r="E542" i="1"/>
  <c r="C542" i="1" a="1"/>
  <c r="C542" i="1"/>
  <c r="B542" i="1" a="1"/>
  <c r="B542" i="1"/>
  <c r="W541" i="1"/>
  <c r="C541" i="1" s="1" a="1"/>
  <c r="C541" i="1" s="1"/>
  <c r="V541" i="1"/>
  <c r="U541" i="1"/>
  <c r="S541" i="1"/>
  <c r="P541" i="1"/>
  <c r="W540" i="1"/>
  <c r="V540" i="1"/>
  <c r="U540" i="1"/>
  <c r="J540" i="1"/>
  <c r="I540" i="1"/>
  <c r="H540" i="1" a="1"/>
  <c r="H540" i="1"/>
  <c r="G540" i="1" a="1"/>
  <c r="G540" i="1" s="1"/>
  <c r="F540" i="1" a="1"/>
  <c r="F540" i="1" s="1"/>
  <c r="W539" i="1"/>
  <c r="B539" i="1" s="1" a="1"/>
  <c r="B539" i="1" s="1"/>
  <c r="V539" i="1"/>
  <c r="U539" i="1"/>
  <c r="P539" i="1"/>
  <c r="O539" i="1"/>
  <c r="M539" i="1"/>
  <c r="K539" i="1"/>
  <c r="J539" i="1"/>
  <c r="G539" i="1" a="1"/>
  <c r="G539" i="1"/>
  <c r="F539" i="1" a="1"/>
  <c r="F539" i="1"/>
  <c r="C539" i="1" a="1"/>
  <c r="C539" i="1" s="1"/>
  <c r="W538" i="1"/>
  <c r="V538" i="1"/>
  <c r="U538" i="1"/>
  <c r="S538" i="1"/>
  <c r="P538" i="1"/>
  <c r="O538" i="1"/>
  <c r="M538" i="1"/>
  <c r="L538" i="1"/>
  <c r="K538" i="1"/>
  <c r="J538" i="1"/>
  <c r="I538" i="1"/>
  <c r="H538" i="1" a="1"/>
  <c r="H538" i="1"/>
  <c r="G538" i="1" a="1"/>
  <c r="G538" i="1"/>
  <c r="F538" i="1" a="1"/>
  <c r="F538" i="1" s="1"/>
  <c r="E538" i="1" a="1"/>
  <c r="E538" i="1"/>
  <c r="C538" i="1" a="1"/>
  <c r="C538" i="1" s="1"/>
  <c r="B538" i="1" a="1"/>
  <c r="B538" i="1" s="1"/>
  <c r="W537" i="1"/>
  <c r="V537" i="1"/>
  <c r="U537" i="1"/>
  <c r="S537" i="1"/>
  <c r="P537" i="1"/>
  <c r="F537" i="1" a="1"/>
  <c r="F537" i="1"/>
  <c r="E537" i="1" a="1"/>
  <c r="E537" i="1"/>
  <c r="C537" i="1" a="1"/>
  <c r="C537" i="1" s="1"/>
  <c r="W536" i="1"/>
  <c r="I536" i="1" s="1"/>
  <c r="V536" i="1"/>
  <c r="U536" i="1"/>
  <c r="H536" i="1" a="1"/>
  <c r="H536" i="1"/>
  <c r="G536" i="1" a="1"/>
  <c r="G536" i="1"/>
  <c r="F536" i="1" a="1"/>
  <c r="F536" i="1"/>
  <c r="E536" i="1" a="1"/>
  <c r="E536" i="1" s="1"/>
  <c r="C536" i="1" a="1"/>
  <c r="C536" i="1" s="1"/>
  <c r="W535" i="1"/>
  <c r="B535" i="1" s="1" a="1"/>
  <c r="B535" i="1" s="1"/>
  <c r="V535" i="1"/>
  <c r="U535" i="1"/>
  <c r="O535" i="1"/>
  <c r="M535" i="1"/>
  <c r="L535" i="1"/>
  <c r="K535" i="1"/>
  <c r="J535" i="1"/>
  <c r="I535" i="1"/>
  <c r="G535" i="1" a="1"/>
  <c r="G535" i="1" s="1"/>
  <c r="E535" i="1" a="1"/>
  <c r="E535" i="1" s="1"/>
  <c r="C535" i="1" a="1"/>
  <c r="C535" i="1"/>
  <c r="W534" i="1"/>
  <c r="V534" i="1"/>
  <c r="U534" i="1"/>
  <c r="S534" i="1"/>
  <c r="O534" i="1"/>
  <c r="M534" i="1"/>
  <c r="J534" i="1"/>
  <c r="I534" i="1"/>
  <c r="H534" i="1" a="1"/>
  <c r="H534" i="1"/>
  <c r="G534" i="1" a="1"/>
  <c r="G534" i="1" s="1"/>
  <c r="F534" i="1" a="1"/>
  <c r="F534" i="1"/>
  <c r="E534" i="1" a="1"/>
  <c r="E534" i="1"/>
  <c r="C534" i="1" a="1"/>
  <c r="C534" i="1" s="1"/>
  <c r="B534" i="1" a="1"/>
  <c r="B534" i="1"/>
  <c r="W533" i="1"/>
  <c r="G533" i="1" s="1" a="1"/>
  <c r="G533" i="1" s="1"/>
  <c r="V533" i="1"/>
  <c r="U533" i="1"/>
  <c r="S533" i="1"/>
  <c r="P533" i="1"/>
  <c r="O533" i="1"/>
  <c r="M533" i="1"/>
  <c r="L533" i="1"/>
  <c r="K533" i="1"/>
  <c r="J533" i="1"/>
  <c r="I533" i="1"/>
  <c r="H533" i="1" a="1"/>
  <c r="H533" i="1"/>
  <c r="F533" i="1" a="1"/>
  <c r="F533" i="1" s="1"/>
  <c r="C533" i="1" a="1"/>
  <c r="C533" i="1" s="1"/>
  <c r="B533" i="1" a="1"/>
  <c r="B533" i="1"/>
  <c r="W532" i="1"/>
  <c r="S532" i="1" s="1"/>
  <c r="V532" i="1"/>
  <c r="U532" i="1"/>
  <c r="F532" i="1" a="1"/>
  <c r="F532" i="1"/>
  <c r="E532" i="1" a="1"/>
  <c r="E532" i="1"/>
  <c r="C532" i="1" a="1"/>
  <c r="C532" i="1"/>
  <c r="B532" i="1" a="1"/>
  <c r="B532" i="1" s="1"/>
  <c r="W531" i="1"/>
  <c r="V531" i="1"/>
  <c r="U531" i="1"/>
  <c r="W530" i="1"/>
  <c r="B530" i="1" s="1" a="1"/>
  <c r="B530" i="1" s="1"/>
  <c r="V530" i="1"/>
  <c r="U530" i="1"/>
  <c r="P530" i="1"/>
  <c r="O530" i="1"/>
  <c r="M530" i="1"/>
  <c r="L530" i="1"/>
  <c r="J530" i="1"/>
  <c r="I530" i="1"/>
  <c r="G530" i="1" a="1"/>
  <c r="G530" i="1" s="1"/>
  <c r="F530" i="1" a="1"/>
  <c r="F530" i="1"/>
  <c r="C530" i="1" a="1"/>
  <c r="C530" i="1" s="1"/>
  <c r="W529" i="1"/>
  <c r="V529" i="1"/>
  <c r="U529" i="1"/>
  <c r="S529" i="1"/>
  <c r="M529" i="1"/>
  <c r="L529" i="1"/>
  <c r="K529" i="1"/>
  <c r="J529" i="1"/>
  <c r="I529" i="1"/>
  <c r="H529" i="1" a="1"/>
  <c r="H529" i="1" s="1"/>
  <c r="C529" i="1" a="1"/>
  <c r="C529" i="1" s="1"/>
  <c r="W528" i="1"/>
  <c r="V528" i="1"/>
  <c r="U528" i="1"/>
  <c r="S528" i="1"/>
  <c r="P528" i="1"/>
  <c r="O528" i="1"/>
  <c r="M528" i="1"/>
  <c r="L528" i="1"/>
  <c r="C528" i="1" a="1"/>
  <c r="C528" i="1"/>
  <c r="W527" i="1"/>
  <c r="V527" i="1"/>
  <c r="U527" i="1"/>
  <c r="P527" i="1"/>
  <c r="F527" i="1" a="1"/>
  <c r="F527" i="1"/>
  <c r="E527" i="1" a="1"/>
  <c r="E527" i="1"/>
  <c r="B527" i="1" a="1"/>
  <c r="B527" i="1" s="1"/>
  <c r="W526" i="1"/>
  <c r="V526" i="1"/>
  <c r="U526" i="1"/>
  <c r="S526" i="1"/>
  <c r="P526" i="1"/>
  <c r="O526" i="1"/>
  <c r="M526" i="1"/>
  <c r="L526" i="1"/>
  <c r="K526" i="1"/>
  <c r="J526" i="1"/>
  <c r="I526" i="1"/>
  <c r="H526" i="1" a="1"/>
  <c r="H526" i="1" s="1"/>
  <c r="G526" i="1" a="1"/>
  <c r="G526" i="1"/>
  <c r="F526" i="1" a="1"/>
  <c r="F526" i="1" s="1"/>
  <c r="E526" i="1" a="1"/>
  <c r="E526" i="1"/>
  <c r="C526" i="1" a="1"/>
  <c r="C526" i="1" s="1"/>
  <c r="B526" i="1" a="1"/>
  <c r="B526" i="1"/>
  <c r="W525" i="1"/>
  <c r="V525" i="1"/>
  <c r="U525" i="1"/>
  <c r="S525" i="1"/>
  <c r="P525" i="1"/>
  <c r="M525" i="1"/>
  <c r="L525" i="1"/>
  <c r="I525" i="1"/>
  <c r="H525" i="1" a="1"/>
  <c r="H525" i="1"/>
  <c r="G525" i="1" a="1"/>
  <c r="G525" i="1"/>
  <c r="F525" i="1" a="1"/>
  <c r="F525" i="1" s="1"/>
  <c r="E525" i="1" a="1"/>
  <c r="E525" i="1"/>
  <c r="C525" i="1" a="1"/>
  <c r="C525" i="1"/>
  <c r="W524" i="1"/>
  <c r="E524" i="1" s="1" a="1"/>
  <c r="E524" i="1" s="1"/>
  <c r="V524" i="1"/>
  <c r="U524" i="1"/>
  <c r="S524" i="1"/>
  <c r="P524" i="1"/>
  <c r="O524" i="1"/>
  <c r="M524" i="1"/>
  <c r="L524" i="1"/>
  <c r="K524" i="1"/>
  <c r="J524" i="1"/>
  <c r="C524" i="1" a="1"/>
  <c r="C524" i="1"/>
  <c r="B524" i="1" a="1"/>
  <c r="B524" i="1"/>
  <c r="W523" i="1"/>
  <c r="V523" i="1"/>
  <c r="U523" i="1"/>
  <c r="S523" i="1"/>
  <c r="P523" i="1"/>
  <c r="O523" i="1"/>
  <c r="E523" i="1" a="1"/>
  <c r="E523" i="1"/>
  <c r="C523" i="1" a="1"/>
  <c r="C523" i="1"/>
  <c r="B523" i="1" a="1"/>
  <c r="B523" i="1"/>
  <c r="W522" i="1"/>
  <c r="V522" i="1"/>
  <c r="U522" i="1"/>
  <c r="S522" i="1"/>
  <c r="P522" i="1"/>
  <c r="O522" i="1"/>
  <c r="M522" i="1"/>
  <c r="L522" i="1"/>
  <c r="K522" i="1"/>
  <c r="J522" i="1"/>
  <c r="I522" i="1"/>
  <c r="H522" i="1" a="1"/>
  <c r="H522" i="1"/>
  <c r="G522" i="1" a="1"/>
  <c r="G522" i="1"/>
  <c r="F522" i="1" a="1"/>
  <c r="F522" i="1" s="1"/>
  <c r="E522" i="1" a="1"/>
  <c r="E522" i="1"/>
  <c r="C522" i="1" a="1"/>
  <c r="C522" i="1" s="1"/>
  <c r="B522" i="1" a="1"/>
  <c r="B522" i="1"/>
  <c r="W521" i="1"/>
  <c r="B521" i="1" s="1" a="1"/>
  <c r="B521" i="1" s="1"/>
  <c r="V521" i="1"/>
  <c r="U521" i="1"/>
  <c r="S521" i="1"/>
  <c r="P521" i="1"/>
  <c r="O521" i="1"/>
  <c r="M521" i="1"/>
  <c r="L521" i="1"/>
  <c r="K521" i="1"/>
  <c r="I521" i="1"/>
  <c r="H521" i="1" a="1"/>
  <c r="H521" i="1" s="1"/>
  <c r="F521" i="1" a="1"/>
  <c r="F521" i="1" s="1"/>
  <c r="E521" i="1" a="1"/>
  <c r="E521" i="1"/>
  <c r="C521" i="1" a="1"/>
  <c r="C521" i="1"/>
  <c r="W520" i="1"/>
  <c r="S520" i="1" s="1"/>
  <c r="V520" i="1"/>
  <c r="U520" i="1"/>
  <c r="P520" i="1"/>
  <c r="L520" i="1"/>
  <c r="K520" i="1"/>
  <c r="J520" i="1"/>
  <c r="I520" i="1"/>
  <c r="C520" i="1" a="1"/>
  <c r="C520" i="1"/>
  <c r="W519" i="1"/>
  <c r="S519" i="1" s="1"/>
  <c r="V519" i="1"/>
  <c r="U519" i="1"/>
  <c r="W518" i="1"/>
  <c r="E518" i="1" s="1" a="1"/>
  <c r="E518" i="1" s="1"/>
  <c r="V518" i="1"/>
  <c r="U518" i="1"/>
  <c r="G518" i="1" a="1"/>
  <c r="G518" i="1"/>
  <c r="W517" i="1"/>
  <c r="G517" i="1" s="1" a="1"/>
  <c r="V517" i="1"/>
  <c r="U517" i="1"/>
  <c r="S517" i="1"/>
  <c r="P517" i="1"/>
  <c r="O517" i="1"/>
  <c r="M517" i="1"/>
  <c r="L517" i="1"/>
  <c r="K517" i="1"/>
  <c r="J517" i="1"/>
  <c r="I517" i="1"/>
  <c r="H517" i="1" a="1"/>
  <c r="H517" i="1" s="1"/>
  <c r="G517" i="1"/>
  <c r="F517" i="1" a="1"/>
  <c r="F517" i="1" s="1"/>
  <c r="C517" i="1" a="1"/>
  <c r="C517" i="1"/>
  <c r="B517" i="1" a="1"/>
  <c r="B517" i="1" s="1"/>
  <c r="W516" i="1"/>
  <c r="V516" i="1"/>
  <c r="U516" i="1"/>
  <c r="S516" i="1"/>
  <c r="P516" i="1"/>
  <c r="O516" i="1"/>
  <c r="L516" i="1"/>
  <c r="K516" i="1"/>
  <c r="H516" i="1" a="1"/>
  <c r="H516" i="1" s="1"/>
  <c r="G516" i="1" a="1"/>
  <c r="G516" i="1" s="1"/>
  <c r="F516" i="1" a="1"/>
  <c r="F516" i="1"/>
  <c r="E516" i="1" a="1"/>
  <c r="E516" i="1" s="1"/>
  <c r="C516" i="1" a="1"/>
  <c r="C516" i="1" s="1"/>
  <c r="B516" i="1" a="1"/>
  <c r="B516" i="1" s="1"/>
  <c r="W515" i="1"/>
  <c r="V515" i="1"/>
  <c r="U515" i="1"/>
  <c r="P515" i="1"/>
  <c r="O515" i="1"/>
  <c r="W514" i="1"/>
  <c r="V514" i="1"/>
  <c r="U514" i="1"/>
  <c r="S514" i="1"/>
  <c r="P514" i="1"/>
  <c r="O514" i="1"/>
  <c r="E514" i="1" a="1"/>
  <c r="E514" i="1"/>
  <c r="W513" i="1"/>
  <c r="V513" i="1"/>
  <c r="U513" i="1"/>
  <c r="H513" i="1" a="1"/>
  <c r="H513" i="1"/>
  <c r="G513" i="1" a="1"/>
  <c r="G513" i="1"/>
  <c r="F513" i="1" a="1"/>
  <c r="F513" i="1"/>
  <c r="C513" i="1" a="1"/>
  <c r="C513" i="1" s="1"/>
  <c r="W512" i="1"/>
  <c r="S512" i="1" s="1"/>
  <c r="V512" i="1"/>
  <c r="U512" i="1"/>
  <c r="M512" i="1"/>
  <c r="L512" i="1"/>
  <c r="K512" i="1"/>
  <c r="J512" i="1"/>
  <c r="H512" i="1" a="1"/>
  <c r="H512" i="1"/>
  <c r="F512" i="1" a="1"/>
  <c r="F512" i="1"/>
  <c r="E512" i="1" a="1"/>
  <c r="E512" i="1"/>
  <c r="C512" i="1" a="1"/>
  <c r="C512" i="1"/>
  <c r="B512" i="1" a="1"/>
  <c r="B512" i="1" s="1"/>
  <c r="W511" i="1"/>
  <c r="B511" i="1" s="1" a="1"/>
  <c r="B511" i="1" s="1"/>
  <c r="V511" i="1"/>
  <c r="U511" i="1"/>
  <c r="P511" i="1"/>
  <c r="O511" i="1"/>
  <c r="K511" i="1"/>
  <c r="J511" i="1"/>
  <c r="I511" i="1"/>
  <c r="H511" i="1" a="1"/>
  <c r="H511" i="1"/>
  <c r="G511" i="1" a="1"/>
  <c r="G511" i="1"/>
  <c r="F511" i="1" a="1"/>
  <c r="F511" i="1"/>
  <c r="E511" i="1" a="1"/>
  <c r="E511" i="1" s="1"/>
  <c r="W510" i="1"/>
  <c r="V510" i="1"/>
  <c r="U510" i="1"/>
  <c r="S510" i="1"/>
  <c r="P510" i="1"/>
  <c r="O510" i="1"/>
  <c r="M510" i="1"/>
  <c r="L510" i="1"/>
  <c r="K510" i="1"/>
  <c r="J510" i="1"/>
  <c r="I510" i="1"/>
  <c r="H510" i="1" a="1"/>
  <c r="H510" i="1" s="1"/>
  <c r="G510" i="1" a="1"/>
  <c r="G510" i="1" s="1"/>
  <c r="F510" i="1" a="1"/>
  <c r="F510" i="1" s="1"/>
  <c r="E510" i="1" a="1"/>
  <c r="E510" i="1"/>
  <c r="C510" i="1" a="1"/>
  <c r="C510" i="1" s="1"/>
  <c r="B510" i="1" a="1"/>
  <c r="B510" i="1"/>
  <c r="W509" i="1"/>
  <c r="S509" i="1" s="1"/>
  <c r="V509" i="1"/>
  <c r="U509" i="1"/>
  <c r="P509" i="1"/>
  <c r="F509" i="1" a="1"/>
  <c r="F509" i="1"/>
  <c r="E509" i="1" a="1"/>
  <c r="E509" i="1"/>
  <c r="C509" i="1" a="1"/>
  <c r="C509" i="1"/>
  <c r="W508" i="1"/>
  <c r="I508" i="1" s="1"/>
  <c r="V508" i="1"/>
  <c r="U508" i="1"/>
  <c r="W507" i="1"/>
  <c r="B507" i="1" s="1" a="1"/>
  <c r="B507" i="1" s="1"/>
  <c r="V507" i="1"/>
  <c r="U507" i="1"/>
  <c r="P507" i="1"/>
  <c r="O507" i="1"/>
  <c r="M507" i="1"/>
  <c r="K507" i="1"/>
  <c r="J507" i="1"/>
  <c r="G507" i="1" a="1"/>
  <c r="G507" i="1" s="1"/>
  <c r="F507" i="1" a="1"/>
  <c r="F507" i="1"/>
  <c r="C507" i="1" a="1"/>
  <c r="C507" i="1" s="1"/>
  <c r="W506" i="1"/>
  <c r="P506" i="1" s="1"/>
  <c r="V506" i="1"/>
  <c r="U506" i="1"/>
  <c r="S506" i="1"/>
  <c r="O506" i="1"/>
  <c r="M506" i="1"/>
  <c r="L506" i="1"/>
  <c r="K506" i="1"/>
  <c r="J506" i="1"/>
  <c r="I506" i="1"/>
  <c r="H506" i="1" a="1"/>
  <c r="H506" i="1"/>
  <c r="G506" i="1" a="1"/>
  <c r="G506" i="1" s="1"/>
  <c r="F506" i="1" a="1"/>
  <c r="F506" i="1" s="1"/>
  <c r="E506" i="1" a="1"/>
  <c r="E506" i="1"/>
  <c r="C506" i="1" a="1"/>
  <c r="C506" i="1" s="1"/>
  <c r="B506" i="1" a="1"/>
  <c r="B506" i="1"/>
  <c r="W505" i="1"/>
  <c r="C505" i="1" s="1" a="1"/>
  <c r="C505" i="1" s="1"/>
  <c r="V505" i="1"/>
  <c r="U505" i="1"/>
  <c r="S505" i="1"/>
  <c r="W504" i="1"/>
  <c r="V504" i="1"/>
  <c r="U504" i="1"/>
  <c r="H504" i="1" a="1"/>
  <c r="H504" i="1"/>
  <c r="G504" i="1" a="1"/>
  <c r="G504" i="1"/>
  <c r="W503" i="1"/>
  <c r="S503" i="1" s="1"/>
  <c r="V503" i="1"/>
  <c r="U503" i="1"/>
  <c r="M503" i="1"/>
  <c r="L503" i="1"/>
  <c r="K503" i="1"/>
  <c r="J503" i="1"/>
  <c r="I503" i="1"/>
  <c r="G503" i="1" a="1"/>
  <c r="G503" i="1" s="1"/>
  <c r="E503" i="1" a="1"/>
  <c r="E503" i="1"/>
  <c r="C503" i="1" a="1"/>
  <c r="C503" i="1"/>
  <c r="B503" i="1" a="1"/>
  <c r="B503" i="1" s="1"/>
  <c r="W502" i="1"/>
  <c r="B502" i="1" s="1" a="1"/>
  <c r="B502" i="1" s="1"/>
  <c r="V502" i="1"/>
  <c r="U502" i="1"/>
  <c r="S502" i="1"/>
  <c r="O502" i="1"/>
  <c r="M502" i="1"/>
  <c r="J502" i="1"/>
  <c r="I502" i="1"/>
  <c r="H502" i="1" a="1"/>
  <c r="H502" i="1"/>
  <c r="G502" i="1" a="1"/>
  <c r="G502" i="1" s="1"/>
  <c r="F502" i="1" a="1"/>
  <c r="F502" i="1"/>
  <c r="E502" i="1" a="1"/>
  <c r="E502" i="1" s="1"/>
  <c r="C502" i="1" a="1"/>
  <c r="C502" i="1" s="1"/>
  <c r="W501" i="1"/>
  <c r="G501" i="1" s="1" a="1"/>
  <c r="G501" i="1" s="1"/>
  <c r="V501" i="1"/>
  <c r="U501" i="1"/>
  <c r="S501" i="1"/>
  <c r="P501" i="1"/>
  <c r="O501" i="1"/>
  <c r="M501" i="1"/>
  <c r="L501" i="1"/>
  <c r="K501" i="1"/>
  <c r="J501" i="1"/>
  <c r="I501" i="1"/>
  <c r="H501" i="1" a="1"/>
  <c r="H501" i="1" s="1"/>
  <c r="F501" i="1" a="1"/>
  <c r="F501" i="1" s="1"/>
  <c r="C501" i="1" a="1"/>
  <c r="C501" i="1" s="1"/>
  <c r="B501" i="1" a="1"/>
  <c r="B501" i="1" s="1"/>
  <c r="W500" i="1"/>
  <c r="V500" i="1"/>
  <c r="U500" i="1"/>
  <c r="S500" i="1"/>
  <c r="P500" i="1"/>
  <c r="F500" i="1" a="1"/>
  <c r="F500" i="1"/>
  <c r="E500" i="1" a="1"/>
  <c r="E500" i="1"/>
  <c r="C500" i="1" a="1"/>
  <c r="C500" i="1" s="1"/>
  <c r="W499" i="1"/>
  <c r="H499" i="1" s="1" a="1"/>
  <c r="H499" i="1" s="1"/>
  <c r="V499" i="1"/>
  <c r="U499" i="1"/>
  <c r="I499" i="1"/>
  <c r="G499" i="1" a="1"/>
  <c r="G499" i="1"/>
  <c r="E499" i="1" a="1"/>
  <c r="E499" i="1" s="1"/>
  <c r="B499" i="1" a="1"/>
  <c r="B499" i="1" s="1"/>
  <c r="W498" i="1"/>
  <c r="B498" i="1" s="1" a="1"/>
  <c r="B498" i="1" s="1"/>
  <c r="V498" i="1"/>
  <c r="U498" i="1"/>
  <c r="O498" i="1"/>
  <c r="M498" i="1"/>
  <c r="L498" i="1"/>
  <c r="J498" i="1"/>
  <c r="I498" i="1"/>
  <c r="G498" i="1" a="1"/>
  <c r="G498" i="1"/>
  <c r="F498" i="1" a="1"/>
  <c r="F498" i="1"/>
  <c r="E498" i="1" a="1"/>
  <c r="E498" i="1" s="1"/>
  <c r="C498" i="1" a="1"/>
  <c r="C498" i="1"/>
  <c r="W497" i="1"/>
  <c r="V497" i="1"/>
  <c r="U497" i="1"/>
  <c r="S497" i="1"/>
  <c r="M497" i="1"/>
  <c r="L497" i="1"/>
  <c r="K497" i="1"/>
  <c r="J497" i="1"/>
  <c r="I497" i="1"/>
  <c r="H497" i="1" a="1"/>
  <c r="H497" i="1"/>
  <c r="G497" i="1" a="1"/>
  <c r="G497" i="1"/>
  <c r="F497" i="1" a="1"/>
  <c r="F497" i="1" s="1"/>
  <c r="C497" i="1" a="1"/>
  <c r="C497" i="1" s="1"/>
  <c r="W496" i="1"/>
  <c r="V496" i="1"/>
  <c r="U496" i="1"/>
  <c r="S496" i="1"/>
  <c r="W495" i="1"/>
  <c r="B495" i="1" s="1" a="1"/>
  <c r="B495" i="1" s="1"/>
  <c r="V495" i="1"/>
  <c r="U495" i="1"/>
  <c r="P495" i="1"/>
  <c r="O495" i="1"/>
  <c r="F495" i="1" a="1"/>
  <c r="F495" i="1"/>
  <c r="W494" i="1"/>
  <c r="V494" i="1"/>
  <c r="U494" i="1"/>
  <c r="S494" i="1"/>
  <c r="P494" i="1"/>
  <c r="O494" i="1"/>
  <c r="M494" i="1"/>
  <c r="L494" i="1"/>
  <c r="K494" i="1"/>
  <c r="J494" i="1"/>
  <c r="I494" i="1"/>
  <c r="H494" i="1" a="1"/>
  <c r="H494" i="1" s="1"/>
  <c r="G494" i="1" a="1"/>
  <c r="G494" i="1"/>
  <c r="F494" i="1" a="1"/>
  <c r="F494" i="1" s="1"/>
  <c r="E494" i="1" a="1"/>
  <c r="E494" i="1"/>
  <c r="C494" i="1" a="1"/>
  <c r="C494" i="1" s="1"/>
  <c r="B494" i="1" a="1"/>
  <c r="B494" i="1"/>
  <c r="W493" i="1"/>
  <c r="S493" i="1" s="1"/>
  <c r="V493" i="1"/>
  <c r="U493" i="1"/>
  <c r="P493" i="1"/>
  <c r="M493" i="1"/>
  <c r="L493" i="1"/>
  <c r="I493" i="1"/>
  <c r="H493" i="1" a="1"/>
  <c r="H493" i="1"/>
  <c r="G493" i="1" a="1"/>
  <c r="G493" i="1" s="1"/>
  <c r="F493" i="1" a="1"/>
  <c r="F493" i="1" s="1"/>
  <c r="C493" i="1" a="1"/>
  <c r="C493" i="1" s="1"/>
  <c r="W492" i="1"/>
  <c r="E492" i="1" s="1" a="1"/>
  <c r="E492" i="1" s="1"/>
  <c r="V492" i="1"/>
  <c r="U492" i="1"/>
  <c r="S492" i="1"/>
  <c r="P492" i="1"/>
  <c r="O492" i="1"/>
  <c r="M492" i="1"/>
  <c r="L492" i="1"/>
  <c r="K492" i="1"/>
  <c r="J492" i="1"/>
  <c r="I492" i="1"/>
  <c r="H492" i="1" a="1"/>
  <c r="H492" i="1"/>
  <c r="G492" i="1" a="1"/>
  <c r="G492" i="1" s="1"/>
  <c r="F492" i="1" a="1"/>
  <c r="F492" i="1"/>
  <c r="C492" i="1" a="1"/>
  <c r="C492" i="1"/>
  <c r="B492" i="1" a="1"/>
  <c r="B492" i="1"/>
  <c r="W491" i="1"/>
  <c r="C491" i="1" s="1" a="1"/>
  <c r="C491" i="1" s="1"/>
  <c r="V491" i="1"/>
  <c r="U491" i="1"/>
  <c r="S491" i="1"/>
  <c r="P491" i="1"/>
  <c r="W490" i="1"/>
  <c r="V490" i="1"/>
  <c r="U490" i="1"/>
  <c r="S490" i="1"/>
  <c r="P490" i="1"/>
  <c r="O490" i="1"/>
  <c r="M490" i="1"/>
  <c r="L490" i="1"/>
  <c r="K490" i="1"/>
  <c r="J490" i="1"/>
  <c r="I490" i="1"/>
  <c r="H490" i="1" a="1"/>
  <c r="H490" i="1"/>
  <c r="G490" i="1" a="1"/>
  <c r="G490" i="1" s="1"/>
  <c r="F490" i="1" a="1"/>
  <c r="F490" i="1" s="1"/>
  <c r="E490" i="1" a="1"/>
  <c r="E490" i="1"/>
  <c r="C490" i="1" a="1"/>
  <c r="C490" i="1" s="1"/>
  <c r="B490" i="1" a="1"/>
  <c r="B490" i="1"/>
  <c r="W489" i="1"/>
  <c r="B489" i="1" s="1" a="1"/>
  <c r="B489" i="1" s="1"/>
  <c r="V489" i="1"/>
  <c r="U489" i="1"/>
  <c r="P489" i="1"/>
  <c r="O489" i="1"/>
  <c r="M489" i="1"/>
  <c r="L489" i="1"/>
  <c r="K489" i="1"/>
  <c r="I489" i="1"/>
  <c r="H489" i="1" a="1"/>
  <c r="H489" i="1" s="1"/>
  <c r="F489" i="1" a="1"/>
  <c r="F489" i="1"/>
  <c r="C489" i="1" a="1"/>
  <c r="C489" i="1" s="1"/>
  <c r="W488" i="1"/>
  <c r="V488" i="1"/>
  <c r="U488" i="1"/>
  <c r="S488" i="1"/>
  <c r="P488" i="1"/>
  <c r="L488" i="1"/>
  <c r="K488" i="1"/>
  <c r="J488" i="1"/>
  <c r="I488" i="1"/>
  <c r="H488" i="1" a="1"/>
  <c r="H488" i="1" s="1"/>
  <c r="C488" i="1" a="1"/>
  <c r="C488" i="1"/>
  <c r="W487" i="1"/>
  <c r="V487" i="1"/>
  <c r="U487" i="1"/>
  <c r="S487" i="1"/>
  <c r="P487" i="1"/>
  <c r="O487" i="1"/>
  <c r="M487" i="1"/>
  <c r="L487" i="1"/>
  <c r="W486" i="1"/>
  <c r="V486" i="1"/>
  <c r="U486" i="1"/>
  <c r="S486" i="1"/>
  <c r="F486" i="1" a="1"/>
  <c r="F486" i="1"/>
  <c r="E486" i="1" a="1"/>
  <c r="E486" i="1"/>
  <c r="C486" i="1" a="1"/>
  <c r="C486" i="1" s="1"/>
  <c r="B486" i="1" a="1"/>
  <c r="B486" i="1"/>
  <c r="W485" i="1"/>
  <c r="G485" i="1" s="1" a="1"/>
  <c r="V485" i="1"/>
  <c r="U485" i="1"/>
  <c r="S485" i="1"/>
  <c r="P485" i="1"/>
  <c r="O485" i="1"/>
  <c r="M485" i="1"/>
  <c r="L485" i="1"/>
  <c r="K485" i="1"/>
  <c r="J485" i="1"/>
  <c r="I485" i="1"/>
  <c r="H485" i="1" a="1"/>
  <c r="H485" i="1"/>
  <c r="G485" i="1"/>
  <c r="F485" i="1" a="1"/>
  <c r="F485" i="1" s="1"/>
  <c r="C485" i="1" a="1"/>
  <c r="C485" i="1" s="1"/>
  <c r="B485" i="1" a="1"/>
  <c r="B485" i="1"/>
  <c r="W484" i="1"/>
  <c r="V484" i="1"/>
  <c r="U484" i="1"/>
  <c r="S484" i="1"/>
  <c r="P484" i="1"/>
  <c r="O484" i="1"/>
  <c r="L484" i="1"/>
  <c r="K484" i="1"/>
  <c r="H484" i="1" a="1"/>
  <c r="H484" i="1"/>
  <c r="G484" i="1" a="1"/>
  <c r="G484" i="1"/>
  <c r="F484" i="1" a="1"/>
  <c r="F484" i="1" s="1"/>
  <c r="E484" i="1" a="1"/>
  <c r="E484" i="1"/>
  <c r="C484" i="1" a="1"/>
  <c r="C484" i="1"/>
  <c r="B484" i="1" a="1"/>
  <c r="B484" i="1" s="1"/>
  <c r="W483" i="1"/>
  <c r="V483" i="1"/>
  <c r="U483" i="1"/>
  <c r="P483" i="1"/>
  <c r="O483" i="1"/>
  <c r="M483" i="1"/>
  <c r="L483" i="1"/>
  <c r="K483" i="1"/>
  <c r="J483" i="1"/>
  <c r="I483" i="1"/>
  <c r="B483" i="1" a="1"/>
  <c r="B483" i="1" s="1"/>
  <c r="W482" i="1"/>
  <c r="V482" i="1"/>
  <c r="U482" i="1"/>
  <c r="S482" i="1"/>
  <c r="P482" i="1"/>
  <c r="O482" i="1"/>
  <c r="M482" i="1"/>
  <c r="E482" i="1" a="1"/>
  <c r="E482" i="1"/>
  <c r="C482" i="1" a="1"/>
  <c r="C482" i="1"/>
  <c r="B482" i="1" a="1"/>
  <c r="B482" i="1"/>
  <c r="W481" i="1"/>
  <c r="G481" i="1" s="1" a="1"/>
  <c r="G481" i="1" s="1"/>
  <c r="V481" i="1"/>
  <c r="U481" i="1"/>
  <c r="W480" i="1"/>
  <c r="C480" i="1" s="1" a="1"/>
  <c r="C480" i="1" s="1"/>
  <c r="V480" i="1"/>
  <c r="U480" i="1"/>
  <c r="K480" i="1"/>
  <c r="J480" i="1"/>
  <c r="H480" i="1" a="1"/>
  <c r="H480" i="1"/>
  <c r="W479" i="1"/>
  <c r="V479" i="1"/>
  <c r="U479" i="1"/>
  <c r="P479" i="1"/>
  <c r="O479" i="1"/>
  <c r="K479" i="1"/>
  <c r="J479" i="1"/>
  <c r="I479" i="1"/>
  <c r="H479" i="1" a="1"/>
  <c r="H479" i="1"/>
  <c r="G479" i="1" a="1"/>
  <c r="G479" i="1" s="1"/>
  <c r="F479" i="1" a="1"/>
  <c r="F479" i="1" s="1"/>
  <c r="E479" i="1" a="1"/>
  <c r="E479" i="1"/>
  <c r="B479" i="1" a="1"/>
  <c r="B479" i="1" s="1"/>
  <c r="W478" i="1"/>
  <c r="V478" i="1"/>
  <c r="U478" i="1"/>
  <c r="S478" i="1"/>
  <c r="P478" i="1"/>
  <c r="O478" i="1"/>
  <c r="M478" i="1"/>
  <c r="L478" i="1"/>
  <c r="K478" i="1"/>
  <c r="J478" i="1"/>
  <c r="I478" i="1"/>
  <c r="H478" i="1" a="1"/>
  <c r="H478" i="1" s="1"/>
  <c r="G478" i="1" a="1"/>
  <c r="G478" i="1"/>
  <c r="F478" i="1" a="1"/>
  <c r="F478" i="1" s="1"/>
  <c r="E478" i="1" a="1"/>
  <c r="E478" i="1" s="1"/>
  <c r="C478" i="1" a="1"/>
  <c r="C478" i="1"/>
  <c r="B478" i="1" a="1"/>
  <c r="B478" i="1"/>
  <c r="W477" i="1"/>
  <c r="V477" i="1"/>
  <c r="U477" i="1"/>
  <c r="S477" i="1"/>
  <c r="P477" i="1"/>
  <c r="M477" i="1"/>
  <c r="W476" i="1"/>
  <c r="V476" i="1"/>
  <c r="U476" i="1"/>
  <c r="I476" i="1"/>
  <c r="H476" i="1" a="1"/>
  <c r="H476" i="1"/>
  <c r="G476" i="1" a="1"/>
  <c r="G476" i="1" s="1"/>
  <c r="F476" i="1" a="1"/>
  <c r="F476" i="1"/>
  <c r="C476" i="1" a="1"/>
  <c r="C476" i="1"/>
  <c r="W475" i="1"/>
  <c r="B475" i="1" s="1" a="1"/>
  <c r="B475" i="1" s="1"/>
  <c r="V475" i="1"/>
  <c r="U475" i="1"/>
  <c r="O475" i="1"/>
  <c r="M475" i="1"/>
  <c r="K475" i="1"/>
  <c r="J475" i="1"/>
  <c r="G475" i="1" a="1"/>
  <c r="G475" i="1"/>
  <c r="F475" i="1" a="1"/>
  <c r="F475" i="1"/>
  <c r="E475" i="1" a="1"/>
  <c r="E475" i="1" s="1"/>
  <c r="C475" i="1" a="1"/>
  <c r="C475" i="1"/>
  <c r="W474" i="1"/>
  <c r="V474" i="1"/>
  <c r="U474" i="1"/>
  <c r="S474" i="1"/>
  <c r="P474" i="1"/>
  <c r="O474" i="1"/>
  <c r="M474" i="1"/>
  <c r="L474" i="1"/>
  <c r="K474" i="1"/>
  <c r="J474" i="1"/>
  <c r="I474" i="1"/>
  <c r="H474" i="1" a="1"/>
  <c r="H474" i="1"/>
  <c r="G474" i="1" a="1"/>
  <c r="G474" i="1" s="1"/>
  <c r="F474" i="1" a="1"/>
  <c r="F474" i="1" s="1"/>
  <c r="E474" i="1" a="1"/>
  <c r="E474" i="1"/>
  <c r="C474" i="1" a="1"/>
  <c r="C474" i="1" s="1"/>
  <c r="B474" i="1" a="1"/>
  <c r="B474" i="1" s="1"/>
  <c r="W473" i="1"/>
  <c r="V473" i="1"/>
  <c r="U473" i="1"/>
  <c r="S473" i="1"/>
  <c r="P473" i="1"/>
  <c r="O473" i="1"/>
  <c r="E473" i="1" a="1"/>
  <c r="E473" i="1"/>
  <c r="C473" i="1" a="1"/>
  <c r="C473" i="1"/>
  <c r="B473" i="1" a="1"/>
  <c r="B473" i="1" s="1"/>
  <c r="W472" i="1"/>
  <c r="V472" i="1"/>
  <c r="U472" i="1"/>
  <c r="H472" i="1" a="1"/>
  <c r="H472" i="1" s="1"/>
  <c r="G472" i="1" a="1"/>
  <c r="G472" i="1"/>
  <c r="F472" i="1" a="1"/>
  <c r="F472" i="1"/>
  <c r="E472" i="1" a="1"/>
  <c r="E472" i="1" s="1"/>
  <c r="C472" i="1" a="1"/>
  <c r="C472" i="1"/>
  <c r="W471" i="1"/>
  <c r="S471" i="1" s="1"/>
  <c r="V471" i="1"/>
  <c r="U471" i="1"/>
  <c r="M471" i="1"/>
  <c r="L471" i="1"/>
  <c r="K471" i="1"/>
  <c r="J471" i="1"/>
  <c r="I471" i="1"/>
  <c r="G471" i="1" a="1"/>
  <c r="G471" i="1" s="1"/>
  <c r="E471" i="1" a="1"/>
  <c r="E471" i="1"/>
  <c r="C471" i="1" a="1"/>
  <c r="C471" i="1"/>
  <c r="B471" i="1" a="1"/>
  <c r="B471" i="1" s="1"/>
  <c r="W470" i="1"/>
  <c r="B470" i="1" s="1" a="1"/>
  <c r="B470" i="1" s="1"/>
  <c r="V470" i="1"/>
  <c r="U470" i="1"/>
  <c r="S470" i="1"/>
  <c r="O470" i="1"/>
  <c r="M470" i="1"/>
  <c r="J470" i="1"/>
  <c r="I470" i="1"/>
  <c r="H470" i="1" a="1"/>
  <c r="H470" i="1" s="1"/>
  <c r="G470" i="1" a="1"/>
  <c r="G470" i="1"/>
  <c r="F470" i="1" a="1"/>
  <c r="F470" i="1"/>
  <c r="E470" i="1" a="1"/>
  <c r="E470" i="1" s="1"/>
  <c r="C470" i="1" a="1"/>
  <c r="C470" i="1" s="1"/>
  <c r="W469" i="1"/>
  <c r="G469" i="1" s="1" a="1"/>
  <c r="G469" i="1" s="1"/>
  <c r="V469" i="1"/>
  <c r="U469" i="1"/>
  <c r="S469" i="1"/>
  <c r="P469" i="1"/>
  <c r="O469" i="1"/>
  <c r="M469" i="1"/>
  <c r="L469" i="1"/>
  <c r="K469" i="1"/>
  <c r="J469" i="1"/>
  <c r="I469" i="1"/>
  <c r="H469" i="1" a="1"/>
  <c r="H469" i="1" s="1"/>
  <c r="F469" i="1" a="1"/>
  <c r="F469" i="1" s="1"/>
  <c r="C469" i="1" a="1"/>
  <c r="C469" i="1"/>
  <c r="B469" i="1" a="1"/>
  <c r="B469" i="1"/>
  <c r="W468" i="1"/>
  <c r="V468" i="1"/>
  <c r="U468" i="1"/>
  <c r="W467" i="1"/>
  <c r="E467" i="1" s="1" a="1"/>
  <c r="E467" i="1" s="1"/>
  <c r="V467" i="1"/>
  <c r="U467" i="1"/>
  <c r="I467" i="1"/>
  <c r="H467" i="1" a="1"/>
  <c r="H467" i="1"/>
  <c r="W466" i="1"/>
  <c r="B466" i="1" s="1" a="1"/>
  <c r="B466" i="1" s="1"/>
  <c r="V466" i="1"/>
  <c r="U466" i="1"/>
  <c r="O466" i="1"/>
  <c r="M466" i="1"/>
  <c r="L466" i="1"/>
  <c r="J466" i="1"/>
  <c r="I466" i="1"/>
  <c r="G466" i="1" a="1"/>
  <c r="G466" i="1"/>
  <c r="F466" i="1" a="1"/>
  <c r="F466" i="1"/>
  <c r="E466" i="1" a="1"/>
  <c r="E466" i="1" s="1"/>
  <c r="C466" i="1" a="1"/>
  <c r="C466" i="1"/>
  <c r="W465" i="1"/>
  <c r="V465" i="1"/>
  <c r="U465" i="1"/>
  <c r="S465" i="1"/>
  <c r="M465" i="1"/>
  <c r="L465" i="1"/>
  <c r="K465" i="1"/>
  <c r="J465" i="1"/>
  <c r="I465" i="1"/>
  <c r="H465" i="1" a="1"/>
  <c r="H465" i="1"/>
  <c r="G465" i="1" a="1"/>
  <c r="G465" i="1"/>
  <c r="F465" i="1" a="1"/>
  <c r="F465" i="1" s="1"/>
  <c r="C465" i="1" a="1"/>
  <c r="C465" i="1" s="1"/>
  <c r="W464" i="1"/>
  <c r="V464" i="1"/>
  <c r="U464" i="1"/>
  <c r="S464" i="1"/>
  <c r="P464" i="1"/>
  <c r="O464" i="1"/>
  <c r="M464" i="1"/>
  <c r="L464" i="1"/>
  <c r="K464" i="1"/>
  <c r="C464" i="1" a="1"/>
  <c r="C464" i="1"/>
  <c r="B464" i="1" a="1"/>
  <c r="B464" i="1" s="1"/>
  <c r="W463" i="1"/>
  <c r="V463" i="1"/>
  <c r="U463" i="1"/>
  <c r="P463" i="1"/>
  <c r="O463" i="1"/>
  <c r="F463" i="1" a="1"/>
  <c r="F463" i="1"/>
  <c r="E463" i="1" a="1"/>
  <c r="E463" i="1"/>
  <c r="B463" i="1" a="1"/>
  <c r="B463" i="1" s="1"/>
  <c r="W462" i="1"/>
  <c r="V462" i="1"/>
  <c r="U462" i="1"/>
  <c r="S462" i="1"/>
  <c r="P462" i="1"/>
  <c r="O462" i="1"/>
  <c r="M462" i="1"/>
  <c r="L462" i="1"/>
  <c r="K462" i="1"/>
  <c r="J462" i="1"/>
  <c r="I462" i="1"/>
  <c r="H462" i="1" a="1"/>
  <c r="H462" i="1" s="1"/>
  <c r="G462" i="1" a="1"/>
  <c r="G462" i="1"/>
  <c r="F462" i="1" a="1"/>
  <c r="F462" i="1" s="1"/>
  <c r="E462" i="1" a="1"/>
  <c r="E462" i="1"/>
  <c r="C462" i="1" a="1"/>
  <c r="C462" i="1"/>
  <c r="B462" i="1" a="1"/>
  <c r="B462" i="1"/>
  <c r="W461" i="1"/>
  <c r="S461" i="1" s="1"/>
  <c r="V461" i="1"/>
  <c r="U461" i="1"/>
  <c r="P461" i="1"/>
  <c r="M461" i="1"/>
  <c r="L461" i="1"/>
  <c r="I461" i="1"/>
  <c r="H461" i="1" a="1"/>
  <c r="H461" i="1"/>
  <c r="G461" i="1" a="1"/>
  <c r="G461" i="1"/>
  <c r="F461" i="1" a="1"/>
  <c r="F461" i="1"/>
  <c r="C461" i="1" a="1"/>
  <c r="C461" i="1" s="1"/>
  <c r="W460" i="1"/>
  <c r="E460" i="1" s="1" a="1"/>
  <c r="E460" i="1" s="1"/>
  <c r="V460" i="1"/>
  <c r="U460" i="1"/>
  <c r="S460" i="1"/>
  <c r="P460" i="1"/>
  <c r="O460" i="1"/>
  <c r="M460" i="1"/>
  <c r="L460" i="1"/>
  <c r="K460" i="1"/>
  <c r="J460" i="1"/>
  <c r="I460" i="1"/>
  <c r="H460" i="1" a="1"/>
  <c r="H460" i="1"/>
  <c r="G460" i="1" a="1"/>
  <c r="G460" i="1" s="1"/>
  <c r="F460" i="1" a="1"/>
  <c r="F460" i="1"/>
  <c r="C460" i="1" a="1"/>
  <c r="C460" i="1"/>
  <c r="B460" i="1" a="1"/>
  <c r="B460" i="1"/>
  <c r="W459" i="1"/>
  <c r="S459" i="1" s="1"/>
  <c r="V459" i="1"/>
  <c r="U459" i="1"/>
  <c r="P459" i="1"/>
  <c r="O459" i="1"/>
  <c r="M459" i="1"/>
  <c r="E459" i="1" a="1"/>
  <c r="E459" i="1"/>
  <c r="C459" i="1" a="1"/>
  <c r="C459" i="1"/>
  <c r="B459" i="1" a="1"/>
  <c r="B459" i="1"/>
  <c r="W458" i="1"/>
  <c r="V458" i="1"/>
  <c r="U458" i="1"/>
  <c r="S458" i="1"/>
  <c r="P458" i="1"/>
  <c r="O458" i="1"/>
  <c r="M458" i="1"/>
  <c r="L458" i="1"/>
  <c r="K458" i="1"/>
  <c r="J458" i="1"/>
  <c r="I458" i="1"/>
  <c r="H458" i="1" a="1"/>
  <c r="H458" i="1"/>
  <c r="G458" i="1" a="1"/>
  <c r="G458" i="1"/>
  <c r="F458" i="1" a="1"/>
  <c r="F458" i="1" s="1"/>
  <c r="E458" i="1" a="1"/>
  <c r="E458" i="1"/>
  <c r="C458" i="1" a="1"/>
  <c r="C458" i="1" s="1"/>
  <c r="B458" i="1" a="1"/>
  <c r="B458" i="1"/>
  <c r="W457" i="1"/>
  <c r="B457" i="1" s="1" a="1"/>
  <c r="B457" i="1" s="1"/>
  <c r="V457" i="1"/>
  <c r="U457" i="1"/>
  <c r="P457" i="1"/>
  <c r="O457" i="1"/>
  <c r="M457" i="1"/>
  <c r="L457" i="1"/>
  <c r="K457" i="1"/>
  <c r="I457" i="1"/>
  <c r="H457" i="1" a="1"/>
  <c r="H457" i="1" s="1"/>
  <c r="F457" i="1" a="1"/>
  <c r="F457" i="1"/>
  <c r="C457" i="1" a="1"/>
  <c r="C457" i="1" s="1"/>
  <c r="W456" i="1"/>
  <c r="V456" i="1"/>
  <c r="U456" i="1"/>
  <c r="S456" i="1"/>
  <c r="P456" i="1"/>
  <c r="L456" i="1"/>
  <c r="K456" i="1"/>
  <c r="J456" i="1"/>
  <c r="I456" i="1"/>
  <c r="H456" i="1" a="1"/>
  <c r="H456" i="1" s="1"/>
  <c r="C456" i="1" a="1"/>
  <c r="C456" i="1"/>
  <c r="W455" i="1"/>
  <c r="P455" i="1" s="1"/>
  <c r="V455" i="1"/>
  <c r="U455" i="1"/>
  <c r="W454" i="1"/>
  <c r="E454" i="1" s="1" a="1"/>
  <c r="E454" i="1" s="1"/>
  <c r="V454" i="1"/>
  <c r="U454" i="1"/>
  <c r="S454" i="1"/>
  <c r="W453" i="1"/>
  <c r="G453" i="1" s="1" a="1"/>
  <c r="G453" i="1" s="1"/>
  <c r="V453" i="1"/>
  <c r="U453" i="1"/>
  <c r="S453" i="1"/>
  <c r="P453" i="1"/>
  <c r="O453" i="1"/>
  <c r="M453" i="1"/>
  <c r="L453" i="1"/>
  <c r="K453" i="1"/>
  <c r="J453" i="1"/>
  <c r="I453" i="1"/>
  <c r="H453" i="1" a="1"/>
  <c r="H453" i="1"/>
  <c r="F453" i="1" a="1"/>
  <c r="F453" i="1" s="1"/>
  <c r="C453" i="1" a="1"/>
  <c r="C453" i="1" s="1"/>
  <c r="B453" i="1" a="1"/>
  <c r="B453" i="1"/>
  <c r="W452" i="1"/>
  <c r="V452" i="1"/>
  <c r="U452" i="1"/>
  <c r="S452" i="1"/>
  <c r="P452" i="1"/>
  <c r="O452" i="1"/>
  <c r="L452" i="1"/>
  <c r="K452" i="1"/>
  <c r="H452" i="1" a="1"/>
  <c r="H452" i="1"/>
  <c r="G452" i="1" a="1"/>
  <c r="G452" i="1" s="1"/>
  <c r="F452" i="1" a="1"/>
  <c r="F452" i="1" s="1"/>
  <c r="E452" i="1" a="1"/>
  <c r="E452" i="1"/>
  <c r="C452" i="1" a="1"/>
  <c r="C452" i="1"/>
  <c r="B452" i="1" a="1"/>
  <c r="B452" i="1" s="1"/>
  <c r="W451" i="1"/>
  <c r="V451" i="1"/>
  <c r="U451" i="1"/>
  <c r="P451" i="1"/>
  <c r="O451" i="1"/>
  <c r="M451" i="1"/>
  <c r="L451" i="1"/>
  <c r="K451" i="1"/>
  <c r="J451" i="1"/>
  <c r="I451" i="1"/>
  <c r="B451" i="1" a="1"/>
  <c r="B451" i="1"/>
  <c r="W450" i="1"/>
  <c r="C450" i="1" s="1" a="1"/>
  <c r="C450" i="1" s="1"/>
  <c r="V450" i="1"/>
  <c r="U450" i="1"/>
  <c r="S450" i="1"/>
  <c r="P450" i="1"/>
  <c r="O450" i="1"/>
  <c r="M450" i="1"/>
  <c r="W449" i="1"/>
  <c r="V449" i="1"/>
  <c r="U449" i="1"/>
  <c r="G449" i="1" a="1"/>
  <c r="G449" i="1"/>
  <c r="F449" i="1" a="1"/>
  <c r="F449" i="1"/>
  <c r="C449" i="1" a="1"/>
  <c r="C449" i="1" s="1"/>
  <c r="W448" i="1"/>
  <c r="V448" i="1"/>
  <c r="U448" i="1"/>
  <c r="K448" i="1"/>
  <c r="J448" i="1"/>
  <c r="H448" i="1" a="1"/>
  <c r="H448" i="1"/>
  <c r="F448" i="1" a="1"/>
  <c r="F448" i="1"/>
  <c r="E448" i="1" a="1"/>
  <c r="E448" i="1"/>
  <c r="C448" i="1" a="1"/>
  <c r="C448" i="1" s="1"/>
  <c r="W447" i="1"/>
  <c r="V447" i="1"/>
  <c r="U447" i="1"/>
  <c r="P447" i="1"/>
  <c r="O447" i="1"/>
  <c r="K447" i="1"/>
  <c r="J447" i="1"/>
  <c r="I447" i="1"/>
  <c r="H447" i="1" a="1"/>
  <c r="H447" i="1" s="1"/>
  <c r="G447" i="1" a="1"/>
  <c r="G447" i="1"/>
  <c r="F447" i="1" a="1"/>
  <c r="F447" i="1" s="1"/>
  <c r="E447" i="1" a="1"/>
  <c r="E447" i="1"/>
  <c r="B447" i="1" a="1"/>
  <c r="B447" i="1" s="1"/>
  <c r="W446" i="1"/>
  <c r="V446" i="1"/>
  <c r="U446" i="1"/>
  <c r="S446" i="1"/>
  <c r="P446" i="1"/>
  <c r="O446" i="1"/>
  <c r="M446" i="1"/>
  <c r="L446" i="1"/>
  <c r="K446" i="1"/>
  <c r="J446" i="1"/>
  <c r="I446" i="1"/>
  <c r="H446" i="1" a="1"/>
  <c r="H446" i="1" s="1"/>
  <c r="G446" i="1" a="1"/>
  <c r="G446" i="1"/>
  <c r="F446" i="1" a="1"/>
  <c r="F446" i="1" s="1"/>
  <c r="E446" i="1" a="1"/>
  <c r="E446" i="1" s="1"/>
  <c r="C446" i="1" a="1"/>
  <c r="C446" i="1"/>
  <c r="B446" i="1" a="1"/>
  <c r="B446" i="1" s="1"/>
  <c r="W445" i="1"/>
  <c r="V445" i="1"/>
  <c r="U445" i="1"/>
  <c r="S445" i="1"/>
  <c r="P445" i="1"/>
  <c r="M445" i="1"/>
  <c r="E445" i="1" a="1"/>
  <c r="E445" i="1"/>
  <c r="C445" i="1" a="1"/>
  <c r="C445" i="1"/>
  <c r="W444" i="1"/>
  <c r="C444" i="1" s="1" a="1"/>
  <c r="C444" i="1" s="1"/>
  <c r="V444" i="1"/>
  <c r="U444" i="1"/>
  <c r="W443" i="1"/>
  <c r="B443" i="1" s="1" a="1"/>
  <c r="B443" i="1" s="1"/>
  <c r="V443" i="1"/>
  <c r="U443" i="1"/>
  <c r="O443" i="1"/>
  <c r="M443" i="1"/>
  <c r="K443" i="1"/>
  <c r="J443" i="1"/>
  <c r="G443" i="1" a="1"/>
  <c r="G443" i="1"/>
  <c r="F443" i="1" a="1"/>
  <c r="F443" i="1"/>
  <c r="E443" i="1" a="1"/>
  <c r="E443" i="1" s="1"/>
  <c r="C443" i="1" a="1"/>
  <c r="C443" i="1"/>
  <c r="W442" i="1"/>
  <c r="P442" i="1" s="1"/>
  <c r="V442" i="1"/>
  <c r="U442" i="1"/>
  <c r="S442" i="1"/>
  <c r="O442" i="1"/>
  <c r="M442" i="1"/>
  <c r="L442" i="1"/>
  <c r="K442" i="1"/>
  <c r="J442" i="1"/>
  <c r="I442" i="1"/>
  <c r="H442" i="1" a="1"/>
  <c r="H442" i="1" s="1"/>
  <c r="G442" i="1" a="1"/>
  <c r="G442" i="1"/>
  <c r="F442" i="1" a="1"/>
  <c r="F442" i="1" s="1"/>
  <c r="E442" i="1" a="1"/>
  <c r="E442" i="1" s="1"/>
  <c r="C442" i="1" a="1"/>
  <c r="C442" i="1" s="1"/>
  <c r="B442" i="1" a="1"/>
  <c r="B442" i="1"/>
  <c r="W441" i="1"/>
  <c r="V441" i="1"/>
  <c r="U441" i="1"/>
  <c r="S441" i="1"/>
  <c r="P441" i="1"/>
  <c r="O441" i="1"/>
  <c r="W440" i="1"/>
  <c r="V440" i="1"/>
  <c r="U440" i="1"/>
  <c r="G440" i="1" a="1"/>
  <c r="G440" i="1"/>
  <c r="F440" i="1" a="1"/>
  <c r="F440" i="1"/>
  <c r="E440" i="1" a="1"/>
  <c r="E440" i="1" s="1"/>
  <c r="W439" i="1"/>
  <c r="J439" i="1" s="1"/>
  <c r="V439" i="1"/>
  <c r="U439" i="1"/>
  <c r="K439" i="1"/>
  <c r="I439" i="1"/>
  <c r="G439" i="1" a="1"/>
  <c r="G439" i="1" s="1"/>
  <c r="E439" i="1" a="1"/>
  <c r="E439" i="1"/>
  <c r="C439" i="1" a="1"/>
  <c r="C439" i="1" s="1"/>
  <c r="W438" i="1"/>
  <c r="V438" i="1"/>
  <c r="U438" i="1"/>
  <c r="S438" i="1"/>
  <c r="O438" i="1"/>
  <c r="M438" i="1"/>
  <c r="J438" i="1"/>
  <c r="I438" i="1"/>
  <c r="H438" i="1" a="1"/>
  <c r="H438" i="1"/>
  <c r="G438" i="1" a="1"/>
  <c r="G438" i="1"/>
  <c r="F438" i="1" a="1"/>
  <c r="F438" i="1" s="1"/>
  <c r="E438" i="1" a="1"/>
  <c r="E438" i="1"/>
  <c r="C438" i="1" a="1"/>
  <c r="C438" i="1" s="1"/>
  <c r="B438" i="1" a="1"/>
  <c r="B438" i="1" s="1"/>
  <c r="W437" i="1"/>
  <c r="G437" i="1" s="1" a="1"/>
  <c r="G437" i="1" s="1"/>
  <c r="V437" i="1"/>
  <c r="U437" i="1"/>
  <c r="S437" i="1"/>
  <c r="P437" i="1"/>
  <c r="O437" i="1"/>
  <c r="M437" i="1"/>
  <c r="L437" i="1"/>
  <c r="K437" i="1"/>
  <c r="J437" i="1"/>
  <c r="I437" i="1"/>
  <c r="H437" i="1" a="1"/>
  <c r="H437" i="1"/>
  <c r="F437" i="1" a="1"/>
  <c r="F437" i="1" s="1"/>
  <c r="C437" i="1" a="1"/>
  <c r="C437" i="1"/>
  <c r="B437" i="1" a="1"/>
  <c r="B437" i="1" s="1"/>
  <c r="W436" i="1"/>
  <c r="V436" i="1"/>
  <c r="U436" i="1"/>
  <c r="S436" i="1"/>
  <c r="P436" i="1"/>
  <c r="O436" i="1"/>
  <c r="E436" i="1" a="1"/>
  <c r="E436" i="1"/>
  <c r="C436" i="1" a="1"/>
  <c r="C436" i="1"/>
  <c r="B436" i="1" a="1"/>
  <c r="B436" i="1" s="1"/>
  <c r="W435" i="1"/>
  <c r="G435" i="1" s="1" a="1"/>
  <c r="G435" i="1" s="1"/>
  <c r="V435" i="1"/>
  <c r="U435" i="1"/>
  <c r="W434" i="1"/>
  <c r="S434" i="1" s="1"/>
  <c r="V434" i="1"/>
  <c r="U434" i="1"/>
  <c r="P434" i="1"/>
  <c r="M434" i="1"/>
  <c r="L434" i="1"/>
  <c r="J434" i="1"/>
  <c r="I434" i="1"/>
  <c r="G434" i="1" a="1"/>
  <c r="G434" i="1"/>
  <c r="F434" i="1" a="1"/>
  <c r="F434" i="1"/>
  <c r="E434" i="1" a="1"/>
  <c r="E434" i="1" s="1"/>
  <c r="C434" i="1" a="1"/>
  <c r="C434" i="1"/>
  <c r="B434" i="1" a="1"/>
  <c r="B434" i="1" s="1"/>
  <c r="W433" i="1"/>
  <c r="V433" i="1"/>
  <c r="U433" i="1"/>
  <c r="S433" i="1"/>
  <c r="M433" i="1"/>
  <c r="L433" i="1"/>
  <c r="K433" i="1"/>
  <c r="J433" i="1"/>
  <c r="I433" i="1"/>
  <c r="H433" i="1" a="1"/>
  <c r="H433" i="1"/>
  <c r="G433" i="1" a="1"/>
  <c r="G433" i="1" s="1"/>
  <c r="F433" i="1" a="1"/>
  <c r="F433" i="1"/>
  <c r="C433" i="1" a="1"/>
  <c r="C433" i="1" s="1"/>
  <c r="W432" i="1"/>
  <c r="V432" i="1"/>
  <c r="U432" i="1"/>
  <c r="S432" i="1"/>
  <c r="P432" i="1"/>
  <c r="O432" i="1"/>
  <c r="M432" i="1"/>
  <c r="L432" i="1"/>
  <c r="K432" i="1"/>
  <c r="J432" i="1"/>
  <c r="C432" i="1" a="1"/>
  <c r="C432" i="1"/>
  <c r="B432" i="1" a="1"/>
  <c r="B432" i="1" s="1"/>
  <c r="W431" i="1"/>
  <c r="V431" i="1"/>
  <c r="U431" i="1"/>
  <c r="P431" i="1"/>
  <c r="O431" i="1"/>
  <c r="K431" i="1"/>
  <c r="E431" i="1" a="1"/>
  <c r="E431" i="1"/>
  <c r="W430" i="1"/>
  <c r="V430" i="1"/>
  <c r="U430" i="1"/>
  <c r="S430" i="1"/>
  <c r="P430" i="1"/>
  <c r="O430" i="1"/>
  <c r="M430" i="1"/>
  <c r="L430" i="1"/>
  <c r="K430" i="1"/>
  <c r="J430" i="1"/>
  <c r="I430" i="1"/>
  <c r="H430" i="1" a="1"/>
  <c r="H430" i="1" s="1"/>
  <c r="G430" i="1" a="1"/>
  <c r="G430" i="1"/>
  <c r="F430" i="1" a="1"/>
  <c r="F430" i="1" s="1"/>
  <c r="E430" i="1" a="1"/>
  <c r="E430" i="1"/>
  <c r="C430" i="1" a="1"/>
  <c r="C430" i="1"/>
  <c r="B430" i="1" a="1"/>
  <c r="B430" i="1" s="1"/>
  <c r="W429" i="1"/>
  <c r="S429" i="1" s="1"/>
  <c r="V429" i="1"/>
  <c r="U429" i="1"/>
  <c r="M429" i="1"/>
  <c r="L429" i="1"/>
  <c r="I429" i="1"/>
  <c r="H429" i="1" a="1"/>
  <c r="H429" i="1"/>
  <c r="G429" i="1" a="1"/>
  <c r="G429" i="1"/>
  <c r="F429" i="1" a="1"/>
  <c r="F429" i="1"/>
  <c r="E429" i="1" a="1"/>
  <c r="E429" i="1" s="1"/>
  <c r="C429" i="1" a="1"/>
  <c r="C429" i="1"/>
  <c r="W428" i="1"/>
  <c r="E428" i="1" s="1" a="1"/>
  <c r="E428" i="1" s="1"/>
  <c r="V428" i="1"/>
  <c r="U428" i="1"/>
  <c r="S428" i="1"/>
  <c r="P428" i="1"/>
  <c r="O428" i="1"/>
  <c r="M428" i="1"/>
  <c r="L428" i="1"/>
  <c r="K428" i="1"/>
  <c r="J428" i="1"/>
  <c r="I428" i="1"/>
  <c r="H428" i="1" a="1"/>
  <c r="H428" i="1" s="1"/>
  <c r="G428" i="1" a="1"/>
  <c r="G428" i="1" s="1"/>
  <c r="F428" i="1" a="1"/>
  <c r="F428" i="1" s="1"/>
  <c r="C428" i="1" a="1"/>
  <c r="C428" i="1" s="1"/>
  <c r="B428" i="1" a="1"/>
  <c r="B428" i="1"/>
  <c r="W427" i="1"/>
  <c r="V427" i="1"/>
  <c r="U427" i="1"/>
  <c r="S427" i="1"/>
  <c r="P427" i="1"/>
  <c r="O427" i="1"/>
  <c r="M427" i="1"/>
  <c r="K427" i="1"/>
  <c r="C427" i="1" a="1"/>
  <c r="C427" i="1" s="1"/>
  <c r="W426" i="1"/>
  <c r="P426" i="1" s="1"/>
  <c r="V426" i="1"/>
  <c r="U426" i="1"/>
  <c r="S426" i="1"/>
  <c r="O426" i="1"/>
  <c r="M426" i="1"/>
  <c r="L426" i="1"/>
  <c r="K426" i="1"/>
  <c r="J426" i="1"/>
  <c r="I426" i="1"/>
  <c r="H426" i="1" a="1"/>
  <c r="H426" i="1"/>
  <c r="G426" i="1" a="1"/>
  <c r="G426" i="1" s="1"/>
  <c r="F426" i="1" a="1"/>
  <c r="F426" i="1" s="1"/>
  <c r="E426" i="1" a="1"/>
  <c r="E426" i="1" s="1"/>
  <c r="C426" i="1" a="1"/>
  <c r="C426" i="1" s="1"/>
  <c r="B426" i="1" a="1"/>
  <c r="B426" i="1" s="1"/>
  <c r="W425" i="1"/>
  <c r="S425" i="1" s="1"/>
  <c r="V425" i="1"/>
  <c r="U425" i="1"/>
  <c r="P425" i="1"/>
  <c r="M425" i="1"/>
  <c r="L425" i="1"/>
  <c r="K425" i="1"/>
  <c r="I425" i="1"/>
  <c r="H425" i="1" a="1"/>
  <c r="H425" i="1" s="1"/>
  <c r="F425" i="1" a="1"/>
  <c r="F425" i="1"/>
  <c r="E425" i="1" a="1"/>
  <c r="E425" i="1"/>
  <c r="C425" i="1" a="1"/>
  <c r="C425" i="1"/>
  <c r="B425" i="1" a="1"/>
  <c r="B425" i="1" s="1"/>
  <c r="W424" i="1"/>
  <c r="V424" i="1"/>
  <c r="U424" i="1"/>
  <c r="S424" i="1"/>
  <c r="P424" i="1"/>
  <c r="L424" i="1"/>
  <c r="K424" i="1"/>
  <c r="J424" i="1"/>
  <c r="I424" i="1"/>
  <c r="H424" i="1" a="1"/>
  <c r="H424" i="1"/>
  <c r="G424" i="1" a="1"/>
  <c r="G424" i="1" s="1"/>
  <c r="F424" i="1" a="1"/>
  <c r="F424" i="1"/>
  <c r="C424" i="1" a="1"/>
  <c r="C424" i="1" s="1"/>
  <c r="W423" i="1"/>
  <c r="V423" i="1"/>
  <c r="U423" i="1"/>
  <c r="S423" i="1"/>
  <c r="P423" i="1"/>
  <c r="O423" i="1"/>
  <c r="M423" i="1"/>
  <c r="L423" i="1"/>
  <c r="K423" i="1"/>
  <c r="J423" i="1"/>
  <c r="C423" i="1" a="1"/>
  <c r="C423" i="1"/>
  <c r="B423" i="1" a="1"/>
  <c r="B423" i="1"/>
  <c r="W422" i="1"/>
  <c r="V422" i="1"/>
  <c r="U422" i="1"/>
  <c r="S422" i="1"/>
  <c r="O422" i="1"/>
  <c r="M422" i="1"/>
  <c r="E422" i="1" a="1"/>
  <c r="E422" i="1"/>
  <c r="C422" i="1" a="1"/>
  <c r="C422" i="1" s="1"/>
  <c r="B422" i="1" a="1"/>
  <c r="B422" i="1" s="1"/>
  <c r="W421" i="1"/>
  <c r="G421" i="1" s="1" a="1"/>
  <c r="V421" i="1"/>
  <c r="U421" i="1"/>
  <c r="S421" i="1"/>
  <c r="P421" i="1"/>
  <c r="O421" i="1"/>
  <c r="M421" i="1"/>
  <c r="L421" i="1"/>
  <c r="K421" i="1"/>
  <c r="J421" i="1"/>
  <c r="I421" i="1"/>
  <c r="H421" i="1" a="1"/>
  <c r="H421" i="1"/>
  <c r="G421" i="1"/>
  <c r="F421" i="1" a="1"/>
  <c r="F421" i="1" s="1"/>
  <c r="C421" i="1" a="1"/>
  <c r="C421" i="1"/>
  <c r="B421" i="1" a="1"/>
  <c r="B421" i="1" s="1"/>
  <c r="W420" i="1"/>
  <c r="B420" i="1" s="1" a="1"/>
  <c r="B420" i="1" s="1"/>
  <c r="V420" i="1"/>
  <c r="U420" i="1"/>
  <c r="O420" i="1"/>
  <c r="L420" i="1"/>
  <c r="K420" i="1"/>
  <c r="H420" i="1" a="1"/>
  <c r="H420" i="1"/>
  <c r="G420" i="1" a="1"/>
  <c r="G420" i="1"/>
  <c r="F420" i="1" a="1"/>
  <c r="F420" i="1"/>
  <c r="E420" i="1" a="1"/>
  <c r="E420" i="1" s="1"/>
  <c r="C420" i="1" a="1"/>
  <c r="C420" i="1"/>
  <c r="W419" i="1"/>
  <c r="V419" i="1"/>
  <c r="U419" i="1"/>
  <c r="P419" i="1"/>
  <c r="O419" i="1"/>
  <c r="M419" i="1"/>
  <c r="L419" i="1"/>
  <c r="K419" i="1"/>
  <c r="J419" i="1"/>
  <c r="I419" i="1"/>
  <c r="H419" i="1" a="1"/>
  <c r="H419" i="1"/>
  <c r="B419" i="1" a="1"/>
  <c r="B419" i="1"/>
  <c r="W418" i="1"/>
  <c r="V418" i="1"/>
  <c r="U418" i="1"/>
  <c r="S418" i="1"/>
  <c r="P418" i="1"/>
  <c r="O418" i="1"/>
  <c r="M418" i="1"/>
  <c r="L418" i="1"/>
  <c r="E418" i="1" a="1"/>
  <c r="E418" i="1"/>
  <c r="C418" i="1" a="1"/>
  <c r="C418" i="1"/>
  <c r="B418" i="1" a="1"/>
  <c r="B418" i="1"/>
  <c r="W417" i="1"/>
  <c r="V417" i="1"/>
  <c r="U417" i="1"/>
  <c r="W416" i="1"/>
  <c r="I416" i="1" s="1"/>
  <c r="V416" i="1"/>
  <c r="U416" i="1"/>
  <c r="O416" i="1"/>
  <c r="M416" i="1"/>
  <c r="L416" i="1"/>
  <c r="K416" i="1"/>
  <c r="J416" i="1"/>
  <c r="H416" i="1" a="1"/>
  <c r="H416" i="1"/>
  <c r="G416" i="1" a="1"/>
  <c r="G416" i="1" s="1"/>
  <c r="F416" i="1" a="1"/>
  <c r="F416" i="1"/>
  <c r="C416" i="1" a="1"/>
  <c r="C416" i="1" s="1"/>
  <c r="W415" i="1"/>
  <c r="V415" i="1"/>
  <c r="U415" i="1"/>
  <c r="P415" i="1"/>
  <c r="O415" i="1"/>
  <c r="M415" i="1"/>
  <c r="K415" i="1"/>
  <c r="J415" i="1"/>
  <c r="I415" i="1"/>
  <c r="H415" i="1" a="1"/>
  <c r="H415" i="1" s="1"/>
  <c r="B415" i="1" a="1"/>
  <c r="B415" i="1" s="1"/>
  <c r="W414" i="1"/>
  <c r="V414" i="1"/>
  <c r="U414" i="1"/>
  <c r="S414" i="1"/>
  <c r="P414" i="1"/>
  <c r="O414" i="1"/>
  <c r="M414" i="1"/>
  <c r="L414" i="1"/>
  <c r="K414" i="1"/>
  <c r="J414" i="1"/>
  <c r="I414" i="1"/>
  <c r="H414" i="1" a="1"/>
  <c r="H414" i="1" s="1"/>
  <c r="G414" i="1" a="1"/>
  <c r="G414" i="1"/>
  <c r="F414" i="1" a="1"/>
  <c r="F414" i="1" s="1"/>
  <c r="E414" i="1" a="1"/>
  <c r="E414" i="1" s="1"/>
  <c r="C414" i="1" a="1"/>
  <c r="C414" i="1"/>
  <c r="B414" i="1" a="1"/>
  <c r="B414" i="1"/>
  <c r="W413" i="1"/>
  <c r="V413" i="1"/>
  <c r="U413" i="1"/>
  <c r="I413" i="1"/>
  <c r="H413" i="1" a="1"/>
  <c r="H413" i="1" s="1"/>
  <c r="W412" i="1"/>
  <c r="V412" i="1"/>
  <c r="U412" i="1"/>
  <c r="S412" i="1"/>
  <c r="P412" i="1"/>
  <c r="O412" i="1"/>
  <c r="M412" i="1"/>
  <c r="L412" i="1"/>
  <c r="K412" i="1"/>
  <c r="J412" i="1"/>
  <c r="I412" i="1"/>
  <c r="H412" i="1" a="1"/>
  <c r="H412" i="1" s="1"/>
  <c r="G412" i="1" a="1"/>
  <c r="G412" i="1" s="1"/>
  <c r="F412" i="1" a="1"/>
  <c r="F412" i="1"/>
  <c r="E412" i="1" a="1"/>
  <c r="E412" i="1" s="1"/>
  <c r="C412" i="1" a="1"/>
  <c r="C412" i="1" s="1"/>
  <c r="B412" i="1" a="1"/>
  <c r="B412" i="1"/>
  <c r="W411" i="1"/>
  <c r="E411" i="1" s="1" a="1"/>
  <c r="E411" i="1" s="1"/>
  <c r="V411" i="1"/>
  <c r="U411" i="1"/>
  <c r="S411" i="1"/>
  <c r="P411" i="1"/>
  <c r="W410" i="1"/>
  <c r="P410" i="1" s="1"/>
  <c r="V410" i="1"/>
  <c r="U410" i="1"/>
  <c r="S410" i="1"/>
  <c r="O410" i="1"/>
  <c r="M410" i="1"/>
  <c r="L410" i="1"/>
  <c r="K410" i="1"/>
  <c r="J410" i="1"/>
  <c r="I410" i="1"/>
  <c r="H410" i="1" a="1"/>
  <c r="H410" i="1"/>
  <c r="G410" i="1" a="1"/>
  <c r="G410" i="1" s="1"/>
  <c r="F410" i="1" a="1"/>
  <c r="F410" i="1" s="1"/>
  <c r="E410" i="1" a="1"/>
  <c r="E410" i="1"/>
  <c r="C410" i="1" a="1"/>
  <c r="C410" i="1" s="1"/>
  <c r="B410" i="1" a="1"/>
  <c r="B410" i="1" s="1"/>
  <c r="W409" i="1"/>
  <c r="S409" i="1" s="1"/>
  <c r="V409" i="1"/>
  <c r="U409" i="1"/>
  <c r="O409" i="1"/>
  <c r="M409" i="1"/>
  <c r="L409" i="1"/>
  <c r="K409" i="1"/>
  <c r="I409" i="1"/>
  <c r="H409" i="1" a="1"/>
  <c r="H409" i="1" s="1"/>
  <c r="F409" i="1" a="1"/>
  <c r="F409" i="1"/>
  <c r="C409" i="1" a="1"/>
  <c r="C409" i="1" s="1"/>
  <c r="W408" i="1"/>
  <c r="M408" i="1" s="1"/>
  <c r="V408" i="1"/>
  <c r="U408" i="1"/>
  <c r="S408" i="1"/>
  <c r="P408" i="1"/>
  <c r="O408" i="1"/>
  <c r="L408" i="1"/>
  <c r="K408" i="1"/>
  <c r="J408" i="1"/>
  <c r="I408" i="1"/>
  <c r="E408" i="1" a="1"/>
  <c r="E408" i="1" s="1"/>
  <c r="C408" i="1" a="1"/>
  <c r="C408" i="1" s="1"/>
  <c r="B408" i="1" a="1"/>
  <c r="B408" i="1" s="1"/>
  <c r="W407" i="1"/>
  <c r="B407" i="1" s="1" a="1"/>
  <c r="B407" i="1" s="1"/>
  <c r="V407" i="1"/>
  <c r="U407" i="1"/>
  <c r="S407" i="1"/>
  <c r="P407" i="1"/>
  <c r="O407" i="1"/>
  <c r="W406" i="1"/>
  <c r="V406" i="1"/>
  <c r="U406" i="1"/>
  <c r="I406" i="1"/>
  <c r="H406" i="1" a="1"/>
  <c r="H406" i="1"/>
  <c r="G406" i="1" a="1"/>
  <c r="G406" i="1"/>
  <c r="F406" i="1" a="1"/>
  <c r="F406" i="1"/>
  <c r="W405" i="1"/>
  <c r="V405" i="1"/>
  <c r="U405" i="1"/>
  <c r="S405" i="1"/>
  <c r="P405" i="1"/>
  <c r="O405" i="1"/>
  <c r="M405" i="1"/>
  <c r="L405" i="1"/>
  <c r="K405" i="1"/>
  <c r="J405" i="1"/>
  <c r="I405" i="1"/>
  <c r="H405" i="1" a="1"/>
  <c r="H405" i="1"/>
  <c r="F405" i="1" a="1"/>
  <c r="F405" i="1"/>
  <c r="C405" i="1" a="1"/>
  <c r="C405" i="1" s="1"/>
  <c r="B405" i="1" a="1"/>
  <c r="B405" i="1"/>
  <c r="W404" i="1"/>
  <c r="V404" i="1"/>
  <c r="U404" i="1"/>
  <c r="S404" i="1"/>
  <c r="P404" i="1"/>
  <c r="O404" i="1"/>
  <c r="L404" i="1"/>
  <c r="K404" i="1"/>
  <c r="E404" i="1" a="1"/>
  <c r="E404" i="1"/>
  <c r="C404" i="1" a="1"/>
  <c r="C404" i="1"/>
  <c r="W403" i="1"/>
  <c r="V403" i="1"/>
  <c r="U403" i="1"/>
  <c r="P403" i="1"/>
  <c r="G403" i="1" a="1"/>
  <c r="G403" i="1"/>
  <c r="E403" i="1" a="1"/>
  <c r="E403" i="1"/>
  <c r="B403" i="1" a="1"/>
  <c r="B403" i="1"/>
  <c r="W402" i="1"/>
  <c r="K402" i="1" s="1"/>
  <c r="V402" i="1"/>
  <c r="U402" i="1"/>
  <c r="P402" i="1"/>
  <c r="M402" i="1"/>
  <c r="L402" i="1"/>
  <c r="J402" i="1"/>
  <c r="I402" i="1"/>
  <c r="H402" i="1" a="1"/>
  <c r="H402" i="1" s="1"/>
  <c r="G402" i="1" a="1"/>
  <c r="G402" i="1"/>
  <c r="F402" i="1" a="1"/>
  <c r="F402" i="1"/>
  <c r="E402" i="1" a="1"/>
  <c r="E402" i="1" s="1"/>
  <c r="C402" i="1" a="1"/>
  <c r="C402" i="1"/>
  <c r="W401" i="1"/>
  <c r="V401" i="1"/>
  <c r="U401" i="1"/>
  <c r="S401" i="1"/>
  <c r="P401" i="1"/>
  <c r="M401" i="1"/>
  <c r="L401" i="1"/>
  <c r="K401" i="1"/>
  <c r="J401" i="1"/>
  <c r="I401" i="1"/>
  <c r="H401" i="1" a="1"/>
  <c r="H401" i="1" s="1"/>
  <c r="G401" i="1" a="1"/>
  <c r="G401" i="1"/>
  <c r="F401" i="1" a="1"/>
  <c r="F401" i="1"/>
  <c r="C401" i="1" a="1"/>
  <c r="C401" i="1"/>
  <c r="W400" i="1"/>
  <c r="V400" i="1"/>
  <c r="U400" i="1"/>
  <c r="S400" i="1"/>
  <c r="P400" i="1"/>
  <c r="O400" i="1"/>
  <c r="M400" i="1"/>
  <c r="E400" i="1" a="1"/>
  <c r="E400" i="1"/>
  <c r="C400" i="1" a="1"/>
  <c r="C400" i="1"/>
  <c r="B400" i="1" a="1"/>
  <c r="B400" i="1"/>
  <c r="W399" i="1"/>
  <c r="H399" i="1" s="1" a="1"/>
  <c r="H399" i="1" s="1"/>
  <c r="V399" i="1"/>
  <c r="U399" i="1"/>
  <c r="W398" i="1"/>
  <c r="V398" i="1"/>
  <c r="U398" i="1"/>
  <c r="S398" i="1"/>
  <c r="P398" i="1"/>
  <c r="O398" i="1"/>
  <c r="M398" i="1"/>
  <c r="L398" i="1"/>
  <c r="K398" i="1"/>
  <c r="J398" i="1"/>
  <c r="I398" i="1"/>
  <c r="H398" i="1" a="1"/>
  <c r="H398" i="1" s="1"/>
  <c r="G398" i="1" a="1"/>
  <c r="G398" i="1"/>
  <c r="F398" i="1" a="1"/>
  <c r="F398" i="1" s="1"/>
  <c r="E398" i="1" a="1"/>
  <c r="E398" i="1"/>
  <c r="C398" i="1" a="1"/>
  <c r="C398" i="1"/>
  <c r="B398" i="1" a="1"/>
  <c r="B398" i="1"/>
  <c r="W397" i="1"/>
  <c r="K397" i="1" s="1"/>
  <c r="V397" i="1"/>
  <c r="U397" i="1"/>
  <c r="W396" i="1"/>
  <c r="F396" i="1" s="1" a="1"/>
  <c r="F396" i="1" s="1"/>
  <c r="V396" i="1"/>
  <c r="U396" i="1"/>
  <c r="S396" i="1"/>
  <c r="W395" i="1"/>
  <c r="S395" i="1" s="1"/>
  <c r="V395" i="1"/>
  <c r="U395" i="1"/>
  <c r="M395" i="1"/>
  <c r="K395" i="1"/>
  <c r="J395" i="1"/>
  <c r="I395" i="1"/>
  <c r="G395" i="1" a="1"/>
  <c r="G395" i="1" s="1"/>
  <c r="F395" i="1" a="1"/>
  <c r="F395" i="1" s="1"/>
  <c r="E395" i="1" a="1"/>
  <c r="E395" i="1" s="1"/>
  <c r="C395" i="1" a="1"/>
  <c r="C395" i="1"/>
  <c r="W394" i="1"/>
  <c r="P394" i="1" s="1"/>
  <c r="V394" i="1"/>
  <c r="U394" i="1"/>
  <c r="S394" i="1"/>
  <c r="O394" i="1"/>
  <c r="M394" i="1"/>
  <c r="L394" i="1"/>
  <c r="K394" i="1"/>
  <c r="J394" i="1"/>
  <c r="I394" i="1"/>
  <c r="H394" i="1" a="1"/>
  <c r="H394" i="1" s="1"/>
  <c r="G394" i="1" a="1"/>
  <c r="G394" i="1"/>
  <c r="F394" i="1" a="1"/>
  <c r="F394" i="1" s="1"/>
  <c r="E394" i="1" a="1"/>
  <c r="E394" i="1" s="1"/>
  <c r="C394" i="1" a="1"/>
  <c r="C394" i="1" s="1"/>
  <c r="B394" i="1" a="1"/>
  <c r="B394" i="1"/>
  <c r="W393" i="1"/>
  <c r="E393" i="1" s="1" a="1"/>
  <c r="E393" i="1" s="1"/>
  <c r="V393" i="1"/>
  <c r="U393" i="1"/>
  <c r="S393" i="1"/>
  <c r="P393" i="1"/>
  <c r="W392" i="1"/>
  <c r="F392" i="1" s="1" a="1"/>
  <c r="F392" i="1" s="1"/>
  <c r="V392" i="1"/>
  <c r="U392" i="1"/>
  <c r="I392" i="1"/>
  <c r="H392" i="1" a="1"/>
  <c r="H392" i="1"/>
  <c r="G392" i="1" a="1"/>
  <c r="G392" i="1" s="1"/>
  <c r="W391" i="1"/>
  <c r="C391" i="1" s="1" a="1"/>
  <c r="C391" i="1" s="1"/>
  <c r="V391" i="1"/>
  <c r="U391" i="1"/>
  <c r="P391" i="1"/>
  <c r="O391" i="1"/>
  <c r="M391" i="1"/>
  <c r="L391" i="1"/>
  <c r="K391" i="1"/>
  <c r="J391" i="1"/>
  <c r="I391" i="1"/>
  <c r="G391" i="1" a="1"/>
  <c r="G391" i="1"/>
  <c r="W390" i="1"/>
  <c r="O390" i="1" s="1"/>
  <c r="V390" i="1"/>
  <c r="U390" i="1"/>
  <c r="S390" i="1"/>
  <c r="M390" i="1"/>
  <c r="L390" i="1"/>
  <c r="J390" i="1"/>
  <c r="I390" i="1"/>
  <c r="C390" i="1" a="1"/>
  <c r="C390" i="1" s="1"/>
  <c r="B390" i="1" a="1"/>
  <c r="B390" i="1"/>
  <c r="W389" i="1"/>
  <c r="P389" i="1" s="1"/>
  <c r="V389" i="1"/>
  <c r="U389" i="1"/>
  <c r="W388" i="1"/>
  <c r="S388" i="1" s="1"/>
  <c r="V388" i="1"/>
  <c r="U388" i="1"/>
  <c r="P388" i="1"/>
  <c r="L388" i="1"/>
  <c r="K388" i="1"/>
  <c r="J388" i="1"/>
  <c r="H388" i="1" a="1"/>
  <c r="H388" i="1" s="1"/>
  <c r="G388" i="1" a="1"/>
  <c r="G388" i="1"/>
  <c r="F388" i="1" a="1"/>
  <c r="F388" i="1"/>
  <c r="E388" i="1" a="1"/>
  <c r="E388" i="1" s="1"/>
  <c r="C388" i="1" a="1"/>
  <c r="C388" i="1"/>
  <c r="W387" i="1"/>
  <c r="V387" i="1"/>
  <c r="U387" i="1"/>
  <c r="P387" i="1"/>
  <c r="O387" i="1"/>
  <c r="M387" i="1"/>
  <c r="L387" i="1"/>
  <c r="K387" i="1"/>
  <c r="J387" i="1"/>
  <c r="I387" i="1"/>
  <c r="H387" i="1" a="1"/>
  <c r="H387" i="1"/>
  <c r="B387" i="1" a="1"/>
  <c r="B387" i="1"/>
  <c r="W386" i="1"/>
  <c r="V386" i="1"/>
  <c r="U386" i="1"/>
  <c r="S386" i="1"/>
  <c r="P386" i="1"/>
  <c r="W385" i="1"/>
  <c r="C385" i="1" s="1" a="1"/>
  <c r="C385" i="1" s="1"/>
  <c r="V385" i="1"/>
  <c r="U385" i="1"/>
  <c r="H385" i="1" a="1"/>
  <c r="H385" i="1"/>
  <c r="G385" i="1" a="1"/>
  <c r="G385" i="1"/>
  <c r="W384" i="1"/>
  <c r="I384" i="1" s="1"/>
  <c r="V384" i="1"/>
  <c r="U384" i="1"/>
  <c r="O384" i="1"/>
  <c r="M384" i="1"/>
  <c r="L384" i="1"/>
  <c r="K384" i="1"/>
  <c r="J384" i="1"/>
  <c r="H384" i="1" a="1"/>
  <c r="H384" i="1"/>
  <c r="G384" i="1" a="1"/>
  <c r="G384" i="1" s="1"/>
  <c r="F384" i="1" a="1"/>
  <c r="F384" i="1"/>
  <c r="C384" i="1" a="1"/>
  <c r="C384" i="1" s="1"/>
  <c r="W383" i="1"/>
  <c r="V383" i="1"/>
  <c r="U383" i="1"/>
  <c r="P383" i="1"/>
  <c r="O383" i="1"/>
  <c r="M383" i="1"/>
  <c r="K383" i="1"/>
  <c r="J383" i="1"/>
  <c r="I383" i="1"/>
  <c r="H383" i="1" a="1"/>
  <c r="H383" i="1" s="1"/>
  <c r="B383" i="1" a="1"/>
  <c r="B383" i="1"/>
  <c r="W382" i="1"/>
  <c r="V382" i="1"/>
  <c r="U382" i="1"/>
  <c r="S382" i="1"/>
  <c r="P382" i="1"/>
  <c r="O382" i="1"/>
  <c r="M382" i="1"/>
  <c r="L382" i="1"/>
  <c r="K382" i="1"/>
  <c r="J382" i="1"/>
  <c r="I382" i="1"/>
  <c r="H382" i="1" a="1"/>
  <c r="H382" i="1" s="1"/>
  <c r="G382" i="1" a="1"/>
  <c r="G382" i="1"/>
  <c r="F382" i="1" a="1"/>
  <c r="F382" i="1" s="1"/>
  <c r="E382" i="1" a="1"/>
  <c r="E382" i="1" s="1"/>
  <c r="C382" i="1" a="1"/>
  <c r="C382" i="1"/>
  <c r="B382" i="1" a="1"/>
  <c r="B382" i="1"/>
  <c r="W381" i="1"/>
  <c r="V381" i="1"/>
  <c r="U381" i="1"/>
  <c r="I381" i="1"/>
  <c r="H381" i="1" a="1"/>
  <c r="H381" i="1"/>
  <c r="G381" i="1" a="1"/>
  <c r="G381" i="1"/>
  <c r="F381" i="1" a="1"/>
  <c r="F381" i="1"/>
  <c r="E381" i="1" a="1"/>
  <c r="E381" i="1" s="1"/>
  <c r="W380" i="1"/>
  <c r="V380" i="1"/>
  <c r="U380" i="1"/>
  <c r="S380" i="1"/>
  <c r="P380" i="1"/>
  <c r="O380" i="1"/>
  <c r="M380" i="1"/>
  <c r="L380" i="1"/>
  <c r="K380" i="1"/>
  <c r="J380" i="1"/>
  <c r="I380" i="1"/>
  <c r="H380" i="1" a="1"/>
  <c r="H380" i="1"/>
  <c r="G380" i="1" a="1"/>
  <c r="G380" i="1" s="1"/>
  <c r="F380" i="1" a="1"/>
  <c r="F380" i="1" s="1"/>
  <c r="E380" i="1" a="1"/>
  <c r="E380" i="1" s="1"/>
  <c r="C380" i="1" a="1"/>
  <c r="C380" i="1" s="1"/>
  <c r="B380" i="1" a="1"/>
  <c r="B380" i="1"/>
  <c r="W379" i="1"/>
  <c r="V379" i="1"/>
  <c r="U379" i="1"/>
  <c r="S379" i="1"/>
  <c r="P379" i="1"/>
  <c r="O379" i="1"/>
  <c r="M379" i="1"/>
  <c r="K379" i="1"/>
  <c r="E379" i="1" a="1"/>
  <c r="E379" i="1"/>
  <c r="C379" i="1" a="1"/>
  <c r="C379" i="1"/>
  <c r="W378" i="1"/>
  <c r="V378" i="1"/>
  <c r="U378" i="1"/>
  <c r="S378" i="1"/>
  <c r="P378" i="1"/>
  <c r="O378" i="1"/>
  <c r="M378" i="1"/>
  <c r="L378" i="1"/>
  <c r="K378" i="1"/>
  <c r="J378" i="1"/>
  <c r="I378" i="1"/>
  <c r="H378" i="1" a="1"/>
  <c r="H378" i="1"/>
  <c r="G378" i="1" a="1"/>
  <c r="G378" i="1" s="1"/>
  <c r="F378" i="1" a="1"/>
  <c r="F378" i="1" s="1"/>
  <c r="E378" i="1" a="1"/>
  <c r="E378" i="1" s="1"/>
  <c r="C378" i="1" a="1"/>
  <c r="C378" i="1" s="1"/>
  <c r="B378" i="1" a="1"/>
  <c r="B378" i="1"/>
  <c r="W377" i="1"/>
  <c r="C377" i="1" s="1" a="1"/>
  <c r="C377" i="1" s="1"/>
  <c r="V377" i="1"/>
  <c r="U377" i="1"/>
  <c r="P377" i="1"/>
  <c r="O377" i="1"/>
  <c r="M377" i="1"/>
  <c r="L377" i="1"/>
  <c r="K377" i="1"/>
  <c r="I377" i="1"/>
  <c r="H377" i="1" a="1"/>
  <c r="H377" i="1"/>
  <c r="F377" i="1" a="1"/>
  <c r="F377" i="1" s="1"/>
  <c r="W376" i="1"/>
  <c r="V376" i="1"/>
  <c r="U376" i="1"/>
  <c r="S376" i="1"/>
  <c r="P376" i="1"/>
  <c r="O376" i="1"/>
  <c r="L376" i="1"/>
  <c r="K376" i="1"/>
  <c r="J376" i="1"/>
  <c r="E376" i="1" a="1"/>
  <c r="E376" i="1" s="1"/>
  <c r="C376" i="1" a="1"/>
  <c r="C376" i="1"/>
  <c r="W375" i="1"/>
  <c r="V375" i="1"/>
  <c r="U375" i="1"/>
  <c r="S375" i="1"/>
  <c r="P375" i="1"/>
  <c r="G375" i="1" a="1"/>
  <c r="G375" i="1"/>
  <c r="E375" i="1" a="1"/>
  <c r="E375" i="1"/>
  <c r="C375" i="1" a="1"/>
  <c r="C375" i="1"/>
  <c r="B375" i="1" a="1"/>
  <c r="B375" i="1"/>
  <c r="W374" i="1"/>
  <c r="S374" i="1" s="1"/>
  <c r="V374" i="1"/>
  <c r="U374" i="1"/>
  <c r="O374" i="1"/>
  <c r="L374" i="1"/>
  <c r="J374" i="1"/>
  <c r="I374" i="1"/>
  <c r="H374" i="1" a="1"/>
  <c r="H374" i="1"/>
  <c r="G374" i="1" a="1"/>
  <c r="G374" i="1"/>
  <c r="F374" i="1" a="1"/>
  <c r="F374" i="1"/>
  <c r="E374" i="1" a="1"/>
  <c r="E374" i="1" s="1"/>
  <c r="C374" i="1" a="1"/>
  <c r="C374" i="1" s="1"/>
  <c r="B374" i="1" a="1"/>
  <c r="B374" i="1" s="1"/>
  <c r="W373" i="1"/>
  <c r="C373" i="1" s="1" a="1"/>
  <c r="C373" i="1" s="1"/>
  <c r="V373" i="1"/>
  <c r="U373" i="1"/>
  <c r="S373" i="1"/>
  <c r="P373" i="1"/>
  <c r="O373" i="1"/>
  <c r="M373" i="1"/>
  <c r="L373" i="1"/>
  <c r="K373" i="1"/>
  <c r="J373" i="1"/>
  <c r="I373" i="1"/>
  <c r="H373" i="1" a="1"/>
  <c r="H373" i="1" s="1"/>
  <c r="F373" i="1" a="1"/>
  <c r="F373" i="1" s="1"/>
  <c r="B373" i="1" a="1"/>
  <c r="B373" i="1"/>
  <c r="W372" i="1"/>
  <c r="E372" i="1" s="1" a="1"/>
  <c r="E372" i="1" s="1"/>
  <c r="V372" i="1"/>
  <c r="U372" i="1"/>
  <c r="W371" i="1"/>
  <c r="E371" i="1" s="1" a="1"/>
  <c r="E371" i="1" s="1"/>
  <c r="V371" i="1"/>
  <c r="U371" i="1"/>
  <c r="H371" i="1" a="1"/>
  <c r="H371" i="1"/>
  <c r="W370" i="1"/>
  <c r="K370" i="1" s="1"/>
  <c r="V370" i="1"/>
  <c r="U370" i="1"/>
  <c r="O370" i="1"/>
  <c r="M370" i="1"/>
  <c r="L370" i="1"/>
  <c r="J370" i="1"/>
  <c r="I370" i="1"/>
  <c r="H370" i="1" a="1"/>
  <c r="H370" i="1" s="1"/>
  <c r="G370" i="1" a="1"/>
  <c r="G370" i="1"/>
  <c r="F370" i="1" a="1"/>
  <c r="F370" i="1" s="1"/>
  <c r="C370" i="1" a="1"/>
  <c r="C370" i="1" s="1"/>
  <c r="W369" i="1"/>
  <c r="V369" i="1"/>
  <c r="U369" i="1"/>
  <c r="S369" i="1"/>
  <c r="P369" i="1"/>
  <c r="M369" i="1"/>
  <c r="L369" i="1"/>
  <c r="K369" i="1"/>
  <c r="J369" i="1"/>
  <c r="I369" i="1"/>
  <c r="C369" i="1" a="1"/>
  <c r="C369" i="1" s="1"/>
  <c r="W368" i="1"/>
  <c r="P368" i="1" s="1"/>
  <c r="V368" i="1"/>
  <c r="U368" i="1"/>
  <c r="S368" i="1"/>
  <c r="O368" i="1"/>
  <c r="F368" i="1" a="1"/>
  <c r="F368" i="1"/>
  <c r="E368" i="1" a="1"/>
  <c r="E368" i="1"/>
  <c r="C368" i="1" a="1"/>
  <c r="C368" i="1"/>
  <c r="B368" i="1" a="1"/>
  <c r="B368" i="1"/>
  <c r="W367" i="1"/>
  <c r="V367" i="1"/>
  <c r="U367" i="1"/>
  <c r="I367" i="1"/>
  <c r="H367" i="1" a="1"/>
  <c r="H367" i="1" s="1"/>
  <c r="G367" i="1" a="1"/>
  <c r="G367" i="1"/>
  <c r="F367" i="1" a="1"/>
  <c r="F367" i="1"/>
  <c r="E367" i="1" a="1"/>
  <c r="E367" i="1"/>
  <c r="W366" i="1"/>
  <c r="V366" i="1"/>
  <c r="U366" i="1"/>
  <c r="S366" i="1"/>
  <c r="P366" i="1"/>
  <c r="O366" i="1"/>
  <c r="M366" i="1"/>
  <c r="L366" i="1"/>
  <c r="K366" i="1"/>
  <c r="J366" i="1"/>
  <c r="I366" i="1"/>
  <c r="H366" i="1" a="1"/>
  <c r="H366" i="1" s="1"/>
  <c r="G366" i="1" a="1"/>
  <c r="G366" i="1" s="1"/>
  <c r="F366" i="1" a="1"/>
  <c r="F366" i="1" s="1"/>
  <c r="E366" i="1" a="1"/>
  <c r="E366" i="1" s="1"/>
  <c r="C366" i="1" a="1"/>
  <c r="C366" i="1" s="1"/>
  <c r="B366" i="1" a="1"/>
  <c r="B366" i="1"/>
  <c r="W365" i="1"/>
  <c r="K365" i="1" s="1"/>
  <c r="V365" i="1"/>
  <c r="U365" i="1"/>
  <c r="W364" i="1"/>
  <c r="E364" i="1" s="1" a="1"/>
  <c r="E364" i="1" s="1"/>
  <c r="V364" i="1"/>
  <c r="U364" i="1"/>
  <c r="S364" i="1"/>
  <c r="H364" i="1" a="1"/>
  <c r="H364" i="1" s="1"/>
  <c r="W363" i="1"/>
  <c r="S363" i="1" s="1"/>
  <c r="V363" i="1"/>
  <c r="U363" i="1"/>
  <c r="O363" i="1"/>
  <c r="M363" i="1"/>
  <c r="K363" i="1"/>
  <c r="J363" i="1"/>
  <c r="I363" i="1"/>
  <c r="G363" i="1" a="1"/>
  <c r="G363" i="1"/>
  <c r="F363" i="1" a="1"/>
  <c r="F363" i="1"/>
  <c r="C363" i="1" a="1"/>
  <c r="C363" i="1" s="1"/>
  <c r="W362" i="1"/>
  <c r="P362" i="1" s="1"/>
  <c r="V362" i="1"/>
  <c r="U362" i="1"/>
  <c r="S362" i="1"/>
  <c r="O362" i="1"/>
  <c r="M362" i="1"/>
  <c r="L362" i="1"/>
  <c r="K362" i="1"/>
  <c r="J362" i="1"/>
  <c r="I362" i="1"/>
  <c r="H362" i="1" a="1"/>
  <c r="H362" i="1"/>
  <c r="G362" i="1" a="1"/>
  <c r="G362" i="1" s="1"/>
  <c r="F362" i="1" a="1"/>
  <c r="F362" i="1" s="1"/>
  <c r="E362" i="1" a="1"/>
  <c r="E362" i="1"/>
  <c r="C362" i="1" a="1"/>
  <c r="C362" i="1" s="1"/>
  <c r="B362" i="1" a="1"/>
  <c r="B362" i="1"/>
  <c r="W361" i="1"/>
  <c r="E361" i="1" s="1" a="1"/>
  <c r="E361" i="1" s="1"/>
  <c r="V361" i="1"/>
  <c r="U361" i="1"/>
  <c r="S361" i="1"/>
  <c r="P361" i="1"/>
  <c r="O361" i="1"/>
  <c r="F361" i="1" a="1"/>
  <c r="F361" i="1" s="1"/>
  <c r="W360" i="1"/>
  <c r="V360" i="1"/>
  <c r="U360" i="1"/>
  <c r="J360" i="1"/>
  <c r="I360" i="1"/>
  <c r="H360" i="1" a="1"/>
  <c r="H360" i="1"/>
  <c r="G360" i="1" a="1"/>
  <c r="G360" i="1"/>
  <c r="W359" i="1"/>
  <c r="V359" i="1"/>
  <c r="U359" i="1"/>
  <c r="S359" i="1"/>
  <c r="P359" i="1"/>
  <c r="O359" i="1"/>
  <c r="M359" i="1"/>
  <c r="L359" i="1"/>
  <c r="K359" i="1"/>
  <c r="J359" i="1"/>
  <c r="I359" i="1"/>
  <c r="G359" i="1" a="1"/>
  <c r="G359" i="1" s="1"/>
  <c r="E359" i="1" a="1"/>
  <c r="E359" i="1" s="1"/>
  <c r="C359" i="1" a="1"/>
  <c r="C359" i="1" s="1"/>
  <c r="B359" i="1" a="1"/>
  <c r="B359" i="1"/>
  <c r="W358" i="1"/>
  <c r="V358" i="1"/>
  <c r="U358" i="1"/>
  <c r="S358" i="1"/>
  <c r="O358" i="1"/>
  <c r="M358" i="1"/>
  <c r="L358" i="1"/>
  <c r="J358" i="1"/>
  <c r="E358" i="1" a="1"/>
  <c r="E358" i="1"/>
  <c r="C358" i="1" a="1"/>
  <c r="C358" i="1" s="1"/>
  <c r="B358" i="1" a="1"/>
  <c r="B358" i="1" s="1"/>
  <c r="W357" i="1"/>
  <c r="V357" i="1"/>
  <c r="U357" i="1"/>
  <c r="S357" i="1"/>
  <c r="H357" i="1" a="1"/>
  <c r="H357" i="1" s="1"/>
  <c r="F357" i="1" a="1"/>
  <c r="F357" i="1"/>
  <c r="C357" i="1" a="1"/>
  <c r="C357" i="1"/>
  <c r="B357" i="1" a="1"/>
  <c r="B357" i="1" s="1"/>
  <c r="W356" i="1"/>
  <c r="S356" i="1" s="1"/>
  <c r="V356" i="1"/>
  <c r="U356" i="1"/>
  <c r="O356" i="1"/>
  <c r="L356" i="1"/>
  <c r="K356" i="1"/>
  <c r="J356" i="1"/>
  <c r="H356" i="1" a="1"/>
  <c r="H356" i="1" s="1"/>
  <c r="G356" i="1" a="1"/>
  <c r="G356" i="1"/>
  <c r="F356" i="1" a="1"/>
  <c r="F356" i="1"/>
  <c r="C356" i="1" a="1"/>
  <c r="C356" i="1" s="1"/>
  <c r="W355" i="1"/>
  <c r="V355" i="1"/>
  <c r="U355" i="1"/>
  <c r="P355" i="1"/>
  <c r="O355" i="1"/>
  <c r="M355" i="1"/>
  <c r="L355" i="1"/>
  <c r="K355" i="1"/>
  <c r="J355" i="1"/>
  <c r="I355" i="1"/>
  <c r="H355" i="1" a="1"/>
  <c r="H355" i="1" s="1"/>
  <c r="G355" i="1" a="1"/>
  <c r="G355" i="1"/>
  <c r="E355" i="1" a="1"/>
  <c r="E355" i="1" s="1"/>
  <c r="B355" i="1" a="1"/>
  <c r="B355" i="1"/>
  <c r="W354" i="1"/>
  <c r="C354" i="1" s="1" a="1"/>
  <c r="C354" i="1" s="1"/>
  <c r="V354" i="1"/>
  <c r="U354" i="1"/>
  <c r="S354" i="1"/>
  <c r="W353" i="1"/>
  <c r="C353" i="1" s="1" a="1"/>
  <c r="C353" i="1" s="1"/>
  <c r="V353" i="1"/>
  <c r="U353" i="1"/>
  <c r="I353" i="1"/>
  <c r="H353" i="1" a="1"/>
  <c r="H353" i="1"/>
  <c r="W352" i="1"/>
  <c r="I352" i="1" s="1"/>
  <c r="V352" i="1"/>
  <c r="U352" i="1"/>
  <c r="P352" i="1"/>
  <c r="O352" i="1"/>
  <c r="M352" i="1"/>
  <c r="L352" i="1"/>
  <c r="K352" i="1"/>
  <c r="J352" i="1"/>
  <c r="H352" i="1" a="1"/>
  <c r="H352" i="1" s="1"/>
  <c r="G352" i="1" a="1"/>
  <c r="G352" i="1" s="1"/>
  <c r="F352" i="1" a="1"/>
  <c r="F352" i="1" s="1"/>
  <c r="W351" i="1"/>
  <c r="P351" i="1" s="1"/>
  <c r="V351" i="1"/>
  <c r="U351" i="1"/>
  <c r="O351" i="1"/>
  <c r="M351" i="1"/>
  <c r="K351" i="1"/>
  <c r="J351" i="1"/>
  <c r="I351" i="1"/>
  <c r="B351" i="1" a="1"/>
  <c r="B351" i="1"/>
  <c r="W350" i="1"/>
  <c r="V350" i="1"/>
  <c r="U350" i="1"/>
  <c r="S350" i="1"/>
  <c r="P350" i="1"/>
  <c r="O350" i="1"/>
  <c r="M350" i="1"/>
  <c r="L350" i="1"/>
  <c r="K350" i="1"/>
  <c r="J350" i="1"/>
  <c r="I350" i="1"/>
  <c r="H350" i="1" a="1"/>
  <c r="H350" i="1" s="1"/>
  <c r="G350" i="1" a="1"/>
  <c r="G350" i="1"/>
  <c r="F350" i="1" a="1"/>
  <c r="F350" i="1" s="1"/>
  <c r="E350" i="1" a="1"/>
  <c r="E350" i="1" s="1"/>
  <c r="C350" i="1" a="1"/>
  <c r="C350" i="1"/>
  <c r="B350" i="1" a="1"/>
  <c r="B350" i="1"/>
  <c r="W349" i="1"/>
  <c r="S349" i="1" s="1"/>
  <c r="V349" i="1"/>
  <c r="U349" i="1"/>
  <c r="P349" i="1"/>
  <c r="L349" i="1"/>
  <c r="K349" i="1"/>
  <c r="I349" i="1"/>
  <c r="H349" i="1" a="1"/>
  <c r="H349" i="1"/>
  <c r="G349" i="1" a="1"/>
  <c r="G349" i="1"/>
  <c r="F349" i="1" a="1"/>
  <c r="F349" i="1"/>
  <c r="E349" i="1" a="1"/>
  <c r="E349" i="1" s="1"/>
  <c r="C349" i="1" a="1"/>
  <c r="C349" i="1"/>
  <c r="W348" i="1"/>
  <c r="C348" i="1" s="1" a="1"/>
  <c r="C348" i="1" s="1"/>
  <c r="V348" i="1"/>
  <c r="U348" i="1"/>
  <c r="S348" i="1"/>
  <c r="P348" i="1"/>
  <c r="O348" i="1"/>
  <c r="M348" i="1"/>
  <c r="L348" i="1"/>
  <c r="K348" i="1"/>
  <c r="J348" i="1"/>
  <c r="I348" i="1"/>
  <c r="H348" i="1" a="1"/>
  <c r="H348" i="1" s="1"/>
  <c r="G348" i="1" a="1"/>
  <c r="G348" i="1" s="1"/>
  <c r="F348" i="1" a="1"/>
  <c r="F348" i="1" s="1"/>
  <c r="E348" i="1" a="1"/>
  <c r="E348" i="1" s="1"/>
  <c r="B348" i="1" a="1"/>
  <c r="B348" i="1" s="1"/>
  <c r="W347" i="1"/>
  <c r="V347" i="1"/>
  <c r="U347" i="1"/>
  <c r="S347" i="1"/>
  <c r="P347" i="1"/>
  <c r="O347" i="1"/>
  <c r="M347" i="1"/>
  <c r="E347" i="1" a="1"/>
  <c r="E347" i="1"/>
  <c r="B347" i="1" a="1"/>
  <c r="B347" i="1" s="1"/>
  <c r="W346" i="1"/>
  <c r="P346" i="1" s="1"/>
  <c r="V346" i="1"/>
  <c r="U346" i="1"/>
  <c r="S346" i="1"/>
  <c r="O346" i="1"/>
  <c r="M346" i="1"/>
  <c r="L346" i="1"/>
  <c r="K346" i="1"/>
  <c r="J346" i="1"/>
  <c r="I346" i="1"/>
  <c r="H346" i="1" a="1"/>
  <c r="H346" i="1"/>
  <c r="G346" i="1" a="1"/>
  <c r="G346" i="1"/>
  <c r="F346" i="1" a="1"/>
  <c r="F346" i="1" s="1"/>
  <c r="E346" i="1" a="1"/>
  <c r="E346" i="1"/>
  <c r="C346" i="1" a="1"/>
  <c r="C346" i="1" s="1"/>
  <c r="B346" i="1" a="1"/>
  <c r="B346" i="1"/>
  <c r="W345" i="1"/>
  <c r="C345" i="1" s="1" a="1"/>
  <c r="C345" i="1" s="1"/>
  <c r="V345" i="1"/>
  <c r="U345" i="1"/>
  <c r="P345" i="1"/>
  <c r="O345" i="1"/>
  <c r="M345" i="1"/>
  <c r="L345" i="1"/>
  <c r="K345" i="1"/>
  <c r="I345" i="1"/>
  <c r="H345" i="1" a="1"/>
  <c r="H345" i="1"/>
  <c r="F345" i="1" a="1"/>
  <c r="F345" i="1" s="1"/>
  <c r="W344" i="1"/>
  <c r="V344" i="1"/>
  <c r="U344" i="1"/>
  <c r="S344" i="1"/>
  <c r="P344" i="1"/>
  <c r="O344" i="1"/>
  <c r="L344" i="1"/>
  <c r="K344" i="1"/>
  <c r="J344" i="1"/>
  <c r="E344" i="1" a="1"/>
  <c r="E344" i="1" s="1"/>
  <c r="C344" i="1" a="1"/>
  <c r="C344" i="1" s="1"/>
  <c r="W343" i="1"/>
  <c r="P343" i="1" s="1"/>
  <c r="V343" i="1"/>
  <c r="U343" i="1"/>
  <c r="S343" i="1"/>
  <c r="G343" i="1" a="1"/>
  <c r="G343" i="1"/>
  <c r="E343" i="1" a="1"/>
  <c r="E343" i="1"/>
  <c r="C343" i="1" a="1"/>
  <c r="C343" i="1"/>
  <c r="B343" i="1" a="1"/>
  <c r="B343" i="1"/>
  <c r="W342" i="1"/>
  <c r="S342" i="1" s="1"/>
  <c r="V342" i="1"/>
  <c r="U342" i="1"/>
  <c r="O342" i="1"/>
  <c r="L342" i="1"/>
  <c r="J342" i="1"/>
  <c r="I342" i="1"/>
  <c r="H342" i="1" a="1"/>
  <c r="H342" i="1"/>
  <c r="G342" i="1" a="1"/>
  <c r="G342" i="1"/>
  <c r="F342" i="1" a="1"/>
  <c r="F342" i="1"/>
  <c r="E342" i="1" a="1"/>
  <c r="E342" i="1" s="1"/>
  <c r="C342" i="1" a="1"/>
  <c r="C342" i="1" s="1"/>
  <c r="B342" i="1" a="1"/>
  <c r="B342" i="1" s="1"/>
  <c r="W341" i="1"/>
  <c r="C341" i="1" s="1" a="1"/>
  <c r="C341" i="1" s="1"/>
  <c r="V341" i="1"/>
  <c r="U341" i="1"/>
  <c r="S341" i="1"/>
  <c r="P341" i="1"/>
  <c r="O341" i="1"/>
  <c r="M341" i="1"/>
  <c r="L341" i="1"/>
  <c r="K341" i="1"/>
  <c r="J341" i="1"/>
  <c r="I341" i="1"/>
  <c r="H341" i="1" a="1"/>
  <c r="H341" i="1" s="1"/>
  <c r="F341" i="1" a="1"/>
  <c r="F341" i="1" s="1"/>
  <c r="B341" i="1" a="1"/>
  <c r="B341" i="1"/>
  <c r="W340" i="1"/>
  <c r="V340" i="1"/>
  <c r="U340" i="1"/>
  <c r="W339" i="1"/>
  <c r="V339" i="1"/>
  <c r="U339" i="1"/>
  <c r="H339" i="1" a="1"/>
  <c r="H339" i="1" s="1"/>
  <c r="W338" i="1"/>
  <c r="K338" i="1" s="1"/>
  <c r="V338" i="1"/>
  <c r="U338" i="1"/>
  <c r="O338" i="1"/>
  <c r="M338" i="1"/>
  <c r="L338" i="1"/>
  <c r="J338" i="1"/>
  <c r="I338" i="1"/>
  <c r="H338" i="1" a="1"/>
  <c r="H338" i="1" s="1"/>
  <c r="G338" i="1" a="1"/>
  <c r="G338" i="1"/>
  <c r="F338" i="1" a="1"/>
  <c r="F338" i="1"/>
  <c r="C338" i="1" a="1"/>
  <c r="C338" i="1" s="1"/>
  <c r="W337" i="1"/>
  <c r="V337" i="1"/>
  <c r="U337" i="1"/>
  <c r="S337" i="1"/>
  <c r="P337" i="1"/>
  <c r="M337" i="1"/>
  <c r="L337" i="1"/>
  <c r="K337" i="1"/>
  <c r="J337" i="1"/>
  <c r="I337" i="1"/>
  <c r="C337" i="1" a="1"/>
  <c r="C337" i="1"/>
  <c r="W336" i="1"/>
  <c r="S336" i="1" s="1"/>
  <c r="V336" i="1"/>
  <c r="U336" i="1"/>
  <c r="P336" i="1"/>
  <c r="O336" i="1"/>
  <c r="F336" i="1" a="1"/>
  <c r="F336" i="1"/>
  <c r="E336" i="1" a="1"/>
  <c r="E336" i="1"/>
  <c r="C336" i="1" a="1"/>
  <c r="C336" i="1"/>
  <c r="B336" i="1" a="1"/>
  <c r="B336" i="1" s="1"/>
  <c r="W335" i="1"/>
  <c r="V335" i="1"/>
  <c r="U335" i="1"/>
  <c r="I335" i="1"/>
  <c r="H335" i="1" a="1"/>
  <c r="H335" i="1" s="1"/>
  <c r="G335" i="1" a="1"/>
  <c r="G335" i="1"/>
  <c r="F335" i="1" a="1"/>
  <c r="F335" i="1"/>
  <c r="E335" i="1" a="1"/>
  <c r="E335" i="1"/>
  <c r="W334" i="1"/>
  <c r="V334" i="1"/>
  <c r="U334" i="1"/>
  <c r="S334" i="1"/>
  <c r="P334" i="1"/>
  <c r="O334" i="1"/>
  <c r="M334" i="1"/>
  <c r="L334" i="1"/>
  <c r="K334" i="1"/>
  <c r="J334" i="1"/>
  <c r="I334" i="1"/>
  <c r="H334" i="1" a="1"/>
  <c r="H334" i="1" s="1"/>
  <c r="G334" i="1" a="1"/>
  <c r="G334" i="1" s="1"/>
  <c r="F334" i="1" a="1"/>
  <c r="F334" i="1" s="1"/>
  <c r="E334" i="1" a="1"/>
  <c r="E334" i="1" s="1"/>
  <c r="C334" i="1" a="1"/>
  <c r="C334" i="1" s="1"/>
  <c r="B334" i="1" a="1"/>
  <c r="B334" i="1"/>
  <c r="W333" i="1"/>
  <c r="K333" i="1" s="1"/>
  <c r="V333" i="1"/>
  <c r="U333" i="1"/>
  <c r="W332" i="1"/>
  <c r="F332" i="1" s="1" a="1"/>
  <c r="F332" i="1" s="1"/>
  <c r="V332" i="1"/>
  <c r="U332" i="1"/>
  <c r="S332" i="1"/>
  <c r="W331" i="1"/>
  <c r="S331" i="1" s="1"/>
  <c r="V331" i="1"/>
  <c r="U331" i="1"/>
  <c r="O331" i="1"/>
  <c r="M331" i="1"/>
  <c r="K331" i="1"/>
  <c r="J331" i="1"/>
  <c r="I331" i="1"/>
  <c r="G331" i="1" a="1"/>
  <c r="G331" i="1" s="1"/>
  <c r="F331" i="1" a="1"/>
  <c r="F331" i="1" s="1"/>
  <c r="C331" i="1" a="1"/>
  <c r="C331" i="1" s="1"/>
  <c r="W330" i="1"/>
  <c r="V330" i="1"/>
  <c r="U330" i="1"/>
  <c r="S330" i="1"/>
  <c r="P330" i="1"/>
  <c r="O330" i="1"/>
  <c r="M330" i="1"/>
  <c r="L330" i="1"/>
  <c r="K330" i="1"/>
  <c r="J330" i="1"/>
  <c r="I330" i="1"/>
  <c r="H330" i="1" a="1"/>
  <c r="H330" i="1"/>
  <c r="G330" i="1" a="1"/>
  <c r="G330" i="1"/>
  <c r="F330" i="1" a="1"/>
  <c r="F330" i="1" s="1"/>
  <c r="E330" i="1" a="1"/>
  <c r="E330" i="1"/>
  <c r="C330" i="1" a="1"/>
  <c r="C330" i="1" s="1"/>
  <c r="B330" i="1" a="1"/>
  <c r="B330" i="1"/>
  <c r="W329" i="1"/>
  <c r="E329" i="1" s="1" a="1"/>
  <c r="E329" i="1" s="1"/>
  <c r="V329" i="1"/>
  <c r="U329" i="1"/>
  <c r="S329" i="1"/>
  <c r="W328" i="1"/>
  <c r="M328" i="1" s="1"/>
  <c r="V328" i="1"/>
  <c r="U328" i="1"/>
  <c r="P328" i="1"/>
  <c r="L328" i="1"/>
  <c r="K328" i="1"/>
  <c r="J328" i="1"/>
  <c r="I328" i="1"/>
  <c r="H328" i="1" a="1"/>
  <c r="H328" i="1" s="1"/>
  <c r="G328" i="1" a="1"/>
  <c r="G328" i="1" s="1"/>
  <c r="F328" i="1" a="1"/>
  <c r="F328" i="1"/>
  <c r="E328" i="1" a="1"/>
  <c r="E328" i="1" s="1"/>
  <c r="C328" i="1" a="1"/>
  <c r="C328" i="1"/>
  <c r="W327" i="1"/>
  <c r="C327" i="1" s="1" a="1"/>
  <c r="C327" i="1" s="1"/>
  <c r="V327" i="1"/>
  <c r="U327" i="1"/>
  <c r="S327" i="1"/>
  <c r="P327" i="1"/>
  <c r="O327" i="1"/>
  <c r="M327" i="1"/>
  <c r="L327" i="1"/>
  <c r="K327" i="1"/>
  <c r="J327" i="1"/>
  <c r="I327" i="1"/>
  <c r="G327" i="1" a="1"/>
  <c r="G327" i="1"/>
  <c r="B327" i="1" a="1"/>
  <c r="B327" i="1"/>
  <c r="W326" i="1"/>
  <c r="E326" i="1" s="1" a="1"/>
  <c r="E326" i="1" s="1"/>
  <c r="V326" i="1"/>
  <c r="U326" i="1"/>
  <c r="S326" i="1"/>
  <c r="O326" i="1"/>
  <c r="W325" i="1"/>
  <c r="V325" i="1"/>
  <c r="U325" i="1"/>
  <c r="I325" i="1"/>
  <c r="H325" i="1" a="1"/>
  <c r="H325" i="1"/>
  <c r="F325" i="1" a="1"/>
  <c r="F325" i="1" s="1"/>
  <c r="W324" i="1"/>
  <c r="C324" i="1" s="1" a="1"/>
  <c r="C324" i="1" s="1"/>
  <c r="V324" i="1"/>
  <c r="U324" i="1"/>
  <c r="P324" i="1"/>
  <c r="O324" i="1"/>
  <c r="L324" i="1"/>
  <c r="K324" i="1"/>
  <c r="J324" i="1"/>
  <c r="H324" i="1" a="1"/>
  <c r="H324" i="1"/>
  <c r="G324" i="1" a="1"/>
  <c r="G324" i="1"/>
  <c r="F324" i="1" a="1"/>
  <c r="F324" i="1" s="1"/>
  <c r="W323" i="1"/>
  <c r="V323" i="1"/>
  <c r="U323" i="1"/>
  <c r="P323" i="1"/>
  <c r="O323" i="1"/>
  <c r="M323" i="1"/>
  <c r="L323" i="1"/>
  <c r="K323" i="1"/>
  <c r="J323" i="1"/>
  <c r="I323" i="1"/>
  <c r="B323" i="1" a="1"/>
  <c r="B323" i="1"/>
  <c r="W322" i="1"/>
  <c r="E322" i="1" s="1" a="1"/>
  <c r="E322" i="1" s="1"/>
  <c r="V322" i="1"/>
  <c r="U322" i="1"/>
  <c r="W321" i="1"/>
  <c r="F321" i="1" s="1" a="1"/>
  <c r="F321" i="1" s="1"/>
  <c r="V321" i="1"/>
  <c r="U321" i="1"/>
  <c r="J321" i="1"/>
  <c r="W320" i="1"/>
  <c r="I320" i="1" s="1"/>
  <c r="V320" i="1"/>
  <c r="U320" i="1"/>
  <c r="S320" i="1"/>
  <c r="P320" i="1"/>
  <c r="O320" i="1"/>
  <c r="M320" i="1"/>
  <c r="L320" i="1"/>
  <c r="K320" i="1"/>
  <c r="J320" i="1"/>
  <c r="H320" i="1" a="1"/>
  <c r="H320" i="1" s="1"/>
  <c r="G320" i="1" a="1"/>
  <c r="G320" i="1" s="1"/>
  <c r="F320" i="1" a="1"/>
  <c r="F320" i="1"/>
  <c r="E320" i="1" a="1"/>
  <c r="E320" i="1" s="1"/>
  <c r="C320" i="1" a="1"/>
  <c r="C320" i="1" s="1"/>
  <c r="B320" i="1" a="1"/>
  <c r="B320" i="1"/>
  <c r="W319" i="1"/>
  <c r="B319" i="1" s="1" a="1"/>
  <c r="B319" i="1" s="1"/>
  <c r="V319" i="1"/>
  <c r="U319" i="1"/>
  <c r="P319" i="1"/>
  <c r="O319" i="1"/>
  <c r="W318" i="1"/>
  <c r="V318" i="1"/>
  <c r="U318" i="1"/>
  <c r="S318" i="1"/>
  <c r="P318" i="1"/>
  <c r="O318" i="1"/>
  <c r="M318" i="1"/>
  <c r="L318" i="1"/>
  <c r="K318" i="1"/>
  <c r="J318" i="1"/>
  <c r="I318" i="1"/>
  <c r="H318" i="1" a="1"/>
  <c r="H318" i="1" s="1"/>
  <c r="G318" i="1" a="1"/>
  <c r="G318" i="1" s="1"/>
  <c r="F318" i="1" a="1"/>
  <c r="F318" i="1" s="1"/>
  <c r="E318" i="1" a="1"/>
  <c r="E318" i="1"/>
  <c r="C318" i="1" a="1"/>
  <c r="C318" i="1"/>
  <c r="B318" i="1" a="1"/>
  <c r="B318" i="1" s="1"/>
  <c r="W317" i="1"/>
  <c r="S317" i="1" s="1"/>
  <c r="V317" i="1"/>
  <c r="U317" i="1"/>
  <c r="M317" i="1"/>
  <c r="L317" i="1"/>
  <c r="K317" i="1"/>
  <c r="I317" i="1"/>
  <c r="H317" i="1" a="1"/>
  <c r="H317" i="1"/>
  <c r="G317" i="1" a="1"/>
  <c r="G317" i="1" s="1"/>
  <c r="F317" i="1" a="1"/>
  <c r="F317" i="1"/>
  <c r="C317" i="1" a="1"/>
  <c r="C317" i="1" s="1"/>
  <c r="W316" i="1"/>
  <c r="V316" i="1"/>
  <c r="U316" i="1"/>
  <c r="S316" i="1"/>
  <c r="P316" i="1"/>
  <c r="O316" i="1"/>
  <c r="M316" i="1"/>
  <c r="L316" i="1"/>
  <c r="K316" i="1"/>
  <c r="J316" i="1"/>
  <c r="I316" i="1"/>
  <c r="H316" i="1" a="1"/>
  <c r="H316" i="1"/>
  <c r="G316" i="1" a="1"/>
  <c r="G316" i="1" s="1"/>
  <c r="F316" i="1" a="1"/>
  <c r="F316" i="1"/>
  <c r="E316" i="1" a="1"/>
  <c r="E316" i="1" s="1"/>
  <c r="C316" i="1" a="1"/>
  <c r="C316" i="1"/>
  <c r="B316" i="1" a="1"/>
  <c r="B316" i="1"/>
  <c r="W315" i="1"/>
  <c r="P315" i="1" s="1"/>
  <c r="V315" i="1"/>
  <c r="U315" i="1"/>
  <c r="W314" i="1"/>
  <c r="P314" i="1" s="1"/>
  <c r="V314" i="1"/>
  <c r="U314" i="1"/>
  <c r="S314" i="1"/>
  <c r="O314" i="1"/>
  <c r="M314" i="1"/>
  <c r="L314" i="1"/>
  <c r="K314" i="1"/>
  <c r="J314" i="1"/>
  <c r="I314" i="1"/>
  <c r="H314" i="1" a="1"/>
  <c r="H314" i="1"/>
  <c r="G314" i="1" a="1"/>
  <c r="G314" i="1"/>
  <c r="F314" i="1" a="1"/>
  <c r="F314" i="1" s="1"/>
  <c r="E314" i="1" a="1"/>
  <c r="E314" i="1"/>
  <c r="C314" i="1" a="1"/>
  <c r="C314" i="1" s="1"/>
  <c r="B314" i="1" a="1"/>
  <c r="B314" i="1"/>
  <c r="W313" i="1"/>
  <c r="V313" i="1"/>
  <c r="U313" i="1"/>
  <c r="S313" i="1"/>
  <c r="P313" i="1"/>
  <c r="O313" i="1"/>
  <c r="M313" i="1"/>
  <c r="L313" i="1"/>
  <c r="K313" i="1"/>
  <c r="I313" i="1"/>
  <c r="H313" i="1" a="1"/>
  <c r="H313" i="1"/>
  <c r="F313" i="1" a="1"/>
  <c r="F313" i="1"/>
  <c r="E313" i="1" a="1"/>
  <c r="E313" i="1" s="1"/>
  <c r="C313" i="1" a="1"/>
  <c r="C313" i="1" s="1"/>
  <c r="B313" i="1" a="1"/>
  <c r="B313" i="1"/>
  <c r="W312" i="1"/>
  <c r="V312" i="1"/>
  <c r="U312" i="1"/>
  <c r="S312" i="1"/>
  <c r="P312" i="1"/>
  <c r="O312" i="1"/>
  <c r="L312" i="1"/>
  <c r="K312" i="1"/>
  <c r="E312" i="1" a="1"/>
  <c r="E312" i="1" s="1"/>
  <c r="C312" i="1" a="1"/>
  <c r="C312" i="1"/>
  <c r="W311" i="1"/>
  <c r="V311" i="1"/>
  <c r="U311" i="1"/>
  <c r="S311" i="1"/>
  <c r="G311" i="1" a="1"/>
  <c r="G311" i="1"/>
  <c r="E311" i="1" a="1"/>
  <c r="E311" i="1"/>
  <c r="C311" i="1" a="1"/>
  <c r="C311" i="1"/>
  <c r="B311" i="1" a="1"/>
  <c r="B311" i="1" s="1"/>
  <c r="W310" i="1"/>
  <c r="B310" i="1" s="1" a="1"/>
  <c r="B310" i="1" s="1"/>
  <c r="V310" i="1"/>
  <c r="U310" i="1"/>
  <c r="M310" i="1"/>
  <c r="L310" i="1"/>
  <c r="J310" i="1"/>
  <c r="I310" i="1"/>
  <c r="H310" i="1" a="1"/>
  <c r="H310" i="1" s="1"/>
  <c r="G310" i="1" a="1"/>
  <c r="G310" i="1"/>
  <c r="F310" i="1" a="1"/>
  <c r="F310" i="1"/>
  <c r="C310" i="1" a="1"/>
  <c r="C310" i="1" s="1"/>
  <c r="W309" i="1"/>
  <c r="V309" i="1"/>
  <c r="U309" i="1"/>
  <c r="S309" i="1"/>
  <c r="P309" i="1"/>
  <c r="O309" i="1"/>
  <c r="M309" i="1"/>
  <c r="L309" i="1"/>
  <c r="K309" i="1"/>
  <c r="J309" i="1"/>
  <c r="I309" i="1"/>
  <c r="H309" i="1" a="1"/>
  <c r="H309" i="1"/>
  <c r="F309" i="1" a="1"/>
  <c r="F309" i="1"/>
  <c r="C309" i="1" a="1"/>
  <c r="C309" i="1"/>
  <c r="B309" i="1" a="1"/>
  <c r="B309" i="1"/>
  <c r="W308" i="1"/>
  <c r="V308" i="1"/>
  <c r="U308" i="1"/>
  <c r="W307" i="1"/>
  <c r="V307" i="1"/>
  <c r="U307" i="1"/>
  <c r="I307" i="1"/>
  <c r="W306" i="1"/>
  <c r="K306" i="1" s="1"/>
  <c r="V306" i="1"/>
  <c r="U306" i="1"/>
  <c r="P306" i="1"/>
  <c r="O306" i="1"/>
  <c r="M306" i="1"/>
  <c r="L306" i="1"/>
  <c r="J306" i="1"/>
  <c r="I306" i="1"/>
  <c r="H306" i="1" a="1"/>
  <c r="H306" i="1" s="1"/>
  <c r="G306" i="1" a="1"/>
  <c r="G306" i="1" s="1"/>
  <c r="F306" i="1" a="1"/>
  <c r="F306" i="1" s="1"/>
  <c r="W305" i="1"/>
  <c r="V305" i="1"/>
  <c r="U305" i="1"/>
  <c r="S305" i="1"/>
  <c r="P305" i="1"/>
  <c r="M305" i="1"/>
  <c r="L305" i="1"/>
  <c r="K305" i="1"/>
  <c r="J305" i="1"/>
  <c r="C305" i="1" a="1"/>
  <c r="C305" i="1" s="1"/>
  <c r="W304" i="1"/>
  <c r="P304" i="1" s="1"/>
  <c r="V304" i="1"/>
  <c r="U304" i="1"/>
  <c r="S304" i="1"/>
  <c r="G304" i="1" a="1"/>
  <c r="G304" i="1" s="1"/>
  <c r="F304" i="1" a="1"/>
  <c r="F304" i="1"/>
  <c r="E304" i="1" a="1"/>
  <c r="E304" i="1"/>
  <c r="C304" i="1" a="1"/>
  <c r="C304" i="1"/>
  <c r="B304" i="1" a="1"/>
  <c r="B304" i="1"/>
  <c r="W303" i="1"/>
  <c r="P303" i="1" s="1"/>
  <c r="V303" i="1"/>
  <c r="U303" i="1"/>
  <c r="K303" i="1"/>
  <c r="J303" i="1"/>
  <c r="I303" i="1"/>
  <c r="H303" i="1" a="1"/>
  <c r="H303" i="1"/>
  <c r="G303" i="1" a="1"/>
  <c r="G303" i="1"/>
  <c r="F303" i="1" a="1"/>
  <c r="F303" i="1"/>
  <c r="E303" i="1" a="1"/>
  <c r="E303" i="1" s="1"/>
  <c r="B303" i="1" a="1"/>
  <c r="B303" i="1" s="1"/>
  <c r="W302" i="1"/>
  <c r="V302" i="1"/>
  <c r="U302" i="1"/>
  <c r="S302" i="1"/>
  <c r="P302" i="1"/>
  <c r="O302" i="1"/>
  <c r="M302" i="1"/>
  <c r="L302" i="1"/>
  <c r="K302" i="1"/>
  <c r="J302" i="1"/>
  <c r="I302" i="1"/>
  <c r="H302" i="1" a="1"/>
  <c r="H302" i="1" s="1"/>
  <c r="G302" i="1" a="1"/>
  <c r="G302" i="1"/>
  <c r="F302" i="1" a="1"/>
  <c r="F302" i="1" s="1"/>
  <c r="E302" i="1" a="1"/>
  <c r="E302" i="1"/>
  <c r="C302" i="1" a="1"/>
  <c r="C302" i="1"/>
  <c r="B302" i="1" a="1"/>
  <c r="B302" i="1"/>
  <c r="W301" i="1"/>
  <c r="S301" i="1" s="1"/>
  <c r="V301" i="1"/>
  <c r="U301" i="1"/>
  <c r="P301" i="1"/>
  <c r="M301" i="1"/>
  <c r="L301" i="1"/>
  <c r="E301" i="1" a="1"/>
  <c r="E301" i="1"/>
  <c r="C301" i="1" a="1"/>
  <c r="C301" i="1"/>
  <c r="W300" i="1"/>
  <c r="V300" i="1"/>
  <c r="U300" i="1"/>
  <c r="I300" i="1"/>
  <c r="H300" i="1" a="1"/>
  <c r="H300" i="1" s="1"/>
  <c r="G300" i="1" a="1"/>
  <c r="G300" i="1" s="1"/>
  <c r="F300" i="1" a="1"/>
  <c r="F300" i="1"/>
  <c r="E300" i="1" a="1"/>
  <c r="E300" i="1" s="1"/>
  <c r="C300" i="1" a="1"/>
  <c r="C300" i="1"/>
  <c r="W299" i="1"/>
  <c r="C299" i="1" s="1" a="1"/>
  <c r="C299" i="1" s="1"/>
  <c r="V299" i="1"/>
  <c r="U299" i="1"/>
  <c r="P299" i="1"/>
  <c r="O299" i="1"/>
  <c r="M299" i="1"/>
  <c r="K299" i="1"/>
  <c r="J299" i="1"/>
  <c r="I299" i="1"/>
  <c r="G299" i="1" a="1"/>
  <c r="G299" i="1"/>
  <c r="F299" i="1" a="1"/>
  <c r="F299" i="1" s="1"/>
  <c r="W298" i="1"/>
  <c r="V298" i="1"/>
  <c r="U298" i="1"/>
  <c r="S298" i="1"/>
  <c r="P298" i="1"/>
  <c r="O298" i="1"/>
  <c r="M298" i="1"/>
  <c r="L298" i="1"/>
  <c r="K298" i="1"/>
  <c r="J298" i="1"/>
  <c r="I298" i="1"/>
  <c r="H298" i="1" a="1"/>
  <c r="H298" i="1" s="1"/>
  <c r="G298" i="1" a="1"/>
  <c r="G298" i="1" s="1"/>
  <c r="F298" i="1" a="1"/>
  <c r="F298" i="1" s="1"/>
  <c r="E298" i="1" a="1"/>
  <c r="E298" i="1"/>
  <c r="C298" i="1" a="1"/>
  <c r="C298" i="1" s="1"/>
  <c r="B298" i="1" a="1"/>
  <c r="B298" i="1"/>
  <c r="W297" i="1"/>
  <c r="B297" i="1" s="1" a="1"/>
  <c r="B297" i="1" s="1"/>
  <c r="V297" i="1"/>
  <c r="U297" i="1"/>
  <c r="S297" i="1"/>
  <c r="W296" i="1"/>
  <c r="M296" i="1" s="1"/>
  <c r="V296" i="1"/>
  <c r="U296" i="1"/>
  <c r="O296" i="1"/>
  <c r="L296" i="1"/>
  <c r="K296" i="1"/>
  <c r="J296" i="1"/>
  <c r="I296" i="1"/>
  <c r="H296" i="1" a="1"/>
  <c r="H296" i="1"/>
  <c r="G296" i="1" a="1"/>
  <c r="G296" i="1"/>
  <c r="F296" i="1" a="1"/>
  <c r="F296" i="1" s="1"/>
  <c r="E296" i="1" a="1"/>
  <c r="E296" i="1" s="1"/>
  <c r="C296" i="1" a="1"/>
  <c r="C296" i="1" s="1"/>
  <c r="W295" i="1"/>
  <c r="V295" i="1"/>
  <c r="U295" i="1"/>
  <c r="S295" i="1"/>
  <c r="P295" i="1"/>
  <c r="O295" i="1"/>
  <c r="M295" i="1"/>
  <c r="L295" i="1"/>
  <c r="K295" i="1"/>
  <c r="J295" i="1"/>
  <c r="I295" i="1"/>
  <c r="G295" i="1" a="1"/>
  <c r="G295" i="1"/>
  <c r="E295" i="1" a="1"/>
  <c r="E295" i="1" s="1"/>
  <c r="C295" i="1" a="1"/>
  <c r="C295" i="1"/>
  <c r="B295" i="1" a="1"/>
  <c r="B295" i="1"/>
  <c r="W294" i="1"/>
  <c r="B294" i="1" s="1" a="1"/>
  <c r="B294" i="1" s="1"/>
  <c r="V294" i="1"/>
  <c r="U294" i="1"/>
  <c r="S294" i="1"/>
  <c r="O294" i="1"/>
  <c r="M294" i="1"/>
  <c r="W293" i="1"/>
  <c r="V293" i="1"/>
  <c r="U293" i="1"/>
  <c r="J293" i="1"/>
  <c r="I293" i="1"/>
  <c r="H293" i="1" a="1"/>
  <c r="H293" i="1"/>
  <c r="F293" i="1" a="1"/>
  <c r="F293" i="1" s="1"/>
  <c r="W292" i="1"/>
  <c r="V292" i="1"/>
  <c r="U292" i="1"/>
  <c r="S292" i="1"/>
  <c r="P292" i="1"/>
  <c r="O292" i="1"/>
  <c r="L292" i="1"/>
  <c r="K292" i="1"/>
  <c r="J292" i="1"/>
  <c r="H292" i="1" a="1"/>
  <c r="H292" i="1"/>
  <c r="G292" i="1" a="1"/>
  <c r="G292" i="1"/>
  <c r="F292" i="1" a="1"/>
  <c r="F292" i="1"/>
  <c r="E292" i="1" a="1"/>
  <c r="E292" i="1" s="1"/>
  <c r="C292" i="1" a="1"/>
  <c r="C292" i="1" s="1"/>
  <c r="B292" i="1" a="1"/>
  <c r="B292" i="1" s="1"/>
  <c r="W291" i="1"/>
  <c r="V291" i="1"/>
  <c r="U291" i="1"/>
  <c r="P291" i="1"/>
  <c r="O291" i="1"/>
  <c r="M291" i="1"/>
  <c r="L291" i="1"/>
  <c r="K291" i="1"/>
  <c r="J291" i="1"/>
  <c r="W290" i="1"/>
  <c r="P290" i="1" s="1"/>
  <c r="V290" i="1"/>
  <c r="U290" i="1"/>
  <c r="S290" i="1"/>
  <c r="F290" i="1" a="1"/>
  <c r="F290" i="1"/>
  <c r="E290" i="1" a="1"/>
  <c r="E290" i="1"/>
  <c r="C290" i="1" a="1"/>
  <c r="C290" i="1"/>
  <c r="B290" i="1" a="1"/>
  <c r="B290" i="1"/>
  <c r="W289" i="1"/>
  <c r="S289" i="1" s="1"/>
  <c r="V289" i="1"/>
  <c r="U289" i="1"/>
  <c r="L289" i="1"/>
  <c r="K289" i="1"/>
  <c r="J289" i="1"/>
  <c r="I289" i="1"/>
  <c r="H289" i="1" a="1"/>
  <c r="H289" i="1"/>
  <c r="G289" i="1" a="1"/>
  <c r="G289" i="1"/>
  <c r="F289" i="1" a="1"/>
  <c r="F289" i="1"/>
  <c r="C289" i="1" a="1"/>
  <c r="C289" i="1"/>
  <c r="W288" i="1"/>
  <c r="I288" i="1" s="1"/>
  <c r="V288" i="1"/>
  <c r="U288" i="1"/>
  <c r="S288" i="1"/>
  <c r="P288" i="1"/>
  <c r="O288" i="1"/>
  <c r="M288" i="1"/>
  <c r="L288" i="1"/>
  <c r="K288" i="1"/>
  <c r="J288" i="1"/>
  <c r="H288" i="1" a="1"/>
  <c r="H288" i="1"/>
  <c r="F288" i="1" a="1"/>
  <c r="F288" i="1"/>
  <c r="B288" i="1" a="1"/>
  <c r="B288" i="1"/>
  <c r="W287" i="1"/>
  <c r="V287" i="1"/>
  <c r="U287" i="1"/>
  <c r="W286" i="1"/>
  <c r="V286" i="1"/>
  <c r="U286" i="1"/>
  <c r="S286" i="1"/>
  <c r="P286" i="1"/>
  <c r="O286" i="1"/>
  <c r="M286" i="1"/>
  <c r="L286" i="1"/>
  <c r="K286" i="1"/>
  <c r="J286" i="1"/>
  <c r="I286" i="1"/>
  <c r="H286" i="1" a="1"/>
  <c r="H286" i="1" s="1"/>
  <c r="G286" i="1" a="1"/>
  <c r="G286" i="1"/>
  <c r="F286" i="1" a="1"/>
  <c r="F286" i="1" s="1"/>
  <c r="E286" i="1" a="1"/>
  <c r="E286" i="1"/>
  <c r="C286" i="1" a="1"/>
  <c r="C286" i="1"/>
  <c r="B286" i="1" a="1"/>
  <c r="B286" i="1"/>
  <c r="W285" i="1"/>
  <c r="C285" i="1" s="1" a="1"/>
  <c r="C285" i="1" s="1"/>
  <c r="V285" i="1"/>
  <c r="U285" i="1"/>
  <c r="P285" i="1"/>
  <c r="M285" i="1"/>
  <c r="L285" i="1"/>
  <c r="K285" i="1"/>
  <c r="I285" i="1"/>
  <c r="H285" i="1" a="1"/>
  <c r="H285" i="1"/>
  <c r="G285" i="1" a="1"/>
  <c r="G285" i="1"/>
  <c r="F285" i="1" a="1"/>
  <c r="F285" i="1" s="1"/>
  <c r="W284" i="1"/>
  <c r="I284" i="1" s="1"/>
  <c r="V284" i="1"/>
  <c r="U284" i="1"/>
  <c r="S284" i="1"/>
  <c r="P284" i="1"/>
  <c r="O284" i="1"/>
  <c r="M284" i="1"/>
  <c r="L284" i="1"/>
  <c r="K284" i="1"/>
  <c r="J284" i="1"/>
  <c r="E284" i="1" a="1"/>
  <c r="E284" i="1" s="1"/>
  <c r="C284" i="1" a="1"/>
  <c r="C284" i="1"/>
  <c r="B284" i="1" a="1"/>
  <c r="B284" i="1"/>
  <c r="W283" i="1"/>
  <c r="V283" i="1"/>
  <c r="U283" i="1"/>
  <c r="W282" i="1"/>
  <c r="V282" i="1"/>
  <c r="U282" i="1"/>
  <c r="S282" i="1"/>
  <c r="P282" i="1"/>
  <c r="O282" i="1"/>
  <c r="M282" i="1"/>
  <c r="L282" i="1"/>
  <c r="K282" i="1"/>
  <c r="J282" i="1"/>
  <c r="I282" i="1"/>
  <c r="H282" i="1" a="1"/>
  <c r="H282" i="1"/>
  <c r="G282" i="1" a="1"/>
  <c r="G282" i="1"/>
  <c r="F282" i="1" a="1"/>
  <c r="F282" i="1" s="1"/>
  <c r="E282" i="1" a="1"/>
  <c r="E282" i="1"/>
  <c r="C282" i="1" a="1"/>
  <c r="C282" i="1" s="1"/>
  <c r="B282" i="1" a="1"/>
  <c r="B282" i="1"/>
  <c r="W281" i="1"/>
  <c r="V281" i="1"/>
  <c r="U281" i="1"/>
  <c r="S281" i="1"/>
  <c r="P281" i="1"/>
  <c r="O281" i="1"/>
  <c r="M281" i="1"/>
  <c r="L281" i="1"/>
  <c r="K281" i="1"/>
  <c r="I281" i="1"/>
  <c r="H281" i="1" a="1"/>
  <c r="H281" i="1" s="1"/>
  <c r="F281" i="1" a="1"/>
  <c r="F281" i="1" s="1"/>
  <c r="E281" i="1" a="1"/>
  <c r="E281" i="1" s="1"/>
  <c r="C281" i="1" a="1"/>
  <c r="C281" i="1"/>
  <c r="B281" i="1" a="1"/>
  <c r="B281" i="1" s="1"/>
  <c r="W280" i="1"/>
  <c r="O280" i="1" s="1"/>
  <c r="V280" i="1"/>
  <c r="U280" i="1"/>
  <c r="S280" i="1"/>
  <c r="P280" i="1"/>
  <c r="F280" i="1" a="1"/>
  <c r="F280" i="1"/>
  <c r="E280" i="1" a="1"/>
  <c r="E280" i="1" s="1"/>
  <c r="C280" i="1" a="1"/>
  <c r="C280" i="1"/>
  <c r="B280" i="1" a="1"/>
  <c r="B280" i="1" s="1"/>
  <c r="W279" i="1"/>
  <c r="V279" i="1"/>
  <c r="U279" i="1"/>
  <c r="W278" i="1"/>
  <c r="B278" i="1" s="1" a="1"/>
  <c r="B278" i="1" s="1"/>
  <c r="V278" i="1"/>
  <c r="U278" i="1"/>
  <c r="S278" i="1"/>
  <c r="O278" i="1"/>
  <c r="M278" i="1"/>
  <c r="L278" i="1"/>
  <c r="J278" i="1"/>
  <c r="I278" i="1"/>
  <c r="H278" i="1" a="1"/>
  <c r="H278" i="1"/>
  <c r="G278" i="1" a="1"/>
  <c r="G278" i="1" s="1"/>
  <c r="F278" i="1" a="1"/>
  <c r="F278" i="1"/>
  <c r="E278" i="1" a="1"/>
  <c r="E278" i="1" s="1"/>
  <c r="C278" i="1" a="1"/>
  <c r="C278" i="1" s="1"/>
  <c r="W277" i="1"/>
  <c r="C277" i="1" s="1" a="1"/>
  <c r="C277" i="1" s="1"/>
  <c r="V277" i="1"/>
  <c r="U277" i="1"/>
  <c r="S277" i="1"/>
  <c r="P277" i="1"/>
  <c r="W276" i="1"/>
  <c r="E276" i="1" s="1" a="1"/>
  <c r="E276" i="1" s="1"/>
  <c r="V276" i="1"/>
  <c r="U276" i="1"/>
  <c r="S276" i="1"/>
  <c r="G276" i="1" a="1"/>
  <c r="G276" i="1"/>
  <c r="F276" i="1" a="1"/>
  <c r="F276" i="1" s="1"/>
  <c r="W275" i="1"/>
  <c r="P275" i="1" s="1"/>
  <c r="V275" i="1"/>
  <c r="U275" i="1"/>
  <c r="L275" i="1"/>
  <c r="K275" i="1"/>
  <c r="J275" i="1"/>
  <c r="I275" i="1"/>
  <c r="H275" i="1" a="1"/>
  <c r="H275" i="1"/>
  <c r="G275" i="1" a="1"/>
  <c r="G275" i="1" s="1"/>
  <c r="E275" i="1" a="1"/>
  <c r="E275" i="1" s="1"/>
  <c r="B275" i="1" a="1"/>
  <c r="B275" i="1" s="1"/>
  <c r="W274" i="1"/>
  <c r="K274" i="1" s="1"/>
  <c r="V274" i="1"/>
  <c r="U274" i="1"/>
  <c r="S274" i="1"/>
  <c r="P274" i="1"/>
  <c r="O274" i="1"/>
  <c r="M274" i="1"/>
  <c r="L274" i="1"/>
  <c r="J274" i="1"/>
  <c r="I274" i="1"/>
  <c r="H274" i="1" a="1"/>
  <c r="H274" i="1" s="1"/>
  <c r="G274" i="1" a="1"/>
  <c r="G274" i="1" s="1"/>
  <c r="F274" i="1" a="1"/>
  <c r="F274" i="1"/>
  <c r="B274" i="1" a="1"/>
  <c r="B274" i="1" s="1"/>
  <c r="W273" i="1"/>
  <c r="V273" i="1"/>
  <c r="U273" i="1"/>
  <c r="S273" i="1"/>
  <c r="P273" i="1"/>
  <c r="M273" i="1"/>
  <c r="L273" i="1"/>
  <c r="F273" i="1" a="1"/>
  <c r="F273" i="1"/>
  <c r="C273" i="1" a="1"/>
  <c r="C273" i="1"/>
  <c r="W272" i="1"/>
  <c r="G272" i="1" s="1" a="1"/>
  <c r="G272" i="1" s="1"/>
  <c r="V272" i="1"/>
  <c r="U272" i="1"/>
  <c r="H272" i="1" a="1"/>
  <c r="H272" i="1" s="1"/>
  <c r="F272" i="1" a="1"/>
  <c r="F272" i="1"/>
  <c r="E272" i="1" a="1"/>
  <c r="E272" i="1"/>
  <c r="C272" i="1" a="1"/>
  <c r="C272" i="1"/>
  <c r="W271" i="1"/>
  <c r="B271" i="1" s="1" a="1"/>
  <c r="B271" i="1" s="1"/>
  <c r="V271" i="1"/>
  <c r="U271" i="1"/>
  <c r="O271" i="1"/>
  <c r="M271" i="1"/>
  <c r="K271" i="1"/>
  <c r="J271" i="1"/>
  <c r="I271" i="1"/>
  <c r="H271" i="1" a="1"/>
  <c r="H271" i="1" s="1"/>
  <c r="G271" i="1" a="1"/>
  <c r="G271" i="1"/>
  <c r="F271" i="1" a="1"/>
  <c r="F271" i="1" s="1"/>
  <c r="W270" i="1"/>
  <c r="V270" i="1"/>
  <c r="U270" i="1"/>
  <c r="S270" i="1"/>
  <c r="P270" i="1"/>
  <c r="O270" i="1"/>
  <c r="M270" i="1"/>
  <c r="L270" i="1"/>
  <c r="K270" i="1"/>
  <c r="J270" i="1"/>
  <c r="I270" i="1"/>
  <c r="H270" i="1" a="1"/>
  <c r="H270" i="1" s="1"/>
  <c r="G270" i="1" a="1"/>
  <c r="G270" i="1" s="1"/>
  <c r="F270" i="1" a="1"/>
  <c r="F270" i="1" s="1"/>
  <c r="E270" i="1" a="1"/>
  <c r="E270" i="1"/>
  <c r="C270" i="1" a="1"/>
  <c r="C270" i="1"/>
  <c r="B270" i="1" a="1"/>
  <c r="B270" i="1"/>
  <c r="W269" i="1"/>
  <c r="E269" i="1" s="1" a="1"/>
  <c r="E269" i="1" s="1"/>
  <c r="V269" i="1"/>
  <c r="U269" i="1"/>
  <c r="W268" i="1"/>
  <c r="G268" i="1" s="1" a="1"/>
  <c r="G268" i="1" s="1"/>
  <c r="V268" i="1"/>
  <c r="U268" i="1"/>
  <c r="K268" i="1"/>
  <c r="J268" i="1"/>
  <c r="W267" i="1"/>
  <c r="C267" i="1" s="1" a="1"/>
  <c r="C267" i="1" s="1"/>
  <c r="V267" i="1"/>
  <c r="U267" i="1"/>
  <c r="S267" i="1"/>
  <c r="P267" i="1"/>
  <c r="O267" i="1"/>
  <c r="M267" i="1"/>
  <c r="K267" i="1"/>
  <c r="J267" i="1"/>
  <c r="I267" i="1"/>
  <c r="G267" i="1" a="1"/>
  <c r="G267" i="1" s="1"/>
  <c r="F267" i="1" a="1"/>
  <c r="F267" i="1"/>
  <c r="B267" i="1" a="1"/>
  <c r="B267" i="1" s="1"/>
  <c r="W266" i="1"/>
  <c r="P266" i="1" s="1"/>
  <c r="V266" i="1"/>
  <c r="U266" i="1"/>
  <c r="S266" i="1"/>
  <c r="O266" i="1"/>
  <c r="M266" i="1"/>
  <c r="L266" i="1"/>
  <c r="K266" i="1"/>
  <c r="J266" i="1"/>
  <c r="I266" i="1"/>
  <c r="H266" i="1" a="1"/>
  <c r="H266" i="1"/>
  <c r="G266" i="1" a="1"/>
  <c r="G266" i="1"/>
  <c r="F266" i="1" a="1"/>
  <c r="F266" i="1" s="1"/>
  <c r="E266" i="1" a="1"/>
  <c r="E266" i="1"/>
  <c r="C266" i="1" a="1"/>
  <c r="C266" i="1" s="1"/>
  <c r="B266" i="1" a="1"/>
  <c r="B266" i="1"/>
  <c r="W265" i="1"/>
  <c r="F265" i="1" s="1" a="1"/>
  <c r="F265" i="1" s="1"/>
  <c r="V265" i="1"/>
  <c r="U265" i="1"/>
  <c r="H265" i="1" a="1"/>
  <c r="H265" i="1"/>
  <c r="W264" i="1"/>
  <c r="M264" i="1" s="1"/>
  <c r="V264" i="1"/>
  <c r="U264" i="1"/>
  <c r="P264" i="1"/>
  <c r="O264" i="1"/>
  <c r="L264" i="1"/>
  <c r="K264" i="1"/>
  <c r="J264" i="1"/>
  <c r="I264" i="1"/>
  <c r="H264" i="1" a="1"/>
  <c r="H264" i="1"/>
  <c r="G264" i="1" a="1"/>
  <c r="G264" i="1" s="1"/>
  <c r="E264" i="1" a="1"/>
  <c r="E264" i="1" s="1"/>
  <c r="W263" i="1"/>
  <c r="V263" i="1"/>
  <c r="U263" i="1"/>
  <c r="S263" i="1"/>
  <c r="P263" i="1"/>
  <c r="O263" i="1"/>
  <c r="M263" i="1"/>
  <c r="L263" i="1"/>
  <c r="K263" i="1"/>
  <c r="J263" i="1"/>
  <c r="C263" i="1" a="1"/>
  <c r="C263" i="1" s="1"/>
  <c r="B263" i="1" a="1"/>
  <c r="B263" i="1"/>
  <c r="W262" i="1"/>
  <c r="S262" i="1" s="1"/>
  <c r="V262" i="1"/>
  <c r="U262" i="1"/>
  <c r="O262" i="1"/>
  <c r="F262" i="1" a="1"/>
  <c r="F262" i="1"/>
  <c r="E262" i="1" a="1"/>
  <c r="E262" i="1"/>
  <c r="C262" i="1" a="1"/>
  <c r="C262" i="1" s="1"/>
  <c r="B262" i="1" a="1"/>
  <c r="B262" i="1"/>
  <c r="W261" i="1"/>
  <c r="V261" i="1"/>
  <c r="U261" i="1"/>
  <c r="K261" i="1"/>
  <c r="J261" i="1"/>
  <c r="I261" i="1"/>
  <c r="H261" i="1" a="1"/>
  <c r="H261" i="1"/>
  <c r="F261" i="1" a="1"/>
  <c r="F261" i="1"/>
  <c r="W260" i="1"/>
  <c r="C260" i="1" s="1" a="1"/>
  <c r="C260" i="1" s="1"/>
  <c r="V260" i="1"/>
  <c r="U260" i="1"/>
  <c r="S260" i="1"/>
  <c r="P260" i="1"/>
  <c r="O260" i="1"/>
  <c r="L260" i="1"/>
  <c r="K260" i="1"/>
  <c r="J260" i="1"/>
  <c r="H260" i="1" a="1"/>
  <c r="H260" i="1" s="1"/>
  <c r="G260" i="1" a="1"/>
  <c r="G260" i="1" s="1"/>
  <c r="F260" i="1" a="1"/>
  <c r="F260" i="1"/>
  <c r="B260" i="1" a="1"/>
  <c r="B260" i="1" s="1"/>
  <c r="W259" i="1"/>
  <c r="L259" i="1" s="1"/>
  <c r="V259" i="1"/>
  <c r="U259" i="1"/>
  <c r="P259" i="1"/>
  <c r="O259" i="1"/>
  <c r="W258" i="1"/>
  <c r="V258" i="1"/>
  <c r="U258" i="1"/>
  <c r="S258" i="1"/>
  <c r="G258" i="1" a="1"/>
  <c r="G258" i="1"/>
  <c r="F258" i="1" a="1"/>
  <c r="F258" i="1"/>
  <c r="W257" i="1"/>
  <c r="S257" i="1" s="1"/>
  <c r="V257" i="1"/>
  <c r="U257" i="1"/>
  <c r="M257" i="1"/>
  <c r="L257" i="1"/>
  <c r="K257" i="1"/>
  <c r="J257" i="1"/>
  <c r="I257" i="1"/>
  <c r="H257" i="1" a="1"/>
  <c r="H257" i="1"/>
  <c r="G257" i="1" a="1"/>
  <c r="G257" i="1" s="1"/>
  <c r="F257" i="1" a="1"/>
  <c r="F257" i="1" s="1"/>
  <c r="C257" i="1" a="1"/>
  <c r="C257" i="1" s="1"/>
  <c r="W256" i="1"/>
  <c r="I256" i="1" s="1"/>
  <c r="V256" i="1"/>
  <c r="U256" i="1"/>
  <c r="S256" i="1"/>
  <c r="P256" i="1"/>
  <c r="O256" i="1"/>
  <c r="M256" i="1"/>
  <c r="L256" i="1"/>
  <c r="K256" i="1"/>
  <c r="J256" i="1"/>
  <c r="H256" i="1" a="1"/>
  <c r="H256" i="1" s="1"/>
  <c r="G256" i="1" a="1"/>
  <c r="G256" i="1" s="1"/>
  <c r="F256" i="1" a="1"/>
  <c r="F256" i="1" s="1"/>
  <c r="E256" i="1" a="1"/>
  <c r="E256" i="1" s="1"/>
  <c r="C256" i="1" a="1"/>
  <c r="C256" i="1"/>
  <c r="B256" i="1" a="1"/>
  <c r="B256" i="1"/>
  <c r="W255" i="1"/>
  <c r="V255" i="1"/>
  <c r="U255" i="1"/>
  <c r="P255" i="1"/>
  <c r="O255" i="1"/>
  <c r="M255" i="1"/>
  <c r="F255" i="1" a="1"/>
  <c r="F255" i="1"/>
  <c r="E255" i="1" a="1"/>
  <c r="E255" i="1"/>
  <c r="W254" i="1"/>
  <c r="V254" i="1"/>
  <c r="U254" i="1"/>
  <c r="S254" i="1"/>
  <c r="P254" i="1"/>
  <c r="O254" i="1"/>
  <c r="M254" i="1"/>
  <c r="L254" i="1"/>
  <c r="K254" i="1"/>
  <c r="J254" i="1"/>
  <c r="I254" i="1"/>
  <c r="H254" i="1" a="1"/>
  <c r="H254" i="1" s="1"/>
  <c r="G254" i="1" a="1"/>
  <c r="G254" i="1"/>
  <c r="F254" i="1" a="1"/>
  <c r="F254" i="1" s="1"/>
  <c r="E254" i="1" a="1"/>
  <c r="E254" i="1"/>
  <c r="C254" i="1" a="1"/>
  <c r="C254" i="1" s="1"/>
  <c r="B254" i="1" a="1"/>
  <c r="B254" i="1"/>
  <c r="W253" i="1"/>
  <c r="V253" i="1"/>
  <c r="U253" i="1"/>
  <c r="S253" i="1"/>
  <c r="P253" i="1"/>
  <c r="M253" i="1"/>
  <c r="L253" i="1"/>
  <c r="K253" i="1"/>
  <c r="I253" i="1"/>
  <c r="H253" i="1" a="1"/>
  <c r="H253" i="1" s="1"/>
  <c r="G253" i="1" a="1"/>
  <c r="G253" i="1"/>
  <c r="F253" i="1" a="1"/>
  <c r="F253" i="1"/>
  <c r="E253" i="1" a="1"/>
  <c r="E253" i="1" s="1"/>
  <c r="C253" i="1" a="1"/>
  <c r="C253" i="1"/>
  <c r="W252" i="1"/>
  <c r="V252" i="1"/>
  <c r="U252" i="1"/>
  <c r="S252" i="1"/>
  <c r="P252" i="1"/>
  <c r="O252" i="1"/>
  <c r="M252" i="1"/>
  <c r="L252" i="1"/>
  <c r="W251" i="1"/>
  <c r="V251" i="1"/>
  <c r="U251" i="1"/>
  <c r="S251" i="1"/>
  <c r="G251" i="1" a="1"/>
  <c r="G251" i="1"/>
  <c r="F251" i="1" a="1"/>
  <c r="F251" i="1"/>
  <c r="E251" i="1" a="1"/>
  <c r="E251" i="1"/>
  <c r="B251" i="1" a="1"/>
  <c r="B251" i="1" s="1"/>
  <c r="W250" i="1"/>
  <c r="V250" i="1"/>
  <c r="U250" i="1"/>
  <c r="S250" i="1"/>
  <c r="P250" i="1"/>
  <c r="O250" i="1"/>
  <c r="M250" i="1"/>
  <c r="L250" i="1"/>
  <c r="K250" i="1"/>
  <c r="J250" i="1"/>
  <c r="I250" i="1"/>
  <c r="H250" i="1" a="1"/>
  <c r="H250" i="1"/>
  <c r="G250" i="1" a="1"/>
  <c r="G250" i="1"/>
  <c r="F250" i="1" a="1"/>
  <c r="F250" i="1" s="1"/>
  <c r="E250" i="1" a="1"/>
  <c r="E250" i="1"/>
  <c r="C250" i="1" a="1"/>
  <c r="C250" i="1" s="1"/>
  <c r="B250" i="1" a="1"/>
  <c r="B250" i="1"/>
  <c r="W249" i="1"/>
  <c r="V249" i="1"/>
  <c r="U249" i="1"/>
  <c r="S249" i="1"/>
  <c r="P249" i="1"/>
  <c r="O249" i="1"/>
  <c r="M249" i="1"/>
  <c r="L249" i="1"/>
  <c r="K249" i="1"/>
  <c r="I249" i="1"/>
  <c r="C249" i="1" a="1"/>
  <c r="C249" i="1" s="1"/>
  <c r="B249" i="1" a="1"/>
  <c r="B249" i="1" s="1"/>
  <c r="W248" i="1"/>
  <c r="V248" i="1"/>
  <c r="U248" i="1"/>
  <c r="S248" i="1"/>
  <c r="P248" i="1"/>
  <c r="G248" i="1" a="1"/>
  <c r="G248" i="1"/>
  <c r="F248" i="1" a="1"/>
  <c r="F248" i="1"/>
  <c r="E248" i="1" a="1"/>
  <c r="E248" i="1" s="1"/>
  <c r="B248" i="1" a="1"/>
  <c r="B248" i="1" s="1"/>
  <c r="W247" i="1"/>
  <c r="K247" i="1" s="1"/>
  <c r="V247" i="1"/>
  <c r="U247" i="1"/>
  <c r="J247" i="1"/>
  <c r="I247" i="1"/>
  <c r="G247" i="1" a="1"/>
  <c r="G247" i="1"/>
  <c r="E247" i="1" a="1"/>
  <c r="E247" i="1"/>
  <c r="W246" i="1"/>
  <c r="V246" i="1"/>
  <c r="U246" i="1"/>
  <c r="S246" i="1"/>
  <c r="O246" i="1"/>
  <c r="M246" i="1"/>
  <c r="L246" i="1"/>
  <c r="J246" i="1"/>
  <c r="I246" i="1"/>
  <c r="H246" i="1" a="1"/>
  <c r="H246" i="1"/>
  <c r="G246" i="1" a="1"/>
  <c r="G246" i="1" s="1"/>
  <c r="F246" i="1" a="1"/>
  <c r="F246" i="1"/>
  <c r="C246" i="1" a="1"/>
  <c r="C246" i="1" s="1"/>
  <c r="B246" i="1" a="1"/>
  <c r="B246" i="1"/>
  <c r="W245" i="1"/>
  <c r="V245" i="1"/>
  <c r="U245" i="1"/>
  <c r="S245" i="1"/>
  <c r="P245" i="1"/>
  <c r="O245" i="1"/>
  <c r="M245" i="1"/>
  <c r="L245" i="1"/>
  <c r="C245" i="1" a="1"/>
  <c r="C245" i="1"/>
  <c r="B245" i="1" a="1"/>
  <c r="B245" i="1"/>
  <c r="W244" i="1"/>
  <c r="E244" i="1" s="1" a="1"/>
  <c r="E244" i="1" s="1"/>
  <c r="V244" i="1"/>
  <c r="U244" i="1"/>
  <c r="W243" i="1"/>
  <c r="B243" i="1" s="1" a="1"/>
  <c r="B243" i="1" s="1"/>
  <c r="V243" i="1"/>
  <c r="U243" i="1"/>
  <c r="M243" i="1"/>
  <c r="L243" i="1"/>
  <c r="K243" i="1"/>
  <c r="J243" i="1"/>
  <c r="I243" i="1"/>
  <c r="H243" i="1" a="1"/>
  <c r="H243" i="1" s="1"/>
  <c r="G243" i="1" a="1"/>
  <c r="G243" i="1" s="1"/>
  <c r="W242" i="1"/>
  <c r="K242" i="1" s="1"/>
  <c r="V242" i="1"/>
  <c r="U242" i="1"/>
  <c r="S242" i="1"/>
  <c r="P242" i="1"/>
  <c r="O242" i="1"/>
  <c r="M242" i="1"/>
  <c r="L242" i="1"/>
  <c r="J242" i="1"/>
  <c r="I242" i="1"/>
  <c r="H242" i="1" a="1"/>
  <c r="H242" i="1" s="1"/>
  <c r="F242" i="1" a="1"/>
  <c r="F242" i="1" s="1"/>
  <c r="C242" i="1" a="1"/>
  <c r="C242" i="1"/>
  <c r="B242" i="1" a="1"/>
  <c r="B242" i="1" s="1"/>
  <c r="W241" i="1"/>
  <c r="V241" i="1"/>
  <c r="U241" i="1"/>
  <c r="S241" i="1"/>
  <c r="P241" i="1"/>
  <c r="M241" i="1"/>
  <c r="F241" i="1" a="1"/>
  <c r="F241" i="1"/>
  <c r="W240" i="1"/>
  <c r="V240" i="1"/>
  <c r="U240" i="1"/>
  <c r="J240" i="1"/>
  <c r="H240" i="1" a="1"/>
  <c r="H240" i="1"/>
  <c r="G240" i="1" a="1"/>
  <c r="G240" i="1" s="1"/>
  <c r="F240" i="1" a="1"/>
  <c r="F240" i="1"/>
  <c r="E240" i="1" a="1"/>
  <c r="E240" i="1"/>
  <c r="C240" i="1" a="1"/>
  <c r="C240" i="1" s="1"/>
  <c r="W239" i="1"/>
  <c r="V239" i="1"/>
  <c r="U239" i="1"/>
  <c r="P239" i="1"/>
  <c r="O239" i="1"/>
  <c r="M239" i="1"/>
  <c r="K239" i="1"/>
  <c r="J239" i="1"/>
  <c r="I239" i="1"/>
  <c r="H239" i="1" a="1"/>
  <c r="H239" i="1"/>
  <c r="G239" i="1" a="1"/>
  <c r="G239" i="1"/>
  <c r="F239" i="1" a="1"/>
  <c r="F239" i="1"/>
  <c r="E239" i="1" a="1"/>
  <c r="E239" i="1" s="1"/>
  <c r="B239" i="1" a="1"/>
  <c r="B239" i="1"/>
  <c r="W238" i="1"/>
  <c r="V238" i="1"/>
  <c r="U238" i="1"/>
  <c r="S238" i="1"/>
  <c r="P238" i="1"/>
  <c r="O238" i="1"/>
  <c r="M238" i="1"/>
  <c r="L238" i="1"/>
  <c r="K238" i="1"/>
  <c r="J238" i="1"/>
  <c r="I238" i="1"/>
  <c r="H238" i="1" a="1"/>
  <c r="H238" i="1" s="1"/>
  <c r="G238" i="1" a="1"/>
  <c r="G238" i="1"/>
  <c r="F238" i="1" a="1"/>
  <c r="F238" i="1" s="1"/>
  <c r="E238" i="1" a="1"/>
  <c r="E238" i="1"/>
  <c r="C238" i="1" a="1"/>
  <c r="C238" i="1"/>
  <c r="B238" i="1" a="1"/>
  <c r="B238" i="1" s="1"/>
  <c r="W237" i="1"/>
  <c r="V237" i="1"/>
  <c r="U237" i="1"/>
  <c r="S237" i="1"/>
  <c r="G237" i="1" a="1"/>
  <c r="G237" i="1"/>
  <c r="F237" i="1" a="1"/>
  <c r="F237" i="1"/>
  <c r="E237" i="1" a="1"/>
  <c r="E237" i="1" s="1"/>
  <c r="W236" i="1"/>
  <c r="S236" i="1" s="1"/>
  <c r="V236" i="1"/>
  <c r="U236" i="1"/>
  <c r="O236" i="1"/>
  <c r="M236" i="1"/>
  <c r="L236" i="1"/>
  <c r="K236" i="1"/>
  <c r="J236" i="1"/>
  <c r="I236" i="1"/>
  <c r="H236" i="1" a="1"/>
  <c r="H236" i="1"/>
  <c r="G236" i="1" a="1"/>
  <c r="G236" i="1" s="1"/>
  <c r="F236" i="1" a="1"/>
  <c r="F236" i="1"/>
  <c r="E236" i="1" a="1"/>
  <c r="E236" i="1" s="1"/>
  <c r="C236" i="1" a="1"/>
  <c r="C236" i="1"/>
  <c r="W235" i="1"/>
  <c r="V235" i="1"/>
  <c r="U235" i="1"/>
  <c r="S235" i="1"/>
  <c r="P235" i="1"/>
  <c r="O235" i="1"/>
  <c r="M235" i="1"/>
  <c r="K235" i="1"/>
  <c r="J235" i="1"/>
  <c r="I235" i="1"/>
  <c r="F235" i="1" a="1"/>
  <c r="F235" i="1" s="1"/>
  <c r="C235" i="1" a="1"/>
  <c r="C235" i="1"/>
  <c r="B235" i="1" a="1"/>
  <c r="B235" i="1"/>
  <c r="W234" i="1"/>
  <c r="P234" i="1" s="1"/>
  <c r="V234" i="1"/>
  <c r="U234" i="1"/>
  <c r="S234" i="1"/>
  <c r="O234" i="1"/>
  <c r="M234" i="1"/>
  <c r="L234" i="1"/>
  <c r="K234" i="1"/>
  <c r="J234" i="1"/>
  <c r="I234" i="1"/>
  <c r="H234" i="1" a="1"/>
  <c r="H234" i="1"/>
  <c r="G234" i="1" a="1"/>
  <c r="G234" i="1"/>
  <c r="F234" i="1" a="1"/>
  <c r="F234" i="1" s="1"/>
  <c r="E234" i="1" a="1"/>
  <c r="E234" i="1" s="1"/>
  <c r="C234" i="1" a="1"/>
  <c r="C234" i="1" s="1"/>
  <c r="B234" i="1" a="1"/>
  <c r="B234" i="1"/>
  <c r="W233" i="1"/>
  <c r="V233" i="1"/>
  <c r="U233" i="1"/>
  <c r="I233" i="1"/>
  <c r="H233" i="1" a="1"/>
  <c r="H233" i="1"/>
  <c r="W232" i="1"/>
  <c r="M232" i="1" s="1"/>
  <c r="V232" i="1"/>
  <c r="U232" i="1"/>
  <c r="S232" i="1"/>
  <c r="P232" i="1"/>
  <c r="O232" i="1"/>
  <c r="L232" i="1"/>
  <c r="K232" i="1"/>
  <c r="J232" i="1"/>
  <c r="I232" i="1"/>
  <c r="H232" i="1" a="1"/>
  <c r="H232" i="1" s="1"/>
  <c r="G232" i="1" a="1"/>
  <c r="G232" i="1" s="1"/>
  <c r="F232" i="1" a="1"/>
  <c r="F232" i="1"/>
  <c r="E232" i="1" a="1"/>
  <c r="E232" i="1" s="1"/>
  <c r="C232" i="1" a="1"/>
  <c r="C232" i="1"/>
  <c r="B232" i="1" a="1"/>
  <c r="B232" i="1" s="1"/>
  <c r="W231" i="1"/>
  <c r="B231" i="1" s="1" a="1"/>
  <c r="B231" i="1" s="1"/>
  <c r="V231" i="1"/>
  <c r="U231" i="1"/>
  <c r="S231" i="1"/>
  <c r="P231" i="1"/>
  <c r="O231" i="1"/>
  <c r="M231" i="1"/>
  <c r="L231" i="1"/>
  <c r="W230" i="1"/>
  <c r="V230" i="1"/>
  <c r="U230" i="1"/>
  <c r="S230" i="1"/>
  <c r="G230" i="1" a="1"/>
  <c r="G230" i="1"/>
  <c r="F230" i="1" a="1"/>
  <c r="F230" i="1"/>
  <c r="E230" i="1" a="1"/>
  <c r="E230" i="1"/>
  <c r="W229" i="1"/>
  <c r="S229" i="1" s="1"/>
  <c r="V229" i="1"/>
  <c r="U229" i="1"/>
  <c r="O229" i="1"/>
  <c r="M229" i="1"/>
  <c r="L229" i="1"/>
  <c r="K229" i="1"/>
  <c r="J229" i="1"/>
  <c r="I229" i="1"/>
  <c r="H229" i="1" a="1"/>
  <c r="H229" i="1"/>
  <c r="F229" i="1" a="1"/>
  <c r="F229" i="1" s="1"/>
  <c r="C229" i="1" a="1"/>
  <c r="C229" i="1"/>
  <c r="W228" i="1"/>
  <c r="V228" i="1"/>
  <c r="U228" i="1"/>
  <c r="S228" i="1"/>
  <c r="P228" i="1"/>
  <c r="O228" i="1"/>
  <c r="L228" i="1"/>
  <c r="K228" i="1"/>
  <c r="J228" i="1"/>
  <c r="H228" i="1" a="1"/>
  <c r="H228" i="1"/>
  <c r="F228" i="1" a="1"/>
  <c r="F228" i="1" s="1"/>
  <c r="C228" i="1" a="1"/>
  <c r="C228" i="1"/>
  <c r="B228" i="1" a="1"/>
  <c r="B228" i="1" s="1"/>
  <c r="W227" i="1"/>
  <c r="O227" i="1" s="1"/>
  <c r="V227" i="1"/>
  <c r="U227" i="1"/>
  <c r="P227" i="1"/>
  <c r="M227" i="1"/>
  <c r="L227" i="1"/>
  <c r="E227" i="1" a="1"/>
  <c r="E227" i="1"/>
  <c r="B227" i="1" a="1"/>
  <c r="B227" i="1"/>
  <c r="W226" i="1"/>
  <c r="V226" i="1"/>
  <c r="U226" i="1"/>
  <c r="W225" i="1"/>
  <c r="C225" i="1" s="1" a="1"/>
  <c r="C225" i="1" s="1"/>
  <c r="V225" i="1"/>
  <c r="U225" i="1"/>
  <c r="P225" i="1"/>
  <c r="M225" i="1"/>
  <c r="L225" i="1"/>
  <c r="K225" i="1"/>
  <c r="J225" i="1"/>
  <c r="I225" i="1"/>
  <c r="H225" i="1" a="1"/>
  <c r="H225" i="1" s="1"/>
  <c r="G225" i="1" a="1"/>
  <c r="G225" i="1"/>
  <c r="W224" i="1"/>
  <c r="I224" i="1" s="1"/>
  <c r="V224" i="1"/>
  <c r="U224" i="1"/>
  <c r="S224" i="1"/>
  <c r="P224" i="1"/>
  <c r="O224" i="1"/>
  <c r="M224" i="1"/>
  <c r="L224" i="1"/>
  <c r="K224" i="1"/>
  <c r="J224" i="1"/>
  <c r="C224" i="1" a="1"/>
  <c r="C224" i="1" s="1"/>
  <c r="B224" i="1" a="1"/>
  <c r="B224" i="1" s="1"/>
  <c r="W223" i="1"/>
  <c r="V223" i="1"/>
  <c r="U223" i="1"/>
  <c r="P223" i="1"/>
  <c r="O223" i="1"/>
  <c r="F223" i="1" a="1"/>
  <c r="F223" i="1"/>
  <c r="E223" i="1" a="1"/>
  <c r="E223" i="1"/>
  <c r="B223" i="1" a="1"/>
  <c r="B223" i="1"/>
  <c r="W222" i="1"/>
  <c r="V222" i="1"/>
  <c r="U222" i="1"/>
  <c r="S222" i="1"/>
  <c r="P222" i="1"/>
  <c r="O222" i="1"/>
  <c r="M222" i="1"/>
  <c r="L222" i="1"/>
  <c r="K222" i="1"/>
  <c r="J222" i="1"/>
  <c r="I222" i="1"/>
  <c r="H222" i="1" a="1"/>
  <c r="H222" i="1" s="1"/>
  <c r="G222" i="1" a="1"/>
  <c r="G222" i="1" s="1"/>
  <c r="F222" i="1" a="1"/>
  <c r="F222" i="1" s="1"/>
  <c r="E222" i="1" a="1"/>
  <c r="E222" i="1" s="1"/>
  <c r="C222" i="1" a="1"/>
  <c r="C222" i="1"/>
  <c r="B222" i="1" a="1"/>
  <c r="B222" i="1" s="1"/>
  <c r="W221" i="1"/>
  <c r="V221" i="1"/>
  <c r="U221" i="1"/>
  <c r="S221" i="1"/>
  <c r="P221" i="1"/>
  <c r="M221" i="1"/>
  <c r="L221" i="1"/>
  <c r="K221" i="1"/>
  <c r="I221" i="1"/>
  <c r="H221" i="1" a="1"/>
  <c r="H221" i="1"/>
  <c r="G221" i="1" a="1"/>
  <c r="G221" i="1" s="1"/>
  <c r="F221" i="1" a="1"/>
  <c r="F221" i="1"/>
  <c r="C221" i="1" a="1"/>
  <c r="C221" i="1"/>
  <c r="W220" i="1"/>
  <c r="B220" i="1" s="1" a="1"/>
  <c r="B220" i="1" s="1"/>
  <c r="V220" i="1"/>
  <c r="U220" i="1"/>
  <c r="S220" i="1"/>
  <c r="P220" i="1"/>
  <c r="O220" i="1"/>
  <c r="M220" i="1"/>
  <c r="L220" i="1"/>
  <c r="W219" i="1"/>
  <c r="V219" i="1"/>
  <c r="U219" i="1"/>
  <c r="G219" i="1" a="1"/>
  <c r="G219" i="1"/>
  <c r="F219" i="1" a="1"/>
  <c r="F219" i="1"/>
  <c r="E219" i="1" a="1"/>
  <c r="E219" i="1"/>
  <c r="W218" i="1"/>
  <c r="V218" i="1"/>
  <c r="U218" i="1"/>
  <c r="S218" i="1"/>
  <c r="P218" i="1"/>
  <c r="O218" i="1"/>
  <c r="M218" i="1"/>
  <c r="L218" i="1"/>
  <c r="K218" i="1"/>
  <c r="J218" i="1"/>
  <c r="I218" i="1"/>
  <c r="H218" i="1" a="1"/>
  <c r="H218" i="1"/>
  <c r="G218" i="1" a="1"/>
  <c r="G218" i="1" s="1"/>
  <c r="F218" i="1" a="1"/>
  <c r="F218" i="1" s="1"/>
  <c r="E218" i="1" a="1"/>
  <c r="E218" i="1" s="1"/>
  <c r="C218" i="1" a="1"/>
  <c r="C218" i="1" s="1"/>
  <c r="B218" i="1" a="1"/>
  <c r="B218" i="1"/>
  <c r="W217" i="1"/>
  <c r="V217" i="1"/>
  <c r="U217" i="1"/>
  <c r="S217" i="1"/>
  <c r="P217" i="1"/>
  <c r="O217" i="1"/>
  <c r="M217" i="1"/>
  <c r="L217" i="1"/>
  <c r="K217" i="1"/>
  <c r="C217" i="1" a="1"/>
  <c r="C217" i="1" s="1"/>
  <c r="W216" i="1"/>
  <c r="S216" i="1" s="1"/>
  <c r="V216" i="1"/>
  <c r="U216" i="1"/>
  <c r="G216" i="1" a="1"/>
  <c r="G216" i="1"/>
  <c r="F216" i="1" a="1"/>
  <c r="F216" i="1"/>
  <c r="E216" i="1" a="1"/>
  <c r="E216" i="1" s="1"/>
  <c r="C216" i="1" a="1"/>
  <c r="C216" i="1"/>
  <c r="B216" i="1" a="1"/>
  <c r="B216" i="1" s="1"/>
  <c r="W215" i="1"/>
  <c r="S215" i="1" s="1"/>
  <c r="V215" i="1"/>
  <c r="U215" i="1"/>
  <c r="P215" i="1"/>
  <c r="O215" i="1"/>
  <c r="M215" i="1"/>
  <c r="L215" i="1"/>
  <c r="K215" i="1"/>
  <c r="J215" i="1"/>
  <c r="I215" i="1"/>
  <c r="G215" i="1" a="1"/>
  <c r="G215" i="1"/>
  <c r="E215" i="1" a="1"/>
  <c r="E215" i="1" s="1"/>
  <c r="C215" i="1" a="1"/>
  <c r="C215" i="1"/>
  <c r="W214" i="1"/>
  <c r="V214" i="1"/>
  <c r="U214" i="1"/>
  <c r="S214" i="1"/>
  <c r="O214" i="1"/>
  <c r="M214" i="1"/>
  <c r="L214" i="1"/>
  <c r="J214" i="1"/>
  <c r="I214" i="1"/>
  <c r="H214" i="1" a="1"/>
  <c r="H214" i="1"/>
  <c r="F214" i="1" a="1"/>
  <c r="F214" i="1" s="1"/>
  <c r="C214" i="1" a="1"/>
  <c r="C214" i="1" s="1"/>
  <c r="B214" i="1" a="1"/>
  <c r="B214" i="1"/>
  <c r="W213" i="1"/>
  <c r="V213" i="1"/>
  <c r="U213" i="1"/>
  <c r="S213" i="1"/>
  <c r="P213" i="1"/>
  <c r="O213" i="1"/>
  <c r="M213" i="1"/>
  <c r="F213" i="1" a="1"/>
  <c r="F213" i="1"/>
  <c r="C213" i="1" a="1"/>
  <c r="C213" i="1"/>
  <c r="B213" i="1" a="1"/>
  <c r="B213" i="1"/>
  <c r="W212" i="1"/>
  <c r="G212" i="1" s="1" a="1"/>
  <c r="G212" i="1" s="1"/>
  <c r="V212" i="1"/>
  <c r="U212" i="1"/>
  <c r="W211" i="1"/>
  <c r="B211" i="1" s="1" a="1"/>
  <c r="B211" i="1" s="1"/>
  <c r="V211" i="1"/>
  <c r="U211" i="1"/>
  <c r="O211" i="1"/>
  <c r="M211" i="1"/>
  <c r="L211" i="1"/>
  <c r="K211" i="1"/>
  <c r="J211" i="1"/>
  <c r="I211" i="1"/>
  <c r="H211" i="1" a="1"/>
  <c r="H211" i="1"/>
  <c r="G211" i="1" a="1"/>
  <c r="G211" i="1" s="1"/>
  <c r="W210" i="1"/>
  <c r="K210" i="1" s="1"/>
  <c r="V210" i="1"/>
  <c r="U210" i="1"/>
  <c r="S210" i="1"/>
  <c r="P210" i="1"/>
  <c r="O210" i="1"/>
  <c r="M210" i="1"/>
  <c r="L210" i="1"/>
  <c r="J210" i="1"/>
  <c r="I210" i="1"/>
  <c r="C210" i="1" a="1"/>
  <c r="C210" i="1"/>
  <c r="B210" i="1" a="1"/>
  <c r="B210" i="1"/>
  <c r="W209" i="1"/>
  <c r="V209" i="1"/>
  <c r="U209" i="1"/>
  <c r="S209" i="1"/>
  <c r="P209" i="1"/>
  <c r="G209" i="1" a="1"/>
  <c r="G209" i="1"/>
  <c r="F209" i="1" a="1"/>
  <c r="F209" i="1"/>
  <c r="C209" i="1" a="1"/>
  <c r="C209" i="1" s="1"/>
  <c r="W208" i="1"/>
  <c r="J208" i="1" s="1"/>
  <c r="V208" i="1"/>
  <c r="U208" i="1"/>
  <c r="K208" i="1"/>
  <c r="H208" i="1" a="1"/>
  <c r="H208" i="1"/>
  <c r="G208" i="1" a="1"/>
  <c r="G208" i="1" s="1"/>
  <c r="F208" i="1" a="1"/>
  <c r="F208" i="1"/>
  <c r="E208" i="1" a="1"/>
  <c r="E208" i="1"/>
  <c r="W207" i="1"/>
  <c r="V207" i="1"/>
  <c r="U207" i="1"/>
  <c r="P207" i="1"/>
  <c r="O207" i="1"/>
  <c r="M207" i="1"/>
  <c r="K207" i="1"/>
  <c r="J207" i="1"/>
  <c r="I207" i="1"/>
  <c r="H207" i="1" a="1"/>
  <c r="H207" i="1"/>
  <c r="G207" i="1" a="1"/>
  <c r="G207" i="1" s="1"/>
  <c r="F207" i="1" a="1"/>
  <c r="F207" i="1"/>
  <c r="B207" i="1" a="1"/>
  <c r="B207" i="1"/>
  <c r="W206" i="1"/>
  <c r="V206" i="1"/>
  <c r="U206" i="1"/>
  <c r="S206" i="1"/>
  <c r="P206" i="1"/>
  <c r="O206" i="1"/>
  <c r="M206" i="1"/>
  <c r="L206" i="1"/>
  <c r="K206" i="1"/>
  <c r="J206" i="1"/>
  <c r="I206" i="1"/>
  <c r="H206" i="1" a="1"/>
  <c r="H206" i="1" s="1"/>
  <c r="G206" i="1" a="1"/>
  <c r="G206" i="1"/>
  <c r="F206" i="1" a="1"/>
  <c r="F206" i="1" s="1"/>
  <c r="E206" i="1" a="1"/>
  <c r="E206" i="1"/>
  <c r="C206" i="1" a="1"/>
  <c r="C206" i="1" s="1"/>
  <c r="B206" i="1" a="1"/>
  <c r="B206" i="1"/>
  <c r="W205" i="1"/>
  <c r="V205" i="1"/>
  <c r="U205" i="1"/>
  <c r="G205" i="1" a="1"/>
  <c r="G205" i="1"/>
  <c r="F205" i="1" a="1"/>
  <c r="F205" i="1"/>
  <c r="E205" i="1" a="1"/>
  <c r="E205" i="1"/>
  <c r="C205" i="1" a="1"/>
  <c r="C205" i="1"/>
  <c r="W204" i="1"/>
  <c r="S204" i="1" s="1"/>
  <c r="V204" i="1"/>
  <c r="U204" i="1"/>
  <c r="O204" i="1"/>
  <c r="M204" i="1"/>
  <c r="L204" i="1"/>
  <c r="K204" i="1"/>
  <c r="J204" i="1"/>
  <c r="I204" i="1"/>
  <c r="H204" i="1" a="1"/>
  <c r="H204" i="1"/>
  <c r="G204" i="1" a="1"/>
  <c r="G204" i="1" s="1"/>
  <c r="F204" i="1" a="1"/>
  <c r="F204" i="1" s="1"/>
  <c r="E204" i="1" a="1"/>
  <c r="E204" i="1" s="1"/>
  <c r="C204" i="1" a="1"/>
  <c r="C204" i="1" s="1"/>
  <c r="W203" i="1"/>
  <c r="V203" i="1"/>
  <c r="U203" i="1"/>
  <c r="S203" i="1"/>
  <c r="P203" i="1"/>
  <c r="O203" i="1"/>
  <c r="M203" i="1"/>
  <c r="K203" i="1"/>
  <c r="J203" i="1"/>
  <c r="I203" i="1"/>
  <c r="C203" i="1" a="1"/>
  <c r="C203" i="1"/>
  <c r="B203" i="1" a="1"/>
  <c r="B203" i="1"/>
  <c r="W202" i="1"/>
  <c r="V202" i="1"/>
  <c r="U202" i="1"/>
  <c r="S202" i="1"/>
  <c r="P202" i="1"/>
  <c r="O202" i="1"/>
  <c r="M202" i="1"/>
  <c r="L202" i="1"/>
  <c r="K202" i="1"/>
  <c r="J202" i="1"/>
  <c r="I202" i="1"/>
  <c r="H202" i="1" a="1"/>
  <c r="H202" i="1"/>
  <c r="G202" i="1" a="1"/>
  <c r="G202" i="1"/>
  <c r="F202" i="1" a="1"/>
  <c r="F202" i="1" s="1"/>
  <c r="E202" i="1" a="1"/>
  <c r="E202" i="1"/>
  <c r="C202" i="1" a="1"/>
  <c r="C202" i="1" s="1"/>
  <c r="B202" i="1" a="1"/>
  <c r="B202" i="1" s="1"/>
  <c r="W201" i="1"/>
  <c r="S201" i="1" s="1"/>
  <c r="V201" i="1"/>
  <c r="U201" i="1"/>
  <c r="O201" i="1"/>
  <c r="M201" i="1"/>
  <c r="L201" i="1"/>
  <c r="K201" i="1"/>
  <c r="I201" i="1"/>
  <c r="H201" i="1" a="1"/>
  <c r="H201" i="1"/>
  <c r="F201" i="1" a="1"/>
  <c r="F201" i="1"/>
  <c r="E201" i="1" a="1"/>
  <c r="E201" i="1" s="1"/>
  <c r="C201" i="1" a="1"/>
  <c r="C201" i="1"/>
  <c r="W200" i="1"/>
  <c r="M200" i="1" s="1"/>
  <c r="V200" i="1"/>
  <c r="U200" i="1"/>
  <c r="S200" i="1"/>
  <c r="P200" i="1"/>
  <c r="O200" i="1"/>
  <c r="L200" i="1"/>
  <c r="K200" i="1"/>
  <c r="J200" i="1"/>
  <c r="I200" i="1"/>
  <c r="H200" i="1" a="1"/>
  <c r="H200" i="1" s="1"/>
  <c r="G200" i="1" a="1"/>
  <c r="G200" i="1"/>
  <c r="E200" i="1" a="1"/>
  <c r="E200" i="1" s="1"/>
  <c r="C200" i="1" a="1"/>
  <c r="C200" i="1"/>
  <c r="B200" i="1" a="1"/>
  <c r="B200" i="1" s="1"/>
  <c r="W199" i="1"/>
  <c r="P199" i="1" s="1"/>
  <c r="V199" i="1"/>
  <c r="U199" i="1"/>
  <c r="S199" i="1"/>
  <c r="O199" i="1"/>
  <c r="M199" i="1"/>
  <c r="E199" i="1" a="1"/>
  <c r="E199" i="1"/>
  <c r="C199" i="1" a="1"/>
  <c r="C199" i="1"/>
  <c r="B199" i="1" a="1"/>
  <c r="B199" i="1"/>
  <c r="W198" i="1"/>
  <c r="V198" i="1"/>
  <c r="U198" i="1"/>
  <c r="H198" i="1" a="1"/>
  <c r="H198" i="1"/>
  <c r="G198" i="1" a="1"/>
  <c r="G198" i="1" s="1"/>
  <c r="F198" i="1" a="1"/>
  <c r="F198" i="1"/>
  <c r="E198" i="1" a="1"/>
  <c r="E198" i="1"/>
  <c r="C198" i="1" a="1"/>
  <c r="C198" i="1" s="1"/>
  <c r="W197" i="1"/>
  <c r="C197" i="1" s="1" a="1"/>
  <c r="C197" i="1" s="1"/>
  <c r="V197" i="1"/>
  <c r="U197" i="1"/>
  <c r="P197" i="1"/>
  <c r="O197" i="1"/>
  <c r="M197" i="1"/>
  <c r="L197" i="1"/>
  <c r="K197" i="1"/>
  <c r="J197" i="1"/>
  <c r="I197" i="1"/>
  <c r="H197" i="1" a="1"/>
  <c r="H197" i="1"/>
  <c r="W196" i="1"/>
  <c r="B196" i="1" s="1" a="1"/>
  <c r="B196" i="1" s="1"/>
  <c r="V196" i="1"/>
  <c r="U196" i="1"/>
  <c r="S196" i="1"/>
  <c r="P196" i="1"/>
  <c r="O196" i="1"/>
  <c r="L196" i="1"/>
  <c r="W195" i="1"/>
  <c r="V195" i="1"/>
  <c r="U195" i="1"/>
  <c r="P195" i="1"/>
  <c r="O195" i="1"/>
  <c r="G195" i="1" a="1"/>
  <c r="G195" i="1"/>
  <c r="E195" i="1" a="1"/>
  <c r="E195" i="1"/>
  <c r="B195" i="1" a="1"/>
  <c r="B195" i="1"/>
  <c r="W194" i="1"/>
  <c r="J194" i="1" s="1"/>
  <c r="V194" i="1"/>
  <c r="U194" i="1"/>
  <c r="I194" i="1"/>
  <c r="H194" i="1" a="1"/>
  <c r="H194" i="1" s="1"/>
  <c r="G194" i="1" a="1"/>
  <c r="G194" i="1"/>
  <c r="F194" i="1" a="1"/>
  <c r="F194" i="1"/>
  <c r="E194" i="1" a="1"/>
  <c r="E194" i="1"/>
  <c r="W193" i="1"/>
  <c r="V193" i="1"/>
  <c r="U193" i="1"/>
  <c r="S193" i="1"/>
  <c r="P193" i="1"/>
  <c r="M193" i="1"/>
  <c r="L193" i="1"/>
  <c r="K193" i="1"/>
  <c r="J193" i="1"/>
  <c r="I193" i="1"/>
  <c r="H193" i="1" a="1"/>
  <c r="H193" i="1"/>
  <c r="G193" i="1" a="1"/>
  <c r="G193" i="1"/>
  <c r="F193" i="1" a="1"/>
  <c r="F193" i="1" s="1"/>
  <c r="C193" i="1" a="1"/>
  <c r="C193" i="1"/>
  <c r="W192" i="1"/>
  <c r="V192" i="1"/>
  <c r="M192" i="1" s="1"/>
  <c r="U192" i="1"/>
  <c r="E192" i="1" a="1"/>
  <c r="E192" i="1"/>
  <c r="C192" i="1" a="1"/>
  <c r="C192" i="1"/>
  <c r="B192" i="1" a="1"/>
  <c r="B192" i="1"/>
  <c r="W191" i="1"/>
  <c r="G191" i="1" s="1" a="1"/>
  <c r="G191" i="1" s="1"/>
  <c r="V191" i="1"/>
  <c r="U191" i="1"/>
  <c r="W190" i="1"/>
  <c r="V190" i="1"/>
  <c r="M190" i="1" s="1"/>
  <c r="U190" i="1"/>
  <c r="J190" i="1"/>
  <c r="H190" i="1" a="1"/>
  <c r="H190" i="1" s="1"/>
  <c r="G190" i="1" a="1"/>
  <c r="G190" i="1" s="1"/>
  <c r="F190" i="1" a="1"/>
  <c r="F190" i="1" s="1"/>
  <c r="E190" i="1" a="1"/>
  <c r="E190" i="1"/>
  <c r="B190" i="1" a="1"/>
  <c r="B190" i="1"/>
  <c r="W189" i="1"/>
  <c r="V189" i="1"/>
  <c r="U189" i="1"/>
  <c r="M189" i="1" s="1"/>
  <c r="H189" i="1" a="1"/>
  <c r="H189" i="1" s="1"/>
  <c r="C189" i="1" a="1"/>
  <c r="C189" i="1" s="1"/>
  <c r="W188" i="1"/>
  <c r="B188" i="1" s="1" a="1"/>
  <c r="B188" i="1" s="1"/>
  <c r="V188" i="1"/>
  <c r="U188" i="1"/>
  <c r="G188" i="1" a="1"/>
  <c r="G188" i="1" s="1"/>
  <c r="S188" i="1" s="1"/>
  <c r="F188" i="1" a="1"/>
  <c r="F188" i="1" s="1"/>
  <c r="W187" i="1"/>
  <c r="V187" i="1"/>
  <c r="U187" i="1"/>
  <c r="J187" i="1"/>
  <c r="G187" i="1" a="1"/>
  <c r="G187" i="1"/>
  <c r="F187" i="1" a="1"/>
  <c r="F187" i="1"/>
  <c r="W186" i="1"/>
  <c r="V186" i="1"/>
  <c r="U186" i="1"/>
  <c r="M186" i="1" s="1"/>
  <c r="S186" i="1"/>
  <c r="L186" i="1"/>
  <c r="P186" i="1" s="1"/>
  <c r="J186" i="1"/>
  <c r="H186" i="1" a="1"/>
  <c r="H186" i="1"/>
  <c r="G186" i="1" a="1"/>
  <c r="G186" i="1"/>
  <c r="F186" i="1" a="1"/>
  <c r="F186" i="1" s="1"/>
  <c r="E186" i="1" a="1"/>
  <c r="E186" i="1"/>
  <c r="C186" i="1" a="1"/>
  <c r="C186" i="1" s="1"/>
  <c r="B186" i="1" a="1"/>
  <c r="B186" i="1"/>
  <c r="W185" i="1"/>
  <c r="V185" i="1"/>
  <c r="U185" i="1"/>
  <c r="M185" i="1" s="1"/>
  <c r="E185" i="1" a="1"/>
  <c r="E185" i="1"/>
  <c r="B185" i="1" a="1"/>
  <c r="B185" i="1" s="1"/>
  <c r="W184" i="1"/>
  <c r="V184" i="1"/>
  <c r="U184" i="1"/>
  <c r="H184" i="1" a="1"/>
  <c r="H184" i="1"/>
  <c r="G184" i="1" a="1"/>
  <c r="G184" i="1"/>
  <c r="F184" i="1" a="1"/>
  <c r="F184" i="1"/>
  <c r="E184" i="1" a="1"/>
  <c r="E184" i="1" s="1"/>
  <c r="C184" i="1" a="1"/>
  <c r="C184" i="1"/>
  <c r="W183" i="1"/>
  <c r="V183" i="1"/>
  <c r="U183" i="1"/>
  <c r="J183" i="1"/>
  <c r="G183" i="1" a="1"/>
  <c r="G183" i="1"/>
  <c r="L183" i="1" s="1"/>
  <c r="O183" i="1" s="1"/>
  <c r="C183" i="1" a="1"/>
  <c r="C183" i="1" s="1"/>
  <c r="W182" i="1"/>
  <c r="V182" i="1"/>
  <c r="U182" i="1"/>
  <c r="J182" i="1"/>
  <c r="H182" i="1" a="1"/>
  <c r="H182" i="1" s="1"/>
  <c r="C182" i="1" a="1"/>
  <c r="C182" i="1" s="1"/>
  <c r="B182" i="1" a="1"/>
  <c r="B182" i="1"/>
  <c r="W181" i="1"/>
  <c r="C181" i="1" s="1" a="1"/>
  <c r="C181" i="1" s="1"/>
  <c r="V181" i="1"/>
  <c r="U181" i="1"/>
  <c r="W180" i="1"/>
  <c r="V180" i="1"/>
  <c r="U180" i="1"/>
  <c r="J180" i="1"/>
  <c r="H180" i="1" a="1"/>
  <c r="H180" i="1"/>
  <c r="G180" i="1" a="1"/>
  <c r="G180" i="1"/>
  <c r="W179" i="1"/>
  <c r="V179" i="1"/>
  <c r="U179" i="1"/>
  <c r="J179" i="1"/>
  <c r="H179" i="1" a="1"/>
  <c r="H179" i="1"/>
  <c r="G179" i="1" a="1"/>
  <c r="G179" i="1" s="1"/>
  <c r="L179" i="1" s="1"/>
  <c r="E179" i="1" a="1"/>
  <c r="E179" i="1" s="1"/>
  <c r="B179" i="1" a="1"/>
  <c r="B179" i="1"/>
  <c r="W178" i="1"/>
  <c r="V178" i="1"/>
  <c r="U178" i="1"/>
  <c r="M178" i="1"/>
  <c r="J178" i="1"/>
  <c r="C178" i="1" a="1"/>
  <c r="C178" i="1"/>
  <c r="B178" i="1" a="1"/>
  <c r="B178" i="1" s="1"/>
  <c r="W177" i="1"/>
  <c r="V177" i="1"/>
  <c r="U177" i="1"/>
  <c r="G177" i="1" a="1"/>
  <c r="G177" i="1"/>
  <c r="S177" i="1" s="1"/>
  <c r="F177" i="1" a="1"/>
  <c r="F177" i="1"/>
  <c r="C177" i="1" a="1"/>
  <c r="C177" i="1"/>
  <c r="W176" i="1"/>
  <c r="S176" i="1" s="1"/>
  <c r="V176" i="1"/>
  <c r="U176" i="1"/>
  <c r="M176" i="1" s="1"/>
  <c r="J176" i="1"/>
  <c r="H176" i="1" a="1"/>
  <c r="H176" i="1" s="1"/>
  <c r="G176" i="1" a="1"/>
  <c r="G176" i="1" s="1"/>
  <c r="L176" i="1" s="1"/>
  <c r="O176" i="1" s="1"/>
  <c r="F176" i="1" a="1"/>
  <c r="F176" i="1"/>
  <c r="E176" i="1" a="1"/>
  <c r="E176" i="1"/>
  <c r="W175" i="1"/>
  <c r="V175" i="1"/>
  <c r="U175" i="1"/>
  <c r="J175" i="1"/>
  <c r="H175" i="1" a="1"/>
  <c r="H175" i="1" s="1"/>
  <c r="G175" i="1" a="1"/>
  <c r="G175" i="1" s="1"/>
  <c r="F175" i="1" a="1"/>
  <c r="F175" i="1" s="1"/>
  <c r="B175" i="1" a="1"/>
  <c r="B175" i="1"/>
  <c r="W174" i="1"/>
  <c r="V174" i="1"/>
  <c r="U174" i="1"/>
  <c r="S174" i="1"/>
  <c r="P174" i="1"/>
  <c r="L174" i="1"/>
  <c r="O174" i="1" s="1"/>
  <c r="J174" i="1"/>
  <c r="H174" i="1" a="1"/>
  <c r="H174" i="1" s="1"/>
  <c r="G174" i="1" a="1"/>
  <c r="G174" i="1"/>
  <c r="F174" i="1" a="1"/>
  <c r="F174" i="1" s="1"/>
  <c r="E174" i="1" a="1"/>
  <c r="E174" i="1"/>
  <c r="C174" i="1" a="1"/>
  <c r="C174" i="1"/>
  <c r="B174" i="1" a="1"/>
  <c r="B174" i="1"/>
  <c r="W173" i="1"/>
  <c r="V173" i="1"/>
  <c r="U173" i="1"/>
  <c r="W172" i="1"/>
  <c r="S172" i="1" s="1"/>
  <c r="V172" i="1"/>
  <c r="U172" i="1"/>
  <c r="M172" i="1" s="1"/>
  <c r="J172" i="1"/>
  <c r="H172" i="1" a="1"/>
  <c r="H172" i="1" s="1"/>
  <c r="G172" i="1" a="1"/>
  <c r="G172" i="1" s="1"/>
  <c r="L172" i="1" s="1"/>
  <c r="F172" i="1" a="1"/>
  <c r="F172" i="1" s="1"/>
  <c r="E172" i="1" a="1"/>
  <c r="E172" i="1" s="1"/>
  <c r="C172" i="1" a="1"/>
  <c r="C172" i="1" s="1"/>
  <c r="W171" i="1"/>
  <c r="I171" i="1" s="1"/>
  <c r="V171" i="1"/>
  <c r="U171" i="1"/>
  <c r="W170" i="1"/>
  <c r="V170" i="1"/>
  <c r="U170" i="1"/>
  <c r="S170" i="1"/>
  <c r="O170" i="1"/>
  <c r="J170" i="1"/>
  <c r="H170" i="1" a="1"/>
  <c r="H170" i="1"/>
  <c r="G170" i="1" a="1"/>
  <c r="G170" i="1"/>
  <c r="L170" i="1" s="1"/>
  <c r="P170" i="1" s="1"/>
  <c r="F170" i="1" a="1"/>
  <c r="F170" i="1" s="1"/>
  <c r="E170" i="1" a="1"/>
  <c r="E170" i="1" s="1"/>
  <c r="C170" i="1" a="1"/>
  <c r="C170" i="1" s="1"/>
  <c r="B170" i="1" a="1"/>
  <c r="B170" i="1"/>
  <c r="W169" i="1"/>
  <c r="E169" i="1" s="1" a="1"/>
  <c r="E169" i="1" s="1"/>
  <c r="V169" i="1"/>
  <c r="U169" i="1"/>
  <c r="I169" i="1"/>
  <c r="H169" i="1" a="1"/>
  <c r="H169" i="1" s="1"/>
  <c r="W168" i="1"/>
  <c r="V168" i="1"/>
  <c r="U168" i="1"/>
  <c r="S168" i="1"/>
  <c r="L168" i="1"/>
  <c r="O168" i="1" s="1"/>
  <c r="J168" i="1"/>
  <c r="K168" i="1" s="1"/>
  <c r="I168" i="1"/>
  <c r="H168" i="1" a="1"/>
  <c r="H168" i="1"/>
  <c r="G168" i="1" a="1"/>
  <c r="G168" i="1"/>
  <c r="F168" i="1" a="1"/>
  <c r="F168" i="1" s="1"/>
  <c r="E168" i="1" a="1"/>
  <c r="E168" i="1" s="1"/>
  <c r="B168" i="1" a="1"/>
  <c r="B168" i="1" s="1"/>
  <c r="W167" i="1"/>
  <c r="V167" i="1"/>
  <c r="U167" i="1"/>
  <c r="M167" i="1"/>
  <c r="W166" i="1"/>
  <c r="C166" i="1" s="1" a="1"/>
  <c r="C166" i="1" s="1"/>
  <c r="V166" i="1"/>
  <c r="U166" i="1"/>
  <c r="H166" i="1" a="1"/>
  <c r="H166" i="1"/>
  <c r="G166" i="1" a="1"/>
  <c r="G166" i="1"/>
  <c r="F166" i="1" a="1"/>
  <c r="F166" i="1"/>
  <c r="W165" i="1"/>
  <c r="V165" i="1"/>
  <c r="U165" i="1"/>
  <c r="M165" i="1" s="1"/>
  <c r="J165" i="1"/>
  <c r="H165" i="1" a="1"/>
  <c r="H165" i="1"/>
  <c r="F165" i="1" a="1"/>
  <c r="F165" i="1" s="1"/>
  <c r="W164" i="1"/>
  <c r="V164" i="1"/>
  <c r="U164" i="1"/>
  <c r="J164" i="1"/>
  <c r="H164" i="1" a="1"/>
  <c r="H164" i="1" s="1"/>
  <c r="C164" i="1" a="1"/>
  <c r="C164" i="1"/>
  <c r="B164" i="1" a="1"/>
  <c r="B164" i="1" s="1"/>
  <c r="W163" i="1"/>
  <c r="V163" i="1"/>
  <c r="U163" i="1"/>
  <c r="W162" i="1"/>
  <c r="I162" i="1" s="1"/>
  <c r="V162" i="1"/>
  <c r="U162" i="1"/>
  <c r="W161" i="1"/>
  <c r="V161" i="1"/>
  <c r="U161" i="1"/>
  <c r="S161" i="1"/>
  <c r="J161" i="1"/>
  <c r="H161" i="1" a="1"/>
  <c r="H161" i="1" s="1"/>
  <c r="G161" i="1" a="1"/>
  <c r="G161" i="1" s="1"/>
  <c r="L161" i="1" s="1"/>
  <c r="P161" i="1" s="1"/>
  <c r="F161" i="1" a="1"/>
  <c r="F161" i="1"/>
  <c r="C161" i="1" a="1"/>
  <c r="C161" i="1"/>
  <c r="W160" i="1"/>
  <c r="V160" i="1"/>
  <c r="U160" i="1"/>
  <c r="W159" i="1"/>
  <c r="F159" i="1" s="1" a="1"/>
  <c r="F159" i="1" s="1"/>
  <c r="V159" i="1"/>
  <c r="U159" i="1"/>
  <c r="W158" i="1"/>
  <c r="V158" i="1"/>
  <c r="U158" i="1"/>
  <c r="M158" i="1" s="1"/>
  <c r="J158" i="1"/>
  <c r="K158" i="1" s="1"/>
  <c r="H158" i="1" a="1"/>
  <c r="H158" i="1" s="1"/>
  <c r="G158" i="1" a="1"/>
  <c r="G158" i="1" s="1"/>
  <c r="F158" i="1" a="1"/>
  <c r="F158" i="1" s="1"/>
  <c r="E158" i="1" a="1"/>
  <c r="E158" i="1" s="1"/>
  <c r="C158" i="1" a="1"/>
  <c r="C158" i="1"/>
  <c r="B158" i="1" a="1"/>
  <c r="B158" i="1"/>
  <c r="W157" i="1"/>
  <c r="V157" i="1"/>
  <c r="U157" i="1"/>
  <c r="M157" i="1" s="1"/>
  <c r="H157" i="1" a="1"/>
  <c r="H157" i="1"/>
  <c r="F157" i="1" a="1"/>
  <c r="F157" i="1" s="1"/>
  <c r="W156" i="1"/>
  <c r="C156" i="1" s="1" a="1"/>
  <c r="C156" i="1" s="1"/>
  <c r="V156" i="1"/>
  <c r="U156" i="1"/>
  <c r="W155" i="1"/>
  <c r="V155" i="1"/>
  <c r="U155" i="1"/>
  <c r="J155" i="1"/>
  <c r="G155" i="1" a="1"/>
  <c r="G155" i="1"/>
  <c r="W154" i="1"/>
  <c r="V154" i="1"/>
  <c r="U154" i="1"/>
  <c r="M154" i="1" s="1"/>
  <c r="S154" i="1"/>
  <c r="L154" i="1"/>
  <c r="P154" i="1" s="1"/>
  <c r="J154" i="1"/>
  <c r="K154" i="1" s="1"/>
  <c r="I154" i="1"/>
  <c r="H154" i="1" a="1"/>
  <c r="H154" i="1" s="1"/>
  <c r="G154" i="1" a="1"/>
  <c r="G154" i="1" s="1"/>
  <c r="F154" i="1" a="1"/>
  <c r="F154" i="1" s="1"/>
  <c r="E154" i="1" a="1"/>
  <c r="E154" i="1" s="1"/>
  <c r="B154" i="1" a="1"/>
  <c r="B154" i="1"/>
  <c r="W153" i="1"/>
  <c r="V153" i="1"/>
  <c r="U153" i="1"/>
  <c r="M153" i="1"/>
  <c r="E153" i="1" a="1"/>
  <c r="E153" i="1" s="1"/>
  <c r="B153" i="1" a="1"/>
  <c r="B153" i="1"/>
  <c r="W152" i="1"/>
  <c r="V152" i="1"/>
  <c r="U152" i="1"/>
  <c r="H152" i="1" a="1"/>
  <c r="H152" i="1"/>
  <c r="G152" i="1" a="1"/>
  <c r="G152" i="1"/>
  <c r="S152" i="1" s="1"/>
  <c r="F152" i="1" a="1"/>
  <c r="F152" i="1"/>
  <c r="E152" i="1" a="1"/>
  <c r="E152" i="1" s="1"/>
  <c r="B152" i="1" a="1"/>
  <c r="B152" i="1" s="1"/>
  <c r="W151" i="1"/>
  <c r="V151" i="1"/>
  <c r="U151" i="1"/>
  <c r="M151" i="1" s="1"/>
  <c r="J151" i="1"/>
  <c r="G151" i="1" a="1"/>
  <c r="G151" i="1"/>
  <c r="L151" i="1" s="1"/>
  <c r="E151" i="1" a="1"/>
  <c r="E151" i="1" s="1"/>
  <c r="C151" i="1" a="1"/>
  <c r="C151" i="1"/>
  <c r="W150" i="1"/>
  <c r="V150" i="1"/>
  <c r="M150" i="1" s="1"/>
  <c r="U150" i="1"/>
  <c r="J150" i="1"/>
  <c r="H150" i="1" a="1"/>
  <c r="H150" i="1"/>
  <c r="F150" i="1" a="1"/>
  <c r="F150" i="1" s="1"/>
  <c r="C150" i="1" a="1"/>
  <c r="C150" i="1" s="1"/>
  <c r="B150" i="1" a="1"/>
  <c r="B150" i="1" s="1"/>
  <c r="W149" i="1"/>
  <c r="V149" i="1"/>
  <c r="U149" i="1"/>
  <c r="M149" i="1" s="1"/>
  <c r="F149" i="1" a="1"/>
  <c r="F149" i="1"/>
  <c r="C149" i="1" a="1"/>
  <c r="C149" i="1"/>
  <c r="B149" i="1" a="1"/>
  <c r="B149" i="1"/>
  <c r="W148" i="1"/>
  <c r="V148" i="1"/>
  <c r="U148" i="1"/>
  <c r="J148" i="1"/>
  <c r="H148" i="1" a="1"/>
  <c r="H148" i="1" s="1"/>
  <c r="G148" i="1" a="1"/>
  <c r="G148" i="1"/>
  <c r="F148" i="1" a="1"/>
  <c r="F148" i="1"/>
  <c r="E148" i="1" a="1"/>
  <c r="E148" i="1"/>
  <c r="C148" i="1" a="1"/>
  <c r="C148" i="1" s="1"/>
  <c r="W147" i="1"/>
  <c r="B147" i="1" s="1" a="1"/>
  <c r="B147" i="1" s="1"/>
  <c r="V147" i="1"/>
  <c r="U147" i="1"/>
  <c r="J147" i="1"/>
  <c r="H147" i="1" a="1"/>
  <c r="H147" i="1"/>
  <c r="G147" i="1" a="1"/>
  <c r="G147" i="1"/>
  <c r="L147" i="1" s="1"/>
  <c r="O147" i="1" s="1"/>
  <c r="W146" i="1"/>
  <c r="I146" i="1" s="1"/>
  <c r="V146" i="1"/>
  <c r="U146" i="1"/>
  <c r="W145" i="1"/>
  <c r="V145" i="1"/>
  <c r="U145" i="1"/>
  <c r="G145" i="1" a="1"/>
  <c r="G145" i="1" s="1"/>
  <c r="S145" i="1" s="1"/>
  <c r="W144" i="1"/>
  <c r="V144" i="1"/>
  <c r="U144" i="1"/>
  <c r="J144" i="1"/>
  <c r="H144" i="1" a="1"/>
  <c r="H144" i="1"/>
  <c r="G144" i="1" a="1"/>
  <c r="G144" i="1" s="1"/>
  <c r="L144" i="1" s="1"/>
  <c r="W143" i="1"/>
  <c r="V143" i="1"/>
  <c r="U143" i="1"/>
  <c r="M143" i="1"/>
  <c r="J143" i="1"/>
  <c r="H143" i="1" a="1"/>
  <c r="H143" i="1"/>
  <c r="G143" i="1" a="1"/>
  <c r="G143" i="1" s="1"/>
  <c r="F143" i="1" a="1"/>
  <c r="F143" i="1"/>
  <c r="B143" i="1" a="1"/>
  <c r="B143" i="1" s="1"/>
  <c r="W142" i="1"/>
  <c r="V142" i="1"/>
  <c r="U142" i="1"/>
  <c r="M142" i="1" s="1"/>
  <c r="S142" i="1"/>
  <c r="L142" i="1"/>
  <c r="O142" i="1" s="1"/>
  <c r="J142" i="1"/>
  <c r="H142" i="1" a="1"/>
  <c r="H142" i="1" s="1"/>
  <c r="G142" i="1" a="1"/>
  <c r="G142" i="1"/>
  <c r="F142" i="1" a="1"/>
  <c r="F142" i="1" s="1"/>
  <c r="E142" i="1" a="1"/>
  <c r="E142" i="1"/>
  <c r="C142" i="1" a="1"/>
  <c r="C142" i="1"/>
  <c r="B142" i="1" a="1"/>
  <c r="B142" i="1" s="1"/>
  <c r="W141" i="1"/>
  <c r="V141" i="1"/>
  <c r="U141" i="1"/>
  <c r="H141" i="1" a="1"/>
  <c r="H141" i="1"/>
  <c r="G141" i="1" a="1"/>
  <c r="G141" i="1"/>
  <c r="F141" i="1" a="1"/>
  <c r="F141" i="1"/>
  <c r="W140" i="1"/>
  <c r="V140" i="1"/>
  <c r="U140" i="1"/>
  <c r="M140" i="1"/>
  <c r="J140" i="1"/>
  <c r="H140" i="1" a="1"/>
  <c r="H140" i="1"/>
  <c r="G140" i="1" a="1"/>
  <c r="G140" i="1" s="1"/>
  <c r="L140" i="1" s="1"/>
  <c r="F140" i="1" a="1"/>
  <c r="F140" i="1" s="1"/>
  <c r="E140" i="1" a="1"/>
  <c r="E140" i="1" s="1"/>
  <c r="C140" i="1" a="1"/>
  <c r="C140" i="1" s="1"/>
  <c r="W139" i="1"/>
  <c r="V139" i="1"/>
  <c r="U139" i="1"/>
  <c r="M139" i="1"/>
  <c r="J139" i="1"/>
  <c r="C139" i="1" a="1"/>
  <c r="C139" i="1"/>
  <c r="W138" i="1"/>
  <c r="V138" i="1"/>
  <c r="U138" i="1"/>
  <c r="J138" i="1"/>
  <c r="H138" i="1" a="1"/>
  <c r="H138" i="1"/>
  <c r="G138" i="1" a="1"/>
  <c r="G138" i="1"/>
  <c r="L138" i="1" s="1"/>
  <c r="P138" i="1" s="1"/>
  <c r="F138" i="1" a="1"/>
  <c r="F138" i="1" s="1"/>
  <c r="E138" i="1" a="1"/>
  <c r="E138" i="1"/>
  <c r="C138" i="1" a="1"/>
  <c r="C138" i="1" s="1"/>
  <c r="B138" i="1" a="1"/>
  <c r="B138" i="1" s="1"/>
  <c r="W137" i="1"/>
  <c r="V137" i="1"/>
  <c r="U137" i="1"/>
  <c r="H137" i="1" a="1"/>
  <c r="H137" i="1"/>
  <c r="F137" i="1" a="1"/>
  <c r="F137" i="1"/>
  <c r="E137" i="1" a="1"/>
  <c r="E137" i="1"/>
  <c r="W136" i="1"/>
  <c r="V136" i="1"/>
  <c r="U136" i="1"/>
  <c r="J136" i="1"/>
  <c r="H136" i="1" a="1"/>
  <c r="H136" i="1"/>
  <c r="F136" i="1" a="1"/>
  <c r="F136" i="1" s="1"/>
  <c r="E136" i="1" a="1"/>
  <c r="E136" i="1" s="1"/>
  <c r="C136" i="1" a="1"/>
  <c r="C136" i="1"/>
  <c r="B136" i="1" a="1"/>
  <c r="B136" i="1" s="1"/>
  <c r="W135" i="1"/>
  <c r="V135" i="1"/>
  <c r="U135" i="1"/>
  <c r="E135" i="1" a="1"/>
  <c r="E135" i="1"/>
  <c r="B135" i="1" a="1"/>
  <c r="B135" i="1"/>
  <c r="W134" i="1"/>
  <c r="V134" i="1"/>
  <c r="U134" i="1"/>
  <c r="W133" i="1"/>
  <c r="V133" i="1"/>
  <c r="U133" i="1"/>
  <c r="M133" i="1"/>
  <c r="J133" i="1"/>
  <c r="H133" i="1" a="1"/>
  <c r="H133" i="1" s="1"/>
  <c r="F133" i="1" a="1"/>
  <c r="F133" i="1" s="1"/>
  <c r="C133" i="1" a="1"/>
  <c r="C133" i="1" s="1"/>
  <c r="W132" i="1"/>
  <c r="V132" i="1"/>
  <c r="U132" i="1"/>
  <c r="W131" i="1"/>
  <c r="V131" i="1"/>
  <c r="U131" i="1"/>
  <c r="M131" i="1"/>
  <c r="G131" i="1" a="1"/>
  <c r="G131" i="1"/>
  <c r="W130" i="1"/>
  <c r="V130" i="1"/>
  <c r="U130" i="1"/>
  <c r="J130" i="1"/>
  <c r="H130" i="1" a="1"/>
  <c r="H130" i="1" s="1"/>
  <c r="G130" i="1" a="1"/>
  <c r="G130" i="1"/>
  <c r="F130" i="1" a="1"/>
  <c r="F130" i="1"/>
  <c r="E130" i="1" a="1"/>
  <c r="E130" i="1" s="1"/>
  <c r="C130" i="1" a="1"/>
  <c r="C130" i="1" s="1"/>
  <c r="W129" i="1"/>
  <c r="V129" i="1"/>
  <c r="U129" i="1"/>
  <c r="M129" i="1" s="1"/>
  <c r="J129" i="1"/>
  <c r="H129" i="1" a="1"/>
  <c r="H129" i="1"/>
  <c r="G129" i="1" a="1"/>
  <c r="G129" i="1" s="1"/>
  <c r="L129" i="1" s="1"/>
  <c r="P129" i="1" s="1"/>
  <c r="F129" i="1" a="1"/>
  <c r="F129" i="1"/>
  <c r="C129" i="1" a="1"/>
  <c r="C129" i="1"/>
  <c r="W128" i="1"/>
  <c r="V128" i="1"/>
  <c r="U128" i="1"/>
  <c r="M128" i="1" s="1"/>
  <c r="E128" i="1" a="1"/>
  <c r="E128" i="1"/>
  <c r="W127" i="1"/>
  <c r="V127" i="1"/>
  <c r="U127" i="1"/>
  <c r="G127" i="1" a="1"/>
  <c r="G127" i="1"/>
  <c r="F127" i="1" a="1"/>
  <c r="F127" i="1"/>
  <c r="E127" i="1" a="1"/>
  <c r="E127" i="1"/>
  <c r="W126" i="1"/>
  <c r="V126" i="1"/>
  <c r="U126" i="1"/>
  <c r="M126" i="1" s="1"/>
  <c r="J126" i="1"/>
  <c r="H126" i="1" a="1"/>
  <c r="H126" i="1" s="1"/>
  <c r="G126" i="1" a="1"/>
  <c r="G126" i="1"/>
  <c r="S126" i="1" s="1"/>
  <c r="F126" i="1" a="1"/>
  <c r="F126" i="1" s="1"/>
  <c r="E126" i="1" a="1"/>
  <c r="E126" i="1" s="1"/>
  <c r="C126" i="1" a="1"/>
  <c r="C126" i="1"/>
  <c r="B126" i="1" a="1"/>
  <c r="B126" i="1"/>
  <c r="W125" i="1"/>
  <c r="V125" i="1"/>
  <c r="U125" i="1"/>
  <c r="H125" i="1" a="1"/>
  <c r="H125" i="1"/>
  <c r="F125" i="1" a="1"/>
  <c r="F125" i="1" s="1"/>
  <c r="C125" i="1" a="1"/>
  <c r="C125" i="1" s="1"/>
  <c r="W124" i="1"/>
  <c r="V124" i="1"/>
  <c r="M124" i="1" s="1"/>
  <c r="U124" i="1"/>
  <c r="G124" i="1" a="1"/>
  <c r="G124" i="1" s="1"/>
  <c r="S124" i="1" s="1"/>
  <c r="F124" i="1" a="1"/>
  <c r="F124" i="1"/>
  <c r="E124" i="1" a="1"/>
  <c r="E124" i="1" s="1"/>
  <c r="B124" i="1" a="1"/>
  <c r="B124" i="1" s="1"/>
  <c r="W123" i="1"/>
  <c r="V123" i="1"/>
  <c r="U123" i="1"/>
  <c r="J123" i="1"/>
  <c r="G123" i="1" a="1"/>
  <c r="G123" i="1"/>
  <c r="F123" i="1" a="1"/>
  <c r="F123" i="1"/>
  <c r="E123" i="1" a="1"/>
  <c r="E123" i="1"/>
  <c r="C123" i="1" a="1"/>
  <c r="C123" i="1" s="1"/>
  <c r="W122" i="1"/>
  <c r="V122" i="1"/>
  <c r="U122" i="1"/>
  <c r="M122" i="1" s="1"/>
  <c r="J122" i="1"/>
  <c r="H122" i="1" a="1"/>
  <c r="H122" i="1"/>
  <c r="G122" i="1" a="1"/>
  <c r="G122" i="1" s="1"/>
  <c r="S122" i="1" s="1"/>
  <c r="F122" i="1" a="1"/>
  <c r="F122" i="1" s="1"/>
  <c r="E122" i="1" a="1"/>
  <c r="E122" i="1" s="1"/>
  <c r="C122" i="1" a="1"/>
  <c r="C122" i="1" s="1"/>
  <c r="B122" i="1" a="1"/>
  <c r="B122" i="1"/>
  <c r="W121" i="1"/>
  <c r="V121" i="1"/>
  <c r="U121" i="1"/>
  <c r="E121" i="1" a="1"/>
  <c r="E121" i="1"/>
  <c r="B121" i="1" a="1"/>
  <c r="B121" i="1"/>
  <c r="W120" i="1"/>
  <c r="G120" i="1" s="1" a="1"/>
  <c r="G120" i="1" s="1"/>
  <c r="V120" i="1"/>
  <c r="U120" i="1"/>
  <c r="W119" i="1"/>
  <c r="S119" i="1" s="1"/>
  <c r="V119" i="1"/>
  <c r="U119" i="1"/>
  <c r="M119" i="1" s="1"/>
  <c r="J119" i="1"/>
  <c r="G119" i="1" a="1"/>
  <c r="G119" i="1"/>
  <c r="L119" i="1" s="1"/>
  <c r="E119" i="1" a="1"/>
  <c r="E119" i="1" s="1"/>
  <c r="C119" i="1" a="1"/>
  <c r="C119" i="1"/>
  <c r="W118" i="1"/>
  <c r="V118" i="1"/>
  <c r="U118" i="1"/>
  <c r="J118" i="1"/>
  <c r="H118" i="1" a="1"/>
  <c r="H118" i="1" s="1"/>
  <c r="F118" i="1" a="1"/>
  <c r="F118" i="1" s="1"/>
  <c r="C118" i="1" a="1"/>
  <c r="C118" i="1" s="1"/>
  <c r="B118" i="1" a="1"/>
  <c r="B118" i="1"/>
  <c r="W117" i="1"/>
  <c r="V117" i="1"/>
  <c r="U117" i="1"/>
  <c r="W116" i="1"/>
  <c r="C116" i="1" s="1" a="1"/>
  <c r="C116" i="1" s="1"/>
  <c r="V116" i="1"/>
  <c r="U116" i="1"/>
  <c r="J116" i="1"/>
  <c r="H116" i="1" a="1"/>
  <c r="H116" i="1"/>
  <c r="W115" i="1"/>
  <c r="B115" i="1" s="1" a="1"/>
  <c r="B115" i="1" s="1"/>
  <c r="V115" i="1"/>
  <c r="U115" i="1"/>
  <c r="J115" i="1"/>
  <c r="K115" i="1" s="1"/>
  <c r="I115" i="1"/>
  <c r="H115" i="1" a="1"/>
  <c r="H115" i="1" s="1"/>
  <c r="G115" i="1" a="1"/>
  <c r="G115" i="1" s="1"/>
  <c r="L115" i="1" s="1"/>
  <c r="O115" i="1" s="1"/>
  <c r="W114" i="1"/>
  <c r="V114" i="1"/>
  <c r="U114" i="1"/>
  <c r="M114" i="1" s="1"/>
  <c r="J114" i="1"/>
  <c r="I114" i="1"/>
  <c r="C114" i="1" a="1"/>
  <c r="C114" i="1" s="1"/>
  <c r="W113" i="1"/>
  <c r="S113" i="1" s="1"/>
  <c r="V113" i="1"/>
  <c r="U113" i="1"/>
  <c r="G113" i="1" a="1"/>
  <c r="G113" i="1"/>
  <c r="F113" i="1" a="1"/>
  <c r="F113" i="1"/>
  <c r="W112" i="1"/>
  <c r="V112" i="1"/>
  <c r="U112" i="1"/>
  <c r="J112" i="1"/>
  <c r="H112" i="1" a="1"/>
  <c r="H112" i="1"/>
  <c r="G112" i="1" a="1"/>
  <c r="G112" i="1" s="1"/>
  <c r="L112" i="1" s="1"/>
  <c r="F112" i="1" a="1"/>
  <c r="F112" i="1"/>
  <c r="E112" i="1" a="1"/>
  <c r="E112" i="1"/>
  <c r="W111" i="1"/>
  <c r="V111" i="1"/>
  <c r="U111" i="1"/>
  <c r="J111" i="1"/>
  <c r="H111" i="1" a="1"/>
  <c r="H111" i="1"/>
  <c r="G111" i="1" a="1"/>
  <c r="G111" i="1" s="1"/>
  <c r="F111" i="1" a="1"/>
  <c r="F111" i="1"/>
  <c r="B111" i="1" a="1"/>
  <c r="B111" i="1"/>
  <c r="W110" i="1"/>
  <c r="V110" i="1"/>
  <c r="U110" i="1"/>
  <c r="S110" i="1"/>
  <c r="L110" i="1"/>
  <c r="P110" i="1" s="1"/>
  <c r="J110" i="1"/>
  <c r="H110" i="1" a="1"/>
  <c r="H110" i="1" s="1"/>
  <c r="G110" i="1" a="1"/>
  <c r="G110" i="1"/>
  <c r="F110" i="1" a="1"/>
  <c r="F110" i="1" s="1"/>
  <c r="E110" i="1" a="1"/>
  <c r="E110" i="1"/>
  <c r="B110" i="1" a="1"/>
  <c r="B110" i="1" s="1"/>
  <c r="W109" i="1"/>
  <c r="V109" i="1"/>
  <c r="U109" i="1"/>
  <c r="H109" i="1" a="1"/>
  <c r="H109" i="1" s="1"/>
  <c r="G109" i="1" a="1"/>
  <c r="G109" i="1"/>
  <c r="F109" i="1" a="1"/>
  <c r="F109" i="1"/>
  <c r="E109" i="1" a="1"/>
  <c r="E109" i="1"/>
  <c r="C109" i="1" a="1"/>
  <c r="C109" i="1"/>
  <c r="W108" i="1"/>
  <c r="S108" i="1" s="1"/>
  <c r="V108" i="1"/>
  <c r="U108" i="1"/>
  <c r="M108" i="1"/>
  <c r="J108" i="1"/>
  <c r="H108" i="1" a="1"/>
  <c r="H108" i="1"/>
  <c r="G108" i="1" a="1"/>
  <c r="G108" i="1" s="1"/>
  <c r="L108" i="1" s="1"/>
  <c r="F108" i="1" a="1"/>
  <c r="F108" i="1" s="1"/>
  <c r="E108" i="1" a="1"/>
  <c r="E108" i="1" s="1"/>
  <c r="C108" i="1" a="1"/>
  <c r="C108" i="1" s="1"/>
  <c r="W107" i="1"/>
  <c r="V107" i="1"/>
  <c r="U107" i="1"/>
  <c r="W106" i="1"/>
  <c r="V106" i="1"/>
  <c r="U106" i="1"/>
  <c r="M106" i="1" s="1"/>
  <c r="J106" i="1"/>
  <c r="H106" i="1" a="1"/>
  <c r="H106" i="1"/>
  <c r="G106" i="1" a="1"/>
  <c r="G106" i="1" s="1"/>
  <c r="F106" i="1" a="1"/>
  <c r="F106" i="1" s="1"/>
  <c r="E106" i="1" a="1"/>
  <c r="E106" i="1"/>
  <c r="C106" i="1" a="1"/>
  <c r="C106" i="1" s="1"/>
  <c r="B106" i="1" a="1"/>
  <c r="B106" i="1"/>
  <c r="W105" i="1"/>
  <c r="F105" i="1" s="1" a="1"/>
  <c r="F105" i="1" s="1"/>
  <c r="V105" i="1"/>
  <c r="U105" i="1"/>
  <c r="W104" i="1"/>
  <c r="V104" i="1"/>
  <c r="U104" i="1"/>
  <c r="J104" i="1"/>
  <c r="H104" i="1" a="1"/>
  <c r="H104" i="1"/>
  <c r="F104" i="1" a="1"/>
  <c r="F104" i="1" s="1"/>
  <c r="E104" i="1" a="1"/>
  <c r="E104" i="1" s="1"/>
  <c r="C104" i="1" a="1"/>
  <c r="C104" i="1"/>
  <c r="B104" i="1" a="1"/>
  <c r="B104" i="1" s="1"/>
  <c r="W103" i="1"/>
  <c r="E103" i="1" s="1" a="1"/>
  <c r="E103" i="1" s="1"/>
  <c r="V103" i="1"/>
  <c r="U103" i="1"/>
  <c r="W102" i="1"/>
  <c r="V102" i="1"/>
  <c r="U102" i="1"/>
  <c r="H102" i="1" a="1"/>
  <c r="H102" i="1"/>
  <c r="G102" i="1" a="1"/>
  <c r="G102" i="1"/>
  <c r="W101" i="1"/>
  <c r="V101" i="1"/>
  <c r="U101" i="1"/>
  <c r="M101" i="1" s="1"/>
  <c r="J101" i="1"/>
  <c r="K101" i="1" s="1"/>
  <c r="I101" i="1"/>
  <c r="H101" i="1" a="1"/>
  <c r="H101" i="1" s="1"/>
  <c r="F101" i="1" a="1"/>
  <c r="F101" i="1" s="1"/>
  <c r="C101" i="1" a="1"/>
  <c r="C101" i="1" s="1"/>
  <c r="W100" i="1"/>
  <c r="V100" i="1"/>
  <c r="U100" i="1"/>
  <c r="J100" i="1"/>
  <c r="H100" i="1" a="1"/>
  <c r="H100" i="1" s="1"/>
  <c r="C100" i="1" a="1"/>
  <c r="C100" i="1" s="1"/>
  <c r="W99" i="1"/>
  <c r="V99" i="1"/>
  <c r="U99" i="1"/>
  <c r="G99" i="1" a="1"/>
  <c r="G99" i="1"/>
  <c r="E99" i="1" a="1"/>
  <c r="E99" i="1"/>
  <c r="B99" i="1" a="1"/>
  <c r="B99" i="1"/>
  <c r="W98" i="1"/>
  <c r="V98" i="1"/>
  <c r="U98" i="1"/>
  <c r="J98" i="1"/>
  <c r="H98" i="1" a="1"/>
  <c r="H98" i="1" s="1"/>
  <c r="G98" i="1" a="1"/>
  <c r="G98" i="1"/>
  <c r="F98" i="1" a="1"/>
  <c r="F98" i="1"/>
  <c r="E98" i="1" a="1"/>
  <c r="E98" i="1"/>
  <c r="C98" i="1" a="1"/>
  <c r="C98" i="1" s="1"/>
  <c r="W97" i="1"/>
  <c r="V97" i="1"/>
  <c r="U97" i="1"/>
  <c r="M97" i="1" s="1"/>
  <c r="J97" i="1"/>
  <c r="H97" i="1" a="1"/>
  <c r="H97" i="1"/>
  <c r="G97" i="1" a="1"/>
  <c r="G97" i="1" s="1"/>
  <c r="S97" i="1" s="1"/>
  <c r="F97" i="1" a="1"/>
  <c r="F97" i="1"/>
  <c r="C97" i="1" a="1"/>
  <c r="C97" i="1"/>
  <c r="W96" i="1"/>
  <c r="V96" i="1"/>
  <c r="U96" i="1"/>
  <c r="W95" i="1"/>
  <c r="V95" i="1"/>
  <c r="U95" i="1"/>
  <c r="W94" i="1"/>
  <c r="V94" i="1"/>
  <c r="U94" i="1"/>
  <c r="M94" i="1" s="1"/>
  <c r="J94" i="1"/>
  <c r="H94" i="1" a="1"/>
  <c r="H94" i="1" s="1"/>
  <c r="G94" i="1" a="1"/>
  <c r="G94" i="1" s="1"/>
  <c r="F94" i="1" a="1"/>
  <c r="F94" i="1" s="1"/>
  <c r="E94" i="1" a="1"/>
  <c r="E94" i="1" s="1"/>
  <c r="C94" i="1" a="1"/>
  <c r="C94" i="1"/>
  <c r="B94" i="1" a="1"/>
  <c r="B94" i="1"/>
  <c r="W93" i="1"/>
  <c r="V93" i="1"/>
  <c r="U93" i="1"/>
  <c r="M93" i="1" s="1"/>
  <c r="H93" i="1" a="1"/>
  <c r="H93" i="1"/>
  <c r="F93" i="1" a="1"/>
  <c r="F93" i="1" s="1"/>
  <c r="C93" i="1" a="1"/>
  <c r="C93" i="1"/>
  <c r="W92" i="1"/>
  <c r="E92" i="1" s="1" a="1"/>
  <c r="E92" i="1" s="1"/>
  <c r="V92" i="1"/>
  <c r="U92" i="1"/>
  <c r="W91" i="1"/>
  <c r="V91" i="1"/>
  <c r="U91" i="1"/>
  <c r="J91" i="1"/>
  <c r="I91" i="1"/>
  <c r="W90" i="1"/>
  <c r="V90" i="1"/>
  <c r="U90" i="1"/>
  <c r="M90" i="1" s="1"/>
  <c r="S90" i="1"/>
  <c r="L90" i="1"/>
  <c r="O90" i="1" s="1"/>
  <c r="J90" i="1"/>
  <c r="H90" i="1" a="1"/>
  <c r="H90" i="1" s="1"/>
  <c r="G90" i="1" a="1"/>
  <c r="G90" i="1" s="1"/>
  <c r="F90" i="1" a="1"/>
  <c r="F90" i="1" s="1"/>
  <c r="E90" i="1" a="1"/>
  <c r="E90" i="1" s="1"/>
  <c r="C90" i="1" a="1"/>
  <c r="C90" i="1" s="1"/>
  <c r="B90" i="1" a="1"/>
  <c r="B90" i="1"/>
  <c r="W89" i="1"/>
  <c r="V89" i="1"/>
  <c r="U89" i="1"/>
  <c r="W88" i="1"/>
  <c r="B88" i="1" s="1" a="1"/>
  <c r="B88" i="1" s="1"/>
  <c r="V88" i="1"/>
  <c r="U88" i="1"/>
  <c r="H88" i="1" a="1"/>
  <c r="H88" i="1"/>
  <c r="G88" i="1" a="1"/>
  <c r="G88" i="1" s="1"/>
  <c r="S88" i="1" s="1"/>
  <c r="W87" i="1"/>
  <c r="S87" i="1" s="1"/>
  <c r="V87" i="1"/>
  <c r="U87" i="1"/>
  <c r="M87" i="1" s="1"/>
  <c r="L87" i="1"/>
  <c r="J87" i="1"/>
  <c r="K87" i="1" s="1"/>
  <c r="I87" i="1"/>
  <c r="G87" i="1" a="1"/>
  <c r="G87" i="1"/>
  <c r="E87" i="1" a="1"/>
  <c r="E87" i="1" s="1"/>
  <c r="C87" i="1" a="1"/>
  <c r="C87" i="1"/>
  <c r="W86" i="1"/>
  <c r="V86" i="1"/>
  <c r="U86" i="1"/>
  <c r="M86" i="1" s="1"/>
  <c r="J86" i="1"/>
  <c r="I86" i="1"/>
  <c r="H86" i="1" a="1"/>
  <c r="H86" i="1" s="1"/>
  <c r="F86" i="1" a="1"/>
  <c r="F86" i="1" s="1"/>
  <c r="C86" i="1" a="1"/>
  <c r="C86" i="1" s="1"/>
  <c r="B86" i="1" a="1"/>
  <c r="B86" i="1"/>
  <c r="W85" i="1"/>
  <c r="V85" i="1"/>
  <c r="U85" i="1"/>
  <c r="M85" i="1"/>
  <c r="F85" i="1" a="1"/>
  <c r="F85" i="1"/>
  <c r="W84" i="1"/>
  <c r="V84" i="1"/>
  <c r="U84" i="1"/>
  <c r="J84" i="1"/>
  <c r="H84" i="1" a="1"/>
  <c r="H84" i="1"/>
  <c r="G84" i="1" a="1"/>
  <c r="G84" i="1"/>
  <c r="F84" i="1" a="1"/>
  <c r="F84" i="1"/>
  <c r="E84" i="1" a="1"/>
  <c r="E84" i="1"/>
  <c r="W83" i="1"/>
  <c r="B83" i="1" s="1" a="1"/>
  <c r="B83" i="1" s="1"/>
  <c r="V83" i="1"/>
  <c r="U83" i="1"/>
  <c r="J83" i="1"/>
  <c r="H83" i="1" a="1"/>
  <c r="H83" i="1"/>
  <c r="G83" i="1" a="1"/>
  <c r="G83" i="1"/>
  <c r="L83" i="1" s="1"/>
  <c r="O83" i="1" s="1"/>
  <c r="W82" i="1"/>
  <c r="V82" i="1"/>
  <c r="U82" i="1"/>
  <c r="W81" i="1"/>
  <c r="V81" i="1"/>
  <c r="U81" i="1"/>
  <c r="W80" i="1"/>
  <c r="G80" i="1" s="1" a="1"/>
  <c r="G80" i="1" s="1"/>
  <c r="L80" i="1" s="1"/>
  <c r="V80" i="1"/>
  <c r="U80" i="1"/>
  <c r="W79" i="1"/>
  <c r="V79" i="1"/>
  <c r="U79" i="1"/>
  <c r="M79" i="1"/>
  <c r="J79" i="1"/>
  <c r="H79" i="1" a="1"/>
  <c r="H79" i="1"/>
  <c r="G79" i="1" a="1"/>
  <c r="G79" i="1" s="1"/>
  <c r="F79" i="1" a="1"/>
  <c r="F79" i="1"/>
  <c r="B79" i="1" a="1"/>
  <c r="B79" i="1"/>
  <c r="W78" i="1"/>
  <c r="V78" i="1"/>
  <c r="M78" i="1" s="1"/>
  <c r="U78" i="1"/>
  <c r="S78" i="1"/>
  <c r="L78" i="1"/>
  <c r="O78" i="1" s="1"/>
  <c r="J78" i="1"/>
  <c r="H78" i="1" a="1"/>
  <c r="H78" i="1" s="1"/>
  <c r="G78" i="1" a="1"/>
  <c r="G78" i="1"/>
  <c r="F78" i="1" a="1"/>
  <c r="F78" i="1" s="1"/>
  <c r="E78" i="1" a="1"/>
  <c r="E78" i="1" s="1"/>
  <c r="C78" i="1" a="1"/>
  <c r="C78" i="1"/>
  <c r="B78" i="1" a="1"/>
  <c r="B78" i="1"/>
  <c r="W77" i="1"/>
  <c r="F77" i="1" s="1" a="1"/>
  <c r="F77" i="1" s="1"/>
  <c r="V77" i="1"/>
  <c r="U77" i="1"/>
  <c r="H77" i="1" a="1"/>
  <c r="H77" i="1"/>
  <c r="W76" i="1"/>
  <c r="S76" i="1" s="1"/>
  <c r="V76" i="1"/>
  <c r="U76" i="1"/>
  <c r="M76" i="1" s="1"/>
  <c r="L76" i="1"/>
  <c r="P76" i="1" s="1"/>
  <c r="J76" i="1"/>
  <c r="H76" i="1" a="1"/>
  <c r="H76" i="1"/>
  <c r="G76" i="1" a="1"/>
  <c r="G76" i="1" s="1"/>
  <c r="F76" i="1" a="1"/>
  <c r="F76" i="1" s="1"/>
  <c r="E76" i="1" a="1"/>
  <c r="E76" i="1" s="1"/>
  <c r="C76" i="1" a="1"/>
  <c r="C76" i="1" s="1"/>
  <c r="W75" i="1"/>
  <c r="V75" i="1"/>
  <c r="U75" i="1"/>
  <c r="M75" i="1" s="1"/>
  <c r="J75" i="1"/>
  <c r="W74" i="1"/>
  <c r="V74" i="1"/>
  <c r="U74" i="1"/>
  <c r="J74" i="1"/>
  <c r="H74" i="1" a="1"/>
  <c r="H74" i="1"/>
  <c r="G74" i="1" a="1"/>
  <c r="G74" i="1"/>
  <c r="L74" i="1" s="1"/>
  <c r="P74" i="1" s="1"/>
  <c r="F74" i="1" a="1"/>
  <c r="F74" i="1" s="1"/>
  <c r="E74" i="1" a="1"/>
  <c r="E74" i="1"/>
  <c r="C74" i="1" a="1"/>
  <c r="C74" i="1" s="1"/>
  <c r="B74" i="1" a="1"/>
  <c r="B74" i="1" s="1"/>
  <c r="W73" i="1"/>
  <c r="V73" i="1"/>
  <c r="U73" i="1"/>
  <c r="H73" i="1" a="1"/>
  <c r="H73" i="1"/>
  <c r="F73" i="1" a="1"/>
  <c r="F73" i="1" s="1"/>
  <c r="W72" i="1"/>
  <c r="V72" i="1"/>
  <c r="U72" i="1"/>
  <c r="J72" i="1"/>
  <c r="H72" i="1" a="1"/>
  <c r="H72" i="1"/>
  <c r="F72" i="1" a="1"/>
  <c r="F72" i="1" s="1"/>
  <c r="E72" i="1" a="1"/>
  <c r="E72" i="1" s="1"/>
  <c r="C72" i="1" a="1"/>
  <c r="C72" i="1"/>
  <c r="B72" i="1" a="1"/>
  <c r="B72" i="1" s="1"/>
  <c r="W71" i="1"/>
  <c r="V71" i="1"/>
  <c r="U71" i="1"/>
  <c r="M71" i="1"/>
  <c r="E71" i="1" a="1"/>
  <c r="E71" i="1"/>
  <c r="W70" i="1"/>
  <c r="H70" i="1" s="1" a="1"/>
  <c r="H70" i="1" s="1"/>
  <c r="V70" i="1"/>
  <c r="U70" i="1"/>
  <c r="G70" i="1" a="1"/>
  <c r="G70" i="1"/>
  <c r="F70" i="1" a="1"/>
  <c r="F70" i="1"/>
  <c r="E70" i="1" a="1"/>
  <c r="E70" i="1"/>
  <c r="C70" i="1" a="1"/>
  <c r="C70" i="1" s="1"/>
  <c r="B70" i="1" a="1"/>
  <c r="B70" i="1" s="1"/>
  <c r="W69" i="1"/>
  <c r="V69" i="1"/>
  <c r="U69" i="1"/>
  <c r="M69" i="1"/>
  <c r="J69" i="1"/>
  <c r="H69" i="1" a="1"/>
  <c r="H69" i="1"/>
  <c r="F69" i="1" a="1"/>
  <c r="F69" i="1" s="1"/>
  <c r="W68" i="1"/>
  <c r="V68" i="1"/>
  <c r="U68" i="1"/>
  <c r="W67" i="1"/>
  <c r="V67" i="1"/>
  <c r="U67" i="1"/>
  <c r="W66" i="1"/>
  <c r="F66" i="1" s="1" a="1"/>
  <c r="F66" i="1" s="1"/>
  <c r="V66" i="1"/>
  <c r="U66" i="1"/>
  <c r="J66" i="1"/>
  <c r="I66" i="1"/>
  <c r="H66" i="1" a="1"/>
  <c r="H66" i="1" s="1"/>
  <c r="G66" i="1" a="1"/>
  <c r="G66" i="1" s="1"/>
  <c r="W65" i="1"/>
  <c r="V65" i="1"/>
  <c r="U65" i="1"/>
  <c r="S65" i="1"/>
  <c r="M65" i="1"/>
  <c r="L65" i="1"/>
  <c r="P65" i="1" s="1"/>
  <c r="J65" i="1"/>
  <c r="K65" i="1" s="1"/>
  <c r="I65" i="1"/>
  <c r="H65" i="1" a="1"/>
  <c r="H65" i="1" s="1"/>
  <c r="G65" i="1" a="1"/>
  <c r="G65" i="1" s="1"/>
  <c r="F65" i="1" a="1"/>
  <c r="F65" i="1"/>
  <c r="W64" i="1"/>
  <c r="V64" i="1"/>
  <c r="U64" i="1"/>
  <c r="M64" i="1"/>
  <c r="E64" i="1" a="1"/>
  <c r="E64" i="1" s="1"/>
  <c r="B64" i="1" a="1"/>
  <c r="B64" i="1"/>
  <c r="W63" i="1"/>
  <c r="V63" i="1"/>
  <c r="U63" i="1"/>
  <c r="G63" i="1" a="1"/>
  <c r="G63" i="1"/>
  <c r="F63" i="1" a="1"/>
  <c r="F63" i="1"/>
  <c r="E63" i="1" a="1"/>
  <c r="E63" i="1"/>
  <c r="W62" i="1"/>
  <c r="V62" i="1"/>
  <c r="U62" i="1"/>
  <c r="M62" i="1"/>
  <c r="J62" i="1"/>
  <c r="H62" i="1" a="1"/>
  <c r="H62" i="1" s="1"/>
  <c r="G62" i="1" a="1"/>
  <c r="G62" i="1"/>
  <c r="S62" i="1" s="1"/>
  <c r="F62" i="1" a="1"/>
  <c r="F62" i="1" s="1"/>
  <c r="E62" i="1" a="1"/>
  <c r="E62" i="1" s="1"/>
  <c r="C62" i="1" a="1"/>
  <c r="C62" i="1"/>
  <c r="B62" i="1" a="1"/>
  <c r="B62" i="1"/>
  <c r="W61" i="1"/>
  <c r="V61" i="1"/>
  <c r="U61" i="1"/>
  <c r="H61" i="1" a="1"/>
  <c r="H61" i="1"/>
  <c r="F61" i="1" a="1"/>
  <c r="F61" i="1" s="1"/>
  <c r="W60" i="1"/>
  <c r="S60" i="1" s="1"/>
  <c r="V60" i="1"/>
  <c r="U60" i="1"/>
  <c r="M60" i="1"/>
  <c r="G60" i="1" a="1"/>
  <c r="G60" i="1" s="1"/>
  <c r="F60" i="1" a="1"/>
  <c r="F60" i="1"/>
  <c r="E60" i="1" a="1"/>
  <c r="E60" i="1" s="1"/>
  <c r="C60" i="1" a="1"/>
  <c r="C60" i="1"/>
  <c r="W59" i="1"/>
  <c r="I59" i="1" s="1"/>
  <c r="V59" i="1"/>
  <c r="U59" i="1"/>
  <c r="J59" i="1"/>
  <c r="G59" i="1" a="1"/>
  <c r="G59" i="1"/>
  <c r="F59" i="1" a="1"/>
  <c r="F59" i="1"/>
  <c r="E59" i="1" a="1"/>
  <c r="E59" i="1"/>
  <c r="C59" i="1" a="1"/>
  <c r="C59" i="1" s="1"/>
  <c r="W58" i="1"/>
  <c r="V58" i="1"/>
  <c r="U58" i="1"/>
  <c r="M58" i="1" s="1"/>
  <c r="S58" i="1"/>
  <c r="P58" i="1"/>
  <c r="O58" i="1"/>
  <c r="L58" i="1"/>
  <c r="J58" i="1"/>
  <c r="K58" i="1" s="1"/>
  <c r="H58" i="1" a="1"/>
  <c r="H58" i="1"/>
  <c r="G58" i="1" a="1"/>
  <c r="G58" i="1"/>
  <c r="F58" i="1" a="1"/>
  <c r="F58" i="1" s="1"/>
  <c r="E58" i="1" a="1"/>
  <c r="E58" i="1"/>
  <c r="C58" i="1" a="1"/>
  <c r="C58" i="1"/>
  <c r="B58" i="1" a="1"/>
  <c r="B58" i="1"/>
  <c r="W57" i="1"/>
  <c r="V57" i="1"/>
  <c r="U57" i="1"/>
  <c r="G57" i="1" a="1"/>
  <c r="G57" i="1"/>
  <c r="S57" i="1" s="1"/>
  <c r="F57" i="1" a="1"/>
  <c r="F57" i="1"/>
  <c r="B57" i="1" a="1"/>
  <c r="B57" i="1" s="1"/>
  <c r="W56" i="1"/>
  <c r="F56" i="1" s="1" a="1"/>
  <c r="F56" i="1" s="1"/>
  <c r="V56" i="1"/>
  <c r="U56" i="1"/>
  <c r="M56" i="1"/>
  <c r="J56" i="1"/>
  <c r="K56" i="1" s="1"/>
  <c r="I56" i="1"/>
  <c r="H56" i="1" a="1"/>
  <c r="H56" i="1"/>
  <c r="G56" i="1" a="1"/>
  <c r="G56" i="1" s="1"/>
  <c r="L56" i="1" s="1"/>
  <c r="E56" i="1" a="1"/>
  <c r="E56" i="1" s="1"/>
  <c r="B56" i="1" a="1"/>
  <c r="B56" i="1"/>
  <c r="W55" i="1"/>
  <c r="V55" i="1"/>
  <c r="U55" i="1"/>
  <c r="M55" i="1"/>
  <c r="F55" i="1" a="1"/>
  <c r="F55" i="1"/>
  <c r="B55" i="1" a="1"/>
  <c r="B55" i="1" s="1"/>
  <c r="W54" i="1"/>
  <c r="V54" i="1"/>
  <c r="U54" i="1"/>
  <c r="J54" i="1"/>
  <c r="H54" i="1" a="1"/>
  <c r="H54" i="1"/>
  <c r="G54" i="1" a="1"/>
  <c r="G54" i="1" s="1"/>
  <c r="L54" i="1" s="1"/>
  <c r="W53" i="1"/>
  <c r="V53" i="1"/>
  <c r="U53" i="1"/>
  <c r="M53" i="1"/>
  <c r="J53" i="1"/>
  <c r="E53" i="1" a="1"/>
  <c r="E53" i="1"/>
  <c r="W52" i="1"/>
  <c r="V52" i="1"/>
  <c r="U52" i="1"/>
  <c r="J52" i="1"/>
  <c r="H52" i="1" a="1"/>
  <c r="H52" i="1"/>
  <c r="G52" i="1" a="1"/>
  <c r="G52" i="1"/>
  <c r="F52" i="1" a="1"/>
  <c r="F52" i="1"/>
  <c r="E52" i="1" a="1"/>
  <c r="E52" i="1" s="1"/>
  <c r="W51" i="1"/>
  <c r="F51" i="1" s="1" a="1"/>
  <c r="F51" i="1" s="1"/>
  <c r="V51" i="1"/>
  <c r="U51" i="1"/>
  <c r="S51" i="1"/>
  <c r="M51" i="1"/>
  <c r="L51" i="1"/>
  <c r="P51" i="1" s="1"/>
  <c r="J51" i="1"/>
  <c r="H51" i="1" a="1"/>
  <c r="H51" i="1" s="1"/>
  <c r="G51" i="1" a="1"/>
  <c r="G51" i="1"/>
  <c r="E51" i="1" a="1"/>
  <c r="E51" i="1"/>
  <c r="C51" i="1" a="1"/>
  <c r="C51" i="1"/>
  <c r="B51" i="1" a="1"/>
  <c r="B51" i="1"/>
  <c r="W50" i="1"/>
  <c r="V50" i="1"/>
  <c r="U50" i="1"/>
  <c r="H50" i="1" a="1"/>
  <c r="H50" i="1"/>
  <c r="G50" i="1" a="1"/>
  <c r="G50" i="1"/>
  <c r="S50" i="1" s="1"/>
  <c r="F50" i="1" a="1"/>
  <c r="F50" i="1"/>
  <c r="W49" i="1"/>
  <c r="F49" i="1" s="1" a="1"/>
  <c r="F49" i="1" s="1"/>
  <c r="V49" i="1"/>
  <c r="U49" i="1"/>
  <c r="L49" i="1"/>
  <c r="P49" i="1" s="1"/>
  <c r="J49" i="1"/>
  <c r="K49" i="1" s="1"/>
  <c r="I49" i="1"/>
  <c r="H49" i="1" a="1"/>
  <c r="H49" i="1"/>
  <c r="G49" i="1" a="1"/>
  <c r="G49" i="1" s="1"/>
  <c r="B49" i="1" a="1"/>
  <c r="B49" i="1" s="1"/>
  <c r="W48" i="1"/>
  <c r="V48" i="1"/>
  <c r="U48" i="1"/>
  <c r="M48" i="1"/>
  <c r="G48" i="1" a="1"/>
  <c r="G48" i="1"/>
  <c r="S48" i="1" s="1"/>
  <c r="F48" i="1" a="1"/>
  <c r="F48" i="1"/>
  <c r="E48" i="1" a="1"/>
  <c r="E48" i="1" s="1"/>
  <c r="W47" i="1"/>
  <c r="V47" i="1"/>
  <c r="U47" i="1"/>
  <c r="J47" i="1"/>
  <c r="H47" i="1" a="1"/>
  <c r="H47" i="1"/>
  <c r="G47" i="1" a="1"/>
  <c r="G47" i="1" s="1"/>
  <c r="L47" i="1" s="1"/>
  <c r="F47" i="1" a="1"/>
  <c r="F47" i="1" s="1"/>
  <c r="E47" i="1" a="1"/>
  <c r="E47" i="1"/>
  <c r="B47" i="1" a="1"/>
  <c r="B47" i="1"/>
  <c r="W46" i="1"/>
  <c r="V46" i="1"/>
  <c r="M46" i="1" s="1"/>
  <c r="U46" i="1"/>
  <c r="F46" i="1" a="1"/>
  <c r="F46" i="1" s="1"/>
  <c r="C46" i="1" a="1"/>
  <c r="C46" i="1"/>
  <c r="B46" i="1" a="1"/>
  <c r="B46" i="1" s="1"/>
  <c r="W45" i="1"/>
  <c r="V45" i="1"/>
  <c r="U45" i="1"/>
  <c r="J45" i="1"/>
  <c r="H45" i="1" a="1"/>
  <c r="H45" i="1"/>
  <c r="G45" i="1" a="1"/>
  <c r="G45" i="1" s="1"/>
  <c r="W44" i="1"/>
  <c r="H44" i="1" s="1" a="1"/>
  <c r="H44" i="1" s="1"/>
  <c r="V44" i="1"/>
  <c r="U44" i="1"/>
  <c r="J44" i="1"/>
  <c r="K44" i="1" s="1"/>
  <c r="I44" i="1"/>
  <c r="G44" i="1" a="1"/>
  <c r="G44" i="1" s="1"/>
  <c r="S44" i="1" s="1"/>
  <c r="E44" i="1" a="1"/>
  <c r="E44" i="1" s="1"/>
  <c r="C44" i="1" a="1"/>
  <c r="C44" i="1"/>
  <c r="B44" i="1" a="1"/>
  <c r="B44" i="1" s="1"/>
  <c r="W43" i="1"/>
  <c r="V43" i="1"/>
  <c r="U43" i="1"/>
  <c r="H43" i="1" a="1"/>
  <c r="H43" i="1"/>
  <c r="G43" i="1" a="1"/>
  <c r="G43" i="1"/>
  <c r="S43" i="1" s="1"/>
  <c r="F43" i="1" a="1"/>
  <c r="F43" i="1" s="1"/>
  <c r="W42" i="1"/>
  <c r="V42" i="1"/>
  <c r="U42" i="1"/>
  <c r="S42" i="1"/>
  <c r="L42" i="1"/>
  <c r="P42" i="1" s="1"/>
  <c r="J42" i="1"/>
  <c r="K42" i="1" s="1"/>
  <c r="I42" i="1"/>
  <c r="H42" i="1" a="1"/>
  <c r="H42" i="1" s="1"/>
  <c r="G42" i="1" a="1"/>
  <c r="G42" i="1"/>
  <c r="F42" i="1" a="1"/>
  <c r="F42" i="1" s="1"/>
  <c r="E42" i="1" a="1"/>
  <c r="E42" i="1"/>
  <c r="C42" i="1" a="1"/>
  <c r="C42" i="1"/>
  <c r="B42" i="1" a="1"/>
  <c r="B42" i="1"/>
  <c r="W41" i="1"/>
  <c r="V41" i="1"/>
  <c r="U41" i="1"/>
  <c r="W40" i="1"/>
  <c r="F40" i="1" s="1" a="1"/>
  <c r="F40" i="1" s="1"/>
  <c r="V40" i="1"/>
  <c r="U40" i="1"/>
  <c r="M40" i="1"/>
  <c r="J40" i="1"/>
  <c r="H40" i="1" a="1"/>
  <c r="H40" i="1"/>
  <c r="G40" i="1" a="1"/>
  <c r="G40" i="1" s="1"/>
  <c r="L40" i="1" s="1"/>
  <c r="E40" i="1" a="1"/>
  <c r="E40" i="1" s="1"/>
  <c r="B40" i="1" a="1"/>
  <c r="B40" i="1"/>
  <c r="W39" i="1"/>
  <c r="E39" i="1" s="1" a="1"/>
  <c r="E39" i="1" s="1"/>
  <c r="V39" i="1"/>
  <c r="U39" i="1"/>
  <c r="W38" i="1"/>
  <c r="F38" i="1" s="1" a="1"/>
  <c r="F38" i="1" s="1"/>
  <c r="V38" i="1"/>
  <c r="U38" i="1"/>
  <c r="W37" i="1"/>
  <c r="C37" i="1" s="1" a="1"/>
  <c r="C37" i="1" s="1"/>
  <c r="V37" i="1"/>
  <c r="U37" i="1"/>
  <c r="M37" i="1"/>
  <c r="W36" i="1"/>
  <c r="V36" i="1"/>
  <c r="U36" i="1"/>
  <c r="J36" i="1"/>
  <c r="I36" i="1"/>
  <c r="H36" i="1" a="1"/>
  <c r="H36" i="1"/>
  <c r="W35" i="1"/>
  <c r="F35" i="1" s="1" a="1"/>
  <c r="F35" i="1" s="1"/>
  <c r="V35" i="1"/>
  <c r="U35" i="1"/>
  <c r="M35" i="1" s="1"/>
  <c r="S35" i="1"/>
  <c r="L35" i="1"/>
  <c r="P35" i="1" s="1"/>
  <c r="J35" i="1"/>
  <c r="H35" i="1" a="1"/>
  <c r="H35" i="1" s="1"/>
  <c r="G35" i="1" a="1"/>
  <c r="G35" i="1"/>
  <c r="E35" i="1" a="1"/>
  <c r="E35" i="1"/>
  <c r="C35" i="1" a="1"/>
  <c r="C35" i="1"/>
  <c r="B35" i="1" a="1"/>
  <c r="B35" i="1"/>
  <c r="W34" i="1"/>
  <c r="V34" i="1"/>
  <c r="U34" i="1"/>
  <c r="H34" i="1" a="1"/>
  <c r="H34" i="1" s="1"/>
  <c r="W33" i="1"/>
  <c r="F33" i="1" s="1" a="1"/>
  <c r="F33" i="1" s="1"/>
  <c r="V33" i="1"/>
  <c r="U33" i="1"/>
  <c r="M33" i="1"/>
  <c r="L33" i="1"/>
  <c r="O33" i="1" s="1"/>
  <c r="J33" i="1"/>
  <c r="H33" i="1" a="1"/>
  <c r="H33" i="1"/>
  <c r="G33" i="1" a="1"/>
  <c r="G33" i="1" s="1"/>
  <c r="B33" i="1" a="1"/>
  <c r="B33" i="1"/>
  <c r="W32" i="1"/>
  <c r="C32" i="1" s="1" a="1"/>
  <c r="C32" i="1" s="1"/>
  <c r="V32" i="1"/>
  <c r="U32" i="1"/>
  <c r="W31" i="1"/>
  <c r="V31" i="1"/>
  <c r="U31" i="1"/>
  <c r="M31" i="1"/>
  <c r="J31" i="1"/>
  <c r="H31" i="1" a="1"/>
  <c r="H31" i="1"/>
  <c r="G31" i="1" a="1"/>
  <c r="G31" i="1" s="1"/>
  <c r="L31" i="1" s="1"/>
  <c r="F31" i="1" a="1"/>
  <c r="F31" i="1" s="1"/>
  <c r="E31" i="1" a="1"/>
  <c r="E31" i="1"/>
  <c r="B31" i="1" a="1"/>
  <c r="B31" i="1"/>
  <c r="W30" i="1"/>
  <c r="E30" i="1" s="1" a="1"/>
  <c r="E30" i="1" s="1"/>
  <c r="V30" i="1"/>
  <c r="U30" i="1"/>
  <c r="W29" i="1"/>
  <c r="V29" i="1"/>
  <c r="U29" i="1"/>
  <c r="W28" i="1"/>
  <c r="H28" i="1" s="1" a="1"/>
  <c r="H28" i="1" s="1"/>
  <c r="V28" i="1"/>
  <c r="U28" i="1"/>
  <c r="S28" i="1"/>
  <c r="M28" i="1"/>
  <c r="J28" i="1"/>
  <c r="G28" i="1" a="1"/>
  <c r="G28" i="1" s="1"/>
  <c r="L28" i="1" s="1"/>
  <c r="E28" i="1" a="1"/>
  <c r="E28" i="1" s="1"/>
  <c r="B28" i="1" a="1"/>
  <c r="B28" i="1"/>
  <c r="W27" i="1"/>
  <c r="V27" i="1"/>
  <c r="U27" i="1"/>
  <c r="I27" i="1"/>
  <c r="W26" i="1"/>
  <c r="V26" i="1"/>
  <c r="U26" i="1"/>
  <c r="S26" i="1"/>
  <c r="P26" i="1"/>
  <c r="O26" i="1"/>
  <c r="M26" i="1"/>
  <c r="L26" i="1"/>
  <c r="J26" i="1"/>
  <c r="H26" i="1" a="1"/>
  <c r="H26" i="1" s="1"/>
  <c r="G26" i="1" a="1"/>
  <c r="G26" i="1"/>
  <c r="F26" i="1" a="1"/>
  <c r="F26" i="1" s="1"/>
  <c r="E26" i="1" a="1"/>
  <c r="E26" i="1"/>
  <c r="B26" i="1" a="1"/>
  <c r="B26" i="1"/>
  <c r="W25" i="1"/>
  <c r="B25" i="1" s="1" a="1"/>
  <c r="B25" i="1" s="1"/>
  <c r="V25" i="1"/>
  <c r="U25" i="1"/>
  <c r="W24" i="1"/>
  <c r="F24" i="1" s="1" a="1"/>
  <c r="F24" i="1" s="1"/>
  <c r="V24" i="1"/>
  <c r="U24" i="1"/>
  <c r="M24" i="1"/>
  <c r="J24" i="1"/>
  <c r="H24" i="1" a="1"/>
  <c r="H24" i="1"/>
  <c r="G24" i="1" a="1"/>
  <c r="G24" i="1"/>
  <c r="L24" i="1" s="1"/>
  <c r="E24" i="1" a="1"/>
  <c r="E24" i="1" s="1"/>
  <c r="B24" i="1" a="1"/>
  <c r="B24" i="1"/>
  <c r="W23" i="1"/>
  <c r="V23" i="1"/>
  <c r="U23" i="1"/>
  <c r="W22" i="1"/>
  <c r="V22" i="1"/>
  <c r="U22" i="1"/>
  <c r="J22" i="1"/>
  <c r="H22" i="1" a="1"/>
  <c r="H22" i="1"/>
  <c r="G22" i="1" a="1"/>
  <c r="G22" i="1"/>
  <c r="L22" i="1" s="1"/>
  <c r="F22" i="1" a="1"/>
  <c r="F22" i="1"/>
  <c r="W21" i="1"/>
  <c r="E21" i="1" s="1" a="1"/>
  <c r="E21" i="1" s="1"/>
  <c r="V21" i="1"/>
  <c r="U21" i="1"/>
  <c r="W20" i="1"/>
  <c r="G20" i="1" s="1" a="1"/>
  <c r="G20" i="1" s="1"/>
  <c r="V20" i="1"/>
  <c r="U20" i="1"/>
  <c r="W19" i="1"/>
  <c r="F19" i="1" s="1" a="1"/>
  <c r="F19" i="1" s="1"/>
  <c r="V19" i="1"/>
  <c r="U19" i="1"/>
  <c r="M19" i="1" s="1"/>
  <c r="S19" i="1"/>
  <c r="P19" i="1"/>
  <c r="L19" i="1"/>
  <c r="O19" i="1" s="1"/>
  <c r="J19" i="1"/>
  <c r="H19" i="1" a="1"/>
  <c r="H19" i="1" s="1"/>
  <c r="G19" i="1" a="1"/>
  <c r="G19" i="1"/>
  <c r="E19" i="1" a="1"/>
  <c r="E19" i="1"/>
  <c r="C19" i="1" a="1"/>
  <c r="C19" i="1"/>
  <c r="B19" i="1" a="1"/>
  <c r="B19" i="1"/>
  <c r="W18" i="1"/>
  <c r="V18" i="1"/>
  <c r="U18" i="1"/>
  <c r="W17" i="1"/>
  <c r="F17" i="1" s="1" a="1"/>
  <c r="F17" i="1" s="1"/>
  <c r="V17" i="1"/>
  <c r="U17" i="1"/>
  <c r="M17" i="1"/>
  <c r="J17" i="1"/>
  <c r="H17" i="1" a="1"/>
  <c r="H17" i="1"/>
  <c r="G17" i="1" a="1"/>
  <c r="G17" i="1" s="1"/>
  <c r="L17" i="1" s="1"/>
  <c r="B17" i="1" a="1"/>
  <c r="B17" i="1"/>
  <c r="W16" i="1"/>
  <c r="G16" i="1" s="1" a="1"/>
  <c r="G16" i="1" s="1"/>
  <c r="V16" i="1"/>
  <c r="U16" i="1"/>
  <c r="W15" i="1"/>
  <c r="S15" i="1" s="1"/>
  <c r="V15" i="1"/>
  <c r="U15" i="1"/>
  <c r="M15" i="1"/>
  <c r="J15" i="1"/>
  <c r="H15" i="1" a="1"/>
  <c r="H15" i="1"/>
  <c r="G15" i="1" a="1"/>
  <c r="G15" i="1"/>
  <c r="L15" i="1" s="1"/>
  <c r="F15" i="1" a="1"/>
  <c r="F15" i="1" s="1"/>
  <c r="E15" i="1" a="1"/>
  <c r="E15" i="1"/>
  <c r="B15" i="1" a="1"/>
  <c r="B15" i="1"/>
  <c r="W14" i="1"/>
  <c r="V14" i="1"/>
  <c r="U14" i="1"/>
  <c r="M14" i="1"/>
  <c r="F14" i="1" a="1"/>
  <c r="F14" i="1"/>
  <c r="E14" i="1" a="1"/>
  <c r="E14" i="1"/>
  <c r="B14" i="1" a="1"/>
  <c r="B14" i="1" s="1"/>
  <c r="W13" i="1"/>
  <c r="V13" i="1"/>
  <c r="U13" i="1"/>
  <c r="J13" i="1"/>
  <c r="H13" i="1" a="1"/>
  <c r="H13" i="1"/>
  <c r="G13" i="1" a="1"/>
  <c r="G13" i="1"/>
  <c r="F13" i="1" a="1"/>
  <c r="F13" i="1"/>
  <c r="E13" i="1" a="1"/>
  <c r="E13" i="1" s="1"/>
  <c r="W12" i="1"/>
  <c r="H12" i="1" s="1" a="1"/>
  <c r="H12" i="1" s="1"/>
  <c r="V12" i="1"/>
  <c r="U12" i="1"/>
  <c r="J12" i="1"/>
  <c r="G12" i="1" a="1"/>
  <c r="G12" i="1" s="1"/>
  <c r="S12" i="1" s="1"/>
  <c r="E12" i="1" a="1"/>
  <c r="E12" i="1"/>
  <c r="C12" i="1" a="1"/>
  <c r="C12" i="1"/>
  <c r="B12" i="1" a="1"/>
  <c r="B12" i="1"/>
  <c r="W11" i="1"/>
  <c r="V11" i="1"/>
  <c r="U11" i="1"/>
  <c r="H11" i="1" a="1"/>
  <c r="H11" i="1" s="1"/>
  <c r="G11" i="1" a="1"/>
  <c r="G11" i="1"/>
  <c r="S11" i="1" s="1"/>
  <c r="F11" i="1" a="1"/>
  <c r="F11" i="1"/>
  <c r="E11" i="1" a="1"/>
  <c r="E11" i="1"/>
  <c r="C11" i="1" a="1"/>
  <c r="C11" i="1"/>
  <c r="W10" i="1"/>
  <c r="F10" i="1" s="1" a="1"/>
  <c r="F10" i="1" s="1"/>
  <c r="V10" i="1"/>
  <c r="M10" i="1" s="1"/>
  <c r="U10" i="1"/>
  <c r="H10" i="1" a="1"/>
  <c r="H10" i="1"/>
  <c r="G10" i="1" a="1"/>
  <c r="G10" i="1"/>
  <c r="L10" i="1" s="1"/>
  <c r="E10" i="1" a="1"/>
  <c r="E10" i="1" s="1"/>
  <c r="B10" i="1" a="1"/>
  <c r="B10" i="1"/>
  <c r="W9" i="1"/>
  <c r="E9" i="1" s="1" a="1"/>
  <c r="E9" i="1" s="1"/>
  <c r="V9" i="1"/>
  <c r="U9" i="1"/>
  <c r="W8" i="1"/>
  <c r="E8" i="1" s="1" a="1"/>
  <c r="E8" i="1" s="1"/>
  <c r="V8" i="1"/>
  <c r="U8" i="1"/>
  <c r="W7" i="1"/>
  <c r="G7" i="1" s="1" a="1"/>
  <c r="G7" i="1" s="1"/>
  <c r="L7" i="1" s="1"/>
  <c r="V7" i="1"/>
  <c r="U7" i="1"/>
  <c r="S7" i="1"/>
  <c r="H7" i="1" a="1"/>
  <c r="H7" i="1"/>
  <c r="F7" i="1" a="1"/>
  <c r="F7" i="1" s="1"/>
  <c r="C7" i="1" a="1"/>
  <c r="C7" i="1"/>
  <c r="B7" i="1" a="1"/>
  <c r="B7" i="1"/>
  <c r="W6" i="1"/>
  <c r="V6" i="1"/>
  <c r="U6" i="1"/>
  <c r="W5" i="1"/>
  <c r="S5" i="1" s="1"/>
  <c r="V5" i="1"/>
  <c r="U5" i="1"/>
  <c r="H5" i="1" a="1"/>
  <c r="H5" i="1"/>
  <c r="G5" i="1" a="1"/>
  <c r="G5" i="1"/>
  <c r="L5" i="1" s="1"/>
  <c r="F5" i="1" a="1"/>
  <c r="F5" i="1"/>
  <c r="E5" i="1" a="1"/>
  <c r="E5" i="1"/>
  <c r="C5" i="1" a="1"/>
  <c r="C5" i="1" s="1"/>
  <c r="B5" i="1" a="1"/>
  <c r="B5" i="1"/>
  <c r="W4" i="1"/>
  <c r="V4" i="1"/>
  <c r="U4" i="1"/>
  <c r="W3" i="1"/>
  <c r="V3" i="1"/>
  <c r="U3" i="1"/>
  <c r="W2" i="1"/>
  <c r="F2" i="1" s="1" a="1"/>
  <c r="F2" i="1" s="1"/>
  <c r="V2" i="1"/>
  <c r="M2" i="1" s="1"/>
  <c r="U2" i="1"/>
  <c r="H2" i="1" a="1"/>
  <c r="H2" i="1"/>
  <c r="G2" i="1" a="1"/>
  <c r="G2" i="1"/>
  <c r="L2" i="1" s="1"/>
  <c r="E2" i="1" a="1"/>
  <c r="E2" i="1" s="1"/>
  <c r="B2" i="1" a="1"/>
  <c r="B2" i="1"/>
  <c r="C1" i="5"/>
  <c r="H112" i="11" l="1" a="1"/>
  <c r="H112" i="11" s="1"/>
  <c r="L112" i="11" a="1"/>
  <c r="L112" i="11" s="1"/>
  <c r="H43" i="11" a="1"/>
  <c r="H43" i="11" s="1"/>
  <c r="L43" i="11" a="1"/>
  <c r="L43" i="11" s="1"/>
  <c r="B83" i="11"/>
  <c r="B192" i="11"/>
  <c r="B205" i="11"/>
  <c r="M5" i="1"/>
  <c r="L146" i="11" a="1"/>
  <c r="L146" i="11" s="1"/>
  <c r="B203" i="11"/>
  <c r="B409" i="11"/>
  <c r="L447" i="11" a="1"/>
  <c r="L447" i="11" s="1"/>
  <c r="B314" i="11"/>
  <c r="H275" i="11" a="1"/>
  <c r="H275" i="11" s="1"/>
  <c r="V147" i="3" a="1"/>
  <c r="V147" i="3" s="1"/>
  <c r="B56" i="11"/>
  <c r="B49" i="11"/>
  <c r="B325" i="11"/>
  <c r="B345" i="11"/>
  <c r="M125" i="1"/>
  <c r="B3" i="16"/>
  <c r="H424" i="11" a="1"/>
  <c r="H424" i="11" s="1"/>
  <c r="M61" i="1"/>
  <c r="M115" i="1"/>
  <c r="V155" i="3" a="1"/>
  <c r="V155" i="3" s="1"/>
  <c r="L50" i="11" a="1"/>
  <c r="L50" i="11" s="1"/>
  <c r="B300" i="11"/>
  <c r="L328" i="11" a="1"/>
  <c r="L328" i="11" s="1"/>
  <c r="B339" i="11"/>
  <c r="L406" i="11" a="1"/>
  <c r="L406" i="11" s="1"/>
  <c r="T3" i="16"/>
  <c r="H439" i="11" a="1"/>
  <c r="H439" i="11" s="1"/>
  <c r="B6" i="11"/>
  <c r="L92" i="11" a="1"/>
  <c r="L92" i="11" s="1"/>
  <c r="E44" i="2" a="1"/>
  <c r="E44" i="2" s="1"/>
  <c r="E20" i="2" a="1"/>
  <c r="E20" i="2" s="1"/>
  <c r="V62" i="3" a="1"/>
  <c r="V62" i="3" s="1"/>
  <c r="V176" i="3" a="1"/>
  <c r="V176" i="3" s="1"/>
  <c r="V445" i="3" a="1"/>
  <c r="V445" i="3" s="1"/>
  <c r="B31" i="11"/>
  <c r="B33" i="11"/>
  <c r="L44" i="11" a="1"/>
  <c r="L44" i="11" s="1"/>
  <c r="B46" i="11"/>
  <c r="B91" i="11"/>
  <c r="B117" i="11"/>
  <c r="L206" i="11" a="1"/>
  <c r="L206" i="11" s="1"/>
  <c r="L333" i="11" a="1"/>
  <c r="L333" i="11" s="1"/>
  <c r="B431" i="11"/>
  <c r="Z3" i="16"/>
  <c r="M44" i="1"/>
  <c r="V59" i="3" a="1"/>
  <c r="V59" i="3" s="1"/>
  <c r="M47" i="1"/>
  <c r="M111" i="1"/>
  <c r="V241" i="3" a="1"/>
  <c r="V241" i="3" s="1"/>
  <c r="V292" i="3" a="1"/>
  <c r="V292" i="3" s="1"/>
  <c r="H392" i="11" a="1"/>
  <c r="H392" i="11" s="1"/>
  <c r="H430" i="11" a="1"/>
  <c r="H430" i="11" s="1"/>
  <c r="B44" i="11"/>
  <c r="L96" i="11" a="1"/>
  <c r="L96" i="11" s="1"/>
  <c r="B115" i="11"/>
  <c r="B165" i="11"/>
  <c r="B176" i="11"/>
  <c r="L185" i="11" a="1"/>
  <c r="L185" i="11" s="1"/>
  <c r="L320" i="11" a="1"/>
  <c r="L320" i="11" s="1"/>
  <c r="B333" i="11"/>
  <c r="B335" i="11"/>
  <c r="L374" i="11" a="1"/>
  <c r="L374" i="11" s="1"/>
  <c r="B393" i="11"/>
  <c r="B397" i="11"/>
  <c r="B417" i="11"/>
  <c r="B439" i="11"/>
  <c r="B441" i="11"/>
  <c r="L443" i="11" a="1"/>
  <c r="L443" i="11" s="1"/>
  <c r="AE11" i="16"/>
  <c r="B15" i="11"/>
  <c r="M99" i="1"/>
  <c r="E22" i="2" a="1"/>
  <c r="E22" i="2" s="1"/>
  <c r="K71" i="10"/>
  <c r="B84" i="11"/>
  <c r="L140" i="11" a="1"/>
  <c r="L140" i="11" s="1"/>
  <c r="B293" i="11"/>
  <c r="V60" i="3" a="1"/>
  <c r="V60" i="3" s="1"/>
  <c r="B52" i="11"/>
  <c r="L108" i="11" a="1"/>
  <c r="L108" i="11" s="1"/>
  <c r="L319" i="11" a="1"/>
  <c r="L319" i="11" s="1"/>
  <c r="V53" i="3" a="1"/>
  <c r="V53" i="3" s="1"/>
  <c r="E40" i="2" a="1"/>
  <c r="E40" i="2" s="1"/>
  <c r="V56" i="3" a="1"/>
  <c r="V56" i="3" s="1"/>
  <c r="H140" i="11" a="1"/>
  <c r="H140" i="11" s="1"/>
  <c r="L137" i="11" a="1"/>
  <c r="L137" i="11" s="1"/>
  <c r="B443" i="11"/>
  <c r="D4" i="16"/>
  <c r="B340" i="11"/>
  <c r="M179" i="1"/>
  <c r="L432" i="11" a="1"/>
  <c r="L432" i="11" s="1"/>
  <c r="L207" i="11" a="1"/>
  <c r="L207" i="11" s="1"/>
  <c r="B444" i="11"/>
  <c r="V144" i="3" a="1"/>
  <c r="V144" i="3" s="1"/>
  <c r="V57" i="3" a="1"/>
  <c r="V57" i="3" s="1"/>
  <c r="B182" i="11"/>
  <c r="H423" i="11" a="1"/>
  <c r="H423" i="11" s="1"/>
  <c r="B180" i="11"/>
  <c r="M183" i="1"/>
  <c r="V28" i="3" a="1"/>
  <c r="V28" i="3" s="1"/>
  <c r="V245" i="3" a="1"/>
  <c r="V245" i="3" s="1"/>
  <c r="V246" i="3" a="1"/>
  <c r="V246" i="3" s="1"/>
  <c r="B14" i="11"/>
  <c r="L94" i="11" a="1"/>
  <c r="L94" i="11" s="1"/>
  <c r="L176" i="11" a="1"/>
  <c r="L176" i="11" s="1"/>
  <c r="B183" i="11"/>
  <c r="B200" i="11"/>
  <c r="B283" i="11"/>
  <c r="B292" i="11"/>
  <c r="B367" i="11"/>
  <c r="L372" i="11" a="1"/>
  <c r="L372" i="11" s="1"/>
  <c r="L439" i="11" a="1"/>
  <c r="L439" i="11" s="1"/>
  <c r="M147" i="1"/>
  <c r="M161" i="1"/>
  <c r="B268" i="11"/>
  <c r="L194" i="11" a="1"/>
  <c r="L194" i="11" s="1"/>
  <c r="B71" i="11"/>
  <c r="L308" i="11" a="1"/>
  <c r="L308" i="11" s="1"/>
  <c r="E17" i="2" a="1"/>
  <c r="E17" i="2" s="1"/>
  <c r="B9" i="11"/>
  <c r="M7" i="1"/>
  <c r="M32" i="1"/>
  <c r="M42" i="1"/>
  <c r="M49" i="1"/>
  <c r="M156" i="1"/>
  <c r="M175" i="1"/>
  <c r="E18" i="2" a="1"/>
  <c r="E18" i="2" s="1"/>
  <c r="B36" i="11"/>
  <c r="B66" i="11"/>
  <c r="B70" i="11"/>
  <c r="L81" i="11" a="1"/>
  <c r="L81" i="11" s="1"/>
  <c r="L98" i="11" a="1"/>
  <c r="L98" i="11" s="1"/>
  <c r="B159" i="11"/>
  <c r="H205" i="11" a="1"/>
  <c r="H205" i="11" s="1"/>
  <c r="B209" i="11"/>
  <c r="B224" i="11"/>
  <c r="B235" i="11"/>
  <c r="H246" i="11" a="1"/>
  <c r="H246" i="11" s="1"/>
  <c r="B259" i="11"/>
  <c r="L279" i="11" a="1"/>
  <c r="L279" i="11" s="1"/>
  <c r="L301" i="11" a="1"/>
  <c r="L301" i="11" s="1"/>
  <c r="B329" i="11"/>
  <c r="B342" i="11"/>
  <c r="B346" i="11"/>
  <c r="B361" i="11"/>
  <c r="B385" i="11"/>
  <c r="L393" i="11" a="1"/>
  <c r="L393" i="11" s="1"/>
  <c r="B454" i="11"/>
  <c r="X4" i="16"/>
  <c r="A10" i="16"/>
  <c r="A9" i="16" s="1"/>
  <c r="H49" i="11" a="1"/>
  <c r="H49" i="11" s="1"/>
  <c r="L49" i="11" a="1"/>
  <c r="L49" i="11" s="1"/>
  <c r="H290" i="11" a="1"/>
  <c r="H290" i="11" s="1"/>
  <c r="L290" i="11" a="1"/>
  <c r="L290" i="11" s="1"/>
  <c r="V150" i="3" a="1"/>
  <c r="V150" i="3" s="1"/>
  <c r="V153" i="3" a="1"/>
  <c r="V153" i="3" s="1"/>
  <c r="V214" i="3" a="1"/>
  <c r="V214" i="3" s="1"/>
  <c r="V209" i="3" a="1"/>
  <c r="V209" i="3" s="1"/>
  <c r="L252" i="11" a="1"/>
  <c r="L252" i="11" s="1"/>
  <c r="B372" i="11"/>
  <c r="J11" i="16"/>
  <c r="J10" i="16"/>
  <c r="B199" i="11"/>
  <c r="V216" i="3" a="1"/>
  <c r="V216" i="3" s="1"/>
  <c r="A4" i="16"/>
  <c r="A1" i="16" s="1"/>
  <c r="A3" i="16"/>
  <c r="A2" i="16" s="1"/>
  <c r="F10" i="16"/>
  <c r="E37" i="10"/>
  <c r="B281" i="11"/>
  <c r="B429" i="11"/>
  <c r="E14" i="2" a="1"/>
  <c r="E14" i="2" s="1"/>
  <c r="V67" i="3" a="1"/>
  <c r="V67" i="3" s="1"/>
  <c r="L20" i="11" a="1"/>
  <c r="L20" i="11" s="1"/>
  <c r="H24" i="11" a="1"/>
  <c r="H24" i="11" s="1"/>
  <c r="B120" i="11"/>
  <c r="B173" i="11"/>
  <c r="B196" i="11"/>
  <c r="B234" i="11"/>
  <c r="B273" i="11"/>
  <c r="B303" i="11"/>
  <c r="H390" i="11" a="1"/>
  <c r="H390" i="11" s="1"/>
  <c r="Y3" i="16"/>
  <c r="X10" i="16"/>
  <c r="L17" i="11" a="1"/>
  <c r="L17" i="11" s="1"/>
  <c r="H17" i="11" a="1"/>
  <c r="H17" i="11" s="1"/>
  <c r="L66" i="11" a="1"/>
  <c r="L66" i="11" s="1"/>
  <c r="B195" i="11"/>
  <c r="B313" i="11"/>
  <c r="B244" i="11"/>
  <c r="G10" i="16"/>
  <c r="C3" i="16"/>
  <c r="C4" i="16"/>
  <c r="H10" i="16"/>
  <c r="H416" i="11" a="1"/>
  <c r="H416" i="11" s="1"/>
  <c r="U11" i="16"/>
  <c r="M121" i="1"/>
  <c r="L171" i="11" a="1"/>
  <c r="L171" i="11" s="1"/>
  <c r="H171" i="11" a="1"/>
  <c r="H171" i="11" s="1"/>
  <c r="V78" i="3" a="1"/>
  <c r="V78" i="3" s="1"/>
  <c r="V83" i="3" a="1"/>
  <c r="V83" i="3" s="1"/>
  <c r="V210" i="3" a="1"/>
  <c r="V210" i="3" s="1"/>
  <c r="H93" i="11" a="1"/>
  <c r="H93" i="11" s="1"/>
  <c r="L93" i="11" a="1"/>
  <c r="L93" i="11" s="1"/>
  <c r="L158" i="11" a="1"/>
  <c r="L158" i="11" s="1"/>
  <c r="L269" i="11" a="1"/>
  <c r="L269" i="11" s="1"/>
  <c r="B299" i="11"/>
  <c r="B331" i="11"/>
  <c r="B352" i="11"/>
  <c r="B356" i="11"/>
  <c r="B384" i="11"/>
  <c r="B388" i="11"/>
  <c r="Z10" i="16"/>
  <c r="N3" i="16"/>
  <c r="N4" i="16"/>
  <c r="AK11" i="16"/>
  <c r="AK10" i="16"/>
  <c r="B458" i="11"/>
  <c r="M12" i="1"/>
  <c r="V198" i="3" a="1"/>
  <c r="V198" i="3" s="1"/>
  <c r="L131" i="11" a="1"/>
  <c r="L131" i="11" s="1"/>
  <c r="B404" i="11"/>
  <c r="H36" i="11" a="1"/>
  <c r="H36" i="11" s="1"/>
  <c r="B311" i="11"/>
  <c r="V175" i="3" a="1"/>
  <c r="V175" i="3" s="1"/>
  <c r="V170" i="3" a="1"/>
  <c r="V170" i="3" s="1"/>
  <c r="B59" i="11"/>
  <c r="V88" i="3" a="1"/>
  <c r="V88" i="3" s="1"/>
  <c r="H55" i="11" a="1"/>
  <c r="H55" i="11" s="1"/>
  <c r="L332" i="11" a="1"/>
  <c r="L332" i="11" s="1"/>
  <c r="M83" i="1"/>
  <c r="B8" i="11"/>
  <c r="H15" i="11" a="1"/>
  <c r="H15" i="11" s="1"/>
  <c r="B17" i="11"/>
  <c r="H47" i="11" a="1"/>
  <c r="H47" i="11" s="1"/>
  <c r="B95" i="11"/>
  <c r="B116" i="11"/>
  <c r="B148" i="11"/>
  <c r="B150" i="11"/>
  <c r="B269" i="11"/>
  <c r="B369" i="11"/>
  <c r="B371" i="11"/>
  <c r="AA10" i="16"/>
  <c r="V51" i="3" a="1"/>
  <c r="V51" i="3" s="1"/>
  <c r="V48" i="3" a="1"/>
  <c r="V48" i="3" s="1"/>
  <c r="B104" i="11"/>
  <c r="L70" i="11" a="1"/>
  <c r="L70" i="11" s="1"/>
  <c r="B216" i="11"/>
  <c r="H402" i="11" a="1"/>
  <c r="H402" i="11" s="1"/>
  <c r="B132" i="11"/>
  <c r="P3" i="16"/>
  <c r="B61" i="11"/>
  <c r="B130" i="11"/>
  <c r="B275" i="11"/>
  <c r="B307" i="11"/>
  <c r="L341" i="11" a="1"/>
  <c r="L341" i="11" s="1"/>
  <c r="H341" i="11" a="1"/>
  <c r="H341" i="11" s="1"/>
  <c r="L425" i="11" a="1"/>
  <c r="L425" i="11" s="1"/>
  <c r="Q3" i="16"/>
  <c r="K11" i="16"/>
  <c r="K10" i="16"/>
  <c r="V72" i="3" a="1"/>
  <c r="V72" i="3" s="1"/>
  <c r="V94" i="3" a="1"/>
  <c r="V94" i="3" s="1"/>
  <c r="L217" i="11" a="1"/>
  <c r="L217" i="11" s="1"/>
  <c r="H217" i="11" a="1"/>
  <c r="H217" i="11" s="1"/>
  <c r="B455" i="11"/>
  <c r="R3" i="16"/>
  <c r="V11" i="16"/>
  <c r="V70" i="3" a="1"/>
  <c r="V70" i="3" s="1"/>
  <c r="E57" i="10"/>
  <c r="B141" i="11"/>
  <c r="W11" i="16"/>
  <c r="V256" i="3" a="1"/>
  <c r="V256" i="3" s="1"/>
  <c r="B93" i="11"/>
  <c r="B114" i="11"/>
  <c r="B228" i="11"/>
  <c r="L265" i="11" a="1"/>
  <c r="L265" i="11" s="1"/>
  <c r="B297" i="11"/>
  <c r="B430" i="11"/>
  <c r="AJ11" i="16"/>
  <c r="AJ10" i="16"/>
  <c r="B157" i="11"/>
  <c r="V50" i="3" a="1"/>
  <c r="V50" i="3" s="1"/>
  <c r="V152" i="3" a="1"/>
  <c r="V152" i="3" s="1"/>
  <c r="B40" i="11"/>
  <c r="B189" i="11"/>
  <c r="B246" i="11"/>
  <c r="B187" i="11"/>
  <c r="B425" i="11"/>
  <c r="H128" i="11" a="1"/>
  <c r="H128" i="11" s="1"/>
  <c r="L128" i="11" a="1"/>
  <c r="L128" i="11" s="1"/>
  <c r="V366" i="3" a="1"/>
  <c r="V366" i="3" s="1"/>
  <c r="V96" i="3" a="1"/>
  <c r="V96" i="3" s="1"/>
  <c r="B68" i="11"/>
  <c r="L116" i="11" a="1"/>
  <c r="L116" i="11" s="1"/>
  <c r="B144" i="11"/>
  <c r="B161" i="11"/>
  <c r="L205" i="11" a="1"/>
  <c r="L205" i="11" s="1"/>
  <c r="L222" i="11" a="1"/>
  <c r="L222" i="11" s="1"/>
  <c r="B226" i="11"/>
  <c r="B267" i="11"/>
  <c r="L321" i="11" a="1"/>
  <c r="L321" i="11" s="1"/>
  <c r="L342" i="11" a="1"/>
  <c r="L342" i="11" s="1"/>
  <c r="L344" i="11" a="1"/>
  <c r="L344" i="11" s="1"/>
  <c r="B416" i="11"/>
  <c r="H434" i="11" a="1"/>
  <c r="H434" i="11" s="1"/>
  <c r="AB4" i="16"/>
  <c r="AB3" i="16"/>
  <c r="V204" i="3" a="1"/>
  <c r="V204" i="3" s="1"/>
  <c r="V197" i="3" a="1"/>
  <c r="V197" i="3" s="1"/>
  <c r="V186" i="3" a="1"/>
  <c r="V186" i="3" s="1"/>
  <c r="V181" i="3" a="1"/>
  <c r="V181" i="3" s="1"/>
  <c r="V192" i="3" a="1"/>
  <c r="V192" i="3" s="1"/>
  <c r="V183" i="3" a="1"/>
  <c r="V183" i="3" s="1"/>
  <c r="V203" i="3" a="1"/>
  <c r="V203" i="3" s="1"/>
  <c r="V187" i="3" a="1"/>
  <c r="V187" i="3" s="1"/>
  <c r="B434" i="11"/>
  <c r="V91" i="3" a="1"/>
  <c r="V91" i="3" s="1"/>
  <c r="V89" i="3" a="1"/>
  <c r="V89" i="3" s="1"/>
  <c r="V92" i="3" a="1"/>
  <c r="V92" i="3" s="1"/>
  <c r="V64" i="3" a="1"/>
  <c r="V64" i="3" s="1"/>
  <c r="V100" i="3" a="1"/>
  <c r="V100" i="3" s="1"/>
  <c r="V75" i="3" a="1"/>
  <c r="V75" i="3" s="1"/>
  <c r="V73" i="3" a="1"/>
  <c r="V73" i="3" s="1"/>
  <c r="E10" i="16"/>
  <c r="H370" i="11" a="1"/>
  <c r="H370" i="11" s="1"/>
  <c r="B109" i="11"/>
  <c r="V76" i="3" a="1"/>
  <c r="V76" i="3" s="1"/>
  <c r="V199" i="3" a="1"/>
  <c r="V199" i="3" s="1"/>
  <c r="B107" i="11"/>
  <c r="H123" i="11" a="1"/>
  <c r="H123" i="11" s="1"/>
  <c r="V37" i="3" a="1"/>
  <c r="V37" i="3" s="1"/>
  <c r="V39" i="3" a="1"/>
  <c r="V39" i="3" s="1"/>
  <c r="V36" i="3" a="1"/>
  <c r="V36" i="3" s="1"/>
  <c r="H332" i="11" a="1"/>
  <c r="H332" i="11" s="1"/>
  <c r="M110" i="1"/>
  <c r="V193" i="3" a="1"/>
  <c r="V193" i="3" s="1"/>
  <c r="B143" i="11"/>
  <c r="B12" i="11"/>
  <c r="M4" i="1"/>
  <c r="V71" i="3" a="1"/>
  <c r="V71" i="3" s="1"/>
  <c r="V162" i="3" a="1"/>
  <c r="V162" i="3" s="1"/>
  <c r="V217" i="3" a="1"/>
  <c r="V217" i="3" s="1"/>
  <c r="V338" i="3" a="1"/>
  <c r="V338" i="3" s="1"/>
  <c r="L4" i="11" a="1"/>
  <c r="L4" i="11" s="1"/>
  <c r="H39" i="11" a="1"/>
  <c r="H39" i="11" s="1"/>
  <c r="H199" i="11" a="1"/>
  <c r="H199" i="11" s="1"/>
  <c r="B201" i="11"/>
  <c r="B222" i="11"/>
  <c r="B237" i="11"/>
  <c r="B265" i="11"/>
  <c r="B344" i="11"/>
  <c r="L350" i="11" a="1"/>
  <c r="L350" i="11" s="1"/>
  <c r="B365" i="11"/>
  <c r="H412" i="11" a="1"/>
  <c r="H412" i="11" s="1"/>
  <c r="L430" i="11" a="1"/>
  <c r="L430" i="11" s="1"/>
  <c r="B463" i="11"/>
  <c r="S4" i="16"/>
  <c r="AC4" i="16"/>
  <c r="AC3" i="16"/>
  <c r="AG10" i="16"/>
  <c r="M170" i="1"/>
  <c r="V47" i="3" a="1"/>
  <c r="V47" i="3" s="1"/>
  <c r="H96" i="11" a="1"/>
  <c r="H96" i="11" s="1"/>
  <c r="B19" i="11"/>
  <c r="B77" i="11"/>
  <c r="B81" i="11"/>
  <c r="B99" i="11"/>
  <c r="B153" i="11"/>
  <c r="B175" i="11"/>
  <c r="B177" i="11"/>
  <c r="B219" i="11"/>
  <c r="B221" i="11"/>
  <c r="B247" i="11"/>
  <c r="B288" i="11"/>
  <c r="B320" i="11"/>
  <c r="L358" i="11" a="1"/>
  <c r="L358" i="11" s="1"/>
  <c r="L390" i="11" a="1"/>
  <c r="L390" i="11" s="1"/>
  <c r="B418" i="11"/>
  <c r="B440" i="11"/>
  <c r="M174" i="1"/>
  <c r="V160" i="3" a="1"/>
  <c r="V160" i="3" s="1"/>
  <c r="V627" i="3" a="1"/>
  <c r="V627" i="3" s="1"/>
  <c r="B23" i="11"/>
  <c r="H35" i="11" a="1"/>
  <c r="H35" i="11" s="1"/>
  <c r="B69" i="11"/>
  <c r="B79" i="11"/>
  <c r="B103" i="11"/>
  <c r="B105" i="11"/>
  <c r="L107" i="11" a="1"/>
  <c r="L107" i="11" s="1"/>
  <c r="B125" i="11"/>
  <c r="B215" i="11"/>
  <c r="B241" i="11"/>
  <c r="B276" i="11"/>
  <c r="B278" i="11"/>
  <c r="L429" i="11" a="1"/>
  <c r="L429" i="11" s="1"/>
  <c r="L436" i="11" a="1"/>
  <c r="L436" i="11" s="1"/>
  <c r="AF11" i="16"/>
  <c r="V191" i="3" a="1"/>
  <c r="V191" i="3" s="1"/>
  <c r="L48" i="11" a="1"/>
  <c r="L48" i="11" s="1"/>
  <c r="L192" i="11" a="1"/>
  <c r="L192" i="11" s="1"/>
  <c r="L221" i="11" a="1"/>
  <c r="L221" i="11" s="1"/>
  <c r="H294" i="11" a="1"/>
  <c r="H294" i="11" s="1"/>
  <c r="B298" i="11"/>
  <c r="B316" i="11"/>
  <c r="B426" i="11"/>
  <c r="M135" i="1"/>
  <c r="V46" i="3" a="1"/>
  <c r="V46" i="3" s="1"/>
  <c r="H438" i="11" a="1"/>
  <c r="H438" i="11" s="1"/>
  <c r="B25" i="11"/>
  <c r="B29" i="11"/>
  <c r="B54" i="11"/>
  <c r="B60" i="11"/>
  <c r="B127" i="11"/>
  <c r="B129" i="11"/>
  <c r="B188" i="11"/>
  <c r="B190" i="11"/>
  <c r="B223" i="11"/>
  <c r="B227" i="11"/>
  <c r="B229" i="11"/>
  <c r="B266" i="11"/>
  <c r="B308" i="11"/>
  <c r="B343" i="11"/>
  <c r="B383" i="11"/>
  <c r="B459" i="11"/>
  <c r="B11" i="16"/>
  <c r="M74" i="1"/>
  <c r="M138" i="1"/>
  <c r="M182" i="1"/>
  <c r="H153" i="11" a="1"/>
  <c r="H153" i="11" s="1"/>
  <c r="O14" i="10"/>
  <c r="B7" i="11"/>
  <c r="L21" i="11" a="1"/>
  <c r="L21" i="11" s="1"/>
  <c r="B27" i="11"/>
  <c r="B43" i="11"/>
  <c r="L47" i="11" a="1"/>
  <c r="L47" i="11" s="1"/>
  <c r="B206" i="11"/>
  <c r="L286" i="11" a="1"/>
  <c r="L286" i="11" s="1"/>
  <c r="B349" i="11"/>
  <c r="B363" i="11"/>
  <c r="B405" i="11"/>
  <c r="V45" i="3" a="1"/>
  <c r="V45" i="3" s="1"/>
  <c r="H248" i="11" a="1"/>
  <c r="H248" i="11" s="1"/>
  <c r="B45" i="11"/>
  <c r="B94" i="11"/>
  <c r="B140" i="11"/>
  <c r="B142" i="11"/>
  <c r="B146" i="11"/>
  <c r="B158" i="11"/>
  <c r="B172" i="11"/>
  <c r="B202" i="11"/>
  <c r="B210" i="11"/>
  <c r="B220" i="11"/>
  <c r="B252" i="11"/>
  <c r="B373" i="11"/>
  <c r="B379" i="11"/>
  <c r="B428" i="11"/>
  <c r="B437" i="11"/>
  <c r="M118" i="1"/>
  <c r="E47" i="2" a="1"/>
  <c r="E47" i="2" s="1"/>
  <c r="V182" i="3" a="1"/>
  <c r="V182" i="3" s="1"/>
  <c r="H404" i="11" a="1"/>
  <c r="H404" i="11" s="1"/>
  <c r="H111" i="11" a="1"/>
  <c r="H111" i="11" s="1"/>
  <c r="B18" i="11"/>
  <c r="L62" i="11" a="1"/>
  <c r="L62" i="11" s="1"/>
  <c r="B76" i="11"/>
  <c r="B78" i="11"/>
  <c r="B88" i="11"/>
  <c r="B106" i="11"/>
  <c r="B174" i="11"/>
  <c r="L188" i="11" a="1"/>
  <c r="L188" i="11" s="1"/>
  <c r="B198" i="11"/>
  <c r="B212" i="11"/>
  <c r="B236" i="11"/>
  <c r="L361" i="11" a="1"/>
  <c r="L361" i="11" s="1"/>
  <c r="B387" i="11"/>
  <c r="B389" i="11"/>
  <c r="B399" i="11"/>
  <c r="B411" i="11"/>
  <c r="B435" i="11"/>
  <c r="B449" i="11"/>
  <c r="B461" i="11"/>
  <c r="H3" i="16"/>
  <c r="P108" i="1"/>
  <c r="O108" i="1"/>
  <c r="AB123" i="3"/>
  <c r="Q123" i="3"/>
  <c r="P123" i="3"/>
  <c r="S123" i="3" s="1"/>
  <c r="P47" i="1"/>
  <c r="O47" i="1"/>
  <c r="K72" i="1"/>
  <c r="K126" i="1"/>
  <c r="K144" i="1"/>
  <c r="AB5" i="3"/>
  <c r="Q5" i="3"/>
  <c r="P5" i="3"/>
  <c r="S5" i="3" s="1"/>
  <c r="AE60" i="3"/>
  <c r="AD60" i="3"/>
  <c r="AB94" i="3"/>
  <c r="Q94" i="3"/>
  <c r="P94" i="3"/>
  <c r="S94" i="3" s="1"/>
  <c r="AE169" i="3"/>
  <c r="AD169" i="3"/>
  <c r="P119" i="1"/>
  <c r="O119" i="1"/>
  <c r="Q15" i="3"/>
  <c r="P15" i="3"/>
  <c r="S15" i="3" s="1"/>
  <c r="AB15" i="3"/>
  <c r="P124" i="1"/>
  <c r="K45" i="1"/>
  <c r="P10" i="1"/>
  <c r="O10" i="1"/>
  <c r="S94" i="1"/>
  <c r="L94" i="1"/>
  <c r="P140" i="1"/>
  <c r="O140" i="1"/>
  <c r="K137" i="1"/>
  <c r="P172" i="1"/>
  <c r="O172" i="1"/>
  <c r="K12" i="1"/>
  <c r="O28" i="1"/>
  <c r="P28" i="1"/>
  <c r="P40" i="1"/>
  <c r="O40" i="1"/>
  <c r="AE215" i="3"/>
  <c r="AD215" i="3"/>
  <c r="P31" i="1"/>
  <c r="O31" i="1"/>
  <c r="L106" i="1"/>
  <c r="S106" i="1"/>
  <c r="K136" i="1"/>
  <c r="Q31" i="3"/>
  <c r="P31" i="3"/>
  <c r="S31" i="3" s="1"/>
  <c r="AB31" i="3"/>
  <c r="AB227" i="3"/>
  <c r="Q227" i="3"/>
  <c r="P227" i="3"/>
  <c r="S227" i="3" s="1"/>
  <c r="K62" i="1"/>
  <c r="P56" i="1"/>
  <c r="O56" i="1"/>
  <c r="S178" i="1"/>
  <c r="K139" i="1"/>
  <c r="S190" i="1"/>
  <c r="L190" i="1"/>
  <c r="O2" i="1"/>
  <c r="P2" i="1"/>
  <c r="P179" i="1"/>
  <c r="O179" i="1"/>
  <c r="K190" i="1"/>
  <c r="O5" i="1"/>
  <c r="P5" i="1"/>
  <c r="K47" i="1"/>
  <c r="K69" i="1"/>
  <c r="K94" i="1"/>
  <c r="K176" i="1"/>
  <c r="P15" i="1"/>
  <c r="O15" i="1"/>
  <c r="Q493" i="3"/>
  <c r="P493" i="3"/>
  <c r="S493" i="3" s="1"/>
  <c r="AB493" i="3"/>
  <c r="S158" i="1"/>
  <c r="L158" i="1"/>
  <c r="D26" i="2" a="1"/>
  <c r="D26" i="2" s="1"/>
  <c r="S204" i="3"/>
  <c r="K143" i="1"/>
  <c r="K164" i="1"/>
  <c r="AE161" i="3"/>
  <c r="AD161" i="3"/>
  <c r="T246" i="3"/>
  <c r="Q438" i="3"/>
  <c r="AB438" i="3"/>
  <c r="P438" i="3"/>
  <c r="O7" i="1"/>
  <c r="P7" i="1"/>
  <c r="P17" i="1"/>
  <c r="O17" i="1"/>
  <c r="S53" i="1"/>
  <c r="S386" i="3"/>
  <c r="P556" i="3"/>
  <c r="S556" i="3" s="1"/>
  <c r="AB556" i="3"/>
  <c r="Q556" i="3"/>
  <c r="P24" i="1"/>
  <c r="O24" i="1"/>
  <c r="P151" i="1"/>
  <c r="O151" i="1"/>
  <c r="AE62" i="3"/>
  <c r="AD62" i="3"/>
  <c r="Q255" i="3"/>
  <c r="P255" i="3"/>
  <c r="S255" i="3" s="1"/>
  <c r="AB255" i="3"/>
  <c r="B18" i="1" a="1"/>
  <c r="B18" i="1" s="1"/>
  <c r="M18" i="1"/>
  <c r="L18" i="1"/>
  <c r="P18" i="1" s="1"/>
  <c r="K18" i="1"/>
  <c r="J18" i="1"/>
  <c r="I18" i="1"/>
  <c r="J23" i="1"/>
  <c r="K23" i="1" s="1"/>
  <c r="I23" i="1"/>
  <c r="H23" i="1" a="1"/>
  <c r="H23" i="1" s="1"/>
  <c r="G23" i="1" a="1"/>
  <c r="G23" i="1" s="1"/>
  <c r="I96" i="1"/>
  <c r="J96" i="1"/>
  <c r="K96" i="1" s="1"/>
  <c r="H96" i="1" a="1"/>
  <c r="H96" i="1" s="1"/>
  <c r="G96" i="1" a="1"/>
  <c r="G96" i="1" s="1"/>
  <c r="L96" i="1" s="1"/>
  <c r="F96" i="1" a="1"/>
  <c r="F96" i="1" s="1"/>
  <c r="K134" i="1"/>
  <c r="S134" i="1"/>
  <c r="M134" i="1"/>
  <c r="J134" i="1"/>
  <c r="I134" i="1"/>
  <c r="M340" i="1"/>
  <c r="I340" i="1"/>
  <c r="K340" i="1"/>
  <c r="J340" i="1"/>
  <c r="H340" i="1" a="1"/>
  <c r="H340" i="1" s="1"/>
  <c r="G340" i="1" a="1"/>
  <c r="G340" i="1" s="1"/>
  <c r="F340" i="1" a="1"/>
  <c r="F340" i="1" s="1"/>
  <c r="E417" i="1" a="1"/>
  <c r="E417" i="1" s="1"/>
  <c r="O417" i="1"/>
  <c r="B417" i="1" a="1"/>
  <c r="B417" i="1" s="1"/>
  <c r="S417" i="1"/>
  <c r="P417" i="1"/>
  <c r="M417" i="1"/>
  <c r="L417" i="1"/>
  <c r="K417" i="1"/>
  <c r="J417" i="1"/>
  <c r="I417" i="1"/>
  <c r="F531" i="1" a="1"/>
  <c r="F531" i="1" s="1"/>
  <c r="S531" i="1"/>
  <c r="C531" i="1" a="1"/>
  <c r="C531" i="1" s="1"/>
  <c r="B531" i="1" a="1"/>
  <c r="B531" i="1" s="1"/>
  <c r="P531" i="1"/>
  <c r="O531" i="1"/>
  <c r="M531" i="1"/>
  <c r="L531" i="1"/>
  <c r="K531" i="1"/>
  <c r="E684" i="1" a="1"/>
  <c r="E684" i="1" s="1"/>
  <c r="M684" i="1"/>
  <c r="L684" i="1"/>
  <c r="K684" i="1"/>
  <c r="J684" i="1"/>
  <c r="I684" i="1"/>
  <c r="H684" i="1" a="1"/>
  <c r="H684" i="1" s="1"/>
  <c r="I736" i="1"/>
  <c r="G736" i="1" a="1"/>
  <c r="G736" i="1" s="1"/>
  <c r="F736" i="1" a="1"/>
  <c r="F736" i="1" s="1"/>
  <c r="L736" i="1"/>
  <c r="K736" i="1"/>
  <c r="J736" i="1"/>
  <c r="H736" i="1" a="1"/>
  <c r="H736" i="1" s="1"/>
  <c r="E736" i="1" a="1"/>
  <c r="E736" i="1" s="1"/>
  <c r="AB74" i="3"/>
  <c r="Q74" i="3"/>
  <c r="P74" i="3"/>
  <c r="S74" i="3" s="1"/>
  <c r="B3" i="1" a="1"/>
  <c r="B3" i="1" s="1"/>
  <c r="M3" i="1"/>
  <c r="I3" i="1"/>
  <c r="K3" i="1" s="1"/>
  <c r="H82" i="1" a="1"/>
  <c r="H82" i="1" s="1"/>
  <c r="G82" i="1" a="1"/>
  <c r="G82" i="1" s="1"/>
  <c r="S82" i="1" s="1"/>
  <c r="F82" i="1" a="1"/>
  <c r="F82" i="1" s="1"/>
  <c r="E82" i="1" a="1"/>
  <c r="E82" i="1" s="1"/>
  <c r="B173" i="1" a="1"/>
  <c r="B173" i="1" s="1"/>
  <c r="J173" i="1"/>
  <c r="K173" i="1" s="1"/>
  <c r="S173" i="1"/>
  <c r="M173" i="1"/>
  <c r="I173" i="1"/>
  <c r="H279" i="1" a="1"/>
  <c r="H279" i="1" s="1"/>
  <c r="F279" i="1" a="1"/>
  <c r="F279" i="1" s="1"/>
  <c r="S279" i="1"/>
  <c r="B279" i="1" a="1"/>
  <c r="B279" i="1" s="1"/>
  <c r="P279" i="1"/>
  <c r="O279" i="1"/>
  <c r="M279" i="1"/>
  <c r="L279" i="1"/>
  <c r="K279" i="1"/>
  <c r="AC143" i="3"/>
  <c r="Q582" i="3"/>
  <c r="P582" i="3"/>
  <c r="AB582" i="3"/>
  <c r="E81" i="1" a="1"/>
  <c r="E81" i="1" s="1"/>
  <c r="B81" i="1" a="1"/>
  <c r="B81" i="1" s="1"/>
  <c r="M81" i="1"/>
  <c r="J81" i="1"/>
  <c r="K81" i="1" s="1"/>
  <c r="I81" i="1"/>
  <c r="H81" i="1" a="1"/>
  <c r="H81" i="1" s="1"/>
  <c r="L283" i="1"/>
  <c r="H283" i="1" a="1"/>
  <c r="H283" i="1" s="1"/>
  <c r="O283" i="1"/>
  <c r="M283" i="1"/>
  <c r="K283" i="1"/>
  <c r="J283" i="1"/>
  <c r="I283" i="1"/>
  <c r="G283" i="1" a="1"/>
  <c r="G283" i="1" s="1"/>
  <c r="I560" i="1"/>
  <c r="G560" i="1" a="1"/>
  <c r="G560" i="1" s="1"/>
  <c r="K560" i="1"/>
  <c r="J560" i="1"/>
  <c r="H560" i="1" a="1"/>
  <c r="H560" i="1" s="1"/>
  <c r="F560" i="1" a="1"/>
  <c r="F560" i="1" s="1"/>
  <c r="E560" i="1" a="1"/>
  <c r="E560" i="1" s="1"/>
  <c r="F643" i="1" a="1"/>
  <c r="F643" i="1" s="1"/>
  <c r="S643" i="1"/>
  <c r="C643" i="1" a="1"/>
  <c r="C643" i="1" s="1"/>
  <c r="K643" i="1"/>
  <c r="J643" i="1"/>
  <c r="I643" i="1"/>
  <c r="H643" i="1" a="1"/>
  <c r="H643" i="1" s="1"/>
  <c r="G643" i="1" a="1"/>
  <c r="G643" i="1" s="1"/>
  <c r="AC115" i="3"/>
  <c r="AA115" i="3"/>
  <c r="AB156" i="3"/>
  <c r="Q156" i="3"/>
  <c r="P156" i="3"/>
  <c r="S156" i="3" s="1"/>
  <c r="S29" i="1"/>
  <c r="C29" i="1" a="1"/>
  <c r="C29" i="1" s="1"/>
  <c r="B29" i="1" a="1"/>
  <c r="B29" i="1" s="1"/>
  <c r="L29" i="1"/>
  <c r="P29" i="1" s="1"/>
  <c r="M29" i="1"/>
  <c r="P33" i="1"/>
  <c r="I61" i="1"/>
  <c r="B120" i="1" a="1"/>
  <c r="B120" i="1" s="1"/>
  <c r="I143" i="1"/>
  <c r="F307" i="1" a="1"/>
  <c r="F307" i="1" s="1"/>
  <c r="S307" i="1"/>
  <c r="C307" i="1" a="1"/>
  <c r="C307" i="1" s="1"/>
  <c r="B307" i="1" a="1"/>
  <c r="B307" i="1" s="1"/>
  <c r="P307" i="1"/>
  <c r="O307" i="1"/>
  <c r="M307" i="1"/>
  <c r="L307" i="1"/>
  <c r="K307" i="1"/>
  <c r="J307" i="1"/>
  <c r="K674" i="1"/>
  <c r="H674" i="1" a="1"/>
  <c r="H674" i="1" s="1"/>
  <c r="S674" i="1"/>
  <c r="P674" i="1"/>
  <c r="O674" i="1"/>
  <c r="M674" i="1"/>
  <c r="L674" i="1"/>
  <c r="J674" i="1"/>
  <c r="I674" i="1"/>
  <c r="J839" i="1"/>
  <c r="H839" i="1" a="1"/>
  <c r="H839" i="1" s="1"/>
  <c r="E839" i="1" a="1"/>
  <c r="E839" i="1" s="1"/>
  <c r="S839" i="1"/>
  <c r="B839" i="1" a="1"/>
  <c r="B839" i="1" s="1"/>
  <c r="P839" i="1"/>
  <c r="L839" i="1"/>
  <c r="K839" i="1"/>
  <c r="I839" i="1"/>
  <c r="G839" i="1" a="1"/>
  <c r="G839" i="1" s="1"/>
  <c r="F839" i="1" a="1"/>
  <c r="F839" i="1" s="1"/>
  <c r="K864" i="1"/>
  <c r="I864" i="1"/>
  <c r="O864" i="1"/>
  <c r="F864" i="1" a="1"/>
  <c r="F864" i="1" s="1"/>
  <c r="E864" i="1" a="1"/>
  <c r="E864" i="1" s="1"/>
  <c r="P864" i="1"/>
  <c r="M864" i="1"/>
  <c r="L864" i="1"/>
  <c r="J864" i="1"/>
  <c r="H864" i="1" a="1"/>
  <c r="H864" i="1" s="1"/>
  <c r="G864" i="1" a="1"/>
  <c r="G864" i="1" s="1"/>
  <c r="Q301" i="3"/>
  <c r="AB301" i="3"/>
  <c r="P301" i="3"/>
  <c r="S301" i="3" s="1"/>
  <c r="B27" i="1" a="1"/>
  <c r="B27" i="1" s="1"/>
  <c r="M27" i="1"/>
  <c r="J27" i="1"/>
  <c r="K27" i="1" s="1"/>
  <c r="O35" i="1"/>
  <c r="L44" i="1"/>
  <c r="F67" i="1" a="1"/>
  <c r="F67" i="1" s="1"/>
  <c r="S67" i="1"/>
  <c r="C67" i="1" a="1"/>
  <c r="C67" i="1" s="1"/>
  <c r="L67" i="1"/>
  <c r="J67" i="1"/>
  <c r="K67" i="1" s="1"/>
  <c r="I67" i="1"/>
  <c r="H67" i="1" a="1"/>
  <c r="H67" i="1" s="1"/>
  <c r="G117" i="1" a="1"/>
  <c r="G117" i="1" s="1"/>
  <c r="S117" i="1" s="1"/>
  <c r="E117" i="1" a="1"/>
  <c r="E117" i="1" s="1"/>
  <c r="L117" i="1"/>
  <c r="P117" i="1" s="1"/>
  <c r="J117" i="1"/>
  <c r="I117" i="1"/>
  <c r="K117" i="1" s="1"/>
  <c r="H117" i="1" a="1"/>
  <c r="H117" i="1" s="1"/>
  <c r="B134" i="1" a="1"/>
  <c r="B134" i="1" s="1"/>
  <c r="K386" i="1"/>
  <c r="J386" i="1"/>
  <c r="I386" i="1"/>
  <c r="H386" i="1" a="1"/>
  <c r="H386" i="1" s="1"/>
  <c r="G386" i="1" a="1"/>
  <c r="G386" i="1" s="1"/>
  <c r="F386" i="1" a="1"/>
  <c r="F386" i="1" s="1"/>
  <c r="F515" i="1" a="1"/>
  <c r="F515" i="1" s="1"/>
  <c r="S515" i="1"/>
  <c r="C515" i="1" a="1"/>
  <c r="C515" i="1" s="1"/>
  <c r="I515" i="1"/>
  <c r="H515" i="1" a="1"/>
  <c r="H515" i="1" s="1"/>
  <c r="G515" i="1" a="1"/>
  <c r="G515" i="1" s="1"/>
  <c r="E515" i="1" a="1"/>
  <c r="E515" i="1" s="1"/>
  <c r="J807" i="1"/>
  <c r="H807" i="1" a="1"/>
  <c r="H807" i="1" s="1"/>
  <c r="E807" i="1" a="1"/>
  <c r="E807" i="1" s="1"/>
  <c r="S807" i="1"/>
  <c r="B807" i="1" a="1"/>
  <c r="B807" i="1" s="1"/>
  <c r="P807" i="1"/>
  <c r="O807" i="1"/>
  <c r="M807" i="1"/>
  <c r="L807" i="1"/>
  <c r="K807" i="1"/>
  <c r="I807" i="1"/>
  <c r="K816" i="1"/>
  <c r="I816" i="1"/>
  <c r="J816" i="1"/>
  <c r="G816" i="1" a="1"/>
  <c r="G816" i="1" s="1"/>
  <c r="F816" i="1" a="1"/>
  <c r="F816" i="1" s="1"/>
  <c r="E816" i="1" a="1"/>
  <c r="E816" i="1" s="1"/>
  <c r="C816" i="1" a="1"/>
  <c r="C816" i="1" s="1"/>
  <c r="B816" i="1" a="1"/>
  <c r="B816" i="1" s="1"/>
  <c r="C3" i="1" a="1"/>
  <c r="C3" i="1" s="1"/>
  <c r="C21" i="1" a="1"/>
  <c r="C21" i="1" s="1"/>
  <c r="E25" i="1" a="1"/>
  <c r="E25" i="1" s="1"/>
  <c r="B30" i="1" a="1"/>
  <c r="B30" i="1" s="1"/>
  <c r="I130" i="1"/>
  <c r="K130" i="1" s="1"/>
  <c r="P168" i="1"/>
  <c r="B591" i="1" a="1"/>
  <c r="B591" i="1" s="1"/>
  <c r="O605" i="1"/>
  <c r="B605" i="1" a="1"/>
  <c r="B605" i="1" s="1"/>
  <c r="K605" i="1"/>
  <c r="J605" i="1"/>
  <c r="S605" i="1"/>
  <c r="P605" i="1"/>
  <c r="M605" i="1"/>
  <c r="L605" i="1"/>
  <c r="I605" i="1"/>
  <c r="H605" i="1" a="1"/>
  <c r="H605" i="1" s="1"/>
  <c r="J450" i="3" a="1"/>
  <c r="J450" i="3" s="1"/>
  <c r="R450" i="3" a="1"/>
  <c r="R450" i="3" s="1"/>
  <c r="O450" i="3" a="1"/>
  <c r="O450" i="3" s="1"/>
  <c r="V450" i="3" a="1"/>
  <c r="V450" i="3" s="1"/>
  <c r="I83" i="1"/>
  <c r="K83" i="1" s="1"/>
  <c r="B92" i="1" a="1"/>
  <c r="B92" i="1" s="1"/>
  <c r="S102" i="1"/>
  <c r="M102" i="1"/>
  <c r="L102" i="1"/>
  <c r="P102" i="1" s="1"/>
  <c r="J102" i="1"/>
  <c r="K102" i="1" s="1"/>
  <c r="I102" i="1"/>
  <c r="E145" i="1" a="1"/>
  <c r="E145" i="1" s="1"/>
  <c r="B145" i="1" a="1"/>
  <c r="B145" i="1" s="1"/>
  <c r="M145" i="1"/>
  <c r="L145" i="1"/>
  <c r="P145" i="1" s="1"/>
  <c r="J145" i="1"/>
  <c r="K145" i="1" s="1"/>
  <c r="I145" i="1"/>
  <c r="H145" i="1" a="1"/>
  <c r="H145" i="1" s="1"/>
  <c r="J233" i="1"/>
  <c r="G233" i="1" a="1"/>
  <c r="G233" i="1" s="1"/>
  <c r="S233" i="1"/>
  <c r="B233" i="1" a="1"/>
  <c r="B233" i="1" s="1"/>
  <c r="P233" i="1"/>
  <c r="O233" i="1"/>
  <c r="M233" i="1"/>
  <c r="L233" i="1"/>
  <c r="K233" i="1"/>
  <c r="C333" i="1" a="1"/>
  <c r="C333" i="1" s="1"/>
  <c r="AC57" i="3"/>
  <c r="AA57" i="3"/>
  <c r="R163" i="3" a="1"/>
  <c r="R163" i="3" s="1"/>
  <c r="O163" i="3" a="1"/>
  <c r="O163" i="3" s="1"/>
  <c r="K163" i="3" a="1"/>
  <c r="K163" i="3" s="1"/>
  <c r="M163" i="3" s="1"/>
  <c r="J163" i="3" a="1"/>
  <c r="J163" i="3" s="1"/>
  <c r="Q219" i="3"/>
  <c r="P219" i="3"/>
  <c r="AB219" i="3"/>
  <c r="F25" i="1" a="1"/>
  <c r="F25" i="1" s="1"/>
  <c r="C30" i="1" a="1"/>
  <c r="C30" i="1" s="1"/>
  <c r="B32" i="1" a="1"/>
  <c r="B32" i="1" s="1"/>
  <c r="I69" i="1"/>
  <c r="C81" i="1" a="1"/>
  <c r="C81" i="1" s="1"/>
  <c r="C107" i="1" a="1"/>
  <c r="C107" i="1" s="1"/>
  <c r="B117" i="1" a="1"/>
  <c r="B117" i="1" s="1"/>
  <c r="P142" i="1"/>
  <c r="L155" i="1"/>
  <c r="P155" i="1" s="1"/>
  <c r="H155" i="1" a="1"/>
  <c r="H155" i="1" s="1"/>
  <c r="S155" i="1"/>
  <c r="B155" i="1" a="1"/>
  <c r="B155" i="1" s="1"/>
  <c r="M155" i="1"/>
  <c r="H167" i="1" a="1"/>
  <c r="H167" i="1" s="1"/>
  <c r="F167" i="1" a="1"/>
  <c r="F167" i="1" s="1"/>
  <c r="J167" i="1"/>
  <c r="K167" i="1" s="1"/>
  <c r="I167" i="1"/>
  <c r="G167" i="1" a="1"/>
  <c r="G167" i="1" s="1"/>
  <c r="J252" i="1"/>
  <c r="I252" i="1"/>
  <c r="H252" i="1" a="1"/>
  <c r="H252" i="1" s="1"/>
  <c r="G252" i="1" a="1"/>
  <c r="G252" i="1" s="1"/>
  <c r="F252" i="1" a="1"/>
  <c r="F252" i="1" s="1"/>
  <c r="K258" i="1"/>
  <c r="P258" i="1"/>
  <c r="O258" i="1"/>
  <c r="M258" i="1"/>
  <c r="L258" i="1"/>
  <c r="J258" i="1"/>
  <c r="I258" i="1"/>
  <c r="H258" i="1" a="1"/>
  <c r="H258" i="1" s="1"/>
  <c r="B354" i="1" a="1"/>
  <c r="B354" i="1" s="1"/>
  <c r="B444" i="1" a="1"/>
  <c r="B444" i="1" s="1"/>
  <c r="C684" i="1" a="1"/>
  <c r="C684" i="1" s="1"/>
  <c r="E689" i="1" a="1"/>
  <c r="E689" i="1" s="1"/>
  <c r="P689" i="1"/>
  <c r="O689" i="1"/>
  <c r="B689" i="1" a="1"/>
  <c r="B689" i="1" s="1"/>
  <c r="K689" i="1"/>
  <c r="J689" i="1"/>
  <c r="I689" i="1"/>
  <c r="H689" i="1" a="1"/>
  <c r="H689" i="1" s="1"/>
  <c r="G689" i="1" a="1"/>
  <c r="G689" i="1" s="1"/>
  <c r="AE91" i="3"/>
  <c r="AD91" i="3"/>
  <c r="P346" i="3"/>
  <c r="AB346" i="3"/>
  <c r="Q346" i="3"/>
  <c r="I24" i="1"/>
  <c r="K24" i="1" s="1"/>
  <c r="C45" i="1" a="1"/>
  <c r="C45" i="1" s="1"/>
  <c r="S45" i="1"/>
  <c r="B45" i="1" a="1"/>
  <c r="B45" i="1" s="1"/>
  <c r="M45" i="1"/>
  <c r="L45" i="1"/>
  <c r="P45" i="1" s="1"/>
  <c r="B67" i="1" a="1"/>
  <c r="B67" i="1" s="1"/>
  <c r="I137" i="1"/>
  <c r="B141" i="1" a="1"/>
  <c r="B141" i="1" s="1"/>
  <c r="J141" i="1"/>
  <c r="S141" i="1"/>
  <c r="M141" i="1"/>
  <c r="L141" i="1"/>
  <c r="O141" i="1" s="1"/>
  <c r="I141" i="1"/>
  <c r="K141" i="1" s="1"/>
  <c r="I144" i="1"/>
  <c r="C144" i="1" a="1"/>
  <c r="C144" i="1" s="1"/>
  <c r="S144" i="1"/>
  <c r="B144" i="1" a="1"/>
  <c r="B144" i="1" s="1"/>
  <c r="P144" i="1"/>
  <c r="O144" i="1"/>
  <c r="M144" i="1"/>
  <c r="B146" i="1" a="1"/>
  <c r="B146" i="1" s="1"/>
  <c r="C160" i="1" a="1"/>
  <c r="C160" i="1" s="1"/>
  <c r="E191" i="1" a="1"/>
  <c r="E191" i="1" s="1"/>
  <c r="E241" i="1" a="1"/>
  <c r="E241" i="1" s="1"/>
  <c r="O241" i="1"/>
  <c r="B241" i="1" a="1"/>
  <c r="B241" i="1" s="1"/>
  <c r="L241" i="1"/>
  <c r="K241" i="1"/>
  <c r="J241" i="1"/>
  <c r="I241" i="1"/>
  <c r="H241" i="1" a="1"/>
  <c r="H241" i="1" s="1"/>
  <c r="G241" i="1" a="1"/>
  <c r="G241" i="1" s="1"/>
  <c r="E279" i="1" a="1"/>
  <c r="E279" i="1" s="1"/>
  <c r="B364" i="1" a="1"/>
  <c r="B364" i="1" s="1"/>
  <c r="I397" i="1"/>
  <c r="C481" i="1" a="1"/>
  <c r="C481" i="1" s="1"/>
  <c r="C519" i="1" a="1"/>
  <c r="C519" i="1" s="1"/>
  <c r="E584" i="1" a="1"/>
  <c r="E584" i="1" s="1"/>
  <c r="S671" i="1"/>
  <c r="C671" i="1" a="1"/>
  <c r="C671" i="1" s="1"/>
  <c r="M671" i="1"/>
  <c r="L671" i="1"/>
  <c r="G671" i="1" a="1"/>
  <c r="G671" i="1" s="1"/>
  <c r="F671" i="1" a="1"/>
  <c r="F671" i="1" s="1"/>
  <c r="E671" i="1" a="1"/>
  <c r="E671" i="1" s="1"/>
  <c r="C708" i="1" a="1"/>
  <c r="C708" i="1" s="1"/>
  <c r="C716" i="1" a="1"/>
  <c r="C716" i="1" s="1"/>
  <c r="C736" i="1" a="1"/>
  <c r="C736" i="1" s="1"/>
  <c r="P836" i="1"/>
  <c r="M836" i="1"/>
  <c r="C836" i="1" a="1"/>
  <c r="C836" i="1" s="1"/>
  <c r="O836" i="1"/>
  <c r="L836" i="1"/>
  <c r="K836" i="1"/>
  <c r="I836" i="1"/>
  <c r="H836" i="1" a="1"/>
  <c r="H836" i="1" s="1"/>
  <c r="G836" i="1" a="1"/>
  <c r="G836" i="1" s="1"/>
  <c r="F836" i="1" a="1"/>
  <c r="F836" i="1" s="1"/>
  <c r="P57" i="3"/>
  <c r="Q73" i="3"/>
  <c r="O102" i="3" a="1"/>
  <c r="O102" i="3" s="1"/>
  <c r="J102" i="3" a="1"/>
  <c r="J102" i="3" s="1"/>
  <c r="V102" i="3" a="1"/>
  <c r="V102" i="3" s="1"/>
  <c r="R102" i="3" a="1"/>
  <c r="R102" i="3" s="1"/>
  <c r="AB180" i="3"/>
  <c r="Q180" i="3"/>
  <c r="P180" i="3"/>
  <c r="AE208" i="3"/>
  <c r="AC235" i="3"/>
  <c r="AA235" i="3"/>
  <c r="Q283" i="3"/>
  <c r="P283" i="3"/>
  <c r="S283" i="3" s="1"/>
  <c r="AB283" i="3"/>
  <c r="E478" i="3" a="1"/>
  <c r="E478" i="3" s="1"/>
  <c r="E56" i="4" a="1"/>
  <c r="E56" i="4" s="1"/>
  <c r="C71" i="1" s="1" a="1"/>
  <c r="C71" i="1" s="1"/>
  <c r="F56" i="4" a="1"/>
  <c r="F56" i="4" s="1"/>
  <c r="E81" i="4" a="1"/>
  <c r="E81" i="4" s="1"/>
  <c r="F81" i="4" a="1"/>
  <c r="F81" i="4" s="1"/>
  <c r="H90" i="14" s="1" a="1"/>
  <c r="H90" i="14" s="1"/>
  <c r="B51" i="6"/>
  <c r="D51" i="6" s="1"/>
  <c r="E51" i="6" s="1"/>
  <c r="H280" i="11" a="1"/>
  <c r="H280" i="11" s="1"/>
  <c r="L280" i="11" a="1"/>
  <c r="L280" i="11" s="1"/>
  <c r="I13" i="1"/>
  <c r="K13" i="1" s="1"/>
  <c r="I15" i="1"/>
  <c r="K15" i="1" s="1"/>
  <c r="G18" i="1" a="1"/>
  <c r="G18" i="1" s="1"/>
  <c r="J21" i="1"/>
  <c r="I22" i="1"/>
  <c r="K22" i="1" s="1"/>
  <c r="L23" i="1"/>
  <c r="P23" i="1" s="1"/>
  <c r="G25" i="1" a="1"/>
  <c r="G25" i="1" s="1"/>
  <c r="E27" i="1" a="1"/>
  <c r="E27" i="1" s="1"/>
  <c r="F29" i="1" a="1"/>
  <c r="F29" i="1" s="1"/>
  <c r="P43" i="1"/>
  <c r="B43" i="1" a="1"/>
  <c r="B43" i="1" s="1"/>
  <c r="O43" i="1"/>
  <c r="M43" i="1"/>
  <c r="L43" i="1"/>
  <c r="J43" i="1"/>
  <c r="K43" i="1" s="1"/>
  <c r="J46" i="1"/>
  <c r="I46" i="1"/>
  <c r="H46" i="1" a="1"/>
  <c r="H46" i="1" s="1"/>
  <c r="G46" i="1" a="1"/>
  <c r="G46" i="1" s="1"/>
  <c r="O51" i="1"/>
  <c r="E54" i="1" a="1"/>
  <c r="E54" i="1" s="1"/>
  <c r="S54" i="1"/>
  <c r="C54" i="1" a="1"/>
  <c r="C54" i="1" s="1"/>
  <c r="P54" i="1"/>
  <c r="O54" i="1"/>
  <c r="B54" i="1" a="1"/>
  <c r="B54" i="1" s="1"/>
  <c r="M54" i="1"/>
  <c r="I64" i="1"/>
  <c r="J64" i="1"/>
  <c r="H64" i="1" a="1"/>
  <c r="H64" i="1" s="1"/>
  <c r="G64" i="1" a="1"/>
  <c r="G64" i="1" s="1"/>
  <c r="F64" i="1" a="1"/>
  <c r="F64" i="1" s="1"/>
  <c r="H68" i="1" a="1"/>
  <c r="H68" i="1" s="1"/>
  <c r="J73" i="1"/>
  <c r="G73" i="1" a="1"/>
  <c r="G73" i="1" s="1"/>
  <c r="L73" i="1" s="1"/>
  <c r="C73" i="1" a="1"/>
  <c r="C73" i="1" s="1"/>
  <c r="S73" i="1"/>
  <c r="B73" i="1" a="1"/>
  <c r="B73" i="1" s="1"/>
  <c r="P73" i="1"/>
  <c r="O73" i="1"/>
  <c r="M73" i="1"/>
  <c r="C77" i="1" a="1"/>
  <c r="C77" i="1" s="1"/>
  <c r="E80" i="1" a="1"/>
  <c r="E80" i="1" s="1"/>
  <c r="J82" i="1"/>
  <c r="I97" i="1"/>
  <c r="K97" i="1" s="1"/>
  <c r="I107" i="1"/>
  <c r="I108" i="1"/>
  <c r="K108" i="1" s="1"/>
  <c r="I111" i="1"/>
  <c r="K111" i="1" s="1"/>
  <c r="C117" i="1" a="1"/>
  <c r="C117" i="1" s="1"/>
  <c r="L126" i="1"/>
  <c r="S129" i="1"/>
  <c r="S130" i="1"/>
  <c r="B130" i="1" a="1"/>
  <c r="B130" i="1" s="1"/>
  <c r="P130" i="1"/>
  <c r="O130" i="1"/>
  <c r="M130" i="1"/>
  <c r="L130" i="1"/>
  <c r="F134" i="1" a="1"/>
  <c r="F134" i="1" s="1"/>
  <c r="O138" i="1"/>
  <c r="J153" i="1"/>
  <c r="G153" i="1" a="1"/>
  <c r="G153" i="1" s="1"/>
  <c r="I153" i="1"/>
  <c r="H153" i="1" a="1"/>
  <c r="H153" i="1" s="1"/>
  <c r="F153" i="1" a="1"/>
  <c r="F153" i="1" s="1"/>
  <c r="B156" i="1" a="1"/>
  <c r="B156" i="1" s="1"/>
  <c r="B181" i="1" a="1"/>
  <c r="B181" i="1" s="1"/>
  <c r="J185" i="1"/>
  <c r="G185" i="1" a="1"/>
  <c r="G185" i="1" s="1"/>
  <c r="I185" i="1"/>
  <c r="K185" i="1" s="1"/>
  <c r="H185" i="1" a="1"/>
  <c r="H185" i="1" s="1"/>
  <c r="F185" i="1" a="1"/>
  <c r="F185" i="1" s="1"/>
  <c r="O186" i="1"/>
  <c r="L187" i="1"/>
  <c r="H187" i="1" a="1"/>
  <c r="H187" i="1" s="1"/>
  <c r="S187" i="1"/>
  <c r="B187" i="1" a="1"/>
  <c r="B187" i="1" s="1"/>
  <c r="P187" i="1"/>
  <c r="O187" i="1"/>
  <c r="M187" i="1"/>
  <c r="F195" i="1" a="1"/>
  <c r="F195" i="1" s="1"/>
  <c r="S195" i="1"/>
  <c r="C195" i="1" a="1"/>
  <c r="C195" i="1" s="1"/>
  <c r="M195" i="1"/>
  <c r="L195" i="1"/>
  <c r="K195" i="1"/>
  <c r="J195" i="1"/>
  <c r="I195" i="1"/>
  <c r="H195" i="1" a="1"/>
  <c r="H195" i="1" s="1"/>
  <c r="L219" i="1"/>
  <c r="H219" i="1" a="1"/>
  <c r="H219" i="1" s="1"/>
  <c r="S219" i="1"/>
  <c r="B219" i="1" a="1"/>
  <c r="B219" i="1" s="1"/>
  <c r="P219" i="1"/>
  <c r="O219" i="1"/>
  <c r="M219" i="1"/>
  <c r="K219" i="1"/>
  <c r="J219" i="1"/>
  <c r="I219" i="1"/>
  <c r="S223" i="1"/>
  <c r="C223" i="1" a="1"/>
  <c r="C223" i="1" s="1"/>
  <c r="L223" i="1"/>
  <c r="M223" i="1"/>
  <c r="K223" i="1"/>
  <c r="J223" i="1"/>
  <c r="I223" i="1"/>
  <c r="H223" i="1" a="1"/>
  <c r="H223" i="1" s="1"/>
  <c r="G223" i="1" a="1"/>
  <c r="G223" i="1" s="1"/>
  <c r="P230" i="1"/>
  <c r="K230" i="1"/>
  <c r="O230" i="1"/>
  <c r="M230" i="1"/>
  <c r="L230" i="1"/>
  <c r="J230" i="1"/>
  <c r="I230" i="1"/>
  <c r="H230" i="1" a="1"/>
  <c r="H230" i="1" s="1"/>
  <c r="M248" i="1"/>
  <c r="O248" i="1"/>
  <c r="L248" i="1"/>
  <c r="K248" i="1"/>
  <c r="J248" i="1"/>
  <c r="I248" i="1"/>
  <c r="H248" i="1" a="1"/>
  <c r="H248" i="1" s="1"/>
  <c r="L251" i="1"/>
  <c r="H251" i="1" a="1"/>
  <c r="H251" i="1" s="1"/>
  <c r="P251" i="1"/>
  <c r="O251" i="1"/>
  <c r="M251" i="1"/>
  <c r="K251" i="1"/>
  <c r="J251" i="1"/>
  <c r="I251" i="1"/>
  <c r="B259" i="1" a="1"/>
  <c r="B259" i="1" s="1"/>
  <c r="E268" i="1" a="1"/>
  <c r="E268" i="1" s="1"/>
  <c r="C297" i="1" a="1"/>
  <c r="C297" i="1" s="1"/>
  <c r="B326" i="1" a="1"/>
  <c r="B326" i="1" s="1"/>
  <c r="C329" i="1" a="1"/>
  <c r="C329" i="1" s="1"/>
  <c r="C332" i="1" a="1"/>
  <c r="C332" i="1" s="1"/>
  <c r="L347" i="1"/>
  <c r="H347" i="1" a="1"/>
  <c r="H347" i="1" s="1"/>
  <c r="K347" i="1"/>
  <c r="J347" i="1"/>
  <c r="I347" i="1"/>
  <c r="G347" i="1" a="1"/>
  <c r="G347" i="1" s="1"/>
  <c r="F347" i="1" a="1"/>
  <c r="F347" i="1" s="1"/>
  <c r="E365" i="1" a="1"/>
  <c r="E365" i="1" s="1"/>
  <c r="B371" i="1" a="1"/>
  <c r="B371" i="1" s="1"/>
  <c r="F389" i="1" a="1"/>
  <c r="F389" i="1" s="1"/>
  <c r="C396" i="1" a="1"/>
  <c r="C396" i="1" s="1"/>
  <c r="P406" i="1"/>
  <c r="K406" i="1"/>
  <c r="C406" i="1" a="1"/>
  <c r="C406" i="1" s="1"/>
  <c r="B406" i="1" a="1"/>
  <c r="B406" i="1" s="1"/>
  <c r="S406" i="1"/>
  <c r="O406" i="1"/>
  <c r="M406" i="1"/>
  <c r="L406" i="1"/>
  <c r="J406" i="1"/>
  <c r="F417" i="1" a="1"/>
  <c r="F417" i="1" s="1"/>
  <c r="L427" i="1"/>
  <c r="I427" i="1"/>
  <c r="H427" i="1" a="1"/>
  <c r="H427" i="1" s="1"/>
  <c r="J427" i="1"/>
  <c r="G427" i="1" a="1"/>
  <c r="G427" i="1" s="1"/>
  <c r="F427" i="1" a="1"/>
  <c r="F427" i="1" s="1"/>
  <c r="E427" i="1" a="1"/>
  <c r="E427" i="1" s="1"/>
  <c r="E449" i="1" a="1"/>
  <c r="E449" i="1" s="1"/>
  <c r="P449" i="1"/>
  <c r="O449" i="1"/>
  <c r="B449" i="1" a="1"/>
  <c r="B449" i="1" s="1"/>
  <c r="S449" i="1"/>
  <c r="M449" i="1"/>
  <c r="L449" i="1"/>
  <c r="K449" i="1"/>
  <c r="J449" i="1"/>
  <c r="I449" i="1"/>
  <c r="H449" i="1" a="1"/>
  <c r="H449" i="1" s="1"/>
  <c r="B454" i="1" a="1"/>
  <c r="B454" i="1" s="1"/>
  <c r="L455" i="1"/>
  <c r="B491" i="1" a="1"/>
  <c r="B491" i="1" s="1"/>
  <c r="M500" i="1"/>
  <c r="J500" i="1"/>
  <c r="I500" i="1"/>
  <c r="O500" i="1"/>
  <c r="L500" i="1"/>
  <c r="K500" i="1"/>
  <c r="H500" i="1" a="1"/>
  <c r="H500" i="1" s="1"/>
  <c r="G500" i="1" a="1"/>
  <c r="G500" i="1" s="1"/>
  <c r="G508" i="1" a="1"/>
  <c r="G508" i="1" s="1"/>
  <c r="G531" i="1" a="1"/>
  <c r="G531" i="1" s="1"/>
  <c r="J537" i="1"/>
  <c r="G537" i="1" a="1"/>
  <c r="G537" i="1" s="1"/>
  <c r="O537" i="1"/>
  <c r="M537" i="1"/>
  <c r="L537" i="1"/>
  <c r="K537" i="1"/>
  <c r="I537" i="1"/>
  <c r="H537" i="1" a="1"/>
  <c r="H537" i="1" s="1"/>
  <c r="C545" i="1" a="1"/>
  <c r="C545" i="1" s="1"/>
  <c r="E546" i="1" a="1"/>
  <c r="E546" i="1" s="1"/>
  <c r="H551" i="1" a="1"/>
  <c r="H551" i="1" s="1"/>
  <c r="F551" i="1" a="1"/>
  <c r="F551" i="1" s="1"/>
  <c r="L551" i="1"/>
  <c r="K551" i="1"/>
  <c r="J551" i="1"/>
  <c r="I551" i="1"/>
  <c r="G551" i="1" a="1"/>
  <c r="G551" i="1" s="1"/>
  <c r="C560" i="1" a="1"/>
  <c r="C560" i="1" s="1"/>
  <c r="C568" i="1" a="1"/>
  <c r="C568" i="1" s="1"/>
  <c r="J584" i="1"/>
  <c r="F611" i="1" a="1"/>
  <c r="F611" i="1" s="1"/>
  <c r="S611" i="1"/>
  <c r="C611" i="1" a="1"/>
  <c r="C611" i="1" s="1"/>
  <c r="K611" i="1"/>
  <c r="J611" i="1"/>
  <c r="I611" i="1"/>
  <c r="H611" i="1" a="1"/>
  <c r="H611" i="1" s="1"/>
  <c r="G611" i="1" a="1"/>
  <c r="G611" i="1" s="1"/>
  <c r="E615" i="1" a="1"/>
  <c r="E615" i="1" s="1"/>
  <c r="H647" i="1" a="1"/>
  <c r="H647" i="1" s="1"/>
  <c r="F647" i="1" a="1"/>
  <c r="F647" i="1" s="1"/>
  <c r="O647" i="1"/>
  <c r="M647" i="1"/>
  <c r="L647" i="1"/>
  <c r="K647" i="1"/>
  <c r="J647" i="1"/>
  <c r="I647" i="1"/>
  <c r="B652" i="1" a="1"/>
  <c r="B652" i="1" s="1"/>
  <c r="B655" i="1" a="1"/>
  <c r="B655" i="1" s="1"/>
  <c r="C683" i="1" a="1"/>
  <c r="C683" i="1" s="1"/>
  <c r="F684" i="1" a="1"/>
  <c r="F684" i="1" s="1"/>
  <c r="E697" i="1" a="1"/>
  <c r="E697" i="1" s="1"/>
  <c r="K706" i="1"/>
  <c r="H706" i="1" a="1"/>
  <c r="H706" i="1" s="1"/>
  <c r="B706" i="1" a="1"/>
  <c r="B706" i="1" s="1"/>
  <c r="S706" i="1"/>
  <c r="P706" i="1"/>
  <c r="O706" i="1"/>
  <c r="M706" i="1"/>
  <c r="L706" i="1"/>
  <c r="J706" i="1"/>
  <c r="E721" i="1" a="1"/>
  <c r="E721" i="1" s="1"/>
  <c r="P721" i="1"/>
  <c r="O721" i="1"/>
  <c r="B721" i="1" a="1"/>
  <c r="B721" i="1" s="1"/>
  <c r="K721" i="1"/>
  <c r="J721" i="1"/>
  <c r="I721" i="1"/>
  <c r="H721" i="1" a="1"/>
  <c r="H721" i="1" s="1"/>
  <c r="G721" i="1" a="1"/>
  <c r="G721" i="1" s="1"/>
  <c r="E737" i="1" a="1"/>
  <c r="E737" i="1" s="1"/>
  <c r="P737" i="1"/>
  <c r="O737" i="1"/>
  <c r="B737" i="1" a="1"/>
  <c r="B737" i="1" s="1"/>
  <c r="M737" i="1"/>
  <c r="I737" i="1"/>
  <c r="H737" i="1" a="1"/>
  <c r="H737" i="1" s="1"/>
  <c r="G737" i="1" a="1"/>
  <c r="G737" i="1" s="1"/>
  <c r="F737" i="1" a="1"/>
  <c r="F737" i="1" s="1"/>
  <c r="C777" i="1" a="1"/>
  <c r="C777" i="1" s="1"/>
  <c r="K784" i="1"/>
  <c r="I784" i="1"/>
  <c r="J784" i="1"/>
  <c r="G784" i="1" a="1"/>
  <c r="G784" i="1" s="1"/>
  <c r="F784" i="1" a="1"/>
  <c r="F784" i="1" s="1"/>
  <c r="O784" i="1"/>
  <c r="M784" i="1"/>
  <c r="L784" i="1"/>
  <c r="H784" i="1" a="1"/>
  <c r="H784" i="1" s="1"/>
  <c r="E784" i="1" a="1"/>
  <c r="E784" i="1" s="1"/>
  <c r="B791" i="1" a="1"/>
  <c r="B791" i="1" s="1"/>
  <c r="C805" i="1" a="1"/>
  <c r="C805" i="1" s="1"/>
  <c r="G876" i="1" a="1"/>
  <c r="G876" i="1" s="1"/>
  <c r="P876" i="1"/>
  <c r="L876" i="1"/>
  <c r="K876" i="1"/>
  <c r="J876" i="1"/>
  <c r="S876" i="1"/>
  <c r="O876" i="1"/>
  <c r="M876" i="1"/>
  <c r="I876" i="1"/>
  <c r="H876" i="1" a="1"/>
  <c r="H876" i="1" s="1"/>
  <c r="C898" i="1" a="1"/>
  <c r="C898" i="1" s="1"/>
  <c r="D34" i="2" a="1"/>
  <c r="D34" i="2" s="1"/>
  <c r="D38" i="2" a="1"/>
  <c r="D38" i="2" s="1"/>
  <c r="T44" i="3"/>
  <c r="Q57" i="3"/>
  <c r="S72" i="3"/>
  <c r="O86" i="3" a="1"/>
  <c r="O86" i="3" s="1"/>
  <c r="J86" i="3" a="1"/>
  <c r="J86" i="3" s="1"/>
  <c r="V86" i="3" a="1"/>
  <c r="V86" i="3" s="1"/>
  <c r="R86" i="3" a="1"/>
  <c r="R86" i="3" s="1"/>
  <c r="K86" i="3" a="1"/>
  <c r="K86" i="3" s="1"/>
  <c r="M86" i="3" s="1"/>
  <c r="V163" i="3" a="1"/>
  <c r="V163" i="3" s="1"/>
  <c r="V200" i="3" a="1"/>
  <c r="V200" i="3" s="1"/>
  <c r="O200" i="3" a="1"/>
  <c r="O200" i="3" s="1"/>
  <c r="J200" i="3" a="1"/>
  <c r="J200" i="3" s="1"/>
  <c r="R200" i="3" a="1"/>
  <c r="R200" i="3" s="1"/>
  <c r="K200" i="3" a="1"/>
  <c r="K200" i="3" s="1"/>
  <c r="M200" i="3" s="1"/>
  <c r="P235" i="3"/>
  <c r="S235" i="3" s="1"/>
  <c r="AB448" i="3"/>
  <c r="Q448" i="3"/>
  <c r="G478" i="3" a="1"/>
  <c r="G478" i="3" s="1"/>
  <c r="E541" i="3" a="1"/>
  <c r="E541" i="3" s="1"/>
  <c r="E431" i="3" a="1"/>
  <c r="E431" i="3" s="1"/>
  <c r="E311" i="3" a="1"/>
  <c r="E311" i="3" s="1"/>
  <c r="A19" i="5" a="1"/>
  <c r="A19" i="5" s="1"/>
  <c r="J65" i="10"/>
  <c r="L76" i="10"/>
  <c r="O28" i="10"/>
  <c r="F163" i="1" a="1"/>
  <c r="F163" i="1" s="1"/>
  <c r="S163" i="1"/>
  <c r="C163" i="1" a="1"/>
  <c r="C163" i="1" s="1"/>
  <c r="J163" i="1"/>
  <c r="K163" i="1" s="1"/>
  <c r="I163" i="1"/>
  <c r="H163" i="1" a="1"/>
  <c r="H163" i="1" s="1"/>
  <c r="K226" i="1"/>
  <c r="S226" i="1"/>
  <c r="B226" i="1" a="1"/>
  <c r="B226" i="1" s="1"/>
  <c r="P226" i="1"/>
  <c r="O226" i="1"/>
  <c r="M226" i="1"/>
  <c r="L226" i="1"/>
  <c r="J226" i="1"/>
  <c r="I226" i="1"/>
  <c r="S287" i="1"/>
  <c r="C287" i="1" a="1"/>
  <c r="C287" i="1" s="1"/>
  <c r="L287" i="1"/>
  <c r="J287" i="1"/>
  <c r="I287" i="1"/>
  <c r="H287" i="1" a="1"/>
  <c r="H287" i="1" s="1"/>
  <c r="G287" i="1" a="1"/>
  <c r="G287" i="1" s="1"/>
  <c r="F287" i="1" a="1"/>
  <c r="F287" i="1" s="1"/>
  <c r="M308" i="1"/>
  <c r="I308" i="1"/>
  <c r="L308" i="1"/>
  <c r="K308" i="1"/>
  <c r="J308" i="1"/>
  <c r="H308" i="1" a="1"/>
  <c r="H308" i="1" s="1"/>
  <c r="G308" i="1" a="1"/>
  <c r="G308" i="1" s="1"/>
  <c r="O333" i="1"/>
  <c r="B333" i="1" a="1"/>
  <c r="B333" i="1" s="1"/>
  <c r="J333" i="1"/>
  <c r="I333" i="1"/>
  <c r="H333" i="1" a="1"/>
  <c r="H333" i="1" s="1"/>
  <c r="G333" i="1" a="1"/>
  <c r="G333" i="1" s="1"/>
  <c r="F333" i="1" a="1"/>
  <c r="F333" i="1" s="1"/>
  <c r="O397" i="1"/>
  <c r="B397" i="1" a="1"/>
  <c r="B397" i="1" s="1"/>
  <c r="J397" i="1"/>
  <c r="H397" i="1" a="1"/>
  <c r="H397" i="1" s="1"/>
  <c r="G397" i="1" a="1"/>
  <c r="G397" i="1" s="1"/>
  <c r="F397" i="1" a="1"/>
  <c r="F397" i="1" s="1"/>
  <c r="E397" i="1" a="1"/>
  <c r="E397" i="1" s="1"/>
  <c r="O69" i="3" a="1"/>
  <c r="O69" i="3" s="1"/>
  <c r="K69" i="3" a="1"/>
  <c r="K69" i="3" s="1"/>
  <c r="M69" i="3" s="1"/>
  <c r="V69" i="3" a="1"/>
  <c r="V69" i="3" s="1"/>
  <c r="C8" i="1" a="1"/>
  <c r="C8" i="1" s="1"/>
  <c r="S8" i="1"/>
  <c r="B8" i="1" a="1"/>
  <c r="B8" i="1" s="1"/>
  <c r="M8" i="1"/>
  <c r="M372" i="1"/>
  <c r="I372" i="1"/>
  <c r="K372" i="1"/>
  <c r="J372" i="1"/>
  <c r="H372" i="1" a="1"/>
  <c r="H372" i="1" s="1"/>
  <c r="G372" i="1" a="1"/>
  <c r="G372" i="1" s="1"/>
  <c r="F372" i="1" a="1"/>
  <c r="F372" i="1" s="1"/>
  <c r="M468" i="1"/>
  <c r="J468" i="1"/>
  <c r="I468" i="1"/>
  <c r="O468" i="1"/>
  <c r="L468" i="1"/>
  <c r="K468" i="1"/>
  <c r="H468" i="1" a="1"/>
  <c r="H468" i="1" s="1"/>
  <c r="G468" i="1" a="1"/>
  <c r="G468" i="1" s="1"/>
  <c r="E572" i="1" a="1"/>
  <c r="E572" i="1" s="1"/>
  <c r="B572" i="1" a="1"/>
  <c r="B572" i="1" s="1"/>
  <c r="S572" i="1"/>
  <c r="P572" i="1"/>
  <c r="O572" i="1"/>
  <c r="M572" i="1"/>
  <c r="L572" i="1"/>
  <c r="J601" i="1"/>
  <c r="G601" i="1" a="1"/>
  <c r="G601" i="1" s="1"/>
  <c r="S601" i="1"/>
  <c r="P601" i="1"/>
  <c r="O601" i="1"/>
  <c r="M601" i="1"/>
  <c r="L601" i="1"/>
  <c r="K601" i="1"/>
  <c r="I601" i="1"/>
  <c r="P119" i="3"/>
  <c r="Q177" i="3"/>
  <c r="P177" i="3"/>
  <c r="AB177" i="3"/>
  <c r="B4" i="1" a="1"/>
  <c r="B4" i="1" s="1"/>
  <c r="M6" i="1"/>
  <c r="I6" i="1"/>
  <c r="K6" i="1" s="1"/>
  <c r="H6" i="1" a="1"/>
  <c r="H6" i="1" s="1"/>
  <c r="C18" i="1" a="1"/>
  <c r="C18" i="1" s="1"/>
  <c r="B21" i="1" a="1"/>
  <c r="B21" i="1" s="1"/>
  <c r="C23" i="1" a="1"/>
  <c r="C23" i="1" s="1"/>
  <c r="I54" i="1"/>
  <c r="K54" i="1" s="1"/>
  <c r="J92" i="1"/>
  <c r="I92" i="1"/>
  <c r="K92" i="1" s="1"/>
  <c r="H92" i="1" a="1"/>
  <c r="H92" i="1" s="1"/>
  <c r="B96" i="1" a="1"/>
  <c r="B96" i="1" s="1"/>
  <c r="I139" i="1"/>
  <c r="I496" i="1"/>
  <c r="G496" i="1" a="1"/>
  <c r="G496" i="1" s="1"/>
  <c r="J496" i="1"/>
  <c r="H496" i="1" a="1"/>
  <c r="H496" i="1" s="1"/>
  <c r="F496" i="1" a="1"/>
  <c r="F496" i="1" s="1"/>
  <c r="E496" i="1" a="1"/>
  <c r="E496" i="1" s="1"/>
  <c r="P742" i="1"/>
  <c r="L742" i="1"/>
  <c r="K742" i="1"/>
  <c r="J742" i="1"/>
  <c r="S742" i="1"/>
  <c r="O742" i="1"/>
  <c r="M742" i="1"/>
  <c r="I742" i="1"/>
  <c r="H742" i="1" a="1"/>
  <c r="H742" i="1" s="1"/>
  <c r="AB104" i="3"/>
  <c r="Q104" i="3"/>
  <c r="I186" i="1"/>
  <c r="K186" i="1" s="1"/>
  <c r="B340" i="1" a="1"/>
  <c r="B340" i="1" s="1"/>
  <c r="O413" i="1"/>
  <c r="B413" i="1" a="1"/>
  <c r="B413" i="1" s="1"/>
  <c r="J413" i="1"/>
  <c r="C413" i="1" a="1"/>
  <c r="C413" i="1" s="1"/>
  <c r="S413" i="1"/>
  <c r="P413" i="1"/>
  <c r="M413" i="1"/>
  <c r="L413" i="1"/>
  <c r="K413" i="1"/>
  <c r="M564" i="1"/>
  <c r="J564" i="1"/>
  <c r="I564" i="1"/>
  <c r="P564" i="1"/>
  <c r="O564" i="1"/>
  <c r="L564" i="1"/>
  <c r="K564" i="1"/>
  <c r="H564" i="1" a="1"/>
  <c r="H564" i="1" s="1"/>
  <c r="G564" i="1" a="1"/>
  <c r="G564" i="1" s="1"/>
  <c r="AB321" i="3"/>
  <c r="Q321" i="3"/>
  <c r="C9" i="1" a="1"/>
  <c r="C9" i="1" s="1"/>
  <c r="S31" i="1"/>
  <c r="B34" i="1" a="1"/>
  <c r="B34" i="1" s="1"/>
  <c r="M34" i="1"/>
  <c r="J34" i="1"/>
  <c r="K34" i="1" s="1"/>
  <c r="I34" i="1"/>
  <c r="M41" i="1"/>
  <c r="L41" i="1"/>
  <c r="J41" i="1"/>
  <c r="K41" i="1" s="1"/>
  <c r="I41" i="1"/>
  <c r="H41" i="1" a="1"/>
  <c r="H41" i="1" s="1"/>
  <c r="B68" i="1" a="1"/>
  <c r="B68" i="1" s="1"/>
  <c r="O74" i="1"/>
  <c r="J89" i="1"/>
  <c r="G89" i="1" a="1"/>
  <c r="G89" i="1" s="1"/>
  <c r="S89" i="1" s="1"/>
  <c r="I89" i="1"/>
  <c r="H89" i="1" a="1"/>
  <c r="H89" i="1" s="1"/>
  <c r="F89" i="1" a="1"/>
  <c r="F89" i="1" s="1"/>
  <c r="C120" i="1" a="1"/>
  <c r="C120" i="1" s="1"/>
  <c r="M132" i="1"/>
  <c r="I132" i="1"/>
  <c r="G132" i="1" a="1"/>
  <c r="G132" i="1" s="1"/>
  <c r="S132" i="1" s="1"/>
  <c r="F132" i="1" a="1"/>
  <c r="F132" i="1" s="1"/>
  <c r="E132" i="1" a="1"/>
  <c r="E132" i="1" s="1"/>
  <c r="B287" i="1" a="1"/>
  <c r="B287" i="1" s="1"/>
  <c r="J441" i="1"/>
  <c r="G441" i="1" a="1"/>
  <c r="G441" i="1" s="1"/>
  <c r="L441" i="1"/>
  <c r="K441" i="1"/>
  <c r="I441" i="1"/>
  <c r="H441" i="1" a="1"/>
  <c r="H441" i="1" s="1"/>
  <c r="F441" i="1" a="1"/>
  <c r="F441" i="1" s="1"/>
  <c r="B455" i="1" a="1"/>
  <c r="B455" i="1" s="1"/>
  <c r="B546" i="1" a="1"/>
  <c r="B546" i="1" s="1"/>
  <c r="B615" i="1" a="1"/>
  <c r="B615" i="1" s="1"/>
  <c r="P788" i="1"/>
  <c r="M788" i="1"/>
  <c r="H788" i="1" a="1"/>
  <c r="H788" i="1" s="1"/>
  <c r="F788" i="1" a="1"/>
  <c r="F788" i="1" s="1"/>
  <c r="K788" i="1"/>
  <c r="J788" i="1"/>
  <c r="I788" i="1"/>
  <c r="G788" i="1" a="1"/>
  <c r="G788" i="1" s="1"/>
  <c r="E788" i="1" a="1"/>
  <c r="E788" i="1" s="1"/>
  <c r="AB521" i="3"/>
  <c r="Q521" i="3"/>
  <c r="B39" i="1" a="1"/>
  <c r="B39" i="1" s="1"/>
  <c r="O42" i="1"/>
  <c r="O154" i="1"/>
  <c r="C148" i="6"/>
  <c r="B148" i="6"/>
  <c r="F16" i="1" a="1"/>
  <c r="F16" i="1" s="1"/>
  <c r="F20" i="1" a="1"/>
  <c r="F20" i="1" s="1"/>
  <c r="C34" i="1" a="1"/>
  <c r="C34" i="1" s="1"/>
  <c r="B37" i="1" a="1"/>
  <c r="B37" i="1" s="1"/>
  <c r="L62" i="1"/>
  <c r="H75" i="1" a="1"/>
  <c r="H75" i="1" s="1"/>
  <c r="G75" i="1" a="1"/>
  <c r="G75" i="1" s="1"/>
  <c r="S75" i="1" s="1"/>
  <c r="F75" i="1" a="1"/>
  <c r="F75" i="1" s="1"/>
  <c r="E75" i="1" a="1"/>
  <c r="E75" i="1" s="1"/>
  <c r="B171" i="1" a="1"/>
  <c r="B171" i="1" s="1"/>
  <c r="E173" i="1" a="1"/>
  <c r="E173" i="1" s="1"/>
  <c r="E226" i="1" a="1"/>
  <c r="E226" i="1" s="1"/>
  <c r="B277" i="1" a="1"/>
  <c r="B277" i="1" s="1"/>
  <c r="C283" i="1" a="1"/>
  <c r="C283" i="1" s="1"/>
  <c r="E308" i="1" a="1"/>
  <c r="E308" i="1" s="1"/>
  <c r="E333" i="1" a="1"/>
  <c r="E333" i="1" s="1"/>
  <c r="E340" i="1" a="1"/>
  <c r="E340" i="1" s="1"/>
  <c r="M360" i="1"/>
  <c r="C360" i="1" a="1"/>
  <c r="C360" i="1" s="1"/>
  <c r="S360" i="1"/>
  <c r="B360" i="1" a="1"/>
  <c r="B360" i="1" s="1"/>
  <c r="P360" i="1"/>
  <c r="O360" i="1"/>
  <c r="L360" i="1"/>
  <c r="K360" i="1"/>
  <c r="E399" i="1" a="1"/>
  <c r="E399" i="1" s="1"/>
  <c r="S431" i="1"/>
  <c r="C431" i="1" a="1"/>
  <c r="C431" i="1" s="1"/>
  <c r="M431" i="1"/>
  <c r="L431" i="1"/>
  <c r="J431" i="1"/>
  <c r="I431" i="1"/>
  <c r="H431" i="1" a="1"/>
  <c r="H431" i="1" s="1"/>
  <c r="G431" i="1" a="1"/>
  <c r="G431" i="1" s="1"/>
  <c r="F431" i="1" a="1"/>
  <c r="F431" i="1" s="1"/>
  <c r="O440" i="1"/>
  <c r="B440" i="1" a="1"/>
  <c r="B440" i="1" s="1"/>
  <c r="M440" i="1"/>
  <c r="S440" i="1"/>
  <c r="P440" i="1"/>
  <c r="L440" i="1"/>
  <c r="K440" i="1"/>
  <c r="J440" i="1"/>
  <c r="I440" i="1"/>
  <c r="H440" i="1" a="1"/>
  <c r="H440" i="1" s="1"/>
  <c r="H487" i="1" a="1"/>
  <c r="H487" i="1" s="1"/>
  <c r="F487" i="1" a="1"/>
  <c r="F487" i="1" s="1"/>
  <c r="K487" i="1"/>
  <c r="J487" i="1"/>
  <c r="I487" i="1"/>
  <c r="G487" i="1" a="1"/>
  <c r="G487" i="1" s="1"/>
  <c r="E487" i="1" a="1"/>
  <c r="E487" i="1" s="1"/>
  <c r="B505" i="1" a="1"/>
  <c r="B505" i="1" s="1"/>
  <c r="E540" i="1" a="1"/>
  <c r="E540" i="1" s="1"/>
  <c r="B540" i="1" a="1"/>
  <c r="B540" i="1" s="1"/>
  <c r="S540" i="1"/>
  <c r="P540" i="1"/>
  <c r="O540" i="1"/>
  <c r="M540" i="1"/>
  <c r="L540" i="1"/>
  <c r="K540" i="1"/>
  <c r="C587" i="1" a="1"/>
  <c r="C587" i="1" s="1"/>
  <c r="I624" i="1"/>
  <c r="G624" i="1" a="1"/>
  <c r="G624" i="1" s="1"/>
  <c r="M624" i="1"/>
  <c r="L624" i="1"/>
  <c r="K624" i="1"/>
  <c r="J624" i="1"/>
  <c r="H624" i="1" a="1"/>
  <c r="H624" i="1" s="1"/>
  <c r="F624" i="1" a="1"/>
  <c r="F624" i="1" s="1"/>
  <c r="B643" i="1" a="1"/>
  <c r="B643" i="1" s="1"/>
  <c r="P662" i="1"/>
  <c r="L662" i="1"/>
  <c r="K662" i="1"/>
  <c r="G662" i="1" a="1"/>
  <c r="G662" i="1" s="1"/>
  <c r="F662" i="1" a="1"/>
  <c r="F662" i="1" s="1"/>
  <c r="E662" i="1" a="1"/>
  <c r="E662" i="1" s="1"/>
  <c r="O669" i="1"/>
  <c r="B669" i="1" a="1"/>
  <c r="B669" i="1" s="1"/>
  <c r="K669" i="1"/>
  <c r="J669" i="1"/>
  <c r="S669" i="1"/>
  <c r="P669" i="1"/>
  <c r="M669" i="1"/>
  <c r="L669" i="1"/>
  <c r="I669" i="1"/>
  <c r="H669" i="1" a="1"/>
  <c r="H669" i="1" s="1"/>
  <c r="O712" i="1"/>
  <c r="B712" i="1" a="1"/>
  <c r="B712" i="1" s="1"/>
  <c r="M712" i="1"/>
  <c r="L712" i="1"/>
  <c r="K712" i="1"/>
  <c r="J712" i="1"/>
  <c r="I712" i="1"/>
  <c r="H712" i="1" a="1"/>
  <c r="H712" i="1" s="1"/>
  <c r="G712" i="1" a="1"/>
  <c r="G712" i="1" s="1"/>
  <c r="B802" i="1" a="1"/>
  <c r="B802" i="1" s="1"/>
  <c r="E371" i="3" a="1"/>
  <c r="E371" i="3" s="1"/>
  <c r="P666" i="3"/>
  <c r="AB666" i="3"/>
  <c r="Q666" i="3"/>
  <c r="F3" i="1" a="1"/>
  <c r="F3" i="1" s="1"/>
  <c r="E6" i="1" a="1"/>
  <c r="E6" i="1" s="1"/>
  <c r="F9" i="1" a="1"/>
  <c r="F9" i="1" s="1"/>
  <c r="I10" i="1"/>
  <c r="K10" i="1" s="1"/>
  <c r="G8" i="1" a="1"/>
  <c r="G8" i="1" s="1"/>
  <c r="L8" i="1" s="1"/>
  <c r="L9" i="1"/>
  <c r="L12" i="1"/>
  <c r="I19" i="1"/>
  <c r="K19" i="1" s="1"/>
  <c r="M23" i="1"/>
  <c r="E34" i="1" a="1"/>
  <c r="E34" i="1" s="1"/>
  <c r="E41" i="1" a="1"/>
  <c r="E41" i="1" s="1"/>
  <c r="S47" i="1"/>
  <c r="O50" i="1"/>
  <c r="B50" i="1" a="1"/>
  <c r="B50" i="1" s="1"/>
  <c r="M50" i="1"/>
  <c r="L50" i="1"/>
  <c r="P50" i="1" s="1"/>
  <c r="J50" i="1"/>
  <c r="I50" i="1"/>
  <c r="K50" i="1" s="1"/>
  <c r="J55" i="1"/>
  <c r="K55" i="1" s="1"/>
  <c r="I55" i="1"/>
  <c r="H55" i="1" a="1"/>
  <c r="H55" i="1" s="1"/>
  <c r="G55" i="1" a="1"/>
  <c r="G55" i="1" s="1"/>
  <c r="M57" i="1"/>
  <c r="L57" i="1"/>
  <c r="J57" i="1"/>
  <c r="K57" i="1" s="1"/>
  <c r="I57" i="1"/>
  <c r="H57" i="1" a="1"/>
  <c r="H57" i="1" s="1"/>
  <c r="S63" i="1"/>
  <c r="C63" i="1" a="1"/>
  <c r="C63" i="1" s="1"/>
  <c r="L63" i="1"/>
  <c r="P63" i="1" s="1"/>
  <c r="M63" i="1"/>
  <c r="J63" i="1"/>
  <c r="K63" i="1" s="1"/>
  <c r="I63" i="1"/>
  <c r="H63" i="1" a="1"/>
  <c r="H63" i="1" s="1"/>
  <c r="C66" i="1" a="1"/>
  <c r="C66" i="1" s="1"/>
  <c r="J68" i="1"/>
  <c r="F81" i="1" a="1"/>
  <c r="F81" i="1" s="1"/>
  <c r="L82" i="1"/>
  <c r="O82" i="1" s="1"/>
  <c r="G85" i="1" a="1"/>
  <c r="G85" i="1" s="1"/>
  <c r="S85" i="1" s="1"/>
  <c r="E85" i="1" a="1"/>
  <c r="E85" i="1" s="1"/>
  <c r="J85" i="1"/>
  <c r="K85" i="1" s="1"/>
  <c r="I85" i="1"/>
  <c r="H85" i="1" a="1"/>
  <c r="H85" i="1" s="1"/>
  <c r="C89" i="1" a="1"/>
  <c r="C89" i="1" s="1"/>
  <c r="E91" i="1" a="1"/>
  <c r="E91" i="1" s="1"/>
  <c r="I93" i="1"/>
  <c r="F95" i="1" a="1"/>
  <c r="F95" i="1" s="1"/>
  <c r="M96" i="1"/>
  <c r="B102" i="1" a="1"/>
  <c r="B102" i="1" s="1"/>
  <c r="C103" i="1" a="1"/>
  <c r="C103" i="1" s="1"/>
  <c r="J107" i="1"/>
  <c r="K107" i="1" s="1"/>
  <c r="I123" i="1"/>
  <c r="K123" i="1" s="1"/>
  <c r="I128" i="1"/>
  <c r="J128" i="1"/>
  <c r="K128" i="1" s="1"/>
  <c r="H128" i="1" a="1"/>
  <c r="H128" i="1" s="1"/>
  <c r="G128" i="1" a="1"/>
  <c r="G128" i="1" s="1"/>
  <c r="F128" i="1" a="1"/>
  <c r="F128" i="1" s="1"/>
  <c r="S138" i="1"/>
  <c r="I147" i="1"/>
  <c r="K147" i="1" s="1"/>
  <c r="M152" i="1"/>
  <c r="L152" i="1"/>
  <c r="P152" i="1" s="1"/>
  <c r="J152" i="1"/>
  <c r="K152" i="1" s="1"/>
  <c r="I152" i="1"/>
  <c r="E160" i="1" a="1"/>
  <c r="E160" i="1" s="1"/>
  <c r="F162" i="1" a="1"/>
  <c r="F162" i="1" s="1"/>
  <c r="G163" i="1" a="1"/>
  <c r="G163" i="1" s="1"/>
  <c r="L163" i="1" s="1"/>
  <c r="B167" i="1" a="1"/>
  <c r="B167" i="1" s="1"/>
  <c r="C171" i="1" a="1"/>
  <c r="C171" i="1" s="1"/>
  <c r="F173" i="1" a="1"/>
  <c r="F173" i="1" s="1"/>
  <c r="I182" i="1"/>
  <c r="F191" i="1" a="1"/>
  <c r="F191" i="1" s="1"/>
  <c r="E209" i="1" a="1"/>
  <c r="E209" i="1" s="1"/>
  <c r="O209" i="1"/>
  <c r="B209" i="1" a="1"/>
  <c r="B209" i="1" s="1"/>
  <c r="M209" i="1"/>
  <c r="L209" i="1"/>
  <c r="K209" i="1"/>
  <c r="J209" i="1"/>
  <c r="I209" i="1"/>
  <c r="H209" i="1" a="1"/>
  <c r="H209" i="1" s="1"/>
  <c r="F212" i="1" a="1"/>
  <c r="F212" i="1" s="1"/>
  <c r="J217" i="1"/>
  <c r="G217" i="1" a="1"/>
  <c r="G217" i="1" s="1"/>
  <c r="I217" i="1"/>
  <c r="H217" i="1" a="1"/>
  <c r="H217" i="1" s="1"/>
  <c r="F217" i="1" a="1"/>
  <c r="F217" i="1" s="1"/>
  <c r="E217" i="1" a="1"/>
  <c r="E217" i="1" s="1"/>
  <c r="F226" i="1" a="1"/>
  <c r="F226" i="1" s="1"/>
  <c r="S255" i="1"/>
  <c r="C255" i="1" a="1"/>
  <c r="C255" i="1" s="1"/>
  <c r="L255" i="1"/>
  <c r="K255" i="1"/>
  <c r="J255" i="1"/>
  <c r="I255" i="1"/>
  <c r="H255" i="1" a="1"/>
  <c r="H255" i="1" s="1"/>
  <c r="G255" i="1" a="1"/>
  <c r="G255" i="1" s="1"/>
  <c r="C265" i="1" a="1"/>
  <c r="C265" i="1" s="1"/>
  <c r="B276" i="1" a="1"/>
  <c r="B276" i="1" s="1"/>
  <c r="E283" i="1" a="1"/>
  <c r="E283" i="1" s="1"/>
  <c r="K287" i="1"/>
  <c r="F291" i="1" a="1"/>
  <c r="F291" i="1" s="1"/>
  <c r="S291" i="1"/>
  <c r="C291" i="1" a="1"/>
  <c r="C291" i="1" s="1"/>
  <c r="I291" i="1"/>
  <c r="H291" i="1" a="1"/>
  <c r="H291" i="1" s="1"/>
  <c r="G291" i="1" a="1"/>
  <c r="G291" i="1" s="1"/>
  <c r="E291" i="1" a="1"/>
  <c r="E291" i="1" s="1"/>
  <c r="E305" i="1" a="1"/>
  <c r="E305" i="1" s="1"/>
  <c r="O305" i="1"/>
  <c r="B305" i="1" a="1"/>
  <c r="B305" i="1" s="1"/>
  <c r="I305" i="1"/>
  <c r="H305" i="1" a="1"/>
  <c r="H305" i="1" s="1"/>
  <c r="G305" i="1" a="1"/>
  <c r="G305" i="1" s="1"/>
  <c r="F305" i="1" a="1"/>
  <c r="F305" i="1" s="1"/>
  <c r="E307" i="1" a="1"/>
  <c r="E307" i="1" s="1"/>
  <c r="F308" i="1" a="1"/>
  <c r="F308" i="1" s="1"/>
  <c r="F315" i="1" a="1"/>
  <c r="F315" i="1" s="1"/>
  <c r="C326" i="1" a="1"/>
  <c r="C326" i="1" s="1"/>
  <c r="E332" i="1" a="1"/>
  <c r="E332" i="1" s="1"/>
  <c r="L333" i="1"/>
  <c r="L340" i="1"/>
  <c r="M344" i="1"/>
  <c r="I344" i="1"/>
  <c r="H344" i="1" a="1"/>
  <c r="H344" i="1" s="1"/>
  <c r="G344" i="1" a="1"/>
  <c r="G344" i="1" s="1"/>
  <c r="F344" i="1" a="1"/>
  <c r="F344" i="1" s="1"/>
  <c r="B361" i="1" a="1"/>
  <c r="B361" i="1" s="1"/>
  <c r="C364" i="1" a="1"/>
  <c r="C364" i="1" s="1"/>
  <c r="O381" i="1"/>
  <c r="B381" i="1" a="1"/>
  <c r="B381" i="1" s="1"/>
  <c r="J381" i="1"/>
  <c r="C381" i="1" a="1"/>
  <c r="C381" i="1" s="1"/>
  <c r="S381" i="1"/>
  <c r="P381" i="1"/>
  <c r="M381" i="1"/>
  <c r="L381" i="1"/>
  <c r="K381" i="1"/>
  <c r="C386" i="1" a="1"/>
  <c r="C386" i="1" s="1"/>
  <c r="C393" i="1" a="1"/>
  <c r="C393" i="1" s="1"/>
  <c r="E396" i="1" a="1"/>
  <c r="E396" i="1" s="1"/>
  <c r="L397" i="1"/>
  <c r="F399" i="1" a="1"/>
  <c r="F399" i="1" s="1"/>
  <c r="C411" i="1" a="1"/>
  <c r="C411" i="1" s="1"/>
  <c r="E413" i="1" a="1"/>
  <c r="E413" i="1" s="1"/>
  <c r="P422" i="1"/>
  <c r="L422" i="1"/>
  <c r="K422" i="1"/>
  <c r="J422" i="1"/>
  <c r="I422" i="1"/>
  <c r="H422" i="1" a="1"/>
  <c r="H422" i="1" s="1"/>
  <c r="G422" i="1" a="1"/>
  <c r="G422" i="1" s="1"/>
  <c r="F422" i="1" a="1"/>
  <c r="F422" i="1" s="1"/>
  <c r="E435" i="1" a="1"/>
  <c r="E435" i="1" s="1"/>
  <c r="B441" i="1" a="1"/>
  <c r="B441" i="1" s="1"/>
  <c r="C454" i="1" a="1"/>
  <c r="C454" i="1" s="1"/>
  <c r="M455" i="1"/>
  <c r="B467" i="1" a="1"/>
  <c r="B467" i="1" s="1"/>
  <c r="E468" i="1" a="1"/>
  <c r="E468" i="1" s="1"/>
  <c r="E476" i="1" a="1"/>
  <c r="E476" i="1" s="1"/>
  <c r="S476" i="1"/>
  <c r="P476" i="1"/>
  <c r="O476" i="1"/>
  <c r="M476" i="1"/>
  <c r="L476" i="1"/>
  <c r="K476" i="1"/>
  <c r="J476" i="1"/>
  <c r="C496" i="1" a="1"/>
  <c r="C496" i="1" s="1"/>
  <c r="B515" i="1" a="1"/>
  <c r="B515" i="1" s="1"/>
  <c r="B518" i="1" a="1"/>
  <c r="B518" i="1" s="1"/>
  <c r="E519" i="1" a="1"/>
  <c r="E519" i="1" s="1"/>
  <c r="I528" i="1"/>
  <c r="G528" i="1" a="1"/>
  <c r="G528" i="1" s="1"/>
  <c r="K528" i="1"/>
  <c r="J528" i="1"/>
  <c r="H528" i="1" a="1"/>
  <c r="H528" i="1" s="1"/>
  <c r="F528" i="1" a="1"/>
  <c r="F528" i="1" s="1"/>
  <c r="E528" i="1" a="1"/>
  <c r="E528" i="1" s="1"/>
  <c r="E568" i="1" a="1"/>
  <c r="E568" i="1" s="1"/>
  <c r="E569" i="1" a="1"/>
  <c r="E569" i="1" s="1"/>
  <c r="G572" i="1" a="1"/>
  <c r="G572" i="1" s="1"/>
  <c r="B583" i="1" a="1"/>
  <c r="B583" i="1" s="1"/>
  <c r="K584" i="1"/>
  <c r="E587" i="1" a="1"/>
  <c r="E587" i="1" s="1"/>
  <c r="F591" i="1" a="1"/>
  <c r="F591" i="1" s="1"/>
  <c r="C596" i="1" a="1"/>
  <c r="C596" i="1" s="1"/>
  <c r="B598" i="1" a="1"/>
  <c r="B598" i="1" s="1"/>
  <c r="C625" i="1" a="1"/>
  <c r="C625" i="1" s="1"/>
  <c r="E643" i="1" a="1"/>
  <c r="E643" i="1" s="1"/>
  <c r="E656" i="1" a="1"/>
  <c r="E656" i="1" s="1"/>
  <c r="C674" i="1" a="1"/>
  <c r="C674" i="1" s="1"/>
  <c r="G684" i="1" a="1"/>
  <c r="G684" i="1" s="1"/>
  <c r="B694" i="1" a="1"/>
  <c r="B694" i="1" s="1"/>
  <c r="K708" i="1"/>
  <c r="C715" i="1" a="1"/>
  <c r="C715" i="1" s="1"/>
  <c r="F716" i="1" a="1"/>
  <c r="F716" i="1" s="1"/>
  <c r="M736" i="1"/>
  <c r="C742" i="1" a="1"/>
  <c r="C742" i="1" s="1"/>
  <c r="J745" i="1"/>
  <c r="K745" i="1"/>
  <c r="G745" i="1" a="1"/>
  <c r="G745" i="1" s="1"/>
  <c r="I745" i="1"/>
  <c r="H745" i="1" a="1"/>
  <c r="H745" i="1" s="1"/>
  <c r="F745" i="1" a="1"/>
  <c r="F745" i="1" s="1"/>
  <c r="E745" i="1" a="1"/>
  <c r="E745" i="1" s="1"/>
  <c r="C745" i="1" a="1"/>
  <c r="C745" i="1" s="1"/>
  <c r="C802" i="1" a="1"/>
  <c r="C802" i="1" s="1"/>
  <c r="P806" i="1"/>
  <c r="H806" i="1" a="1"/>
  <c r="H806" i="1" s="1"/>
  <c r="F806" i="1" a="1"/>
  <c r="F806" i="1" s="1"/>
  <c r="S806" i="1"/>
  <c r="O806" i="1"/>
  <c r="M806" i="1"/>
  <c r="L806" i="1"/>
  <c r="K806" i="1"/>
  <c r="J806" i="1"/>
  <c r="B809" i="1" a="1"/>
  <c r="B809" i="1" s="1"/>
  <c r="H814" i="1" a="1"/>
  <c r="H814" i="1" s="1"/>
  <c r="E815" i="1" a="1"/>
  <c r="E815" i="1" s="1"/>
  <c r="S815" i="1"/>
  <c r="C815" i="1" a="1"/>
  <c r="C815" i="1" s="1"/>
  <c r="P815" i="1"/>
  <c r="L815" i="1"/>
  <c r="K815" i="1"/>
  <c r="J815" i="1"/>
  <c r="G815" i="1" a="1"/>
  <c r="G815" i="1" s="1"/>
  <c r="F815" i="1" a="1"/>
  <c r="F815" i="1" s="1"/>
  <c r="B815" i="1" a="1"/>
  <c r="B815" i="1" s="1"/>
  <c r="B830" i="1" a="1"/>
  <c r="B830" i="1" s="1"/>
  <c r="B837" i="1" a="1"/>
  <c r="B837" i="1" s="1"/>
  <c r="K848" i="1"/>
  <c r="I848" i="1"/>
  <c r="F848" i="1" a="1"/>
  <c r="F848" i="1" s="1"/>
  <c r="P848" i="1"/>
  <c r="O848" i="1"/>
  <c r="M848" i="1"/>
  <c r="E848" i="1" a="1"/>
  <c r="E848" i="1" s="1"/>
  <c r="C848" i="1" a="1"/>
  <c r="C848" i="1" s="1"/>
  <c r="B848" i="1" a="1"/>
  <c r="B848" i="1" s="1"/>
  <c r="B887" i="1" a="1"/>
  <c r="B887" i="1" s="1"/>
  <c r="E898" i="1" a="1"/>
  <c r="E898" i="1" s="1"/>
  <c r="E34" i="2" a="1"/>
  <c r="E34" i="2" s="1"/>
  <c r="K102" i="3" a="1"/>
  <c r="K102" i="3" s="1"/>
  <c r="M102" i="3" s="1"/>
  <c r="AB142" i="3"/>
  <c r="Q142" i="3"/>
  <c r="P142" i="3"/>
  <c r="AA161" i="3"/>
  <c r="AA214" i="3"/>
  <c r="AC214" i="3"/>
  <c r="AA215" i="3"/>
  <c r="Q235" i="3"/>
  <c r="Q240" i="3"/>
  <c r="P240" i="3"/>
  <c r="S240" i="3" s="1"/>
  <c r="AB240" i="3"/>
  <c r="G371" i="3" a="1"/>
  <c r="G371" i="3" s="1"/>
  <c r="E499" i="3" a="1"/>
  <c r="E499" i="3" s="1"/>
  <c r="B258" i="11"/>
  <c r="K28" i="10"/>
  <c r="G835" i="1" a="1"/>
  <c r="G835" i="1" s="1"/>
  <c r="F835" i="1" a="1"/>
  <c r="F835" i="1" s="1"/>
  <c r="C835" i="1" a="1"/>
  <c r="C835" i="1" s="1"/>
  <c r="S835" i="1"/>
  <c r="B835" i="1" a="1"/>
  <c r="B835" i="1" s="1"/>
  <c r="L835" i="1"/>
  <c r="K835" i="1"/>
  <c r="J835" i="1"/>
  <c r="I835" i="1"/>
  <c r="H835" i="1" a="1"/>
  <c r="H835" i="1" s="1"/>
  <c r="F881" i="1" a="1"/>
  <c r="F881" i="1" s="1"/>
  <c r="E881" i="1" a="1"/>
  <c r="E881" i="1" s="1"/>
  <c r="P881" i="1"/>
  <c r="L881" i="1"/>
  <c r="K881" i="1"/>
  <c r="J881" i="1"/>
  <c r="S881" i="1"/>
  <c r="O881" i="1"/>
  <c r="M881" i="1"/>
  <c r="I881" i="1"/>
  <c r="H881" i="1" a="1"/>
  <c r="H881" i="1" s="1"/>
  <c r="L16" i="1"/>
  <c r="P16" i="1" s="1"/>
  <c r="K16" i="1"/>
  <c r="J16" i="1"/>
  <c r="I16" i="1"/>
  <c r="H16" i="1" a="1"/>
  <c r="H16" i="1" s="1"/>
  <c r="S20" i="1"/>
  <c r="B20" i="1" a="1"/>
  <c r="B20" i="1" s="1"/>
  <c r="M20" i="1"/>
  <c r="L20" i="1"/>
  <c r="P20" i="1" s="1"/>
  <c r="M244" i="1"/>
  <c r="I244" i="1"/>
  <c r="S244" i="1"/>
  <c r="B244" i="1" a="1"/>
  <c r="B244" i="1" s="1"/>
  <c r="P244" i="1"/>
  <c r="O244" i="1"/>
  <c r="L244" i="1"/>
  <c r="K244" i="1"/>
  <c r="J244" i="1"/>
  <c r="H244" i="1" a="1"/>
  <c r="H244" i="1" s="1"/>
  <c r="O269" i="1"/>
  <c r="B269" i="1" a="1"/>
  <c r="B269" i="1" s="1"/>
  <c r="J269" i="1"/>
  <c r="M269" i="1"/>
  <c r="L269" i="1"/>
  <c r="K269" i="1"/>
  <c r="I269" i="1"/>
  <c r="H269" i="1" a="1"/>
  <c r="H269" i="1" s="1"/>
  <c r="G269" i="1" a="1"/>
  <c r="G269" i="1" s="1"/>
  <c r="K322" i="1"/>
  <c r="M322" i="1"/>
  <c r="L322" i="1"/>
  <c r="J322" i="1"/>
  <c r="I322" i="1"/>
  <c r="H322" i="1" a="1"/>
  <c r="H322" i="1" s="1"/>
  <c r="G322" i="1" a="1"/>
  <c r="G322" i="1" s="1"/>
  <c r="O365" i="1"/>
  <c r="B365" i="1" a="1"/>
  <c r="B365" i="1" s="1"/>
  <c r="J365" i="1"/>
  <c r="I365" i="1"/>
  <c r="H365" i="1" a="1"/>
  <c r="H365" i="1" s="1"/>
  <c r="G365" i="1" a="1"/>
  <c r="G365" i="1" s="1"/>
  <c r="F365" i="1" a="1"/>
  <c r="F365" i="1" s="1"/>
  <c r="E15" i="2" a="1"/>
  <c r="E15" i="2" s="1"/>
  <c r="D15" i="2" a="1"/>
  <c r="D15" i="2" s="1"/>
  <c r="Q7" i="3"/>
  <c r="P7" i="3"/>
  <c r="S7" i="3" s="1"/>
  <c r="AB7" i="3"/>
  <c r="I37" i="1"/>
  <c r="H37" i="1" a="1"/>
  <c r="H37" i="1" s="1"/>
  <c r="G37" i="1" a="1"/>
  <c r="G37" i="1" s="1"/>
  <c r="F37" i="1" a="1"/>
  <c r="F37" i="1" s="1"/>
  <c r="M180" i="1"/>
  <c r="I180" i="1"/>
  <c r="C180" i="1" a="1"/>
  <c r="C180" i="1" s="1"/>
  <c r="S180" i="1"/>
  <c r="B180" i="1" a="1"/>
  <c r="B180" i="1" s="1"/>
  <c r="L180" i="1"/>
  <c r="P180" i="1" s="1"/>
  <c r="K180" i="1"/>
  <c r="G325" i="1" a="1"/>
  <c r="G325" i="1" s="1"/>
  <c r="E325" i="1" a="1"/>
  <c r="E325" i="1" s="1"/>
  <c r="S325" i="1"/>
  <c r="B325" i="1" a="1"/>
  <c r="B325" i="1" s="1"/>
  <c r="P325" i="1"/>
  <c r="O325" i="1"/>
  <c r="M325" i="1"/>
  <c r="L325" i="1"/>
  <c r="K325" i="1"/>
  <c r="J325" i="1"/>
  <c r="B396" i="1" a="1"/>
  <c r="B396" i="1" s="1"/>
  <c r="L555" i="1"/>
  <c r="I555" i="1"/>
  <c r="H555" i="1" a="1"/>
  <c r="H555" i="1" s="1"/>
  <c r="M555" i="1"/>
  <c r="K555" i="1"/>
  <c r="J555" i="1"/>
  <c r="G555" i="1" a="1"/>
  <c r="G555" i="1" s="1"/>
  <c r="F555" i="1" a="1"/>
  <c r="F555" i="1" s="1"/>
  <c r="B560" i="1" a="1"/>
  <c r="B560" i="1" s="1"/>
  <c r="F579" i="1" a="1"/>
  <c r="F579" i="1" s="1"/>
  <c r="S579" i="1"/>
  <c r="C579" i="1" a="1"/>
  <c r="C579" i="1" s="1"/>
  <c r="J579" i="1"/>
  <c r="I579" i="1"/>
  <c r="H579" i="1" a="1"/>
  <c r="H579" i="1" s="1"/>
  <c r="G579" i="1" a="1"/>
  <c r="G579" i="1" s="1"/>
  <c r="P790" i="1"/>
  <c r="B790" i="1" a="1"/>
  <c r="B790" i="1" s="1"/>
  <c r="M790" i="1"/>
  <c r="L790" i="1"/>
  <c r="K790" i="1"/>
  <c r="I790" i="1"/>
  <c r="H790" i="1" a="1"/>
  <c r="H790" i="1" s="1"/>
  <c r="G790" i="1" a="1"/>
  <c r="G790" i="1" s="1"/>
  <c r="F790" i="1" a="1"/>
  <c r="F790" i="1" s="1"/>
  <c r="O827" i="1"/>
  <c r="B827" i="1" a="1"/>
  <c r="B827" i="1" s="1"/>
  <c r="L827" i="1"/>
  <c r="F827" i="1" a="1"/>
  <c r="F827" i="1" s="1"/>
  <c r="E827" i="1" a="1"/>
  <c r="E827" i="1" s="1"/>
  <c r="P827" i="1"/>
  <c r="M827" i="1"/>
  <c r="K827" i="1"/>
  <c r="J827" i="1"/>
  <c r="I827" i="1"/>
  <c r="H827" i="1" a="1"/>
  <c r="H827" i="1" s="1"/>
  <c r="G827" i="1" a="1"/>
  <c r="G827" i="1" s="1"/>
  <c r="I862" i="1"/>
  <c r="B862" i="1" a="1"/>
  <c r="B862" i="1" s="1"/>
  <c r="O862" i="1"/>
  <c r="M862" i="1"/>
  <c r="L862" i="1"/>
  <c r="S862" i="1"/>
  <c r="P862" i="1"/>
  <c r="K862" i="1"/>
  <c r="J862" i="1"/>
  <c r="H862" i="1" a="1"/>
  <c r="H862" i="1" s="1"/>
  <c r="E26" i="2" a="1"/>
  <c r="E26" i="2" s="1"/>
  <c r="P73" i="3"/>
  <c r="Q111" i="3"/>
  <c r="I17" i="1"/>
  <c r="K17" i="1" s="1"/>
  <c r="I183" i="1"/>
  <c r="K183" i="1" s="1"/>
  <c r="B393" i="1" a="1"/>
  <c r="B393" i="1" s="1"/>
  <c r="B435" i="1" a="1"/>
  <c r="B435" i="1" s="1"/>
  <c r="C468" i="1" a="1"/>
  <c r="C468" i="1" s="1"/>
  <c r="C569" i="1" a="1"/>
  <c r="C569" i="1" s="1"/>
  <c r="P582" i="1"/>
  <c r="L582" i="1"/>
  <c r="K582" i="1"/>
  <c r="S582" i="1"/>
  <c r="O582" i="1"/>
  <c r="M582" i="1"/>
  <c r="J582" i="1"/>
  <c r="I582" i="1"/>
  <c r="H582" i="1" a="1"/>
  <c r="H582" i="1" s="1"/>
  <c r="I133" i="1"/>
  <c r="K133" i="1" s="1"/>
  <c r="E159" i="1" a="1"/>
  <c r="E159" i="1" s="1"/>
  <c r="M163" i="1"/>
  <c r="S165" i="1"/>
  <c r="B258" i="1" a="1"/>
  <c r="B258" i="1" s="1"/>
  <c r="F269" i="1" a="1"/>
  <c r="F269" i="1" s="1"/>
  <c r="M287" i="1"/>
  <c r="O308" i="1"/>
  <c r="P358" i="1"/>
  <c r="K358" i="1"/>
  <c r="I358" i="1"/>
  <c r="H358" i="1" a="1"/>
  <c r="H358" i="1" s="1"/>
  <c r="G358" i="1" a="1"/>
  <c r="G358" i="1" s="1"/>
  <c r="F358" i="1" a="1"/>
  <c r="F358" i="1" s="1"/>
  <c r="C598" i="1" a="1"/>
  <c r="C598" i="1" s="1"/>
  <c r="H679" i="1" a="1"/>
  <c r="H679" i="1" s="1"/>
  <c r="F679" i="1" a="1"/>
  <c r="F679" i="1" s="1"/>
  <c r="P679" i="1"/>
  <c r="O679" i="1"/>
  <c r="M679" i="1"/>
  <c r="L679" i="1"/>
  <c r="K679" i="1"/>
  <c r="J679" i="1"/>
  <c r="I679" i="1"/>
  <c r="F697" i="1" a="1"/>
  <c r="F697" i="1" s="1"/>
  <c r="O736" i="1"/>
  <c r="L761" i="1"/>
  <c r="J761" i="1"/>
  <c r="C761" i="1" a="1"/>
  <c r="C761" i="1" s="1"/>
  <c r="P761" i="1"/>
  <c r="O761" i="1"/>
  <c r="M761" i="1"/>
  <c r="G761" i="1" a="1"/>
  <c r="G761" i="1" s="1"/>
  <c r="F761" i="1" a="1"/>
  <c r="F761" i="1" s="1"/>
  <c r="E761" i="1" a="1"/>
  <c r="E761" i="1" s="1"/>
  <c r="M791" i="1"/>
  <c r="G803" i="1" a="1"/>
  <c r="G803" i="1" s="1"/>
  <c r="F803" i="1" a="1"/>
  <c r="F803" i="1" s="1"/>
  <c r="C803" i="1" a="1"/>
  <c r="C803" i="1" s="1"/>
  <c r="S803" i="1"/>
  <c r="B803" i="1" a="1"/>
  <c r="B803" i="1" s="1"/>
  <c r="P803" i="1"/>
  <c r="O803" i="1"/>
  <c r="M803" i="1"/>
  <c r="L803" i="1"/>
  <c r="K803" i="1"/>
  <c r="J803" i="1"/>
  <c r="C807" i="1" a="1"/>
  <c r="C807" i="1" s="1"/>
  <c r="J814" i="1"/>
  <c r="M835" i="1"/>
  <c r="P838" i="1"/>
  <c r="H838" i="1" a="1"/>
  <c r="H838" i="1" s="1"/>
  <c r="F838" i="1" a="1"/>
  <c r="F838" i="1" s="1"/>
  <c r="L838" i="1"/>
  <c r="K838" i="1"/>
  <c r="J838" i="1"/>
  <c r="I838" i="1"/>
  <c r="G838" i="1" a="1"/>
  <c r="G838" i="1" s="1"/>
  <c r="E838" i="1" a="1"/>
  <c r="E838" i="1" s="1"/>
  <c r="M850" i="1"/>
  <c r="K850" i="1"/>
  <c r="L850" i="1"/>
  <c r="H850" i="1" a="1"/>
  <c r="H850" i="1" s="1"/>
  <c r="F850" i="1" a="1"/>
  <c r="F850" i="1" s="1"/>
  <c r="G850" i="1" a="1"/>
  <c r="G850" i="1" s="1"/>
  <c r="E850" i="1" a="1"/>
  <c r="E850" i="1" s="1"/>
  <c r="C850" i="1" a="1"/>
  <c r="C850" i="1" s="1"/>
  <c r="B850" i="1" a="1"/>
  <c r="B850" i="1" s="1"/>
  <c r="E52" i="2" a="1"/>
  <c r="E52" i="2" s="1"/>
  <c r="AC28" i="3"/>
  <c r="AA28" i="3"/>
  <c r="O52" i="3" a="1"/>
  <c r="O52" i="3" s="1"/>
  <c r="K52" i="3" a="1"/>
  <c r="K52" i="3" s="1"/>
  <c r="M52" i="3" s="1"/>
  <c r="V52" i="3" a="1"/>
  <c r="V52" i="3" s="1"/>
  <c r="R52" i="3" a="1"/>
  <c r="R52" i="3" s="1"/>
  <c r="Q59" i="3"/>
  <c r="P59" i="3"/>
  <c r="S59" i="3" s="1"/>
  <c r="AE145" i="3"/>
  <c r="AD145" i="3"/>
  <c r="Q150" i="3"/>
  <c r="P150" i="3"/>
  <c r="S150" i="3" s="1"/>
  <c r="AB150" i="3"/>
  <c r="P210" i="3"/>
  <c r="S210" i="3" s="1"/>
  <c r="AB210" i="3"/>
  <c r="Q210" i="3"/>
  <c r="P245" i="3"/>
  <c r="S245" i="3" s="1"/>
  <c r="Q245" i="3"/>
  <c r="J297" i="3" a="1"/>
  <c r="J297" i="3" s="1"/>
  <c r="R297" i="3" a="1"/>
  <c r="R297" i="3" s="1"/>
  <c r="O297" i="3" a="1"/>
  <c r="O297" i="3" s="1"/>
  <c r="V297" i="3" a="1"/>
  <c r="V297" i="3" s="1"/>
  <c r="K297" i="3" a="1"/>
  <c r="K297" i="3" s="1"/>
  <c r="M297" i="3" s="1"/>
  <c r="AB300" i="3"/>
  <c r="Q300" i="3"/>
  <c r="P300" i="3"/>
  <c r="S300" i="3" s="1"/>
  <c r="Q308" i="3"/>
  <c r="AB308" i="3"/>
  <c r="AB430" i="3"/>
  <c r="Q430" i="3"/>
  <c r="S448" i="3"/>
  <c r="K541" i="3" a="1"/>
  <c r="K541" i="3" s="1"/>
  <c r="M541" i="3" s="1"/>
  <c r="Q607" i="3"/>
  <c r="P607" i="3"/>
  <c r="AB607" i="3"/>
  <c r="G719" i="3" a="1"/>
  <c r="G719" i="3" s="1"/>
  <c r="C111" i="6"/>
  <c r="M25" i="1"/>
  <c r="L25" i="1"/>
  <c r="O25" i="1" s="1"/>
  <c r="J25" i="1"/>
  <c r="K25" i="1" s="1"/>
  <c r="I25" i="1"/>
  <c r="H25" i="1" a="1"/>
  <c r="H25" i="1" s="1"/>
  <c r="M120" i="1"/>
  <c r="O120" i="1"/>
  <c r="L120" i="1"/>
  <c r="P120" i="1" s="1"/>
  <c r="J120" i="1"/>
  <c r="I120" i="1"/>
  <c r="K120" i="1" s="1"/>
  <c r="L777" i="1"/>
  <c r="J777" i="1"/>
  <c r="H777" i="1" a="1"/>
  <c r="H777" i="1" s="1"/>
  <c r="F777" i="1" a="1"/>
  <c r="F777" i="1" s="1"/>
  <c r="S777" i="1"/>
  <c r="P777" i="1"/>
  <c r="O777" i="1"/>
  <c r="M777" i="1"/>
  <c r="K777" i="1"/>
  <c r="I777" i="1"/>
  <c r="E444" i="1" a="1"/>
  <c r="E444" i="1" s="1"/>
  <c r="S444" i="1"/>
  <c r="P444" i="1"/>
  <c r="O444" i="1"/>
  <c r="M444" i="1"/>
  <c r="L444" i="1"/>
  <c r="K444" i="1"/>
  <c r="J444" i="1"/>
  <c r="R149" i="3" a="1"/>
  <c r="R149" i="3" s="1"/>
  <c r="O149" i="3" a="1"/>
  <c r="O149" i="3" s="1"/>
  <c r="K149" i="3" a="1"/>
  <c r="K149" i="3" s="1"/>
  <c r="M149" i="3" s="1"/>
  <c r="J149" i="3" a="1"/>
  <c r="J149" i="3" s="1"/>
  <c r="V149" i="3" a="1"/>
  <c r="V149" i="3" s="1"/>
  <c r="I72" i="1"/>
  <c r="P78" i="1"/>
  <c r="J105" i="1"/>
  <c r="G105" i="1" a="1"/>
  <c r="G105" i="1" s="1"/>
  <c r="L105" i="1" s="1"/>
  <c r="C105" i="1" a="1"/>
  <c r="C105" i="1" s="1"/>
  <c r="S105" i="1"/>
  <c r="B105" i="1" a="1"/>
  <c r="B105" i="1" s="1"/>
  <c r="P105" i="1"/>
  <c r="O105" i="1"/>
  <c r="M105" i="1"/>
  <c r="I140" i="1"/>
  <c r="K140" i="1" s="1"/>
  <c r="K142" i="1"/>
  <c r="I160" i="1"/>
  <c r="J160" i="1"/>
  <c r="K160" i="1" s="1"/>
  <c r="H160" i="1" a="1"/>
  <c r="H160" i="1" s="1"/>
  <c r="G160" i="1" a="1"/>
  <c r="G160" i="1" s="1"/>
  <c r="S160" i="1" s="1"/>
  <c r="F160" i="1" a="1"/>
  <c r="F160" i="1" s="1"/>
  <c r="J297" i="1"/>
  <c r="G297" i="1" a="1"/>
  <c r="G297" i="1" s="1"/>
  <c r="P297" i="1"/>
  <c r="O297" i="1"/>
  <c r="M297" i="1"/>
  <c r="L297" i="1"/>
  <c r="K297" i="1"/>
  <c r="I297" i="1"/>
  <c r="H297" i="1" a="1"/>
  <c r="H297" i="1" s="1"/>
  <c r="E321" i="1" a="1"/>
  <c r="E321" i="1" s="1"/>
  <c r="O321" i="1"/>
  <c r="B321" i="1" a="1"/>
  <c r="B321" i="1" s="1"/>
  <c r="C321" i="1" a="1"/>
  <c r="C321" i="1" s="1"/>
  <c r="S321" i="1"/>
  <c r="P321" i="1"/>
  <c r="M321" i="1"/>
  <c r="L321" i="1"/>
  <c r="K321" i="1"/>
  <c r="F339" i="1" a="1"/>
  <c r="F339" i="1" s="1"/>
  <c r="S339" i="1"/>
  <c r="C339" i="1" a="1"/>
  <c r="C339" i="1" s="1"/>
  <c r="P339" i="1"/>
  <c r="O339" i="1"/>
  <c r="M339" i="1"/>
  <c r="L339" i="1"/>
  <c r="K339" i="1"/>
  <c r="J339" i="1"/>
  <c r="I339" i="1"/>
  <c r="K354" i="1"/>
  <c r="L354" i="1"/>
  <c r="J354" i="1"/>
  <c r="I354" i="1"/>
  <c r="H354" i="1" a="1"/>
  <c r="H354" i="1" s="1"/>
  <c r="G354" i="1" a="1"/>
  <c r="G354" i="1" s="1"/>
  <c r="F354" i="1" a="1"/>
  <c r="F354" i="1" s="1"/>
  <c r="J505" i="1"/>
  <c r="G505" i="1" a="1"/>
  <c r="G505" i="1" s="1"/>
  <c r="M505" i="1"/>
  <c r="L505" i="1"/>
  <c r="K505" i="1"/>
  <c r="I505" i="1"/>
  <c r="H505" i="1" a="1"/>
  <c r="H505" i="1" s="1"/>
  <c r="F505" i="1" a="1"/>
  <c r="F505" i="1" s="1"/>
  <c r="P614" i="1"/>
  <c r="L614" i="1"/>
  <c r="K614" i="1"/>
  <c r="B614" i="1" a="1"/>
  <c r="B614" i="1" s="1"/>
  <c r="S614" i="1"/>
  <c r="O614" i="1"/>
  <c r="M614" i="1"/>
  <c r="J614" i="1"/>
  <c r="I614" i="1"/>
  <c r="M786" i="1"/>
  <c r="K786" i="1"/>
  <c r="C786" i="1" a="1"/>
  <c r="C786" i="1" s="1"/>
  <c r="P786" i="1"/>
  <c r="O786" i="1"/>
  <c r="L786" i="1"/>
  <c r="H786" i="1" a="1"/>
  <c r="H786" i="1" s="1"/>
  <c r="G786" i="1" a="1"/>
  <c r="G786" i="1" s="1"/>
  <c r="F786" i="1" a="1"/>
  <c r="F786" i="1" s="1"/>
  <c r="E786" i="1" a="1"/>
  <c r="E786" i="1" s="1"/>
  <c r="F849" i="1" a="1"/>
  <c r="F849" i="1" s="1"/>
  <c r="E849" i="1" a="1"/>
  <c r="E849" i="1" s="1"/>
  <c r="O849" i="1"/>
  <c r="K849" i="1"/>
  <c r="J849" i="1"/>
  <c r="I849" i="1"/>
  <c r="G849" i="1" a="1"/>
  <c r="G849" i="1" s="1"/>
  <c r="C849" i="1" a="1"/>
  <c r="C849" i="1" s="1"/>
  <c r="B849" i="1" a="1"/>
  <c r="B849" i="1" s="1"/>
  <c r="E29" i="2" a="1"/>
  <c r="E29" i="2" s="1"/>
  <c r="D29" i="2" a="1"/>
  <c r="D29" i="2" s="1"/>
  <c r="V30" i="3" a="1"/>
  <c r="V30" i="3" s="1"/>
  <c r="C46" i="6"/>
  <c r="K30" i="3" a="1"/>
  <c r="K30" i="3" s="1"/>
  <c r="M30" i="3" s="1"/>
  <c r="B46" i="6"/>
  <c r="D46" i="6" s="1"/>
  <c r="E46" i="6" s="1"/>
  <c r="C153" i="6"/>
  <c r="C3" i="6"/>
  <c r="J30" i="3" a="1"/>
  <c r="J30" i="3" s="1"/>
  <c r="B153" i="6"/>
  <c r="B3" i="6"/>
  <c r="B5" i="6"/>
  <c r="C114" i="6"/>
  <c r="C5" i="6"/>
  <c r="C121" i="6"/>
  <c r="C64" i="6"/>
  <c r="B121" i="6"/>
  <c r="D121" i="6" s="1"/>
  <c r="E121" i="6" s="1"/>
  <c r="C144" i="6"/>
  <c r="B88" i="6"/>
  <c r="C106" i="6"/>
  <c r="R30" i="3" a="1"/>
  <c r="R30" i="3" s="1"/>
  <c r="O30" i="3" a="1"/>
  <c r="O30" i="3" s="1"/>
  <c r="C131" i="6"/>
  <c r="B23" i="6"/>
  <c r="D23" i="6" s="1"/>
  <c r="E23" i="6" s="1"/>
  <c r="C21" i="6"/>
  <c r="Q119" i="3"/>
  <c r="J30" i="1"/>
  <c r="I30" i="1"/>
  <c r="H30" i="1" a="1"/>
  <c r="H30" i="1" s="1"/>
  <c r="G30" i="1" a="1"/>
  <c r="G30" i="1" s="1"/>
  <c r="S30" i="1" s="1"/>
  <c r="E38" i="1" a="1"/>
  <c r="E38" i="1" s="1"/>
  <c r="C38" i="1" a="1"/>
  <c r="C38" i="1" s="1"/>
  <c r="P38" i="1"/>
  <c r="M38" i="1"/>
  <c r="O38" i="1"/>
  <c r="B38" i="1" a="1"/>
  <c r="B38" i="1" s="1"/>
  <c r="G277" i="1" a="1"/>
  <c r="G277" i="1" s="1"/>
  <c r="E277" i="1" a="1"/>
  <c r="E277" i="1" s="1"/>
  <c r="J277" i="1"/>
  <c r="I277" i="1"/>
  <c r="H277" i="1" a="1"/>
  <c r="H277" i="1" s="1"/>
  <c r="F277" i="1" a="1"/>
  <c r="F277" i="1" s="1"/>
  <c r="S319" i="1"/>
  <c r="C319" i="1" a="1"/>
  <c r="C319" i="1" s="1"/>
  <c r="L319" i="1"/>
  <c r="I319" i="1"/>
  <c r="H319" i="1" a="1"/>
  <c r="H319" i="1" s="1"/>
  <c r="G319" i="1" a="1"/>
  <c r="G319" i="1" s="1"/>
  <c r="F319" i="1" a="1"/>
  <c r="F319" i="1" s="1"/>
  <c r="O552" i="1"/>
  <c r="B552" i="1" a="1"/>
  <c r="B552" i="1" s="1"/>
  <c r="M552" i="1"/>
  <c r="H552" i="1" a="1"/>
  <c r="H552" i="1" s="1"/>
  <c r="G552" i="1" a="1"/>
  <c r="G552" i="1" s="1"/>
  <c r="F552" i="1" a="1"/>
  <c r="F552" i="1" s="1"/>
  <c r="E552" i="1" a="1"/>
  <c r="E552" i="1" s="1"/>
  <c r="P758" i="1"/>
  <c r="C758" i="1" a="1"/>
  <c r="C758" i="1" s="1"/>
  <c r="M758" i="1"/>
  <c r="L758" i="1"/>
  <c r="K758" i="1"/>
  <c r="S758" i="1"/>
  <c r="O758" i="1"/>
  <c r="J758" i="1"/>
  <c r="I758" i="1"/>
  <c r="H758" i="1" a="1"/>
  <c r="H758" i="1" s="1"/>
  <c r="AE75" i="3"/>
  <c r="AD75" i="3"/>
  <c r="R99" i="3" a="1"/>
  <c r="R99" i="3" s="1"/>
  <c r="V99" i="3" a="1"/>
  <c r="V99" i="3" s="1"/>
  <c r="O99" i="3" a="1"/>
  <c r="O99" i="3" s="1"/>
  <c r="K99" i="3" a="1"/>
  <c r="K99" i="3" s="1"/>
  <c r="M99" i="3" s="1"/>
  <c r="J99" i="3" a="1"/>
  <c r="J99" i="3" s="1"/>
  <c r="P115" i="3"/>
  <c r="P398" i="3"/>
  <c r="AB398" i="3"/>
  <c r="R143" i="3" a="1"/>
  <c r="R143" i="3" s="1"/>
  <c r="R142" i="3" a="1"/>
  <c r="R142" i="3" s="1"/>
  <c r="E18" i="1" a="1"/>
  <c r="E18" i="1" s="1"/>
  <c r="J39" i="1"/>
  <c r="K39" i="1" s="1"/>
  <c r="I39" i="1"/>
  <c r="H39" i="1" a="1"/>
  <c r="H39" i="1" s="1"/>
  <c r="G39" i="1" a="1"/>
  <c r="G39" i="1" s="1"/>
  <c r="S39" i="1" s="1"/>
  <c r="I187" i="1"/>
  <c r="K187" i="1" s="1"/>
  <c r="P294" i="1"/>
  <c r="K294" i="1"/>
  <c r="L294" i="1"/>
  <c r="J294" i="1"/>
  <c r="I294" i="1"/>
  <c r="H294" i="1" a="1"/>
  <c r="H294" i="1" s="1"/>
  <c r="G294" i="1" a="1"/>
  <c r="G294" i="1" s="1"/>
  <c r="S559" i="1"/>
  <c r="C559" i="1" a="1"/>
  <c r="C559" i="1" s="1"/>
  <c r="M559" i="1"/>
  <c r="L559" i="1"/>
  <c r="O559" i="1"/>
  <c r="K559" i="1"/>
  <c r="J559" i="1"/>
  <c r="I559" i="1"/>
  <c r="H559" i="1" a="1"/>
  <c r="H559" i="1" s="1"/>
  <c r="G559" i="1" a="1"/>
  <c r="G559" i="1" s="1"/>
  <c r="J713" i="1"/>
  <c r="G713" i="1" a="1"/>
  <c r="G713" i="1" s="1"/>
  <c r="I713" i="1"/>
  <c r="H713" i="1" a="1"/>
  <c r="H713" i="1" s="1"/>
  <c r="F713" i="1" a="1"/>
  <c r="F713" i="1" s="1"/>
  <c r="E713" i="1" a="1"/>
  <c r="E713" i="1" s="1"/>
  <c r="E50" i="2" a="1"/>
  <c r="E50" i="2" s="1"/>
  <c r="O38" i="3" a="1"/>
  <c r="O38" i="3" s="1"/>
  <c r="K38" i="3" a="1"/>
  <c r="K38" i="3" s="1"/>
  <c r="M38" i="3" s="1"/>
  <c r="J38" i="3" a="1"/>
  <c r="J38" i="3" s="1"/>
  <c r="V38" i="3" a="1"/>
  <c r="V38" i="3" s="1"/>
  <c r="Q115" i="3"/>
  <c r="O151" i="3" a="1"/>
  <c r="O151" i="3" s="1"/>
  <c r="K151" i="3" a="1"/>
  <c r="K151" i="3" s="1"/>
  <c r="M151" i="3" s="1"/>
  <c r="V151" i="3" a="1"/>
  <c r="V151" i="3" s="1"/>
  <c r="R151" i="3" a="1"/>
  <c r="R151" i="3" s="1"/>
  <c r="AC191" i="3"/>
  <c r="AA191" i="3"/>
  <c r="E16" i="1" a="1"/>
  <c r="E16" i="1" s="1"/>
  <c r="J32" i="1"/>
  <c r="K32" i="1" s="1"/>
  <c r="I32" i="1"/>
  <c r="H32" i="1" a="1"/>
  <c r="H32" i="1" s="1"/>
  <c r="C36" i="1" a="1"/>
  <c r="C36" i="1" s="1"/>
  <c r="B36" i="1" a="1"/>
  <c r="B36" i="1" s="1"/>
  <c r="M36" i="1"/>
  <c r="L36" i="1"/>
  <c r="P36" i="1" s="1"/>
  <c r="K36" i="1"/>
  <c r="M88" i="1"/>
  <c r="P88" i="1"/>
  <c r="O88" i="1"/>
  <c r="L88" i="1"/>
  <c r="J88" i="1"/>
  <c r="K88" i="1" s="1"/>
  <c r="I88" i="1"/>
  <c r="E120" i="1" a="1"/>
  <c r="E120" i="1" s="1"/>
  <c r="J169" i="1"/>
  <c r="K169" i="1" s="1"/>
  <c r="G169" i="1" a="1"/>
  <c r="G169" i="1" s="1"/>
  <c r="L169" i="1" s="1"/>
  <c r="C169" i="1" a="1"/>
  <c r="C169" i="1" s="1"/>
  <c r="S169" i="1"/>
  <c r="B169" i="1" a="1"/>
  <c r="B169" i="1" s="1"/>
  <c r="P169" i="1"/>
  <c r="O169" i="1"/>
  <c r="M169" i="1"/>
  <c r="C173" i="1" a="1"/>
  <c r="C173" i="1" s="1"/>
  <c r="M196" i="1"/>
  <c r="I196" i="1"/>
  <c r="H196" i="1" a="1"/>
  <c r="H196" i="1" s="1"/>
  <c r="G196" i="1" a="1"/>
  <c r="G196" i="1" s="1"/>
  <c r="F196" i="1" a="1"/>
  <c r="F196" i="1" s="1"/>
  <c r="E196" i="1" a="1"/>
  <c r="E196" i="1" s="1"/>
  <c r="C212" i="1" a="1"/>
  <c r="C212" i="1" s="1"/>
  <c r="O504" i="1"/>
  <c r="B504" i="1" a="1"/>
  <c r="B504" i="1" s="1"/>
  <c r="M504" i="1"/>
  <c r="S504" i="1"/>
  <c r="P504" i="1"/>
  <c r="L504" i="1"/>
  <c r="K504" i="1"/>
  <c r="J504" i="1"/>
  <c r="I504" i="1"/>
  <c r="B519" i="1" a="1"/>
  <c r="B519" i="1" s="1"/>
  <c r="E531" i="1" a="1"/>
  <c r="E531" i="1" s="1"/>
  <c r="O680" i="1"/>
  <c r="B680" i="1" a="1"/>
  <c r="B680" i="1" s="1"/>
  <c r="M680" i="1"/>
  <c r="K680" i="1"/>
  <c r="J680" i="1"/>
  <c r="I680" i="1"/>
  <c r="H680" i="1" a="1"/>
  <c r="H680" i="1" s="1"/>
  <c r="G680" i="1" a="1"/>
  <c r="G680" i="1" s="1"/>
  <c r="J729" i="1"/>
  <c r="G729" i="1" a="1"/>
  <c r="G729" i="1" s="1"/>
  <c r="B729" i="1" a="1"/>
  <c r="B729" i="1" s="1"/>
  <c r="S729" i="1"/>
  <c r="P729" i="1"/>
  <c r="O729" i="1"/>
  <c r="M729" i="1"/>
  <c r="L729" i="1"/>
  <c r="AC73" i="3"/>
  <c r="AA73" i="3"/>
  <c r="P353" i="3"/>
  <c r="S353" i="3" s="1"/>
  <c r="AB353" i="3"/>
  <c r="Q398" i="3"/>
  <c r="I12" i="1"/>
  <c r="F18" i="1" a="1"/>
  <c r="F18" i="1" s="1"/>
  <c r="F23" i="1" a="1"/>
  <c r="F23" i="1" s="1"/>
  <c r="E29" i="1" a="1"/>
  <c r="E29" i="1" s="1"/>
  <c r="O49" i="1"/>
  <c r="F131" i="1" a="1"/>
  <c r="F131" i="1" s="1"/>
  <c r="S131" i="1"/>
  <c r="C131" i="1" a="1"/>
  <c r="C131" i="1" s="1"/>
  <c r="L131" i="1"/>
  <c r="J131" i="1"/>
  <c r="I131" i="1"/>
  <c r="K131" i="1" s="1"/>
  <c r="H131" i="1" a="1"/>
  <c r="H131" i="1" s="1"/>
  <c r="M188" i="1"/>
  <c r="L188" i="1"/>
  <c r="J188" i="1"/>
  <c r="K188" i="1" s="1"/>
  <c r="I188" i="1"/>
  <c r="H188" i="1" a="1"/>
  <c r="H188" i="1" s="1"/>
  <c r="K220" i="1"/>
  <c r="J220" i="1"/>
  <c r="I220" i="1"/>
  <c r="H220" i="1" a="1"/>
  <c r="H220" i="1" s="1"/>
  <c r="G220" i="1" a="1"/>
  <c r="G220" i="1" s="1"/>
  <c r="F220" i="1" a="1"/>
  <c r="F220" i="1" s="1"/>
  <c r="C269" i="1" a="1"/>
  <c r="C269" i="1" s="1"/>
  <c r="C322" i="1" a="1"/>
  <c r="C322" i="1" s="1"/>
  <c r="C455" i="1" a="1"/>
  <c r="C455" i="1" s="1"/>
  <c r="C697" i="1" a="1"/>
  <c r="C697" i="1" s="1"/>
  <c r="B777" i="1" a="1"/>
  <c r="B777" i="1" s="1"/>
  <c r="I782" i="1"/>
  <c r="E782" i="1" a="1"/>
  <c r="E782" i="1" s="1"/>
  <c r="S782" i="1"/>
  <c r="B782" i="1" a="1"/>
  <c r="B782" i="1" s="1"/>
  <c r="P782" i="1"/>
  <c r="L782" i="1"/>
  <c r="K782" i="1"/>
  <c r="J782" i="1"/>
  <c r="H782" i="1" a="1"/>
  <c r="H782" i="1" s="1"/>
  <c r="G782" i="1" a="1"/>
  <c r="G782" i="1" s="1"/>
  <c r="F782" i="1" a="1"/>
  <c r="F782" i="1" s="1"/>
  <c r="F801" i="1" a="1"/>
  <c r="F801" i="1" s="1"/>
  <c r="E801" i="1" a="1"/>
  <c r="E801" i="1" s="1"/>
  <c r="O801" i="1"/>
  <c r="K801" i="1"/>
  <c r="J801" i="1"/>
  <c r="I801" i="1"/>
  <c r="S801" i="1"/>
  <c r="P801" i="1"/>
  <c r="M801" i="1"/>
  <c r="L801" i="1"/>
  <c r="H801" i="1" a="1"/>
  <c r="H801" i="1" s="1"/>
  <c r="Q386" i="3"/>
  <c r="AB386" i="3"/>
  <c r="K450" i="3" a="1"/>
  <c r="K450" i="3" s="1"/>
  <c r="M450" i="3" s="1"/>
  <c r="I122" i="1"/>
  <c r="K122" i="1" s="1"/>
  <c r="G293" i="1" a="1"/>
  <c r="G293" i="1" s="1"/>
  <c r="E293" i="1" a="1"/>
  <c r="E293" i="1" s="1"/>
  <c r="S293" i="1"/>
  <c r="B293" i="1" a="1"/>
  <c r="B293" i="1" s="1"/>
  <c r="P293" i="1"/>
  <c r="O293" i="1"/>
  <c r="M293" i="1"/>
  <c r="L293" i="1"/>
  <c r="K293" i="1"/>
  <c r="B411" i="1" a="1"/>
  <c r="B411" i="1" s="1"/>
  <c r="B496" i="1" a="1"/>
  <c r="B496" i="1" s="1"/>
  <c r="F508" i="1" a="1"/>
  <c r="F508" i="1" s="1"/>
  <c r="K514" i="1"/>
  <c r="H514" i="1" a="1"/>
  <c r="H514" i="1" s="1"/>
  <c r="M514" i="1"/>
  <c r="L514" i="1"/>
  <c r="J514" i="1"/>
  <c r="I514" i="1"/>
  <c r="G514" i="1" a="1"/>
  <c r="G514" i="1" s="1"/>
  <c r="F514" i="1" a="1"/>
  <c r="F514" i="1" s="1"/>
  <c r="F563" i="1" a="1"/>
  <c r="F563" i="1" s="1"/>
  <c r="S563" i="1"/>
  <c r="C563" i="1" a="1"/>
  <c r="C563" i="1" s="1"/>
  <c r="B563" i="1" a="1"/>
  <c r="B563" i="1" s="1"/>
  <c r="P563" i="1"/>
  <c r="O563" i="1"/>
  <c r="M563" i="1"/>
  <c r="L563" i="1"/>
  <c r="K563" i="1"/>
  <c r="E593" i="1" a="1"/>
  <c r="E593" i="1" s="1"/>
  <c r="P593" i="1"/>
  <c r="O593" i="1"/>
  <c r="B593" i="1" a="1"/>
  <c r="B593" i="1" s="1"/>
  <c r="I593" i="1"/>
  <c r="H593" i="1" a="1"/>
  <c r="H593" i="1" s="1"/>
  <c r="G593" i="1" a="1"/>
  <c r="G593" i="1" s="1"/>
  <c r="F593" i="1" a="1"/>
  <c r="F593" i="1" s="1"/>
  <c r="M16" i="1"/>
  <c r="H18" i="1" a="1"/>
  <c r="H18" i="1" s="1"/>
  <c r="F27" i="1" a="1"/>
  <c r="F27" i="1" s="1"/>
  <c r="F30" i="1" a="1"/>
  <c r="F30" i="1" s="1"/>
  <c r="L48" i="1"/>
  <c r="J48" i="1"/>
  <c r="K48" i="1" s="1"/>
  <c r="I48" i="1"/>
  <c r="H48" i="1" a="1"/>
  <c r="H48" i="1" s="1"/>
  <c r="E67" i="1" a="1"/>
  <c r="E67" i="1" s="1"/>
  <c r="H71" i="1" a="1"/>
  <c r="H71" i="1" s="1"/>
  <c r="F71" i="1" a="1"/>
  <c r="F71" i="1" s="1"/>
  <c r="J71" i="1"/>
  <c r="I71" i="1"/>
  <c r="K71" i="1" s="1"/>
  <c r="G71" i="1" a="1"/>
  <c r="G71" i="1" s="1"/>
  <c r="I119" i="1"/>
  <c r="K119" i="1" s="1"/>
  <c r="L122" i="1"/>
  <c r="O122" i="1" s="1"/>
  <c r="S127" i="1"/>
  <c r="C127" i="1" a="1"/>
  <c r="C127" i="1" s="1"/>
  <c r="L127" i="1"/>
  <c r="P127" i="1" s="1"/>
  <c r="O127" i="1"/>
  <c r="M127" i="1"/>
  <c r="J127" i="1"/>
  <c r="K127" i="1" s="1"/>
  <c r="I127" i="1"/>
  <c r="H127" i="1" a="1"/>
  <c r="H127" i="1" s="1"/>
  <c r="G134" i="1" a="1"/>
  <c r="G134" i="1" s="1"/>
  <c r="L134" i="1" s="1"/>
  <c r="C155" i="1" a="1"/>
  <c r="C155" i="1" s="1"/>
  <c r="F244" i="1" a="1"/>
  <c r="F244" i="1" s="1"/>
  <c r="C294" i="1" a="1"/>
  <c r="C294" i="1" s="1"/>
  <c r="O315" i="1"/>
  <c r="M333" i="1"/>
  <c r="E354" i="1" a="1"/>
  <c r="E354" i="1" s="1"/>
  <c r="L372" i="1"/>
  <c r="C392" i="1" a="1"/>
  <c r="C392" i="1" s="1"/>
  <c r="M397" i="1"/>
  <c r="M404" i="1"/>
  <c r="I404" i="1"/>
  <c r="J404" i="1"/>
  <c r="H404" i="1" a="1"/>
  <c r="H404" i="1" s="1"/>
  <c r="G404" i="1" a="1"/>
  <c r="G404" i="1" s="1"/>
  <c r="F404" i="1" a="1"/>
  <c r="F404" i="1" s="1"/>
  <c r="C518" i="1" a="1"/>
  <c r="C518" i="1" s="1"/>
  <c r="C552" i="1" a="1"/>
  <c r="C552" i="1" s="1"/>
  <c r="E601" i="1" a="1"/>
  <c r="E601" i="1" s="1"/>
  <c r="G615" i="1" a="1"/>
  <c r="G615" i="1" s="1"/>
  <c r="E620" i="1" a="1"/>
  <c r="E620" i="1" s="1"/>
  <c r="K620" i="1"/>
  <c r="J620" i="1"/>
  <c r="I620" i="1"/>
  <c r="H620" i="1" a="1"/>
  <c r="H620" i="1" s="1"/>
  <c r="G620" i="1" a="1"/>
  <c r="G620" i="1" s="1"/>
  <c r="F620" i="1" a="1"/>
  <c r="F620" i="1" s="1"/>
  <c r="J633" i="1"/>
  <c r="G633" i="1" a="1"/>
  <c r="G633" i="1" s="1"/>
  <c r="S633" i="1"/>
  <c r="P633" i="1"/>
  <c r="O633" i="1"/>
  <c r="M633" i="1"/>
  <c r="L633" i="1"/>
  <c r="K633" i="1"/>
  <c r="I633" i="1"/>
  <c r="C652" i="1" a="1"/>
  <c r="C652" i="1" s="1"/>
  <c r="L708" i="1"/>
  <c r="G716" i="1" a="1"/>
  <c r="G716" i="1" s="1"/>
  <c r="I28" i="1"/>
  <c r="K28" i="1" s="1"/>
  <c r="K30" i="1"/>
  <c r="F34" i="1" a="1"/>
  <c r="F34" i="1" s="1"/>
  <c r="E37" i="1" a="1"/>
  <c r="E37" i="1" s="1"/>
  <c r="F39" i="1" a="1"/>
  <c r="F39" i="1" s="1"/>
  <c r="F41" i="1" a="1"/>
  <c r="F41" i="1" s="1"/>
  <c r="E45" i="1" a="1"/>
  <c r="E45" i="1" s="1"/>
  <c r="B48" i="1" a="1"/>
  <c r="B48" i="1" s="1"/>
  <c r="I53" i="1"/>
  <c r="K53" i="1" s="1"/>
  <c r="H53" i="1" a="1"/>
  <c r="H53" i="1" s="1"/>
  <c r="G53" i="1" a="1"/>
  <c r="G53" i="1" s="1"/>
  <c r="L53" i="1" s="1"/>
  <c r="F53" i="1" a="1"/>
  <c r="F53" i="1" s="1"/>
  <c r="L60" i="1"/>
  <c r="J60" i="1"/>
  <c r="K60" i="1" s="1"/>
  <c r="I60" i="1"/>
  <c r="H60" i="1" a="1"/>
  <c r="H60" i="1" s="1"/>
  <c r="E66" i="1" a="1"/>
  <c r="E66" i="1" s="1"/>
  <c r="S70" i="1"/>
  <c r="M70" i="1"/>
  <c r="L70" i="1"/>
  <c r="O70" i="1" s="1"/>
  <c r="J70" i="1"/>
  <c r="K70" i="1" s="1"/>
  <c r="I70" i="1"/>
  <c r="G81" i="1" a="1"/>
  <c r="G81" i="1" s="1"/>
  <c r="L81" i="1" s="1"/>
  <c r="E88" i="1" a="1"/>
  <c r="E88" i="1" s="1"/>
  <c r="E89" i="1" a="1"/>
  <c r="E89" i="1" s="1"/>
  <c r="F91" i="1" a="1"/>
  <c r="F91" i="1" s="1"/>
  <c r="G92" i="1" a="1"/>
  <c r="G92" i="1" s="1"/>
  <c r="S92" i="1" s="1"/>
  <c r="I94" i="1"/>
  <c r="G95" i="1" a="1"/>
  <c r="G95" i="1" s="1"/>
  <c r="S95" i="1" s="1"/>
  <c r="L97" i="1"/>
  <c r="P97" i="1" s="1"/>
  <c r="M107" i="1"/>
  <c r="O110" i="1"/>
  <c r="E113" i="1" a="1"/>
  <c r="E113" i="1" s="1"/>
  <c r="O113" i="1"/>
  <c r="B113" i="1" a="1"/>
  <c r="B113" i="1" s="1"/>
  <c r="M113" i="1"/>
  <c r="L113" i="1"/>
  <c r="P113" i="1" s="1"/>
  <c r="J113" i="1"/>
  <c r="K113" i="1" s="1"/>
  <c r="I113" i="1"/>
  <c r="H113" i="1" a="1"/>
  <c r="H113" i="1" s="1"/>
  <c r="F117" i="1" a="1"/>
  <c r="F117" i="1" s="1"/>
  <c r="H120" i="1" a="1"/>
  <c r="H120" i="1" s="1"/>
  <c r="H132" i="1" a="1"/>
  <c r="H132" i="1" s="1"/>
  <c r="H139" i="1" a="1"/>
  <c r="H139" i="1" s="1"/>
  <c r="G139" i="1" a="1"/>
  <c r="G139" i="1" s="1"/>
  <c r="L139" i="1" s="1"/>
  <c r="F139" i="1" a="1"/>
  <c r="F139" i="1" s="1"/>
  <c r="E139" i="1" a="1"/>
  <c r="E139" i="1" s="1"/>
  <c r="S151" i="1"/>
  <c r="E156" i="1" a="1"/>
  <c r="E156" i="1" s="1"/>
  <c r="I161" i="1"/>
  <c r="K161" i="1" s="1"/>
  <c r="G162" i="1" a="1"/>
  <c r="G162" i="1" s="1"/>
  <c r="B166" i="1" a="1"/>
  <c r="B166" i="1" s="1"/>
  <c r="C167" i="1" a="1"/>
  <c r="C167" i="1" s="1"/>
  <c r="I172" i="1"/>
  <c r="K172" i="1" s="1"/>
  <c r="G173" i="1" a="1"/>
  <c r="G173" i="1" s="1"/>
  <c r="L173" i="1" s="1"/>
  <c r="I178" i="1"/>
  <c r="K178" i="1" s="1"/>
  <c r="H178" i="1" a="1"/>
  <c r="H178" i="1" s="1"/>
  <c r="G178" i="1" a="1"/>
  <c r="G178" i="1" s="1"/>
  <c r="L178" i="1" s="1"/>
  <c r="F178" i="1" a="1"/>
  <c r="F178" i="1" s="1"/>
  <c r="E178" i="1" a="1"/>
  <c r="E178" i="1" s="1"/>
  <c r="I189" i="1"/>
  <c r="K194" i="1"/>
  <c r="C194" i="1" a="1"/>
  <c r="C194" i="1" s="1"/>
  <c r="S194" i="1"/>
  <c r="B194" i="1" a="1"/>
  <c r="B194" i="1" s="1"/>
  <c r="P194" i="1"/>
  <c r="O194" i="1"/>
  <c r="M194" i="1"/>
  <c r="L194" i="1"/>
  <c r="C196" i="1" a="1"/>
  <c r="C196" i="1" s="1"/>
  <c r="O205" i="1"/>
  <c r="B205" i="1" a="1"/>
  <c r="B205" i="1" s="1"/>
  <c r="J205" i="1"/>
  <c r="S205" i="1"/>
  <c r="P205" i="1"/>
  <c r="M205" i="1"/>
  <c r="L205" i="1"/>
  <c r="K205" i="1"/>
  <c r="I205" i="1"/>
  <c r="H205" i="1" a="1"/>
  <c r="H205" i="1" s="1"/>
  <c r="M216" i="1"/>
  <c r="P216" i="1"/>
  <c r="O216" i="1"/>
  <c r="L216" i="1"/>
  <c r="K216" i="1"/>
  <c r="J216" i="1"/>
  <c r="I216" i="1"/>
  <c r="H216" i="1" a="1"/>
  <c r="H216" i="1" s="1"/>
  <c r="G226" i="1" a="1"/>
  <c r="G226" i="1" s="1"/>
  <c r="H247" i="1" a="1"/>
  <c r="H247" i="1" s="1"/>
  <c r="F247" i="1" a="1"/>
  <c r="F247" i="1" s="1"/>
  <c r="C247" i="1" a="1"/>
  <c r="C247" i="1" s="1"/>
  <c r="S247" i="1"/>
  <c r="B247" i="1" a="1"/>
  <c r="B247" i="1" s="1"/>
  <c r="P247" i="1"/>
  <c r="O247" i="1"/>
  <c r="M247" i="1"/>
  <c r="L247" i="1"/>
  <c r="E259" i="1" a="1"/>
  <c r="E259" i="1" s="1"/>
  <c r="P262" i="1"/>
  <c r="K262" i="1"/>
  <c r="M262" i="1"/>
  <c r="L262" i="1"/>
  <c r="J262" i="1"/>
  <c r="I262" i="1"/>
  <c r="H262" i="1" a="1"/>
  <c r="H262" i="1" s="1"/>
  <c r="G262" i="1" a="1"/>
  <c r="G262" i="1" s="1"/>
  <c r="E265" i="1" a="1"/>
  <c r="E265" i="1" s="1"/>
  <c r="C276" i="1" a="1"/>
  <c r="C276" i="1" s="1"/>
  <c r="K277" i="1"/>
  <c r="F283" i="1" a="1"/>
  <c r="F283" i="1" s="1"/>
  <c r="O287" i="1"/>
  <c r="O301" i="1"/>
  <c r="B301" i="1" a="1"/>
  <c r="B301" i="1" s="1"/>
  <c r="J301" i="1"/>
  <c r="K301" i="1"/>
  <c r="I301" i="1"/>
  <c r="H301" i="1" a="1"/>
  <c r="H301" i="1" s="1"/>
  <c r="G301" i="1" a="1"/>
  <c r="G301" i="1" s="1"/>
  <c r="F301" i="1" a="1"/>
  <c r="F301" i="1" s="1"/>
  <c r="P308" i="1"/>
  <c r="E319" i="1" a="1"/>
  <c r="E319" i="1" s="1"/>
  <c r="G321" i="1" a="1"/>
  <c r="G321" i="1" s="1"/>
  <c r="O322" i="1"/>
  <c r="P333" i="1"/>
  <c r="I336" i="1"/>
  <c r="M336" i="1"/>
  <c r="L336" i="1"/>
  <c r="K336" i="1"/>
  <c r="J336" i="1"/>
  <c r="H336" i="1" a="1"/>
  <c r="H336" i="1" s="1"/>
  <c r="G336" i="1" a="1"/>
  <c r="G336" i="1" s="1"/>
  <c r="P340" i="1"/>
  <c r="S351" i="1"/>
  <c r="C351" i="1" a="1"/>
  <c r="C351" i="1" s="1"/>
  <c r="L351" i="1"/>
  <c r="H351" i="1" a="1"/>
  <c r="H351" i="1" s="1"/>
  <c r="G351" i="1" a="1"/>
  <c r="G351" i="1" s="1"/>
  <c r="F351" i="1" a="1"/>
  <c r="F351" i="1" s="1"/>
  <c r="E351" i="1" a="1"/>
  <c r="E351" i="1" s="1"/>
  <c r="C361" i="1" a="1"/>
  <c r="C361" i="1" s="1"/>
  <c r="M365" i="1"/>
  <c r="O372" i="1"/>
  <c r="E386" i="1" a="1"/>
  <c r="E386" i="1" s="1"/>
  <c r="E392" i="1" a="1"/>
  <c r="E392" i="1" s="1"/>
  <c r="P397" i="1"/>
  <c r="G399" i="1" a="1"/>
  <c r="G399" i="1" s="1"/>
  <c r="F413" i="1" a="1"/>
  <c r="F413" i="1" s="1"/>
  <c r="C441" i="1" a="1"/>
  <c r="C441" i="1" s="1"/>
  <c r="G444" i="1" a="1"/>
  <c r="G444" i="1" s="1"/>
  <c r="L459" i="1"/>
  <c r="I459" i="1"/>
  <c r="H459" i="1" a="1"/>
  <c r="H459" i="1" s="1"/>
  <c r="K459" i="1"/>
  <c r="J459" i="1"/>
  <c r="G459" i="1" a="1"/>
  <c r="G459" i="1" s="1"/>
  <c r="F459" i="1" a="1"/>
  <c r="F459" i="1" s="1"/>
  <c r="F468" i="1" a="1"/>
  <c r="F468" i="1" s="1"/>
  <c r="L496" i="1"/>
  <c r="C504" i="1" a="1"/>
  <c r="C504" i="1" s="1"/>
  <c r="E505" i="1" a="1"/>
  <c r="E505" i="1" s="1"/>
  <c r="O509" i="1"/>
  <c r="B509" i="1" a="1"/>
  <c r="B509" i="1" s="1"/>
  <c r="K509" i="1"/>
  <c r="J509" i="1"/>
  <c r="M509" i="1"/>
  <c r="L509" i="1"/>
  <c r="I509" i="1"/>
  <c r="H509" i="1" a="1"/>
  <c r="H509" i="1" s="1"/>
  <c r="G509" i="1" a="1"/>
  <c r="G509" i="1" s="1"/>
  <c r="J515" i="1"/>
  <c r="O519" i="1"/>
  <c r="O520" i="1"/>
  <c r="B520" i="1" a="1"/>
  <c r="B520" i="1" s="1"/>
  <c r="M520" i="1"/>
  <c r="H520" i="1" a="1"/>
  <c r="H520" i="1" s="1"/>
  <c r="G520" i="1" a="1"/>
  <c r="G520" i="1" s="1"/>
  <c r="F520" i="1" a="1"/>
  <c r="F520" i="1" s="1"/>
  <c r="E520" i="1" a="1"/>
  <c r="E520" i="1" s="1"/>
  <c r="I531" i="1"/>
  <c r="M532" i="1"/>
  <c r="J532" i="1"/>
  <c r="I532" i="1"/>
  <c r="P532" i="1"/>
  <c r="O532" i="1"/>
  <c r="L532" i="1"/>
  <c r="K532" i="1"/>
  <c r="H532" i="1" a="1"/>
  <c r="H532" i="1" s="1"/>
  <c r="G532" i="1" a="1"/>
  <c r="G532" i="1" s="1"/>
  <c r="O536" i="1"/>
  <c r="B536" i="1" a="1"/>
  <c r="B536" i="1" s="1"/>
  <c r="M536" i="1"/>
  <c r="S536" i="1"/>
  <c r="P536" i="1"/>
  <c r="L536" i="1"/>
  <c r="K536" i="1"/>
  <c r="J536" i="1"/>
  <c r="F547" i="1" a="1"/>
  <c r="F547" i="1" s="1"/>
  <c r="S547" i="1"/>
  <c r="C547" i="1" a="1"/>
  <c r="C547" i="1" s="1"/>
  <c r="I547" i="1"/>
  <c r="H547" i="1" a="1"/>
  <c r="H547" i="1" s="1"/>
  <c r="G547" i="1" a="1"/>
  <c r="G547" i="1" s="1"/>
  <c r="E547" i="1" a="1"/>
  <c r="E547" i="1" s="1"/>
  <c r="P550" i="1"/>
  <c r="L550" i="1"/>
  <c r="K550" i="1"/>
  <c r="S550" i="1"/>
  <c r="O550" i="1"/>
  <c r="M550" i="1"/>
  <c r="J550" i="1"/>
  <c r="I550" i="1"/>
  <c r="H550" i="1" a="1"/>
  <c r="H550" i="1" s="1"/>
  <c r="I552" i="1"/>
  <c r="B555" i="1" a="1"/>
  <c r="B555" i="1" s="1"/>
  <c r="M560" i="1"/>
  <c r="F569" i="1" a="1"/>
  <c r="F569" i="1" s="1"/>
  <c r="H572" i="1" a="1"/>
  <c r="H572" i="1" s="1"/>
  <c r="E596" i="1" a="1"/>
  <c r="E596" i="1" s="1"/>
  <c r="H598" i="1" a="1"/>
  <c r="H598" i="1" s="1"/>
  <c r="C605" i="1" a="1"/>
  <c r="C605" i="1" s="1"/>
  <c r="F614" i="1" a="1"/>
  <c r="F614" i="1" s="1"/>
  <c r="J625" i="1"/>
  <c r="L643" i="1"/>
  <c r="P646" i="1"/>
  <c r="L646" i="1"/>
  <c r="K646" i="1"/>
  <c r="B646" i="1" a="1"/>
  <c r="B646" i="1" s="1"/>
  <c r="S646" i="1"/>
  <c r="O646" i="1"/>
  <c r="M646" i="1"/>
  <c r="J646" i="1"/>
  <c r="I646" i="1"/>
  <c r="E657" i="1" a="1"/>
  <c r="E657" i="1" s="1"/>
  <c r="P657" i="1"/>
  <c r="O657" i="1"/>
  <c r="B657" i="1" a="1"/>
  <c r="B657" i="1" s="1"/>
  <c r="I657" i="1"/>
  <c r="H657" i="1" a="1"/>
  <c r="H657" i="1" s="1"/>
  <c r="G657" i="1" a="1"/>
  <c r="G657" i="1" s="1"/>
  <c r="F657" i="1" a="1"/>
  <c r="F657" i="1" s="1"/>
  <c r="E674" i="1" a="1"/>
  <c r="E674" i="1" s="1"/>
  <c r="P684" i="1"/>
  <c r="O685" i="1"/>
  <c r="B685" i="1" a="1"/>
  <c r="B685" i="1" s="1"/>
  <c r="K685" i="1"/>
  <c r="J685" i="1"/>
  <c r="G685" i="1" a="1"/>
  <c r="G685" i="1" s="1"/>
  <c r="F685" i="1" a="1"/>
  <c r="F685" i="1" s="1"/>
  <c r="E685" i="1" a="1"/>
  <c r="E685" i="1" s="1"/>
  <c r="I688" i="1"/>
  <c r="G688" i="1" a="1"/>
  <c r="G688" i="1" s="1"/>
  <c r="P688" i="1"/>
  <c r="O688" i="1"/>
  <c r="M688" i="1"/>
  <c r="L688" i="1"/>
  <c r="K688" i="1"/>
  <c r="J688" i="1"/>
  <c r="H688" i="1" a="1"/>
  <c r="H688" i="1" s="1"/>
  <c r="O708" i="1"/>
  <c r="C713" i="1" a="1"/>
  <c r="C713" i="1" s="1"/>
  <c r="O716" i="1"/>
  <c r="B726" i="1" a="1"/>
  <c r="B726" i="1" s="1"/>
  <c r="P736" i="1"/>
  <c r="E742" i="1" a="1"/>
  <c r="E742" i="1" s="1"/>
  <c r="G777" i="1" a="1"/>
  <c r="G777" i="1" s="1"/>
  <c r="O791" i="1"/>
  <c r="E802" i="1" a="1"/>
  <c r="E802" i="1" s="1"/>
  <c r="C809" i="1" a="1"/>
  <c r="C809" i="1" s="1"/>
  <c r="K814" i="1"/>
  <c r="H816" i="1" a="1"/>
  <c r="H816" i="1" s="1"/>
  <c r="O835" i="1"/>
  <c r="C837" i="1" a="1"/>
  <c r="C837" i="1" s="1"/>
  <c r="C839" i="1" a="1"/>
  <c r="C839" i="1" s="1"/>
  <c r="H849" i="1" a="1"/>
  <c r="H849" i="1" s="1"/>
  <c r="H852" i="1" a="1"/>
  <c r="H852" i="1" s="1"/>
  <c r="H853" i="1" a="1"/>
  <c r="H853" i="1" s="1"/>
  <c r="G853" i="1" a="1"/>
  <c r="G853" i="1" s="1"/>
  <c r="S853" i="1"/>
  <c r="B853" i="1" a="1"/>
  <c r="B853" i="1" s="1"/>
  <c r="O853" i="1"/>
  <c r="M853" i="1"/>
  <c r="L853" i="1"/>
  <c r="F853" i="1" a="1"/>
  <c r="F853" i="1" s="1"/>
  <c r="E853" i="1" a="1"/>
  <c r="E853" i="1" s="1"/>
  <c r="C853" i="1" a="1"/>
  <c r="C853" i="1" s="1"/>
  <c r="S861" i="1"/>
  <c r="C861" i="1" a="1"/>
  <c r="C861" i="1" s="1"/>
  <c r="O861" i="1"/>
  <c r="B861" i="1" a="1"/>
  <c r="B861" i="1" s="1"/>
  <c r="J861" i="1"/>
  <c r="E861" i="1" a="1"/>
  <c r="E861" i="1" s="1"/>
  <c r="P861" i="1"/>
  <c r="M861" i="1"/>
  <c r="L861" i="1"/>
  <c r="K861" i="1"/>
  <c r="I861" i="1"/>
  <c r="H861" i="1" a="1"/>
  <c r="H861" i="1" s="1"/>
  <c r="B864" i="1" a="1"/>
  <c r="B864" i="1" s="1"/>
  <c r="G881" i="1" a="1"/>
  <c r="G881" i="1" s="1"/>
  <c r="B905" i="1" a="1"/>
  <c r="B905" i="1" s="1"/>
  <c r="E38" i="2" a="1"/>
  <c r="E38" i="2" s="1"/>
  <c r="O22" i="3" a="1"/>
  <c r="O22" i="3" s="1"/>
  <c r="P28" i="3"/>
  <c r="T40" i="3"/>
  <c r="T56" i="3"/>
  <c r="AA60" i="3"/>
  <c r="AA77" i="3"/>
  <c r="AD160" i="3"/>
  <c r="AE186" i="3"/>
  <c r="AD186" i="3"/>
  <c r="AE198" i="3"/>
  <c r="Q214" i="3"/>
  <c r="S214" i="3" s="1"/>
  <c r="K237" i="3" a="1"/>
  <c r="K237" i="3" s="1"/>
  <c r="M237" i="3" s="1"/>
  <c r="P308" i="3"/>
  <c r="O375" i="3" a="1"/>
  <c r="O375" i="3" s="1"/>
  <c r="K375" i="3" a="1"/>
  <c r="K375" i="3" s="1"/>
  <c r="M375" i="3" s="1"/>
  <c r="V375" i="3" a="1"/>
  <c r="V375" i="3" s="1"/>
  <c r="E211" i="3" a="1"/>
  <c r="E211" i="3" s="1"/>
  <c r="E193" i="3" a="1"/>
  <c r="E193" i="3" s="1"/>
  <c r="G171" i="3" a="1"/>
  <c r="G171" i="3" s="1"/>
  <c r="G151" i="3" a="1"/>
  <c r="G151" i="3" s="1"/>
  <c r="G69" i="3" a="1"/>
  <c r="G69" i="3" s="1"/>
  <c r="E56" i="3" a="1"/>
  <c r="E56" i="3" s="1"/>
  <c r="G194" i="3" a="1"/>
  <c r="G194" i="3" s="1"/>
  <c r="G185" i="3" a="1"/>
  <c r="G185" i="3" s="1"/>
  <c r="E108" i="3" a="1"/>
  <c r="E108" i="3" s="1"/>
  <c r="E58" i="3" a="1"/>
  <c r="E58" i="3" s="1"/>
  <c r="E181" i="3" a="1"/>
  <c r="E181" i="3" s="1"/>
  <c r="E171" i="3" a="1"/>
  <c r="E171" i="3" s="1"/>
  <c r="E151" i="3" a="1"/>
  <c r="E151" i="3" s="1"/>
  <c r="G66" i="3" a="1"/>
  <c r="G66" i="3" s="1"/>
  <c r="E194" i="3" a="1"/>
  <c r="E194" i="3" s="1"/>
  <c r="G152" i="3" a="1"/>
  <c r="G152" i="3" s="1"/>
  <c r="G32" i="3" a="1"/>
  <c r="G32" i="3" s="1"/>
  <c r="G164" i="3" a="1"/>
  <c r="G164" i="3" s="1"/>
  <c r="G103" i="3" a="1"/>
  <c r="G103" i="3" s="1"/>
  <c r="E87" i="3" a="1"/>
  <c r="E87" i="3" s="1"/>
  <c r="E66" i="3" a="1"/>
  <c r="E66" i="3" s="1"/>
  <c r="G155" i="3" a="1"/>
  <c r="G155" i="3" s="1"/>
  <c r="E152" i="3" a="1"/>
  <c r="E152" i="3" s="1"/>
  <c r="E100" i="3" a="1"/>
  <c r="E100" i="3" s="1"/>
  <c r="G98" i="3" a="1"/>
  <c r="G98" i="3" s="1"/>
  <c r="E681" i="3" a="1"/>
  <c r="E681" i="3" s="1"/>
  <c r="G671" i="3" a="1"/>
  <c r="G671" i="3" s="1"/>
  <c r="E404" i="3" a="1"/>
  <c r="E404" i="3" s="1"/>
  <c r="E323" i="3" a="1"/>
  <c r="E323" i="3" s="1"/>
  <c r="E267" i="3" a="1"/>
  <c r="E267" i="3" s="1"/>
  <c r="G205" i="3" a="1"/>
  <c r="G205" i="3" s="1"/>
  <c r="E178" i="3" a="1"/>
  <c r="E178" i="3" s="1"/>
  <c r="E103" i="3" a="1"/>
  <c r="E103" i="3" s="1"/>
  <c r="E74" i="3" a="1"/>
  <c r="E74" i="3" s="1"/>
  <c r="E310" i="3" a="1"/>
  <c r="E310" i="3" s="1"/>
  <c r="E136" i="3" a="1"/>
  <c r="E136" i="3" s="1"/>
  <c r="E89" i="3" a="1"/>
  <c r="E89" i="3" s="1"/>
  <c r="H409" i="14" a="1"/>
  <c r="H409" i="14" s="1"/>
  <c r="A939" i="5" a="1"/>
  <c r="A939" i="5" s="1"/>
  <c r="A833" i="5" a="1"/>
  <c r="A833" i="5" s="1"/>
  <c r="A9" i="5" a="1"/>
  <c r="A9" i="5" s="1"/>
  <c r="E456" i="3" a="1"/>
  <c r="E456" i="3" s="1"/>
  <c r="G444" i="3" a="1"/>
  <c r="G444" i="3" s="1"/>
  <c r="E332" i="3" a="1"/>
  <c r="E332" i="3" s="1"/>
  <c r="E132" i="3" a="1"/>
  <c r="E132" i="3" s="1"/>
  <c r="E128" i="3" a="1"/>
  <c r="E128" i="3" s="1"/>
  <c r="G80" i="3" a="1"/>
  <c r="G80" i="3" s="1"/>
  <c r="B50" i="10" a="1"/>
  <c r="B50" i="10" s="1"/>
  <c r="A923" i="5" a="1"/>
  <c r="A923" i="5" s="1"/>
  <c r="G495" i="3" a="1"/>
  <c r="G495" i="3" s="1"/>
  <c r="E343" i="3" a="1"/>
  <c r="E343" i="3" s="1"/>
  <c r="E205" i="3" a="1"/>
  <c r="E205" i="3" s="1"/>
  <c r="I142" i="1"/>
  <c r="I110" i="1"/>
  <c r="K110" i="1" s="1"/>
  <c r="I78" i="1"/>
  <c r="K78" i="1" s="1"/>
  <c r="I174" i="1"/>
  <c r="K174" i="1" s="1"/>
  <c r="I106" i="1"/>
  <c r="K106" i="1" s="1"/>
  <c r="I74" i="1"/>
  <c r="K74" i="1" s="1"/>
  <c r="I170" i="1"/>
  <c r="K170" i="1" s="1"/>
  <c r="I138" i="1"/>
  <c r="K138" i="1" s="1"/>
  <c r="B111" i="6"/>
  <c r="C115" i="6"/>
  <c r="B142" i="6"/>
  <c r="S191" i="1"/>
  <c r="C191" i="1" a="1"/>
  <c r="C191" i="1" s="1"/>
  <c r="L191" i="1"/>
  <c r="P191" i="1"/>
  <c r="O191" i="1"/>
  <c r="M191" i="1"/>
  <c r="J191" i="1"/>
  <c r="K191" i="1" s="1"/>
  <c r="I191" i="1"/>
  <c r="H191" i="1" a="1"/>
  <c r="H191" i="1" s="1"/>
  <c r="L315" i="1"/>
  <c r="H315" i="1" a="1"/>
  <c r="H315" i="1" s="1"/>
  <c r="M315" i="1"/>
  <c r="K315" i="1"/>
  <c r="J315" i="1"/>
  <c r="I315" i="1"/>
  <c r="G315" i="1" a="1"/>
  <c r="G315" i="1" s="1"/>
  <c r="G389" i="1" a="1"/>
  <c r="G389" i="1" s="1"/>
  <c r="E389" i="1" a="1"/>
  <c r="E389" i="1" s="1"/>
  <c r="O389" i="1"/>
  <c r="M389" i="1"/>
  <c r="L389" i="1"/>
  <c r="K389" i="1"/>
  <c r="J389" i="1"/>
  <c r="I389" i="1"/>
  <c r="H389" i="1" a="1"/>
  <c r="H389" i="1" s="1"/>
  <c r="H455" i="1" a="1"/>
  <c r="H455" i="1" s="1"/>
  <c r="F455" i="1" a="1"/>
  <c r="F455" i="1" s="1"/>
  <c r="K455" i="1"/>
  <c r="J455" i="1"/>
  <c r="I455" i="1"/>
  <c r="G455" i="1" a="1"/>
  <c r="G455" i="1" s="1"/>
  <c r="E455" i="1" a="1"/>
  <c r="E455" i="1" s="1"/>
  <c r="E508" i="1" a="1"/>
  <c r="E508" i="1" s="1"/>
  <c r="B508" i="1" a="1"/>
  <c r="B508" i="1" s="1"/>
  <c r="S508" i="1"/>
  <c r="P508" i="1"/>
  <c r="O508" i="1"/>
  <c r="M508" i="1"/>
  <c r="L508" i="1"/>
  <c r="K508" i="1"/>
  <c r="K546" i="1"/>
  <c r="H546" i="1" a="1"/>
  <c r="H546" i="1" s="1"/>
  <c r="M546" i="1"/>
  <c r="L546" i="1"/>
  <c r="J546" i="1"/>
  <c r="I546" i="1"/>
  <c r="G546" i="1" a="1"/>
  <c r="G546" i="1" s="1"/>
  <c r="F546" i="1" a="1"/>
  <c r="F546" i="1" s="1"/>
  <c r="O584" i="1"/>
  <c r="B584" i="1" a="1"/>
  <c r="B584" i="1" s="1"/>
  <c r="M584" i="1"/>
  <c r="I584" i="1"/>
  <c r="H584" i="1" a="1"/>
  <c r="H584" i="1" s="1"/>
  <c r="G584" i="1" a="1"/>
  <c r="G584" i="1" s="1"/>
  <c r="F584" i="1" a="1"/>
  <c r="F584" i="1" s="1"/>
  <c r="S591" i="1"/>
  <c r="C591" i="1" a="1"/>
  <c r="C591" i="1" s="1"/>
  <c r="M591" i="1"/>
  <c r="L591" i="1"/>
  <c r="P591" i="1"/>
  <c r="O591" i="1"/>
  <c r="K591" i="1"/>
  <c r="J591" i="1"/>
  <c r="I591" i="1"/>
  <c r="H591" i="1" a="1"/>
  <c r="H591" i="1" s="1"/>
  <c r="H615" i="1" a="1"/>
  <c r="H615" i="1" s="1"/>
  <c r="F615" i="1" a="1"/>
  <c r="F615" i="1" s="1"/>
  <c r="O615" i="1"/>
  <c r="M615" i="1"/>
  <c r="L615" i="1"/>
  <c r="K615" i="1"/>
  <c r="J615" i="1"/>
  <c r="I615" i="1"/>
  <c r="H805" i="1" a="1"/>
  <c r="H805" i="1" s="1"/>
  <c r="G805" i="1" a="1"/>
  <c r="G805" i="1" s="1"/>
  <c r="M805" i="1"/>
  <c r="J805" i="1"/>
  <c r="I805" i="1"/>
  <c r="S805" i="1"/>
  <c r="P805" i="1"/>
  <c r="O805" i="1"/>
  <c r="L805" i="1"/>
  <c r="K805" i="1"/>
  <c r="AC59" i="3"/>
  <c r="AA59" i="3"/>
  <c r="H4" i="1" a="1"/>
  <c r="H4" i="1" s="1"/>
  <c r="G4" i="1" a="1"/>
  <c r="G4" i="1" s="1"/>
  <c r="L4" i="1" s="1"/>
  <c r="F4" i="1" a="1"/>
  <c r="F4" i="1" s="1"/>
  <c r="I9" i="1"/>
  <c r="K9" i="1" s="1"/>
  <c r="H9" i="1" a="1"/>
  <c r="H9" i="1" s="1"/>
  <c r="G9" i="1" a="1"/>
  <c r="G9" i="1" s="1"/>
  <c r="M212" i="1"/>
  <c r="I212" i="1"/>
  <c r="S212" i="1"/>
  <c r="B212" i="1" a="1"/>
  <c r="B212" i="1" s="1"/>
  <c r="P212" i="1"/>
  <c r="O212" i="1"/>
  <c r="L212" i="1"/>
  <c r="K212" i="1"/>
  <c r="J212" i="1"/>
  <c r="I656" i="1"/>
  <c r="G656" i="1" a="1"/>
  <c r="G656" i="1" s="1"/>
  <c r="M656" i="1"/>
  <c r="L656" i="1"/>
  <c r="K656" i="1"/>
  <c r="J656" i="1"/>
  <c r="H656" i="1" a="1"/>
  <c r="H656" i="1" s="1"/>
  <c r="F656" i="1" a="1"/>
  <c r="F656" i="1" s="1"/>
  <c r="M898" i="1"/>
  <c r="K898" i="1"/>
  <c r="B898" i="1" a="1"/>
  <c r="B898" i="1" s="1"/>
  <c r="S898" i="1"/>
  <c r="P898" i="1"/>
  <c r="O898" i="1"/>
  <c r="L898" i="1"/>
  <c r="J898" i="1"/>
  <c r="I898" i="1"/>
  <c r="H898" i="1" a="1"/>
  <c r="H898" i="1" s="1"/>
  <c r="R49" i="3" a="1"/>
  <c r="R49" i="3" s="1"/>
  <c r="O49" i="3" a="1"/>
  <c r="O49" i="3" s="1"/>
  <c r="V49" i="3" a="1"/>
  <c r="V49" i="3" s="1"/>
  <c r="K141" i="3" a="1"/>
  <c r="K141" i="3" s="1"/>
  <c r="M141" i="3" s="1"/>
  <c r="J141" i="3" a="1"/>
  <c r="J141" i="3" s="1"/>
  <c r="V141" i="3" a="1"/>
  <c r="V141" i="3" s="1"/>
  <c r="R141" i="3" a="1"/>
  <c r="R141" i="3" s="1"/>
  <c r="O141" i="3" a="1"/>
  <c r="O141" i="3" s="1"/>
  <c r="O376" i="3" a="1"/>
  <c r="O376" i="3" s="1"/>
  <c r="R376" i="3" a="1"/>
  <c r="R376" i="3" s="1"/>
  <c r="V376" i="3" a="1"/>
  <c r="V376" i="3" s="1"/>
  <c r="K376" i="3" a="1"/>
  <c r="K376" i="3" s="1"/>
  <c r="M376" i="3" s="1"/>
  <c r="J376" i="3" a="1"/>
  <c r="J376" i="3" s="1"/>
  <c r="B16" i="1" a="1"/>
  <c r="B16" i="1" s="1"/>
  <c r="I21" i="1"/>
  <c r="K21" i="1" s="1"/>
  <c r="H21" i="1" a="1"/>
  <c r="H21" i="1" s="1"/>
  <c r="G21" i="1" a="1"/>
  <c r="G21" i="1" s="1"/>
  <c r="L21" i="1" s="1"/>
  <c r="F21" i="1" a="1"/>
  <c r="F21" i="1" s="1"/>
  <c r="M68" i="1"/>
  <c r="I68" i="1"/>
  <c r="K68" i="1" s="1"/>
  <c r="G68" i="1" a="1"/>
  <c r="G68" i="1" s="1"/>
  <c r="L68" i="1" s="1"/>
  <c r="F68" i="1" a="1"/>
  <c r="F68" i="1" s="1"/>
  <c r="E68" i="1" a="1"/>
  <c r="E68" i="1" s="1"/>
  <c r="I830" i="1"/>
  <c r="L830" i="1"/>
  <c r="H830" i="1" a="1"/>
  <c r="H830" i="1" s="1"/>
  <c r="G830" i="1" a="1"/>
  <c r="G830" i="1" s="1"/>
  <c r="S830" i="1"/>
  <c r="P830" i="1"/>
  <c r="O830" i="1"/>
  <c r="M830" i="1"/>
  <c r="K830" i="1"/>
  <c r="J830" i="1"/>
  <c r="F830" i="1" a="1"/>
  <c r="F830" i="1" s="1"/>
  <c r="AB10" i="3"/>
  <c r="Q10" i="3"/>
  <c r="P10" i="3"/>
  <c r="O53" i="3" a="1"/>
  <c r="O53" i="3" s="1"/>
  <c r="K53" i="3" a="1"/>
  <c r="K53" i="3" s="1"/>
  <c r="M53" i="3" s="1"/>
  <c r="R53" i="3" a="1"/>
  <c r="R53" i="3" s="1"/>
  <c r="J53" i="3" a="1"/>
  <c r="J53" i="3" s="1"/>
  <c r="J69" i="3" a="1"/>
  <c r="J69" i="3" s="1"/>
  <c r="B27" i="6"/>
  <c r="B9" i="1" a="1"/>
  <c r="B9" i="1" s="1"/>
  <c r="C25" i="1" a="1"/>
  <c r="C25" i="1" s="1"/>
  <c r="I47" i="1"/>
  <c r="I179" i="1"/>
  <c r="K179" i="1" s="1"/>
  <c r="P332" i="1"/>
  <c r="O332" i="1"/>
  <c r="M332" i="1"/>
  <c r="L332" i="1"/>
  <c r="K332" i="1"/>
  <c r="J332" i="1"/>
  <c r="I332" i="1"/>
  <c r="O396" i="1"/>
  <c r="M396" i="1"/>
  <c r="L396" i="1"/>
  <c r="K396" i="1"/>
  <c r="J396" i="1"/>
  <c r="I396" i="1"/>
  <c r="H396" i="1" a="1"/>
  <c r="H396" i="1" s="1"/>
  <c r="P454" i="1"/>
  <c r="L454" i="1"/>
  <c r="K454" i="1"/>
  <c r="O454" i="1"/>
  <c r="M454" i="1"/>
  <c r="J454" i="1"/>
  <c r="I454" i="1"/>
  <c r="H454" i="1" a="1"/>
  <c r="H454" i="1" s="1"/>
  <c r="G454" i="1" a="1"/>
  <c r="G454" i="1" s="1"/>
  <c r="E545" i="1" a="1"/>
  <c r="E545" i="1" s="1"/>
  <c r="P545" i="1"/>
  <c r="O545" i="1"/>
  <c r="B545" i="1" a="1"/>
  <c r="B545" i="1" s="1"/>
  <c r="S545" i="1"/>
  <c r="M545" i="1"/>
  <c r="L545" i="1"/>
  <c r="K545" i="1"/>
  <c r="J545" i="1"/>
  <c r="I545" i="1"/>
  <c r="C137" i="6"/>
  <c r="Q147" i="3"/>
  <c r="P147" i="3"/>
  <c r="AB147" i="3"/>
  <c r="I73" i="1"/>
  <c r="C268" i="1" a="1"/>
  <c r="C268" i="1" s="1"/>
  <c r="S268" i="1"/>
  <c r="B268" i="1" a="1"/>
  <c r="B268" i="1" s="1"/>
  <c r="P268" i="1"/>
  <c r="O268" i="1"/>
  <c r="M268" i="1"/>
  <c r="L268" i="1"/>
  <c r="P364" i="1"/>
  <c r="O364" i="1"/>
  <c r="M364" i="1"/>
  <c r="L364" i="1"/>
  <c r="K364" i="1"/>
  <c r="J364" i="1"/>
  <c r="I364" i="1"/>
  <c r="L411" i="1"/>
  <c r="H411" i="1" a="1"/>
  <c r="H411" i="1" s="1"/>
  <c r="J411" i="1"/>
  <c r="I411" i="1"/>
  <c r="G411" i="1" a="1"/>
  <c r="G411" i="1" s="1"/>
  <c r="F411" i="1" a="1"/>
  <c r="F411" i="1" s="1"/>
  <c r="L491" i="1"/>
  <c r="I491" i="1"/>
  <c r="H491" i="1" a="1"/>
  <c r="H491" i="1" s="1"/>
  <c r="K491" i="1"/>
  <c r="J491" i="1"/>
  <c r="G491" i="1" a="1"/>
  <c r="G491" i="1" s="1"/>
  <c r="F491" i="1" a="1"/>
  <c r="F491" i="1" s="1"/>
  <c r="O541" i="1"/>
  <c r="B541" i="1" a="1"/>
  <c r="B541" i="1" s="1"/>
  <c r="K541" i="1"/>
  <c r="J541" i="1"/>
  <c r="M541" i="1"/>
  <c r="L541" i="1"/>
  <c r="I541" i="1"/>
  <c r="H541" i="1" a="1"/>
  <c r="H541" i="1" s="1"/>
  <c r="G541" i="1" a="1"/>
  <c r="G541" i="1" s="1"/>
  <c r="O648" i="1"/>
  <c r="B648" i="1" a="1"/>
  <c r="B648" i="1" s="1"/>
  <c r="M648" i="1"/>
  <c r="J648" i="1"/>
  <c r="I648" i="1"/>
  <c r="H648" i="1" a="1"/>
  <c r="H648" i="1" s="1"/>
  <c r="G648" i="1" a="1"/>
  <c r="G648" i="1" s="1"/>
  <c r="F648" i="1" a="1"/>
  <c r="F648" i="1" s="1"/>
  <c r="S655" i="1"/>
  <c r="C655" i="1" a="1"/>
  <c r="C655" i="1" s="1"/>
  <c r="M655" i="1"/>
  <c r="L655" i="1"/>
  <c r="P655" i="1"/>
  <c r="O655" i="1"/>
  <c r="K655" i="1"/>
  <c r="J655" i="1"/>
  <c r="I655" i="1"/>
  <c r="H655" i="1" a="1"/>
  <c r="H655" i="1" s="1"/>
  <c r="P694" i="1"/>
  <c r="L694" i="1"/>
  <c r="K694" i="1"/>
  <c r="I694" i="1"/>
  <c r="H694" i="1" a="1"/>
  <c r="H694" i="1" s="1"/>
  <c r="G694" i="1" a="1"/>
  <c r="G694" i="1" s="1"/>
  <c r="F694" i="1" a="1"/>
  <c r="F694" i="1" s="1"/>
  <c r="L715" i="1"/>
  <c r="I715" i="1"/>
  <c r="H715" i="1" a="1"/>
  <c r="H715" i="1" s="1"/>
  <c r="B715" i="1" a="1"/>
  <c r="B715" i="1" s="1"/>
  <c r="S715" i="1"/>
  <c r="P715" i="1"/>
  <c r="O715" i="1"/>
  <c r="M715" i="1"/>
  <c r="K715" i="1"/>
  <c r="J715" i="1"/>
  <c r="S735" i="1"/>
  <c r="C735" i="1" a="1"/>
  <c r="C735" i="1" s="1"/>
  <c r="M735" i="1"/>
  <c r="L735" i="1"/>
  <c r="K735" i="1"/>
  <c r="O735" i="1"/>
  <c r="J735" i="1"/>
  <c r="I735" i="1"/>
  <c r="H735" i="1" a="1"/>
  <c r="H735" i="1" s="1"/>
  <c r="G735" i="1" a="1"/>
  <c r="G735" i="1" s="1"/>
  <c r="E753" i="1" a="1"/>
  <c r="E753" i="1" s="1"/>
  <c r="M753" i="1"/>
  <c r="J753" i="1"/>
  <c r="I753" i="1"/>
  <c r="H753" i="1" a="1"/>
  <c r="H753" i="1" s="1"/>
  <c r="K753" i="1"/>
  <c r="G753" i="1" a="1"/>
  <c r="G753" i="1" s="1"/>
  <c r="F753" i="1" a="1"/>
  <c r="F753" i="1" s="1"/>
  <c r="P104" i="3"/>
  <c r="S104" i="3" s="1"/>
  <c r="I43" i="1"/>
  <c r="H103" i="1" a="1"/>
  <c r="H103" i="1" s="1"/>
  <c r="F103" i="1" a="1"/>
  <c r="F103" i="1" s="1"/>
  <c r="J103" i="1"/>
  <c r="I103" i="1"/>
  <c r="K103" i="1" s="1"/>
  <c r="G103" i="1" a="1"/>
  <c r="G103" i="1" s="1"/>
  <c r="S103" i="1" s="1"/>
  <c r="M116" i="1"/>
  <c r="I116" i="1"/>
  <c r="B116" i="1" a="1"/>
  <c r="B116" i="1" s="1"/>
  <c r="L116" i="1"/>
  <c r="P116" i="1" s="1"/>
  <c r="K116" i="1"/>
  <c r="C134" i="1" a="1"/>
  <c r="C134" i="1" s="1"/>
  <c r="H146" i="1" a="1"/>
  <c r="H146" i="1" s="1"/>
  <c r="G146" i="1" a="1"/>
  <c r="G146" i="1" s="1"/>
  <c r="S146" i="1" s="1"/>
  <c r="F146" i="1" a="1"/>
  <c r="F146" i="1" s="1"/>
  <c r="E146" i="1" a="1"/>
  <c r="E146" i="1" s="1"/>
  <c r="L171" i="1"/>
  <c r="H171" i="1" a="1"/>
  <c r="H171" i="1" s="1"/>
  <c r="G171" i="1" a="1"/>
  <c r="G171" i="1" s="1"/>
  <c r="S171" i="1" s="1"/>
  <c r="F171" i="1" a="1"/>
  <c r="F171" i="1" s="1"/>
  <c r="E171" i="1" a="1"/>
  <c r="E171" i="1" s="1"/>
  <c r="E353" i="1" a="1"/>
  <c r="E353" i="1" s="1"/>
  <c r="O353" i="1"/>
  <c r="B353" i="1" a="1"/>
  <c r="B353" i="1" s="1"/>
  <c r="S353" i="1"/>
  <c r="P353" i="1"/>
  <c r="M353" i="1"/>
  <c r="L353" i="1"/>
  <c r="K353" i="1"/>
  <c r="J353" i="1"/>
  <c r="B372" i="1" a="1"/>
  <c r="B372" i="1" s="1"/>
  <c r="P804" i="1"/>
  <c r="M804" i="1"/>
  <c r="C804" i="1" a="1"/>
  <c r="C804" i="1" s="1"/>
  <c r="O804" i="1"/>
  <c r="L804" i="1"/>
  <c r="K804" i="1"/>
  <c r="S804" i="1"/>
  <c r="J804" i="1"/>
  <c r="I804" i="1"/>
  <c r="H804" i="1" a="1"/>
  <c r="H804" i="1" s="1"/>
  <c r="Q780" i="3"/>
  <c r="AB780" i="3"/>
  <c r="P780" i="3"/>
  <c r="S780" i="3" s="1"/>
  <c r="E20" i="1" a="1"/>
  <c r="E20" i="1" s="1"/>
  <c r="B41" i="1" a="1"/>
  <c r="B41" i="1" s="1"/>
  <c r="C82" i="1" a="1"/>
  <c r="C82" i="1" s="1"/>
  <c r="C279" i="1" a="1"/>
  <c r="C279" i="1" s="1"/>
  <c r="C308" i="1" a="1"/>
  <c r="C308" i="1" s="1"/>
  <c r="E385" i="1" a="1"/>
  <c r="E385" i="1" s="1"/>
  <c r="O385" i="1"/>
  <c r="B385" i="1" a="1"/>
  <c r="B385" i="1" s="1"/>
  <c r="S385" i="1"/>
  <c r="P385" i="1"/>
  <c r="M385" i="1"/>
  <c r="L385" i="1"/>
  <c r="K385" i="1"/>
  <c r="J385" i="1"/>
  <c r="I385" i="1"/>
  <c r="C397" i="1" a="1"/>
  <c r="C397" i="1" s="1"/>
  <c r="C417" i="1" a="1"/>
  <c r="C417" i="1" s="1"/>
  <c r="B468" i="1" a="1"/>
  <c r="B468" i="1" s="1"/>
  <c r="O477" i="1"/>
  <c r="B477" i="1" a="1"/>
  <c r="B477" i="1" s="1"/>
  <c r="K477" i="1"/>
  <c r="J477" i="1"/>
  <c r="L477" i="1"/>
  <c r="I477" i="1"/>
  <c r="H477" i="1" a="1"/>
  <c r="H477" i="1" s="1"/>
  <c r="G477" i="1" a="1"/>
  <c r="G477" i="1" s="1"/>
  <c r="F477" i="1" a="1"/>
  <c r="F477" i="1" s="1"/>
  <c r="I480" i="1"/>
  <c r="G480" i="1" a="1"/>
  <c r="G480" i="1" s="1"/>
  <c r="B480" i="1" a="1"/>
  <c r="B480" i="1" s="1"/>
  <c r="S480" i="1"/>
  <c r="P480" i="1"/>
  <c r="O480" i="1"/>
  <c r="M480" i="1"/>
  <c r="L480" i="1"/>
  <c r="S495" i="1"/>
  <c r="C495" i="1" a="1"/>
  <c r="C495" i="1" s="1"/>
  <c r="M495" i="1"/>
  <c r="L495" i="1"/>
  <c r="K495" i="1"/>
  <c r="J495" i="1"/>
  <c r="I495" i="1"/>
  <c r="H495" i="1" a="1"/>
  <c r="H495" i="1" s="1"/>
  <c r="G495" i="1" a="1"/>
  <c r="G495" i="1" s="1"/>
  <c r="C508" i="1" a="1"/>
  <c r="C508" i="1" s="1"/>
  <c r="K642" i="1"/>
  <c r="H642" i="1" a="1"/>
  <c r="H642" i="1" s="1"/>
  <c r="P642" i="1"/>
  <c r="O642" i="1"/>
  <c r="M642" i="1"/>
  <c r="L642" i="1"/>
  <c r="J642" i="1"/>
  <c r="I642" i="1"/>
  <c r="G642" i="1" a="1"/>
  <c r="G642" i="1" s="1"/>
  <c r="B656" i="1" a="1"/>
  <c r="B656" i="1" s="1"/>
  <c r="J665" i="1"/>
  <c r="G665" i="1" a="1"/>
  <c r="G665" i="1" s="1"/>
  <c r="S665" i="1"/>
  <c r="P665" i="1"/>
  <c r="O665" i="1"/>
  <c r="M665" i="1"/>
  <c r="L665" i="1"/>
  <c r="K665" i="1"/>
  <c r="I665" i="1"/>
  <c r="B716" i="1" a="1"/>
  <c r="B716" i="1" s="1"/>
  <c r="B736" i="1" a="1"/>
  <c r="B736" i="1" s="1"/>
  <c r="F1" i="2"/>
  <c r="P111" i="3"/>
  <c r="AB197" i="3"/>
  <c r="Q197" i="3"/>
  <c r="P197" i="3"/>
  <c r="I136" i="1"/>
  <c r="E163" i="1" a="1"/>
  <c r="E163" i="1" s="1"/>
  <c r="H231" i="1" a="1"/>
  <c r="H231" i="1" s="1"/>
  <c r="F231" i="1" a="1"/>
  <c r="F231" i="1" s="1"/>
  <c r="J231" i="1"/>
  <c r="I231" i="1"/>
  <c r="G231" i="1" a="1"/>
  <c r="G231" i="1" s="1"/>
  <c r="E231" i="1" a="1"/>
  <c r="E231" i="1" s="1"/>
  <c r="B329" i="1" a="1"/>
  <c r="B329" i="1" s="1"/>
  <c r="B332" i="1" a="1"/>
  <c r="B332" i="1" s="1"/>
  <c r="C365" i="1" a="1"/>
  <c r="C365" i="1" s="1"/>
  <c r="H407" i="1" a="1"/>
  <c r="H407" i="1" s="1"/>
  <c r="F407" i="1" a="1"/>
  <c r="F407" i="1" s="1"/>
  <c r="M407" i="1"/>
  <c r="L407" i="1"/>
  <c r="K407" i="1"/>
  <c r="J407" i="1"/>
  <c r="I407" i="1"/>
  <c r="G407" i="1" a="1"/>
  <c r="G407" i="1" s="1"/>
  <c r="C546" i="1" a="1"/>
  <c r="C546" i="1" s="1"/>
  <c r="C572" i="1" a="1"/>
  <c r="C572" i="1" s="1"/>
  <c r="C584" i="1" a="1"/>
  <c r="C584" i="1" s="1"/>
  <c r="B601" i="1" a="1"/>
  <c r="B601" i="1" s="1"/>
  <c r="C615" i="1" a="1"/>
  <c r="C615" i="1" s="1"/>
  <c r="L651" i="1"/>
  <c r="I651" i="1"/>
  <c r="H651" i="1" a="1"/>
  <c r="H651" i="1" s="1"/>
  <c r="P651" i="1"/>
  <c r="O651" i="1"/>
  <c r="M651" i="1"/>
  <c r="K651" i="1"/>
  <c r="J651" i="1"/>
  <c r="G651" i="1" a="1"/>
  <c r="G651" i="1" s="1"/>
  <c r="L780" i="1"/>
  <c r="I780" i="1"/>
  <c r="H780" i="1" a="1"/>
  <c r="H780" i="1" s="1"/>
  <c r="G780" i="1" a="1"/>
  <c r="G780" i="1" s="1"/>
  <c r="K780" i="1"/>
  <c r="J780" i="1"/>
  <c r="F780" i="1" a="1"/>
  <c r="F780" i="1" s="1"/>
  <c r="E780" i="1" a="1"/>
  <c r="E780" i="1" s="1"/>
  <c r="C780" i="1" a="1"/>
  <c r="C780" i="1" s="1"/>
  <c r="B805" i="1" a="1"/>
  <c r="B805" i="1" s="1"/>
  <c r="M834" i="1"/>
  <c r="K834" i="1"/>
  <c r="H834" i="1" a="1"/>
  <c r="H834" i="1" s="1"/>
  <c r="F834" i="1" a="1"/>
  <c r="F834" i="1" s="1"/>
  <c r="L834" i="1"/>
  <c r="J834" i="1"/>
  <c r="I834" i="1"/>
  <c r="G834" i="1" a="1"/>
  <c r="G834" i="1" s="1"/>
  <c r="E834" i="1" a="1"/>
  <c r="E834" i="1" s="1"/>
  <c r="J871" i="1"/>
  <c r="H871" i="1" a="1"/>
  <c r="H871" i="1" s="1"/>
  <c r="P871" i="1"/>
  <c r="B871" i="1" a="1"/>
  <c r="B871" i="1" s="1"/>
  <c r="S871" i="1"/>
  <c r="O871" i="1"/>
  <c r="G871" i="1" a="1"/>
  <c r="G871" i="1" s="1"/>
  <c r="F871" i="1" a="1"/>
  <c r="F871" i="1" s="1"/>
  <c r="E871" i="1" a="1"/>
  <c r="E871" i="1" s="1"/>
  <c r="C871" i="1" a="1"/>
  <c r="C871" i="1" s="1"/>
  <c r="B881" i="1" a="1"/>
  <c r="B881" i="1" s="1"/>
  <c r="E13" i="2" a="1"/>
  <c r="E13" i="2" s="1"/>
  <c r="E41" i="2" a="1"/>
  <c r="E41" i="2" s="1"/>
  <c r="AB14" i="3"/>
  <c r="P14" i="3"/>
  <c r="Q14" i="3"/>
  <c r="F8" i="1" a="1"/>
  <c r="F8" i="1" s="1"/>
  <c r="C41" i="1" a="1"/>
  <c r="C41" i="1" s="1"/>
  <c r="B89" i="1" a="1"/>
  <c r="B89" i="1" s="1"/>
  <c r="C92" i="1" a="1"/>
  <c r="C92" i="1" s="1"/>
  <c r="E95" i="1" a="1"/>
  <c r="E95" i="1" s="1"/>
  <c r="B103" i="1" a="1"/>
  <c r="B103" i="1" s="1"/>
  <c r="E105" i="1" a="1"/>
  <c r="E105" i="1" s="1"/>
  <c r="F120" i="1" a="1"/>
  <c r="F120" i="1" s="1"/>
  <c r="B132" i="1" a="1"/>
  <c r="B132" i="1" s="1"/>
  <c r="B159" i="1" a="1"/>
  <c r="B159" i="1" s="1"/>
  <c r="E162" i="1" a="1"/>
  <c r="E162" i="1" s="1"/>
  <c r="E212" i="1" a="1"/>
  <c r="E212" i="1" s="1"/>
  <c r="O237" i="1"/>
  <c r="B237" i="1" a="1"/>
  <c r="B237" i="1" s="1"/>
  <c r="J237" i="1"/>
  <c r="P237" i="1"/>
  <c r="M237" i="1"/>
  <c r="L237" i="1"/>
  <c r="K237" i="1"/>
  <c r="I237" i="1"/>
  <c r="H237" i="1" a="1"/>
  <c r="H237" i="1" s="1"/>
  <c r="E315" i="1" a="1"/>
  <c r="E315" i="1" s="1"/>
  <c r="B339" i="1" a="1"/>
  <c r="B339" i="1" s="1"/>
  <c r="B386" i="1" a="1"/>
  <c r="B386" i="1" s="1"/>
  <c r="E591" i="1" a="1"/>
  <c r="E591" i="1" s="1"/>
  <c r="C614" i="1" a="1"/>
  <c r="C614" i="1" s="1"/>
  <c r="C656" i="1" a="1"/>
  <c r="C656" i="1" s="1"/>
  <c r="M660" i="1"/>
  <c r="J660" i="1"/>
  <c r="I660" i="1"/>
  <c r="B660" i="1" a="1"/>
  <c r="B660" i="1" s="1"/>
  <c r="S660" i="1"/>
  <c r="P660" i="1"/>
  <c r="O660" i="1"/>
  <c r="L660" i="1"/>
  <c r="K660" i="1"/>
  <c r="H660" i="1" a="1"/>
  <c r="H660" i="1" s="1"/>
  <c r="B674" i="1" a="1"/>
  <c r="B674" i="1" s="1"/>
  <c r="S829" i="1"/>
  <c r="C829" i="1" a="1"/>
  <c r="C829" i="1" s="1"/>
  <c r="O829" i="1"/>
  <c r="B829" i="1" a="1"/>
  <c r="B829" i="1" s="1"/>
  <c r="L829" i="1"/>
  <c r="K829" i="1"/>
  <c r="J829" i="1"/>
  <c r="P829" i="1"/>
  <c r="M829" i="1"/>
  <c r="I829" i="1"/>
  <c r="H829" i="1" a="1"/>
  <c r="H829" i="1" s="1"/>
  <c r="G829" i="1" a="1"/>
  <c r="G829" i="1" s="1"/>
  <c r="C881" i="1" a="1"/>
  <c r="C881" i="1" s="1"/>
  <c r="P886" i="1"/>
  <c r="K886" i="1"/>
  <c r="S886" i="1"/>
  <c r="L886" i="1"/>
  <c r="J886" i="1"/>
  <c r="I886" i="1"/>
  <c r="O886" i="1"/>
  <c r="M886" i="1"/>
  <c r="H886" i="1" a="1"/>
  <c r="H886" i="1" s="1"/>
  <c r="G886" i="1" a="1"/>
  <c r="G886" i="1" s="1"/>
  <c r="F886" i="1" a="1"/>
  <c r="F886" i="1" s="1"/>
  <c r="I2" i="1"/>
  <c r="K2" i="1" s="1"/>
  <c r="M9" i="1"/>
  <c r="O23" i="1"/>
  <c r="I118" i="1"/>
  <c r="K118" i="1" s="1"/>
  <c r="B131" i="1" a="1"/>
  <c r="B131" i="1" s="1"/>
  <c r="B252" i="1" a="1"/>
  <c r="B252" i="1" s="1"/>
  <c r="E297" i="1" a="1"/>
  <c r="E297" i="1" s="1"/>
  <c r="M312" i="1"/>
  <c r="J312" i="1"/>
  <c r="I312" i="1"/>
  <c r="H312" i="1" a="1"/>
  <c r="H312" i="1" s="1"/>
  <c r="G312" i="1" a="1"/>
  <c r="G312" i="1" s="1"/>
  <c r="F312" i="1" a="1"/>
  <c r="F312" i="1" s="1"/>
  <c r="F322" i="1" a="1"/>
  <c r="F322" i="1" s="1"/>
  <c r="O340" i="1"/>
  <c r="F444" i="1" a="1"/>
  <c r="F444" i="1" s="1"/>
  <c r="B450" i="1" a="1"/>
  <c r="B450" i="1" s="1"/>
  <c r="O455" i="1"/>
  <c r="P486" i="1"/>
  <c r="L486" i="1"/>
  <c r="K486" i="1"/>
  <c r="O486" i="1"/>
  <c r="M486" i="1"/>
  <c r="J486" i="1"/>
  <c r="I486" i="1"/>
  <c r="H486" i="1" a="1"/>
  <c r="H486" i="1" s="1"/>
  <c r="G486" i="1" a="1"/>
  <c r="G486" i="1" s="1"/>
  <c r="E513" i="1" a="1"/>
  <c r="E513" i="1" s="1"/>
  <c r="P513" i="1"/>
  <c r="O513" i="1"/>
  <c r="B513" i="1" a="1"/>
  <c r="B513" i="1" s="1"/>
  <c r="S513" i="1"/>
  <c r="M513" i="1"/>
  <c r="L513" i="1"/>
  <c r="K513" i="1"/>
  <c r="J513" i="1"/>
  <c r="I513" i="1"/>
  <c r="M519" i="1"/>
  <c r="B559" i="1" a="1"/>
  <c r="B559" i="1" s="1"/>
  <c r="C564" i="1" a="1"/>
  <c r="C564" i="1" s="1"/>
  <c r="K578" i="1"/>
  <c r="H578" i="1" a="1"/>
  <c r="H578" i="1" s="1"/>
  <c r="O578" i="1"/>
  <c r="M578" i="1"/>
  <c r="L578" i="1"/>
  <c r="J578" i="1"/>
  <c r="I578" i="1"/>
  <c r="G578" i="1" a="1"/>
  <c r="G578" i="1" s="1"/>
  <c r="L584" i="1"/>
  <c r="S623" i="1"/>
  <c r="C623" i="1" a="1"/>
  <c r="C623" i="1" s="1"/>
  <c r="M623" i="1"/>
  <c r="L623" i="1"/>
  <c r="P623" i="1"/>
  <c r="O623" i="1"/>
  <c r="K623" i="1"/>
  <c r="J623" i="1"/>
  <c r="I623" i="1"/>
  <c r="H623" i="1" a="1"/>
  <c r="H623" i="1" s="1"/>
  <c r="O684" i="1"/>
  <c r="H20" i="1" a="1"/>
  <c r="H20" i="1" s="1"/>
  <c r="I26" i="1"/>
  <c r="K26" i="1" s="1"/>
  <c r="H3" i="1" a="1"/>
  <c r="H3" i="1" s="1"/>
  <c r="G6" i="1" a="1"/>
  <c r="G6" i="1" s="1"/>
  <c r="S6" i="1" s="1"/>
  <c r="P9" i="1"/>
  <c r="I33" i="1"/>
  <c r="K33" i="1" s="1"/>
  <c r="F36" i="1" a="1"/>
  <c r="F36" i="1" s="1"/>
  <c r="H38" i="1" a="1"/>
  <c r="H38" i="1" s="1"/>
  <c r="L59" i="1"/>
  <c r="P59" i="1" s="1"/>
  <c r="H59" i="1" a="1"/>
  <c r="H59" i="1" s="1"/>
  <c r="S59" i="1"/>
  <c r="B59" i="1" a="1"/>
  <c r="B59" i="1" s="1"/>
  <c r="M59" i="1"/>
  <c r="K59" i="1"/>
  <c r="C75" i="1" a="1"/>
  <c r="C75" i="1" s="1"/>
  <c r="K89" i="1"/>
  <c r="M92" i="1"/>
  <c r="S96" i="1"/>
  <c r="F99" i="1" a="1"/>
  <c r="F99" i="1" s="1"/>
  <c r="S99" i="1"/>
  <c r="L99" i="1"/>
  <c r="P99" i="1" s="1"/>
  <c r="J99" i="1"/>
  <c r="K99" i="1" s="1"/>
  <c r="I99" i="1"/>
  <c r="H99" i="1" a="1"/>
  <c r="H99" i="1" s="1"/>
  <c r="E102" i="1" a="1"/>
  <c r="E102" i="1" s="1"/>
  <c r="I104" i="1"/>
  <c r="K104" i="1" s="1"/>
  <c r="H105" i="1" a="1"/>
  <c r="H105" i="1" s="1"/>
  <c r="F116" i="1" a="1"/>
  <c r="F116" i="1" s="1"/>
  <c r="S120" i="1"/>
  <c r="L124" i="1"/>
  <c r="O124" i="1" s="1"/>
  <c r="J124" i="1"/>
  <c r="K124" i="1" s="1"/>
  <c r="I124" i="1"/>
  <c r="H124" i="1" a="1"/>
  <c r="H124" i="1" s="1"/>
  <c r="B128" i="1" a="1"/>
  <c r="B128" i="1" s="1"/>
  <c r="J132" i="1"/>
  <c r="H134" i="1" a="1"/>
  <c r="H134" i="1" s="1"/>
  <c r="J137" i="1"/>
  <c r="G137" i="1" a="1"/>
  <c r="G137" i="1" s="1"/>
  <c r="L137" i="1" s="1"/>
  <c r="C137" i="1" a="1"/>
  <c r="C137" i="1" s="1"/>
  <c r="S137" i="1"/>
  <c r="B137" i="1" a="1"/>
  <c r="B137" i="1" s="1"/>
  <c r="P137" i="1"/>
  <c r="O137" i="1"/>
  <c r="M137" i="1"/>
  <c r="C141" i="1" a="1"/>
  <c r="C141" i="1" s="1"/>
  <c r="E144" i="1" a="1"/>
  <c r="E144" i="1" s="1"/>
  <c r="J146" i="1"/>
  <c r="K146" i="1" s="1"/>
  <c r="E155" i="1" a="1"/>
  <c r="E155" i="1" s="1"/>
  <c r="I157" i="1"/>
  <c r="M160" i="1"/>
  <c r="H162" i="1" a="1"/>
  <c r="H162" i="1" s="1"/>
  <c r="F169" i="1" a="1"/>
  <c r="F169" i="1" s="1"/>
  <c r="J171" i="1"/>
  <c r="E180" i="1" a="1"/>
  <c r="E180" i="1" s="1"/>
  <c r="C188" i="1" a="1"/>
  <c r="C188" i="1" s="1"/>
  <c r="I190" i="1"/>
  <c r="H199" i="1" a="1"/>
  <c r="H199" i="1" s="1"/>
  <c r="F199" i="1" a="1"/>
  <c r="F199" i="1" s="1"/>
  <c r="L199" i="1"/>
  <c r="K199" i="1"/>
  <c r="J199" i="1"/>
  <c r="I199" i="1"/>
  <c r="G199" i="1" a="1"/>
  <c r="G199" i="1" s="1"/>
  <c r="I208" i="1"/>
  <c r="C208" i="1" a="1"/>
  <c r="C208" i="1" s="1"/>
  <c r="S208" i="1"/>
  <c r="B208" i="1" a="1"/>
  <c r="B208" i="1" s="1"/>
  <c r="P208" i="1"/>
  <c r="O208" i="1"/>
  <c r="M208" i="1"/>
  <c r="L208" i="1"/>
  <c r="C220" i="1" a="1"/>
  <c r="C220" i="1" s="1"/>
  <c r="H226" i="1" a="1"/>
  <c r="H226" i="1" s="1"/>
  <c r="F227" i="1" a="1"/>
  <c r="F227" i="1" s="1"/>
  <c r="S227" i="1"/>
  <c r="C227" i="1" a="1"/>
  <c r="C227" i="1" s="1"/>
  <c r="K227" i="1"/>
  <c r="J227" i="1"/>
  <c r="I227" i="1"/>
  <c r="H227" i="1" a="1"/>
  <c r="H227" i="1" s="1"/>
  <c r="G227" i="1" a="1"/>
  <c r="G227" i="1" s="1"/>
  <c r="C231" i="1" a="1"/>
  <c r="C231" i="1" s="1"/>
  <c r="E233" i="1" a="1"/>
  <c r="E233" i="1" s="1"/>
  <c r="G244" i="1" a="1"/>
  <c r="G244" i="1" s="1"/>
  <c r="C252" i="1" a="1"/>
  <c r="C252" i="1" s="1"/>
  <c r="C258" i="1" a="1"/>
  <c r="C258" i="1" s="1"/>
  <c r="K259" i="1"/>
  <c r="P269" i="1"/>
  <c r="L277" i="1"/>
  <c r="I279" i="1"/>
  <c r="P287" i="1"/>
  <c r="K290" i="1"/>
  <c r="O290" i="1"/>
  <c r="M290" i="1"/>
  <c r="L290" i="1"/>
  <c r="J290" i="1"/>
  <c r="I290" i="1"/>
  <c r="H290" i="1" a="1"/>
  <c r="H290" i="1" s="1"/>
  <c r="G290" i="1" a="1"/>
  <c r="G290" i="1" s="1"/>
  <c r="C293" i="1" a="1"/>
  <c r="C293" i="1" s="1"/>
  <c r="E294" i="1" a="1"/>
  <c r="E294" i="1" s="1"/>
  <c r="F297" i="1" a="1"/>
  <c r="F297" i="1" s="1"/>
  <c r="I304" i="1"/>
  <c r="O304" i="1"/>
  <c r="M304" i="1"/>
  <c r="L304" i="1"/>
  <c r="K304" i="1"/>
  <c r="J304" i="1"/>
  <c r="H304" i="1" a="1"/>
  <c r="H304" i="1" s="1"/>
  <c r="G307" i="1" a="1"/>
  <c r="G307" i="1" s="1"/>
  <c r="S308" i="1"/>
  <c r="S315" i="1"/>
  <c r="J319" i="1"/>
  <c r="P322" i="1"/>
  <c r="C325" i="1" a="1"/>
  <c r="C325" i="1" s="1"/>
  <c r="F329" i="1" a="1"/>
  <c r="F329" i="1" s="1"/>
  <c r="G332" i="1" a="1"/>
  <c r="G332" i="1" s="1"/>
  <c r="S333" i="1"/>
  <c r="S340" i="1"/>
  <c r="H343" i="1" a="1"/>
  <c r="H343" i="1" s="1"/>
  <c r="F343" i="1" a="1"/>
  <c r="F343" i="1" s="1"/>
  <c r="O343" i="1"/>
  <c r="M343" i="1"/>
  <c r="L343" i="1"/>
  <c r="K343" i="1"/>
  <c r="J343" i="1"/>
  <c r="I343" i="1"/>
  <c r="F353" i="1" a="1"/>
  <c r="F353" i="1" s="1"/>
  <c r="M354" i="1"/>
  <c r="E360" i="1" a="1"/>
  <c r="E360" i="1" s="1"/>
  <c r="F364" i="1" a="1"/>
  <c r="F364" i="1" s="1"/>
  <c r="P365" i="1"/>
  <c r="I368" i="1"/>
  <c r="M368" i="1"/>
  <c r="L368" i="1"/>
  <c r="K368" i="1"/>
  <c r="J368" i="1"/>
  <c r="H368" i="1" a="1"/>
  <c r="H368" i="1" s="1"/>
  <c r="G368" i="1" a="1"/>
  <c r="G368" i="1" s="1"/>
  <c r="P372" i="1"/>
  <c r="L386" i="1"/>
  <c r="S389" i="1"/>
  <c r="P390" i="1"/>
  <c r="K390" i="1"/>
  <c r="H390" i="1" a="1"/>
  <c r="H390" i="1" s="1"/>
  <c r="G390" i="1" a="1"/>
  <c r="G390" i="1" s="1"/>
  <c r="F390" i="1" a="1"/>
  <c r="F390" i="1" s="1"/>
  <c r="E390" i="1" a="1"/>
  <c r="E390" i="1" s="1"/>
  <c r="G396" i="1" a="1"/>
  <c r="G396" i="1" s="1"/>
  <c r="S397" i="1"/>
  <c r="C407" i="1" a="1"/>
  <c r="C407" i="1" s="1"/>
  <c r="K411" i="1"/>
  <c r="H417" i="1" a="1"/>
  <c r="H417" i="1" s="1"/>
  <c r="H439" i="1" a="1"/>
  <c r="H439" i="1" s="1"/>
  <c r="F439" i="1" a="1"/>
  <c r="F439" i="1" s="1"/>
  <c r="B439" i="1" a="1"/>
  <c r="B439" i="1" s="1"/>
  <c r="S439" i="1"/>
  <c r="P439" i="1"/>
  <c r="O439" i="1"/>
  <c r="M439" i="1"/>
  <c r="L439" i="1"/>
  <c r="S455" i="1"/>
  <c r="P468" i="1"/>
  <c r="C477" i="1" a="1"/>
  <c r="C477" i="1" s="1"/>
  <c r="E480" i="1" a="1"/>
  <c r="E480" i="1" s="1"/>
  <c r="B487" i="1" a="1"/>
  <c r="B487" i="1" s="1"/>
  <c r="E491" i="1" a="1"/>
  <c r="E491" i="1" s="1"/>
  <c r="M496" i="1"/>
  <c r="F499" i="1" a="1"/>
  <c r="F499" i="1" s="1"/>
  <c r="S499" i="1"/>
  <c r="C499" i="1" a="1"/>
  <c r="C499" i="1" s="1"/>
  <c r="P499" i="1"/>
  <c r="O499" i="1"/>
  <c r="M499" i="1"/>
  <c r="L499" i="1"/>
  <c r="K499" i="1"/>
  <c r="J499" i="1"/>
  <c r="E504" i="1" a="1"/>
  <c r="E504" i="1" s="1"/>
  <c r="J508" i="1"/>
  <c r="B514" i="1" a="1"/>
  <c r="B514" i="1" s="1"/>
  <c r="K515" i="1"/>
  <c r="P519" i="1"/>
  <c r="S527" i="1"/>
  <c r="C527" i="1" a="1"/>
  <c r="C527" i="1" s="1"/>
  <c r="M527" i="1"/>
  <c r="L527" i="1"/>
  <c r="O527" i="1"/>
  <c r="K527" i="1"/>
  <c r="J527" i="1"/>
  <c r="I527" i="1"/>
  <c r="H527" i="1" a="1"/>
  <c r="H527" i="1" s="1"/>
  <c r="G527" i="1" a="1"/>
  <c r="G527" i="1" s="1"/>
  <c r="J531" i="1"/>
  <c r="E541" i="1" a="1"/>
  <c r="E541" i="1" s="1"/>
  <c r="S546" i="1"/>
  <c r="J552" i="1"/>
  <c r="O560" i="1"/>
  <c r="E564" i="1" a="1"/>
  <c r="E564" i="1" s="1"/>
  <c r="P569" i="1"/>
  <c r="I572" i="1"/>
  <c r="B579" i="1" a="1"/>
  <c r="B579" i="1" s="1"/>
  <c r="B582" i="1" a="1"/>
  <c r="B582" i="1" s="1"/>
  <c r="S584" i="1"/>
  <c r="I592" i="1"/>
  <c r="G592" i="1" a="1"/>
  <c r="G592" i="1" s="1"/>
  <c r="M592" i="1"/>
  <c r="L592" i="1"/>
  <c r="K592" i="1"/>
  <c r="J592" i="1"/>
  <c r="H592" i="1" a="1"/>
  <c r="H592" i="1" s="1"/>
  <c r="F592" i="1" a="1"/>
  <c r="F592" i="1" s="1"/>
  <c r="F601" i="1" a="1"/>
  <c r="F601" i="1" s="1"/>
  <c r="K610" i="1"/>
  <c r="H610" i="1" a="1"/>
  <c r="H610" i="1" s="1"/>
  <c r="P610" i="1"/>
  <c r="O610" i="1"/>
  <c r="M610" i="1"/>
  <c r="L610" i="1"/>
  <c r="J610" i="1"/>
  <c r="I610" i="1"/>
  <c r="G610" i="1" a="1"/>
  <c r="G610" i="1" s="1"/>
  <c r="S615" i="1"/>
  <c r="B624" i="1" a="1"/>
  <c r="B624" i="1" s="1"/>
  <c r="K625" i="1"/>
  <c r="M628" i="1"/>
  <c r="J628" i="1"/>
  <c r="I628" i="1"/>
  <c r="B628" i="1" a="1"/>
  <c r="B628" i="1" s="1"/>
  <c r="S628" i="1"/>
  <c r="P628" i="1"/>
  <c r="O628" i="1"/>
  <c r="L628" i="1"/>
  <c r="K628" i="1"/>
  <c r="H628" i="1" a="1"/>
  <c r="H628" i="1" s="1"/>
  <c r="P630" i="1"/>
  <c r="L630" i="1"/>
  <c r="K630" i="1"/>
  <c r="G630" i="1" a="1"/>
  <c r="G630" i="1" s="1"/>
  <c r="F630" i="1" a="1"/>
  <c r="F630" i="1" s="1"/>
  <c r="E630" i="1" a="1"/>
  <c r="E630" i="1" s="1"/>
  <c r="O637" i="1"/>
  <c r="B637" i="1" a="1"/>
  <c r="B637" i="1" s="1"/>
  <c r="K637" i="1"/>
  <c r="J637" i="1"/>
  <c r="S637" i="1"/>
  <c r="P637" i="1"/>
  <c r="M637" i="1"/>
  <c r="L637" i="1"/>
  <c r="I637" i="1"/>
  <c r="H637" i="1" a="1"/>
  <c r="H637" i="1" s="1"/>
  <c r="C642" i="1" a="1"/>
  <c r="C642" i="1" s="1"/>
  <c r="M643" i="1"/>
  <c r="P656" i="1"/>
  <c r="C665" i="1" a="1"/>
  <c r="C665" i="1" s="1"/>
  <c r="C680" i="1" a="1"/>
  <c r="C680" i="1" s="1"/>
  <c r="S684" i="1"/>
  <c r="E694" i="1" a="1"/>
  <c r="E694" i="1" s="1"/>
  <c r="H697" i="1" a="1"/>
  <c r="H697" i="1" s="1"/>
  <c r="P708" i="1"/>
  <c r="H711" i="1" a="1"/>
  <c r="H711" i="1" s="1"/>
  <c r="F711" i="1" a="1"/>
  <c r="F711" i="1" s="1"/>
  <c r="S711" i="1"/>
  <c r="P711" i="1"/>
  <c r="O711" i="1"/>
  <c r="M711" i="1"/>
  <c r="L711" i="1"/>
  <c r="K711" i="1"/>
  <c r="J711" i="1"/>
  <c r="K713" i="1"/>
  <c r="O717" i="1"/>
  <c r="B717" i="1" a="1"/>
  <c r="B717" i="1" s="1"/>
  <c r="K717" i="1"/>
  <c r="J717" i="1"/>
  <c r="G717" i="1" a="1"/>
  <c r="G717" i="1" s="1"/>
  <c r="F717" i="1" a="1"/>
  <c r="F717" i="1" s="1"/>
  <c r="E717" i="1" a="1"/>
  <c r="E717" i="1" s="1"/>
  <c r="E729" i="1" a="1"/>
  <c r="E729" i="1" s="1"/>
  <c r="S736" i="1"/>
  <c r="C753" i="1" a="1"/>
  <c r="C753" i="1" s="1"/>
  <c r="E758" i="1" a="1"/>
  <c r="E758" i="1" s="1"/>
  <c r="O779" i="1"/>
  <c r="B779" i="1" a="1"/>
  <c r="B779" i="1" s="1"/>
  <c r="L779" i="1"/>
  <c r="M779" i="1"/>
  <c r="K779" i="1"/>
  <c r="J779" i="1"/>
  <c r="H779" i="1" a="1"/>
  <c r="H779" i="1" s="1"/>
  <c r="G779" i="1" a="1"/>
  <c r="G779" i="1" s="1"/>
  <c r="F779" i="1" a="1"/>
  <c r="F779" i="1" s="1"/>
  <c r="E779" i="1" a="1"/>
  <c r="E779" i="1" s="1"/>
  <c r="G787" i="1" a="1"/>
  <c r="G787" i="1" s="1"/>
  <c r="F787" i="1" a="1"/>
  <c r="F787" i="1" s="1"/>
  <c r="M787" i="1"/>
  <c r="J787" i="1"/>
  <c r="I787" i="1"/>
  <c r="H787" i="1" a="1"/>
  <c r="H787" i="1" s="1"/>
  <c r="K787" i="1"/>
  <c r="E787" i="1" a="1"/>
  <c r="E787" i="1" s="1"/>
  <c r="C787" i="1" a="1"/>
  <c r="C787" i="1" s="1"/>
  <c r="F805" i="1" a="1"/>
  <c r="F805" i="1" s="1"/>
  <c r="O809" i="1"/>
  <c r="L814" i="1"/>
  <c r="L816" i="1"/>
  <c r="P835" i="1"/>
  <c r="O837" i="1"/>
  <c r="L849" i="1"/>
  <c r="I852" i="1"/>
  <c r="J855" i="1"/>
  <c r="H855" i="1" a="1"/>
  <c r="H855" i="1" s="1"/>
  <c r="K855" i="1"/>
  <c r="G855" i="1" a="1"/>
  <c r="G855" i="1" s="1"/>
  <c r="F855" i="1" a="1"/>
  <c r="F855" i="1" s="1"/>
  <c r="L855" i="1"/>
  <c r="I855" i="1"/>
  <c r="E855" i="1" a="1"/>
  <c r="E855" i="1" s="1"/>
  <c r="C855" i="1" a="1"/>
  <c r="C855" i="1" s="1"/>
  <c r="G867" i="1" a="1"/>
  <c r="G867" i="1" s="1"/>
  <c r="F867" i="1" a="1"/>
  <c r="F867" i="1" s="1"/>
  <c r="S867" i="1"/>
  <c r="B867" i="1" a="1"/>
  <c r="B867" i="1" s="1"/>
  <c r="P867" i="1"/>
  <c r="L867" i="1"/>
  <c r="K867" i="1"/>
  <c r="J867" i="1"/>
  <c r="E867" i="1" a="1"/>
  <c r="E867" i="1" s="1"/>
  <c r="C867" i="1" a="1"/>
  <c r="C867" i="1" s="1"/>
  <c r="H869" i="1" a="1"/>
  <c r="H869" i="1" s="1"/>
  <c r="G869" i="1" a="1"/>
  <c r="G869" i="1" s="1"/>
  <c r="J869" i="1"/>
  <c r="F869" i="1" a="1"/>
  <c r="F869" i="1" s="1"/>
  <c r="E869" i="1" a="1"/>
  <c r="E869" i="1" s="1"/>
  <c r="O869" i="1"/>
  <c r="M869" i="1"/>
  <c r="L869" i="1"/>
  <c r="K869" i="1"/>
  <c r="I869" i="1"/>
  <c r="G898" i="1" a="1"/>
  <c r="G898" i="1" s="1"/>
  <c r="E31" i="2" a="1"/>
  <c r="E31" i="2" s="1"/>
  <c r="E35" i="2" a="1"/>
  <c r="E35" i="2" s="1"/>
  <c r="Q28" i="3"/>
  <c r="J52" i="3" a="1"/>
  <c r="J52" i="3" s="1"/>
  <c r="AE77" i="3"/>
  <c r="AD77" i="3"/>
  <c r="AB92" i="3"/>
  <c r="Q92" i="3"/>
  <c r="P92" i="3"/>
  <c r="S92" i="3" s="1"/>
  <c r="O171" i="3" a="1"/>
  <c r="O171" i="3" s="1"/>
  <c r="K171" i="3" a="1"/>
  <c r="K171" i="3" s="1"/>
  <c r="M171" i="3" s="1"/>
  <c r="J171" i="3" a="1"/>
  <c r="J171" i="3" s="1"/>
  <c r="V171" i="3" a="1"/>
  <c r="V171" i="3" s="1"/>
  <c r="R171" i="3" a="1"/>
  <c r="R171" i="3" s="1"/>
  <c r="J348" i="3" a="1"/>
  <c r="J348" i="3" s="1"/>
  <c r="P430" i="3"/>
  <c r="S430" i="3" s="1"/>
  <c r="J736" i="3" a="1"/>
  <c r="J736" i="3" s="1"/>
  <c r="J766" i="3" a="1"/>
  <c r="J766" i="3" s="1"/>
  <c r="C142" i="6"/>
  <c r="AC119" i="3"/>
  <c r="AA119" i="3"/>
  <c r="AB257" i="3"/>
  <c r="Q257" i="3"/>
  <c r="P257" i="3"/>
  <c r="S257" i="3" s="1"/>
  <c r="L587" i="1"/>
  <c r="I587" i="1"/>
  <c r="H587" i="1" a="1"/>
  <c r="H587" i="1" s="1"/>
  <c r="P587" i="1"/>
  <c r="O587" i="1"/>
  <c r="M587" i="1"/>
  <c r="K587" i="1"/>
  <c r="J587" i="1"/>
  <c r="G587" i="1" a="1"/>
  <c r="G587" i="1" s="1"/>
  <c r="E716" i="1" a="1"/>
  <c r="E716" i="1" s="1"/>
  <c r="M716" i="1"/>
  <c r="L716" i="1"/>
  <c r="K716" i="1"/>
  <c r="J716" i="1"/>
  <c r="I716" i="1"/>
  <c r="H716" i="1" a="1"/>
  <c r="H716" i="1" s="1"/>
  <c r="J791" i="1"/>
  <c r="H791" i="1" a="1"/>
  <c r="H791" i="1" s="1"/>
  <c r="L791" i="1"/>
  <c r="G791" i="1" a="1"/>
  <c r="G791" i="1" s="1"/>
  <c r="K791" i="1"/>
  <c r="I791" i="1"/>
  <c r="F791" i="1" a="1"/>
  <c r="F791" i="1" s="1"/>
  <c r="E791" i="1" a="1"/>
  <c r="E791" i="1" s="1"/>
  <c r="C791" i="1" a="1"/>
  <c r="C791" i="1" s="1"/>
  <c r="J887" i="1"/>
  <c r="H887" i="1" a="1"/>
  <c r="H887" i="1" s="1"/>
  <c r="L887" i="1"/>
  <c r="G887" i="1" a="1"/>
  <c r="G887" i="1" s="1"/>
  <c r="F887" i="1" a="1"/>
  <c r="F887" i="1" s="1"/>
  <c r="S887" i="1"/>
  <c r="P887" i="1"/>
  <c r="O887" i="1"/>
  <c r="M887" i="1"/>
  <c r="K887" i="1"/>
  <c r="I887" i="1"/>
  <c r="AB41" i="3"/>
  <c r="Q41" i="3"/>
  <c r="P41" i="3"/>
  <c r="Q213" i="3"/>
  <c r="P213" i="3"/>
  <c r="S213" i="3" s="1"/>
  <c r="AB213" i="3"/>
  <c r="H107" i="1" a="1"/>
  <c r="H107" i="1" s="1"/>
  <c r="G107" i="1" a="1"/>
  <c r="G107" i="1" s="1"/>
  <c r="L107" i="1" s="1"/>
  <c r="F107" i="1" a="1"/>
  <c r="F107" i="1" s="1"/>
  <c r="E107" i="1" a="1"/>
  <c r="E107" i="1" s="1"/>
  <c r="I155" i="1"/>
  <c r="K155" i="1" s="1"/>
  <c r="I51" i="1"/>
  <c r="K51" i="1" s="1"/>
  <c r="O76" i="1"/>
  <c r="B77" i="1" a="1"/>
  <c r="B77" i="1" s="1"/>
  <c r="J77" i="1"/>
  <c r="M77" i="1"/>
  <c r="L77" i="1"/>
  <c r="O77" i="1" s="1"/>
  <c r="I77" i="1"/>
  <c r="K77" i="1" s="1"/>
  <c r="I80" i="1"/>
  <c r="C80" i="1" a="1"/>
  <c r="C80" i="1" s="1"/>
  <c r="S80" i="1"/>
  <c r="B80" i="1" a="1"/>
  <c r="B80" i="1" s="1"/>
  <c r="P80" i="1"/>
  <c r="O80" i="1"/>
  <c r="M80" i="1"/>
  <c r="B82" i="1" a="1"/>
  <c r="B82" i="1" s="1"/>
  <c r="P87" i="1"/>
  <c r="O87" i="1"/>
  <c r="H91" i="1" a="1"/>
  <c r="H91" i="1" s="1"/>
  <c r="B91" i="1" a="1"/>
  <c r="B91" i="1" s="1"/>
  <c r="M91" i="1"/>
  <c r="K91" i="1"/>
  <c r="S159" i="1"/>
  <c r="C159" i="1" a="1"/>
  <c r="C159" i="1" s="1"/>
  <c r="L159" i="1"/>
  <c r="P159" i="1" s="1"/>
  <c r="O159" i="1"/>
  <c r="M159" i="1"/>
  <c r="J159" i="1"/>
  <c r="I159" i="1"/>
  <c r="K159" i="1" s="1"/>
  <c r="H159" i="1" a="1"/>
  <c r="H159" i="1" s="1"/>
  <c r="B163" i="1" a="1"/>
  <c r="B163" i="1" s="1"/>
  <c r="B315" i="1" a="1"/>
  <c r="B315" i="1" s="1"/>
  <c r="P326" i="1"/>
  <c r="K326" i="1"/>
  <c r="J326" i="1"/>
  <c r="I326" i="1"/>
  <c r="H326" i="1" a="1"/>
  <c r="H326" i="1" s="1"/>
  <c r="G326" i="1" a="1"/>
  <c r="G326" i="1" s="1"/>
  <c r="F326" i="1" a="1"/>
  <c r="F326" i="1" s="1"/>
  <c r="F371" i="1" a="1"/>
  <c r="F371" i="1" s="1"/>
  <c r="S371" i="1"/>
  <c r="C371" i="1" a="1"/>
  <c r="C371" i="1" s="1"/>
  <c r="P371" i="1"/>
  <c r="O371" i="1"/>
  <c r="M371" i="1"/>
  <c r="L371" i="1"/>
  <c r="K371" i="1"/>
  <c r="J371" i="1"/>
  <c r="I371" i="1"/>
  <c r="B389" i="1" a="1"/>
  <c r="B389" i="1" s="1"/>
  <c r="J393" i="1"/>
  <c r="G393" i="1" a="1"/>
  <c r="G393" i="1" s="1"/>
  <c r="L393" i="1"/>
  <c r="K393" i="1"/>
  <c r="I393" i="1"/>
  <c r="H393" i="1" a="1"/>
  <c r="H393" i="1" s="1"/>
  <c r="F393" i="1" a="1"/>
  <c r="F393" i="1" s="1"/>
  <c r="O568" i="1"/>
  <c r="B568" i="1" a="1"/>
  <c r="B568" i="1" s="1"/>
  <c r="M568" i="1"/>
  <c r="S568" i="1"/>
  <c r="P568" i="1"/>
  <c r="L568" i="1"/>
  <c r="K568" i="1"/>
  <c r="J568" i="1"/>
  <c r="P598" i="1"/>
  <c r="L598" i="1"/>
  <c r="K598" i="1"/>
  <c r="G598" i="1" a="1"/>
  <c r="G598" i="1" s="1"/>
  <c r="F598" i="1" a="1"/>
  <c r="F598" i="1" s="1"/>
  <c r="E598" i="1" a="1"/>
  <c r="E598" i="1" s="1"/>
  <c r="E652" i="1" a="1"/>
  <c r="E652" i="1" s="1"/>
  <c r="K652" i="1"/>
  <c r="J652" i="1"/>
  <c r="I652" i="1"/>
  <c r="H652" i="1" a="1"/>
  <c r="H652" i="1" s="1"/>
  <c r="G652" i="1" a="1"/>
  <c r="G652" i="1" s="1"/>
  <c r="F652" i="1" a="1"/>
  <c r="F652" i="1" s="1"/>
  <c r="P854" i="1"/>
  <c r="K854" i="1"/>
  <c r="O854" i="1"/>
  <c r="J854" i="1"/>
  <c r="I854" i="1"/>
  <c r="H854" i="1" a="1"/>
  <c r="H854" i="1" s="1"/>
  <c r="G854" i="1" a="1"/>
  <c r="G854" i="1" s="1"/>
  <c r="F854" i="1" a="1"/>
  <c r="F854" i="1" s="1"/>
  <c r="E854" i="1" a="1"/>
  <c r="E854" i="1" s="1"/>
  <c r="C854" i="1" a="1"/>
  <c r="C854" i="1" s="1"/>
  <c r="B854" i="1" a="1"/>
  <c r="B854" i="1" s="1"/>
  <c r="C4" i="1" a="1"/>
  <c r="C4" i="1" s="1"/>
  <c r="B6" i="1" a="1"/>
  <c r="B6" i="1" s="1"/>
  <c r="E23" i="1" a="1"/>
  <c r="E23" i="1" s="1"/>
  <c r="B95" i="1" a="1"/>
  <c r="B95" i="1" s="1"/>
  <c r="I150" i="1"/>
  <c r="G181" i="1" a="1"/>
  <c r="G181" i="1" s="1"/>
  <c r="S181" i="1" s="1"/>
  <c r="E181" i="1" a="1"/>
  <c r="E181" i="1" s="1"/>
  <c r="M181" i="1"/>
  <c r="L181" i="1"/>
  <c r="J181" i="1"/>
  <c r="K181" i="1" s="1"/>
  <c r="I181" i="1"/>
  <c r="H181" i="1" a="1"/>
  <c r="H181" i="1" s="1"/>
  <c r="H583" i="1" a="1"/>
  <c r="H583" i="1" s="1"/>
  <c r="F583" i="1" a="1"/>
  <c r="F583" i="1" s="1"/>
  <c r="M583" i="1"/>
  <c r="L583" i="1"/>
  <c r="K583" i="1"/>
  <c r="J583" i="1"/>
  <c r="I583" i="1"/>
  <c r="G583" i="1" a="1"/>
  <c r="G583" i="1" s="1"/>
  <c r="F707" i="1" a="1"/>
  <c r="F707" i="1" s="1"/>
  <c r="S707" i="1"/>
  <c r="C707" i="1" a="1"/>
  <c r="C707" i="1" s="1"/>
  <c r="M707" i="1"/>
  <c r="L707" i="1"/>
  <c r="K707" i="1"/>
  <c r="J707" i="1"/>
  <c r="I707" i="1"/>
  <c r="H707" i="1" a="1"/>
  <c r="H707" i="1" s="1"/>
  <c r="Q34" i="3"/>
  <c r="P34" i="3"/>
  <c r="S34" i="3" s="1"/>
  <c r="AB34" i="3"/>
  <c r="AC111" i="3"/>
  <c r="AA111" i="3"/>
  <c r="P321" i="3"/>
  <c r="I126" i="1"/>
  <c r="J156" i="1"/>
  <c r="K156" i="1" s="1"/>
  <c r="I156" i="1"/>
  <c r="H156" i="1" a="1"/>
  <c r="H156" i="1" s="1"/>
  <c r="B160" i="1" a="1"/>
  <c r="B160" i="1" s="1"/>
  <c r="C162" i="1" a="1"/>
  <c r="C162" i="1" s="1"/>
  <c r="P166" i="1"/>
  <c r="K166" i="1"/>
  <c r="S166" i="1"/>
  <c r="O166" i="1"/>
  <c r="M166" i="1"/>
  <c r="L166" i="1"/>
  <c r="J166" i="1"/>
  <c r="I166" i="1"/>
  <c r="G3" i="1" a="1"/>
  <c r="G3" i="1" s="1"/>
  <c r="L3" i="1" s="1"/>
  <c r="F6" i="1" a="1"/>
  <c r="F6" i="1" s="1"/>
  <c r="G29" i="1" a="1"/>
  <c r="G29" i="1" s="1"/>
  <c r="S52" i="1"/>
  <c r="C52" i="1" a="1"/>
  <c r="C52" i="1" s="1"/>
  <c r="B52" i="1" a="1"/>
  <c r="B52" i="1" s="1"/>
  <c r="M52" i="1"/>
  <c r="L52" i="1"/>
  <c r="O52" i="1" s="1"/>
  <c r="K52" i="1"/>
  <c r="B75" i="1" a="1"/>
  <c r="B75" i="1" s="1"/>
  <c r="E77" i="1" a="1"/>
  <c r="E77" i="1" s="1"/>
  <c r="F80" i="1" a="1"/>
  <c r="F80" i="1" s="1"/>
  <c r="M82" i="1"/>
  <c r="M84" i="1"/>
  <c r="I84" i="1"/>
  <c r="S84" i="1"/>
  <c r="B84" i="1" a="1"/>
  <c r="B84" i="1" s="1"/>
  <c r="L84" i="1"/>
  <c r="P84" i="1" s="1"/>
  <c r="K84" i="1"/>
  <c r="F92" i="1" a="1"/>
  <c r="F92" i="1" s="1"/>
  <c r="M100" i="1"/>
  <c r="I100" i="1"/>
  <c r="K100" i="1" s="1"/>
  <c r="G100" i="1" a="1"/>
  <c r="G100" i="1" s="1"/>
  <c r="F100" i="1" a="1"/>
  <c r="F100" i="1" s="1"/>
  <c r="E100" i="1" a="1"/>
  <c r="E100" i="1" s="1"/>
  <c r="K114" i="1"/>
  <c r="H114" i="1" a="1"/>
  <c r="H114" i="1" s="1"/>
  <c r="G114" i="1" a="1"/>
  <c r="G114" i="1" s="1"/>
  <c r="F114" i="1" a="1"/>
  <c r="F114" i="1" s="1"/>
  <c r="E114" i="1" a="1"/>
  <c r="E114" i="1" s="1"/>
  <c r="E116" i="1" a="1"/>
  <c r="E116" i="1" s="1"/>
  <c r="S140" i="1"/>
  <c r="C145" i="1" a="1"/>
  <c r="C145" i="1" s="1"/>
  <c r="I240" i="1"/>
  <c r="S240" i="1"/>
  <c r="B240" i="1" a="1"/>
  <c r="B240" i="1" s="1"/>
  <c r="P240" i="1"/>
  <c r="O240" i="1"/>
  <c r="M240" i="1"/>
  <c r="L240" i="1"/>
  <c r="K240" i="1"/>
  <c r="F268" i="1" a="1"/>
  <c r="F268" i="1" s="1"/>
  <c r="E273" i="1" a="1"/>
  <c r="E273" i="1" s="1"/>
  <c r="O273" i="1"/>
  <c r="B273" i="1" a="1"/>
  <c r="B273" i="1" s="1"/>
  <c r="K273" i="1"/>
  <c r="J273" i="1"/>
  <c r="I273" i="1"/>
  <c r="H273" i="1" a="1"/>
  <c r="H273" i="1" s="1"/>
  <c r="G273" i="1" a="1"/>
  <c r="G273" i="1" s="1"/>
  <c r="G279" i="1" a="1"/>
  <c r="G279" i="1" s="1"/>
  <c r="E339" i="1" a="1"/>
  <c r="E339" i="1" s="1"/>
  <c r="L379" i="1"/>
  <c r="H379" i="1" a="1"/>
  <c r="H379" i="1" s="1"/>
  <c r="J379" i="1"/>
  <c r="I379" i="1"/>
  <c r="G379" i="1" a="1"/>
  <c r="G379" i="1" s="1"/>
  <c r="F379" i="1" a="1"/>
  <c r="F379" i="1" s="1"/>
  <c r="G417" i="1" a="1"/>
  <c r="G417" i="1" s="1"/>
  <c r="I464" i="1"/>
  <c r="G464" i="1" a="1"/>
  <c r="G464" i="1" s="1"/>
  <c r="J464" i="1"/>
  <c r="H464" i="1" a="1"/>
  <c r="H464" i="1" s="1"/>
  <c r="F464" i="1" a="1"/>
  <c r="F464" i="1" s="1"/>
  <c r="E464" i="1" a="1"/>
  <c r="E464" i="1" s="1"/>
  <c r="J473" i="1"/>
  <c r="G473" i="1" a="1"/>
  <c r="G473" i="1" s="1"/>
  <c r="M473" i="1"/>
  <c r="L473" i="1"/>
  <c r="K473" i="1"/>
  <c r="I473" i="1"/>
  <c r="H473" i="1" a="1"/>
  <c r="H473" i="1" s="1"/>
  <c r="F473" i="1" a="1"/>
  <c r="F473" i="1" s="1"/>
  <c r="H508" i="1" a="1"/>
  <c r="H508" i="1" s="1"/>
  <c r="H8" i="1" a="1"/>
  <c r="H8" i="1" s="1"/>
  <c r="I5" i="1"/>
  <c r="K5" i="1" s="1"/>
  <c r="I8" i="1"/>
  <c r="K8" i="1" s="1"/>
  <c r="S18" i="1"/>
  <c r="I20" i="1"/>
  <c r="S23" i="1"/>
  <c r="S25" i="1"/>
  <c r="G27" i="1" a="1"/>
  <c r="G27" i="1" s="1"/>
  <c r="S27" i="1" s="1"/>
  <c r="H29" i="1" a="1"/>
  <c r="H29" i="1" s="1"/>
  <c r="L30" i="1"/>
  <c r="P30" i="1" s="1"/>
  <c r="F32" i="1" a="1"/>
  <c r="F32" i="1" s="1"/>
  <c r="C50" i="1" a="1"/>
  <c r="C50" i="1" s="1"/>
  <c r="B53" i="1" a="1"/>
  <c r="B53" i="1" s="1"/>
  <c r="C57" i="1" a="1"/>
  <c r="C57" i="1" s="1"/>
  <c r="B85" i="1" a="1"/>
  <c r="B85" i="1" s="1"/>
  <c r="C13" i="1" a="1"/>
  <c r="C13" i="1" s="1"/>
  <c r="S13" i="1"/>
  <c r="B13" i="1" a="1"/>
  <c r="B13" i="1" s="1"/>
  <c r="M13" i="1"/>
  <c r="L13" i="1"/>
  <c r="O13" i="1" s="1"/>
  <c r="J20" i="1"/>
  <c r="K20" i="1" s="1"/>
  <c r="I29" i="1"/>
  <c r="M30" i="1"/>
  <c r="I31" i="1"/>
  <c r="K31" i="1" s="1"/>
  <c r="G34" i="1" a="1"/>
  <c r="G34" i="1" s="1"/>
  <c r="S34" i="1" s="1"/>
  <c r="J37" i="1"/>
  <c r="I38" i="1"/>
  <c r="G41" i="1" a="1"/>
  <c r="G41" i="1" s="1"/>
  <c r="S41" i="1" s="1"/>
  <c r="E43" i="1" a="1"/>
  <c r="E43" i="1" s="1"/>
  <c r="F45" i="1" a="1"/>
  <c r="F45" i="1" s="1"/>
  <c r="E46" i="1" a="1"/>
  <c r="E46" i="1" s="1"/>
  <c r="C48" i="1" a="1"/>
  <c r="C48" i="1" s="1"/>
  <c r="F54" i="1" a="1"/>
  <c r="F54" i="1" s="1"/>
  <c r="B63" i="1" a="1"/>
  <c r="B63" i="1" s="1"/>
  <c r="C64" i="1" a="1"/>
  <c r="C64" i="1" s="1"/>
  <c r="G67" i="1" a="1"/>
  <c r="G67" i="1" s="1"/>
  <c r="B71" i="1" a="1"/>
  <c r="B71" i="1" s="1"/>
  <c r="E73" i="1" a="1"/>
  <c r="E73" i="1" s="1"/>
  <c r="H80" i="1" a="1"/>
  <c r="H80" i="1" s="1"/>
  <c r="F88" i="1" a="1"/>
  <c r="F88" i="1" s="1"/>
  <c r="L89" i="1"/>
  <c r="I90" i="1"/>
  <c r="K90" i="1" s="1"/>
  <c r="G91" i="1" a="1"/>
  <c r="G91" i="1" s="1"/>
  <c r="L91" i="1" s="1"/>
  <c r="B100" i="1" a="1"/>
  <c r="B100" i="1" s="1"/>
  <c r="L103" i="1"/>
  <c r="I105" i="1"/>
  <c r="K105" i="1" s="1"/>
  <c r="B109" i="1" a="1"/>
  <c r="B109" i="1" s="1"/>
  <c r="J109" i="1"/>
  <c r="S109" i="1"/>
  <c r="M109" i="1"/>
  <c r="L109" i="1"/>
  <c r="O109" i="1" s="1"/>
  <c r="I109" i="1"/>
  <c r="K109" i="1" s="1"/>
  <c r="I112" i="1"/>
  <c r="K112" i="1" s="1"/>
  <c r="C112" i="1" a="1"/>
  <c r="C112" i="1" s="1"/>
  <c r="S112" i="1"/>
  <c r="B112" i="1" a="1"/>
  <c r="B112" i="1" s="1"/>
  <c r="P112" i="1"/>
  <c r="O112" i="1"/>
  <c r="M112" i="1"/>
  <c r="B114" i="1" a="1"/>
  <c r="B114" i="1" s="1"/>
  <c r="M117" i="1"/>
  <c r="L123" i="1"/>
  <c r="H123" i="1" a="1"/>
  <c r="H123" i="1" s="1"/>
  <c r="S123" i="1"/>
  <c r="B123" i="1" a="1"/>
  <c r="B123" i="1" s="1"/>
  <c r="P123" i="1"/>
  <c r="O123" i="1"/>
  <c r="M123" i="1"/>
  <c r="E131" i="1" a="1"/>
  <c r="E131" i="1" s="1"/>
  <c r="K132" i="1"/>
  <c r="F145" i="1" a="1"/>
  <c r="F145" i="1" s="1"/>
  <c r="G149" i="1" a="1"/>
  <c r="G149" i="1" s="1"/>
  <c r="S149" i="1" s="1"/>
  <c r="E149" i="1" a="1"/>
  <c r="E149" i="1" s="1"/>
  <c r="J149" i="1"/>
  <c r="K149" i="1" s="1"/>
  <c r="I149" i="1"/>
  <c r="H149" i="1" a="1"/>
  <c r="H149" i="1" s="1"/>
  <c r="C153" i="1" a="1"/>
  <c r="C153" i="1" s="1"/>
  <c r="F156" i="1" a="1"/>
  <c r="F156" i="1" s="1"/>
  <c r="M164" i="1"/>
  <c r="I164" i="1"/>
  <c r="G164" i="1" a="1"/>
  <c r="G164" i="1" s="1"/>
  <c r="F164" i="1" a="1"/>
  <c r="F164" i="1" s="1"/>
  <c r="E164" i="1" a="1"/>
  <c r="E164" i="1" s="1"/>
  <c r="E167" i="1" a="1"/>
  <c r="E167" i="1" s="1"/>
  <c r="K171" i="1"/>
  <c r="H173" i="1" a="1"/>
  <c r="H173" i="1" s="1"/>
  <c r="E177" i="1" a="1"/>
  <c r="E177" i="1" s="1"/>
  <c r="B177" i="1" a="1"/>
  <c r="B177" i="1" s="1"/>
  <c r="P177" i="1"/>
  <c r="M177" i="1"/>
  <c r="L177" i="1"/>
  <c r="O177" i="1" s="1"/>
  <c r="J177" i="1"/>
  <c r="K177" i="1" s="1"/>
  <c r="I177" i="1"/>
  <c r="H177" i="1" a="1"/>
  <c r="H177" i="1" s="1"/>
  <c r="F181" i="1" a="1"/>
  <c r="F181" i="1" s="1"/>
  <c r="E188" i="1" a="1"/>
  <c r="E188" i="1" s="1"/>
  <c r="I192" i="1"/>
  <c r="J192" i="1"/>
  <c r="K192" i="1" s="1"/>
  <c r="H192" i="1" a="1"/>
  <c r="H192" i="1" s="1"/>
  <c r="G192" i="1" a="1"/>
  <c r="G192" i="1" s="1"/>
  <c r="F192" i="1" a="1"/>
  <c r="F192" i="1" s="1"/>
  <c r="J196" i="1"/>
  <c r="H212" i="1" a="1"/>
  <c r="H212" i="1" s="1"/>
  <c r="B217" i="1" a="1"/>
  <c r="B217" i="1" s="1"/>
  <c r="E220" i="1" a="1"/>
  <c r="E220" i="1" s="1"/>
  <c r="B230" i="1" a="1"/>
  <c r="B230" i="1" s="1"/>
  <c r="C237" i="1" a="1"/>
  <c r="C237" i="1" s="1"/>
  <c r="C241" i="1" a="1"/>
  <c r="C241" i="1" s="1"/>
  <c r="E252" i="1" a="1"/>
  <c r="E252" i="1" s="1"/>
  <c r="H268" i="1" a="1"/>
  <c r="H268" i="1" s="1"/>
  <c r="S269" i="1"/>
  <c r="I272" i="1"/>
  <c r="S272" i="1"/>
  <c r="B272" i="1" a="1"/>
  <c r="B272" i="1" s="1"/>
  <c r="P272" i="1"/>
  <c r="O272" i="1"/>
  <c r="M272" i="1"/>
  <c r="L272" i="1"/>
  <c r="K272" i="1"/>
  <c r="J272" i="1"/>
  <c r="M277" i="1"/>
  <c r="J279" i="1"/>
  <c r="M280" i="1"/>
  <c r="L280" i="1"/>
  <c r="K280" i="1"/>
  <c r="J280" i="1"/>
  <c r="I280" i="1"/>
  <c r="H280" i="1" a="1"/>
  <c r="H280" i="1" s="1"/>
  <c r="G280" i="1" a="1"/>
  <c r="G280" i="1" s="1"/>
  <c r="P283" i="1"/>
  <c r="H311" i="1" a="1"/>
  <c r="H311" i="1" s="1"/>
  <c r="F311" i="1" a="1"/>
  <c r="F311" i="1" s="1"/>
  <c r="P311" i="1"/>
  <c r="O311" i="1"/>
  <c r="M311" i="1"/>
  <c r="L311" i="1"/>
  <c r="K311" i="1"/>
  <c r="J311" i="1"/>
  <c r="I311" i="1"/>
  <c r="K319" i="1"/>
  <c r="H321" i="1" a="1"/>
  <c r="H321" i="1" s="1"/>
  <c r="S322" i="1"/>
  <c r="L326" i="1"/>
  <c r="S335" i="1"/>
  <c r="C335" i="1" a="1"/>
  <c r="C335" i="1" s="1"/>
  <c r="L335" i="1"/>
  <c r="B335" i="1" a="1"/>
  <c r="B335" i="1" s="1"/>
  <c r="P335" i="1"/>
  <c r="O335" i="1"/>
  <c r="M335" i="1"/>
  <c r="K335" i="1"/>
  <c r="J335" i="1"/>
  <c r="G339" i="1" a="1"/>
  <c r="G339" i="1" s="1"/>
  <c r="B344" i="1" a="1"/>
  <c r="B344" i="1" s="1"/>
  <c r="O354" i="1"/>
  <c r="G357" i="1" a="1"/>
  <c r="G357" i="1" s="1"/>
  <c r="E357" i="1" a="1"/>
  <c r="E357" i="1" s="1"/>
  <c r="P357" i="1"/>
  <c r="O357" i="1"/>
  <c r="M357" i="1"/>
  <c r="L357" i="1"/>
  <c r="K357" i="1"/>
  <c r="J357" i="1"/>
  <c r="I357" i="1"/>
  <c r="G364" i="1" a="1"/>
  <c r="G364" i="1" s="1"/>
  <c r="S365" i="1"/>
  <c r="S372" i="1"/>
  <c r="H375" i="1" a="1"/>
  <c r="H375" i="1" s="1"/>
  <c r="F375" i="1" a="1"/>
  <c r="F375" i="1" s="1"/>
  <c r="O375" i="1"/>
  <c r="M375" i="1"/>
  <c r="L375" i="1"/>
  <c r="K375" i="1"/>
  <c r="J375" i="1"/>
  <c r="I375" i="1"/>
  <c r="M386" i="1"/>
  <c r="M393" i="1"/>
  <c r="F403" i="1" a="1"/>
  <c r="F403" i="1" s="1"/>
  <c r="S403" i="1"/>
  <c r="C403" i="1" a="1"/>
  <c r="C403" i="1" s="1"/>
  <c r="O403" i="1"/>
  <c r="M403" i="1"/>
  <c r="L403" i="1"/>
  <c r="K403" i="1"/>
  <c r="J403" i="1"/>
  <c r="I403" i="1"/>
  <c r="H403" i="1" a="1"/>
  <c r="H403" i="1" s="1"/>
  <c r="M411" i="1"/>
  <c r="G413" i="1" a="1"/>
  <c r="G413" i="1" s="1"/>
  <c r="K418" i="1"/>
  <c r="J418" i="1"/>
  <c r="I418" i="1"/>
  <c r="H418" i="1" a="1"/>
  <c r="H418" i="1" s="1"/>
  <c r="G418" i="1" a="1"/>
  <c r="G418" i="1" s="1"/>
  <c r="F418" i="1" a="1"/>
  <c r="F418" i="1" s="1"/>
  <c r="B427" i="1" a="1"/>
  <c r="B427" i="1" s="1"/>
  <c r="B431" i="1" a="1"/>
  <c r="B431" i="1" s="1"/>
  <c r="M436" i="1"/>
  <c r="J436" i="1"/>
  <c r="I436" i="1"/>
  <c r="L436" i="1"/>
  <c r="K436" i="1"/>
  <c r="H436" i="1" a="1"/>
  <c r="H436" i="1" s="1"/>
  <c r="G436" i="1" a="1"/>
  <c r="G436" i="1" s="1"/>
  <c r="F436" i="1" a="1"/>
  <c r="F436" i="1" s="1"/>
  <c r="E441" i="1" a="1"/>
  <c r="E441" i="1" s="1"/>
  <c r="H444" i="1" a="1"/>
  <c r="H444" i="1" s="1"/>
  <c r="O445" i="1"/>
  <c r="B445" i="1" a="1"/>
  <c r="B445" i="1" s="1"/>
  <c r="K445" i="1"/>
  <c r="J445" i="1"/>
  <c r="L445" i="1"/>
  <c r="I445" i="1"/>
  <c r="H445" i="1" a="1"/>
  <c r="H445" i="1" s="1"/>
  <c r="G445" i="1" a="1"/>
  <c r="G445" i="1" s="1"/>
  <c r="F445" i="1" a="1"/>
  <c r="F445" i="1" s="1"/>
  <c r="I448" i="1"/>
  <c r="G448" i="1" a="1"/>
  <c r="G448" i="1" s="1"/>
  <c r="B448" i="1" a="1"/>
  <c r="B448" i="1" s="1"/>
  <c r="S448" i="1"/>
  <c r="P448" i="1"/>
  <c r="O448" i="1"/>
  <c r="M448" i="1"/>
  <c r="L448" i="1"/>
  <c r="F454" i="1" a="1"/>
  <c r="F454" i="1" s="1"/>
  <c r="S463" i="1"/>
  <c r="C463" i="1" a="1"/>
  <c r="C463" i="1" s="1"/>
  <c r="M463" i="1"/>
  <c r="L463" i="1"/>
  <c r="K463" i="1"/>
  <c r="J463" i="1"/>
  <c r="I463" i="1"/>
  <c r="H463" i="1" a="1"/>
  <c r="H463" i="1" s="1"/>
  <c r="G463" i="1" a="1"/>
  <c r="G463" i="1" s="1"/>
  <c r="S468" i="1"/>
  <c r="O472" i="1"/>
  <c r="B472" i="1" a="1"/>
  <c r="B472" i="1" s="1"/>
  <c r="M472" i="1"/>
  <c r="S472" i="1"/>
  <c r="P472" i="1"/>
  <c r="L472" i="1"/>
  <c r="K472" i="1"/>
  <c r="J472" i="1"/>
  <c r="I472" i="1"/>
  <c r="K482" i="1"/>
  <c r="H482" i="1" a="1"/>
  <c r="H482" i="1" s="1"/>
  <c r="L482" i="1"/>
  <c r="J482" i="1"/>
  <c r="I482" i="1"/>
  <c r="G482" i="1" a="1"/>
  <c r="G482" i="1" s="1"/>
  <c r="F482" i="1" a="1"/>
  <c r="F482" i="1" s="1"/>
  <c r="M491" i="1"/>
  <c r="O496" i="1"/>
  <c r="B500" i="1" a="1"/>
  <c r="B500" i="1" s="1"/>
  <c r="O505" i="1"/>
  <c r="L515" i="1"/>
  <c r="B537" i="1" a="1"/>
  <c r="B537" i="1" s="1"/>
  <c r="C540" i="1" a="1"/>
  <c r="C540" i="1" s="1"/>
  <c r="G545" i="1" a="1"/>
  <c r="G545" i="1" s="1"/>
  <c r="B551" i="1" a="1"/>
  <c r="B551" i="1" s="1"/>
  <c r="K552" i="1"/>
  <c r="C555" i="1" a="1"/>
  <c r="C555" i="1" s="1"/>
  <c r="E559" i="1" a="1"/>
  <c r="E559" i="1" s="1"/>
  <c r="P560" i="1"/>
  <c r="E563" i="1" a="1"/>
  <c r="E563" i="1" s="1"/>
  <c r="G568" i="1" a="1"/>
  <c r="G568" i="1" s="1"/>
  <c r="J572" i="1"/>
  <c r="O573" i="1"/>
  <c r="B573" i="1" a="1"/>
  <c r="B573" i="1" s="1"/>
  <c r="K573" i="1"/>
  <c r="J573" i="1"/>
  <c r="P573" i="1"/>
  <c r="M573" i="1"/>
  <c r="L573" i="1"/>
  <c r="I573" i="1"/>
  <c r="H573" i="1" a="1"/>
  <c r="H573" i="1" s="1"/>
  <c r="G573" i="1" a="1"/>
  <c r="G573" i="1" s="1"/>
  <c r="E577" i="1" a="1"/>
  <c r="E577" i="1" s="1"/>
  <c r="P577" i="1"/>
  <c r="O577" i="1"/>
  <c r="B577" i="1" a="1"/>
  <c r="B577" i="1" s="1"/>
  <c r="S577" i="1"/>
  <c r="M577" i="1"/>
  <c r="L577" i="1"/>
  <c r="K577" i="1"/>
  <c r="J577" i="1"/>
  <c r="C582" i="1" a="1"/>
  <c r="C582" i="1" s="1"/>
  <c r="E583" i="1" a="1"/>
  <c r="E583" i="1" s="1"/>
  <c r="S587" i="1"/>
  <c r="E588" i="1" a="1"/>
  <c r="E588" i="1" s="1"/>
  <c r="K588" i="1"/>
  <c r="J588" i="1"/>
  <c r="I588" i="1"/>
  <c r="H588" i="1" a="1"/>
  <c r="H588" i="1" s="1"/>
  <c r="G588" i="1" a="1"/>
  <c r="G588" i="1" s="1"/>
  <c r="F588" i="1" a="1"/>
  <c r="F588" i="1" s="1"/>
  <c r="J598" i="1"/>
  <c r="E605" i="1" a="1"/>
  <c r="E605" i="1" s="1"/>
  <c r="G614" i="1" a="1"/>
  <c r="G614" i="1" s="1"/>
  <c r="L619" i="1"/>
  <c r="I619" i="1"/>
  <c r="H619" i="1" a="1"/>
  <c r="H619" i="1" s="1"/>
  <c r="P619" i="1"/>
  <c r="O619" i="1"/>
  <c r="M619" i="1"/>
  <c r="K619" i="1"/>
  <c r="J619" i="1"/>
  <c r="G619" i="1" a="1"/>
  <c r="G619" i="1" s="1"/>
  <c r="O643" i="1"/>
  <c r="K648" i="1"/>
  <c r="C651" i="1" a="1"/>
  <c r="C651" i="1" s="1"/>
  <c r="M652" i="1"/>
  <c r="F655" i="1" a="1"/>
  <c r="F655" i="1" s="1"/>
  <c r="S656" i="1"/>
  <c r="C660" i="1" a="1"/>
  <c r="C660" i="1" s="1"/>
  <c r="B662" i="1" a="1"/>
  <c r="B662" i="1" s="1"/>
  <c r="C669" i="1" a="1"/>
  <c r="C669" i="1" s="1"/>
  <c r="B671" i="1" a="1"/>
  <c r="B671" i="1" s="1"/>
  <c r="F674" i="1" a="1"/>
  <c r="F674" i="1" s="1"/>
  <c r="E680" i="1" a="1"/>
  <c r="E680" i="1" s="1"/>
  <c r="C689" i="1" a="1"/>
  <c r="C689" i="1" s="1"/>
  <c r="J694" i="1"/>
  <c r="L713" i="1"/>
  <c r="F715" i="1" a="1"/>
  <c r="F715" i="1" s="1"/>
  <c r="S716" i="1"/>
  <c r="I720" i="1"/>
  <c r="G720" i="1" a="1"/>
  <c r="G720" i="1" s="1"/>
  <c r="P720" i="1"/>
  <c r="O720" i="1"/>
  <c r="M720" i="1"/>
  <c r="L720" i="1"/>
  <c r="K720" i="1"/>
  <c r="J720" i="1"/>
  <c r="H720" i="1" a="1"/>
  <c r="H720" i="1" s="1"/>
  <c r="E735" i="1" a="1"/>
  <c r="E735" i="1" s="1"/>
  <c r="F742" i="1" a="1"/>
  <c r="F742" i="1" s="1"/>
  <c r="L753" i="1"/>
  <c r="J759" i="1"/>
  <c r="H759" i="1" a="1"/>
  <c r="H759" i="1" s="1"/>
  <c r="L759" i="1"/>
  <c r="G759" i="1" a="1"/>
  <c r="G759" i="1" s="1"/>
  <c r="S759" i="1"/>
  <c r="P759" i="1"/>
  <c r="O759" i="1"/>
  <c r="M759" i="1"/>
  <c r="K759" i="1"/>
  <c r="I759" i="1"/>
  <c r="F759" i="1" a="1"/>
  <c r="F759" i="1" s="1"/>
  <c r="I786" i="1"/>
  <c r="B788" i="1" a="1"/>
  <c r="B788" i="1" s="1"/>
  <c r="H789" i="1" a="1"/>
  <c r="H789" i="1" s="1"/>
  <c r="G789" i="1" a="1"/>
  <c r="G789" i="1" s="1"/>
  <c r="C789" i="1" a="1"/>
  <c r="C789" i="1" s="1"/>
  <c r="S789" i="1"/>
  <c r="B789" i="1" a="1"/>
  <c r="B789" i="1" s="1"/>
  <c r="L789" i="1"/>
  <c r="K789" i="1"/>
  <c r="J789" i="1"/>
  <c r="I789" i="1"/>
  <c r="F789" i="1" a="1"/>
  <c r="F789" i="1" s="1"/>
  <c r="S791" i="1"/>
  <c r="B801" i="1" a="1"/>
  <c r="B801" i="1" s="1"/>
  <c r="E804" i="1" a="1"/>
  <c r="E804" i="1" s="1"/>
  <c r="F807" i="1" a="1"/>
  <c r="F807" i="1" s="1"/>
  <c r="M816" i="1"/>
  <c r="E830" i="1" a="1"/>
  <c r="E830" i="1" s="1"/>
  <c r="F833" i="1" a="1"/>
  <c r="F833" i="1" s="1"/>
  <c r="E833" i="1" a="1"/>
  <c r="E833" i="1" s="1"/>
  <c r="O833" i="1"/>
  <c r="K833" i="1"/>
  <c r="J833" i="1"/>
  <c r="I833" i="1"/>
  <c r="L833" i="1"/>
  <c r="H833" i="1" a="1"/>
  <c r="H833" i="1" s="1"/>
  <c r="G833" i="1" a="1"/>
  <c r="G833" i="1" s="1"/>
  <c r="M849" i="1"/>
  <c r="C864" i="1" a="1"/>
  <c r="C864" i="1" s="1"/>
  <c r="E887" i="1" a="1"/>
  <c r="E887" i="1" s="1"/>
  <c r="D46" i="2" a="1"/>
  <c r="D46" i="2" s="1"/>
  <c r="R65" i="3" a="1"/>
  <c r="R65" i="3" s="1"/>
  <c r="O65" i="3" a="1"/>
  <c r="O65" i="3" s="1"/>
  <c r="V65" i="3" a="1"/>
  <c r="V65" i="3" s="1"/>
  <c r="K65" i="3" a="1"/>
  <c r="K65" i="3" s="1"/>
  <c r="M65" i="3" s="1"/>
  <c r="AE89" i="3"/>
  <c r="AD89" i="3"/>
  <c r="O287" i="3" a="1"/>
  <c r="O287" i="3" s="1"/>
  <c r="J375" i="3" a="1"/>
  <c r="J375" i="3" s="1"/>
  <c r="P433" i="3"/>
  <c r="S433" i="3" s="1"/>
  <c r="AB433" i="3"/>
  <c r="K542" i="3" a="1"/>
  <c r="K542" i="3" s="1"/>
  <c r="M542" i="3" s="1"/>
  <c r="C108" i="6"/>
  <c r="B108" i="6"/>
  <c r="D108" i="6" s="1"/>
  <c r="E108" i="6" s="1"/>
  <c r="K544" i="3" a="1"/>
  <c r="K544" i="3" s="1"/>
  <c r="M544" i="3" s="1"/>
  <c r="K536" i="3" a="1"/>
  <c r="K536" i="3" s="1"/>
  <c r="M536" i="3" s="1"/>
  <c r="K371" i="3" a="1"/>
  <c r="K371" i="3" s="1"/>
  <c r="M371" i="3" s="1"/>
  <c r="J719" i="3" a="1"/>
  <c r="J719" i="3" s="1"/>
  <c r="J480" i="3" a="1"/>
  <c r="J480" i="3" s="1"/>
  <c r="K368" i="3" a="1"/>
  <c r="K368" i="3" s="1"/>
  <c r="M368" i="3" s="1"/>
  <c r="O21" i="3" a="1"/>
  <c r="O21" i="3" s="1"/>
  <c r="V680" i="3" a="1"/>
  <c r="V680" i="3" s="1"/>
  <c r="R584" i="3" a="1"/>
  <c r="R584" i="3" s="1"/>
  <c r="V566" i="3" a="1"/>
  <c r="V566" i="3" s="1"/>
  <c r="V350" i="3" a="1"/>
  <c r="V350" i="3" s="1"/>
  <c r="B23" i="1" a="1"/>
  <c r="B23" i="1" s="1"/>
  <c r="C95" i="1" a="1"/>
  <c r="C95" i="1" s="1"/>
  <c r="M95" i="1"/>
  <c r="J95" i="1"/>
  <c r="K95" i="1" s="1"/>
  <c r="I95" i="1"/>
  <c r="H95" i="1" a="1"/>
  <c r="H95" i="1" s="1"/>
  <c r="S399" i="1"/>
  <c r="C399" i="1" a="1"/>
  <c r="C399" i="1" s="1"/>
  <c r="L399" i="1"/>
  <c r="B399" i="1" a="1"/>
  <c r="B399" i="1" s="1"/>
  <c r="P399" i="1"/>
  <c r="O399" i="1"/>
  <c r="M399" i="1"/>
  <c r="K399" i="1"/>
  <c r="J399" i="1"/>
  <c r="I399" i="1"/>
  <c r="E481" i="1" a="1"/>
  <c r="E481" i="1" s="1"/>
  <c r="P481" i="1"/>
  <c r="O481" i="1"/>
  <c r="B481" i="1" a="1"/>
  <c r="B481" i="1" s="1"/>
  <c r="S481" i="1"/>
  <c r="M481" i="1"/>
  <c r="L481" i="1"/>
  <c r="K481" i="1"/>
  <c r="J481" i="1"/>
  <c r="I481" i="1"/>
  <c r="H481" i="1" a="1"/>
  <c r="H481" i="1" s="1"/>
  <c r="H519" i="1" a="1"/>
  <c r="H519" i="1" s="1"/>
  <c r="F519" i="1" a="1"/>
  <c r="F519" i="1" s="1"/>
  <c r="L519" i="1"/>
  <c r="K519" i="1"/>
  <c r="J519" i="1"/>
  <c r="I519" i="1"/>
  <c r="G519" i="1" a="1"/>
  <c r="G519" i="1" s="1"/>
  <c r="J569" i="1"/>
  <c r="G569" i="1" a="1"/>
  <c r="G569" i="1" s="1"/>
  <c r="O569" i="1"/>
  <c r="M569" i="1"/>
  <c r="L569" i="1"/>
  <c r="K569" i="1"/>
  <c r="I569" i="1"/>
  <c r="H569" i="1" a="1"/>
  <c r="H569" i="1" s="1"/>
  <c r="M708" i="1"/>
  <c r="J708" i="1"/>
  <c r="I708" i="1"/>
  <c r="H708" i="1" a="1"/>
  <c r="H708" i="1" s="1"/>
  <c r="G708" i="1" a="1"/>
  <c r="G708" i="1" s="1"/>
  <c r="F708" i="1" a="1"/>
  <c r="F708" i="1" s="1"/>
  <c r="E708" i="1" a="1"/>
  <c r="E708" i="1" s="1"/>
  <c r="M802" i="1"/>
  <c r="K802" i="1"/>
  <c r="H802" i="1" a="1"/>
  <c r="H802" i="1" s="1"/>
  <c r="F802" i="1" a="1"/>
  <c r="F802" i="1" s="1"/>
  <c r="S802" i="1"/>
  <c r="P802" i="1"/>
  <c r="O802" i="1"/>
  <c r="L802" i="1"/>
  <c r="J802" i="1"/>
  <c r="I802" i="1"/>
  <c r="Q58" i="3"/>
  <c r="P58" i="3"/>
  <c r="S58" i="3" s="1"/>
  <c r="AB58" i="3"/>
  <c r="AB199" i="3"/>
  <c r="Q199" i="3"/>
  <c r="P199" i="3"/>
  <c r="S199" i="3" s="1"/>
  <c r="K162" i="1"/>
  <c r="S162" i="1"/>
  <c r="B162" i="1" a="1"/>
  <c r="B162" i="1" s="1"/>
  <c r="M162" i="1"/>
  <c r="L162" i="1"/>
  <c r="P162" i="1" s="1"/>
  <c r="F435" i="1" a="1"/>
  <c r="F435" i="1" s="1"/>
  <c r="S435" i="1"/>
  <c r="C435" i="1" a="1"/>
  <c r="C435" i="1" s="1"/>
  <c r="P435" i="1"/>
  <c r="O435" i="1"/>
  <c r="M435" i="1"/>
  <c r="L435" i="1"/>
  <c r="K435" i="1"/>
  <c r="J435" i="1"/>
  <c r="I435" i="1"/>
  <c r="J697" i="1"/>
  <c r="G697" i="1" a="1"/>
  <c r="G697" i="1" s="1"/>
  <c r="B697" i="1" a="1"/>
  <c r="B697" i="1" s="1"/>
  <c r="S697" i="1"/>
  <c r="P697" i="1"/>
  <c r="O697" i="1"/>
  <c r="M697" i="1"/>
  <c r="L697" i="1"/>
  <c r="L809" i="1"/>
  <c r="J809" i="1"/>
  <c r="H809" i="1" a="1"/>
  <c r="H809" i="1" s="1"/>
  <c r="F809" i="1" a="1"/>
  <c r="F809" i="1" s="1"/>
  <c r="M809" i="1"/>
  <c r="K809" i="1"/>
  <c r="I809" i="1"/>
  <c r="G809" i="1" a="1"/>
  <c r="G809" i="1" s="1"/>
  <c r="E809" i="1" a="1"/>
  <c r="E809" i="1" s="1"/>
  <c r="I814" i="1"/>
  <c r="E814" i="1" a="1"/>
  <c r="E814" i="1" s="1"/>
  <c r="S814" i="1"/>
  <c r="B814" i="1" a="1"/>
  <c r="B814" i="1" s="1"/>
  <c r="P814" i="1"/>
  <c r="G814" i="1" a="1"/>
  <c r="G814" i="1" s="1"/>
  <c r="F814" i="1" a="1"/>
  <c r="F814" i="1" s="1"/>
  <c r="C814" i="1" a="1"/>
  <c r="C814" i="1" s="1"/>
  <c r="H837" i="1" a="1"/>
  <c r="H837" i="1" s="1"/>
  <c r="G837" i="1" a="1"/>
  <c r="G837" i="1" s="1"/>
  <c r="M837" i="1"/>
  <c r="J837" i="1"/>
  <c r="I837" i="1"/>
  <c r="L837" i="1"/>
  <c r="K837" i="1"/>
  <c r="F837" i="1" a="1"/>
  <c r="F837" i="1" s="1"/>
  <c r="E837" i="1" a="1"/>
  <c r="E837" i="1" s="1"/>
  <c r="K42" i="3" a="1"/>
  <c r="K42" i="3" s="1"/>
  <c r="M42" i="3" s="1"/>
  <c r="J42" i="3" a="1"/>
  <c r="J42" i="3" s="1"/>
  <c r="V42" i="3" a="1"/>
  <c r="V42" i="3" s="1"/>
  <c r="R42" i="3" a="1"/>
  <c r="R42" i="3" s="1"/>
  <c r="O42" i="3" a="1"/>
  <c r="O42" i="3" s="1"/>
  <c r="O101" i="3" a="1"/>
  <c r="O101" i="3" s="1"/>
  <c r="K101" i="3" a="1"/>
  <c r="K101" i="3" s="1"/>
  <c r="M101" i="3" s="1"/>
  <c r="V101" i="3" a="1"/>
  <c r="V101" i="3" s="1"/>
  <c r="R101" i="3" a="1"/>
  <c r="R101" i="3" s="1"/>
  <c r="J101" i="3" a="1"/>
  <c r="J101" i="3" s="1"/>
  <c r="K179" i="3" a="1"/>
  <c r="K179" i="3" s="1"/>
  <c r="M179" i="3" s="1"/>
  <c r="J179" i="3" a="1"/>
  <c r="J179" i="3" s="1"/>
  <c r="V179" i="3" a="1"/>
  <c r="V179" i="3" s="1"/>
  <c r="R179" i="3" a="1"/>
  <c r="R179" i="3" s="1"/>
  <c r="O179" i="3" a="1"/>
  <c r="O179" i="3" s="1"/>
  <c r="I45" i="1"/>
  <c r="I129" i="1"/>
  <c r="K129" i="1" s="1"/>
  <c r="S133" i="1"/>
  <c r="I165" i="1"/>
  <c r="K165" i="1" s="1"/>
  <c r="J329" i="1"/>
  <c r="G329" i="1" a="1"/>
  <c r="G329" i="1" s="1"/>
  <c r="O329" i="1"/>
  <c r="M329" i="1"/>
  <c r="L329" i="1"/>
  <c r="K329" i="1"/>
  <c r="I329" i="1"/>
  <c r="H329" i="1" a="1"/>
  <c r="H329" i="1" s="1"/>
  <c r="E625" i="1" a="1"/>
  <c r="E625" i="1" s="1"/>
  <c r="P625" i="1"/>
  <c r="O625" i="1"/>
  <c r="B625" i="1" a="1"/>
  <c r="B625" i="1" s="1"/>
  <c r="I625" i="1"/>
  <c r="H625" i="1" a="1"/>
  <c r="H625" i="1" s="1"/>
  <c r="G625" i="1" a="1"/>
  <c r="G625" i="1" s="1"/>
  <c r="F625" i="1" a="1"/>
  <c r="F625" i="1" s="1"/>
  <c r="L683" i="1"/>
  <c r="I683" i="1"/>
  <c r="H683" i="1" a="1"/>
  <c r="H683" i="1" s="1"/>
  <c r="B683" i="1" a="1"/>
  <c r="B683" i="1" s="1"/>
  <c r="S683" i="1"/>
  <c r="P683" i="1"/>
  <c r="O683" i="1"/>
  <c r="M683" i="1"/>
  <c r="K683" i="1"/>
  <c r="J683" i="1"/>
  <c r="J49" i="3" a="1"/>
  <c r="J49" i="3" s="1"/>
  <c r="V184" i="3" a="1"/>
  <c r="V184" i="3" s="1"/>
  <c r="R184" i="3" a="1"/>
  <c r="R184" i="3" s="1"/>
  <c r="O184" i="3" a="1"/>
  <c r="O184" i="3" s="1"/>
  <c r="K184" i="3" a="1"/>
  <c r="K184" i="3" s="1"/>
  <c r="M184" i="3" s="1"/>
  <c r="J184" i="3" a="1"/>
  <c r="J184" i="3" s="1"/>
  <c r="K211" i="3" a="1"/>
  <c r="K211" i="3" s="1"/>
  <c r="M211" i="3" s="1"/>
  <c r="J211" i="3" a="1"/>
  <c r="J211" i="3" s="1"/>
  <c r="R211" i="3" a="1"/>
  <c r="R211" i="3" s="1"/>
  <c r="V211" i="3" a="1"/>
  <c r="V211" i="3" s="1"/>
  <c r="O211" i="3" a="1"/>
  <c r="O211" i="3" s="1"/>
  <c r="V255" i="3" a="1"/>
  <c r="V255" i="3" s="1"/>
  <c r="R255" i="3" a="1"/>
  <c r="R255" i="3" s="1"/>
  <c r="K255" i="3" a="1"/>
  <c r="K255" i="3" s="1"/>
  <c r="M255" i="3" s="1"/>
  <c r="J255" i="3" a="1"/>
  <c r="J255" i="3" s="1"/>
  <c r="P345" i="3"/>
  <c r="AB345" i="3"/>
  <c r="Q345" i="3"/>
  <c r="C16" i="1" a="1"/>
  <c r="C16" i="1" s="1"/>
  <c r="I125" i="1"/>
  <c r="F259" i="1" a="1"/>
  <c r="F259" i="1" s="1"/>
  <c r="S259" i="1"/>
  <c r="C259" i="1" a="1"/>
  <c r="C259" i="1" s="1"/>
  <c r="J259" i="1"/>
  <c r="I259" i="1"/>
  <c r="H259" i="1" a="1"/>
  <c r="H259" i="1" s="1"/>
  <c r="G259" i="1" a="1"/>
  <c r="G259" i="1" s="1"/>
  <c r="J265" i="1"/>
  <c r="G265" i="1" a="1"/>
  <c r="G265" i="1" s="1"/>
  <c r="S265" i="1"/>
  <c r="B265" i="1" a="1"/>
  <c r="B265" i="1" s="1"/>
  <c r="P265" i="1"/>
  <c r="O265" i="1"/>
  <c r="M265" i="1"/>
  <c r="L265" i="1"/>
  <c r="K265" i="1"/>
  <c r="I265" i="1"/>
  <c r="B308" i="1" a="1"/>
  <c r="B308" i="1" s="1"/>
  <c r="P518" i="1"/>
  <c r="L518" i="1"/>
  <c r="K518" i="1"/>
  <c r="S518" i="1"/>
  <c r="O518" i="1"/>
  <c r="M518" i="1"/>
  <c r="J518" i="1"/>
  <c r="I518" i="1"/>
  <c r="H518" i="1" a="1"/>
  <c r="H518" i="1" s="1"/>
  <c r="M596" i="1"/>
  <c r="J596" i="1"/>
  <c r="I596" i="1"/>
  <c r="B596" i="1" a="1"/>
  <c r="B596" i="1" s="1"/>
  <c r="S596" i="1"/>
  <c r="P596" i="1"/>
  <c r="O596" i="1"/>
  <c r="L596" i="1"/>
  <c r="K596" i="1"/>
  <c r="H596" i="1" a="1"/>
  <c r="H596" i="1" s="1"/>
  <c r="P852" i="1"/>
  <c r="M852" i="1"/>
  <c r="E852" i="1" a="1"/>
  <c r="E852" i="1" s="1"/>
  <c r="B852" i="1" a="1"/>
  <c r="B852" i="1" s="1"/>
  <c r="S852" i="1"/>
  <c r="G852" i="1" a="1"/>
  <c r="G852" i="1" s="1"/>
  <c r="F852" i="1" a="1"/>
  <c r="F852" i="1" s="1"/>
  <c r="C852" i="1" a="1"/>
  <c r="C852" i="1" s="1"/>
  <c r="P868" i="1"/>
  <c r="M868" i="1"/>
  <c r="K868" i="1"/>
  <c r="L868" i="1"/>
  <c r="H868" i="1" a="1"/>
  <c r="H868" i="1" s="1"/>
  <c r="G868" i="1" a="1"/>
  <c r="G868" i="1" s="1"/>
  <c r="J868" i="1"/>
  <c r="I868" i="1"/>
  <c r="F868" i="1" a="1"/>
  <c r="F868" i="1" s="1"/>
  <c r="E868" i="1" a="1"/>
  <c r="E868" i="1" s="1"/>
  <c r="L905" i="1"/>
  <c r="J905" i="1"/>
  <c r="K905" i="1"/>
  <c r="G905" i="1" a="1"/>
  <c r="G905" i="1" s="1"/>
  <c r="S905" i="1"/>
  <c r="P905" i="1"/>
  <c r="O905" i="1"/>
  <c r="M905" i="1"/>
  <c r="I905" i="1"/>
  <c r="H905" i="1" a="1"/>
  <c r="H905" i="1" s="1"/>
  <c r="AB158" i="3"/>
  <c r="Q158" i="3"/>
  <c r="P158" i="3"/>
  <c r="S158" i="3" s="1"/>
  <c r="Q204" i="3"/>
  <c r="AB204" i="3"/>
  <c r="P408" i="3"/>
  <c r="Q408" i="3"/>
  <c r="AB408" i="3"/>
  <c r="I62" i="1"/>
  <c r="C96" i="1" a="1"/>
  <c r="C96" i="1" s="1"/>
  <c r="B107" i="1" a="1"/>
  <c r="B107" i="1" s="1"/>
  <c r="I151" i="1"/>
  <c r="K151" i="1" s="1"/>
  <c r="B191" i="1" a="1"/>
  <c r="B191" i="1" s="1"/>
  <c r="B322" i="1" a="1"/>
  <c r="B322" i="1" s="1"/>
  <c r="F467" i="1" a="1"/>
  <c r="F467" i="1" s="1"/>
  <c r="S467" i="1"/>
  <c r="C467" i="1" a="1"/>
  <c r="C467" i="1" s="1"/>
  <c r="P467" i="1"/>
  <c r="O467" i="1"/>
  <c r="M467" i="1"/>
  <c r="L467" i="1"/>
  <c r="K467" i="1"/>
  <c r="J467" i="1"/>
  <c r="B684" i="1" a="1"/>
  <c r="B684" i="1" s="1"/>
  <c r="B21" i="6"/>
  <c r="K66" i="1"/>
  <c r="S66" i="1"/>
  <c r="B66" i="1" a="1"/>
  <c r="B66" i="1" s="1"/>
  <c r="M66" i="1"/>
  <c r="L66" i="1"/>
  <c r="P66" i="1" s="1"/>
  <c r="S74" i="1"/>
  <c r="C226" i="1" a="1"/>
  <c r="C226" i="1" s="1"/>
  <c r="M276" i="1"/>
  <c r="I276" i="1"/>
  <c r="P276" i="1"/>
  <c r="O276" i="1"/>
  <c r="L276" i="1"/>
  <c r="K276" i="1"/>
  <c r="J276" i="1"/>
  <c r="H276" i="1" a="1"/>
  <c r="H276" i="1" s="1"/>
  <c r="B283" i="1" a="1"/>
  <c r="B283" i="1" s="1"/>
  <c r="C315" i="1" a="1"/>
  <c r="C315" i="1" s="1"/>
  <c r="C340" i="1" a="1"/>
  <c r="C340" i="1" s="1"/>
  <c r="J361" i="1"/>
  <c r="G361" i="1" a="1"/>
  <c r="G361" i="1" s="1"/>
  <c r="M361" i="1"/>
  <c r="L361" i="1"/>
  <c r="K361" i="1"/>
  <c r="I361" i="1"/>
  <c r="H361" i="1" a="1"/>
  <c r="H361" i="1" s="1"/>
  <c r="C389" i="1" a="1"/>
  <c r="C389" i="1" s="1"/>
  <c r="M392" i="1"/>
  <c r="S392" i="1"/>
  <c r="B392" i="1" a="1"/>
  <c r="B392" i="1" s="1"/>
  <c r="P392" i="1"/>
  <c r="O392" i="1"/>
  <c r="L392" i="1"/>
  <c r="K392" i="1"/>
  <c r="J392" i="1"/>
  <c r="K450" i="1"/>
  <c r="H450" i="1" a="1"/>
  <c r="H450" i="1" s="1"/>
  <c r="L450" i="1"/>
  <c r="J450" i="1"/>
  <c r="I450" i="1"/>
  <c r="G450" i="1" a="1"/>
  <c r="G450" i="1" s="1"/>
  <c r="F450" i="1" a="1"/>
  <c r="F450" i="1" s="1"/>
  <c r="B569" i="1" a="1"/>
  <c r="B569" i="1" s="1"/>
  <c r="B587" i="1" a="1"/>
  <c r="B587" i="1" s="1"/>
  <c r="B708" i="1" a="1"/>
  <c r="B708" i="1" s="1"/>
  <c r="P726" i="1"/>
  <c r="L726" i="1"/>
  <c r="K726" i="1"/>
  <c r="I726" i="1"/>
  <c r="H726" i="1" a="1"/>
  <c r="H726" i="1" s="1"/>
  <c r="G726" i="1" a="1"/>
  <c r="G726" i="1" s="1"/>
  <c r="F726" i="1" a="1"/>
  <c r="F726" i="1" s="1"/>
  <c r="R188" i="3" a="1"/>
  <c r="R188" i="3" s="1"/>
  <c r="O188" i="3" a="1"/>
  <c r="O188" i="3" s="1"/>
  <c r="K188" i="3" a="1"/>
  <c r="K188" i="3" s="1"/>
  <c r="M188" i="3" s="1"/>
  <c r="J188" i="3" a="1"/>
  <c r="J188" i="3" s="1"/>
  <c r="V188" i="3" a="1"/>
  <c r="V188" i="3" s="1"/>
  <c r="P521" i="3"/>
  <c r="S521" i="3" s="1"/>
  <c r="E3" i="1" a="1"/>
  <c r="E3" i="1" s="1"/>
  <c r="E4" i="1" a="1"/>
  <c r="E4" i="1" s="1"/>
  <c r="C6" i="1" a="1"/>
  <c r="C6" i="1" s="1"/>
  <c r="C27" i="1" a="1"/>
  <c r="C27" i="1" s="1"/>
  <c r="I52" i="1"/>
  <c r="E96" i="1" a="1"/>
  <c r="E96" i="1" s="1"/>
  <c r="E134" i="1" a="1"/>
  <c r="E134" i="1" s="1"/>
  <c r="C244" i="1" a="1"/>
  <c r="C244" i="1" s="1"/>
  <c r="C372" i="1" a="1"/>
  <c r="C372" i="1" s="1"/>
  <c r="I4" i="1"/>
  <c r="K4" i="1" s="1"/>
  <c r="C39" i="1" a="1"/>
  <c r="C39" i="1" s="1"/>
  <c r="I82" i="1"/>
  <c r="K82" i="1" s="1"/>
  <c r="E287" i="1" a="1"/>
  <c r="E287" i="1" s="1"/>
  <c r="I7" i="1"/>
  <c r="K7" i="1" s="1"/>
  <c r="E32" i="1" a="1"/>
  <c r="E32" i="1" s="1"/>
  <c r="E36" i="1" a="1"/>
  <c r="E36" i="1" s="1"/>
  <c r="G38" i="1" a="1"/>
  <c r="G38" i="1" s="1"/>
  <c r="L38" i="1" s="1"/>
  <c r="I98" i="1"/>
  <c r="I175" i="1"/>
  <c r="K175" i="1" s="1"/>
  <c r="M184" i="1"/>
  <c r="S184" i="1"/>
  <c r="B184" i="1" a="1"/>
  <c r="B184" i="1" s="1"/>
  <c r="L184" i="1"/>
  <c r="P184" i="1" s="1"/>
  <c r="J184" i="1"/>
  <c r="K184" i="1" s="1"/>
  <c r="I184" i="1"/>
  <c r="C233" i="1" a="1"/>
  <c r="C233" i="1" s="1"/>
  <c r="L365" i="1"/>
  <c r="M376" i="1"/>
  <c r="I376" i="1"/>
  <c r="H376" i="1" a="1"/>
  <c r="H376" i="1" s="1"/>
  <c r="G376" i="1" a="1"/>
  <c r="G376" i="1" s="1"/>
  <c r="F376" i="1" a="1"/>
  <c r="F376" i="1" s="1"/>
  <c r="F481" i="1" a="1"/>
  <c r="F481" i="1" s="1"/>
  <c r="K496" i="1"/>
  <c r="H531" i="1" a="1"/>
  <c r="H531" i="1" s="1"/>
  <c r="O546" i="1"/>
  <c r="L560" i="1"/>
  <c r="O616" i="1"/>
  <c r="B616" i="1" a="1"/>
  <c r="B616" i="1" s="1"/>
  <c r="M616" i="1"/>
  <c r="J616" i="1"/>
  <c r="I616" i="1"/>
  <c r="H616" i="1" a="1"/>
  <c r="H616" i="1" s="1"/>
  <c r="G616" i="1" a="1"/>
  <c r="G616" i="1" s="1"/>
  <c r="F616" i="1" a="1"/>
  <c r="F616" i="1" s="1"/>
  <c r="B642" i="1" a="1"/>
  <c r="B642" i="1" s="1"/>
  <c r="C648" i="1" a="1"/>
  <c r="C648" i="1" s="1"/>
  <c r="M676" i="1"/>
  <c r="J676" i="1"/>
  <c r="I676" i="1"/>
  <c r="G676" i="1" a="1"/>
  <c r="G676" i="1" s="1"/>
  <c r="F676" i="1" a="1"/>
  <c r="F676" i="1" s="1"/>
  <c r="E676" i="1" a="1"/>
  <c r="E676" i="1" s="1"/>
  <c r="E683" i="1" a="1"/>
  <c r="E683" i="1" s="1"/>
  <c r="B707" i="1" a="1"/>
  <c r="B707" i="1" s="1"/>
  <c r="O9" i="1"/>
  <c r="M21" i="1"/>
  <c r="I40" i="1"/>
  <c r="K40" i="1" s="1"/>
  <c r="S9" i="1"/>
  <c r="S16" i="1"/>
  <c r="B11" i="1" a="1"/>
  <c r="B11" i="1" s="1"/>
  <c r="M11" i="1"/>
  <c r="L11" i="1"/>
  <c r="P11" i="1" s="1"/>
  <c r="K11" i="1"/>
  <c r="I11" i="1"/>
  <c r="J14" i="1"/>
  <c r="I14" i="1"/>
  <c r="H14" i="1" a="1"/>
  <c r="H14" i="1" s="1"/>
  <c r="G14" i="1" a="1"/>
  <c r="G14" i="1" s="1"/>
  <c r="E22" i="1" a="1"/>
  <c r="E22" i="1" s="1"/>
  <c r="S22" i="1"/>
  <c r="C22" i="1" a="1"/>
  <c r="C22" i="1" s="1"/>
  <c r="P22" i="1"/>
  <c r="M22" i="1"/>
  <c r="O22" i="1"/>
  <c r="B22" i="1" a="1"/>
  <c r="B22" i="1" s="1"/>
  <c r="H27" i="1" a="1"/>
  <c r="H27" i="1" s="1"/>
  <c r="J29" i="1"/>
  <c r="K29" i="1" s="1"/>
  <c r="O30" i="1"/>
  <c r="G32" i="1" a="1"/>
  <c r="G32" i="1" s="1"/>
  <c r="S32" i="1" s="1"/>
  <c r="I35" i="1"/>
  <c r="K35" i="1" s="1"/>
  <c r="G36" i="1" a="1"/>
  <c r="G36" i="1" s="1"/>
  <c r="S36" i="1" s="1"/>
  <c r="K37" i="1"/>
  <c r="J38" i="1"/>
  <c r="M39" i="1"/>
  <c r="E50" i="1" a="1"/>
  <c r="E50" i="1" s="1"/>
  <c r="C53" i="1" a="1"/>
  <c r="C53" i="1" s="1"/>
  <c r="E55" i="1" a="1"/>
  <c r="E55" i="1" s="1"/>
  <c r="E57" i="1" a="1"/>
  <c r="E57" i="1" s="1"/>
  <c r="B60" i="1" a="1"/>
  <c r="B60" i="1" s="1"/>
  <c r="M67" i="1"/>
  <c r="S68" i="1"/>
  <c r="S69" i="1"/>
  <c r="I75" i="1"/>
  <c r="K75" i="1" s="1"/>
  <c r="I76" i="1"/>
  <c r="K76" i="1" s="1"/>
  <c r="G77" i="1" a="1"/>
  <c r="G77" i="1" s="1"/>
  <c r="S77" i="1" s="1"/>
  <c r="I79" i="1"/>
  <c r="K79" i="1" s="1"/>
  <c r="J80" i="1"/>
  <c r="S81" i="1"/>
  <c r="C84" i="1" a="1"/>
  <c r="C84" i="1" s="1"/>
  <c r="C85" i="1" a="1"/>
  <c r="C85" i="1" s="1"/>
  <c r="M89" i="1"/>
  <c r="K98" i="1"/>
  <c r="S98" i="1"/>
  <c r="B98" i="1" a="1"/>
  <c r="B98" i="1" s="1"/>
  <c r="M98" i="1"/>
  <c r="L98" i="1"/>
  <c r="P98" i="1" s="1"/>
  <c r="F102" i="1" a="1"/>
  <c r="F102" i="1" s="1"/>
  <c r="M103" i="1"/>
  <c r="G116" i="1" a="1"/>
  <c r="G116" i="1" s="1"/>
  <c r="S116" i="1" s="1"/>
  <c r="O117" i="1"/>
  <c r="J121" i="1"/>
  <c r="G121" i="1" a="1"/>
  <c r="G121" i="1" s="1"/>
  <c r="I121" i="1"/>
  <c r="H121" i="1" a="1"/>
  <c r="H121" i="1" s="1"/>
  <c r="F121" i="1" a="1"/>
  <c r="F121" i="1" s="1"/>
  <c r="B127" i="1" a="1"/>
  <c r="B127" i="1" s="1"/>
  <c r="C128" i="1" a="1"/>
  <c r="C128" i="1" s="1"/>
  <c r="L132" i="1"/>
  <c r="H135" i="1" a="1"/>
  <c r="H135" i="1" s="1"/>
  <c r="F135" i="1" a="1"/>
  <c r="F135" i="1" s="1"/>
  <c r="J135" i="1"/>
  <c r="I135" i="1"/>
  <c r="K135" i="1" s="1"/>
  <c r="G135" i="1" a="1"/>
  <c r="G135" i="1" s="1"/>
  <c r="B139" i="1" a="1"/>
  <c r="B139" i="1" s="1"/>
  <c r="E141" i="1" a="1"/>
  <c r="E141" i="1" s="1"/>
  <c r="F144" i="1" a="1"/>
  <c r="F144" i="1" s="1"/>
  <c r="M146" i="1"/>
  <c r="M148" i="1"/>
  <c r="I148" i="1"/>
  <c r="S148" i="1"/>
  <c r="B148" i="1" a="1"/>
  <c r="B148" i="1" s="1"/>
  <c r="L148" i="1"/>
  <c r="P148" i="1" s="1"/>
  <c r="K148" i="1"/>
  <c r="C152" i="1" a="1"/>
  <c r="C152" i="1" s="1"/>
  <c r="F155" i="1" a="1"/>
  <c r="F155" i="1" s="1"/>
  <c r="G156" i="1" a="1"/>
  <c r="G156" i="1" s="1"/>
  <c r="S156" i="1" s="1"/>
  <c r="G159" i="1" a="1"/>
  <c r="G159" i="1" s="1"/>
  <c r="J162" i="1"/>
  <c r="E166" i="1" a="1"/>
  <c r="E166" i="1" s="1"/>
  <c r="M171" i="1"/>
  <c r="F180" i="1" a="1"/>
  <c r="F180" i="1" s="1"/>
  <c r="S183" i="1"/>
  <c r="C185" i="1" a="1"/>
  <c r="C185" i="1" s="1"/>
  <c r="E187" i="1" a="1"/>
  <c r="E187" i="1" s="1"/>
  <c r="K196" i="1"/>
  <c r="P198" i="1"/>
  <c r="K198" i="1"/>
  <c r="B198" i="1" a="1"/>
  <c r="B198" i="1" s="1"/>
  <c r="S198" i="1"/>
  <c r="O198" i="1"/>
  <c r="M198" i="1"/>
  <c r="L198" i="1"/>
  <c r="J198" i="1"/>
  <c r="I198" i="1"/>
  <c r="G213" i="1" a="1"/>
  <c r="G213" i="1" s="1"/>
  <c r="E213" i="1" a="1"/>
  <c r="E213" i="1" s="1"/>
  <c r="L213" i="1"/>
  <c r="K213" i="1"/>
  <c r="J213" i="1"/>
  <c r="I213" i="1"/>
  <c r="H213" i="1" a="1"/>
  <c r="H213" i="1" s="1"/>
  <c r="C219" i="1" a="1"/>
  <c r="C219" i="1" s="1"/>
  <c r="C230" i="1" a="1"/>
  <c r="C230" i="1" s="1"/>
  <c r="K231" i="1"/>
  <c r="F233" i="1" a="1"/>
  <c r="F233" i="1" s="1"/>
  <c r="G245" i="1" a="1"/>
  <c r="G245" i="1" s="1"/>
  <c r="E245" i="1" a="1"/>
  <c r="E245" i="1" s="1"/>
  <c r="K245" i="1"/>
  <c r="J245" i="1"/>
  <c r="I245" i="1"/>
  <c r="H245" i="1" a="1"/>
  <c r="H245" i="1" s="1"/>
  <c r="F245" i="1" a="1"/>
  <c r="F245" i="1" s="1"/>
  <c r="C248" i="1" a="1"/>
  <c r="C248" i="1" s="1"/>
  <c r="C251" i="1" a="1"/>
  <c r="C251" i="1" s="1"/>
  <c r="K252" i="1"/>
  <c r="B255" i="1" a="1"/>
  <c r="B255" i="1" s="1"/>
  <c r="E258" i="1" a="1"/>
  <c r="E258" i="1" s="1"/>
  <c r="M259" i="1"/>
  <c r="G261" i="1" a="1"/>
  <c r="G261" i="1" s="1"/>
  <c r="E261" i="1" a="1"/>
  <c r="E261" i="1" s="1"/>
  <c r="C261" i="1" a="1"/>
  <c r="C261" i="1" s="1"/>
  <c r="S261" i="1"/>
  <c r="B261" i="1" a="1"/>
  <c r="B261" i="1" s="1"/>
  <c r="P261" i="1"/>
  <c r="O261" i="1"/>
  <c r="M261" i="1"/>
  <c r="L261" i="1"/>
  <c r="I268" i="1"/>
  <c r="O277" i="1"/>
  <c r="S283" i="1"/>
  <c r="B291" i="1" a="1"/>
  <c r="B291" i="1" s="1"/>
  <c r="F294" i="1" a="1"/>
  <c r="F294" i="1" s="1"/>
  <c r="S300" i="1"/>
  <c r="B300" i="1" a="1"/>
  <c r="B300" i="1" s="1"/>
  <c r="P300" i="1"/>
  <c r="O300" i="1"/>
  <c r="M300" i="1"/>
  <c r="L300" i="1"/>
  <c r="K300" i="1"/>
  <c r="J300" i="1"/>
  <c r="H307" i="1" a="1"/>
  <c r="H307" i="1" s="1"/>
  <c r="B312" i="1" a="1"/>
  <c r="B312" i="1" s="1"/>
  <c r="M319" i="1"/>
  <c r="I321" i="1"/>
  <c r="M326" i="1"/>
  <c r="P329" i="1"/>
  <c r="H332" i="1" a="1"/>
  <c r="H332" i="1" s="1"/>
  <c r="C347" i="1" a="1"/>
  <c r="C347" i="1" s="1"/>
  <c r="G353" i="1" a="1"/>
  <c r="G353" i="1" s="1"/>
  <c r="P354" i="1"/>
  <c r="F360" i="1" a="1"/>
  <c r="F360" i="1" s="1"/>
  <c r="S367" i="1"/>
  <c r="C367" i="1" a="1"/>
  <c r="C367" i="1" s="1"/>
  <c r="L367" i="1"/>
  <c r="B367" i="1" a="1"/>
  <c r="B367" i="1" s="1"/>
  <c r="P367" i="1"/>
  <c r="O367" i="1"/>
  <c r="M367" i="1"/>
  <c r="K367" i="1"/>
  <c r="J367" i="1"/>
  <c r="G371" i="1" a="1"/>
  <c r="G371" i="1" s="1"/>
  <c r="B376" i="1" a="1"/>
  <c r="B376" i="1" s="1"/>
  <c r="B379" i="1" a="1"/>
  <c r="B379" i="1" s="1"/>
  <c r="F385" i="1" a="1"/>
  <c r="F385" i="1" s="1"/>
  <c r="O386" i="1"/>
  <c r="O393" i="1"/>
  <c r="P396" i="1"/>
  <c r="I400" i="1"/>
  <c r="L400" i="1"/>
  <c r="K400" i="1"/>
  <c r="J400" i="1"/>
  <c r="H400" i="1" a="1"/>
  <c r="H400" i="1" s="1"/>
  <c r="G400" i="1" a="1"/>
  <c r="G400" i="1" s="1"/>
  <c r="F400" i="1" a="1"/>
  <c r="F400" i="1" s="1"/>
  <c r="B404" i="1" a="1"/>
  <c r="B404" i="1" s="1"/>
  <c r="E406" i="1" a="1"/>
  <c r="E406" i="1" s="1"/>
  <c r="E407" i="1" a="1"/>
  <c r="E407" i="1" s="1"/>
  <c r="O411" i="1"/>
  <c r="H435" i="1" a="1"/>
  <c r="H435" i="1" s="1"/>
  <c r="C440" i="1" a="1"/>
  <c r="C440" i="1" s="1"/>
  <c r="M441" i="1"/>
  <c r="I444" i="1"/>
  <c r="E450" i="1" a="1"/>
  <c r="E450" i="1" s="1"/>
  <c r="G467" i="1" a="1"/>
  <c r="G467" i="1" s="1"/>
  <c r="B476" i="1" a="1"/>
  <c r="B476" i="1" s="1"/>
  <c r="E477" i="1" a="1"/>
  <c r="E477" i="1" s="1"/>
  <c r="F480" i="1" a="1"/>
  <c r="F480" i="1" s="1"/>
  <c r="C487" i="1" a="1"/>
  <c r="C487" i="1" s="1"/>
  <c r="O491" i="1"/>
  <c r="E495" i="1" a="1"/>
  <c r="E495" i="1" s="1"/>
  <c r="P496" i="1"/>
  <c r="F504" i="1" a="1"/>
  <c r="F504" i="1" s="1"/>
  <c r="P505" i="1"/>
  <c r="C514" i="1" a="1"/>
  <c r="C514" i="1" s="1"/>
  <c r="M515" i="1"/>
  <c r="F518" i="1" a="1"/>
  <c r="F518" i="1" s="1"/>
  <c r="L523" i="1"/>
  <c r="I523" i="1"/>
  <c r="H523" i="1" a="1"/>
  <c r="H523" i="1" s="1"/>
  <c r="M523" i="1"/>
  <c r="K523" i="1"/>
  <c r="J523" i="1"/>
  <c r="G523" i="1" a="1"/>
  <c r="G523" i="1" s="1"/>
  <c r="F523" i="1" a="1"/>
  <c r="F523" i="1" s="1"/>
  <c r="B528" i="1" a="1"/>
  <c r="B528" i="1" s="1"/>
  <c r="F541" i="1" a="1"/>
  <c r="F541" i="1" s="1"/>
  <c r="L552" i="1"/>
  <c r="S560" i="1"/>
  <c r="F564" i="1" a="1"/>
  <c r="F564" i="1" s="1"/>
  <c r="K572" i="1"/>
  <c r="E579" i="1" a="1"/>
  <c r="E579" i="1" s="1"/>
  <c r="C593" i="1" a="1"/>
  <c r="C593" i="1" s="1"/>
  <c r="M598" i="1"/>
  <c r="H601" i="1" a="1"/>
  <c r="H601" i="1" s="1"/>
  <c r="B611" i="1" a="1"/>
  <c r="B611" i="1" s="1"/>
  <c r="C624" i="1" a="1"/>
  <c r="C624" i="1" s="1"/>
  <c r="M625" i="1"/>
  <c r="E642" i="1" a="1"/>
  <c r="E642" i="1" s="1"/>
  <c r="P643" i="1"/>
  <c r="L648" i="1"/>
  <c r="O652" i="1"/>
  <c r="C662" i="1" a="1"/>
  <c r="C662" i="1" s="1"/>
  <c r="E665" i="1" a="1"/>
  <c r="E665" i="1" s="1"/>
  <c r="F675" i="1" a="1"/>
  <c r="F675" i="1" s="1"/>
  <c r="S675" i="1"/>
  <c r="C675" i="1" a="1"/>
  <c r="C675" i="1" s="1"/>
  <c r="L675" i="1"/>
  <c r="K675" i="1"/>
  <c r="J675" i="1"/>
  <c r="I675" i="1"/>
  <c r="H675" i="1" a="1"/>
  <c r="H675" i="1" s="1"/>
  <c r="G675" i="1" a="1"/>
  <c r="G675" i="1" s="1"/>
  <c r="G683" i="1" a="1"/>
  <c r="G683" i="1" s="1"/>
  <c r="M694" i="1"/>
  <c r="K697" i="1"/>
  <c r="O701" i="1"/>
  <c r="B701" i="1" a="1"/>
  <c r="B701" i="1" s="1"/>
  <c r="K701" i="1"/>
  <c r="J701" i="1"/>
  <c r="S701" i="1"/>
  <c r="P701" i="1"/>
  <c r="M701" i="1"/>
  <c r="L701" i="1"/>
  <c r="I701" i="1"/>
  <c r="S703" i="1"/>
  <c r="C703" i="1" a="1"/>
  <c r="C703" i="1" s="1"/>
  <c r="M703" i="1"/>
  <c r="L703" i="1"/>
  <c r="H703" i="1" a="1"/>
  <c r="H703" i="1" s="1"/>
  <c r="G703" i="1" a="1"/>
  <c r="G703" i="1" s="1"/>
  <c r="F703" i="1" a="1"/>
  <c r="F703" i="1" s="1"/>
  <c r="E703" i="1" a="1"/>
  <c r="E703" i="1" s="1"/>
  <c r="C712" i="1" a="1"/>
  <c r="C712" i="1" s="1"/>
  <c r="M713" i="1"/>
  <c r="E726" i="1" a="1"/>
  <c r="E726" i="1" s="1"/>
  <c r="F729" i="1" a="1"/>
  <c r="F729" i="1" s="1"/>
  <c r="O744" i="1"/>
  <c r="B744" i="1" a="1"/>
  <c r="B744" i="1" s="1"/>
  <c r="M744" i="1"/>
  <c r="L744" i="1"/>
  <c r="J744" i="1"/>
  <c r="I744" i="1"/>
  <c r="H744" i="1" a="1"/>
  <c r="H744" i="1" s="1"/>
  <c r="G744" i="1" a="1"/>
  <c r="G744" i="1" s="1"/>
  <c r="F744" i="1" a="1"/>
  <c r="F744" i="1" s="1"/>
  <c r="O753" i="1"/>
  <c r="F758" i="1" a="1"/>
  <c r="F758" i="1" s="1"/>
  <c r="B780" i="1" a="1"/>
  <c r="B780" i="1" s="1"/>
  <c r="S781" i="1"/>
  <c r="C781" i="1" a="1"/>
  <c r="C781" i="1" s="1"/>
  <c r="O781" i="1"/>
  <c r="B781" i="1" a="1"/>
  <c r="B781" i="1" s="1"/>
  <c r="F781" i="1" a="1"/>
  <c r="F781" i="1" s="1"/>
  <c r="E781" i="1" a="1"/>
  <c r="E781" i="1" s="1"/>
  <c r="K781" i="1"/>
  <c r="J781" i="1"/>
  <c r="I781" i="1"/>
  <c r="H781" i="1" a="1"/>
  <c r="H781" i="1" s="1"/>
  <c r="G781" i="1" a="1"/>
  <c r="G781" i="1" s="1"/>
  <c r="E783" i="1" a="1"/>
  <c r="E783" i="1" s="1"/>
  <c r="S783" i="1"/>
  <c r="C783" i="1" a="1"/>
  <c r="C783" i="1" s="1"/>
  <c r="P783" i="1"/>
  <c r="L783" i="1"/>
  <c r="K783" i="1"/>
  <c r="J783" i="1"/>
  <c r="M783" i="1"/>
  <c r="I783" i="1"/>
  <c r="H783" i="1" a="1"/>
  <c r="H783" i="1" s="1"/>
  <c r="G783" i="1" a="1"/>
  <c r="G783" i="1" s="1"/>
  <c r="F783" i="1" a="1"/>
  <c r="F783" i="1" s="1"/>
  <c r="J786" i="1"/>
  <c r="C788" i="1" a="1"/>
  <c r="C788" i="1" s="1"/>
  <c r="S809" i="1"/>
  <c r="O814" i="1"/>
  <c r="O816" i="1"/>
  <c r="E828" i="1" a="1"/>
  <c r="E828" i="1" s="1"/>
  <c r="S828" i="1"/>
  <c r="B828" i="1" a="1"/>
  <c r="B828" i="1" s="1"/>
  <c r="P828" i="1"/>
  <c r="O828" i="1"/>
  <c r="M828" i="1"/>
  <c r="L828" i="1"/>
  <c r="K828" i="1"/>
  <c r="J828" i="1"/>
  <c r="I828" i="1"/>
  <c r="H828" i="1" a="1"/>
  <c r="H828" i="1" s="1"/>
  <c r="B834" i="1" a="1"/>
  <c r="B834" i="1" s="1"/>
  <c r="S837" i="1"/>
  <c r="M839" i="1"/>
  <c r="P849" i="1"/>
  <c r="K852" i="1"/>
  <c r="L854" i="1"/>
  <c r="C862" i="1" a="1"/>
  <c r="C862" i="1" s="1"/>
  <c r="C868" i="1" a="1"/>
  <c r="C868" i="1" s="1"/>
  <c r="E10" i="2"/>
  <c r="E43" i="2" a="1"/>
  <c r="E43" i="2" s="1"/>
  <c r="D43" i="2" a="1"/>
  <c r="D43" i="2" s="1"/>
  <c r="AC40" i="3"/>
  <c r="AA40" i="3"/>
  <c r="AE44" i="3"/>
  <c r="AD44" i="3"/>
  <c r="Q105" i="3"/>
  <c r="P105" i="3"/>
  <c r="S105" i="3" s="1"/>
  <c r="AB105" i="3"/>
  <c r="O127" i="3" a="1"/>
  <c r="O127" i="3" s="1"/>
  <c r="O206" i="3" a="1"/>
  <c r="O206" i="3" s="1"/>
  <c r="R206" i="3" a="1"/>
  <c r="R206" i="3" s="1"/>
  <c r="K206" i="3" a="1"/>
  <c r="K206" i="3" s="1"/>
  <c r="M206" i="3" s="1"/>
  <c r="V206" i="3" a="1"/>
  <c r="V206" i="3" s="1"/>
  <c r="AB245" i="3"/>
  <c r="AE251" i="3"/>
  <c r="AD251" i="3"/>
  <c r="R287" i="3" a="1"/>
  <c r="R287" i="3" s="1"/>
  <c r="C31" i="6"/>
  <c r="C35" i="6"/>
  <c r="C127" i="6"/>
  <c r="B131" i="6"/>
  <c r="AB78" i="3"/>
  <c r="Q78" i="3"/>
  <c r="P78" i="3"/>
  <c r="S78" i="3" s="1"/>
  <c r="R172" i="3" a="1"/>
  <c r="R172" i="3" s="1"/>
  <c r="O172" i="3" a="1"/>
  <c r="O172" i="3" s="1"/>
  <c r="K172" i="3" a="1"/>
  <c r="K172" i="3" s="1"/>
  <c r="M172" i="3" s="1"/>
  <c r="V172" i="3" a="1"/>
  <c r="V172" i="3" s="1"/>
  <c r="K195" i="3" a="1"/>
  <c r="K195" i="3" s="1"/>
  <c r="M195" i="3" s="1"/>
  <c r="J195" i="3" a="1"/>
  <c r="J195" i="3" s="1"/>
  <c r="R195" i="3" a="1"/>
  <c r="R195" i="3" s="1"/>
  <c r="V195" i="3" a="1"/>
  <c r="V195" i="3" s="1"/>
  <c r="O195" i="3" a="1"/>
  <c r="O195" i="3" s="1"/>
  <c r="P358" i="3"/>
  <c r="AB358" i="3"/>
  <c r="Q358" i="3"/>
  <c r="O381" i="3" a="1"/>
  <c r="O381" i="3" s="1"/>
  <c r="J381" i="3" a="1"/>
  <c r="J381" i="3" s="1"/>
  <c r="R381" i="3" a="1"/>
  <c r="R381" i="3" s="1"/>
  <c r="V381" i="3" a="1"/>
  <c r="V381" i="3" s="1"/>
  <c r="AC455" i="3"/>
  <c r="AA455" i="3"/>
  <c r="E219" i="4" a="1"/>
  <c r="E219" i="4" s="1"/>
  <c r="G228" i="14" s="1" a="1"/>
  <c r="G228" i="14" s="1"/>
  <c r="F219" i="4" a="1"/>
  <c r="F219" i="4" s="1"/>
  <c r="A11" i="5" a="1"/>
  <c r="A11" i="5" s="1"/>
  <c r="R302" i="3" a="1"/>
  <c r="R302" i="3" s="1"/>
  <c r="R300" i="3" a="1"/>
  <c r="R300" i="3" s="1"/>
  <c r="C29" i="6"/>
  <c r="B29" i="6"/>
  <c r="D29" i="6" s="1"/>
  <c r="E29" i="6" s="1"/>
  <c r="K752" i="3" a="1"/>
  <c r="K752" i="3" s="1"/>
  <c r="M752" i="3" s="1"/>
  <c r="K744" i="3" a="1"/>
  <c r="K744" i="3" s="1"/>
  <c r="M744" i="3" s="1"/>
  <c r="R735" i="3" a="1"/>
  <c r="R735" i="3" s="1"/>
  <c r="K700" i="3" a="1"/>
  <c r="K700" i="3" s="1"/>
  <c r="M700" i="3" s="1"/>
  <c r="O693" i="3" a="1"/>
  <c r="O693" i="3" s="1"/>
  <c r="K676" i="3" a="1"/>
  <c r="K676" i="3" s="1"/>
  <c r="M676" i="3" s="1"/>
  <c r="O662" i="3" a="1"/>
  <c r="O662" i="3" s="1"/>
  <c r="K641" i="3" a="1"/>
  <c r="K641" i="3" s="1"/>
  <c r="M641" i="3" s="1"/>
  <c r="V629" i="3" a="1"/>
  <c r="V629" i="3" s="1"/>
  <c r="J624" i="3" a="1"/>
  <c r="J624" i="3" s="1"/>
  <c r="O525" i="3" a="1"/>
  <c r="O525" i="3" s="1"/>
  <c r="K516" i="3" a="1"/>
  <c r="K516" i="3" s="1"/>
  <c r="M516" i="3" s="1"/>
  <c r="K508" i="3" a="1"/>
  <c r="K508" i="3" s="1"/>
  <c r="M508" i="3" s="1"/>
  <c r="J441" i="3" a="1"/>
  <c r="J441" i="3" s="1"/>
  <c r="K435" i="3" a="1"/>
  <c r="K435" i="3" s="1"/>
  <c r="M435" i="3" s="1"/>
  <c r="K430" i="3" a="1"/>
  <c r="K430" i="3" s="1"/>
  <c r="M430" i="3" s="1"/>
  <c r="O424" i="3" a="1"/>
  <c r="O424" i="3" s="1"/>
  <c r="K405" i="3" a="1"/>
  <c r="K405" i="3" s="1"/>
  <c r="M405" i="3" s="1"/>
  <c r="K387" i="3" a="1"/>
  <c r="K387" i="3" s="1"/>
  <c r="M387" i="3" s="1"/>
  <c r="K349" i="3" a="1"/>
  <c r="K349" i="3" s="1"/>
  <c r="M349" i="3" s="1"/>
  <c r="V314" i="3" a="1"/>
  <c r="V314" i="3" s="1"/>
  <c r="O312" i="3" a="1"/>
  <c r="O312" i="3" s="1"/>
  <c r="V275" i="3" a="1"/>
  <c r="V275" i="3" s="1"/>
  <c r="O273" i="3" a="1"/>
  <c r="O273" i="3" s="1"/>
  <c r="V271" i="3" a="1"/>
  <c r="V271" i="3" s="1"/>
  <c r="V236" i="3" a="1"/>
  <c r="V236" i="3" s="1"/>
  <c r="J230" i="3" a="1"/>
  <c r="J230" i="3" s="1"/>
  <c r="J167" i="3" a="1"/>
  <c r="J167" i="3" s="1"/>
  <c r="K22" i="3" a="1"/>
  <c r="K22" i="3" s="1"/>
  <c r="M22" i="3" s="1"/>
  <c r="R18" i="3" a="1"/>
  <c r="R18" i="3" s="1"/>
  <c r="O751" i="3" a="1"/>
  <c r="O751" i="3" s="1"/>
  <c r="K727" i="3" a="1"/>
  <c r="K727" i="3" s="1"/>
  <c r="M727" i="3" s="1"/>
  <c r="K693" i="3" a="1"/>
  <c r="K693" i="3" s="1"/>
  <c r="M693" i="3" s="1"/>
  <c r="J686" i="3" a="1"/>
  <c r="J686" i="3" s="1"/>
  <c r="O668" i="3" a="1"/>
  <c r="O668" i="3" s="1"/>
  <c r="R647" i="3" a="1"/>
  <c r="R647" i="3" s="1"/>
  <c r="O569" i="3" a="1"/>
  <c r="O569" i="3" s="1"/>
  <c r="O479" i="3" a="1"/>
  <c r="O479" i="3" s="1"/>
  <c r="O472" i="3" a="1"/>
  <c r="O472" i="3" s="1"/>
  <c r="J438" i="3" a="1"/>
  <c r="J438" i="3" s="1"/>
  <c r="K432" i="3" a="1"/>
  <c r="K432" i="3" s="1"/>
  <c r="M432" i="3" s="1"/>
  <c r="K427" i="3" a="1"/>
  <c r="K427" i="3" s="1"/>
  <c r="M427" i="3" s="1"/>
  <c r="V418" i="3" a="1"/>
  <c r="V418" i="3" s="1"/>
  <c r="V413" i="3" a="1"/>
  <c r="V413" i="3" s="1"/>
  <c r="J405" i="3" a="1"/>
  <c r="J405" i="3" s="1"/>
  <c r="V327" i="3" a="1"/>
  <c r="V327" i="3" s="1"/>
  <c r="O317" i="3" a="1"/>
  <c r="O317" i="3" s="1"/>
  <c r="J287" i="3" a="1"/>
  <c r="J287" i="3" s="1"/>
  <c r="J280" i="3" a="1"/>
  <c r="J280" i="3" s="1"/>
  <c r="K238" i="3" a="1"/>
  <c r="K238" i="3" s="1"/>
  <c r="M238" i="3" s="1"/>
  <c r="V233" i="3" a="1"/>
  <c r="V233" i="3" s="1"/>
  <c r="J227" i="3" a="1"/>
  <c r="J227" i="3" s="1"/>
  <c r="O220" i="3" a="1"/>
  <c r="O220" i="3" s="1"/>
  <c r="O139" i="3" a="1"/>
  <c r="O139" i="3" s="1"/>
  <c r="O112" i="3" a="1"/>
  <c r="O112" i="3" s="1"/>
  <c r="O107" i="3" a="1"/>
  <c r="O107" i="3" s="1"/>
  <c r="K23" i="3" a="1"/>
  <c r="K23" i="3" s="1"/>
  <c r="M23" i="3" s="1"/>
  <c r="O9" i="3" a="1"/>
  <c r="O9" i="3" s="1"/>
  <c r="O735" i="3" a="1"/>
  <c r="O735" i="3" s="1"/>
  <c r="R706" i="3" a="1"/>
  <c r="R706" i="3" s="1"/>
  <c r="R633" i="3" a="1"/>
  <c r="R633" i="3" s="1"/>
  <c r="O463" i="3" a="1"/>
  <c r="O463" i="3" s="1"/>
  <c r="V457" i="3" a="1"/>
  <c r="V457" i="3" s="1"/>
  <c r="J440" i="3" a="1"/>
  <c r="J440" i="3" s="1"/>
  <c r="J435" i="3" a="1"/>
  <c r="J435" i="3" s="1"/>
  <c r="J432" i="3" a="1"/>
  <c r="J432" i="3" s="1"/>
  <c r="K424" i="3" a="1"/>
  <c r="K424" i="3" s="1"/>
  <c r="M424" i="3" s="1"/>
  <c r="K421" i="3" a="1"/>
  <c r="K421" i="3" s="1"/>
  <c r="M421" i="3" s="1"/>
  <c r="J413" i="3" a="1"/>
  <c r="J413" i="3" s="1"/>
  <c r="K410" i="3" a="1"/>
  <c r="K410" i="3" s="1"/>
  <c r="M410" i="3" s="1"/>
  <c r="K402" i="3" a="1"/>
  <c r="K402" i="3" s="1"/>
  <c r="M402" i="3" s="1"/>
  <c r="K367" i="3" a="1"/>
  <c r="K367" i="3" s="1"/>
  <c r="M367" i="3" s="1"/>
  <c r="V344" i="3" a="1"/>
  <c r="V344" i="3" s="1"/>
  <c r="J282" i="3" a="1"/>
  <c r="J282" i="3" s="1"/>
  <c r="R275" i="3" a="1"/>
  <c r="R275" i="3" s="1"/>
  <c r="J273" i="3" a="1"/>
  <c r="J273" i="3" s="1"/>
  <c r="R236" i="3" a="1"/>
  <c r="R236" i="3" s="1"/>
  <c r="O760" i="3" a="1"/>
  <c r="O760" i="3" s="1"/>
  <c r="J741" i="3" a="1"/>
  <c r="J741" i="3" s="1"/>
  <c r="J720" i="3" a="1"/>
  <c r="J720" i="3" s="1"/>
  <c r="O689" i="3" a="1"/>
  <c r="O689" i="3" s="1"/>
  <c r="J584" i="3" a="1"/>
  <c r="J584" i="3" s="1"/>
  <c r="O495" i="3" a="1"/>
  <c r="O495" i="3" s="1"/>
  <c r="K479" i="3" a="1"/>
  <c r="K479" i="3" s="1"/>
  <c r="M479" i="3" s="1"/>
  <c r="K472" i="3" a="1"/>
  <c r="K472" i="3" s="1"/>
  <c r="M472" i="3" s="1"/>
  <c r="O460" i="3" a="1"/>
  <c r="O460" i="3" s="1"/>
  <c r="J429" i="3" a="1"/>
  <c r="J429" i="3" s="1"/>
  <c r="V415" i="3" a="1"/>
  <c r="V415" i="3" s="1"/>
  <c r="J402" i="3" a="1"/>
  <c r="J402" i="3" s="1"/>
  <c r="K359" i="3" a="1"/>
  <c r="K359" i="3" s="1"/>
  <c r="M359" i="3" s="1"/>
  <c r="V306" i="3" a="1"/>
  <c r="V306" i="3" s="1"/>
  <c r="V279" i="3" a="1"/>
  <c r="V279" i="3" s="1"/>
  <c r="J238" i="3" a="1"/>
  <c r="J238" i="3" s="1"/>
  <c r="O228" i="3" a="1"/>
  <c r="O228" i="3" s="1"/>
  <c r="K225" i="3" a="1"/>
  <c r="K225" i="3" s="1"/>
  <c r="M225" i="3" s="1"/>
  <c r="V218" i="3" a="1"/>
  <c r="V218" i="3" s="1"/>
  <c r="O140" i="3" a="1"/>
  <c r="O140" i="3" s="1"/>
  <c r="O135" i="3" a="1"/>
  <c r="O135" i="3" s="1"/>
  <c r="R122" i="3" a="1"/>
  <c r="R122" i="3" s="1"/>
  <c r="O108" i="3" a="1"/>
  <c r="O108" i="3" s="1"/>
  <c r="O17" i="3" a="1"/>
  <c r="O17" i="3" s="1"/>
  <c r="V12" i="3" a="1"/>
  <c r="V12" i="3" s="1"/>
  <c r="O11" i="3" a="1"/>
  <c r="O11" i="3" s="1"/>
  <c r="O2" i="3" a="1"/>
  <c r="O2" i="3" s="1"/>
  <c r="D32" i="2" a="1"/>
  <c r="D32" i="2" s="1"/>
  <c r="J705" i="3" a="1"/>
  <c r="J705" i="3" s="1"/>
  <c r="V639" i="3" a="1"/>
  <c r="V639" i="3" s="1"/>
  <c r="R594" i="3" a="1"/>
  <c r="R594" i="3" s="1"/>
  <c r="K538" i="3" a="1"/>
  <c r="K538" i="3" s="1"/>
  <c r="M538" i="3" s="1"/>
  <c r="K495" i="3" a="1"/>
  <c r="K495" i="3" s="1"/>
  <c r="M495" i="3" s="1"/>
  <c r="J472" i="3" a="1"/>
  <c r="J472" i="3" s="1"/>
  <c r="K457" i="3" a="1"/>
  <c r="K457" i="3" s="1"/>
  <c r="M457" i="3" s="1"/>
  <c r="J426" i="3" a="1"/>
  <c r="J426" i="3" s="1"/>
  <c r="V396" i="3" a="1"/>
  <c r="V396" i="3" s="1"/>
  <c r="V369" i="3" a="1"/>
  <c r="V369" i="3" s="1"/>
  <c r="K364" i="3" a="1"/>
  <c r="K364" i="3" s="1"/>
  <c r="M364" i="3" s="1"/>
  <c r="O279" i="3" a="1"/>
  <c r="O279" i="3" s="1"/>
  <c r="R268" i="3" a="1"/>
  <c r="R268" i="3" s="1"/>
  <c r="O18" i="3" a="1"/>
  <c r="O18" i="3" s="1"/>
  <c r="V13" i="3" a="1"/>
  <c r="V13" i="3" s="1"/>
  <c r="R5" i="3" a="1"/>
  <c r="R5" i="3" s="1"/>
  <c r="R4" i="3" a="1"/>
  <c r="R4" i="3" s="1"/>
  <c r="O3" i="3" a="1"/>
  <c r="O3" i="3" s="1"/>
  <c r="D37" i="2" a="1"/>
  <c r="D37" i="2" s="1"/>
  <c r="K787" i="3" a="1"/>
  <c r="K787" i="3" s="1"/>
  <c r="M787" i="3" s="1"/>
  <c r="J697" i="3" a="1"/>
  <c r="J697" i="3" s="1"/>
  <c r="J652" i="3" a="1"/>
  <c r="J652" i="3" s="1"/>
  <c r="J646" i="3" a="1"/>
  <c r="J646" i="3" s="1"/>
  <c r="V567" i="3" a="1"/>
  <c r="V567" i="3" s="1"/>
  <c r="K533" i="3" a="1"/>
  <c r="K533" i="3" s="1"/>
  <c r="M533" i="3" s="1"/>
  <c r="K523" i="3" a="1"/>
  <c r="K523" i="3" s="1"/>
  <c r="M523" i="3" s="1"/>
  <c r="K460" i="3" a="1"/>
  <c r="K460" i="3" s="1"/>
  <c r="M460" i="3" s="1"/>
  <c r="R423" i="3" a="1"/>
  <c r="R423" i="3" s="1"/>
  <c r="K401" i="3" a="1"/>
  <c r="K401" i="3" s="1"/>
  <c r="M401" i="3" s="1"/>
  <c r="O399" i="3" a="1"/>
  <c r="O399" i="3" s="1"/>
  <c r="O391" i="3" a="1"/>
  <c r="O391" i="3" s="1"/>
  <c r="J389" i="3" a="1"/>
  <c r="J389" i="3" s="1"/>
  <c r="R369" i="3" a="1"/>
  <c r="R369" i="3" s="1"/>
  <c r="J359" i="3" a="1"/>
  <c r="J359" i="3" s="1"/>
  <c r="J311" i="3" a="1"/>
  <c r="J311" i="3" s="1"/>
  <c r="V308" i="3" a="1"/>
  <c r="V308" i="3" s="1"/>
  <c r="O266" i="3" a="1"/>
  <c r="O266" i="3" s="1"/>
  <c r="O239" i="3" a="1"/>
  <c r="O239" i="3" s="1"/>
  <c r="V226" i="3" a="1"/>
  <c r="V226" i="3" s="1"/>
  <c r="K218" i="3" a="1"/>
  <c r="K218" i="3" s="1"/>
  <c r="M218" i="3" s="1"/>
  <c r="V165" i="3" a="1"/>
  <c r="V165" i="3" s="1"/>
  <c r="O136" i="3" a="1"/>
  <c r="O136" i="3" s="1"/>
  <c r="O131" i="3" a="1"/>
  <c r="O131" i="3" s="1"/>
  <c r="R123" i="3" a="1"/>
  <c r="R123" i="3" s="1"/>
  <c r="R118" i="3" a="1"/>
  <c r="R118" i="3" s="1"/>
  <c r="O25" i="3" a="1"/>
  <c r="O25" i="3" s="1"/>
  <c r="V20" i="3" a="1"/>
  <c r="V20" i="3" s="1"/>
  <c r="O19" i="3" a="1"/>
  <c r="O19" i="3" s="1"/>
  <c r="K10" i="3" a="1"/>
  <c r="K10" i="3" s="1"/>
  <c r="M10" i="3" s="1"/>
  <c r="O4" i="3" a="1"/>
  <c r="O4" i="3" s="1"/>
  <c r="C33" i="6"/>
  <c r="AB170" i="3"/>
  <c r="Q170" i="3"/>
  <c r="P170" i="3"/>
  <c r="S170" i="3" s="1"/>
  <c r="P259" i="3"/>
  <c r="Q259" i="3"/>
  <c r="AB259" i="3"/>
  <c r="P470" i="3"/>
  <c r="S470" i="3" s="1"/>
  <c r="AB470" i="3"/>
  <c r="C19" i="6"/>
  <c r="H121" i="11" a="1"/>
  <c r="H121" i="11" s="1"/>
  <c r="B121" i="11"/>
  <c r="Q93" i="3"/>
  <c r="P93" i="3"/>
  <c r="S93" i="3" s="1"/>
  <c r="AB93" i="3"/>
  <c r="V298" i="3" a="1"/>
  <c r="V298" i="3" s="1"/>
  <c r="R298" i="3" a="1"/>
  <c r="R298" i="3" s="1"/>
  <c r="O298" i="3" a="1"/>
  <c r="O298" i="3" s="1"/>
  <c r="K298" i="3" a="1"/>
  <c r="K298" i="3" s="1"/>
  <c r="M298" i="3" s="1"/>
  <c r="S17" i="1"/>
  <c r="C49" i="1" a="1"/>
  <c r="C49" i="1" s="1"/>
  <c r="S49" i="1"/>
  <c r="B61" i="1" a="1"/>
  <c r="B61" i="1" s="1"/>
  <c r="J61" i="1"/>
  <c r="K61" i="1" s="1"/>
  <c r="P83" i="1"/>
  <c r="K86" i="1"/>
  <c r="B93" i="1" a="1"/>
  <c r="B93" i="1" s="1"/>
  <c r="J93" i="1"/>
  <c r="P115" i="1"/>
  <c r="B125" i="1" a="1"/>
  <c r="B125" i="1" s="1"/>
  <c r="J125" i="1"/>
  <c r="P147" i="1"/>
  <c r="K150" i="1"/>
  <c r="B157" i="1" a="1"/>
  <c r="B157" i="1" s="1"/>
  <c r="J157" i="1"/>
  <c r="K157" i="1" s="1"/>
  <c r="K182" i="1"/>
  <c r="B189" i="1" a="1"/>
  <c r="B189" i="1" s="1"/>
  <c r="J189" i="1"/>
  <c r="L203" i="1"/>
  <c r="H203" i="1" a="1"/>
  <c r="H203" i="1" s="1"/>
  <c r="J249" i="1"/>
  <c r="G249" i="1" a="1"/>
  <c r="G249" i="1" s="1"/>
  <c r="H263" i="1" a="1"/>
  <c r="H263" i="1" s="1"/>
  <c r="F263" i="1" a="1"/>
  <c r="F263" i="1" s="1"/>
  <c r="F323" i="1" a="1"/>
  <c r="F323" i="1" s="1"/>
  <c r="S323" i="1"/>
  <c r="C323" i="1" a="1"/>
  <c r="C323" i="1" s="1"/>
  <c r="E337" i="1" a="1"/>
  <c r="E337" i="1" s="1"/>
  <c r="O337" i="1"/>
  <c r="B337" i="1" a="1"/>
  <c r="B337" i="1" s="1"/>
  <c r="E369" i="1" a="1"/>
  <c r="E369" i="1" s="1"/>
  <c r="O369" i="1"/>
  <c r="B369" i="1" a="1"/>
  <c r="B369" i="1" s="1"/>
  <c r="S383" i="1"/>
  <c r="C383" i="1" a="1"/>
  <c r="C383" i="1" s="1"/>
  <c r="L383" i="1"/>
  <c r="S415" i="1"/>
  <c r="C415" i="1" a="1"/>
  <c r="C415" i="1" s="1"/>
  <c r="L415" i="1"/>
  <c r="H423" i="1" a="1"/>
  <c r="H423" i="1" s="1"/>
  <c r="F423" i="1" a="1"/>
  <c r="F423" i="1" s="1"/>
  <c r="I432" i="1"/>
  <c r="G432" i="1" a="1"/>
  <c r="G432" i="1" s="1"/>
  <c r="F451" i="1" a="1"/>
  <c r="F451" i="1" s="1"/>
  <c r="S451" i="1"/>
  <c r="C451" i="1" a="1"/>
  <c r="C451" i="1" s="1"/>
  <c r="O456" i="1"/>
  <c r="B456" i="1" a="1"/>
  <c r="B456" i="1" s="1"/>
  <c r="M456" i="1"/>
  <c r="F483" i="1" a="1"/>
  <c r="F483" i="1" s="1"/>
  <c r="S483" i="1"/>
  <c r="C483" i="1" a="1"/>
  <c r="C483" i="1" s="1"/>
  <c r="O488" i="1"/>
  <c r="B488" i="1" a="1"/>
  <c r="B488" i="1" s="1"/>
  <c r="M488" i="1"/>
  <c r="E529" i="1" a="1"/>
  <c r="E529" i="1" s="1"/>
  <c r="P529" i="1"/>
  <c r="O529" i="1"/>
  <c r="B529" i="1" a="1"/>
  <c r="B529" i="1" s="1"/>
  <c r="E561" i="1" a="1"/>
  <c r="E561" i="1" s="1"/>
  <c r="P561" i="1"/>
  <c r="O561" i="1"/>
  <c r="B561" i="1" a="1"/>
  <c r="B561" i="1" s="1"/>
  <c r="S607" i="1"/>
  <c r="C607" i="1" a="1"/>
  <c r="C607" i="1" s="1"/>
  <c r="M607" i="1"/>
  <c r="L607" i="1"/>
  <c r="M612" i="1"/>
  <c r="J612" i="1"/>
  <c r="I612" i="1"/>
  <c r="S639" i="1"/>
  <c r="C639" i="1" a="1"/>
  <c r="C639" i="1" s="1"/>
  <c r="M639" i="1"/>
  <c r="L639" i="1"/>
  <c r="M644" i="1"/>
  <c r="J644" i="1"/>
  <c r="I644" i="1"/>
  <c r="J681" i="1"/>
  <c r="G681" i="1" a="1"/>
  <c r="G681" i="1" s="1"/>
  <c r="K690" i="1"/>
  <c r="H690" i="1" a="1"/>
  <c r="H690" i="1" s="1"/>
  <c r="L699" i="1"/>
  <c r="I699" i="1"/>
  <c r="H699" i="1" a="1"/>
  <c r="H699" i="1" s="1"/>
  <c r="K722" i="1"/>
  <c r="H722" i="1" a="1"/>
  <c r="H722" i="1" s="1"/>
  <c r="L731" i="1"/>
  <c r="I731" i="1"/>
  <c r="H731" i="1" a="1"/>
  <c r="H731" i="1" s="1"/>
  <c r="K738" i="1"/>
  <c r="H738" i="1" a="1"/>
  <c r="H738" i="1" s="1"/>
  <c r="G738" i="1" a="1"/>
  <c r="G738" i="1" s="1"/>
  <c r="S765" i="1"/>
  <c r="C765" i="1" a="1"/>
  <c r="C765" i="1" s="1"/>
  <c r="O765" i="1"/>
  <c r="B765" i="1" a="1"/>
  <c r="B765" i="1" s="1"/>
  <c r="L765" i="1"/>
  <c r="K765" i="1"/>
  <c r="J765" i="1"/>
  <c r="O811" i="1"/>
  <c r="B811" i="1" a="1"/>
  <c r="B811" i="1" s="1"/>
  <c r="L811" i="1"/>
  <c r="M811" i="1"/>
  <c r="K811" i="1"/>
  <c r="J811" i="1"/>
  <c r="S813" i="1"/>
  <c r="C813" i="1" a="1"/>
  <c r="C813" i="1" s="1"/>
  <c r="O813" i="1"/>
  <c r="B813" i="1" a="1"/>
  <c r="B813" i="1" s="1"/>
  <c r="F813" i="1" a="1"/>
  <c r="F813" i="1" s="1"/>
  <c r="E813" i="1" a="1"/>
  <c r="E813" i="1" s="1"/>
  <c r="M818" i="1"/>
  <c r="K818" i="1"/>
  <c r="C818" i="1" a="1"/>
  <c r="C818" i="1" s="1"/>
  <c r="P818" i="1"/>
  <c r="O818" i="1"/>
  <c r="L818" i="1"/>
  <c r="P820" i="1"/>
  <c r="M820" i="1"/>
  <c r="H820" i="1" a="1"/>
  <c r="H820" i="1" s="1"/>
  <c r="F820" i="1" a="1"/>
  <c r="F820" i="1" s="1"/>
  <c r="H821" i="1" a="1"/>
  <c r="H821" i="1" s="1"/>
  <c r="G821" i="1" a="1"/>
  <c r="G821" i="1" s="1"/>
  <c r="C821" i="1" a="1"/>
  <c r="C821" i="1" s="1"/>
  <c r="S821" i="1"/>
  <c r="B821" i="1" a="1"/>
  <c r="B821" i="1" s="1"/>
  <c r="P822" i="1"/>
  <c r="B822" i="1" a="1"/>
  <c r="B822" i="1" s="1"/>
  <c r="M822" i="1"/>
  <c r="L822" i="1"/>
  <c r="K822" i="1"/>
  <c r="L841" i="1"/>
  <c r="J841" i="1"/>
  <c r="H841" i="1" a="1"/>
  <c r="H841" i="1" s="1"/>
  <c r="F841" i="1" a="1"/>
  <c r="F841" i="1" s="1"/>
  <c r="I846" i="1"/>
  <c r="P846" i="1"/>
  <c r="G846" i="1" a="1"/>
  <c r="G846" i="1" s="1"/>
  <c r="E846" i="1" a="1"/>
  <c r="E846" i="1" s="1"/>
  <c r="V4" i="3" a="1"/>
  <c r="V4" i="3" s="1"/>
  <c r="K6" i="3" a="1"/>
  <c r="K6" i="3" s="1"/>
  <c r="M6" i="3" s="1"/>
  <c r="Q64" i="3"/>
  <c r="P64" i="3"/>
  <c r="S64" i="3" s="1"/>
  <c r="AB64" i="3"/>
  <c r="Q76" i="3"/>
  <c r="P76" i="3"/>
  <c r="S76" i="3" s="1"/>
  <c r="R80" i="3" a="1"/>
  <c r="R80" i="3" s="1"/>
  <c r="O80" i="3" a="1"/>
  <c r="O80" i="3" s="1"/>
  <c r="K80" i="3" a="1"/>
  <c r="K80" i="3" s="1"/>
  <c r="M80" i="3" s="1"/>
  <c r="J80" i="3" a="1"/>
  <c r="J80" i="3" s="1"/>
  <c r="AA88" i="3"/>
  <c r="AC88" i="3"/>
  <c r="K90" i="3" a="1"/>
  <c r="K90" i="3" s="1"/>
  <c r="M90" i="3" s="1"/>
  <c r="J90" i="3" a="1"/>
  <c r="J90" i="3" s="1"/>
  <c r="V90" i="3" a="1"/>
  <c r="V90" i="3" s="1"/>
  <c r="R90" i="3" a="1"/>
  <c r="R90" i="3" s="1"/>
  <c r="O90" i="3" a="1"/>
  <c r="O90" i="3" s="1"/>
  <c r="R98" i="3" a="1"/>
  <c r="R98" i="3" s="1"/>
  <c r="O98" i="3" a="1"/>
  <c r="O98" i="3" s="1"/>
  <c r="V98" i="3" a="1"/>
  <c r="V98" i="3" s="1"/>
  <c r="K98" i="3" a="1"/>
  <c r="K98" i="3" s="1"/>
  <c r="M98" i="3" s="1"/>
  <c r="J98" i="3" a="1"/>
  <c r="J98" i="3" s="1"/>
  <c r="R130" i="3" a="1"/>
  <c r="R130" i="3" s="1"/>
  <c r="R134" i="3" a="1"/>
  <c r="R134" i="3" s="1"/>
  <c r="R138" i="3" a="1"/>
  <c r="R138" i="3" s="1"/>
  <c r="R148" i="3" a="1"/>
  <c r="R148" i="3" s="1"/>
  <c r="O148" i="3" a="1"/>
  <c r="O148" i="3" s="1"/>
  <c r="V148" i="3" a="1"/>
  <c r="V148" i="3" s="1"/>
  <c r="T160" i="3"/>
  <c r="Q162" i="3"/>
  <c r="AB162" i="3"/>
  <c r="J172" i="3" a="1"/>
  <c r="J172" i="3" s="1"/>
  <c r="T181" i="3"/>
  <c r="AA187" i="3"/>
  <c r="AC187" i="3"/>
  <c r="V225" i="3" a="1"/>
  <c r="V225" i="3" s="1"/>
  <c r="V238" i="3" a="1"/>
  <c r="V238" i="3" s="1"/>
  <c r="AC256" i="3"/>
  <c r="AA256" i="3"/>
  <c r="J298" i="3" a="1"/>
  <c r="J298" i="3" s="1"/>
  <c r="O332" i="3" a="1"/>
  <c r="O332" i="3" s="1"/>
  <c r="J332" i="3" a="1"/>
  <c r="J332" i="3" s="1"/>
  <c r="R332" i="3" a="1"/>
  <c r="R332" i="3" s="1"/>
  <c r="K332" i="3" a="1"/>
  <c r="K332" i="3" s="1"/>
  <c r="M332" i="3" s="1"/>
  <c r="K355" i="3" a="1"/>
  <c r="K355" i="3" s="1"/>
  <c r="M355" i="3" s="1"/>
  <c r="R422" i="3" a="1"/>
  <c r="R422" i="3" s="1"/>
  <c r="O435" i="3" a="1"/>
  <c r="O435" i="3" s="1"/>
  <c r="V444" i="3" a="1"/>
  <c r="V444" i="3" s="1"/>
  <c r="R444" i="3" a="1"/>
  <c r="R444" i="3" s="1"/>
  <c r="J465" i="3" a="1"/>
  <c r="J465" i="3" s="1"/>
  <c r="Q470" i="3"/>
  <c r="O536" i="3" a="1"/>
  <c r="O536" i="3" s="1"/>
  <c r="O544" i="3" a="1"/>
  <c r="O544" i="3" s="1"/>
  <c r="H63" i="11" a="1"/>
  <c r="H63" i="11" s="1"/>
  <c r="H142" i="11" a="1"/>
  <c r="H142" i="11" s="1"/>
  <c r="A206" i="4"/>
  <c r="E406" i="3" s="1" a="1"/>
  <c r="E406" i="3" s="1"/>
  <c r="A822" i="5" a="1"/>
  <c r="A822" i="5" s="1"/>
  <c r="X418" i="3" a="1"/>
  <c r="X418" i="3" s="1"/>
  <c r="X413" i="3" a="1"/>
  <c r="X413" i="3" s="1"/>
  <c r="X410" i="3" a="1"/>
  <c r="X410" i="3" s="1"/>
  <c r="X354" i="3" a="1"/>
  <c r="X354" i="3" s="1"/>
  <c r="X344" i="3" a="1"/>
  <c r="X344" i="3" s="1"/>
  <c r="X306" i="3" a="1"/>
  <c r="X306" i="3" s="1"/>
  <c r="X118" i="3" a="1"/>
  <c r="X118" i="3" s="1"/>
  <c r="X113" i="3" a="1"/>
  <c r="X113" i="3" s="1"/>
  <c r="P135" i="6" a="1"/>
  <c r="P135" i="6" s="1"/>
  <c r="Q135" i="6" s="1"/>
  <c r="X528" i="3" a="1"/>
  <c r="X528" i="3" s="1"/>
  <c r="X396" i="3" a="1"/>
  <c r="X396" i="3" s="1"/>
  <c r="X697" i="3" a="1"/>
  <c r="X697" i="3" s="1"/>
  <c r="X356" i="3" a="1"/>
  <c r="X356" i="3" s="1"/>
  <c r="X226" i="3" a="1"/>
  <c r="X226" i="3" s="1"/>
  <c r="X165" i="3" a="1"/>
  <c r="X165" i="3" s="1"/>
  <c r="X114" i="3" a="1"/>
  <c r="X114" i="3" s="1"/>
  <c r="X109" i="3" a="1"/>
  <c r="X109" i="3" s="1"/>
  <c r="X343" i="3" a="1"/>
  <c r="X343" i="3" s="1"/>
  <c r="X308" i="3" a="1"/>
  <c r="X308" i="3" s="1"/>
  <c r="P45" i="6" a="1"/>
  <c r="P45" i="6" s="1"/>
  <c r="Q45" i="6" s="1"/>
  <c r="R658" i="3" s="1" a="1"/>
  <c r="R658" i="3" s="1"/>
  <c r="X506" i="3" a="1"/>
  <c r="X506" i="3" s="1"/>
  <c r="X324" i="3" a="1"/>
  <c r="X324" i="3" s="1"/>
  <c r="X270" i="3" a="1"/>
  <c r="X270" i="3" s="1"/>
  <c r="X166" i="3" a="1"/>
  <c r="X166" i="3" s="1"/>
  <c r="X137" i="3" a="1"/>
  <c r="X137" i="3" s="1"/>
  <c r="X110" i="3" a="1"/>
  <c r="X110" i="3" s="1"/>
  <c r="L203" i="11" a="1"/>
  <c r="L203" i="11" s="1"/>
  <c r="H203" i="11" a="1"/>
  <c r="H203" i="11" s="1"/>
  <c r="E428" i="14" a="1"/>
  <c r="E428" i="14" s="1"/>
  <c r="Q48" i="3"/>
  <c r="P48" i="3"/>
  <c r="S48" i="3" s="1"/>
  <c r="AB48" i="3"/>
  <c r="AC61" i="3"/>
  <c r="AA61" i="3"/>
  <c r="S2" i="1"/>
  <c r="C17" i="1" a="1"/>
  <c r="C17" i="1" s="1"/>
  <c r="C33" i="1" a="1"/>
  <c r="C33" i="1" s="1"/>
  <c r="S33" i="1"/>
  <c r="C2" i="1" a="1"/>
  <c r="C2" i="1" s="1"/>
  <c r="F12" i="1" a="1"/>
  <c r="F12" i="1" s="1"/>
  <c r="C24" i="1" a="1"/>
  <c r="C24" i="1" s="1"/>
  <c r="S24" i="1"/>
  <c r="C40" i="1" a="1"/>
  <c r="C40" i="1" s="1"/>
  <c r="S40" i="1"/>
  <c r="F44" i="1" a="1"/>
  <c r="F44" i="1" s="1"/>
  <c r="E61" i="1" a="1"/>
  <c r="E61" i="1" s="1"/>
  <c r="B69" i="1" a="1"/>
  <c r="B69" i="1" s="1"/>
  <c r="M72" i="1"/>
  <c r="B76" i="1" a="1"/>
  <c r="B76" i="1" s="1"/>
  <c r="E93" i="1" a="1"/>
  <c r="E93" i="1" s="1"/>
  <c r="B101" i="1" a="1"/>
  <c r="B101" i="1" s="1"/>
  <c r="M104" i="1"/>
  <c r="E118" i="1" a="1"/>
  <c r="E118" i="1" s="1"/>
  <c r="E125" i="1" a="1"/>
  <c r="E125" i="1" s="1"/>
  <c r="B133" i="1" a="1"/>
  <c r="B133" i="1" s="1"/>
  <c r="M136" i="1"/>
  <c r="B140" i="1" a="1"/>
  <c r="B140" i="1" s="1"/>
  <c r="S143" i="1"/>
  <c r="C143" i="1" a="1"/>
  <c r="C143" i="1" s="1"/>
  <c r="L143" i="1"/>
  <c r="E150" i="1" a="1"/>
  <c r="E150" i="1" s="1"/>
  <c r="E157" i="1" a="1"/>
  <c r="E157" i="1" s="1"/>
  <c r="B165" i="1" a="1"/>
  <c r="B165" i="1" s="1"/>
  <c r="M168" i="1"/>
  <c r="B172" i="1" a="1"/>
  <c r="B172" i="1" s="1"/>
  <c r="S175" i="1"/>
  <c r="C175" i="1" a="1"/>
  <c r="C175" i="1" s="1"/>
  <c r="L175" i="1"/>
  <c r="E182" i="1" a="1"/>
  <c r="E182" i="1" s="1"/>
  <c r="P183" i="1"/>
  <c r="E189" i="1" a="1"/>
  <c r="E189" i="1" s="1"/>
  <c r="B197" i="1" a="1"/>
  <c r="B197" i="1" s="1"/>
  <c r="S197" i="1"/>
  <c r="E203" i="1" a="1"/>
  <c r="E203" i="1" s="1"/>
  <c r="P204" i="1"/>
  <c r="E210" i="1" a="1"/>
  <c r="E210" i="1" s="1"/>
  <c r="P211" i="1"/>
  <c r="P214" i="1"/>
  <c r="K214" i="1"/>
  <c r="E224" i="1" a="1"/>
  <c r="E224" i="1" s="1"/>
  <c r="S225" i="1"/>
  <c r="M228" i="1"/>
  <c r="I228" i="1"/>
  <c r="L235" i="1"/>
  <c r="H235" i="1" a="1"/>
  <c r="H235" i="1" s="1"/>
  <c r="O243" i="1"/>
  <c r="E249" i="1" a="1"/>
  <c r="E249" i="1" s="1"/>
  <c r="P257" i="1"/>
  <c r="E263" i="1" a="1"/>
  <c r="E263" i="1" s="1"/>
  <c r="B264" i="1" a="1"/>
  <c r="B264" i="1" s="1"/>
  <c r="S264" i="1"/>
  <c r="P271" i="1"/>
  <c r="C274" i="1" a="1"/>
  <c r="C274" i="1" s="1"/>
  <c r="M275" i="1"/>
  <c r="J281" i="1"/>
  <c r="G281" i="1" a="1"/>
  <c r="G281" i="1" s="1"/>
  <c r="S285" i="1"/>
  <c r="C288" i="1" a="1"/>
  <c r="C288" i="1" s="1"/>
  <c r="M289" i="1"/>
  <c r="H295" i="1" a="1"/>
  <c r="H295" i="1" s="1"/>
  <c r="F295" i="1" a="1"/>
  <c r="F295" i="1" s="1"/>
  <c r="P296" i="1"/>
  <c r="B299" i="1" a="1"/>
  <c r="B299" i="1" s="1"/>
  <c r="S299" i="1"/>
  <c r="M303" i="1"/>
  <c r="B306" i="1" a="1"/>
  <c r="B306" i="1" s="1"/>
  <c r="S306" i="1"/>
  <c r="G309" i="1" a="1"/>
  <c r="G309" i="1" s="1"/>
  <c r="E309" i="1" a="1"/>
  <c r="E309" i="1" s="1"/>
  <c r="O310" i="1"/>
  <c r="P317" i="1"/>
  <c r="E323" i="1" a="1"/>
  <c r="E323" i="1" s="1"/>
  <c r="B324" i="1" a="1"/>
  <c r="B324" i="1" s="1"/>
  <c r="S324" i="1"/>
  <c r="O328" i="1"/>
  <c r="P331" i="1"/>
  <c r="P338" i="1"/>
  <c r="M342" i="1"/>
  <c r="B345" i="1" a="1"/>
  <c r="B345" i="1" s="1"/>
  <c r="S345" i="1"/>
  <c r="M349" i="1"/>
  <c r="B352" i="1" a="1"/>
  <c r="B352" i="1" s="1"/>
  <c r="S352" i="1"/>
  <c r="F355" i="1" a="1"/>
  <c r="F355" i="1" s="1"/>
  <c r="S355" i="1"/>
  <c r="C355" i="1" a="1"/>
  <c r="C355" i="1" s="1"/>
  <c r="P356" i="1"/>
  <c r="P363" i="1"/>
  <c r="P370" i="1"/>
  <c r="M374" i="1"/>
  <c r="B377" i="1" a="1"/>
  <c r="B377" i="1" s="1"/>
  <c r="S377" i="1"/>
  <c r="E383" i="1" a="1"/>
  <c r="E383" i="1" s="1"/>
  <c r="P384" i="1"/>
  <c r="O388" i="1"/>
  <c r="B391" i="1" a="1"/>
  <c r="B391" i="1" s="1"/>
  <c r="S391" i="1"/>
  <c r="O395" i="1"/>
  <c r="E401" i="1" a="1"/>
  <c r="E401" i="1" s="1"/>
  <c r="O401" i="1"/>
  <c r="B401" i="1" a="1"/>
  <c r="B401" i="1" s="1"/>
  <c r="O402" i="1"/>
  <c r="P409" i="1"/>
  <c r="E415" i="1" a="1"/>
  <c r="E415" i="1" s="1"/>
  <c r="P416" i="1"/>
  <c r="P420" i="1"/>
  <c r="O425" i="1"/>
  <c r="P429" i="1"/>
  <c r="O434" i="1"/>
  <c r="P443" i="1"/>
  <c r="E451" i="1" a="1"/>
  <c r="E451" i="1" s="1"/>
  <c r="E456" i="1" a="1"/>
  <c r="E456" i="1" s="1"/>
  <c r="S457" i="1"/>
  <c r="E465" i="1" a="1"/>
  <c r="E465" i="1" s="1"/>
  <c r="P465" i="1"/>
  <c r="O465" i="1"/>
  <c r="B465" i="1" a="1"/>
  <c r="B465" i="1" s="1"/>
  <c r="P466" i="1"/>
  <c r="O471" i="1"/>
  <c r="P475" i="1"/>
  <c r="E483" i="1" a="1"/>
  <c r="E483" i="1" s="1"/>
  <c r="E488" i="1" a="1"/>
  <c r="E488" i="1" s="1"/>
  <c r="S489" i="1"/>
  <c r="E497" i="1" a="1"/>
  <c r="E497" i="1" s="1"/>
  <c r="P497" i="1"/>
  <c r="O497" i="1"/>
  <c r="B497" i="1" a="1"/>
  <c r="B497" i="1" s="1"/>
  <c r="P498" i="1"/>
  <c r="O503" i="1"/>
  <c r="S507" i="1"/>
  <c r="O512" i="1"/>
  <c r="S530" i="1"/>
  <c r="P534" i="1"/>
  <c r="L534" i="1"/>
  <c r="K534" i="1"/>
  <c r="P535" i="1"/>
  <c r="S539" i="1"/>
  <c r="O544" i="1"/>
  <c r="S562" i="1"/>
  <c r="P566" i="1"/>
  <c r="L566" i="1"/>
  <c r="K566" i="1"/>
  <c r="P567" i="1"/>
  <c r="S575" i="1"/>
  <c r="C575" i="1" a="1"/>
  <c r="C575" i="1" s="1"/>
  <c r="M575" i="1"/>
  <c r="L575" i="1"/>
  <c r="P576" i="1"/>
  <c r="M580" i="1"/>
  <c r="J580" i="1"/>
  <c r="I580" i="1"/>
  <c r="O589" i="1"/>
  <c r="B589" i="1" a="1"/>
  <c r="B589" i="1" s="1"/>
  <c r="K589" i="1"/>
  <c r="J589" i="1"/>
  <c r="O595" i="1"/>
  <c r="P600" i="1"/>
  <c r="O604" i="1"/>
  <c r="S608" i="1"/>
  <c r="L609" i="1"/>
  <c r="J617" i="1"/>
  <c r="G617" i="1" a="1"/>
  <c r="G617" i="1" s="1"/>
  <c r="O621" i="1"/>
  <c r="B621" i="1" a="1"/>
  <c r="B621" i="1" s="1"/>
  <c r="K621" i="1"/>
  <c r="J621" i="1"/>
  <c r="O627" i="1"/>
  <c r="P632" i="1"/>
  <c r="O636" i="1"/>
  <c r="S640" i="1"/>
  <c r="L641" i="1"/>
  <c r="J649" i="1"/>
  <c r="G649" i="1" a="1"/>
  <c r="G649" i="1" s="1"/>
  <c r="O653" i="1"/>
  <c r="B653" i="1" a="1"/>
  <c r="B653" i="1" s="1"/>
  <c r="K653" i="1"/>
  <c r="J653" i="1"/>
  <c r="O659" i="1"/>
  <c r="P664" i="1"/>
  <c r="L667" i="1"/>
  <c r="I667" i="1"/>
  <c r="H667" i="1" a="1"/>
  <c r="H667" i="1" s="1"/>
  <c r="P668" i="1"/>
  <c r="M673" i="1"/>
  <c r="M678" i="1"/>
  <c r="K687" i="1"/>
  <c r="O692" i="1"/>
  <c r="H695" i="1" a="1"/>
  <c r="H695" i="1" s="1"/>
  <c r="F695" i="1" a="1"/>
  <c r="F695" i="1" s="1"/>
  <c r="S700" i="1"/>
  <c r="O710" i="1"/>
  <c r="K719" i="1"/>
  <c r="O724" i="1"/>
  <c r="H727" i="1" a="1"/>
  <c r="H727" i="1" s="1"/>
  <c r="F727" i="1" a="1"/>
  <c r="F727" i="1" s="1"/>
  <c r="C738" i="1" a="1"/>
  <c r="C738" i="1" s="1"/>
  <c r="F739" i="1" a="1"/>
  <c r="F739" i="1" s="1"/>
  <c r="S739" i="1"/>
  <c r="C739" i="1" a="1"/>
  <c r="C739" i="1" s="1"/>
  <c r="P739" i="1"/>
  <c r="P748" i="1"/>
  <c r="P750" i="1"/>
  <c r="M751" i="1"/>
  <c r="E764" i="1" a="1"/>
  <c r="E764" i="1" s="1"/>
  <c r="S764" i="1"/>
  <c r="B764" i="1" a="1"/>
  <c r="B764" i="1" s="1"/>
  <c r="P764" i="1"/>
  <c r="I766" i="1"/>
  <c r="L766" i="1"/>
  <c r="H766" i="1" a="1"/>
  <c r="H766" i="1" s="1"/>
  <c r="G766" i="1" a="1"/>
  <c r="G766" i="1" s="1"/>
  <c r="L793" i="1"/>
  <c r="J793" i="1"/>
  <c r="C793" i="1" a="1"/>
  <c r="C793" i="1" s="1"/>
  <c r="P793" i="1"/>
  <c r="O793" i="1"/>
  <c r="M793" i="1"/>
  <c r="M795" i="1"/>
  <c r="M796" i="1"/>
  <c r="P798" i="1"/>
  <c r="L812" i="1"/>
  <c r="I812" i="1"/>
  <c r="H812" i="1" a="1"/>
  <c r="H812" i="1" s="1"/>
  <c r="G812" i="1" a="1"/>
  <c r="G812" i="1" s="1"/>
  <c r="B818" i="1" a="1"/>
  <c r="B818" i="1" s="1"/>
  <c r="G819" i="1" a="1"/>
  <c r="G819" i="1" s="1"/>
  <c r="F819" i="1" a="1"/>
  <c r="F819" i="1" s="1"/>
  <c r="M819" i="1"/>
  <c r="J819" i="1"/>
  <c r="I819" i="1"/>
  <c r="H819" i="1" a="1"/>
  <c r="H819" i="1" s="1"/>
  <c r="J823" i="1"/>
  <c r="H823" i="1" a="1"/>
  <c r="H823" i="1" s="1"/>
  <c r="L823" i="1"/>
  <c r="G823" i="1" a="1"/>
  <c r="G823" i="1" s="1"/>
  <c r="K825" i="1"/>
  <c r="B841" i="1" a="1"/>
  <c r="B841" i="1" s="1"/>
  <c r="S845" i="1"/>
  <c r="C845" i="1" a="1"/>
  <c r="C845" i="1" s="1"/>
  <c r="O845" i="1"/>
  <c r="B845" i="1" a="1"/>
  <c r="B845" i="1" s="1"/>
  <c r="E845" i="1" a="1"/>
  <c r="E845" i="1" s="1"/>
  <c r="J845" i="1"/>
  <c r="G845" i="1" a="1"/>
  <c r="G845" i="1" s="1"/>
  <c r="M859" i="1"/>
  <c r="L873" i="1"/>
  <c r="J873" i="1"/>
  <c r="I873" i="1"/>
  <c r="G873" i="1" a="1"/>
  <c r="G873" i="1" s="1"/>
  <c r="F873" i="1" a="1"/>
  <c r="F873" i="1" s="1"/>
  <c r="M877" i="1"/>
  <c r="O882" i="1"/>
  <c r="M896" i="1"/>
  <c r="J899" i="1"/>
  <c r="O26" i="3" a="1"/>
  <c r="O26" i="3" s="1"/>
  <c r="Q47" i="3"/>
  <c r="AB47" i="3"/>
  <c r="AC72" i="3"/>
  <c r="K74" i="3" a="1"/>
  <c r="K74" i="3" s="1"/>
  <c r="M74" i="3" s="1"/>
  <c r="J74" i="3" a="1"/>
  <c r="J74" i="3" s="1"/>
  <c r="V74" i="3" a="1"/>
  <c r="V74" i="3" s="1"/>
  <c r="R74" i="3" a="1"/>
  <c r="R74" i="3" s="1"/>
  <c r="O85" i="3" a="1"/>
  <c r="O85" i="3" s="1"/>
  <c r="K85" i="3" a="1"/>
  <c r="K85" i="3" s="1"/>
  <c r="M85" i="3" s="1"/>
  <c r="V85" i="3" a="1"/>
  <c r="V85" i="3" s="1"/>
  <c r="R85" i="3" a="1"/>
  <c r="R85" i="3" s="1"/>
  <c r="J85" i="3" a="1"/>
  <c r="J85" i="3" s="1"/>
  <c r="P88" i="3"/>
  <c r="K157" i="3" a="1"/>
  <c r="K157" i="3" s="1"/>
  <c r="M157" i="3" s="1"/>
  <c r="J157" i="3" a="1"/>
  <c r="J157" i="3" s="1"/>
  <c r="V157" i="3" a="1"/>
  <c r="V157" i="3" s="1"/>
  <c r="R157" i="3" a="1"/>
  <c r="R157" i="3" s="1"/>
  <c r="O157" i="3" a="1"/>
  <c r="O157" i="3" s="1"/>
  <c r="P162" i="3"/>
  <c r="O205" i="3" a="1"/>
  <c r="O205" i="3" s="1"/>
  <c r="K205" i="3" a="1"/>
  <c r="K205" i="3" s="1"/>
  <c r="M205" i="3" s="1"/>
  <c r="J205" i="3" a="1"/>
  <c r="J205" i="3" s="1"/>
  <c r="V205" i="3" a="1"/>
  <c r="V205" i="3" s="1"/>
  <c r="AA216" i="3"/>
  <c r="AC216" i="3"/>
  <c r="R258" i="3" a="1"/>
  <c r="R258" i="3" s="1"/>
  <c r="O258" i="3" a="1"/>
  <c r="O258" i="3" s="1"/>
  <c r="K258" i="3" a="1"/>
  <c r="K258" i="3" s="1"/>
  <c r="M258" i="3" s="1"/>
  <c r="V258" i="3" a="1"/>
  <c r="V258" i="3" s="1"/>
  <c r="O288" i="3" a="1"/>
  <c r="O288" i="3" s="1"/>
  <c r="K381" i="3" a="1"/>
  <c r="K381" i="3" s="1"/>
  <c r="M381" i="3" s="1"/>
  <c r="E385" i="3" a="1"/>
  <c r="E385" i="3" s="1"/>
  <c r="R388" i="3" a="1"/>
  <c r="R388" i="3" s="1"/>
  <c r="O392" i="3" a="1"/>
  <c r="O392" i="3" s="1"/>
  <c r="O427" i="3" a="1"/>
  <c r="O427" i="3" s="1"/>
  <c r="J444" i="3" a="1"/>
  <c r="J444" i="3" s="1"/>
  <c r="G489" i="3" a="1"/>
  <c r="G489" i="3" s="1"/>
  <c r="G509" i="3" a="1"/>
  <c r="G509" i="3" s="1"/>
  <c r="K545" i="3" a="1"/>
  <c r="K545" i="3" s="1"/>
  <c r="M545" i="3" s="1"/>
  <c r="O586" i="3" a="1"/>
  <c r="O586" i="3" s="1"/>
  <c r="O593" i="3" a="1"/>
  <c r="O593" i="3" s="1"/>
  <c r="N87" i="6" a="1"/>
  <c r="N87" i="6" s="1"/>
  <c r="C171" i="6"/>
  <c r="B171" i="6"/>
  <c r="D171" i="6" s="1"/>
  <c r="E171" i="6" s="1"/>
  <c r="G9" i="7"/>
  <c r="L255" i="11" a="1"/>
  <c r="L255" i="11" s="1"/>
  <c r="H255" i="11" a="1"/>
  <c r="H255" i="11" s="1"/>
  <c r="M973" i="11"/>
  <c r="L973" i="11" a="1"/>
  <c r="L973" i="11" s="1"/>
  <c r="I973" i="11"/>
  <c r="H973" i="11" a="1"/>
  <c r="H973" i="11" s="1"/>
  <c r="S10" i="1"/>
  <c r="E7" i="1" a="1"/>
  <c r="E7" i="1" s="1"/>
  <c r="C10" i="1" a="1"/>
  <c r="C10" i="1" s="1"/>
  <c r="F28" i="1" a="1"/>
  <c r="F28" i="1" s="1"/>
  <c r="C56" i="1" a="1"/>
  <c r="C56" i="1" s="1"/>
  <c r="S56" i="1"/>
  <c r="S79" i="1"/>
  <c r="C79" i="1" a="1"/>
  <c r="C79" i="1" s="1"/>
  <c r="L79" i="1"/>
  <c r="E86" i="1" a="1"/>
  <c r="E86" i="1" s="1"/>
  <c r="B108" i="1" a="1"/>
  <c r="B108" i="1" s="1"/>
  <c r="S111" i="1"/>
  <c r="C111" i="1" a="1"/>
  <c r="C111" i="1" s="1"/>
  <c r="L111" i="1"/>
  <c r="C15" i="1" a="1"/>
  <c r="C15" i="1" s="1"/>
  <c r="E17" i="1" a="1"/>
  <c r="E17" i="1" s="1"/>
  <c r="C31" i="1" a="1"/>
  <c r="C31" i="1" s="1"/>
  <c r="E33" i="1" a="1"/>
  <c r="E33" i="1" s="1"/>
  <c r="C47" i="1" a="1"/>
  <c r="C47" i="1" s="1"/>
  <c r="E49" i="1" a="1"/>
  <c r="E49" i="1" s="1"/>
  <c r="E65" i="1" a="1"/>
  <c r="E65" i="1" s="1"/>
  <c r="O65" i="1"/>
  <c r="B65" i="1" a="1"/>
  <c r="B65" i="1" s="1"/>
  <c r="E79" i="1" a="1"/>
  <c r="E79" i="1" s="1"/>
  <c r="B87" i="1" a="1"/>
  <c r="B87" i="1" s="1"/>
  <c r="P90" i="1"/>
  <c r="E97" i="1" a="1"/>
  <c r="E97" i="1" s="1"/>
  <c r="O97" i="1"/>
  <c r="B97" i="1" a="1"/>
  <c r="B97" i="1" s="1"/>
  <c r="E111" i="1" a="1"/>
  <c r="E111" i="1" s="1"/>
  <c r="B119" i="1" a="1"/>
  <c r="B119" i="1" s="1"/>
  <c r="P122" i="1"/>
  <c r="E129" i="1" a="1"/>
  <c r="E129" i="1" s="1"/>
  <c r="O129" i="1"/>
  <c r="B129" i="1" a="1"/>
  <c r="B129" i="1" s="1"/>
  <c r="E143" i="1" a="1"/>
  <c r="E143" i="1" s="1"/>
  <c r="B151" i="1" a="1"/>
  <c r="B151" i="1" s="1"/>
  <c r="E161" i="1" a="1"/>
  <c r="E161" i="1" s="1"/>
  <c r="O161" i="1"/>
  <c r="B161" i="1" a="1"/>
  <c r="B161" i="1" s="1"/>
  <c r="E175" i="1" a="1"/>
  <c r="E175" i="1" s="1"/>
  <c r="P176" i="1"/>
  <c r="B183" i="1" a="1"/>
  <c r="B183" i="1" s="1"/>
  <c r="E193" i="1" a="1"/>
  <c r="E193" i="1" s="1"/>
  <c r="O193" i="1"/>
  <c r="B193" i="1" a="1"/>
  <c r="B193" i="1" s="1"/>
  <c r="P201" i="1"/>
  <c r="B204" i="1" a="1"/>
  <c r="B204" i="1" s="1"/>
  <c r="S207" i="1"/>
  <c r="C207" i="1" a="1"/>
  <c r="C207" i="1" s="1"/>
  <c r="L207" i="1"/>
  <c r="E214" i="1" a="1"/>
  <c r="E214" i="1" s="1"/>
  <c r="O221" i="1"/>
  <c r="B221" i="1" a="1"/>
  <c r="B221" i="1" s="1"/>
  <c r="J221" i="1"/>
  <c r="E228" i="1" a="1"/>
  <c r="E228" i="1" s="1"/>
  <c r="P229" i="1"/>
  <c r="E235" i="1" a="1"/>
  <c r="E235" i="1" s="1"/>
  <c r="P236" i="1"/>
  <c r="E242" i="1" a="1"/>
  <c r="E242" i="1" s="1"/>
  <c r="P243" i="1"/>
  <c r="P246" i="1"/>
  <c r="K246" i="1"/>
  <c r="M260" i="1"/>
  <c r="I260" i="1"/>
  <c r="L267" i="1"/>
  <c r="H267" i="1" a="1"/>
  <c r="H267" i="1" s="1"/>
  <c r="O275" i="1"/>
  <c r="F284" i="1" a="1"/>
  <c r="F284" i="1" s="1"/>
  <c r="P289" i="1"/>
  <c r="B296" i="1" a="1"/>
  <c r="B296" i="1" s="1"/>
  <c r="S296" i="1"/>
  <c r="O303" i="1"/>
  <c r="S310" i="1"/>
  <c r="H327" i="1" a="1"/>
  <c r="H327" i="1" s="1"/>
  <c r="F327" i="1" a="1"/>
  <c r="F327" i="1" s="1"/>
  <c r="B331" i="1" a="1"/>
  <c r="B331" i="1" s="1"/>
  <c r="F337" i="1" a="1"/>
  <c r="F337" i="1" s="1"/>
  <c r="B338" i="1" a="1"/>
  <c r="B338" i="1" s="1"/>
  <c r="S338" i="1"/>
  <c r="G341" i="1" a="1"/>
  <c r="G341" i="1" s="1"/>
  <c r="E341" i="1" a="1"/>
  <c r="E341" i="1" s="1"/>
  <c r="B356" i="1" a="1"/>
  <c r="B356" i="1" s="1"/>
  <c r="B363" i="1" a="1"/>
  <c r="B363" i="1" s="1"/>
  <c r="F369" i="1" a="1"/>
  <c r="F369" i="1" s="1"/>
  <c r="B370" i="1" a="1"/>
  <c r="B370" i="1" s="1"/>
  <c r="S370" i="1"/>
  <c r="G373" i="1" a="1"/>
  <c r="G373" i="1" s="1"/>
  <c r="E373" i="1" a="1"/>
  <c r="E373" i="1" s="1"/>
  <c r="B384" i="1" a="1"/>
  <c r="B384" i="1" s="1"/>
  <c r="S384" i="1"/>
  <c r="F387" i="1" a="1"/>
  <c r="F387" i="1" s="1"/>
  <c r="S387" i="1"/>
  <c r="C387" i="1" a="1"/>
  <c r="C387" i="1" s="1"/>
  <c r="P395" i="1"/>
  <c r="F408" i="1" a="1"/>
  <c r="F408" i="1" s="1"/>
  <c r="B409" i="1" a="1"/>
  <c r="B409" i="1" s="1"/>
  <c r="B416" i="1" a="1"/>
  <c r="B416" i="1" s="1"/>
  <c r="S416" i="1"/>
  <c r="F419" i="1" a="1"/>
  <c r="F419" i="1" s="1"/>
  <c r="S419" i="1"/>
  <c r="C419" i="1" a="1"/>
  <c r="C419" i="1" s="1"/>
  <c r="S420" i="1"/>
  <c r="E423" i="1" a="1"/>
  <c r="E423" i="1" s="1"/>
  <c r="O424" i="1"/>
  <c r="B424" i="1" a="1"/>
  <c r="B424" i="1" s="1"/>
  <c r="M424" i="1"/>
  <c r="E432" i="1" a="1"/>
  <c r="E432" i="1" s="1"/>
  <c r="E433" i="1" a="1"/>
  <c r="E433" i="1" s="1"/>
  <c r="P433" i="1"/>
  <c r="O433" i="1"/>
  <c r="B433" i="1" a="1"/>
  <c r="B433" i="1" s="1"/>
  <c r="S443" i="1"/>
  <c r="S466" i="1"/>
  <c r="P470" i="1"/>
  <c r="L470" i="1"/>
  <c r="K470" i="1"/>
  <c r="P471" i="1"/>
  <c r="S475" i="1"/>
  <c r="S498" i="1"/>
  <c r="P502" i="1"/>
  <c r="L502" i="1"/>
  <c r="K502" i="1"/>
  <c r="P503" i="1"/>
  <c r="S511" i="1"/>
  <c r="C511" i="1" a="1"/>
  <c r="C511" i="1" s="1"/>
  <c r="M511" i="1"/>
  <c r="L511" i="1"/>
  <c r="P512" i="1"/>
  <c r="M516" i="1"/>
  <c r="J516" i="1"/>
  <c r="I516" i="1"/>
  <c r="F524" i="1" a="1"/>
  <c r="F524" i="1" s="1"/>
  <c r="S535" i="1"/>
  <c r="S543" i="1"/>
  <c r="C543" i="1" a="1"/>
  <c r="C543" i="1" s="1"/>
  <c r="M543" i="1"/>
  <c r="L543" i="1"/>
  <c r="P544" i="1"/>
  <c r="M548" i="1"/>
  <c r="J548" i="1"/>
  <c r="I548" i="1"/>
  <c r="F556" i="1" a="1"/>
  <c r="F556" i="1" s="1"/>
  <c r="S567" i="1"/>
  <c r="S576" i="1"/>
  <c r="J585" i="1"/>
  <c r="G585" i="1" a="1"/>
  <c r="G585" i="1" s="1"/>
  <c r="K594" i="1"/>
  <c r="H594" i="1" a="1"/>
  <c r="H594" i="1" s="1"/>
  <c r="L603" i="1"/>
  <c r="I603" i="1"/>
  <c r="H603" i="1" a="1"/>
  <c r="H603" i="1" s="1"/>
  <c r="P604" i="1"/>
  <c r="E607" i="1" a="1"/>
  <c r="E607" i="1" s="1"/>
  <c r="M609" i="1"/>
  <c r="E612" i="1" a="1"/>
  <c r="E612" i="1" s="1"/>
  <c r="K626" i="1"/>
  <c r="H626" i="1" a="1"/>
  <c r="H626" i="1" s="1"/>
  <c r="L635" i="1"/>
  <c r="I635" i="1"/>
  <c r="H635" i="1" a="1"/>
  <c r="H635" i="1" s="1"/>
  <c r="E639" i="1" a="1"/>
  <c r="E639" i="1" s="1"/>
  <c r="E644" i="1" a="1"/>
  <c r="E644" i="1" s="1"/>
  <c r="K658" i="1"/>
  <c r="H658" i="1" a="1"/>
  <c r="H658" i="1" s="1"/>
  <c r="S668" i="1"/>
  <c r="O678" i="1"/>
  <c r="E681" i="1" a="1"/>
  <c r="E681" i="1" s="1"/>
  <c r="O687" i="1"/>
  <c r="E690" i="1" a="1"/>
  <c r="E690" i="1" s="1"/>
  <c r="P692" i="1"/>
  <c r="E699" i="1" a="1"/>
  <c r="E699" i="1" s="1"/>
  <c r="B700" i="1" a="1"/>
  <c r="B700" i="1" s="1"/>
  <c r="I704" i="1"/>
  <c r="G704" i="1" a="1"/>
  <c r="G704" i="1" s="1"/>
  <c r="E722" i="1" a="1"/>
  <c r="E722" i="1" s="1"/>
  <c r="P724" i="1"/>
  <c r="E731" i="1" a="1"/>
  <c r="E731" i="1" s="1"/>
  <c r="E732" i="1" a="1"/>
  <c r="E732" i="1" s="1"/>
  <c r="S732" i="1"/>
  <c r="C732" i="1" a="1"/>
  <c r="C732" i="1" s="1"/>
  <c r="F755" i="1" a="1"/>
  <c r="F755" i="1" s="1"/>
  <c r="C755" i="1" a="1"/>
  <c r="C755" i="1" s="1"/>
  <c r="O755" i="1"/>
  <c r="M755" i="1"/>
  <c r="L755" i="1"/>
  <c r="O763" i="1"/>
  <c r="B763" i="1" a="1"/>
  <c r="B763" i="1" s="1"/>
  <c r="L763" i="1"/>
  <c r="F763" i="1" a="1"/>
  <c r="F763" i="1" s="1"/>
  <c r="E763" i="1" a="1"/>
  <c r="E763" i="1" s="1"/>
  <c r="P795" i="1"/>
  <c r="C811" i="1" a="1"/>
  <c r="C811" i="1" s="1"/>
  <c r="B820" i="1" a="1"/>
  <c r="B820" i="1" s="1"/>
  <c r="C822" i="1" a="1"/>
  <c r="C822" i="1" s="1"/>
  <c r="B846" i="1" a="1"/>
  <c r="B846" i="1" s="1"/>
  <c r="L857" i="1"/>
  <c r="J857" i="1"/>
  <c r="M857" i="1"/>
  <c r="P857" i="1"/>
  <c r="O857" i="1"/>
  <c r="K857" i="1"/>
  <c r="D17" i="2" a="1"/>
  <c r="D17" i="2" s="1"/>
  <c r="D23" i="2" a="1"/>
  <c r="D23" i="2" s="1"/>
  <c r="E30" i="2" a="1"/>
  <c r="E30" i="2" s="1"/>
  <c r="D33" i="2" a="1"/>
  <c r="D33" i="2" s="1"/>
  <c r="E42" i="2" a="1"/>
  <c r="E42" i="2" s="1"/>
  <c r="K3" i="3" a="1"/>
  <c r="K3" i="3" s="1"/>
  <c r="M3" i="3" s="1"/>
  <c r="V9" i="3" a="1"/>
  <c r="V9" i="3" s="1"/>
  <c r="K11" i="3" a="1"/>
  <c r="K11" i="3" s="1"/>
  <c r="M11" i="3" s="1"/>
  <c r="R14" i="3" a="1"/>
  <c r="R14" i="3" s="1"/>
  <c r="R33" i="3" a="1"/>
  <c r="R33" i="3" s="1"/>
  <c r="O33" i="3" a="1"/>
  <c r="O33" i="3" s="1"/>
  <c r="J33" i="3" a="1"/>
  <c r="J33" i="3" s="1"/>
  <c r="Q51" i="3"/>
  <c r="P51" i="3"/>
  <c r="S51" i="3" s="1"/>
  <c r="AB51" i="3"/>
  <c r="O70" i="3" a="1"/>
  <c r="O70" i="3" s="1"/>
  <c r="J70" i="3" a="1"/>
  <c r="J70" i="3" s="1"/>
  <c r="R70" i="3" a="1"/>
  <c r="R70" i="3" s="1"/>
  <c r="K70" i="3" a="1"/>
  <c r="K70" i="3" s="1"/>
  <c r="M70" i="3" s="1"/>
  <c r="Q88" i="3"/>
  <c r="O116" i="3" a="1"/>
  <c r="O116" i="3" s="1"/>
  <c r="O120" i="3" a="1"/>
  <c r="O120" i="3" s="1"/>
  <c r="O124" i="3" a="1"/>
  <c r="O124" i="3" s="1"/>
  <c r="O128" i="3" a="1"/>
  <c r="O128" i="3" s="1"/>
  <c r="O132" i="3" a="1"/>
  <c r="O132" i="3" s="1"/>
  <c r="T145" i="3"/>
  <c r="J148" i="3" a="1"/>
  <c r="J148" i="3" s="1"/>
  <c r="K166" i="3" a="1"/>
  <c r="K166" i="3" s="1"/>
  <c r="M166" i="3" s="1"/>
  <c r="P175" i="3"/>
  <c r="S175" i="3" s="1"/>
  <c r="AB175" i="3"/>
  <c r="P187" i="3"/>
  <c r="P216" i="3"/>
  <c r="G228" i="3" a="1"/>
  <c r="G228" i="3" s="1"/>
  <c r="P256" i="3"/>
  <c r="S256" i="3" s="1"/>
  <c r="J267" i="3" a="1"/>
  <c r="J267" i="3" s="1"/>
  <c r="V270" i="3" a="1"/>
  <c r="V270" i="3" s="1"/>
  <c r="J278" i="3" a="1"/>
  <c r="J278" i="3" s="1"/>
  <c r="V315" i="3" a="1"/>
  <c r="V315" i="3" s="1"/>
  <c r="V318" i="3" a="1"/>
  <c r="V318" i="3" s="1"/>
  <c r="G323" i="3" a="1"/>
  <c r="G323" i="3" s="1"/>
  <c r="G360" i="3" a="1"/>
  <c r="G360" i="3" s="1"/>
  <c r="O368" i="3" a="1"/>
  <c r="O368" i="3" s="1"/>
  <c r="E401" i="3" a="1"/>
  <c r="E401" i="3" s="1"/>
  <c r="K444" i="3" a="1"/>
  <c r="K444" i="3" s="1"/>
  <c r="M444" i="3" s="1"/>
  <c r="G457" i="3" a="1"/>
  <c r="G457" i="3" s="1"/>
  <c r="K465" i="3" a="1"/>
  <c r="K465" i="3" s="1"/>
  <c r="M465" i="3" s="1"/>
  <c r="J476" i="3" a="1"/>
  <c r="J476" i="3" s="1"/>
  <c r="O530" i="3" a="1"/>
  <c r="O530" i="3" s="1"/>
  <c r="O545" i="3" a="1"/>
  <c r="O545" i="3" s="1"/>
  <c r="K561" i="3" a="1"/>
  <c r="K561" i="3" s="1"/>
  <c r="M561" i="3" s="1"/>
  <c r="X629" i="3" a="1"/>
  <c r="X629" i="3" s="1"/>
  <c r="X672" i="3" a="1"/>
  <c r="X672" i="3" s="1"/>
  <c r="N102" i="6" a="1"/>
  <c r="N102" i="6" s="1"/>
  <c r="B106" i="6"/>
  <c r="D106" i="6" s="1"/>
  <c r="E106" i="6" s="1"/>
  <c r="P165" i="6" a="1"/>
  <c r="P165" i="6" s="1"/>
  <c r="Q165" i="6" s="1"/>
  <c r="R632" i="3" s="1" a="1"/>
  <c r="R632" i="3" s="1"/>
  <c r="H67" i="11" a="1"/>
  <c r="H67" i="11" s="1"/>
  <c r="L67" i="11" a="1"/>
  <c r="L67" i="11" s="1"/>
  <c r="B176" i="1" a="1"/>
  <c r="B176" i="1" s="1"/>
  <c r="F179" i="1" a="1"/>
  <c r="F179" i="1" s="1"/>
  <c r="S179" i="1"/>
  <c r="F182" i="1" a="1"/>
  <c r="F182" i="1" s="1"/>
  <c r="F189" i="1" a="1"/>
  <c r="F189" i="1" s="1"/>
  <c r="F200" i="1" a="1"/>
  <c r="F200" i="1" s="1"/>
  <c r="B201" i="1" a="1"/>
  <c r="B201" i="1" s="1"/>
  <c r="F203" i="1" a="1"/>
  <c r="F203" i="1" s="1"/>
  <c r="E207" i="1" a="1"/>
  <c r="E207" i="1" s="1"/>
  <c r="F210" i="1" a="1"/>
  <c r="F210" i="1" s="1"/>
  <c r="B215" i="1" a="1"/>
  <c r="B215" i="1" s="1"/>
  <c r="E221" i="1" a="1"/>
  <c r="E221" i="1" s="1"/>
  <c r="F224" i="1" a="1"/>
  <c r="F224" i="1" s="1"/>
  <c r="B229" i="1" a="1"/>
  <c r="B229" i="1" s="1"/>
  <c r="B236" i="1" a="1"/>
  <c r="B236" i="1" s="1"/>
  <c r="S239" i="1"/>
  <c r="C239" i="1" a="1"/>
  <c r="C239" i="1" s="1"/>
  <c r="L239" i="1"/>
  <c r="E246" i="1" a="1"/>
  <c r="E246" i="1" s="1"/>
  <c r="F249" i="1" a="1"/>
  <c r="F249" i="1" s="1"/>
  <c r="O253" i="1"/>
  <c r="B253" i="1" a="1"/>
  <c r="B253" i="1" s="1"/>
  <c r="J253" i="1"/>
  <c r="E260" i="1" a="1"/>
  <c r="E260" i="1" s="1"/>
  <c r="C264" i="1" a="1"/>
  <c r="C264" i="1" s="1"/>
  <c r="E267" i="1" a="1"/>
  <c r="E267" i="1" s="1"/>
  <c r="E274" i="1" a="1"/>
  <c r="E274" i="1" s="1"/>
  <c r="P278" i="1"/>
  <c r="K278" i="1"/>
  <c r="G284" i="1" a="1"/>
  <c r="G284" i="1" s="1"/>
  <c r="E288" i="1" a="1"/>
  <c r="E288" i="1" s="1"/>
  <c r="M292" i="1"/>
  <c r="I292" i="1"/>
  <c r="C306" i="1" a="1"/>
  <c r="C306" i="1" s="1"/>
  <c r="J313" i="1"/>
  <c r="G313" i="1" a="1"/>
  <c r="G313" i="1" s="1"/>
  <c r="E327" i="1" a="1"/>
  <c r="E327" i="1" s="1"/>
  <c r="B328" i="1" a="1"/>
  <c r="B328" i="1" s="1"/>
  <c r="S328" i="1"/>
  <c r="C352" i="1" a="1"/>
  <c r="C352" i="1" s="1"/>
  <c r="H359" i="1" a="1"/>
  <c r="H359" i="1" s="1"/>
  <c r="F359" i="1" a="1"/>
  <c r="F359" i="1" s="1"/>
  <c r="F383" i="1" a="1"/>
  <c r="F383" i="1" s="1"/>
  <c r="E387" i="1" a="1"/>
  <c r="E387" i="1" s="1"/>
  <c r="B388" i="1" a="1"/>
  <c r="B388" i="1" s="1"/>
  <c r="B395" i="1" a="1"/>
  <c r="B395" i="1" s="1"/>
  <c r="B402" i="1" a="1"/>
  <c r="B402" i="1" s="1"/>
  <c r="S402" i="1"/>
  <c r="G405" i="1" a="1"/>
  <c r="G405" i="1" s="1"/>
  <c r="E405" i="1" a="1"/>
  <c r="E405" i="1" s="1"/>
  <c r="F415" i="1" a="1"/>
  <c r="F415" i="1" s="1"/>
  <c r="E419" i="1" a="1"/>
  <c r="E419" i="1" s="1"/>
  <c r="E424" i="1" a="1"/>
  <c r="E424" i="1" s="1"/>
  <c r="P438" i="1"/>
  <c r="L438" i="1"/>
  <c r="K438" i="1"/>
  <c r="S447" i="1"/>
  <c r="C447" i="1" a="1"/>
  <c r="C447" i="1" s="1"/>
  <c r="M447" i="1"/>
  <c r="L447" i="1"/>
  <c r="M452" i="1"/>
  <c r="J452" i="1"/>
  <c r="I452" i="1"/>
  <c r="F456" i="1" a="1"/>
  <c r="F456" i="1" s="1"/>
  <c r="S479" i="1"/>
  <c r="C479" i="1" a="1"/>
  <c r="C479" i="1" s="1"/>
  <c r="M479" i="1"/>
  <c r="L479" i="1"/>
  <c r="M484" i="1"/>
  <c r="J484" i="1"/>
  <c r="I484" i="1"/>
  <c r="F488" i="1" a="1"/>
  <c r="F488" i="1" s="1"/>
  <c r="J521" i="1"/>
  <c r="G521" i="1" a="1"/>
  <c r="G521" i="1" s="1"/>
  <c r="G524" i="1" a="1"/>
  <c r="G524" i="1" s="1"/>
  <c r="O525" i="1"/>
  <c r="B525" i="1" a="1"/>
  <c r="B525" i="1" s="1"/>
  <c r="K525" i="1"/>
  <c r="J525" i="1"/>
  <c r="F529" i="1" a="1"/>
  <c r="F529" i="1" s="1"/>
  <c r="J553" i="1"/>
  <c r="G553" i="1" a="1"/>
  <c r="G553" i="1" s="1"/>
  <c r="G556" i="1" a="1"/>
  <c r="G556" i="1" s="1"/>
  <c r="O557" i="1"/>
  <c r="B557" i="1" a="1"/>
  <c r="B557" i="1" s="1"/>
  <c r="K557" i="1"/>
  <c r="J557" i="1"/>
  <c r="F561" i="1" a="1"/>
  <c r="F561" i="1" s="1"/>
  <c r="L571" i="1"/>
  <c r="I571" i="1"/>
  <c r="H571" i="1" a="1"/>
  <c r="H571" i="1" s="1"/>
  <c r="H599" i="1" a="1"/>
  <c r="H599" i="1" s="1"/>
  <c r="F599" i="1" a="1"/>
  <c r="F599" i="1" s="1"/>
  <c r="S604" i="1"/>
  <c r="E617" i="1" a="1"/>
  <c r="E617" i="1" s="1"/>
  <c r="E621" i="1" a="1"/>
  <c r="E621" i="1" s="1"/>
  <c r="H631" i="1" a="1"/>
  <c r="H631" i="1" s="1"/>
  <c r="F631" i="1" a="1"/>
  <c r="F631" i="1" s="1"/>
  <c r="S636" i="1"/>
  <c r="E649" i="1" a="1"/>
  <c r="E649" i="1" s="1"/>
  <c r="E653" i="1" a="1"/>
  <c r="E653" i="1" s="1"/>
  <c r="H663" i="1" a="1"/>
  <c r="H663" i="1" s="1"/>
  <c r="F663" i="1" a="1"/>
  <c r="F663" i="1" s="1"/>
  <c r="B668" i="1" a="1"/>
  <c r="B668" i="1" s="1"/>
  <c r="I672" i="1"/>
  <c r="G672" i="1" a="1"/>
  <c r="G672" i="1" s="1"/>
  <c r="F691" i="1" a="1"/>
  <c r="F691" i="1" s="1"/>
  <c r="S691" i="1"/>
  <c r="C691" i="1" a="1"/>
  <c r="C691" i="1" s="1"/>
  <c r="E695" i="1" a="1"/>
  <c r="E695" i="1" s="1"/>
  <c r="O696" i="1"/>
  <c r="B696" i="1" a="1"/>
  <c r="B696" i="1" s="1"/>
  <c r="M696" i="1"/>
  <c r="F723" i="1" a="1"/>
  <c r="F723" i="1" s="1"/>
  <c r="S723" i="1"/>
  <c r="C723" i="1" a="1"/>
  <c r="C723" i="1" s="1"/>
  <c r="O728" i="1"/>
  <c r="B728" i="1" a="1"/>
  <c r="B728" i="1" s="1"/>
  <c r="M728" i="1"/>
  <c r="E738" i="1" a="1"/>
  <c r="E738" i="1" s="1"/>
  <c r="M740" i="1"/>
  <c r="J740" i="1"/>
  <c r="I740" i="1"/>
  <c r="H740" i="1" a="1"/>
  <c r="H740" i="1" s="1"/>
  <c r="L747" i="1"/>
  <c r="P747" i="1"/>
  <c r="B747" i="1" a="1"/>
  <c r="B747" i="1" s="1"/>
  <c r="K747" i="1"/>
  <c r="J747" i="1"/>
  <c r="I747" i="1"/>
  <c r="M756" i="1"/>
  <c r="K756" i="1"/>
  <c r="H756" i="1" a="1"/>
  <c r="H756" i="1" s="1"/>
  <c r="G756" i="1" a="1"/>
  <c r="G756" i="1" s="1"/>
  <c r="P772" i="1"/>
  <c r="M772" i="1"/>
  <c r="C772" i="1" a="1"/>
  <c r="C772" i="1" s="1"/>
  <c r="O772" i="1"/>
  <c r="L772" i="1"/>
  <c r="K772" i="1"/>
  <c r="J775" i="1"/>
  <c r="H775" i="1" a="1"/>
  <c r="H775" i="1" s="1"/>
  <c r="E775" i="1" a="1"/>
  <c r="E775" i="1" s="1"/>
  <c r="S775" i="1"/>
  <c r="B775" i="1" a="1"/>
  <c r="B775" i="1" s="1"/>
  <c r="P775" i="1"/>
  <c r="C820" i="1" a="1"/>
  <c r="C820" i="1" s="1"/>
  <c r="E821" i="1" a="1"/>
  <c r="E821" i="1" s="1"/>
  <c r="E822" i="1" a="1"/>
  <c r="E822" i="1" s="1"/>
  <c r="C841" i="1" a="1"/>
  <c r="C841" i="1" s="1"/>
  <c r="O843" i="1"/>
  <c r="B843" i="1" a="1"/>
  <c r="B843" i="1" s="1"/>
  <c r="L843" i="1"/>
  <c r="J843" i="1"/>
  <c r="P843" i="1"/>
  <c r="M843" i="1"/>
  <c r="K843" i="1"/>
  <c r="G844" i="1" a="1"/>
  <c r="G844" i="1" s="1"/>
  <c r="O844" i="1"/>
  <c r="K844" i="1"/>
  <c r="J844" i="1"/>
  <c r="I844" i="1"/>
  <c r="I894" i="1"/>
  <c r="P894" i="1"/>
  <c r="O894" i="1"/>
  <c r="M894" i="1"/>
  <c r="J903" i="1"/>
  <c r="H903" i="1" a="1"/>
  <c r="H903" i="1" s="1"/>
  <c r="P903" i="1"/>
  <c r="E903" i="1" a="1"/>
  <c r="E903" i="1" s="1"/>
  <c r="B903" i="1" a="1"/>
  <c r="B903" i="1" s="1"/>
  <c r="S903" i="1"/>
  <c r="E21" i="2" a="1"/>
  <c r="E21" i="2" s="1"/>
  <c r="E23" i="2" a="1"/>
  <c r="E23" i="2" s="1"/>
  <c r="E45" i="2" a="1"/>
  <c r="E45" i="2" s="1"/>
  <c r="E48" i="2" a="1"/>
  <c r="E48" i="2" s="1"/>
  <c r="O6" i="3" a="1"/>
  <c r="O6" i="3" s="1"/>
  <c r="V16" i="3" a="1"/>
  <c r="V16" i="3" s="1"/>
  <c r="K18" i="3" a="1"/>
  <c r="K18" i="3" s="1"/>
  <c r="M18" i="3" s="1"/>
  <c r="R21" i="3" a="1"/>
  <c r="R21" i="3" s="1"/>
  <c r="O23" i="3" a="1"/>
  <c r="O23" i="3" s="1"/>
  <c r="S47" i="3"/>
  <c r="AE56" i="3"/>
  <c r="AD56" i="3"/>
  <c r="V79" i="3" a="1"/>
  <c r="V79" i="3" s="1"/>
  <c r="R79" i="3" a="1"/>
  <c r="R79" i="3" s="1"/>
  <c r="O79" i="3" a="1"/>
  <c r="O79" i="3" s="1"/>
  <c r="V80" i="3" a="1"/>
  <c r="V80" i="3" s="1"/>
  <c r="R164" i="3" a="1"/>
  <c r="R164" i="3" s="1"/>
  <c r="O164" i="3" a="1"/>
  <c r="O164" i="3" s="1"/>
  <c r="V164" i="3" a="1"/>
  <c r="V164" i="3" s="1"/>
  <c r="K164" i="3" a="1"/>
  <c r="K164" i="3" s="1"/>
  <c r="M164" i="3" s="1"/>
  <c r="J164" i="3" a="1"/>
  <c r="J164" i="3" s="1"/>
  <c r="Q187" i="3"/>
  <c r="V196" i="3" a="1"/>
  <c r="V196" i="3" s="1"/>
  <c r="R196" i="3" a="1"/>
  <c r="R196" i="3" s="1"/>
  <c r="O196" i="3" a="1"/>
  <c r="O196" i="3" s="1"/>
  <c r="J196" i="3" a="1"/>
  <c r="J196" i="3" s="1"/>
  <c r="R201" i="3" a="1"/>
  <c r="R201" i="3" s="1"/>
  <c r="V201" i="3" a="1"/>
  <c r="V201" i="3" s="1"/>
  <c r="O201" i="3" a="1"/>
  <c r="O201" i="3" s="1"/>
  <c r="AC203" i="3"/>
  <c r="AA203" i="3"/>
  <c r="T209" i="3"/>
  <c r="Q216" i="3"/>
  <c r="Q256" i="3"/>
  <c r="J307" i="3" a="1"/>
  <c r="J307" i="3" s="1"/>
  <c r="V332" i="3" a="1"/>
  <c r="V332" i="3" s="1"/>
  <c r="V343" i="3" a="1"/>
  <c r="V343" i="3" s="1"/>
  <c r="K397" i="3" a="1"/>
  <c r="K397" i="3" s="1"/>
  <c r="M397" i="3" s="1"/>
  <c r="E409" i="3" a="1"/>
  <c r="E409" i="3" s="1"/>
  <c r="V414" i="3" a="1"/>
  <c r="V414" i="3" s="1"/>
  <c r="O444" i="3" a="1"/>
  <c r="O444" i="3" s="1"/>
  <c r="E462" i="3" a="1"/>
  <c r="E462" i="3" s="1"/>
  <c r="K476" i="3" a="1"/>
  <c r="K476" i="3" s="1"/>
  <c r="M476" i="3" s="1"/>
  <c r="O481" i="3" a="1"/>
  <c r="O481" i="3" s="1"/>
  <c r="G487" i="3" a="1"/>
  <c r="G487" i="3" s="1"/>
  <c r="O561" i="3" a="1"/>
  <c r="O561" i="3" s="1"/>
  <c r="R639" i="3" a="1"/>
  <c r="R639" i="3" s="1"/>
  <c r="A811" i="5" a="1"/>
  <c r="A811" i="5" s="1"/>
  <c r="N84" i="6" a="1"/>
  <c r="N84" i="6" s="1"/>
  <c r="L56" i="11" a="1"/>
  <c r="L56" i="11" s="1"/>
  <c r="H56" i="11" a="1"/>
  <c r="H56" i="11" s="1"/>
  <c r="B181" i="11"/>
  <c r="F83" i="1" a="1"/>
  <c r="F83" i="1" s="1"/>
  <c r="S83" i="1"/>
  <c r="C83" i="1" a="1"/>
  <c r="C83" i="1" s="1"/>
  <c r="F115" i="1" a="1"/>
  <c r="F115" i="1" s="1"/>
  <c r="S115" i="1"/>
  <c r="C115" i="1" a="1"/>
  <c r="C115" i="1" s="1"/>
  <c r="F147" i="1" a="1"/>
  <c r="F147" i="1" s="1"/>
  <c r="S147" i="1"/>
  <c r="C147" i="1" a="1"/>
  <c r="C147" i="1" s="1"/>
  <c r="G69" i="1" a="1"/>
  <c r="G69" i="1" s="1"/>
  <c r="L69" i="1" s="1"/>
  <c r="E69" i="1" a="1"/>
  <c r="E69" i="1" s="1"/>
  <c r="E83" i="1" a="1"/>
  <c r="E83" i="1" s="1"/>
  <c r="G101" i="1" a="1"/>
  <c r="G101" i="1" s="1"/>
  <c r="L101" i="1" s="1"/>
  <c r="E101" i="1" a="1"/>
  <c r="E101" i="1" s="1"/>
  <c r="E115" i="1" a="1"/>
  <c r="E115" i="1" s="1"/>
  <c r="G133" i="1" a="1"/>
  <c r="G133" i="1" s="1"/>
  <c r="L133" i="1" s="1"/>
  <c r="E133" i="1" a="1"/>
  <c r="E133" i="1" s="1"/>
  <c r="E147" i="1" a="1"/>
  <c r="E147" i="1" s="1"/>
  <c r="G165" i="1" a="1"/>
  <c r="G165" i="1" s="1"/>
  <c r="L165" i="1" s="1"/>
  <c r="E165" i="1" a="1"/>
  <c r="E165" i="1" s="1"/>
  <c r="G197" i="1" a="1"/>
  <c r="G197" i="1" s="1"/>
  <c r="E197" i="1" a="1"/>
  <c r="E197" i="1" s="1"/>
  <c r="F211" i="1" a="1"/>
  <c r="F211" i="1" s="1"/>
  <c r="S211" i="1"/>
  <c r="C211" i="1" a="1"/>
  <c r="C211" i="1" s="1"/>
  <c r="G224" i="1" a="1"/>
  <c r="G224" i="1" s="1"/>
  <c r="E225" i="1" a="1"/>
  <c r="E225" i="1" s="1"/>
  <c r="O225" i="1"/>
  <c r="B225" i="1" a="1"/>
  <c r="B225" i="1" s="1"/>
  <c r="G263" i="1" a="1"/>
  <c r="G263" i="1" s="1"/>
  <c r="S271" i="1"/>
  <c r="C271" i="1" a="1"/>
  <c r="C271" i="1" s="1"/>
  <c r="L271" i="1"/>
  <c r="O285" i="1"/>
  <c r="B285" i="1" a="1"/>
  <c r="B285" i="1" s="1"/>
  <c r="J285" i="1"/>
  <c r="L299" i="1"/>
  <c r="H299" i="1" a="1"/>
  <c r="H299" i="1" s="1"/>
  <c r="G323" i="1" a="1"/>
  <c r="G323" i="1" s="1"/>
  <c r="M324" i="1"/>
  <c r="I324" i="1"/>
  <c r="G337" i="1" a="1"/>
  <c r="G337" i="1" s="1"/>
  <c r="J345" i="1"/>
  <c r="G345" i="1" a="1"/>
  <c r="G345" i="1" s="1"/>
  <c r="G369" i="1" a="1"/>
  <c r="G369" i="1" s="1"/>
  <c r="J377" i="1"/>
  <c r="G377" i="1" a="1"/>
  <c r="G377" i="1" s="1"/>
  <c r="H391" i="1" a="1"/>
  <c r="H391" i="1" s="1"/>
  <c r="F391" i="1" a="1"/>
  <c r="F391" i="1" s="1"/>
  <c r="G408" i="1" a="1"/>
  <c r="G408" i="1" s="1"/>
  <c r="G423" i="1" a="1"/>
  <c r="G423" i="1" s="1"/>
  <c r="F432" i="1" a="1"/>
  <c r="F432" i="1" s="1"/>
  <c r="G451" i="1" a="1"/>
  <c r="G451" i="1" s="1"/>
  <c r="J457" i="1"/>
  <c r="G457" i="1" a="1"/>
  <c r="G457" i="1" s="1"/>
  <c r="O461" i="1"/>
  <c r="B461" i="1" a="1"/>
  <c r="B461" i="1" s="1"/>
  <c r="K461" i="1"/>
  <c r="J461" i="1"/>
  <c r="G483" i="1" a="1"/>
  <c r="G483" i="1" s="1"/>
  <c r="J489" i="1"/>
  <c r="G489" i="1" a="1"/>
  <c r="G489" i="1" s="1"/>
  <c r="O493" i="1"/>
  <c r="B493" i="1" a="1"/>
  <c r="B493" i="1" s="1"/>
  <c r="K493" i="1"/>
  <c r="J493" i="1"/>
  <c r="L507" i="1"/>
  <c r="I507" i="1"/>
  <c r="H507" i="1" a="1"/>
  <c r="H507" i="1" s="1"/>
  <c r="K530" i="1"/>
  <c r="H530" i="1" a="1"/>
  <c r="H530" i="1" s="1"/>
  <c r="L539" i="1"/>
  <c r="I539" i="1"/>
  <c r="H539" i="1" a="1"/>
  <c r="H539" i="1" s="1"/>
  <c r="K562" i="1"/>
  <c r="H562" i="1" a="1"/>
  <c r="H562" i="1" s="1"/>
  <c r="F607" i="1" a="1"/>
  <c r="F607" i="1" s="1"/>
  <c r="I608" i="1"/>
  <c r="G608" i="1" a="1"/>
  <c r="G608" i="1" s="1"/>
  <c r="F612" i="1" a="1"/>
  <c r="F612" i="1" s="1"/>
  <c r="F639" i="1" a="1"/>
  <c r="F639" i="1" s="1"/>
  <c r="I640" i="1"/>
  <c r="G640" i="1" a="1"/>
  <c r="G640" i="1" s="1"/>
  <c r="F644" i="1" a="1"/>
  <c r="F644" i="1" s="1"/>
  <c r="F681" i="1" a="1"/>
  <c r="F681" i="1" s="1"/>
  <c r="F690" i="1" a="1"/>
  <c r="F690" i="1" s="1"/>
  <c r="F699" i="1" a="1"/>
  <c r="F699" i="1" s="1"/>
  <c r="E705" i="1" a="1"/>
  <c r="E705" i="1" s="1"/>
  <c r="P705" i="1"/>
  <c r="O705" i="1"/>
  <c r="B705" i="1" a="1"/>
  <c r="B705" i="1" s="1"/>
  <c r="F722" i="1" a="1"/>
  <c r="F722" i="1" s="1"/>
  <c r="F731" i="1" a="1"/>
  <c r="F731" i="1" s="1"/>
  <c r="O733" i="1"/>
  <c r="B733" i="1" a="1"/>
  <c r="B733" i="1" s="1"/>
  <c r="K733" i="1"/>
  <c r="J733" i="1"/>
  <c r="I733" i="1"/>
  <c r="O749" i="1"/>
  <c r="B749" i="1" a="1"/>
  <c r="B749" i="1" s="1"/>
  <c r="C749" i="1" a="1"/>
  <c r="C749" i="1" s="1"/>
  <c r="S749" i="1"/>
  <c r="P749" i="1"/>
  <c r="E765" i="1" a="1"/>
  <c r="E765" i="1" s="1"/>
  <c r="F769" i="1" a="1"/>
  <c r="F769" i="1" s="1"/>
  <c r="E769" i="1" a="1"/>
  <c r="E769" i="1" s="1"/>
  <c r="O769" i="1"/>
  <c r="K769" i="1"/>
  <c r="J769" i="1"/>
  <c r="I769" i="1"/>
  <c r="M770" i="1"/>
  <c r="K770" i="1"/>
  <c r="H770" i="1" a="1"/>
  <c r="H770" i="1" s="1"/>
  <c r="F770" i="1" a="1"/>
  <c r="F770" i="1" s="1"/>
  <c r="G771" i="1" a="1"/>
  <c r="G771" i="1" s="1"/>
  <c r="F771" i="1" a="1"/>
  <c r="F771" i="1" s="1"/>
  <c r="C771" i="1" a="1"/>
  <c r="C771" i="1" s="1"/>
  <c r="S771" i="1"/>
  <c r="B771" i="1" a="1"/>
  <c r="B771" i="1" s="1"/>
  <c r="H773" i="1" a="1"/>
  <c r="H773" i="1" s="1"/>
  <c r="G773" i="1" a="1"/>
  <c r="G773" i="1" s="1"/>
  <c r="M773" i="1"/>
  <c r="J773" i="1"/>
  <c r="I773" i="1"/>
  <c r="P774" i="1"/>
  <c r="H774" i="1" a="1"/>
  <c r="H774" i="1" s="1"/>
  <c r="F774" i="1" a="1"/>
  <c r="F774" i="1" s="1"/>
  <c r="S797" i="1"/>
  <c r="C797" i="1" a="1"/>
  <c r="C797" i="1" s="1"/>
  <c r="O797" i="1"/>
  <c r="B797" i="1" a="1"/>
  <c r="B797" i="1" s="1"/>
  <c r="L797" i="1"/>
  <c r="K797" i="1"/>
  <c r="J797" i="1"/>
  <c r="E811" i="1" a="1"/>
  <c r="E811" i="1" s="1"/>
  <c r="E818" i="1" a="1"/>
  <c r="E818" i="1" s="1"/>
  <c r="F821" i="1" a="1"/>
  <c r="F821" i="1" s="1"/>
  <c r="C846" i="1" a="1"/>
  <c r="C846" i="1" s="1"/>
  <c r="I878" i="1"/>
  <c r="P878" i="1"/>
  <c r="H878" i="1" a="1"/>
  <c r="H878" i="1" s="1"/>
  <c r="F878" i="1" a="1"/>
  <c r="F878" i="1" s="1"/>
  <c r="E878" i="1" a="1"/>
  <c r="E878" i="1" s="1"/>
  <c r="O891" i="1"/>
  <c r="B891" i="1" a="1"/>
  <c r="B891" i="1" s="1"/>
  <c r="L891" i="1"/>
  <c r="E891" i="1" a="1"/>
  <c r="E891" i="1" s="1"/>
  <c r="I891" i="1"/>
  <c r="G891" i="1" a="1"/>
  <c r="G891" i="1" s="1"/>
  <c r="F891" i="1" a="1"/>
  <c r="F891" i="1" s="1"/>
  <c r="P900" i="1"/>
  <c r="M900" i="1"/>
  <c r="K900" i="1"/>
  <c r="O900" i="1"/>
  <c r="I900" i="1"/>
  <c r="H900" i="1" a="1"/>
  <c r="H900" i="1" s="1"/>
  <c r="H901" i="1" a="1"/>
  <c r="H901" i="1" s="1"/>
  <c r="G901" i="1" a="1"/>
  <c r="G901" i="1" s="1"/>
  <c r="K901" i="1"/>
  <c r="F901" i="1" a="1"/>
  <c r="F901" i="1" s="1"/>
  <c r="E19" i="2" a="1"/>
  <c r="E19" i="2" s="1"/>
  <c r="D51" i="2" a="1"/>
  <c r="D51" i="2" s="1"/>
  <c r="O13" i="3" a="1"/>
  <c r="O13" i="3" s="1"/>
  <c r="R32" i="3" a="1"/>
  <c r="R32" i="3" s="1"/>
  <c r="O32" i="3" a="1"/>
  <c r="O32" i="3" s="1"/>
  <c r="O36" i="3" a="1"/>
  <c r="O36" i="3" s="1"/>
  <c r="K36" i="3" a="1"/>
  <c r="K36" i="3" s="1"/>
  <c r="M36" i="3" s="1"/>
  <c r="AC45" i="3"/>
  <c r="AA45" i="3"/>
  <c r="Q60" i="3"/>
  <c r="P60" i="3"/>
  <c r="S60" i="3" s="1"/>
  <c r="K148" i="3" a="1"/>
  <c r="K148" i="3" s="1"/>
  <c r="M148" i="3" s="1"/>
  <c r="O152" i="3" a="1"/>
  <c r="O152" i="3" s="1"/>
  <c r="K152" i="3" a="1"/>
  <c r="K152" i="3" s="1"/>
  <c r="M152" i="3" s="1"/>
  <c r="R152" i="3" a="1"/>
  <c r="R152" i="3" s="1"/>
  <c r="J152" i="3" a="1"/>
  <c r="J152" i="3" s="1"/>
  <c r="T186" i="3"/>
  <c r="R205" i="3" a="1"/>
  <c r="R205" i="3" s="1"/>
  <c r="Q215" i="3"/>
  <c r="P215" i="3"/>
  <c r="S215" i="3" s="1"/>
  <c r="J226" i="3" a="1"/>
  <c r="J226" i="3" s="1"/>
  <c r="O236" i="3" a="1"/>
  <c r="O236" i="3" s="1"/>
  <c r="J239" i="3" a="1"/>
  <c r="J239" i="3" s="1"/>
  <c r="R247" i="3" a="1"/>
  <c r="R247" i="3" s="1"/>
  <c r="K249" i="3" a="1"/>
  <c r="K249" i="3" s="1"/>
  <c r="M249" i="3" s="1"/>
  <c r="J249" i="3" a="1"/>
  <c r="J249" i="3" s="1"/>
  <c r="V249" i="3" a="1"/>
  <c r="V249" i="3" s="1"/>
  <c r="R249" i="3" a="1"/>
  <c r="R249" i="3" s="1"/>
  <c r="O249" i="3" a="1"/>
  <c r="O249" i="3" s="1"/>
  <c r="O262" i="3" a="1"/>
  <c r="O262" i="3" s="1"/>
  <c r="K262" i="3" a="1"/>
  <c r="K262" i="3" s="1"/>
  <c r="M262" i="3" s="1"/>
  <c r="V262" i="3" a="1"/>
  <c r="V262" i="3" s="1"/>
  <c r="R262" i="3" a="1"/>
  <c r="R262" i="3" s="1"/>
  <c r="J262" i="3" a="1"/>
  <c r="J262" i="3" s="1"/>
  <c r="J264" i="3" a="1"/>
  <c r="J264" i="3" s="1"/>
  <c r="J320" i="3" a="1"/>
  <c r="J320" i="3" s="1"/>
  <c r="V328" i="3" a="1"/>
  <c r="V328" i="3" s="1"/>
  <c r="J352" i="3" a="1"/>
  <c r="J352" i="3" s="1"/>
  <c r="AC374" i="3"/>
  <c r="AA374" i="3"/>
  <c r="G401" i="3" a="1"/>
  <c r="G401" i="3" s="1"/>
  <c r="K441" i="3" a="1"/>
  <c r="K441" i="3" s="1"/>
  <c r="M441" i="3" s="1"/>
  <c r="J457" i="3" a="1"/>
  <c r="J457" i="3" s="1"/>
  <c r="G462" i="3" a="1"/>
  <c r="G462" i="3" s="1"/>
  <c r="G471" i="3" a="1"/>
  <c r="G471" i="3" s="1"/>
  <c r="E504" i="3" a="1"/>
  <c r="E504" i="3" s="1"/>
  <c r="O517" i="3" a="1"/>
  <c r="O517" i="3" s="1"/>
  <c r="E523" i="3" a="1"/>
  <c r="E523" i="3" s="1"/>
  <c r="R530" i="3" a="1"/>
  <c r="R530" i="3" s="1"/>
  <c r="O579" i="3" a="1"/>
  <c r="O579" i="3" s="1"/>
  <c r="E614" i="3" a="1"/>
  <c r="E614" i="3" s="1"/>
  <c r="E650" i="3" a="1"/>
  <c r="E650" i="3" s="1"/>
  <c r="V691" i="3" a="1"/>
  <c r="V691" i="3" s="1"/>
  <c r="J710" i="3" a="1"/>
  <c r="J710" i="3" s="1"/>
  <c r="G667" i="3" a="1"/>
  <c r="G667" i="3" s="1"/>
  <c r="E665" i="3" a="1"/>
  <c r="E665" i="3" s="1"/>
  <c r="E613" i="3" a="1"/>
  <c r="E613" i="3" s="1"/>
  <c r="E572" i="3" a="1"/>
  <c r="E572" i="3" s="1"/>
  <c r="E545" i="3" a="1"/>
  <c r="E545" i="3" s="1"/>
  <c r="E495" i="3" a="1"/>
  <c r="E495" i="3" s="1"/>
  <c r="E482" i="3" a="1"/>
  <c r="E482" i="3" s="1"/>
  <c r="G460" i="3" a="1"/>
  <c r="G460" i="3" s="1"/>
  <c r="G458" i="3" a="1"/>
  <c r="G458" i="3" s="1"/>
  <c r="E432" i="3" a="1"/>
  <c r="E432" i="3" s="1"/>
  <c r="G426" i="3" a="1"/>
  <c r="G426" i="3" s="1"/>
  <c r="G374" i="3" a="1"/>
  <c r="G374" i="3" s="1"/>
  <c r="G368" i="3" a="1"/>
  <c r="G368" i="3" s="1"/>
  <c r="G339" i="3" a="1"/>
  <c r="G339" i="3" s="1"/>
  <c r="E319" i="3" a="1"/>
  <c r="E319" i="3" s="1"/>
  <c r="E318" i="3" a="1"/>
  <c r="E318" i="3" s="1"/>
  <c r="G308" i="3" a="1"/>
  <c r="G308" i="3" s="1"/>
  <c r="G307" i="3" a="1"/>
  <c r="G307" i="3" s="1"/>
  <c r="G292" i="3" a="1"/>
  <c r="G292" i="3" s="1"/>
  <c r="G287" i="3" a="1"/>
  <c r="G287" i="3" s="1"/>
  <c r="G268" i="3" a="1"/>
  <c r="G268" i="3" s="1"/>
  <c r="E266" i="3" a="1"/>
  <c r="E266" i="3" s="1"/>
  <c r="E264" i="3" a="1"/>
  <c r="E264" i="3" s="1"/>
  <c r="G262" i="3" a="1"/>
  <c r="G262" i="3" s="1"/>
  <c r="E255" i="3" a="1"/>
  <c r="E255" i="3" s="1"/>
  <c r="G244" i="3" a="1"/>
  <c r="G244" i="3" s="1"/>
  <c r="G239" i="3" a="1"/>
  <c r="G239" i="3" s="1"/>
  <c r="G235" i="3" a="1"/>
  <c r="G235" i="3" s="1"/>
  <c r="G231" i="3" a="1"/>
  <c r="G231" i="3" s="1"/>
  <c r="G227" i="3" a="1"/>
  <c r="G227" i="3" s="1"/>
  <c r="G223" i="3" a="1"/>
  <c r="G223" i="3" s="1"/>
  <c r="G219" i="3" a="1"/>
  <c r="G219" i="3" s="1"/>
  <c r="E207" i="3" a="1"/>
  <c r="E207" i="3" s="1"/>
  <c r="G196" i="3" a="1"/>
  <c r="G196" i="3" s="1"/>
  <c r="E190" i="3" a="1"/>
  <c r="E190" i="3" s="1"/>
  <c r="E185" i="3" a="1"/>
  <c r="E185" i="3" s="1"/>
  <c r="G179" i="3" a="1"/>
  <c r="G179" i="3" s="1"/>
  <c r="E173" i="3" a="1"/>
  <c r="E173" i="3" s="1"/>
  <c r="E164" i="3" a="1"/>
  <c r="E164" i="3" s="1"/>
  <c r="G162" i="3" a="1"/>
  <c r="G162" i="3" s="1"/>
  <c r="E148" i="3" a="1"/>
  <c r="E148" i="3" s="1"/>
  <c r="G146" i="3" a="1"/>
  <c r="G146" i="3" s="1"/>
  <c r="E97" i="3" a="1"/>
  <c r="E97" i="3" s="1"/>
  <c r="G95" i="3" a="1"/>
  <c r="G95" i="3" s="1"/>
  <c r="E81" i="3" a="1"/>
  <c r="E81" i="3" s="1"/>
  <c r="G79" i="3" a="1"/>
  <c r="G79" i="3" s="1"/>
  <c r="E65" i="3" a="1"/>
  <c r="E65" i="3" s="1"/>
  <c r="G63" i="3" a="1"/>
  <c r="G63" i="3" s="1"/>
  <c r="E49" i="3" a="1"/>
  <c r="E49" i="3" s="1"/>
  <c r="G47" i="3" a="1"/>
  <c r="G47" i="3" s="1"/>
  <c r="E32" i="3" a="1"/>
  <c r="E32" i="3" s="1"/>
  <c r="G30" i="3" a="1"/>
  <c r="G30" i="3" s="1"/>
  <c r="G687" i="3" a="1"/>
  <c r="G687" i="3" s="1"/>
  <c r="E649" i="3" a="1"/>
  <c r="E649" i="3" s="1"/>
  <c r="E587" i="3" a="1"/>
  <c r="E587" i="3" s="1"/>
  <c r="E548" i="3" a="1"/>
  <c r="E548" i="3" s="1"/>
  <c r="G496" i="3" a="1"/>
  <c r="G496" i="3" s="1"/>
  <c r="E460" i="3" a="1"/>
  <c r="E460" i="3" s="1"/>
  <c r="E457" i="3" a="1"/>
  <c r="E457" i="3" s="1"/>
  <c r="E429" i="3" a="1"/>
  <c r="E429" i="3" s="1"/>
  <c r="G423" i="3" a="1"/>
  <c r="G423" i="3" s="1"/>
  <c r="G387" i="3" a="1"/>
  <c r="G387" i="3" s="1"/>
  <c r="E374" i="3" a="1"/>
  <c r="E374" i="3" s="1"/>
  <c r="G367" i="3" a="1"/>
  <c r="G367" i="3" s="1"/>
  <c r="G366" i="3" a="1"/>
  <c r="G366" i="3" s="1"/>
  <c r="E282" i="3" a="1"/>
  <c r="E282" i="3" s="1"/>
  <c r="G278" i="3" a="1"/>
  <c r="G278" i="3" s="1"/>
  <c r="E249" i="3" a="1"/>
  <c r="E249" i="3" s="1"/>
  <c r="E213" i="3" a="1"/>
  <c r="E213" i="3" s="1"/>
  <c r="G208" i="3" a="1"/>
  <c r="G208" i="3" s="1"/>
  <c r="G191" i="3" a="1"/>
  <c r="G191" i="3" s="1"/>
  <c r="G174" i="3" a="1"/>
  <c r="G174" i="3" s="1"/>
  <c r="E163" i="3" a="1"/>
  <c r="E163" i="3" s="1"/>
  <c r="G161" i="3" a="1"/>
  <c r="G161" i="3" s="1"/>
  <c r="G145" i="3" a="1"/>
  <c r="G145" i="3" s="1"/>
  <c r="E96" i="3" a="1"/>
  <c r="E96" i="3" s="1"/>
  <c r="G94" i="3" a="1"/>
  <c r="G94" i="3" s="1"/>
  <c r="E80" i="3" a="1"/>
  <c r="E80" i="3" s="1"/>
  <c r="G78" i="3" a="1"/>
  <c r="G78" i="3" s="1"/>
  <c r="E64" i="3" a="1"/>
  <c r="E64" i="3" s="1"/>
  <c r="G62" i="3" a="1"/>
  <c r="G62" i="3" s="1"/>
  <c r="E48" i="3" a="1"/>
  <c r="E48" i="3" s="1"/>
  <c r="E31" i="3" a="1"/>
  <c r="E31" i="3" s="1"/>
  <c r="E651" i="3" a="1"/>
  <c r="E651" i="3" s="1"/>
  <c r="E551" i="3" a="1"/>
  <c r="E551" i="3" s="1"/>
  <c r="G447" i="3" a="1"/>
  <c r="G447" i="3" s="1"/>
  <c r="G446" i="3" a="1"/>
  <c r="G446" i="3" s="1"/>
  <c r="G427" i="3" a="1"/>
  <c r="G427" i="3" s="1"/>
  <c r="E426" i="3" a="1"/>
  <c r="E426" i="3" s="1"/>
  <c r="G424" i="3" a="1"/>
  <c r="G424" i="3" s="1"/>
  <c r="E423" i="3" a="1"/>
  <c r="E423" i="3" s="1"/>
  <c r="G398" i="3" a="1"/>
  <c r="G398" i="3" s="1"/>
  <c r="G397" i="3" a="1"/>
  <c r="G397" i="3" s="1"/>
  <c r="G396" i="3" a="1"/>
  <c r="G396" i="3" s="1"/>
  <c r="G386" i="3" a="1"/>
  <c r="G386" i="3" s="1"/>
  <c r="G385" i="3" a="1"/>
  <c r="G385" i="3" s="1"/>
  <c r="E379" i="3" a="1"/>
  <c r="E379" i="3" s="1"/>
  <c r="E356" i="3" a="1"/>
  <c r="E356" i="3" s="1"/>
  <c r="G355" i="3" a="1"/>
  <c r="G355" i="3" s="1"/>
  <c r="G354" i="3" a="1"/>
  <c r="G354" i="3" s="1"/>
  <c r="G344" i="3" a="1"/>
  <c r="G344" i="3" s="1"/>
  <c r="G343" i="3" a="1"/>
  <c r="G343" i="3" s="1"/>
  <c r="G328" i="3" a="1"/>
  <c r="G328" i="3" s="1"/>
  <c r="G327" i="3" a="1"/>
  <c r="G327" i="3" s="1"/>
  <c r="E292" i="3" a="1"/>
  <c r="E292" i="3" s="1"/>
  <c r="G271" i="3" a="1"/>
  <c r="G271" i="3" s="1"/>
  <c r="E268" i="3" a="1"/>
  <c r="E268" i="3" s="1"/>
  <c r="E262" i="3" a="1"/>
  <c r="E262" i="3" s="1"/>
  <c r="G256" i="3" a="1"/>
  <c r="G256" i="3" s="1"/>
  <c r="G250" i="3" a="1"/>
  <c r="G250" i="3" s="1"/>
  <c r="E244" i="3" a="1"/>
  <c r="E244" i="3" s="1"/>
  <c r="E214" i="3" a="1"/>
  <c r="E214" i="3" s="1"/>
  <c r="G203" i="3" a="1"/>
  <c r="G203" i="3" s="1"/>
  <c r="G197" i="3" a="1"/>
  <c r="G197" i="3" s="1"/>
  <c r="E196" i="3" a="1"/>
  <c r="E196" i="3" s="1"/>
  <c r="G186" i="3" a="1"/>
  <c r="G186" i="3" s="1"/>
  <c r="E179" i="3" a="1"/>
  <c r="E179" i="3" s="1"/>
  <c r="G169" i="3" a="1"/>
  <c r="G169" i="3" s="1"/>
  <c r="E162" i="3" a="1"/>
  <c r="E162" i="3" s="1"/>
  <c r="G160" i="3" a="1"/>
  <c r="G160" i="3" s="1"/>
  <c r="E146" i="3" a="1"/>
  <c r="E146" i="3" s="1"/>
  <c r="G144" i="3" a="1"/>
  <c r="G144" i="3" s="1"/>
  <c r="E95" i="3" a="1"/>
  <c r="E95" i="3" s="1"/>
  <c r="G93" i="3" a="1"/>
  <c r="G93" i="3" s="1"/>
  <c r="E79" i="3" a="1"/>
  <c r="E79" i="3" s="1"/>
  <c r="G77" i="3" a="1"/>
  <c r="G77" i="3" s="1"/>
  <c r="E63" i="3" a="1"/>
  <c r="E63" i="3" s="1"/>
  <c r="G61" i="3" a="1"/>
  <c r="G61" i="3" s="1"/>
  <c r="E47" i="3" a="1"/>
  <c r="E47" i="3" s="1"/>
  <c r="G45" i="3" a="1"/>
  <c r="G45" i="3" s="1"/>
  <c r="E30" i="3" a="1"/>
  <c r="E30" i="3" s="1"/>
  <c r="G28" i="3" a="1"/>
  <c r="G28" i="3" s="1"/>
  <c r="G711" i="3" a="1"/>
  <c r="G711" i="3" s="1"/>
  <c r="E687" i="3" a="1"/>
  <c r="E687" i="3" s="1"/>
  <c r="E611" i="3" a="1"/>
  <c r="E611" i="3" s="1"/>
  <c r="E580" i="3" a="1"/>
  <c r="E580" i="3" s="1"/>
  <c r="E497" i="3" a="1"/>
  <c r="E497" i="3" s="1"/>
  <c r="G455" i="3" a="1"/>
  <c r="G455" i="3" s="1"/>
  <c r="G421" i="3" a="1"/>
  <c r="G421" i="3" s="1"/>
  <c r="E420" i="3" a="1"/>
  <c r="E420" i="3" s="1"/>
  <c r="E365" i="3" a="1"/>
  <c r="E365" i="3" s="1"/>
  <c r="E355" i="3" a="1"/>
  <c r="E355" i="3" s="1"/>
  <c r="E354" i="3" a="1"/>
  <c r="E354" i="3" s="1"/>
  <c r="G337" i="3" a="1"/>
  <c r="G337" i="3" s="1"/>
  <c r="G291" i="3" a="1"/>
  <c r="G291" i="3" s="1"/>
  <c r="E278" i="3" a="1"/>
  <c r="E278" i="3" s="1"/>
  <c r="G245" i="3" a="1"/>
  <c r="G245" i="3" s="1"/>
  <c r="G215" i="3" a="1"/>
  <c r="G215" i="3" s="1"/>
  <c r="E208" i="3" a="1"/>
  <c r="E208" i="3" s="1"/>
  <c r="E191" i="3" a="1"/>
  <c r="E191" i="3" s="1"/>
  <c r="G180" i="3" a="1"/>
  <c r="G180" i="3" s="1"/>
  <c r="E174" i="3" a="1"/>
  <c r="E174" i="3" s="1"/>
  <c r="E169" i="3" a="1"/>
  <c r="E169" i="3" s="1"/>
  <c r="E161" i="3" a="1"/>
  <c r="E161" i="3" s="1"/>
  <c r="E145" i="3" a="1"/>
  <c r="E145" i="3" s="1"/>
  <c r="E94" i="3" a="1"/>
  <c r="E94" i="3" s="1"/>
  <c r="G92" i="3" a="1"/>
  <c r="G92" i="3" s="1"/>
  <c r="E78" i="3" a="1"/>
  <c r="E78" i="3" s="1"/>
  <c r="G76" i="3" a="1"/>
  <c r="G76" i="3" s="1"/>
  <c r="E62" i="3" a="1"/>
  <c r="E62" i="3" s="1"/>
  <c r="G60" i="3" a="1"/>
  <c r="G60" i="3" s="1"/>
  <c r="G44" i="3" a="1"/>
  <c r="G44" i="3" s="1"/>
  <c r="G27" i="3" a="1"/>
  <c r="G27" i="3" s="1"/>
  <c r="G26" i="3" a="1"/>
  <c r="G26" i="3" s="1"/>
  <c r="G25" i="3" a="1"/>
  <c r="G25" i="3" s="1"/>
  <c r="G24" i="3" a="1"/>
  <c r="G24" i="3" s="1"/>
  <c r="G23" i="3" a="1"/>
  <c r="G23" i="3" s="1"/>
  <c r="G22" i="3" a="1"/>
  <c r="G22" i="3" s="1"/>
  <c r="G21" i="3" a="1"/>
  <c r="G21" i="3" s="1"/>
  <c r="G20" i="3" a="1"/>
  <c r="G20" i="3" s="1"/>
  <c r="G19" i="3" a="1"/>
  <c r="G19" i="3" s="1"/>
  <c r="G18" i="3" a="1"/>
  <c r="G18" i="3" s="1"/>
  <c r="G17" i="3" a="1"/>
  <c r="G17" i="3" s="1"/>
  <c r="G16" i="3" a="1"/>
  <c r="G16" i="3" s="1"/>
  <c r="G15" i="3" a="1"/>
  <c r="G15" i="3" s="1"/>
  <c r="G14" i="3" a="1"/>
  <c r="G14" i="3" s="1"/>
  <c r="G13" i="3" a="1"/>
  <c r="G13" i="3" s="1"/>
  <c r="G12" i="3" a="1"/>
  <c r="G12" i="3" s="1"/>
  <c r="G11" i="3" a="1"/>
  <c r="G11" i="3" s="1"/>
  <c r="G10" i="3" a="1"/>
  <c r="G10" i="3" s="1"/>
  <c r="G9" i="3" a="1"/>
  <c r="G9" i="3" s="1"/>
  <c r="G8" i="3" a="1"/>
  <c r="G8" i="3" s="1"/>
  <c r="G7" i="3" a="1"/>
  <c r="G7" i="3" s="1"/>
  <c r="G6" i="3" a="1"/>
  <c r="G6" i="3" s="1"/>
  <c r="G5" i="3" a="1"/>
  <c r="G5" i="3" s="1"/>
  <c r="G4" i="3" a="1"/>
  <c r="G4" i="3" s="1"/>
  <c r="G3" i="3" a="1"/>
  <c r="G3" i="3" s="1"/>
  <c r="G2" i="3" a="1"/>
  <c r="G2" i="3" s="1"/>
  <c r="A966" i="5" a="1"/>
  <c r="A966" i="5" s="1"/>
  <c r="G724" i="3" a="1"/>
  <c r="G724" i="3" s="1"/>
  <c r="E537" i="3" a="1"/>
  <c r="E537" i="3" s="1"/>
  <c r="E730" i="3" a="1"/>
  <c r="E730" i="3" s="1"/>
  <c r="G728" i="3" a="1"/>
  <c r="G728" i="3" s="1"/>
  <c r="G659" i="3" a="1"/>
  <c r="G659" i="3" s="1"/>
  <c r="G614" i="3" a="1"/>
  <c r="G614" i="3" s="1"/>
  <c r="G599" i="3" a="1"/>
  <c r="G599" i="3" s="1"/>
  <c r="E590" i="3" a="1"/>
  <c r="E590" i="3" s="1"/>
  <c r="E540" i="3" a="1"/>
  <c r="E540" i="3" s="1"/>
  <c r="E519" i="3" a="1"/>
  <c r="E519" i="3" s="1"/>
  <c r="G502" i="3" a="1"/>
  <c r="G502" i="3" s="1"/>
  <c r="E454" i="3" a="1"/>
  <c r="E454" i="3" s="1"/>
  <c r="E421" i="3" a="1"/>
  <c r="E421" i="3" s="1"/>
  <c r="G419" i="3" a="1"/>
  <c r="G419" i="3" s="1"/>
  <c r="G416" i="3" a="1"/>
  <c r="G416" i="3" s="1"/>
  <c r="G332" i="3" a="1"/>
  <c r="G332" i="3" s="1"/>
  <c r="E291" i="3" a="1"/>
  <c r="E291" i="3" s="1"/>
  <c r="G277" i="3" a="1"/>
  <c r="G277" i="3" s="1"/>
  <c r="G260" i="3" a="1"/>
  <c r="G260" i="3" s="1"/>
  <c r="E245" i="3" a="1"/>
  <c r="E245" i="3" s="1"/>
  <c r="G204" i="3" a="1"/>
  <c r="G204" i="3" s="1"/>
  <c r="E198" i="3" a="1"/>
  <c r="E198" i="3" s="1"/>
  <c r="G187" i="3" a="1"/>
  <c r="G187" i="3" s="1"/>
  <c r="G181" i="3" a="1"/>
  <c r="G181" i="3" s="1"/>
  <c r="E180" i="3" a="1"/>
  <c r="E180" i="3" s="1"/>
  <c r="G170" i="3" a="1"/>
  <c r="G170" i="3" s="1"/>
  <c r="G157" i="3" a="1"/>
  <c r="G157" i="3" s="1"/>
  <c r="G141" i="3" a="1"/>
  <c r="G141" i="3" s="1"/>
  <c r="G140" i="3" a="1"/>
  <c r="G140" i="3" s="1"/>
  <c r="G139" i="3" a="1"/>
  <c r="G139" i="3" s="1"/>
  <c r="G138" i="3" a="1"/>
  <c r="G138" i="3" s="1"/>
  <c r="G137" i="3" a="1"/>
  <c r="G137" i="3" s="1"/>
  <c r="G136" i="3" a="1"/>
  <c r="G136" i="3" s="1"/>
  <c r="G135" i="3" a="1"/>
  <c r="G135" i="3" s="1"/>
  <c r="G134" i="3" a="1"/>
  <c r="G134" i="3" s="1"/>
  <c r="G133" i="3" a="1"/>
  <c r="G133" i="3" s="1"/>
  <c r="G132" i="3" a="1"/>
  <c r="G132" i="3" s="1"/>
  <c r="G131" i="3" a="1"/>
  <c r="G131" i="3" s="1"/>
  <c r="G130" i="3" a="1"/>
  <c r="G130" i="3" s="1"/>
  <c r="G129" i="3" a="1"/>
  <c r="G129" i="3" s="1"/>
  <c r="G128" i="3" a="1"/>
  <c r="G128" i="3" s="1"/>
  <c r="G127" i="3" a="1"/>
  <c r="G127" i="3" s="1"/>
  <c r="G126" i="3" a="1"/>
  <c r="G126" i="3" s="1"/>
  <c r="G125" i="3" a="1"/>
  <c r="G125" i="3" s="1"/>
  <c r="G124" i="3" a="1"/>
  <c r="G124" i="3" s="1"/>
  <c r="G123" i="3" a="1"/>
  <c r="G123" i="3" s="1"/>
  <c r="G122" i="3" a="1"/>
  <c r="G122" i="3" s="1"/>
  <c r="G121" i="3" a="1"/>
  <c r="G121" i="3" s="1"/>
  <c r="G120" i="3" a="1"/>
  <c r="G120" i="3" s="1"/>
  <c r="G119" i="3" a="1"/>
  <c r="G119" i="3" s="1"/>
  <c r="G118" i="3" a="1"/>
  <c r="G118" i="3" s="1"/>
  <c r="G117" i="3" a="1"/>
  <c r="G117" i="3" s="1"/>
  <c r="G116" i="3" a="1"/>
  <c r="G116" i="3" s="1"/>
  <c r="G115" i="3" a="1"/>
  <c r="G115" i="3" s="1"/>
  <c r="G114" i="3" a="1"/>
  <c r="G114" i="3" s="1"/>
  <c r="G113" i="3" a="1"/>
  <c r="G113" i="3" s="1"/>
  <c r="G112" i="3" a="1"/>
  <c r="G112" i="3" s="1"/>
  <c r="G111" i="3" a="1"/>
  <c r="G111" i="3" s="1"/>
  <c r="G110" i="3" a="1"/>
  <c r="G110" i="3" s="1"/>
  <c r="G109" i="3" a="1"/>
  <c r="G109" i="3" s="1"/>
  <c r="G108" i="3" a="1"/>
  <c r="G108" i="3" s="1"/>
  <c r="G107" i="3" a="1"/>
  <c r="G107" i="3" s="1"/>
  <c r="G106" i="3" a="1"/>
  <c r="G106" i="3" s="1"/>
  <c r="G90" i="3" a="1"/>
  <c r="G90" i="3" s="1"/>
  <c r="E76" i="3" a="1"/>
  <c r="E76" i="3" s="1"/>
  <c r="G74" i="3" a="1"/>
  <c r="G74" i="3" s="1"/>
  <c r="G58" i="3" a="1"/>
  <c r="G58" i="3" s="1"/>
  <c r="E44" i="3" a="1"/>
  <c r="E44" i="3" s="1"/>
  <c r="G42" i="3" a="1"/>
  <c r="G42" i="3" s="1"/>
  <c r="G41" i="3" a="1"/>
  <c r="G41" i="3" s="1"/>
  <c r="E27" i="3" a="1"/>
  <c r="E27" i="3" s="1"/>
  <c r="E26" i="3" a="1"/>
  <c r="E26" i="3" s="1"/>
  <c r="E24" i="3" a="1"/>
  <c r="E24" i="3" s="1"/>
  <c r="E23" i="3" a="1"/>
  <c r="E23" i="3" s="1"/>
  <c r="E22" i="3" a="1"/>
  <c r="E22" i="3" s="1"/>
  <c r="E21" i="3" a="1"/>
  <c r="E21" i="3" s="1"/>
  <c r="E20" i="3" a="1"/>
  <c r="E20" i="3" s="1"/>
  <c r="E19" i="3" a="1"/>
  <c r="E19" i="3" s="1"/>
  <c r="E18" i="3" a="1"/>
  <c r="E18" i="3" s="1"/>
  <c r="E17" i="3" a="1"/>
  <c r="E17" i="3" s="1"/>
  <c r="E16" i="3" a="1"/>
  <c r="E16" i="3" s="1"/>
  <c r="E15" i="3" a="1"/>
  <c r="E15" i="3" s="1"/>
  <c r="E12" i="3" a="1"/>
  <c r="E12" i="3" s="1"/>
  <c r="E10" i="3" a="1"/>
  <c r="E10" i="3" s="1"/>
  <c r="E9" i="3" a="1"/>
  <c r="E9" i="3" s="1"/>
  <c r="E8" i="3" a="1"/>
  <c r="E8" i="3" s="1"/>
  <c r="E7" i="3" a="1"/>
  <c r="E7" i="3" s="1"/>
  <c r="E6" i="3" a="1"/>
  <c r="E6" i="3" s="1"/>
  <c r="E5" i="3" a="1"/>
  <c r="E5" i="3" s="1"/>
  <c r="E4" i="3" a="1"/>
  <c r="E4" i="3" s="1"/>
  <c r="E3" i="3" a="1"/>
  <c r="E3" i="3" s="1"/>
  <c r="E2" i="3" a="1"/>
  <c r="E2" i="3" s="1"/>
  <c r="E784" i="3" a="1"/>
  <c r="E784" i="3" s="1"/>
  <c r="E724" i="3" a="1"/>
  <c r="E724" i="3" s="1"/>
  <c r="E578" i="3" a="1"/>
  <c r="E578" i="3" s="1"/>
  <c r="E573" i="3" a="1"/>
  <c r="E573" i="3" s="1"/>
  <c r="E549" i="3" a="1"/>
  <c r="E549" i="3" s="1"/>
  <c r="E546" i="3" a="1"/>
  <c r="E546" i="3" s="1"/>
  <c r="E543" i="3" a="1"/>
  <c r="E543" i="3" s="1"/>
  <c r="G515" i="3" a="1"/>
  <c r="G515" i="3" s="1"/>
  <c r="E418" i="3" a="1"/>
  <c r="E418" i="3" s="1"/>
  <c r="G413" i="3" a="1"/>
  <c r="G413" i="3" s="1"/>
  <c r="E412" i="3" a="1"/>
  <c r="E412" i="3" s="1"/>
  <c r="G364" i="3" a="1"/>
  <c r="G364" i="3" s="1"/>
  <c r="G352" i="3" a="1"/>
  <c r="G352" i="3" s="1"/>
  <c r="G351" i="3" a="1"/>
  <c r="G351" i="3" s="1"/>
  <c r="E315" i="3" a="1"/>
  <c r="E315" i="3" s="1"/>
  <c r="E314" i="3" a="1"/>
  <c r="E314" i="3" s="1"/>
  <c r="G270" i="3" a="1"/>
  <c r="G270" i="3" s="1"/>
  <c r="G267" i="3" a="1"/>
  <c r="G267" i="3" s="1"/>
  <c r="G265" i="3" a="1"/>
  <c r="G265" i="3" s="1"/>
  <c r="E251" i="3" a="1"/>
  <c r="E251" i="3" s="1"/>
  <c r="G246" i="3" a="1"/>
  <c r="G246" i="3" s="1"/>
  <c r="E209" i="3" a="1"/>
  <c r="E209" i="3" s="1"/>
  <c r="G199" i="3" a="1"/>
  <c r="G199" i="3" s="1"/>
  <c r="E192" i="3" a="1"/>
  <c r="E192" i="3" s="1"/>
  <c r="E175" i="3" a="1"/>
  <c r="E175" i="3" s="1"/>
  <c r="E158" i="3" a="1"/>
  <c r="E158" i="3" s="1"/>
  <c r="G156" i="3" a="1"/>
  <c r="G156" i="3" s="1"/>
  <c r="E142" i="3" a="1"/>
  <c r="E142" i="3" s="1"/>
  <c r="G105" i="3" a="1"/>
  <c r="G105" i="3" s="1"/>
  <c r="E91" i="3" a="1"/>
  <c r="E91" i="3" s="1"/>
  <c r="G89" i="3" a="1"/>
  <c r="G89" i="3" s="1"/>
  <c r="G73" i="3" a="1"/>
  <c r="G73" i="3" s="1"/>
  <c r="E59" i="3" a="1"/>
  <c r="E59" i="3" s="1"/>
  <c r="G57" i="3" a="1"/>
  <c r="G57" i="3" s="1"/>
  <c r="E43" i="3" a="1"/>
  <c r="E43" i="3" s="1"/>
  <c r="G40" i="3" a="1"/>
  <c r="G40" i="3" s="1"/>
  <c r="E266" i="14" a="1"/>
  <c r="E266" i="14" s="1"/>
  <c r="E389" i="14" a="1"/>
  <c r="E389" i="14" s="1"/>
  <c r="G33" i="14" a="1"/>
  <c r="G33" i="14" s="1"/>
  <c r="H20" i="14" a="1"/>
  <c r="H20" i="14" s="1"/>
  <c r="A669" i="5" a="1"/>
  <c r="A669" i="5" s="1"/>
  <c r="G613" i="3" a="1"/>
  <c r="G613" i="3" s="1"/>
  <c r="E527" i="3" a="1"/>
  <c r="E527" i="3" s="1"/>
  <c r="E508" i="3" a="1"/>
  <c r="E508" i="3" s="1"/>
  <c r="E475" i="3" a="1"/>
  <c r="E475" i="3" s="1"/>
  <c r="G454" i="3" a="1"/>
  <c r="G454" i="3" s="1"/>
  <c r="G450" i="3" a="1"/>
  <c r="G450" i="3" s="1"/>
  <c r="E444" i="3" a="1"/>
  <c r="E444" i="3" s="1"/>
  <c r="G441" i="3" a="1"/>
  <c r="G441" i="3" s="1"/>
  <c r="G383" i="3" a="1"/>
  <c r="G383" i="3" s="1"/>
  <c r="G382" i="3" a="1"/>
  <c r="G382" i="3" s="1"/>
  <c r="G376" i="3" a="1"/>
  <c r="G376" i="3" s="1"/>
  <c r="G359" i="3" a="1"/>
  <c r="G359" i="3" s="1"/>
  <c r="E350" i="3" a="1"/>
  <c r="E350" i="3" s="1"/>
  <c r="E294" i="3" a="1"/>
  <c r="E294" i="3" s="1"/>
  <c r="E269" i="3" a="1"/>
  <c r="E269" i="3" s="1"/>
  <c r="E248" i="3" a="1"/>
  <c r="E248" i="3" s="1"/>
  <c r="E183" i="3" a="1"/>
  <c r="E183" i="3" s="1"/>
  <c r="E167" i="3" a="1"/>
  <c r="E167" i="3" s="1"/>
  <c r="G163" i="3" a="1"/>
  <c r="G163" i="3" s="1"/>
  <c r="E160" i="3" a="1"/>
  <c r="E160" i="3" s="1"/>
  <c r="E154" i="3" a="1"/>
  <c r="E154" i="3" s="1"/>
  <c r="E139" i="3" a="1"/>
  <c r="E139" i="3" s="1"/>
  <c r="E135" i="3" a="1"/>
  <c r="E135" i="3" s="1"/>
  <c r="E131" i="3" a="1"/>
  <c r="E131" i="3" s="1"/>
  <c r="E127" i="3" a="1"/>
  <c r="E127" i="3" s="1"/>
  <c r="E119" i="3" a="1"/>
  <c r="E119" i="3" s="1"/>
  <c r="E115" i="3" a="1"/>
  <c r="E115" i="3" s="1"/>
  <c r="E107" i="3" a="1"/>
  <c r="E107" i="3" s="1"/>
  <c r="G104" i="3" a="1"/>
  <c r="G104" i="3" s="1"/>
  <c r="G101" i="3" a="1"/>
  <c r="G101" i="3" s="1"/>
  <c r="E90" i="3" a="1"/>
  <c r="E90" i="3" s="1"/>
  <c r="E82" i="3" a="1"/>
  <c r="E82" i="3" s="1"/>
  <c r="G65" i="3" a="1"/>
  <c r="G65" i="3" s="1"/>
  <c r="E55" i="3" a="1"/>
  <c r="E55" i="3" s="1"/>
  <c r="E38" i="3" a="1"/>
  <c r="E38" i="3" s="1"/>
  <c r="H370" i="14" a="1"/>
  <c r="H370" i="14" s="1"/>
  <c r="G58" i="14" a="1"/>
  <c r="G58" i="14" s="1"/>
  <c r="A945" i="5" a="1"/>
  <c r="A945" i="5" s="1"/>
  <c r="A875" i="5" a="1"/>
  <c r="A875" i="5" s="1"/>
  <c r="E503" i="3" a="1"/>
  <c r="E503" i="3" s="1"/>
  <c r="G405" i="3" a="1"/>
  <c r="G405" i="3" s="1"/>
  <c r="G402" i="3" a="1"/>
  <c r="G402" i="3" s="1"/>
  <c r="E396" i="3" a="1"/>
  <c r="E396" i="3" s="1"/>
  <c r="G393" i="3" a="1"/>
  <c r="G393" i="3" s="1"/>
  <c r="E389" i="3" a="1"/>
  <c r="E389" i="3" s="1"/>
  <c r="E386" i="3" a="1"/>
  <c r="E386" i="3" s="1"/>
  <c r="E382" i="3" a="1"/>
  <c r="E382" i="3" s="1"/>
  <c r="E359" i="3" a="1"/>
  <c r="E359" i="3" s="1"/>
  <c r="G315" i="3" a="1"/>
  <c r="G315" i="3" s="1"/>
  <c r="G302" i="3" a="1"/>
  <c r="G302" i="3" s="1"/>
  <c r="E301" i="3" a="1"/>
  <c r="E301" i="3" s="1"/>
  <c r="G284" i="3" a="1"/>
  <c r="G284" i="3" s="1"/>
  <c r="G280" i="3" a="1"/>
  <c r="G280" i="3" s="1"/>
  <c r="E279" i="3" a="1"/>
  <c r="E279" i="3" s="1"/>
  <c r="E247" i="3" a="1"/>
  <c r="E247" i="3" s="1"/>
  <c r="G236" i="3" a="1"/>
  <c r="G236" i="3" s="1"/>
  <c r="G226" i="3" a="1"/>
  <c r="G226" i="3" s="1"/>
  <c r="G225" i="3" a="1"/>
  <c r="G225" i="3" s="1"/>
  <c r="E204" i="3" a="1"/>
  <c r="E204" i="3" s="1"/>
  <c r="E98" i="3" a="1"/>
  <c r="E98" i="3" s="1"/>
  <c r="E85" i="3" a="1"/>
  <c r="E85" i="3" s="1"/>
  <c r="G68" i="3" a="1"/>
  <c r="G68" i="3" s="1"/>
  <c r="G48" i="3" a="1"/>
  <c r="G48" i="3" s="1"/>
  <c r="E70" i="14" a="1"/>
  <c r="E70" i="14" s="1"/>
  <c r="G20" i="14" a="1"/>
  <c r="G20" i="14" s="1"/>
  <c r="A972" i="5" a="1"/>
  <c r="A972" i="5" s="1"/>
  <c r="A724" i="5" a="1"/>
  <c r="A724" i="5" s="1"/>
  <c r="A651" i="5" a="1"/>
  <c r="A651" i="5" s="1"/>
  <c r="E532" i="3" a="1"/>
  <c r="E532" i="3" s="1"/>
  <c r="G491" i="3" a="1"/>
  <c r="G491" i="3" s="1"/>
  <c r="G473" i="3" a="1"/>
  <c r="G473" i="3" s="1"/>
  <c r="G468" i="3" a="1"/>
  <c r="G468" i="3" s="1"/>
  <c r="E405" i="3" a="1"/>
  <c r="E405" i="3" s="1"/>
  <c r="E402" i="3" a="1"/>
  <c r="E402" i="3" s="1"/>
  <c r="E376" i="3" a="1"/>
  <c r="E376" i="3" s="1"/>
  <c r="G372" i="3" a="1"/>
  <c r="G372" i="3" s="1"/>
  <c r="G288" i="3" a="1"/>
  <c r="G288" i="3" s="1"/>
  <c r="E280" i="3" a="1"/>
  <c r="E280" i="3" s="1"/>
  <c r="G243" i="3" a="1"/>
  <c r="G243" i="3" s="1"/>
  <c r="G209" i="3" a="1"/>
  <c r="G209" i="3" s="1"/>
  <c r="E199" i="3" a="1"/>
  <c r="E199" i="3" s="1"/>
  <c r="E187" i="3" a="1"/>
  <c r="E187" i="3" s="1"/>
  <c r="G166" i="3" a="1"/>
  <c r="G166" i="3" s="1"/>
  <c r="E156" i="3" a="1"/>
  <c r="E156" i="3" s="1"/>
  <c r="G147" i="3" a="1"/>
  <c r="G147" i="3" s="1"/>
  <c r="E144" i="3" a="1"/>
  <c r="E144" i="3" s="1"/>
  <c r="G142" i="3" a="1"/>
  <c r="G142" i="3" s="1"/>
  <c r="E104" i="3" a="1"/>
  <c r="E104" i="3" s="1"/>
  <c r="E101" i="3" a="1"/>
  <c r="E101" i="3" s="1"/>
  <c r="G71" i="3" a="1"/>
  <c r="G71" i="3" s="1"/>
  <c r="E57" i="3" a="1"/>
  <c r="E57" i="3" s="1"/>
  <c r="G51" i="3" a="1"/>
  <c r="G51" i="3" s="1"/>
  <c r="G43" i="3" a="1"/>
  <c r="G43" i="3" s="1"/>
  <c r="E40" i="3" a="1"/>
  <c r="E40" i="3" s="1"/>
  <c r="G31" i="3" a="1"/>
  <c r="G31" i="3" s="1"/>
  <c r="A996" i="5" a="1"/>
  <c r="A996" i="5" s="1"/>
  <c r="A982" i="5" a="1"/>
  <c r="A982" i="5" s="1"/>
  <c r="A680" i="5" a="1"/>
  <c r="A680" i="5" s="1"/>
  <c r="A668" i="5" a="1"/>
  <c r="A668" i="5" s="1"/>
  <c r="G634" i="3" a="1"/>
  <c r="G634" i="3" s="1"/>
  <c r="E586" i="3" a="1"/>
  <c r="E586" i="3" s="1"/>
  <c r="E583" i="3" a="1"/>
  <c r="E583" i="3" s="1"/>
  <c r="E574" i="3" a="1"/>
  <c r="E574" i="3" s="1"/>
  <c r="E473" i="3" a="1"/>
  <c r="E473" i="3" s="1"/>
  <c r="E468" i="3" a="1"/>
  <c r="E468" i="3" s="1"/>
  <c r="G463" i="3" a="1"/>
  <c r="G463" i="3" s="1"/>
  <c r="G433" i="3" a="1"/>
  <c r="G433" i="3" s="1"/>
  <c r="E393" i="3" a="1"/>
  <c r="E393" i="3" s="1"/>
  <c r="E369" i="3" a="1"/>
  <c r="E369" i="3" s="1"/>
  <c r="G363" i="3" a="1"/>
  <c r="G363" i="3" s="1"/>
  <c r="G312" i="3" a="1"/>
  <c r="G312" i="3" s="1"/>
  <c r="G296" i="3" a="1"/>
  <c r="G296" i="3" s="1"/>
  <c r="G276" i="3" a="1"/>
  <c r="G276" i="3" s="1"/>
  <c r="E275" i="3" a="1"/>
  <c r="E275" i="3" s="1"/>
  <c r="G251" i="3" a="1"/>
  <c r="G251" i="3" s="1"/>
  <c r="G242" i="3" a="1"/>
  <c r="G242" i="3" s="1"/>
  <c r="G224" i="3" a="1"/>
  <c r="G224" i="3" s="1"/>
  <c r="E197" i="3" a="1"/>
  <c r="E197" i="3" s="1"/>
  <c r="G192" i="3" a="1"/>
  <c r="G192" i="3" s="1"/>
  <c r="G175" i="3" a="1"/>
  <c r="G175" i="3" s="1"/>
  <c r="G158" i="3" a="1"/>
  <c r="G158" i="3" s="1"/>
  <c r="G153" i="3" a="1"/>
  <c r="G153" i="3" s="1"/>
  <c r="G81" i="3" a="1"/>
  <c r="G81" i="3" s="1"/>
  <c r="E68" i="3" a="1"/>
  <c r="E68" i="3" s="1"/>
  <c r="H139" i="14" a="1"/>
  <c r="H139" i="14" s="1"/>
  <c r="A886" i="5" a="1"/>
  <c r="A886" i="5" s="1"/>
  <c r="A733" i="5" a="1"/>
  <c r="A733" i="5" s="1"/>
  <c r="A723" i="5" a="1"/>
  <c r="A723" i="5" s="1"/>
  <c r="G703" i="3" a="1"/>
  <c r="G703" i="3" s="1"/>
  <c r="G699" i="3" a="1"/>
  <c r="G699" i="3" s="1"/>
  <c r="G673" i="3" a="1"/>
  <c r="G673" i="3" s="1"/>
  <c r="E634" i="3" a="1"/>
  <c r="E634" i="3" s="1"/>
  <c r="G631" i="3" a="1"/>
  <c r="G631" i="3" s="1"/>
  <c r="E610" i="3" a="1"/>
  <c r="E610" i="3" s="1"/>
  <c r="G507" i="3" a="1"/>
  <c r="G507" i="3" s="1"/>
  <c r="E446" i="3" a="1"/>
  <c r="E446" i="3" s="1"/>
  <c r="E442" i="3" a="1"/>
  <c r="E442" i="3" s="1"/>
  <c r="G333" i="3" a="1"/>
  <c r="G333" i="3" s="1"/>
  <c r="E296" i="3" a="1"/>
  <c r="E296" i="3" s="1"/>
  <c r="E243" i="3" a="1"/>
  <c r="E243" i="3" s="1"/>
  <c r="E166" i="3" a="1"/>
  <c r="E166" i="3" s="1"/>
  <c r="E138" i="3" a="1"/>
  <c r="E138" i="3" s="1"/>
  <c r="E134" i="3" a="1"/>
  <c r="E134" i="3" s="1"/>
  <c r="E126" i="3" a="1"/>
  <c r="E126" i="3" s="1"/>
  <c r="E114" i="3" a="1"/>
  <c r="E114" i="3" s="1"/>
  <c r="E110" i="3" a="1"/>
  <c r="E110" i="3" s="1"/>
  <c r="E106" i="3" a="1"/>
  <c r="E106" i="3" s="1"/>
  <c r="G97" i="3" a="1"/>
  <c r="G97" i="3" s="1"/>
  <c r="G84" i="3" a="1"/>
  <c r="G84" i="3" s="1"/>
  <c r="E71" i="3" a="1"/>
  <c r="E71" i="3" s="1"/>
  <c r="G59" i="3" a="1"/>
  <c r="G59" i="3" s="1"/>
  <c r="E51" i="3" a="1"/>
  <c r="E51" i="3" s="1"/>
  <c r="E45" i="3" a="1"/>
  <c r="E45" i="3" s="1"/>
  <c r="E28" i="3" a="1"/>
  <c r="E28" i="3" s="1"/>
  <c r="E87" i="14" a="1"/>
  <c r="E87" i="14" s="1"/>
  <c r="A775" i="5" a="1"/>
  <c r="A775" i="5" s="1"/>
  <c r="E621" i="3" a="1"/>
  <c r="E621" i="3" s="1"/>
  <c r="G612" i="3" a="1"/>
  <c r="G612" i="3" s="1"/>
  <c r="E595" i="3" a="1"/>
  <c r="E595" i="3" s="1"/>
  <c r="E526" i="3" a="1"/>
  <c r="E526" i="3" s="1"/>
  <c r="E507" i="3" a="1"/>
  <c r="E507" i="3" s="1"/>
  <c r="G500" i="3" a="1"/>
  <c r="G500" i="3" s="1"/>
  <c r="G485" i="3" a="1"/>
  <c r="G485" i="3" s="1"/>
  <c r="G400" i="3" a="1"/>
  <c r="G400" i="3" s="1"/>
  <c r="G390" i="3" a="1"/>
  <c r="G390" i="3" s="1"/>
  <c r="E384" i="3" a="1"/>
  <c r="E384" i="3" s="1"/>
  <c r="E363" i="3" a="1"/>
  <c r="E363" i="3" s="1"/>
  <c r="E322" i="3" a="1"/>
  <c r="E322" i="3" s="1"/>
  <c r="E289" i="3" a="1"/>
  <c r="E289" i="3" s="1"/>
  <c r="E276" i="3" a="1"/>
  <c r="E276" i="3" s="1"/>
  <c r="E242" i="3" a="1"/>
  <c r="E242" i="3" s="1"/>
  <c r="G241" i="3" a="1"/>
  <c r="G241" i="3" s="1"/>
  <c r="G234" i="3" a="1"/>
  <c r="G234" i="3" s="1"/>
  <c r="G233" i="3" a="1"/>
  <c r="G233" i="3" s="1"/>
  <c r="E153" i="3" a="1"/>
  <c r="E153" i="3" s="1"/>
  <c r="G100" i="3" a="1"/>
  <c r="G100" i="3" s="1"/>
  <c r="G87" i="3" a="1"/>
  <c r="G87" i="3" s="1"/>
  <c r="G64" i="3" a="1"/>
  <c r="G64" i="3" s="1"/>
  <c r="E54" i="3" a="1"/>
  <c r="E54" i="3" s="1"/>
  <c r="E37" i="3" a="1"/>
  <c r="E37" i="3" s="1"/>
  <c r="E34" i="3" a="1"/>
  <c r="E34" i="3" s="1"/>
  <c r="E203" i="14" a="1"/>
  <c r="E203" i="14" s="1"/>
  <c r="B14" i="10" a="1"/>
  <c r="B14" i="10" s="1"/>
  <c r="A787" i="5" a="1"/>
  <c r="A787" i="5" s="1"/>
  <c r="A732" i="5" a="1"/>
  <c r="A732" i="5" s="1"/>
  <c r="G785" i="3" a="1"/>
  <c r="G785" i="3" s="1"/>
  <c r="E659" i="3" a="1"/>
  <c r="E659" i="3" s="1"/>
  <c r="E637" i="3" a="1"/>
  <c r="E637" i="3" s="1"/>
  <c r="G615" i="3" a="1"/>
  <c r="G615" i="3" s="1"/>
  <c r="G482" i="3" a="1"/>
  <c r="G482" i="3" s="1"/>
  <c r="E471" i="3" a="1"/>
  <c r="E471" i="3" s="1"/>
  <c r="G437" i="3" a="1"/>
  <c r="G437" i="3" s="1"/>
  <c r="G412" i="3" a="1"/>
  <c r="G412" i="3" s="1"/>
  <c r="E400" i="3" a="1"/>
  <c r="E400" i="3" s="1"/>
  <c r="G394" i="3" a="1"/>
  <c r="G394" i="3" s="1"/>
  <c r="G370" i="3" a="1"/>
  <c r="G370" i="3" s="1"/>
  <c r="G319" i="3" a="1"/>
  <c r="G319" i="3" s="1"/>
  <c r="G316" i="3" a="1"/>
  <c r="G316" i="3" s="1"/>
  <c r="G297" i="3" a="1"/>
  <c r="G297" i="3" s="1"/>
  <c r="E277" i="3" a="1"/>
  <c r="E277" i="3" s="1"/>
  <c r="G255" i="3" a="1"/>
  <c r="G255" i="3" s="1"/>
  <c r="E246" i="3" a="1"/>
  <c r="E246" i="3" s="1"/>
  <c r="E241" i="3" a="1"/>
  <c r="E241" i="3" s="1"/>
  <c r="G232" i="3" a="1"/>
  <c r="G232" i="3" s="1"/>
  <c r="G222" i="3" a="1"/>
  <c r="G222" i="3" s="1"/>
  <c r="G221" i="3" a="1"/>
  <c r="G221" i="3" s="1"/>
  <c r="E203" i="3" a="1"/>
  <c r="E203" i="3" s="1"/>
  <c r="A731" i="5" a="1"/>
  <c r="A731" i="5" s="1"/>
  <c r="G654" i="3" a="1"/>
  <c r="G654" i="3" s="1"/>
  <c r="E513" i="3" a="1"/>
  <c r="E513" i="3" s="1"/>
  <c r="G476" i="3" a="1"/>
  <c r="G476" i="3" s="1"/>
  <c r="E470" i="3" a="1"/>
  <c r="E470" i="3" s="1"/>
  <c r="E392" i="3" a="1"/>
  <c r="E392" i="3" s="1"/>
  <c r="G253" i="3" a="1"/>
  <c r="G253" i="3" s="1"/>
  <c r="G201" i="3" a="1"/>
  <c r="G201" i="3" s="1"/>
  <c r="E120" i="3" a="1"/>
  <c r="E120" i="3" s="1"/>
  <c r="E93" i="3" a="1"/>
  <c r="E93" i="3" s="1"/>
  <c r="E73" i="3" a="1"/>
  <c r="E73" i="3" s="1"/>
  <c r="E70" i="3" a="1"/>
  <c r="E70" i="3" s="1"/>
  <c r="E69" i="3" a="1"/>
  <c r="E69" i="3" s="1"/>
  <c r="G56" i="3" a="1"/>
  <c r="G56" i="3" s="1"/>
  <c r="G54" i="3" a="1"/>
  <c r="G54" i="3" s="1"/>
  <c r="E53" i="3" a="1"/>
  <c r="E53" i="3" s="1"/>
  <c r="G52" i="3" a="1"/>
  <c r="G52" i="3" s="1"/>
  <c r="G661" i="3" a="1"/>
  <c r="G661" i="3" s="1"/>
  <c r="G600" i="3" a="1"/>
  <c r="G600" i="3" s="1"/>
  <c r="E579" i="3" a="1"/>
  <c r="E579" i="3" s="1"/>
  <c r="E539" i="3" a="1"/>
  <c r="E539" i="3" s="1"/>
  <c r="E476" i="3" a="1"/>
  <c r="E476" i="3" s="1"/>
  <c r="E370" i="3" a="1"/>
  <c r="E370" i="3" s="1"/>
  <c r="G342" i="3" a="1"/>
  <c r="G342" i="3" s="1"/>
  <c r="G320" i="3" a="1"/>
  <c r="G320" i="3" s="1"/>
  <c r="E271" i="3" a="1"/>
  <c r="E271" i="3" s="1"/>
  <c r="G269" i="3" a="1"/>
  <c r="G269" i="3" s="1"/>
  <c r="G263" i="3" a="1"/>
  <c r="G263" i="3" s="1"/>
  <c r="E260" i="3" a="1"/>
  <c r="E260" i="3" s="1"/>
  <c r="E253" i="3" a="1"/>
  <c r="E253" i="3" s="1"/>
  <c r="G247" i="3" a="1"/>
  <c r="G247" i="3" s="1"/>
  <c r="E212" i="3" a="1"/>
  <c r="E212" i="3" s="1"/>
  <c r="E206" i="3" a="1"/>
  <c r="E206" i="3" s="1"/>
  <c r="E201" i="3" a="1"/>
  <c r="E201" i="3" s="1"/>
  <c r="G173" i="3" a="1"/>
  <c r="G173" i="3" s="1"/>
  <c r="E155" i="3" a="1"/>
  <c r="E155" i="3" s="1"/>
  <c r="G154" i="3" a="1"/>
  <c r="G154" i="3" s="1"/>
  <c r="G96" i="3" a="1"/>
  <c r="G96" i="3" s="1"/>
  <c r="G83" i="3" a="1"/>
  <c r="G83" i="3" s="1"/>
  <c r="G39" i="3" a="1"/>
  <c r="G39" i="3" s="1"/>
  <c r="G37" i="3" a="1"/>
  <c r="G37" i="3" s="1"/>
  <c r="G35" i="3" a="1"/>
  <c r="G35" i="3" s="1"/>
  <c r="E378" i="14" a="1"/>
  <c r="E378" i="14" s="1"/>
  <c r="A961" i="5" a="1"/>
  <c r="A961" i="5" s="1"/>
  <c r="A758" i="5" a="1"/>
  <c r="A758" i="5" s="1"/>
  <c r="A743" i="5" a="1"/>
  <c r="A743" i="5" s="1"/>
  <c r="A459" i="5" a="1"/>
  <c r="A459" i="5" s="1"/>
  <c r="A458" i="5" a="1"/>
  <c r="A458" i="5" s="1"/>
  <c r="A457" i="5" a="1"/>
  <c r="A457" i="5" s="1"/>
  <c r="A456" i="5" a="1"/>
  <c r="A456" i="5" s="1"/>
  <c r="A455" i="5" a="1"/>
  <c r="A455" i="5" s="1"/>
  <c r="A454" i="5" a="1"/>
  <c r="A454" i="5" s="1"/>
  <c r="A453" i="5" a="1"/>
  <c r="A453" i="5" s="1"/>
  <c r="A452" i="5" a="1"/>
  <c r="A452" i="5" s="1"/>
  <c r="A450" i="5" a="1"/>
  <c r="A450" i="5" s="1"/>
  <c r="A449" i="5" a="1"/>
  <c r="A449" i="5" s="1"/>
  <c r="A448" i="5" a="1"/>
  <c r="A448" i="5" s="1"/>
  <c r="A447" i="5" a="1"/>
  <c r="A447" i="5" s="1"/>
  <c r="A446" i="5" a="1"/>
  <c r="A446" i="5" s="1"/>
  <c r="A445" i="5" a="1"/>
  <c r="A445" i="5" s="1"/>
  <c r="A444" i="5" a="1"/>
  <c r="A444" i="5" s="1"/>
  <c r="A443" i="5" a="1"/>
  <c r="A443" i="5" s="1"/>
  <c r="A442" i="5" a="1"/>
  <c r="A442" i="5" s="1"/>
  <c r="A441" i="5" a="1"/>
  <c r="A441" i="5" s="1"/>
  <c r="A440" i="5" a="1"/>
  <c r="A440" i="5" s="1"/>
  <c r="A439" i="5" a="1"/>
  <c r="A439" i="5" s="1"/>
  <c r="A438" i="5" a="1"/>
  <c r="A438" i="5" s="1"/>
  <c r="A437" i="5" a="1"/>
  <c r="A437" i="5" s="1"/>
  <c r="A436" i="5" a="1"/>
  <c r="A436" i="5" s="1"/>
  <c r="A435" i="5" a="1"/>
  <c r="A435" i="5" s="1"/>
  <c r="A434" i="5" a="1"/>
  <c r="A434" i="5" s="1"/>
  <c r="A433" i="5" a="1"/>
  <c r="A433" i="5" s="1"/>
  <c r="A432" i="5" a="1"/>
  <c r="A432" i="5" s="1"/>
  <c r="A431" i="5" a="1"/>
  <c r="A431" i="5" s="1"/>
  <c r="A430" i="5" a="1"/>
  <c r="A430" i="5" s="1"/>
  <c r="A429" i="5" a="1"/>
  <c r="A429" i="5" s="1"/>
  <c r="A428" i="5" a="1"/>
  <c r="A428" i="5" s="1"/>
  <c r="A427" i="5" a="1"/>
  <c r="A427" i="5" s="1"/>
  <c r="A426" i="5" a="1"/>
  <c r="A426" i="5" s="1"/>
  <c r="A425" i="5" a="1"/>
  <c r="A425" i="5" s="1"/>
  <c r="A424" i="5" a="1"/>
  <c r="A424" i="5" s="1"/>
  <c r="A423" i="5" a="1"/>
  <c r="A423" i="5" s="1"/>
  <c r="A422" i="5" a="1"/>
  <c r="A422" i="5" s="1"/>
  <c r="A421" i="5" a="1"/>
  <c r="A421" i="5" s="1"/>
  <c r="A420" i="5" a="1"/>
  <c r="A420" i="5" s="1"/>
  <c r="A419" i="5" a="1"/>
  <c r="A419" i="5" s="1"/>
  <c r="A418" i="5" a="1"/>
  <c r="A418" i="5" s="1"/>
  <c r="A417" i="5" a="1"/>
  <c r="A417" i="5" s="1"/>
  <c r="A416" i="5" a="1"/>
  <c r="A416" i="5" s="1"/>
  <c r="A415" i="5" a="1"/>
  <c r="A415" i="5" s="1"/>
  <c r="A414" i="5" a="1"/>
  <c r="A414" i="5" s="1"/>
  <c r="A413" i="5" a="1"/>
  <c r="A413" i="5" s="1"/>
  <c r="A412" i="5" a="1"/>
  <c r="A412" i="5" s="1"/>
  <c r="A411" i="5" a="1"/>
  <c r="A411" i="5" s="1"/>
  <c r="A410" i="5" a="1"/>
  <c r="A410" i="5" s="1"/>
  <c r="A409" i="5" a="1"/>
  <c r="A409" i="5" s="1"/>
  <c r="A408" i="5" a="1"/>
  <c r="A408" i="5" s="1"/>
  <c r="A407" i="5" a="1"/>
  <c r="A407" i="5" s="1"/>
  <c r="A406" i="5" a="1"/>
  <c r="A406" i="5" s="1"/>
  <c r="A405" i="5" a="1"/>
  <c r="A405" i="5" s="1"/>
  <c r="A404" i="5" a="1"/>
  <c r="A404" i="5" s="1"/>
  <c r="A403" i="5" a="1"/>
  <c r="A403" i="5" s="1"/>
  <c r="A402" i="5" a="1"/>
  <c r="A402" i="5" s="1"/>
  <c r="A401" i="5" a="1"/>
  <c r="A401" i="5" s="1"/>
  <c r="A400" i="5" a="1"/>
  <c r="A400" i="5" s="1"/>
  <c r="A399" i="5" a="1"/>
  <c r="A399" i="5" s="1"/>
  <c r="A398" i="5" a="1"/>
  <c r="A398" i="5" s="1"/>
  <c r="A397" i="5" a="1"/>
  <c r="A397" i="5" s="1"/>
  <c r="A396" i="5" a="1"/>
  <c r="A396" i="5" s="1"/>
  <c r="A395" i="5" a="1"/>
  <c r="A395" i="5" s="1"/>
  <c r="A394" i="5" a="1"/>
  <c r="A394" i="5" s="1"/>
  <c r="A393" i="5" a="1"/>
  <c r="A393" i="5" s="1"/>
  <c r="A392" i="5" a="1"/>
  <c r="A392" i="5" s="1"/>
  <c r="A390" i="5" a="1"/>
  <c r="A390" i="5" s="1"/>
  <c r="A389" i="5" a="1"/>
  <c r="A389" i="5" s="1"/>
  <c r="A388" i="5" a="1"/>
  <c r="A388" i="5" s="1"/>
  <c r="A387" i="5" a="1"/>
  <c r="A387" i="5" s="1"/>
  <c r="A386" i="5" a="1"/>
  <c r="A386" i="5" s="1"/>
  <c r="A385" i="5" a="1"/>
  <c r="A385" i="5" s="1"/>
  <c r="A384" i="5" a="1"/>
  <c r="A384" i="5" s="1"/>
  <c r="A383" i="5" a="1"/>
  <c r="A383" i="5" s="1"/>
  <c r="A382" i="5" a="1"/>
  <c r="A382" i="5" s="1"/>
  <c r="A381" i="5" a="1"/>
  <c r="A381" i="5" s="1"/>
  <c r="A380" i="5" a="1"/>
  <c r="A380" i="5" s="1"/>
  <c r="A379" i="5" a="1"/>
  <c r="A379" i="5" s="1"/>
  <c r="A378" i="5" a="1"/>
  <c r="A378" i="5" s="1"/>
  <c r="A377" i="5" a="1"/>
  <c r="A377" i="5" s="1"/>
  <c r="A376" i="5" a="1"/>
  <c r="A376" i="5" s="1"/>
  <c r="A375" i="5" a="1"/>
  <c r="A375" i="5" s="1"/>
  <c r="A374" i="5" a="1"/>
  <c r="A374" i="5" s="1"/>
  <c r="A373" i="5" a="1"/>
  <c r="A373" i="5" s="1"/>
  <c r="A372" i="5" a="1"/>
  <c r="A372" i="5" s="1"/>
  <c r="A371" i="5" a="1"/>
  <c r="A371" i="5" s="1"/>
  <c r="A370" i="5" a="1"/>
  <c r="A370" i="5" s="1"/>
  <c r="A369" i="5" a="1"/>
  <c r="A369" i="5" s="1"/>
  <c r="A368" i="5" a="1"/>
  <c r="A368" i="5" s="1"/>
  <c r="A367" i="5" a="1"/>
  <c r="A367" i="5" s="1"/>
  <c r="A366" i="5" a="1"/>
  <c r="A366" i="5" s="1"/>
  <c r="A365" i="5" a="1"/>
  <c r="A365" i="5" s="1"/>
  <c r="A364" i="5" a="1"/>
  <c r="A364" i="5" s="1"/>
  <c r="A363" i="5" a="1"/>
  <c r="A363" i="5" s="1"/>
  <c r="A362" i="5" a="1"/>
  <c r="A362" i="5" s="1"/>
  <c r="A361" i="5" a="1"/>
  <c r="A361" i="5" s="1"/>
  <c r="A360" i="5" a="1"/>
  <c r="A360" i="5" s="1"/>
  <c r="A359" i="5" a="1"/>
  <c r="A359" i="5" s="1"/>
  <c r="A358" i="5" a="1"/>
  <c r="A358" i="5" s="1"/>
  <c r="A357" i="5" a="1"/>
  <c r="A357" i="5" s="1"/>
  <c r="A356" i="5" a="1"/>
  <c r="A356" i="5" s="1"/>
  <c r="A355" i="5" a="1"/>
  <c r="A355" i="5" s="1"/>
  <c r="A354" i="5" a="1"/>
  <c r="A354" i="5" s="1"/>
  <c r="A353" i="5" a="1"/>
  <c r="A353" i="5" s="1"/>
  <c r="A352" i="5" a="1"/>
  <c r="A352" i="5" s="1"/>
  <c r="A351" i="5" a="1"/>
  <c r="A351" i="5" s="1"/>
  <c r="A350" i="5" a="1"/>
  <c r="A350" i="5" s="1"/>
  <c r="A349" i="5" a="1"/>
  <c r="A349" i="5" s="1"/>
  <c r="A348" i="5" a="1"/>
  <c r="A348" i="5" s="1"/>
  <c r="A346" i="5" a="1"/>
  <c r="A346" i="5" s="1"/>
  <c r="A345" i="5" a="1"/>
  <c r="A345" i="5" s="1"/>
  <c r="A344" i="5" a="1"/>
  <c r="A344" i="5" s="1"/>
  <c r="A343" i="5" a="1"/>
  <c r="A343" i="5" s="1"/>
  <c r="A342" i="5" a="1"/>
  <c r="A342" i="5" s="1"/>
  <c r="A341" i="5" a="1"/>
  <c r="A341" i="5" s="1"/>
  <c r="A340" i="5" a="1"/>
  <c r="A340" i="5" s="1"/>
  <c r="A339" i="5" a="1"/>
  <c r="A339" i="5" s="1"/>
  <c r="A337" i="5" a="1"/>
  <c r="A337" i="5" s="1"/>
  <c r="A336" i="5" a="1"/>
  <c r="A336" i="5" s="1"/>
  <c r="A335" i="5" a="1"/>
  <c r="A335" i="5" s="1"/>
  <c r="A334" i="5" a="1"/>
  <c r="A334" i="5" s="1"/>
  <c r="A333" i="5" a="1"/>
  <c r="A333" i="5" s="1"/>
  <c r="A332" i="5" a="1"/>
  <c r="A332" i="5" s="1"/>
  <c r="A330" i="5" a="1"/>
  <c r="A330" i="5" s="1"/>
  <c r="A329" i="5" a="1"/>
  <c r="A329" i="5" s="1"/>
  <c r="A328" i="5" a="1"/>
  <c r="A328" i="5" s="1"/>
  <c r="A327" i="5" a="1"/>
  <c r="A327" i="5" s="1"/>
  <c r="A326" i="5" a="1"/>
  <c r="A326" i="5" s="1"/>
  <c r="A325" i="5" a="1"/>
  <c r="A325" i="5" s="1"/>
  <c r="A324" i="5" a="1"/>
  <c r="A324" i="5" s="1"/>
  <c r="A323" i="5" a="1"/>
  <c r="A323" i="5" s="1"/>
  <c r="A322" i="5" a="1"/>
  <c r="A322" i="5" s="1"/>
  <c r="A321" i="5" a="1"/>
  <c r="A321" i="5" s="1"/>
  <c r="A320" i="5" a="1"/>
  <c r="A320" i="5" s="1"/>
  <c r="A319" i="5" a="1"/>
  <c r="A319" i="5" s="1"/>
  <c r="A318" i="5" a="1"/>
  <c r="A318" i="5" s="1"/>
  <c r="A317" i="5" a="1"/>
  <c r="A317" i="5" s="1"/>
  <c r="A316" i="5" a="1"/>
  <c r="A316" i="5" s="1"/>
  <c r="A315" i="5" a="1"/>
  <c r="A315" i="5" s="1"/>
  <c r="A314" i="5" a="1"/>
  <c r="A314" i="5" s="1"/>
  <c r="A313" i="5" a="1"/>
  <c r="A313" i="5" s="1"/>
  <c r="A312" i="5" a="1"/>
  <c r="A312" i="5" s="1"/>
  <c r="A311" i="5" a="1"/>
  <c r="A311" i="5" s="1"/>
  <c r="A310" i="5" a="1"/>
  <c r="A310" i="5" s="1"/>
  <c r="A309" i="5" a="1"/>
  <c r="A309" i="5" s="1"/>
  <c r="A308" i="5" a="1"/>
  <c r="A308" i="5" s="1"/>
  <c r="A307" i="5" a="1"/>
  <c r="A307" i="5" s="1"/>
  <c r="A306" i="5" a="1"/>
  <c r="A306" i="5" s="1"/>
  <c r="A305" i="5" a="1"/>
  <c r="A305" i="5" s="1"/>
  <c r="A304" i="5" a="1"/>
  <c r="A304" i="5" s="1"/>
  <c r="A303" i="5" a="1"/>
  <c r="A303" i="5" s="1"/>
  <c r="A302" i="5" a="1"/>
  <c r="A302" i="5" s="1"/>
  <c r="A301" i="5" a="1"/>
  <c r="A301" i="5" s="1"/>
  <c r="A299" i="5" a="1"/>
  <c r="A299" i="5" s="1"/>
  <c r="A298" i="5" a="1"/>
  <c r="A298" i="5" s="1"/>
  <c r="A297" i="5" a="1"/>
  <c r="A297" i="5" s="1"/>
  <c r="A296" i="5" a="1"/>
  <c r="A296" i="5" s="1"/>
  <c r="A295" i="5" a="1"/>
  <c r="A295" i="5" s="1"/>
  <c r="A294" i="5" a="1"/>
  <c r="A294" i="5" s="1"/>
  <c r="A292" i="5" a="1"/>
  <c r="A292" i="5" s="1"/>
  <c r="A291" i="5" a="1"/>
  <c r="A291" i="5" s="1"/>
  <c r="A290" i="5" a="1"/>
  <c r="A290" i="5" s="1"/>
  <c r="A289" i="5" a="1"/>
  <c r="A289" i="5" s="1"/>
  <c r="A288" i="5" a="1"/>
  <c r="A288" i="5" s="1"/>
  <c r="A287" i="5" a="1"/>
  <c r="A287" i="5" s="1"/>
  <c r="A286" i="5" a="1"/>
  <c r="A286" i="5" s="1"/>
  <c r="A285" i="5" a="1"/>
  <c r="A285" i="5" s="1"/>
  <c r="A284" i="5" a="1"/>
  <c r="A284" i="5" s="1"/>
  <c r="A283" i="5" a="1"/>
  <c r="A283" i="5" s="1"/>
  <c r="A282" i="5" a="1"/>
  <c r="A282" i="5" s="1"/>
  <c r="A281" i="5" a="1"/>
  <c r="A281" i="5" s="1"/>
  <c r="A280" i="5" a="1"/>
  <c r="A280" i="5" s="1"/>
  <c r="A279" i="5" a="1"/>
  <c r="A279" i="5" s="1"/>
  <c r="A278" i="5" a="1"/>
  <c r="A278" i="5" s="1"/>
  <c r="A277" i="5" a="1"/>
  <c r="A277" i="5" s="1"/>
  <c r="A276" i="5" a="1"/>
  <c r="A276" i="5" s="1"/>
  <c r="A275" i="5" a="1"/>
  <c r="A275" i="5" s="1"/>
  <c r="A274" i="5" a="1"/>
  <c r="A274" i="5" s="1"/>
  <c r="A273" i="5" a="1"/>
  <c r="A273" i="5" s="1"/>
  <c r="A272" i="5" a="1"/>
  <c r="A272" i="5" s="1"/>
  <c r="A271" i="5" a="1"/>
  <c r="A271" i="5" s="1"/>
  <c r="A270" i="5" a="1"/>
  <c r="A270" i="5" s="1"/>
  <c r="A269" i="5" a="1"/>
  <c r="A269" i="5" s="1"/>
  <c r="A268" i="5" a="1"/>
  <c r="A268" i="5" s="1"/>
  <c r="A267" i="5" a="1"/>
  <c r="A267" i="5" s="1"/>
  <c r="A266" i="5" a="1"/>
  <c r="A266" i="5" s="1"/>
  <c r="A265" i="5" a="1"/>
  <c r="A265" i="5" s="1"/>
  <c r="A264" i="5" a="1"/>
  <c r="A264" i="5" s="1"/>
  <c r="A263" i="5" a="1"/>
  <c r="A263" i="5" s="1"/>
  <c r="A262" i="5" a="1"/>
  <c r="A262" i="5" s="1"/>
  <c r="A261" i="5" a="1"/>
  <c r="A261" i="5" s="1"/>
  <c r="A260" i="5" a="1"/>
  <c r="A260" i="5" s="1"/>
  <c r="A258" i="5" a="1"/>
  <c r="A258" i="5" s="1"/>
  <c r="A257" i="5" a="1"/>
  <c r="A257" i="5" s="1"/>
  <c r="A256" i="5" a="1"/>
  <c r="A256" i="5" s="1"/>
  <c r="A255" i="5" a="1"/>
  <c r="A255" i="5" s="1"/>
  <c r="A254" i="5" a="1"/>
  <c r="A254" i="5" s="1"/>
  <c r="A253" i="5" a="1"/>
  <c r="A253" i="5" s="1"/>
  <c r="A251" i="5" a="1"/>
  <c r="A251" i="5" s="1"/>
  <c r="A250" i="5" a="1"/>
  <c r="A250" i="5" s="1"/>
  <c r="A249" i="5" a="1"/>
  <c r="A249" i="5" s="1"/>
  <c r="A248" i="5" a="1"/>
  <c r="A248" i="5" s="1"/>
  <c r="A247" i="5" a="1"/>
  <c r="A247" i="5" s="1"/>
  <c r="A246" i="5" a="1"/>
  <c r="A246" i="5" s="1"/>
  <c r="A245" i="5" a="1"/>
  <c r="A245" i="5" s="1"/>
  <c r="A244" i="5" a="1"/>
  <c r="A244" i="5" s="1"/>
  <c r="A243" i="5" a="1"/>
  <c r="A243" i="5" s="1"/>
  <c r="A242" i="5" a="1"/>
  <c r="A242" i="5" s="1"/>
  <c r="A241" i="5" a="1"/>
  <c r="A241" i="5" s="1"/>
  <c r="A240" i="5" a="1"/>
  <c r="A240" i="5" s="1"/>
  <c r="A239" i="5" a="1"/>
  <c r="A239" i="5" s="1"/>
  <c r="A238" i="5" a="1"/>
  <c r="A238" i="5" s="1"/>
  <c r="A237" i="5" a="1"/>
  <c r="A237" i="5" s="1"/>
  <c r="A236" i="5" a="1"/>
  <c r="A236" i="5" s="1"/>
  <c r="A235" i="5" a="1"/>
  <c r="A235" i="5" s="1"/>
  <c r="A234" i="5" a="1"/>
  <c r="A234" i="5" s="1"/>
  <c r="A233" i="5" a="1"/>
  <c r="A233" i="5" s="1"/>
  <c r="A232" i="5" a="1"/>
  <c r="A232" i="5" s="1"/>
  <c r="A231" i="5" a="1"/>
  <c r="A231" i="5" s="1"/>
  <c r="A230" i="5" a="1"/>
  <c r="A230" i="5" s="1"/>
  <c r="A229" i="5" a="1"/>
  <c r="A229" i="5" s="1"/>
  <c r="A228" i="5" a="1"/>
  <c r="A228" i="5" s="1"/>
  <c r="A227" i="5" a="1"/>
  <c r="A227" i="5" s="1"/>
  <c r="A226" i="5" a="1"/>
  <c r="A226" i="5" s="1"/>
  <c r="A225" i="5" a="1"/>
  <c r="A225" i="5" s="1"/>
  <c r="A224" i="5" a="1"/>
  <c r="A224" i="5" s="1"/>
  <c r="A223" i="5" a="1"/>
  <c r="A223" i="5" s="1"/>
  <c r="A222" i="5" a="1"/>
  <c r="A222" i="5" s="1"/>
  <c r="A221" i="5" a="1"/>
  <c r="A221" i="5" s="1"/>
  <c r="A220" i="5" a="1"/>
  <c r="A220" i="5" s="1"/>
  <c r="A219" i="5" a="1"/>
  <c r="A219" i="5" s="1"/>
  <c r="A218" i="5" a="1"/>
  <c r="A218" i="5" s="1"/>
  <c r="A217" i="5" a="1"/>
  <c r="A217" i="5" s="1"/>
  <c r="A216" i="5" a="1"/>
  <c r="A216" i="5" s="1"/>
  <c r="A215" i="5" a="1"/>
  <c r="A215" i="5" s="1"/>
  <c r="A214" i="5" a="1"/>
  <c r="A214" i="5" s="1"/>
  <c r="A213" i="5" a="1"/>
  <c r="A213" i="5" s="1"/>
  <c r="A212" i="5" a="1"/>
  <c r="A212" i="5" s="1"/>
  <c r="A211" i="5" a="1"/>
  <c r="A211" i="5" s="1"/>
  <c r="A210" i="5" a="1"/>
  <c r="A210" i="5" s="1"/>
  <c r="A209" i="5" a="1"/>
  <c r="A209" i="5" s="1"/>
  <c r="A208" i="5" a="1"/>
  <c r="A208" i="5" s="1"/>
  <c r="A207" i="5" a="1"/>
  <c r="A207" i="5" s="1"/>
  <c r="A206" i="5" a="1"/>
  <c r="A206" i="5" s="1"/>
  <c r="A205" i="5" a="1"/>
  <c r="A205" i="5" s="1"/>
  <c r="A204" i="5" a="1"/>
  <c r="A204" i="5" s="1"/>
  <c r="A203" i="5" a="1"/>
  <c r="A203" i="5" s="1"/>
  <c r="A202" i="5" a="1"/>
  <c r="A202" i="5" s="1"/>
  <c r="A201" i="5" a="1"/>
  <c r="A201" i="5" s="1"/>
  <c r="A200" i="5" a="1"/>
  <c r="A200" i="5" s="1"/>
  <c r="A199" i="5" a="1"/>
  <c r="A199" i="5" s="1"/>
  <c r="A198" i="5" a="1"/>
  <c r="A198" i="5" s="1"/>
  <c r="A197" i="5" a="1"/>
  <c r="A197" i="5" s="1"/>
  <c r="A196" i="5" a="1"/>
  <c r="A196" i="5" s="1"/>
  <c r="A195" i="5" a="1"/>
  <c r="A195" i="5" s="1"/>
  <c r="A194" i="5" a="1"/>
  <c r="A194" i="5" s="1"/>
  <c r="A193" i="5" a="1"/>
  <c r="A193" i="5" s="1"/>
  <c r="A192" i="5" a="1"/>
  <c r="A192" i="5" s="1"/>
  <c r="A191" i="5" a="1"/>
  <c r="A191" i="5" s="1"/>
  <c r="A190" i="5" a="1"/>
  <c r="A190" i="5" s="1"/>
  <c r="A189" i="5" a="1"/>
  <c r="A189" i="5" s="1"/>
  <c r="A188" i="5" a="1"/>
  <c r="A188" i="5" s="1"/>
  <c r="A187" i="5" a="1"/>
  <c r="A187" i="5" s="1"/>
  <c r="A186" i="5" a="1"/>
  <c r="A186" i="5" s="1"/>
  <c r="A185" i="5" a="1"/>
  <c r="A185" i="5" s="1"/>
  <c r="A184" i="5" a="1"/>
  <c r="A184" i="5" s="1"/>
  <c r="A183" i="5" a="1"/>
  <c r="A183" i="5" s="1"/>
  <c r="A182" i="5" a="1"/>
  <c r="A182" i="5" s="1"/>
  <c r="A181" i="5" a="1"/>
  <c r="A181" i="5" s="1"/>
  <c r="A180" i="5" a="1"/>
  <c r="A180" i="5" s="1"/>
  <c r="A179" i="5" a="1"/>
  <c r="A179" i="5" s="1"/>
  <c r="A178" i="5" a="1"/>
  <c r="A178" i="5" s="1"/>
  <c r="A177" i="5" a="1"/>
  <c r="A177" i="5" s="1"/>
  <c r="A176" i="5" a="1"/>
  <c r="A176" i="5" s="1"/>
  <c r="A175" i="5" a="1"/>
  <c r="A175" i="5" s="1"/>
  <c r="A174" i="5" a="1"/>
  <c r="A174" i="5" s="1"/>
  <c r="A173" i="5" a="1"/>
  <c r="A173" i="5" s="1"/>
  <c r="A172" i="5" a="1"/>
  <c r="A172" i="5" s="1"/>
  <c r="A171" i="5" a="1"/>
  <c r="A171" i="5" s="1"/>
  <c r="A170" i="5" a="1"/>
  <c r="A170" i="5" s="1"/>
  <c r="A169" i="5" a="1"/>
  <c r="A169" i="5" s="1"/>
  <c r="A168" i="5" a="1"/>
  <c r="A168" i="5" s="1"/>
  <c r="A167" i="5" a="1"/>
  <c r="A167" i="5" s="1"/>
  <c r="A166" i="5" a="1"/>
  <c r="A166" i="5" s="1"/>
  <c r="A165" i="5" a="1"/>
  <c r="A165" i="5" s="1"/>
  <c r="A164" i="5" a="1"/>
  <c r="A164" i="5" s="1"/>
  <c r="A163" i="5" a="1"/>
  <c r="A163" i="5" s="1"/>
  <c r="A162" i="5" a="1"/>
  <c r="A162" i="5" s="1"/>
  <c r="A161" i="5" a="1"/>
  <c r="A161" i="5" s="1"/>
  <c r="A160" i="5" a="1"/>
  <c r="A160" i="5" s="1"/>
  <c r="A158" i="5" a="1"/>
  <c r="A158" i="5" s="1"/>
  <c r="A157" i="5" a="1"/>
  <c r="A157" i="5" s="1"/>
  <c r="A156" i="5" a="1"/>
  <c r="A156" i="5" s="1"/>
  <c r="A155" i="5" a="1"/>
  <c r="A155" i="5" s="1"/>
  <c r="A154" i="5" a="1"/>
  <c r="A154" i="5" s="1"/>
  <c r="A153" i="5" a="1"/>
  <c r="A153" i="5" s="1"/>
  <c r="A152" i="5" a="1"/>
  <c r="A152" i="5" s="1"/>
  <c r="A151" i="5" a="1"/>
  <c r="A151" i="5" s="1"/>
  <c r="A149" i="5" a="1"/>
  <c r="A149" i="5" s="1"/>
  <c r="A148" i="5" a="1"/>
  <c r="A148" i="5" s="1"/>
  <c r="A147" i="5" a="1"/>
  <c r="A147" i="5" s="1"/>
  <c r="A146" i="5" a="1"/>
  <c r="A146" i="5" s="1"/>
  <c r="A145" i="5" a="1"/>
  <c r="A145" i="5" s="1"/>
  <c r="A144" i="5" a="1"/>
  <c r="A144" i="5" s="1"/>
  <c r="A142" i="5" a="1"/>
  <c r="A142" i="5" s="1"/>
  <c r="A141" i="5" a="1"/>
  <c r="A141" i="5" s="1"/>
  <c r="A140" i="5" a="1"/>
  <c r="A140" i="5" s="1"/>
  <c r="A139" i="5" a="1"/>
  <c r="A139" i="5" s="1"/>
  <c r="A138" i="5" a="1"/>
  <c r="A138" i="5" s="1"/>
  <c r="A137" i="5" a="1"/>
  <c r="A137" i="5" s="1"/>
  <c r="A136" i="5" a="1"/>
  <c r="A136" i="5" s="1"/>
  <c r="A135" i="5" a="1"/>
  <c r="A135" i="5" s="1"/>
  <c r="A134" i="5" a="1"/>
  <c r="A134" i="5" s="1"/>
  <c r="A133" i="5" a="1"/>
  <c r="A133" i="5" s="1"/>
  <c r="A132" i="5" a="1"/>
  <c r="A132" i="5" s="1"/>
  <c r="A131" i="5" a="1"/>
  <c r="A131" i="5" s="1"/>
  <c r="A130" i="5" a="1"/>
  <c r="A130" i="5" s="1"/>
  <c r="A129" i="5" a="1"/>
  <c r="A129" i="5" s="1"/>
  <c r="A128" i="5" a="1"/>
  <c r="A128" i="5" s="1"/>
  <c r="A127" i="5" a="1"/>
  <c r="A127" i="5" s="1"/>
  <c r="A126" i="5" a="1"/>
  <c r="A126" i="5" s="1"/>
  <c r="A125" i="5" a="1"/>
  <c r="A125" i="5" s="1"/>
  <c r="A124" i="5" a="1"/>
  <c r="A124" i="5" s="1"/>
  <c r="A123" i="5" a="1"/>
  <c r="A123" i="5" s="1"/>
  <c r="A122" i="5" a="1"/>
  <c r="A122" i="5" s="1"/>
  <c r="A121" i="5" a="1"/>
  <c r="A121" i="5" s="1"/>
  <c r="A120" i="5" a="1"/>
  <c r="A120" i="5" s="1"/>
  <c r="A119" i="5" a="1"/>
  <c r="A119" i="5" s="1"/>
  <c r="A118" i="5" a="1"/>
  <c r="A118" i="5" s="1"/>
  <c r="A117" i="5" a="1"/>
  <c r="A117" i="5" s="1"/>
  <c r="A116" i="5" a="1"/>
  <c r="A116" i="5" s="1"/>
  <c r="A115" i="5" a="1"/>
  <c r="A115" i="5" s="1"/>
  <c r="A114" i="5" a="1"/>
  <c r="A114" i="5" s="1"/>
  <c r="A113" i="5" a="1"/>
  <c r="A113" i="5" s="1"/>
  <c r="A112" i="5" a="1"/>
  <c r="A112" i="5" s="1"/>
  <c r="A111" i="5" a="1"/>
  <c r="A111" i="5" s="1"/>
  <c r="A110" i="5" a="1"/>
  <c r="A110" i="5" s="1"/>
  <c r="A109" i="5" a="1"/>
  <c r="A109" i="5" s="1"/>
  <c r="A108" i="5" a="1"/>
  <c r="A108" i="5" s="1"/>
  <c r="A107" i="5" a="1"/>
  <c r="A107" i="5" s="1"/>
  <c r="A106" i="5" a="1"/>
  <c r="A106" i="5" s="1"/>
  <c r="A86" i="5" a="1"/>
  <c r="A86" i="5" s="1"/>
  <c r="G683" i="3" a="1"/>
  <c r="G683" i="3" s="1"/>
  <c r="G516" i="3" a="1"/>
  <c r="G516" i="3" s="1"/>
  <c r="G493" i="3" a="1"/>
  <c r="G493" i="3" s="1"/>
  <c r="E453" i="3" a="1"/>
  <c r="E453" i="3" s="1"/>
  <c r="E394" i="3" a="1"/>
  <c r="E394" i="3" s="1"/>
  <c r="G380" i="3" a="1"/>
  <c r="G380" i="3" s="1"/>
  <c r="G362" i="3" a="1"/>
  <c r="G362" i="3" s="1"/>
  <c r="G304" i="3" a="1"/>
  <c r="G304" i="3" s="1"/>
  <c r="E263" i="3" a="1"/>
  <c r="E263" i="3" s="1"/>
  <c r="G230" i="3" a="1"/>
  <c r="G230" i="3" s="1"/>
  <c r="E215" i="3" a="1"/>
  <c r="E215" i="3" s="1"/>
  <c r="G189" i="3" a="1"/>
  <c r="G189" i="3" s="1"/>
  <c r="G177" i="3" a="1"/>
  <c r="G177" i="3" s="1"/>
  <c r="G176" i="3" a="1"/>
  <c r="G176" i="3" s="1"/>
  <c r="G167" i="3" a="1"/>
  <c r="G167" i="3" s="1"/>
  <c r="E121" i="3" a="1"/>
  <c r="E121" i="3" s="1"/>
  <c r="E116" i="3" a="1"/>
  <c r="E116" i="3" s="1"/>
  <c r="G82" i="3" a="1"/>
  <c r="G82" i="3" s="1"/>
  <c r="B10" i="10" a="1"/>
  <c r="B10" i="10" s="1"/>
  <c r="A643" i="5" a="1"/>
  <c r="A643" i="5" s="1"/>
  <c r="A85" i="5" a="1"/>
  <c r="A85" i="5" s="1"/>
  <c r="A6" i="5" a="1"/>
  <c r="A6" i="5" s="1"/>
  <c r="E723" i="3" a="1"/>
  <c r="E723" i="3" s="1"/>
  <c r="E563" i="3" a="1"/>
  <c r="E563" i="3" s="1"/>
  <c r="E524" i="3" a="1"/>
  <c r="E524" i="3" s="1"/>
  <c r="G508" i="3" a="1"/>
  <c r="G508" i="3" s="1"/>
  <c r="G484" i="3" a="1"/>
  <c r="G484" i="3" s="1"/>
  <c r="G466" i="3" a="1"/>
  <c r="G466" i="3" s="1"/>
  <c r="G443" i="3" a="1"/>
  <c r="G443" i="3" s="1"/>
  <c r="G440" i="3" a="1"/>
  <c r="G440" i="3" s="1"/>
  <c r="G438" i="3" a="1"/>
  <c r="G438" i="3" s="1"/>
  <c r="E424" i="3" a="1"/>
  <c r="E424" i="3" s="1"/>
  <c r="G418" i="3" a="1"/>
  <c r="G418" i="3" s="1"/>
  <c r="G410" i="3" a="1"/>
  <c r="G410" i="3" s="1"/>
  <c r="E304" i="3" a="1"/>
  <c r="E304" i="3" s="1"/>
  <c r="G273" i="3" a="1"/>
  <c r="G273" i="3" s="1"/>
  <c r="G220" i="3" a="1"/>
  <c r="G220" i="3" s="1"/>
  <c r="G207" i="3" a="1"/>
  <c r="G207" i="3" s="1"/>
  <c r="E42" i="3" a="1"/>
  <c r="E42" i="3" s="1"/>
  <c r="E39" i="3" a="1"/>
  <c r="E39" i="3" s="1"/>
  <c r="G38" i="3" a="1"/>
  <c r="G38" i="3" s="1"/>
  <c r="A973" i="5" a="1"/>
  <c r="A973" i="5" s="1"/>
  <c r="A21" i="5" a="1"/>
  <c r="A21" i="5" s="1"/>
  <c r="A17" i="5" a="1"/>
  <c r="A17" i="5" s="1"/>
  <c r="A7" i="5" a="1"/>
  <c r="A7" i="5" s="1"/>
  <c r="E693" i="3" a="1"/>
  <c r="E693" i="3" s="1"/>
  <c r="G686" i="3" a="1"/>
  <c r="G686" i="3" s="1"/>
  <c r="G623" i="3" a="1"/>
  <c r="G623" i="3" s="1"/>
  <c r="G499" i="3" a="1"/>
  <c r="G499" i="3" s="1"/>
  <c r="E443" i="3" a="1"/>
  <c r="E443" i="3" s="1"/>
  <c r="G435" i="3" a="1"/>
  <c r="G435" i="3" s="1"/>
  <c r="G432" i="3" a="1"/>
  <c r="G432" i="3" s="1"/>
  <c r="E413" i="3" a="1"/>
  <c r="E413" i="3" s="1"/>
  <c r="G407" i="3" a="1"/>
  <c r="G407" i="3" s="1"/>
  <c r="G404" i="3" a="1"/>
  <c r="G404" i="3" s="1"/>
  <c r="E380" i="3" a="1"/>
  <c r="E380" i="3" s="1"/>
  <c r="E362" i="3" a="1"/>
  <c r="E362" i="3" s="1"/>
  <c r="G213" i="3" a="1"/>
  <c r="G213" i="3" s="1"/>
  <c r="G202" i="3" a="1"/>
  <c r="G202" i="3" s="1"/>
  <c r="E189" i="3" a="1"/>
  <c r="E189" i="3" s="1"/>
  <c r="E177" i="3" a="1"/>
  <c r="E177" i="3" s="1"/>
  <c r="E117" i="3" a="1"/>
  <c r="E117" i="3" s="1"/>
  <c r="E112" i="3" a="1"/>
  <c r="E112" i="3" s="1"/>
  <c r="E84" i="3" a="1"/>
  <c r="E84" i="3" s="1"/>
  <c r="G72" i="3" a="1"/>
  <c r="G72" i="3" s="1"/>
  <c r="A648" i="5" a="1"/>
  <c r="A648" i="5" s="1"/>
  <c r="A20" i="5" a="1"/>
  <c r="A20" i="5" s="1"/>
  <c r="A18" i="5" a="1"/>
  <c r="A18" i="5" s="1"/>
  <c r="A8" i="5" a="1"/>
  <c r="A8" i="5" s="1"/>
  <c r="E547" i="3" a="1"/>
  <c r="E547" i="3" s="1"/>
  <c r="E511" i="3" a="1"/>
  <c r="E511" i="3" s="1"/>
  <c r="E484" i="3" a="1"/>
  <c r="E484" i="3" s="1"/>
  <c r="E449" i="3" a="1"/>
  <c r="E449" i="3" s="1"/>
  <c r="E447" i="3" a="1"/>
  <c r="E447" i="3" s="1"/>
  <c r="E435" i="3" a="1"/>
  <c r="E435" i="3" s="1"/>
  <c r="G429" i="3" a="1"/>
  <c r="G429" i="3" s="1"/>
  <c r="G415" i="3" a="1"/>
  <c r="G415" i="3" s="1"/>
  <c r="E410" i="3" a="1"/>
  <c r="E410" i="3" s="1"/>
  <c r="G261" i="3" a="1"/>
  <c r="G261" i="3" s="1"/>
  <c r="G238" i="3" a="1"/>
  <c r="G238" i="3" s="1"/>
  <c r="G217" i="3" a="1"/>
  <c r="G217" i="3" s="1"/>
  <c r="G190" i="3" a="1"/>
  <c r="G190" i="3" s="1"/>
  <c r="G178" i="3" a="1"/>
  <c r="G178" i="3" s="1"/>
  <c r="A690" i="5" a="1"/>
  <c r="A690" i="5" s="1"/>
  <c r="A797" i="5" a="1"/>
  <c r="A797" i="5" s="1"/>
  <c r="N150" i="6" a="1"/>
  <c r="N150" i="6" s="1"/>
  <c r="N154" i="6" a="1"/>
  <c r="N154" i="6" s="1"/>
  <c r="I82" i="10"/>
  <c r="O79" i="10"/>
  <c r="J30" i="10"/>
  <c r="H82" i="10"/>
  <c r="L79" i="10"/>
  <c r="J73" i="10"/>
  <c r="J67" i="10"/>
  <c r="E58" i="10"/>
  <c r="K42" i="10"/>
  <c r="O36" i="10"/>
  <c r="I30" i="10"/>
  <c r="E70" i="10"/>
  <c r="I67" i="10"/>
  <c r="L36" i="10"/>
  <c r="H30" i="10"/>
  <c r="J14" i="10"/>
  <c r="F82" i="10"/>
  <c r="K78" i="10"/>
  <c r="O63" i="10"/>
  <c r="E61" i="10"/>
  <c r="I42" i="10"/>
  <c r="K36" i="10"/>
  <c r="I14" i="10"/>
  <c r="E82" i="10"/>
  <c r="J78" i="10"/>
  <c r="O75" i="10"/>
  <c r="H66" i="10"/>
  <c r="L63" i="10"/>
  <c r="K26" i="10"/>
  <c r="I78" i="10"/>
  <c r="L75" i="10"/>
  <c r="K63" i="10"/>
  <c r="J57" i="10"/>
  <c r="E54" i="10"/>
  <c r="J26" i="10"/>
  <c r="G14" i="10"/>
  <c r="J69" i="10"/>
  <c r="J63" i="10"/>
  <c r="J38" i="10"/>
  <c r="O32" i="10"/>
  <c r="I26" i="10"/>
  <c r="F14" i="10"/>
  <c r="E74" i="10"/>
  <c r="K59" i="10"/>
  <c r="F78" i="10"/>
  <c r="J59" i="10"/>
  <c r="J49" i="10"/>
  <c r="O44" i="10"/>
  <c r="L40" i="10"/>
  <c r="O83" i="10"/>
  <c r="E78" i="10"/>
  <c r="I59" i="10"/>
  <c r="K30" i="10"/>
  <c r="E26" i="10"/>
  <c r="I63" i="10"/>
  <c r="H59" i="10"/>
  <c r="J53" i="10"/>
  <c r="L43" i="10"/>
  <c r="K39" i="10"/>
  <c r="K34" i="10"/>
  <c r="I6" i="10"/>
  <c r="K82" i="10"/>
  <c r="H63" i="10"/>
  <c r="K43" i="10"/>
  <c r="J34" i="10"/>
  <c r="H6" i="10"/>
  <c r="K86" i="10"/>
  <c r="J82" i="10"/>
  <c r="J43" i="10"/>
  <c r="I38" i="10"/>
  <c r="I34" i="10"/>
  <c r="E53" i="10"/>
  <c r="I43" i="10"/>
  <c r="H38" i="10"/>
  <c r="H34" i="10"/>
  <c r="H74" i="10"/>
  <c r="K55" i="10"/>
  <c r="L67" i="10"/>
  <c r="H47" i="10"/>
  <c r="L32" i="10"/>
  <c r="H26" i="10"/>
  <c r="I86" i="10"/>
  <c r="E66" i="10"/>
  <c r="K32" i="10"/>
  <c r="H86" i="10"/>
  <c r="F80" i="10"/>
  <c r="O59" i="10"/>
  <c r="K46" i="10"/>
  <c r="G86" i="10"/>
  <c r="J46" i="10"/>
  <c r="F86" i="10"/>
  <c r="O71" i="10"/>
  <c r="J37" i="10"/>
  <c r="I31" i="10"/>
  <c r="E62" i="10"/>
  <c r="H43" i="10"/>
  <c r="I70" i="10"/>
  <c r="H70" i="10"/>
  <c r="O76" i="10"/>
  <c r="H31" i="10"/>
  <c r="O55" i="10"/>
  <c r="L55" i="10"/>
  <c r="J74" i="10"/>
  <c r="I74" i="10"/>
  <c r="E41" i="10"/>
  <c r="K84" i="10"/>
  <c r="F84" i="10"/>
  <c r="L57" i="11" a="1"/>
  <c r="L57" i="11" s="1"/>
  <c r="H57" i="11" a="1"/>
  <c r="H57" i="11" s="1"/>
  <c r="G61" i="1" a="1"/>
  <c r="G61" i="1" s="1"/>
  <c r="G72" i="1" a="1"/>
  <c r="G72" i="1" s="1"/>
  <c r="G86" i="1" a="1"/>
  <c r="G86" i="1" s="1"/>
  <c r="H87" i="1" a="1"/>
  <c r="H87" i="1" s="1"/>
  <c r="F87" i="1" a="1"/>
  <c r="F87" i="1" s="1"/>
  <c r="G93" i="1" a="1"/>
  <c r="G93" i="1" s="1"/>
  <c r="G104" i="1" a="1"/>
  <c r="G104" i="1" s="1"/>
  <c r="G118" i="1" a="1"/>
  <c r="G118" i="1" s="1"/>
  <c r="H119" i="1" a="1"/>
  <c r="H119" i="1" s="1"/>
  <c r="F119" i="1" a="1"/>
  <c r="F119" i="1" s="1"/>
  <c r="G125" i="1" a="1"/>
  <c r="G125" i="1" s="1"/>
  <c r="G136" i="1" a="1"/>
  <c r="G136" i="1" s="1"/>
  <c r="G150" i="1" a="1"/>
  <c r="G150" i="1" s="1"/>
  <c r="H151" i="1" a="1"/>
  <c r="H151" i="1" s="1"/>
  <c r="F151" i="1" a="1"/>
  <c r="F151" i="1" s="1"/>
  <c r="G157" i="1" a="1"/>
  <c r="G157" i="1" s="1"/>
  <c r="G182" i="1" a="1"/>
  <c r="G182" i="1" s="1"/>
  <c r="H183" i="1" a="1"/>
  <c r="H183" i="1" s="1"/>
  <c r="F183" i="1" a="1"/>
  <c r="F183" i="1" s="1"/>
  <c r="G189" i="1" a="1"/>
  <c r="G189" i="1" s="1"/>
  <c r="G203" i="1" a="1"/>
  <c r="G203" i="1" s="1"/>
  <c r="G210" i="1" a="1"/>
  <c r="G210" i="1" s="1"/>
  <c r="E211" i="1" a="1"/>
  <c r="E211" i="1" s="1"/>
  <c r="F243" i="1" a="1"/>
  <c r="F243" i="1" s="1"/>
  <c r="S243" i="1"/>
  <c r="C243" i="1" a="1"/>
  <c r="C243" i="1" s="1"/>
  <c r="E257" i="1" a="1"/>
  <c r="E257" i="1" s="1"/>
  <c r="O257" i="1"/>
  <c r="B257" i="1" a="1"/>
  <c r="B257" i="1" s="1"/>
  <c r="E271" i="1" a="1"/>
  <c r="E271" i="1" s="1"/>
  <c r="H284" i="1" a="1"/>
  <c r="H284" i="1" s="1"/>
  <c r="E285" i="1" a="1"/>
  <c r="E285" i="1" s="1"/>
  <c r="E299" i="1" a="1"/>
  <c r="E299" i="1" s="1"/>
  <c r="E306" i="1" a="1"/>
  <c r="E306" i="1" s="1"/>
  <c r="P310" i="1"/>
  <c r="K310" i="1"/>
  <c r="O317" i="1"/>
  <c r="B317" i="1" a="1"/>
  <c r="B317" i="1" s="1"/>
  <c r="J317" i="1"/>
  <c r="E324" i="1" a="1"/>
  <c r="E324" i="1" s="1"/>
  <c r="L331" i="1"/>
  <c r="H331" i="1" a="1"/>
  <c r="H331" i="1" s="1"/>
  <c r="E345" i="1" a="1"/>
  <c r="E345" i="1" s="1"/>
  <c r="E352" i="1" a="1"/>
  <c r="E352" i="1" s="1"/>
  <c r="M356" i="1"/>
  <c r="I356" i="1"/>
  <c r="L363" i="1"/>
  <c r="H363" i="1" a="1"/>
  <c r="H363" i="1" s="1"/>
  <c r="E377" i="1" a="1"/>
  <c r="E377" i="1" s="1"/>
  <c r="G383" i="1" a="1"/>
  <c r="G383" i="1" s="1"/>
  <c r="E391" i="1" a="1"/>
  <c r="E391" i="1" s="1"/>
  <c r="J409" i="1"/>
  <c r="G409" i="1" a="1"/>
  <c r="G409" i="1" s="1"/>
  <c r="G415" i="1" a="1"/>
  <c r="G415" i="1" s="1"/>
  <c r="M420" i="1"/>
  <c r="J420" i="1"/>
  <c r="I420" i="1"/>
  <c r="O429" i="1"/>
  <c r="B429" i="1" a="1"/>
  <c r="B429" i="1" s="1"/>
  <c r="K429" i="1"/>
  <c r="J429" i="1"/>
  <c r="L443" i="1"/>
  <c r="I443" i="1"/>
  <c r="H443" i="1" a="1"/>
  <c r="H443" i="1" s="1"/>
  <c r="G456" i="1" a="1"/>
  <c r="G456" i="1" s="1"/>
  <c r="K466" i="1"/>
  <c r="H466" i="1" a="1"/>
  <c r="H466" i="1" s="1"/>
  <c r="L475" i="1"/>
  <c r="I475" i="1"/>
  <c r="H475" i="1" a="1"/>
  <c r="H475" i="1" s="1"/>
  <c r="G488" i="1" a="1"/>
  <c r="G488" i="1" s="1"/>
  <c r="K498" i="1"/>
  <c r="H498" i="1" a="1"/>
  <c r="H498" i="1" s="1"/>
  <c r="H524" i="1" a="1"/>
  <c r="H524" i="1" s="1"/>
  <c r="G529" i="1" a="1"/>
  <c r="G529" i="1" s="1"/>
  <c r="H535" i="1" a="1"/>
  <c r="H535" i="1" s="1"/>
  <c r="F535" i="1" a="1"/>
  <c r="F535" i="1" s="1"/>
  <c r="H556" i="1" a="1"/>
  <c r="H556" i="1" s="1"/>
  <c r="G561" i="1" a="1"/>
  <c r="G561" i="1" s="1"/>
  <c r="H567" i="1" a="1"/>
  <c r="H567" i="1" s="1"/>
  <c r="F567" i="1" a="1"/>
  <c r="F567" i="1" s="1"/>
  <c r="I576" i="1"/>
  <c r="G576" i="1" a="1"/>
  <c r="G576" i="1" s="1"/>
  <c r="F595" i="1" a="1"/>
  <c r="F595" i="1" s="1"/>
  <c r="S595" i="1"/>
  <c r="C595" i="1" a="1"/>
  <c r="C595" i="1" s="1"/>
  <c r="O600" i="1"/>
  <c r="B600" i="1" a="1"/>
  <c r="B600" i="1" s="1"/>
  <c r="M600" i="1"/>
  <c r="F627" i="1" a="1"/>
  <c r="F627" i="1" s="1"/>
  <c r="S627" i="1"/>
  <c r="C627" i="1" a="1"/>
  <c r="C627" i="1" s="1"/>
  <c r="O632" i="1"/>
  <c r="B632" i="1" a="1"/>
  <c r="B632" i="1" s="1"/>
  <c r="M632" i="1"/>
  <c r="F659" i="1" a="1"/>
  <c r="F659" i="1" s="1"/>
  <c r="S659" i="1"/>
  <c r="C659" i="1" a="1"/>
  <c r="C659" i="1" s="1"/>
  <c r="O664" i="1"/>
  <c r="B664" i="1" a="1"/>
  <c r="B664" i="1" s="1"/>
  <c r="M664" i="1"/>
  <c r="E673" i="1" a="1"/>
  <c r="E673" i="1" s="1"/>
  <c r="P673" i="1"/>
  <c r="O673" i="1"/>
  <c r="B673" i="1" a="1"/>
  <c r="B673" i="1" s="1"/>
  <c r="P710" i="1"/>
  <c r="L710" i="1"/>
  <c r="K710" i="1"/>
  <c r="C733" i="1" a="1"/>
  <c r="C733" i="1" s="1"/>
  <c r="F738" i="1" a="1"/>
  <c r="F738" i="1" s="1"/>
  <c r="I748" i="1"/>
  <c r="G748" i="1" a="1"/>
  <c r="G748" i="1" s="1"/>
  <c r="F748" i="1" a="1"/>
  <c r="F748" i="1" s="1"/>
  <c r="O750" i="1"/>
  <c r="K750" i="1"/>
  <c r="J750" i="1"/>
  <c r="I750" i="1"/>
  <c r="B769" i="1" a="1"/>
  <c r="B769" i="1" s="1"/>
  <c r="B770" i="1" a="1"/>
  <c r="B770" i="1" s="1"/>
  <c r="B773" i="1" a="1"/>
  <c r="B773" i="1" s="1"/>
  <c r="E796" i="1" a="1"/>
  <c r="E796" i="1" s="1"/>
  <c r="S796" i="1"/>
  <c r="B796" i="1" a="1"/>
  <c r="B796" i="1" s="1"/>
  <c r="P796" i="1"/>
  <c r="I798" i="1"/>
  <c r="L798" i="1"/>
  <c r="H798" i="1" a="1"/>
  <c r="H798" i="1" s="1"/>
  <c r="G798" i="1" a="1"/>
  <c r="G798" i="1" s="1"/>
  <c r="E820" i="1" a="1"/>
  <c r="E820" i="1" s="1"/>
  <c r="F822" i="1" a="1"/>
  <c r="F822" i="1" s="1"/>
  <c r="L825" i="1"/>
  <c r="J825" i="1"/>
  <c r="C825" i="1" a="1"/>
  <c r="C825" i="1" s="1"/>
  <c r="P825" i="1"/>
  <c r="O825" i="1"/>
  <c r="M825" i="1"/>
  <c r="E841" i="1" a="1"/>
  <c r="E841" i="1" s="1"/>
  <c r="F846" i="1" a="1"/>
  <c r="F846" i="1" s="1"/>
  <c r="S877" i="1"/>
  <c r="C877" i="1" a="1"/>
  <c r="C877" i="1" s="1"/>
  <c r="O877" i="1"/>
  <c r="B877" i="1" a="1"/>
  <c r="B877" i="1" s="1"/>
  <c r="E877" i="1" a="1"/>
  <c r="E877" i="1" s="1"/>
  <c r="K877" i="1"/>
  <c r="H877" i="1" a="1"/>
  <c r="H877" i="1" s="1"/>
  <c r="G877" i="1" a="1"/>
  <c r="G877" i="1" s="1"/>
  <c r="E25" i="2" a="1"/>
  <c r="E25" i="2" s="1"/>
  <c r="E36" i="2" a="1"/>
  <c r="E36" i="2" s="1"/>
  <c r="E39" i="2" a="1"/>
  <c r="E39" i="2" s="1"/>
  <c r="E51" i="2" a="1"/>
  <c r="E51" i="2" s="1"/>
  <c r="K15" i="3" a="1"/>
  <c r="K15" i="3" s="1"/>
  <c r="M15" i="3" s="1"/>
  <c r="V21" i="3" a="1"/>
  <c r="V21" i="3" s="1"/>
  <c r="AC43" i="3"/>
  <c r="AA43" i="3"/>
  <c r="R50" i="3" a="1"/>
  <c r="R50" i="3" s="1"/>
  <c r="O50" i="3" a="1"/>
  <c r="O50" i="3" s="1"/>
  <c r="K50" i="3" a="1"/>
  <c r="K50" i="3" s="1"/>
  <c r="M50" i="3" s="1"/>
  <c r="J50" i="3" a="1"/>
  <c r="J50" i="3" s="1"/>
  <c r="R66" i="3" a="1"/>
  <c r="R66" i="3" s="1"/>
  <c r="O66" i="3" a="1"/>
  <c r="O66" i="3" s="1"/>
  <c r="V66" i="3" a="1"/>
  <c r="V66" i="3" s="1"/>
  <c r="K66" i="3" a="1"/>
  <c r="K66" i="3" s="1"/>
  <c r="M66" i="3" s="1"/>
  <c r="AB76" i="3"/>
  <c r="T91" i="3"/>
  <c r="Q95" i="3"/>
  <c r="P95" i="3"/>
  <c r="S95" i="3" s="1"/>
  <c r="AB95" i="3"/>
  <c r="AC181" i="3"/>
  <c r="J218" i="3" a="1"/>
  <c r="J218" i="3" s="1"/>
  <c r="J231" i="3" a="1"/>
  <c r="J231" i="3" s="1"/>
  <c r="P251" i="3"/>
  <c r="G324" i="3" a="1"/>
  <c r="G324" i="3" s="1"/>
  <c r="O352" i="3" a="1"/>
  <c r="O352" i="3" s="1"/>
  <c r="V385" i="3" a="1"/>
  <c r="V385" i="3" s="1"/>
  <c r="R419" i="3" a="1"/>
  <c r="R419" i="3" s="1"/>
  <c r="V432" i="3" a="1"/>
  <c r="V432" i="3" s="1"/>
  <c r="E467" i="3" a="1"/>
  <c r="E467" i="3" s="1"/>
  <c r="O477" i="3" a="1"/>
  <c r="O477" i="3" s="1"/>
  <c r="G630" i="3" a="1"/>
  <c r="G630" i="3" s="1"/>
  <c r="E642" i="3" a="1"/>
  <c r="E642" i="3" s="1"/>
  <c r="J663" i="3" a="1"/>
  <c r="J663" i="3" s="1"/>
  <c r="E675" i="3" a="1"/>
  <c r="E675" i="3" s="1"/>
  <c r="O729" i="3" a="1"/>
  <c r="O729" i="3" s="1"/>
  <c r="K760" i="3" a="1"/>
  <c r="K760" i="3" s="1"/>
  <c r="M760" i="3" s="1"/>
  <c r="A650" i="5" a="1"/>
  <c r="A650" i="5" s="1"/>
  <c r="C85" i="6"/>
  <c r="B85" i="6"/>
  <c r="D85" i="6" s="1"/>
  <c r="E85" i="6" s="1"/>
  <c r="C129" i="6"/>
  <c r="P56" i="10"/>
  <c r="N56" i="10"/>
  <c r="M56" i="10"/>
  <c r="J56" i="10"/>
  <c r="I56" i="10"/>
  <c r="H56" i="10"/>
  <c r="E56" i="10"/>
  <c r="O56" i="10"/>
  <c r="L56" i="10"/>
  <c r="K56" i="10"/>
  <c r="I176" i="1"/>
  <c r="E183" i="1" a="1"/>
  <c r="E183" i="1" s="1"/>
  <c r="F197" i="1" a="1"/>
  <c r="F197" i="1" s="1"/>
  <c r="J201" i="1"/>
  <c r="G201" i="1" a="1"/>
  <c r="G201" i="1" s="1"/>
  <c r="H210" i="1" a="1"/>
  <c r="H210" i="1" s="1"/>
  <c r="G214" i="1" a="1"/>
  <c r="G214" i="1" s="1"/>
  <c r="H215" i="1" a="1"/>
  <c r="H215" i="1" s="1"/>
  <c r="F215" i="1" a="1"/>
  <c r="F215" i="1" s="1"/>
  <c r="H224" i="1" a="1"/>
  <c r="H224" i="1" s="1"/>
  <c r="F225" i="1" a="1"/>
  <c r="F225" i="1" s="1"/>
  <c r="G228" i="1" a="1"/>
  <c r="G228" i="1" s="1"/>
  <c r="G229" i="1" a="1"/>
  <c r="G229" i="1" s="1"/>
  <c r="E229" i="1" a="1"/>
  <c r="E229" i="1" s="1"/>
  <c r="G235" i="1" a="1"/>
  <c r="G235" i="1" s="1"/>
  <c r="G242" i="1" a="1"/>
  <c r="G242" i="1" s="1"/>
  <c r="E243" i="1" a="1"/>
  <c r="E243" i="1" s="1"/>
  <c r="H249" i="1" a="1"/>
  <c r="H249" i="1" s="1"/>
  <c r="I263" i="1"/>
  <c r="F264" i="1" a="1"/>
  <c r="F264" i="1" s="1"/>
  <c r="F275" i="1" a="1"/>
  <c r="F275" i="1" s="1"/>
  <c r="S275" i="1"/>
  <c r="C275" i="1" a="1"/>
  <c r="C275" i="1" s="1"/>
  <c r="G288" i="1" a="1"/>
  <c r="G288" i="1" s="1"/>
  <c r="E289" i="1" a="1"/>
  <c r="E289" i="1" s="1"/>
  <c r="O289" i="1"/>
  <c r="B289" i="1" a="1"/>
  <c r="B289" i="1" s="1"/>
  <c r="S303" i="1"/>
  <c r="C303" i="1" a="1"/>
  <c r="C303" i="1" s="1"/>
  <c r="L303" i="1"/>
  <c r="E310" i="1" a="1"/>
  <c r="E310" i="1" s="1"/>
  <c r="E317" i="1" a="1"/>
  <c r="E317" i="1" s="1"/>
  <c r="H323" i="1" a="1"/>
  <c r="H323" i="1" s="1"/>
  <c r="E331" i="1" a="1"/>
  <c r="E331" i="1" s="1"/>
  <c r="H337" i="1" a="1"/>
  <c r="H337" i="1" s="1"/>
  <c r="E338" i="1" a="1"/>
  <c r="E338" i="1" s="1"/>
  <c r="P342" i="1"/>
  <c r="K342" i="1"/>
  <c r="O349" i="1"/>
  <c r="B349" i="1" a="1"/>
  <c r="B349" i="1" s="1"/>
  <c r="J349" i="1"/>
  <c r="E356" i="1" a="1"/>
  <c r="E356" i="1" s="1"/>
  <c r="E363" i="1" a="1"/>
  <c r="E363" i="1" s="1"/>
  <c r="H369" i="1" a="1"/>
  <c r="H369" i="1" s="1"/>
  <c r="E370" i="1" a="1"/>
  <c r="E370" i="1" s="1"/>
  <c r="P374" i="1"/>
  <c r="K374" i="1"/>
  <c r="E384" i="1" a="1"/>
  <c r="E384" i="1" s="1"/>
  <c r="G387" i="1" a="1"/>
  <c r="G387" i="1" s="1"/>
  <c r="M388" i="1"/>
  <c r="I388" i="1"/>
  <c r="L395" i="1"/>
  <c r="H395" i="1" a="1"/>
  <c r="H395" i="1" s="1"/>
  <c r="H408" i="1" a="1"/>
  <c r="H408" i="1" s="1"/>
  <c r="E409" i="1" a="1"/>
  <c r="E409" i="1" s="1"/>
  <c r="E416" i="1" a="1"/>
  <c r="E416" i="1" s="1"/>
  <c r="G419" i="1" a="1"/>
  <c r="G419" i="1" s="1"/>
  <c r="I423" i="1"/>
  <c r="J425" i="1"/>
  <c r="G425" i="1" a="1"/>
  <c r="G425" i="1" s="1"/>
  <c r="H432" i="1" a="1"/>
  <c r="H432" i="1" s="1"/>
  <c r="K434" i="1"/>
  <c r="H434" i="1" a="1"/>
  <c r="H434" i="1" s="1"/>
  <c r="H451" i="1" a="1"/>
  <c r="H451" i="1" s="1"/>
  <c r="E457" i="1" a="1"/>
  <c r="E457" i="1" s="1"/>
  <c r="E461" i="1" a="1"/>
  <c r="E461" i="1" s="1"/>
  <c r="H471" i="1" a="1"/>
  <c r="H471" i="1" s="1"/>
  <c r="F471" i="1" a="1"/>
  <c r="F471" i="1" s="1"/>
  <c r="H483" i="1" a="1"/>
  <c r="H483" i="1" s="1"/>
  <c r="E489" i="1" a="1"/>
  <c r="E489" i="1" s="1"/>
  <c r="E493" i="1" a="1"/>
  <c r="E493" i="1" s="1"/>
  <c r="H503" i="1" a="1"/>
  <c r="H503" i="1" s="1"/>
  <c r="F503" i="1" a="1"/>
  <c r="F503" i="1" s="1"/>
  <c r="E507" i="1" a="1"/>
  <c r="E507" i="1" s="1"/>
  <c r="I512" i="1"/>
  <c r="G512" i="1" a="1"/>
  <c r="G512" i="1" s="1"/>
  <c r="I524" i="1"/>
  <c r="E530" i="1" a="1"/>
  <c r="E530" i="1" s="1"/>
  <c r="E539" i="1" a="1"/>
  <c r="E539" i="1" s="1"/>
  <c r="I544" i="1"/>
  <c r="G544" i="1" a="1"/>
  <c r="G544" i="1" s="1"/>
  <c r="I556" i="1"/>
  <c r="E562" i="1" a="1"/>
  <c r="E562" i="1" s="1"/>
  <c r="E595" i="1" a="1"/>
  <c r="E595" i="1" s="1"/>
  <c r="E600" i="1" a="1"/>
  <c r="E600" i="1" s="1"/>
  <c r="G607" i="1" a="1"/>
  <c r="G607" i="1" s="1"/>
  <c r="E608" i="1" a="1"/>
  <c r="E608" i="1" s="1"/>
  <c r="E609" i="1" a="1"/>
  <c r="E609" i="1" s="1"/>
  <c r="P609" i="1"/>
  <c r="O609" i="1"/>
  <c r="B609" i="1" a="1"/>
  <c r="B609" i="1" s="1"/>
  <c r="G612" i="1" a="1"/>
  <c r="G612" i="1" s="1"/>
  <c r="F626" i="1" a="1"/>
  <c r="F626" i="1" s="1"/>
  <c r="E627" i="1" a="1"/>
  <c r="E627" i="1" s="1"/>
  <c r="E632" i="1" a="1"/>
  <c r="E632" i="1" s="1"/>
  <c r="F635" i="1" a="1"/>
  <c r="F635" i="1" s="1"/>
  <c r="G639" i="1" a="1"/>
  <c r="G639" i="1" s="1"/>
  <c r="E640" i="1" a="1"/>
  <c r="E640" i="1" s="1"/>
  <c r="E641" i="1" a="1"/>
  <c r="E641" i="1" s="1"/>
  <c r="P641" i="1"/>
  <c r="O641" i="1"/>
  <c r="B641" i="1" a="1"/>
  <c r="B641" i="1" s="1"/>
  <c r="G644" i="1" a="1"/>
  <c r="G644" i="1" s="1"/>
  <c r="E659" i="1" a="1"/>
  <c r="E659" i="1" s="1"/>
  <c r="E664" i="1" a="1"/>
  <c r="E664" i="1" s="1"/>
  <c r="P678" i="1"/>
  <c r="L678" i="1"/>
  <c r="K678" i="1"/>
  <c r="H681" i="1" a="1"/>
  <c r="H681" i="1" s="1"/>
  <c r="S687" i="1"/>
  <c r="C687" i="1" a="1"/>
  <c r="C687" i="1" s="1"/>
  <c r="M687" i="1"/>
  <c r="L687" i="1"/>
  <c r="G690" i="1" a="1"/>
  <c r="G690" i="1" s="1"/>
  <c r="M692" i="1"/>
  <c r="J692" i="1"/>
  <c r="I692" i="1"/>
  <c r="G699" i="1" a="1"/>
  <c r="G699" i="1" s="1"/>
  <c r="F700" i="1" a="1"/>
  <c r="F700" i="1" s="1"/>
  <c r="F704" i="1" a="1"/>
  <c r="F704" i="1" s="1"/>
  <c r="S719" i="1"/>
  <c r="C719" i="1" a="1"/>
  <c r="C719" i="1" s="1"/>
  <c r="M719" i="1"/>
  <c r="L719" i="1"/>
  <c r="G722" i="1" a="1"/>
  <c r="G722" i="1" s="1"/>
  <c r="M724" i="1"/>
  <c r="J724" i="1"/>
  <c r="I724" i="1"/>
  <c r="G731" i="1" a="1"/>
  <c r="G731" i="1" s="1"/>
  <c r="G732" i="1" a="1"/>
  <c r="G732" i="1" s="1"/>
  <c r="S751" i="1"/>
  <c r="C751" i="1" a="1"/>
  <c r="C751" i="1" s="1"/>
  <c r="H751" i="1" a="1"/>
  <c r="H751" i="1" s="1"/>
  <c r="F751" i="1" a="1"/>
  <c r="F751" i="1" s="1"/>
  <c r="F765" i="1" a="1"/>
  <c r="F765" i="1" s="1"/>
  <c r="B774" i="1" a="1"/>
  <c r="B774" i="1" s="1"/>
  <c r="O795" i="1"/>
  <c r="B795" i="1" a="1"/>
  <c r="B795" i="1" s="1"/>
  <c r="L795" i="1"/>
  <c r="F795" i="1" a="1"/>
  <c r="F795" i="1" s="1"/>
  <c r="E795" i="1" a="1"/>
  <c r="E795" i="1" s="1"/>
  <c r="B798" i="1" a="1"/>
  <c r="B798" i="1" s="1"/>
  <c r="F811" i="1" a="1"/>
  <c r="F811" i="1" s="1"/>
  <c r="G813" i="1" a="1"/>
  <c r="G813" i="1" s="1"/>
  <c r="F818" i="1" a="1"/>
  <c r="F818" i="1" s="1"/>
  <c r="G820" i="1" a="1"/>
  <c r="G820" i="1" s="1"/>
  <c r="B825" i="1" a="1"/>
  <c r="B825" i="1" s="1"/>
  <c r="G841" i="1" a="1"/>
  <c r="G841" i="1" s="1"/>
  <c r="O859" i="1"/>
  <c r="B859" i="1" a="1"/>
  <c r="B859" i="1" s="1"/>
  <c r="L859" i="1"/>
  <c r="E859" i="1" a="1"/>
  <c r="E859" i="1" s="1"/>
  <c r="H859" i="1" a="1"/>
  <c r="H859" i="1" s="1"/>
  <c r="F859" i="1" a="1"/>
  <c r="F859" i="1" s="1"/>
  <c r="B878" i="1" a="1"/>
  <c r="B878" i="1" s="1"/>
  <c r="M882" i="1"/>
  <c r="K882" i="1"/>
  <c r="L882" i="1"/>
  <c r="I882" i="1"/>
  <c r="G882" i="1" a="1"/>
  <c r="G882" i="1" s="1"/>
  <c r="F882" i="1" a="1"/>
  <c r="F882" i="1" s="1"/>
  <c r="K896" i="1"/>
  <c r="I896" i="1"/>
  <c r="O896" i="1"/>
  <c r="H896" i="1" a="1"/>
  <c r="H896" i="1" s="1"/>
  <c r="F896" i="1" a="1"/>
  <c r="F896" i="1" s="1"/>
  <c r="G899" i="1" a="1"/>
  <c r="G899" i="1" s="1"/>
  <c r="F899" i="1" a="1"/>
  <c r="F899" i="1" s="1"/>
  <c r="S899" i="1"/>
  <c r="B899" i="1" a="1"/>
  <c r="B899" i="1" s="1"/>
  <c r="M899" i="1"/>
  <c r="L899" i="1"/>
  <c r="K899" i="1"/>
  <c r="B901" i="1" a="1"/>
  <c r="B901" i="1" s="1"/>
  <c r="J32" i="3" a="1"/>
  <c r="J32" i="3" s="1"/>
  <c r="J36" i="3" a="1"/>
  <c r="J36" i="3" s="1"/>
  <c r="P43" i="3"/>
  <c r="S43" i="3" s="1"/>
  <c r="P45" i="3"/>
  <c r="S45" i="3" s="1"/>
  <c r="K58" i="3" a="1"/>
  <c r="K58" i="3" s="1"/>
  <c r="M58" i="3" s="1"/>
  <c r="J58" i="3" a="1"/>
  <c r="J58" i="3" s="1"/>
  <c r="V58" i="3" a="1"/>
  <c r="V58" i="3" s="1"/>
  <c r="R58" i="3" a="1"/>
  <c r="R58" i="3" s="1"/>
  <c r="S61" i="3"/>
  <c r="T155" i="3"/>
  <c r="V185" i="3" a="1"/>
  <c r="V185" i="3" s="1"/>
  <c r="R185" i="3" a="1"/>
  <c r="R185" i="3" s="1"/>
  <c r="O185" i="3" a="1"/>
  <c r="O185" i="3" s="1"/>
  <c r="R194" i="3" a="1"/>
  <c r="R194" i="3" s="1"/>
  <c r="K194" i="3" a="1"/>
  <c r="K194" i="3" s="1"/>
  <c r="M194" i="3" s="1"/>
  <c r="V194" i="3" a="1"/>
  <c r="V194" i="3" s="1"/>
  <c r="O194" i="3" a="1"/>
  <c r="O194" i="3" s="1"/>
  <c r="J194" i="3" a="1"/>
  <c r="J194" i="3" s="1"/>
  <c r="K201" i="3" a="1"/>
  <c r="K201" i="3" s="1"/>
  <c r="M201" i="3" s="1"/>
  <c r="K226" i="3" a="1"/>
  <c r="K226" i="3" s="1"/>
  <c r="M226" i="3" s="1"/>
  <c r="G237" i="3" a="1"/>
  <c r="G237" i="3" s="1"/>
  <c r="K239" i="3" a="1"/>
  <c r="K239" i="3" s="1"/>
  <c r="M239" i="3" s="1"/>
  <c r="R241" i="3" a="1"/>
  <c r="R241" i="3" s="1"/>
  <c r="Q251" i="3"/>
  <c r="E283" i="3" a="1"/>
  <c r="E283" i="3" s="1"/>
  <c r="J308" i="3" a="1"/>
  <c r="J308" i="3" s="1"/>
  <c r="K320" i="3" a="1"/>
  <c r="K320" i="3" s="1"/>
  <c r="M320" i="3" s="1"/>
  <c r="V352" i="3" a="1"/>
  <c r="V352" i="3" s="1"/>
  <c r="O356" i="3" a="1"/>
  <c r="O356" i="3" s="1"/>
  <c r="R365" i="3" a="1"/>
  <c r="R365" i="3" s="1"/>
  <c r="G375" i="3" a="1"/>
  <c r="G375" i="3" s="1"/>
  <c r="J401" i="3" a="1"/>
  <c r="J401" i="3" s="1"/>
  <c r="J462" i="3" a="1"/>
  <c r="J462" i="3" s="1"/>
  <c r="V587" i="3" a="1"/>
  <c r="V587" i="3" s="1"/>
  <c r="O626" i="3" a="1"/>
  <c r="O626" i="3" s="1"/>
  <c r="K663" i="3" a="1"/>
  <c r="K663" i="3" s="1"/>
  <c r="M663" i="3" s="1"/>
  <c r="X711" i="3" a="1"/>
  <c r="X711" i="3" s="1"/>
  <c r="V721" i="3" a="1"/>
  <c r="V721" i="3" s="1"/>
  <c r="F29" i="4" a="1"/>
  <c r="F29" i="4" s="1"/>
  <c r="E29" i="4" a="1"/>
  <c r="E29" i="4" s="1"/>
  <c r="C28" i="1" s="1" a="1"/>
  <c r="C28" i="1" s="1"/>
  <c r="E48" i="4" a="1"/>
  <c r="E48" i="4" s="1"/>
  <c r="G57" i="14" s="1" a="1"/>
  <c r="G57" i="14" s="1"/>
  <c r="F48" i="4" a="1"/>
  <c r="F48" i="4" s="1"/>
  <c r="H57" i="14" s="1" a="1"/>
  <c r="H57" i="14" s="1"/>
  <c r="C51" i="6"/>
  <c r="C78" i="6"/>
  <c r="B163" i="6"/>
  <c r="D163" i="6" s="1"/>
  <c r="E163" i="6" s="1"/>
  <c r="B56" i="10" a="1"/>
  <c r="B56" i="10" s="1"/>
  <c r="E767" i="1" a="1"/>
  <c r="E767" i="1" s="1"/>
  <c r="S767" i="1"/>
  <c r="C767" i="1" a="1"/>
  <c r="C767" i="1" s="1"/>
  <c r="E799" i="1" a="1"/>
  <c r="E799" i="1" s="1"/>
  <c r="S799" i="1"/>
  <c r="C799" i="1" a="1"/>
  <c r="C799" i="1" s="1"/>
  <c r="E831" i="1" a="1"/>
  <c r="E831" i="1" s="1"/>
  <c r="S831" i="1"/>
  <c r="C831" i="1" a="1"/>
  <c r="C831" i="1" s="1"/>
  <c r="G883" i="1" a="1"/>
  <c r="G883" i="1" s="1"/>
  <c r="F883" i="1" a="1"/>
  <c r="F883" i="1" s="1"/>
  <c r="H883" i="1" a="1"/>
  <c r="H883" i="1" s="1"/>
  <c r="Q46" i="3"/>
  <c r="P46" i="3"/>
  <c r="S46" i="3" s="1"/>
  <c r="V63" i="3" a="1"/>
  <c r="V63" i="3" s="1"/>
  <c r="R63" i="3" a="1"/>
  <c r="R63" i="3" s="1"/>
  <c r="O63" i="3" a="1"/>
  <c r="O63" i="3" s="1"/>
  <c r="K63" i="3" a="1"/>
  <c r="K63" i="3" s="1"/>
  <c r="M63" i="3" s="1"/>
  <c r="V168" i="3" a="1"/>
  <c r="V168" i="3" s="1"/>
  <c r="R168" i="3" a="1"/>
  <c r="R168" i="3" s="1"/>
  <c r="O168" i="3" a="1"/>
  <c r="O168" i="3" s="1"/>
  <c r="R248" i="3" a="1"/>
  <c r="R248" i="3" s="1"/>
  <c r="O248" i="3" a="1"/>
  <c r="O248" i="3" s="1"/>
  <c r="A157" i="4"/>
  <c r="E217" i="3" s="1" a="1"/>
  <c r="E217" i="3" s="1"/>
  <c r="H238" i="11" a="1"/>
  <c r="H238" i="11" s="1"/>
  <c r="C67" i="6"/>
  <c r="P29" i="10"/>
  <c r="N29" i="10"/>
  <c r="M29" i="10"/>
  <c r="O29" i="10"/>
  <c r="L29" i="10"/>
  <c r="K29" i="10"/>
  <c r="I29" i="10"/>
  <c r="H29" i="10"/>
  <c r="J29" i="10"/>
  <c r="E29" i="10"/>
  <c r="B29" i="10" a="1"/>
  <c r="B29" i="10" s="1"/>
  <c r="H395" i="11" a="1"/>
  <c r="H395" i="11" s="1"/>
  <c r="L395" i="11" a="1"/>
  <c r="L395" i="11" s="1"/>
  <c r="E421" i="1" a="1"/>
  <c r="E421" i="1" s="1"/>
  <c r="E437" i="1" a="1"/>
  <c r="E437" i="1" s="1"/>
  <c r="E453" i="1" a="1"/>
  <c r="E453" i="1" s="1"/>
  <c r="E469" i="1" a="1"/>
  <c r="E469" i="1" s="1"/>
  <c r="E485" i="1" a="1"/>
  <c r="E485" i="1" s="1"/>
  <c r="E501" i="1" a="1"/>
  <c r="E501" i="1" s="1"/>
  <c r="E517" i="1" a="1"/>
  <c r="E517" i="1" s="1"/>
  <c r="E533" i="1" a="1"/>
  <c r="E533" i="1" s="1"/>
  <c r="E549" i="1" a="1"/>
  <c r="E549" i="1" s="1"/>
  <c r="E565" i="1" a="1"/>
  <c r="E565" i="1" s="1"/>
  <c r="E581" i="1" a="1"/>
  <c r="E581" i="1" s="1"/>
  <c r="E597" i="1" a="1"/>
  <c r="E597" i="1" s="1"/>
  <c r="E613" i="1" a="1"/>
  <c r="E613" i="1" s="1"/>
  <c r="E629" i="1" a="1"/>
  <c r="E629" i="1" s="1"/>
  <c r="E645" i="1" a="1"/>
  <c r="E645" i="1" s="1"/>
  <c r="E661" i="1" a="1"/>
  <c r="E661" i="1" s="1"/>
  <c r="E677" i="1" a="1"/>
  <c r="E677" i="1" s="1"/>
  <c r="E693" i="1" a="1"/>
  <c r="E693" i="1" s="1"/>
  <c r="E709" i="1" a="1"/>
  <c r="E709" i="1" s="1"/>
  <c r="E725" i="1" a="1"/>
  <c r="E725" i="1" s="1"/>
  <c r="E741" i="1" a="1"/>
  <c r="E741" i="1" s="1"/>
  <c r="F743" i="1" a="1"/>
  <c r="F743" i="1" s="1"/>
  <c r="G851" i="1" a="1"/>
  <c r="G851" i="1" s="1"/>
  <c r="F851" i="1" a="1"/>
  <c r="F851" i="1" s="1"/>
  <c r="H851" i="1" a="1"/>
  <c r="H851" i="1" s="1"/>
  <c r="E879" i="1" a="1"/>
  <c r="E879" i="1" s="1"/>
  <c r="S879" i="1"/>
  <c r="C879" i="1" a="1"/>
  <c r="C879" i="1" s="1"/>
  <c r="J879" i="1"/>
  <c r="F897" i="1" a="1"/>
  <c r="F897" i="1" s="1"/>
  <c r="E897" i="1" a="1"/>
  <c r="E897" i="1" s="1"/>
  <c r="I897" i="1"/>
  <c r="E902" i="1" a="1"/>
  <c r="E902" i="1" s="1"/>
  <c r="R178" i="3" a="1"/>
  <c r="R178" i="3" s="1"/>
  <c r="V178" i="3" a="1"/>
  <c r="V178" i="3" s="1"/>
  <c r="O178" i="3" a="1"/>
  <c r="O178" i="3" s="1"/>
  <c r="O190" i="3" a="1"/>
  <c r="O190" i="3" s="1"/>
  <c r="V190" i="3" a="1"/>
  <c r="V190" i="3" s="1"/>
  <c r="R190" i="3" a="1"/>
  <c r="R190" i="3" s="1"/>
  <c r="AA209" i="3"/>
  <c r="AC209" i="3"/>
  <c r="O217" i="3" a="1"/>
  <c r="O217" i="3" s="1"/>
  <c r="J217" i="3" a="1"/>
  <c r="J217" i="3" s="1"/>
  <c r="X515" i="3" a="1"/>
  <c r="X515" i="3" s="1"/>
  <c r="X567" i="3" a="1"/>
  <c r="X567" i="3" s="1"/>
  <c r="F71" i="4" a="1"/>
  <c r="F71" i="4" s="1"/>
  <c r="F383" i="4" a="1"/>
  <c r="F383" i="4" s="1"/>
  <c r="H392" i="14" s="1" a="1"/>
  <c r="H392" i="14" s="1"/>
  <c r="E383" i="4" a="1"/>
  <c r="E383" i="4" s="1"/>
  <c r="G392" i="14" s="1" a="1"/>
  <c r="G392" i="14" s="1"/>
  <c r="B170" i="11"/>
  <c r="H396" i="11" a="1"/>
  <c r="H396" i="11" s="1"/>
  <c r="L396" i="11" a="1"/>
  <c r="L396" i="11" s="1"/>
  <c r="H446" i="11" a="1"/>
  <c r="H446" i="11" s="1"/>
  <c r="L446" i="11" a="1"/>
  <c r="L446" i="11" s="1"/>
  <c r="F767" i="1" a="1"/>
  <c r="F767" i="1" s="1"/>
  <c r="F785" i="1" a="1"/>
  <c r="F785" i="1" s="1"/>
  <c r="E785" i="1" a="1"/>
  <c r="E785" i="1" s="1"/>
  <c r="F799" i="1" a="1"/>
  <c r="F799" i="1" s="1"/>
  <c r="F817" i="1" a="1"/>
  <c r="F817" i="1" s="1"/>
  <c r="E817" i="1" a="1"/>
  <c r="E817" i="1" s="1"/>
  <c r="F831" i="1" a="1"/>
  <c r="F831" i="1" s="1"/>
  <c r="E847" i="1" a="1"/>
  <c r="E847" i="1" s="1"/>
  <c r="S847" i="1"/>
  <c r="C847" i="1" a="1"/>
  <c r="C847" i="1" s="1"/>
  <c r="J847" i="1"/>
  <c r="F865" i="1" a="1"/>
  <c r="F865" i="1" s="1"/>
  <c r="E865" i="1" a="1"/>
  <c r="E865" i="1" s="1"/>
  <c r="I865" i="1"/>
  <c r="E883" i="1" a="1"/>
  <c r="E883" i="1" s="1"/>
  <c r="P884" i="1"/>
  <c r="M884" i="1"/>
  <c r="E892" i="1" a="1"/>
  <c r="E892" i="1" s="1"/>
  <c r="S893" i="1"/>
  <c r="C893" i="1" a="1"/>
  <c r="C893" i="1" s="1"/>
  <c r="O893" i="1"/>
  <c r="B893" i="1" a="1"/>
  <c r="B893" i="1" s="1"/>
  <c r="J893" i="1"/>
  <c r="F902" i="1" a="1"/>
  <c r="F902" i="1" s="1"/>
  <c r="E27" i="2" a="1"/>
  <c r="E27" i="2" s="1"/>
  <c r="D48" i="2" a="1"/>
  <c r="D48" i="2" s="1"/>
  <c r="J63" i="3" a="1"/>
  <c r="J63" i="3" s="1"/>
  <c r="V146" i="3" a="1"/>
  <c r="V146" i="3" s="1"/>
  <c r="K146" i="3" a="1"/>
  <c r="K146" i="3" s="1"/>
  <c r="M146" i="3" s="1"/>
  <c r="J146" i="3" a="1"/>
  <c r="J146" i="3" s="1"/>
  <c r="S159" i="3"/>
  <c r="J168" i="3" a="1"/>
  <c r="J168" i="3" s="1"/>
  <c r="R202" i="3" a="1"/>
  <c r="R202" i="3" s="1"/>
  <c r="V202" i="3" a="1"/>
  <c r="V202" i="3" s="1"/>
  <c r="O202" i="3" a="1"/>
  <c r="O202" i="3" s="1"/>
  <c r="K202" i="3" a="1"/>
  <c r="K202" i="3" s="1"/>
  <c r="M202" i="3" s="1"/>
  <c r="J202" i="3" a="1"/>
  <c r="J202" i="3" s="1"/>
  <c r="S203" i="3"/>
  <c r="J248" i="3" a="1"/>
  <c r="J248" i="3" s="1"/>
  <c r="R382" i="3" a="1"/>
  <c r="R382" i="3" s="1"/>
  <c r="V382" i="3" a="1"/>
  <c r="V382" i="3" s="1"/>
  <c r="O382" i="3" a="1"/>
  <c r="O382" i="3" s="1"/>
  <c r="AA449" i="3"/>
  <c r="AC449" i="3"/>
  <c r="H280" i="14" a="1"/>
  <c r="H280" i="14" s="1"/>
  <c r="E143" i="4" a="1"/>
  <c r="E143" i="4" s="1"/>
  <c r="A639" i="5" a="1"/>
  <c r="A639" i="5" s="1"/>
  <c r="G79" i="7"/>
  <c r="M79" i="7"/>
  <c r="L23" i="11" a="1"/>
  <c r="L23" i="11" s="1"/>
  <c r="H23" i="11" a="1"/>
  <c r="H23" i="11" s="1"/>
  <c r="Q146" i="3"/>
  <c r="AB146" i="3"/>
  <c r="P183" i="3"/>
  <c r="S183" i="3" s="1"/>
  <c r="AB183" i="3"/>
  <c r="AA192" i="3"/>
  <c r="AC192" i="3"/>
  <c r="V207" i="3" a="1"/>
  <c r="V207" i="3" s="1"/>
  <c r="R207" i="3" a="1"/>
  <c r="R207" i="3" s="1"/>
  <c r="O207" i="3" a="1"/>
  <c r="O207" i="3" s="1"/>
  <c r="K207" i="3" a="1"/>
  <c r="K207" i="3" s="1"/>
  <c r="M207" i="3" s="1"/>
  <c r="J207" i="3" a="1"/>
  <c r="J207" i="3" s="1"/>
  <c r="Q335" i="3"/>
  <c r="AB335" i="3"/>
  <c r="P335" i="3"/>
  <c r="S335" i="3" s="1"/>
  <c r="Q374" i="3"/>
  <c r="P374" i="3"/>
  <c r="S374" i="3" s="1"/>
  <c r="K443" i="3" a="1"/>
  <c r="K443" i="3" s="1"/>
  <c r="M443" i="3" s="1"/>
  <c r="O443" i="3" a="1"/>
  <c r="O443" i="3" s="1"/>
  <c r="V443" i="3" a="1"/>
  <c r="V443" i="3" s="1"/>
  <c r="R443" i="3" a="1"/>
  <c r="R443" i="3" s="1"/>
  <c r="J443" i="3" a="1"/>
  <c r="J443" i="3" s="1"/>
  <c r="V482" i="3" a="1"/>
  <c r="V482" i="3" s="1"/>
  <c r="O482" i="3" a="1"/>
  <c r="O482" i="3" s="1"/>
  <c r="R482" i="3" a="1"/>
  <c r="R482" i="3" s="1"/>
  <c r="K482" i="3" a="1"/>
  <c r="K482" i="3" s="1"/>
  <c r="M482" i="3" s="1"/>
  <c r="J482" i="3" a="1"/>
  <c r="J482" i="3" s="1"/>
  <c r="V693" i="3" a="1"/>
  <c r="V693" i="3" s="1"/>
  <c r="F5" i="4" a="1"/>
  <c r="F5" i="4" s="1"/>
  <c r="E5" i="4" a="1"/>
  <c r="E5" i="4" s="1"/>
  <c r="G14" i="14" s="1" a="1"/>
  <c r="G14" i="14" s="1"/>
  <c r="F133" i="4" a="1"/>
  <c r="F133" i="4" s="1"/>
  <c r="H142" i="14" s="1" a="1"/>
  <c r="H142" i="14" s="1"/>
  <c r="E133" i="4" a="1"/>
  <c r="E133" i="4" s="1"/>
  <c r="A89" i="5" a="1"/>
  <c r="A89" i="5" s="1"/>
  <c r="A467" i="5" a="1"/>
  <c r="A467" i="5" s="1"/>
  <c r="A475" i="5" a="1"/>
  <c r="A475" i="5" s="1"/>
  <c r="A491" i="5" a="1"/>
  <c r="A491" i="5" s="1"/>
  <c r="A499" i="5" a="1"/>
  <c r="A499" i="5" s="1"/>
  <c r="A507" i="5" a="1"/>
  <c r="A507" i="5" s="1"/>
  <c r="A515" i="5" a="1"/>
  <c r="A515" i="5" s="1"/>
  <c r="A523" i="5" a="1"/>
  <c r="A523" i="5" s="1"/>
  <c r="A531" i="5" a="1"/>
  <c r="A531" i="5" s="1"/>
  <c r="A539" i="5" a="1"/>
  <c r="A539" i="5" s="1"/>
  <c r="A547" i="5" a="1"/>
  <c r="A547" i="5" s="1"/>
  <c r="A555" i="5" a="1"/>
  <c r="A555" i="5" s="1"/>
  <c r="A563" i="5" a="1"/>
  <c r="A563" i="5" s="1"/>
  <c r="A571" i="5" a="1"/>
  <c r="A571" i="5" s="1"/>
  <c r="A579" i="5" a="1"/>
  <c r="A579" i="5" s="1"/>
  <c r="A587" i="5" a="1"/>
  <c r="A587" i="5" s="1"/>
  <c r="A595" i="5" a="1"/>
  <c r="A595" i="5" s="1"/>
  <c r="B132" i="6"/>
  <c r="O55" i="3" a="1"/>
  <c r="O55" i="3" s="1"/>
  <c r="K55" i="3" a="1"/>
  <c r="K55" i="3" s="1"/>
  <c r="M55" i="3" s="1"/>
  <c r="J55" i="3" a="1"/>
  <c r="J55" i="3" s="1"/>
  <c r="V55" i="3" a="1"/>
  <c r="V55" i="3" s="1"/>
  <c r="R82" i="3" a="1"/>
  <c r="R82" i="3" s="1"/>
  <c r="O82" i="3" a="1"/>
  <c r="O82" i="3" s="1"/>
  <c r="V82" i="3" a="1"/>
  <c r="V82" i="3" s="1"/>
  <c r="V95" i="3" a="1"/>
  <c r="V95" i="3" s="1"/>
  <c r="R95" i="3" a="1"/>
  <c r="R95" i="3" s="1"/>
  <c r="P146" i="3"/>
  <c r="AB176" i="3"/>
  <c r="P176" i="3"/>
  <c r="S176" i="3" s="1"/>
  <c r="K177" i="3" a="1"/>
  <c r="K177" i="3" s="1"/>
  <c r="M177" i="3" s="1"/>
  <c r="R177" i="3" a="1"/>
  <c r="R177" i="3" s="1"/>
  <c r="V177" i="3" a="1"/>
  <c r="V177" i="3" s="1"/>
  <c r="Q183" i="3"/>
  <c r="R189" i="3" a="1"/>
  <c r="R189" i="3" s="1"/>
  <c r="O189" i="3" a="1"/>
  <c r="O189" i="3" s="1"/>
  <c r="K189" i="3" a="1"/>
  <c r="K189" i="3" s="1"/>
  <c r="M189" i="3" s="1"/>
  <c r="V189" i="3" a="1"/>
  <c r="V189" i="3" s="1"/>
  <c r="P192" i="3"/>
  <c r="P331" i="3"/>
  <c r="Q331" i="3"/>
  <c r="AB331" i="3"/>
  <c r="S455" i="3"/>
  <c r="K493" i="3" a="1"/>
  <c r="K493" i="3" s="1"/>
  <c r="M493" i="3" s="1"/>
  <c r="V493" i="3" a="1"/>
  <c r="V493" i="3" s="1"/>
  <c r="R493" i="3" a="1"/>
  <c r="R493" i="3" s="1"/>
  <c r="F111" i="4" a="1"/>
  <c r="F111" i="4" s="1"/>
  <c r="H120" i="14" s="1" a="1"/>
  <c r="H120" i="14" s="1"/>
  <c r="E111" i="4" a="1"/>
  <c r="E111" i="4" s="1"/>
  <c r="G120" i="14" s="1" a="1"/>
  <c r="G120" i="14" s="1"/>
  <c r="A115" i="4"/>
  <c r="E60" i="3" s="1" a="1"/>
  <c r="E60" i="3" s="1"/>
  <c r="H379" i="11" a="1"/>
  <c r="H379" i="11" s="1"/>
  <c r="A68" i="5" a="1"/>
  <c r="A68" i="5" s="1"/>
  <c r="A84" i="5" a="1"/>
  <c r="A84" i="5" s="1"/>
  <c r="A104" i="5" a="1"/>
  <c r="A104" i="5" s="1"/>
  <c r="J783" i="3" a="1"/>
  <c r="J783" i="3" s="1"/>
  <c r="O769" i="3" a="1"/>
  <c r="O769" i="3" s="1"/>
  <c r="J754" i="3" a="1"/>
  <c r="J754" i="3" s="1"/>
  <c r="J749" i="3" a="1"/>
  <c r="J749" i="3" s="1"/>
  <c r="J744" i="3" a="1"/>
  <c r="J744" i="3" s="1"/>
  <c r="O731" i="3" a="1"/>
  <c r="O731" i="3" s="1"/>
  <c r="J593" i="3" a="1"/>
  <c r="J593" i="3" s="1"/>
  <c r="K535" i="3" a="1"/>
  <c r="K535" i="3" s="1"/>
  <c r="M535" i="3" s="1"/>
  <c r="K517" i="3" a="1"/>
  <c r="K517" i="3" s="1"/>
  <c r="M517" i="3" s="1"/>
  <c r="O501" i="3" a="1"/>
  <c r="O501" i="3" s="1"/>
  <c r="O488" i="3" a="1"/>
  <c r="O488" i="3" s="1"/>
  <c r="K485" i="3" a="1"/>
  <c r="K485" i="3" s="1"/>
  <c r="M485" i="3" s="1"/>
  <c r="J473" i="3" a="1"/>
  <c r="J473" i="3" s="1"/>
  <c r="J468" i="3" a="1"/>
  <c r="J468" i="3" s="1"/>
  <c r="O466" i="3" a="1"/>
  <c r="O466" i="3" s="1"/>
  <c r="K463" i="3" a="1"/>
  <c r="K463" i="3" s="1"/>
  <c r="M463" i="3" s="1"/>
  <c r="J460" i="3" a="1"/>
  <c r="J460" i="3" s="1"/>
  <c r="O458" i="3" a="1"/>
  <c r="O458" i="3" s="1"/>
  <c r="O436" i="3" a="1"/>
  <c r="O436" i="3" s="1"/>
  <c r="K433" i="3" a="1"/>
  <c r="K433" i="3" s="1"/>
  <c r="M433" i="3" s="1"/>
  <c r="R425" i="3" a="1"/>
  <c r="R425" i="3" s="1"/>
  <c r="J419" i="3" a="1"/>
  <c r="J419" i="3" s="1"/>
  <c r="V417" i="3" a="1"/>
  <c r="V417" i="3" s="1"/>
  <c r="K408" i="3" a="1"/>
  <c r="K408" i="3" s="1"/>
  <c r="M408" i="3" s="1"/>
  <c r="R396" i="3" a="1"/>
  <c r="R396" i="3" s="1"/>
  <c r="O390" i="3" a="1"/>
  <c r="O390" i="3" s="1"/>
  <c r="R387" i="3" a="1"/>
  <c r="R387" i="3" s="1"/>
  <c r="K386" i="3" a="1"/>
  <c r="K386" i="3" s="1"/>
  <c r="M386" i="3" s="1"/>
  <c r="V384" i="3" a="1"/>
  <c r="V384" i="3" s="1"/>
  <c r="V374" i="3" a="1"/>
  <c r="V374" i="3" s="1"/>
  <c r="R373" i="3" a="1"/>
  <c r="R373" i="3" s="1"/>
  <c r="K356" i="3" a="1"/>
  <c r="K356" i="3" s="1"/>
  <c r="M356" i="3" s="1"/>
  <c r="O344" i="3" a="1"/>
  <c r="O344" i="3" s="1"/>
  <c r="V334" i="3" a="1"/>
  <c r="V334" i="3" s="1"/>
  <c r="V319" i="3" a="1"/>
  <c r="V319" i="3" s="1"/>
  <c r="J293" i="3" a="1"/>
  <c r="J293" i="3" s="1"/>
  <c r="J288" i="3" a="1"/>
  <c r="J288" i="3" s="1"/>
  <c r="O275" i="3" a="1"/>
  <c r="O275" i="3" s="1"/>
  <c r="J270" i="3" a="1"/>
  <c r="J270" i="3" s="1"/>
  <c r="K256" i="3" a="1"/>
  <c r="K256" i="3" s="1"/>
  <c r="M256" i="3" s="1"/>
  <c r="V253" i="3" a="1"/>
  <c r="V253" i="3" s="1"/>
  <c r="R233" i="3" a="1"/>
  <c r="R233" i="3" s="1"/>
  <c r="R232" i="3" a="1"/>
  <c r="R232" i="3" s="1"/>
  <c r="O224" i="3" a="1"/>
  <c r="O224" i="3" s="1"/>
  <c r="O223" i="3" a="1"/>
  <c r="O223" i="3" s="1"/>
  <c r="V222" i="3" a="1"/>
  <c r="V222" i="3" s="1"/>
  <c r="V221" i="3" a="1"/>
  <c r="V221" i="3" s="1"/>
  <c r="V220" i="3" a="1"/>
  <c r="V220" i="3" s="1"/>
  <c r="J166" i="3" a="1"/>
  <c r="J166" i="3" s="1"/>
  <c r="K28" i="3" a="1"/>
  <c r="K28" i="3" s="1"/>
  <c r="M28" i="3" s="1"/>
  <c r="R27" i="3" a="1"/>
  <c r="R27" i="3" s="1"/>
  <c r="V23" i="3" a="1"/>
  <c r="V23" i="3" s="1"/>
  <c r="V19" i="3" a="1"/>
  <c r="V19" i="3" s="1"/>
  <c r="V15" i="3" a="1"/>
  <c r="V15" i="3" s="1"/>
  <c r="V11" i="3" a="1"/>
  <c r="V11" i="3" s="1"/>
  <c r="V7" i="3" a="1"/>
  <c r="V7" i="3" s="1"/>
  <c r="E33" i="2" a="1"/>
  <c r="E33" i="2" s="1"/>
  <c r="E28" i="2" a="1"/>
  <c r="E28" i="2" s="1"/>
  <c r="K779" i="3" a="1"/>
  <c r="K779" i="3" s="1"/>
  <c r="M779" i="3" s="1"/>
  <c r="J764" i="3" a="1"/>
  <c r="J764" i="3" s="1"/>
  <c r="R687" i="3" a="1"/>
  <c r="R687" i="3" s="1"/>
  <c r="K678" i="3" a="1"/>
  <c r="K678" i="3" s="1"/>
  <c r="M678" i="3" s="1"/>
  <c r="V628" i="3" a="1"/>
  <c r="V628" i="3" s="1"/>
  <c r="V574" i="3" a="1"/>
  <c r="V574" i="3" s="1"/>
  <c r="K512" i="3" a="1"/>
  <c r="K512" i="3" s="1"/>
  <c r="M512" i="3" s="1"/>
  <c r="V496" i="3" a="1"/>
  <c r="V496" i="3" s="1"/>
  <c r="J488" i="3" a="1"/>
  <c r="J488" i="3" s="1"/>
  <c r="V456" i="3" a="1"/>
  <c r="V456" i="3" s="1"/>
  <c r="O439" i="3" a="1"/>
  <c r="O439" i="3" s="1"/>
  <c r="J430" i="3" a="1"/>
  <c r="J430" i="3" s="1"/>
  <c r="R428" i="3" a="1"/>
  <c r="R428" i="3" s="1"/>
  <c r="O422" i="3" a="1"/>
  <c r="O422" i="3" s="1"/>
  <c r="V420" i="3" a="1"/>
  <c r="V420" i="3" s="1"/>
  <c r="R403" i="3" a="1"/>
  <c r="R403" i="3" s="1"/>
  <c r="R378" i="3" a="1"/>
  <c r="R378" i="3" s="1"/>
  <c r="O369" i="3" a="1"/>
  <c r="O369" i="3" s="1"/>
  <c r="R366" i="3" a="1"/>
  <c r="R366" i="3" s="1"/>
  <c r="O360" i="3" a="1"/>
  <c r="O360" i="3" s="1"/>
  <c r="J347" i="3" a="1"/>
  <c r="J347" i="3" s="1"/>
  <c r="J339" i="3" a="1"/>
  <c r="J339" i="3" s="1"/>
  <c r="O333" i="3" a="1"/>
  <c r="O333" i="3" s="1"/>
  <c r="O328" i="3" a="1"/>
  <c r="O328" i="3" s="1"/>
  <c r="J312" i="3" a="1"/>
  <c r="J312" i="3" s="1"/>
  <c r="O309" i="3" a="1"/>
  <c r="O309" i="3" s="1"/>
  <c r="O295" i="3" a="1"/>
  <c r="O295" i="3" s="1"/>
  <c r="V282" i="3" a="1"/>
  <c r="V282" i="3" s="1"/>
  <c r="R281" i="3" a="1"/>
  <c r="R281" i="3" s="1"/>
  <c r="O276" i="3" a="1"/>
  <c r="O276" i="3" s="1"/>
  <c r="V265" i="3" a="1"/>
  <c r="V265" i="3" s="1"/>
  <c r="R264" i="3" a="1"/>
  <c r="R264" i="3" s="1"/>
  <c r="R250" i="3" a="1"/>
  <c r="R250" i="3" s="1"/>
  <c r="K235" i="3" a="1"/>
  <c r="K235" i="3" s="1"/>
  <c r="M235" i="3" s="1"/>
  <c r="K234" i="3" a="1"/>
  <c r="K234" i="3" s="1"/>
  <c r="M234" i="3" s="1"/>
  <c r="O138" i="3" a="1"/>
  <c r="O138" i="3" s="1"/>
  <c r="O134" i="3" a="1"/>
  <c r="O134" i="3" s="1"/>
  <c r="R133" i="3" a="1"/>
  <c r="R133" i="3" s="1"/>
  <c r="O130" i="3" a="1"/>
  <c r="O130" i="3" s="1"/>
  <c r="R129" i="3" a="1"/>
  <c r="R129" i="3" s="1"/>
  <c r="O126" i="3" a="1"/>
  <c r="O126" i="3" s="1"/>
  <c r="R125" i="3" a="1"/>
  <c r="R125" i="3" s="1"/>
  <c r="O122" i="3" a="1"/>
  <c r="O122" i="3" s="1"/>
  <c r="R121" i="3" a="1"/>
  <c r="R121" i="3" s="1"/>
  <c r="O118" i="3" a="1"/>
  <c r="O118" i="3" s="1"/>
  <c r="R117" i="3" a="1"/>
  <c r="R117" i="3" s="1"/>
  <c r="O114" i="3" a="1"/>
  <c r="O114" i="3" s="1"/>
  <c r="O110" i="3" a="1"/>
  <c r="O110" i="3" s="1"/>
  <c r="O106" i="3" a="1"/>
  <c r="O106" i="3" s="1"/>
  <c r="R39" i="3" a="1"/>
  <c r="R39" i="3" s="1"/>
  <c r="K25" i="3" a="1"/>
  <c r="K25" i="3" s="1"/>
  <c r="M25" i="3" s="1"/>
  <c r="K21" i="3" a="1"/>
  <c r="K21" i="3" s="1"/>
  <c r="M21" i="3" s="1"/>
  <c r="K17" i="3" a="1"/>
  <c r="K17" i="3" s="1"/>
  <c r="M17" i="3" s="1"/>
  <c r="K13" i="3" a="1"/>
  <c r="K13" i="3" s="1"/>
  <c r="M13" i="3" s="1"/>
  <c r="K9" i="3" a="1"/>
  <c r="K9" i="3" s="1"/>
  <c r="M9" i="3" s="1"/>
  <c r="K5" i="3" a="1"/>
  <c r="K5" i="3" s="1"/>
  <c r="M5" i="3" s="1"/>
  <c r="R738" i="3" a="1"/>
  <c r="R738" i="3" s="1"/>
  <c r="J717" i="3" a="1"/>
  <c r="J717" i="3" s="1"/>
  <c r="V689" i="3" a="1"/>
  <c r="V689" i="3" s="1"/>
  <c r="J673" i="3" a="1"/>
  <c r="J673" i="3" s="1"/>
  <c r="K665" i="3" a="1"/>
  <c r="K665" i="3" s="1"/>
  <c r="M665" i="3" s="1"/>
  <c r="J631" i="3" a="1"/>
  <c r="J631" i="3" s="1"/>
  <c r="K586" i="3" a="1"/>
  <c r="K586" i="3" s="1"/>
  <c r="M586" i="3" s="1"/>
  <c r="J574" i="3" a="1"/>
  <c r="J574" i="3" s="1"/>
  <c r="J485" i="3" a="1"/>
  <c r="J485" i="3" s="1"/>
  <c r="K455" i="3" a="1"/>
  <c r="K455" i="3" s="1"/>
  <c r="M455" i="3" s="1"/>
  <c r="K451" i="3" a="1"/>
  <c r="K451" i="3" s="1"/>
  <c r="M451" i="3" s="1"/>
  <c r="V447" i="3" a="1"/>
  <c r="V447" i="3" s="1"/>
  <c r="O442" i="3" a="1"/>
  <c r="O442" i="3" s="1"/>
  <c r="K436" i="3" a="1"/>
  <c r="K436" i="3" s="1"/>
  <c r="M436" i="3" s="1"/>
  <c r="J433" i="3" a="1"/>
  <c r="J433" i="3" s="1"/>
  <c r="R431" i="3" a="1"/>
  <c r="R431" i="3" s="1"/>
  <c r="O425" i="3" a="1"/>
  <c r="O425" i="3" s="1"/>
  <c r="V423" i="3" a="1"/>
  <c r="V423" i="3" s="1"/>
  <c r="R414" i="3" a="1"/>
  <c r="R414" i="3" s="1"/>
  <c r="O403" i="3" a="1"/>
  <c r="O403" i="3" s="1"/>
  <c r="J399" i="3" a="1"/>
  <c r="J399" i="3" s="1"/>
  <c r="V397" i="3" a="1"/>
  <c r="V397" i="3" s="1"/>
  <c r="K390" i="3" a="1"/>
  <c r="K390" i="3" s="1"/>
  <c r="M390" i="3" s="1"/>
  <c r="R379" i="3" a="1"/>
  <c r="R379" i="3" s="1"/>
  <c r="K378" i="3" a="1"/>
  <c r="K378" i="3" s="1"/>
  <c r="M378" i="3" s="1"/>
  <c r="V370" i="3" a="1"/>
  <c r="V370" i="3" s="1"/>
  <c r="K363" i="3" a="1"/>
  <c r="K363" i="3" s="1"/>
  <c r="M363" i="3" s="1"/>
  <c r="V348" i="3" a="1"/>
  <c r="V348" i="3" s="1"/>
  <c r="K340" i="3" a="1"/>
  <c r="K340" i="3" s="1"/>
  <c r="M340" i="3" s="1"/>
  <c r="R329" i="3" a="1"/>
  <c r="R329" i="3" s="1"/>
  <c r="V286" i="3" a="1"/>
  <c r="V286" i="3" s="1"/>
  <c r="V277" i="3" a="1"/>
  <c r="V277" i="3" s="1"/>
  <c r="V272" i="3" a="1"/>
  <c r="V272" i="3" s="1"/>
  <c r="O271" i="3" a="1"/>
  <c r="O271" i="3" s="1"/>
  <c r="J256" i="3" a="1"/>
  <c r="J256" i="3" s="1"/>
  <c r="K165" i="3" a="1"/>
  <c r="K165" i="3" s="1"/>
  <c r="M165" i="3" s="1"/>
  <c r="J28" i="3" a="1"/>
  <c r="J28" i="3" s="1"/>
  <c r="O24" i="3" a="1"/>
  <c r="O24" i="3" s="1"/>
  <c r="O20" i="3" a="1"/>
  <c r="O20" i="3" s="1"/>
  <c r="R19" i="3" a="1"/>
  <c r="R19" i="3" s="1"/>
  <c r="O16" i="3" a="1"/>
  <c r="O16" i="3" s="1"/>
  <c r="O12" i="3" a="1"/>
  <c r="O12" i="3" s="1"/>
  <c r="R11" i="3" a="1"/>
  <c r="R11" i="3" s="1"/>
  <c r="O8" i="3" a="1"/>
  <c r="O8" i="3" s="1"/>
  <c r="R7" i="3" a="1"/>
  <c r="R7" i="3" s="1"/>
  <c r="V3" i="3" a="1"/>
  <c r="V3" i="3" s="1"/>
  <c r="K773" i="3" a="1"/>
  <c r="K773" i="3" s="1"/>
  <c r="M773" i="3" s="1"/>
  <c r="K769" i="3" a="1"/>
  <c r="K769" i="3" s="1"/>
  <c r="M769" i="3" s="1"/>
  <c r="J704" i="3" a="1"/>
  <c r="J704" i="3" s="1"/>
  <c r="V668" i="3" a="1"/>
  <c r="V668" i="3" s="1"/>
  <c r="J622" i="3" a="1"/>
  <c r="J622" i="3" s="1"/>
  <c r="J603" i="3" a="1"/>
  <c r="J603" i="3" s="1"/>
  <c r="R589" i="3" a="1"/>
  <c r="R589" i="3" s="1"/>
  <c r="R537" i="3" a="1"/>
  <c r="R537" i="3" s="1"/>
  <c r="K524" i="3" a="1"/>
  <c r="K524" i="3" s="1"/>
  <c r="M524" i="3" s="1"/>
  <c r="K496" i="3" a="1"/>
  <c r="K496" i="3" s="1"/>
  <c r="M496" i="3" s="1"/>
  <c r="K489" i="3" a="1"/>
  <c r="K489" i="3" s="1"/>
  <c r="M489" i="3" s="1"/>
  <c r="O478" i="3" a="1"/>
  <c r="O478" i="3" s="1"/>
  <c r="K471" i="3" a="1"/>
  <c r="K471" i="3" s="1"/>
  <c r="M471" i="3" s="1"/>
  <c r="K466" i="3" a="1"/>
  <c r="K466" i="3" s="1"/>
  <c r="M466" i="3" s="1"/>
  <c r="O461" i="3" a="1"/>
  <c r="O461" i="3" s="1"/>
  <c r="K458" i="3" a="1"/>
  <c r="K458" i="3" s="1"/>
  <c r="M458" i="3" s="1"/>
  <c r="K442" i="3" a="1"/>
  <c r="K442" i="3" s="1"/>
  <c r="M442" i="3" s="1"/>
  <c r="R374" i="3" a="1"/>
  <c r="R374" i="3" s="1"/>
  <c r="J373" i="3" a="1"/>
  <c r="J373" i="3" s="1"/>
  <c r="O357" i="3" a="1"/>
  <c r="O357" i="3" s="1"/>
  <c r="V351" i="3" a="1"/>
  <c r="V351" i="3" s="1"/>
  <c r="K344" i="3" a="1"/>
  <c r="K344" i="3" s="1"/>
  <c r="M344" i="3" s="1"/>
  <c r="O334" i="3" a="1"/>
  <c r="O334" i="3" s="1"/>
  <c r="K328" i="3" a="1"/>
  <c r="K328" i="3" s="1"/>
  <c r="M328" i="3" s="1"/>
  <c r="K325" i="3" a="1"/>
  <c r="K325" i="3" s="1"/>
  <c r="M325" i="3" s="1"/>
  <c r="V316" i="3" a="1"/>
  <c r="V316" i="3" s="1"/>
  <c r="K309" i="3" a="1"/>
  <c r="K309" i="3" s="1"/>
  <c r="M309" i="3" s="1"/>
  <c r="V290" i="3" a="1"/>
  <c r="V290" i="3" s="1"/>
  <c r="R263" i="3" a="1"/>
  <c r="R263" i="3" s="1"/>
  <c r="R253" i="3" a="1"/>
  <c r="R253" i="3" s="1"/>
  <c r="J235" i="3" a="1"/>
  <c r="J235" i="3" s="1"/>
  <c r="J234" i="3" a="1"/>
  <c r="J234" i="3" s="1"/>
  <c r="K233" i="3" a="1"/>
  <c r="K233" i="3" s="1"/>
  <c r="M233" i="3" s="1"/>
  <c r="K223" i="3" a="1"/>
  <c r="K223" i="3" s="1"/>
  <c r="M223" i="3" s="1"/>
  <c r="K222" i="3" a="1"/>
  <c r="K222" i="3" s="1"/>
  <c r="M222" i="3" s="1"/>
  <c r="C14" i="6"/>
  <c r="R791" i="3" a="1"/>
  <c r="R791" i="3" s="1"/>
  <c r="R725" i="3" a="1"/>
  <c r="R725" i="3" s="1"/>
  <c r="O660" i="3" a="1"/>
  <c r="O660" i="3" s="1"/>
  <c r="J628" i="3" a="1"/>
  <c r="J628" i="3" s="1"/>
  <c r="V618" i="3" a="1"/>
  <c r="V618" i="3" s="1"/>
  <c r="O615" i="3" a="1"/>
  <c r="O615" i="3" s="1"/>
  <c r="O595" i="3" a="1"/>
  <c r="O595" i="3" s="1"/>
  <c r="J577" i="3" a="1"/>
  <c r="J577" i="3" s="1"/>
  <c r="O500" i="3" a="1"/>
  <c r="O500" i="3" s="1"/>
  <c r="O492" i="3" a="1"/>
  <c r="O492" i="3" s="1"/>
  <c r="K480" i="3" a="1"/>
  <c r="K480" i="3" s="1"/>
  <c r="M480" i="3" s="1"/>
  <c r="O469" i="3" a="1"/>
  <c r="O469" i="3" s="1"/>
  <c r="V440" i="3" a="1"/>
  <c r="V440" i="3" s="1"/>
  <c r="O428" i="3" a="1"/>
  <c r="O428" i="3" s="1"/>
  <c r="V426" i="3" a="1"/>
  <c r="V426" i="3" s="1"/>
  <c r="V409" i="3" a="1"/>
  <c r="V409" i="3" s="1"/>
  <c r="K403" i="3" a="1"/>
  <c r="K403" i="3" s="1"/>
  <c r="M403" i="3" s="1"/>
  <c r="O400" i="3" a="1"/>
  <c r="O400" i="3" s="1"/>
  <c r="J390" i="3" a="1"/>
  <c r="J390" i="3" s="1"/>
  <c r="O387" i="3" a="1"/>
  <c r="O387" i="3" s="1"/>
  <c r="K360" i="3" a="1"/>
  <c r="K360" i="3" s="1"/>
  <c r="M360" i="3" s="1"/>
  <c r="J351" i="3" a="1"/>
  <c r="J351" i="3" s="1"/>
  <c r="K348" i="3" a="1"/>
  <c r="K348" i="3" s="1"/>
  <c r="M348" i="3" s="1"/>
  <c r="V342" i="3" a="1"/>
  <c r="V342" i="3" s="1"/>
  <c r="O341" i="3" a="1"/>
  <c r="O341" i="3" s="1"/>
  <c r="J340" i="3" a="1"/>
  <c r="J340" i="3" s="1"/>
  <c r="V336" i="3" a="1"/>
  <c r="V336" i="3" s="1"/>
  <c r="R335" i="3" a="1"/>
  <c r="R335" i="3" s="1"/>
  <c r="V326" i="3" a="1"/>
  <c r="V326" i="3" s="1"/>
  <c r="V307" i="3" a="1"/>
  <c r="V307" i="3" s="1"/>
  <c r="V278" i="3" a="1"/>
  <c r="V278" i="3" s="1"/>
  <c r="O272" i="3" a="1"/>
  <c r="O272" i="3" s="1"/>
  <c r="V267" i="3" a="1"/>
  <c r="V267" i="3" s="1"/>
  <c r="O264" i="3" a="1"/>
  <c r="O264" i="3" s="1"/>
  <c r="J263" i="3" a="1"/>
  <c r="J263" i="3" s="1"/>
  <c r="O232" i="3" a="1"/>
  <c r="O232" i="3" s="1"/>
  <c r="O231" i="3" a="1"/>
  <c r="O231" i="3" s="1"/>
  <c r="V230" i="3" a="1"/>
  <c r="V230" i="3" s="1"/>
  <c r="V229" i="3" a="1"/>
  <c r="V229" i="3" s="1"/>
  <c r="V228" i="3" a="1"/>
  <c r="V228" i="3" s="1"/>
  <c r="J165" i="3" a="1"/>
  <c r="J165" i="3" s="1"/>
  <c r="O29" i="3" a="1"/>
  <c r="O29" i="3" s="1"/>
  <c r="O27" i="3" a="1"/>
  <c r="O27" i="3" s="1"/>
  <c r="V26" i="3" a="1"/>
  <c r="V26" i="3" s="1"/>
  <c r="V22" i="3" a="1"/>
  <c r="V22" i="3" s="1"/>
  <c r="V18" i="3" a="1"/>
  <c r="V18" i="3" s="1"/>
  <c r="V14" i="3" a="1"/>
  <c r="V14" i="3" s="1"/>
  <c r="V10" i="3" a="1"/>
  <c r="V10" i="3" s="1"/>
  <c r="V6" i="3" a="1"/>
  <c r="V6" i="3" s="1"/>
  <c r="R3" i="3" a="1"/>
  <c r="R3" i="3" s="1"/>
  <c r="B14" i="6"/>
  <c r="J773" i="3" a="1"/>
  <c r="J773" i="3" s="1"/>
  <c r="O752" i="3" a="1"/>
  <c r="O752" i="3" s="1"/>
  <c r="K720" i="3" a="1"/>
  <c r="K720" i="3" s="1"/>
  <c r="M720" i="3" s="1"/>
  <c r="J707" i="3" a="1"/>
  <c r="J707" i="3" s="1"/>
  <c r="O702" i="3" a="1"/>
  <c r="O702" i="3" s="1"/>
  <c r="R684" i="3" a="1"/>
  <c r="R684" i="3" s="1"/>
  <c r="R648" i="3" a="1"/>
  <c r="R648" i="3" s="1"/>
  <c r="R624" i="3" a="1"/>
  <c r="R624" i="3" s="1"/>
  <c r="R585" i="3" a="1"/>
  <c r="R585" i="3" s="1"/>
  <c r="K576" i="3" a="1"/>
  <c r="K576" i="3" s="1"/>
  <c r="M576" i="3" s="1"/>
  <c r="V564" i="3" a="1"/>
  <c r="V564" i="3" s="1"/>
  <c r="R556" i="3" a="1"/>
  <c r="R556" i="3" s="1"/>
  <c r="R548" i="3" a="1"/>
  <c r="R548" i="3" s="1"/>
  <c r="R534" i="3" a="1"/>
  <c r="R534" i="3" s="1"/>
  <c r="R521" i="3" a="1"/>
  <c r="R521" i="3" s="1"/>
  <c r="O486" i="3" a="1"/>
  <c r="O486" i="3" s="1"/>
  <c r="J466" i="3" a="1"/>
  <c r="J466" i="3" s="1"/>
  <c r="O464" i="3" a="1"/>
  <c r="O464" i="3" s="1"/>
  <c r="J458" i="3" a="1"/>
  <c r="J458" i="3" s="1"/>
  <c r="K452" i="3" a="1"/>
  <c r="K452" i="3" s="1"/>
  <c r="M452" i="3" s="1"/>
  <c r="R448" i="3" a="1"/>
  <c r="R448" i="3" s="1"/>
  <c r="K447" i="3" a="1"/>
  <c r="K447" i="3" s="1"/>
  <c r="M447" i="3" s="1"/>
  <c r="O434" i="3" a="1"/>
  <c r="O434" i="3" s="1"/>
  <c r="V429" i="3" a="1"/>
  <c r="V429" i="3" s="1"/>
  <c r="K428" i="3" a="1"/>
  <c r="K428" i="3" s="1"/>
  <c r="M428" i="3" s="1"/>
  <c r="R420" i="3" a="1"/>
  <c r="R420" i="3" s="1"/>
  <c r="V412" i="3" a="1"/>
  <c r="V412" i="3" s="1"/>
  <c r="O379" i="3" a="1"/>
  <c r="O379" i="3" s="1"/>
  <c r="O367" i="3" a="1"/>
  <c r="O367" i="3" s="1"/>
  <c r="R364" i="3" a="1"/>
  <c r="R364" i="3" s="1"/>
  <c r="K341" i="3" a="1"/>
  <c r="K341" i="3" s="1"/>
  <c r="M341" i="3" s="1"/>
  <c r="K334" i="3" a="1"/>
  <c r="K334" i="3" s="1"/>
  <c r="M334" i="3" s="1"/>
  <c r="O329" i="3" a="1"/>
  <c r="O329" i="3" s="1"/>
  <c r="J319" i="3" a="1"/>
  <c r="J319" i="3" s="1"/>
  <c r="O316" i="3" a="1"/>
  <c r="O316" i="3" s="1"/>
  <c r="O313" i="3" a="1"/>
  <c r="O313" i="3" s="1"/>
  <c r="V291" i="3" a="1"/>
  <c r="V291" i="3" s="1"/>
  <c r="R282" i="3" a="1"/>
  <c r="R282" i="3" s="1"/>
  <c r="O250" i="3" a="1"/>
  <c r="O250" i="3" s="1"/>
  <c r="J223" i="3" a="1"/>
  <c r="J223" i="3" s="1"/>
  <c r="J222" i="3" a="1"/>
  <c r="J222" i="3" s="1"/>
  <c r="K221" i="3" a="1"/>
  <c r="K221" i="3" s="1"/>
  <c r="M221" i="3" s="1"/>
  <c r="V167" i="3" a="1"/>
  <c r="V167" i="3" s="1"/>
  <c r="R140" i="3" a="1"/>
  <c r="R140" i="3" s="1"/>
  <c r="O137" i="3" a="1"/>
  <c r="O137" i="3" s="1"/>
  <c r="O133" i="3" a="1"/>
  <c r="O133" i="3" s="1"/>
  <c r="O129" i="3" a="1"/>
  <c r="O129" i="3" s="1"/>
  <c r="O125" i="3" a="1"/>
  <c r="O125" i="3" s="1"/>
  <c r="O121" i="3" a="1"/>
  <c r="O121" i="3" s="1"/>
  <c r="R120" i="3" a="1"/>
  <c r="R120" i="3" s="1"/>
  <c r="O117" i="3" a="1"/>
  <c r="O117" i="3" s="1"/>
  <c r="R116" i="3" a="1"/>
  <c r="R116" i="3" s="1"/>
  <c r="O113" i="3" a="1"/>
  <c r="O113" i="3" s="1"/>
  <c r="R112" i="3" a="1"/>
  <c r="R112" i="3" s="1"/>
  <c r="O109" i="3" a="1"/>
  <c r="O109" i="3" s="1"/>
  <c r="R108" i="3" a="1"/>
  <c r="R108" i="3" s="1"/>
  <c r="R41" i="3" a="1"/>
  <c r="R41" i="3" s="1"/>
  <c r="O39" i="3" a="1"/>
  <c r="O39" i="3" s="1"/>
  <c r="K24" i="3" a="1"/>
  <c r="K24" i="3" s="1"/>
  <c r="M24" i="3" s="1"/>
  <c r="K20" i="3" a="1"/>
  <c r="K20" i="3" s="1"/>
  <c r="M20" i="3" s="1"/>
  <c r="K16" i="3" a="1"/>
  <c r="K16" i="3" s="1"/>
  <c r="M16" i="3" s="1"/>
  <c r="K12" i="3" a="1"/>
  <c r="K12" i="3" s="1"/>
  <c r="M12" i="3" s="1"/>
  <c r="K8" i="3" a="1"/>
  <c r="K8" i="3" s="1"/>
  <c r="M8" i="3" s="1"/>
  <c r="O767" i="3" a="1"/>
  <c r="O767" i="3" s="1"/>
  <c r="R737" i="3" a="1"/>
  <c r="R737" i="3" s="1"/>
  <c r="K691" i="3" a="1"/>
  <c r="K691" i="3" s="1"/>
  <c r="M691" i="3" s="1"/>
  <c r="K686" i="3" a="1"/>
  <c r="K686" i="3" s="1"/>
  <c r="M686" i="3" s="1"/>
  <c r="K668" i="3" a="1"/>
  <c r="K668" i="3" s="1"/>
  <c r="M668" i="3" s="1"/>
  <c r="J648" i="3" a="1"/>
  <c r="J648" i="3" s="1"/>
  <c r="K644" i="3" a="1"/>
  <c r="K644" i="3" s="1"/>
  <c r="M644" i="3" s="1"/>
  <c r="J576" i="3" a="1"/>
  <c r="J576" i="3" s="1"/>
  <c r="O559" i="3" a="1"/>
  <c r="O559" i="3" s="1"/>
  <c r="R553" i="3" a="1"/>
  <c r="R553" i="3" s="1"/>
  <c r="O523" i="3" a="1"/>
  <c r="O523" i="3" s="1"/>
  <c r="J492" i="3" a="1"/>
  <c r="J492" i="3" s="1"/>
  <c r="O483" i="3" a="1"/>
  <c r="O483" i="3" s="1"/>
  <c r="J478" i="3" a="1"/>
  <c r="J478" i="3" s="1"/>
  <c r="K469" i="3" a="1"/>
  <c r="K469" i="3" s="1"/>
  <c r="M469" i="3" s="1"/>
  <c r="R459" i="3" a="1"/>
  <c r="R459" i="3" s="1"/>
  <c r="O456" i="3" a="1"/>
  <c r="O456" i="3" s="1"/>
  <c r="J447" i="3" a="1"/>
  <c r="J447" i="3" s="1"/>
  <c r="R368" i="3" a="1"/>
  <c r="R368" i="3" s="1"/>
  <c r="O361" i="3" a="1"/>
  <c r="O361" i="3" s="1"/>
  <c r="R342" i="3" a="1"/>
  <c r="R342" i="3" s="1"/>
  <c r="V337" i="3" a="1"/>
  <c r="V337" i="3" s="1"/>
  <c r="O336" i="3" a="1"/>
  <c r="O336" i="3" s="1"/>
  <c r="J334" i="3" a="1"/>
  <c r="J334" i="3" s="1"/>
  <c r="O330" i="3" a="1"/>
  <c r="O330" i="3" s="1"/>
  <c r="K329" i="3" a="1"/>
  <c r="K329" i="3" s="1"/>
  <c r="M329" i="3" s="1"/>
  <c r="O320" i="3" a="1"/>
  <c r="O320" i="3" s="1"/>
  <c r="V304" i="3" a="1"/>
  <c r="V304" i="3" s="1"/>
  <c r="K231" i="3" a="1"/>
  <c r="K231" i="3" s="1"/>
  <c r="M231" i="3" s="1"/>
  <c r="K230" i="3" a="1"/>
  <c r="K230" i="3" s="1"/>
  <c r="M230" i="3" s="1"/>
  <c r="P110" i="6" a="1"/>
  <c r="P110" i="6" s="1"/>
  <c r="Q110" i="6" s="1"/>
  <c r="R709" i="3" s="1" a="1"/>
  <c r="R709" i="3" s="1"/>
  <c r="X778" i="3" a="1"/>
  <c r="X778" i="3" s="1"/>
  <c r="X777" i="3" a="1"/>
  <c r="X777" i="3" s="1"/>
  <c r="X776" i="3" a="1"/>
  <c r="X776" i="3" s="1"/>
  <c r="X775" i="3" a="1"/>
  <c r="X775" i="3" s="1"/>
  <c r="X774" i="3" a="1"/>
  <c r="X774" i="3" s="1"/>
  <c r="X773" i="3" a="1"/>
  <c r="X773" i="3" s="1"/>
  <c r="X772" i="3" a="1"/>
  <c r="X772" i="3" s="1"/>
  <c r="X771" i="3" a="1"/>
  <c r="X771" i="3" s="1"/>
  <c r="X770" i="3" a="1"/>
  <c r="X770" i="3" s="1"/>
  <c r="X769" i="3" a="1"/>
  <c r="X769" i="3" s="1"/>
  <c r="X768" i="3" a="1"/>
  <c r="X768" i="3" s="1"/>
  <c r="X767" i="3" a="1"/>
  <c r="X767" i="3" s="1"/>
  <c r="X766" i="3" a="1"/>
  <c r="X766" i="3" s="1"/>
  <c r="X765" i="3" a="1"/>
  <c r="X765" i="3" s="1"/>
  <c r="X764" i="3" a="1"/>
  <c r="X764" i="3" s="1"/>
  <c r="X763" i="3" a="1"/>
  <c r="X763" i="3" s="1"/>
  <c r="X762" i="3" a="1"/>
  <c r="X762" i="3" s="1"/>
  <c r="X761" i="3" a="1"/>
  <c r="X761" i="3" s="1"/>
  <c r="X760" i="3" a="1"/>
  <c r="X760" i="3" s="1"/>
  <c r="X759" i="3" a="1"/>
  <c r="X759" i="3" s="1"/>
  <c r="X758" i="3" a="1"/>
  <c r="X758" i="3" s="1"/>
  <c r="X757" i="3" a="1"/>
  <c r="X757" i="3" s="1"/>
  <c r="X756" i="3" a="1"/>
  <c r="X756" i="3" s="1"/>
  <c r="X755" i="3" a="1"/>
  <c r="X755" i="3" s="1"/>
  <c r="X754" i="3" a="1"/>
  <c r="X754" i="3" s="1"/>
  <c r="X753" i="3" a="1"/>
  <c r="X753" i="3" s="1"/>
  <c r="X752" i="3" a="1"/>
  <c r="X752" i="3" s="1"/>
  <c r="X751" i="3" a="1"/>
  <c r="X751" i="3" s="1"/>
  <c r="X750" i="3" a="1"/>
  <c r="X750" i="3" s="1"/>
  <c r="X749" i="3" a="1"/>
  <c r="X749" i="3" s="1"/>
  <c r="X748" i="3" a="1"/>
  <c r="X748" i="3" s="1"/>
  <c r="X747" i="3" a="1"/>
  <c r="X747" i="3" s="1"/>
  <c r="X746" i="3" a="1"/>
  <c r="X746" i="3" s="1"/>
  <c r="X745" i="3" a="1"/>
  <c r="X745" i="3" s="1"/>
  <c r="X744" i="3" a="1"/>
  <c r="X744" i="3" s="1"/>
  <c r="X743" i="3" a="1"/>
  <c r="X743" i="3" s="1"/>
  <c r="X742" i="3" a="1"/>
  <c r="X742" i="3" s="1"/>
  <c r="X741" i="3" a="1"/>
  <c r="X741" i="3" s="1"/>
  <c r="X740" i="3" a="1"/>
  <c r="X740" i="3" s="1"/>
  <c r="X739" i="3" a="1"/>
  <c r="X739" i="3" s="1"/>
  <c r="X738" i="3" a="1"/>
  <c r="X738" i="3" s="1"/>
  <c r="X737" i="3" a="1"/>
  <c r="X737" i="3" s="1"/>
  <c r="X736" i="3" a="1"/>
  <c r="X736" i="3" s="1"/>
  <c r="X735" i="3" a="1"/>
  <c r="X735" i="3" s="1"/>
  <c r="X734" i="3" a="1"/>
  <c r="X734" i="3" s="1"/>
  <c r="P116" i="6" a="1"/>
  <c r="P116" i="6" s="1"/>
  <c r="Q116" i="6" s="1"/>
  <c r="N115" i="6" a="1"/>
  <c r="N115" i="6" s="1"/>
  <c r="P100" i="6" a="1"/>
  <c r="P100" i="6" s="1"/>
  <c r="Q100" i="6" s="1"/>
  <c r="N99" i="6" a="1"/>
  <c r="N99" i="6" s="1"/>
  <c r="P84" i="6" a="1"/>
  <c r="P84" i="6" s="1"/>
  <c r="Q84" i="6" s="1"/>
  <c r="R592" i="3" s="1" a="1"/>
  <c r="R592" i="3" s="1"/>
  <c r="N83" i="6" a="1"/>
  <c r="N83" i="6" s="1"/>
  <c r="P68" i="6" a="1"/>
  <c r="P68" i="6" s="1"/>
  <c r="Q68" i="6" s="1"/>
  <c r="R311" i="3" s="1" a="1"/>
  <c r="R311" i="3" s="1"/>
  <c r="N67" i="6" a="1"/>
  <c r="N67" i="6" s="1"/>
  <c r="P52" i="6" a="1"/>
  <c r="P52" i="6" s="1"/>
  <c r="Q52" i="6" s="1"/>
  <c r="R308" i="3" s="1" a="1"/>
  <c r="R308" i="3" s="1"/>
  <c r="N51" i="6" a="1"/>
  <c r="N51" i="6" s="1"/>
  <c r="X795" i="3" a="1"/>
  <c r="X795" i="3" s="1"/>
  <c r="X794" i="3" a="1"/>
  <c r="X794" i="3" s="1"/>
  <c r="X793" i="3" a="1"/>
  <c r="X793" i="3" s="1"/>
  <c r="X647" i="3" a="1"/>
  <c r="X647" i="3" s="1"/>
  <c r="X639" i="3" a="1"/>
  <c r="X639" i="3" s="1"/>
  <c r="P138" i="6" a="1"/>
  <c r="P138" i="6" s="1"/>
  <c r="Q138" i="6" s="1"/>
  <c r="N137" i="6" a="1"/>
  <c r="N137" i="6" s="1"/>
  <c r="P122" i="6" a="1"/>
  <c r="P122" i="6" s="1"/>
  <c r="Q122" i="6" s="1"/>
  <c r="R124" i="3" s="1" a="1"/>
  <c r="R124" i="3" s="1"/>
  <c r="N121" i="6" a="1"/>
  <c r="N121" i="6" s="1"/>
  <c r="P106" i="6" a="1"/>
  <c r="P106" i="6" s="1"/>
  <c r="Q106" i="6" s="1"/>
  <c r="N105" i="6" a="1"/>
  <c r="N105" i="6" s="1"/>
  <c r="P90" i="6" a="1"/>
  <c r="P90" i="6" s="1"/>
  <c r="Q90" i="6" s="1"/>
  <c r="R234" i="3" s="1" a="1"/>
  <c r="R234" i="3" s="1"/>
  <c r="N89" i="6" a="1"/>
  <c r="N89" i="6" s="1"/>
  <c r="P74" i="6" a="1"/>
  <c r="P74" i="6" s="1"/>
  <c r="Q74" i="6" s="1"/>
  <c r="R702" i="3" s="1" a="1"/>
  <c r="R702" i="3" s="1"/>
  <c r="N73" i="6" a="1"/>
  <c r="N73" i="6" s="1"/>
  <c r="P58" i="6" a="1"/>
  <c r="P58" i="6" s="1"/>
  <c r="Q58" i="6" s="1"/>
  <c r="R699" i="3" s="1" a="1"/>
  <c r="R699" i="3" s="1"/>
  <c r="N57" i="6" a="1"/>
  <c r="N57" i="6" s="1"/>
  <c r="P42" i="6" a="1"/>
  <c r="P42" i="6" s="1"/>
  <c r="Q42" i="6" s="1"/>
  <c r="N41" i="6" a="1"/>
  <c r="N41" i="6" s="1"/>
  <c r="P139" i="6" a="1"/>
  <c r="P139" i="6" s="1"/>
  <c r="Q139" i="6" s="1"/>
  <c r="N138" i="6" a="1"/>
  <c r="N138" i="6" s="1"/>
  <c r="P123" i="6" a="1"/>
  <c r="P123" i="6" s="1"/>
  <c r="Q123" i="6" s="1"/>
  <c r="R237" i="3" s="1" a="1"/>
  <c r="R237" i="3" s="1"/>
  <c r="N122" i="6" a="1"/>
  <c r="N122" i="6" s="1"/>
  <c r="P107" i="6" a="1"/>
  <c r="P107" i="6" s="1"/>
  <c r="Q107" i="6" s="1"/>
  <c r="R467" i="3" s="1" a="1"/>
  <c r="R467" i="3" s="1"/>
  <c r="N106" i="6" a="1"/>
  <c r="N106" i="6" s="1"/>
  <c r="P91" i="6" a="1"/>
  <c r="P91" i="6" s="1"/>
  <c r="Q91" i="6" s="1"/>
  <c r="N90" i="6" a="1"/>
  <c r="N90" i="6" s="1"/>
  <c r="P75" i="6" a="1"/>
  <c r="P75" i="6" s="1"/>
  <c r="Q75" i="6" s="1"/>
  <c r="R752" i="3" s="1" a="1"/>
  <c r="R752" i="3" s="1"/>
  <c r="N74" i="6" a="1"/>
  <c r="N74" i="6" s="1"/>
  <c r="P59" i="6" a="1"/>
  <c r="P59" i="6" s="1"/>
  <c r="Q59" i="6" s="1"/>
  <c r="R748" i="3" s="1" a="1"/>
  <c r="R748" i="3" s="1"/>
  <c r="N58" i="6" a="1"/>
  <c r="N58" i="6" s="1"/>
  <c r="P43" i="6" a="1"/>
  <c r="P43" i="6" s="1"/>
  <c r="Q43" i="6" s="1"/>
  <c r="R463" i="3" s="1" a="1"/>
  <c r="R463" i="3" s="1"/>
  <c r="N42" i="6" a="1"/>
  <c r="N42" i="6" s="1"/>
  <c r="P160" i="6" a="1"/>
  <c r="P160" i="6" s="1"/>
  <c r="Q160" i="6" s="1"/>
  <c r="R527" i="3" s="1" a="1"/>
  <c r="R527" i="3" s="1"/>
  <c r="N148" i="6" a="1"/>
  <c r="N148" i="6" s="1"/>
  <c r="N133" i="6" a="1"/>
  <c r="N133" i="6" s="1"/>
  <c r="P113" i="6" a="1"/>
  <c r="P113" i="6" s="1"/>
  <c r="Q113" i="6" s="1"/>
  <c r="R135" i="3" s="1" a="1"/>
  <c r="R135" i="3" s="1"/>
  <c r="P98" i="6" a="1"/>
  <c r="P98" i="6" s="1"/>
  <c r="Q98" i="6" s="1"/>
  <c r="P93" i="6" a="1"/>
  <c r="P93" i="6" s="1"/>
  <c r="Q93" i="6" s="1"/>
  <c r="P88" i="6" a="1"/>
  <c r="P88" i="6" s="1"/>
  <c r="Q88" i="6" s="1"/>
  <c r="N60" i="6" a="1"/>
  <c r="N60" i="6" s="1"/>
  <c r="N55" i="6" a="1"/>
  <c r="N55" i="6" s="1"/>
  <c r="P53" i="6" a="1"/>
  <c r="P53" i="6" s="1"/>
  <c r="Q53" i="6" s="1"/>
  <c r="P38" i="6" a="1"/>
  <c r="P38" i="6" s="1"/>
  <c r="Q38" i="6" s="1"/>
  <c r="R220" i="3" s="1" a="1"/>
  <c r="R220" i="3" s="1"/>
  <c r="X371" i="3" a="1"/>
  <c r="X371" i="3" s="1"/>
  <c r="X370" i="3" a="1"/>
  <c r="X370" i="3" s="1"/>
  <c r="X369" i="3" a="1"/>
  <c r="X369" i="3" s="1"/>
  <c r="X368" i="3" a="1"/>
  <c r="X368" i="3" s="1"/>
  <c r="X367" i="3" a="1"/>
  <c r="X367" i="3" s="1"/>
  <c r="X366" i="3" a="1"/>
  <c r="X366" i="3" s="1"/>
  <c r="X365" i="3" a="1"/>
  <c r="X365" i="3" s="1"/>
  <c r="X364" i="3" a="1"/>
  <c r="X364" i="3" s="1"/>
  <c r="X363" i="3" a="1"/>
  <c r="X363" i="3" s="1"/>
  <c r="X362" i="3" a="1"/>
  <c r="X362" i="3" s="1"/>
  <c r="X361" i="3" a="1"/>
  <c r="X361" i="3" s="1"/>
  <c r="X360" i="3" a="1"/>
  <c r="X360" i="3" s="1"/>
  <c r="N165" i="6" a="1"/>
  <c r="N165" i="6" s="1"/>
  <c r="N155" i="6" a="1"/>
  <c r="N155" i="6" s="1"/>
  <c r="N128" i="6" a="1"/>
  <c r="N128" i="6" s="1"/>
  <c r="N118" i="6" a="1"/>
  <c r="N118" i="6" s="1"/>
  <c r="P83" i="6" a="1"/>
  <c r="P83" i="6" s="1"/>
  <c r="Q83" i="6" s="1"/>
  <c r="R476" i="3" s="1" a="1"/>
  <c r="R476" i="3" s="1"/>
  <c r="P78" i="6" a="1"/>
  <c r="P78" i="6" s="1"/>
  <c r="Q78" i="6" s="1"/>
  <c r="R231" i="3" s="1" a="1"/>
  <c r="R231" i="3" s="1"/>
  <c r="N65" i="6" a="1"/>
  <c r="N65" i="6" s="1"/>
  <c r="N50" i="6" a="1"/>
  <c r="N50" i="6" s="1"/>
  <c r="N45" i="6" a="1"/>
  <c r="N45" i="6" s="1"/>
  <c r="N43" i="6" a="1"/>
  <c r="N43" i="6" s="1"/>
  <c r="X652" i="3" a="1"/>
  <c r="X652" i="3" s="1"/>
  <c r="X641" i="3" a="1"/>
  <c r="X641" i="3" s="1"/>
  <c r="X638" i="3" a="1"/>
  <c r="X638" i="3" s="1"/>
  <c r="X632" i="3" a="1"/>
  <c r="X632" i="3" s="1"/>
  <c r="X624" i="3" a="1"/>
  <c r="X624" i="3" s="1"/>
  <c r="X616" i="3" a="1"/>
  <c r="X616" i="3" s="1"/>
  <c r="X593" i="3" a="1"/>
  <c r="X593" i="3" s="1"/>
  <c r="X585" i="3" a="1"/>
  <c r="X585" i="3" s="1"/>
  <c r="X577" i="3" a="1"/>
  <c r="X577" i="3" s="1"/>
  <c r="X569" i="3" a="1"/>
  <c r="X569" i="3" s="1"/>
  <c r="X561" i="3" a="1"/>
  <c r="X561" i="3" s="1"/>
  <c r="X560" i="3" a="1"/>
  <c r="X560" i="3" s="1"/>
  <c r="X559" i="3" a="1"/>
  <c r="X559" i="3" s="1"/>
  <c r="X558" i="3" a="1"/>
  <c r="X558" i="3" s="1"/>
  <c r="X557" i="3" a="1"/>
  <c r="X557" i="3" s="1"/>
  <c r="X556" i="3" a="1"/>
  <c r="X556" i="3" s="1"/>
  <c r="X555" i="3" a="1"/>
  <c r="X555" i="3" s="1"/>
  <c r="X554" i="3" a="1"/>
  <c r="X554" i="3" s="1"/>
  <c r="X553" i="3" a="1"/>
  <c r="X553" i="3" s="1"/>
  <c r="X552" i="3" a="1"/>
  <c r="X552" i="3" s="1"/>
  <c r="X551" i="3" a="1"/>
  <c r="X551" i="3" s="1"/>
  <c r="X550" i="3" a="1"/>
  <c r="X550" i="3" s="1"/>
  <c r="X549" i="3" a="1"/>
  <c r="X549" i="3" s="1"/>
  <c r="X548" i="3" a="1"/>
  <c r="X548" i="3" s="1"/>
  <c r="X547" i="3" a="1"/>
  <c r="X547" i="3" s="1"/>
  <c r="X546" i="3" a="1"/>
  <c r="X546" i="3" s="1"/>
  <c r="X545" i="3" a="1"/>
  <c r="X545" i="3" s="1"/>
  <c r="X544" i="3" a="1"/>
  <c r="X544" i="3" s="1"/>
  <c r="X543" i="3" a="1"/>
  <c r="X543" i="3" s="1"/>
  <c r="X542" i="3" a="1"/>
  <c r="X542" i="3" s="1"/>
  <c r="X541" i="3" a="1"/>
  <c r="X541" i="3" s="1"/>
  <c r="X540" i="3" a="1"/>
  <c r="X540" i="3" s="1"/>
  <c r="X539" i="3" a="1"/>
  <c r="X539" i="3" s="1"/>
  <c r="X538" i="3" a="1"/>
  <c r="X538" i="3" s="1"/>
  <c r="X537" i="3" a="1"/>
  <c r="X537" i="3" s="1"/>
  <c r="X536" i="3" a="1"/>
  <c r="X536" i="3" s="1"/>
  <c r="X535" i="3" a="1"/>
  <c r="X535" i="3" s="1"/>
  <c r="X534" i="3" a="1"/>
  <c r="X534" i="3" s="1"/>
  <c r="X533" i="3" a="1"/>
  <c r="X533" i="3" s="1"/>
  <c r="X532" i="3" a="1"/>
  <c r="X532" i="3" s="1"/>
  <c r="X531" i="3" a="1"/>
  <c r="X531" i="3" s="1"/>
  <c r="X530" i="3" a="1"/>
  <c r="X530" i="3" s="1"/>
  <c r="X529" i="3" a="1"/>
  <c r="X529" i="3" s="1"/>
  <c r="P151" i="6" a="1"/>
  <c r="P151" i="6" s="1"/>
  <c r="Q151" i="6" s="1"/>
  <c r="R460" i="3" s="1" a="1"/>
  <c r="R460" i="3" s="1"/>
  <c r="P146" i="6" a="1"/>
  <c r="P146" i="6" s="1"/>
  <c r="Q146" i="6" s="1"/>
  <c r="R239" i="3" s="1" a="1"/>
  <c r="R239" i="3" s="1"/>
  <c r="P141" i="6" a="1"/>
  <c r="P141" i="6" s="1"/>
  <c r="Q141" i="6" s="1"/>
  <c r="R307" i="3" s="1" a="1"/>
  <c r="R307" i="3" s="1"/>
  <c r="P136" i="6" a="1"/>
  <c r="P136" i="6" s="1"/>
  <c r="Q136" i="6" s="1"/>
  <c r="R793" i="3" s="1" a="1"/>
  <c r="R793" i="3" s="1"/>
  <c r="N108" i="6" a="1"/>
  <c r="N108" i="6" s="1"/>
  <c r="N103" i="6" a="1"/>
  <c r="N103" i="6" s="1"/>
  <c r="P101" i="6" a="1"/>
  <c r="P101" i="6" s="1"/>
  <c r="Q101" i="6" s="1"/>
  <c r="P86" i="6" a="1"/>
  <c r="P86" i="6" s="1"/>
  <c r="Q86" i="6" s="1"/>
  <c r="R714" i="3" s="1" a="1"/>
  <c r="R714" i="3" s="1"/>
  <c r="N68" i="6" a="1"/>
  <c r="N68" i="6" s="1"/>
  <c r="N53" i="6" a="1"/>
  <c r="N53" i="6" s="1"/>
  <c r="N160" i="6" a="1"/>
  <c r="N160" i="6" s="1"/>
  <c r="P131" i="6" a="1"/>
  <c r="P131" i="6" s="1"/>
  <c r="Q131" i="6" s="1"/>
  <c r="R718" i="3" s="1" a="1"/>
  <c r="R718" i="3" s="1"/>
  <c r="P126" i="6" a="1"/>
  <c r="P126" i="6" s="1"/>
  <c r="Q126" i="6" s="1"/>
  <c r="R370" i="3" s="1" a="1"/>
  <c r="R370" i="3" s="1"/>
  <c r="N113" i="6" a="1"/>
  <c r="N113" i="6" s="1"/>
  <c r="N98" i="6" a="1"/>
  <c r="N98" i="6" s="1"/>
  <c r="N93" i="6" a="1"/>
  <c r="N93" i="6" s="1"/>
  <c r="N91" i="6" a="1"/>
  <c r="N91" i="6" s="1"/>
  <c r="P76" i="6" a="1"/>
  <c r="P76" i="6" s="1"/>
  <c r="Q76" i="6" s="1"/>
  <c r="R17" i="3" s="1" a="1"/>
  <c r="R17" i="3" s="1"/>
  <c r="P71" i="6" a="1"/>
  <c r="P71" i="6" s="1"/>
  <c r="Q71" i="6" s="1"/>
  <c r="R465" i="3" s="1" a="1"/>
  <c r="R465" i="3" s="1"/>
  <c r="N48" i="6" a="1"/>
  <c r="N48" i="6" s="1"/>
  <c r="N38" i="6" a="1"/>
  <c r="N38" i="6" s="1"/>
  <c r="X655" i="3" a="1"/>
  <c r="X655" i="3" s="1"/>
  <c r="X644" i="3" a="1"/>
  <c r="X644" i="3" s="1"/>
  <c r="X625" i="3" a="1"/>
  <c r="X625" i="3" s="1"/>
  <c r="X617" i="3" a="1"/>
  <c r="X617" i="3" s="1"/>
  <c r="X594" i="3" a="1"/>
  <c r="X594" i="3" s="1"/>
  <c r="X586" i="3" a="1"/>
  <c r="X586" i="3" s="1"/>
  <c r="X578" i="3" a="1"/>
  <c r="X578" i="3" s="1"/>
  <c r="X570" i="3" a="1"/>
  <c r="X570" i="3" s="1"/>
  <c r="X562" i="3" a="1"/>
  <c r="X562" i="3" s="1"/>
  <c r="N163" i="6" a="1"/>
  <c r="N163" i="6" s="1"/>
  <c r="P156" i="6" a="1"/>
  <c r="P156" i="6" s="1"/>
  <c r="Q156" i="6" s="1"/>
  <c r="R561" i="3" s="1" a="1"/>
  <c r="R561" i="3" s="1"/>
  <c r="P149" i="6" a="1"/>
  <c r="P149" i="6" s="1"/>
  <c r="Q149" i="6" s="1"/>
  <c r="P134" i="6" a="1"/>
  <c r="P134" i="6" s="1"/>
  <c r="Q134" i="6" s="1"/>
  <c r="R456" i="3" s="1" a="1"/>
  <c r="R456" i="3" s="1"/>
  <c r="N116" i="6" a="1"/>
  <c r="N116" i="6" s="1"/>
  <c r="N101" i="6" a="1"/>
  <c r="N101" i="6" s="1"/>
  <c r="P81" i="6" a="1"/>
  <c r="P81" i="6" s="1"/>
  <c r="Q81" i="6" s="1"/>
  <c r="P66" i="6" a="1"/>
  <c r="P66" i="6" s="1"/>
  <c r="Q66" i="6" s="1"/>
  <c r="R221" i="3" s="1" a="1"/>
  <c r="R221" i="3" s="1"/>
  <c r="P61" i="6" a="1"/>
  <c r="P61" i="6" s="1"/>
  <c r="Q61" i="6" s="1"/>
  <c r="P56" i="6" a="1"/>
  <c r="P56" i="6" s="1"/>
  <c r="Q56" i="6" s="1"/>
  <c r="X718" i="3" a="1"/>
  <c r="X718" i="3" s="1"/>
  <c r="X716" i="3" a="1"/>
  <c r="X716" i="3" s="1"/>
  <c r="X714" i="3" a="1"/>
  <c r="X714" i="3" s="1"/>
  <c r="X712" i="3" a="1"/>
  <c r="X712" i="3" s="1"/>
  <c r="X710" i="3" a="1"/>
  <c r="X710" i="3" s="1"/>
  <c r="X708" i="3" a="1"/>
  <c r="X708" i="3" s="1"/>
  <c r="X706" i="3" a="1"/>
  <c r="X706" i="3" s="1"/>
  <c r="X704" i="3" a="1"/>
  <c r="X704" i="3" s="1"/>
  <c r="X702" i="3" a="1"/>
  <c r="X702" i="3" s="1"/>
  <c r="X700" i="3" a="1"/>
  <c r="X700" i="3" s="1"/>
  <c r="X698" i="3" a="1"/>
  <c r="X698" i="3" s="1"/>
  <c r="X696" i="3" a="1"/>
  <c r="X696" i="3" s="1"/>
  <c r="N151" i="6" a="1"/>
  <c r="N151" i="6" s="1"/>
  <c r="N146" i="6" a="1"/>
  <c r="N146" i="6" s="1"/>
  <c r="N141" i="6" a="1"/>
  <c r="N141" i="6" s="1"/>
  <c r="N139" i="6" a="1"/>
  <c r="N139" i="6" s="1"/>
  <c r="P124" i="6" a="1"/>
  <c r="P124" i="6" s="1"/>
  <c r="Q124" i="6" s="1"/>
  <c r="R286" i="3" s="1" a="1"/>
  <c r="R286" i="3" s="1"/>
  <c r="P119" i="6" a="1"/>
  <c r="P119" i="6" s="1"/>
  <c r="Q119" i="6" s="1"/>
  <c r="N96" i="6" a="1"/>
  <c r="N96" i="6" s="1"/>
  <c r="N86" i="6" a="1"/>
  <c r="N86" i="6" s="1"/>
  <c r="P51" i="6" a="1"/>
  <c r="P51" i="6" s="1"/>
  <c r="Q51" i="6" s="1"/>
  <c r="R265" i="3" s="1" a="1"/>
  <c r="R265" i="3" s="1"/>
  <c r="P46" i="6" a="1"/>
  <c r="P46" i="6" s="1"/>
  <c r="Q46" i="6" s="1"/>
  <c r="X650" i="3" a="1"/>
  <c r="X650" i="3" s="1"/>
  <c r="X636" i="3" a="1"/>
  <c r="X636" i="3" s="1"/>
  <c r="X633" i="3" a="1"/>
  <c r="X633" i="3" s="1"/>
  <c r="X626" i="3" a="1"/>
  <c r="X626" i="3" s="1"/>
  <c r="X618" i="3" a="1"/>
  <c r="X618" i="3" s="1"/>
  <c r="X595" i="3" a="1"/>
  <c r="X595" i="3" s="1"/>
  <c r="X587" i="3" a="1"/>
  <c r="X587" i="3" s="1"/>
  <c r="X579" i="3" a="1"/>
  <c r="X579" i="3" s="1"/>
  <c r="X571" i="3" a="1"/>
  <c r="X571" i="3" s="1"/>
  <c r="X563" i="3" a="1"/>
  <c r="X563" i="3" s="1"/>
  <c r="X391" i="3" a="1"/>
  <c r="X391" i="3" s="1"/>
  <c r="X390" i="3" a="1"/>
  <c r="X390" i="3" s="1"/>
  <c r="X389" i="3" a="1"/>
  <c r="X389" i="3" s="1"/>
  <c r="X388" i="3" a="1"/>
  <c r="X388" i="3" s="1"/>
  <c r="X387" i="3" a="1"/>
  <c r="X387" i="3" s="1"/>
  <c r="X386" i="3" a="1"/>
  <c r="X386" i="3" s="1"/>
  <c r="X385" i="3" a="1"/>
  <c r="X385" i="3" s="1"/>
  <c r="X384" i="3" a="1"/>
  <c r="X384" i="3" s="1"/>
  <c r="X383" i="3" a="1"/>
  <c r="X383" i="3" s="1"/>
  <c r="P166" i="6" a="1"/>
  <c r="P166" i="6" s="1"/>
  <c r="Q166" i="6" s="1"/>
  <c r="R598" i="3" s="1" a="1"/>
  <c r="R598" i="3" s="1"/>
  <c r="N145" i="6" a="1"/>
  <c r="N145" i="6" s="1"/>
  <c r="P94" i="6" a="1"/>
  <c r="P94" i="6" s="1"/>
  <c r="Q94" i="6" s="1"/>
  <c r="R438" i="3" s="1" a="1"/>
  <c r="R438" i="3" s="1"/>
  <c r="N39" i="6" a="1"/>
  <c r="N39" i="6" s="1"/>
  <c r="X651" i="3" a="1"/>
  <c r="X651" i="3" s="1"/>
  <c r="X620" i="3" a="1"/>
  <c r="X620" i="3" s="1"/>
  <c r="X597" i="3" a="1"/>
  <c r="X597" i="3" s="1"/>
  <c r="X566" i="3" a="1"/>
  <c r="X566" i="3" s="1"/>
  <c r="X516" i="3" a="1"/>
  <c r="X516" i="3" s="1"/>
  <c r="X508" i="3" a="1"/>
  <c r="X508" i="3" s="1"/>
  <c r="X500" i="3" a="1"/>
  <c r="X500" i="3" s="1"/>
  <c r="N164" i="6" a="1"/>
  <c r="N164" i="6" s="1"/>
  <c r="P162" i="6" a="1"/>
  <c r="P162" i="6" s="1"/>
  <c r="Q162" i="6" s="1"/>
  <c r="R572" i="3" s="1" a="1"/>
  <c r="R572" i="3" s="1"/>
  <c r="P140" i="6" a="1"/>
  <c r="P140" i="6" s="1"/>
  <c r="Q140" i="6" s="1"/>
  <c r="R794" i="3" s="1" a="1"/>
  <c r="R794" i="3" s="1"/>
  <c r="N134" i="6" a="1"/>
  <c r="N134" i="6" s="1"/>
  <c r="N130" i="6" a="1"/>
  <c r="N130" i="6" s="1"/>
  <c r="P117" i="6" a="1"/>
  <c r="P117" i="6" s="1"/>
  <c r="Q117" i="6" s="1"/>
  <c r="R166" i="3" s="1" a="1"/>
  <c r="R166" i="3" s="1"/>
  <c r="N109" i="6" a="1"/>
  <c r="N109" i="6" s="1"/>
  <c r="N92" i="6" a="1"/>
  <c r="N92" i="6" s="1"/>
  <c r="N77" i="6" a="1"/>
  <c r="N77" i="6" s="1"/>
  <c r="P70" i="6" a="1"/>
  <c r="P70" i="6" s="1"/>
  <c r="Q70" i="6" s="1"/>
  <c r="N64" i="6" a="1"/>
  <c r="N64" i="6" s="1"/>
  <c r="P62" i="6" a="1"/>
  <c r="P62" i="6" s="1"/>
  <c r="Q62" i="6" s="1"/>
  <c r="X658" i="3" a="1"/>
  <c r="X658" i="3" s="1"/>
  <c r="X635" i="3" a="1"/>
  <c r="X635" i="3" s="1"/>
  <c r="X634" i="3" a="1"/>
  <c r="X634" i="3" s="1"/>
  <c r="X583" i="3" a="1"/>
  <c r="X583" i="3" s="1"/>
  <c r="X511" i="3" a="1"/>
  <c r="X511" i="3" s="1"/>
  <c r="X503" i="3" a="1"/>
  <c r="X503" i="3" s="1"/>
  <c r="N166" i="6" a="1"/>
  <c r="N166" i="6" s="1"/>
  <c r="P155" i="6" a="1"/>
  <c r="P155" i="6" s="1"/>
  <c r="Q155" i="6" s="1"/>
  <c r="R558" i="3" s="1" a="1"/>
  <c r="R558" i="3" s="1"/>
  <c r="P85" i="6" a="1"/>
  <c r="P85" i="6" s="1"/>
  <c r="Q85" i="6" s="1"/>
  <c r="R676" i="3" s="1" a="1"/>
  <c r="R676" i="3" s="1"/>
  <c r="N81" i="6" a="1"/>
  <c r="N81" i="6" s="1"/>
  <c r="N66" i="6" a="1"/>
  <c r="N66" i="6" s="1"/>
  <c r="X717" i="3" a="1"/>
  <c r="X717" i="3" s="1"/>
  <c r="X701" i="3" a="1"/>
  <c r="X701" i="3" s="1"/>
  <c r="X676" i="3" a="1"/>
  <c r="X676" i="3" s="1"/>
  <c r="X673" i="3" a="1"/>
  <c r="X673" i="3" s="1"/>
  <c r="X660" i="3" a="1"/>
  <c r="X660" i="3" s="1"/>
  <c r="X630" i="3" a="1"/>
  <c r="X630" i="3" s="1"/>
  <c r="P142" i="6" a="1"/>
  <c r="P142" i="6" s="1"/>
  <c r="Q142" i="6" s="1"/>
  <c r="R458" i="3" s="1" a="1"/>
  <c r="R458" i="3" s="1"/>
  <c r="N117" i="6" a="1"/>
  <c r="N117" i="6" s="1"/>
  <c r="P115" i="6" a="1"/>
  <c r="P115" i="6" s="1"/>
  <c r="Q115" i="6" s="1"/>
  <c r="R623" i="3" s="1" a="1"/>
  <c r="R623" i="3" s="1"/>
  <c r="P102" i="6" a="1"/>
  <c r="P102" i="6" s="1"/>
  <c r="Q102" i="6" s="1"/>
  <c r="P87" i="6" a="1"/>
  <c r="P87" i="6" s="1"/>
  <c r="Q87" i="6" s="1"/>
  <c r="R763" i="3" s="1" a="1"/>
  <c r="R763" i="3" s="1"/>
  <c r="P72" i="6" a="1"/>
  <c r="P72" i="6" s="1"/>
  <c r="Q72" i="6" s="1"/>
  <c r="P55" i="6" a="1"/>
  <c r="P55" i="6" s="1"/>
  <c r="Q55" i="6" s="1"/>
  <c r="R461" i="3" s="1" a="1"/>
  <c r="R461" i="3" s="1"/>
  <c r="N49" i="6" a="1"/>
  <c r="N49" i="6" s="1"/>
  <c r="N168" i="6" a="1"/>
  <c r="N168" i="6" s="1"/>
  <c r="N144" i="6" a="1"/>
  <c r="N144" i="6" s="1"/>
  <c r="N140" i="6" a="1"/>
  <c r="N140" i="6" s="1"/>
  <c r="N119" i="6" a="1"/>
  <c r="N119" i="6" s="1"/>
  <c r="P104" i="6" a="1"/>
  <c r="P104" i="6" s="1"/>
  <c r="Q104" i="6" s="1"/>
  <c r="N85" i="6" a="1"/>
  <c r="N85" i="6" s="1"/>
  <c r="N70" i="6" a="1"/>
  <c r="N70" i="6" s="1"/>
  <c r="X719" i="3" a="1"/>
  <c r="X719" i="3" s="1"/>
  <c r="X703" i="3" a="1"/>
  <c r="X703" i="3" s="1"/>
  <c r="X678" i="3" a="1"/>
  <c r="X678" i="3" s="1"/>
  <c r="X675" i="3" a="1"/>
  <c r="X675" i="3" s="1"/>
  <c r="X662" i="3" a="1"/>
  <c r="X662" i="3" s="1"/>
  <c r="X659" i="3" a="1"/>
  <c r="X659" i="3" s="1"/>
  <c r="X649" i="3" a="1"/>
  <c r="X649" i="3" s="1"/>
  <c r="X589" i="3" a="1"/>
  <c r="X589" i="3" s="1"/>
  <c r="P150" i="6" a="1"/>
  <c r="P150" i="6" s="1"/>
  <c r="Q150" i="6" s="1"/>
  <c r="R344" i="3" s="1" a="1"/>
  <c r="R344" i="3" s="1"/>
  <c r="P129" i="6" a="1"/>
  <c r="P129" i="6" s="1"/>
  <c r="Q129" i="6" s="1"/>
  <c r="R596" i="3" s="1" a="1"/>
  <c r="R596" i="3" s="1"/>
  <c r="P125" i="6" a="1"/>
  <c r="P125" i="6" s="1"/>
  <c r="Q125" i="6" s="1"/>
  <c r="R327" i="3" s="1" a="1"/>
  <c r="R327" i="3" s="1"/>
  <c r="N123" i="6" a="1"/>
  <c r="N123" i="6" s="1"/>
  <c r="N100" i="6" a="1"/>
  <c r="N100" i="6" s="1"/>
  <c r="N59" i="6" a="1"/>
  <c r="N59" i="6" s="1"/>
  <c r="P44" i="6" a="1"/>
  <c r="P44" i="6" s="1"/>
  <c r="Q44" i="6" s="1"/>
  <c r="P40" i="6" a="1"/>
  <c r="P40" i="6" s="1"/>
  <c r="Q40" i="6" s="1"/>
  <c r="X657" i="3" a="1"/>
  <c r="X657" i="3" s="1"/>
  <c r="X656" i="3" a="1"/>
  <c r="X656" i="3" s="1"/>
  <c r="X648" i="3" a="1"/>
  <c r="X648" i="3" s="1"/>
  <c r="X582" i="3" a="1"/>
  <c r="X582" i="3" s="1"/>
  <c r="X509" i="3" a="1"/>
  <c r="X509" i="3" s="1"/>
  <c r="X501" i="3" a="1"/>
  <c r="X501" i="3" s="1"/>
  <c r="X439" i="3" a="1"/>
  <c r="X439" i="3" s="1"/>
  <c r="X435" i="3" a="1"/>
  <c r="X435" i="3" s="1"/>
  <c r="X431" i="3" a="1"/>
  <c r="X431" i="3" s="1"/>
  <c r="X427" i="3" a="1"/>
  <c r="X427" i="3" s="1"/>
  <c r="X423" i="3" a="1"/>
  <c r="X423" i="3" s="1"/>
  <c r="X419" i="3" a="1"/>
  <c r="X419" i="3" s="1"/>
  <c r="P120" i="6" a="1"/>
  <c r="P120" i="6" s="1"/>
  <c r="Q120" i="6" s="1"/>
  <c r="N107" i="6" a="1"/>
  <c r="N107" i="6" s="1"/>
  <c r="P50" i="6" a="1"/>
  <c r="P50" i="6" s="1"/>
  <c r="Q50" i="6" s="1"/>
  <c r="X669" i="3" a="1"/>
  <c r="X669" i="3" s="1"/>
  <c r="X661" i="3" a="1"/>
  <c r="X661" i="3" s="1"/>
  <c r="X645" i="3" a="1"/>
  <c r="X645" i="3" s="1"/>
  <c r="X622" i="3" a="1"/>
  <c r="X622" i="3" s="1"/>
  <c r="X575" i="3" a="1"/>
  <c r="X575" i="3" s="1"/>
  <c r="X574" i="3" a="1"/>
  <c r="X574" i="3" s="1"/>
  <c r="X573" i="3" a="1"/>
  <c r="X573" i="3" s="1"/>
  <c r="X526" i="3" a="1"/>
  <c r="X526" i="3" s="1"/>
  <c r="X525" i="3" a="1"/>
  <c r="X525" i="3" s="1"/>
  <c r="X518" i="3" a="1"/>
  <c r="X518" i="3" s="1"/>
  <c r="X517" i="3" a="1"/>
  <c r="X517" i="3" s="1"/>
  <c r="X499" i="3" a="1"/>
  <c r="X499" i="3" s="1"/>
  <c r="X496" i="3" a="1"/>
  <c r="X496" i="3" s="1"/>
  <c r="X478" i="3" a="1"/>
  <c r="X478" i="3" s="1"/>
  <c r="X460" i="3" a="1"/>
  <c r="X460" i="3" s="1"/>
  <c r="X438" i="3" a="1"/>
  <c r="X438" i="3" s="1"/>
  <c r="X416" i="3" a="1"/>
  <c r="X416" i="3" s="1"/>
  <c r="X402" i="3" a="1"/>
  <c r="X402" i="3" s="1"/>
  <c r="X398" i="3" a="1"/>
  <c r="X398" i="3" s="1"/>
  <c r="X394" i="3" a="1"/>
  <c r="X394" i="3" s="1"/>
  <c r="P114" i="6" a="1"/>
  <c r="P114" i="6" s="1"/>
  <c r="Q114" i="6" s="1"/>
  <c r="R408" i="3" s="1" a="1"/>
  <c r="R408" i="3" s="1"/>
  <c r="N112" i="6" a="1"/>
  <c r="N112" i="6" s="1"/>
  <c r="P60" i="6" a="1"/>
  <c r="P60" i="6" s="1"/>
  <c r="Q60" i="6" s="1"/>
  <c r="R25" i="3" s="1" a="1"/>
  <c r="R25" i="3" s="1"/>
  <c r="P39" i="6" a="1"/>
  <c r="P39" i="6" s="1"/>
  <c r="Q39" i="6" s="1"/>
  <c r="R266" i="3" s="1" a="1"/>
  <c r="R266" i="3" s="1"/>
  <c r="X707" i="3" a="1"/>
  <c r="X707" i="3" s="1"/>
  <c r="X592" i="3" a="1"/>
  <c r="X592" i="3" s="1"/>
  <c r="X576" i="3" a="1"/>
  <c r="X576" i="3" s="1"/>
  <c r="X474" i="3" a="1"/>
  <c r="X474" i="3" s="1"/>
  <c r="X430" i="3" a="1"/>
  <c r="X430" i="3" s="1"/>
  <c r="X408" i="3" a="1"/>
  <c r="X408" i="3" s="1"/>
  <c r="P109" i="6" a="1"/>
  <c r="P109" i="6" s="1"/>
  <c r="Q109" i="6" s="1"/>
  <c r="P65" i="6" a="1"/>
  <c r="P65" i="6" s="1"/>
  <c r="Q65" i="6" s="1"/>
  <c r="R110" i="3" s="1" a="1"/>
  <c r="R110" i="3" s="1"/>
  <c r="X681" i="3" a="1"/>
  <c r="X681" i="3" s="1"/>
  <c r="X670" i="3" a="1"/>
  <c r="X670" i="3" s="1"/>
  <c r="X631" i="3" a="1"/>
  <c r="X631" i="3" s="1"/>
  <c r="X623" i="3" a="1"/>
  <c r="X623" i="3" s="1"/>
  <c r="X614" i="3" a="1"/>
  <c r="X614" i="3" s="1"/>
  <c r="X581" i="3" a="1"/>
  <c r="X581" i="3" s="1"/>
  <c r="X580" i="3" a="1"/>
  <c r="X580" i="3" s="1"/>
  <c r="X507" i="3" a="1"/>
  <c r="X507" i="3" s="1"/>
  <c r="X466" i="3" a="1"/>
  <c r="X466" i="3" s="1"/>
  <c r="X458" i="3" a="1"/>
  <c r="X458" i="3" s="1"/>
  <c r="X433" i="3" a="1"/>
  <c r="X433" i="3" s="1"/>
  <c r="X353" i="3" a="1"/>
  <c r="X353" i="3" s="1"/>
  <c r="X349" i="3" a="1"/>
  <c r="X349" i="3" s="1"/>
  <c r="X345" i="3" a="1"/>
  <c r="X345" i="3" s="1"/>
  <c r="X325" i="3" a="1"/>
  <c r="X325" i="3" s="1"/>
  <c r="X321" i="3" a="1"/>
  <c r="X321" i="3" s="1"/>
  <c r="X317" i="3" a="1"/>
  <c r="X317" i="3" s="1"/>
  <c r="X313" i="3" a="1"/>
  <c r="X313" i="3" s="1"/>
  <c r="X309" i="3" a="1"/>
  <c r="X309" i="3" s="1"/>
  <c r="X305" i="3" a="1"/>
  <c r="X305" i="3" s="1"/>
  <c r="X289" i="3" a="1"/>
  <c r="X289" i="3" s="1"/>
  <c r="X285" i="3" a="1"/>
  <c r="X285" i="3" s="1"/>
  <c r="X281" i="3" a="1"/>
  <c r="X281" i="3" s="1"/>
  <c r="X274" i="3" a="1"/>
  <c r="X274" i="3" s="1"/>
  <c r="N135" i="6" a="1"/>
  <c r="N135" i="6" s="1"/>
  <c r="N75" i="6" a="1"/>
  <c r="N75" i="6" s="1"/>
  <c r="P54" i="6" a="1"/>
  <c r="P54" i="6" s="1"/>
  <c r="Q54" i="6" s="1"/>
  <c r="R418" i="3" s="1" a="1"/>
  <c r="R418" i="3" s="1"/>
  <c r="X667" i="3" a="1"/>
  <c r="X667" i="3" s="1"/>
  <c r="X637" i="3" a="1"/>
  <c r="X637" i="3" s="1"/>
  <c r="X615" i="3" a="1"/>
  <c r="X615" i="3" s="1"/>
  <c r="X524" i="3" a="1"/>
  <c r="X524" i="3" s="1"/>
  <c r="X523" i="3" a="1"/>
  <c r="X523" i="3" s="1"/>
  <c r="X498" i="3" a="1"/>
  <c r="X498" i="3" s="1"/>
  <c r="X495" i="3" a="1"/>
  <c r="X495" i="3" s="1"/>
  <c r="X469" i="3" a="1"/>
  <c r="X469" i="3" s="1"/>
  <c r="X436" i="3" a="1"/>
  <c r="X436" i="3" s="1"/>
  <c r="X422" i="3" a="1"/>
  <c r="X422" i="3" s="1"/>
  <c r="X411" i="3" a="1"/>
  <c r="X411" i="3" s="1"/>
  <c r="X399" i="3" a="1"/>
  <c r="X399" i="3" s="1"/>
  <c r="X395" i="3" a="1"/>
  <c r="X395" i="3" s="1"/>
  <c r="N114" i="6" a="1"/>
  <c r="N114" i="6" s="1"/>
  <c r="X646" i="3" a="1"/>
  <c r="X646" i="3" s="1"/>
  <c r="X642" i="3" a="1"/>
  <c r="X642" i="3" s="1"/>
  <c r="X502" i="3" a="1"/>
  <c r="X502" i="3" s="1"/>
  <c r="X472" i="3" a="1"/>
  <c r="X472" i="3" s="1"/>
  <c r="X425" i="3" a="1"/>
  <c r="X425" i="3" s="1"/>
  <c r="X414" i="3" a="1"/>
  <c r="X414" i="3" s="1"/>
  <c r="X357" i="3" a="1"/>
  <c r="X357" i="3" s="1"/>
  <c r="X275" i="3" a="1"/>
  <c r="X275" i="3" s="1"/>
  <c r="N156" i="6" a="1"/>
  <c r="N156" i="6" s="1"/>
  <c r="P145" i="6" a="1"/>
  <c r="P145" i="6" s="1"/>
  <c r="Q145" i="6" s="1"/>
  <c r="N132" i="6" a="1"/>
  <c r="N132" i="6" s="1"/>
  <c r="P69" i="6" a="1"/>
  <c r="P69" i="6" s="1"/>
  <c r="Q69" i="6" s="1"/>
  <c r="R354" i="3" s="1" a="1"/>
  <c r="R354" i="3" s="1"/>
  <c r="N52" i="6" a="1"/>
  <c r="N52" i="6" s="1"/>
  <c r="P49" i="6" a="1"/>
  <c r="P49" i="6" s="1"/>
  <c r="Q49" i="6" s="1"/>
  <c r="R106" i="3" s="1" a="1"/>
  <c r="R106" i="3" s="1"/>
  <c r="N44" i="6" a="1"/>
  <c r="N44" i="6" s="1"/>
  <c r="X713" i="3" a="1"/>
  <c r="X713" i="3" s="1"/>
  <c r="X705" i="3" a="1"/>
  <c r="X705" i="3" s="1"/>
  <c r="X699" i="3" a="1"/>
  <c r="X699" i="3" s="1"/>
  <c r="X481" i="3" a="1"/>
  <c r="X481" i="3" s="1"/>
  <c r="X461" i="3" a="1"/>
  <c r="X461" i="3" s="1"/>
  <c r="X428" i="3" a="1"/>
  <c r="X428" i="3" s="1"/>
  <c r="X403" i="3" a="1"/>
  <c r="X403" i="3" s="1"/>
  <c r="N125" i="6" a="1"/>
  <c r="N125" i="6" s="1"/>
  <c r="P77" i="6" a="1"/>
  <c r="P77" i="6" s="1"/>
  <c r="Q77" i="6" s="1"/>
  <c r="R119" i="3" s="1" a="1"/>
  <c r="R119" i="3" s="1"/>
  <c r="X674" i="3" a="1"/>
  <c r="X674" i="3" s="1"/>
  <c r="X519" i="3" a="1"/>
  <c r="X519" i="3" s="1"/>
  <c r="X442" i="3" a="1"/>
  <c r="X442" i="3" s="1"/>
  <c r="X407" i="3" a="1"/>
  <c r="X407" i="3" s="1"/>
  <c r="X404" i="3" a="1"/>
  <c r="X404" i="3" s="1"/>
  <c r="P161" i="6" a="1"/>
  <c r="P161" i="6" s="1"/>
  <c r="Q161" i="6" s="1"/>
  <c r="R576" i="3" s="1" a="1"/>
  <c r="R576" i="3" s="1"/>
  <c r="X664" i="3" a="1"/>
  <c r="X664" i="3" s="1"/>
  <c r="X588" i="3" a="1"/>
  <c r="X588" i="3" s="1"/>
  <c r="X475" i="3" a="1"/>
  <c r="X475" i="3" s="1"/>
  <c r="X473" i="3" a="1"/>
  <c r="X473" i="3" s="1"/>
  <c r="X405" i="3" a="1"/>
  <c r="X405" i="3" s="1"/>
  <c r="X312" i="3" a="1"/>
  <c r="X312" i="3" s="1"/>
  <c r="X311" i="3" a="1"/>
  <c r="X311" i="3" s="1"/>
  <c r="X310" i="3" a="1"/>
  <c r="X310" i="3" s="1"/>
  <c r="X284" i="3" a="1"/>
  <c r="X284" i="3" s="1"/>
  <c r="X266" i="3" a="1"/>
  <c r="X266" i="3" s="1"/>
  <c r="X264" i="3" a="1"/>
  <c r="X264" i="3" s="1"/>
  <c r="X239" i="3" a="1"/>
  <c r="X239" i="3" s="1"/>
  <c r="X235" i="3" a="1"/>
  <c r="X235" i="3" s="1"/>
  <c r="X231" i="3" a="1"/>
  <c r="X231" i="3" s="1"/>
  <c r="X227" i="3" a="1"/>
  <c r="X227" i="3" s="1"/>
  <c r="X223" i="3" a="1"/>
  <c r="X223" i="3" s="1"/>
  <c r="X219" i="3" a="1"/>
  <c r="X219" i="3" s="1"/>
  <c r="P152" i="6" a="1"/>
  <c r="P152" i="6" s="1"/>
  <c r="Q152" i="6" s="1"/>
  <c r="R402" i="3" s="1" a="1"/>
  <c r="R402" i="3" s="1"/>
  <c r="N149" i="6" a="1"/>
  <c r="N149" i="6" s="1"/>
  <c r="P130" i="6" a="1"/>
  <c r="P130" i="6" s="1"/>
  <c r="Q130" i="6" s="1"/>
  <c r="R681" i="3" s="1" a="1"/>
  <c r="R681" i="3" s="1"/>
  <c r="P92" i="6" a="1"/>
  <c r="P92" i="6" s="1"/>
  <c r="Q92" i="6" s="1"/>
  <c r="R324" i="3" s="1" a="1"/>
  <c r="R324" i="3" s="1"/>
  <c r="N71" i="6" a="1"/>
  <c r="N71" i="6" s="1"/>
  <c r="X477" i="3" a="1"/>
  <c r="X477" i="3" s="1"/>
  <c r="X470" i="3" a="1"/>
  <c r="X470" i="3" s="1"/>
  <c r="X467" i="3" a="1"/>
  <c r="X467" i="3" s="1"/>
  <c r="X440" i="3" a="1"/>
  <c r="X440" i="3" s="1"/>
  <c r="X279" i="3" a="1"/>
  <c r="X279" i="3" s="1"/>
  <c r="X26" i="3" a="1"/>
  <c r="X26" i="3" s="1"/>
  <c r="X25" i="3" a="1"/>
  <c r="X25" i="3" s="1"/>
  <c r="X24" i="3" a="1"/>
  <c r="X24" i="3" s="1"/>
  <c r="X23" i="3" a="1"/>
  <c r="X23" i="3" s="1"/>
  <c r="X22" i="3" a="1"/>
  <c r="X22" i="3" s="1"/>
  <c r="X21" i="3" a="1"/>
  <c r="X21" i="3" s="1"/>
  <c r="X20" i="3" a="1"/>
  <c r="X20" i="3" s="1"/>
  <c r="X19" i="3" a="1"/>
  <c r="X19" i="3" s="1"/>
  <c r="X18" i="3" a="1"/>
  <c r="X18" i="3" s="1"/>
  <c r="X17" i="3" a="1"/>
  <c r="X17" i="3" s="1"/>
  <c r="X16" i="3" a="1"/>
  <c r="X16" i="3" s="1"/>
  <c r="X15" i="3" a="1"/>
  <c r="X15" i="3" s="1"/>
  <c r="X14" i="3" a="1"/>
  <c r="X14" i="3" s="1"/>
  <c r="X13" i="3" a="1"/>
  <c r="X13" i="3" s="1"/>
  <c r="X12" i="3" a="1"/>
  <c r="X12" i="3" s="1"/>
  <c r="X11" i="3" a="1"/>
  <c r="X11" i="3" s="1"/>
  <c r="X10" i="3" a="1"/>
  <c r="X10" i="3" s="1"/>
  <c r="X9" i="3" a="1"/>
  <c r="X9" i="3" s="1"/>
  <c r="X8" i="3" a="1"/>
  <c r="X8" i="3" s="1"/>
  <c r="X7" i="3" a="1"/>
  <c r="X7" i="3" s="1"/>
  <c r="X6" i="3" a="1"/>
  <c r="X6" i="3" s="1"/>
  <c r="X5" i="3" a="1"/>
  <c r="X5" i="3" s="1"/>
  <c r="X2" i="3" a="1"/>
  <c r="X2" i="3" s="1"/>
  <c r="P164" i="6" a="1"/>
  <c r="P164" i="6" s="1"/>
  <c r="Q164" i="6" s="1"/>
  <c r="R634" i="3" s="1" a="1"/>
  <c r="R634" i="3" s="1"/>
  <c r="P133" i="6" a="1"/>
  <c r="P133" i="6" s="1"/>
  <c r="Q133" i="6" s="1"/>
  <c r="R305" i="3" s="1" a="1"/>
  <c r="R305" i="3" s="1"/>
  <c r="N80" i="6" a="1"/>
  <c r="N80" i="6" s="1"/>
  <c r="X666" i="3" a="1"/>
  <c r="X666" i="3" s="1"/>
  <c r="X640" i="3" a="1"/>
  <c r="X640" i="3" s="1"/>
  <c r="X590" i="3" a="1"/>
  <c r="X590" i="3" s="1"/>
  <c r="X568" i="3" a="1"/>
  <c r="X568" i="3" s="1"/>
  <c r="X479" i="3" a="1"/>
  <c r="X479" i="3" s="1"/>
  <c r="X471" i="3" a="1"/>
  <c r="X471" i="3" s="1"/>
  <c r="X464" i="3" a="1"/>
  <c r="X464" i="3" s="1"/>
  <c r="X441" i="3" a="1"/>
  <c r="X441" i="3" s="1"/>
  <c r="X437" i="3" a="1"/>
  <c r="X437" i="3" s="1"/>
  <c r="X401" i="3" a="1"/>
  <c r="X401" i="3" s="1"/>
  <c r="X400" i="3" a="1"/>
  <c r="X400" i="3" s="1"/>
  <c r="X359" i="3" a="1"/>
  <c r="X359" i="3" s="1"/>
  <c r="X358" i="3" a="1"/>
  <c r="X358" i="3" s="1"/>
  <c r="X348" i="3" a="1"/>
  <c r="X348" i="3" s="1"/>
  <c r="X347" i="3" a="1"/>
  <c r="X347" i="3" s="1"/>
  <c r="X346" i="3" a="1"/>
  <c r="X346" i="3" s="1"/>
  <c r="X283" i="3" a="1"/>
  <c r="X283" i="3" s="1"/>
  <c r="X272" i="3" a="1"/>
  <c r="X272" i="3" s="1"/>
  <c r="N161" i="6" a="1"/>
  <c r="N161" i="6" s="1"/>
  <c r="N61" i="6" a="1"/>
  <c r="N61" i="6" s="1"/>
  <c r="X619" i="3" a="1"/>
  <c r="X619" i="3" s="1"/>
  <c r="X512" i="3" a="1"/>
  <c r="X512" i="3" s="1"/>
  <c r="X476" i="3" a="1"/>
  <c r="X476" i="3" s="1"/>
  <c r="X468" i="3" a="1"/>
  <c r="X468" i="3" s="1"/>
  <c r="N124" i="6" a="1"/>
  <c r="N124" i="6" s="1"/>
  <c r="P97" i="6" a="1"/>
  <c r="P97" i="6" s="1"/>
  <c r="Q97" i="6" s="1"/>
  <c r="R677" i="3" s="1" a="1"/>
  <c r="R677" i="3" s="1"/>
  <c r="P37" i="6" a="1"/>
  <c r="P37" i="6" s="1"/>
  <c r="Q37" i="6" s="1"/>
  <c r="R107" i="3" s="1" a="1"/>
  <c r="R107" i="3" s="1"/>
  <c r="X671" i="3" a="1"/>
  <c r="X671" i="3" s="1"/>
  <c r="X668" i="3" a="1"/>
  <c r="X668" i="3" s="1"/>
  <c r="X628" i="3" a="1"/>
  <c r="X628" i="3" s="1"/>
  <c r="X621" i="3" a="1"/>
  <c r="X621" i="3" s="1"/>
  <c r="X504" i="3" a="1"/>
  <c r="X504" i="3" s="1"/>
  <c r="X465" i="3" a="1"/>
  <c r="X465" i="3" s="1"/>
  <c r="X456" i="3" a="1"/>
  <c r="X456" i="3" s="1"/>
  <c r="X320" i="3" a="1"/>
  <c r="X320" i="3" s="1"/>
  <c r="X319" i="3" a="1"/>
  <c r="X319" i="3" s="1"/>
  <c r="X318" i="3" a="1"/>
  <c r="X318" i="3" s="1"/>
  <c r="X282" i="3" a="1"/>
  <c r="X282" i="3" s="1"/>
  <c r="X236" i="3" a="1"/>
  <c r="X236" i="3" s="1"/>
  <c r="X232" i="3" a="1"/>
  <c r="X232" i="3" s="1"/>
  <c r="X228" i="3" a="1"/>
  <c r="X228" i="3" s="1"/>
  <c r="X224" i="3" a="1"/>
  <c r="X224" i="3" s="1"/>
  <c r="X220" i="3" a="1"/>
  <c r="X220" i="3" s="1"/>
  <c r="P118" i="6" a="1"/>
  <c r="P118" i="6" s="1"/>
  <c r="Q118" i="6" s="1"/>
  <c r="R417" i="3" s="1" a="1"/>
  <c r="R417" i="3" s="1"/>
  <c r="P103" i="6" a="1"/>
  <c r="P103" i="6" s="1"/>
  <c r="Q103" i="6" s="1"/>
  <c r="R277" i="3" s="1" a="1"/>
  <c r="R277" i="3" s="1"/>
  <c r="P82" i="6" a="1"/>
  <c r="P82" i="6" s="1"/>
  <c r="Q82" i="6" s="1"/>
  <c r="R436" i="3" s="1" a="1"/>
  <c r="R436" i="3" s="1"/>
  <c r="N76" i="6" a="1"/>
  <c r="N76" i="6" s="1"/>
  <c r="X527" i="3" a="1"/>
  <c r="X527" i="3" s="1"/>
  <c r="X520" i="3" a="1"/>
  <c r="X520" i="3" s="1"/>
  <c r="X463" i="3" a="1"/>
  <c r="X463" i="3" s="1"/>
  <c r="X462" i="3" a="1"/>
  <c r="X462" i="3" s="1"/>
  <c r="X459" i="3" a="1"/>
  <c r="X459" i="3" s="1"/>
  <c r="X432" i="3" a="1"/>
  <c r="X432" i="3" s="1"/>
  <c r="X287" i="3" a="1"/>
  <c r="X287" i="3" s="1"/>
  <c r="X278" i="3" a="1"/>
  <c r="X278" i="3" s="1"/>
  <c r="N69" i="6" a="1"/>
  <c r="N69" i="6" s="1"/>
  <c r="X653" i="3" a="1"/>
  <c r="X653" i="3" s="1"/>
  <c r="X434" i="3" a="1"/>
  <c r="X434" i="3" s="1"/>
  <c r="X397" i="3" a="1"/>
  <c r="X397" i="3" s="1"/>
  <c r="X322" i="3" a="1"/>
  <c r="X322" i="3" s="1"/>
  <c r="X286" i="3" a="1"/>
  <c r="X286" i="3" s="1"/>
  <c r="X277" i="3" a="1"/>
  <c r="X277" i="3" s="1"/>
  <c r="N129" i="6" a="1"/>
  <c r="N129" i="6" s="1"/>
  <c r="X480" i="3" a="1"/>
  <c r="X480" i="3" s="1"/>
  <c r="X406" i="3" a="1"/>
  <c r="X406" i="3" s="1"/>
  <c r="X351" i="3" a="1"/>
  <c r="X351" i="3" s="1"/>
  <c r="X290" i="3" a="1"/>
  <c r="X290" i="3" s="1"/>
  <c r="X140" i="3" a="1"/>
  <c r="X140" i="3" s="1"/>
  <c r="X136" i="3" a="1"/>
  <c r="X136" i="3" s="1"/>
  <c r="X132" i="3" a="1"/>
  <c r="X132" i="3" s="1"/>
  <c r="X128" i="3" a="1"/>
  <c r="X128" i="3" s="1"/>
  <c r="X124" i="3" a="1"/>
  <c r="X124" i="3" s="1"/>
  <c r="X120" i="3" a="1"/>
  <c r="X120" i="3" s="1"/>
  <c r="X116" i="3" a="1"/>
  <c r="X116" i="3" s="1"/>
  <c r="X112" i="3" a="1"/>
  <c r="X112" i="3" s="1"/>
  <c r="X108" i="3" a="1"/>
  <c r="X108" i="3" s="1"/>
  <c r="X41" i="3" a="1"/>
  <c r="X41" i="3" s="1"/>
  <c r="X521" i="3" a="1"/>
  <c r="X521" i="3" s="1"/>
  <c r="X514" i="3" a="1"/>
  <c r="X514" i="3" s="1"/>
  <c r="X426" i="3" a="1"/>
  <c r="X426" i="3" s="1"/>
  <c r="X409" i="3" a="1"/>
  <c r="X409" i="3" s="1"/>
  <c r="X326" i="3" a="1"/>
  <c r="X326" i="3" s="1"/>
  <c r="X316" i="3" a="1"/>
  <c r="X316" i="3" s="1"/>
  <c r="X307" i="3" a="1"/>
  <c r="X307" i="3" s="1"/>
  <c r="X267" i="3" a="1"/>
  <c r="X267" i="3" s="1"/>
  <c r="X230" i="3" a="1"/>
  <c r="X230" i="3" s="1"/>
  <c r="X229" i="3" a="1"/>
  <c r="X229" i="3" s="1"/>
  <c r="X565" i="3" a="1"/>
  <c r="X565" i="3" s="1"/>
  <c r="X429" i="3" a="1"/>
  <c r="X429" i="3" s="1"/>
  <c r="X412" i="3" a="1"/>
  <c r="X412" i="3" s="1"/>
  <c r="X167" i="3" a="1"/>
  <c r="X167" i="3" s="1"/>
  <c r="X564" i="3" a="1"/>
  <c r="X564" i="3" s="1"/>
  <c r="X268" i="3" a="1"/>
  <c r="X268" i="3" s="1"/>
  <c r="X218" i="3" a="1"/>
  <c r="X218" i="3" s="1"/>
  <c r="P99" i="6" a="1"/>
  <c r="P99" i="6" s="1"/>
  <c r="Q99" i="6" s="1"/>
  <c r="R764" i="3" s="1" a="1"/>
  <c r="R764" i="3" s="1"/>
  <c r="X677" i="3" a="1"/>
  <c r="X677" i="3" s="1"/>
  <c r="X598" i="3" a="1"/>
  <c r="X598" i="3" s="1"/>
  <c r="X415" i="3" a="1"/>
  <c r="X415" i="3" s="1"/>
  <c r="X355" i="3" a="1"/>
  <c r="X355" i="3" s="1"/>
  <c r="X139" i="3" a="1"/>
  <c r="X139" i="3" s="1"/>
  <c r="X135" i="3" a="1"/>
  <c r="X135" i="3" s="1"/>
  <c r="X131" i="3" a="1"/>
  <c r="X131" i="3" s="1"/>
  <c r="X127" i="3" a="1"/>
  <c r="X127" i="3" s="1"/>
  <c r="X123" i="3" a="1"/>
  <c r="X123" i="3" s="1"/>
  <c r="X119" i="3" a="1"/>
  <c r="X119" i="3" s="1"/>
  <c r="X115" i="3" a="1"/>
  <c r="X115" i="3" s="1"/>
  <c r="X111" i="3" a="1"/>
  <c r="X111" i="3" s="1"/>
  <c r="X107" i="3" a="1"/>
  <c r="X107" i="3" s="1"/>
  <c r="N171" i="6" a="1"/>
  <c r="N171" i="6" s="1"/>
  <c r="N82" i="6" a="1"/>
  <c r="N82" i="6" s="1"/>
  <c r="N54" i="6" a="1"/>
  <c r="N54" i="6" s="1"/>
  <c r="X715" i="3" a="1"/>
  <c r="X715" i="3" s="1"/>
  <c r="X680" i="3" a="1"/>
  <c r="X680" i="3" s="1"/>
  <c r="X591" i="3" a="1"/>
  <c r="X591" i="3" s="1"/>
  <c r="X457" i="3" a="1"/>
  <c r="X457" i="3" s="1"/>
  <c r="X421" i="3" a="1"/>
  <c r="X421" i="3" s="1"/>
  <c r="X352" i="3" a="1"/>
  <c r="X352" i="3" s="1"/>
  <c r="M28" i="7"/>
  <c r="G28" i="7"/>
  <c r="G754" i="1" a="1"/>
  <c r="G754" i="1" s="1"/>
  <c r="K768" i="1"/>
  <c r="I768" i="1"/>
  <c r="G785" i="1" a="1"/>
  <c r="G785" i="1" s="1"/>
  <c r="K800" i="1"/>
  <c r="I800" i="1"/>
  <c r="G817" i="1" a="1"/>
  <c r="G817" i="1" s="1"/>
  <c r="K832" i="1"/>
  <c r="I832" i="1"/>
  <c r="F847" i="1" a="1"/>
  <c r="F847" i="1" s="1"/>
  <c r="M866" i="1"/>
  <c r="K866" i="1"/>
  <c r="O875" i="1"/>
  <c r="B875" i="1" a="1"/>
  <c r="B875" i="1" s="1"/>
  <c r="L875" i="1"/>
  <c r="J875" i="1"/>
  <c r="K880" i="1"/>
  <c r="I880" i="1"/>
  <c r="F880" i="1" a="1"/>
  <c r="F880" i="1" s="1"/>
  <c r="F884" i="1" a="1"/>
  <c r="F884" i="1" s="1"/>
  <c r="H885" i="1" a="1"/>
  <c r="H885" i="1" s="1"/>
  <c r="G885" i="1" a="1"/>
  <c r="G885" i="1" s="1"/>
  <c r="S885" i="1"/>
  <c r="B885" i="1" a="1"/>
  <c r="B885" i="1" s="1"/>
  <c r="L889" i="1"/>
  <c r="J889" i="1"/>
  <c r="M889" i="1"/>
  <c r="G892" i="1" a="1"/>
  <c r="G892" i="1" s="1"/>
  <c r="G897" i="1" a="1"/>
  <c r="G897" i="1" s="1"/>
  <c r="O35" i="3" a="1"/>
  <c r="O35" i="3" s="1"/>
  <c r="K35" i="3" a="1"/>
  <c r="K35" i="3" s="1"/>
  <c r="M35" i="3" s="1"/>
  <c r="V35" i="3" a="1"/>
  <c r="V35" i="3" s="1"/>
  <c r="R83" i="3" a="1"/>
  <c r="R83" i="3" s="1"/>
  <c r="O83" i="3" a="1"/>
  <c r="O83" i="3" s="1"/>
  <c r="K83" i="3" a="1"/>
  <c r="K83" i="3" s="1"/>
  <c r="M83" i="3" s="1"/>
  <c r="R96" i="3" a="1"/>
  <c r="R96" i="3" s="1"/>
  <c r="O96" i="3" a="1"/>
  <c r="O96" i="3" s="1"/>
  <c r="K96" i="3" a="1"/>
  <c r="K96" i="3" s="1"/>
  <c r="M96" i="3" s="1"/>
  <c r="P144" i="3"/>
  <c r="S144" i="3" s="1"/>
  <c r="R146" i="3" a="1"/>
  <c r="R146" i="3" s="1"/>
  <c r="O154" i="3" a="1"/>
  <c r="O154" i="3" s="1"/>
  <c r="K154" i="3" a="1"/>
  <c r="K154" i="3" s="1"/>
  <c r="M154" i="3" s="1"/>
  <c r="J154" i="3" a="1"/>
  <c r="J154" i="3" s="1"/>
  <c r="V154" i="3" a="1"/>
  <c r="V154" i="3" s="1"/>
  <c r="V173" i="3" a="1"/>
  <c r="V173" i="3" s="1"/>
  <c r="O173" i="3" a="1"/>
  <c r="O173" i="3" s="1"/>
  <c r="R173" i="3" a="1"/>
  <c r="R173" i="3" s="1"/>
  <c r="Q192" i="3"/>
  <c r="K247" i="3" a="1"/>
  <c r="K247" i="3" s="1"/>
  <c r="M247" i="3" s="1"/>
  <c r="O247" i="3" a="1"/>
  <c r="O247" i="3" s="1"/>
  <c r="J247" i="3" a="1"/>
  <c r="J247" i="3" s="1"/>
  <c r="V247" i="3" a="1"/>
  <c r="V247" i="3" s="1"/>
  <c r="V259" i="3" a="1"/>
  <c r="V259" i="3" s="1"/>
  <c r="R259" i="3" a="1"/>
  <c r="R259" i="3" s="1"/>
  <c r="O260" i="3" a="1"/>
  <c r="O260" i="3" s="1"/>
  <c r="K260" i="3" a="1"/>
  <c r="K260" i="3" s="1"/>
  <c r="M260" i="3" s="1"/>
  <c r="J260" i="3" a="1"/>
  <c r="J260" i="3" s="1"/>
  <c r="V260" i="3" a="1"/>
  <c r="V260" i="3" s="1"/>
  <c r="R260" i="3" a="1"/>
  <c r="R260" i="3" s="1"/>
  <c r="Q293" i="3"/>
  <c r="P293" i="3"/>
  <c r="S293" i="3" s="1"/>
  <c r="AB293" i="3"/>
  <c r="K382" i="3" a="1"/>
  <c r="K382" i="3" s="1"/>
  <c r="M382" i="3" s="1"/>
  <c r="Q455" i="3"/>
  <c r="J493" i="3" a="1"/>
  <c r="J493" i="3" s="1"/>
  <c r="X613" i="3" a="1"/>
  <c r="X613" i="3" s="1"/>
  <c r="P67" i="6" a="1"/>
  <c r="P67" i="6" s="1"/>
  <c r="Q67" i="6" s="1"/>
  <c r="R272" i="3" s="1" a="1"/>
  <c r="R272" i="3" s="1"/>
  <c r="G77" i="7"/>
  <c r="M77" i="7"/>
  <c r="B13" i="10" a="1"/>
  <c r="B13" i="10" s="1"/>
  <c r="E5" i="2"/>
  <c r="L292" i="11" a="1"/>
  <c r="L292" i="11" s="1"/>
  <c r="H292" i="11" a="1"/>
  <c r="H292" i="11" s="1"/>
  <c r="V254" i="3" a="1"/>
  <c r="V254" i="3" s="1"/>
  <c r="R254" i="3" a="1"/>
  <c r="R254" i="3" s="1"/>
  <c r="R261" i="3" a="1"/>
  <c r="R261" i="3" s="1"/>
  <c r="O261" i="3" a="1"/>
  <c r="O261" i="3" s="1"/>
  <c r="K261" i="3" a="1"/>
  <c r="K261" i="3" s="1"/>
  <c r="M261" i="3" s="1"/>
  <c r="O380" i="3" a="1"/>
  <c r="O380" i="3" s="1"/>
  <c r="K380" i="3" a="1"/>
  <c r="K380" i="3" s="1"/>
  <c r="M380" i="3" s="1"/>
  <c r="J380" i="3" a="1"/>
  <c r="J380" i="3" s="1"/>
  <c r="V380" i="3" a="1"/>
  <c r="V380" i="3" s="1"/>
  <c r="A351" i="4"/>
  <c r="E525" i="3" s="1" a="1"/>
  <c r="E525" i="3" s="1"/>
  <c r="H320" i="11" a="1"/>
  <c r="H320" i="11" s="1"/>
  <c r="C79" i="6"/>
  <c r="B79" i="6"/>
  <c r="D79" i="6" s="1"/>
  <c r="E79" i="6" s="1"/>
  <c r="C167" i="6"/>
  <c r="H22" i="11" a="1"/>
  <c r="H22" i="11" s="1"/>
  <c r="L22" i="11" a="1"/>
  <c r="L22" i="11" s="1"/>
  <c r="B119" i="11"/>
  <c r="H119" i="11" a="1"/>
  <c r="H119" i="11" s="1"/>
  <c r="H147" i="11" a="1"/>
  <c r="H147" i="11" s="1"/>
  <c r="L147" i="11" a="1"/>
  <c r="L147" i="11" s="1"/>
  <c r="H148" i="11" a="1"/>
  <c r="H148" i="11" s="1"/>
  <c r="L148" i="11" a="1"/>
  <c r="L148" i="11" s="1"/>
  <c r="O103" i="3" a="1"/>
  <c r="O103" i="3" s="1"/>
  <c r="K103" i="3" a="1"/>
  <c r="K103" i="3" s="1"/>
  <c r="M103" i="3" s="1"/>
  <c r="J103" i="3" a="1"/>
  <c r="J103" i="3" s="1"/>
  <c r="AB159" i="3"/>
  <c r="K212" i="3" a="1"/>
  <c r="K212" i="3" s="1"/>
  <c r="M212" i="3" s="1"/>
  <c r="J254" i="3" a="1"/>
  <c r="J254" i="3" s="1"/>
  <c r="J261" i="3" a="1"/>
  <c r="J261" i="3" s="1"/>
  <c r="O303" i="3" a="1"/>
  <c r="O303" i="3" s="1"/>
  <c r="V303" i="3" a="1"/>
  <c r="V303" i="3" s="1"/>
  <c r="R303" i="3" a="1"/>
  <c r="R303" i="3" s="1"/>
  <c r="K303" i="3" a="1"/>
  <c r="K303" i="3" s="1"/>
  <c r="M303" i="3" s="1"/>
  <c r="J303" i="3" a="1"/>
  <c r="J303" i="3" s="1"/>
  <c r="V451" i="3" a="1"/>
  <c r="V451" i="3" s="1"/>
  <c r="R451" i="3" a="1"/>
  <c r="R451" i="3" s="1"/>
  <c r="O451" i="3" a="1"/>
  <c r="O451" i="3" s="1"/>
  <c r="O489" i="3" a="1"/>
  <c r="O489" i="3" s="1"/>
  <c r="J489" i="3" a="1"/>
  <c r="J489" i="3" s="1"/>
  <c r="V489" i="3" a="1"/>
  <c r="V489" i="3" s="1"/>
  <c r="R489" i="3" a="1"/>
  <c r="R489" i="3" s="1"/>
  <c r="R603" i="3" a="1"/>
  <c r="R603" i="3" s="1"/>
  <c r="O788" i="3" a="1"/>
  <c r="O788" i="3" s="1"/>
  <c r="K788" i="3" a="1"/>
  <c r="K788" i="3" s="1"/>
  <c r="M788" i="3" s="1"/>
  <c r="J788" i="3" a="1"/>
  <c r="J788" i="3" s="1"/>
  <c r="R788" i="3" a="1"/>
  <c r="R788" i="3" s="1"/>
  <c r="V788" i="3" a="1"/>
  <c r="V788" i="3" s="1"/>
  <c r="C12" i="6"/>
  <c r="B12" i="6"/>
  <c r="V793" i="3" a="1"/>
  <c r="V793" i="3" s="1"/>
  <c r="O775" i="3" a="1"/>
  <c r="O775" i="3" s="1"/>
  <c r="O753" i="3" a="1"/>
  <c r="O753" i="3" s="1"/>
  <c r="O747" i="3" a="1"/>
  <c r="O747" i="3" s="1"/>
  <c r="O746" i="3" a="1"/>
  <c r="O746" i="3" s="1"/>
  <c r="R741" i="3" a="1"/>
  <c r="R741" i="3" s="1"/>
  <c r="R740" i="3" a="1"/>
  <c r="R740" i="3" s="1"/>
  <c r="R733" i="3" a="1"/>
  <c r="R733" i="3" s="1"/>
  <c r="V731" i="3" a="1"/>
  <c r="V731" i="3" s="1"/>
  <c r="V725" i="3" a="1"/>
  <c r="V725" i="3" s="1"/>
  <c r="J709" i="3" a="1"/>
  <c r="J709" i="3" s="1"/>
  <c r="K708" i="3" a="1"/>
  <c r="K708" i="3" s="1"/>
  <c r="M708" i="3" s="1"/>
  <c r="J706" i="3" a="1"/>
  <c r="J706" i="3" s="1"/>
  <c r="J684" i="3" a="1"/>
  <c r="J684" i="3" s="1"/>
  <c r="K682" i="3" a="1"/>
  <c r="K682" i="3" s="1"/>
  <c r="M682" i="3" s="1"/>
  <c r="J681" i="3" a="1"/>
  <c r="J681" i="3" s="1"/>
  <c r="K680" i="3" a="1"/>
  <c r="K680" i="3" s="1"/>
  <c r="M680" i="3" s="1"/>
  <c r="K667" i="3" a="1"/>
  <c r="K667" i="3" s="1"/>
  <c r="M667" i="3" s="1"/>
  <c r="J665" i="3" a="1"/>
  <c r="J665" i="3" s="1"/>
  <c r="K664" i="3" a="1"/>
  <c r="K664" i="3" s="1"/>
  <c r="M664" i="3" s="1"/>
  <c r="K655" i="3" a="1"/>
  <c r="K655" i="3" s="1"/>
  <c r="M655" i="3" s="1"/>
  <c r="K654" i="3" a="1"/>
  <c r="K654" i="3" s="1"/>
  <c r="M654" i="3" s="1"/>
  <c r="O639" i="3" a="1"/>
  <c r="O639" i="3" s="1"/>
  <c r="O638" i="3" a="1"/>
  <c r="O638" i="3" s="1"/>
  <c r="O632" i="3" a="1"/>
  <c r="O632" i="3" s="1"/>
  <c r="J629" i="3" a="1"/>
  <c r="J629" i="3" s="1"/>
  <c r="R608" i="3" a="1"/>
  <c r="R608" i="3" s="1"/>
  <c r="V605" i="3" a="1"/>
  <c r="V605" i="3" s="1"/>
  <c r="K592" i="3" a="1"/>
  <c r="K592" i="3" s="1"/>
  <c r="M592" i="3" s="1"/>
  <c r="J575" i="3" a="1"/>
  <c r="J575" i="3" s="1"/>
  <c r="O574" i="3" a="1"/>
  <c r="O574" i="3" s="1"/>
  <c r="V573" i="3" a="1"/>
  <c r="V573" i="3" s="1"/>
  <c r="O571" i="3" a="1"/>
  <c r="O571" i="3" s="1"/>
  <c r="R570" i="3" a="1"/>
  <c r="R570" i="3" s="1"/>
  <c r="O567" i="3" a="1"/>
  <c r="O567" i="3" s="1"/>
  <c r="R560" i="3" a="1"/>
  <c r="R560" i="3" s="1"/>
  <c r="O558" i="3" a="1"/>
  <c r="O558" i="3" s="1"/>
  <c r="R552" i="3" a="1"/>
  <c r="R552" i="3" s="1"/>
  <c r="O550" i="3" a="1"/>
  <c r="O550" i="3" s="1"/>
  <c r="O542" i="3" a="1"/>
  <c r="O542" i="3" s="1"/>
  <c r="R536" i="3" a="1"/>
  <c r="R536" i="3" s="1"/>
  <c r="O534" i="3" a="1"/>
  <c r="O534" i="3" s="1"/>
  <c r="O512" i="3" a="1"/>
  <c r="O512" i="3" s="1"/>
  <c r="O504" i="3" a="1"/>
  <c r="O504" i="3" s="1"/>
  <c r="O498" i="3" a="1"/>
  <c r="O498" i="3" s="1"/>
  <c r="O494" i="3" a="1"/>
  <c r="O494" i="3" s="1"/>
  <c r="K478" i="3" a="1"/>
  <c r="K478" i="3" s="1"/>
  <c r="M478" i="3" s="1"/>
  <c r="K474" i="3" a="1"/>
  <c r="K474" i="3" s="1"/>
  <c r="M474" i="3" s="1"/>
  <c r="V794" i="3" a="1"/>
  <c r="V794" i="3" s="1"/>
  <c r="O792" i="3" a="1"/>
  <c r="O792" i="3" s="1"/>
  <c r="J789" i="3" a="1"/>
  <c r="J789" i="3" s="1"/>
  <c r="O776" i="3" a="1"/>
  <c r="O776" i="3" s="1"/>
  <c r="O771" i="3" a="1"/>
  <c r="O771" i="3" s="1"/>
  <c r="R713" i="3" a="1"/>
  <c r="R713" i="3" s="1"/>
  <c r="J711" i="3" a="1"/>
  <c r="J711" i="3" s="1"/>
  <c r="K710" i="3" a="1"/>
  <c r="K710" i="3" s="1"/>
  <c r="M710" i="3" s="1"/>
  <c r="J708" i="3" a="1"/>
  <c r="J708" i="3" s="1"/>
  <c r="R700" i="3" a="1"/>
  <c r="R700" i="3" s="1"/>
  <c r="R697" i="3" a="1"/>
  <c r="R697" i="3" s="1"/>
  <c r="R692" i="3" a="1"/>
  <c r="R692" i="3" s="1"/>
  <c r="K669" i="3" a="1"/>
  <c r="K669" i="3" s="1"/>
  <c r="M669" i="3" s="1"/>
  <c r="J667" i="3" a="1"/>
  <c r="J667" i="3" s="1"/>
  <c r="K666" i="3" a="1"/>
  <c r="K666" i="3" s="1"/>
  <c r="M666" i="3" s="1"/>
  <c r="J655" i="3" a="1"/>
  <c r="J655" i="3" s="1"/>
  <c r="J654" i="3" a="1"/>
  <c r="J654" i="3" s="1"/>
  <c r="O653" i="3" a="1"/>
  <c r="O653" i="3" s="1"/>
  <c r="V651" i="3" a="1"/>
  <c r="V651" i="3" s="1"/>
  <c r="V650" i="3" a="1"/>
  <c r="V650" i="3" s="1"/>
  <c r="K646" i="3" a="1"/>
  <c r="K646" i="3" s="1"/>
  <c r="M646" i="3" s="1"/>
  <c r="V620" i="3" a="1"/>
  <c r="V620" i="3" s="1"/>
  <c r="O618" i="3" a="1"/>
  <c r="O618" i="3" s="1"/>
  <c r="R617" i="3" a="1"/>
  <c r="R617" i="3" s="1"/>
  <c r="J615" i="3" a="1"/>
  <c r="J615" i="3" s="1"/>
  <c r="O614" i="3" a="1"/>
  <c r="O614" i="3" s="1"/>
  <c r="K606" i="3" a="1"/>
  <c r="K606" i="3" s="1"/>
  <c r="M606" i="3" s="1"/>
  <c r="O598" i="3" a="1"/>
  <c r="O598" i="3" s="1"/>
  <c r="J592" i="3" a="1"/>
  <c r="J592" i="3" s="1"/>
  <c r="V590" i="3" a="1"/>
  <c r="V590" i="3" s="1"/>
  <c r="R587" i="3" a="1"/>
  <c r="R587" i="3" s="1"/>
  <c r="O584" i="3" a="1"/>
  <c r="O584" i="3" s="1"/>
  <c r="K578" i="3" a="1"/>
  <c r="K578" i="3" s="1"/>
  <c r="M578" i="3" s="1"/>
  <c r="K574" i="3" a="1"/>
  <c r="K574" i="3" s="1"/>
  <c r="M574" i="3" s="1"/>
  <c r="V562" i="3" a="1"/>
  <c r="V562" i="3" s="1"/>
  <c r="R557" i="3" a="1"/>
  <c r="R557" i="3" s="1"/>
  <c r="O555" i="3" a="1"/>
  <c r="O555" i="3" s="1"/>
  <c r="R549" i="3" a="1"/>
  <c r="R549" i="3" s="1"/>
  <c r="O547" i="3" a="1"/>
  <c r="O547" i="3" s="1"/>
  <c r="R541" i="3" a="1"/>
  <c r="R541" i="3" s="1"/>
  <c r="O539" i="3" a="1"/>
  <c r="O539" i="3" s="1"/>
  <c r="R533" i="3" a="1"/>
  <c r="R533" i="3" s="1"/>
  <c r="O531" i="3" a="1"/>
  <c r="O531" i="3" s="1"/>
  <c r="R528" i="3" a="1"/>
  <c r="R528" i="3" s="1"/>
  <c r="R526" i="3" a="1"/>
  <c r="R526" i="3" s="1"/>
  <c r="R524" i="3" a="1"/>
  <c r="R524" i="3" s="1"/>
  <c r="R522" i="3" a="1"/>
  <c r="R522" i="3" s="1"/>
  <c r="O515" i="3" a="1"/>
  <c r="O515" i="3" s="1"/>
  <c r="O507" i="3" a="1"/>
  <c r="O507" i="3" s="1"/>
  <c r="K793" i="3" a="1"/>
  <c r="K793" i="3" s="1"/>
  <c r="M793" i="3" s="1"/>
  <c r="J762" i="3" a="1"/>
  <c r="J762" i="3" s="1"/>
  <c r="J757" i="3" a="1"/>
  <c r="J757" i="3" s="1"/>
  <c r="K753" i="3" a="1"/>
  <c r="K753" i="3" s="1"/>
  <c r="M753" i="3" s="1"/>
  <c r="J752" i="3" a="1"/>
  <c r="J752" i="3" s="1"/>
  <c r="K747" i="3" a="1"/>
  <c r="K747" i="3" s="1"/>
  <c r="M747" i="3" s="1"/>
  <c r="K746" i="3" a="1"/>
  <c r="K746" i="3" s="1"/>
  <c r="M746" i="3" s="1"/>
  <c r="J739" i="3" a="1"/>
  <c r="J739" i="3" s="1"/>
  <c r="R731" i="3" a="1"/>
  <c r="R731" i="3" s="1"/>
  <c r="R729" i="3" a="1"/>
  <c r="R729" i="3" s="1"/>
  <c r="R727" i="3" a="1"/>
  <c r="R727" i="3" s="1"/>
  <c r="O714" i="3" a="1"/>
  <c r="O714" i="3" s="1"/>
  <c r="O698" i="3" a="1"/>
  <c r="O698" i="3" s="1"/>
  <c r="R691" i="3" a="1"/>
  <c r="R691" i="3" s="1"/>
  <c r="V674" i="3" a="1"/>
  <c r="V674" i="3" s="1"/>
  <c r="O670" i="3" a="1"/>
  <c r="O670" i="3" s="1"/>
  <c r="O652" i="3" a="1"/>
  <c r="O652" i="3" s="1"/>
  <c r="K645" i="3" a="1"/>
  <c r="K645" i="3" s="1"/>
  <c r="M645" i="3" s="1"/>
  <c r="V643" i="3" a="1"/>
  <c r="V643" i="3" s="1"/>
  <c r="V642" i="3" a="1"/>
  <c r="V642" i="3" s="1"/>
  <c r="K638" i="3" a="1"/>
  <c r="K638" i="3" s="1"/>
  <c r="M638" i="3" s="1"/>
  <c r="K637" i="3" a="1"/>
  <c r="K637" i="3" s="1"/>
  <c r="M637" i="3" s="1"/>
  <c r="V613" i="3" a="1"/>
  <c r="V613" i="3" s="1"/>
  <c r="J611" i="3" a="1"/>
  <c r="J611" i="3" s="1"/>
  <c r="O608" i="3" a="1"/>
  <c r="O608" i="3" s="1"/>
  <c r="J604" i="3" a="1"/>
  <c r="J604" i="3" s="1"/>
  <c r="V600" i="3" a="1"/>
  <c r="V600" i="3" s="1"/>
  <c r="V586" i="3" a="1"/>
  <c r="V586" i="3" s="1"/>
  <c r="K792" i="3" a="1"/>
  <c r="K792" i="3" s="1"/>
  <c r="M792" i="3" s="1"/>
  <c r="K776" i="3" a="1"/>
  <c r="K776" i="3" s="1"/>
  <c r="M776" i="3" s="1"/>
  <c r="J758" i="3" a="1"/>
  <c r="J758" i="3" s="1"/>
  <c r="J753" i="3" a="1"/>
  <c r="J753" i="3" s="1"/>
  <c r="J747" i="3" a="1"/>
  <c r="J747" i="3" s="1"/>
  <c r="K734" i="3" a="1"/>
  <c r="K734" i="3" s="1"/>
  <c r="M734" i="3" s="1"/>
  <c r="K732" i="3" a="1"/>
  <c r="K732" i="3" s="1"/>
  <c r="M732" i="3" s="1"/>
  <c r="O716" i="3" a="1"/>
  <c r="O716" i="3" s="1"/>
  <c r="O700" i="3" a="1"/>
  <c r="O700" i="3" s="1"/>
  <c r="R689" i="3" a="1"/>
  <c r="R689" i="3" s="1"/>
  <c r="V687" i="3" a="1"/>
  <c r="V687" i="3" s="1"/>
  <c r="V676" i="3" a="1"/>
  <c r="V676" i="3" s="1"/>
  <c r="O672" i="3" a="1"/>
  <c r="O672" i="3" s="1"/>
  <c r="V660" i="3" a="1"/>
  <c r="V660" i="3" s="1"/>
  <c r="O651" i="3" a="1"/>
  <c r="O651" i="3" s="1"/>
  <c r="O643" i="3" a="1"/>
  <c r="O643" i="3" s="1"/>
  <c r="J638" i="3" a="1"/>
  <c r="J638" i="3" s="1"/>
  <c r="J637" i="3" a="1"/>
  <c r="J637" i="3" s="1"/>
  <c r="O636" i="3" a="1"/>
  <c r="O636" i="3" s="1"/>
  <c r="V630" i="3" a="1"/>
  <c r="V630" i="3" s="1"/>
  <c r="V626" i="3" a="1"/>
  <c r="V626" i="3" s="1"/>
  <c r="O624" i="3" a="1"/>
  <c r="O624" i="3" s="1"/>
  <c r="J621" i="3" a="1"/>
  <c r="J621" i="3" s="1"/>
  <c r="K598" i="3" a="1"/>
  <c r="K598" i="3" s="1"/>
  <c r="M598" i="3" s="1"/>
  <c r="V596" i="3" a="1"/>
  <c r="V596" i="3" s="1"/>
  <c r="O594" i="3" a="1"/>
  <c r="O594" i="3" s="1"/>
  <c r="R593" i="3" a="1"/>
  <c r="R593" i="3" s="1"/>
  <c r="K584" i="3" a="1"/>
  <c r="K584" i="3" s="1"/>
  <c r="M584" i="3" s="1"/>
  <c r="J567" i="3" a="1"/>
  <c r="J567" i="3" s="1"/>
  <c r="O566" i="3" a="1"/>
  <c r="O566" i="3" s="1"/>
  <c r="V565" i="3" a="1"/>
  <c r="V565" i="3" s="1"/>
  <c r="O563" i="3" a="1"/>
  <c r="O563" i="3" s="1"/>
  <c r="K555" i="3" a="1"/>
  <c r="K555" i="3" s="1"/>
  <c r="M555" i="3" s="1"/>
  <c r="K547" i="3" a="1"/>
  <c r="K547" i="3" s="1"/>
  <c r="M547" i="3" s="1"/>
  <c r="K539" i="3" a="1"/>
  <c r="K539" i="3" s="1"/>
  <c r="M539" i="3" s="1"/>
  <c r="K531" i="3" a="1"/>
  <c r="K531" i="3" s="1"/>
  <c r="M531" i="3" s="1"/>
  <c r="K515" i="3" a="1"/>
  <c r="K515" i="3" s="1"/>
  <c r="M515" i="3" s="1"/>
  <c r="K507" i="3" a="1"/>
  <c r="K507" i="3" s="1"/>
  <c r="M507" i="3" s="1"/>
  <c r="V497" i="3" a="1"/>
  <c r="V497" i="3" s="1"/>
  <c r="V786" i="3" a="1"/>
  <c r="V786" i="3" s="1"/>
  <c r="V785" i="3" a="1"/>
  <c r="V785" i="3" s="1"/>
  <c r="O773" i="3" a="1"/>
  <c r="O773" i="3" s="1"/>
  <c r="O768" i="3" a="1"/>
  <c r="O768" i="3" s="1"/>
  <c r="O763" i="3" a="1"/>
  <c r="O763" i="3" s="1"/>
  <c r="O749" i="3" a="1"/>
  <c r="O749" i="3" s="1"/>
  <c r="R743" i="3" a="1"/>
  <c r="R743" i="3" s="1"/>
  <c r="O723" i="3" a="1"/>
  <c r="O723" i="3" s="1"/>
  <c r="J715" i="3" a="1"/>
  <c r="J715" i="3" s="1"/>
  <c r="K714" i="3" a="1"/>
  <c r="K714" i="3" s="1"/>
  <c r="M714" i="3" s="1"/>
  <c r="J712" i="3" a="1"/>
  <c r="J712" i="3" s="1"/>
  <c r="R704" i="3" a="1"/>
  <c r="R704" i="3" s="1"/>
  <c r="R701" i="3" a="1"/>
  <c r="R701" i="3" s="1"/>
  <c r="J699" i="3" a="1"/>
  <c r="J699" i="3" s="1"/>
  <c r="K698" i="3" a="1"/>
  <c r="K698" i="3" s="1"/>
  <c r="M698" i="3" s="1"/>
  <c r="J696" i="3" a="1"/>
  <c r="J696" i="3" s="1"/>
  <c r="J693" i="3" a="1"/>
  <c r="J693" i="3" s="1"/>
  <c r="K673" i="3" a="1"/>
  <c r="K673" i="3" s="1"/>
  <c r="M673" i="3" s="1"/>
  <c r="J671" i="3" a="1"/>
  <c r="J671" i="3" s="1"/>
  <c r="K670" i="3" a="1"/>
  <c r="K670" i="3" s="1"/>
  <c r="M670" i="3" s="1"/>
  <c r="K652" i="3" a="1"/>
  <c r="K652" i="3" s="1"/>
  <c r="M652" i="3" s="1"/>
  <c r="K651" i="3" a="1"/>
  <c r="K651" i="3" s="1"/>
  <c r="M651" i="3" s="1"/>
  <c r="R650" i="3" a="1"/>
  <c r="R650" i="3" s="1"/>
  <c r="O635" i="3" a="1"/>
  <c r="O635" i="3" s="1"/>
  <c r="V633" i="3" a="1"/>
  <c r="V633" i="3" s="1"/>
  <c r="R620" i="3" a="1"/>
  <c r="R620" i="3" s="1"/>
  <c r="V619" i="3" a="1"/>
  <c r="V619" i="3" s="1"/>
  <c r="O617" i="3" a="1"/>
  <c r="O617" i="3" s="1"/>
  <c r="R616" i="3" a="1"/>
  <c r="R616" i="3" s="1"/>
  <c r="J614" i="3" a="1"/>
  <c r="J614" i="3" s="1"/>
  <c r="O605" i="3" a="1"/>
  <c r="O605" i="3" s="1"/>
  <c r="O603" i="3" a="1"/>
  <c r="O603" i="3" s="1"/>
  <c r="O600" i="3" a="1"/>
  <c r="O600" i="3" s="1"/>
  <c r="J591" i="3" a="1"/>
  <c r="J591" i="3" s="1"/>
  <c r="O590" i="3" a="1"/>
  <c r="O590" i="3" s="1"/>
  <c r="V589" i="3" a="1"/>
  <c r="V589" i="3" s="1"/>
  <c r="O587" i="3" a="1"/>
  <c r="O587" i="3" s="1"/>
  <c r="R586" i="3" a="1"/>
  <c r="R586" i="3" s="1"/>
  <c r="O583" i="3" a="1"/>
  <c r="O583" i="3" s="1"/>
  <c r="K577" i="3" a="1"/>
  <c r="K577" i="3" s="1"/>
  <c r="M577" i="3" s="1"/>
  <c r="O557" i="3" a="1"/>
  <c r="O557" i="3" s="1"/>
  <c r="R551" i="3" a="1"/>
  <c r="R551" i="3" s="1"/>
  <c r="O549" i="3" a="1"/>
  <c r="O549" i="3" s="1"/>
  <c r="R543" i="3" a="1"/>
  <c r="R543" i="3" s="1"/>
  <c r="O541" i="3" a="1"/>
  <c r="O541" i="3" s="1"/>
  <c r="R535" i="3" a="1"/>
  <c r="R535" i="3" s="1"/>
  <c r="O533" i="3" a="1"/>
  <c r="O533" i="3" s="1"/>
  <c r="O528" i="3" a="1"/>
  <c r="O528" i="3" s="1"/>
  <c r="O526" i="3" a="1"/>
  <c r="O526" i="3" s="1"/>
  <c r="O524" i="3" a="1"/>
  <c r="O524" i="3" s="1"/>
  <c r="O522" i="3" a="1"/>
  <c r="O522" i="3" s="1"/>
  <c r="O520" i="3" a="1"/>
  <c r="O520" i="3" s="1"/>
  <c r="O518" i="3" a="1"/>
  <c r="O518" i="3" s="1"/>
  <c r="O513" i="3" a="1"/>
  <c r="O513" i="3" s="1"/>
  <c r="O505" i="3" a="1"/>
  <c r="O505" i="3" s="1"/>
  <c r="J479" i="3" a="1"/>
  <c r="J479" i="3" s="1"/>
  <c r="R477" i="3" a="1"/>
  <c r="R477" i="3" s="1"/>
  <c r="J475" i="3" a="1"/>
  <c r="J475" i="3" s="1"/>
  <c r="R473" i="3" a="1"/>
  <c r="R473" i="3" s="1"/>
  <c r="J471" i="3" a="1"/>
  <c r="J471" i="3" s="1"/>
  <c r="R469" i="3" a="1"/>
  <c r="R469" i="3" s="1"/>
  <c r="J467" i="3" a="1"/>
  <c r="J467" i="3" s="1"/>
  <c r="J463" i="3" a="1"/>
  <c r="J463" i="3" s="1"/>
  <c r="J459" i="3" a="1"/>
  <c r="J459" i="3" s="1"/>
  <c r="K456" i="3" a="1"/>
  <c r="K456" i="3" s="1"/>
  <c r="M456" i="3" s="1"/>
  <c r="O452" i="3" a="1"/>
  <c r="O452" i="3" s="1"/>
  <c r="J416" i="3" a="1"/>
  <c r="J416" i="3" s="1"/>
  <c r="O413" i="3" a="1"/>
  <c r="O413" i="3" s="1"/>
  <c r="J412" i="3" a="1"/>
  <c r="J412" i="3" s="1"/>
  <c r="O409" i="3" a="1"/>
  <c r="O409" i="3" s="1"/>
  <c r="J408" i="3" a="1"/>
  <c r="J408" i="3" s="1"/>
  <c r="O405" i="3" a="1"/>
  <c r="O405" i="3" s="1"/>
  <c r="J404" i="3" a="1"/>
  <c r="J404" i="3" s="1"/>
  <c r="R789" i="3" a="1"/>
  <c r="R789" i="3" s="1"/>
  <c r="R786" i="3" a="1"/>
  <c r="R786" i="3" s="1"/>
  <c r="J778" i="3" a="1"/>
  <c r="J778" i="3" s="1"/>
  <c r="K765" i="3" a="1"/>
  <c r="K765" i="3" s="1"/>
  <c r="M765" i="3" s="1"/>
  <c r="O761" i="3" a="1"/>
  <c r="O761" i="3" s="1"/>
  <c r="J756" i="3" a="1"/>
  <c r="J756" i="3" s="1"/>
  <c r="K750" i="3" a="1"/>
  <c r="K750" i="3" s="1"/>
  <c r="M750" i="3" s="1"/>
  <c r="R712" i="3" a="1"/>
  <c r="R712" i="3" s="1"/>
  <c r="J700" i="3" a="1"/>
  <c r="J700" i="3" s="1"/>
  <c r="V685" i="3" a="1"/>
  <c r="V685" i="3" s="1"/>
  <c r="O684" i="3" a="1"/>
  <c r="O684" i="3" s="1"/>
  <c r="O680" i="3" a="1"/>
  <c r="O680" i="3" s="1"/>
  <c r="V678" i="3" a="1"/>
  <c r="V678" i="3" s="1"/>
  <c r="J677" i="3" a="1"/>
  <c r="J677" i="3" s="1"/>
  <c r="V672" i="3" a="1"/>
  <c r="V672" i="3" s="1"/>
  <c r="K660" i="3" a="1"/>
  <c r="K660" i="3" s="1"/>
  <c r="M660" i="3" s="1"/>
  <c r="V658" i="3" a="1"/>
  <c r="V658" i="3" s="1"/>
  <c r="K657" i="3" a="1"/>
  <c r="K657" i="3" s="1"/>
  <c r="M657" i="3" s="1"/>
  <c r="K648" i="3" a="1"/>
  <c r="K648" i="3" s="1"/>
  <c r="M648" i="3" s="1"/>
  <c r="O644" i="3" a="1"/>
  <c r="O644" i="3" s="1"/>
  <c r="K635" i="3" a="1"/>
  <c r="K635" i="3" s="1"/>
  <c r="M635" i="3" s="1"/>
  <c r="V611" i="3" a="1"/>
  <c r="V611" i="3" s="1"/>
  <c r="V610" i="3" a="1"/>
  <c r="V610" i="3" s="1"/>
  <c r="R609" i="3" a="1"/>
  <c r="R609" i="3" s="1"/>
  <c r="R602" i="3" a="1"/>
  <c r="R602" i="3" s="1"/>
  <c r="V598" i="3" a="1"/>
  <c r="V598" i="3" s="1"/>
  <c r="J597" i="3" a="1"/>
  <c r="J597" i="3" s="1"/>
  <c r="K566" i="3" a="1"/>
  <c r="K566" i="3" s="1"/>
  <c r="M566" i="3" s="1"/>
  <c r="K560" i="3" a="1"/>
  <c r="K560" i="3" s="1"/>
  <c r="M560" i="3" s="1"/>
  <c r="K532" i="3" a="1"/>
  <c r="K532" i="3" s="1"/>
  <c r="M532" i="3" s="1"/>
  <c r="K530" i="3" a="1"/>
  <c r="K530" i="3" s="1"/>
  <c r="M530" i="3" s="1"/>
  <c r="K510" i="3" a="1"/>
  <c r="K510" i="3" s="1"/>
  <c r="M510" i="3" s="1"/>
  <c r="K506" i="3" a="1"/>
  <c r="K506" i="3" s="1"/>
  <c r="M506" i="3" s="1"/>
  <c r="V491" i="3" a="1"/>
  <c r="V491" i="3" s="1"/>
  <c r="K490" i="3" a="1"/>
  <c r="K490" i="3" s="1"/>
  <c r="M490" i="3" s="1"/>
  <c r="V487" i="3" a="1"/>
  <c r="V487" i="3" s="1"/>
  <c r="K481" i="3" a="1"/>
  <c r="K481" i="3" s="1"/>
  <c r="M481" i="3" s="1"/>
  <c r="O475" i="3" a="1"/>
  <c r="O475" i="3" s="1"/>
  <c r="J469" i="3" a="1"/>
  <c r="J469" i="3" s="1"/>
  <c r="O467" i="3" a="1"/>
  <c r="O467" i="3" s="1"/>
  <c r="K461" i="3" a="1"/>
  <c r="K461" i="3" s="1"/>
  <c r="M461" i="3" s="1"/>
  <c r="J452" i="3" a="1"/>
  <c r="J452" i="3" s="1"/>
  <c r="K445" i="3" a="1"/>
  <c r="K445" i="3" s="1"/>
  <c r="M445" i="3" s="1"/>
  <c r="K439" i="3" a="1"/>
  <c r="K439" i="3" s="1"/>
  <c r="M439" i="3" s="1"/>
  <c r="J436" i="3" a="1"/>
  <c r="J436" i="3" s="1"/>
  <c r="V435" i="3" a="1"/>
  <c r="V435" i="3" s="1"/>
  <c r="O431" i="3" a="1"/>
  <c r="O431" i="3" s="1"/>
  <c r="R426" i="3" a="1"/>
  <c r="R426" i="3" s="1"/>
  <c r="J422" i="3" a="1"/>
  <c r="J422" i="3" s="1"/>
  <c r="V421" i="3" a="1"/>
  <c r="V421" i="3" s="1"/>
  <c r="K414" i="3" a="1"/>
  <c r="K414" i="3" s="1"/>
  <c r="M414" i="3" s="1"/>
  <c r="J411" i="3" a="1"/>
  <c r="J411" i="3" s="1"/>
  <c r="V410" i="3" a="1"/>
  <c r="V410" i="3" s="1"/>
  <c r="K399" i="3" a="1"/>
  <c r="K399" i="3" s="1"/>
  <c r="M399" i="3" s="1"/>
  <c r="K395" i="3" a="1"/>
  <c r="K395" i="3" s="1"/>
  <c r="M395" i="3" s="1"/>
  <c r="J391" i="3" a="1"/>
  <c r="J391" i="3" s="1"/>
  <c r="V390" i="3" a="1"/>
  <c r="V390" i="3" s="1"/>
  <c r="R389" i="3" a="1"/>
  <c r="R389" i="3" s="1"/>
  <c r="O388" i="3" a="1"/>
  <c r="O388" i="3" s="1"/>
  <c r="J387" i="3" a="1"/>
  <c r="J387" i="3" s="1"/>
  <c r="V386" i="3" a="1"/>
  <c r="V386" i="3" s="1"/>
  <c r="R385" i="3" a="1"/>
  <c r="R385" i="3" s="1"/>
  <c r="O384" i="3" a="1"/>
  <c r="O384" i="3" s="1"/>
  <c r="J383" i="3" a="1"/>
  <c r="J383" i="3" s="1"/>
  <c r="V371" i="3" a="1"/>
  <c r="V371" i="3" s="1"/>
  <c r="J368" i="3" a="1"/>
  <c r="J368" i="3" s="1"/>
  <c r="V367" i="3" a="1"/>
  <c r="V367" i="3" s="1"/>
  <c r="J364" i="3" a="1"/>
  <c r="J364" i="3" s="1"/>
  <c r="V363" i="3" a="1"/>
  <c r="V363" i="3" s="1"/>
  <c r="J360" i="3" a="1"/>
  <c r="J360" i="3" s="1"/>
  <c r="K357" i="3" a="1"/>
  <c r="K357" i="3" s="1"/>
  <c r="M357" i="3" s="1"/>
  <c r="J353" i="3" a="1"/>
  <c r="J353" i="3" s="1"/>
  <c r="R351" i="3" a="1"/>
  <c r="R351" i="3" s="1"/>
  <c r="J349" i="3" a="1"/>
  <c r="J349" i="3" s="1"/>
  <c r="J345" i="3" a="1"/>
  <c r="J345" i="3" s="1"/>
  <c r="R343" i="3" a="1"/>
  <c r="R343" i="3" s="1"/>
  <c r="O326" i="3" a="1"/>
  <c r="O326" i="3" s="1"/>
  <c r="J325" i="3" a="1"/>
  <c r="J325" i="3" s="1"/>
  <c r="O322" i="3" a="1"/>
  <c r="O322" i="3" s="1"/>
  <c r="J321" i="3" a="1"/>
  <c r="J321" i="3" s="1"/>
  <c r="O318" i="3" a="1"/>
  <c r="O318" i="3" s="1"/>
  <c r="J317" i="3" a="1"/>
  <c r="J317" i="3" s="1"/>
  <c r="O314" i="3" a="1"/>
  <c r="O314" i="3" s="1"/>
  <c r="J313" i="3" a="1"/>
  <c r="J313" i="3" s="1"/>
  <c r="O310" i="3" a="1"/>
  <c r="O310" i="3" s="1"/>
  <c r="J309" i="3" a="1"/>
  <c r="J309" i="3" s="1"/>
  <c r="O306" i="3" a="1"/>
  <c r="O306" i="3" s="1"/>
  <c r="J305" i="3" a="1"/>
  <c r="J305" i="3" s="1"/>
  <c r="O290" i="3" a="1"/>
  <c r="O290" i="3" s="1"/>
  <c r="J289" i="3" a="1"/>
  <c r="J289" i="3" s="1"/>
  <c r="O286" i="3" a="1"/>
  <c r="O286" i="3" s="1"/>
  <c r="J285" i="3" a="1"/>
  <c r="J285" i="3" s="1"/>
  <c r="O282" i="3" a="1"/>
  <c r="O282" i="3" s="1"/>
  <c r="J281" i="3" a="1"/>
  <c r="J281" i="3" s="1"/>
  <c r="J776" i="3" a="1"/>
  <c r="J776" i="3" s="1"/>
  <c r="O772" i="3" a="1"/>
  <c r="O772" i="3" s="1"/>
  <c r="J765" i="3" a="1"/>
  <c r="J765" i="3" s="1"/>
  <c r="O759" i="3" a="1"/>
  <c r="O759" i="3" s="1"/>
  <c r="J750" i="3" a="1"/>
  <c r="J750" i="3" s="1"/>
  <c r="J745" i="3" a="1"/>
  <c r="J745" i="3" s="1"/>
  <c r="O733" i="3" a="1"/>
  <c r="O733" i="3" s="1"/>
  <c r="O718" i="3" a="1"/>
  <c r="O718" i="3" s="1"/>
  <c r="R715" i="3" a="1"/>
  <c r="R715" i="3" s="1"/>
  <c r="O712" i="3" a="1"/>
  <c r="O712" i="3" s="1"/>
  <c r="K706" i="3" a="1"/>
  <c r="K706" i="3" s="1"/>
  <c r="M706" i="3" s="1"/>
  <c r="K684" i="3" a="1"/>
  <c r="K684" i="3" s="1"/>
  <c r="M684" i="3" s="1"/>
  <c r="K675" i="3" a="1"/>
  <c r="K675" i="3" s="1"/>
  <c r="M675" i="3" s="1"/>
  <c r="J669" i="3" a="1"/>
  <c r="J669" i="3" s="1"/>
  <c r="O658" i="3" a="1"/>
  <c r="O658" i="3" s="1"/>
  <c r="J657" i="3" a="1"/>
  <c r="J657" i="3" s="1"/>
  <c r="O649" i="3" a="1"/>
  <c r="O649" i="3" s="1"/>
  <c r="V645" i="3" a="1"/>
  <c r="V645" i="3" s="1"/>
  <c r="R641" i="3" a="1"/>
  <c r="R641" i="3" s="1"/>
  <c r="J635" i="3" a="1"/>
  <c r="J635" i="3" s="1"/>
  <c r="O630" i="3" a="1"/>
  <c r="O630" i="3" s="1"/>
  <c r="V622" i="3" a="1"/>
  <c r="V622" i="3" s="1"/>
  <c r="J620" i="3" a="1"/>
  <c r="J620" i="3" s="1"/>
  <c r="O606" i="3" a="1"/>
  <c r="O606" i="3" s="1"/>
  <c r="O599" i="3" a="1"/>
  <c r="O599" i="3" s="1"/>
  <c r="V591" i="3" a="1"/>
  <c r="V591" i="3" s="1"/>
  <c r="K590" i="3" a="1"/>
  <c r="K590" i="3" s="1"/>
  <c r="M590" i="3" s="1"/>
  <c r="V579" i="3" a="1"/>
  <c r="V579" i="3" s="1"/>
  <c r="K567" i="3" a="1"/>
  <c r="K567" i="3" s="1"/>
  <c r="M567" i="3" s="1"/>
  <c r="J566" i="3" a="1"/>
  <c r="J566" i="3" s="1"/>
  <c r="J565" i="3" a="1"/>
  <c r="J565" i="3" s="1"/>
  <c r="K559" i="3" a="1"/>
  <c r="K559" i="3" s="1"/>
  <c r="M559" i="3" s="1"/>
  <c r="K558" i="3" a="1"/>
  <c r="K558" i="3" s="1"/>
  <c r="M558" i="3" s="1"/>
  <c r="K557" i="3" a="1"/>
  <c r="K557" i="3" s="1"/>
  <c r="M557" i="3" s="1"/>
  <c r="K528" i="3" a="1"/>
  <c r="K528" i="3" s="1"/>
  <c r="M528" i="3" s="1"/>
  <c r="K520" i="3" a="1"/>
  <c r="K520" i="3" s="1"/>
  <c r="M520" i="3" s="1"/>
  <c r="K505" i="3" a="1"/>
  <c r="K505" i="3" s="1"/>
  <c r="M505" i="3" s="1"/>
  <c r="V499" i="3" a="1"/>
  <c r="V499" i="3" s="1"/>
  <c r="K494" i="3" a="1"/>
  <c r="K494" i="3" s="1"/>
  <c r="M494" i="3" s="1"/>
  <c r="R491" i="3" a="1"/>
  <c r="R491" i="3" s="1"/>
  <c r="J490" i="3" a="1"/>
  <c r="J490" i="3" s="1"/>
  <c r="J481" i="3" a="1"/>
  <c r="J481" i="3" s="1"/>
  <c r="K477" i="3" a="1"/>
  <c r="K477" i="3" s="1"/>
  <c r="M477" i="3" s="1"/>
  <c r="O473" i="3" a="1"/>
  <c r="O473" i="3" s="1"/>
  <c r="J461" i="3" a="1"/>
  <c r="J461" i="3" s="1"/>
  <c r="O459" i="3" a="1"/>
  <c r="O459" i="3" s="1"/>
  <c r="R457" i="3" a="1"/>
  <c r="R457" i="3" s="1"/>
  <c r="J439" i="3" a="1"/>
  <c r="J439" i="3" s="1"/>
  <c r="V438" i="3" a="1"/>
  <c r="V438" i="3" s="1"/>
  <c r="O437" i="3" a="1"/>
  <c r="O437" i="3" s="1"/>
  <c r="K431" i="3" a="1"/>
  <c r="K431" i="3" s="1"/>
  <c r="M431" i="3" s="1"/>
  <c r="J428" i="3" a="1"/>
  <c r="J428" i="3" s="1"/>
  <c r="V427" i="3" a="1"/>
  <c r="V427" i="3" s="1"/>
  <c r="O423" i="3" a="1"/>
  <c r="O423" i="3" s="1"/>
  <c r="J417" i="3" a="1"/>
  <c r="J417" i="3" s="1"/>
  <c r="V416" i="3" a="1"/>
  <c r="V416" i="3" s="1"/>
  <c r="O412" i="3" a="1"/>
  <c r="O412" i="3" s="1"/>
  <c r="R407" i="3" a="1"/>
  <c r="R407" i="3" s="1"/>
  <c r="K406" i="3" a="1"/>
  <c r="K406" i="3" s="1"/>
  <c r="M406" i="3" s="1"/>
  <c r="J403" i="3" a="1"/>
  <c r="J403" i="3" s="1"/>
  <c r="V402" i="3" a="1"/>
  <c r="V402" i="3" s="1"/>
  <c r="R401" i="3" a="1"/>
  <c r="R401" i="3" s="1"/>
  <c r="V398" i="3" a="1"/>
  <c r="V398" i="3" s="1"/>
  <c r="V394" i="3" a="1"/>
  <c r="V394" i="3" s="1"/>
  <c r="K388" i="3" a="1"/>
  <c r="K388" i="3" s="1"/>
  <c r="M388" i="3" s="1"/>
  <c r="K384" i="3" a="1"/>
  <c r="K384" i="3" s="1"/>
  <c r="M384" i="3" s="1"/>
  <c r="K374" i="3" a="1"/>
  <c r="K374" i="3" s="1"/>
  <c r="M374" i="3" s="1"/>
  <c r="V372" i="3" a="1"/>
  <c r="V372" i="3" s="1"/>
  <c r="K369" i="3" a="1"/>
  <c r="K369" i="3" s="1"/>
  <c r="M369" i="3" s="1"/>
  <c r="K365" i="3" a="1"/>
  <c r="K365" i="3" s="1"/>
  <c r="M365" i="3" s="1"/>
  <c r="K361" i="3" a="1"/>
  <c r="K361" i="3" s="1"/>
  <c r="M361" i="3" s="1"/>
  <c r="R359" i="3" a="1"/>
  <c r="R359" i="3" s="1"/>
  <c r="J357" i="3" a="1"/>
  <c r="J357" i="3" s="1"/>
  <c r="R355" i="3" a="1"/>
  <c r="R355" i="3" s="1"/>
  <c r="K350" i="3" a="1"/>
  <c r="K350" i="3" s="1"/>
  <c r="M350" i="3" s="1"/>
  <c r="K346" i="3" a="1"/>
  <c r="K346" i="3" s="1"/>
  <c r="M346" i="3" s="1"/>
  <c r="K342" i="3" a="1"/>
  <c r="K342" i="3" s="1"/>
  <c r="M342" i="3" s="1"/>
  <c r="K336" i="3" a="1"/>
  <c r="K336" i="3" s="1"/>
  <c r="M336" i="3" s="1"/>
  <c r="K326" i="3" a="1"/>
  <c r="K326" i="3" s="1"/>
  <c r="M326" i="3" s="1"/>
  <c r="K322" i="3" a="1"/>
  <c r="K322" i="3" s="1"/>
  <c r="M322" i="3" s="1"/>
  <c r="K318" i="3" a="1"/>
  <c r="K318" i="3" s="1"/>
  <c r="M318" i="3" s="1"/>
  <c r="K314" i="3" a="1"/>
  <c r="K314" i="3" s="1"/>
  <c r="M314" i="3" s="1"/>
  <c r="K310" i="3" a="1"/>
  <c r="K310" i="3" s="1"/>
  <c r="M310" i="3" s="1"/>
  <c r="K306" i="3" a="1"/>
  <c r="K306" i="3" s="1"/>
  <c r="M306" i="3" s="1"/>
  <c r="O268" i="3" a="1"/>
  <c r="O268" i="3" s="1"/>
  <c r="O267" i="3" a="1"/>
  <c r="O267" i="3" s="1"/>
  <c r="O795" i="3" a="1"/>
  <c r="O795" i="3" s="1"/>
  <c r="O789" i="3" a="1"/>
  <c r="O789" i="3" s="1"/>
  <c r="J786" i="3" a="1"/>
  <c r="J786" i="3" s="1"/>
  <c r="J784" i="3" a="1"/>
  <c r="J784" i="3" s="1"/>
  <c r="J774" i="3" a="1"/>
  <c r="J774" i="3" s="1"/>
  <c r="K772" i="3" a="1"/>
  <c r="K772" i="3" s="1"/>
  <c r="M772" i="3" s="1"/>
  <c r="K761" i="3" a="1"/>
  <c r="K761" i="3" s="1"/>
  <c r="M761" i="3" s="1"/>
  <c r="O757" i="3" a="1"/>
  <c r="O757" i="3" s="1"/>
  <c r="O743" i="3" a="1"/>
  <c r="O743" i="3" s="1"/>
  <c r="O738" i="3" a="1"/>
  <c r="O738" i="3" s="1"/>
  <c r="O736" i="3" a="1"/>
  <c r="O736" i="3" s="1"/>
  <c r="K733" i="3" a="1"/>
  <c r="K733" i="3" s="1"/>
  <c r="M733" i="3" s="1"/>
  <c r="V723" i="3" a="1"/>
  <c r="V723" i="3" s="1"/>
  <c r="K712" i="3" a="1"/>
  <c r="K712" i="3" s="1"/>
  <c r="M712" i="3" s="1"/>
  <c r="O704" i="3" a="1"/>
  <c r="O704" i="3" s="1"/>
  <c r="J701" i="3" a="1"/>
  <c r="J701" i="3" s="1"/>
  <c r="K672" i="3" a="1"/>
  <c r="K672" i="3" s="1"/>
  <c r="M672" i="3" s="1"/>
  <c r="K661" i="3" a="1"/>
  <c r="K661" i="3" s="1"/>
  <c r="M661" i="3" s="1"/>
  <c r="V654" i="3" a="1"/>
  <c r="V654" i="3" s="1"/>
  <c r="R612" i="3" a="1"/>
  <c r="R612" i="3" s="1"/>
  <c r="K605" i="3" a="1"/>
  <c r="K605" i="3" s="1"/>
  <c r="M605" i="3" s="1"/>
  <c r="O604" i="3" a="1"/>
  <c r="O604" i="3" s="1"/>
  <c r="O602" i="3" a="1"/>
  <c r="O602" i="3" s="1"/>
  <c r="K600" i="3" a="1"/>
  <c r="K600" i="3" s="1"/>
  <c r="M600" i="3" s="1"/>
  <c r="J589" i="3" a="1"/>
  <c r="J589" i="3" s="1"/>
  <c r="O570" i="3" a="1"/>
  <c r="O570" i="3" s="1"/>
  <c r="O553" i="3" a="1"/>
  <c r="O553" i="3" s="1"/>
  <c r="O552" i="3" a="1"/>
  <c r="O552" i="3" s="1"/>
  <c r="O551" i="3" a="1"/>
  <c r="O551" i="3" s="1"/>
  <c r="R547" i="3" a="1"/>
  <c r="R547" i="3" s="1"/>
  <c r="R546" i="3" a="1"/>
  <c r="R546" i="3" s="1"/>
  <c r="R545" i="3" a="1"/>
  <c r="R545" i="3" s="1"/>
  <c r="O527" i="3" a="1"/>
  <c r="O527" i="3" s="1"/>
  <c r="R525" i="3" a="1"/>
  <c r="R525" i="3" s="1"/>
  <c r="O519" i="3" a="1"/>
  <c r="O519" i="3" s="1"/>
  <c r="O509" i="3" a="1"/>
  <c r="O509" i="3" s="1"/>
  <c r="R487" i="3" a="1"/>
  <c r="R487" i="3" s="1"/>
  <c r="J486" i="3" a="1"/>
  <c r="J486" i="3" s="1"/>
  <c r="K475" i="3" a="1"/>
  <c r="K475" i="3" s="1"/>
  <c r="M475" i="3" s="1"/>
  <c r="R468" i="3" a="1"/>
  <c r="R468" i="3" s="1"/>
  <c r="K467" i="3" a="1"/>
  <c r="K467" i="3" s="1"/>
  <c r="M467" i="3" s="1"/>
  <c r="J464" i="3" a="1"/>
  <c r="J464" i="3" s="1"/>
  <c r="O462" i="3" a="1"/>
  <c r="O462" i="3" s="1"/>
  <c r="J456" i="3" a="1"/>
  <c r="J456" i="3" s="1"/>
  <c r="V455" i="3" a="1"/>
  <c r="V455" i="3" s="1"/>
  <c r="R447" i="3" a="1"/>
  <c r="R447" i="3" s="1"/>
  <c r="J442" i="3" a="1"/>
  <c r="J442" i="3" s="1"/>
  <c r="V441" i="3" a="1"/>
  <c r="V441" i="3" s="1"/>
  <c r="K434" i="3" a="1"/>
  <c r="K434" i="3" s="1"/>
  <c r="M434" i="3" s="1"/>
  <c r="O426" i="3" a="1"/>
  <c r="O426" i="3" s="1"/>
  <c r="K420" i="3" a="1"/>
  <c r="K420" i="3" s="1"/>
  <c r="M420" i="3" s="1"/>
  <c r="O415" i="3" a="1"/>
  <c r="O415" i="3" s="1"/>
  <c r="K409" i="3" a="1"/>
  <c r="K409" i="3" s="1"/>
  <c r="M409" i="3" s="1"/>
  <c r="J406" i="3" a="1"/>
  <c r="J406" i="3" s="1"/>
  <c r="V405" i="3" a="1"/>
  <c r="V405" i="3" s="1"/>
  <c r="J379" i="3" a="1"/>
  <c r="J379" i="3" s="1"/>
  <c r="R371" i="3" a="1"/>
  <c r="R371" i="3" s="1"/>
  <c r="O370" i="3" a="1"/>
  <c r="O370" i="3" s="1"/>
  <c r="R367" i="3" a="1"/>
  <c r="R367" i="3" s="1"/>
  <c r="O366" i="3" a="1"/>
  <c r="O366" i="3" s="1"/>
  <c r="R363" i="3" a="1"/>
  <c r="R363" i="3" s="1"/>
  <c r="O362" i="3" a="1"/>
  <c r="O362" i="3" s="1"/>
  <c r="O351" i="3" a="1"/>
  <c r="O351" i="3" s="1"/>
  <c r="O347" i="3" a="1"/>
  <c r="O347" i="3" s="1"/>
  <c r="O343" i="3" a="1"/>
  <c r="O343" i="3" s="1"/>
  <c r="J336" i="3" a="1"/>
  <c r="J336" i="3" s="1"/>
  <c r="J301" i="3" a="1"/>
  <c r="J301" i="3" s="1"/>
  <c r="V294" i="3" a="1"/>
  <c r="V294" i="3" s="1"/>
  <c r="O277" i="3" a="1"/>
  <c r="O277" i="3" s="1"/>
  <c r="J275" i="3" a="1"/>
  <c r="J275" i="3" s="1"/>
  <c r="V273" i="3" a="1"/>
  <c r="V273" i="3" s="1"/>
  <c r="R271" i="3" a="1"/>
  <c r="R271" i="3" s="1"/>
  <c r="O269" i="3" a="1"/>
  <c r="O269" i="3" s="1"/>
  <c r="J251" i="3" a="1"/>
  <c r="J251" i="3" s="1"/>
  <c r="O790" i="3" a="1"/>
  <c r="O790" i="3" s="1"/>
  <c r="J761" i="3" a="1"/>
  <c r="J761" i="3" s="1"/>
  <c r="R746" i="3" a="1"/>
  <c r="R746" i="3" s="1"/>
  <c r="J698" i="3" a="1"/>
  <c r="J698" i="3" s="1"/>
  <c r="V692" i="3" a="1"/>
  <c r="V692" i="3" s="1"/>
  <c r="O691" i="3" a="1"/>
  <c r="O691" i="3" s="1"/>
  <c r="R686" i="3" a="1"/>
  <c r="R686" i="3" s="1"/>
  <c r="O678" i="3" a="1"/>
  <c r="O678" i="3" s="1"/>
  <c r="J675" i="3" a="1"/>
  <c r="J675" i="3" s="1"/>
  <c r="O654" i="3" a="1"/>
  <c r="O654" i="3" s="1"/>
  <c r="K649" i="3" a="1"/>
  <c r="K649" i="3" s="1"/>
  <c r="M649" i="3" s="1"/>
  <c r="R645" i="3" a="1"/>
  <c r="R645" i="3" s="1"/>
  <c r="K640" i="3" a="1"/>
  <c r="K640" i="3" s="1"/>
  <c r="M640" i="3" s="1"/>
  <c r="J609" i="3" a="1"/>
  <c r="J609" i="3" s="1"/>
  <c r="K601" i="3" a="1"/>
  <c r="K601" i="3" s="1"/>
  <c r="M601" i="3" s="1"/>
  <c r="O591" i="3" a="1"/>
  <c r="O591" i="3" s="1"/>
  <c r="J590" i="3" a="1"/>
  <c r="J590" i="3" s="1"/>
  <c r="V582" i="3" a="1"/>
  <c r="V582" i="3" s="1"/>
  <c r="V581" i="3" a="1"/>
  <c r="V581" i="3" s="1"/>
  <c r="V580" i="3" a="1"/>
  <c r="V580" i="3" s="1"/>
  <c r="R579" i="3" a="1"/>
  <c r="R579" i="3" s="1"/>
  <c r="R578" i="3" a="1"/>
  <c r="R578" i="3" s="1"/>
  <c r="R577" i="3" a="1"/>
  <c r="R577" i="3" s="1"/>
  <c r="O576" i="3" a="1"/>
  <c r="O576" i="3" s="1"/>
  <c r="O575" i="3" a="1"/>
  <c r="O575" i="3" s="1"/>
  <c r="K570" i="3" a="1"/>
  <c r="K570" i="3" s="1"/>
  <c r="M570" i="3" s="1"/>
  <c r="K569" i="3" a="1"/>
  <c r="K569" i="3" s="1"/>
  <c r="M569" i="3" s="1"/>
  <c r="K568" i="3" a="1"/>
  <c r="K568" i="3" s="1"/>
  <c r="M568" i="3" s="1"/>
  <c r="K556" i="3" a="1"/>
  <c r="K556" i="3" s="1"/>
  <c r="M556" i="3" s="1"/>
  <c r="K554" i="3" a="1"/>
  <c r="K554" i="3" s="1"/>
  <c r="M554" i="3" s="1"/>
  <c r="K552" i="3" a="1"/>
  <c r="K552" i="3" s="1"/>
  <c r="M552" i="3" s="1"/>
  <c r="K514" i="3" a="1"/>
  <c r="K514" i="3" s="1"/>
  <c r="M514" i="3" s="1"/>
  <c r="K500" i="3" a="1"/>
  <c r="K500" i="3" s="1"/>
  <c r="M500" i="3" s="1"/>
  <c r="K497" i="3" a="1"/>
  <c r="K497" i="3" s="1"/>
  <c r="M497" i="3" s="1"/>
  <c r="J484" i="3" a="1"/>
  <c r="J484" i="3" s="1"/>
  <c r="V483" i="3" a="1"/>
  <c r="V483" i="3" s="1"/>
  <c r="J477" i="3" a="1"/>
  <c r="J477" i="3" s="1"/>
  <c r="K470" i="3" a="1"/>
  <c r="K470" i="3" s="1"/>
  <c r="M470" i="3" s="1"/>
  <c r="O465" i="3" a="1"/>
  <c r="O465" i="3" s="1"/>
  <c r="O457" i="3" a="1"/>
  <c r="O457" i="3" s="1"/>
  <c r="J449" i="3" a="1"/>
  <c r="J449" i="3" s="1"/>
  <c r="O440" i="3" a="1"/>
  <c r="O440" i="3" s="1"/>
  <c r="K437" i="3" a="1"/>
  <c r="K437" i="3" s="1"/>
  <c r="M437" i="3" s="1"/>
  <c r="R435" i="3" a="1"/>
  <c r="R435" i="3" s="1"/>
  <c r="J431" i="3" a="1"/>
  <c r="J431" i="3" s="1"/>
  <c r="V430" i="3" a="1"/>
  <c r="V430" i="3" s="1"/>
  <c r="O429" i="3" a="1"/>
  <c r="O429" i="3" s="1"/>
  <c r="K423" i="3" a="1"/>
  <c r="K423" i="3" s="1"/>
  <c r="M423" i="3" s="1"/>
  <c r="R421" i="3" a="1"/>
  <c r="R421" i="3" s="1"/>
  <c r="J420" i="3" a="1"/>
  <c r="J420" i="3" s="1"/>
  <c r="V419" i="3" a="1"/>
  <c r="V419" i="3" s="1"/>
  <c r="J409" i="3" a="1"/>
  <c r="J409" i="3" s="1"/>
  <c r="V408" i="3" a="1"/>
  <c r="V408" i="3" s="1"/>
  <c r="O404" i="3" a="1"/>
  <c r="O404" i="3" s="1"/>
  <c r="K400" i="3" a="1"/>
  <c r="K400" i="3" s="1"/>
  <c r="M400" i="3" s="1"/>
  <c r="K396" i="3" a="1"/>
  <c r="K396" i="3" s="1"/>
  <c r="M396" i="3" s="1"/>
  <c r="K392" i="3" a="1"/>
  <c r="K392" i="3" s="1"/>
  <c r="M392" i="3" s="1"/>
  <c r="V391" i="3" a="1"/>
  <c r="V391" i="3" s="1"/>
  <c r="R390" i="3" a="1"/>
  <c r="R390" i="3" s="1"/>
  <c r="O389" i="3" a="1"/>
  <c r="O389" i="3" s="1"/>
  <c r="J388" i="3" a="1"/>
  <c r="J388" i="3" s="1"/>
  <c r="V387" i="3" a="1"/>
  <c r="V387" i="3" s="1"/>
  <c r="R386" i="3" a="1"/>
  <c r="R386" i="3" s="1"/>
  <c r="O385" i="3" a="1"/>
  <c r="O385" i="3" s="1"/>
  <c r="J384" i="3" a="1"/>
  <c r="J384" i="3" s="1"/>
  <c r="V383" i="3" a="1"/>
  <c r="V383" i="3" s="1"/>
  <c r="J374" i="3" a="1"/>
  <c r="J374" i="3" s="1"/>
  <c r="J369" i="3" a="1"/>
  <c r="J369" i="3" s="1"/>
  <c r="V368" i="3" a="1"/>
  <c r="V368" i="3" s="1"/>
  <c r="J365" i="3" a="1"/>
  <c r="J365" i="3" s="1"/>
  <c r="V364" i="3" a="1"/>
  <c r="V364" i="3" s="1"/>
  <c r="J361" i="3" a="1"/>
  <c r="J361" i="3" s="1"/>
  <c r="V360" i="3" a="1"/>
  <c r="V360" i="3" s="1"/>
  <c r="K358" i="3" a="1"/>
  <c r="K358" i="3" s="1"/>
  <c r="M358" i="3" s="1"/>
  <c r="K354" i="3" a="1"/>
  <c r="K354" i="3" s="1"/>
  <c r="M354" i="3" s="1"/>
  <c r="J350" i="3" a="1"/>
  <c r="J350" i="3" s="1"/>
  <c r="R348" i="3" a="1"/>
  <c r="R348" i="3" s="1"/>
  <c r="J346" i="3" a="1"/>
  <c r="J346" i="3" s="1"/>
  <c r="J342" i="3" a="1"/>
  <c r="J342" i="3" s="1"/>
  <c r="O327" i="3" a="1"/>
  <c r="O327" i="3" s="1"/>
  <c r="J326" i="3" a="1"/>
  <c r="J326" i="3" s="1"/>
  <c r="O323" i="3" a="1"/>
  <c r="O323" i="3" s="1"/>
  <c r="J322" i="3" a="1"/>
  <c r="J322" i="3" s="1"/>
  <c r="O319" i="3" a="1"/>
  <c r="O319" i="3" s="1"/>
  <c r="J318" i="3" a="1"/>
  <c r="J318" i="3" s="1"/>
  <c r="O315" i="3" a="1"/>
  <c r="O315" i="3" s="1"/>
  <c r="J314" i="3" a="1"/>
  <c r="J314" i="3" s="1"/>
  <c r="O311" i="3" a="1"/>
  <c r="O311" i="3" s="1"/>
  <c r="J310" i="3" a="1"/>
  <c r="J310" i="3" s="1"/>
  <c r="O307" i="3" a="1"/>
  <c r="O307" i="3" s="1"/>
  <c r="J306" i="3" a="1"/>
  <c r="J306" i="3" s="1"/>
  <c r="O779" i="3" a="1"/>
  <c r="O779" i="3" s="1"/>
  <c r="J772" i="3" a="1"/>
  <c r="J772" i="3" s="1"/>
  <c r="K757" i="3" a="1"/>
  <c r="K757" i="3" s="1"/>
  <c r="M757" i="3" s="1"/>
  <c r="O755" i="3" a="1"/>
  <c r="O755" i="3" s="1"/>
  <c r="O741" i="3" a="1"/>
  <c r="O741" i="3" s="1"/>
  <c r="K738" i="3" a="1"/>
  <c r="K738" i="3" s="1"/>
  <c r="M738" i="3" s="1"/>
  <c r="V727" i="3" a="1"/>
  <c r="V727" i="3" s="1"/>
  <c r="K718" i="3" a="1"/>
  <c r="K718" i="3" s="1"/>
  <c r="M718" i="3" s="1"/>
  <c r="R696" i="3" a="1"/>
  <c r="R696" i="3" s="1"/>
  <c r="V682" i="3" a="1"/>
  <c r="V682" i="3" s="1"/>
  <c r="V670" i="3" a="1"/>
  <c r="V670" i="3" s="1"/>
  <c r="O664" i="3" a="1"/>
  <c r="O664" i="3" s="1"/>
  <c r="V662" i="3" a="1"/>
  <c r="V662" i="3" s="1"/>
  <c r="J661" i="3" a="1"/>
  <c r="J661" i="3" s="1"/>
  <c r="K658" i="3" a="1"/>
  <c r="K658" i="3" s="1"/>
  <c r="M658" i="3" s="1"/>
  <c r="J645" i="3" a="1"/>
  <c r="J645" i="3" s="1"/>
  <c r="J640" i="3" a="1"/>
  <c r="J640" i="3" s="1"/>
  <c r="O631" i="3" a="1"/>
  <c r="O631" i="3" s="1"/>
  <c r="O622" i="3" a="1"/>
  <c r="O622" i="3" s="1"/>
  <c r="V614" i="3" a="1"/>
  <c r="V614" i="3" s="1"/>
  <c r="K604" i="3" a="1"/>
  <c r="K604" i="3" s="1"/>
  <c r="M604" i="3" s="1"/>
  <c r="K603" i="3" a="1"/>
  <c r="K603" i="3" s="1"/>
  <c r="M603" i="3" s="1"/>
  <c r="J600" i="3" a="1"/>
  <c r="J600" i="3" s="1"/>
  <c r="K591" i="3" a="1"/>
  <c r="K591" i="3" s="1"/>
  <c r="M591" i="3" s="1"/>
  <c r="J573" i="3" a="1"/>
  <c r="J573" i="3" s="1"/>
  <c r="J568" i="3" a="1"/>
  <c r="J568" i="3" s="1"/>
  <c r="K553" i="3" a="1"/>
  <c r="K553" i="3" s="1"/>
  <c r="M553" i="3" s="1"/>
  <c r="O548" i="3" a="1"/>
  <c r="O548" i="3" s="1"/>
  <c r="O546" i="3" a="1"/>
  <c r="O546" i="3" s="1"/>
  <c r="R542" i="3" a="1"/>
  <c r="R542" i="3" s="1"/>
  <c r="R540" i="3" a="1"/>
  <c r="R540" i="3" s="1"/>
  <c r="K527" i="3" a="1"/>
  <c r="K527" i="3" s="1"/>
  <c r="M527" i="3" s="1"/>
  <c r="K519" i="3" a="1"/>
  <c r="K519" i="3" s="1"/>
  <c r="M519" i="3" s="1"/>
  <c r="K509" i="3" a="1"/>
  <c r="K509" i="3" s="1"/>
  <c r="M509" i="3" s="1"/>
  <c r="O508" i="3" a="1"/>
  <c r="O508" i="3" s="1"/>
  <c r="O496" i="3" a="1"/>
  <c r="O496" i="3" s="1"/>
  <c r="O491" i="3" a="1"/>
  <c r="O491" i="3" s="1"/>
  <c r="K473" i="3" a="1"/>
  <c r="K473" i="3" s="1"/>
  <c r="M473" i="3" s="1"/>
  <c r="K459" i="3" a="1"/>
  <c r="K459" i="3" s="1"/>
  <c r="M459" i="3" s="1"/>
  <c r="V458" i="3" a="1"/>
  <c r="V458" i="3" s="1"/>
  <c r="V452" i="3" a="1"/>
  <c r="V452" i="3" s="1"/>
  <c r="J434" i="3" a="1"/>
  <c r="J434" i="3" s="1"/>
  <c r="V433" i="3" a="1"/>
  <c r="V433" i="3" s="1"/>
  <c r="K426" i="3" a="1"/>
  <c r="K426" i="3" s="1"/>
  <c r="M426" i="3" s="1"/>
  <c r="R424" i="3" a="1"/>
  <c r="R424" i="3" s="1"/>
  <c r="O418" i="3" a="1"/>
  <c r="O418" i="3" s="1"/>
  <c r="K412" i="3" a="1"/>
  <c r="K412" i="3" s="1"/>
  <c r="M412" i="3" s="1"/>
  <c r="V411" i="3" a="1"/>
  <c r="V411" i="3" s="1"/>
  <c r="O407" i="3" a="1"/>
  <c r="O407" i="3" s="1"/>
  <c r="O401" i="3" a="1"/>
  <c r="O401" i="3" s="1"/>
  <c r="J400" i="3" a="1"/>
  <c r="J400" i="3" s="1"/>
  <c r="O397" i="3" a="1"/>
  <c r="O397" i="3" s="1"/>
  <c r="J396" i="3" a="1"/>
  <c r="J396" i="3" s="1"/>
  <c r="O393" i="3" a="1"/>
  <c r="O393" i="3" s="1"/>
  <c r="J392" i="3" a="1"/>
  <c r="J392" i="3" s="1"/>
  <c r="O359" i="3" a="1"/>
  <c r="O359" i="3" s="1"/>
  <c r="O355" i="3" a="1"/>
  <c r="O355" i="3" s="1"/>
  <c r="V353" i="3" a="1"/>
  <c r="V353" i="3" s="1"/>
  <c r="V349" i="3" a="1"/>
  <c r="V349" i="3" s="1"/>
  <c r="V345" i="3" a="1"/>
  <c r="V345" i="3" s="1"/>
  <c r="R334" i="3" a="1"/>
  <c r="R334" i="3" s="1"/>
  <c r="V325" i="3" a="1"/>
  <c r="V325" i="3" s="1"/>
  <c r="V321" i="3" a="1"/>
  <c r="V321" i="3" s="1"/>
  <c r="V317" i="3" a="1"/>
  <c r="V317" i="3" s="1"/>
  <c r="V313" i="3" a="1"/>
  <c r="V313" i="3" s="1"/>
  <c r="V309" i="3" a="1"/>
  <c r="V309" i="3" s="1"/>
  <c r="V305" i="3" a="1"/>
  <c r="V305" i="3" s="1"/>
  <c r="V289" i="3" a="1"/>
  <c r="V289" i="3" s="1"/>
  <c r="R288" i="3" a="1"/>
  <c r="R288" i="3" s="1"/>
  <c r="V285" i="3" a="1"/>
  <c r="V285" i="3" s="1"/>
  <c r="R284" i="3" a="1"/>
  <c r="R284" i="3" s="1"/>
  <c r="V281" i="3" a="1"/>
  <c r="V281" i="3" s="1"/>
  <c r="R280" i="3" a="1"/>
  <c r="R280" i="3" s="1"/>
  <c r="O278" i="3" a="1"/>
  <c r="O278" i="3" s="1"/>
  <c r="J276" i="3" a="1"/>
  <c r="J276" i="3" s="1"/>
  <c r="V274" i="3" a="1"/>
  <c r="V274" i="3" s="1"/>
  <c r="O270" i="3" a="1"/>
  <c r="O270" i="3" s="1"/>
  <c r="K268" i="3" a="1"/>
  <c r="K268" i="3" s="1"/>
  <c r="M268" i="3" s="1"/>
  <c r="K267" i="3" a="1"/>
  <c r="K267" i="3" s="1"/>
  <c r="M267" i="3" s="1"/>
  <c r="K266" i="3" a="1"/>
  <c r="K266" i="3" s="1"/>
  <c r="M266" i="3" s="1"/>
  <c r="K265" i="3" a="1"/>
  <c r="K265" i="3" s="1"/>
  <c r="M265" i="3" s="1"/>
  <c r="K264" i="3" a="1"/>
  <c r="K264" i="3" s="1"/>
  <c r="M264" i="3" s="1"/>
  <c r="K795" i="3" a="1"/>
  <c r="K795" i="3" s="1"/>
  <c r="M795" i="3" s="1"/>
  <c r="V782" i="3" a="1"/>
  <c r="V782" i="3" s="1"/>
  <c r="O777" i="3" a="1"/>
  <c r="O777" i="3" s="1"/>
  <c r="J770" i="3" a="1"/>
  <c r="J770" i="3" s="1"/>
  <c r="K768" i="3" a="1"/>
  <c r="K768" i="3" s="1"/>
  <c r="M768" i="3" s="1"/>
  <c r="O764" i="3" a="1"/>
  <c r="O764" i="3" s="1"/>
  <c r="K741" i="3" a="1"/>
  <c r="K741" i="3" s="1"/>
  <c r="M741" i="3" s="1"/>
  <c r="K736" i="3" a="1"/>
  <c r="K736" i="3" s="1"/>
  <c r="M736" i="3" s="1"/>
  <c r="K704" i="3" a="1"/>
  <c r="K704" i="3" s="1"/>
  <c r="M704" i="3" s="1"/>
  <c r="K681" i="3" a="1"/>
  <c r="K681" i="3" s="1"/>
  <c r="M681" i="3" s="1"/>
  <c r="V647" i="3" a="1"/>
  <c r="V647" i="3" s="1"/>
  <c r="O641" i="3" a="1"/>
  <c r="O641" i="3" s="1"/>
  <c r="V637" i="3" a="1"/>
  <c r="V637" i="3" s="1"/>
  <c r="J630" i="3" a="1"/>
  <c r="J630" i="3" s="1"/>
  <c r="O623" i="3" a="1"/>
  <c r="O623" i="3" s="1"/>
  <c r="J613" i="3" a="1"/>
  <c r="J613" i="3" s="1"/>
  <c r="J612" i="3" a="1"/>
  <c r="J612" i="3" s="1"/>
  <c r="K602" i="3" a="1"/>
  <c r="K602" i="3" s="1"/>
  <c r="M602" i="3" s="1"/>
  <c r="V595" i="3" a="1"/>
  <c r="V595" i="3" s="1"/>
  <c r="V594" i="3" a="1"/>
  <c r="V594" i="3" s="1"/>
  <c r="O592" i="3" a="1"/>
  <c r="O592" i="3" s="1"/>
  <c r="V583" i="3" a="1"/>
  <c r="V583" i="3" s="1"/>
  <c r="R580" i="3" a="1"/>
  <c r="R580" i="3" s="1"/>
  <c r="O577" i="3" a="1"/>
  <c r="O577" i="3" s="1"/>
  <c r="J569" i="3" a="1"/>
  <c r="J569" i="3" s="1"/>
  <c r="K551" i="3" a="1"/>
  <c r="K551" i="3" s="1"/>
  <c r="M551" i="3" s="1"/>
  <c r="K550" i="3" a="1"/>
  <c r="K550" i="3" s="1"/>
  <c r="M550" i="3" s="1"/>
  <c r="K549" i="3" a="1"/>
  <c r="K549" i="3" s="1"/>
  <c r="M549" i="3" s="1"/>
  <c r="K526" i="3" a="1"/>
  <c r="K526" i="3" s="1"/>
  <c r="M526" i="3" s="1"/>
  <c r="K518" i="3" a="1"/>
  <c r="K518" i="3" s="1"/>
  <c r="M518" i="3" s="1"/>
  <c r="K513" i="3" a="1"/>
  <c r="K513" i="3" s="1"/>
  <c r="M513" i="3" s="1"/>
  <c r="K504" i="3" a="1"/>
  <c r="K504" i="3" s="1"/>
  <c r="M504" i="3" s="1"/>
  <c r="V498" i="3" a="1"/>
  <c r="V498" i="3" s="1"/>
  <c r="V495" i="3" a="1"/>
  <c r="V495" i="3" s="1"/>
  <c r="O487" i="3" a="1"/>
  <c r="O487" i="3" s="1"/>
  <c r="O480" i="3" a="1"/>
  <c r="O480" i="3" s="1"/>
  <c r="R474" i="3" a="1"/>
  <c r="R474" i="3" s="1"/>
  <c r="J470" i="3" a="1"/>
  <c r="J470" i="3" s="1"/>
  <c r="O468" i="3" a="1"/>
  <c r="O468" i="3" s="1"/>
  <c r="K462" i="3" a="1"/>
  <c r="K462" i="3" s="1"/>
  <c r="M462" i="3" s="1"/>
  <c r="R455" i="3" a="1"/>
  <c r="R455" i="3" s="1"/>
  <c r="O447" i="3" a="1"/>
  <c r="O447" i="3" s="1"/>
  <c r="K440" i="3" a="1"/>
  <c r="K440" i="3" s="1"/>
  <c r="M440" i="3" s="1"/>
  <c r="J437" i="3" a="1"/>
  <c r="J437" i="3" s="1"/>
  <c r="V436" i="3" a="1"/>
  <c r="V436" i="3" s="1"/>
  <c r="O432" i="3" a="1"/>
  <c r="O432" i="3" s="1"/>
  <c r="K429" i="3" a="1"/>
  <c r="K429" i="3" s="1"/>
  <c r="M429" i="3" s="1"/>
  <c r="R427" i="3" a="1"/>
  <c r="R427" i="3" s="1"/>
  <c r="J423" i="3" a="1"/>
  <c r="J423" i="3" s="1"/>
  <c r="V422" i="3" a="1"/>
  <c r="V422" i="3" s="1"/>
  <c r="O421" i="3" a="1"/>
  <c r="O421" i="3" s="1"/>
  <c r="R416" i="3" a="1"/>
  <c r="R416" i="3" s="1"/>
  <c r="K415" i="3" a="1"/>
  <c r="K415" i="3" s="1"/>
  <c r="M415" i="3" s="1"/>
  <c r="O410" i="3" a="1"/>
  <c r="O410" i="3" s="1"/>
  <c r="V399" i="3" a="1"/>
  <c r="V399" i="3" s="1"/>
  <c r="V395" i="3" a="1"/>
  <c r="V395" i="3" s="1"/>
  <c r="K389" i="3" a="1"/>
  <c r="K389" i="3" s="1"/>
  <c r="M389" i="3" s="1"/>
  <c r="K385" i="3" a="1"/>
  <c r="K385" i="3" s="1"/>
  <c r="M385" i="3" s="1"/>
  <c r="K370" i="3" a="1"/>
  <c r="K370" i="3" s="1"/>
  <c r="M370" i="3" s="1"/>
  <c r="K366" i="3" a="1"/>
  <c r="K366" i="3" s="1"/>
  <c r="M366" i="3" s="1"/>
  <c r="K362" i="3" a="1"/>
  <c r="K362" i="3" s="1"/>
  <c r="M362" i="3" s="1"/>
  <c r="J358" i="3" a="1"/>
  <c r="J358" i="3" s="1"/>
  <c r="R356" i="3" a="1"/>
  <c r="R356" i="3" s="1"/>
  <c r="J354" i="3" a="1"/>
  <c r="J354" i="3" s="1"/>
  <c r="K351" i="3" a="1"/>
  <c r="K351" i="3" s="1"/>
  <c r="M351" i="3" s="1"/>
  <c r="K347" i="3" a="1"/>
  <c r="K347" i="3" s="1"/>
  <c r="M347" i="3" s="1"/>
  <c r="K343" i="3" a="1"/>
  <c r="K343" i="3" s="1"/>
  <c r="M343" i="3" s="1"/>
  <c r="V341" i="3" a="1"/>
  <c r="V341" i="3" s="1"/>
  <c r="R340" i="3" a="1"/>
  <c r="R340" i="3" s="1"/>
  <c r="O339" i="3" a="1"/>
  <c r="O339" i="3" s="1"/>
  <c r="K327" i="3" a="1"/>
  <c r="K327" i="3" s="1"/>
  <c r="M327" i="3" s="1"/>
  <c r="K323" i="3" a="1"/>
  <c r="K323" i="3" s="1"/>
  <c r="M323" i="3" s="1"/>
  <c r="K319" i="3" a="1"/>
  <c r="K319" i="3" s="1"/>
  <c r="M319" i="3" s="1"/>
  <c r="K315" i="3" a="1"/>
  <c r="K315" i="3" s="1"/>
  <c r="M315" i="3" s="1"/>
  <c r="K311" i="3" a="1"/>
  <c r="K311" i="3" s="1"/>
  <c r="M311" i="3" s="1"/>
  <c r="K307" i="3" a="1"/>
  <c r="K307" i="3" s="1"/>
  <c r="M307" i="3" s="1"/>
  <c r="K777" i="3" a="1"/>
  <c r="K777" i="3" s="1"/>
  <c r="M777" i="3" s="1"/>
  <c r="J769" i="3" a="1"/>
  <c r="J769" i="3" s="1"/>
  <c r="K716" i="3" a="1"/>
  <c r="K716" i="3" s="1"/>
  <c r="M716" i="3" s="1"/>
  <c r="J714" i="3" a="1"/>
  <c r="J714" i="3" s="1"/>
  <c r="O696" i="3" a="1"/>
  <c r="O696" i="3" s="1"/>
  <c r="K677" i="3" a="1"/>
  <c r="K677" i="3" s="1"/>
  <c r="M677" i="3" s="1"/>
  <c r="O655" i="3" a="1"/>
  <c r="O655" i="3" s="1"/>
  <c r="V653" i="3" a="1"/>
  <c r="V653" i="3" s="1"/>
  <c r="J651" i="3" a="1"/>
  <c r="J651" i="3" s="1"/>
  <c r="J643" i="3" a="1"/>
  <c r="J643" i="3" s="1"/>
  <c r="J639" i="3" a="1"/>
  <c r="J639" i="3" s="1"/>
  <c r="J582" i="3" a="1"/>
  <c r="J582" i="3" s="1"/>
  <c r="V575" i="3" a="1"/>
  <c r="V575" i="3" s="1"/>
  <c r="V570" i="3" a="1"/>
  <c r="V570" i="3" s="1"/>
  <c r="O562" i="3" a="1"/>
  <c r="O562" i="3" s="1"/>
  <c r="K548" i="3" a="1"/>
  <c r="K548" i="3" s="1"/>
  <c r="M548" i="3" s="1"/>
  <c r="K521" i="3" a="1"/>
  <c r="K521" i="3" s="1"/>
  <c r="M521" i="3" s="1"/>
  <c r="O514" i="3" a="1"/>
  <c r="O514" i="3" s="1"/>
  <c r="K501" i="3" a="1"/>
  <c r="K501" i="3" s="1"/>
  <c r="M501" i="3" s="1"/>
  <c r="J455" i="3" a="1"/>
  <c r="J455" i="3" s="1"/>
  <c r="R445" i="3" a="1"/>
  <c r="R445" i="3" s="1"/>
  <c r="J427" i="3" a="1"/>
  <c r="J427" i="3" s="1"/>
  <c r="K425" i="3" a="1"/>
  <c r="K425" i="3" s="1"/>
  <c r="M425" i="3" s="1"/>
  <c r="J424" i="3" a="1"/>
  <c r="J424" i="3" s="1"/>
  <c r="O419" i="3" a="1"/>
  <c r="O419" i="3" s="1"/>
  <c r="K418" i="3" a="1"/>
  <c r="K418" i="3" s="1"/>
  <c r="M418" i="3" s="1"/>
  <c r="O416" i="3" a="1"/>
  <c r="O416" i="3" s="1"/>
  <c r="V406" i="3" a="1"/>
  <c r="V406" i="3" s="1"/>
  <c r="V403" i="3" a="1"/>
  <c r="V403" i="3" s="1"/>
  <c r="J398" i="3" a="1"/>
  <c r="J398" i="3" s="1"/>
  <c r="J397" i="3" a="1"/>
  <c r="J397" i="3" s="1"/>
  <c r="O373" i="3" a="1"/>
  <c r="O373" i="3" s="1"/>
  <c r="J367" i="3" a="1"/>
  <c r="J367" i="3" s="1"/>
  <c r="J366" i="3" a="1"/>
  <c r="J366" i="3" s="1"/>
  <c r="V362" i="3" a="1"/>
  <c r="V362" i="3" s="1"/>
  <c r="V361" i="3" a="1"/>
  <c r="V361" i="3" s="1"/>
  <c r="J356" i="3" a="1"/>
  <c r="J356" i="3" s="1"/>
  <c r="J355" i="3" a="1"/>
  <c r="J355" i="3" s="1"/>
  <c r="O354" i="3" a="1"/>
  <c r="O354" i="3" s="1"/>
  <c r="J344" i="3" a="1"/>
  <c r="J344" i="3" s="1"/>
  <c r="J343" i="3" a="1"/>
  <c r="J343" i="3" s="1"/>
  <c r="R336" i="3" a="1"/>
  <c r="R336" i="3" s="1"/>
  <c r="K333" i="3" a="1"/>
  <c r="K333" i="3" s="1"/>
  <c r="M333" i="3" s="1"/>
  <c r="J328" i="3" a="1"/>
  <c r="J328" i="3" s="1"/>
  <c r="J327" i="3" a="1"/>
  <c r="J327" i="3" s="1"/>
  <c r="V324" i="3" a="1"/>
  <c r="V324" i="3" s="1"/>
  <c r="K317" i="3" a="1"/>
  <c r="K317" i="3" s="1"/>
  <c r="M317" i="3" s="1"/>
  <c r="K316" i="3" a="1"/>
  <c r="K316" i="3" s="1"/>
  <c r="M316" i="3" s="1"/>
  <c r="O305" i="3" a="1"/>
  <c r="O305" i="3" s="1"/>
  <c r="K300" i="3" a="1"/>
  <c r="K300" i="3" s="1"/>
  <c r="M300" i="3" s="1"/>
  <c r="O299" i="3" a="1"/>
  <c r="O299" i="3" s="1"/>
  <c r="J291" i="3" a="1"/>
  <c r="J291" i="3" s="1"/>
  <c r="R285" i="3" a="1"/>
  <c r="R285" i="3" s="1"/>
  <c r="O281" i="3" a="1"/>
  <c r="O281" i="3" s="1"/>
  <c r="V276" i="3" a="1"/>
  <c r="V276" i="3" s="1"/>
  <c r="O274" i="3" a="1"/>
  <c r="O274" i="3" s="1"/>
  <c r="J271" i="3" a="1"/>
  <c r="J271" i="3" s="1"/>
  <c r="R270" i="3" a="1"/>
  <c r="R270" i="3" s="1"/>
  <c r="K251" i="3" a="1"/>
  <c r="K251" i="3" s="1"/>
  <c r="M251" i="3" s="1"/>
  <c r="J250" i="3" a="1"/>
  <c r="J250" i="3" s="1"/>
  <c r="K236" i="3" a="1"/>
  <c r="K236" i="3" s="1"/>
  <c r="M236" i="3" s="1"/>
  <c r="K232" i="3" a="1"/>
  <c r="K232" i="3" s="1"/>
  <c r="M232" i="3" s="1"/>
  <c r="K228" i="3" a="1"/>
  <c r="K228" i="3" s="1"/>
  <c r="M228" i="3" s="1"/>
  <c r="K224" i="3" a="1"/>
  <c r="K224" i="3" s="1"/>
  <c r="M224" i="3" s="1"/>
  <c r="K220" i="3" a="1"/>
  <c r="K220" i="3" s="1"/>
  <c r="M220" i="3" s="1"/>
  <c r="J143" i="3" a="1"/>
  <c r="J143" i="3" s="1"/>
  <c r="J27" i="3" a="1"/>
  <c r="J27" i="3" s="1"/>
  <c r="J760" i="3" a="1"/>
  <c r="J760" i="3" s="1"/>
  <c r="J734" i="3" a="1"/>
  <c r="J734" i="3" s="1"/>
  <c r="K696" i="3" a="1"/>
  <c r="K696" i="3" s="1"/>
  <c r="M696" i="3" s="1"/>
  <c r="O694" i="3" a="1"/>
  <c r="O694" i="3" s="1"/>
  <c r="K659" i="3" a="1"/>
  <c r="K659" i="3" s="1"/>
  <c r="M659" i="3" s="1"/>
  <c r="O657" i="3" a="1"/>
  <c r="O657" i="3" s="1"/>
  <c r="O647" i="3" a="1"/>
  <c r="O647" i="3" s="1"/>
  <c r="V634" i="3" a="1"/>
  <c r="V634" i="3" s="1"/>
  <c r="R625" i="3" a="1"/>
  <c r="R625" i="3" s="1"/>
  <c r="R618" i="3" a="1"/>
  <c r="R618" i="3" s="1"/>
  <c r="K594" i="3" a="1"/>
  <c r="K594" i="3" s="1"/>
  <c r="M594" i="3" s="1"/>
  <c r="O585" i="3" a="1"/>
  <c r="O585" i="3" s="1"/>
  <c r="K575" i="3" a="1"/>
  <c r="K575" i="3" s="1"/>
  <c r="M575" i="3" s="1"/>
  <c r="R554" i="3" a="1"/>
  <c r="R554" i="3" s="1"/>
  <c r="O543" i="3" a="1"/>
  <c r="O543" i="3" s="1"/>
  <c r="O540" i="3" a="1"/>
  <c r="O540" i="3" s="1"/>
  <c r="O537" i="3" a="1"/>
  <c r="O537" i="3" s="1"/>
  <c r="R529" i="3" a="1"/>
  <c r="R529" i="3" s="1"/>
  <c r="K525" i="3" a="1"/>
  <c r="K525" i="3" s="1"/>
  <c r="M525" i="3" s="1"/>
  <c r="O510" i="3" a="1"/>
  <c r="O510" i="3" s="1"/>
  <c r="O506" i="3" a="1"/>
  <c r="O506" i="3" s="1"/>
  <c r="O502" i="3" a="1"/>
  <c r="O502" i="3" s="1"/>
  <c r="J425" i="3" a="1"/>
  <c r="J425" i="3" s="1"/>
  <c r="K422" i="3" a="1"/>
  <c r="K422" i="3" s="1"/>
  <c r="M422" i="3" s="1"/>
  <c r="J421" i="3" a="1"/>
  <c r="J421" i="3" s="1"/>
  <c r="O420" i="3" a="1"/>
  <c r="O420" i="3" s="1"/>
  <c r="V407" i="3" a="1"/>
  <c r="V407" i="3" s="1"/>
  <c r="O396" i="3" a="1"/>
  <c r="O396" i="3" s="1"/>
  <c r="V393" i="3" a="1"/>
  <c r="V393" i="3" s="1"/>
  <c r="V392" i="3" a="1"/>
  <c r="V392" i="3" s="1"/>
  <c r="J386" i="3" a="1"/>
  <c r="J386" i="3" s="1"/>
  <c r="J385" i="3" a="1"/>
  <c r="J385" i="3" s="1"/>
  <c r="O365" i="3" a="1"/>
  <c r="O365" i="3" s="1"/>
  <c r="O364" i="3" a="1"/>
  <c r="O364" i="3" s="1"/>
  <c r="O363" i="3" a="1"/>
  <c r="O363" i="3" s="1"/>
  <c r="O342" i="3" a="1"/>
  <c r="O342" i="3" s="1"/>
  <c r="R341" i="3" a="1"/>
  <c r="R341" i="3" s="1"/>
  <c r="V330" i="3" a="1"/>
  <c r="V330" i="3" s="1"/>
  <c r="V323" i="3" a="1"/>
  <c r="V323" i="3" s="1"/>
  <c r="V322" i="3" a="1"/>
  <c r="V322" i="3" s="1"/>
  <c r="O294" i="3" a="1"/>
  <c r="O294" i="3" s="1"/>
  <c r="R290" i="3" a="1"/>
  <c r="R290" i="3" s="1"/>
  <c r="V269" i="3" a="1"/>
  <c r="V269" i="3" s="1"/>
  <c r="K257" i="3" a="1"/>
  <c r="K257" i="3" s="1"/>
  <c r="M257" i="3" s="1"/>
  <c r="O253" i="3" a="1"/>
  <c r="O253" i="3" s="1"/>
  <c r="R238" i="3" a="1"/>
  <c r="R238" i="3" s="1"/>
  <c r="O237" i="3" a="1"/>
  <c r="O237" i="3" s="1"/>
  <c r="O233" i="3" a="1"/>
  <c r="O233" i="3" s="1"/>
  <c r="R230" i="3" a="1"/>
  <c r="R230" i="3" s="1"/>
  <c r="O229" i="3" a="1"/>
  <c r="O229" i="3" s="1"/>
  <c r="R226" i="3" a="1"/>
  <c r="R226" i="3" s="1"/>
  <c r="O225" i="3" a="1"/>
  <c r="O225" i="3" s="1"/>
  <c r="R222" i="3" a="1"/>
  <c r="R222" i="3" s="1"/>
  <c r="O221" i="3" a="1"/>
  <c r="O221" i="3" s="1"/>
  <c r="R218" i="3" a="1"/>
  <c r="R218" i="3" s="1"/>
  <c r="J142" i="3" a="1"/>
  <c r="J142" i="3" s="1"/>
  <c r="K140" i="3" a="1"/>
  <c r="K140" i="3" s="1"/>
  <c r="M140" i="3" s="1"/>
  <c r="K139" i="3" a="1"/>
  <c r="K139" i="3" s="1"/>
  <c r="M139" i="3" s="1"/>
  <c r="K138" i="3" a="1"/>
  <c r="K138" i="3" s="1"/>
  <c r="M138" i="3" s="1"/>
  <c r="K137" i="3" a="1"/>
  <c r="K137" i="3" s="1"/>
  <c r="M137" i="3" s="1"/>
  <c r="K136" i="3" a="1"/>
  <c r="K136" i="3" s="1"/>
  <c r="M136" i="3" s="1"/>
  <c r="K135" i="3" a="1"/>
  <c r="K135" i="3" s="1"/>
  <c r="M135" i="3" s="1"/>
  <c r="K134" i="3" a="1"/>
  <c r="K134" i="3" s="1"/>
  <c r="M134" i="3" s="1"/>
  <c r="K133" i="3" a="1"/>
  <c r="K133" i="3" s="1"/>
  <c r="M133" i="3" s="1"/>
  <c r="K132" i="3" a="1"/>
  <c r="K132" i="3" s="1"/>
  <c r="M132" i="3" s="1"/>
  <c r="K131" i="3" a="1"/>
  <c r="K131" i="3" s="1"/>
  <c r="M131" i="3" s="1"/>
  <c r="K130" i="3" a="1"/>
  <c r="K130" i="3" s="1"/>
  <c r="M130" i="3" s="1"/>
  <c r="K129" i="3" a="1"/>
  <c r="K129" i="3" s="1"/>
  <c r="M129" i="3" s="1"/>
  <c r="K128" i="3" a="1"/>
  <c r="K128" i="3" s="1"/>
  <c r="M128" i="3" s="1"/>
  <c r="K127" i="3" a="1"/>
  <c r="K127" i="3" s="1"/>
  <c r="M127" i="3" s="1"/>
  <c r="K126" i="3" a="1"/>
  <c r="K126" i="3" s="1"/>
  <c r="M126" i="3" s="1"/>
  <c r="K125" i="3" a="1"/>
  <c r="K125" i="3" s="1"/>
  <c r="M125" i="3" s="1"/>
  <c r="K124" i="3" a="1"/>
  <c r="K124" i="3" s="1"/>
  <c r="M124" i="3" s="1"/>
  <c r="K123" i="3" a="1"/>
  <c r="K123" i="3" s="1"/>
  <c r="M123" i="3" s="1"/>
  <c r="K122" i="3" a="1"/>
  <c r="K122" i="3" s="1"/>
  <c r="M122" i="3" s="1"/>
  <c r="K121" i="3" a="1"/>
  <c r="K121" i="3" s="1"/>
  <c r="M121" i="3" s="1"/>
  <c r="K120" i="3" a="1"/>
  <c r="K120" i="3" s="1"/>
  <c r="M120" i="3" s="1"/>
  <c r="K119" i="3" a="1"/>
  <c r="K119" i="3" s="1"/>
  <c r="M119" i="3" s="1"/>
  <c r="K118" i="3" a="1"/>
  <c r="K118" i="3" s="1"/>
  <c r="M118" i="3" s="1"/>
  <c r="K117" i="3" a="1"/>
  <c r="K117" i="3" s="1"/>
  <c r="M117" i="3" s="1"/>
  <c r="K116" i="3" a="1"/>
  <c r="K116" i="3" s="1"/>
  <c r="M116" i="3" s="1"/>
  <c r="K115" i="3" a="1"/>
  <c r="K115" i="3" s="1"/>
  <c r="M115" i="3" s="1"/>
  <c r="K114" i="3" a="1"/>
  <c r="K114" i="3" s="1"/>
  <c r="M114" i="3" s="1"/>
  <c r="K113" i="3" a="1"/>
  <c r="K113" i="3" s="1"/>
  <c r="M113" i="3" s="1"/>
  <c r="K112" i="3" a="1"/>
  <c r="K112" i="3" s="1"/>
  <c r="M112" i="3" s="1"/>
  <c r="K111" i="3" a="1"/>
  <c r="K111" i="3" s="1"/>
  <c r="M111" i="3" s="1"/>
  <c r="K110" i="3" a="1"/>
  <c r="K110" i="3" s="1"/>
  <c r="M110" i="3" s="1"/>
  <c r="K109" i="3" a="1"/>
  <c r="K109" i="3" s="1"/>
  <c r="M109" i="3" s="1"/>
  <c r="K108" i="3" a="1"/>
  <c r="K108" i="3" s="1"/>
  <c r="M108" i="3" s="1"/>
  <c r="K107" i="3" a="1"/>
  <c r="K107" i="3" s="1"/>
  <c r="M107" i="3" s="1"/>
  <c r="K106" i="3" a="1"/>
  <c r="K106" i="3" s="1"/>
  <c r="M106" i="3" s="1"/>
  <c r="K105" i="3" a="1"/>
  <c r="K105" i="3" s="1"/>
  <c r="M105" i="3" s="1"/>
  <c r="K41" i="3" a="1"/>
  <c r="K41" i="3" s="1"/>
  <c r="M41" i="3" s="1"/>
  <c r="K40" i="3" a="1"/>
  <c r="K40" i="3" s="1"/>
  <c r="M40" i="3" s="1"/>
  <c r="J26" i="3" a="1"/>
  <c r="J26" i="3" s="1"/>
  <c r="J25" i="3" a="1"/>
  <c r="J25" i="3" s="1"/>
  <c r="J24" i="3" a="1"/>
  <c r="J24" i="3" s="1"/>
  <c r="J23" i="3" a="1"/>
  <c r="J23" i="3" s="1"/>
  <c r="J22" i="3" a="1"/>
  <c r="J22" i="3" s="1"/>
  <c r="J21" i="3" a="1"/>
  <c r="J21" i="3" s="1"/>
  <c r="J20" i="3" a="1"/>
  <c r="J20" i="3" s="1"/>
  <c r="J19" i="3" a="1"/>
  <c r="J19" i="3" s="1"/>
  <c r="J18" i="3" a="1"/>
  <c r="J18" i="3" s="1"/>
  <c r="J17" i="3" a="1"/>
  <c r="J17" i="3" s="1"/>
  <c r="J16" i="3" a="1"/>
  <c r="J16" i="3" s="1"/>
  <c r="J15" i="3" a="1"/>
  <c r="J15" i="3" s="1"/>
  <c r="J14" i="3" a="1"/>
  <c r="J14" i="3" s="1"/>
  <c r="J13" i="3" a="1"/>
  <c r="J13" i="3" s="1"/>
  <c r="J12" i="3" a="1"/>
  <c r="J12" i="3" s="1"/>
  <c r="J11" i="3" a="1"/>
  <c r="J11" i="3" s="1"/>
  <c r="J10" i="3" a="1"/>
  <c r="J10" i="3" s="1"/>
  <c r="J9" i="3" a="1"/>
  <c r="J9" i="3" s="1"/>
  <c r="J8" i="3" a="1"/>
  <c r="J8" i="3" s="1"/>
  <c r="J7" i="3" a="1"/>
  <c r="J7" i="3" s="1"/>
  <c r="J6" i="3" a="1"/>
  <c r="J6" i="3" s="1"/>
  <c r="J5" i="3" a="1"/>
  <c r="J5" i="3" s="1"/>
  <c r="J4" i="3" a="1"/>
  <c r="J4" i="3" s="1"/>
  <c r="J3" i="3" a="1"/>
  <c r="J3" i="3" s="1"/>
  <c r="J2" i="3" a="1"/>
  <c r="J2" i="3" s="1"/>
  <c r="K780" i="3" a="1"/>
  <c r="K780" i="3" s="1"/>
  <c r="M780" i="3" s="1"/>
  <c r="J777" i="3" a="1"/>
  <c r="J777" i="3" s="1"/>
  <c r="O765" i="3" a="1"/>
  <c r="O765" i="3" s="1"/>
  <c r="R745" i="3" a="1"/>
  <c r="R745" i="3" s="1"/>
  <c r="K742" i="3" a="1"/>
  <c r="K742" i="3" s="1"/>
  <c r="M742" i="3" s="1"/>
  <c r="J737" i="3" a="1"/>
  <c r="J737" i="3" s="1"/>
  <c r="J716" i="3" a="1"/>
  <c r="J716" i="3" s="1"/>
  <c r="O706" i="3" a="1"/>
  <c r="O706" i="3" s="1"/>
  <c r="K694" i="3" a="1"/>
  <c r="K694" i="3" s="1"/>
  <c r="M694" i="3" s="1"/>
  <c r="V683" i="3" a="1"/>
  <c r="V683" i="3" s="1"/>
  <c r="K679" i="3" a="1"/>
  <c r="K679" i="3" s="1"/>
  <c r="M679" i="3" s="1"/>
  <c r="O674" i="3" a="1"/>
  <c r="O674" i="3" s="1"/>
  <c r="V664" i="3" a="1"/>
  <c r="V664" i="3" s="1"/>
  <c r="K662" i="3" a="1"/>
  <c r="K662" i="3" s="1"/>
  <c r="M662" i="3" s="1"/>
  <c r="O616" i="3" a="1"/>
  <c r="O616" i="3" s="1"/>
  <c r="V599" i="3" a="1"/>
  <c r="V599" i="3" s="1"/>
  <c r="V588" i="3" a="1"/>
  <c r="V588" i="3" s="1"/>
  <c r="V578" i="3" a="1"/>
  <c r="V578" i="3" s="1"/>
  <c r="V563" i="3" a="1"/>
  <c r="V563" i="3" s="1"/>
  <c r="K562" i="3" a="1"/>
  <c r="K562" i="3" s="1"/>
  <c r="M562" i="3" s="1"/>
  <c r="O554" i="3" a="1"/>
  <c r="O554" i="3" s="1"/>
  <c r="K534" i="3" a="1"/>
  <c r="K534" i="3" s="1"/>
  <c r="M534" i="3" s="1"/>
  <c r="K502" i="3" a="1"/>
  <c r="K502" i="3" s="1"/>
  <c r="M502" i="3" s="1"/>
  <c r="O497" i="3" a="1"/>
  <c r="O497" i="3" s="1"/>
  <c r="V488" i="3" a="1"/>
  <c r="V488" i="3" s="1"/>
  <c r="V442" i="3" a="1"/>
  <c r="V442" i="3" s="1"/>
  <c r="V439" i="3" a="1"/>
  <c r="V439" i="3" s="1"/>
  <c r="K419" i="3" a="1"/>
  <c r="K419" i="3" s="1"/>
  <c r="M419" i="3" s="1"/>
  <c r="J418" i="3" a="1"/>
  <c r="J418" i="3" s="1"/>
  <c r="O417" i="3" a="1"/>
  <c r="O417" i="3" s="1"/>
  <c r="J415" i="3" a="1"/>
  <c r="J415" i="3" s="1"/>
  <c r="O414" i="3" a="1"/>
  <c r="O414" i="3" s="1"/>
  <c r="V404" i="3" a="1"/>
  <c r="V404" i="3" s="1"/>
  <c r="O395" i="3" a="1"/>
  <c r="O395" i="3" s="1"/>
  <c r="O394" i="3" a="1"/>
  <c r="O394" i="3" s="1"/>
  <c r="O378" i="3" a="1"/>
  <c r="O378" i="3" s="1"/>
  <c r="O372" i="3" a="1"/>
  <c r="O372" i="3" s="1"/>
  <c r="K353" i="3" a="1"/>
  <c r="K353" i="3" s="1"/>
  <c r="M353" i="3" s="1"/>
  <c r="K352" i="3" a="1"/>
  <c r="K352" i="3" s="1"/>
  <c r="M352" i="3" s="1"/>
  <c r="R331" i="3" a="1"/>
  <c r="R331" i="3" s="1"/>
  <c r="O325" i="3" a="1"/>
  <c r="O325" i="3" s="1"/>
  <c r="O324" i="3" a="1"/>
  <c r="O324" i="3" s="1"/>
  <c r="J316" i="3" a="1"/>
  <c r="J316" i="3" s="1"/>
  <c r="J315" i="3" a="1"/>
  <c r="J315" i="3" s="1"/>
  <c r="V312" i="3" a="1"/>
  <c r="V312" i="3" s="1"/>
  <c r="K305" i="3" a="1"/>
  <c r="K305" i="3" s="1"/>
  <c r="M305" i="3" s="1"/>
  <c r="J286" i="3" a="1"/>
  <c r="J286" i="3" s="1"/>
  <c r="V284" i="3" a="1"/>
  <c r="V284" i="3" s="1"/>
  <c r="O265" i="3" a="1"/>
  <c r="O265" i="3" s="1"/>
  <c r="J236" i="3" a="1"/>
  <c r="J236" i="3" s="1"/>
  <c r="J232" i="3" a="1"/>
  <c r="J232" i="3" s="1"/>
  <c r="J228" i="3" a="1"/>
  <c r="J228" i="3" s="1"/>
  <c r="J224" i="3" a="1"/>
  <c r="J224" i="3" s="1"/>
  <c r="J220" i="3" a="1"/>
  <c r="J220" i="3" s="1"/>
  <c r="J780" i="3" a="1"/>
  <c r="J780" i="3" s="1"/>
  <c r="J768" i="3" a="1"/>
  <c r="J768" i="3" s="1"/>
  <c r="O756" i="3" a="1"/>
  <c r="O756" i="3" s="1"/>
  <c r="O739" i="3" a="1"/>
  <c r="O739" i="3" s="1"/>
  <c r="R720" i="3" a="1"/>
  <c r="R720" i="3" s="1"/>
  <c r="J713" i="3" a="1"/>
  <c r="J713" i="3" s="1"/>
  <c r="J659" i="3" a="1"/>
  <c r="J659" i="3" s="1"/>
  <c r="R642" i="3" a="1"/>
  <c r="R642" i="3" s="1"/>
  <c r="K585" i="3" a="1"/>
  <c r="K585" i="3" s="1"/>
  <c r="M585" i="3" s="1"/>
  <c r="R538" i="3" a="1"/>
  <c r="R538" i="3" s="1"/>
  <c r="K537" i="3" a="1"/>
  <c r="K537" i="3" s="1"/>
  <c r="M537" i="3" s="1"/>
  <c r="R523" i="3" a="1"/>
  <c r="R523" i="3" s="1"/>
  <c r="R519" i="3" a="1"/>
  <c r="R519" i="3" s="1"/>
  <c r="R516" i="3" a="1"/>
  <c r="R516" i="3" s="1"/>
  <c r="O511" i="3" a="1"/>
  <c r="O511" i="3" s="1"/>
  <c r="O503" i="3" a="1"/>
  <c r="O503" i="3" s="1"/>
  <c r="V490" i="3" a="1"/>
  <c r="V490" i="3" s="1"/>
  <c r="V449" i="3" a="1"/>
  <c r="V449" i="3" s="1"/>
  <c r="K416" i="3" a="1"/>
  <c r="K416" i="3" s="1"/>
  <c r="M416" i="3" s="1"/>
  <c r="K413" i="3" a="1"/>
  <c r="K413" i="3" s="1"/>
  <c r="M413" i="3" s="1"/>
  <c r="O411" i="3" a="1"/>
  <c r="O411" i="3" s="1"/>
  <c r="R391" i="3" a="1"/>
  <c r="R391" i="3" s="1"/>
  <c r="O383" i="3" a="1"/>
  <c r="O383" i="3" s="1"/>
  <c r="K373" i="3" a="1"/>
  <c r="K373" i="3" s="1"/>
  <c r="M373" i="3" s="1"/>
  <c r="R362" i="3" a="1"/>
  <c r="R362" i="3" s="1"/>
  <c r="R361" i="3" a="1"/>
  <c r="R361" i="3" s="1"/>
  <c r="R360" i="3" a="1"/>
  <c r="R360" i="3" s="1"/>
  <c r="V311" i="3" a="1"/>
  <c r="V311" i="3" s="1"/>
  <c r="V310" i="3" a="1"/>
  <c r="V310" i="3" s="1"/>
  <c r="V301" i="3" a="1"/>
  <c r="V301" i="3" s="1"/>
  <c r="K299" i="3" a="1"/>
  <c r="K299" i="3" s="1"/>
  <c r="M299" i="3" s="1"/>
  <c r="K294" i="3" a="1"/>
  <c r="K294" i="3" s="1"/>
  <c r="M294" i="3" s="1"/>
  <c r="R289" i="3" a="1"/>
  <c r="R289" i="3" s="1"/>
  <c r="O285" i="3" a="1"/>
  <c r="O285" i="3" s="1"/>
  <c r="O280" i="3" a="1"/>
  <c r="O280" i="3" s="1"/>
  <c r="J277" i="3" a="1"/>
  <c r="J277" i="3" s="1"/>
  <c r="J274" i="3" a="1"/>
  <c r="J274" i="3" s="1"/>
  <c r="V266" i="3" a="1"/>
  <c r="V266" i="3" s="1"/>
  <c r="V264" i="3" a="1"/>
  <c r="V264" i="3" s="1"/>
  <c r="J257" i="3" a="1"/>
  <c r="J257" i="3" s="1"/>
  <c r="V239" i="3" a="1"/>
  <c r="V239" i="3" s="1"/>
  <c r="V235" i="3" a="1"/>
  <c r="V235" i="3" s="1"/>
  <c r="V231" i="3" a="1"/>
  <c r="V231" i="3" s="1"/>
  <c r="V227" i="3" a="1"/>
  <c r="V227" i="3" s="1"/>
  <c r="V223" i="3" a="1"/>
  <c r="V223" i="3" s="1"/>
  <c r="V219" i="3" a="1"/>
  <c r="V219" i="3" s="1"/>
  <c r="V143" i="3" a="1"/>
  <c r="V143" i="3" s="1"/>
  <c r="J140" i="3" a="1"/>
  <c r="J140" i="3" s="1"/>
  <c r="J139" i="3" a="1"/>
  <c r="J139" i="3" s="1"/>
  <c r="J138" i="3" a="1"/>
  <c r="J138" i="3" s="1"/>
  <c r="J137" i="3" a="1"/>
  <c r="J137" i="3" s="1"/>
  <c r="J136" i="3" a="1"/>
  <c r="J136" i="3" s="1"/>
  <c r="J135" i="3" a="1"/>
  <c r="J135" i="3" s="1"/>
  <c r="J134" i="3" a="1"/>
  <c r="J134" i="3" s="1"/>
  <c r="J133" i="3" a="1"/>
  <c r="J133" i="3" s="1"/>
  <c r="J132" i="3" a="1"/>
  <c r="J132" i="3" s="1"/>
  <c r="J131" i="3" a="1"/>
  <c r="J131" i="3" s="1"/>
  <c r="J130" i="3" a="1"/>
  <c r="J130" i="3" s="1"/>
  <c r="J129" i="3" a="1"/>
  <c r="J129" i="3" s="1"/>
  <c r="J128" i="3" a="1"/>
  <c r="J128" i="3" s="1"/>
  <c r="J127" i="3" a="1"/>
  <c r="J127" i="3" s="1"/>
  <c r="J126" i="3" a="1"/>
  <c r="J126" i="3" s="1"/>
  <c r="J125" i="3" a="1"/>
  <c r="J125" i="3" s="1"/>
  <c r="J124" i="3" a="1"/>
  <c r="J124" i="3" s="1"/>
  <c r="J123" i="3" a="1"/>
  <c r="J123" i="3" s="1"/>
  <c r="J122" i="3" a="1"/>
  <c r="J122" i="3" s="1"/>
  <c r="J121" i="3" a="1"/>
  <c r="J121" i="3" s="1"/>
  <c r="J120" i="3" a="1"/>
  <c r="J120" i="3" s="1"/>
  <c r="J119" i="3" a="1"/>
  <c r="J119" i="3" s="1"/>
  <c r="J118" i="3" a="1"/>
  <c r="J118" i="3" s="1"/>
  <c r="J117" i="3" a="1"/>
  <c r="J117" i="3" s="1"/>
  <c r="J116" i="3" a="1"/>
  <c r="J116" i="3" s="1"/>
  <c r="J115" i="3" a="1"/>
  <c r="J115" i="3" s="1"/>
  <c r="J114" i="3" a="1"/>
  <c r="J114" i="3" s="1"/>
  <c r="J113" i="3" a="1"/>
  <c r="J113" i="3" s="1"/>
  <c r="J112" i="3" a="1"/>
  <c r="J112" i="3" s="1"/>
  <c r="J111" i="3" a="1"/>
  <c r="J111" i="3" s="1"/>
  <c r="J110" i="3" a="1"/>
  <c r="J110" i="3" s="1"/>
  <c r="J109" i="3" a="1"/>
  <c r="J109" i="3" s="1"/>
  <c r="J108" i="3" a="1"/>
  <c r="J108" i="3" s="1"/>
  <c r="J107" i="3" a="1"/>
  <c r="J107" i="3" s="1"/>
  <c r="J106" i="3" a="1"/>
  <c r="J106" i="3" s="1"/>
  <c r="J105" i="3" a="1"/>
  <c r="J105" i="3" s="1"/>
  <c r="J41" i="3" a="1"/>
  <c r="J41" i="3" s="1"/>
  <c r="J40" i="3" a="1"/>
  <c r="J40" i="3" s="1"/>
  <c r="J742" i="3" a="1"/>
  <c r="J742" i="3" s="1"/>
  <c r="O720" i="3" a="1"/>
  <c r="O720" i="3" s="1"/>
  <c r="J718" i="3" a="1"/>
  <c r="J718" i="3" s="1"/>
  <c r="O708" i="3" a="1"/>
  <c r="O708" i="3" s="1"/>
  <c r="J679" i="3" a="1"/>
  <c r="J679" i="3" s="1"/>
  <c r="O676" i="3" a="1"/>
  <c r="O676" i="3" s="1"/>
  <c r="V648" i="3" a="1"/>
  <c r="V648" i="3" s="1"/>
  <c r="V640" i="3" a="1"/>
  <c r="V640" i="3" s="1"/>
  <c r="V636" i="3" a="1"/>
  <c r="V636" i="3" s="1"/>
  <c r="O625" i="3" a="1"/>
  <c r="O625" i="3" s="1"/>
  <c r="J602" i="3" a="1"/>
  <c r="J602" i="3" s="1"/>
  <c r="V597" i="3" a="1"/>
  <c r="V597" i="3" s="1"/>
  <c r="J585" i="3" a="1"/>
  <c r="J585" i="3" s="1"/>
  <c r="K583" i="3" a="1"/>
  <c r="K583" i="3" s="1"/>
  <c r="M583" i="3" s="1"/>
  <c r="O578" i="3" a="1"/>
  <c r="O578" i="3" s="1"/>
  <c r="K546" i="3" a="1"/>
  <c r="K546" i="3" s="1"/>
  <c r="M546" i="3" s="1"/>
  <c r="K543" i="3" a="1"/>
  <c r="K543" i="3" s="1"/>
  <c r="M543" i="3" s="1"/>
  <c r="K540" i="3" a="1"/>
  <c r="K540" i="3" s="1"/>
  <c r="M540" i="3" s="1"/>
  <c r="K522" i="3" a="1"/>
  <c r="K522" i="3" s="1"/>
  <c r="M522" i="3" s="1"/>
  <c r="V494" i="3" a="1"/>
  <c r="V494" i="3" s="1"/>
  <c r="V484" i="3" a="1"/>
  <c r="V484" i="3" s="1"/>
  <c r="R472" i="3" a="1"/>
  <c r="R472" i="3" s="1"/>
  <c r="V795" i="3" a="1"/>
  <c r="V795" i="3" s="1"/>
  <c r="O744" i="3" a="1"/>
  <c r="O744" i="3" s="1"/>
  <c r="K739" i="3" a="1"/>
  <c r="K739" i="3" s="1"/>
  <c r="M739" i="3" s="1"/>
  <c r="J683" i="3" a="1"/>
  <c r="J683" i="3" s="1"/>
  <c r="K674" i="3" a="1"/>
  <c r="K674" i="3" s="1"/>
  <c r="M674" i="3" s="1"/>
  <c r="V666" i="3" a="1"/>
  <c r="V666" i="3" s="1"/>
  <c r="J634" i="3" a="1"/>
  <c r="J634" i="3" s="1"/>
  <c r="V612" i="3" a="1"/>
  <c r="V612" i="3" s="1"/>
  <c r="V571" i="3" a="1"/>
  <c r="V571" i="3" s="1"/>
  <c r="O560" i="3" a="1"/>
  <c r="O560" i="3" s="1"/>
  <c r="O538" i="3" a="1"/>
  <c r="O538" i="3" s="1"/>
  <c r="O535" i="3" a="1"/>
  <c r="O535" i="3" s="1"/>
  <c r="O532" i="3" a="1"/>
  <c r="O532" i="3" s="1"/>
  <c r="O529" i="3" a="1"/>
  <c r="O529" i="3" s="1"/>
  <c r="O516" i="3" a="1"/>
  <c r="O516" i="3" s="1"/>
  <c r="O499" i="3" a="1"/>
  <c r="O499" i="3" s="1"/>
  <c r="O474" i="3" a="1"/>
  <c r="O474" i="3" s="1"/>
  <c r="O471" i="3" a="1"/>
  <c r="O471" i="3" s="1"/>
  <c r="V437" i="3" a="1"/>
  <c r="V437" i="3" s="1"/>
  <c r="J414" i="3" a="1"/>
  <c r="J414" i="3" s="1"/>
  <c r="J410" i="3" a="1"/>
  <c r="J410" i="3" s="1"/>
  <c r="K407" i="3" a="1"/>
  <c r="K407" i="3" s="1"/>
  <c r="M407" i="3" s="1"/>
  <c r="R404" i="3" a="1"/>
  <c r="R404" i="3" s="1"/>
  <c r="V401" i="3" a="1"/>
  <c r="V401" i="3" s="1"/>
  <c r="V400" i="3" a="1"/>
  <c r="V400" i="3" s="1"/>
  <c r="J395" i="3" a="1"/>
  <c r="J395" i="3" s="1"/>
  <c r="K394" i="3" a="1"/>
  <c r="K394" i="3" s="1"/>
  <c r="M394" i="3" s="1"/>
  <c r="K393" i="3" a="1"/>
  <c r="K393" i="3" s="1"/>
  <c r="M393" i="3" s="1"/>
  <c r="R392" i="3" a="1"/>
  <c r="R392" i="3" s="1"/>
  <c r="V389" i="3" a="1"/>
  <c r="V389" i="3" s="1"/>
  <c r="V388" i="3" a="1"/>
  <c r="V388" i="3" s="1"/>
  <c r="K383" i="3" a="1"/>
  <c r="K383" i="3" s="1"/>
  <c r="M383" i="3" s="1"/>
  <c r="K372" i="3" a="1"/>
  <c r="K372" i="3" s="1"/>
  <c r="M372" i="3" s="1"/>
  <c r="O371" i="3" a="1"/>
  <c r="O371" i="3" s="1"/>
  <c r="O350" i="3" a="1"/>
  <c r="O350" i="3" s="1"/>
  <c r="O349" i="3" a="1"/>
  <c r="O349" i="3" s="1"/>
  <c r="O348" i="3" a="1"/>
  <c r="O348" i="3" s="1"/>
  <c r="V347" i="3" a="1"/>
  <c r="V347" i="3" s="1"/>
  <c r="V346" i="3" a="1"/>
  <c r="V346" i="3" s="1"/>
  <c r="R330" i="3" a="1"/>
  <c r="R330" i="3" s="1"/>
  <c r="J299" i="3" a="1"/>
  <c r="J299" i="3" s="1"/>
  <c r="J294" i="3" a="1"/>
  <c r="J294" i="3" s="1"/>
  <c r="J290" i="3" a="1"/>
  <c r="J290" i="3" s="1"/>
  <c r="V288" i="3" a="1"/>
  <c r="V288" i="3" s="1"/>
  <c r="O284" i="3" a="1"/>
  <c r="O284" i="3" s="1"/>
  <c r="V283" i="3" a="1"/>
  <c r="V283" i="3" s="1"/>
  <c r="R269" i="3" a="1"/>
  <c r="R269" i="3" s="1"/>
  <c r="V251" i="3" a="1"/>
  <c r="V251" i="3" s="1"/>
  <c r="O238" i="3" a="1"/>
  <c r="O238" i="3" s="1"/>
  <c r="R235" i="3" a="1"/>
  <c r="R235" i="3" s="1"/>
  <c r="O234" i="3" a="1"/>
  <c r="O234" i="3" s="1"/>
  <c r="O230" i="3" a="1"/>
  <c r="O230" i="3" s="1"/>
  <c r="O226" i="3" a="1"/>
  <c r="O226" i="3" s="1"/>
  <c r="R223" i="3" a="1"/>
  <c r="R223" i="3" s="1"/>
  <c r="O222" i="3" a="1"/>
  <c r="O222" i="3" s="1"/>
  <c r="R219" i="3" a="1"/>
  <c r="R219" i="3" s="1"/>
  <c r="O218" i="3" a="1"/>
  <c r="O218" i="3" s="1"/>
  <c r="K756" i="3" a="1"/>
  <c r="K756" i="3" s="1"/>
  <c r="M756" i="3" s="1"/>
  <c r="O710" i="3" a="1"/>
  <c r="O710" i="3" s="1"/>
  <c r="R705" i="3" a="1"/>
  <c r="R705" i="3" s="1"/>
  <c r="J703" i="3" a="1"/>
  <c r="J703" i="3" s="1"/>
  <c r="O688" i="3" a="1"/>
  <c r="O688" i="3" s="1"/>
  <c r="K671" i="3" a="1"/>
  <c r="K671" i="3" s="1"/>
  <c r="M671" i="3" s="1"/>
  <c r="V656" i="3" a="1"/>
  <c r="V656" i="3" s="1"/>
  <c r="O646" i="3" a="1"/>
  <c r="O646" i="3" s="1"/>
  <c r="J642" i="3" a="1"/>
  <c r="J642" i="3" s="1"/>
  <c r="J632" i="3" a="1"/>
  <c r="J632" i="3" s="1"/>
  <c r="J623" i="3" a="1"/>
  <c r="J623" i="3" s="1"/>
  <c r="V621" i="3" a="1"/>
  <c r="V621" i="3" s="1"/>
  <c r="J616" i="3" a="1"/>
  <c r="J616" i="3" s="1"/>
  <c r="R606" i="3" a="1"/>
  <c r="R606" i="3" s="1"/>
  <c r="R588" i="3" a="1"/>
  <c r="R588" i="3" s="1"/>
  <c r="J583" i="3" a="1"/>
  <c r="J583" i="3" s="1"/>
  <c r="R581" i="3" a="1"/>
  <c r="R581" i="3" s="1"/>
  <c r="O568" i="3" a="1"/>
  <c r="O568" i="3" s="1"/>
  <c r="K529" i="3" a="1"/>
  <c r="K529" i="3" s="1"/>
  <c r="M529" i="3" s="1"/>
  <c r="K511" i="3" a="1"/>
  <c r="K511" i="3" s="1"/>
  <c r="M511" i="3" s="1"/>
  <c r="K503" i="3" a="1"/>
  <c r="K503" i="3" s="1"/>
  <c r="M503" i="3" s="1"/>
  <c r="K499" i="3" a="1"/>
  <c r="K499" i="3" s="1"/>
  <c r="M499" i="3" s="1"/>
  <c r="K498" i="3" a="1"/>
  <c r="K498" i="3" s="1"/>
  <c r="M498" i="3" s="1"/>
  <c r="R488" i="3" a="1"/>
  <c r="R488" i="3" s="1"/>
  <c r="R483" i="3" a="1"/>
  <c r="R483" i="3" s="1"/>
  <c r="O476" i="3" a="1"/>
  <c r="O476" i="3" s="1"/>
  <c r="R470" i="3" a="1"/>
  <c r="R470" i="3" s="1"/>
  <c r="R449" i="3" a="1"/>
  <c r="R449" i="3" s="1"/>
  <c r="T449" i="3" s="1"/>
  <c r="O441" i="3" a="1"/>
  <c r="O441" i="3" s="1"/>
  <c r="V434" i="3" a="1"/>
  <c r="V434" i="3" s="1"/>
  <c r="V431" i="3" a="1"/>
  <c r="V431" i="3" s="1"/>
  <c r="K411" i="3" a="1"/>
  <c r="K411" i="3" s="1"/>
  <c r="M411" i="3" s="1"/>
  <c r="J407" i="3" a="1"/>
  <c r="J407" i="3" s="1"/>
  <c r="O406" i="3" a="1"/>
  <c r="O406" i="3" s="1"/>
  <c r="K404" i="3" a="1"/>
  <c r="K404" i="3" s="1"/>
  <c r="M404" i="3" s="1"/>
  <c r="O402" i="3" a="1"/>
  <c r="O402" i="3" s="1"/>
  <c r="J394" i="3" a="1"/>
  <c r="J394" i="3" s="1"/>
  <c r="J393" i="3" a="1"/>
  <c r="J393" i="3" s="1"/>
  <c r="J363" i="3" a="1"/>
  <c r="J363" i="3" s="1"/>
  <c r="J362" i="3" a="1"/>
  <c r="J362" i="3" s="1"/>
  <c r="O340" i="3" a="1"/>
  <c r="O340" i="3" s="1"/>
  <c r="J324" i="3" a="1"/>
  <c r="J324" i="3" s="1"/>
  <c r="J323" i="3" a="1"/>
  <c r="J323" i="3" s="1"/>
  <c r="V320" i="3" a="1"/>
  <c r="V320" i="3" s="1"/>
  <c r="K313" i="3" a="1"/>
  <c r="K313" i="3" s="1"/>
  <c r="M313" i="3" s="1"/>
  <c r="K312" i="3" a="1"/>
  <c r="K312" i="3" s="1"/>
  <c r="M312" i="3" s="1"/>
  <c r="R301" i="3" a="1"/>
  <c r="R301" i="3" s="1"/>
  <c r="O289" i="3" a="1"/>
  <c r="O289" i="3" s="1"/>
  <c r="V268" i="3" a="1"/>
  <c r="V268" i="3" s="1"/>
  <c r="J253" i="3" a="1"/>
  <c r="J253" i="3" s="1"/>
  <c r="J237" i="3" a="1"/>
  <c r="J237" i="3" s="1"/>
  <c r="J233" i="3" a="1"/>
  <c r="J233" i="3" s="1"/>
  <c r="J229" i="3" a="1"/>
  <c r="J229" i="3" s="1"/>
  <c r="J225" i="3" a="1"/>
  <c r="J225" i="3" s="1"/>
  <c r="J221" i="3" a="1"/>
  <c r="J221" i="3" s="1"/>
  <c r="O167" i="3" a="1"/>
  <c r="O167" i="3" s="1"/>
  <c r="O166" i="3" a="1"/>
  <c r="O166" i="3" s="1"/>
  <c r="O165" i="3" a="1"/>
  <c r="O165" i="3" s="1"/>
  <c r="R144" i="3" a="1"/>
  <c r="R144" i="3" s="1"/>
  <c r="V140" i="3" a="1"/>
  <c r="V140" i="3" s="1"/>
  <c r="V139" i="3" a="1"/>
  <c r="V139" i="3" s="1"/>
  <c r="V138" i="3" a="1"/>
  <c r="V138" i="3" s="1"/>
  <c r="V137" i="3" a="1"/>
  <c r="V137" i="3" s="1"/>
  <c r="V136" i="3" a="1"/>
  <c r="V136" i="3" s="1"/>
  <c r="V135" i="3" a="1"/>
  <c r="V135" i="3" s="1"/>
  <c r="V134" i="3" a="1"/>
  <c r="V134" i="3" s="1"/>
  <c r="V133" i="3" a="1"/>
  <c r="V133" i="3" s="1"/>
  <c r="V132" i="3" a="1"/>
  <c r="V132" i="3" s="1"/>
  <c r="V131" i="3" a="1"/>
  <c r="V131" i="3" s="1"/>
  <c r="V130" i="3" a="1"/>
  <c r="V130" i="3" s="1"/>
  <c r="V129" i="3" a="1"/>
  <c r="V129" i="3" s="1"/>
  <c r="V128" i="3" a="1"/>
  <c r="V128" i="3" s="1"/>
  <c r="V127" i="3" a="1"/>
  <c r="V127" i="3" s="1"/>
  <c r="V126" i="3" a="1"/>
  <c r="V126" i="3" s="1"/>
  <c r="V125" i="3" a="1"/>
  <c r="V125" i="3" s="1"/>
  <c r="V124" i="3" a="1"/>
  <c r="V124" i="3" s="1"/>
  <c r="V123" i="3" a="1"/>
  <c r="V123" i="3" s="1"/>
  <c r="V122" i="3" a="1"/>
  <c r="V122" i="3" s="1"/>
  <c r="V121" i="3" a="1"/>
  <c r="V121" i="3" s="1"/>
  <c r="V120" i="3" a="1"/>
  <c r="V120" i="3" s="1"/>
  <c r="V119" i="3" a="1"/>
  <c r="V119" i="3" s="1"/>
  <c r="V118" i="3" a="1"/>
  <c r="V118" i="3" s="1"/>
  <c r="V117" i="3" a="1"/>
  <c r="V117" i="3" s="1"/>
  <c r="V116" i="3" a="1"/>
  <c r="V116" i="3" s="1"/>
  <c r="V115" i="3" a="1"/>
  <c r="V115" i="3" s="1"/>
  <c r="V114" i="3" a="1"/>
  <c r="V114" i="3" s="1"/>
  <c r="V113" i="3" a="1"/>
  <c r="V113" i="3" s="1"/>
  <c r="V112" i="3" a="1"/>
  <c r="V112" i="3" s="1"/>
  <c r="V111" i="3" a="1"/>
  <c r="V111" i="3" s="1"/>
  <c r="V110" i="3" a="1"/>
  <c r="V110" i="3" s="1"/>
  <c r="V109" i="3" a="1"/>
  <c r="V109" i="3" s="1"/>
  <c r="V108" i="3" a="1"/>
  <c r="V108" i="3" s="1"/>
  <c r="V107" i="3" a="1"/>
  <c r="V107" i="3" s="1"/>
  <c r="V106" i="3" a="1"/>
  <c r="V106" i="3" s="1"/>
  <c r="V105" i="3" a="1"/>
  <c r="V105" i="3" s="1"/>
  <c r="V41" i="3" a="1"/>
  <c r="V41" i="3" s="1"/>
  <c r="V40" i="3" a="1"/>
  <c r="V40" i="3" s="1"/>
  <c r="R28" i="3" a="1"/>
  <c r="R28" i="3" s="1"/>
  <c r="C126" i="6"/>
  <c r="C136" i="6"/>
  <c r="B136" i="6"/>
  <c r="P51" i="10"/>
  <c r="N51" i="10"/>
  <c r="E51" i="10"/>
  <c r="B51" i="10" a="1"/>
  <c r="B51" i="10" s="1"/>
  <c r="L51" i="10"/>
  <c r="J51" i="10"/>
  <c r="I51" i="10"/>
  <c r="H51" i="10"/>
  <c r="E863" i="1" a="1"/>
  <c r="E863" i="1" s="1"/>
  <c r="S863" i="1"/>
  <c r="C863" i="1" a="1"/>
  <c r="C863" i="1" s="1"/>
  <c r="E895" i="1" a="1"/>
  <c r="E895" i="1" s="1"/>
  <c r="S895" i="1"/>
  <c r="C895" i="1" a="1"/>
  <c r="C895" i="1" s="1"/>
  <c r="O87" i="3" a="1"/>
  <c r="O87" i="3" s="1"/>
  <c r="K87" i="3" a="1"/>
  <c r="K87" i="3" s="1"/>
  <c r="M87" i="3" s="1"/>
  <c r="J87" i="3" a="1"/>
  <c r="J87" i="3" s="1"/>
  <c r="O100" i="3" a="1"/>
  <c r="O100" i="3" s="1"/>
  <c r="K100" i="3" a="1"/>
  <c r="K100" i="3" s="1"/>
  <c r="M100" i="3" s="1"/>
  <c r="R380" i="3" a="1"/>
  <c r="R380" i="3" s="1"/>
  <c r="J451" i="3" a="1"/>
  <c r="J451" i="3" s="1"/>
  <c r="R485" i="3" a="1"/>
  <c r="R485" i="3" s="1"/>
  <c r="O485" i="3" a="1"/>
  <c r="O485" i="3" s="1"/>
  <c r="V485" i="3" a="1"/>
  <c r="V485" i="3" s="1"/>
  <c r="C10" i="6"/>
  <c r="C76" i="6"/>
  <c r="B76" i="6"/>
  <c r="L208" i="11" a="1"/>
  <c r="L208" i="11" s="1"/>
  <c r="H208" i="11" a="1"/>
  <c r="H208" i="11" s="1"/>
  <c r="M561" i="11"/>
  <c r="L561" i="11" a="1"/>
  <c r="L561" i="11" s="1"/>
  <c r="I561" i="11"/>
  <c r="H561" i="11" a="1"/>
  <c r="H561" i="11" s="1"/>
  <c r="O84" i="3" a="1"/>
  <c r="O84" i="3" s="1"/>
  <c r="K84" i="3" a="1"/>
  <c r="K84" i="3" s="1"/>
  <c r="M84" i="3" s="1"/>
  <c r="R97" i="3" a="1"/>
  <c r="R97" i="3" s="1"/>
  <c r="O97" i="3" a="1"/>
  <c r="O97" i="3" s="1"/>
  <c r="K254" i="3" a="1"/>
  <c r="K254" i="3" s="1"/>
  <c r="M254" i="3" s="1"/>
  <c r="R339" i="3" a="1"/>
  <c r="R339" i="3" s="1"/>
  <c r="R377" i="3" a="1"/>
  <c r="R377" i="3" s="1"/>
  <c r="V377" i="3" a="1"/>
  <c r="V377" i="3" s="1"/>
  <c r="O377" i="3" a="1"/>
  <c r="O377" i="3" s="1"/>
  <c r="J378" i="3" a="1"/>
  <c r="J378" i="3" s="1"/>
  <c r="C36" i="6"/>
  <c r="C100" i="6"/>
  <c r="C164" i="6"/>
  <c r="H177" i="11" a="1"/>
  <c r="H177" i="11" s="1"/>
  <c r="L177" i="11" a="1"/>
  <c r="L177" i="11" s="1"/>
  <c r="L182" i="11" a="1"/>
  <c r="L182" i="11" s="1"/>
  <c r="H182" i="11" a="1"/>
  <c r="H182" i="11" s="1"/>
  <c r="R34" i="3" a="1"/>
  <c r="R34" i="3" s="1"/>
  <c r="O37" i="3" a="1"/>
  <c r="O37" i="3" s="1"/>
  <c r="J37" i="3" a="1"/>
  <c r="J37" i="3" s="1"/>
  <c r="O54" i="3" a="1"/>
  <c r="O54" i="3" s="1"/>
  <c r="J54" i="3" a="1"/>
  <c r="J54" i="3" s="1"/>
  <c r="R81" i="3" a="1"/>
  <c r="R81" i="3" s="1"/>
  <c r="O81" i="3" a="1"/>
  <c r="O81" i="3" s="1"/>
  <c r="O153" i="3" a="1"/>
  <c r="O153" i="3" s="1"/>
  <c r="J153" i="3" a="1"/>
  <c r="J153" i="3" s="1"/>
  <c r="Q174" i="3"/>
  <c r="AB174" i="3"/>
  <c r="O212" i="3" a="1"/>
  <c r="O212" i="3" s="1"/>
  <c r="AC241" i="3"/>
  <c r="AA241" i="3"/>
  <c r="R242" i="3" a="1"/>
  <c r="R242" i="3" s="1"/>
  <c r="O242" i="3" a="1"/>
  <c r="O242" i="3" s="1"/>
  <c r="K242" i="3" a="1"/>
  <c r="K242" i="3" s="1"/>
  <c r="M242" i="3" s="1"/>
  <c r="O254" i="3" a="1"/>
  <c r="O254" i="3" s="1"/>
  <c r="K296" i="3" a="1"/>
  <c r="K296" i="3" s="1"/>
  <c r="M296" i="3" s="1"/>
  <c r="J296" i="3" a="1"/>
  <c r="J296" i="3" s="1"/>
  <c r="E240" i="4" a="1"/>
  <c r="E240" i="4" s="1"/>
  <c r="G249" i="14" s="1" a="1"/>
  <c r="G249" i="14" s="1"/>
  <c r="F240" i="4" a="1"/>
  <c r="F240" i="4" s="1"/>
  <c r="A652" i="5" a="1"/>
  <c r="A652" i="5" s="1"/>
  <c r="B123" i="6"/>
  <c r="D123" i="6" s="1"/>
  <c r="E123" i="6" s="1"/>
  <c r="B133" i="6"/>
  <c r="D133" i="6" s="1"/>
  <c r="E133" i="6" s="1"/>
  <c r="L183" i="11" a="1"/>
  <c r="L183" i="11" s="1"/>
  <c r="H183" i="11" a="1"/>
  <c r="H183" i="11" s="1"/>
  <c r="H496" i="11" a="1"/>
  <c r="H496" i="11" s="1"/>
  <c r="I496" i="11"/>
  <c r="L496" i="11" a="1"/>
  <c r="L496" i="11" s="1"/>
  <c r="H520" i="11" a="1"/>
  <c r="H520" i="11" s="1"/>
  <c r="I520" i="11"/>
  <c r="M520" i="11"/>
  <c r="L520" i="11" a="1"/>
  <c r="L520" i="11" s="1"/>
  <c r="R31" i="3" a="1"/>
  <c r="R31" i="3" s="1"/>
  <c r="K47" i="3" a="1"/>
  <c r="K47" i="3" s="1"/>
  <c r="M47" i="3" s="1"/>
  <c r="K67" i="3" a="1"/>
  <c r="K67" i="3" s="1"/>
  <c r="M67" i="3" s="1"/>
  <c r="O71" i="3" a="1"/>
  <c r="O71" i="3" s="1"/>
  <c r="K71" i="3" a="1"/>
  <c r="K71" i="3" s="1"/>
  <c r="M71" i="3" s="1"/>
  <c r="J71" i="3" a="1"/>
  <c r="J71" i="3" s="1"/>
  <c r="P77" i="3"/>
  <c r="S77" i="3" s="1"/>
  <c r="J84" i="3" a="1"/>
  <c r="J84" i="3" s="1"/>
  <c r="P89" i="3"/>
  <c r="S89" i="3" s="1"/>
  <c r="J97" i="3" a="1"/>
  <c r="J97" i="3" s="1"/>
  <c r="P143" i="3"/>
  <c r="S143" i="3" s="1"/>
  <c r="R147" i="3" a="1"/>
  <c r="R147" i="3" s="1"/>
  <c r="P161" i="3"/>
  <c r="S161" i="3" s="1"/>
  <c r="P169" i="3"/>
  <c r="S169" i="3" s="1"/>
  <c r="R170" i="3" a="1"/>
  <c r="R170" i="3" s="1"/>
  <c r="K170" i="3" a="1"/>
  <c r="K170" i="3" s="1"/>
  <c r="M170" i="3" s="1"/>
  <c r="J170" i="3" a="1"/>
  <c r="J170" i="3" s="1"/>
  <c r="P174" i="3"/>
  <c r="S174" i="3" s="1"/>
  <c r="K187" i="3" a="1"/>
  <c r="K187" i="3" s="1"/>
  <c r="M187" i="3" s="1"/>
  <c r="J187" i="3" a="1"/>
  <c r="J187" i="3" s="1"/>
  <c r="Q191" i="3"/>
  <c r="S191" i="3" s="1"/>
  <c r="P208" i="3"/>
  <c r="P241" i="3"/>
  <c r="R243" i="3" a="1"/>
  <c r="R243" i="3" s="1"/>
  <c r="O243" i="3" a="1"/>
  <c r="O243" i="3" s="1"/>
  <c r="V261" i="3" a="1"/>
  <c r="V261" i="3" s="1"/>
  <c r="V293" i="3" a="1"/>
  <c r="V293" i="3" s="1"/>
  <c r="R293" i="3" a="1"/>
  <c r="R293" i="3" s="1"/>
  <c r="O296" i="3" a="1"/>
  <c r="O296" i="3" s="1"/>
  <c r="J377" i="3" a="1"/>
  <c r="J377" i="3" s="1"/>
  <c r="R721" i="3" a="1"/>
  <c r="R721" i="3" s="1"/>
  <c r="O721" i="3" a="1"/>
  <c r="O721" i="3" s="1"/>
  <c r="K721" i="3" a="1"/>
  <c r="K721" i="3" s="1"/>
  <c r="M721" i="3" s="1"/>
  <c r="J721" i="3" a="1"/>
  <c r="J721" i="3" s="1"/>
  <c r="F321" i="4" a="1"/>
  <c r="F321" i="4" s="1"/>
  <c r="E321" i="4" a="1"/>
  <c r="E321" i="4" s="1"/>
  <c r="B17" i="10" a="1"/>
  <c r="B17" i="10" s="1"/>
  <c r="H2" i="11" a="1"/>
  <c r="H2" i="11" s="1"/>
  <c r="L2" i="11" a="1"/>
  <c r="L2" i="11" s="1"/>
  <c r="B4" i="11"/>
  <c r="L11" i="11" a="1"/>
  <c r="L11" i="11" s="1"/>
  <c r="H11" i="11" a="1"/>
  <c r="H11" i="11" s="1"/>
  <c r="B75" i="11"/>
  <c r="J34" i="3" a="1"/>
  <c r="J34" i="3" s="1"/>
  <c r="K37" i="3" a="1"/>
  <c r="K37" i="3" s="1"/>
  <c r="M37" i="3" s="1"/>
  <c r="K54" i="3" a="1"/>
  <c r="K54" i="3" s="1"/>
  <c r="M54" i="3" s="1"/>
  <c r="O67" i="3" a="1"/>
  <c r="O67" i="3" s="1"/>
  <c r="O68" i="3" a="1"/>
  <c r="O68" i="3" s="1"/>
  <c r="K68" i="3" a="1"/>
  <c r="K68" i="3" s="1"/>
  <c r="M68" i="3" s="1"/>
  <c r="J81" i="3" a="1"/>
  <c r="J81" i="3" s="1"/>
  <c r="R103" i="3" a="1"/>
  <c r="R103" i="3" s="1"/>
  <c r="J150" i="3" a="1"/>
  <c r="J150" i="3" s="1"/>
  <c r="K153" i="3" a="1"/>
  <c r="K153" i="3" s="1"/>
  <c r="M153" i="3" s="1"/>
  <c r="R204" i="3" a="1"/>
  <c r="R204" i="3" s="1"/>
  <c r="K204" i="3" a="1"/>
  <c r="K204" i="3" s="1"/>
  <c r="M204" i="3" s="1"/>
  <c r="J204" i="3" a="1"/>
  <c r="J204" i="3" s="1"/>
  <c r="Q208" i="3"/>
  <c r="V212" i="3" a="1"/>
  <c r="V212" i="3" s="1"/>
  <c r="Q241" i="3"/>
  <c r="J242" i="3" a="1"/>
  <c r="J242" i="3" s="1"/>
  <c r="O244" i="3" a="1"/>
  <c r="O244" i="3" s="1"/>
  <c r="V244" i="3" a="1"/>
  <c r="V244" i="3" s="1"/>
  <c r="R244" i="3" a="1"/>
  <c r="R244" i="3" s="1"/>
  <c r="O292" i="3" a="1"/>
  <c r="O292" i="3" s="1"/>
  <c r="J292" i="3" a="1"/>
  <c r="J292" i="3" s="1"/>
  <c r="R292" i="3" a="1"/>
  <c r="R292" i="3" s="1"/>
  <c r="K302" i="3" a="1"/>
  <c r="K302" i="3" s="1"/>
  <c r="M302" i="3" s="1"/>
  <c r="J302" i="3" a="1"/>
  <c r="J302" i="3" s="1"/>
  <c r="V302" i="3" a="1"/>
  <c r="V302" i="3" s="1"/>
  <c r="O302" i="3" a="1"/>
  <c r="O302" i="3" s="1"/>
  <c r="E159" i="4" a="1"/>
  <c r="E159" i="4" s="1"/>
  <c r="F159" i="4" a="1"/>
  <c r="F159" i="4" s="1"/>
  <c r="E211" i="4" a="1"/>
  <c r="E211" i="4" s="1"/>
  <c r="F211" i="4" a="1"/>
  <c r="F211" i="4" s="1"/>
  <c r="H220" i="14" s="1" a="1"/>
  <c r="H220" i="14" s="1"/>
  <c r="A40" i="5" a="1"/>
  <c r="A40" i="5" s="1"/>
  <c r="B127" i="6"/>
  <c r="D127" i="6" s="1"/>
  <c r="E127" i="6" s="1"/>
  <c r="B161" i="6"/>
  <c r="D42" i="2" s="1" a="1"/>
  <c r="D42" i="2" s="1"/>
  <c r="E65" i="10"/>
  <c r="H12" i="11" a="1"/>
  <c r="H12" i="11" s="1"/>
  <c r="L12" i="11" a="1"/>
  <c r="L12" i="11" s="1"/>
  <c r="B62" i="11"/>
  <c r="B185" i="11"/>
  <c r="H185" i="11" a="1"/>
  <c r="H185" i="11" s="1"/>
  <c r="B284" i="11"/>
  <c r="B286" i="11"/>
  <c r="H286" i="11" a="1"/>
  <c r="H286" i="11" s="1"/>
  <c r="L291" i="11" a="1"/>
  <c r="L291" i="11" s="1"/>
  <c r="H291" i="11" a="1"/>
  <c r="H291" i="11" s="1"/>
  <c r="B380" i="11"/>
  <c r="L705" i="11" a="1"/>
  <c r="L705" i="11" s="1"/>
  <c r="I705" i="11"/>
  <c r="M705" i="11"/>
  <c r="H705" i="11" a="1"/>
  <c r="H705" i="11" s="1"/>
  <c r="H721" i="11" a="1"/>
  <c r="H721" i="11" s="1"/>
  <c r="L721" i="11" a="1"/>
  <c r="L721" i="11" s="1"/>
  <c r="I721" i="11"/>
  <c r="M721" i="11"/>
  <c r="V252" i="3" a="1"/>
  <c r="V252" i="3" s="1"/>
  <c r="K263" i="3" a="1"/>
  <c r="K263" i="3" s="1"/>
  <c r="M263" i="3" s="1"/>
  <c r="R304" i="3" a="1"/>
  <c r="R304" i="3" s="1"/>
  <c r="A202" i="4"/>
  <c r="E52" i="3" s="1" a="1"/>
  <c r="E52" i="3" s="1"/>
  <c r="F385" i="4" a="1"/>
  <c r="F385" i="4" s="1"/>
  <c r="H394" i="14" s="1" a="1"/>
  <c r="H394" i="14" s="1"/>
  <c r="E385" i="4" a="1"/>
  <c r="E385" i="4" s="1"/>
  <c r="C69" i="1" s="1" a="1"/>
  <c r="C69" i="1" s="1"/>
  <c r="A431" i="4"/>
  <c r="E307" i="3" s="1" a="1"/>
  <c r="E307" i="3" s="1"/>
  <c r="H389" i="11" a="1"/>
  <c r="H389" i="11" s="1"/>
  <c r="H10" i="11" a="1"/>
  <c r="H10" i="11" s="1"/>
  <c r="H413" i="11" a="1"/>
  <c r="H413" i="11" s="1"/>
  <c r="A5" i="5" a="1"/>
  <c r="A5" i="5" s="1"/>
  <c r="A83" i="5" a="1"/>
  <c r="A83" i="5" s="1"/>
  <c r="A87" i="5" a="1"/>
  <c r="A87" i="5" s="1"/>
  <c r="A103" i="5" a="1"/>
  <c r="A103" i="5" s="1"/>
  <c r="A466" i="5" a="1"/>
  <c r="A466" i="5" s="1"/>
  <c r="A474" i="5" a="1"/>
  <c r="A474" i="5" s="1"/>
  <c r="A482" i="5" a="1"/>
  <c r="A482" i="5" s="1"/>
  <c r="A490" i="5" a="1"/>
  <c r="A490" i="5" s="1"/>
  <c r="A498" i="5" a="1"/>
  <c r="A498" i="5" s="1"/>
  <c r="A506" i="5" a="1"/>
  <c r="A506" i="5" s="1"/>
  <c r="A514" i="5" a="1"/>
  <c r="A514" i="5" s="1"/>
  <c r="A522" i="5" a="1"/>
  <c r="A522" i="5" s="1"/>
  <c r="A530" i="5" a="1"/>
  <c r="A530" i="5" s="1"/>
  <c r="A538" i="5" a="1"/>
  <c r="A538" i="5" s="1"/>
  <c r="A546" i="5" a="1"/>
  <c r="A546" i="5" s="1"/>
  <c r="A554" i="5" a="1"/>
  <c r="A554" i="5" s="1"/>
  <c r="A562" i="5" a="1"/>
  <c r="A562" i="5" s="1"/>
  <c r="A570" i="5" a="1"/>
  <c r="A570" i="5" s="1"/>
  <c r="A578" i="5" a="1"/>
  <c r="A578" i="5" s="1"/>
  <c r="A586" i="5" a="1"/>
  <c r="A586" i="5" s="1"/>
  <c r="A594" i="5" a="1"/>
  <c r="A594" i="5" s="1"/>
  <c r="A851" i="5" a="1"/>
  <c r="A851" i="5" s="1"/>
  <c r="A865" i="5" a="1"/>
  <c r="A865" i="5" s="1"/>
  <c r="C68" i="6"/>
  <c r="B80" i="6"/>
  <c r="D80" i="6" s="1"/>
  <c r="E80" i="6" s="1"/>
  <c r="C95" i="6"/>
  <c r="B168" i="6"/>
  <c r="P23" i="10"/>
  <c r="N23" i="10"/>
  <c r="E23" i="10"/>
  <c r="B23" i="10" a="1"/>
  <c r="B23" i="10" s="1"/>
  <c r="O23" i="10"/>
  <c r="K23" i="10"/>
  <c r="I23" i="10"/>
  <c r="H23" i="10"/>
  <c r="B46" i="10" a="1"/>
  <c r="B46" i="10" s="1"/>
  <c r="O66" i="10"/>
  <c r="N80" i="10"/>
  <c r="M80" i="10"/>
  <c r="J80" i="10"/>
  <c r="I80" i="10"/>
  <c r="H80" i="10"/>
  <c r="E80" i="10"/>
  <c r="L150" i="11" a="1"/>
  <c r="L150" i="11" s="1"/>
  <c r="H150" i="11" a="1"/>
  <c r="H150" i="11" s="1"/>
  <c r="L257" i="11" a="1"/>
  <c r="L257" i="11" s="1"/>
  <c r="H257" i="11" a="1"/>
  <c r="H257" i="11" s="1"/>
  <c r="H301" i="11" a="1"/>
  <c r="H301" i="11" s="1"/>
  <c r="H330" i="11" a="1"/>
  <c r="H330" i="11" s="1"/>
  <c r="L330" i="11" a="1"/>
  <c r="L330" i="11" s="1"/>
  <c r="L737" i="11" a="1"/>
  <c r="L737" i="11" s="1"/>
  <c r="I737" i="11"/>
  <c r="M737" i="11"/>
  <c r="H737" i="11" a="1"/>
  <c r="H737" i="11" s="1"/>
  <c r="G359" i="14" a="1"/>
  <c r="G359" i="14" s="1"/>
  <c r="R29" i="3" a="1"/>
  <c r="R29" i="3" s="1"/>
  <c r="R46" i="3" a="1"/>
  <c r="R46" i="3" s="1"/>
  <c r="R62" i="3" a="1"/>
  <c r="R62" i="3" s="1"/>
  <c r="T62" i="3" s="1"/>
  <c r="R78" i="3" a="1"/>
  <c r="R78" i="3" s="1"/>
  <c r="R94" i="3" a="1"/>
  <c r="R94" i="3" s="1"/>
  <c r="R145" i="3" a="1"/>
  <c r="R145" i="3" s="1"/>
  <c r="R161" i="3" a="1"/>
  <c r="R161" i="3" s="1"/>
  <c r="J182" i="3" a="1"/>
  <c r="J182" i="3" s="1"/>
  <c r="J252" i="3" a="1"/>
  <c r="J252" i="3" s="1"/>
  <c r="V257" i="3" a="1"/>
  <c r="V257" i="3" s="1"/>
  <c r="K331" i="3" a="1"/>
  <c r="K331" i="3" s="1"/>
  <c r="M331" i="3" s="1"/>
  <c r="J331" i="3" a="1"/>
  <c r="J331" i="3" s="1"/>
  <c r="R722" i="3" a="1"/>
  <c r="R722" i="3" s="1"/>
  <c r="O722" i="3" a="1"/>
  <c r="O722" i="3" s="1"/>
  <c r="V722" i="3" a="1"/>
  <c r="V722" i="3" s="1"/>
  <c r="K722" i="3" a="1"/>
  <c r="K722" i="3" s="1"/>
  <c r="M722" i="3" s="1"/>
  <c r="J722" i="3" a="1"/>
  <c r="J722" i="3" s="1"/>
  <c r="F40" i="4" a="1"/>
  <c r="F40" i="4" s="1"/>
  <c r="H49" i="14" s="1" a="1"/>
  <c r="H49" i="14" s="1"/>
  <c r="E40" i="4" a="1"/>
  <c r="E40" i="4" s="1"/>
  <c r="F93" i="4" a="1"/>
  <c r="F93" i="4" s="1"/>
  <c r="E93" i="4" a="1"/>
  <c r="E93" i="4" s="1"/>
  <c r="E117" i="4" a="1"/>
  <c r="E117" i="4" s="1"/>
  <c r="F313" i="4" a="1"/>
  <c r="F313" i="4" s="1"/>
  <c r="A788" i="5" a="1"/>
  <c r="A788" i="5" s="1"/>
  <c r="A929" i="5" a="1"/>
  <c r="A929" i="5" s="1"/>
  <c r="B2" i="6"/>
  <c r="D2" i="6" s="1"/>
  <c r="E2" i="6" s="1"/>
  <c r="C44" i="6"/>
  <c r="B44" i="6"/>
  <c r="D44" i="6" s="1"/>
  <c r="E44" i="6" s="1"/>
  <c r="C53" i="6"/>
  <c r="B59" i="6"/>
  <c r="B74" i="6"/>
  <c r="B116" i="6"/>
  <c r="D116" i="6" s="1"/>
  <c r="E116" i="6" s="1"/>
  <c r="C152" i="6"/>
  <c r="C168" i="6"/>
  <c r="B66" i="10" a="1"/>
  <c r="B66" i="10" s="1"/>
  <c r="B80" i="10" a="1"/>
  <c r="B80" i="10" s="1"/>
  <c r="B24" i="11"/>
  <c r="H25" i="11" a="1"/>
  <c r="H25" i="11" s="1"/>
  <c r="H52" i="11" a="1"/>
  <c r="H52" i="11" s="1"/>
  <c r="L52" i="11" a="1"/>
  <c r="L52" i="11" s="1"/>
  <c r="H331" i="11" a="1"/>
  <c r="H331" i="11" s="1"/>
  <c r="L331" i="11" a="1"/>
  <c r="L331" i="11" s="1"/>
  <c r="B420" i="11"/>
  <c r="H431" i="11" a="1"/>
  <c r="H431" i="11" s="1"/>
  <c r="L431" i="11" a="1"/>
  <c r="L431" i="11" s="1"/>
  <c r="K728" i="3" a="1"/>
  <c r="K728" i="3" s="1"/>
  <c r="M728" i="3" s="1"/>
  <c r="R728" i="3" a="1"/>
  <c r="R728" i="3" s="1"/>
  <c r="V728" i="3" a="1"/>
  <c r="V728" i="3" s="1"/>
  <c r="O728" i="3" a="1"/>
  <c r="O728" i="3" s="1"/>
  <c r="J728" i="3" a="1"/>
  <c r="J728" i="3" s="1"/>
  <c r="E169" i="4" a="1"/>
  <c r="E169" i="4" s="1"/>
  <c r="C26" i="1" s="1" a="1"/>
  <c r="C26" i="1" s="1"/>
  <c r="F169" i="4" a="1"/>
  <c r="F169" i="4" s="1"/>
  <c r="F183" i="4" a="1"/>
  <c r="F183" i="4" s="1"/>
  <c r="E183" i="4" a="1"/>
  <c r="E183" i="4" s="1"/>
  <c r="G192" i="14" s="1" a="1"/>
  <c r="G192" i="14" s="1"/>
  <c r="E288" i="4" a="1"/>
  <c r="E288" i="4" s="1"/>
  <c r="F288" i="4" a="1"/>
  <c r="F288" i="4" s="1"/>
  <c r="C20" i="6"/>
  <c r="C41" i="6"/>
  <c r="B56" i="6"/>
  <c r="D56" i="6" s="1"/>
  <c r="E56" i="6" s="1"/>
  <c r="C59" i="6"/>
  <c r="C65" i="6"/>
  <c r="C74" i="6"/>
  <c r="C89" i="6"/>
  <c r="C101" i="6"/>
  <c r="C104" i="6"/>
  <c r="B104" i="6"/>
  <c r="D104" i="6" s="1"/>
  <c r="E104" i="6" s="1"/>
  <c r="C113" i="6"/>
  <c r="B119" i="6"/>
  <c r="C155" i="6"/>
  <c r="B4" i="10" a="1"/>
  <c r="B4" i="10" s="1"/>
  <c r="P25" i="10"/>
  <c r="N25" i="10"/>
  <c r="M25" i="10"/>
  <c r="O25" i="10"/>
  <c r="L25" i="10"/>
  <c r="K25" i="10"/>
  <c r="I25" i="10"/>
  <c r="H25" i="10"/>
  <c r="J25" i="10"/>
  <c r="E25" i="10"/>
  <c r="B25" i="10" a="1"/>
  <c r="B25" i="10" s="1"/>
  <c r="B53" i="10" a="1"/>
  <c r="B53" i="10" s="1"/>
  <c r="L26" i="11" a="1"/>
  <c r="L26" i="11" s="1"/>
  <c r="H26" i="11" a="1"/>
  <c r="H26" i="11" s="1"/>
  <c r="L27" i="11" a="1"/>
  <c r="L27" i="11" s="1"/>
  <c r="H27" i="11" a="1"/>
  <c r="H27" i="11" s="1"/>
  <c r="H223" i="11" a="1"/>
  <c r="H223" i="11" s="1"/>
  <c r="L239" i="11" a="1"/>
  <c r="L239" i="11" s="1"/>
  <c r="H239" i="11" a="1"/>
  <c r="H239" i="11" s="1"/>
  <c r="H846" i="11" a="1"/>
  <c r="H846" i="11" s="1"/>
  <c r="I846" i="11"/>
  <c r="M846" i="11"/>
  <c r="L846" i="11" a="1"/>
  <c r="L846" i="11" s="1"/>
  <c r="E247" i="14" a="1"/>
  <c r="E247" i="14" s="1"/>
  <c r="V27" i="3" a="1"/>
  <c r="V27" i="3" s="1"/>
  <c r="V174" i="3" a="1"/>
  <c r="V174" i="3" s="1"/>
  <c r="K182" i="3" a="1"/>
  <c r="K182" i="3" s="1"/>
  <c r="M182" i="3" s="1"/>
  <c r="V208" i="3" a="1"/>
  <c r="V208" i="3" s="1"/>
  <c r="K210" i="3" a="1"/>
  <c r="K210" i="3" s="1"/>
  <c r="M210" i="3" s="1"/>
  <c r="R240" i="3" a="1"/>
  <c r="R240" i="3" s="1"/>
  <c r="K252" i="3" a="1"/>
  <c r="K252" i="3" s="1"/>
  <c r="M252" i="3" s="1"/>
  <c r="V333" i="3" a="1"/>
  <c r="V333" i="3" s="1"/>
  <c r="R333" i="3" a="1"/>
  <c r="R333" i="3" s="1"/>
  <c r="V454" i="3" a="1"/>
  <c r="V454" i="3" s="1"/>
  <c r="R454" i="3" a="1"/>
  <c r="R454" i="3" s="1"/>
  <c r="O454" i="3" a="1"/>
  <c r="O454" i="3" s="1"/>
  <c r="V724" i="3" a="1"/>
  <c r="V724" i="3" s="1"/>
  <c r="R724" i="3" a="1"/>
  <c r="R724" i="3" s="1"/>
  <c r="O724" i="3" a="1"/>
  <c r="O724" i="3" s="1"/>
  <c r="K724" i="3" a="1"/>
  <c r="K724" i="3" s="1"/>
  <c r="M724" i="3" s="1"/>
  <c r="K730" i="3" a="1"/>
  <c r="K730" i="3" s="1"/>
  <c r="M730" i="3" s="1"/>
  <c r="J730" i="3" a="1"/>
  <c r="J730" i="3" s="1"/>
  <c r="V730" i="3" a="1"/>
  <c r="V730" i="3" s="1"/>
  <c r="R730" i="3" a="1"/>
  <c r="R730" i="3" s="1"/>
  <c r="O730" i="3" a="1"/>
  <c r="O730" i="3" s="1"/>
  <c r="E442" i="14" a="1"/>
  <c r="E442" i="14" s="1"/>
  <c r="G438" i="14" a="1"/>
  <c r="G438" i="14" s="1"/>
  <c r="H436" i="14" a="1"/>
  <c r="H436" i="14" s="1"/>
  <c r="E433" i="14" a="1"/>
  <c r="E433" i="14" s="1"/>
  <c r="G422" i="14" a="1"/>
  <c r="G422" i="14" s="1"/>
  <c r="H420" i="14" a="1"/>
  <c r="H420" i="14" s="1"/>
  <c r="E417" i="14" a="1"/>
  <c r="E417" i="14" s="1"/>
  <c r="G406" i="14" a="1"/>
  <c r="G406" i="14" s="1"/>
  <c r="H404" i="14" a="1"/>
  <c r="H404" i="14" s="1"/>
  <c r="E401" i="14" a="1"/>
  <c r="E401" i="14" s="1"/>
  <c r="G390" i="14" a="1"/>
  <c r="G390" i="14" s="1"/>
  <c r="H388" i="14" a="1"/>
  <c r="H388" i="14" s="1"/>
  <c r="E385" i="14" a="1"/>
  <c r="E385" i="14" s="1"/>
  <c r="G374" i="14" a="1"/>
  <c r="G374" i="14" s="1"/>
  <c r="H372" i="14" a="1"/>
  <c r="H372" i="14" s="1"/>
  <c r="E369" i="14" a="1"/>
  <c r="E369" i="14" s="1"/>
  <c r="G358" i="14" a="1"/>
  <c r="G358" i="14" s="1"/>
  <c r="H356" i="14" a="1"/>
  <c r="H356" i="14" s="1"/>
  <c r="H443" i="14" a="1"/>
  <c r="H443" i="14" s="1"/>
  <c r="E440" i="14" a="1"/>
  <c r="E440" i="14" s="1"/>
  <c r="G429" i="14" a="1"/>
  <c r="G429" i="14" s="1"/>
  <c r="H427" i="14" a="1"/>
  <c r="H427" i="14" s="1"/>
  <c r="E424" i="14" a="1"/>
  <c r="E424" i="14" s="1"/>
  <c r="G413" i="14" a="1"/>
  <c r="G413" i="14" s="1"/>
  <c r="H411" i="14" a="1"/>
  <c r="H411" i="14" s="1"/>
  <c r="E408" i="14" a="1"/>
  <c r="E408" i="14" s="1"/>
  <c r="G397" i="14" a="1"/>
  <c r="G397" i="14" s="1"/>
  <c r="H395" i="14" a="1"/>
  <c r="H395" i="14" s="1"/>
  <c r="E392" i="14" a="1"/>
  <c r="E392" i="14" s="1"/>
  <c r="G381" i="14" a="1"/>
  <c r="G381" i="14" s="1"/>
  <c r="H379" i="14" a="1"/>
  <c r="H379" i="14" s="1"/>
  <c r="E376" i="14" a="1"/>
  <c r="E376" i="14" s="1"/>
  <c r="G365" i="14" a="1"/>
  <c r="G365" i="14" s="1"/>
  <c r="H363" i="14" a="1"/>
  <c r="H363" i="14" s="1"/>
  <c r="E360" i="14" a="1"/>
  <c r="E360" i="14" s="1"/>
  <c r="G442" i="14" a="1"/>
  <c r="G442" i="14" s="1"/>
  <c r="G434" i="14" a="1"/>
  <c r="G434" i="14" s="1"/>
  <c r="G432" i="14" a="1"/>
  <c r="G432" i="14" s="1"/>
  <c r="H426" i="14" a="1"/>
  <c r="H426" i="14" s="1"/>
  <c r="H424" i="14" a="1"/>
  <c r="H424" i="14" s="1"/>
  <c r="E407" i="14" a="1"/>
  <c r="E407" i="14" s="1"/>
  <c r="E405" i="14" a="1"/>
  <c r="E405" i="14" s="1"/>
  <c r="E403" i="14" a="1"/>
  <c r="E403" i="14" s="1"/>
  <c r="G391" i="14" a="1"/>
  <c r="G391" i="14" s="1"/>
  <c r="G389" i="14" a="1"/>
  <c r="G389" i="14" s="1"/>
  <c r="G387" i="14" a="1"/>
  <c r="G387" i="14" s="1"/>
  <c r="H385" i="14" a="1"/>
  <c r="H385" i="14" s="1"/>
  <c r="H383" i="14" a="1"/>
  <c r="H383" i="14" s="1"/>
  <c r="H377" i="14" a="1"/>
  <c r="H377" i="14" s="1"/>
  <c r="E362" i="14" a="1"/>
  <c r="E362" i="14" s="1"/>
  <c r="E354" i="14" a="1"/>
  <c r="E354" i="14" s="1"/>
  <c r="G343" i="14" a="1"/>
  <c r="G343" i="14" s="1"/>
  <c r="H341" i="14" a="1"/>
  <c r="H341" i="14" s="1"/>
  <c r="E338" i="14" a="1"/>
  <c r="E338" i="14" s="1"/>
  <c r="G327" i="14" a="1"/>
  <c r="G327" i="14" s="1"/>
  <c r="H325" i="14" a="1"/>
  <c r="H325" i="14" s="1"/>
  <c r="E322" i="14" a="1"/>
  <c r="E322" i="14" s="1"/>
  <c r="G311" i="14" a="1"/>
  <c r="G311" i="14" s="1"/>
  <c r="E306" i="14" a="1"/>
  <c r="E306" i="14" s="1"/>
  <c r="G295" i="14" a="1"/>
  <c r="G295" i="14" s="1"/>
  <c r="H293" i="14" a="1"/>
  <c r="H293" i="14" s="1"/>
  <c r="E290" i="14" a="1"/>
  <c r="E290" i="14" s="1"/>
  <c r="G279" i="14" a="1"/>
  <c r="G279" i="14" s="1"/>
  <c r="H277" i="14" a="1"/>
  <c r="H277" i="14" s="1"/>
  <c r="E274" i="14" a="1"/>
  <c r="E274" i="14" s="1"/>
  <c r="G263" i="14" a="1"/>
  <c r="G263" i="14" s="1"/>
  <c r="H261" i="14" a="1"/>
  <c r="H261" i="14" s="1"/>
  <c r="E258" i="14" a="1"/>
  <c r="E258" i="14" s="1"/>
  <c r="G247" i="14" a="1"/>
  <c r="G247" i="14" s="1"/>
  <c r="H245" i="14" a="1"/>
  <c r="H245" i="14" s="1"/>
  <c r="E242" i="14" a="1"/>
  <c r="E242" i="14" s="1"/>
  <c r="G231" i="14" a="1"/>
  <c r="G231" i="14" s="1"/>
  <c r="H229" i="14" a="1"/>
  <c r="H229" i="14" s="1"/>
  <c r="E226" i="14" a="1"/>
  <c r="E226" i="14" s="1"/>
  <c r="G215" i="14" a="1"/>
  <c r="G215" i="14" s="1"/>
  <c r="H213" i="14" a="1"/>
  <c r="H213" i="14" s="1"/>
  <c r="E210" i="14" a="1"/>
  <c r="E210" i="14" s="1"/>
  <c r="G199" i="14" a="1"/>
  <c r="G199" i="14" s="1"/>
  <c r="H197" i="14" a="1"/>
  <c r="H197" i="14" s="1"/>
  <c r="E194" i="14" a="1"/>
  <c r="E194" i="14" s="1"/>
  <c r="G183" i="14" a="1"/>
  <c r="G183" i="14" s="1"/>
  <c r="H181" i="14" a="1"/>
  <c r="H181" i="14" s="1"/>
  <c r="E178" i="14" a="1"/>
  <c r="E178" i="14" s="1"/>
  <c r="G167" i="14" a="1"/>
  <c r="G167" i="14" s="1"/>
  <c r="H165" i="14" a="1"/>
  <c r="H165" i="14" s="1"/>
  <c r="E162" i="14" a="1"/>
  <c r="E162" i="14" s="1"/>
  <c r="G151" i="14" a="1"/>
  <c r="G151" i="14" s="1"/>
  <c r="H149" i="14" a="1"/>
  <c r="H149" i="14" s="1"/>
  <c r="E146" i="14" a="1"/>
  <c r="E146" i="14" s="1"/>
  <c r="G135" i="14" a="1"/>
  <c r="G135" i="14" s="1"/>
  <c r="H133" i="14" a="1"/>
  <c r="H133" i="14" s="1"/>
  <c r="E130" i="14" a="1"/>
  <c r="E130" i="14" s="1"/>
  <c r="G119" i="14" a="1"/>
  <c r="G119" i="14" s="1"/>
  <c r="H117" i="14" a="1"/>
  <c r="H117" i="14" s="1"/>
  <c r="E114" i="14" a="1"/>
  <c r="E114" i="14" s="1"/>
  <c r="G103" i="14" a="1"/>
  <c r="G103" i="14" s="1"/>
  <c r="H101" i="14" a="1"/>
  <c r="H101" i="14" s="1"/>
  <c r="E98" i="14" a="1"/>
  <c r="E98" i="14" s="1"/>
  <c r="G87" i="14" a="1"/>
  <c r="G87" i="14" s="1"/>
  <c r="H85" i="14" a="1"/>
  <c r="H85" i="14" s="1"/>
  <c r="E82" i="14" a="1"/>
  <c r="E82" i="14" s="1"/>
  <c r="G71" i="14" a="1"/>
  <c r="G71" i="14" s="1"/>
  <c r="H69" i="14" a="1"/>
  <c r="H69" i="14" s="1"/>
  <c r="E66" i="14" a="1"/>
  <c r="E66" i="14" s="1"/>
  <c r="G55" i="14" a="1"/>
  <c r="G55" i="14" s="1"/>
  <c r="H53" i="14" a="1"/>
  <c r="H53" i="14" s="1"/>
  <c r="E50" i="14" a="1"/>
  <c r="E50" i="14" s="1"/>
  <c r="G39" i="14" a="1"/>
  <c r="G39" i="14" s="1"/>
  <c r="H37" i="14" a="1"/>
  <c r="H37" i="14" s="1"/>
  <c r="E34" i="14" a="1"/>
  <c r="E34" i="14" s="1"/>
  <c r="G23" i="14" a="1"/>
  <c r="G23" i="14" s="1"/>
  <c r="H21" i="14" a="1"/>
  <c r="H21" i="14" s="1"/>
  <c r="E18" i="14" a="1"/>
  <c r="E18" i="14" s="1"/>
  <c r="E438" i="14" a="1"/>
  <c r="E438" i="14" s="1"/>
  <c r="E436" i="14" a="1"/>
  <c r="E436" i="14" s="1"/>
  <c r="G430" i="14" a="1"/>
  <c r="G430" i="14" s="1"/>
  <c r="G428" i="14" a="1"/>
  <c r="G428" i="14" s="1"/>
  <c r="H422" i="14" a="1"/>
  <c r="H422" i="14" s="1"/>
  <c r="G420" i="14" a="1"/>
  <c r="G420" i="14" s="1"/>
  <c r="H418" i="14" a="1"/>
  <c r="H418" i="14" s="1"/>
  <c r="H416" i="14" a="1"/>
  <c r="H416" i="14" s="1"/>
  <c r="E399" i="14" a="1"/>
  <c r="E399" i="14" s="1"/>
  <c r="E397" i="14" a="1"/>
  <c r="E397" i="14" s="1"/>
  <c r="H381" i="14" a="1"/>
  <c r="H381" i="14" s="1"/>
  <c r="H375" i="14" a="1"/>
  <c r="H375" i="14" s="1"/>
  <c r="H373" i="14" a="1"/>
  <c r="H373" i="14" s="1"/>
  <c r="H371" i="14" a="1"/>
  <c r="H371" i="14" s="1"/>
  <c r="G350" i="14" a="1"/>
  <c r="G350" i="14" s="1"/>
  <c r="H348" i="14" a="1"/>
  <c r="H348" i="14" s="1"/>
  <c r="E345" i="14" a="1"/>
  <c r="E345" i="14" s="1"/>
  <c r="G334" i="14" a="1"/>
  <c r="G334" i="14" s="1"/>
  <c r="H332" i="14" a="1"/>
  <c r="H332" i="14" s="1"/>
  <c r="E329" i="14" a="1"/>
  <c r="E329" i="14" s="1"/>
  <c r="G318" i="14" a="1"/>
  <c r="G318" i="14" s="1"/>
  <c r="H316" i="14" a="1"/>
  <c r="H316" i="14" s="1"/>
  <c r="E313" i="14" a="1"/>
  <c r="E313" i="14" s="1"/>
  <c r="G302" i="14" a="1"/>
  <c r="G302" i="14" s="1"/>
  <c r="H300" i="14" a="1"/>
  <c r="H300" i="14" s="1"/>
  <c r="E297" i="14" a="1"/>
  <c r="E297" i="14" s="1"/>
  <c r="G286" i="14" a="1"/>
  <c r="G286" i="14" s="1"/>
  <c r="H284" i="14" a="1"/>
  <c r="H284" i="14" s="1"/>
  <c r="E281" i="14" a="1"/>
  <c r="E281" i="14" s="1"/>
  <c r="G270" i="14" a="1"/>
  <c r="G270" i="14" s="1"/>
  <c r="H268" i="14" a="1"/>
  <c r="H268" i="14" s="1"/>
  <c r="E265" i="14" a="1"/>
  <c r="E265" i="14" s="1"/>
  <c r="G254" i="14" a="1"/>
  <c r="G254" i="14" s="1"/>
  <c r="H252" i="14" a="1"/>
  <c r="H252" i="14" s="1"/>
  <c r="E249" i="14" a="1"/>
  <c r="E249" i="14" s="1"/>
  <c r="G238" i="14" a="1"/>
  <c r="G238" i="14" s="1"/>
  <c r="H236" i="14" a="1"/>
  <c r="H236" i="14" s="1"/>
  <c r="E233" i="14" a="1"/>
  <c r="E233" i="14" s="1"/>
  <c r="E217" i="14" a="1"/>
  <c r="E217" i="14" s="1"/>
  <c r="G206" i="14" a="1"/>
  <c r="G206" i="14" s="1"/>
  <c r="H204" i="14" a="1"/>
  <c r="H204" i="14" s="1"/>
  <c r="E201" i="14" a="1"/>
  <c r="E201" i="14" s="1"/>
  <c r="G190" i="14" a="1"/>
  <c r="G190" i="14" s="1"/>
  <c r="H188" i="14" a="1"/>
  <c r="H188" i="14" s="1"/>
  <c r="E185" i="14" a="1"/>
  <c r="E185" i="14" s="1"/>
  <c r="H172" i="14" a="1"/>
  <c r="H172" i="14" s="1"/>
  <c r="E169" i="14" a="1"/>
  <c r="E169" i="14" s="1"/>
  <c r="G158" i="14" a="1"/>
  <c r="G158" i="14" s="1"/>
  <c r="H156" i="14" a="1"/>
  <c r="H156" i="14" s="1"/>
  <c r="E153" i="14" a="1"/>
  <c r="E153" i="14" s="1"/>
  <c r="G142" i="14" a="1"/>
  <c r="G142" i="14" s="1"/>
  <c r="H140" i="14" a="1"/>
  <c r="H140" i="14" s="1"/>
  <c r="E137" i="14" a="1"/>
  <c r="E137" i="14" s="1"/>
  <c r="G126" i="14" a="1"/>
  <c r="G126" i="14" s="1"/>
  <c r="H124" i="14" a="1"/>
  <c r="H124" i="14" s="1"/>
  <c r="E121" i="14" a="1"/>
  <c r="E121" i="14" s="1"/>
  <c r="H108" i="14" a="1"/>
  <c r="H108" i="14" s="1"/>
  <c r="E105" i="14" a="1"/>
  <c r="E105" i="14" s="1"/>
  <c r="G94" i="14" a="1"/>
  <c r="G94" i="14" s="1"/>
  <c r="H92" i="14" a="1"/>
  <c r="H92" i="14" s="1"/>
  <c r="E89" i="14" a="1"/>
  <c r="E89" i="14" s="1"/>
  <c r="G78" i="14" a="1"/>
  <c r="G78" i="14" s="1"/>
  <c r="H76" i="14" a="1"/>
  <c r="H76" i="14" s="1"/>
  <c r="E73" i="14" a="1"/>
  <c r="E73" i="14" s="1"/>
  <c r="G62" i="14" a="1"/>
  <c r="G62" i="14" s="1"/>
  <c r="H60" i="14" a="1"/>
  <c r="H60" i="14" s="1"/>
  <c r="E57" i="14" a="1"/>
  <c r="E57" i="14" s="1"/>
  <c r="G46" i="14" a="1"/>
  <c r="G46" i="14" s="1"/>
  <c r="H44" i="14" a="1"/>
  <c r="H44" i="14" s="1"/>
  <c r="E41" i="14" a="1"/>
  <c r="E41" i="14" s="1"/>
  <c r="G30" i="14" a="1"/>
  <c r="G30" i="14" s="1"/>
  <c r="H28" i="14" a="1"/>
  <c r="H28" i="14" s="1"/>
  <c r="E25" i="14" a="1"/>
  <c r="E25" i="14" s="1"/>
  <c r="H12" i="14" a="1"/>
  <c r="H12" i="14" s="1"/>
  <c r="G426" i="14" a="1"/>
  <c r="G426" i="14" s="1"/>
  <c r="G424" i="14" a="1"/>
  <c r="G424" i="14" s="1"/>
  <c r="H414" i="14" a="1"/>
  <c r="H414" i="14" s="1"/>
  <c r="H412" i="14" a="1"/>
  <c r="H412" i="14" s="1"/>
  <c r="E395" i="14" a="1"/>
  <c r="E395" i="14" s="1"/>
  <c r="E393" i="14" a="1"/>
  <c r="E393" i="14" s="1"/>
  <c r="G385" i="14" a="1"/>
  <c r="G385" i="14" s="1"/>
  <c r="G383" i="14" a="1"/>
  <c r="G383" i="14" s="1"/>
  <c r="G379" i="14" a="1"/>
  <c r="G379" i="14" s="1"/>
  <c r="G377" i="14" a="1"/>
  <c r="G377" i="14" s="1"/>
  <c r="H369" i="14" a="1"/>
  <c r="H369" i="14" s="1"/>
  <c r="H367" i="14" a="1"/>
  <c r="H367" i="14" s="1"/>
  <c r="H361" i="14" a="1"/>
  <c r="H361" i="14" s="1"/>
  <c r="E352" i="14" a="1"/>
  <c r="E352" i="14" s="1"/>
  <c r="G341" i="14" a="1"/>
  <c r="G341" i="14" s="1"/>
  <c r="H339" i="14" a="1"/>
  <c r="H339" i="14" s="1"/>
  <c r="E336" i="14" a="1"/>
  <c r="E336" i="14" s="1"/>
  <c r="G325" i="14" a="1"/>
  <c r="G325" i="14" s="1"/>
  <c r="H323" i="14" a="1"/>
  <c r="H323" i="14" s="1"/>
  <c r="E320" i="14" a="1"/>
  <c r="E320" i="14" s="1"/>
  <c r="G309" i="14" a="1"/>
  <c r="G309" i="14" s="1"/>
  <c r="H307" i="14" a="1"/>
  <c r="H307" i="14" s="1"/>
  <c r="E304" i="14" a="1"/>
  <c r="E304" i="14" s="1"/>
  <c r="G293" i="14" a="1"/>
  <c r="G293" i="14" s="1"/>
  <c r="H291" i="14" a="1"/>
  <c r="H291" i="14" s="1"/>
  <c r="E288" i="14" a="1"/>
  <c r="E288" i="14" s="1"/>
  <c r="G277" i="14" a="1"/>
  <c r="G277" i="14" s="1"/>
  <c r="H275" i="14" a="1"/>
  <c r="H275" i="14" s="1"/>
  <c r="E272" i="14" a="1"/>
  <c r="E272" i="14" s="1"/>
  <c r="G261" i="14" a="1"/>
  <c r="G261" i="14" s="1"/>
  <c r="H259" i="14" a="1"/>
  <c r="H259" i="14" s="1"/>
  <c r="E256" i="14" a="1"/>
  <c r="E256" i="14" s="1"/>
  <c r="G245" i="14" a="1"/>
  <c r="G245" i="14" s="1"/>
  <c r="H243" i="14" a="1"/>
  <c r="H243" i="14" s="1"/>
  <c r="E240" i="14" a="1"/>
  <c r="E240" i="14" s="1"/>
  <c r="G229" i="14" a="1"/>
  <c r="G229" i="14" s="1"/>
  <c r="H227" i="14" a="1"/>
  <c r="H227" i="14" s="1"/>
  <c r="E224" i="14" a="1"/>
  <c r="E224" i="14" s="1"/>
  <c r="G213" i="14" a="1"/>
  <c r="G213" i="14" s="1"/>
  <c r="H211" i="14" a="1"/>
  <c r="H211" i="14" s="1"/>
  <c r="E208" i="14" a="1"/>
  <c r="E208" i="14" s="1"/>
  <c r="G197" i="14" a="1"/>
  <c r="G197" i="14" s="1"/>
  <c r="H195" i="14" a="1"/>
  <c r="H195" i="14" s="1"/>
  <c r="E192" i="14" a="1"/>
  <c r="E192" i="14" s="1"/>
  <c r="G181" i="14" a="1"/>
  <c r="G181" i="14" s="1"/>
  <c r="H179" i="14" a="1"/>
  <c r="H179" i="14" s="1"/>
  <c r="E176" i="14" a="1"/>
  <c r="E176" i="14" s="1"/>
  <c r="G165" i="14" a="1"/>
  <c r="G165" i="14" s="1"/>
  <c r="H163" i="14" a="1"/>
  <c r="H163" i="14" s="1"/>
  <c r="E160" i="14" a="1"/>
  <c r="E160" i="14" s="1"/>
  <c r="G149" i="14" a="1"/>
  <c r="G149" i="14" s="1"/>
  <c r="H147" i="14" a="1"/>
  <c r="H147" i="14" s="1"/>
  <c r="E144" i="14" a="1"/>
  <c r="E144" i="14" s="1"/>
  <c r="G133" i="14" a="1"/>
  <c r="G133" i="14" s="1"/>
  <c r="H131" i="14" a="1"/>
  <c r="H131" i="14" s="1"/>
  <c r="E128" i="14" a="1"/>
  <c r="E128" i="14" s="1"/>
  <c r="G117" i="14" a="1"/>
  <c r="G117" i="14" s="1"/>
  <c r="H115" i="14" a="1"/>
  <c r="H115" i="14" s="1"/>
  <c r="E112" i="14" a="1"/>
  <c r="E112" i="14" s="1"/>
  <c r="G101" i="14" a="1"/>
  <c r="G101" i="14" s="1"/>
  <c r="H99" i="14" a="1"/>
  <c r="H99" i="14" s="1"/>
  <c r="E96" i="14" a="1"/>
  <c r="E96" i="14" s="1"/>
  <c r="G85" i="14" a="1"/>
  <c r="G85" i="14" s="1"/>
  <c r="H83" i="14" a="1"/>
  <c r="H83" i="14" s="1"/>
  <c r="E80" i="14" a="1"/>
  <c r="E80" i="14" s="1"/>
  <c r="G69" i="14" a="1"/>
  <c r="G69" i="14" s="1"/>
  <c r="H67" i="14" a="1"/>
  <c r="H67" i="14" s="1"/>
  <c r="E64" i="14" a="1"/>
  <c r="E64" i="14" s="1"/>
  <c r="G53" i="14" a="1"/>
  <c r="G53" i="14" s="1"/>
  <c r="H51" i="14" a="1"/>
  <c r="H51" i="14" s="1"/>
  <c r="E48" i="14" a="1"/>
  <c r="E48" i="14" s="1"/>
  <c r="G37" i="14" a="1"/>
  <c r="G37" i="14" s="1"/>
  <c r="H35" i="14" a="1"/>
  <c r="H35" i="14" s="1"/>
  <c r="E32" i="14" a="1"/>
  <c r="E32" i="14" s="1"/>
  <c r="G21" i="14" a="1"/>
  <c r="G21" i="14" s="1"/>
  <c r="H19" i="14" a="1"/>
  <c r="H19" i="14" s="1"/>
  <c r="E16" i="14" a="1"/>
  <c r="E16" i="14" s="1"/>
  <c r="G436" i="14" a="1"/>
  <c r="G436" i="14" s="1"/>
  <c r="E420" i="14" a="1"/>
  <c r="E420" i="14" s="1"/>
  <c r="E418" i="14" a="1"/>
  <c r="E418" i="14" s="1"/>
  <c r="G411" i="14" a="1"/>
  <c r="G411" i="14" s="1"/>
  <c r="E377" i="14" a="1"/>
  <c r="E377" i="14" s="1"/>
  <c r="G370" i="14" a="1"/>
  <c r="G370" i="14" s="1"/>
  <c r="E366" i="14" a="1"/>
  <c r="E366" i="14" s="1"/>
  <c r="G361" i="14" a="1"/>
  <c r="G361" i="14" s="1"/>
  <c r="E357" i="14" a="1"/>
  <c r="E357" i="14" s="1"/>
  <c r="H352" i="14" a="1"/>
  <c r="H352" i="14" s="1"/>
  <c r="H350" i="14" a="1"/>
  <c r="H350" i="14" s="1"/>
  <c r="G323" i="14" a="1"/>
  <c r="G323" i="14" s="1"/>
  <c r="G300" i="14" a="1"/>
  <c r="G300" i="14" s="1"/>
  <c r="G298" i="14" a="1"/>
  <c r="G298" i="14" s="1"/>
  <c r="G296" i="14" a="1"/>
  <c r="G296" i="14" s="1"/>
  <c r="G294" i="14" a="1"/>
  <c r="G294" i="14" s="1"/>
  <c r="G273" i="14" a="1"/>
  <c r="G273" i="14" s="1"/>
  <c r="G271" i="14" a="1"/>
  <c r="G271" i="14" s="1"/>
  <c r="E263" i="14" a="1"/>
  <c r="E263" i="14" s="1"/>
  <c r="G244" i="14" a="1"/>
  <c r="G244" i="14" s="1"/>
  <c r="G242" i="14" a="1"/>
  <c r="G242" i="14" s="1"/>
  <c r="G221" i="14" a="1"/>
  <c r="G221" i="14" s="1"/>
  <c r="G219" i="14" a="1"/>
  <c r="G219" i="14" s="1"/>
  <c r="E209" i="14" a="1"/>
  <c r="E209" i="14" s="1"/>
  <c r="E207" i="14" a="1"/>
  <c r="E207" i="14" s="1"/>
  <c r="H192" i="14" a="1"/>
  <c r="H192" i="14" s="1"/>
  <c r="H190" i="14" a="1"/>
  <c r="H190" i="14" s="1"/>
  <c r="G186" i="14" a="1"/>
  <c r="G186" i="14" s="1"/>
  <c r="G182" i="14" a="1"/>
  <c r="G182" i="14" s="1"/>
  <c r="G178" i="14" a="1"/>
  <c r="G178" i="14" s="1"/>
  <c r="E170" i="14" a="1"/>
  <c r="E170" i="14" s="1"/>
  <c r="E168" i="14" a="1"/>
  <c r="E168" i="14" s="1"/>
  <c r="E166" i="14" a="1"/>
  <c r="E166" i="14" s="1"/>
  <c r="H157" i="14" a="1"/>
  <c r="H157" i="14" s="1"/>
  <c r="H155" i="14" a="1"/>
  <c r="H155" i="14" s="1"/>
  <c r="G145" i="14" a="1"/>
  <c r="G145" i="14" s="1"/>
  <c r="G143" i="14" a="1"/>
  <c r="G143" i="14" s="1"/>
  <c r="G137" i="14" a="1"/>
  <c r="G137" i="14" s="1"/>
  <c r="E133" i="14" a="1"/>
  <c r="E133" i="14" s="1"/>
  <c r="E129" i="14" a="1"/>
  <c r="E129" i="14" s="1"/>
  <c r="E127" i="14" a="1"/>
  <c r="E127" i="14" s="1"/>
  <c r="G96" i="14" a="1"/>
  <c r="G96" i="14" s="1"/>
  <c r="E94" i="14" a="1"/>
  <c r="E94" i="14" s="1"/>
  <c r="E92" i="14" a="1"/>
  <c r="E92" i="14" s="1"/>
  <c r="E84" i="14" a="1"/>
  <c r="E84" i="14" s="1"/>
  <c r="G61" i="14" a="1"/>
  <c r="G61" i="14" s="1"/>
  <c r="G59" i="14" a="1"/>
  <c r="G59" i="14" s="1"/>
  <c r="E45" i="14" a="1"/>
  <c r="E45" i="14" s="1"/>
  <c r="E43" i="14" a="1"/>
  <c r="E43" i="14" s="1"/>
  <c r="G28" i="14" a="1"/>
  <c r="G28" i="14" s="1"/>
  <c r="G26" i="14" a="1"/>
  <c r="G26" i="14" s="1"/>
  <c r="G24" i="14" a="1"/>
  <c r="G24" i="14" s="1"/>
  <c r="G22" i="14" a="1"/>
  <c r="G22" i="14" s="1"/>
  <c r="G18" i="14" a="1"/>
  <c r="G18" i="14" s="1"/>
  <c r="E434" i="14" a="1"/>
  <c r="E434" i="14" s="1"/>
  <c r="H429" i="14" a="1"/>
  <c r="H429" i="14" s="1"/>
  <c r="H413" i="14" a="1"/>
  <c r="H413" i="14" s="1"/>
  <c r="E409" i="14" a="1"/>
  <c r="E409" i="14" s="1"/>
  <c r="H406" i="14" a="1"/>
  <c r="H406" i="14" s="1"/>
  <c r="E404" i="14" a="1"/>
  <c r="E404" i="14" s="1"/>
  <c r="E402" i="14" a="1"/>
  <c r="E402" i="14" s="1"/>
  <c r="G395" i="14" a="1"/>
  <c r="G395" i="14" s="1"/>
  <c r="G388" i="14" a="1"/>
  <c r="G388" i="14" s="1"/>
  <c r="G386" i="14" a="1"/>
  <c r="G386" i="14" s="1"/>
  <c r="E384" i="14" a="1"/>
  <c r="E384" i="14" s="1"/>
  <c r="G372" i="14" a="1"/>
  <c r="G372" i="14" s="1"/>
  <c r="E368" i="14" a="1"/>
  <c r="E368" i="14" s="1"/>
  <c r="H354" i="14" a="1"/>
  <c r="H354" i="14" s="1"/>
  <c r="E340" i="14" a="1"/>
  <c r="E340" i="14" s="1"/>
  <c r="H333" i="14" a="1"/>
  <c r="H333" i="14" s="1"/>
  <c r="H331" i="14" a="1"/>
  <c r="H331" i="14" s="1"/>
  <c r="H329" i="14" a="1"/>
  <c r="H329" i="14" s="1"/>
  <c r="H327" i="14" a="1"/>
  <c r="H327" i="14" s="1"/>
  <c r="E317" i="14" a="1"/>
  <c r="E317" i="14" s="1"/>
  <c r="E315" i="14" a="1"/>
  <c r="E315" i="14" s="1"/>
  <c r="H304" i="14" a="1"/>
  <c r="H304" i="14" s="1"/>
  <c r="H302" i="14" a="1"/>
  <c r="H302" i="14" s="1"/>
  <c r="G275" i="14" a="1"/>
  <c r="G275" i="14" s="1"/>
  <c r="G252" i="14" a="1"/>
  <c r="G252" i="14" s="1"/>
  <c r="G250" i="14" a="1"/>
  <c r="G250" i="14" s="1"/>
  <c r="G248" i="14" a="1"/>
  <c r="G248" i="14" s="1"/>
  <c r="G246" i="14" a="1"/>
  <c r="G246" i="14" s="1"/>
  <c r="G225" i="14" a="1"/>
  <c r="G225" i="14" s="1"/>
  <c r="G223" i="14" a="1"/>
  <c r="G223" i="14" s="1"/>
  <c r="G217" i="14" a="1"/>
  <c r="G217" i="14" s="1"/>
  <c r="E213" i="14" a="1"/>
  <c r="E213" i="14" s="1"/>
  <c r="E211" i="14" a="1"/>
  <c r="E211" i="14" s="1"/>
  <c r="H196" i="14" a="1"/>
  <c r="H196" i="14" s="1"/>
  <c r="H194" i="14" a="1"/>
  <c r="H194" i="14" s="1"/>
  <c r="H161" i="14" a="1"/>
  <c r="H161" i="14" s="1"/>
  <c r="H159" i="14" a="1"/>
  <c r="H159" i="14" s="1"/>
  <c r="H153" i="14" a="1"/>
  <c r="H153" i="14" s="1"/>
  <c r="H151" i="14" a="1"/>
  <c r="H151" i="14" s="1"/>
  <c r="G147" i="14" a="1"/>
  <c r="G147" i="14" s="1"/>
  <c r="E135" i="14" a="1"/>
  <c r="E135" i="14" s="1"/>
  <c r="E131" i="14" a="1"/>
  <c r="E131" i="14" s="1"/>
  <c r="H116" i="14" a="1"/>
  <c r="H116" i="14" s="1"/>
  <c r="H112" i="14" a="1"/>
  <c r="H112" i="14" s="1"/>
  <c r="G106" i="14" a="1"/>
  <c r="G106" i="14" s="1"/>
  <c r="G104" i="14" a="1"/>
  <c r="G104" i="14" s="1"/>
  <c r="G102" i="14" a="1"/>
  <c r="G102" i="14" s="1"/>
  <c r="G98" i="14" a="1"/>
  <c r="G98" i="14" s="1"/>
  <c r="E90" i="14" a="1"/>
  <c r="E90" i="14" s="1"/>
  <c r="E88" i="14" a="1"/>
  <c r="E88" i="14" s="1"/>
  <c r="E86" i="14" a="1"/>
  <c r="E86" i="14" s="1"/>
  <c r="H77" i="14" a="1"/>
  <c r="H77" i="14" s="1"/>
  <c r="H75" i="14" a="1"/>
  <c r="H75" i="14" s="1"/>
  <c r="G63" i="14" a="1"/>
  <c r="G63" i="14" s="1"/>
  <c r="E53" i="14" a="1"/>
  <c r="E53" i="14" s="1"/>
  <c r="E49" i="14" a="1"/>
  <c r="E49" i="14" s="1"/>
  <c r="E47" i="14" a="1"/>
  <c r="E47" i="14" s="1"/>
  <c r="H36" i="14" a="1"/>
  <c r="H36" i="14" s="1"/>
  <c r="H32" i="14" a="1"/>
  <c r="H32" i="14" s="1"/>
  <c r="H30" i="14" a="1"/>
  <c r="H30" i="14" s="1"/>
  <c r="E443" i="14" a="1"/>
  <c r="E443" i="14" s="1"/>
  <c r="H438" i="14" a="1"/>
  <c r="H438" i="14" s="1"/>
  <c r="E427" i="14" a="1"/>
  <c r="E427" i="14" s="1"/>
  <c r="E422" i="14" a="1"/>
  <c r="E422" i="14" s="1"/>
  <c r="H415" i="14" a="1"/>
  <c r="H415" i="14" s="1"/>
  <c r="H397" i="14" a="1"/>
  <c r="H397" i="14" s="1"/>
  <c r="H365" i="14" a="1"/>
  <c r="H365" i="14" s="1"/>
  <c r="G363" i="14" a="1"/>
  <c r="G363" i="14" s="1"/>
  <c r="E359" i="14" a="1"/>
  <c r="E359" i="14" s="1"/>
  <c r="G352" i="14" a="1"/>
  <c r="G352" i="14" s="1"/>
  <c r="E350" i="14" a="1"/>
  <c r="E350" i="14" s="1"/>
  <c r="E348" i="14" a="1"/>
  <c r="E348" i="14" s="1"/>
  <c r="E346" i="14" a="1"/>
  <c r="E346" i="14" s="1"/>
  <c r="E344" i="14" a="1"/>
  <c r="E344" i="14" s="1"/>
  <c r="E342" i="14" a="1"/>
  <c r="E342" i="14" s="1"/>
  <c r="H337" i="14" a="1"/>
  <c r="H337" i="14" s="1"/>
  <c r="H335" i="14" a="1"/>
  <c r="H335" i="14" s="1"/>
  <c r="E321" i="14" a="1"/>
  <c r="E321" i="14" s="1"/>
  <c r="E319" i="14" a="1"/>
  <c r="E319" i="14" s="1"/>
  <c r="H308" i="14" a="1"/>
  <c r="H308" i="14" s="1"/>
  <c r="H306" i="14" a="1"/>
  <c r="H306" i="14" s="1"/>
  <c r="E292" i="14" a="1"/>
  <c r="E292" i="14" s="1"/>
  <c r="H285" i="14" a="1"/>
  <c r="H285" i="14" s="1"/>
  <c r="H283" i="14" a="1"/>
  <c r="H283" i="14" s="1"/>
  <c r="H279" i="14" a="1"/>
  <c r="H279" i="14" s="1"/>
  <c r="E269" i="14" a="1"/>
  <c r="E269" i="14" s="1"/>
  <c r="E267" i="14" a="1"/>
  <c r="E267" i="14" s="1"/>
  <c r="H256" i="14" a="1"/>
  <c r="H256" i="14" s="1"/>
  <c r="H254" i="14" a="1"/>
  <c r="H254" i="14" s="1"/>
  <c r="G227" i="14" a="1"/>
  <c r="G227" i="14" s="1"/>
  <c r="E215" i="14" a="1"/>
  <c r="E215" i="14" s="1"/>
  <c r="H202" i="14" a="1"/>
  <c r="H202" i="14" s="1"/>
  <c r="H200" i="14" a="1"/>
  <c r="H200" i="14" s="1"/>
  <c r="H198" i="14" a="1"/>
  <c r="H198" i="14" s="1"/>
  <c r="E190" i="14" a="1"/>
  <c r="E190" i="14" s="1"/>
  <c r="E188" i="14" a="1"/>
  <c r="E188" i="14" s="1"/>
  <c r="E180" i="14" a="1"/>
  <c r="E180" i="14" s="1"/>
  <c r="G157" i="14" a="1"/>
  <c r="G157" i="14" s="1"/>
  <c r="G155" i="14" a="1"/>
  <c r="G155" i="14" s="1"/>
  <c r="E141" i="14" a="1"/>
  <c r="E141" i="14" s="1"/>
  <c r="E139" i="14" a="1"/>
  <c r="E139" i="14" s="1"/>
  <c r="H122" i="14" a="1"/>
  <c r="H122" i="14" s="1"/>
  <c r="H118" i="14" a="1"/>
  <c r="H118" i="14" s="1"/>
  <c r="H114" i="14" a="1"/>
  <c r="H114" i="14" s="1"/>
  <c r="H81" i="14" a="1"/>
  <c r="H81" i="14" s="1"/>
  <c r="H79" i="14" a="1"/>
  <c r="H79" i="14" s="1"/>
  <c r="H73" i="14" a="1"/>
  <c r="H73" i="14" s="1"/>
  <c r="H71" i="14" a="1"/>
  <c r="H71" i="14" s="1"/>
  <c r="G67" i="14" a="1"/>
  <c r="G67" i="14" s="1"/>
  <c r="E55" i="14" a="1"/>
  <c r="E55" i="14" s="1"/>
  <c r="E51" i="14" a="1"/>
  <c r="E51" i="14" s="1"/>
  <c r="H42" i="14" a="1"/>
  <c r="H42" i="14" s="1"/>
  <c r="H34" i="14" a="1"/>
  <c r="H34" i="14" s="1"/>
  <c r="E20" i="14" a="1"/>
  <c r="E20" i="14" s="1"/>
  <c r="H440" i="14" a="1"/>
  <c r="H440" i="14" s="1"/>
  <c r="H431" i="14" a="1"/>
  <c r="H431" i="14" s="1"/>
  <c r="E411" i="14" a="1"/>
  <c r="E411" i="14" s="1"/>
  <c r="H408" i="14" a="1"/>
  <c r="H408" i="14" s="1"/>
  <c r="H399" i="14" a="1"/>
  <c r="H399" i="14" s="1"/>
  <c r="H390" i="14" a="1"/>
  <c r="H390" i="14" s="1"/>
  <c r="E379" i="14" a="1"/>
  <c r="E379" i="14" s="1"/>
  <c r="H374" i="14" a="1"/>
  <c r="H374" i="14" s="1"/>
  <c r="E370" i="14" a="1"/>
  <c r="E370" i="14" s="1"/>
  <c r="E361" i="14" a="1"/>
  <c r="E361" i="14" s="1"/>
  <c r="G354" i="14" a="1"/>
  <c r="G354" i="14" s="1"/>
  <c r="G333" i="14" a="1"/>
  <c r="G333" i="14" s="1"/>
  <c r="G331" i="14" a="1"/>
  <c r="G331" i="14" s="1"/>
  <c r="G329" i="14" a="1"/>
  <c r="G329" i="14" s="1"/>
  <c r="E325" i="14" a="1"/>
  <c r="E325" i="14" s="1"/>
  <c r="E323" i="14" a="1"/>
  <c r="E323" i="14" s="1"/>
  <c r="H314" i="14" a="1"/>
  <c r="H314" i="14" s="1"/>
  <c r="H312" i="14" a="1"/>
  <c r="H312" i="14" s="1"/>
  <c r="H310" i="14" a="1"/>
  <c r="H310" i="14" s="1"/>
  <c r="G304" i="14" a="1"/>
  <c r="G304" i="14" s="1"/>
  <c r="E302" i="14" a="1"/>
  <c r="E302" i="14" s="1"/>
  <c r="E300" i="14" a="1"/>
  <c r="E300" i="14" s="1"/>
  <c r="E298" i="14" a="1"/>
  <c r="E298" i="14" s="1"/>
  <c r="E296" i="14" a="1"/>
  <c r="E296" i="14" s="1"/>
  <c r="E294" i="14" a="1"/>
  <c r="E294" i="14" s="1"/>
  <c r="H289" i="14" a="1"/>
  <c r="H289" i="14" s="1"/>
  <c r="H287" i="14" a="1"/>
  <c r="H287" i="14" s="1"/>
  <c r="E273" i="14" a="1"/>
  <c r="E273" i="14" s="1"/>
  <c r="E271" i="14" a="1"/>
  <c r="E271" i="14" s="1"/>
  <c r="H260" i="14" a="1"/>
  <c r="H260" i="14" s="1"/>
  <c r="H258" i="14" a="1"/>
  <c r="H258" i="14" s="1"/>
  <c r="E244" i="14" a="1"/>
  <c r="E244" i="14" s="1"/>
  <c r="H237" i="14" a="1"/>
  <c r="H237" i="14" s="1"/>
  <c r="H235" i="14" a="1"/>
  <c r="H235" i="14" s="1"/>
  <c r="H233" i="14" a="1"/>
  <c r="H233" i="14" s="1"/>
  <c r="H231" i="14" a="1"/>
  <c r="H231" i="14" s="1"/>
  <c r="E221" i="14" a="1"/>
  <c r="E221" i="14" s="1"/>
  <c r="E219" i="14" a="1"/>
  <c r="E219" i="14" s="1"/>
  <c r="G204" i="14" a="1"/>
  <c r="G204" i="14" s="1"/>
  <c r="G194" i="14" a="1"/>
  <c r="G194" i="14" s="1"/>
  <c r="E186" i="14" a="1"/>
  <c r="E186" i="14" s="1"/>
  <c r="E184" i="14" a="1"/>
  <c r="E184" i="14" s="1"/>
  <c r="E182" i="14" a="1"/>
  <c r="E182" i="14" s="1"/>
  <c r="H173" i="14" a="1"/>
  <c r="H173" i="14" s="1"/>
  <c r="H171" i="14" a="1"/>
  <c r="H171" i="14" s="1"/>
  <c r="G161" i="14" a="1"/>
  <c r="G161" i="14" s="1"/>
  <c r="G159" i="14" a="1"/>
  <c r="G159" i="14" s="1"/>
  <c r="G153" i="14" a="1"/>
  <c r="G153" i="14" s="1"/>
  <c r="E149" i="14" a="1"/>
  <c r="E149" i="14" s="1"/>
  <c r="E145" i="14" a="1"/>
  <c r="E145" i="14" s="1"/>
  <c r="E143" i="14" a="1"/>
  <c r="E143" i="14" s="1"/>
  <c r="G124" i="14" a="1"/>
  <c r="G124" i="14" s="1"/>
  <c r="G116" i="14" a="1"/>
  <c r="G116" i="14" s="1"/>
  <c r="G112" i="14" a="1"/>
  <c r="G112" i="14" s="1"/>
  <c r="E110" i="14" a="1"/>
  <c r="E110" i="14" s="1"/>
  <c r="E108" i="14" a="1"/>
  <c r="E108" i="14" s="1"/>
  <c r="E100" i="14" a="1"/>
  <c r="E100" i="14" s="1"/>
  <c r="G77" i="14" a="1"/>
  <c r="G77" i="14" s="1"/>
  <c r="G75" i="14" a="1"/>
  <c r="G75" i="14" s="1"/>
  <c r="E61" i="14" a="1"/>
  <c r="E61" i="14" s="1"/>
  <c r="E59" i="14" a="1"/>
  <c r="E59" i="14" s="1"/>
  <c r="G36" i="14" a="1"/>
  <c r="G36" i="14" s="1"/>
  <c r="G32" i="14" a="1"/>
  <c r="G32" i="14" s="1"/>
  <c r="E30" i="14" a="1"/>
  <c r="E30" i="14" s="1"/>
  <c r="E28" i="14" a="1"/>
  <c r="E28" i="14" s="1"/>
  <c r="E26" i="14" a="1"/>
  <c r="E26" i="14" s="1"/>
  <c r="E24" i="14" a="1"/>
  <c r="E24" i="14" s="1"/>
  <c r="E22" i="14" a="1"/>
  <c r="E22" i="14" s="1"/>
  <c r="H13" i="14" a="1"/>
  <c r="H13" i="14" s="1"/>
  <c r="H11" i="14" a="1"/>
  <c r="H11" i="14" s="1"/>
  <c r="G440" i="14" a="1"/>
  <c r="G440" i="14" s="1"/>
  <c r="H435" i="14" a="1"/>
  <c r="H435" i="14" s="1"/>
  <c r="H433" i="14" a="1"/>
  <c r="H433" i="14" s="1"/>
  <c r="G431" i="14" a="1"/>
  <c r="G431" i="14" s="1"/>
  <c r="H410" i="14" a="1"/>
  <c r="H410" i="14" s="1"/>
  <c r="G408" i="14" a="1"/>
  <c r="G408" i="14" s="1"/>
  <c r="H403" i="14" a="1"/>
  <c r="H403" i="14" s="1"/>
  <c r="H401" i="14" a="1"/>
  <c r="H401" i="14" s="1"/>
  <c r="G399" i="14" a="1"/>
  <c r="G399" i="14" s="1"/>
  <c r="G367" i="14" a="1"/>
  <c r="G367" i="14" s="1"/>
  <c r="E365" i="14" a="1"/>
  <c r="E365" i="14" s="1"/>
  <c r="E363" i="14" a="1"/>
  <c r="E363" i="14" s="1"/>
  <c r="G339" i="14" a="1"/>
  <c r="G339" i="14" s="1"/>
  <c r="G316" i="14" a="1"/>
  <c r="G316" i="14" s="1"/>
  <c r="G314" i="14" a="1"/>
  <c r="G314" i="14" s="1"/>
  <c r="G312" i="14" a="1"/>
  <c r="G312" i="14" s="1"/>
  <c r="G310" i="14" a="1"/>
  <c r="G310" i="14" s="1"/>
  <c r="G289" i="14" a="1"/>
  <c r="G289" i="14" s="1"/>
  <c r="G287" i="14" a="1"/>
  <c r="G287" i="14" s="1"/>
  <c r="E279" i="14" a="1"/>
  <c r="E279" i="14" s="1"/>
  <c r="G260" i="14" a="1"/>
  <c r="G260" i="14" s="1"/>
  <c r="G258" i="14" a="1"/>
  <c r="G258" i="14" s="1"/>
  <c r="G237" i="14" a="1"/>
  <c r="G237" i="14" s="1"/>
  <c r="G235" i="14" a="1"/>
  <c r="G235" i="14" s="1"/>
  <c r="G233" i="14" a="1"/>
  <c r="G233" i="14" s="1"/>
  <c r="E229" i="14" a="1"/>
  <c r="E229" i="14" s="1"/>
  <c r="E227" i="14" a="1"/>
  <c r="E227" i="14" s="1"/>
  <c r="H212" i="14" a="1"/>
  <c r="H212" i="14" s="1"/>
  <c r="H210" i="14" a="1"/>
  <c r="H210" i="14" s="1"/>
  <c r="G173" i="14" a="1"/>
  <c r="G173" i="14" s="1"/>
  <c r="G171" i="14" a="1"/>
  <c r="G171" i="14" s="1"/>
  <c r="E157" i="14" a="1"/>
  <c r="E157" i="14" s="1"/>
  <c r="E155" i="14" a="1"/>
  <c r="E155" i="14" s="1"/>
  <c r="H136" i="14" a="1"/>
  <c r="H136" i="14" s="1"/>
  <c r="H134" i="14" a="1"/>
  <c r="H134" i="14" s="1"/>
  <c r="H130" i="14" a="1"/>
  <c r="H130" i="14" s="1"/>
  <c r="H97" i="14" a="1"/>
  <c r="H97" i="14" s="1"/>
  <c r="H95" i="14" a="1"/>
  <c r="H95" i="14" s="1"/>
  <c r="H89" i="14" a="1"/>
  <c r="H89" i="14" s="1"/>
  <c r="H87" i="14" a="1"/>
  <c r="H87" i="14" s="1"/>
  <c r="G83" i="14" a="1"/>
  <c r="G83" i="14" s="1"/>
  <c r="E71" i="14" a="1"/>
  <c r="E71" i="14" s="1"/>
  <c r="E67" i="14" a="1"/>
  <c r="E67" i="14" s="1"/>
  <c r="H52" i="14" a="1"/>
  <c r="H52" i="14" s="1"/>
  <c r="H48" i="14" a="1"/>
  <c r="H48" i="14" s="1"/>
  <c r="H46" i="14" a="1"/>
  <c r="H46" i="14" s="1"/>
  <c r="G13" i="14" a="1"/>
  <c r="G13" i="14" s="1"/>
  <c r="G11" i="14" a="1"/>
  <c r="G11" i="14" s="1"/>
  <c r="H442" i="14" a="1"/>
  <c r="H442" i="14" s="1"/>
  <c r="H421" i="14" a="1"/>
  <c r="H421" i="14" s="1"/>
  <c r="G419" i="14" a="1"/>
  <c r="G419" i="14" s="1"/>
  <c r="G417" i="14" a="1"/>
  <c r="G417" i="14" s="1"/>
  <c r="E415" i="14" a="1"/>
  <c r="E415" i="14" s="1"/>
  <c r="E390" i="14" a="1"/>
  <c r="E390" i="14" s="1"/>
  <c r="E383" i="14" a="1"/>
  <c r="E383" i="14" s="1"/>
  <c r="G376" i="14" a="1"/>
  <c r="G376" i="14" s="1"/>
  <c r="E374" i="14" a="1"/>
  <c r="E374" i="14" s="1"/>
  <c r="H358" i="14" a="1"/>
  <c r="H358" i="14" s="1"/>
  <c r="H349" i="14" a="1"/>
  <c r="H349" i="14" s="1"/>
  <c r="H347" i="14" a="1"/>
  <c r="H347" i="14" s="1"/>
  <c r="H345" i="14" a="1"/>
  <c r="H345" i="14" s="1"/>
  <c r="H343" i="14" a="1"/>
  <c r="H343" i="14" s="1"/>
  <c r="E333" i="14" a="1"/>
  <c r="E333" i="14" s="1"/>
  <c r="E331" i="14" a="1"/>
  <c r="E331" i="14" s="1"/>
  <c r="H320" i="14" a="1"/>
  <c r="H320" i="14" s="1"/>
  <c r="H318" i="14" a="1"/>
  <c r="H318" i="14" s="1"/>
  <c r="G291" i="14" a="1"/>
  <c r="G291" i="14" s="1"/>
  <c r="G268" i="14" a="1"/>
  <c r="G268" i="14" s="1"/>
  <c r="G266" i="14" a="1"/>
  <c r="G266" i="14" s="1"/>
  <c r="G264" i="14" a="1"/>
  <c r="G264" i="14" s="1"/>
  <c r="G262" i="14" a="1"/>
  <c r="G262" i="14" s="1"/>
  <c r="G241" i="14" a="1"/>
  <c r="G241" i="14" s="1"/>
  <c r="G239" i="14" a="1"/>
  <c r="G239" i="14" s="1"/>
  <c r="E231" i="14" a="1"/>
  <c r="E231" i="14" s="1"/>
  <c r="H216" i="14" a="1"/>
  <c r="H216" i="14" s="1"/>
  <c r="H214" i="14" a="1"/>
  <c r="H214" i="14" s="1"/>
  <c r="G208" i="14" a="1"/>
  <c r="G208" i="14" s="1"/>
  <c r="E206" i="14" a="1"/>
  <c r="E206" i="14" s="1"/>
  <c r="E204" i="14" a="1"/>
  <c r="E204" i="14" s="1"/>
  <c r="E196" i="14" a="1"/>
  <c r="E196" i="14" s="1"/>
  <c r="H189" i="14" a="1"/>
  <c r="H189" i="14" s="1"/>
  <c r="H187" i="14" a="1"/>
  <c r="H187" i="14" s="1"/>
  <c r="G177" i="14" a="1"/>
  <c r="G177" i="14" s="1"/>
  <c r="G175" i="14" a="1"/>
  <c r="G175" i="14" s="1"/>
  <c r="G169" i="14" a="1"/>
  <c r="G169" i="14" s="1"/>
  <c r="E165" i="14" a="1"/>
  <c r="E165" i="14" s="1"/>
  <c r="E161" i="14" a="1"/>
  <c r="E161" i="14" s="1"/>
  <c r="E159" i="14" a="1"/>
  <c r="E159" i="14" s="1"/>
  <c r="G140" i="14" a="1"/>
  <c r="G140" i="14" s="1"/>
  <c r="G132" i="14" a="1"/>
  <c r="G132" i="14" s="1"/>
  <c r="G128" i="14" a="1"/>
  <c r="G128" i="14" s="1"/>
  <c r="E126" i="14" a="1"/>
  <c r="E126" i="14" s="1"/>
  <c r="E124" i="14" a="1"/>
  <c r="E124" i="14" s="1"/>
  <c r="E116" i="14" a="1"/>
  <c r="E116" i="14" s="1"/>
  <c r="G93" i="14" a="1"/>
  <c r="G93" i="14" s="1"/>
  <c r="G91" i="14" a="1"/>
  <c r="G91" i="14" s="1"/>
  <c r="E77" i="14" a="1"/>
  <c r="E77" i="14" s="1"/>
  <c r="E75" i="14" a="1"/>
  <c r="E75" i="14" s="1"/>
  <c r="H58" i="14" a="1"/>
  <c r="H58" i="14" s="1"/>
  <c r="H56" i="14" a="1"/>
  <c r="H56" i="14" s="1"/>
  <c r="H54" i="14" a="1"/>
  <c r="H54" i="14" s="1"/>
  <c r="H50" i="14" a="1"/>
  <c r="H50" i="14" s="1"/>
  <c r="E36" i="14" a="1"/>
  <c r="E36" i="14" s="1"/>
  <c r="G17" i="14" a="1"/>
  <c r="G17" i="14" s="1"/>
  <c r="G15" i="14" a="1"/>
  <c r="G15" i="14" s="1"/>
  <c r="H439" i="14" a="1"/>
  <c r="H439" i="14" s="1"/>
  <c r="G433" i="14" a="1"/>
  <c r="G433" i="14" s="1"/>
  <c r="H430" i="14" a="1"/>
  <c r="H430" i="14" s="1"/>
  <c r="G427" i="14" a="1"/>
  <c r="G427" i="14" s="1"/>
  <c r="H423" i="14" a="1"/>
  <c r="H423" i="14" s="1"/>
  <c r="E421" i="14" a="1"/>
  <c r="E421" i="14" s="1"/>
  <c r="H402" i="14" a="1"/>
  <c r="H402" i="14" s="1"/>
  <c r="E391" i="14" a="1"/>
  <c r="E391" i="14" s="1"/>
  <c r="H384" i="14" a="1"/>
  <c r="H384" i="14" s="1"/>
  <c r="E364" i="14" a="1"/>
  <c r="E364" i="14" s="1"/>
  <c r="H360" i="14" a="1"/>
  <c r="H360" i="14" s="1"/>
  <c r="H357" i="14" a="1"/>
  <c r="H357" i="14" s="1"/>
  <c r="G338" i="14" a="1"/>
  <c r="G338" i="14" s="1"/>
  <c r="H324" i="14" a="1"/>
  <c r="H324" i="14" s="1"/>
  <c r="G319" i="14" a="1"/>
  <c r="G319" i="14" s="1"/>
  <c r="E311" i="14" a="1"/>
  <c r="E311" i="14" s="1"/>
  <c r="E308" i="14" a="1"/>
  <c r="E308" i="14" s="1"/>
  <c r="G305" i="14" a="1"/>
  <c r="G305" i="14" s="1"/>
  <c r="H294" i="14" a="1"/>
  <c r="H294" i="14" s="1"/>
  <c r="G274" i="14" a="1"/>
  <c r="G274" i="14" s="1"/>
  <c r="H271" i="14" a="1"/>
  <c r="H271" i="14" s="1"/>
  <c r="E260" i="14" a="1"/>
  <c r="E260" i="14" s="1"/>
  <c r="E225" i="14" a="1"/>
  <c r="E225" i="14" s="1"/>
  <c r="H219" i="14" a="1"/>
  <c r="H219" i="14" s="1"/>
  <c r="E200" i="14" a="1"/>
  <c r="E200" i="14" s="1"/>
  <c r="H186" i="14" a="1"/>
  <c r="H186" i="14" s="1"/>
  <c r="H178" i="14" a="1"/>
  <c r="H178" i="14" s="1"/>
  <c r="H175" i="14" a="1"/>
  <c r="H175" i="14" s="1"/>
  <c r="H144" i="14" a="1"/>
  <c r="H144" i="14" s="1"/>
  <c r="G139" i="14" a="1"/>
  <c r="G139" i="14" s="1"/>
  <c r="G130" i="14" a="1"/>
  <c r="G130" i="14" s="1"/>
  <c r="H94" i="14" a="1"/>
  <c r="H94" i="14" s="1"/>
  <c r="G80" i="14" a="1"/>
  <c r="G80" i="14" s="1"/>
  <c r="H74" i="14" a="1"/>
  <c r="H74" i="14" s="1"/>
  <c r="E69" i="14" a="1"/>
  <c r="E69" i="14" s="1"/>
  <c r="G66" i="14" a="1"/>
  <c r="G66" i="14" s="1"/>
  <c r="G41" i="14" a="1"/>
  <c r="G41" i="14" s="1"/>
  <c r="E33" i="14" a="1"/>
  <c r="E33" i="14" s="1"/>
  <c r="G27" i="14" a="1"/>
  <c r="G27" i="14" s="1"/>
  <c r="H16" i="14" a="1"/>
  <c r="H16" i="14" s="1"/>
  <c r="E412" i="14" a="1"/>
  <c r="E412" i="14" s="1"/>
  <c r="H405" i="14" a="1"/>
  <c r="H405" i="14" s="1"/>
  <c r="G396" i="14" a="1"/>
  <c r="G396" i="14" s="1"/>
  <c r="H393" i="14" a="1"/>
  <c r="H393" i="14" s="1"/>
  <c r="H387" i="14" a="1"/>
  <c r="H387" i="14" s="1"/>
  <c r="H378" i="14" a="1"/>
  <c r="H378" i="14" s="1"/>
  <c r="G375" i="14" a="1"/>
  <c r="G375" i="14" s="1"/>
  <c r="G369" i="14" a="1"/>
  <c r="G369" i="14" s="1"/>
  <c r="H351" i="14" a="1"/>
  <c r="H351" i="14" s="1"/>
  <c r="E349" i="14" a="1"/>
  <c r="E349" i="14" s="1"/>
  <c r="G346" i="14" a="1"/>
  <c r="G346" i="14" s="1"/>
  <c r="G335" i="14" a="1"/>
  <c r="G335" i="14" s="1"/>
  <c r="E330" i="14" a="1"/>
  <c r="E330" i="14" s="1"/>
  <c r="E316" i="14" a="1"/>
  <c r="E316" i="14" s="1"/>
  <c r="H313" i="14" a="1"/>
  <c r="H313" i="14" s="1"/>
  <c r="H299" i="14" a="1"/>
  <c r="H299" i="14" s="1"/>
  <c r="H288" i="14" a="1"/>
  <c r="H288" i="14" s="1"/>
  <c r="G285" i="14" a="1"/>
  <c r="G285" i="14" s="1"/>
  <c r="H282" i="14" a="1"/>
  <c r="H282" i="14" s="1"/>
  <c r="E277" i="14" a="1"/>
  <c r="E277" i="14" s="1"/>
  <c r="E257" i="14" a="1"/>
  <c r="E257" i="14" s="1"/>
  <c r="E254" i="14" a="1"/>
  <c r="E254" i="14" s="1"/>
  <c r="G251" i="14" a="1"/>
  <c r="G251" i="14" s="1"/>
  <c r="H248" i="14" a="1"/>
  <c r="H248" i="14" s="1"/>
  <c r="E234" i="14" a="1"/>
  <c r="E234" i="14" s="1"/>
  <c r="E214" i="14" a="1"/>
  <c r="E214" i="14" s="1"/>
  <c r="H191" i="14" a="1"/>
  <c r="H191" i="14" s="1"/>
  <c r="E189" i="14" a="1"/>
  <c r="E189" i="14" s="1"/>
  <c r="H183" i="14" a="1"/>
  <c r="H183" i="14" s="1"/>
  <c r="H169" i="14" a="1"/>
  <c r="H169" i="14" s="1"/>
  <c r="H152" i="14" a="1"/>
  <c r="H152" i="14" s="1"/>
  <c r="G127" i="14" a="1"/>
  <c r="G127" i="14" s="1"/>
  <c r="E122" i="14" a="1"/>
  <c r="E122" i="14" s="1"/>
  <c r="H119" i="14" a="1"/>
  <c r="H119" i="14" s="1"/>
  <c r="H105" i="14" a="1"/>
  <c r="H105" i="14" s="1"/>
  <c r="E97" i="14" a="1"/>
  <c r="E97" i="14" s="1"/>
  <c r="E91" i="14" a="1"/>
  <c r="E91" i="14" s="1"/>
  <c r="G88" i="14" a="1"/>
  <c r="G88" i="14" s="1"/>
  <c r="E85" i="14" a="1"/>
  <c r="E85" i="14" s="1"/>
  <c r="E72" i="14" a="1"/>
  <c r="E72" i="14" s="1"/>
  <c r="E63" i="14" a="1"/>
  <c r="E63" i="14" s="1"/>
  <c r="E52" i="14" a="1"/>
  <c r="E52" i="14" s="1"/>
  <c r="G49" i="14" a="1"/>
  <c r="G49" i="14" s="1"/>
  <c r="E46" i="14" a="1"/>
  <c r="E46" i="14" s="1"/>
  <c r="H24" i="14" a="1"/>
  <c r="H24" i="14" s="1"/>
  <c r="E19" i="14" a="1"/>
  <c r="E19" i="14" s="1"/>
  <c r="G439" i="14" a="1"/>
  <c r="G439" i="14" s="1"/>
  <c r="E430" i="14" a="1"/>
  <c r="E430" i="14" s="1"/>
  <c r="G423" i="14" a="1"/>
  <c r="G423" i="14" s="1"/>
  <c r="G402" i="14" a="1"/>
  <c r="G402" i="14" s="1"/>
  <c r="G384" i="14" a="1"/>
  <c r="G384" i="14" s="1"/>
  <c r="H366" i="14" a="1"/>
  <c r="H366" i="14" s="1"/>
  <c r="G360" i="14" a="1"/>
  <c r="G360" i="14" s="1"/>
  <c r="G357" i="14" a="1"/>
  <c r="G357" i="14" s="1"/>
  <c r="H340" i="14" a="1"/>
  <c r="H340" i="14" s="1"/>
  <c r="G332" i="14" a="1"/>
  <c r="G332" i="14" s="1"/>
  <c r="E327" i="14" a="1"/>
  <c r="E327" i="14" s="1"/>
  <c r="G324" i="14" a="1"/>
  <c r="G324" i="14" s="1"/>
  <c r="H321" i="14" a="1"/>
  <c r="H321" i="14" s="1"/>
  <c r="E291" i="14" a="1"/>
  <c r="E291" i="14" s="1"/>
  <c r="E280" i="14" a="1"/>
  <c r="E280" i="14" s="1"/>
  <c r="E245" i="14" a="1"/>
  <c r="E245" i="14" s="1"/>
  <c r="H242" i="14" a="1"/>
  <c r="H242" i="14" s="1"/>
  <c r="H239" i="14" a="1"/>
  <c r="H239" i="14" s="1"/>
  <c r="E228" i="14" a="1"/>
  <c r="E228" i="14" s="1"/>
  <c r="H224" i="14" a="1"/>
  <c r="H224" i="14" s="1"/>
  <c r="G216" i="14" a="1"/>
  <c r="G216" i="14" s="1"/>
  <c r="H207" i="14" a="1"/>
  <c r="H207" i="14" s="1"/>
  <c r="E205" i="14" a="1"/>
  <c r="E205" i="14" s="1"/>
  <c r="G202" i="14" a="1"/>
  <c r="G202" i="14" s="1"/>
  <c r="E197" i="14" a="1"/>
  <c r="E197" i="14" s="1"/>
  <c r="H166" i="14" a="1"/>
  <c r="H166" i="14" s="1"/>
  <c r="E164" i="14" a="1"/>
  <c r="E164" i="14" s="1"/>
  <c r="H158" i="14" a="1"/>
  <c r="H158" i="14" s="1"/>
  <c r="E150" i="14" a="1"/>
  <c r="E150" i="14" s="1"/>
  <c r="G144" i="14" a="1"/>
  <c r="G144" i="14" s="1"/>
  <c r="H141" i="14" a="1"/>
  <c r="H141" i="14" s="1"/>
  <c r="E136" i="14" a="1"/>
  <c r="E136" i="14" s="1"/>
  <c r="H113" i="14" a="1"/>
  <c r="H113" i="14" s="1"/>
  <c r="E111" i="14" a="1"/>
  <c r="E111" i="14" s="1"/>
  <c r="H82" i="14" a="1"/>
  <c r="H82" i="14" s="1"/>
  <c r="G74" i="14" a="1"/>
  <c r="G74" i="14" s="1"/>
  <c r="H68" i="14" a="1"/>
  <c r="H68" i="14" s="1"/>
  <c r="E60" i="14" a="1"/>
  <c r="E60" i="14" s="1"/>
  <c r="H43" i="14" a="1"/>
  <c r="H43" i="14" s="1"/>
  <c r="E38" i="14" a="1"/>
  <c r="E38" i="14" s="1"/>
  <c r="G35" i="14" a="1"/>
  <c r="G35" i="14" s="1"/>
  <c r="H29" i="14" a="1"/>
  <c r="H29" i="14" s="1"/>
  <c r="G16" i="14" a="1"/>
  <c r="G16" i="14" s="1"/>
  <c r="H417" i="14" a="1"/>
  <c r="H417" i="14" s="1"/>
  <c r="G414" i="14" a="1"/>
  <c r="G414" i="14" s="1"/>
  <c r="G405" i="14" a="1"/>
  <c r="G405" i="14" s="1"/>
  <c r="G393" i="14" a="1"/>
  <c r="G393" i="14" s="1"/>
  <c r="E381" i="14" a="1"/>
  <c r="E381" i="14" s="1"/>
  <c r="G378" i="14" a="1"/>
  <c r="G378" i="14" s="1"/>
  <c r="E372" i="14" a="1"/>
  <c r="E372" i="14" s="1"/>
  <c r="G351" i="14" a="1"/>
  <c r="G351" i="14" s="1"/>
  <c r="E343" i="14" a="1"/>
  <c r="E343" i="14" s="1"/>
  <c r="E335" i="14" a="1"/>
  <c r="E335" i="14" s="1"/>
  <c r="G313" i="14" a="1"/>
  <c r="G313" i="14" s="1"/>
  <c r="E305" i="14" a="1"/>
  <c r="E305" i="14" s="1"/>
  <c r="G299" i="14" a="1"/>
  <c r="G299" i="14" s="1"/>
  <c r="G288" i="14" a="1"/>
  <c r="G288" i="14" s="1"/>
  <c r="E285" i="14" a="1"/>
  <c r="E285" i="14" s="1"/>
  <c r="G282" i="14" a="1"/>
  <c r="G282" i="14" s="1"/>
  <c r="H276" i="14" a="1"/>
  <c r="H276" i="14" s="1"/>
  <c r="E268" i="14" a="1"/>
  <c r="E268" i="14" s="1"/>
  <c r="H265" i="14" a="1"/>
  <c r="H265" i="14" s="1"/>
  <c r="H253" i="14" a="1"/>
  <c r="H253" i="14" s="1"/>
  <c r="E248" i="14" a="1"/>
  <c r="E248" i="14" s="1"/>
  <c r="G236" i="14" a="1"/>
  <c r="G236" i="14" s="1"/>
  <c r="H230" i="14" a="1"/>
  <c r="H230" i="14" s="1"/>
  <c r="H221" i="14" a="1"/>
  <c r="H221" i="14" s="1"/>
  <c r="G210" i="14" a="1"/>
  <c r="G210" i="14" s="1"/>
  <c r="G191" i="14" a="1"/>
  <c r="G191" i="14" s="1"/>
  <c r="H180" i="14" a="1"/>
  <c r="H180" i="14" s="1"/>
  <c r="E175" i="14" a="1"/>
  <c r="E175" i="14" s="1"/>
  <c r="G152" i="14" a="1"/>
  <c r="G152" i="14" s="1"/>
  <c r="E147" i="14" a="1"/>
  <c r="E147" i="14" s="1"/>
  <c r="G105" i="14" a="1"/>
  <c r="G105" i="14" s="1"/>
  <c r="H102" i="14" a="1"/>
  <c r="H102" i="14" s="1"/>
  <c r="H93" i="14" a="1"/>
  <c r="H93" i="14" s="1"/>
  <c r="H62" i="14" a="1"/>
  <c r="H62" i="14" s="1"/>
  <c r="E27" i="14" a="1"/>
  <c r="E27" i="14" s="1"/>
  <c r="E13" i="14" a="1"/>
  <c r="E13" i="14" s="1"/>
  <c r="H398" i="14" a="1"/>
  <c r="H398" i="14" s="1"/>
  <c r="E396" i="14" a="1"/>
  <c r="E396" i="14" s="1"/>
  <c r="E387" i="14" a="1"/>
  <c r="E387" i="14" s="1"/>
  <c r="E375" i="14" a="1"/>
  <c r="E375" i="14" s="1"/>
  <c r="G366" i="14" a="1"/>
  <c r="G366" i="14" s="1"/>
  <c r="G340" i="14" a="1"/>
  <c r="G340" i="14" s="1"/>
  <c r="G337" i="14" a="1"/>
  <c r="G337" i="14" s="1"/>
  <c r="H326" i="14" a="1"/>
  <c r="H326" i="14" s="1"/>
  <c r="G321" i="14" a="1"/>
  <c r="G321" i="14" s="1"/>
  <c r="E310" i="14" a="1"/>
  <c r="E310" i="14" s="1"/>
  <c r="G307" i="14" a="1"/>
  <c r="G307" i="14" s="1"/>
  <c r="H296" i="14" a="1"/>
  <c r="H296" i="14" s="1"/>
  <c r="H273" i="14" a="1"/>
  <c r="H273" i="14" s="1"/>
  <c r="G259" i="14" a="1"/>
  <c r="G259" i="14" s="1"/>
  <c r="G256" i="14" a="1"/>
  <c r="G256" i="14" s="1"/>
  <c r="E251" i="14" a="1"/>
  <c r="E251" i="14" s="1"/>
  <c r="G224" i="14" a="1"/>
  <c r="G224" i="14" s="1"/>
  <c r="G207" i="14" a="1"/>
  <c r="G207" i="14" s="1"/>
  <c r="E202" i="14" a="1"/>
  <c r="E202" i="14" s="1"/>
  <c r="H199" i="14" a="1"/>
  <c r="H199" i="14" s="1"/>
  <c r="E183" i="14" a="1"/>
  <c r="E183" i="14" s="1"/>
  <c r="H177" i="14" a="1"/>
  <c r="H177" i="14" s="1"/>
  <c r="E172" i="14" a="1"/>
  <c r="E172" i="14" s="1"/>
  <c r="G166" i="14" a="1"/>
  <c r="G166" i="14" s="1"/>
  <c r="E158" i="14" a="1"/>
  <c r="E158" i="14" s="1"/>
  <c r="G141" i="14" a="1"/>
  <c r="G141" i="14" s="1"/>
  <c r="G138" i="14" a="1"/>
  <c r="G138" i="14" s="1"/>
  <c r="H132" i="14" a="1"/>
  <c r="H132" i="14" s="1"/>
  <c r="H129" i="14" a="1"/>
  <c r="H129" i="14" s="1"/>
  <c r="E119" i="14" a="1"/>
  <c r="E119" i="14" s="1"/>
  <c r="G113" i="14" a="1"/>
  <c r="G113" i="14" s="1"/>
  <c r="G99" i="14" a="1"/>
  <c r="G99" i="14" s="1"/>
  <c r="G82" i="14" a="1"/>
  <c r="G82" i="14" s="1"/>
  <c r="G79" i="14" a="1"/>
  <c r="G79" i="14" s="1"/>
  <c r="G68" i="14" a="1"/>
  <c r="G68" i="14" s="1"/>
  <c r="G54" i="14" a="1"/>
  <c r="G54" i="14" s="1"/>
  <c r="G43" i="14" a="1"/>
  <c r="G43" i="14" s="1"/>
  <c r="G40" i="14" a="1"/>
  <c r="G40" i="14" s="1"/>
  <c r="G29" i="14" a="1"/>
  <c r="G29" i="14" s="1"/>
  <c r="E21" i="14" a="1"/>
  <c r="E21" i="14" s="1"/>
  <c r="H441" i="14" a="1"/>
  <c r="H441" i="14" s="1"/>
  <c r="E439" i="14" a="1"/>
  <c r="E439" i="14" s="1"/>
  <c r="G435" i="14" a="1"/>
  <c r="G435" i="14" s="1"/>
  <c r="H432" i="14" a="1"/>
  <c r="H432" i="14" s="1"/>
  <c r="E426" i="14" a="1"/>
  <c r="E426" i="14" s="1"/>
  <c r="E423" i="14" a="1"/>
  <c r="E423" i="14" s="1"/>
  <c r="H380" i="14" a="1"/>
  <c r="H380" i="14" s="1"/>
  <c r="H353" i="14" a="1"/>
  <c r="H353" i="14" s="1"/>
  <c r="G348" i="14" a="1"/>
  <c r="G348" i="14" s="1"/>
  <c r="E332" i="14" a="1"/>
  <c r="E332" i="14" s="1"/>
  <c r="E324" i="14" a="1"/>
  <c r="E324" i="14" s="1"/>
  <c r="E318" i="14" a="1"/>
  <c r="E318" i="14" s="1"/>
  <c r="H315" i="14" a="1"/>
  <c r="H315" i="14" s="1"/>
  <c r="H301" i="14" a="1"/>
  <c r="H301" i="14" s="1"/>
  <c r="G276" i="14" a="1"/>
  <c r="G276" i="14" s="1"/>
  <c r="H270" i="14" a="1"/>
  <c r="H270" i="14" s="1"/>
  <c r="G265" i="14" a="1"/>
  <c r="G265" i="14" s="1"/>
  <c r="G253" i="14" a="1"/>
  <c r="G253" i="14" s="1"/>
  <c r="H247" i="14" a="1"/>
  <c r="H247" i="14" s="1"/>
  <c r="E239" i="14" a="1"/>
  <c r="E239" i="14" s="1"/>
  <c r="G230" i="14" a="1"/>
  <c r="G230" i="14" s="1"/>
  <c r="E216" i="14" a="1"/>
  <c r="E216" i="14" s="1"/>
  <c r="H193" i="14" a="1"/>
  <c r="H193" i="14" s="1"/>
  <c r="H185" i="14" a="1"/>
  <c r="H185" i="14" s="1"/>
  <c r="G163" i="14" a="1"/>
  <c r="G163" i="14" s="1"/>
  <c r="H154" i="14" a="1"/>
  <c r="H154" i="14" s="1"/>
  <c r="H146" i="14" a="1"/>
  <c r="H146" i="14" s="1"/>
  <c r="H126" i="14" a="1"/>
  <c r="H126" i="14" s="1"/>
  <c r="H121" i="14" a="1"/>
  <c r="H121" i="14" s="1"/>
  <c r="H107" i="14" a="1"/>
  <c r="H107" i="14" s="1"/>
  <c r="E102" i="14" a="1"/>
  <c r="E102" i="14" s="1"/>
  <c r="H96" i="14" a="1"/>
  <c r="H96" i="14" s="1"/>
  <c r="H84" i="14" a="1"/>
  <c r="H84" i="14" s="1"/>
  <c r="G76" i="14" a="1"/>
  <c r="G76" i="14" s="1"/>
  <c r="E74" i="14" a="1"/>
  <c r="E74" i="14" s="1"/>
  <c r="E62" i="14" a="1"/>
  <c r="E62" i="14" s="1"/>
  <c r="G48" i="14" a="1"/>
  <c r="G48" i="14" s="1"/>
  <c r="H45" i="14" a="1"/>
  <c r="H45" i="14" s="1"/>
  <c r="E35" i="14" a="1"/>
  <c r="E35" i="14" s="1"/>
  <c r="H26" i="14" a="1"/>
  <c r="H26" i="14" s="1"/>
  <c r="H18" i="14" a="1"/>
  <c r="H18" i="14" s="1"/>
  <c r="H15" i="14" a="1"/>
  <c r="H15" i="14" s="1"/>
  <c r="H434" i="14" a="1"/>
  <c r="H434" i="14" s="1"/>
  <c r="G415" i="14" a="1"/>
  <c r="G415" i="14" s="1"/>
  <c r="H407" i="14" a="1"/>
  <c r="H407" i="14" s="1"/>
  <c r="E380" i="14" a="1"/>
  <c r="E380" i="14" s="1"/>
  <c r="E347" i="14" a="1"/>
  <c r="E347" i="14" s="1"/>
  <c r="E312" i="14" a="1"/>
  <c r="E312" i="14" s="1"/>
  <c r="G290" i="14" a="1"/>
  <c r="G290" i="14" s="1"/>
  <c r="H241" i="14" a="1"/>
  <c r="H241" i="14" s="1"/>
  <c r="E223" i="14" a="1"/>
  <c r="E223" i="14" s="1"/>
  <c r="G212" i="14" a="1"/>
  <c r="G212" i="14" s="1"/>
  <c r="G205" i="14" a="1"/>
  <c r="G205" i="14" s="1"/>
  <c r="G198" i="14" a="1"/>
  <c r="G198" i="14" s="1"/>
  <c r="E156" i="14" a="1"/>
  <c r="E156" i="14" s="1"/>
  <c r="G114" i="14" a="1"/>
  <c r="G114" i="14" s="1"/>
  <c r="H103" i="14" a="1"/>
  <c r="H103" i="14" s="1"/>
  <c r="G60" i="14" a="1"/>
  <c r="G60" i="14" s="1"/>
  <c r="E54" i="14" a="1"/>
  <c r="E54" i="14" s="1"/>
  <c r="H25" i="14" a="1"/>
  <c r="H25" i="14" s="1"/>
  <c r="H22" i="14" a="1"/>
  <c r="H22" i="14" s="1"/>
  <c r="E15" i="14" a="1"/>
  <c r="E15" i="14" s="1"/>
  <c r="H437" i="14" a="1"/>
  <c r="H437" i="14" s="1"/>
  <c r="H391" i="14" a="1"/>
  <c r="H391" i="14" s="1"/>
  <c r="H368" i="14" a="1"/>
  <c r="H368" i="14" s="1"/>
  <c r="G353" i="14" a="1"/>
  <c r="G353" i="14" s="1"/>
  <c r="G336" i="14" a="1"/>
  <c r="G336" i="14" s="1"/>
  <c r="E326" i="14" a="1"/>
  <c r="E326" i="14" s="1"/>
  <c r="G322" i="14" a="1"/>
  <c r="G322" i="14" s="1"/>
  <c r="G308" i="14" a="1"/>
  <c r="G308" i="14" s="1"/>
  <c r="H297" i="14" a="1"/>
  <c r="H297" i="14" s="1"/>
  <c r="H286" i="14" a="1"/>
  <c r="H286" i="14" s="1"/>
  <c r="E283" i="14" a="1"/>
  <c r="E283" i="14" s="1"/>
  <c r="E264" i="14" a="1"/>
  <c r="E264" i="14" s="1"/>
  <c r="H226" i="14" a="1"/>
  <c r="H226" i="14" s="1"/>
  <c r="E195" i="14" a="1"/>
  <c r="E195" i="14" s="1"/>
  <c r="E181" i="14" a="1"/>
  <c r="E181" i="14" s="1"/>
  <c r="E177" i="14" a="1"/>
  <c r="E177" i="14" s="1"/>
  <c r="E142" i="14" a="1"/>
  <c r="E142" i="14" s="1"/>
  <c r="H127" i="14" a="1"/>
  <c r="H127" i="14" s="1"/>
  <c r="H78" i="14" a="1"/>
  <c r="H78" i="14" s="1"/>
  <c r="G50" i="14" a="1"/>
  <c r="G50" i="14" s="1"/>
  <c r="E29" i="14" a="1"/>
  <c r="E29" i="14" s="1"/>
  <c r="H425" i="14" a="1"/>
  <c r="H425" i="14" s="1"/>
  <c r="G418" i="14" a="1"/>
  <c r="G418" i="14" s="1"/>
  <c r="G407" i="14" a="1"/>
  <c r="G407" i="14" s="1"/>
  <c r="G398" i="14" a="1"/>
  <c r="G398" i="14" s="1"/>
  <c r="H382" i="14" a="1"/>
  <c r="H382" i="14" s="1"/>
  <c r="H364" i="14" a="1"/>
  <c r="H364" i="14" s="1"/>
  <c r="H346" i="14" a="1"/>
  <c r="H346" i="14" s="1"/>
  <c r="E339" i="14" a="1"/>
  <c r="E339" i="14" s="1"/>
  <c r="G315" i="14" a="1"/>
  <c r="G315" i="14" s="1"/>
  <c r="E301" i="14" a="1"/>
  <c r="E301" i="14" s="1"/>
  <c r="H267" i="14" a="1"/>
  <c r="H267" i="14" s="1"/>
  <c r="H244" i="14" a="1"/>
  <c r="H244" i="14" s="1"/>
  <c r="E238" i="14" a="1"/>
  <c r="E238" i="14" s="1"/>
  <c r="G234" i="14" a="1"/>
  <c r="G234" i="14" s="1"/>
  <c r="H208" i="14" a="1"/>
  <c r="H208" i="14" s="1"/>
  <c r="E198" i="14" a="1"/>
  <c r="E198" i="14" s="1"/>
  <c r="H184" i="14" a="1"/>
  <c r="H184" i="14" s="1"/>
  <c r="E173" i="14" a="1"/>
  <c r="E173" i="14" s="1"/>
  <c r="G131" i="14" a="1"/>
  <c r="G131" i="14" s="1"/>
  <c r="H123" i="14" a="1"/>
  <c r="H123" i="14" s="1"/>
  <c r="E107" i="14" a="1"/>
  <c r="E107" i="14" s="1"/>
  <c r="G81" i="14" a="1"/>
  <c r="G81" i="14" s="1"/>
  <c r="H39" i="14" a="1"/>
  <c r="H39" i="14" s="1"/>
  <c r="G25" i="14" a="1"/>
  <c r="G25" i="14" s="1"/>
  <c r="G441" i="14" a="1"/>
  <c r="G441" i="14" s="1"/>
  <c r="G437" i="14" a="1"/>
  <c r="G437" i="14" s="1"/>
  <c r="G421" i="14" a="1"/>
  <c r="G421" i="14" s="1"/>
  <c r="G410" i="14" a="1"/>
  <c r="G410" i="14" s="1"/>
  <c r="G394" i="14" a="1"/>
  <c r="G394" i="14" s="1"/>
  <c r="G368" i="14" a="1"/>
  <c r="G368" i="14" s="1"/>
  <c r="G356" i="14" a="1"/>
  <c r="G356" i="14" s="1"/>
  <c r="H342" i="14" a="1"/>
  <c r="H342" i="14" s="1"/>
  <c r="H328" i="14" a="1"/>
  <c r="H328" i="14" s="1"/>
  <c r="H303" i="14" a="1"/>
  <c r="H303" i="14" s="1"/>
  <c r="G297" i="14" a="1"/>
  <c r="G297" i="14" s="1"/>
  <c r="E293" i="14" a="1"/>
  <c r="E293" i="14" s="1"/>
  <c r="E286" i="14" a="1"/>
  <c r="E286" i="14" s="1"/>
  <c r="H278" i="14" a="1"/>
  <c r="H278" i="14" s="1"/>
  <c r="E275" i="14" a="1"/>
  <c r="E275" i="14" s="1"/>
  <c r="H255" i="14" a="1"/>
  <c r="H255" i="14" s="1"/>
  <c r="E241" i="14" a="1"/>
  <c r="E241" i="14" s="1"/>
  <c r="G226" i="14" a="1"/>
  <c r="G226" i="14" s="1"/>
  <c r="E212" i="14" a="1"/>
  <c r="E212" i="14" s="1"/>
  <c r="H201" i="14" a="1"/>
  <c r="H201" i="14" s="1"/>
  <c r="E191" i="14" a="1"/>
  <c r="E191" i="14" s="1"/>
  <c r="H162" i="14" a="1"/>
  <c r="H162" i="14" s="1"/>
  <c r="E152" i="14" a="1"/>
  <c r="E152" i="14" s="1"/>
  <c r="H148" i="14" a="1"/>
  <c r="H148" i="14" s="1"/>
  <c r="H145" i="14" a="1"/>
  <c r="H145" i="14" s="1"/>
  <c r="G134" i="14" a="1"/>
  <c r="G134" i="14" s="1"/>
  <c r="E117" i="14" a="1"/>
  <c r="E117" i="14" s="1"/>
  <c r="H109" i="14" a="1"/>
  <c r="H109" i="14" s="1"/>
  <c r="E103" i="14" a="1"/>
  <c r="E103" i="14" s="1"/>
  <c r="G95" i="14" a="1"/>
  <c r="G95" i="14" s="1"/>
  <c r="H88" i="14" a="1"/>
  <c r="H88" i="14" s="1"/>
  <c r="E78" i="14" a="1"/>
  <c r="E78" i="14" s="1"/>
  <c r="H70" i="14" a="1"/>
  <c r="H70" i="14" s="1"/>
  <c r="H63" i="14" a="1"/>
  <c r="H63" i="14" s="1"/>
  <c r="G42" i="14" a="1"/>
  <c r="G42" i="14" s="1"/>
  <c r="E429" i="14" a="1"/>
  <c r="E429" i="14" s="1"/>
  <c r="G425" i="14" a="1"/>
  <c r="G425" i="14" s="1"/>
  <c r="E414" i="14" a="1"/>
  <c r="E414" i="14" s="1"/>
  <c r="H386" i="14" a="1"/>
  <c r="H386" i="14" s="1"/>
  <c r="G382" i="14" a="1"/>
  <c r="G382" i="14" s="1"/>
  <c r="G371" i="14" a="1"/>
  <c r="G371" i="14" s="1"/>
  <c r="G364" i="14" a="1"/>
  <c r="G364" i="14" s="1"/>
  <c r="E353" i="14" a="1"/>
  <c r="E353" i="14" s="1"/>
  <c r="G349" i="14" a="1"/>
  <c r="G349" i="14" s="1"/>
  <c r="H311" i="14" a="1"/>
  <c r="H311" i="14" s="1"/>
  <c r="E282" i="14" a="1"/>
  <c r="E282" i="14" s="1"/>
  <c r="G267" i="14" a="1"/>
  <c r="G267" i="14" s="1"/>
  <c r="E252" i="14" a="1"/>
  <c r="E252" i="14" s="1"/>
  <c r="E230" i="14" a="1"/>
  <c r="E230" i="14" s="1"/>
  <c r="E222" i="14" a="1"/>
  <c r="E222" i="14" s="1"/>
  <c r="H215" i="14" a="1"/>
  <c r="H215" i="14" s="1"/>
  <c r="G187" i="14" a="1"/>
  <c r="G187" i="14" s="1"/>
  <c r="E138" i="14" a="1"/>
  <c r="E138" i="14" s="1"/>
  <c r="G123" i="14" a="1"/>
  <c r="G123" i="14" s="1"/>
  <c r="E113" i="14" a="1"/>
  <c r="E113" i="14" s="1"/>
  <c r="E99" i="14" a="1"/>
  <c r="E99" i="14" s="1"/>
  <c r="E81" i="14" a="1"/>
  <c r="E81" i="14" s="1"/>
  <c r="H59" i="14" a="1"/>
  <c r="H59" i="14" s="1"/>
  <c r="G56" i="14" a="1"/>
  <c r="G56" i="14" s="1"/>
  <c r="H14" i="14" a="1"/>
  <c r="H14" i="14" s="1"/>
  <c r="E11" i="14" a="1"/>
  <c r="E11" i="14" s="1"/>
  <c r="E398" i="14" a="1"/>
  <c r="E398" i="14" s="1"/>
  <c r="E356" i="14" a="1"/>
  <c r="E356" i="14" s="1"/>
  <c r="G342" i="14" a="1"/>
  <c r="G342" i="14" s="1"/>
  <c r="G328" i="14" a="1"/>
  <c r="G328" i="14" s="1"/>
  <c r="E307" i="14" a="1"/>
  <c r="E307" i="14" s="1"/>
  <c r="G303" i="14" a="1"/>
  <c r="G303" i="14" s="1"/>
  <c r="E289" i="14" a="1"/>
  <c r="E289" i="14" s="1"/>
  <c r="G278" i="14" a="1"/>
  <c r="G278" i="14" s="1"/>
  <c r="H274" i="14" a="1"/>
  <c r="H274" i="14" s="1"/>
  <c r="H263" i="14" a="1"/>
  <c r="H263" i="14" s="1"/>
  <c r="E259" i="14" a="1"/>
  <c r="E259" i="14" s="1"/>
  <c r="G255" i="14" a="1"/>
  <c r="G255" i="14" s="1"/>
  <c r="G218" i="14" a="1"/>
  <c r="G218" i="14" s="1"/>
  <c r="G201" i="14" a="1"/>
  <c r="G201" i="14" s="1"/>
  <c r="H176" i="14" a="1"/>
  <c r="H176" i="14" s="1"/>
  <c r="H168" i="14" a="1"/>
  <c r="H168" i="14" s="1"/>
  <c r="G162" i="14" a="1"/>
  <c r="G162" i="14" s="1"/>
  <c r="E120" i="14" a="1"/>
  <c r="E120" i="14" s="1"/>
  <c r="G109" i="14" a="1"/>
  <c r="G109" i="14" s="1"/>
  <c r="H91" i="14" a="1"/>
  <c r="H91" i="14" s="1"/>
  <c r="G70" i="14" a="1"/>
  <c r="G70" i="14" s="1"/>
  <c r="H66" i="14" a="1"/>
  <c r="H66" i="14" s="1"/>
  <c r="E42" i="14" a="1"/>
  <c r="E42" i="14" s="1"/>
  <c r="E39" i="14" a="1"/>
  <c r="E39" i="14" s="1"/>
  <c r="H31" i="14" a="1"/>
  <c r="H31" i="14" s="1"/>
  <c r="H17" i="14" a="1"/>
  <c r="H17" i="14" s="1"/>
  <c r="E441" i="14" a="1"/>
  <c r="E441" i="14" s="1"/>
  <c r="E437" i="14" a="1"/>
  <c r="E437" i="14" s="1"/>
  <c r="H428" i="14" a="1"/>
  <c r="H428" i="14" s="1"/>
  <c r="E410" i="14" a="1"/>
  <c r="E410" i="14" s="1"/>
  <c r="G401" i="14" a="1"/>
  <c r="G401" i="14" s="1"/>
  <c r="E394" i="14" a="1"/>
  <c r="E394" i="14" s="1"/>
  <c r="E386" i="14" a="1"/>
  <c r="E386" i="14" s="1"/>
  <c r="G345" i="14" a="1"/>
  <c r="G345" i="14" s="1"/>
  <c r="H338" i="14" a="1"/>
  <c r="H338" i="14" s="1"/>
  <c r="E270" i="14" a="1"/>
  <c r="E270" i="14" s="1"/>
  <c r="H251" i="14" a="1"/>
  <c r="H251" i="14" s="1"/>
  <c r="E237" i="14" a="1"/>
  <c r="E237" i="14" s="1"/>
  <c r="E425" i="14" a="1"/>
  <c r="E425" i="14" s="1"/>
  <c r="E406" i="14" a="1"/>
  <c r="E406" i="14" s="1"/>
  <c r="H389" i="14" a="1"/>
  <c r="H389" i="14" s="1"/>
  <c r="E382" i="14" a="1"/>
  <c r="E382" i="14" s="1"/>
  <c r="E371" i="14" a="1"/>
  <c r="E371" i="14" s="1"/>
  <c r="H359" i="14" a="1"/>
  <c r="H359" i="14" s="1"/>
  <c r="H355" i="14" a="1"/>
  <c r="H355" i="14" s="1"/>
  <c r="H317" i="14" a="1"/>
  <c r="H317" i="14" s="1"/>
  <c r="H292" i="14" a="1"/>
  <c r="H292" i="14" s="1"/>
  <c r="H266" i="14" a="1"/>
  <c r="H266" i="14" s="1"/>
  <c r="G243" i="14" a="1"/>
  <c r="G243" i="14" s="1"/>
  <c r="H240" i="14" a="1"/>
  <c r="H240" i="14" s="1"/>
  <c r="E413" i="14" a="1"/>
  <c r="E413" i="14" s="1"/>
  <c r="H344" i="14" a="1"/>
  <c r="H344" i="14" s="1"/>
  <c r="E299" i="14" a="1"/>
  <c r="E299" i="14" s="1"/>
  <c r="G284" i="14" a="1"/>
  <c r="G284" i="14" s="1"/>
  <c r="G280" i="14" a="1"/>
  <c r="G280" i="14" s="1"/>
  <c r="E261" i="14" a="1"/>
  <c r="E261" i="14" s="1"/>
  <c r="H250" i="14" a="1"/>
  <c r="H250" i="14" s="1"/>
  <c r="E232" i="14" a="1"/>
  <c r="E232" i="14" s="1"/>
  <c r="E218" i="14" a="1"/>
  <c r="E218" i="14" s="1"/>
  <c r="G209" i="14" a="1"/>
  <c r="G209" i="14" s="1"/>
  <c r="G154" i="14" a="1"/>
  <c r="G154" i="14" s="1"/>
  <c r="H150" i="14" a="1"/>
  <c r="H150" i="14" s="1"/>
  <c r="E125" i="14" a="1"/>
  <c r="E125" i="14" s="1"/>
  <c r="E65" i="14" a="1"/>
  <c r="E65" i="14" s="1"/>
  <c r="G44" i="14" a="1"/>
  <c r="G44" i="14" s="1"/>
  <c r="G19" i="14" a="1"/>
  <c r="G19" i="14" s="1"/>
  <c r="E388" i="14" a="1"/>
  <c r="E388" i="14" s="1"/>
  <c r="E373" i="14" a="1"/>
  <c r="E373" i="14" s="1"/>
  <c r="H330" i="14" a="1"/>
  <c r="H330" i="14" s="1"/>
  <c r="G326" i="14" a="1"/>
  <c r="G326" i="14" s="1"/>
  <c r="H246" i="14" a="1"/>
  <c r="H246" i="14" s="1"/>
  <c r="E236" i="14" a="1"/>
  <c r="E236" i="14" s="1"/>
  <c r="E193" i="14" a="1"/>
  <c r="E193" i="14" s="1"/>
  <c r="G179" i="14" a="1"/>
  <c r="G179" i="14" s="1"/>
  <c r="H170" i="14" a="1"/>
  <c r="H170" i="14" s="1"/>
  <c r="G146" i="14" a="1"/>
  <c r="G146" i="14" s="1"/>
  <c r="H111" i="14" a="1"/>
  <c r="H111" i="14" s="1"/>
  <c r="G86" i="14" a="1"/>
  <c r="G86" i="14" s="1"/>
  <c r="G73" i="14" a="1"/>
  <c r="G73" i="14" s="1"/>
  <c r="G52" i="14" a="1"/>
  <c r="G52" i="14" s="1"/>
  <c r="E40" i="14" a="1"/>
  <c r="E40" i="14" s="1"/>
  <c r="E431" i="14" a="1"/>
  <c r="E431" i="14" s="1"/>
  <c r="H362" i="14" a="1"/>
  <c r="H362" i="14" s="1"/>
  <c r="G344" i="14" a="1"/>
  <c r="G344" i="14" s="1"/>
  <c r="H334" i="14" a="1"/>
  <c r="H334" i="14" s="1"/>
  <c r="E303" i="14" a="1"/>
  <c r="E303" i="14" s="1"/>
  <c r="H298" i="14" a="1"/>
  <c r="H298" i="14" s="1"/>
  <c r="H269" i="14" a="1"/>
  <c r="H269" i="14" s="1"/>
  <c r="H264" i="14" a="1"/>
  <c r="H264" i="14" s="1"/>
  <c r="E255" i="14" a="1"/>
  <c r="E255" i="14" s="1"/>
  <c r="E250" i="14" a="1"/>
  <c r="E250" i="14" s="1"/>
  <c r="G150" i="14" a="1"/>
  <c r="G150" i="14" s="1"/>
  <c r="G107" i="14" a="1"/>
  <c r="G107" i="14" s="1"/>
  <c r="H64" i="14" a="1"/>
  <c r="H64" i="14" s="1"/>
  <c r="H47" i="14" a="1"/>
  <c r="H47" i="14" s="1"/>
  <c r="E44" i="14" a="1"/>
  <c r="E44" i="14" s="1"/>
  <c r="H27" i="14" a="1"/>
  <c r="H27" i="14" s="1"/>
  <c r="E23" i="14" a="1"/>
  <c r="E23" i="14" s="1"/>
  <c r="G412" i="14" a="1"/>
  <c r="G412" i="14" s="1"/>
  <c r="E358" i="14" a="1"/>
  <c r="E358" i="14" s="1"/>
  <c r="G330" i="14" a="1"/>
  <c r="G330" i="14" s="1"/>
  <c r="G317" i="14" a="1"/>
  <c r="G317" i="14" s="1"/>
  <c r="E284" i="14" a="1"/>
  <c r="E284" i="14" s="1"/>
  <c r="E246" i="14" a="1"/>
  <c r="E246" i="14" s="1"/>
  <c r="H174" i="14" a="1"/>
  <c r="H174" i="14" s="1"/>
  <c r="G170" i="14" a="1"/>
  <c r="G170" i="14" s="1"/>
  <c r="E154" i="14" a="1"/>
  <c r="E154" i="14" s="1"/>
  <c r="H137" i="14" a="1"/>
  <c r="H137" i="14" s="1"/>
  <c r="G111" i="14" a="1"/>
  <c r="G111" i="14" s="1"/>
  <c r="H98" i="14" a="1"/>
  <c r="H98" i="14" s="1"/>
  <c r="G89" i="14" a="1"/>
  <c r="G89" i="14" s="1"/>
  <c r="G31" i="14" a="1"/>
  <c r="G31" i="14" s="1"/>
  <c r="E14" i="14" a="1"/>
  <c r="E14" i="14" s="1"/>
  <c r="G416" i="14" a="1"/>
  <c r="G416" i="14" s="1"/>
  <c r="H396" i="14" a="1"/>
  <c r="H396" i="14" s="1"/>
  <c r="H376" i="14" a="1"/>
  <c r="H376" i="14" s="1"/>
  <c r="G362" i="14" a="1"/>
  <c r="G362" i="14" s="1"/>
  <c r="E334" i="14" a="1"/>
  <c r="E334" i="14" s="1"/>
  <c r="G269" i="14" a="1"/>
  <c r="G269" i="14" s="1"/>
  <c r="H249" i="14" a="1"/>
  <c r="H249" i="14" s="1"/>
  <c r="G240" i="14" a="1"/>
  <c r="G240" i="14" s="1"/>
  <c r="H225" i="14" a="1"/>
  <c r="H225" i="14" s="1"/>
  <c r="H217" i="14" a="1"/>
  <c r="H217" i="14" s="1"/>
  <c r="G200" i="14" a="1"/>
  <c r="G200" i="14" s="1"/>
  <c r="E179" i="14" a="1"/>
  <c r="E179" i="14" s="1"/>
  <c r="G115" i="14" a="1"/>
  <c r="G115" i="14" s="1"/>
  <c r="G64" i="14" a="1"/>
  <c r="G64" i="14" s="1"/>
  <c r="G47" i="14" a="1"/>
  <c r="G47" i="14" s="1"/>
  <c r="E435" i="14" a="1"/>
  <c r="E435" i="14" s="1"/>
  <c r="E367" i="14" a="1"/>
  <c r="E367" i="14" s="1"/>
  <c r="E235" i="14" a="1"/>
  <c r="E235" i="14" s="1"/>
  <c r="G220" i="14" a="1"/>
  <c r="G220" i="14" s="1"/>
  <c r="H182" i="14" a="1"/>
  <c r="H182" i="14" s="1"/>
  <c r="E174" i="14" a="1"/>
  <c r="E174" i="14" s="1"/>
  <c r="E132" i="14" a="1"/>
  <c r="E132" i="14" s="1"/>
  <c r="E93" i="14" a="1"/>
  <c r="E93" i="14" s="1"/>
  <c r="H72" i="14" a="1"/>
  <c r="H72" i="14" s="1"/>
  <c r="E68" i="14" a="1"/>
  <c r="E68" i="14" s="1"/>
  <c r="E56" i="14" a="1"/>
  <c r="E56" i="14" s="1"/>
  <c r="H400" i="14" a="1"/>
  <c r="H400" i="14" s="1"/>
  <c r="G347" i="14" a="1"/>
  <c r="G347" i="14" s="1"/>
  <c r="G320" i="14" a="1"/>
  <c r="G320" i="14" s="1"/>
  <c r="G283" i="14" a="1"/>
  <c r="G283" i="14" s="1"/>
  <c r="H203" i="14" a="1"/>
  <c r="H203" i="14" s="1"/>
  <c r="G195" i="14" a="1"/>
  <c r="G195" i="14" s="1"/>
  <c r="E187" i="14" a="1"/>
  <c r="E187" i="14" s="1"/>
  <c r="E123" i="14" a="1"/>
  <c r="E123" i="14" s="1"/>
  <c r="G97" i="14" a="1"/>
  <c r="G97" i="14" s="1"/>
  <c r="G51" i="14" a="1"/>
  <c r="G51" i="14" s="1"/>
  <c r="G34" i="14" a="1"/>
  <c r="G34" i="14" s="1"/>
  <c r="E31" i="14" a="1"/>
  <c r="E31" i="14" s="1"/>
  <c r="H419" i="14" a="1"/>
  <c r="H419" i="14" s="1"/>
  <c r="E416" i="14" a="1"/>
  <c r="E416" i="14" s="1"/>
  <c r="G380" i="14" a="1"/>
  <c r="G380" i="14" s="1"/>
  <c r="G306" i="14" a="1"/>
  <c r="G306" i="14" s="1"/>
  <c r="G292" i="14" a="1"/>
  <c r="G292" i="14" s="1"/>
  <c r="E287" i="14" a="1"/>
  <c r="E287" i="14" s="1"/>
  <c r="E278" i="14" a="1"/>
  <c r="E278" i="14" s="1"/>
  <c r="H272" i="14" a="1"/>
  <c r="H272" i="14" s="1"/>
  <c r="H160" i="14" a="1"/>
  <c r="H160" i="14" s="1"/>
  <c r="E140" i="14" a="1"/>
  <c r="E140" i="14" s="1"/>
  <c r="G136" i="14" a="1"/>
  <c r="G136" i="14" s="1"/>
  <c r="G118" i="14" a="1"/>
  <c r="G118" i="14" s="1"/>
  <c r="E115" i="14" a="1"/>
  <c r="E115" i="14" s="1"/>
  <c r="E106" i="14" a="1"/>
  <c r="E106" i="14" s="1"/>
  <c r="E101" i="14" a="1"/>
  <c r="E101" i="14" s="1"/>
  <c r="H80" i="14" a="1"/>
  <c r="H80" i="14" s="1"/>
  <c r="G72" i="14" a="1"/>
  <c r="G72" i="14" s="1"/>
  <c r="G400" i="14" a="1"/>
  <c r="G400" i="14" s="1"/>
  <c r="E351" i="14" a="1"/>
  <c r="E351" i="14" s="1"/>
  <c r="E337" i="14" a="1"/>
  <c r="E337" i="14" s="1"/>
  <c r="H257" i="14" a="1"/>
  <c r="H257" i="14" s="1"/>
  <c r="E220" i="14" a="1"/>
  <c r="E220" i="14" s="1"/>
  <c r="G203" i="14" a="1"/>
  <c r="G203" i="14" s="1"/>
  <c r="E199" i="14" a="1"/>
  <c r="E199" i="14" s="1"/>
  <c r="H164" i="14" a="1"/>
  <c r="H164" i="14" s="1"/>
  <c r="E76" i="14" a="1"/>
  <c r="E76" i="14" s="1"/>
  <c r="G301" i="14" a="1"/>
  <c r="G301" i="14" s="1"/>
  <c r="G272" i="14" a="1"/>
  <c r="G272" i="14" s="1"/>
  <c r="E253" i="14" a="1"/>
  <c r="E253" i="14" s="1"/>
  <c r="G211" i="14" a="1"/>
  <c r="G211" i="14" s="1"/>
  <c r="H206" i="14" a="1"/>
  <c r="H206" i="14" s="1"/>
  <c r="G168" i="14" a="1"/>
  <c r="G168" i="14" s="1"/>
  <c r="G160" i="14" a="1"/>
  <c r="G160" i="14" s="1"/>
  <c r="H143" i="14" a="1"/>
  <c r="H143" i="14" s="1"/>
  <c r="G122" i="14" a="1"/>
  <c r="G122" i="14" s="1"/>
  <c r="E118" i="14" a="1"/>
  <c r="E118" i="14" s="1"/>
  <c r="H55" i="14" a="1"/>
  <c r="H55" i="14" s="1"/>
  <c r="H33" i="14" a="1"/>
  <c r="H33" i="14" s="1"/>
  <c r="E17" i="14" a="1"/>
  <c r="E17" i="14" s="1"/>
  <c r="G12" i="14" a="1"/>
  <c r="G12" i="14" s="1"/>
  <c r="H100" i="14" a="1"/>
  <c r="H100" i="14" s="1"/>
  <c r="E95" i="14" a="1"/>
  <c r="E95" i="14" s="1"/>
  <c r="H41" i="14" a="1"/>
  <c r="H41" i="14" s="1"/>
  <c r="A992" i="5" a="1"/>
  <c r="A992" i="5" s="1"/>
  <c r="A976" i="5" a="1"/>
  <c r="A976" i="5" s="1"/>
  <c r="A960" i="5" a="1"/>
  <c r="A960" i="5" s="1"/>
  <c r="A944" i="5" a="1"/>
  <c r="A944" i="5" s="1"/>
  <c r="A928" i="5" a="1"/>
  <c r="A928" i="5" s="1"/>
  <c r="A912" i="5" a="1"/>
  <c r="A912" i="5" s="1"/>
  <c r="A896" i="5" a="1"/>
  <c r="A896" i="5" s="1"/>
  <c r="A880" i="5" a="1"/>
  <c r="A880" i="5" s="1"/>
  <c r="A864" i="5" a="1"/>
  <c r="A864" i="5" s="1"/>
  <c r="A848" i="5" a="1"/>
  <c r="A848" i="5" s="1"/>
  <c r="A832" i="5" a="1"/>
  <c r="A832" i="5" s="1"/>
  <c r="A816" i="5" a="1"/>
  <c r="A816" i="5" s="1"/>
  <c r="A800" i="5" a="1"/>
  <c r="A800" i="5" s="1"/>
  <c r="A784" i="5" a="1"/>
  <c r="A784" i="5" s="1"/>
  <c r="A768" i="5" a="1"/>
  <c r="A768" i="5" s="1"/>
  <c r="A752" i="5" a="1"/>
  <c r="A752" i="5" s="1"/>
  <c r="A736" i="5" a="1"/>
  <c r="A736" i="5" s="1"/>
  <c r="A720" i="5" a="1"/>
  <c r="A720" i="5" s="1"/>
  <c r="A704" i="5" a="1"/>
  <c r="A704" i="5" s="1"/>
  <c r="A688" i="5" a="1"/>
  <c r="A688" i="5" s="1"/>
  <c r="A672" i="5" a="1"/>
  <c r="A672" i="5" s="1"/>
  <c r="A656" i="5" a="1"/>
  <c r="A656" i="5" s="1"/>
  <c r="E782" i="3" a="1"/>
  <c r="E782" i="3" s="1"/>
  <c r="G780" i="3" a="1"/>
  <c r="G780" i="3" s="1"/>
  <c r="E721" i="3" a="1"/>
  <c r="E721" i="3" s="1"/>
  <c r="G695" i="3" a="1"/>
  <c r="G695" i="3" s="1"/>
  <c r="G404" i="14" a="1"/>
  <c r="G404" i="14" s="1"/>
  <c r="H232" i="14" a="1"/>
  <c r="H232" i="14" s="1"/>
  <c r="G193" i="14" a="1"/>
  <c r="G193" i="14" s="1"/>
  <c r="E79" i="14" a="1"/>
  <c r="E79" i="14" s="1"/>
  <c r="A997" i="5" a="1"/>
  <c r="A997" i="5" s="1"/>
  <c r="A981" i="5" a="1"/>
  <c r="A981" i="5" s="1"/>
  <c r="A965" i="5" a="1"/>
  <c r="A965" i="5" s="1"/>
  <c r="A949" i="5" a="1"/>
  <c r="A949" i="5" s="1"/>
  <c r="A933" i="5" a="1"/>
  <c r="A933" i="5" s="1"/>
  <c r="A917" i="5" a="1"/>
  <c r="A917" i="5" s="1"/>
  <c r="A901" i="5" a="1"/>
  <c r="A901" i="5" s="1"/>
  <c r="A885" i="5" a="1"/>
  <c r="A885" i="5" s="1"/>
  <c r="A869" i="5" a="1"/>
  <c r="A869" i="5" s="1"/>
  <c r="A853" i="5" a="1"/>
  <c r="A853" i="5" s="1"/>
  <c r="A837" i="5" a="1"/>
  <c r="A837" i="5" s="1"/>
  <c r="A821" i="5" a="1"/>
  <c r="A821" i="5" s="1"/>
  <c r="A805" i="5" a="1"/>
  <c r="A805" i="5" s="1"/>
  <c r="A789" i="5" a="1"/>
  <c r="A789" i="5" s="1"/>
  <c r="A773" i="5" a="1"/>
  <c r="A773" i="5" s="1"/>
  <c r="A757" i="5" a="1"/>
  <c r="A757" i="5" s="1"/>
  <c r="A741" i="5" a="1"/>
  <c r="A741" i="5" s="1"/>
  <c r="A725" i="5" a="1"/>
  <c r="A725" i="5" s="1"/>
  <c r="A709" i="5" a="1"/>
  <c r="A709" i="5" s="1"/>
  <c r="A693" i="5" a="1"/>
  <c r="A693" i="5" s="1"/>
  <c r="A677" i="5" a="1"/>
  <c r="A677" i="5" s="1"/>
  <c r="A661" i="5" a="1"/>
  <c r="A661" i="5" s="1"/>
  <c r="E781" i="3" a="1"/>
  <c r="E781" i="3" s="1"/>
  <c r="G779" i="3" a="1"/>
  <c r="G779" i="3" s="1"/>
  <c r="G778" i="3" a="1"/>
  <c r="G778" i="3" s="1"/>
  <c r="G777" i="3" a="1"/>
  <c r="G777" i="3" s="1"/>
  <c r="G776" i="3" a="1"/>
  <c r="G776" i="3" s="1"/>
  <c r="G775" i="3" a="1"/>
  <c r="G775" i="3" s="1"/>
  <c r="G774" i="3" a="1"/>
  <c r="G774" i="3" s="1"/>
  <c r="G773" i="3" a="1"/>
  <c r="G773" i="3" s="1"/>
  <c r="G772" i="3" a="1"/>
  <c r="G772" i="3" s="1"/>
  <c r="G771" i="3" a="1"/>
  <c r="G771" i="3" s="1"/>
  <c r="G770" i="3" a="1"/>
  <c r="G770" i="3" s="1"/>
  <c r="G769" i="3" a="1"/>
  <c r="G769" i="3" s="1"/>
  <c r="G768" i="3" a="1"/>
  <c r="G768" i="3" s="1"/>
  <c r="G767" i="3" a="1"/>
  <c r="G767" i="3" s="1"/>
  <c r="G766" i="3" a="1"/>
  <c r="G766" i="3" s="1"/>
  <c r="G765" i="3" a="1"/>
  <c r="G765" i="3" s="1"/>
  <c r="G764" i="3" a="1"/>
  <c r="G764" i="3" s="1"/>
  <c r="G763" i="3" a="1"/>
  <c r="G763" i="3" s="1"/>
  <c r="G762" i="3" a="1"/>
  <c r="G762" i="3" s="1"/>
  <c r="G761" i="3" a="1"/>
  <c r="G761" i="3" s="1"/>
  <c r="G760" i="3" a="1"/>
  <c r="G760" i="3" s="1"/>
  <c r="G759" i="3" a="1"/>
  <c r="G759" i="3" s="1"/>
  <c r="G758" i="3" a="1"/>
  <c r="G758" i="3" s="1"/>
  <c r="G757" i="3" a="1"/>
  <c r="G757" i="3" s="1"/>
  <c r="G756" i="3" a="1"/>
  <c r="G756" i="3" s="1"/>
  <c r="G755" i="3" a="1"/>
  <c r="G755" i="3" s="1"/>
  <c r="G754" i="3" a="1"/>
  <c r="G754" i="3" s="1"/>
  <c r="G753" i="3" a="1"/>
  <c r="G753" i="3" s="1"/>
  <c r="G752" i="3" a="1"/>
  <c r="G752" i="3" s="1"/>
  <c r="G751" i="3" a="1"/>
  <c r="G751" i="3" s="1"/>
  <c r="G750" i="3" a="1"/>
  <c r="G750" i="3" s="1"/>
  <c r="G749" i="3" a="1"/>
  <c r="G749" i="3" s="1"/>
  <c r="G748" i="3" a="1"/>
  <c r="G748" i="3" s="1"/>
  <c r="G747" i="3" a="1"/>
  <c r="G747" i="3" s="1"/>
  <c r="G746" i="3" a="1"/>
  <c r="G746" i="3" s="1"/>
  <c r="G745" i="3" a="1"/>
  <c r="G745" i="3" s="1"/>
  <c r="G744" i="3" a="1"/>
  <c r="G744" i="3" s="1"/>
  <c r="G743" i="3" a="1"/>
  <c r="G743" i="3" s="1"/>
  <c r="G742" i="3" a="1"/>
  <c r="G742" i="3" s="1"/>
  <c r="G741" i="3" a="1"/>
  <c r="G741" i="3" s="1"/>
  <c r="G740" i="3" a="1"/>
  <c r="G740" i="3" s="1"/>
  <c r="G739" i="3" a="1"/>
  <c r="G739" i="3" s="1"/>
  <c r="G738" i="3" a="1"/>
  <c r="G738" i="3" s="1"/>
  <c r="G737" i="3" a="1"/>
  <c r="G737" i="3" s="1"/>
  <c r="G736" i="3" a="1"/>
  <c r="G736" i="3" s="1"/>
  <c r="G735" i="3" a="1"/>
  <c r="G735" i="3" s="1"/>
  <c r="G734" i="3" a="1"/>
  <c r="G734" i="3" s="1"/>
  <c r="E720" i="3" a="1"/>
  <c r="E720" i="3" s="1"/>
  <c r="E719" i="3" a="1"/>
  <c r="E719" i="3" s="1"/>
  <c r="E718" i="3" a="1"/>
  <c r="E718" i="3" s="1"/>
  <c r="E717" i="3" a="1"/>
  <c r="E717" i="3" s="1"/>
  <c r="E716" i="3" a="1"/>
  <c r="E716" i="3" s="1"/>
  <c r="E715" i="3" a="1"/>
  <c r="E715" i="3" s="1"/>
  <c r="E713" i="3" a="1"/>
  <c r="E713" i="3" s="1"/>
  <c r="E712" i="3" a="1"/>
  <c r="E712" i="3" s="1"/>
  <c r="E710" i="3" a="1"/>
  <c r="E710" i="3" s="1"/>
  <c r="E709" i="3" a="1"/>
  <c r="E709" i="3" s="1"/>
  <c r="E708" i="3" a="1"/>
  <c r="E708" i="3" s="1"/>
  <c r="E707" i="3" a="1"/>
  <c r="E707" i="3" s="1"/>
  <c r="E706" i="3" a="1"/>
  <c r="E706" i="3" s="1"/>
  <c r="E705" i="3" a="1"/>
  <c r="E705" i="3" s="1"/>
  <c r="E704" i="3" a="1"/>
  <c r="E704" i="3" s="1"/>
  <c r="E703" i="3" a="1"/>
  <c r="E703" i="3" s="1"/>
  <c r="E702" i="3" a="1"/>
  <c r="E702" i="3" s="1"/>
  <c r="E701" i="3" a="1"/>
  <c r="E701" i="3" s="1"/>
  <c r="E700" i="3" a="1"/>
  <c r="E700" i="3" s="1"/>
  <c r="E699" i="3" a="1"/>
  <c r="E699" i="3" s="1"/>
  <c r="E698" i="3" a="1"/>
  <c r="E698" i="3" s="1"/>
  <c r="E697" i="3" a="1"/>
  <c r="E697" i="3" s="1"/>
  <c r="E696" i="3" a="1"/>
  <c r="E696" i="3" s="1"/>
  <c r="G694" i="3" a="1"/>
  <c r="G694" i="3" s="1"/>
  <c r="E295" i="14" a="1"/>
  <c r="E295" i="14" s="1"/>
  <c r="H209" i="14" a="1"/>
  <c r="H209" i="14" s="1"/>
  <c r="E171" i="14" a="1"/>
  <c r="E171" i="14" s="1"/>
  <c r="E58" i="14" a="1"/>
  <c r="E58" i="14" s="1"/>
  <c r="A986" i="5" a="1"/>
  <c r="A986" i="5" s="1"/>
  <c r="A970" i="5" a="1"/>
  <c r="A970" i="5" s="1"/>
  <c r="A954" i="5" a="1"/>
  <c r="A954" i="5" s="1"/>
  <c r="A938" i="5" a="1"/>
  <c r="A938" i="5" s="1"/>
  <c r="A922" i="5" a="1"/>
  <c r="A922" i="5" s="1"/>
  <c r="A906" i="5" a="1"/>
  <c r="A906" i="5" s="1"/>
  <c r="A890" i="5" a="1"/>
  <c r="A890" i="5" s="1"/>
  <c r="A874" i="5" a="1"/>
  <c r="A874" i="5" s="1"/>
  <c r="A858" i="5" a="1"/>
  <c r="A858" i="5" s="1"/>
  <c r="A842" i="5" a="1"/>
  <c r="A842" i="5" s="1"/>
  <c r="A826" i="5" a="1"/>
  <c r="A826" i="5" s="1"/>
  <c r="A810" i="5" a="1"/>
  <c r="A810" i="5" s="1"/>
  <c r="A794" i="5" a="1"/>
  <c r="A794" i="5" s="1"/>
  <c r="A778" i="5" a="1"/>
  <c r="A778" i="5" s="1"/>
  <c r="A762" i="5" a="1"/>
  <c r="A762" i="5" s="1"/>
  <c r="A746" i="5" a="1"/>
  <c r="A746" i="5" s="1"/>
  <c r="A730" i="5" a="1"/>
  <c r="A730" i="5" s="1"/>
  <c r="A714" i="5" a="1"/>
  <c r="A714" i="5" s="1"/>
  <c r="A698" i="5" a="1"/>
  <c r="A698" i="5" s="1"/>
  <c r="A682" i="5" a="1"/>
  <c r="A682" i="5" s="1"/>
  <c r="A666" i="5" a="1"/>
  <c r="A666" i="5" s="1"/>
  <c r="E780" i="3" a="1"/>
  <c r="E780" i="3" s="1"/>
  <c r="G733" i="3" a="1"/>
  <c r="G733" i="3" s="1"/>
  <c r="E695" i="3" a="1"/>
  <c r="E695" i="3" s="1"/>
  <c r="G693" i="3" a="1"/>
  <c r="G693" i="3" s="1"/>
  <c r="E328" i="14" a="1"/>
  <c r="E328" i="14" s="1"/>
  <c r="G257" i="14" a="1"/>
  <c r="G257" i="14" s="1"/>
  <c r="G232" i="14" a="1"/>
  <c r="G232" i="14" s="1"/>
  <c r="G45" i="14" a="1"/>
  <c r="G45" i="14" s="1"/>
  <c r="H23" i="14" a="1"/>
  <c r="H23" i="14" s="1"/>
  <c r="A991" i="5" a="1"/>
  <c r="A991" i="5" s="1"/>
  <c r="A975" i="5" a="1"/>
  <c r="A975" i="5" s="1"/>
  <c r="A959" i="5" a="1"/>
  <c r="A959" i="5" s="1"/>
  <c r="A943" i="5" a="1"/>
  <c r="A943" i="5" s="1"/>
  <c r="A927" i="5" a="1"/>
  <c r="A927" i="5" s="1"/>
  <c r="A911" i="5" a="1"/>
  <c r="A911" i="5" s="1"/>
  <c r="A895" i="5" a="1"/>
  <c r="A895" i="5" s="1"/>
  <c r="A879" i="5" a="1"/>
  <c r="A879" i="5" s="1"/>
  <c r="A863" i="5" a="1"/>
  <c r="A863" i="5" s="1"/>
  <c r="A847" i="5" a="1"/>
  <c r="A847" i="5" s="1"/>
  <c r="A831" i="5" a="1"/>
  <c r="A831" i="5" s="1"/>
  <c r="A815" i="5" a="1"/>
  <c r="A815" i="5" s="1"/>
  <c r="A799" i="5" a="1"/>
  <c r="A799" i="5" s="1"/>
  <c r="A783" i="5" a="1"/>
  <c r="A783" i="5" s="1"/>
  <c r="A767" i="5" a="1"/>
  <c r="A767" i="5" s="1"/>
  <c r="A751" i="5" a="1"/>
  <c r="A751" i="5" s="1"/>
  <c r="A735" i="5" a="1"/>
  <c r="A735" i="5" s="1"/>
  <c r="A719" i="5" a="1"/>
  <c r="A719" i="5" s="1"/>
  <c r="A703" i="5" a="1"/>
  <c r="A703" i="5" s="1"/>
  <c r="A687" i="5" a="1"/>
  <c r="A687" i="5" s="1"/>
  <c r="A671" i="5" a="1"/>
  <c r="A671" i="5" s="1"/>
  <c r="A655" i="5" a="1"/>
  <c r="A655" i="5" s="1"/>
  <c r="A646" i="5" a="1"/>
  <c r="A646" i="5" s="1"/>
  <c r="A638" i="5" a="1"/>
  <c r="A638" i="5" s="1"/>
  <c r="A96" i="5" a="1"/>
  <c r="A96" i="5" s="1"/>
  <c r="A80" i="5" a="1"/>
  <c r="A80" i="5" s="1"/>
  <c r="A64" i="5" a="1"/>
  <c r="A64" i="5" s="1"/>
  <c r="A63" i="5" a="1"/>
  <c r="A63" i="5" s="1"/>
  <c r="A62" i="5" a="1"/>
  <c r="A62" i="5" s="1"/>
  <c r="A61" i="5" a="1"/>
  <c r="A61" i="5" s="1"/>
  <c r="A60" i="5" a="1"/>
  <c r="A60" i="5" s="1"/>
  <c r="A59" i="5" a="1"/>
  <c r="A59" i="5" s="1"/>
  <c r="A58" i="5" a="1"/>
  <c r="A58" i="5" s="1"/>
  <c r="A57" i="5" a="1"/>
  <c r="A57" i="5" s="1"/>
  <c r="A56" i="5" a="1"/>
  <c r="A56" i="5" s="1"/>
  <c r="A55" i="5" a="1"/>
  <c r="A55" i="5" s="1"/>
  <c r="A54" i="5" a="1"/>
  <c r="A54" i="5" s="1"/>
  <c r="A53" i="5" a="1"/>
  <c r="A53" i="5" s="1"/>
  <c r="A52" i="5" a="1"/>
  <c r="A52" i="5" s="1"/>
  <c r="A35" i="5" a="1"/>
  <c r="A35" i="5" s="1"/>
  <c r="G795" i="3" a="1"/>
  <c r="G795" i="3" s="1"/>
  <c r="G794" i="3" a="1"/>
  <c r="G794" i="3" s="1"/>
  <c r="G793" i="3" a="1"/>
  <c r="G793" i="3" s="1"/>
  <c r="E779" i="3" a="1"/>
  <c r="E779" i="3" s="1"/>
  <c r="E778" i="3" a="1"/>
  <c r="E778" i="3" s="1"/>
  <c r="E777" i="3" a="1"/>
  <c r="E777" i="3" s="1"/>
  <c r="E776" i="3" a="1"/>
  <c r="E776" i="3" s="1"/>
  <c r="E775" i="3" a="1"/>
  <c r="E775" i="3" s="1"/>
  <c r="E774" i="3" a="1"/>
  <c r="E774" i="3" s="1"/>
  <c r="E773" i="3" a="1"/>
  <c r="E773" i="3" s="1"/>
  <c r="E772" i="3" a="1"/>
  <c r="E772" i="3" s="1"/>
  <c r="E771" i="3" a="1"/>
  <c r="E771" i="3" s="1"/>
  <c r="E770" i="3" a="1"/>
  <c r="E770" i="3" s="1"/>
  <c r="E769" i="3" a="1"/>
  <c r="E769" i="3" s="1"/>
  <c r="E768" i="3" a="1"/>
  <c r="E768" i="3" s="1"/>
  <c r="E767" i="3" a="1"/>
  <c r="E767" i="3" s="1"/>
  <c r="E766" i="3" a="1"/>
  <c r="E766" i="3" s="1"/>
  <c r="E765" i="3" a="1"/>
  <c r="E765" i="3" s="1"/>
  <c r="E764" i="3" a="1"/>
  <c r="E764" i="3" s="1"/>
  <c r="E762" i="3" a="1"/>
  <c r="E762" i="3" s="1"/>
  <c r="E761" i="3" a="1"/>
  <c r="E761" i="3" s="1"/>
  <c r="E759" i="3" a="1"/>
  <c r="E759" i="3" s="1"/>
  <c r="E758" i="3" a="1"/>
  <c r="E758" i="3" s="1"/>
  <c r="E757" i="3" a="1"/>
  <c r="E757" i="3" s="1"/>
  <c r="E756" i="3" a="1"/>
  <c r="E756" i="3" s="1"/>
  <c r="E755" i="3" a="1"/>
  <c r="E755" i="3" s="1"/>
  <c r="E754" i="3" a="1"/>
  <c r="E754" i="3" s="1"/>
  <c r="E753" i="3" a="1"/>
  <c r="E753" i="3" s="1"/>
  <c r="E752" i="3" a="1"/>
  <c r="E752" i="3" s="1"/>
  <c r="E751" i="3" a="1"/>
  <c r="E751" i="3" s="1"/>
  <c r="E750" i="3" a="1"/>
  <c r="E750" i="3" s="1"/>
  <c r="E749" i="3" a="1"/>
  <c r="E749" i="3" s="1"/>
  <c r="E748" i="3" a="1"/>
  <c r="E748" i="3" s="1"/>
  <c r="E745" i="3" a="1"/>
  <c r="E745" i="3" s="1"/>
  <c r="E744" i="3" a="1"/>
  <c r="E744" i="3" s="1"/>
  <c r="E743" i="3" a="1"/>
  <c r="E743" i="3" s="1"/>
  <c r="E741" i="3" a="1"/>
  <c r="E741" i="3" s="1"/>
  <c r="E740" i="3" a="1"/>
  <c r="E740" i="3" s="1"/>
  <c r="E739" i="3" a="1"/>
  <c r="E739" i="3" s="1"/>
  <c r="E737" i="3" a="1"/>
  <c r="E737" i="3" s="1"/>
  <c r="E736" i="3" a="1"/>
  <c r="E736" i="3" s="1"/>
  <c r="E735" i="3" a="1"/>
  <c r="E735" i="3" s="1"/>
  <c r="E734" i="3" a="1"/>
  <c r="E734" i="3" s="1"/>
  <c r="G732" i="3" a="1"/>
  <c r="G732" i="3" s="1"/>
  <c r="E432" i="14" a="1"/>
  <c r="E432" i="14" s="1"/>
  <c r="G403" i="14" a="1"/>
  <c r="G403" i="14" s="1"/>
  <c r="G373" i="14" a="1"/>
  <c r="G373" i="14" s="1"/>
  <c r="G355" i="14" a="1"/>
  <c r="G355" i="14" s="1"/>
  <c r="E148" i="14" a="1"/>
  <c r="E148" i="14" s="1"/>
  <c r="H104" i="14" a="1"/>
  <c r="H104" i="14" s="1"/>
  <c r="A985" i="5" a="1"/>
  <c r="A985" i="5" s="1"/>
  <c r="A969" i="5" a="1"/>
  <c r="A969" i="5" s="1"/>
  <c r="A953" i="5" a="1"/>
  <c r="A953" i="5" s="1"/>
  <c r="A937" i="5" a="1"/>
  <c r="A937" i="5" s="1"/>
  <c r="A921" i="5" a="1"/>
  <c r="A921" i="5" s="1"/>
  <c r="A905" i="5" a="1"/>
  <c r="A905" i="5" s="1"/>
  <c r="A889" i="5" a="1"/>
  <c r="A889" i="5" s="1"/>
  <c r="A873" i="5" a="1"/>
  <c r="A873" i="5" s="1"/>
  <c r="A857" i="5" a="1"/>
  <c r="A857" i="5" s="1"/>
  <c r="A841" i="5" a="1"/>
  <c r="A841" i="5" s="1"/>
  <c r="A825" i="5" a="1"/>
  <c r="A825" i="5" s="1"/>
  <c r="A809" i="5" a="1"/>
  <c r="A809" i="5" s="1"/>
  <c r="A793" i="5" a="1"/>
  <c r="A793" i="5" s="1"/>
  <c r="A777" i="5" a="1"/>
  <c r="A777" i="5" s="1"/>
  <c r="A761" i="5" a="1"/>
  <c r="A761" i="5" s="1"/>
  <c r="A745" i="5" a="1"/>
  <c r="A745" i="5" s="1"/>
  <c r="A729" i="5" a="1"/>
  <c r="A729" i="5" s="1"/>
  <c r="A713" i="5" a="1"/>
  <c r="A713" i="5" s="1"/>
  <c r="A697" i="5" a="1"/>
  <c r="A697" i="5" s="1"/>
  <c r="A681" i="5" a="1"/>
  <c r="A681" i="5" s="1"/>
  <c r="A665" i="5" a="1"/>
  <c r="A665" i="5" s="1"/>
  <c r="E795" i="3" a="1"/>
  <c r="E795" i="3" s="1"/>
  <c r="E794" i="3" a="1"/>
  <c r="E794" i="3" s="1"/>
  <c r="E793" i="3" a="1"/>
  <c r="E793" i="3" s="1"/>
  <c r="G791" i="3" a="1"/>
  <c r="G791" i="3" s="1"/>
  <c r="E732" i="3" a="1"/>
  <c r="E732" i="3" s="1"/>
  <c r="G730" i="3" a="1"/>
  <c r="G730" i="3" s="1"/>
  <c r="E692" i="3" a="1"/>
  <c r="E692" i="3" s="1"/>
  <c r="G690" i="3" a="1"/>
  <c r="G690" i="3" s="1"/>
  <c r="E640" i="3" a="1"/>
  <c r="E640" i="3" s="1"/>
  <c r="E603" i="3" a="1"/>
  <c r="E603" i="3" s="1"/>
  <c r="G601" i="3" a="1"/>
  <c r="G601" i="3" s="1"/>
  <c r="G597" i="3" a="1"/>
  <c r="G597" i="3" s="1"/>
  <c r="G596" i="3" a="1"/>
  <c r="G596" i="3" s="1"/>
  <c r="G595" i="3" a="1"/>
  <c r="G595" i="3" s="1"/>
  <c r="G594" i="3" a="1"/>
  <c r="G594" i="3" s="1"/>
  <c r="G593" i="3" a="1"/>
  <c r="G593" i="3" s="1"/>
  <c r="G592" i="3" a="1"/>
  <c r="G592" i="3" s="1"/>
  <c r="G591" i="3" a="1"/>
  <c r="G591" i="3" s="1"/>
  <c r="G590" i="3" a="1"/>
  <c r="G590" i="3" s="1"/>
  <c r="G589" i="3" a="1"/>
  <c r="G589" i="3" s="1"/>
  <c r="G588" i="3" a="1"/>
  <c r="G588" i="3" s="1"/>
  <c r="G587" i="3" a="1"/>
  <c r="G587" i="3" s="1"/>
  <c r="G586" i="3" a="1"/>
  <c r="G586" i="3" s="1"/>
  <c r="G585" i="3" a="1"/>
  <c r="G585" i="3" s="1"/>
  <c r="G584" i="3" a="1"/>
  <c r="G584" i="3" s="1"/>
  <c r="G583" i="3" a="1"/>
  <c r="G583" i="3" s="1"/>
  <c r="G582" i="3" a="1"/>
  <c r="G582" i="3" s="1"/>
  <c r="G581" i="3" a="1"/>
  <c r="G581" i="3" s="1"/>
  <c r="G580" i="3" a="1"/>
  <c r="G580" i="3" s="1"/>
  <c r="G579" i="3" a="1"/>
  <c r="G579" i="3" s="1"/>
  <c r="G578" i="3" a="1"/>
  <c r="G578" i="3" s="1"/>
  <c r="G577" i="3" a="1"/>
  <c r="G577" i="3" s="1"/>
  <c r="G576" i="3" a="1"/>
  <c r="G576" i="3" s="1"/>
  <c r="G575" i="3" a="1"/>
  <c r="G575" i="3" s="1"/>
  <c r="G574" i="3" a="1"/>
  <c r="G574" i="3" s="1"/>
  <c r="G573" i="3" a="1"/>
  <c r="G573" i="3" s="1"/>
  <c r="G572" i="3" a="1"/>
  <c r="G572" i="3" s="1"/>
  <c r="G571" i="3" a="1"/>
  <c r="G571" i="3" s="1"/>
  <c r="G570" i="3" a="1"/>
  <c r="G570" i="3" s="1"/>
  <c r="G569" i="3" a="1"/>
  <c r="G569" i="3" s="1"/>
  <c r="G568" i="3" a="1"/>
  <c r="G568" i="3" s="1"/>
  <c r="G567" i="3" a="1"/>
  <c r="G567" i="3" s="1"/>
  <c r="G566" i="3" a="1"/>
  <c r="G566" i="3" s="1"/>
  <c r="G565" i="3" a="1"/>
  <c r="G565" i="3" s="1"/>
  <c r="G564" i="3" a="1"/>
  <c r="G564" i="3" s="1"/>
  <c r="G563" i="3" a="1"/>
  <c r="G563" i="3" s="1"/>
  <c r="G562" i="3" a="1"/>
  <c r="G562" i="3" s="1"/>
  <c r="G409" i="14" a="1"/>
  <c r="G409" i="14" s="1"/>
  <c r="H305" i="14" a="1"/>
  <c r="H305" i="14" s="1"/>
  <c r="E262" i="14" a="1"/>
  <c r="E262" i="14" s="1"/>
  <c r="G214" i="14" a="1"/>
  <c r="G214" i="14" s="1"/>
  <c r="H125" i="14" a="1"/>
  <c r="H125" i="14" s="1"/>
  <c r="G121" i="14" a="1"/>
  <c r="G121" i="14" s="1"/>
  <c r="E83" i="14" a="1"/>
  <c r="E83" i="14" s="1"/>
  <c r="E12" i="14" a="1"/>
  <c r="E12" i="14" s="1"/>
  <c r="A990" i="5" a="1"/>
  <c r="A990" i="5" s="1"/>
  <c r="A974" i="5" a="1"/>
  <c r="A974" i="5" s="1"/>
  <c r="A958" i="5" a="1"/>
  <c r="A958" i="5" s="1"/>
  <c r="A942" i="5" a="1"/>
  <c r="A942" i="5" s="1"/>
  <c r="A926" i="5" a="1"/>
  <c r="A926" i="5" s="1"/>
  <c r="A910" i="5" a="1"/>
  <c r="A910" i="5" s="1"/>
  <c r="A894" i="5" a="1"/>
  <c r="A894" i="5" s="1"/>
  <c r="A878" i="5" a="1"/>
  <c r="A878" i="5" s="1"/>
  <c r="A862" i="5" a="1"/>
  <c r="A862" i="5" s="1"/>
  <c r="A846" i="5" a="1"/>
  <c r="A846" i="5" s="1"/>
  <c r="A830" i="5" a="1"/>
  <c r="A830" i="5" s="1"/>
  <c r="A814" i="5" a="1"/>
  <c r="A814" i="5" s="1"/>
  <c r="A798" i="5" a="1"/>
  <c r="A798" i="5" s="1"/>
  <c r="A782" i="5" a="1"/>
  <c r="A782" i="5" s="1"/>
  <c r="A766" i="5" a="1"/>
  <c r="A766" i="5" s="1"/>
  <c r="A750" i="5" a="1"/>
  <c r="A750" i="5" s="1"/>
  <c r="A734" i="5" a="1"/>
  <c r="A734" i="5" s="1"/>
  <c r="A718" i="5" a="1"/>
  <c r="A718" i="5" s="1"/>
  <c r="A702" i="5" a="1"/>
  <c r="A702" i="5" s="1"/>
  <c r="A686" i="5" a="1"/>
  <c r="A686" i="5" s="1"/>
  <c r="A670" i="5" a="1"/>
  <c r="A670" i="5" s="1"/>
  <c r="A654" i="5" a="1"/>
  <c r="A654" i="5" s="1"/>
  <c r="E792" i="3" a="1"/>
  <c r="E792" i="3" s="1"/>
  <c r="G790" i="3" a="1"/>
  <c r="G790" i="3" s="1"/>
  <c r="E400" i="14" a="1"/>
  <c r="E400" i="14" s="1"/>
  <c r="H290" i="14" a="1"/>
  <c r="H290" i="14" s="1"/>
  <c r="B86" i="10" a="1"/>
  <c r="B86" i="10" s="1"/>
  <c r="B57" i="10" a="1"/>
  <c r="B57" i="10" s="1"/>
  <c r="B32" i="10" a="1"/>
  <c r="B32" i="10" s="1"/>
  <c r="B22" i="10" a="1"/>
  <c r="B22" i="10" s="1"/>
  <c r="A984" i="5" a="1"/>
  <c r="A984" i="5" s="1"/>
  <c r="A971" i="5" a="1"/>
  <c r="A971" i="5" s="1"/>
  <c r="A963" i="5" a="1"/>
  <c r="A963" i="5" s="1"/>
  <c r="A920" i="5" a="1"/>
  <c r="A920" i="5" s="1"/>
  <c r="A907" i="5" a="1"/>
  <c r="A907" i="5" s="1"/>
  <c r="A899" i="5" a="1"/>
  <c r="A899" i="5" s="1"/>
  <c r="A856" i="5" a="1"/>
  <c r="A856" i="5" s="1"/>
  <c r="A843" i="5" a="1"/>
  <c r="A843" i="5" s="1"/>
  <c r="A835" i="5" a="1"/>
  <c r="A835" i="5" s="1"/>
  <c r="A792" i="5" a="1"/>
  <c r="A792" i="5" s="1"/>
  <c r="A779" i="5" a="1"/>
  <c r="A779" i="5" s="1"/>
  <c r="A771" i="5" a="1"/>
  <c r="A771" i="5" s="1"/>
  <c r="A728" i="5" a="1"/>
  <c r="A728" i="5" s="1"/>
  <c r="A715" i="5" a="1"/>
  <c r="A715" i="5" s="1"/>
  <c r="A707" i="5" a="1"/>
  <c r="A707" i="5" s="1"/>
  <c r="A664" i="5" a="1"/>
  <c r="A664" i="5" s="1"/>
  <c r="A92" i="5" a="1"/>
  <c r="A92" i="5" s="1"/>
  <c r="A31" i="5" a="1"/>
  <c r="A31" i="5" s="1"/>
  <c r="G783" i="3" a="1"/>
  <c r="G783" i="3" s="1"/>
  <c r="E652" i="3" a="1"/>
  <c r="E652" i="3" s="1"/>
  <c r="E641" i="3" a="1"/>
  <c r="E641" i="3" s="1"/>
  <c r="E638" i="3" a="1"/>
  <c r="E638" i="3" s="1"/>
  <c r="G602" i="3" a="1"/>
  <c r="G602" i="3" s="1"/>
  <c r="E601" i="3" a="1"/>
  <c r="E601" i="3" s="1"/>
  <c r="E600" i="3" a="1"/>
  <c r="E600" i="3" s="1"/>
  <c r="E599" i="3" a="1"/>
  <c r="E599" i="3" s="1"/>
  <c r="E584" i="3" a="1"/>
  <c r="E584" i="3" s="1"/>
  <c r="E576" i="3" a="1"/>
  <c r="E576" i="3" s="1"/>
  <c r="E568" i="3" a="1"/>
  <c r="E568" i="3" s="1"/>
  <c r="E483" i="3" a="1"/>
  <c r="E483" i="3" s="1"/>
  <c r="E455" i="3" a="1"/>
  <c r="E455" i="3" s="1"/>
  <c r="G453" i="3" a="1"/>
  <c r="G453" i="3" s="1"/>
  <c r="E375" i="3" a="1"/>
  <c r="E375" i="3" s="1"/>
  <c r="G373" i="3" a="1"/>
  <c r="G373" i="3" s="1"/>
  <c r="E342" i="3" a="1"/>
  <c r="E342" i="3" s="1"/>
  <c r="G340" i="3" a="1"/>
  <c r="G340" i="3" s="1"/>
  <c r="E302" i="3" a="1"/>
  <c r="E302" i="3" s="1"/>
  <c r="G300" i="3" a="1"/>
  <c r="G300" i="3" s="1"/>
  <c r="E419" i="14" a="1"/>
  <c r="E419" i="14" s="1"/>
  <c r="G189" i="14" a="1"/>
  <c r="G189" i="14" s="1"/>
  <c r="E37" i="14" a="1"/>
  <c r="E37" i="14" s="1"/>
  <c r="B26" i="10" a="1"/>
  <c r="B26" i="10" s="1"/>
  <c r="A956" i="5" a="1"/>
  <c r="A956" i="5" s="1"/>
  <c r="A892" i="5" a="1"/>
  <c r="A892" i="5" s="1"/>
  <c r="A828" i="5" a="1"/>
  <c r="A828" i="5" s="1"/>
  <c r="A764" i="5" a="1"/>
  <c r="A764" i="5" s="1"/>
  <c r="A700" i="5" a="1"/>
  <c r="A700" i="5" s="1"/>
  <c r="A95" i="5" a="1"/>
  <c r="A95" i="5" s="1"/>
  <c r="A91" i="5" a="1"/>
  <c r="A91" i="5" s="1"/>
  <c r="A34" i="5" a="1"/>
  <c r="A34" i="5" s="1"/>
  <c r="A30" i="5" a="1"/>
  <c r="A30" i="5" s="1"/>
  <c r="G789" i="3" a="1"/>
  <c r="G789" i="3" s="1"/>
  <c r="G786" i="3" a="1"/>
  <c r="G786" i="3" s="1"/>
  <c r="E722" i="3" a="1"/>
  <c r="E722" i="3" s="1"/>
  <c r="G720" i="3" a="1"/>
  <c r="G720" i="3" s="1"/>
  <c r="G718" i="3" a="1"/>
  <c r="G718" i="3" s="1"/>
  <c r="G716" i="3" a="1"/>
  <c r="G716" i="3" s="1"/>
  <c r="G714" i="3" a="1"/>
  <c r="G714" i="3" s="1"/>
  <c r="G712" i="3" a="1"/>
  <c r="G712" i="3" s="1"/>
  <c r="G710" i="3" a="1"/>
  <c r="G710" i="3" s="1"/>
  <c r="G708" i="3" a="1"/>
  <c r="G708" i="3" s="1"/>
  <c r="G706" i="3" a="1"/>
  <c r="G706" i="3" s="1"/>
  <c r="G704" i="3" a="1"/>
  <c r="G704" i="3" s="1"/>
  <c r="G702" i="3" a="1"/>
  <c r="G702" i="3" s="1"/>
  <c r="G700" i="3" a="1"/>
  <c r="G700" i="3" s="1"/>
  <c r="G698" i="3" a="1"/>
  <c r="G698" i="3" s="1"/>
  <c r="G696" i="3" a="1"/>
  <c r="G696" i="3" s="1"/>
  <c r="G691" i="3" a="1"/>
  <c r="G691" i="3" s="1"/>
  <c r="E686" i="3" a="1"/>
  <c r="E686" i="3" s="1"/>
  <c r="G684" i="3" a="1"/>
  <c r="G684" i="3" s="1"/>
  <c r="G655" i="3" a="1"/>
  <c r="G655" i="3" s="1"/>
  <c r="G632" i="3" a="1"/>
  <c r="G632" i="3" s="1"/>
  <c r="E631" i="3" a="1"/>
  <c r="E631" i="3" s="1"/>
  <c r="G624" i="3" a="1"/>
  <c r="G624" i="3" s="1"/>
  <c r="E623" i="3" a="1"/>
  <c r="E623" i="3" s="1"/>
  <c r="G616" i="3" a="1"/>
  <c r="G616" i="3" s="1"/>
  <c r="E615" i="3" a="1"/>
  <c r="E615" i="3" s="1"/>
  <c r="G603" i="3" a="1"/>
  <c r="G603" i="3" s="1"/>
  <c r="E602" i="3" a="1"/>
  <c r="E602" i="3" s="1"/>
  <c r="E309" i="14" a="1"/>
  <c r="E309" i="14" s="1"/>
  <c r="H135" i="14" a="1"/>
  <c r="H135" i="14" s="1"/>
  <c r="B65" i="10" a="1"/>
  <c r="B65" i="10" s="1"/>
  <c r="B40" i="10" a="1"/>
  <c r="B40" i="10" s="1"/>
  <c r="B30" i="10" a="1"/>
  <c r="B30" i="10" s="1"/>
  <c r="A998" i="5" a="1"/>
  <c r="A998" i="5" s="1"/>
  <c r="A977" i="5" a="1"/>
  <c r="A977" i="5" s="1"/>
  <c r="A948" i="5" a="1"/>
  <c r="A948" i="5" s="1"/>
  <c r="A941" i="5" a="1"/>
  <c r="A941" i="5" s="1"/>
  <c r="A934" i="5" a="1"/>
  <c r="A934" i="5" s="1"/>
  <c r="A913" i="5" a="1"/>
  <c r="A913" i="5" s="1"/>
  <c r="A884" i="5" a="1"/>
  <c r="A884" i="5" s="1"/>
  <c r="A877" i="5" a="1"/>
  <c r="A877" i="5" s="1"/>
  <c r="A870" i="5" a="1"/>
  <c r="A870" i="5" s="1"/>
  <c r="A849" i="5" a="1"/>
  <c r="A849" i="5" s="1"/>
  <c r="A820" i="5" a="1"/>
  <c r="A820" i="5" s="1"/>
  <c r="A813" i="5" a="1"/>
  <c r="A813" i="5" s="1"/>
  <c r="A806" i="5" a="1"/>
  <c r="A806" i="5" s="1"/>
  <c r="A785" i="5" a="1"/>
  <c r="A785" i="5" s="1"/>
  <c r="A756" i="5" a="1"/>
  <c r="A756" i="5" s="1"/>
  <c r="A749" i="5" a="1"/>
  <c r="A749" i="5" s="1"/>
  <c r="A742" i="5" a="1"/>
  <c r="A742" i="5" s="1"/>
  <c r="A721" i="5" a="1"/>
  <c r="A721" i="5" s="1"/>
  <c r="A692" i="5" a="1"/>
  <c r="A692" i="5" s="1"/>
  <c r="A685" i="5" a="1"/>
  <c r="A685" i="5" s="1"/>
  <c r="A678" i="5" a="1"/>
  <c r="A678" i="5" s="1"/>
  <c r="A657" i="5" a="1"/>
  <c r="A657" i="5" s="1"/>
  <c r="A640" i="5" a="1"/>
  <c r="A640" i="5" s="1"/>
  <c r="A635" i="5" a="1"/>
  <c r="A635" i="5" s="1"/>
  <c r="A634" i="5" a="1"/>
  <c r="A634" i="5" s="1"/>
  <c r="A633" i="5" a="1"/>
  <c r="A633" i="5" s="1"/>
  <c r="A632" i="5" a="1"/>
  <c r="A632" i="5" s="1"/>
  <c r="A631" i="5" a="1"/>
  <c r="A631" i="5" s="1"/>
  <c r="A630" i="5" a="1"/>
  <c r="A630" i="5" s="1"/>
  <c r="A629" i="5" a="1"/>
  <c r="A629" i="5" s="1"/>
  <c r="A628" i="5" a="1"/>
  <c r="A628" i="5" s="1"/>
  <c r="A627" i="5" a="1"/>
  <c r="A627" i="5" s="1"/>
  <c r="A626" i="5" a="1"/>
  <c r="A626" i="5" s="1"/>
  <c r="A625" i="5" a="1"/>
  <c r="A625" i="5" s="1"/>
  <c r="A624" i="5" a="1"/>
  <c r="A624" i="5" s="1"/>
  <c r="A623" i="5" a="1"/>
  <c r="A623" i="5" s="1"/>
  <c r="A622" i="5" a="1"/>
  <c r="A622" i="5" s="1"/>
  <c r="A621" i="5" a="1"/>
  <c r="A621" i="5" s="1"/>
  <c r="A620" i="5" a="1"/>
  <c r="A620" i="5" s="1"/>
  <c r="A619" i="5" a="1"/>
  <c r="A619" i="5" s="1"/>
  <c r="A618" i="5" a="1"/>
  <c r="A618" i="5" s="1"/>
  <c r="A617" i="5" a="1"/>
  <c r="A617" i="5" s="1"/>
  <c r="A616" i="5" a="1"/>
  <c r="A616" i="5" s="1"/>
  <c r="A615" i="5" a="1"/>
  <c r="A615" i="5" s="1"/>
  <c r="A614" i="5" a="1"/>
  <c r="A614" i="5" s="1"/>
  <c r="A613" i="5" a="1"/>
  <c r="A613" i="5" s="1"/>
  <c r="A612" i="5" a="1"/>
  <c r="A612" i="5" s="1"/>
  <c r="A611" i="5" a="1"/>
  <c r="A611" i="5" s="1"/>
  <c r="A610" i="5" a="1"/>
  <c r="A610" i="5" s="1"/>
  <c r="A609" i="5" a="1"/>
  <c r="A609" i="5" s="1"/>
  <c r="A608" i="5" a="1"/>
  <c r="A608" i="5" s="1"/>
  <c r="A607" i="5" a="1"/>
  <c r="A607" i="5" s="1"/>
  <c r="A606" i="5" a="1"/>
  <c r="A606" i="5" s="1"/>
  <c r="A605" i="5" a="1"/>
  <c r="A605" i="5" s="1"/>
  <c r="A604" i="5" a="1"/>
  <c r="A604" i="5" s="1"/>
  <c r="A603" i="5" a="1"/>
  <c r="A603" i="5" s="1"/>
  <c r="A602" i="5" a="1"/>
  <c r="A602" i="5" s="1"/>
  <c r="A601" i="5" a="1"/>
  <c r="A601" i="5" s="1"/>
  <c r="A600" i="5" a="1"/>
  <c r="A600" i="5" s="1"/>
  <c r="A599" i="5" a="1"/>
  <c r="A599" i="5" s="1"/>
  <c r="A102" i="5" a="1"/>
  <c r="A102" i="5" s="1"/>
  <c r="A90" i="5" a="1"/>
  <c r="A90" i="5" s="1"/>
  <c r="A42" i="5" a="1"/>
  <c r="A42" i="5" s="1"/>
  <c r="A41" i="5" a="1"/>
  <c r="A41" i="5" s="1"/>
  <c r="A29" i="5" a="1"/>
  <c r="A29" i="5" s="1"/>
  <c r="A13" i="5" a="1"/>
  <c r="A13" i="5" s="1"/>
  <c r="E783" i="3" a="1"/>
  <c r="E783" i="3" s="1"/>
  <c r="E733" i="3" a="1"/>
  <c r="E733" i="3" s="1"/>
  <c r="G729" i="3" a="1"/>
  <c r="G729" i="3" s="1"/>
  <c r="G727" i="3" a="1"/>
  <c r="G727" i="3" s="1"/>
  <c r="E691" i="3" a="1"/>
  <c r="E691" i="3" s="1"/>
  <c r="E644" i="3" a="1"/>
  <c r="E644" i="3" s="1"/>
  <c r="G604" i="3" a="1"/>
  <c r="G604" i="3" s="1"/>
  <c r="E593" i="3" a="1"/>
  <c r="E593" i="3" s="1"/>
  <c r="E585" i="3" a="1"/>
  <c r="E585" i="3" s="1"/>
  <c r="E569" i="3" a="1"/>
  <c r="E569" i="3" s="1"/>
  <c r="G561" i="3" a="1"/>
  <c r="G561" i="3" s="1"/>
  <c r="G560" i="3" a="1"/>
  <c r="G560" i="3" s="1"/>
  <c r="G559" i="3" a="1"/>
  <c r="G559" i="3" s="1"/>
  <c r="G558" i="3" a="1"/>
  <c r="G558" i="3" s="1"/>
  <c r="G557" i="3" a="1"/>
  <c r="G557" i="3" s="1"/>
  <c r="G556" i="3" a="1"/>
  <c r="G556" i="3" s="1"/>
  <c r="G555" i="3" a="1"/>
  <c r="G555" i="3" s="1"/>
  <c r="G554" i="3" a="1"/>
  <c r="G554" i="3" s="1"/>
  <c r="G553" i="3" a="1"/>
  <c r="G553" i="3" s="1"/>
  <c r="G552" i="3" a="1"/>
  <c r="G552" i="3" s="1"/>
  <c r="G551" i="3" a="1"/>
  <c r="G551" i="3" s="1"/>
  <c r="G550" i="3" a="1"/>
  <c r="G550" i="3" s="1"/>
  <c r="G549" i="3" a="1"/>
  <c r="G549" i="3" s="1"/>
  <c r="G548" i="3" a="1"/>
  <c r="G548" i="3" s="1"/>
  <c r="G547" i="3" a="1"/>
  <c r="G547" i="3" s="1"/>
  <c r="G546" i="3" a="1"/>
  <c r="G546" i="3" s="1"/>
  <c r="G545" i="3" a="1"/>
  <c r="G545" i="3" s="1"/>
  <c r="G544" i="3" a="1"/>
  <c r="G544" i="3" s="1"/>
  <c r="G543" i="3" a="1"/>
  <c r="G543" i="3" s="1"/>
  <c r="G542" i="3" a="1"/>
  <c r="G542" i="3" s="1"/>
  <c r="G541" i="3" a="1"/>
  <c r="G541" i="3" s="1"/>
  <c r="G540" i="3" a="1"/>
  <c r="G540" i="3" s="1"/>
  <c r="G539" i="3" a="1"/>
  <c r="G539" i="3" s="1"/>
  <c r="G538" i="3" a="1"/>
  <c r="G538" i="3" s="1"/>
  <c r="G537" i="3" a="1"/>
  <c r="G537" i="3" s="1"/>
  <c r="G536" i="3" a="1"/>
  <c r="G536" i="3" s="1"/>
  <c r="G535" i="3" a="1"/>
  <c r="G535" i="3" s="1"/>
  <c r="G534" i="3" a="1"/>
  <c r="G534" i="3" s="1"/>
  <c r="G533" i="3" a="1"/>
  <c r="G533" i="3" s="1"/>
  <c r="G532" i="3" a="1"/>
  <c r="G532" i="3" s="1"/>
  <c r="G531" i="3" a="1"/>
  <c r="G531" i="3" s="1"/>
  <c r="G530" i="3" a="1"/>
  <c r="G530" i="3" s="1"/>
  <c r="G529" i="3" a="1"/>
  <c r="G529" i="3" s="1"/>
  <c r="G528" i="3" a="1"/>
  <c r="G528" i="3" s="1"/>
  <c r="G527" i="3" a="1"/>
  <c r="G527" i="3" s="1"/>
  <c r="G526" i="3" a="1"/>
  <c r="G526" i="3" s="1"/>
  <c r="G525" i="3" a="1"/>
  <c r="G525" i="3" s="1"/>
  <c r="G524" i="3" a="1"/>
  <c r="G524" i="3" s="1"/>
  <c r="G523" i="3" a="1"/>
  <c r="G523" i="3" s="1"/>
  <c r="G522" i="3" a="1"/>
  <c r="G522" i="3" s="1"/>
  <c r="G521" i="3" a="1"/>
  <c r="G521" i="3" s="1"/>
  <c r="G520" i="3" a="1"/>
  <c r="G520" i="3" s="1"/>
  <c r="G519" i="3" a="1"/>
  <c r="G519" i="3" s="1"/>
  <c r="G518" i="3" a="1"/>
  <c r="G518" i="3" s="1"/>
  <c r="H319" i="14" a="1"/>
  <c r="H319" i="14" s="1"/>
  <c r="E314" i="14" a="1"/>
  <c r="E314" i="14" s="1"/>
  <c r="G129" i="14" a="1"/>
  <c r="G129" i="14" s="1"/>
  <c r="B34" i="10" a="1"/>
  <c r="B34" i="10" s="1"/>
  <c r="A983" i="5" a="1"/>
  <c r="A983" i="5" s="1"/>
  <c r="A962" i="5" a="1"/>
  <c r="A962" i="5" s="1"/>
  <c r="A919" i="5" a="1"/>
  <c r="A919" i="5" s="1"/>
  <c r="A898" i="5" a="1"/>
  <c r="A898" i="5" s="1"/>
  <c r="A855" i="5" a="1"/>
  <c r="A855" i="5" s="1"/>
  <c r="A834" i="5" a="1"/>
  <c r="A834" i="5" s="1"/>
  <c r="A791" i="5" a="1"/>
  <c r="A791" i="5" s="1"/>
  <c r="A770" i="5" a="1"/>
  <c r="A770" i="5" s="1"/>
  <c r="A727" i="5" a="1"/>
  <c r="A727" i="5" s="1"/>
  <c r="A706" i="5" a="1"/>
  <c r="A706" i="5" s="1"/>
  <c r="A663" i="5" a="1"/>
  <c r="A663" i="5" s="1"/>
  <c r="E789" i="3" a="1"/>
  <c r="E789" i="3" s="1"/>
  <c r="E786" i="3" a="1"/>
  <c r="E786" i="3" s="1"/>
  <c r="G731" i="3" a="1"/>
  <c r="G731" i="3" s="1"/>
  <c r="E694" i="3" a="1"/>
  <c r="E694" i="3" s="1"/>
  <c r="G689" i="3" a="1"/>
  <c r="G689" i="3" s="1"/>
  <c r="E684" i="3" a="1"/>
  <c r="E684" i="3" s="1"/>
  <c r="G682" i="3" a="1"/>
  <c r="G682" i="3" s="1"/>
  <c r="G680" i="3" a="1"/>
  <c r="G680" i="3" s="1"/>
  <c r="G678" i="3" a="1"/>
  <c r="G678" i="3" s="1"/>
  <c r="G676" i="3" a="1"/>
  <c r="G676" i="3" s="1"/>
  <c r="G674" i="3" a="1"/>
  <c r="G674" i="3" s="1"/>
  <c r="G672" i="3" a="1"/>
  <c r="G672" i="3" s="1"/>
  <c r="G670" i="3" a="1"/>
  <c r="G670" i="3" s="1"/>
  <c r="G668" i="3" a="1"/>
  <c r="G668" i="3" s="1"/>
  <c r="G666" i="3" a="1"/>
  <c r="G666" i="3" s="1"/>
  <c r="G664" i="3" a="1"/>
  <c r="G664" i="3" s="1"/>
  <c r="G662" i="3" a="1"/>
  <c r="G662" i="3" s="1"/>
  <c r="G660" i="3" a="1"/>
  <c r="G660" i="3" s="1"/>
  <c r="G658" i="3" a="1"/>
  <c r="G658" i="3" s="1"/>
  <c r="E655" i="3" a="1"/>
  <c r="E655" i="3" s="1"/>
  <c r="E647" i="3" a="1"/>
  <c r="E647" i="3" s="1"/>
  <c r="E632" i="3" a="1"/>
  <c r="E632" i="3" s="1"/>
  <c r="G625" i="3" a="1"/>
  <c r="G625" i="3" s="1"/>
  <c r="E624" i="3" a="1"/>
  <c r="E624" i="3" s="1"/>
  <c r="G617" i="3" a="1"/>
  <c r="G617" i="3" s="1"/>
  <c r="E616" i="3" a="1"/>
  <c r="E616" i="3" s="1"/>
  <c r="G605" i="3" a="1"/>
  <c r="G605" i="3" s="1"/>
  <c r="G443" i="14" a="1"/>
  <c r="G443" i="14" s="1"/>
  <c r="E355" i="14" a="1"/>
  <c r="E355" i="14" s="1"/>
  <c r="B73" i="10" a="1"/>
  <c r="B73" i="10" s="1"/>
  <c r="B48" i="10" a="1"/>
  <c r="B48" i="10" s="1"/>
  <c r="B38" i="10" a="1"/>
  <c r="B38" i="10" s="1"/>
  <c r="B9" i="10" a="1"/>
  <c r="B9" i="10" s="1"/>
  <c r="A968" i="5" a="1"/>
  <c r="A968" i="5" s="1"/>
  <c r="A955" i="5" a="1"/>
  <c r="A955" i="5" s="1"/>
  <c r="A947" i="5" a="1"/>
  <c r="A947" i="5" s="1"/>
  <c r="A904" i="5" a="1"/>
  <c r="A904" i="5" s="1"/>
  <c r="A891" i="5" a="1"/>
  <c r="A891" i="5" s="1"/>
  <c r="A883" i="5" a="1"/>
  <c r="A883" i="5" s="1"/>
  <c r="A840" i="5" a="1"/>
  <c r="A840" i="5" s="1"/>
  <c r="A827" i="5" a="1"/>
  <c r="A827" i="5" s="1"/>
  <c r="A819" i="5" a="1"/>
  <c r="A819" i="5" s="1"/>
  <c r="A776" i="5" a="1"/>
  <c r="A776" i="5" s="1"/>
  <c r="A763" i="5" a="1"/>
  <c r="A763" i="5" s="1"/>
  <c r="A755" i="5" a="1"/>
  <c r="A755" i="5" s="1"/>
  <c r="A712" i="5" a="1"/>
  <c r="A712" i="5" s="1"/>
  <c r="A699" i="5" a="1"/>
  <c r="A699" i="5" s="1"/>
  <c r="A691" i="5" a="1"/>
  <c r="A691" i="5" s="1"/>
  <c r="A641" i="5" a="1"/>
  <c r="A641" i="5" s="1"/>
  <c r="A100" i="5" a="1"/>
  <c r="A100" i="5" s="1"/>
  <c r="A88" i="5" a="1"/>
  <c r="A88" i="5" s="1"/>
  <c r="A76" i="5" a="1"/>
  <c r="A76" i="5" s="1"/>
  <c r="A39" i="5" a="1"/>
  <c r="A39" i="5" s="1"/>
  <c r="A27" i="5" a="1"/>
  <c r="A27" i="5" s="1"/>
  <c r="A26" i="5" a="1"/>
  <c r="A26" i="5" s="1"/>
  <c r="A25" i="5" a="1"/>
  <c r="A25" i="5" s="1"/>
  <c r="A24" i="5" a="1"/>
  <c r="A24" i="5" s="1"/>
  <c r="A23" i="5" a="1"/>
  <c r="A23" i="5" s="1"/>
  <c r="A15" i="5" a="1"/>
  <c r="A15" i="5" s="1"/>
  <c r="E731" i="3" a="1"/>
  <c r="E731" i="3" s="1"/>
  <c r="E729" i="3" a="1"/>
  <c r="E729" i="3" s="1"/>
  <c r="E727" i="3" a="1"/>
  <c r="E727" i="3" s="1"/>
  <c r="G725" i="3" a="1"/>
  <c r="G725" i="3" s="1"/>
  <c r="H295" i="14" a="1"/>
  <c r="H295" i="14" s="1"/>
  <c r="E276" i="14" a="1"/>
  <c r="E276" i="14" s="1"/>
  <c r="B42" i="10" a="1"/>
  <c r="B42" i="10" s="1"/>
  <c r="A940" i="5" a="1"/>
  <c r="A940" i="5" s="1"/>
  <c r="A876" i="5" a="1"/>
  <c r="A876" i="5" s="1"/>
  <c r="A812" i="5" a="1"/>
  <c r="A812" i="5" s="1"/>
  <c r="A748" i="5" a="1"/>
  <c r="A748" i="5" s="1"/>
  <c r="A684" i="5" a="1"/>
  <c r="A684" i="5" s="1"/>
  <c r="A636" i="5" a="1"/>
  <c r="A636" i="5" s="1"/>
  <c r="A79" i="5" a="1"/>
  <c r="A79" i="5" s="1"/>
  <c r="A75" i="5" a="1"/>
  <c r="A75" i="5" s="1"/>
  <c r="E791" i="3" a="1"/>
  <c r="E791" i="3" s="1"/>
  <c r="G782" i="3" a="1"/>
  <c r="G782" i="3" s="1"/>
  <c r="E689" i="3" a="1"/>
  <c r="E689" i="3" s="1"/>
  <c r="E682" i="3" a="1"/>
  <c r="E682" i="3" s="1"/>
  <c r="E680" i="3" a="1"/>
  <c r="E680" i="3" s="1"/>
  <c r="E678" i="3" a="1"/>
  <c r="E678" i="3" s="1"/>
  <c r="E676" i="3" a="1"/>
  <c r="E676" i="3" s="1"/>
  <c r="E674" i="3" a="1"/>
  <c r="E674" i="3" s="1"/>
  <c r="E672" i="3" a="1"/>
  <c r="E672" i="3" s="1"/>
  <c r="E670" i="3" a="1"/>
  <c r="E670" i="3" s="1"/>
  <c r="E668" i="3" a="1"/>
  <c r="E668" i="3" s="1"/>
  <c r="E666" i="3" a="1"/>
  <c r="E666" i="3" s="1"/>
  <c r="E664" i="3" a="1"/>
  <c r="E664" i="3" s="1"/>
  <c r="E662" i="3" a="1"/>
  <c r="E662" i="3" s="1"/>
  <c r="E660" i="3" a="1"/>
  <c r="E660" i="3" s="1"/>
  <c r="E658" i="3" a="1"/>
  <c r="E658" i="3" s="1"/>
  <c r="G653" i="3" a="1"/>
  <c r="G653" i="3" s="1"/>
  <c r="E639" i="3" a="1"/>
  <c r="E639" i="3" s="1"/>
  <c r="G626" i="3" a="1"/>
  <c r="G626" i="3" s="1"/>
  <c r="E625" i="3" a="1"/>
  <c r="E625" i="3" s="1"/>
  <c r="G618" i="3" a="1"/>
  <c r="G618" i="3" s="1"/>
  <c r="E617" i="3" a="1"/>
  <c r="E617" i="3" s="1"/>
  <c r="G607" i="3" a="1"/>
  <c r="G607" i="3" s="1"/>
  <c r="E494" i="3" a="1"/>
  <c r="E494" i="3" s="1"/>
  <c r="G492" i="3" a="1"/>
  <c r="G492" i="3" s="1"/>
  <c r="G448" i="3" a="1"/>
  <c r="G448" i="3" s="1"/>
  <c r="G335" i="3" a="1"/>
  <c r="G335" i="3" s="1"/>
  <c r="G295" i="3" a="1"/>
  <c r="G295" i="3" s="1"/>
  <c r="E109" i="14" a="1"/>
  <c r="E109" i="14" s="1"/>
  <c r="B12" i="10" a="1"/>
  <c r="B12" i="10" s="1"/>
  <c r="A952" i="5" a="1"/>
  <c r="A952" i="5" s="1"/>
  <c r="A935" i="5" a="1"/>
  <c r="A935" i="5" s="1"/>
  <c r="A900" i="5" a="1"/>
  <c r="A900" i="5" s="1"/>
  <c r="A872" i="5" a="1"/>
  <c r="A872" i="5" s="1"/>
  <c r="A722" i="5" a="1"/>
  <c r="A722" i="5" s="1"/>
  <c r="A676" i="5" a="1"/>
  <c r="A676" i="5" s="1"/>
  <c r="A659" i="5" a="1"/>
  <c r="A659" i="5" s="1"/>
  <c r="G787" i="3" a="1"/>
  <c r="G787" i="3" s="1"/>
  <c r="G707" i="3" a="1"/>
  <c r="G707" i="3" s="1"/>
  <c r="E685" i="3" a="1"/>
  <c r="E685" i="3" s="1"/>
  <c r="G679" i="3" a="1"/>
  <c r="G679" i="3" s="1"/>
  <c r="G663" i="3" a="1"/>
  <c r="G663" i="3" s="1"/>
  <c r="E661" i="3" a="1"/>
  <c r="E661" i="3" s="1"/>
  <c r="E633" i="3" a="1"/>
  <c r="E633" i="3" s="1"/>
  <c r="E630" i="3" a="1"/>
  <c r="E630" i="3" s="1"/>
  <c r="E626" i="3" a="1"/>
  <c r="E626" i="3" s="1"/>
  <c r="G609" i="3" a="1"/>
  <c r="G609" i="3" s="1"/>
  <c r="E565" i="3" a="1"/>
  <c r="E565" i="3" s="1"/>
  <c r="G511" i="3" a="1"/>
  <c r="G511" i="3" s="1"/>
  <c r="G503" i="3" a="1"/>
  <c r="G503" i="3" s="1"/>
  <c r="E496" i="3" a="1"/>
  <c r="E496" i="3" s="1"/>
  <c r="E491" i="3" a="1"/>
  <c r="E491" i="3" s="1"/>
  <c r="G486" i="3" a="1"/>
  <c r="G486" i="3" s="1"/>
  <c r="G481" i="3" a="1"/>
  <c r="G481" i="3" s="1"/>
  <c r="G477" i="3" a="1"/>
  <c r="G477" i="3" s="1"/>
  <c r="G90" i="14" a="1"/>
  <c r="G90" i="14" s="1"/>
  <c r="E163" i="14" a="1"/>
  <c r="E163" i="14" s="1"/>
  <c r="B6" i="10" a="1"/>
  <c r="B6" i="10" s="1"/>
  <c r="A988" i="5" a="1"/>
  <c r="A988" i="5" s="1"/>
  <c r="A925" i="5" a="1"/>
  <c r="A925" i="5" s="1"/>
  <c r="A916" i="5" a="1"/>
  <c r="A916" i="5" s="1"/>
  <c r="A908" i="5" a="1"/>
  <c r="A908" i="5" s="1"/>
  <c r="A881" i="5" a="1"/>
  <c r="A881" i="5" s="1"/>
  <c r="A845" i="5" a="1"/>
  <c r="A845" i="5" s="1"/>
  <c r="A818" i="5" a="1"/>
  <c r="A818" i="5" s="1"/>
  <c r="A801" i="5" a="1"/>
  <c r="A801" i="5" s="1"/>
  <c r="A774" i="5" a="1"/>
  <c r="A774" i="5" s="1"/>
  <c r="A765" i="5" a="1"/>
  <c r="A765" i="5" s="1"/>
  <c r="A747" i="5" a="1"/>
  <c r="A747" i="5" s="1"/>
  <c r="A738" i="5" a="1"/>
  <c r="A738" i="5" s="1"/>
  <c r="A711" i="5" a="1"/>
  <c r="A711" i="5" s="1"/>
  <c r="A694" i="5" a="1"/>
  <c r="A694" i="5" s="1"/>
  <c r="A675" i="5" a="1"/>
  <c r="A675" i="5" s="1"/>
  <c r="E790" i="3" a="1"/>
  <c r="E790" i="3" s="1"/>
  <c r="G709" i="3" a="1"/>
  <c r="G709" i="3" s="1"/>
  <c r="G681" i="3" a="1"/>
  <c r="G681" i="3" s="1"/>
  <c r="E679" i="3" a="1"/>
  <c r="E679" i="3" s="1"/>
  <c r="G665" i="3" a="1"/>
  <c r="G665" i="3" s="1"/>
  <c r="E663" i="3" a="1"/>
  <c r="E663" i="3" s="1"/>
  <c r="G629" i="3" a="1"/>
  <c r="G629" i="3" s="1"/>
  <c r="E609" i="3" a="1"/>
  <c r="E609" i="3" s="1"/>
  <c r="E582" i="3" a="1"/>
  <c r="E582" i="3" s="1"/>
  <c r="G514" i="3" a="1"/>
  <c r="G514" i="3" s="1"/>
  <c r="G506" i="3" a="1"/>
  <c r="G506" i="3" s="1"/>
  <c r="G497" i="3" a="1"/>
  <c r="G497" i="3" s="1"/>
  <c r="E492" i="3" a="1"/>
  <c r="E492" i="3" s="1"/>
  <c r="E486" i="3" a="1"/>
  <c r="E486" i="3" s="1"/>
  <c r="H336" i="14" a="1"/>
  <c r="H336" i="14" s="1"/>
  <c r="E151" i="14" a="1"/>
  <c r="E151" i="14" s="1"/>
  <c r="B58" i="10" a="1"/>
  <c r="B58" i="10" s="1"/>
  <c r="A995" i="5" a="1"/>
  <c r="A995" i="5" s="1"/>
  <c r="A951" i="5" a="1"/>
  <c r="A951" i="5" s="1"/>
  <c r="A888" i="5" a="1"/>
  <c r="A888" i="5" s="1"/>
  <c r="A871" i="5" a="1"/>
  <c r="A871" i="5" s="1"/>
  <c r="A836" i="5" a="1"/>
  <c r="A836" i="5" s="1"/>
  <c r="A808" i="5" a="1"/>
  <c r="A808" i="5" s="1"/>
  <c r="A658" i="5" a="1"/>
  <c r="A658" i="5" s="1"/>
  <c r="A74" i="5" a="1"/>
  <c r="A74" i="5" s="1"/>
  <c r="A48" i="5" a="1"/>
  <c r="A48" i="5" s="1"/>
  <c r="G781" i="3" a="1"/>
  <c r="G781" i="3" s="1"/>
  <c r="E683" i="3" a="1"/>
  <c r="E683" i="3" s="1"/>
  <c r="G622" i="3" a="1"/>
  <c r="G622" i="3" s="1"/>
  <c r="E612" i="3" a="1"/>
  <c r="E612" i="3" s="1"/>
  <c r="H205" i="14" a="1"/>
  <c r="H205" i="14" s="1"/>
  <c r="B70" i="10" a="1"/>
  <c r="B70" i="10" s="1"/>
  <c r="B18" i="10" a="1"/>
  <c r="B18" i="10" s="1"/>
  <c r="A978" i="5" a="1"/>
  <c r="A978" i="5" s="1"/>
  <c r="A932" i="5" a="1"/>
  <c r="A932" i="5" s="1"/>
  <c r="A915" i="5" a="1"/>
  <c r="A915" i="5" s="1"/>
  <c r="A897" i="5" a="1"/>
  <c r="A897" i="5" s="1"/>
  <c r="A790" i="5" a="1"/>
  <c r="A790" i="5" s="1"/>
  <c r="A667" i="5" a="1"/>
  <c r="A667" i="5" s="1"/>
  <c r="A73" i="5" a="1"/>
  <c r="A73" i="5" s="1"/>
  <c r="A51" i="5" a="1"/>
  <c r="A51" i="5" s="1"/>
  <c r="A47" i="5" a="1"/>
  <c r="A47" i="5" s="1"/>
  <c r="H167" i="14" a="1"/>
  <c r="H167" i="14" s="1"/>
  <c r="G125" i="14" a="1"/>
  <c r="G125" i="14" s="1"/>
  <c r="B8" i="10" a="1"/>
  <c r="B8" i="10" s="1"/>
  <c r="A987" i="5" a="1"/>
  <c r="A987" i="5" s="1"/>
  <c r="A924" i="5" a="1"/>
  <c r="A924" i="5" s="1"/>
  <c r="A861" i="5" a="1"/>
  <c r="A861" i="5" s="1"/>
  <c r="A852" i="5" a="1"/>
  <c r="A852" i="5" s="1"/>
  <c r="A844" i="5" a="1"/>
  <c r="A844" i="5" s="1"/>
  <c r="A817" i="5" a="1"/>
  <c r="A817" i="5" s="1"/>
  <c r="A781" i="5" a="1"/>
  <c r="A781" i="5" s="1"/>
  <c r="A754" i="5" a="1"/>
  <c r="A754" i="5" s="1"/>
  <c r="A737" i="5" a="1"/>
  <c r="A737" i="5" s="1"/>
  <c r="A710" i="5" a="1"/>
  <c r="A710" i="5" s="1"/>
  <c r="A701" i="5" a="1"/>
  <c r="A701" i="5" s="1"/>
  <c r="A683" i="5" a="1"/>
  <c r="A683" i="5" s="1"/>
  <c r="A674" i="5" a="1"/>
  <c r="A674" i="5" s="1"/>
  <c r="E622" i="3" a="1"/>
  <c r="E622" i="3" s="1"/>
  <c r="E618" i="3" a="1"/>
  <c r="E618" i="3" s="1"/>
  <c r="E606" i="3" a="1"/>
  <c r="E606" i="3" s="1"/>
  <c r="E604" i="3" a="1"/>
  <c r="E604" i="3" s="1"/>
  <c r="E588" i="3" a="1"/>
  <c r="E588" i="3" s="1"/>
  <c r="E550" i="3" a="1"/>
  <c r="E550" i="3" s="1"/>
  <c r="E542" i="3" a="1"/>
  <c r="E542" i="3" s="1"/>
  <c r="E534" i="3" a="1"/>
  <c r="E534" i="3" s="1"/>
  <c r="E517" i="3" a="1"/>
  <c r="E517" i="3" s="1"/>
  <c r="E509" i="3" a="1"/>
  <c r="E509" i="3" s="1"/>
  <c r="E501" i="3" a="1"/>
  <c r="E501" i="3" s="1"/>
  <c r="E493" i="3" a="1"/>
  <c r="E493" i="3" s="1"/>
  <c r="E341" i="14" a="1"/>
  <c r="E341" i="14" s="1"/>
  <c r="B82" i="10" a="1"/>
  <c r="B82" i="10" s="1"/>
  <c r="A994" i="5" a="1"/>
  <c r="A994" i="5" s="1"/>
  <c r="A967" i="5" a="1"/>
  <c r="A967" i="5" s="1"/>
  <c r="A950" i="5" a="1"/>
  <c r="A950" i="5" s="1"/>
  <c r="A931" i="5" a="1"/>
  <c r="A931" i="5" s="1"/>
  <c r="A887" i="5" a="1"/>
  <c r="A887" i="5" s="1"/>
  <c r="A824" i="5" a="1"/>
  <c r="A824" i="5" s="1"/>
  <c r="A807" i="5" a="1"/>
  <c r="A807" i="5" s="1"/>
  <c r="A772" i="5" a="1"/>
  <c r="A772" i="5" s="1"/>
  <c r="A744" i="5" a="1"/>
  <c r="A744" i="5" s="1"/>
  <c r="A642" i="5" a="1"/>
  <c r="A642" i="5" s="1"/>
  <c r="A2" i="5" a="1"/>
  <c r="A2" i="5" s="1"/>
  <c r="G713" i="3" a="1"/>
  <c r="G713" i="3" s="1"/>
  <c r="G697" i="3" a="1"/>
  <c r="G697" i="3" s="1"/>
  <c r="G692" i="3" a="1"/>
  <c r="G692" i="3" s="1"/>
  <c r="G669" i="3" a="1"/>
  <c r="G669" i="3" s="1"/>
  <c r="E667" i="3" a="1"/>
  <c r="E667" i="3" s="1"/>
  <c r="E654" i="3" a="1"/>
  <c r="E654" i="3" s="1"/>
  <c r="E653" i="3" a="1"/>
  <c r="E653" i="3" s="1"/>
  <c r="E646" i="3" a="1"/>
  <c r="E646" i="3" s="1"/>
  <c r="E645" i="3" a="1"/>
  <c r="E645" i="3" s="1"/>
  <c r="G628" i="3" a="1"/>
  <c r="G628" i="3" s="1"/>
  <c r="G611" i="3" a="1"/>
  <c r="G611" i="3" s="1"/>
  <c r="E581" i="3" a="1"/>
  <c r="E581" i="3" s="1"/>
  <c r="G512" i="3" a="1"/>
  <c r="G512" i="3" s="1"/>
  <c r="G504" i="3" a="1"/>
  <c r="G504" i="3" s="1"/>
  <c r="G498" i="3" a="1"/>
  <c r="G498" i="3" s="1"/>
  <c r="G488" i="3" a="1"/>
  <c r="G488" i="3" s="1"/>
  <c r="G449" i="3" a="1"/>
  <c r="G449" i="3" s="1"/>
  <c r="E415" i="3" a="1"/>
  <c r="E415" i="3" s="1"/>
  <c r="E403" i="3" a="1"/>
  <c r="E403" i="3" s="1"/>
  <c r="H86" i="14" a="1"/>
  <c r="H86" i="14" s="1"/>
  <c r="A829" i="5" a="1"/>
  <c r="A829" i="5" s="1"/>
  <c r="A796" i="5" a="1"/>
  <c r="A796" i="5" s="1"/>
  <c r="A786" i="5" a="1"/>
  <c r="A786" i="5" s="1"/>
  <c r="A740" i="5" a="1"/>
  <c r="A740" i="5" s="1"/>
  <c r="A708" i="5" a="1"/>
  <c r="A708" i="5" s="1"/>
  <c r="A696" i="5" a="1"/>
  <c r="A696" i="5" s="1"/>
  <c r="E728" i="3" a="1"/>
  <c r="E728" i="3" s="1"/>
  <c r="E725" i="3" a="1"/>
  <c r="E725" i="3" s="1"/>
  <c r="G717" i="3" a="1"/>
  <c r="G717" i="3" s="1"/>
  <c r="E671" i="3" a="1"/>
  <c r="E671" i="3" s="1"/>
  <c r="E656" i="3" a="1"/>
  <c r="E656" i="3" s="1"/>
  <c r="G627" i="3" a="1"/>
  <c r="G627" i="3" s="1"/>
  <c r="E535" i="3" a="1"/>
  <c r="E535" i="3" s="1"/>
  <c r="E533" i="3" a="1"/>
  <c r="E533" i="3" s="1"/>
  <c r="E531" i="3" a="1"/>
  <c r="E531" i="3" s="1"/>
  <c r="E516" i="3" a="1"/>
  <c r="E516" i="3" s="1"/>
  <c r="E485" i="3" a="1"/>
  <c r="E485" i="3" s="1"/>
  <c r="E474" i="3" a="1"/>
  <c r="E474" i="3" s="1"/>
  <c r="E463" i="3" a="1"/>
  <c r="E463" i="3" s="1"/>
  <c r="E438" i="3" a="1"/>
  <c r="E438" i="3" s="1"/>
  <c r="G430" i="3" a="1"/>
  <c r="G430" i="3" s="1"/>
  <c r="E427" i="3" a="1"/>
  <c r="E427" i="3" s="1"/>
  <c r="E416" i="3" a="1"/>
  <c r="E416" i="3" s="1"/>
  <c r="G408" i="3" a="1"/>
  <c r="G408" i="3" s="1"/>
  <c r="G377" i="3" a="1"/>
  <c r="G377" i="3" s="1"/>
  <c r="G356" i="3" a="1"/>
  <c r="G356" i="3" s="1"/>
  <c r="E352" i="3" a="1"/>
  <c r="E352" i="3" s="1"/>
  <c r="E344" i="3" a="1"/>
  <c r="E344" i="3" s="1"/>
  <c r="E339" i="3" a="1"/>
  <c r="E339" i="3" s="1"/>
  <c r="G334" i="3" a="1"/>
  <c r="G334" i="3" s="1"/>
  <c r="E333" i="3" a="1"/>
  <c r="E333" i="3" s="1"/>
  <c r="E328" i="3" a="1"/>
  <c r="E328" i="3" s="1"/>
  <c r="E324" i="3" a="1"/>
  <c r="E324" i="3" s="1"/>
  <c r="E320" i="3" a="1"/>
  <c r="E320" i="3" s="1"/>
  <c r="E316" i="3" a="1"/>
  <c r="E316" i="3" s="1"/>
  <c r="E312" i="3" a="1"/>
  <c r="E312" i="3" s="1"/>
  <c r="G299" i="3" a="1"/>
  <c r="G299" i="3" s="1"/>
  <c r="E298" i="3" a="1"/>
  <c r="E298" i="3" s="1"/>
  <c r="G293" i="3" a="1"/>
  <c r="G293" i="3" s="1"/>
  <c r="E288" i="3" a="1"/>
  <c r="E288" i="3" s="1"/>
  <c r="E284" i="3" a="1"/>
  <c r="E284" i="3" s="1"/>
  <c r="E259" i="3" a="1"/>
  <c r="E259" i="3" s="1"/>
  <c r="G257" i="3" a="1"/>
  <c r="G257" i="3" s="1"/>
  <c r="E167" i="14" a="1"/>
  <c r="E167" i="14" s="1"/>
  <c r="E104" i="14" a="1"/>
  <c r="E104" i="14" s="1"/>
  <c r="B54" i="10" a="1"/>
  <c r="B54" i="10" s="1"/>
  <c r="B74" i="10" a="1"/>
  <c r="B74" i="10" s="1"/>
  <c r="A903" i="5" a="1"/>
  <c r="A903" i="5" s="1"/>
  <c r="A893" i="5" a="1"/>
  <c r="A893" i="5" s="1"/>
  <c r="A882" i="5" a="1"/>
  <c r="A882" i="5" s="1"/>
  <c r="A860" i="5" a="1"/>
  <c r="A860" i="5" s="1"/>
  <c r="A850" i="5" a="1"/>
  <c r="A850" i="5" s="1"/>
  <c r="A838" i="5" a="1"/>
  <c r="A838" i="5" s="1"/>
  <c r="A804" i="5" a="1"/>
  <c r="A804" i="5" s="1"/>
  <c r="A760" i="5" a="1"/>
  <c r="A760" i="5" s="1"/>
  <c r="A739" i="5" a="1"/>
  <c r="A739" i="5" s="1"/>
  <c r="A673" i="5" a="1"/>
  <c r="A673" i="5" s="1"/>
  <c r="A662" i="5" a="1"/>
  <c r="A662" i="5" s="1"/>
  <c r="G792" i="3" a="1"/>
  <c r="G792" i="3" s="1"/>
  <c r="G721" i="3" a="1"/>
  <c r="G721" i="3" s="1"/>
  <c r="G677" i="3" a="1"/>
  <c r="G677" i="3" s="1"/>
  <c r="E562" i="3" a="1"/>
  <c r="E562" i="3" s="1"/>
  <c r="E561" i="3" a="1"/>
  <c r="E561" i="3" s="1"/>
  <c r="E560" i="3" a="1"/>
  <c r="E560" i="3" s="1"/>
  <c r="E530" i="3" a="1"/>
  <c r="E530" i="3" s="1"/>
  <c r="E515" i="3" a="1"/>
  <c r="E515" i="3" s="1"/>
  <c r="E506" i="3" a="1"/>
  <c r="E506" i="3" s="1"/>
  <c r="G469" i="3" a="1"/>
  <c r="G469" i="3" s="1"/>
  <c r="E466" i="3" a="1"/>
  <c r="E466" i="3" s="1"/>
  <c r="G436" i="3" a="1"/>
  <c r="G436" i="3" s="1"/>
  <c r="E430" i="3" a="1"/>
  <c r="E430" i="3" s="1"/>
  <c r="G422" i="3" a="1"/>
  <c r="G422" i="3" s="1"/>
  <c r="E419" i="3" a="1"/>
  <c r="E419" i="3" s="1"/>
  <c r="G411" i="3" a="1"/>
  <c r="G411" i="3" s="1"/>
  <c r="E408" i="3" a="1"/>
  <c r="E408" i="3" s="1"/>
  <c r="G353" i="3" a="1"/>
  <c r="G353" i="3" s="1"/>
  <c r="G349" i="3" a="1"/>
  <c r="G349" i="3" s="1"/>
  <c r="G345" i="3" a="1"/>
  <c r="G345" i="3" s="1"/>
  <c r="E340" i="3" a="1"/>
  <c r="E340" i="3" s="1"/>
  <c r="E334" i="3" a="1"/>
  <c r="E334" i="3" s="1"/>
  <c r="G329" i="3" a="1"/>
  <c r="G329" i="3" s="1"/>
  <c r="G325" i="3" a="1"/>
  <c r="G325" i="3" s="1"/>
  <c r="G321" i="3" a="1"/>
  <c r="G321" i="3" s="1"/>
  <c r="G317" i="3" a="1"/>
  <c r="G317" i="3" s="1"/>
  <c r="G313" i="3" a="1"/>
  <c r="G313" i="3" s="1"/>
  <c r="G309" i="3" a="1"/>
  <c r="G309" i="3" s="1"/>
  <c r="G305" i="3" a="1"/>
  <c r="G305" i="3" s="1"/>
  <c r="E299" i="3" a="1"/>
  <c r="E299" i="3" s="1"/>
  <c r="G294" i="3" a="1"/>
  <c r="G294" i="3" s="1"/>
  <c r="E293" i="3" a="1"/>
  <c r="E293" i="3" s="1"/>
  <c r="G289" i="3" a="1"/>
  <c r="G289" i="3" s="1"/>
  <c r="G285" i="3" a="1"/>
  <c r="G285" i="3" s="1"/>
  <c r="G281" i="3" a="1"/>
  <c r="G281" i="3" s="1"/>
  <c r="A1000" i="5" a="1"/>
  <c r="A1000" i="5" s="1"/>
  <c r="A979" i="5" a="1"/>
  <c r="A979" i="5" s="1"/>
  <c r="A936" i="5" a="1"/>
  <c r="A936" i="5" s="1"/>
  <c r="A914" i="5" a="1"/>
  <c r="A914" i="5" s="1"/>
  <c r="A795" i="5" a="1"/>
  <c r="A795" i="5" s="1"/>
  <c r="A717" i="5" a="1"/>
  <c r="A717" i="5" s="1"/>
  <c r="A695" i="5" a="1"/>
  <c r="A695" i="5" s="1"/>
  <c r="E628" i="3" a="1"/>
  <c r="E628" i="3" s="1"/>
  <c r="G619" i="3" a="1"/>
  <c r="G619" i="3" s="1"/>
  <c r="E597" i="3" a="1"/>
  <c r="E597" i="3" s="1"/>
  <c r="E564" i="3" a="1"/>
  <c r="E564" i="3" s="1"/>
  <c r="E529" i="3" a="1"/>
  <c r="E529" i="3" s="1"/>
  <c r="E521" i="3" a="1"/>
  <c r="E521" i="3" s="1"/>
  <c r="G510" i="3" a="1"/>
  <c r="G510" i="3" s="1"/>
  <c r="G501" i="3" a="1"/>
  <c r="G501" i="3" s="1"/>
  <c r="G472" i="3" a="1"/>
  <c r="G472" i="3" s="1"/>
  <c r="E469" i="3" a="1"/>
  <c r="E469" i="3" s="1"/>
  <c r="E458" i="3" a="1"/>
  <c r="E458" i="3" s="1"/>
  <c r="G452" i="3" a="1"/>
  <c r="G452" i="3" s="1"/>
  <c r="E433" i="3" a="1"/>
  <c r="E433" i="3" s="1"/>
  <c r="G425" i="3" a="1"/>
  <c r="G425" i="3" s="1"/>
  <c r="G414" i="3" a="1"/>
  <c r="G414" i="3" s="1"/>
  <c r="G399" i="3" a="1"/>
  <c r="G399" i="3" s="1"/>
  <c r="G395" i="3" a="1"/>
  <c r="G395" i="3" s="1"/>
  <c r="E391" i="3" a="1"/>
  <c r="E391" i="3" s="1"/>
  <c r="E387" i="3" a="1"/>
  <c r="E387" i="3" s="1"/>
  <c r="G378" i="3" a="1"/>
  <c r="G378" i="3" s="1"/>
  <c r="E372" i="3" a="1"/>
  <c r="E372" i="3" s="1"/>
  <c r="E368" i="3" a="1"/>
  <c r="E368" i="3" s="1"/>
  <c r="E364" i="3" a="1"/>
  <c r="E364" i="3" s="1"/>
  <c r="G274" i="3" a="1"/>
  <c r="G274" i="3" s="1"/>
  <c r="G254" i="3" a="1"/>
  <c r="G254" i="3" s="1"/>
  <c r="E240" i="3" a="1"/>
  <c r="E240" i="3" s="1"/>
  <c r="E239" i="3" a="1"/>
  <c r="E239" i="3" s="1"/>
  <c r="E238" i="3" a="1"/>
  <c r="E238" i="3" s="1"/>
  <c r="E237" i="3" a="1"/>
  <c r="E237" i="3" s="1"/>
  <c r="E236" i="3" a="1"/>
  <c r="E236" i="3" s="1"/>
  <c r="E235" i="3" a="1"/>
  <c r="E235" i="3" s="1"/>
  <c r="E234" i="3" a="1"/>
  <c r="E234" i="3" s="1"/>
  <c r="E233" i="3" a="1"/>
  <c r="E233" i="3" s="1"/>
  <c r="E232" i="3" a="1"/>
  <c r="E232" i="3" s="1"/>
  <c r="E231" i="3" a="1"/>
  <c r="E231" i="3" s="1"/>
  <c r="E230" i="3" a="1"/>
  <c r="E230" i="3" s="1"/>
  <c r="E229" i="3" a="1"/>
  <c r="E229" i="3" s="1"/>
  <c r="E228" i="3" a="1"/>
  <c r="E228" i="3" s="1"/>
  <c r="E227" i="3" a="1"/>
  <c r="E227" i="3" s="1"/>
  <c r="E226" i="3" a="1"/>
  <c r="E226" i="3" s="1"/>
  <c r="E225" i="3" a="1"/>
  <c r="E225" i="3" s="1"/>
  <c r="E224" i="3" a="1"/>
  <c r="E224" i="3" s="1"/>
  <c r="E223" i="3" a="1"/>
  <c r="E223" i="3" s="1"/>
  <c r="E222" i="3" a="1"/>
  <c r="E222" i="3" s="1"/>
  <c r="E221" i="3" a="1"/>
  <c r="E221" i="3" s="1"/>
  <c r="E220" i="3" a="1"/>
  <c r="E220" i="3" s="1"/>
  <c r="E219" i="3" a="1"/>
  <c r="E219" i="3" s="1"/>
  <c r="E218" i="3" a="1"/>
  <c r="E218" i="3" s="1"/>
  <c r="G216" i="3" a="1"/>
  <c r="G216" i="3" s="1"/>
  <c r="E202" i="3" a="1"/>
  <c r="E202" i="3" s="1"/>
  <c r="G200" i="3" a="1"/>
  <c r="G200" i="3" s="1"/>
  <c r="E186" i="3" a="1"/>
  <c r="E186" i="3" s="1"/>
  <c r="G184" i="3" a="1"/>
  <c r="G184" i="3" s="1"/>
  <c r="E170" i="3" a="1"/>
  <c r="E170" i="3" s="1"/>
  <c r="G168" i="3" a="1"/>
  <c r="G168" i="3" s="1"/>
  <c r="H223" i="14" a="1"/>
  <c r="H223" i="14" s="1"/>
  <c r="B78" i="10" a="1"/>
  <c r="B78" i="10" s="1"/>
  <c r="B68" i="10" a="1"/>
  <c r="B68" i="10" s="1"/>
  <c r="A946" i="5" a="1"/>
  <c r="A946" i="5" s="1"/>
  <c r="A868" i="5" a="1"/>
  <c r="A868" i="5" s="1"/>
  <c r="A803" i="5" a="1"/>
  <c r="A803" i="5" s="1"/>
  <c r="A705" i="5" a="1"/>
  <c r="A705" i="5" s="1"/>
  <c r="A70" i="5" a="1"/>
  <c r="A70" i="5" s="1"/>
  <c r="A3" i="5" a="1"/>
  <c r="A3" i="5" s="1"/>
  <c r="G715" i="3" a="1"/>
  <c r="G715" i="3" s="1"/>
  <c r="E669" i="3" a="1"/>
  <c r="E669" i="3" s="1"/>
  <c r="G657" i="3" a="1"/>
  <c r="G657" i="3" s="1"/>
  <c r="E635" i="3" a="1"/>
  <c r="E635" i="3" s="1"/>
  <c r="G620" i="3" a="1"/>
  <c r="G620" i="3" s="1"/>
  <c r="E619" i="3" a="1"/>
  <c r="E619" i="3" s="1"/>
  <c r="G608" i="3" a="1"/>
  <c r="G608" i="3" s="1"/>
  <c r="E557" i="3" a="1"/>
  <c r="E557" i="3" s="1"/>
  <c r="E555" i="3" a="1"/>
  <c r="E555" i="3" s="1"/>
  <c r="E510" i="3" a="1"/>
  <c r="E510" i="3" s="1"/>
  <c r="G490" i="3" a="1"/>
  <c r="G490" i="3" s="1"/>
  <c r="E481" i="3" a="1"/>
  <c r="E481" i="3" s="1"/>
  <c r="G479" i="3" a="1"/>
  <c r="G479" i="3" s="1"/>
  <c r="E472" i="3" a="1"/>
  <c r="E472" i="3" s="1"/>
  <c r="G461" i="3" a="1"/>
  <c r="G461" i="3" s="1"/>
  <c r="G445" i="3" a="1"/>
  <c r="G445" i="3" s="1"/>
  <c r="G439" i="3" a="1"/>
  <c r="G439" i="3" s="1"/>
  <c r="E436" i="3" a="1"/>
  <c r="E436" i="3" s="1"/>
  <c r="G428" i="3" a="1"/>
  <c r="G428" i="3" s="1"/>
  <c r="E422" i="3" a="1"/>
  <c r="E422" i="3" s="1"/>
  <c r="G417" i="3" a="1"/>
  <c r="G417" i="3" s="1"/>
  <c r="G403" i="3" a="1"/>
  <c r="G403" i="3" s="1"/>
  <c r="G357" i="3" a="1"/>
  <c r="G357" i="3" s="1"/>
  <c r="E353" i="3" a="1"/>
  <c r="E353" i="3" s="1"/>
  <c r="E349" i="3" a="1"/>
  <c r="E349" i="3" s="1"/>
  <c r="G341" i="3" a="1"/>
  <c r="G341" i="3" s="1"/>
  <c r="E329" i="3" a="1"/>
  <c r="E329" i="3" s="1"/>
  <c r="E325" i="3" a="1"/>
  <c r="E325" i="3" s="1"/>
  <c r="E321" i="3" a="1"/>
  <c r="E321" i="3" s="1"/>
  <c r="E317" i="3" a="1"/>
  <c r="E317" i="3" s="1"/>
  <c r="E313" i="3" a="1"/>
  <c r="E313" i="3" s="1"/>
  <c r="E309" i="3" a="1"/>
  <c r="E309" i="3" s="1"/>
  <c r="E305" i="3" a="1"/>
  <c r="E305" i="3" s="1"/>
  <c r="E300" i="3" a="1"/>
  <c r="E300" i="3" s="1"/>
  <c r="E243" i="14" a="1"/>
  <c r="E243" i="14" s="1"/>
  <c r="G185" i="14" a="1"/>
  <c r="G185" i="14" s="1"/>
  <c r="E134" i="14" a="1"/>
  <c r="E134" i="14" s="1"/>
  <c r="A989" i="5" a="1"/>
  <c r="A989" i="5" s="1"/>
  <c r="A957" i="5" a="1"/>
  <c r="A957" i="5" s="1"/>
  <c r="A902" i="5" a="1"/>
  <c r="A902" i="5" s="1"/>
  <c r="A859" i="5" a="1"/>
  <c r="A859" i="5" s="1"/>
  <c r="A759" i="5" a="1"/>
  <c r="A759" i="5" s="1"/>
  <c r="A726" i="5" a="1"/>
  <c r="A726" i="5" s="1"/>
  <c r="A69" i="5" a="1"/>
  <c r="A69" i="5" s="1"/>
  <c r="A4" i="5" a="1"/>
  <c r="A4" i="5" s="1"/>
  <c r="G726" i="3" a="1"/>
  <c r="G726" i="3" s="1"/>
  <c r="G701" i="3" a="1"/>
  <c r="G701" i="3" s="1"/>
  <c r="E657" i="3" a="1"/>
  <c r="E657" i="3" s="1"/>
  <c r="E636" i="3" a="1"/>
  <c r="E636" i="3" s="1"/>
  <c r="G621" i="3" a="1"/>
  <c r="G621" i="3" s="1"/>
  <c r="G606" i="3" a="1"/>
  <c r="G606" i="3" s="1"/>
  <c r="E567" i="3" a="1"/>
  <c r="E567" i="3" s="1"/>
  <c r="E566" i="3" a="1"/>
  <c r="E566" i="3" s="1"/>
  <c r="E556" i="3" a="1"/>
  <c r="E556" i="3" s="1"/>
  <c r="E528" i="3" a="1"/>
  <c r="E528" i="3" s="1"/>
  <c r="E520" i="3" a="1"/>
  <c r="E520" i="3" s="1"/>
  <c r="G505" i="3" a="1"/>
  <c r="G505" i="3" s="1"/>
  <c r="G494" i="3" a="1"/>
  <c r="G494" i="3" s="1"/>
  <c r="E488" i="3" a="1"/>
  <c r="E488" i="3" s="1"/>
  <c r="E479" i="3" a="1"/>
  <c r="E479" i="3" s="1"/>
  <c r="G464" i="3" a="1"/>
  <c r="G464" i="3" s="1"/>
  <c r="E461" i="3" a="1"/>
  <c r="E461" i="3" s="1"/>
  <c r="G456" i="3" a="1"/>
  <c r="G456" i="3" s="1"/>
  <c r="E452" i="3" a="1"/>
  <c r="E452" i="3" s="1"/>
  <c r="G442" i="3" a="1"/>
  <c r="G442" i="3" s="1"/>
  <c r="E439" i="3" a="1"/>
  <c r="E439" i="3" s="1"/>
  <c r="E425" i="3" a="1"/>
  <c r="E425" i="3" s="1"/>
  <c r="E414" i="3" a="1"/>
  <c r="E414" i="3" s="1"/>
  <c r="G406" i="3" a="1"/>
  <c r="G406" i="3" s="1"/>
  <c r="E399" i="3" a="1"/>
  <c r="E399" i="3" s="1"/>
  <c r="E395" i="3" a="1"/>
  <c r="E395" i="3" s="1"/>
  <c r="G388" i="3" a="1"/>
  <c r="G388" i="3" s="1"/>
  <c r="G384" i="3" a="1"/>
  <c r="G384" i="3" s="1"/>
  <c r="E378" i="3" a="1"/>
  <c r="E378" i="3" s="1"/>
  <c r="E373" i="3" a="1"/>
  <c r="E373" i="3" s="1"/>
  <c r="G369" i="3" a="1"/>
  <c r="G369" i="3" s="1"/>
  <c r="G365" i="3" a="1"/>
  <c r="G365" i="3" s="1"/>
  <c r="G361" i="3" a="1"/>
  <c r="G361" i="3" s="1"/>
  <c r="E357" i="3" a="1"/>
  <c r="E357" i="3" s="1"/>
  <c r="E341" i="3" a="1"/>
  <c r="E341" i="3" s="1"/>
  <c r="G330" i="3" a="1"/>
  <c r="G330" i="3" s="1"/>
  <c r="G275" i="3" a="1"/>
  <c r="G275" i="3" s="1"/>
  <c r="E254" i="3" a="1"/>
  <c r="E254" i="3" s="1"/>
  <c r="G252" i="3" a="1"/>
  <c r="G252" i="3" s="1"/>
  <c r="E216" i="3" a="1"/>
  <c r="E216" i="3" s="1"/>
  <c r="G214" i="3" a="1"/>
  <c r="G214" i="3" s="1"/>
  <c r="E200" i="3" a="1"/>
  <c r="E200" i="3" s="1"/>
  <c r="G198" i="3" a="1"/>
  <c r="G198" i="3" s="1"/>
  <c r="G182" i="3" a="1"/>
  <c r="G182" i="3" s="1"/>
  <c r="H322" i="14" a="1"/>
  <c r="H322" i="14" s="1"/>
  <c r="H228" i="14" a="1"/>
  <c r="H228" i="14" s="1"/>
  <c r="A999" i="5" a="1"/>
  <c r="A999" i="5" s="1"/>
  <c r="A867" i="5" a="1"/>
  <c r="A867" i="5" s="1"/>
  <c r="A769" i="5" a="1"/>
  <c r="A769" i="5" s="1"/>
  <c r="A716" i="5" a="1"/>
  <c r="A716" i="5" s="1"/>
  <c r="A660" i="5" a="1"/>
  <c r="A660" i="5" s="1"/>
  <c r="G784" i="3" a="1"/>
  <c r="G784" i="3" s="1"/>
  <c r="G723" i="3" a="1"/>
  <c r="G723" i="3" s="1"/>
  <c r="G685" i="3" a="1"/>
  <c r="G685" i="3" s="1"/>
  <c r="G675" i="3" a="1"/>
  <c r="G675" i="3" s="1"/>
  <c r="E629" i="3" a="1"/>
  <c r="E629" i="3" s="1"/>
  <c r="E620" i="3" a="1"/>
  <c r="E620" i="3" s="1"/>
  <c r="G610" i="3" a="1"/>
  <c r="G610" i="3" s="1"/>
  <c r="E608" i="3" a="1"/>
  <c r="E608" i="3" s="1"/>
  <c r="E607" i="3" a="1"/>
  <c r="E607" i="3" s="1"/>
  <c r="E571" i="3" a="1"/>
  <c r="E571" i="3" s="1"/>
  <c r="E554" i="3" a="1"/>
  <c r="E554" i="3" s="1"/>
  <c r="E553" i="3" a="1"/>
  <c r="E553" i="3" s="1"/>
  <c r="E552" i="3" a="1"/>
  <c r="E552" i="3" s="1"/>
  <c r="E514" i="3" a="1"/>
  <c r="E514" i="3" s="1"/>
  <c r="E505" i="3" a="1"/>
  <c r="E505" i="3" s="1"/>
  <c r="E490" i="3" a="1"/>
  <c r="E490" i="3" s="1"/>
  <c r="E477" i="3" a="1"/>
  <c r="E477" i="3" s="1"/>
  <c r="G475" i="3" a="1"/>
  <c r="G475" i="3" s="1"/>
  <c r="G467" i="3" a="1"/>
  <c r="G467" i="3" s="1"/>
  <c r="E464" i="3" a="1"/>
  <c r="E464" i="3" s="1"/>
  <c r="E445" i="3" a="1"/>
  <c r="E445" i="3" s="1"/>
  <c r="G431" i="3" a="1"/>
  <c r="G431" i="3" s="1"/>
  <c r="E428" i="3" a="1"/>
  <c r="E428" i="3" s="1"/>
  <c r="G420" i="3" a="1"/>
  <c r="G420" i="3" s="1"/>
  <c r="G409" i="3" a="1"/>
  <c r="G409" i="3" s="1"/>
  <c r="G379" i="3" a="1"/>
  <c r="G379" i="3" s="1"/>
  <c r="G350" i="3" a="1"/>
  <c r="G350" i="3" s="1"/>
  <c r="G346" i="3" a="1"/>
  <c r="G346" i="3" s="1"/>
  <c r="G336" i="3" a="1"/>
  <c r="G336" i="3" s="1"/>
  <c r="G326" i="3" a="1"/>
  <c r="G326" i="3" s="1"/>
  <c r="G322" i="3" a="1"/>
  <c r="G322" i="3" s="1"/>
  <c r="G318" i="3" a="1"/>
  <c r="G318" i="3" s="1"/>
  <c r="G314" i="3" a="1"/>
  <c r="G314" i="3" s="1"/>
  <c r="G310" i="3" a="1"/>
  <c r="G310" i="3" s="1"/>
  <c r="G306" i="3" a="1"/>
  <c r="G306" i="3" s="1"/>
  <c r="G301" i="3" a="1"/>
  <c r="G301" i="3" s="1"/>
  <c r="E295" i="3" a="1"/>
  <c r="E295" i="3" s="1"/>
  <c r="G290" i="3" a="1"/>
  <c r="G290" i="3" s="1"/>
  <c r="G286" i="3" a="1"/>
  <c r="G286" i="3" s="1"/>
  <c r="G282" i="3" a="1"/>
  <c r="G282" i="3" s="1"/>
  <c r="E272" i="4" a="1"/>
  <c r="E272" i="4" s="1"/>
  <c r="G281" i="14" s="1" a="1"/>
  <c r="G281" i="14" s="1"/>
  <c r="F272" i="4" a="1"/>
  <c r="F272" i="4" s="1"/>
  <c r="H281" i="14" s="1" a="1"/>
  <c r="H281" i="14" s="1"/>
  <c r="A802" i="5" a="1"/>
  <c r="A802" i="5" s="1"/>
  <c r="A839" i="5" a="1"/>
  <c r="A839" i="5" s="1"/>
  <c r="A866" i="5" a="1"/>
  <c r="A866" i="5" s="1"/>
  <c r="C9" i="6"/>
  <c r="B36" i="6"/>
  <c r="B98" i="6"/>
  <c r="P47" i="10"/>
  <c r="N47" i="10"/>
  <c r="E47" i="10"/>
  <c r="B47" i="10" a="1"/>
  <c r="B47" i="10" s="1"/>
  <c r="P60" i="10"/>
  <c r="N60" i="10"/>
  <c r="I60" i="10"/>
  <c r="H60" i="10"/>
  <c r="E60" i="10"/>
  <c r="O60" i="10"/>
  <c r="K60" i="10"/>
  <c r="B60" i="10" a="1"/>
  <c r="B60" i="10" s="1"/>
  <c r="K80" i="10"/>
  <c r="H18" i="11" a="1"/>
  <c r="H18" i="11" s="1"/>
  <c r="L18" i="11" a="1"/>
  <c r="L18" i="11" s="1"/>
  <c r="L46" i="11" a="1"/>
  <c r="L46" i="11" s="1"/>
  <c r="H82" i="11" a="1"/>
  <c r="H82" i="11" s="1"/>
  <c r="L82" i="11" a="1"/>
  <c r="L82" i="11" s="1"/>
  <c r="L224" i="11" a="1"/>
  <c r="L224" i="11" s="1"/>
  <c r="H224" i="11" a="1"/>
  <c r="H224" i="11" s="1"/>
  <c r="L240" i="11" a="1"/>
  <c r="L240" i="11" s="1"/>
  <c r="H240" i="11" a="1"/>
  <c r="H240" i="11" s="1"/>
  <c r="L250" i="11" a="1"/>
  <c r="L250" i="11" s="1"/>
  <c r="H250" i="11" a="1"/>
  <c r="H250" i="11" s="1"/>
  <c r="H321" i="11" a="1"/>
  <c r="H321" i="11" s="1"/>
  <c r="H633" i="11" a="1"/>
  <c r="H633" i="11" s="1"/>
  <c r="M633" i="11"/>
  <c r="L633" i="11" a="1"/>
  <c r="L633" i="11" s="1"/>
  <c r="I633" i="11"/>
  <c r="I931" i="11"/>
  <c r="L931" i="11" a="1"/>
  <c r="L931" i="11" s="1"/>
  <c r="H931" i="11" a="1"/>
  <c r="H931" i="11" s="1"/>
  <c r="M931" i="11"/>
  <c r="C165" i="6"/>
  <c r="C150" i="6"/>
  <c r="C134" i="6"/>
  <c r="C118" i="6"/>
  <c r="C102" i="6"/>
  <c r="C86" i="6"/>
  <c r="C70" i="6"/>
  <c r="C54" i="6"/>
  <c r="C38" i="6"/>
  <c r="C22" i="6"/>
  <c r="C6" i="6"/>
  <c r="B165" i="6"/>
  <c r="B150" i="6"/>
  <c r="B134" i="6"/>
  <c r="B118" i="6"/>
  <c r="B102" i="6"/>
  <c r="B86" i="6"/>
  <c r="B70" i="6"/>
  <c r="D70" i="6" s="1"/>
  <c r="E70" i="6" s="1"/>
  <c r="B54" i="6"/>
  <c r="D54" i="6" s="1"/>
  <c r="E54" i="6" s="1"/>
  <c r="B38" i="6"/>
  <c r="D38" i="6" s="1"/>
  <c r="E38" i="6" s="1"/>
  <c r="B22" i="6"/>
  <c r="D22" i="6" s="1"/>
  <c r="E22" i="6" s="1"/>
  <c r="B6" i="6"/>
  <c r="D6" i="6" s="1"/>
  <c r="E6" i="6" s="1"/>
  <c r="C166" i="6"/>
  <c r="C151" i="6"/>
  <c r="C135" i="6"/>
  <c r="C119" i="6"/>
  <c r="C103" i="6"/>
  <c r="C87" i="6"/>
  <c r="C71" i="6"/>
  <c r="C55" i="6"/>
  <c r="C39" i="6"/>
  <c r="C23" i="6"/>
  <c r="C7" i="6"/>
  <c r="B154" i="6"/>
  <c r="D154" i="6" s="1"/>
  <c r="E154" i="6" s="1"/>
  <c r="B87" i="6"/>
  <c r="D87" i="6" s="1"/>
  <c r="E87" i="6" s="1"/>
  <c r="B64" i="6"/>
  <c r="D64" i="6" s="1"/>
  <c r="E64" i="6" s="1"/>
  <c r="C170" i="6"/>
  <c r="C159" i="6"/>
  <c r="C112" i="6"/>
  <c r="C82" i="6"/>
  <c r="C52" i="6"/>
  <c r="C47" i="6"/>
  <c r="C34" i="6"/>
  <c r="B170" i="6"/>
  <c r="B159" i="6"/>
  <c r="B135" i="6"/>
  <c r="D135" i="6" s="1"/>
  <c r="E135" i="6" s="1"/>
  <c r="B120" i="6"/>
  <c r="B112" i="6"/>
  <c r="D112" i="6" s="1"/>
  <c r="E112" i="6" s="1"/>
  <c r="B52" i="6"/>
  <c r="D52" i="6" s="1"/>
  <c r="E52" i="6" s="1"/>
  <c r="B47" i="6"/>
  <c r="D47" i="6" s="1"/>
  <c r="E47" i="6" s="1"/>
  <c r="C130" i="6"/>
  <c r="C75" i="6"/>
  <c r="C16" i="6"/>
  <c r="B100" i="6"/>
  <c r="D100" i="6" s="1"/>
  <c r="E100" i="6" s="1"/>
  <c r="B95" i="6"/>
  <c r="B55" i="6"/>
  <c r="B40" i="6"/>
  <c r="B31" i="6"/>
  <c r="B16" i="6"/>
  <c r="B10" i="6"/>
  <c r="D10" i="6" s="1"/>
  <c r="E10" i="6" s="1"/>
  <c r="C123" i="6"/>
  <c r="C80" i="6"/>
  <c r="C50" i="6"/>
  <c r="C156" i="6"/>
  <c r="C139" i="6"/>
  <c r="B137" i="6"/>
  <c r="C116" i="6"/>
  <c r="C99" i="6"/>
  <c r="C84" i="6"/>
  <c r="C73" i="6"/>
  <c r="B71" i="6"/>
  <c r="D20" i="2" s="1" a="1"/>
  <c r="D20" i="2" s="1"/>
  <c r="B48" i="6"/>
  <c r="D48" i="6" s="1"/>
  <c r="E48" i="6" s="1"/>
  <c r="C27" i="6"/>
  <c r="C154" i="6"/>
  <c r="B143" i="6"/>
  <c r="B122" i="6"/>
  <c r="B103" i="6"/>
  <c r="D103" i="6" s="1"/>
  <c r="E103" i="6" s="1"/>
  <c r="B69" i="6"/>
  <c r="D69" i="6" s="1"/>
  <c r="E69" i="6" s="1"/>
  <c r="B32" i="6"/>
  <c r="D32" i="6" s="1"/>
  <c r="E32" i="6" s="1"/>
  <c r="C15" i="6"/>
  <c r="B169" i="6"/>
  <c r="D169" i="6" s="1"/>
  <c r="E169" i="6" s="1"/>
  <c r="C158" i="6"/>
  <c r="C147" i="6"/>
  <c r="B126" i="6"/>
  <c r="D126" i="6" s="1"/>
  <c r="E126" i="6" s="1"/>
  <c r="B101" i="6"/>
  <c r="D101" i="6" s="1"/>
  <c r="E101" i="6" s="1"/>
  <c r="B58" i="6"/>
  <c r="D58" i="6" s="1"/>
  <c r="E58" i="6" s="1"/>
  <c r="C43" i="6"/>
  <c r="B41" i="6"/>
  <c r="B20" i="6"/>
  <c r="B151" i="6"/>
  <c r="D151" i="6" s="1"/>
  <c r="E151" i="6" s="1"/>
  <c r="B147" i="6"/>
  <c r="C128" i="6"/>
  <c r="B39" i="6"/>
  <c r="C30" i="6"/>
  <c r="C18" i="6"/>
  <c r="B128" i="6"/>
  <c r="D128" i="6" s="1"/>
  <c r="E128" i="6" s="1"/>
  <c r="C107" i="6"/>
  <c r="B35" i="6"/>
  <c r="D35" i="6" s="1"/>
  <c r="E35" i="6" s="1"/>
  <c r="B30" i="6"/>
  <c r="D30" i="6" s="1"/>
  <c r="E30" i="6" s="1"/>
  <c r="B166" i="6"/>
  <c r="D166" i="6" s="1"/>
  <c r="E166" i="6" s="1"/>
  <c r="C132" i="6"/>
  <c r="C161" i="6"/>
  <c r="B84" i="6"/>
  <c r="C66" i="6"/>
  <c r="C32" i="6"/>
  <c r="C2" i="6"/>
  <c r="C163" i="6"/>
  <c r="B152" i="6"/>
  <c r="B144" i="6"/>
  <c r="C133" i="6"/>
  <c r="B89" i="6"/>
  <c r="D89" i="6" s="1"/>
  <c r="E89" i="6" s="1"/>
  <c r="C146" i="6"/>
  <c r="C63" i="6"/>
  <c r="C26" i="6"/>
  <c r="B99" i="6"/>
  <c r="B78" i="6"/>
  <c r="D78" i="6" s="1"/>
  <c r="E78" i="6" s="1"/>
  <c r="B68" i="6"/>
  <c r="D68" i="6" s="1"/>
  <c r="E68" i="6" s="1"/>
  <c r="B63" i="6"/>
  <c r="D63" i="6" s="1"/>
  <c r="E63" i="6" s="1"/>
  <c r="B26" i="6"/>
  <c r="C122" i="6"/>
  <c r="C91" i="6"/>
  <c r="B73" i="6"/>
  <c r="C11" i="6"/>
  <c r="K176" i="3" a="1"/>
  <c r="K176" i="3" s="1"/>
  <c r="M176" i="3" s="1"/>
  <c r="J198" i="3" a="1"/>
  <c r="J198" i="3" s="1"/>
  <c r="AA246" i="3"/>
  <c r="O263" i="3" a="1"/>
  <c r="O263" i="3" s="1"/>
  <c r="R291" i="3" a="1"/>
  <c r="R291" i="3" s="1"/>
  <c r="O291" i="3" a="1"/>
  <c r="O291" i="3" s="1"/>
  <c r="K291" i="3" a="1"/>
  <c r="K291" i="3" s="1"/>
  <c r="M291" i="3" s="1"/>
  <c r="K304" i="3" a="1"/>
  <c r="K304" i="3" s="1"/>
  <c r="M304" i="3" s="1"/>
  <c r="J333" i="3" a="1"/>
  <c r="J333" i="3" s="1"/>
  <c r="J337" i="3" a="1"/>
  <c r="J337" i="3" s="1"/>
  <c r="O337" i="3" a="1"/>
  <c r="O337" i="3" s="1"/>
  <c r="K337" i="3" a="1"/>
  <c r="K337" i="3" s="1"/>
  <c r="M337" i="3" s="1"/>
  <c r="V453" i="3" a="1"/>
  <c r="V453" i="3" s="1"/>
  <c r="R453" i="3" a="1"/>
  <c r="R453" i="3" s="1"/>
  <c r="O453" i="3" a="1"/>
  <c r="O453" i="3" s="1"/>
  <c r="K453" i="3" a="1"/>
  <c r="K453" i="3" s="1"/>
  <c r="M453" i="3" s="1"/>
  <c r="J453" i="3" a="1"/>
  <c r="J453" i="3" s="1"/>
  <c r="E97" i="4" a="1"/>
  <c r="E97" i="4" s="1"/>
  <c r="F97" i="4" a="1"/>
  <c r="F97" i="4" s="1"/>
  <c r="H106" i="14" s="1" a="1"/>
  <c r="H106" i="14" s="1"/>
  <c r="A311" i="4"/>
  <c r="H107" i="11" a="1"/>
  <c r="H107" i="11" s="1"/>
  <c r="A689" i="5" a="1"/>
  <c r="A689" i="5" s="1"/>
  <c r="A854" i="5" a="1"/>
  <c r="A854" i="5" s="1"/>
  <c r="A918" i="5" a="1"/>
  <c r="A918" i="5" s="1"/>
  <c r="A930" i="5" a="1"/>
  <c r="A930" i="5" s="1"/>
  <c r="C62" i="6"/>
  <c r="C98" i="6"/>
  <c r="L172" i="11" a="1"/>
  <c r="L172" i="11" s="1"/>
  <c r="L384" i="11" a="1"/>
  <c r="L384" i="11" s="1"/>
  <c r="L382" i="11" a="1"/>
  <c r="L382" i="11" s="1"/>
  <c r="L452" i="11" a="1"/>
  <c r="L452" i="11" s="1"/>
  <c r="P41" i="10"/>
  <c r="N41" i="10"/>
  <c r="I41" i="10"/>
  <c r="H41" i="10"/>
  <c r="J41" i="10"/>
  <c r="L80" i="10"/>
  <c r="L19" i="11" a="1"/>
  <c r="L19" i="11" s="1"/>
  <c r="H19" i="11" a="1"/>
  <c r="H19" i="11" s="1"/>
  <c r="H143" i="11" a="1"/>
  <c r="H143" i="11" s="1"/>
  <c r="H322" i="11" a="1"/>
  <c r="H322" i="11" s="1"/>
  <c r="L322" i="11" a="1"/>
  <c r="L322" i="11" s="1"/>
  <c r="L323" i="11" a="1"/>
  <c r="L323" i="11" s="1"/>
  <c r="H323" i="11" a="1"/>
  <c r="H323" i="11" s="1"/>
  <c r="L427" i="11" a="1"/>
  <c r="L427" i="11" s="1"/>
  <c r="H427" i="11" a="1"/>
  <c r="H427" i="11" s="1"/>
  <c r="H610" i="11" a="1"/>
  <c r="H610" i="11" s="1"/>
  <c r="I610" i="11"/>
  <c r="O193" i="3" a="1"/>
  <c r="O193" i="3" s="1"/>
  <c r="R256" i="3" a="1"/>
  <c r="R256" i="3" s="1"/>
  <c r="O338" i="3" a="1"/>
  <c r="O338" i="3" s="1"/>
  <c r="R446" i="3" a="1"/>
  <c r="R446" i="3" s="1"/>
  <c r="O446" i="3" a="1"/>
  <c r="O446" i="3" s="1"/>
  <c r="K446" i="3" a="1"/>
  <c r="K446" i="3" s="1"/>
  <c r="M446" i="3" s="1"/>
  <c r="K448" i="3" a="1"/>
  <c r="K448" i="3" s="1"/>
  <c r="M448" i="3" s="1"/>
  <c r="V448" i="3" a="1"/>
  <c r="V448" i="3" s="1"/>
  <c r="J454" i="3" a="1"/>
  <c r="J454" i="3" s="1"/>
  <c r="J724" i="3" a="1"/>
  <c r="J724" i="3" s="1"/>
  <c r="F101" i="4" a="1"/>
  <c r="F101" i="4" s="1"/>
  <c r="H110" i="14" s="1" a="1"/>
  <c r="H110" i="14" s="1"/>
  <c r="E101" i="4" a="1"/>
  <c r="E101" i="4" s="1"/>
  <c r="G110" i="14" s="1" a="1"/>
  <c r="G110" i="14" s="1"/>
  <c r="F353" i="4" a="1"/>
  <c r="F353" i="4" s="1"/>
  <c r="E353" i="4" a="1"/>
  <c r="E353" i="4" s="1"/>
  <c r="A653" i="5" a="1"/>
  <c r="A653" i="5" s="1"/>
  <c r="A753" i="5" a="1"/>
  <c r="A753" i="5" s="1"/>
  <c r="C69" i="6"/>
  <c r="B96" i="6"/>
  <c r="D96" i="6" s="1"/>
  <c r="E96" i="6" s="1"/>
  <c r="M42" i="7"/>
  <c r="G42" i="7"/>
  <c r="B19" i="10" a="1"/>
  <c r="B19" i="10" s="1"/>
  <c r="B41" i="10" a="1"/>
  <c r="B41" i="10" s="1"/>
  <c r="O62" i="10"/>
  <c r="O80" i="10"/>
  <c r="L88" i="11" a="1"/>
  <c r="L88" i="11" s="1"/>
  <c r="H88" i="11" a="1"/>
  <c r="H88" i="11" s="1"/>
  <c r="L95" i="11" a="1"/>
  <c r="L95" i="11" s="1"/>
  <c r="H95" i="11" a="1"/>
  <c r="H95" i="11" s="1"/>
  <c r="H144" i="11" a="1"/>
  <c r="H144" i="11" s="1"/>
  <c r="L144" i="11" a="1"/>
  <c r="L144" i="11" s="1"/>
  <c r="I595" i="11"/>
  <c r="H595" i="11" a="1"/>
  <c r="H595" i="11" s="1"/>
  <c r="M595" i="11"/>
  <c r="L595" i="11" a="1"/>
  <c r="L595" i="11" s="1"/>
  <c r="I607" i="11"/>
  <c r="H607" i="11" a="1"/>
  <c r="H607" i="11" s="1"/>
  <c r="M607" i="11"/>
  <c r="L607" i="11" a="1"/>
  <c r="L607" i="11" s="1"/>
  <c r="O182" i="3" a="1"/>
  <c r="O182" i="3" s="1"/>
  <c r="O252" i="3" a="1"/>
  <c r="O252" i="3" s="1"/>
  <c r="O304" i="3" a="1"/>
  <c r="O304" i="3" s="1"/>
  <c r="V329" i="3" a="1"/>
  <c r="V329" i="3" s="1"/>
  <c r="J338" i="3" a="1"/>
  <c r="J338" i="3" s="1"/>
  <c r="J446" i="3" a="1"/>
  <c r="J446" i="3" s="1"/>
  <c r="J448" i="3" a="1"/>
  <c r="J448" i="3" s="1"/>
  <c r="O787" i="3" a="1"/>
  <c r="O787" i="3" s="1"/>
  <c r="J787" i="3" a="1"/>
  <c r="J787" i="3" s="1"/>
  <c r="V787" i="3" a="1"/>
  <c r="V787" i="3" s="1"/>
  <c r="R787" i="3" a="1"/>
  <c r="R787" i="3" s="1"/>
  <c r="E229" i="4" a="1"/>
  <c r="E229" i="4" s="1"/>
  <c r="F229" i="4" a="1"/>
  <c r="F229" i="4" s="1"/>
  <c r="H238" i="14" s="1" a="1"/>
  <c r="H238" i="14" s="1"/>
  <c r="F335" i="4" a="1"/>
  <c r="F335" i="4" s="1"/>
  <c r="E335" i="4" a="1"/>
  <c r="E335" i="4" s="1"/>
  <c r="A679" i="5" a="1"/>
  <c r="A679" i="5" s="1"/>
  <c r="A780" i="5" a="1"/>
  <c r="A780" i="5" s="1"/>
  <c r="A980" i="5" a="1"/>
  <c r="A980" i="5" s="1"/>
  <c r="A993" i="5" a="1"/>
  <c r="A993" i="5" s="1"/>
  <c r="B7" i="6"/>
  <c r="D7" i="6" s="1"/>
  <c r="E7" i="6" s="1"/>
  <c r="B11" i="6"/>
  <c r="D11" i="6" s="1"/>
  <c r="E11" i="6" s="1"/>
  <c r="C57" i="6"/>
  <c r="B66" i="6"/>
  <c r="D66" i="6" s="1"/>
  <c r="E66" i="6" s="1"/>
  <c r="C93" i="6"/>
  <c r="B93" i="6"/>
  <c r="D93" i="6" s="1"/>
  <c r="E93" i="6" s="1"/>
  <c r="C96" i="6"/>
  <c r="M15" i="7"/>
  <c r="G15" i="7"/>
  <c r="I47" i="10"/>
  <c r="B62" i="10" a="1"/>
  <c r="B62" i="10" s="1"/>
  <c r="N81" i="10"/>
  <c r="M81" i="10"/>
  <c r="O81" i="10"/>
  <c r="L81" i="10"/>
  <c r="K81" i="10"/>
  <c r="I81" i="10"/>
  <c r="H81" i="10"/>
  <c r="J81" i="10"/>
  <c r="F81" i="10"/>
  <c r="E81" i="10"/>
  <c r="I567" i="11"/>
  <c r="H567" i="11" a="1"/>
  <c r="H567" i="11" s="1"/>
  <c r="L567" i="11" a="1"/>
  <c r="L567" i="11" s="1"/>
  <c r="L579" i="11" a="1"/>
  <c r="L579" i="11" s="1"/>
  <c r="M579" i="11"/>
  <c r="I579" i="11"/>
  <c r="H579" i="11" a="1"/>
  <c r="H579" i="11" s="1"/>
  <c r="O484" i="3" a="1"/>
  <c r="O484" i="3" s="1"/>
  <c r="V601" i="3" a="1"/>
  <c r="V601" i="3" s="1"/>
  <c r="R601" i="3" a="1"/>
  <c r="R601" i="3" s="1"/>
  <c r="J601" i="3" a="1"/>
  <c r="J601" i="3" s="1"/>
  <c r="V604" i="3" a="1"/>
  <c r="V604" i="3" s="1"/>
  <c r="F9" i="4" a="1"/>
  <c r="F9" i="4" s="1"/>
  <c r="E9" i="4" a="1"/>
  <c r="E9" i="4" s="1"/>
  <c r="F31" i="4" a="1"/>
  <c r="F31" i="4" s="1"/>
  <c r="H40" i="14" s="1" a="1"/>
  <c r="H40" i="14" s="1"/>
  <c r="E31" i="4" a="1"/>
  <c r="E31" i="4" s="1"/>
  <c r="E161" i="4" a="1"/>
  <c r="E161" i="4" s="1"/>
  <c r="F161" i="4" a="1"/>
  <c r="F161" i="4" s="1"/>
  <c r="A22" i="5" a="1"/>
  <c r="A22" i="5" s="1"/>
  <c r="A49" i="5" a="1"/>
  <c r="A49" i="5" s="1"/>
  <c r="A463" i="5" a="1"/>
  <c r="A463" i="5" s="1"/>
  <c r="A471" i="5" a="1"/>
  <c r="A471" i="5" s="1"/>
  <c r="A479" i="5" a="1"/>
  <c r="A479" i="5" s="1"/>
  <c r="A487" i="5" a="1"/>
  <c r="A487" i="5" s="1"/>
  <c r="A495" i="5" a="1"/>
  <c r="A495" i="5" s="1"/>
  <c r="A503" i="5" a="1"/>
  <c r="A503" i="5" s="1"/>
  <c r="A511" i="5" a="1"/>
  <c r="A511" i="5" s="1"/>
  <c r="A519" i="5" a="1"/>
  <c r="A519" i="5" s="1"/>
  <c r="A527" i="5" a="1"/>
  <c r="A527" i="5" s="1"/>
  <c r="A535" i="5" a="1"/>
  <c r="A535" i="5" s="1"/>
  <c r="A543" i="5" a="1"/>
  <c r="A543" i="5" s="1"/>
  <c r="A551" i="5" a="1"/>
  <c r="A551" i="5" s="1"/>
  <c r="A559" i="5" a="1"/>
  <c r="A559" i="5" s="1"/>
  <c r="A567" i="5" a="1"/>
  <c r="A567" i="5" s="1"/>
  <c r="A575" i="5" a="1"/>
  <c r="A575" i="5" s="1"/>
  <c r="A583" i="5" a="1"/>
  <c r="A583" i="5" s="1"/>
  <c r="A591" i="5" a="1"/>
  <c r="A591" i="5" s="1"/>
  <c r="C42" i="6"/>
  <c r="C83" i="6"/>
  <c r="B91" i="6"/>
  <c r="C117" i="6"/>
  <c r="G96" i="7"/>
  <c r="M96" i="7"/>
  <c r="N72" i="10"/>
  <c r="M72" i="10"/>
  <c r="J72" i="10"/>
  <c r="I72" i="10"/>
  <c r="H72" i="10"/>
  <c r="E72" i="10"/>
  <c r="O72" i="10"/>
  <c r="L72" i="10"/>
  <c r="K72" i="10"/>
  <c r="N77" i="10"/>
  <c r="M77" i="10"/>
  <c r="O77" i="10"/>
  <c r="L77" i="10"/>
  <c r="K77" i="10"/>
  <c r="I77" i="10"/>
  <c r="H77" i="10"/>
  <c r="J77" i="10"/>
  <c r="F77" i="10"/>
  <c r="E77" i="10"/>
  <c r="B77" i="10" a="1"/>
  <c r="B77" i="10" s="1"/>
  <c r="L31" i="11" a="1"/>
  <c r="L31" i="11" s="1"/>
  <c r="H37" i="11" a="1"/>
  <c r="H37" i="11" s="1"/>
  <c r="B72" i="11"/>
  <c r="H72" i="11" a="1"/>
  <c r="H72" i="11" s="1"/>
  <c r="L110" i="11" a="1"/>
  <c r="L110" i="11" s="1"/>
  <c r="L139" i="11" a="1"/>
  <c r="L139" i="11" s="1"/>
  <c r="H139" i="11" a="1"/>
  <c r="H139" i="11" s="1"/>
  <c r="L165" i="11" a="1"/>
  <c r="L165" i="11" s="1"/>
  <c r="H165" i="11" a="1"/>
  <c r="H165" i="11" s="1"/>
  <c r="L166" i="11" a="1"/>
  <c r="L166" i="11" s="1"/>
  <c r="H166" i="11" a="1"/>
  <c r="H166" i="11" s="1"/>
  <c r="H168" i="11" a="1"/>
  <c r="H168" i="11" s="1"/>
  <c r="H178" i="11" a="1"/>
  <c r="H178" i="11" s="1"/>
  <c r="L178" i="11" a="1"/>
  <c r="L178" i="11" s="1"/>
  <c r="L216" i="11" a="1"/>
  <c r="L216" i="11" s="1"/>
  <c r="H216" i="11" a="1"/>
  <c r="H216" i="11" s="1"/>
  <c r="H276" i="11" a="1"/>
  <c r="H276" i="11" s="1"/>
  <c r="L353" i="11" a="1"/>
  <c r="L353" i="11" s="1"/>
  <c r="H353" i="11" a="1"/>
  <c r="H353" i="11" s="1"/>
  <c r="H366" i="11" a="1"/>
  <c r="H366" i="11" s="1"/>
  <c r="L366" i="11" a="1"/>
  <c r="L366" i="11" s="1"/>
  <c r="L419" i="11" a="1"/>
  <c r="L419" i="11" s="1"/>
  <c r="H419" i="11" a="1"/>
  <c r="H419" i="11" s="1"/>
  <c r="H840" i="11" a="1"/>
  <c r="H840" i="11" s="1"/>
  <c r="I840" i="11"/>
  <c r="M840" i="11"/>
  <c r="L840" i="11" a="1"/>
  <c r="L840" i="11" s="1"/>
  <c r="V378" i="3" a="1"/>
  <c r="V378" i="3" s="1"/>
  <c r="K379" i="3" a="1"/>
  <c r="K379" i="3" s="1"/>
  <c r="M379" i="3" s="1"/>
  <c r="V486" i="3" a="1"/>
  <c r="V486" i="3" s="1"/>
  <c r="R486" i="3" a="1"/>
  <c r="R486" i="3" s="1"/>
  <c r="O609" i="3" a="1"/>
  <c r="O609" i="3" s="1"/>
  <c r="K609" i="3" a="1"/>
  <c r="K609" i="3" s="1"/>
  <c r="M609" i="3" s="1"/>
  <c r="V609" i="3" a="1"/>
  <c r="V609" i="3" s="1"/>
  <c r="O610" i="3" a="1"/>
  <c r="O610" i="3" s="1"/>
  <c r="K610" i="3" a="1"/>
  <c r="K610" i="3" s="1"/>
  <c r="M610" i="3" s="1"/>
  <c r="J610" i="3" a="1"/>
  <c r="J610" i="3" s="1"/>
  <c r="R610" i="3" a="1"/>
  <c r="R610" i="3" s="1"/>
  <c r="O685" i="3" a="1"/>
  <c r="O685" i="3" s="1"/>
  <c r="K685" i="3" a="1"/>
  <c r="K685" i="3" s="1"/>
  <c r="M685" i="3" s="1"/>
  <c r="R685" i="3" a="1"/>
  <c r="R685" i="3" s="1"/>
  <c r="J685" i="3" a="1"/>
  <c r="J685" i="3" s="1"/>
  <c r="R784" i="3" a="1"/>
  <c r="R784" i="3" s="1"/>
  <c r="V784" i="3" a="1"/>
  <c r="V784" i="3" s="1"/>
  <c r="O784" i="3" a="1"/>
  <c r="O784" i="3" s="1"/>
  <c r="K784" i="3" a="1"/>
  <c r="K784" i="3" s="1"/>
  <c r="M784" i="3" s="1"/>
  <c r="F129" i="4" a="1"/>
  <c r="F129" i="4" s="1"/>
  <c r="F145" i="4" a="1"/>
  <c r="F145" i="4" s="1"/>
  <c r="A149" i="4"/>
  <c r="E690" i="3" s="1" a="1"/>
  <c r="E690" i="3" s="1"/>
  <c r="H253" i="11" a="1"/>
  <c r="H253" i="11" s="1"/>
  <c r="H371" i="11" a="1"/>
  <c r="H371" i="11" s="1"/>
  <c r="E175" i="4" a="1"/>
  <c r="E175" i="4" s="1"/>
  <c r="G184" i="14" s="1" a="1"/>
  <c r="G184" i="14" s="1"/>
  <c r="A16" i="5" a="1"/>
  <c r="A16" i="5" s="1"/>
  <c r="A33" i="5" a="1"/>
  <c r="A33" i="5" s="1"/>
  <c r="B50" i="6"/>
  <c r="B83" i="6"/>
  <c r="D22" i="2" s="1" a="1"/>
  <c r="D22" i="2" s="1"/>
  <c r="G58" i="7"/>
  <c r="B20" i="10" a="1"/>
  <c r="B20" i="10" s="1"/>
  <c r="P68" i="10"/>
  <c r="N68" i="10"/>
  <c r="I68" i="10"/>
  <c r="H68" i="10"/>
  <c r="E68" i="10"/>
  <c r="B72" i="10" a="1"/>
  <c r="B72" i="10" s="1"/>
  <c r="O78" i="10"/>
  <c r="L16" i="11" a="1"/>
  <c r="L16" i="11" s="1"/>
  <c r="L28" i="11" a="1"/>
  <c r="L28" i="11" s="1"/>
  <c r="H28" i="11" a="1"/>
  <c r="H28" i="11" s="1"/>
  <c r="L38" i="11" a="1"/>
  <c r="L38" i="11" s="1"/>
  <c r="H38" i="11" a="1"/>
  <c r="H38" i="11" s="1"/>
  <c r="L74" i="11" a="1"/>
  <c r="L74" i="11" s="1"/>
  <c r="H74" i="11" a="1"/>
  <c r="H74" i="11" s="1"/>
  <c r="L89" i="11" a="1"/>
  <c r="L89" i="11" s="1"/>
  <c r="B135" i="11"/>
  <c r="H156" i="11" a="1"/>
  <c r="H156" i="11" s="1"/>
  <c r="L167" i="11" a="1"/>
  <c r="L167" i="11" s="1"/>
  <c r="H167" i="11" a="1"/>
  <c r="H167" i="11" s="1"/>
  <c r="B250" i="11"/>
  <c r="B271" i="11"/>
  <c r="H277" i="11" a="1"/>
  <c r="H277" i="11" s="1"/>
  <c r="L277" i="11" a="1"/>
  <c r="L277" i="11" s="1"/>
  <c r="H354" i="11" a="1"/>
  <c r="H354" i="11" s="1"/>
  <c r="L354" i="11" a="1"/>
  <c r="L354" i="11" s="1"/>
  <c r="H367" i="11" a="1"/>
  <c r="H367" i="11" s="1"/>
  <c r="L367" i="11" a="1"/>
  <c r="L367" i="11" s="1"/>
  <c r="K295" i="3" a="1"/>
  <c r="K295" i="3" s="1"/>
  <c r="M295" i="3" s="1"/>
  <c r="V295" i="3" a="1"/>
  <c r="V295" i="3" s="1"/>
  <c r="K330" i="3" a="1"/>
  <c r="K330" i="3" s="1"/>
  <c r="M330" i="3" s="1"/>
  <c r="K607" i="3" a="1"/>
  <c r="K607" i="3" s="1"/>
  <c r="M607" i="3" s="1"/>
  <c r="J607" i="3" a="1"/>
  <c r="J607" i="3" s="1"/>
  <c r="V607" i="3" a="1"/>
  <c r="V607" i="3" s="1"/>
  <c r="R607" i="3" a="1"/>
  <c r="R607" i="3" s="1"/>
  <c r="O726" i="3" a="1"/>
  <c r="O726" i="3" s="1"/>
  <c r="R726" i="3" a="1"/>
  <c r="R726" i="3" s="1"/>
  <c r="V726" i="3" a="1"/>
  <c r="V726" i="3" s="1"/>
  <c r="K726" i="3" a="1"/>
  <c r="K726" i="3" s="1"/>
  <c r="M726" i="3" s="1"/>
  <c r="J726" i="3" a="1"/>
  <c r="J726" i="3" s="1"/>
  <c r="F165" i="4" a="1"/>
  <c r="F165" i="4" s="1"/>
  <c r="E165" i="4" a="1"/>
  <c r="E165" i="4" s="1"/>
  <c r="G174" i="14" s="1" a="1"/>
  <c r="G174" i="14" s="1"/>
  <c r="A208" i="4"/>
  <c r="E188" i="3" s="1" a="1"/>
  <c r="E188" i="3" s="1"/>
  <c r="H252" i="11" a="1"/>
  <c r="H252" i="11" s="1"/>
  <c r="E213" i="4" a="1"/>
  <c r="E213" i="4" s="1"/>
  <c r="G222" i="14" s="1" a="1"/>
  <c r="G222" i="14" s="1"/>
  <c r="F213" i="4" a="1"/>
  <c r="F213" i="4" s="1"/>
  <c r="H222" i="14" s="1" a="1"/>
  <c r="H222" i="14" s="1"/>
  <c r="A32" i="5" a="1"/>
  <c r="A32" i="5" s="1"/>
  <c r="A67" i="5" a="1"/>
  <c r="A67" i="5" s="1"/>
  <c r="A462" i="5" a="1"/>
  <c r="A462" i="5" s="1"/>
  <c r="A470" i="5" a="1"/>
  <c r="A470" i="5" s="1"/>
  <c r="A478" i="5" a="1"/>
  <c r="A478" i="5" s="1"/>
  <c r="A486" i="5" a="1"/>
  <c r="A486" i="5" s="1"/>
  <c r="A494" i="5" a="1"/>
  <c r="A494" i="5" s="1"/>
  <c r="A502" i="5" a="1"/>
  <c r="A502" i="5" s="1"/>
  <c r="A510" i="5" a="1"/>
  <c r="A510" i="5" s="1"/>
  <c r="A518" i="5" a="1"/>
  <c r="A518" i="5" s="1"/>
  <c r="A526" i="5" a="1"/>
  <c r="A526" i="5" s="1"/>
  <c r="A534" i="5" a="1"/>
  <c r="A534" i="5" s="1"/>
  <c r="A542" i="5" a="1"/>
  <c r="A542" i="5" s="1"/>
  <c r="A550" i="5" a="1"/>
  <c r="A550" i="5" s="1"/>
  <c r="A558" i="5" a="1"/>
  <c r="A558" i="5" s="1"/>
  <c r="A566" i="5" a="1"/>
  <c r="A566" i="5" s="1"/>
  <c r="A574" i="5" a="1"/>
  <c r="A574" i="5" s="1"/>
  <c r="A582" i="5" a="1"/>
  <c r="A582" i="5" s="1"/>
  <c r="A590" i="5" a="1"/>
  <c r="A590" i="5" s="1"/>
  <c r="A598" i="5" a="1"/>
  <c r="A598" i="5" s="1"/>
  <c r="C81" i="6"/>
  <c r="B146" i="6"/>
  <c r="C157" i="6"/>
  <c r="P87" i="10"/>
  <c r="N87" i="10"/>
  <c r="M87" i="10"/>
  <c r="F87" i="10"/>
  <c r="E87" i="10"/>
  <c r="B87" i="10" a="1"/>
  <c r="B87" i="10" s="1"/>
  <c r="O87" i="10"/>
  <c r="J87" i="10"/>
  <c r="I87" i="10"/>
  <c r="H87" i="10"/>
  <c r="E86" i="10"/>
  <c r="L29" i="11" a="1"/>
  <c r="L29" i="11" s="1"/>
  <c r="H29" i="11" a="1"/>
  <c r="H29" i="11" s="1"/>
  <c r="L40" i="11" a="1"/>
  <c r="L40" i="11" s="1"/>
  <c r="H40" i="11" a="1"/>
  <c r="H40" i="11" s="1"/>
  <c r="B42" i="11"/>
  <c r="H42" i="11" a="1"/>
  <c r="H42" i="11" s="1"/>
  <c r="L64" i="11" a="1"/>
  <c r="L64" i="11" s="1"/>
  <c r="H64" i="11" a="1"/>
  <c r="H64" i="11" s="1"/>
  <c r="H99" i="11" a="1"/>
  <c r="H99" i="11" s="1"/>
  <c r="L99" i="11" a="1"/>
  <c r="L99" i="11" s="1"/>
  <c r="H105" i="11" a="1"/>
  <c r="H105" i="11" s="1"/>
  <c r="H303" i="11" a="1"/>
  <c r="H303" i="11" s="1"/>
  <c r="L303" i="11" a="1"/>
  <c r="L303" i="11" s="1"/>
  <c r="L305" i="11" a="1"/>
  <c r="L305" i="11" s="1"/>
  <c r="H305" i="11" a="1"/>
  <c r="H305" i="11" s="1"/>
  <c r="H453" i="11" a="1"/>
  <c r="H453" i="11" s="1"/>
  <c r="L453" i="11" a="1"/>
  <c r="L453" i="11" s="1"/>
  <c r="H582" i="11" a="1"/>
  <c r="H582" i="11" s="1"/>
  <c r="I582" i="11"/>
  <c r="M582" i="11"/>
  <c r="L582" i="11" a="1"/>
  <c r="L582" i="11" s="1"/>
  <c r="M589" i="11"/>
  <c r="I589" i="11"/>
  <c r="H589" i="11" a="1"/>
  <c r="H589" i="11" s="1"/>
  <c r="V373" i="3" a="1"/>
  <c r="V373" i="3" s="1"/>
  <c r="O445" i="3" a="1"/>
  <c r="O445" i="3" s="1"/>
  <c r="J445" i="3" a="1"/>
  <c r="J445" i="3" s="1"/>
  <c r="K449" i="3" a="1"/>
  <c r="K449" i="3" s="1"/>
  <c r="M449" i="3" s="1"/>
  <c r="K484" i="3" a="1"/>
  <c r="K484" i="3" s="1"/>
  <c r="M484" i="3" s="1"/>
  <c r="K488" i="3" a="1"/>
  <c r="K488" i="3" s="1"/>
  <c r="M488" i="3" s="1"/>
  <c r="R490" i="3" a="1"/>
  <c r="R490" i="3" s="1"/>
  <c r="O490" i="3" a="1"/>
  <c r="O490" i="3" s="1"/>
  <c r="R492" i="3" a="1"/>
  <c r="R492" i="3" s="1"/>
  <c r="O601" i="3" a="1"/>
  <c r="O601" i="3" s="1"/>
  <c r="K690" i="3" a="1"/>
  <c r="K690" i="3" s="1"/>
  <c r="M690" i="3" s="1"/>
  <c r="J690" i="3" a="1"/>
  <c r="J690" i="3" s="1"/>
  <c r="V690" i="3" a="1"/>
  <c r="V690" i="3" s="1"/>
  <c r="R690" i="3" a="1"/>
  <c r="R690" i="3" s="1"/>
  <c r="O690" i="3" a="1"/>
  <c r="O690" i="3" s="1"/>
  <c r="V695" i="3" a="1"/>
  <c r="V695" i="3" s="1"/>
  <c r="O695" i="3" a="1"/>
  <c r="O695" i="3" s="1"/>
  <c r="K695" i="3" a="1"/>
  <c r="K695" i="3" s="1"/>
  <c r="M695" i="3" s="1"/>
  <c r="R695" i="3" a="1"/>
  <c r="R695" i="3" s="1"/>
  <c r="J695" i="3" a="1"/>
  <c r="J695" i="3" s="1"/>
  <c r="V720" i="3" a="1"/>
  <c r="V720" i="3" s="1"/>
  <c r="F119" i="4" a="1"/>
  <c r="F119" i="4" s="1"/>
  <c r="H128" i="14" s="1" a="1"/>
  <c r="H128" i="14" s="1"/>
  <c r="E119" i="4" a="1"/>
  <c r="E119" i="4" s="1"/>
  <c r="F300" i="4" a="1"/>
  <c r="F300" i="4" s="1"/>
  <c r="H309" i="14" s="1" a="1"/>
  <c r="H309" i="14" s="1"/>
  <c r="E329" i="4" a="1"/>
  <c r="E329" i="4" s="1"/>
  <c r="A46" i="5" a="1"/>
  <c r="A46" i="5" s="1"/>
  <c r="A72" i="5" a="1"/>
  <c r="A72" i="5" s="1"/>
  <c r="A94" i="5" a="1"/>
  <c r="A94" i="5" s="1"/>
  <c r="A645" i="5" a="1"/>
  <c r="A645" i="5" s="1"/>
  <c r="B53" i="6"/>
  <c r="D53" i="6" s="1"/>
  <c r="E53" i="6" s="1"/>
  <c r="C58" i="6"/>
  <c r="C94" i="6"/>
  <c r="B94" i="6"/>
  <c r="D94" i="6" s="1"/>
  <c r="E94" i="6" s="1"/>
  <c r="G91" i="7"/>
  <c r="B16" i="10" a="1"/>
  <c r="B16" i="10" s="1"/>
  <c r="P83" i="10"/>
  <c r="N83" i="10"/>
  <c r="M83" i="10"/>
  <c r="F83" i="10"/>
  <c r="E83" i="10"/>
  <c r="B83" i="10" a="1"/>
  <c r="B83" i="10" s="1"/>
  <c r="K83" i="10"/>
  <c r="H83" i="10"/>
  <c r="G83" i="10"/>
  <c r="G87" i="10"/>
  <c r="H7" i="11" a="1"/>
  <c r="H7" i="11" s="1"/>
  <c r="L7" i="11" a="1"/>
  <c r="L7" i="11" s="1"/>
  <c r="L8" i="11" a="1"/>
  <c r="L8" i="11" s="1"/>
  <c r="H8" i="11" a="1"/>
  <c r="H8" i="11" s="1"/>
  <c r="L61" i="11" a="1"/>
  <c r="L61" i="11" s="1"/>
  <c r="H65" i="11" a="1"/>
  <c r="H65" i="11" s="1"/>
  <c r="L65" i="11" a="1"/>
  <c r="L65" i="11" s="1"/>
  <c r="L91" i="11" a="1"/>
  <c r="L91" i="11" s="1"/>
  <c r="H91" i="11" a="1"/>
  <c r="H91" i="11" s="1"/>
  <c r="H100" i="11" a="1"/>
  <c r="H100" i="11" s="1"/>
  <c r="L100" i="11" a="1"/>
  <c r="L100" i="11" s="1"/>
  <c r="L124" i="11" a="1"/>
  <c r="L124" i="11" s="1"/>
  <c r="H124" i="11" a="1"/>
  <c r="H124" i="11" s="1"/>
  <c r="H129" i="11" a="1"/>
  <c r="H129" i="11" s="1"/>
  <c r="L129" i="11" a="1"/>
  <c r="L129" i="11" s="1"/>
  <c r="L160" i="11" a="1"/>
  <c r="L160" i="11" s="1"/>
  <c r="H160" i="11" a="1"/>
  <c r="H160" i="11" s="1"/>
  <c r="H161" i="11" a="1"/>
  <c r="H161" i="11" s="1"/>
  <c r="L161" i="11" a="1"/>
  <c r="L161" i="11" s="1"/>
  <c r="H189" i="11" a="1"/>
  <c r="H189" i="11" s="1"/>
  <c r="L189" i="11" a="1"/>
  <c r="L189" i="11" s="1"/>
  <c r="B305" i="11"/>
  <c r="L360" i="11" a="1"/>
  <c r="L360" i="11" s="1"/>
  <c r="H360" i="11" a="1"/>
  <c r="H360" i="11" s="1"/>
  <c r="B391" i="11"/>
  <c r="H391" i="11" a="1"/>
  <c r="H391" i="11" s="1"/>
  <c r="H570" i="11" a="1"/>
  <c r="H570" i="11" s="1"/>
  <c r="L570" i="11" a="1"/>
  <c r="L570" i="11" s="1"/>
  <c r="I570" i="11"/>
  <c r="H808" i="11" a="1"/>
  <c r="H808" i="11" s="1"/>
  <c r="I808" i="11"/>
  <c r="M808" i="11"/>
  <c r="L808" i="11" a="1"/>
  <c r="L808" i="11" s="1"/>
  <c r="J295" i="3" a="1"/>
  <c r="J295" i="3" s="1"/>
  <c r="V300" i="3" a="1"/>
  <c r="V300" i="3" s="1"/>
  <c r="J330" i="3" a="1"/>
  <c r="J330" i="3" s="1"/>
  <c r="K335" i="3" a="1"/>
  <c r="K335" i="3" s="1"/>
  <c r="M335" i="3" s="1"/>
  <c r="V335" i="3" a="1"/>
  <c r="V335" i="3" s="1"/>
  <c r="R452" i="3" a="1"/>
  <c r="R452" i="3" s="1"/>
  <c r="A309" i="4"/>
  <c r="E411" i="3" s="1" a="1"/>
  <c r="E411" i="3" s="1"/>
  <c r="H266" i="11" a="1"/>
  <c r="H266" i="11" s="1"/>
  <c r="H432" i="11" a="1"/>
  <c r="H432" i="11" s="1"/>
  <c r="H151" i="11" a="1"/>
  <c r="H151" i="11" s="1"/>
  <c r="H338" i="11" a="1"/>
  <c r="H338" i="11" s="1"/>
  <c r="A423" i="4"/>
  <c r="E747" i="3" s="1" a="1"/>
  <c r="E747" i="3" s="1"/>
  <c r="H340" i="11" a="1"/>
  <c r="H340" i="11" s="1"/>
  <c r="A45" i="5" a="1"/>
  <c r="A45" i="5" s="1"/>
  <c r="A71" i="5" a="1"/>
  <c r="A71" i="5" s="1"/>
  <c r="A93" i="5" a="1"/>
  <c r="A93" i="5" s="1"/>
  <c r="A461" i="5" a="1"/>
  <c r="A461" i="5" s="1"/>
  <c r="A469" i="5" a="1"/>
  <c r="A469" i="5" s="1"/>
  <c r="A477" i="5" a="1"/>
  <c r="A477" i="5" s="1"/>
  <c r="A485" i="5" a="1"/>
  <c r="A485" i="5" s="1"/>
  <c r="A493" i="5" a="1"/>
  <c r="A493" i="5" s="1"/>
  <c r="A501" i="5" a="1"/>
  <c r="A501" i="5" s="1"/>
  <c r="A509" i="5" a="1"/>
  <c r="A509" i="5" s="1"/>
  <c r="A517" i="5" a="1"/>
  <c r="A517" i="5" s="1"/>
  <c r="A525" i="5" a="1"/>
  <c r="A525" i="5" s="1"/>
  <c r="A533" i="5" a="1"/>
  <c r="A533" i="5" s="1"/>
  <c r="A541" i="5" a="1"/>
  <c r="A541" i="5" s="1"/>
  <c r="A549" i="5" a="1"/>
  <c r="A549" i="5" s="1"/>
  <c r="A557" i="5" a="1"/>
  <c r="A557" i="5" s="1"/>
  <c r="A565" i="5" a="1"/>
  <c r="A565" i="5" s="1"/>
  <c r="A573" i="5" a="1"/>
  <c r="A573" i="5" s="1"/>
  <c r="A581" i="5" a="1"/>
  <c r="A581" i="5" s="1"/>
  <c r="A589" i="5" a="1"/>
  <c r="A589" i="5" s="1"/>
  <c r="A597" i="5" a="1"/>
  <c r="A597" i="5" s="1"/>
  <c r="C110" i="6"/>
  <c r="C138" i="6"/>
  <c r="B138" i="6"/>
  <c r="D138" i="6" s="1"/>
  <c r="E138" i="6" s="1"/>
  <c r="C149" i="6"/>
  <c r="B149" i="6"/>
  <c r="P35" i="10"/>
  <c r="N35" i="10"/>
  <c r="M35" i="10"/>
  <c r="E35" i="10"/>
  <c r="B35" i="10" a="1"/>
  <c r="B35" i="10" s="1"/>
  <c r="O35" i="10"/>
  <c r="K35" i="10"/>
  <c r="J35" i="10"/>
  <c r="I35" i="10"/>
  <c r="O54" i="10"/>
  <c r="P88" i="10"/>
  <c r="N88" i="10"/>
  <c r="J88" i="10"/>
  <c r="I88" i="10"/>
  <c r="H88" i="10"/>
  <c r="G88" i="10"/>
  <c r="E88" i="10"/>
  <c r="O88" i="10"/>
  <c r="K88" i="10"/>
  <c r="F88" i="10"/>
  <c r="B88" i="10" a="1"/>
  <c r="B88" i="10" s="1"/>
  <c r="L9" i="11" a="1"/>
  <c r="L9" i="11" s="1"/>
  <c r="H9" i="11" a="1"/>
  <c r="H9" i="11" s="1"/>
  <c r="B35" i="11"/>
  <c r="L101" i="11" a="1"/>
  <c r="L101" i="11" s="1"/>
  <c r="H101" i="11" a="1"/>
  <c r="H101" i="11" s="1"/>
  <c r="B124" i="11"/>
  <c r="B169" i="11"/>
  <c r="H169" i="11" a="1"/>
  <c r="H169" i="11" s="1"/>
  <c r="L346" i="11" a="1"/>
  <c r="L346" i="11" s="1"/>
  <c r="H346" i="11" a="1"/>
  <c r="H346" i="11" s="1"/>
  <c r="L394" i="11" a="1"/>
  <c r="L394" i="11" s="1"/>
  <c r="H454" i="11" a="1"/>
  <c r="H454" i="11" s="1"/>
  <c r="L454" i="11" a="1"/>
  <c r="L454" i="11" s="1"/>
  <c r="M533" i="11"/>
  <c r="L533" i="11" a="1"/>
  <c r="L533" i="11" s="1"/>
  <c r="I533" i="11"/>
  <c r="H533" i="11" a="1"/>
  <c r="H533" i="11" s="1"/>
  <c r="H592" i="11" a="1"/>
  <c r="H592" i="11" s="1"/>
  <c r="I592" i="11"/>
  <c r="P31" i="10"/>
  <c r="N31" i="10"/>
  <c r="M31" i="10"/>
  <c r="E31" i="10"/>
  <c r="B31" i="10" a="1"/>
  <c r="B31" i="10" s="1"/>
  <c r="O31" i="10"/>
  <c r="L31" i="10"/>
  <c r="J31" i="10"/>
  <c r="P84" i="10"/>
  <c r="N84" i="10"/>
  <c r="M84" i="10"/>
  <c r="J84" i="10"/>
  <c r="H84" i="10"/>
  <c r="G84" i="10"/>
  <c r="E84" i="10"/>
  <c r="O84" i="10"/>
  <c r="H61" i="11" a="1"/>
  <c r="H61" i="11" s="1"/>
  <c r="H114" i="11" a="1"/>
  <c r="H114" i="11" s="1"/>
  <c r="L114" i="11" a="1"/>
  <c r="L114" i="11" s="1"/>
  <c r="H193" i="11" a="1"/>
  <c r="H193" i="11" s="1"/>
  <c r="L193" i="11" a="1"/>
  <c r="L193" i="11" s="1"/>
  <c r="B262" i="11"/>
  <c r="H262" i="11" a="1"/>
  <c r="H262" i="11" s="1"/>
  <c r="L264" i="11" a="1"/>
  <c r="L264" i="11" s="1"/>
  <c r="H264" i="11" a="1"/>
  <c r="H264" i="11" s="1"/>
  <c r="L300" i="11" a="1"/>
  <c r="L300" i="11" s="1"/>
  <c r="H300" i="11" a="1"/>
  <c r="H300" i="11" s="1"/>
  <c r="H445" i="11" a="1"/>
  <c r="H445" i="11" s="1"/>
  <c r="L445" i="11" a="1"/>
  <c r="L445" i="11" s="1"/>
  <c r="H451" i="11" a="1"/>
  <c r="H451" i="11" s="1"/>
  <c r="L451" i="11" a="1"/>
  <c r="L451" i="11" s="1"/>
  <c r="L456" i="11" a="1"/>
  <c r="L456" i="11" s="1"/>
  <c r="H456" i="11" a="1"/>
  <c r="H456" i="11" s="1"/>
  <c r="J300" i="3" a="1"/>
  <c r="J300" i="3" s="1"/>
  <c r="J335" i="3" a="1"/>
  <c r="J335" i="3" s="1"/>
  <c r="V340" i="3" a="1"/>
  <c r="V340" i="3" s="1"/>
  <c r="R372" i="3" a="1"/>
  <c r="R372" i="3" s="1"/>
  <c r="K688" i="3" a="1"/>
  <c r="K688" i="3" s="1"/>
  <c r="M688" i="3" s="1"/>
  <c r="V688" i="3" a="1"/>
  <c r="V688" i="3" s="1"/>
  <c r="R688" i="3" a="1"/>
  <c r="R688" i="3" s="1"/>
  <c r="R783" i="3" a="1"/>
  <c r="R783" i="3" s="1"/>
  <c r="O783" i="3" a="1"/>
  <c r="O783" i="3" s="1"/>
  <c r="V783" i="3" a="1"/>
  <c r="V783" i="3" s="1"/>
  <c r="K783" i="3" a="1"/>
  <c r="K783" i="3" s="1"/>
  <c r="M783" i="3" s="1"/>
  <c r="F17" i="4" a="1"/>
  <c r="F17" i="4" s="1"/>
  <c r="E17" i="4" a="1"/>
  <c r="E17" i="4" s="1"/>
  <c r="A460" i="5" a="1"/>
  <c r="A460" i="5" s="1"/>
  <c r="A468" i="5" a="1"/>
  <c r="A468" i="5" s="1"/>
  <c r="A476" i="5" a="1"/>
  <c r="A476" i="5" s="1"/>
  <c r="A484" i="5" a="1"/>
  <c r="A484" i="5" s="1"/>
  <c r="A492" i="5" a="1"/>
  <c r="A492" i="5" s="1"/>
  <c r="A500" i="5" a="1"/>
  <c r="A500" i="5" s="1"/>
  <c r="A508" i="5" a="1"/>
  <c r="A508" i="5" s="1"/>
  <c r="A516" i="5" a="1"/>
  <c r="A516" i="5" s="1"/>
  <c r="A524" i="5" a="1"/>
  <c r="A524" i="5" s="1"/>
  <c r="A532" i="5" a="1"/>
  <c r="A532" i="5" s="1"/>
  <c r="A540" i="5" a="1"/>
  <c r="A540" i="5" s="1"/>
  <c r="A548" i="5" a="1"/>
  <c r="A548" i="5" s="1"/>
  <c r="A556" i="5" a="1"/>
  <c r="A556" i="5" s="1"/>
  <c r="A564" i="5" a="1"/>
  <c r="A564" i="5" s="1"/>
  <c r="A572" i="5" a="1"/>
  <c r="A572" i="5" s="1"/>
  <c r="A580" i="5" a="1"/>
  <c r="A580" i="5" s="1"/>
  <c r="A588" i="5" a="1"/>
  <c r="A588" i="5" s="1"/>
  <c r="A596" i="5" a="1"/>
  <c r="A596" i="5" s="1"/>
  <c r="C17" i="6"/>
  <c r="C61" i="6"/>
  <c r="B61" i="6"/>
  <c r="D61" i="6" s="1"/>
  <c r="E61" i="6" s="1"/>
  <c r="B158" i="6"/>
  <c r="D158" i="6" s="1"/>
  <c r="E158" i="6" s="1"/>
  <c r="M54" i="7"/>
  <c r="G54" i="7"/>
  <c r="H35" i="10"/>
  <c r="P45" i="10"/>
  <c r="N45" i="10"/>
  <c r="L45" i="10"/>
  <c r="I45" i="10"/>
  <c r="H45" i="10"/>
  <c r="J45" i="10"/>
  <c r="E45" i="10"/>
  <c r="B45" i="10" a="1"/>
  <c r="B45" i="10" s="1"/>
  <c r="B84" i="10" a="1"/>
  <c r="B84" i="10" s="1"/>
  <c r="L36" i="11" a="1"/>
  <c r="L36" i="11" s="1"/>
  <c r="H84" i="11" a="1"/>
  <c r="H84" i="11" s="1"/>
  <c r="L84" i="11" a="1"/>
  <c r="L84" i="11" s="1"/>
  <c r="H195" i="11" a="1"/>
  <c r="H195" i="11" s="1"/>
  <c r="L195" i="11" a="1"/>
  <c r="L195" i="11" s="1"/>
  <c r="H204" i="11" a="1"/>
  <c r="H204" i="11" s="1"/>
  <c r="L204" i="11" a="1"/>
  <c r="L204" i="11" s="1"/>
  <c r="L268" i="11" a="1"/>
  <c r="L268" i="11" s="1"/>
  <c r="H268" i="11" a="1"/>
  <c r="H268" i="11" s="1"/>
  <c r="B274" i="11"/>
  <c r="H274" i="11" a="1"/>
  <c r="H274" i="11" s="1"/>
  <c r="H460" i="11" a="1"/>
  <c r="H460" i="11" s="1"/>
  <c r="L460" i="11" a="1"/>
  <c r="L460" i="11" s="1"/>
  <c r="J494" i="3" a="1"/>
  <c r="J494" i="3" s="1"/>
  <c r="J792" i="3" a="1"/>
  <c r="J792" i="3" s="1"/>
  <c r="F52" i="4" a="1"/>
  <c r="F52" i="4" s="1"/>
  <c r="H61" i="14" s="1" a="1"/>
  <c r="H61" i="14" s="1"/>
  <c r="F217" i="4" a="1"/>
  <c r="F217" i="4" s="1"/>
  <c r="A429" i="4"/>
  <c r="E172" i="3" s="1" a="1"/>
  <c r="E172" i="3" s="1"/>
  <c r="H358" i="11" a="1"/>
  <c r="H358" i="11" s="1"/>
  <c r="A66" i="5" a="1"/>
  <c r="A66" i="5" s="1"/>
  <c r="O794" i="3" a="1"/>
  <c r="O794" i="3" s="1"/>
  <c r="R785" i="3" a="1"/>
  <c r="R785" i="3" s="1"/>
  <c r="R750" i="3" a="1"/>
  <c r="R750" i="3" s="1"/>
  <c r="O748" i="3" a="1"/>
  <c r="O748" i="3" s="1"/>
  <c r="R742" i="3" a="1"/>
  <c r="R742" i="3" s="1"/>
  <c r="O740" i="3" a="1"/>
  <c r="O740" i="3" s="1"/>
  <c r="R734" i="3" a="1"/>
  <c r="R734" i="3" s="1"/>
  <c r="J733" i="3" a="1"/>
  <c r="J733" i="3" s="1"/>
  <c r="R732" i="3" a="1"/>
  <c r="R732" i="3" s="1"/>
  <c r="J694" i="3" a="1"/>
  <c r="J694" i="3" s="1"/>
  <c r="J689" i="3" a="1"/>
  <c r="J689" i="3" s="1"/>
  <c r="V681" i="3" a="1"/>
  <c r="V681" i="3" s="1"/>
  <c r="V679" i="3" a="1"/>
  <c r="V679" i="3" s="1"/>
  <c r="V677" i="3" a="1"/>
  <c r="V677" i="3" s="1"/>
  <c r="V675" i="3" a="1"/>
  <c r="V675" i="3" s="1"/>
  <c r="V673" i="3" a="1"/>
  <c r="V673" i="3" s="1"/>
  <c r="V671" i="3" a="1"/>
  <c r="V671" i="3" s="1"/>
  <c r="V669" i="3" a="1"/>
  <c r="V669" i="3" s="1"/>
  <c r="V667" i="3" a="1"/>
  <c r="V667" i="3" s="1"/>
  <c r="V665" i="3" a="1"/>
  <c r="V665" i="3" s="1"/>
  <c r="V663" i="3" a="1"/>
  <c r="V663" i="3" s="1"/>
  <c r="V661" i="3" a="1"/>
  <c r="V661" i="3" s="1"/>
  <c r="V659" i="3" a="1"/>
  <c r="V659" i="3" s="1"/>
  <c r="O656" i="3" a="1"/>
  <c r="O656" i="3" s="1"/>
  <c r="K647" i="3" a="1"/>
  <c r="K647" i="3" s="1"/>
  <c r="M647" i="3" s="1"/>
  <c r="J644" i="3" a="1"/>
  <c r="J644" i="3" s="1"/>
  <c r="R637" i="3" a="1"/>
  <c r="R637" i="3" s="1"/>
  <c r="K636" i="3" a="1"/>
  <c r="K636" i="3" s="1"/>
  <c r="M636" i="3" s="1"/>
  <c r="O596" i="3" a="1"/>
  <c r="O596" i="3" s="1"/>
  <c r="V592" i="3" a="1"/>
  <c r="V592" i="3" s="1"/>
  <c r="O588" i="3" a="1"/>
  <c r="O588" i="3" s="1"/>
  <c r="V584" i="3" a="1"/>
  <c r="V584" i="3" s="1"/>
  <c r="R582" i="3" a="1"/>
  <c r="R582" i="3" s="1"/>
  <c r="O580" i="3" a="1"/>
  <c r="O580" i="3" s="1"/>
  <c r="V576" i="3" a="1"/>
  <c r="V576" i="3" s="1"/>
  <c r="R574" i="3" a="1"/>
  <c r="R574" i="3" s="1"/>
  <c r="O572" i="3" a="1"/>
  <c r="O572" i="3" s="1"/>
  <c r="V568" i="3" a="1"/>
  <c r="V568" i="3" s="1"/>
  <c r="R566" i="3" a="1"/>
  <c r="R566" i="3" s="1"/>
  <c r="O564" i="3" a="1"/>
  <c r="O564" i="3" s="1"/>
  <c r="J561" i="3" a="1"/>
  <c r="J561" i="3" s="1"/>
  <c r="J560" i="3" a="1"/>
  <c r="J560" i="3" s="1"/>
  <c r="J559" i="3" a="1"/>
  <c r="J559" i="3" s="1"/>
  <c r="J558" i="3" a="1"/>
  <c r="J558" i="3" s="1"/>
  <c r="J557" i="3" a="1"/>
  <c r="J557" i="3" s="1"/>
  <c r="J556" i="3" a="1"/>
  <c r="J556" i="3" s="1"/>
  <c r="J555" i="3" a="1"/>
  <c r="J555" i="3" s="1"/>
  <c r="J554" i="3" a="1"/>
  <c r="J554" i="3" s="1"/>
  <c r="J553" i="3" a="1"/>
  <c r="J553" i="3" s="1"/>
  <c r="J552" i="3" a="1"/>
  <c r="J552" i="3" s="1"/>
  <c r="J551" i="3" a="1"/>
  <c r="J551" i="3" s="1"/>
  <c r="J550" i="3" a="1"/>
  <c r="J550" i="3" s="1"/>
  <c r="J549" i="3" a="1"/>
  <c r="J549" i="3" s="1"/>
  <c r="J548" i="3" a="1"/>
  <c r="J548" i="3" s="1"/>
  <c r="J547" i="3" a="1"/>
  <c r="J547" i="3" s="1"/>
  <c r="J546" i="3" a="1"/>
  <c r="J546" i="3" s="1"/>
  <c r="J545" i="3" a="1"/>
  <c r="J545" i="3" s="1"/>
  <c r="J544" i="3" a="1"/>
  <c r="J544" i="3" s="1"/>
  <c r="J543" i="3" a="1"/>
  <c r="J543" i="3" s="1"/>
  <c r="J542" i="3" a="1"/>
  <c r="J542" i="3" s="1"/>
  <c r="J541" i="3" a="1"/>
  <c r="J541" i="3" s="1"/>
  <c r="J540" i="3" a="1"/>
  <c r="J540" i="3" s="1"/>
  <c r="J539" i="3" a="1"/>
  <c r="J539" i="3" s="1"/>
  <c r="J538" i="3" a="1"/>
  <c r="J538" i="3" s="1"/>
  <c r="J537" i="3" a="1"/>
  <c r="J537" i="3" s="1"/>
  <c r="J536" i="3" a="1"/>
  <c r="J536" i="3" s="1"/>
  <c r="J535" i="3" a="1"/>
  <c r="J535" i="3" s="1"/>
  <c r="J534" i="3" a="1"/>
  <c r="J534" i="3" s="1"/>
  <c r="J533" i="3" a="1"/>
  <c r="J533" i="3" s="1"/>
  <c r="J532" i="3" a="1"/>
  <c r="J532" i="3" s="1"/>
  <c r="J531" i="3" a="1"/>
  <c r="J531" i="3" s="1"/>
  <c r="J530" i="3" a="1"/>
  <c r="J530" i="3" s="1"/>
  <c r="J529" i="3" a="1"/>
  <c r="J529" i="3" s="1"/>
  <c r="J528" i="3" a="1"/>
  <c r="J528" i="3" s="1"/>
  <c r="J527" i="3" a="1"/>
  <c r="J527" i="3" s="1"/>
  <c r="J526" i="3" a="1"/>
  <c r="J526" i="3" s="1"/>
  <c r="J525" i="3" a="1"/>
  <c r="J525" i="3" s="1"/>
  <c r="J524" i="3" a="1"/>
  <c r="J524" i="3" s="1"/>
  <c r="J523" i="3" a="1"/>
  <c r="J523" i="3" s="1"/>
  <c r="J522" i="3" a="1"/>
  <c r="J522" i="3" s="1"/>
  <c r="J521" i="3" a="1"/>
  <c r="J521" i="3" s="1"/>
  <c r="J520" i="3" a="1"/>
  <c r="J520" i="3" s="1"/>
  <c r="J519" i="3" a="1"/>
  <c r="J519" i="3" s="1"/>
  <c r="J518" i="3" a="1"/>
  <c r="J518" i="3" s="1"/>
  <c r="J517" i="3" a="1"/>
  <c r="J517" i="3" s="1"/>
  <c r="J516" i="3" a="1"/>
  <c r="J516" i="3" s="1"/>
  <c r="J515" i="3" a="1"/>
  <c r="J515" i="3" s="1"/>
  <c r="J514" i="3" a="1"/>
  <c r="J514" i="3" s="1"/>
  <c r="J513" i="3" a="1"/>
  <c r="J513" i="3" s="1"/>
  <c r="J512" i="3" a="1"/>
  <c r="J512" i="3" s="1"/>
  <c r="J511" i="3" a="1"/>
  <c r="J511" i="3" s="1"/>
  <c r="J510" i="3" a="1"/>
  <c r="J510" i="3" s="1"/>
  <c r="J509" i="3" a="1"/>
  <c r="J509" i="3" s="1"/>
  <c r="J508" i="3" a="1"/>
  <c r="J508" i="3" s="1"/>
  <c r="J507" i="3" a="1"/>
  <c r="J507" i="3" s="1"/>
  <c r="J506" i="3" a="1"/>
  <c r="J506" i="3" s="1"/>
  <c r="J505" i="3" a="1"/>
  <c r="J505" i="3" s="1"/>
  <c r="J504" i="3" a="1"/>
  <c r="J504" i="3" s="1"/>
  <c r="J503" i="3" a="1"/>
  <c r="J503" i="3" s="1"/>
  <c r="J502" i="3" a="1"/>
  <c r="J502" i="3" s="1"/>
  <c r="J501" i="3" a="1"/>
  <c r="J501" i="3" s="1"/>
  <c r="J500" i="3" a="1"/>
  <c r="J500" i="3" s="1"/>
  <c r="J499" i="3" a="1"/>
  <c r="J499" i="3" s="1"/>
  <c r="J498" i="3" a="1"/>
  <c r="J498" i="3" s="1"/>
  <c r="J497" i="3" a="1"/>
  <c r="J497" i="3" s="1"/>
  <c r="J496" i="3" a="1"/>
  <c r="J496" i="3" s="1"/>
  <c r="J495" i="3" a="1"/>
  <c r="J495" i="3" s="1"/>
  <c r="V481" i="3" a="1"/>
  <c r="V481" i="3" s="1"/>
  <c r="V480" i="3" a="1"/>
  <c r="V480" i="3" s="1"/>
  <c r="V479" i="3" a="1"/>
  <c r="V479" i="3" s="1"/>
  <c r="V478" i="3" a="1"/>
  <c r="V478" i="3" s="1"/>
  <c r="V477" i="3" a="1"/>
  <c r="V477" i="3" s="1"/>
  <c r="V476" i="3" a="1"/>
  <c r="V476" i="3" s="1"/>
  <c r="V475" i="3" a="1"/>
  <c r="V475" i="3" s="1"/>
  <c r="V474" i="3" a="1"/>
  <c r="V474" i="3" s="1"/>
  <c r="V473" i="3" a="1"/>
  <c r="V473" i="3" s="1"/>
  <c r="V472" i="3" a="1"/>
  <c r="V472" i="3" s="1"/>
  <c r="V471" i="3" a="1"/>
  <c r="V471" i="3" s="1"/>
  <c r="V470" i="3" a="1"/>
  <c r="V470" i="3" s="1"/>
  <c r="V469" i="3" a="1"/>
  <c r="V469" i="3" s="1"/>
  <c r="V468" i="3" a="1"/>
  <c r="V468" i="3" s="1"/>
  <c r="V467" i="3" a="1"/>
  <c r="V467" i="3" s="1"/>
  <c r="V466" i="3" a="1"/>
  <c r="V466" i="3" s="1"/>
  <c r="V465" i="3" a="1"/>
  <c r="V465" i="3" s="1"/>
  <c r="V464" i="3" a="1"/>
  <c r="V464" i="3" s="1"/>
  <c r="V463" i="3" a="1"/>
  <c r="V463" i="3" s="1"/>
  <c r="V462" i="3" a="1"/>
  <c r="V462" i="3" s="1"/>
  <c r="V461" i="3" a="1"/>
  <c r="V461" i="3" s="1"/>
  <c r="V460" i="3" a="1"/>
  <c r="V460" i="3" s="1"/>
  <c r="V459" i="3" a="1"/>
  <c r="V459" i="3" s="1"/>
  <c r="V359" i="3" a="1"/>
  <c r="V359" i="3" s="1"/>
  <c r="V358" i="3" a="1"/>
  <c r="V358" i="3" s="1"/>
  <c r="V357" i="3" a="1"/>
  <c r="V357" i="3" s="1"/>
  <c r="V356" i="3" a="1"/>
  <c r="V356" i="3" s="1"/>
  <c r="V355" i="3" a="1"/>
  <c r="V355" i="3" s="1"/>
  <c r="V354" i="3" a="1"/>
  <c r="V354" i="3" s="1"/>
  <c r="R328" i="3" a="1"/>
  <c r="R328" i="3" s="1"/>
  <c r="R321" i="3" a="1"/>
  <c r="R321" i="3" s="1"/>
  <c r="R320" i="3" a="1"/>
  <c r="R320" i="3" s="1"/>
  <c r="R319" i="3" a="1"/>
  <c r="R319" i="3" s="1"/>
  <c r="R318" i="3" a="1"/>
  <c r="R318" i="3" s="1"/>
  <c r="R317" i="3" a="1"/>
  <c r="R317" i="3" s="1"/>
  <c r="R316" i="3" a="1"/>
  <c r="R316" i="3" s="1"/>
  <c r="R315" i="3" a="1"/>
  <c r="R315" i="3" s="1"/>
  <c r="R314" i="3" a="1"/>
  <c r="R314" i="3" s="1"/>
  <c r="R313" i="3" a="1"/>
  <c r="R313" i="3" s="1"/>
  <c r="R312" i="3" a="1"/>
  <c r="R312" i="3" s="1"/>
  <c r="R310" i="3" a="1"/>
  <c r="R310" i="3" s="1"/>
  <c r="R309" i="3" a="1"/>
  <c r="R309" i="3" s="1"/>
  <c r="J779" i="3" a="1"/>
  <c r="J779" i="3" s="1"/>
  <c r="K775" i="3" a="1"/>
  <c r="K775" i="3" s="1"/>
  <c r="M775" i="3" s="1"/>
  <c r="K771" i="3" a="1"/>
  <c r="K771" i="3" s="1"/>
  <c r="M771" i="3" s="1"/>
  <c r="K767" i="3" a="1"/>
  <c r="K767" i="3" s="1"/>
  <c r="M767" i="3" s="1"/>
  <c r="K763" i="3" a="1"/>
  <c r="K763" i="3" s="1"/>
  <c r="M763" i="3" s="1"/>
  <c r="K759" i="3" a="1"/>
  <c r="K759" i="3" s="1"/>
  <c r="M759" i="3" s="1"/>
  <c r="K755" i="3" a="1"/>
  <c r="K755" i="3" s="1"/>
  <c r="M755" i="3" s="1"/>
  <c r="K751" i="3" a="1"/>
  <c r="K751" i="3" s="1"/>
  <c r="M751" i="3" s="1"/>
  <c r="J746" i="3" a="1"/>
  <c r="J746" i="3" s="1"/>
  <c r="K743" i="3" a="1"/>
  <c r="K743" i="3" s="1"/>
  <c r="M743" i="3" s="1"/>
  <c r="J738" i="3" a="1"/>
  <c r="J738" i="3" s="1"/>
  <c r="K735" i="3" a="1"/>
  <c r="K735" i="3" s="1"/>
  <c r="M735" i="3" s="1"/>
  <c r="K731" i="3" a="1"/>
  <c r="K731" i="3" s="1"/>
  <c r="M731" i="3" s="1"/>
  <c r="J725" i="3" a="1"/>
  <c r="J725" i="3" s="1"/>
  <c r="K723" i="3" a="1"/>
  <c r="K723" i="3" s="1"/>
  <c r="M723" i="3" s="1"/>
  <c r="O692" i="3" a="1"/>
  <c r="O692" i="3" s="1"/>
  <c r="J680" i="3" a="1"/>
  <c r="J680" i="3" s="1"/>
  <c r="J678" i="3" a="1"/>
  <c r="J678" i="3" s="1"/>
  <c r="J676" i="3" a="1"/>
  <c r="J676" i="3" s="1"/>
  <c r="J674" i="3" a="1"/>
  <c r="J674" i="3" s="1"/>
  <c r="J672" i="3" a="1"/>
  <c r="J672" i="3" s="1"/>
  <c r="J670" i="3" a="1"/>
  <c r="J670" i="3" s="1"/>
  <c r="J668" i="3" a="1"/>
  <c r="J668" i="3" s="1"/>
  <c r="J666" i="3" a="1"/>
  <c r="J666" i="3" s="1"/>
  <c r="J664" i="3" a="1"/>
  <c r="J664" i="3" s="1"/>
  <c r="J662" i="3" a="1"/>
  <c r="J662" i="3" s="1"/>
  <c r="J660" i="3" a="1"/>
  <c r="J660" i="3" s="1"/>
  <c r="J658" i="3" a="1"/>
  <c r="J658" i="3" s="1"/>
  <c r="V657" i="3" a="1"/>
  <c r="V657" i="3" s="1"/>
  <c r="K653" i="3" a="1"/>
  <c r="K653" i="3" s="1"/>
  <c r="M653" i="3" s="1"/>
  <c r="R651" i="3" a="1"/>
  <c r="R651" i="3" s="1"/>
  <c r="V649" i="3" a="1"/>
  <c r="V649" i="3" s="1"/>
  <c r="O645" i="3" a="1"/>
  <c r="O645" i="3" s="1"/>
  <c r="R640" i="3" a="1"/>
  <c r="R640" i="3" s="1"/>
  <c r="V635" i="3" a="1"/>
  <c r="V635" i="3" s="1"/>
  <c r="V631" i="3" a="1"/>
  <c r="V631" i="3" s="1"/>
  <c r="R629" i="3" a="1"/>
  <c r="R629" i="3" s="1"/>
  <c r="O627" i="3" a="1"/>
  <c r="O627" i="3" s="1"/>
  <c r="J625" i="3" a="1"/>
  <c r="J625" i="3" s="1"/>
  <c r="V623" i="3" a="1"/>
  <c r="V623" i="3" s="1"/>
  <c r="R621" i="3" a="1"/>
  <c r="R621" i="3" s="1"/>
  <c r="O619" i="3" a="1"/>
  <c r="O619" i="3" s="1"/>
  <c r="J617" i="3" a="1"/>
  <c r="J617" i="3" s="1"/>
  <c r="V615" i="3" a="1"/>
  <c r="V615" i="3" s="1"/>
  <c r="K608" i="3" a="1"/>
  <c r="K608" i="3" s="1"/>
  <c r="M608" i="3" s="1"/>
  <c r="J606" i="3" a="1"/>
  <c r="J606" i="3" s="1"/>
  <c r="K595" i="3" a="1"/>
  <c r="K595" i="3" s="1"/>
  <c r="M595" i="3" s="1"/>
  <c r="J594" i="3" a="1"/>
  <c r="J594" i="3" s="1"/>
  <c r="K587" i="3" a="1"/>
  <c r="K587" i="3" s="1"/>
  <c r="M587" i="3" s="1"/>
  <c r="J586" i="3" a="1"/>
  <c r="J586" i="3" s="1"/>
  <c r="K579" i="3" a="1"/>
  <c r="K579" i="3" s="1"/>
  <c r="M579" i="3" s="1"/>
  <c r="J578" i="3" a="1"/>
  <c r="J578" i="3" s="1"/>
  <c r="K571" i="3" a="1"/>
  <c r="K571" i="3" s="1"/>
  <c r="M571" i="3" s="1"/>
  <c r="J570" i="3" a="1"/>
  <c r="J570" i="3" s="1"/>
  <c r="K563" i="3" a="1"/>
  <c r="K563" i="3" s="1"/>
  <c r="M563" i="3" s="1"/>
  <c r="J562" i="3" a="1"/>
  <c r="J562" i="3" s="1"/>
  <c r="R790" i="3" a="1"/>
  <c r="R790" i="3" s="1"/>
  <c r="O778" i="3" a="1"/>
  <c r="O778" i="3" s="1"/>
  <c r="O774" i="3" a="1"/>
  <c r="O774" i="3" s="1"/>
  <c r="O770" i="3" a="1"/>
  <c r="O770" i="3" s="1"/>
  <c r="O766" i="3" a="1"/>
  <c r="O766" i="3" s="1"/>
  <c r="O762" i="3" a="1"/>
  <c r="O762" i="3" s="1"/>
  <c r="O758" i="3" a="1"/>
  <c r="O758" i="3" s="1"/>
  <c r="O754" i="3" a="1"/>
  <c r="O754" i="3" s="1"/>
  <c r="R747" i="3" a="1"/>
  <c r="R747" i="3" s="1"/>
  <c r="O745" i="3" a="1"/>
  <c r="O745" i="3" s="1"/>
  <c r="R739" i="3" a="1"/>
  <c r="R739" i="3" s="1"/>
  <c r="O737" i="3" a="1"/>
  <c r="O737" i="3" s="1"/>
  <c r="O719" i="3" a="1"/>
  <c r="O719" i="3" s="1"/>
  <c r="O717" i="3" a="1"/>
  <c r="O717" i="3" s="1"/>
  <c r="O715" i="3" a="1"/>
  <c r="O715" i="3" s="1"/>
  <c r="O713" i="3" a="1"/>
  <c r="O713" i="3" s="1"/>
  <c r="O711" i="3" a="1"/>
  <c r="O711" i="3" s="1"/>
  <c r="O709" i="3" a="1"/>
  <c r="O709" i="3" s="1"/>
  <c r="O707" i="3" a="1"/>
  <c r="O707" i="3" s="1"/>
  <c r="O705" i="3" a="1"/>
  <c r="O705" i="3" s="1"/>
  <c r="O703" i="3" a="1"/>
  <c r="O703" i="3" s="1"/>
  <c r="O701" i="3" a="1"/>
  <c r="O701" i="3" s="1"/>
  <c r="O699" i="3" a="1"/>
  <c r="O699" i="3" s="1"/>
  <c r="O697" i="3" a="1"/>
  <c r="O697" i="3" s="1"/>
  <c r="R693" i="3" a="1"/>
  <c r="R693" i="3" s="1"/>
  <c r="K687" i="3" a="1"/>
  <c r="K687" i="3" s="1"/>
  <c r="M687" i="3" s="1"/>
  <c r="J650" i="3" a="1"/>
  <c r="J650" i="3" s="1"/>
  <c r="J647" i="3" a="1"/>
  <c r="J647" i="3" s="1"/>
  <c r="K639" i="3" a="1"/>
  <c r="K639" i="3" s="1"/>
  <c r="M639" i="3" s="1"/>
  <c r="J636" i="3" a="1"/>
  <c r="J636" i="3" s="1"/>
  <c r="J633" i="3" a="1"/>
  <c r="J633" i="3" s="1"/>
  <c r="V603" i="3" a="1"/>
  <c r="V603" i="3" s="1"/>
  <c r="R600" i="3" a="1"/>
  <c r="R600" i="3" s="1"/>
  <c r="O597" i="3" a="1"/>
  <c r="O597" i="3" s="1"/>
  <c r="V593" i="3" a="1"/>
  <c r="V593" i="3" s="1"/>
  <c r="O589" i="3" a="1"/>
  <c r="O589" i="3" s="1"/>
  <c r="V585" i="3" a="1"/>
  <c r="V585" i="3" s="1"/>
  <c r="R583" i="3" a="1"/>
  <c r="R583" i="3" s="1"/>
  <c r="O581" i="3" a="1"/>
  <c r="O581" i="3" s="1"/>
  <c r="V577" i="3" a="1"/>
  <c r="V577" i="3" s="1"/>
  <c r="R575" i="3" a="1"/>
  <c r="R575" i="3" s="1"/>
  <c r="O573" i="3" a="1"/>
  <c r="O573" i="3" s="1"/>
  <c r="V569" i="3" a="1"/>
  <c r="V569" i="3" s="1"/>
  <c r="R567" i="3" a="1"/>
  <c r="R567" i="3" s="1"/>
  <c r="O565" i="3" a="1"/>
  <c r="O565" i="3" s="1"/>
  <c r="K794" i="3" a="1"/>
  <c r="K794" i="3" s="1"/>
  <c r="M794" i="3" s="1"/>
  <c r="J785" i="3" a="1"/>
  <c r="J785" i="3" s="1"/>
  <c r="J775" i="3" a="1"/>
  <c r="J775" i="3" s="1"/>
  <c r="J771" i="3" a="1"/>
  <c r="J771" i="3" s="1"/>
  <c r="J767" i="3" a="1"/>
  <c r="J767" i="3" s="1"/>
  <c r="J763" i="3" a="1"/>
  <c r="J763" i="3" s="1"/>
  <c r="J759" i="3" a="1"/>
  <c r="J759" i="3" s="1"/>
  <c r="J755" i="3" a="1"/>
  <c r="J755" i="3" s="1"/>
  <c r="J751" i="3" a="1"/>
  <c r="J751" i="3" s="1"/>
  <c r="K748" i="3" a="1"/>
  <c r="K748" i="3" s="1"/>
  <c r="M748" i="3" s="1"/>
  <c r="J743" i="3" a="1"/>
  <c r="J743" i="3" s="1"/>
  <c r="K740" i="3" a="1"/>
  <c r="K740" i="3" s="1"/>
  <c r="M740" i="3" s="1"/>
  <c r="J735" i="3" a="1"/>
  <c r="J735" i="3" s="1"/>
  <c r="J723" i="3" a="1"/>
  <c r="J723" i="3" s="1"/>
  <c r="K656" i="3" a="1"/>
  <c r="K656" i="3" s="1"/>
  <c r="M656" i="3" s="1"/>
  <c r="J653" i="3" a="1"/>
  <c r="J653" i="3" s="1"/>
  <c r="V652" i="3" a="1"/>
  <c r="V652" i="3" s="1"/>
  <c r="O648" i="3" a="1"/>
  <c r="O648" i="3" s="1"/>
  <c r="R646" i="3" a="1"/>
  <c r="R646" i="3" s="1"/>
  <c r="R643" i="3" a="1"/>
  <c r="R643" i="3" s="1"/>
  <c r="V641" i="3" a="1"/>
  <c r="V641" i="3" s="1"/>
  <c r="O637" i="3" a="1"/>
  <c r="O637" i="3" s="1"/>
  <c r="V632" i="3" a="1"/>
  <c r="V632" i="3" s="1"/>
  <c r="O628" i="3" a="1"/>
  <c r="O628" i="3" s="1"/>
  <c r="J626" i="3" a="1"/>
  <c r="J626" i="3" s="1"/>
  <c r="V624" i="3" a="1"/>
  <c r="V624" i="3" s="1"/>
  <c r="R622" i="3" a="1"/>
  <c r="R622" i="3" s="1"/>
  <c r="O620" i="3" a="1"/>
  <c r="O620" i="3" s="1"/>
  <c r="J618" i="3" a="1"/>
  <c r="J618" i="3" s="1"/>
  <c r="V616" i="3" a="1"/>
  <c r="V616" i="3" s="1"/>
  <c r="R614" i="3" a="1"/>
  <c r="R614" i="3" s="1"/>
  <c r="J608" i="3" a="1"/>
  <c r="J608" i="3" s="1"/>
  <c r="K596" i="3" a="1"/>
  <c r="K596" i="3" s="1"/>
  <c r="M596" i="3" s="1"/>
  <c r="J595" i="3" a="1"/>
  <c r="J595" i="3" s="1"/>
  <c r="K588" i="3" a="1"/>
  <c r="K588" i="3" s="1"/>
  <c r="M588" i="3" s="1"/>
  <c r="J587" i="3" a="1"/>
  <c r="J587" i="3" s="1"/>
  <c r="K580" i="3" a="1"/>
  <c r="K580" i="3" s="1"/>
  <c r="M580" i="3" s="1"/>
  <c r="J579" i="3" a="1"/>
  <c r="J579" i="3" s="1"/>
  <c r="K572" i="3" a="1"/>
  <c r="K572" i="3" s="1"/>
  <c r="M572" i="3" s="1"/>
  <c r="J571" i="3" a="1"/>
  <c r="J571" i="3" s="1"/>
  <c r="K564" i="3" a="1"/>
  <c r="K564" i="3" s="1"/>
  <c r="M564" i="3" s="1"/>
  <c r="J563" i="3" a="1"/>
  <c r="J563" i="3" s="1"/>
  <c r="V561" i="3" a="1"/>
  <c r="V561" i="3" s="1"/>
  <c r="V560" i="3" a="1"/>
  <c r="V560" i="3" s="1"/>
  <c r="V559" i="3" a="1"/>
  <c r="V559" i="3" s="1"/>
  <c r="V558" i="3" a="1"/>
  <c r="V558" i="3" s="1"/>
  <c r="V557" i="3" a="1"/>
  <c r="V557" i="3" s="1"/>
  <c r="V556" i="3" a="1"/>
  <c r="V556" i="3" s="1"/>
  <c r="V555" i="3" a="1"/>
  <c r="V555" i="3" s="1"/>
  <c r="V554" i="3" a="1"/>
  <c r="V554" i="3" s="1"/>
  <c r="V553" i="3" a="1"/>
  <c r="V553" i="3" s="1"/>
  <c r="V552" i="3" a="1"/>
  <c r="V552" i="3" s="1"/>
  <c r="V551" i="3" a="1"/>
  <c r="V551" i="3" s="1"/>
  <c r="V550" i="3" a="1"/>
  <c r="V550" i="3" s="1"/>
  <c r="V549" i="3" a="1"/>
  <c r="V549" i="3" s="1"/>
  <c r="V548" i="3" a="1"/>
  <c r="V548" i="3" s="1"/>
  <c r="V547" i="3" a="1"/>
  <c r="V547" i="3" s="1"/>
  <c r="V546" i="3" a="1"/>
  <c r="V546" i="3" s="1"/>
  <c r="V545" i="3" a="1"/>
  <c r="V545" i="3" s="1"/>
  <c r="V544" i="3" a="1"/>
  <c r="V544" i="3" s="1"/>
  <c r="V543" i="3" a="1"/>
  <c r="V543" i="3" s="1"/>
  <c r="V542" i="3" a="1"/>
  <c r="V542" i="3" s="1"/>
  <c r="V541" i="3" a="1"/>
  <c r="V541" i="3" s="1"/>
  <c r="V540" i="3" a="1"/>
  <c r="V540" i="3" s="1"/>
  <c r="V539" i="3" a="1"/>
  <c r="V539" i="3" s="1"/>
  <c r="V538" i="3" a="1"/>
  <c r="V538" i="3" s="1"/>
  <c r="V537" i="3" a="1"/>
  <c r="V537" i="3" s="1"/>
  <c r="V536" i="3" a="1"/>
  <c r="V536" i="3" s="1"/>
  <c r="V535" i="3" a="1"/>
  <c r="V535" i="3" s="1"/>
  <c r="V534" i="3" a="1"/>
  <c r="V534" i="3" s="1"/>
  <c r="V533" i="3" a="1"/>
  <c r="V533" i="3" s="1"/>
  <c r="V532" i="3" a="1"/>
  <c r="V532" i="3" s="1"/>
  <c r="V531" i="3" a="1"/>
  <c r="V531" i="3" s="1"/>
  <c r="V530" i="3" a="1"/>
  <c r="V530" i="3" s="1"/>
  <c r="V529" i="3" a="1"/>
  <c r="V529" i="3" s="1"/>
  <c r="V528" i="3" a="1"/>
  <c r="V528" i="3" s="1"/>
  <c r="V527" i="3" a="1"/>
  <c r="V527" i="3" s="1"/>
  <c r="V526" i="3" a="1"/>
  <c r="V526" i="3" s="1"/>
  <c r="V525" i="3" a="1"/>
  <c r="V525" i="3" s="1"/>
  <c r="V524" i="3" a="1"/>
  <c r="V524" i="3" s="1"/>
  <c r="V523" i="3" a="1"/>
  <c r="V523" i="3" s="1"/>
  <c r="V522" i="3" a="1"/>
  <c r="V522" i="3" s="1"/>
  <c r="V521" i="3" a="1"/>
  <c r="V521" i="3" s="1"/>
  <c r="V520" i="3" a="1"/>
  <c r="V520" i="3" s="1"/>
  <c r="V519" i="3" a="1"/>
  <c r="V519" i="3" s="1"/>
  <c r="V518" i="3" a="1"/>
  <c r="V518" i="3" s="1"/>
  <c r="V517" i="3" a="1"/>
  <c r="V517" i="3" s="1"/>
  <c r="V516" i="3" a="1"/>
  <c r="V516" i="3" s="1"/>
  <c r="V515" i="3" a="1"/>
  <c r="V515" i="3" s="1"/>
  <c r="V514" i="3" a="1"/>
  <c r="V514" i="3" s="1"/>
  <c r="V513" i="3" a="1"/>
  <c r="V513" i="3" s="1"/>
  <c r="V512" i="3" a="1"/>
  <c r="V512" i="3" s="1"/>
  <c r="V511" i="3" a="1"/>
  <c r="V511" i="3" s="1"/>
  <c r="V510" i="3" a="1"/>
  <c r="V510" i="3" s="1"/>
  <c r="V509" i="3" a="1"/>
  <c r="V509" i="3" s="1"/>
  <c r="V508" i="3" a="1"/>
  <c r="V508" i="3" s="1"/>
  <c r="V507" i="3" a="1"/>
  <c r="V507" i="3" s="1"/>
  <c r="V506" i="3" a="1"/>
  <c r="V506" i="3" s="1"/>
  <c r="V505" i="3" a="1"/>
  <c r="V505" i="3" s="1"/>
  <c r="V504" i="3" a="1"/>
  <c r="V504" i="3" s="1"/>
  <c r="V503" i="3" a="1"/>
  <c r="V503" i="3" s="1"/>
  <c r="V502" i="3" a="1"/>
  <c r="V502" i="3" s="1"/>
  <c r="V501" i="3" a="1"/>
  <c r="V501" i="3" s="1"/>
  <c r="V500" i="3" a="1"/>
  <c r="V500" i="3" s="1"/>
  <c r="C4" i="6"/>
  <c r="O793" i="3" a="1"/>
  <c r="O793" i="3" s="1"/>
  <c r="V792" i="3" a="1"/>
  <c r="V792" i="3" s="1"/>
  <c r="O750" i="3" a="1"/>
  <c r="O750" i="3" s="1"/>
  <c r="R744" i="3" a="1"/>
  <c r="R744" i="3" s="1"/>
  <c r="O742" i="3" a="1"/>
  <c r="O742" i="3" s="1"/>
  <c r="R736" i="3" a="1"/>
  <c r="R736" i="3" s="1"/>
  <c r="O734" i="3" a="1"/>
  <c r="O734" i="3" s="1"/>
  <c r="O732" i="3" a="1"/>
  <c r="O732" i="3" s="1"/>
  <c r="K692" i="3" a="1"/>
  <c r="K692" i="3" s="1"/>
  <c r="M692" i="3" s="1"/>
  <c r="O681" i="3" a="1"/>
  <c r="O681" i="3" s="1"/>
  <c r="O679" i="3" a="1"/>
  <c r="O679" i="3" s="1"/>
  <c r="O677" i="3" a="1"/>
  <c r="O677" i="3" s="1"/>
  <c r="O675" i="3" a="1"/>
  <c r="O675" i="3" s="1"/>
  <c r="O673" i="3" a="1"/>
  <c r="O673" i="3" s="1"/>
  <c r="O671" i="3" a="1"/>
  <c r="O671" i="3" s="1"/>
  <c r="O669" i="3" a="1"/>
  <c r="O669" i="3" s="1"/>
  <c r="O667" i="3" a="1"/>
  <c r="O667" i="3" s="1"/>
  <c r="O665" i="3" a="1"/>
  <c r="O665" i="3" s="1"/>
  <c r="O663" i="3" a="1"/>
  <c r="O663" i="3" s="1"/>
  <c r="O661" i="3" a="1"/>
  <c r="O661" i="3" s="1"/>
  <c r="O659" i="3" a="1"/>
  <c r="O659" i="3" s="1"/>
  <c r="B4" i="6"/>
  <c r="D4" i="6" s="1"/>
  <c r="E4" i="6" s="1"/>
  <c r="K778" i="3" a="1"/>
  <c r="K778" i="3" s="1"/>
  <c r="M778" i="3" s="1"/>
  <c r="K774" i="3" a="1"/>
  <c r="K774" i="3" s="1"/>
  <c r="M774" i="3" s="1"/>
  <c r="K770" i="3" a="1"/>
  <c r="K770" i="3" s="1"/>
  <c r="M770" i="3" s="1"/>
  <c r="K766" i="3" a="1"/>
  <c r="K766" i="3" s="1"/>
  <c r="M766" i="3" s="1"/>
  <c r="K762" i="3" a="1"/>
  <c r="K762" i="3" s="1"/>
  <c r="M762" i="3" s="1"/>
  <c r="K758" i="3" a="1"/>
  <c r="K758" i="3" s="1"/>
  <c r="M758" i="3" s="1"/>
  <c r="K754" i="3" a="1"/>
  <c r="K754" i="3" s="1"/>
  <c r="M754" i="3" s="1"/>
  <c r="J748" i="3" a="1"/>
  <c r="J748" i="3" s="1"/>
  <c r="K745" i="3" a="1"/>
  <c r="K745" i="3" s="1"/>
  <c r="M745" i="3" s="1"/>
  <c r="J740" i="3" a="1"/>
  <c r="J740" i="3" s="1"/>
  <c r="K737" i="3" a="1"/>
  <c r="K737" i="3" s="1"/>
  <c r="M737" i="3" s="1"/>
  <c r="K719" i="3" a="1"/>
  <c r="K719" i="3" s="1"/>
  <c r="M719" i="3" s="1"/>
  <c r="K717" i="3" a="1"/>
  <c r="K717" i="3" s="1"/>
  <c r="M717" i="3" s="1"/>
  <c r="K715" i="3" a="1"/>
  <c r="K715" i="3" s="1"/>
  <c r="M715" i="3" s="1"/>
  <c r="K713" i="3" a="1"/>
  <c r="K713" i="3" s="1"/>
  <c r="M713" i="3" s="1"/>
  <c r="K711" i="3" a="1"/>
  <c r="K711" i="3" s="1"/>
  <c r="M711" i="3" s="1"/>
  <c r="K709" i="3" a="1"/>
  <c r="K709" i="3" s="1"/>
  <c r="M709" i="3" s="1"/>
  <c r="K707" i="3" a="1"/>
  <c r="K707" i="3" s="1"/>
  <c r="M707" i="3" s="1"/>
  <c r="K705" i="3" a="1"/>
  <c r="K705" i="3" s="1"/>
  <c r="M705" i="3" s="1"/>
  <c r="K703" i="3" a="1"/>
  <c r="K703" i="3" s="1"/>
  <c r="M703" i="3" s="1"/>
  <c r="K701" i="3" a="1"/>
  <c r="K701" i="3" s="1"/>
  <c r="M701" i="3" s="1"/>
  <c r="K699" i="3" a="1"/>
  <c r="K699" i="3" s="1"/>
  <c r="M699" i="3" s="1"/>
  <c r="K697" i="3" a="1"/>
  <c r="K697" i="3" s="1"/>
  <c r="M697" i="3" s="1"/>
  <c r="J656" i="3" a="1"/>
  <c r="J656" i="3" s="1"/>
  <c r="V655" i="3" a="1"/>
  <c r="V655" i="3" s="1"/>
  <c r="R649" i="3" a="1"/>
  <c r="R649" i="3" s="1"/>
  <c r="V644" i="3" a="1"/>
  <c r="V644" i="3" s="1"/>
  <c r="O640" i="3" a="1"/>
  <c r="O640" i="3" s="1"/>
  <c r="R638" i="3" a="1"/>
  <c r="R638" i="3" s="1"/>
  <c r="R635" i="3" a="1"/>
  <c r="R635" i="3" s="1"/>
  <c r="R631" i="3" a="1"/>
  <c r="R631" i="3" s="1"/>
  <c r="O629" i="3" a="1"/>
  <c r="O629" i="3" s="1"/>
  <c r="J627" i="3" a="1"/>
  <c r="J627" i="3" s="1"/>
  <c r="V625" i="3" a="1"/>
  <c r="V625" i="3" s="1"/>
  <c r="O621" i="3" a="1"/>
  <c r="O621" i="3" s="1"/>
  <c r="J619" i="3" a="1"/>
  <c r="J619" i="3" s="1"/>
  <c r="V617" i="3" a="1"/>
  <c r="V617" i="3" s="1"/>
  <c r="O613" i="3" a="1"/>
  <c r="O613" i="3" s="1"/>
  <c r="K597" i="3" a="1"/>
  <c r="K597" i="3" s="1"/>
  <c r="M597" i="3" s="1"/>
  <c r="J596" i="3" a="1"/>
  <c r="J596" i="3" s="1"/>
  <c r="K589" i="3" a="1"/>
  <c r="K589" i="3" s="1"/>
  <c r="M589" i="3" s="1"/>
  <c r="J588" i="3" a="1"/>
  <c r="J588" i="3" s="1"/>
  <c r="K581" i="3" a="1"/>
  <c r="K581" i="3" s="1"/>
  <c r="M581" i="3" s="1"/>
  <c r="J580" i="3" a="1"/>
  <c r="J580" i="3" s="1"/>
  <c r="K573" i="3" a="1"/>
  <c r="K573" i="3" s="1"/>
  <c r="M573" i="3" s="1"/>
  <c r="J572" i="3" a="1"/>
  <c r="J572" i="3" s="1"/>
  <c r="K565" i="3" a="1"/>
  <c r="K565" i="3" s="1"/>
  <c r="M565" i="3" s="1"/>
  <c r="J564" i="3" a="1"/>
  <c r="J564" i="3" s="1"/>
  <c r="K290" i="3" a="1"/>
  <c r="K290" i="3" s="1"/>
  <c r="M290" i="3" s="1"/>
  <c r="K289" i="3" a="1"/>
  <c r="K289" i="3" s="1"/>
  <c r="M289" i="3" s="1"/>
  <c r="K288" i="3" a="1"/>
  <c r="K288" i="3" s="1"/>
  <c r="M288" i="3" s="1"/>
  <c r="K287" i="3" a="1"/>
  <c r="K287" i="3" s="1"/>
  <c r="M287" i="3" s="1"/>
  <c r="K286" i="3" a="1"/>
  <c r="K286" i="3" s="1"/>
  <c r="M286" i="3" s="1"/>
  <c r="K285" i="3" a="1"/>
  <c r="K285" i="3" s="1"/>
  <c r="M285" i="3" s="1"/>
  <c r="K284" i="3" a="1"/>
  <c r="K284" i="3" s="1"/>
  <c r="M284" i="3" s="1"/>
  <c r="K283" i="3" a="1"/>
  <c r="K283" i="3" s="1"/>
  <c r="M283" i="3" s="1"/>
  <c r="K282" i="3" a="1"/>
  <c r="K282" i="3" s="1"/>
  <c r="M282" i="3" s="1"/>
  <c r="K281" i="3" a="1"/>
  <c r="K281" i="3" s="1"/>
  <c r="M281" i="3" s="1"/>
  <c r="K280" i="3" a="1"/>
  <c r="K280" i="3" s="1"/>
  <c r="M280" i="3" s="1"/>
  <c r="K279" i="3" a="1"/>
  <c r="K279" i="3" s="1"/>
  <c r="M279" i="3" s="1"/>
  <c r="K278" i="3" a="1"/>
  <c r="K278" i="3" s="1"/>
  <c r="M278" i="3" s="1"/>
  <c r="K277" i="3" a="1"/>
  <c r="K277" i="3" s="1"/>
  <c r="M277" i="3" s="1"/>
  <c r="K276" i="3" a="1"/>
  <c r="K276" i="3" s="1"/>
  <c r="M276" i="3" s="1"/>
  <c r="K275" i="3" a="1"/>
  <c r="K275" i="3" s="1"/>
  <c r="M275" i="3" s="1"/>
  <c r="K274" i="3" a="1"/>
  <c r="K274" i="3" s="1"/>
  <c r="M274" i="3" s="1"/>
  <c r="K273" i="3" a="1"/>
  <c r="K273" i="3" s="1"/>
  <c r="M273" i="3" s="1"/>
  <c r="K272" i="3" a="1"/>
  <c r="K272" i="3" s="1"/>
  <c r="M272" i="3" s="1"/>
  <c r="K271" i="3" a="1"/>
  <c r="K271" i="3" s="1"/>
  <c r="M271" i="3" s="1"/>
  <c r="K270" i="3" a="1"/>
  <c r="K270" i="3" s="1"/>
  <c r="M270" i="3" s="1"/>
  <c r="K269" i="3" a="1"/>
  <c r="K269" i="3" s="1"/>
  <c r="M269" i="3" s="1"/>
  <c r="C109" i="6"/>
  <c r="B109" i="6"/>
  <c r="D109" i="6" s="1"/>
  <c r="E109" i="6" s="1"/>
  <c r="C162" i="6"/>
  <c r="H16" i="11" a="1"/>
  <c r="H16" i="11" s="1"/>
  <c r="L53" i="11" a="1"/>
  <c r="L53" i="11" s="1"/>
  <c r="H53" i="11" a="1"/>
  <c r="H53" i="11" s="1"/>
  <c r="L59" i="11" a="1"/>
  <c r="L59" i="11" s="1"/>
  <c r="B74" i="11"/>
  <c r="H76" i="11" a="1"/>
  <c r="H76" i="11" s="1"/>
  <c r="L106" i="11" a="1"/>
  <c r="L106" i="11" s="1"/>
  <c r="H106" i="11" a="1"/>
  <c r="H106" i="11" s="1"/>
  <c r="L155" i="11" a="1"/>
  <c r="L155" i="11" s="1"/>
  <c r="B178" i="11"/>
  <c r="H196" i="11" a="1"/>
  <c r="H196" i="11" s="1"/>
  <c r="L196" i="11" a="1"/>
  <c r="L196" i="11" s="1"/>
  <c r="L197" i="11" a="1"/>
  <c r="L197" i="11" s="1"/>
  <c r="H197" i="11" a="1"/>
  <c r="H197" i="11" s="1"/>
  <c r="L200" i="11" a="1"/>
  <c r="L200" i="11" s="1"/>
  <c r="H200" i="11" a="1"/>
  <c r="H200" i="11" s="1"/>
  <c r="H298" i="11" a="1"/>
  <c r="H298" i="11" s="1"/>
  <c r="L298" i="11" a="1"/>
  <c r="L298" i="11" s="1"/>
  <c r="H326" i="11" a="1"/>
  <c r="H326" i="11" s="1"/>
  <c r="B326" i="11"/>
  <c r="H352" i="11" a="1"/>
  <c r="H352" i="11" s="1"/>
  <c r="L373" i="11" a="1"/>
  <c r="L373" i="11" s="1"/>
  <c r="H449" i="11" a="1"/>
  <c r="H449" i="11" s="1"/>
  <c r="L449" i="11" a="1"/>
  <c r="L449" i="11" s="1"/>
  <c r="I485" i="11"/>
  <c r="M494" i="11"/>
  <c r="H636" i="11" a="1"/>
  <c r="H636" i="11" s="1"/>
  <c r="M636" i="11"/>
  <c r="I636" i="11"/>
  <c r="L636" i="11" a="1"/>
  <c r="L636" i="11" s="1"/>
  <c r="H678" i="11" a="1"/>
  <c r="H678" i="11" s="1"/>
  <c r="I678" i="11"/>
  <c r="H940" i="11" a="1"/>
  <c r="H940" i="11" s="1"/>
  <c r="M940" i="11"/>
  <c r="L940" i="11" a="1"/>
  <c r="L940" i="11" s="1"/>
  <c r="I940" i="11"/>
  <c r="M970" i="11"/>
  <c r="O611" i="3" a="1"/>
  <c r="O611" i="3" s="1"/>
  <c r="H308" i="11" a="1"/>
  <c r="H308" i="11" s="1"/>
  <c r="A131" i="4"/>
  <c r="E33" i="3" s="1" a="1"/>
  <c r="E33" i="3" s="1"/>
  <c r="A407" i="4"/>
  <c r="E270" i="3" s="1" a="1"/>
  <c r="E270" i="3" s="1"/>
  <c r="H187" i="11" a="1"/>
  <c r="H187" i="11" s="1"/>
  <c r="H231" i="11" a="1"/>
  <c r="H231" i="11" s="1"/>
  <c r="A65" i="5" a="1"/>
  <c r="A65" i="5" s="1"/>
  <c r="A101" i="5" a="1"/>
  <c r="A101" i="5" s="1"/>
  <c r="A465" i="5" a="1"/>
  <c r="A465" i="5" s="1"/>
  <c r="A473" i="5" a="1"/>
  <c r="A473" i="5" s="1"/>
  <c r="A481" i="5" a="1"/>
  <c r="A481" i="5" s="1"/>
  <c r="A489" i="5" a="1"/>
  <c r="A489" i="5" s="1"/>
  <c r="A497" i="5" a="1"/>
  <c r="A497" i="5" s="1"/>
  <c r="A505" i="5" a="1"/>
  <c r="A505" i="5" s="1"/>
  <c r="A513" i="5" a="1"/>
  <c r="A513" i="5" s="1"/>
  <c r="A521" i="5" a="1"/>
  <c r="A521" i="5" s="1"/>
  <c r="A529" i="5" a="1"/>
  <c r="A529" i="5" s="1"/>
  <c r="A537" i="5" a="1"/>
  <c r="A537" i="5" s="1"/>
  <c r="A545" i="5" a="1"/>
  <c r="A545" i="5" s="1"/>
  <c r="A553" i="5" a="1"/>
  <c r="A553" i="5" s="1"/>
  <c r="A561" i="5" a="1"/>
  <c r="A561" i="5" s="1"/>
  <c r="A569" i="5" a="1"/>
  <c r="A569" i="5" s="1"/>
  <c r="A577" i="5" a="1"/>
  <c r="A577" i="5" s="1"/>
  <c r="A585" i="5" a="1"/>
  <c r="A585" i="5" s="1"/>
  <c r="A593" i="5" a="1"/>
  <c r="A593" i="5" s="1"/>
  <c r="C8" i="6"/>
  <c r="B18" i="6"/>
  <c r="C25" i="6"/>
  <c r="B25" i="6"/>
  <c r="D25" i="6" s="1"/>
  <c r="E25" i="6" s="1"/>
  <c r="C160" i="6"/>
  <c r="P24" i="10"/>
  <c r="N24" i="10"/>
  <c r="M24" i="10"/>
  <c r="J24" i="10"/>
  <c r="I24" i="10"/>
  <c r="H24" i="10"/>
  <c r="E24" i="10"/>
  <c r="P33" i="10"/>
  <c r="N33" i="10"/>
  <c r="M33" i="10"/>
  <c r="O33" i="10"/>
  <c r="L33" i="10"/>
  <c r="K33" i="10"/>
  <c r="I33" i="10"/>
  <c r="H33" i="10"/>
  <c r="J33" i="10"/>
  <c r="P85" i="10"/>
  <c r="N85" i="10"/>
  <c r="M85" i="10"/>
  <c r="O85" i="10"/>
  <c r="L85" i="10"/>
  <c r="K85" i="10"/>
  <c r="I85" i="10"/>
  <c r="H85" i="10"/>
  <c r="G85" i="10"/>
  <c r="F85" i="10"/>
  <c r="E85" i="10"/>
  <c r="L10" i="11" a="1"/>
  <c r="L10" i="11" s="1"/>
  <c r="H13" i="11" a="1"/>
  <c r="H13" i="11" s="1"/>
  <c r="L13" i="11" a="1"/>
  <c r="L13" i="11" s="1"/>
  <c r="L32" i="11" a="1"/>
  <c r="L32" i="11" s="1"/>
  <c r="H32" i="11" a="1"/>
  <c r="H32" i="11" s="1"/>
  <c r="L45" i="11" a="1"/>
  <c r="L45" i="11" s="1"/>
  <c r="H45" i="11" a="1"/>
  <c r="H45" i="11" s="1"/>
  <c r="H54" i="11" a="1"/>
  <c r="H54" i="11" s="1"/>
  <c r="L54" i="11" a="1"/>
  <c r="L54" i="11" s="1"/>
  <c r="H70" i="11" a="1"/>
  <c r="H70" i="11" s="1"/>
  <c r="L142" i="11" a="1"/>
  <c r="L142" i="11" s="1"/>
  <c r="L174" i="11" a="1"/>
  <c r="L174" i="11" s="1"/>
  <c r="H179" i="11" a="1"/>
  <c r="H179" i="11" s="1"/>
  <c r="L198" i="11" a="1"/>
  <c r="L198" i="11" s="1"/>
  <c r="H198" i="11" a="1"/>
  <c r="H198" i="11" s="1"/>
  <c r="L247" i="11" a="1"/>
  <c r="L247" i="11" s="1"/>
  <c r="H247" i="11" a="1"/>
  <c r="H247" i="11" s="1"/>
  <c r="H270" i="11" a="1"/>
  <c r="H270" i="11" s="1"/>
  <c r="L270" i="11" a="1"/>
  <c r="L270" i="11" s="1"/>
  <c r="B272" i="11"/>
  <c r="L288" i="11" a="1"/>
  <c r="L288" i="11" s="1"/>
  <c r="H288" i="11" a="1"/>
  <c r="H288" i="11" s="1"/>
  <c r="H299" i="11" a="1"/>
  <c r="H299" i="11" s="1"/>
  <c r="H335" i="11" a="1"/>
  <c r="H335" i="11" s="1"/>
  <c r="L335" i="11" a="1"/>
  <c r="L335" i="11" s="1"/>
  <c r="H369" i="11" a="1"/>
  <c r="H369" i="11" s="1"/>
  <c r="L376" i="11" a="1"/>
  <c r="L376" i="11" s="1"/>
  <c r="L387" i="11" a="1"/>
  <c r="L387" i="11" s="1"/>
  <c r="H387" i="11" a="1"/>
  <c r="H387" i="11" s="1"/>
  <c r="L414" i="11" a="1"/>
  <c r="L414" i="11" s="1"/>
  <c r="H414" i="11" a="1"/>
  <c r="H414" i="11" s="1"/>
  <c r="H415" i="11" a="1"/>
  <c r="H415" i="11" s="1"/>
  <c r="L415" i="11" a="1"/>
  <c r="L415" i="11" s="1"/>
  <c r="H444" i="11" a="1"/>
  <c r="H444" i="11" s="1"/>
  <c r="H656" i="11" a="1"/>
  <c r="H656" i="11" s="1"/>
  <c r="L656" i="11" a="1"/>
  <c r="L656" i="11" s="1"/>
  <c r="I656" i="11"/>
  <c r="M656" i="11"/>
  <c r="H666" i="11" a="1"/>
  <c r="H666" i="11" s="1"/>
  <c r="L666" i="11" a="1"/>
  <c r="L666" i="11" s="1"/>
  <c r="I666" i="11"/>
  <c r="A14" i="5" a="1"/>
  <c r="A14" i="5" s="1"/>
  <c r="A44" i="5" a="1"/>
  <c r="A44" i="5" s="1"/>
  <c r="B8" i="6"/>
  <c r="B43" i="6"/>
  <c r="D43" i="6" s="1"/>
  <c r="E43" i="6" s="1"/>
  <c r="C105" i="6"/>
  <c r="C169" i="6"/>
  <c r="G38" i="7"/>
  <c r="G89" i="7"/>
  <c r="B24" i="10" a="1"/>
  <c r="B24" i="10" s="1"/>
  <c r="B33" i="10" a="1"/>
  <c r="B33" i="10" s="1"/>
  <c r="P39" i="10"/>
  <c r="N39" i="10"/>
  <c r="M39" i="10"/>
  <c r="E39" i="10"/>
  <c r="B39" i="10" a="1"/>
  <c r="B39" i="10" s="1"/>
  <c r="O39" i="10"/>
  <c r="L39" i="10"/>
  <c r="O42" i="10"/>
  <c r="P55" i="10"/>
  <c r="N55" i="10"/>
  <c r="M55" i="10"/>
  <c r="E55" i="10"/>
  <c r="B55" i="10" a="1"/>
  <c r="B55" i="10" s="1"/>
  <c r="O58" i="10"/>
  <c r="B85" i="10" a="1"/>
  <c r="B85" i="10" s="1"/>
  <c r="L3" i="11" a="1"/>
  <c r="L3" i="11" s="1"/>
  <c r="H3" i="11" a="1"/>
  <c r="H3" i="11" s="1"/>
  <c r="B10" i="11"/>
  <c r="H33" i="11" a="1"/>
  <c r="H33" i="11" s="1"/>
  <c r="L71" i="11" a="1"/>
  <c r="L71" i="11" s="1"/>
  <c r="H71" i="11" a="1"/>
  <c r="H71" i="11" s="1"/>
  <c r="H97" i="11" a="1"/>
  <c r="H97" i="11" s="1"/>
  <c r="L97" i="11" a="1"/>
  <c r="L97" i="11" s="1"/>
  <c r="L117" i="11" a="1"/>
  <c r="L117" i="11" s="1"/>
  <c r="H117" i="11" a="1"/>
  <c r="H117" i="11" s="1"/>
  <c r="H180" i="11" a="1"/>
  <c r="H180" i="11" s="1"/>
  <c r="L180" i="11" a="1"/>
  <c r="L180" i="11" s="1"/>
  <c r="H190" i="11" a="1"/>
  <c r="H190" i="11" s="1"/>
  <c r="H210" i="11" a="1"/>
  <c r="H210" i="11" s="1"/>
  <c r="H234" i="11" a="1"/>
  <c r="H234" i="11" s="1"/>
  <c r="B245" i="11"/>
  <c r="L289" i="11" a="1"/>
  <c r="L289" i="11" s="1"/>
  <c r="H289" i="11" a="1"/>
  <c r="H289" i="11" s="1"/>
  <c r="B294" i="11"/>
  <c r="L313" i="11" a="1"/>
  <c r="L313" i="11" s="1"/>
  <c r="H313" i="11" a="1"/>
  <c r="H313" i="11" s="1"/>
  <c r="H399" i="11" a="1"/>
  <c r="H399" i="11" s="1"/>
  <c r="L399" i="11" a="1"/>
  <c r="L399" i="11" s="1"/>
  <c r="L482" i="11" a="1"/>
  <c r="L482" i="11" s="1"/>
  <c r="L485" i="11" a="1"/>
  <c r="L485" i="11" s="1"/>
  <c r="L491" i="11" a="1"/>
  <c r="L491" i="11" s="1"/>
  <c r="I491" i="11"/>
  <c r="H491" i="11" a="1"/>
  <c r="H491" i="11" s="1"/>
  <c r="M507" i="11"/>
  <c r="L507" i="11" a="1"/>
  <c r="L507" i="11" s="1"/>
  <c r="H626" i="11" a="1"/>
  <c r="H626" i="11" s="1"/>
  <c r="M626" i="11"/>
  <c r="L626" i="11" a="1"/>
  <c r="L626" i="11" s="1"/>
  <c r="I626" i="11"/>
  <c r="H878" i="11" a="1"/>
  <c r="H878" i="11" s="1"/>
  <c r="M878" i="11"/>
  <c r="L878" i="11" a="1"/>
  <c r="L878" i="11" s="1"/>
  <c r="I878" i="11"/>
  <c r="R599" i="3" a="1"/>
  <c r="R599" i="3" s="1"/>
  <c r="V602" i="3" a="1"/>
  <c r="V602" i="3" s="1"/>
  <c r="V606" i="3" a="1"/>
  <c r="V606" i="3" s="1"/>
  <c r="V780" i="3" a="1"/>
  <c r="V780" i="3" s="1"/>
  <c r="R780" i="3" a="1"/>
  <c r="R780" i="3" s="1"/>
  <c r="A28" i="5" a="1"/>
  <c r="A28" i="5" s="1"/>
  <c r="A43" i="5" a="1"/>
  <c r="A43" i="5" s="1"/>
  <c r="A464" i="5" a="1"/>
  <c r="A464" i="5" s="1"/>
  <c r="A472" i="5" a="1"/>
  <c r="A472" i="5" s="1"/>
  <c r="A480" i="5" a="1"/>
  <c r="A480" i="5" s="1"/>
  <c r="A488" i="5" a="1"/>
  <c r="A488" i="5" s="1"/>
  <c r="A496" i="5" a="1"/>
  <c r="A496" i="5" s="1"/>
  <c r="A504" i="5" a="1"/>
  <c r="A504" i="5" s="1"/>
  <c r="A512" i="5" a="1"/>
  <c r="A512" i="5" s="1"/>
  <c r="A520" i="5" a="1"/>
  <c r="A520" i="5" s="1"/>
  <c r="A528" i="5" a="1"/>
  <c r="A528" i="5" s="1"/>
  <c r="A536" i="5" a="1"/>
  <c r="A536" i="5" s="1"/>
  <c r="A544" i="5" a="1"/>
  <c r="A544" i="5" s="1"/>
  <c r="A552" i="5" a="1"/>
  <c r="A552" i="5" s="1"/>
  <c r="A560" i="5" a="1"/>
  <c r="A560" i="5" s="1"/>
  <c r="A568" i="5" a="1"/>
  <c r="A568" i="5" s="1"/>
  <c r="A576" i="5" a="1"/>
  <c r="A576" i="5" s="1"/>
  <c r="A584" i="5" a="1"/>
  <c r="A584" i="5" s="1"/>
  <c r="A592" i="5" a="1"/>
  <c r="A592" i="5" s="1"/>
  <c r="A637" i="5" a="1"/>
  <c r="A637" i="5" s="1"/>
  <c r="B15" i="6"/>
  <c r="C90" i="6"/>
  <c r="C124" i="6"/>
  <c r="B124" i="6"/>
  <c r="D124" i="6" s="1"/>
  <c r="E124" i="6" s="1"/>
  <c r="M11" i="7"/>
  <c r="G11" i="7"/>
  <c r="O6" i="10"/>
  <c r="P27" i="10"/>
  <c r="N27" i="10"/>
  <c r="M27" i="10"/>
  <c r="E27" i="10"/>
  <c r="B27" i="10" a="1"/>
  <c r="B27" i="10" s="1"/>
  <c r="O27" i="10"/>
  <c r="L27" i="10"/>
  <c r="K27" i="10"/>
  <c r="J27" i="10"/>
  <c r="I27" i="10"/>
  <c r="P49" i="10"/>
  <c r="N49" i="10"/>
  <c r="L49" i="10"/>
  <c r="I49" i="10"/>
  <c r="H49" i="10"/>
  <c r="N76" i="10"/>
  <c r="M76" i="10"/>
  <c r="J76" i="10"/>
  <c r="I76" i="10"/>
  <c r="H76" i="10"/>
  <c r="E76" i="10"/>
  <c r="L34" i="11" a="1"/>
  <c r="L34" i="11" s="1"/>
  <c r="H34" i="11" a="1"/>
  <c r="H34" i="11" s="1"/>
  <c r="H83" i="11" a="1"/>
  <c r="H83" i="11" s="1"/>
  <c r="L83" i="11" a="1"/>
  <c r="L83" i="11" s="1"/>
  <c r="L118" i="11" a="1"/>
  <c r="L118" i="11" s="1"/>
  <c r="H118" i="11" a="1"/>
  <c r="H118" i="11" s="1"/>
  <c r="H191" i="11" a="1"/>
  <c r="H191" i="11" s="1"/>
  <c r="L191" i="11" a="1"/>
  <c r="L191" i="11" s="1"/>
  <c r="H211" i="11" a="1"/>
  <c r="H211" i="11" s="1"/>
  <c r="L211" i="11" a="1"/>
  <c r="L211" i="11" s="1"/>
  <c r="H310" i="11" a="1"/>
  <c r="H310" i="11" s="1"/>
  <c r="L310" i="11" a="1"/>
  <c r="L310" i="11" s="1"/>
  <c r="H312" i="11" a="1"/>
  <c r="H312" i="11" s="1"/>
  <c r="L312" i="11" a="1"/>
  <c r="L312" i="11" s="1"/>
  <c r="L316" i="11" a="1"/>
  <c r="L316" i="11" s="1"/>
  <c r="H316" i="11" a="1"/>
  <c r="H316" i="11" s="1"/>
  <c r="B337" i="11"/>
  <c r="H337" i="11" a="1"/>
  <c r="H337" i="11" s="1"/>
  <c r="L345" i="11" a="1"/>
  <c r="L345" i="11" s="1"/>
  <c r="H345" i="11" a="1"/>
  <c r="H345" i="11" s="1"/>
  <c r="L362" i="11" a="1"/>
  <c r="L362" i="11" s="1"/>
  <c r="H362" i="11" a="1"/>
  <c r="H362" i="11" s="1"/>
  <c r="H376" i="11" a="1"/>
  <c r="H376" i="11" s="1"/>
  <c r="H401" i="11" a="1"/>
  <c r="H401" i="11" s="1"/>
  <c r="L403" i="11" a="1"/>
  <c r="L403" i="11" s="1"/>
  <c r="H403" i="11" a="1"/>
  <c r="H403" i="11" s="1"/>
  <c r="L467" i="11" a="1"/>
  <c r="L467" i="11" s="1"/>
  <c r="I467" i="11"/>
  <c r="H467" i="11" a="1"/>
  <c r="H467" i="11" s="1"/>
  <c r="M485" i="11"/>
  <c r="M675" i="11"/>
  <c r="L675" i="11" a="1"/>
  <c r="L675" i="11" s="1"/>
  <c r="H675" i="11" a="1"/>
  <c r="H675" i="11" s="1"/>
  <c r="I675" i="11"/>
  <c r="K487" i="3" a="1"/>
  <c r="K487" i="3" s="1"/>
  <c r="M487" i="3" s="1"/>
  <c r="J599" i="3" a="1"/>
  <c r="J599" i="3" s="1"/>
  <c r="K611" i="3" a="1"/>
  <c r="K611" i="3" s="1"/>
  <c r="M611" i="3" s="1"/>
  <c r="V684" i="3" a="1"/>
  <c r="V684" i="3" s="1"/>
  <c r="R781" i="3" a="1"/>
  <c r="R781" i="3" s="1"/>
  <c r="V781" i="3" a="1"/>
  <c r="V781" i="3" s="1"/>
  <c r="O781" i="3" a="1"/>
  <c r="O781" i="3" s="1"/>
  <c r="K781" i="3" a="1"/>
  <c r="K781" i="3" s="1"/>
  <c r="M781" i="3" s="1"/>
  <c r="F25" i="4" a="1"/>
  <c r="F25" i="4" s="1"/>
  <c r="E25" i="4" a="1"/>
  <c r="E25" i="4" s="1"/>
  <c r="A77" i="4"/>
  <c r="E518" i="3" s="1" a="1"/>
  <c r="E518" i="3" s="1"/>
  <c r="H327" i="11" a="1"/>
  <c r="H327" i="11" s="1"/>
  <c r="A50" i="5" a="1"/>
  <c r="A50" i="5" s="1"/>
  <c r="C37" i="6"/>
  <c r="C56" i="6"/>
  <c r="C88" i="6"/>
  <c r="B114" i="6"/>
  <c r="D114" i="6" s="1"/>
  <c r="E114" i="6" s="1"/>
  <c r="C143" i="6"/>
  <c r="G36" i="7"/>
  <c r="G62" i="7"/>
  <c r="G97" i="7"/>
  <c r="B21" i="10" a="1"/>
  <c r="B21" i="10" s="1"/>
  <c r="K24" i="10"/>
  <c r="E33" i="10"/>
  <c r="H39" i="10"/>
  <c r="B49" i="10" a="1"/>
  <c r="B49" i="10" s="1"/>
  <c r="H55" i="10"/>
  <c r="P64" i="10"/>
  <c r="N64" i="10"/>
  <c r="J64" i="10"/>
  <c r="I64" i="10"/>
  <c r="H64" i="10"/>
  <c r="E64" i="10"/>
  <c r="B76" i="10" a="1"/>
  <c r="B76" i="10" s="1"/>
  <c r="H113" i="11" a="1"/>
  <c r="H113" i="11" s="1"/>
  <c r="L113" i="11" a="1"/>
  <c r="L113" i="11" s="1"/>
  <c r="L120" i="11" a="1"/>
  <c r="L120" i="11" s="1"/>
  <c r="H120" i="11" a="1"/>
  <c r="H120" i="11" s="1"/>
  <c r="H130" i="11" a="1"/>
  <c r="H130" i="11" s="1"/>
  <c r="L130" i="11" a="1"/>
  <c r="L130" i="11" s="1"/>
  <c r="L134" i="11" a="1"/>
  <c r="L134" i="11" s="1"/>
  <c r="H134" i="11" a="1"/>
  <c r="H134" i="11" s="1"/>
  <c r="L159" i="11" a="1"/>
  <c r="L159" i="11" s="1"/>
  <c r="H159" i="11" a="1"/>
  <c r="H159" i="11" s="1"/>
  <c r="L226" i="11" a="1"/>
  <c r="L226" i="11" s="1"/>
  <c r="H226" i="11" a="1"/>
  <c r="H226" i="11" s="1"/>
  <c r="L249" i="11" a="1"/>
  <c r="L249" i="11" s="1"/>
  <c r="H249" i="11" a="1"/>
  <c r="H249" i="11" s="1"/>
  <c r="B312" i="11"/>
  <c r="L339" i="11" a="1"/>
  <c r="L339" i="11" s="1"/>
  <c r="H339" i="11" a="1"/>
  <c r="H339" i="11" s="1"/>
  <c r="B370" i="11"/>
  <c r="H476" i="11" a="1"/>
  <c r="H476" i="11" s="1"/>
  <c r="M476" i="11"/>
  <c r="I476" i="11"/>
  <c r="H482" i="11" a="1"/>
  <c r="H482" i="11" s="1"/>
  <c r="I482" i="11"/>
  <c r="H547" i="11" a="1"/>
  <c r="H547" i="11" s="1"/>
  <c r="M547" i="11"/>
  <c r="L547" i="11" a="1"/>
  <c r="L547" i="11" s="1"/>
  <c r="I547" i="11"/>
  <c r="B139" i="6"/>
  <c r="B156" i="6"/>
  <c r="L24" i="10"/>
  <c r="H27" i="10"/>
  <c r="I39" i="10"/>
  <c r="I55" i="10"/>
  <c r="B64" i="10" a="1"/>
  <c r="B64" i="10" s="1"/>
  <c r="F76" i="10"/>
  <c r="H51" i="11" a="1"/>
  <c r="H51" i="11" s="1"/>
  <c r="L51" i="11" a="1"/>
  <c r="L51" i="11" s="1"/>
  <c r="L79" i="11" a="1"/>
  <c r="L79" i="11" s="1"/>
  <c r="H79" i="11" a="1"/>
  <c r="H79" i="11" s="1"/>
  <c r="H98" i="11" a="1"/>
  <c r="H98" i="11" s="1"/>
  <c r="L126" i="11" a="1"/>
  <c r="L126" i="11" s="1"/>
  <c r="H126" i="11" a="1"/>
  <c r="H126" i="11" s="1"/>
  <c r="H131" i="11" a="1"/>
  <c r="H131" i="11" s="1"/>
  <c r="L154" i="11" a="1"/>
  <c r="L154" i="11" s="1"/>
  <c r="H154" i="11" a="1"/>
  <c r="H154" i="11" s="1"/>
  <c r="L169" i="11" a="1"/>
  <c r="L169" i="11" s="1"/>
  <c r="L175" i="11" a="1"/>
  <c r="L175" i="11" s="1"/>
  <c r="H175" i="11" a="1"/>
  <c r="H175" i="11" s="1"/>
  <c r="L228" i="11" a="1"/>
  <c r="L228" i="11" s="1"/>
  <c r="H228" i="11" a="1"/>
  <c r="H228" i="11" s="1"/>
  <c r="B233" i="11"/>
  <c r="H233" i="11" a="1"/>
  <c r="H233" i="11" s="1"/>
  <c r="L258" i="11" a="1"/>
  <c r="L258" i="11" s="1"/>
  <c r="H258" i="11" a="1"/>
  <c r="H258" i="11" s="1"/>
  <c r="H646" i="11" a="1"/>
  <c r="H646" i="11" s="1"/>
  <c r="I646" i="11"/>
  <c r="M646" i="11"/>
  <c r="L646" i="11" a="1"/>
  <c r="L646" i="11" s="1"/>
  <c r="H874" i="11" a="1"/>
  <c r="H874" i="11" s="1"/>
  <c r="I874" i="11"/>
  <c r="M874" i="11"/>
  <c r="L874" i="11" a="1"/>
  <c r="L874" i="11" s="1"/>
  <c r="J487" i="3" a="1"/>
  <c r="J487" i="3" s="1"/>
  <c r="K492" i="3" a="1"/>
  <c r="K492" i="3" s="1"/>
  <c r="M492" i="3" s="1"/>
  <c r="V492" i="3" a="1"/>
  <c r="V492" i="3" s="1"/>
  <c r="K599" i="3" a="1"/>
  <c r="K599" i="3" s="1"/>
  <c r="M599" i="3" s="1"/>
  <c r="R611" i="3" a="1"/>
  <c r="R611" i="3" s="1"/>
  <c r="K612" i="3" a="1"/>
  <c r="K612" i="3" s="1"/>
  <c r="M612" i="3" s="1"/>
  <c r="O612" i="3" a="1"/>
  <c r="O612" i="3" s="1"/>
  <c r="R683" i="3" a="1"/>
  <c r="R683" i="3" s="1"/>
  <c r="O683" i="3" a="1"/>
  <c r="O683" i="3" s="1"/>
  <c r="K683" i="3" a="1"/>
  <c r="K683" i="3" s="1"/>
  <c r="M683" i="3" s="1"/>
  <c r="O686" i="3" a="1"/>
  <c r="O686" i="3" s="1"/>
  <c r="V686" i="3" a="1"/>
  <c r="V686" i="3" s="1"/>
  <c r="J781" i="3" a="1"/>
  <c r="J781" i="3" s="1"/>
  <c r="A29" i="4"/>
  <c r="E184" i="3" s="1" a="1"/>
  <c r="E184" i="3" s="1"/>
  <c r="H48" i="11" a="1"/>
  <c r="H48" i="11" s="1"/>
  <c r="A405" i="4"/>
  <c r="E746" i="3" s="1" a="1"/>
  <c r="E746" i="3" s="1"/>
  <c r="H435" i="11" a="1"/>
  <c r="H435" i="11" s="1"/>
  <c r="A12" i="5" a="1"/>
  <c r="A12" i="5" s="1"/>
  <c r="C141" i="6"/>
  <c r="B141" i="6"/>
  <c r="D141" i="6" s="1"/>
  <c r="E141" i="6" s="1"/>
  <c r="O24" i="10"/>
  <c r="P37" i="10"/>
  <c r="M37" i="10"/>
  <c r="O37" i="10"/>
  <c r="L37" i="10"/>
  <c r="I37" i="10"/>
  <c r="H37" i="10"/>
  <c r="J39" i="10"/>
  <c r="P43" i="10"/>
  <c r="N43" i="10"/>
  <c r="M43" i="10"/>
  <c r="E43" i="10"/>
  <c r="B43" i="10" a="1"/>
  <c r="B43" i="10" s="1"/>
  <c r="O43" i="10"/>
  <c r="O46" i="10"/>
  <c r="E49" i="10"/>
  <c r="P52" i="10"/>
  <c r="N52" i="10"/>
  <c r="M52" i="10"/>
  <c r="J52" i="10"/>
  <c r="I52" i="10"/>
  <c r="H52" i="10"/>
  <c r="E52" i="10"/>
  <c r="O52" i="10"/>
  <c r="L52" i="10"/>
  <c r="K52" i="10"/>
  <c r="B52" i="10" a="1"/>
  <c r="B52" i="10" s="1"/>
  <c r="J55" i="10"/>
  <c r="O74" i="10"/>
  <c r="K76" i="10"/>
  <c r="L82" i="10"/>
  <c r="L78" i="10"/>
  <c r="L74" i="10"/>
  <c r="L66" i="10"/>
  <c r="L58" i="10"/>
  <c r="L54" i="10"/>
  <c r="L50" i="10"/>
  <c r="L46" i="10"/>
  <c r="L38" i="10"/>
  <c r="L34" i="10"/>
  <c r="L30" i="10"/>
  <c r="L26" i="10"/>
  <c r="L14" i="10"/>
  <c r="L6" i="10"/>
  <c r="I71" i="10"/>
  <c r="K54" i="10"/>
  <c r="J50" i="10"/>
  <c r="I46" i="10"/>
  <c r="H42" i="10"/>
  <c r="E30" i="10"/>
  <c r="H71" i="10"/>
  <c r="K58" i="10"/>
  <c r="I50" i="10"/>
  <c r="H46" i="10"/>
  <c r="K62" i="10"/>
  <c r="J58" i="10"/>
  <c r="I54" i="10"/>
  <c r="H50" i="10"/>
  <c r="E38" i="10"/>
  <c r="K66" i="10"/>
  <c r="J62" i="10"/>
  <c r="I58" i="10"/>
  <c r="H54" i="10"/>
  <c r="J66" i="10"/>
  <c r="I62" i="10"/>
  <c r="H58" i="10"/>
  <c r="E46" i="10"/>
  <c r="K6" i="10"/>
  <c r="K74" i="10"/>
  <c r="I66" i="10"/>
  <c r="H62" i="10"/>
  <c r="E50" i="10"/>
  <c r="J6" i="10"/>
  <c r="L6" i="11" a="1"/>
  <c r="L6" i="11" s="1"/>
  <c r="H6" i="11" a="1"/>
  <c r="H6" i="11" s="1"/>
  <c r="B41" i="11"/>
  <c r="L80" i="11" a="1"/>
  <c r="L80" i="11" s="1"/>
  <c r="H80" i="11" a="1"/>
  <c r="H80" i="11" s="1"/>
  <c r="L86" i="11" a="1"/>
  <c r="L86" i="11" s="1"/>
  <c r="H132" i="11" a="1"/>
  <c r="H132" i="11" s="1"/>
  <c r="L132" i="11" a="1"/>
  <c r="L132" i="11" s="1"/>
  <c r="B152" i="11"/>
  <c r="B154" i="11"/>
  <c r="L170" i="11" a="1"/>
  <c r="L170" i="11" s="1"/>
  <c r="H170" i="11" a="1"/>
  <c r="H170" i="11" s="1"/>
  <c r="H176" i="11" a="1"/>
  <c r="H176" i="11" s="1"/>
  <c r="H207" i="11" a="1"/>
  <c r="H207" i="11" s="1"/>
  <c r="B231" i="11"/>
  <c r="L259" i="11" a="1"/>
  <c r="L259" i="11" s="1"/>
  <c r="H259" i="11" a="1"/>
  <c r="H259" i="11" s="1"/>
  <c r="L267" i="11" a="1"/>
  <c r="L267" i="11" s="1"/>
  <c r="H267" i="11" a="1"/>
  <c r="H267" i="11" s="1"/>
  <c r="H306" i="11" a="1"/>
  <c r="H306" i="11" s="1"/>
  <c r="H373" i="11" a="1"/>
  <c r="H373" i="11" s="1"/>
  <c r="H422" i="11" a="1"/>
  <c r="H422" i="11" s="1"/>
  <c r="B422" i="11"/>
  <c r="B457" i="11"/>
  <c r="H462" i="11" a="1"/>
  <c r="H462" i="11" s="1"/>
  <c r="L462" i="11" a="1"/>
  <c r="L462" i="11" s="1"/>
  <c r="M653" i="11"/>
  <c r="I653" i="11"/>
  <c r="H653" i="11" a="1"/>
  <c r="H653" i="11" s="1"/>
  <c r="O687" i="3" a="1"/>
  <c r="O687" i="3" s="1"/>
  <c r="J687" i="3" a="1"/>
  <c r="J687" i="3" s="1"/>
  <c r="R723" i="3" a="1"/>
  <c r="R723" i="3" s="1"/>
  <c r="O785" i="3" a="1"/>
  <c r="O785" i="3" s="1"/>
  <c r="K785" i="3" a="1"/>
  <c r="K785" i="3" s="1"/>
  <c r="M785" i="3" s="1"/>
  <c r="E75" i="4" a="1"/>
  <c r="E75" i="4" s="1"/>
  <c r="G84" i="14" s="1" a="1"/>
  <c r="G84" i="14" s="1"/>
  <c r="E83" i="4" a="1"/>
  <c r="E83" i="4" s="1"/>
  <c r="G92" i="14" s="1" a="1"/>
  <c r="G92" i="14" s="1"/>
  <c r="E91" i="4" a="1"/>
  <c r="E91" i="4" s="1"/>
  <c r="G100" i="14" s="1" a="1"/>
  <c r="G100" i="14" s="1"/>
  <c r="E99" i="4" a="1"/>
  <c r="E99" i="4" s="1"/>
  <c r="G108" i="14" s="1" a="1"/>
  <c r="G108" i="14" s="1"/>
  <c r="E107" i="4" a="1"/>
  <c r="E107" i="4" s="1"/>
  <c r="E115" i="4" a="1"/>
  <c r="E115" i="4" s="1"/>
  <c r="C20" i="1" s="1" a="1"/>
  <c r="C20" i="1" s="1"/>
  <c r="E123" i="4" a="1"/>
  <c r="E123" i="4" s="1"/>
  <c r="E131" i="4" a="1"/>
  <c r="E131" i="4" s="1"/>
  <c r="E139" i="4" a="1"/>
  <c r="E139" i="4" s="1"/>
  <c r="G148" i="14" s="1" a="1"/>
  <c r="G148" i="14" s="1"/>
  <c r="E147" i="4" a="1"/>
  <c r="E147" i="4" s="1"/>
  <c r="G156" i="14" s="1" a="1"/>
  <c r="G156" i="14" s="1"/>
  <c r="E155" i="4" a="1"/>
  <c r="E155" i="4" s="1"/>
  <c r="G164" i="14" s="1" a="1"/>
  <c r="G164" i="14" s="1"/>
  <c r="E163" i="4" a="1"/>
  <c r="E163" i="4" s="1"/>
  <c r="G172" i="14" s="1" a="1"/>
  <c r="G172" i="14" s="1"/>
  <c r="E171" i="4" a="1"/>
  <c r="E171" i="4" s="1"/>
  <c r="C14" i="1" s="1" a="1"/>
  <c r="C14" i="1" s="1"/>
  <c r="E179" i="4" a="1"/>
  <c r="E179" i="4" s="1"/>
  <c r="E187" i="4" a="1"/>
  <c r="E187" i="4" s="1"/>
  <c r="G196" i="14" s="1" a="1"/>
  <c r="G196" i="14" s="1"/>
  <c r="E195" i="4" a="1"/>
  <c r="E195" i="4" s="1"/>
  <c r="F209" i="4" a="1"/>
  <c r="F209" i="4" s="1"/>
  <c r="H218" i="14" s="1" a="1"/>
  <c r="H218" i="14" s="1"/>
  <c r="F225" i="4" a="1"/>
  <c r="F225" i="4" s="1"/>
  <c r="H234" i="14" s="1" a="1"/>
  <c r="H234" i="14" s="1"/>
  <c r="F253" i="4" a="1"/>
  <c r="F253" i="4" s="1"/>
  <c r="A379" i="4"/>
  <c r="E111" i="3" s="1" a="1"/>
  <c r="E111" i="3" s="1"/>
  <c r="H442" i="11" a="1"/>
  <c r="H442" i="11" s="1"/>
  <c r="A82" i="5" a="1"/>
  <c r="A82" i="5" s="1"/>
  <c r="C13" i="6"/>
  <c r="B13" i="6"/>
  <c r="C40" i="6"/>
  <c r="C45" i="6"/>
  <c r="B45" i="6"/>
  <c r="D45" i="6" s="1"/>
  <c r="E45" i="6" s="1"/>
  <c r="B15" i="10" a="1"/>
  <c r="B15" i="10" s="1"/>
  <c r="O38" i="10"/>
  <c r="P48" i="10"/>
  <c r="N48" i="10"/>
  <c r="M48" i="10"/>
  <c r="J48" i="10"/>
  <c r="I48" i="10"/>
  <c r="H48" i="10"/>
  <c r="E48" i="10"/>
  <c r="N73" i="10"/>
  <c r="M73" i="10"/>
  <c r="O73" i="10"/>
  <c r="L73" i="10"/>
  <c r="K73" i="10"/>
  <c r="I73" i="10"/>
  <c r="H73" i="10"/>
  <c r="N79" i="10"/>
  <c r="M79" i="10"/>
  <c r="F79" i="10"/>
  <c r="E79" i="10"/>
  <c r="B79" i="10" a="1"/>
  <c r="B79" i="10" s="1"/>
  <c r="B2" i="11"/>
  <c r="B5" i="11"/>
  <c r="B20" i="11"/>
  <c r="H68" i="11" a="1"/>
  <c r="H68" i="11" s="1"/>
  <c r="H78" i="11" a="1"/>
  <c r="H78" i="11" s="1"/>
  <c r="H115" i="11" a="1"/>
  <c r="H115" i="11" s="1"/>
  <c r="L115" i="11" a="1"/>
  <c r="L115" i="11" s="1"/>
  <c r="L138" i="11" a="1"/>
  <c r="L138" i="11" s="1"/>
  <c r="H138" i="11" a="1"/>
  <c r="H138" i="11" s="1"/>
  <c r="H146" i="11" a="1"/>
  <c r="H146" i="11" s="1"/>
  <c r="L151" i="11" a="1"/>
  <c r="L151" i="11" s="1"/>
  <c r="H152" i="11" a="1"/>
  <c r="H152" i="11" s="1"/>
  <c r="H163" i="11" a="1"/>
  <c r="H163" i="11" s="1"/>
  <c r="H173" i="11" a="1"/>
  <c r="H173" i="11" s="1"/>
  <c r="B184" i="11"/>
  <c r="L235" i="11" a="1"/>
  <c r="L235" i="11" s="1"/>
  <c r="H235" i="11" a="1"/>
  <c r="H235" i="11" s="1"/>
  <c r="L254" i="11" a="1"/>
  <c r="L254" i="11" s="1"/>
  <c r="L261" i="11" a="1"/>
  <c r="L261" i="11" s="1"/>
  <c r="H261" i="11" a="1"/>
  <c r="H261" i="11" s="1"/>
  <c r="H269" i="11" a="1"/>
  <c r="H269" i="11" s="1"/>
  <c r="L317" i="11" a="1"/>
  <c r="L317" i="11" s="1"/>
  <c r="L369" i="11" a="1"/>
  <c r="L369" i="11" s="1"/>
  <c r="L388" i="11" a="1"/>
  <c r="L388" i="11" s="1"/>
  <c r="H388" i="11" a="1"/>
  <c r="H388" i="11" s="1"/>
  <c r="H512" i="11" a="1"/>
  <c r="H512" i="11" s="1"/>
  <c r="I512" i="11"/>
  <c r="M512" i="11"/>
  <c r="L512" i="11" a="1"/>
  <c r="L512" i="11" s="1"/>
  <c r="I575" i="11"/>
  <c r="H575" i="11" a="1"/>
  <c r="H575" i="11" s="1"/>
  <c r="M575" i="11"/>
  <c r="L575" i="11" a="1"/>
  <c r="L575" i="11" s="1"/>
  <c r="H718" i="11" a="1"/>
  <c r="H718" i="11" s="1"/>
  <c r="I718" i="11"/>
  <c r="M718" i="11"/>
  <c r="L718" i="11" a="1"/>
  <c r="L718" i="11" s="1"/>
  <c r="H722" i="11" a="1"/>
  <c r="H722" i="11" s="1"/>
  <c r="M722" i="11"/>
  <c r="L722" i="11" a="1"/>
  <c r="L722" i="11" s="1"/>
  <c r="L747" i="11" a="1"/>
  <c r="L747" i="11" s="1"/>
  <c r="I747" i="11"/>
  <c r="H747" i="11" a="1"/>
  <c r="H747" i="11" s="1"/>
  <c r="M747" i="11"/>
  <c r="H802" i="11" a="1"/>
  <c r="H802" i="11" s="1"/>
  <c r="I802" i="11"/>
  <c r="H834" i="11" a="1"/>
  <c r="H834" i="11" s="1"/>
  <c r="M834" i="11"/>
  <c r="L834" i="11" a="1"/>
  <c r="L834" i="11" s="1"/>
  <c r="I834" i="11"/>
  <c r="E3" i="16"/>
  <c r="E4" i="16"/>
  <c r="U3" i="16"/>
  <c r="U4" i="16"/>
  <c r="AB11" i="16"/>
  <c r="AB10" i="16"/>
  <c r="R782" i="3" a="1"/>
  <c r="R782" i="3" s="1"/>
  <c r="O782" i="3" a="1"/>
  <c r="O782" i="3" s="1"/>
  <c r="K791" i="3" a="1"/>
  <c r="K791" i="3" s="1"/>
  <c r="M791" i="3" s="1"/>
  <c r="J791" i="3" a="1"/>
  <c r="J791" i="3" s="1"/>
  <c r="V791" i="3" a="1"/>
  <c r="V791" i="3" s="1"/>
  <c r="A81" i="5" a="1"/>
  <c r="A81" i="5" s="1"/>
  <c r="A647" i="5" a="1"/>
  <c r="A647" i="5" s="1"/>
  <c r="C60" i="6"/>
  <c r="B60" i="6"/>
  <c r="B75" i="6"/>
  <c r="B130" i="6"/>
  <c r="C145" i="6"/>
  <c r="G13" i="7"/>
  <c r="G18" i="7"/>
  <c r="G66" i="7"/>
  <c r="B11" i="10" a="1"/>
  <c r="B11" i="10" s="1"/>
  <c r="O34" i="10"/>
  <c r="P44" i="10"/>
  <c r="N44" i="10"/>
  <c r="M44" i="10"/>
  <c r="J44" i="10"/>
  <c r="I44" i="10"/>
  <c r="H44" i="10"/>
  <c r="E44" i="10"/>
  <c r="P69" i="10"/>
  <c r="N69" i="10"/>
  <c r="M69" i="10"/>
  <c r="O69" i="10"/>
  <c r="L69" i="10"/>
  <c r="K69" i="10"/>
  <c r="I69" i="10"/>
  <c r="H69" i="10"/>
  <c r="N75" i="10"/>
  <c r="M75" i="10"/>
  <c r="E75" i="10"/>
  <c r="B75" i="10" a="1"/>
  <c r="B75" i="10" s="1"/>
  <c r="L102" i="11" a="1"/>
  <c r="L102" i="11" s="1"/>
  <c r="H102" i="11" a="1"/>
  <c r="H102" i="11" s="1"/>
  <c r="L243" i="11" a="1"/>
  <c r="L243" i="11" s="1"/>
  <c r="H243" i="11" a="1"/>
  <c r="H243" i="11" s="1"/>
  <c r="L281" i="11" a="1"/>
  <c r="L281" i="11" s="1"/>
  <c r="H281" i="11" a="1"/>
  <c r="H281" i="11" s="1"/>
  <c r="L304" i="11" a="1"/>
  <c r="L304" i="11" s="1"/>
  <c r="H304" i="11" a="1"/>
  <c r="H304" i="11" s="1"/>
  <c r="L318" i="11" a="1"/>
  <c r="L318" i="11" s="1"/>
  <c r="H318" i="11" a="1"/>
  <c r="H318" i="11" s="1"/>
  <c r="H329" i="11" a="1"/>
  <c r="H329" i="11" s="1"/>
  <c r="L348" i="11" a="1"/>
  <c r="L348" i="11" s="1"/>
  <c r="H348" i="11" a="1"/>
  <c r="H348" i="11" s="1"/>
  <c r="B376" i="11"/>
  <c r="L410" i="11" a="1"/>
  <c r="L410" i="11" s="1"/>
  <c r="H410" i="11" a="1"/>
  <c r="H410" i="11" s="1"/>
  <c r="L417" i="11" a="1"/>
  <c r="L417" i="11" s="1"/>
  <c r="H417" i="11" a="1"/>
  <c r="H417" i="11" s="1"/>
  <c r="H461" i="11" a="1"/>
  <c r="H461" i="11" s="1"/>
  <c r="L461" i="11" a="1"/>
  <c r="L461" i="11" s="1"/>
  <c r="L465" i="11" a="1"/>
  <c r="L465" i="11" s="1"/>
  <c r="L536" i="11" a="1"/>
  <c r="L536" i="11" s="1"/>
  <c r="M543" i="11"/>
  <c r="L543" i="11" a="1"/>
  <c r="L543" i="11" s="1"/>
  <c r="I543" i="11"/>
  <c r="H543" i="11" a="1"/>
  <c r="H543" i="11" s="1"/>
  <c r="M643" i="11"/>
  <c r="L643" i="11" a="1"/>
  <c r="L643" i="11" s="1"/>
  <c r="I643" i="11"/>
  <c r="H643" i="11" a="1"/>
  <c r="H643" i="11" s="1"/>
  <c r="L708" i="11" a="1"/>
  <c r="L708" i="11" s="1"/>
  <c r="F3" i="16"/>
  <c r="F4" i="16"/>
  <c r="V3" i="16"/>
  <c r="V4" i="16"/>
  <c r="L10" i="16"/>
  <c r="O725" i="3" a="1"/>
  <c r="O725" i="3" s="1"/>
  <c r="K725" i="3" a="1"/>
  <c r="K725" i="3" s="1"/>
  <c r="M725" i="3" s="1"/>
  <c r="R779" i="3" a="1"/>
  <c r="R779" i="3" s="1"/>
  <c r="H361" i="11" a="1"/>
  <c r="H361" i="11" s="1"/>
  <c r="A89" i="4"/>
  <c r="E265" i="3" s="1" a="1"/>
  <c r="E265" i="3" s="1"/>
  <c r="A121" i="4"/>
  <c r="E711" i="3" s="1" a="1"/>
  <c r="E711" i="3" s="1"/>
  <c r="H441" i="11" a="1"/>
  <c r="H441" i="11" s="1"/>
  <c r="H393" i="11" a="1"/>
  <c r="H393" i="11" s="1"/>
  <c r="A169" i="4"/>
  <c r="E182" i="3" s="1" a="1"/>
  <c r="E182" i="3" s="1"/>
  <c r="H46" i="11" a="1"/>
  <c r="H46" i="11" s="1"/>
  <c r="F207" i="4" a="1"/>
  <c r="F207" i="4" s="1"/>
  <c r="F223" i="4" a="1"/>
  <c r="F223" i="4" s="1"/>
  <c r="A78" i="5" a="1"/>
  <c r="A78" i="5" s="1"/>
  <c r="B19" i="6"/>
  <c r="B37" i="6"/>
  <c r="D37" i="6" s="1"/>
  <c r="E37" i="6" s="1"/>
  <c r="B90" i="6"/>
  <c r="D90" i="6" s="1"/>
  <c r="E90" i="6" s="1"/>
  <c r="B105" i="6"/>
  <c r="D105" i="6" s="1"/>
  <c r="E105" i="6" s="1"/>
  <c r="B110" i="6"/>
  <c r="D110" i="6" s="1"/>
  <c r="E110" i="6" s="1"/>
  <c r="B115" i="6"/>
  <c r="D115" i="6" s="1"/>
  <c r="E115" i="6" s="1"/>
  <c r="C120" i="6"/>
  <c r="C125" i="6"/>
  <c r="B125" i="6"/>
  <c r="D125" i="6" s="1"/>
  <c r="E125" i="6" s="1"/>
  <c r="B162" i="6"/>
  <c r="B167" i="6"/>
  <c r="G6" i="7"/>
  <c r="P137" i="6" a="1"/>
  <c r="P137" i="6" s="1"/>
  <c r="Q137" i="6" s="1"/>
  <c r="R306" i="3" s="1" a="1"/>
  <c r="R306" i="3" s="1"/>
  <c r="B5" i="10" a="1"/>
  <c r="B5" i="10" s="1"/>
  <c r="B7" i="10" a="1"/>
  <c r="B7" i="10" s="1"/>
  <c r="O30" i="10"/>
  <c r="P40" i="10"/>
  <c r="N40" i="10"/>
  <c r="J40" i="10"/>
  <c r="I40" i="10"/>
  <c r="H40" i="10"/>
  <c r="E40" i="10"/>
  <c r="E42" i="10"/>
  <c r="B44" i="10" a="1"/>
  <c r="B44" i="10" s="1"/>
  <c r="P65" i="10"/>
  <c r="N65" i="10"/>
  <c r="M65" i="10"/>
  <c r="O65" i="10"/>
  <c r="K65" i="10"/>
  <c r="I65" i="10"/>
  <c r="H65" i="10"/>
  <c r="B69" i="10" a="1"/>
  <c r="B69" i="10" s="1"/>
  <c r="P71" i="10"/>
  <c r="N71" i="10"/>
  <c r="E71" i="10"/>
  <c r="B71" i="10" a="1"/>
  <c r="B71" i="10" s="1"/>
  <c r="H79" i="10"/>
  <c r="L14" i="11" a="1"/>
  <c r="L14" i="11" s="1"/>
  <c r="H14" i="11" a="1"/>
  <c r="H14" i="11" s="1"/>
  <c r="L58" i="11" a="1"/>
  <c r="L58" i="11" s="1"/>
  <c r="H58" i="11" a="1"/>
  <c r="H58" i="11" s="1"/>
  <c r="L69" i="11" a="1"/>
  <c r="L69" i="11" s="1"/>
  <c r="H69" i="11" a="1"/>
  <c r="H69" i="11" s="1"/>
  <c r="L90" i="11" a="1"/>
  <c r="L90" i="11" s="1"/>
  <c r="H90" i="11" a="1"/>
  <c r="H90" i="11" s="1"/>
  <c r="L103" i="11" a="1"/>
  <c r="L103" i="11" s="1"/>
  <c r="H104" i="11" a="1"/>
  <c r="H104" i="11" s="1"/>
  <c r="H157" i="11" a="1"/>
  <c r="H157" i="11" s="1"/>
  <c r="L157" i="11" a="1"/>
  <c r="L157" i="11" s="1"/>
  <c r="B171" i="11"/>
  <c r="B179" i="11"/>
  <c r="L244" i="11" a="1"/>
  <c r="L244" i="11" s="1"/>
  <c r="H244" i="11" a="1"/>
  <c r="H244" i="11" s="1"/>
  <c r="L245" i="11" a="1"/>
  <c r="L245" i="11" s="1"/>
  <c r="H245" i="11" a="1"/>
  <c r="H245" i="11" s="1"/>
  <c r="B318" i="11"/>
  <c r="H342" i="11" a="1"/>
  <c r="H342" i="11" s="1"/>
  <c r="B348" i="11"/>
  <c r="H405" i="11" a="1"/>
  <c r="H405" i="11" s="1"/>
  <c r="L411" i="11" a="1"/>
  <c r="L411" i="11" s="1"/>
  <c r="H411" i="11" a="1"/>
  <c r="H411" i="11" s="1"/>
  <c r="H437" i="11" a="1"/>
  <c r="H437" i="11" s="1"/>
  <c r="H654" i="11" a="1"/>
  <c r="H654" i="11" s="1"/>
  <c r="I654" i="11"/>
  <c r="L693" i="11" a="1"/>
  <c r="L693" i="11" s="1"/>
  <c r="H714" i="11" a="1"/>
  <c r="H714" i="11" s="1"/>
  <c r="I714" i="11"/>
  <c r="L779" i="11" a="1"/>
  <c r="L779" i="11" s="1"/>
  <c r="I779" i="11"/>
  <c r="H779" i="11" a="1"/>
  <c r="H779" i="11" s="1"/>
  <c r="I899" i="11"/>
  <c r="H899" i="11" a="1"/>
  <c r="H899" i="11" s="1"/>
  <c r="H910" i="11" a="1"/>
  <c r="H910" i="11" s="1"/>
  <c r="I910" i="11"/>
  <c r="G4" i="16"/>
  <c r="G3" i="16"/>
  <c r="W3" i="16"/>
  <c r="W4" i="16"/>
  <c r="R605" i="3" a="1"/>
  <c r="R605" i="3" s="1"/>
  <c r="R682" i="3" a="1"/>
  <c r="R682" i="3" s="1"/>
  <c r="O682" i="3" a="1"/>
  <c r="O682" i="3" s="1"/>
  <c r="V694" i="3" a="1"/>
  <c r="V694" i="3" s="1"/>
  <c r="J731" i="3" a="1"/>
  <c r="J731" i="3" s="1"/>
  <c r="J782" i="3" a="1"/>
  <c r="J782" i="3" s="1"/>
  <c r="A38" i="5" a="1"/>
  <c r="A38" i="5" s="1"/>
  <c r="A77" i="5" a="1"/>
  <c r="A77" i="5" s="1"/>
  <c r="A99" i="5" a="1"/>
  <c r="A99" i="5" s="1"/>
  <c r="C28" i="6"/>
  <c r="B28" i="6"/>
  <c r="B34" i="6"/>
  <c r="D34" i="6" s="1"/>
  <c r="E34" i="6" s="1"/>
  <c r="B82" i="6"/>
  <c r="D82" i="6" s="1"/>
  <c r="E82" i="6" s="1"/>
  <c r="C97" i="6"/>
  <c r="C140" i="6"/>
  <c r="B140" i="6"/>
  <c r="D140" i="6" s="1"/>
  <c r="E140" i="6" s="1"/>
  <c r="B3" i="10" a="1"/>
  <c r="B3" i="10" s="1"/>
  <c r="B1" i="10"/>
  <c r="O26" i="10"/>
  <c r="P36" i="10"/>
  <c r="M36" i="10"/>
  <c r="J36" i="10"/>
  <c r="I36" i="10"/>
  <c r="H36" i="10"/>
  <c r="E36" i="10"/>
  <c r="K48" i="10"/>
  <c r="P61" i="10"/>
  <c r="N61" i="10"/>
  <c r="I61" i="10"/>
  <c r="H61" i="10"/>
  <c r="P67" i="10"/>
  <c r="N67" i="10"/>
  <c r="E67" i="10"/>
  <c r="B67" i="10" a="1"/>
  <c r="B67" i="10" s="1"/>
  <c r="E73" i="10"/>
  <c r="H75" i="10"/>
  <c r="I79" i="10"/>
  <c r="L41" i="11" a="1"/>
  <c r="L41" i="11" s="1"/>
  <c r="H41" i="11" a="1"/>
  <c r="H41" i="11" s="1"/>
  <c r="H44" i="11" a="1"/>
  <c r="H44" i="11" s="1"/>
  <c r="B58" i="11"/>
  <c r="H62" i="11" a="1"/>
  <c r="H62" i="11" s="1"/>
  <c r="L77" i="11" a="1"/>
  <c r="L77" i="11" s="1"/>
  <c r="H86" i="11" a="1"/>
  <c r="H86" i="11" s="1"/>
  <c r="B90" i="11"/>
  <c r="B131" i="11"/>
  <c r="B166" i="11"/>
  <c r="L168" i="11" a="1"/>
  <c r="L168" i="11" s="1"/>
  <c r="H202" i="11" a="1"/>
  <c r="H202" i="11" s="1"/>
  <c r="L229" i="11" a="1"/>
  <c r="L229" i="11" s="1"/>
  <c r="H229" i="11" a="1"/>
  <c r="H229" i="11" s="1"/>
  <c r="L241" i="11" a="1"/>
  <c r="L241" i="11" s="1"/>
  <c r="H241" i="11" a="1"/>
  <c r="H241" i="11" s="1"/>
  <c r="L256" i="11" a="1"/>
  <c r="L256" i="11" s="1"/>
  <c r="H256" i="11" a="1"/>
  <c r="H256" i="11" s="1"/>
  <c r="L282" i="11" a="1"/>
  <c r="L282" i="11" s="1"/>
  <c r="H282" i="11" a="1"/>
  <c r="H282" i="11" s="1"/>
  <c r="L297" i="11" a="1"/>
  <c r="L297" i="11" s="1"/>
  <c r="H307" i="11" a="1"/>
  <c r="H307" i="11" s="1"/>
  <c r="L329" i="11" a="1"/>
  <c r="L329" i="11" s="1"/>
  <c r="H455" i="11" a="1"/>
  <c r="H455" i="11" s="1"/>
  <c r="L455" i="11" a="1"/>
  <c r="L455" i="11" s="1"/>
  <c r="I509" i="11"/>
  <c r="H509" i="11" a="1"/>
  <c r="H509" i="11" s="1"/>
  <c r="M509" i="11"/>
  <c r="L509" i="11" a="1"/>
  <c r="L509" i="11" s="1"/>
  <c r="L513" i="11" a="1"/>
  <c r="L513" i="11" s="1"/>
  <c r="I513" i="11"/>
  <c r="H513" i="11" a="1"/>
  <c r="H513" i="11" s="1"/>
  <c r="H672" i="11" a="1"/>
  <c r="H672" i="11" s="1"/>
  <c r="M672" i="11"/>
  <c r="L672" i="11" a="1"/>
  <c r="L672" i="11" s="1"/>
  <c r="I672" i="11"/>
  <c r="H708" i="11" a="1"/>
  <c r="H708" i="11" s="1"/>
  <c r="I708" i="11"/>
  <c r="H892" i="11" a="1"/>
  <c r="H892" i="11" s="1"/>
  <c r="L892" i="11" a="1"/>
  <c r="L892" i="11" s="1"/>
  <c r="I892" i="11"/>
  <c r="M892" i="11"/>
  <c r="O727" i="3" a="1"/>
  <c r="O727" i="3" s="1"/>
  <c r="J727" i="3" a="1"/>
  <c r="J727" i="3" s="1"/>
  <c r="V733" i="3" a="1"/>
  <c r="V733" i="3" s="1"/>
  <c r="O791" i="3" a="1"/>
  <c r="O791" i="3" s="1"/>
  <c r="A37" i="5" a="1"/>
  <c r="A37" i="5" s="1"/>
  <c r="A98" i="5" a="1"/>
  <c r="A98" i="5" s="1"/>
  <c r="B9" i="6"/>
  <c r="C24" i="6"/>
  <c r="B42" i="6"/>
  <c r="B57" i="6"/>
  <c r="D57" i="6" s="1"/>
  <c r="E57" i="6" s="1"/>
  <c r="B62" i="6"/>
  <c r="D62" i="6" s="1"/>
  <c r="E62" i="6" s="1"/>
  <c r="B67" i="6"/>
  <c r="C72" i="6"/>
  <c r="C77" i="6"/>
  <c r="B77" i="6"/>
  <c r="D77" i="6" s="1"/>
  <c r="E77" i="6" s="1"/>
  <c r="B117" i="6"/>
  <c r="D117" i="6" s="1"/>
  <c r="E117" i="6" s="1"/>
  <c r="B157" i="6"/>
  <c r="B164" i="6"/>
  <c r="G64" i="7"/>
  <c r="P32" i="10"/>
  <c r="N32" i="10"/>
  <c r="M32" i="10"/>
  <c r="J32" i="10"/>
  <c r="I32" i="10"/>
  <c r="H32" i="10"/>
  <c r="E32" i="10"/>
  <c r="E34" i="10"/>
  <c r="B36" i="10" a="1"/>
  <c r="B36" i="10" s="1"/>
  <c r="K44" i="10"/>
  <c r="L48" i="10"/>
  <c r="P57" i="10"/>
  <c r="N57" i="10"/>
  <c r="L57" i="10"/>
  <c r="I57" i="10"/>
  <c r="H57" i="10"/>
  <c r="B61" i="10" a="1"/>
  <c r="B61" i="10" s="1"/>
  <c r="P63" i="10"/>
  <c r="N63" i="10"/>
  <c r="M63" i="10"/>
  <c r="E63" i="10"/>
  <c r="B63" i="10" a="1"/>
  <c r="B63" i="10" s="1"/>
  <c r="E69" i="10"/>
  <c r="I75" i="10"/>
  <c r="J79" i="10"/>
  <c r="O86" i="10"/>
  <c r="L15" i="11" a="1"/>
  <c r="L15" i="11" s="1"/>
  <c r="H50" i="11" a="1"/>
  <c r="H50" i="11" s="1"/>
  <c r="L55" i="11" a="1"/>
  <c r="L55" i="11" s="1"/>
  <c r="H81" i="11" a="1"/>
  <c r="H81" i="11" s="1"/>
  <c r="L87" i="11" a="1"/>
  <c r="L87" i="11" s="1"/>
  <c r="H87" i="11" a="1"/>
  <c r="H87" i="11" s="1"/>
  <c r="H94" i="11" a="1"/>
  <c r="H94" i="11" s="1"/>
  <c r="L133" i="11" a="1"/>
  <c r="L133" i="11" s="1"/>
  <c r="H133" i="11" a="1"/>
  <c r="H133" i="11" s="1"/>
  <c r="L135" i="11" a="1"/>
  <c r="L135" i="11" s="1"/>
  <c r="H135" i="11" a="1"/>
  <c r="H135" i="11" s="1"/>
  <c r="B168" i="11"/>
  <c r="L186" i="11" a="1"/>
  <c r="L186" i="11" s="1"/>
  <c r="H186" i="11" a="1"/>
  <c r="H186" i="11" s="1"/>
  <c r="H219" i="11" a="1"/>
  <c r="H219" i="11" s="1"/>
  <c r="L219" i="11" a="1"/>
  <c r="L219" i="11" s="1"/>
  <c r="L230" i="11" a="1"/>
  <c r="L230" i="11" s="1"/>
  <c r="H230" i="11" a="1"/>
  <c r="H230" i="11" s="1"/>
  <c r="B248" i="11"/>
  <c r="H271" i="11" a="1"/>
  <c r="H271" i="11" s="1"/>
  <c r="L271" i="11" a="1"/>
  <c r="L271" i="11" s="1"/>
  <c r="L273" i="11" a="1"/>
  <c r="L273" i="11" s="1"/>
  <c r="H273" i="11" a="1"/>
  <c r="H273" i="11" s="1"/>
  <c r="H278" i="11" a="1"/>
  <c r="H278" i="11" s="1"/>
  <c r="L278" i="11" a="1"/>
  <c r="L278" i="11" s="1"/>
  <c r="L283" i="11" a="1"/>
  <c r="L283" i="11" s="1"/>
  <c r="H283" i="11" a="1"/>
  <c r="H283" i="11" s="1"/>
  <c r="B285" i="11"/>
  <c r="H285" i="11" a="1"/>
  <c r="H285" i="11" s="1"/>
  <c r="B357" i="11"/>
  <c r="B378" i="11"/>
  <c r="L380" i="11" a="1"/>
  <c r="L380" i="11" s="1"/>
  <c r="H380" i="11" a="1"/>
  <c r="H380" i="11" s="1"/>
  <c r="H448" i="11" a="1"/>
  <c r="H448" i="11" s="1"/>
  <c r="L448" i="11" a="1"/>
  <c r="L448" i="11" s="1"/>
  <c r="H466" i="11" a="1"/>
  <c r="H466" i="11" s="1"/>
  <c r="L466" i="11" a="1"/>
  <c r="L466" i="11" s="1"/>
  <c r="I529" i="11"/>
  <c r="H529" i="11" a="1"/>
  <c r="H529" i="11" s="1"/>
  <c r="H532" i="11" a="1"/>
  <c r="H532" i="11" s="1"/>
  <c r="I532" i="11"/>
  <c r="H690" i="11" a="1"/>
  <c r="H690" i="11" s="1"/>
  <c r="M690" i="11"/>
  <c r="L690" i="11" a="1"/>
  <c r="L690" i="11" s="1"/>
  <c r="I701" i="11"/>
  <c r="H701" i="11" a="1"/>
  <c r="H701" i="11" s="1"/>
  <c r="M701" i="11"/>
  <c r="L701" i="11" a="1"/>
  <c r="L701" i="11" s="1"/>
  <c r="L715" i="11" a="1"/>
  <c r="L715" i="11" s="1"/>
  <c r="M715" i="11"/>
  <c r="I715" i="11"/>
  <c r="H715" i="11" a="1"/>
  <c r="H715" i="11" s="1"/>
  <c r="J605" i="3" a="1"/>
  <c r="J605" i="3" s="1"/>
  <c r="J682" i="3" a="1"/>
  <c r="J682" i="3" s="1"/>
  <c r="J691" i="3" a="1"/>
  <c r="J691" i="3" s="1"/>
  <c r="K782" i="3" a="1"/>
  <c r="K782" i="3" s="1"/>
  <c r="M782" i="3" s="1"/>
  <c r="O786" i="3" a="1"/>
  <c r="O786" i="3" s="1"/>
  <c r="K786" i="3" a="1"/>
  <c r="K786" i="3" s="1"/>
  <c r="M786" i="3" s="1"/>
  <c r="K789" i="3" a="1"/>
  <c r="K789" i="3" s="1"/>
  <c r="M789" i="3" s="1"/>
  <c r="A36" i="5" a="1"/>
  <c r="A36" i="5" s="1"/>
  <c r="A97" i="5" a="1"/>
  <c r="A97" i="5" s="1"/>
  <c r="J732" i="3" a="1"/>
  <c r="J732" i="3" s="1"/>
  <c r="V719" i="3" a="1"/>
  <c r="V719" i="3" s="1"/>
  <c r="V718" i="3" a="1"/>
  <c r="V718" i="3" s="1"/>
  <c r="V717" i="3" a="1"/>
  <c r="V717" i="3" s="1"/>
  <c r="V716" i="3" a="1"/>
  <c r="V716" i="3" s="1"/>
  <c r="V715" i="3" a="1"/>
  <c r="V715" i="3" s="1"/>
  <c r="V714" i="3" a="1"/>
  <c r="V714" i="3" s="1"/>
  <c r="V713" i="3" a="1"/>
  <c r="V713" i="3" s="1"/>
  <c r="V712" i="3" a="1"/>
  <c r="V712" i="3" s="1"/>
  <c r="V711" i="3" a="1"/>
  <c r="V711" i="3" s="1"/>
  <c r="V710" i="3" a="1"/>
  <c r="V710" i="3" s="1"/>
  <c r="V709" i="3" a="1"/>
  <c r="V709" i="3" s="1"/>
  <c r="V708" i="3" a="1"/>
  <c r="V708" i="3" s="1"/>
  <c r="V707" i="3" a="1"/>
  <c r="V707" i="3" s="1"/>
  <c r="V706" i="3" a="1"/>
  <c r="V706" i="3" s="1"/>
  <c r="V705" i="3" a="1"/>
  <c r="V705" i="3" s="1"/>
  <c r="V704" i="3" a="1"/>
  <c r="V704" i="3" s="1"/>
  <c r="V703" i="3" a="1"/>
  <c r="V703" i="3" s="1"/>
  <c r="V702" i="3" a="1"/>
  <c r="V702" i="3" s="1"/>
  <c r="V701" i="3" a="1"/>
  <c r="V701" i="3" s="1"/>
  <c r="V700" i="3" a="1"/>
  <c r="V700" i="3" s="1"/>
  <c r="V699" i="3" a="1"/>
  <c r="V699" i="3" s="1"/>
  <c r="V698" i="3" a="1"/>
  <c r="V698" i="3" s="1"/>
  <c r="V697" i="3" a="1"/>
  <c r="V697" i="3" s="1"/>
  <c r="V696" i="3" a="1"/>
  <c r="V696" i="3" s="1"/>
  <c r="J692" i="3" a="1"/>
  <c r="J692" i="3" s="1"/>
  <c r="J795" i="3" a="1"/>
  <c r="J795" i="3" s="1"/>
  <c r="J794" i="3" a="1"/>
  <c r="J794" i="3" s="1"/>
  <c r="J793" i="3" a="1"/>
  <c r="J793" i="3" s="1"/>
  <c r="K790" i="3" a="1"/>
  <c r="K790" i="3" s="1"/>
  <c r="M790" i="3" s="1"/>
  <c r="V779" i="3" a="1"/>
  <c r="V779" i="3" s="1"/>
  <c r="K729" i="3" a="1"/>
  <c r="K729" i="3" s="1"/>
  <c r="M729" i="3" s="1"/>
  <c r="K689" i="3" a="1"/>
  <c r="K689" i="3" s="1"/>
  <c r="M689" i="3" s="1"/>
  <c r="V778" i="3" a="1"/>
  <c r="V778" i="3" s="1"/>
  <c r="V777" i="3" a="1"/>
  <c r="V777" i="3" s="1"/>
  <c r="V776" i="3" a="1"/>
  <c r="V776" i="3" s="1"/>
  <c r="V775" i="3" a="1"/>
  <c r="V775" i="3" s="1"/>
  <c r="V774" i="3" a="1"/>
  <c r="V774" i="3" s="1"/>
  <c r="V773" i="3" a="1"/>
  <c r="V773" i="3" s="1"/>
  <c r="V772" i="3" a="1"/>
  <c r="V772" i="3" s="1"/>
  <c r="V771" i="3" a="1"/>
  <c r="V771" i="3" s="1"/>
  <c r="V770" i="3" a="1"/>
  <c r="V770" i="3" s="1"/>
  <c r="V769" i="3" a="1"/>
  <c r="V769" i="3" s="1"/>
  <c r="V768" i="3" a="1"/>
  <c r="V768" i="3" s="1"/>
  <c r="V767" i="3" a="1"/>
  <c r="V767" i="3" s="1"/>
  <c r="V766" i="3" a="1"/>
  <c r="V766" i="3" s="1"/>
  <c r="V765" i="3" a="1"/>
  <c r="V765" i="3" s="1"/>
  <c r="V764" i="3" a="1"/>
  <c r="V764" i="3" s="1"/>
  <c r="V763" i="3" a="1"/>
  <c r="V763" i="3" s="1"/>
  <c r="V762" i="3" a="1"/>
  <c r="V762" i="3" s="1"/>
  <c r="V761" i="3" a="1"/>
  <c r="V761" i="3" s="1"/>
  <c r="V760" i="3" a="1"/>
  <c r="V760" i="3" s="1"/>
  <c r="V759" i="3" a="1"/>
  <c r="V759" i="3" s="1"/>
  <c r="V758" i="3" a="1"/>
  <c r="V758" i="3" s="1"/>
  <c r="V757" i="3" a="1"/>
  <c r="V757" i="3" s="1"/>
  <c r="V756" i="3" a="1"/>
  <c r="V756" i="3" s="1"/>
  <c r="V755" i="3" a="1"/>
  <c r="V755" i="3" s="1"/>
  <c r="V754" i="3" a="1"/>
  <c r="V754" i="3" s="1"/>
  <c r="V753" i="3" a="1"/>
  <c r="V753" i="3" s="1"/>
  <c r="V752" i="3" a="1"/>
  <c r="V752" i="3" s="1"/>
  <c r="V751" i="3" a="1"/>
  <c r="V751" i="3" s="1"/>
  <c r="V750" i="3" a="1"/>
  <c r="V750" i="3" s="1"/>
  <c r="V749" i="3" a="1"/>
  <c r="V749" i="3" s="1"/>
  <c r="V748" i="3" a="1"/>
  <c r="V748" i="3" s="1"/>
  <c r="V747" i="3" a="1"/>
  <c r="V747" i="3" s="1"/>
  <c r="V746" i="3" a="1"/>
  <c r="V746" i="3" s="1"/>
  <c r="V745" i="3" a="1"/>
  <c r="V745" i="3" s="1"/>
  <c r="V744" i="3" a="1"/>
  <c r="V744" i="3" s="1"/>
  <c r="V743" i="3" a="1"/>
  <c r="V743" i="3" s="1"/>
  <c r="V742" i="3" a="1"/>
  <c r="V742" i="3" s="1"/>
  <c r="V741" i="3" a="1"/>
  <c r="V741" i="3" s="1"/>
  <c r="V740" i="3" a="1"/>
  <c r="V740" i="3" s="1"/>
  <c r="V739" i="3" a="1"/>
  <c r="V739" i="3" s="1"/>
  <c r="V738" i="3" a="1"/>
  <c r="V738" i="3" s="1"/>
  <c r="V737" i="3" a="1"/>
  <c r="V737" i="3" s="1"/>
  <c r="V736" i="3" a="1"/>
  <c r="V736" i="3" s="1"/>
  <c r="V735" i="3" a="1"/>
  <c r="V735" i="3" s="1"/>
  <c r="V734" i="3" a="1"/>
  <c r="V734" i="3" s="1"/>
  <c r="R673" i="3" a="1"/>
  <c r="R673" i="3" s="1"/>
  <c r="R672" i="3" a="1"/>
  <c r="R672" i="3" s="1"/>
  <c r="R671" i="3" a="1"/>
  <c r="R671" i="3" s="1"/>
  <c r="R670" i="3" a="1"/>
  <c r="R670" i="3" s="1"/>
  <c r="R669" i="3" a="1"/>
  <c r="R669" i="3" s="1"/>
  <c r="R668" i="3" a="1"/>
  <c r="R668" i="3" s="1"/>
  <c r="R667" i="3" a="1"/>
  <c r="R667" i="3" s="1"/>
  <c r="R666" i="3" a="1"/>
  <c r="R666" i="3" s="1"/>
  <c r="R665" i="3" a="1"/>
  <c r="R665" i="3" s="1"/>
  <c r="R664" i="3" a="1"/>
  <c r="R664" i="3" s="1"/>
  <c r="R661" i="3" a="1"/>
  <c r="R661" i="3" s="1"/>
  <c r="R660" i="3" a="1"/>
  <c r="R660" i="3" s="1"/>
  <c r="R656" i="3" a="1"/>
  <c r="R656" i="3" s="1"/>
  <c r="R655" i="3" a="1"/>
  <c r="R655" i="3" s="1"/>
  <c r="R654" i="3" a="1"/>
  <c r="R654" i="3" s="1"/>
  <c r="R653" i="3" a="1"/>
  <c r="R653" i="3" s="1"/>
  <c r="R652" i="3" a="1"/>
  <c r="R652" i="3" s="1"/>
  <c r="O650" i="3" a="1"/>
  <c r="O650" i="3" s="1"/>
  <c r="V646" i="3" a="1"/>
  <c r="V646" i="3" s="1"/>
  <c r="R644" i="3" a="1"/>
  <c r="R644" i="3" s="1"/>
  <c r="O642" i="3" a="1"/>
  <c r="O642" i="3" s="1"/>
  <c r="V638" i="3" a="1"/>
  <c r="V638" i="3" s="1"/>
  <c r="R636" i="3" a="1"/>
  <c r="R636" i="3" s="1"/>
  <c r="O634" i="3" a="1"/>
  <c r="O634" i="3" s="1"/>
  <c r="O633" i="3" a="1"/>
  <c r="O633" i="3" s="1"/>
  <c r="J790" i="3" a="1"/>
  <c r="J790" i="3" s="1"/>
  <c r="V732" i="3" a="1"/>
  <c r="V732" i="3" s="1"/>
  <c r="J729" i="3" a="1"/>
  <c r="J729" i="3" s="1"/>
  <c r="K650" i="3" a="1"/>
  <c r="K650" i="3" s="1"/>
  <c r="M650" i="3" s="1"/>
  <c r="J649" i="3" a="1"/>
  <c r="J649" i="3" s="1"/>
  <c r="K642" i="3" a="1"/>
  <c r="K642" i="3" s="1"/>
  <c r="M642" i="3" s="1"/>
  <c r="J641" i="3" a="1"/>
  <c r="J641" i="3" s="1"/>
  <c r="K634" i="3" a="1"/>
  <c r="K634" i="3" s="1"/>
  <c r="M634" i="3" s="1"/>
  <c r="K633" i="3" a="1"/>
  <c r="K633" i="3" s="1"/>
  <c r="M633" i="3" s="1"/>
  <c r="K632" i="3" a="1"/>
  <c r="K632" i="3" s="1"/>
  <c r="M632" i="3" s="1"/>
  <c r="K631" i="3" a="1"/>
  <c r="K631" i="3" s="1"/>
  <c r="M631" i="3" s="1"/>
  <c r="K630" i="3" a="1"/>
  <c r="K630" i="3" s="1"/>
  <c r="M630" i="3" s="1"/>
  <c r="K629" i="3" a="1"/>
  <c r="K629" i="3" s="1"/>
  <c r="M629" i="3" s="1"/>
  <c r="K628" i="3" a="1"/>
  <c r="K628" i="3" s="1"/>
  <c r="M628" i="3" s="1"/>
  <c r="K627" i="3" a="1"/>
  <c r="K627" i="3" s="1"/>
  <c r="M627" i="3" s="1"/>
  <c r="K626" i="3" a="1"/>
  <c r="K626" i="3" s="1"/>
  <c r="M626" i="3" s="1"/>
  <c r="K625" i="3" a="1"/>
  <c r="K625" i="3" s="1"/>
  <c r="M625" i="3" s="1"/>
  <c r="K624" i="3" a="1"/>
  <c r="K624" i="3" s="1"/>
  <c r="M624" i="3" s="1"/>
  <c r="K623" i="3" a="1"/>
  <c r="K623" i="3" s="1"/>
  <c r="M623" i="3" s="1"/>
  <c r="K622" i="3" a="1"/>
  <c r="K622" i="3" s="1"/>
  <c r="M622" i="3" s="1"/>
  <c r="K621" i="3" a="1"/>
  <c r="K621" i="3" s="1"/>
  <c r="M621" i="3" s="1"/>
  <c r="K620" i="3" a="1"/>
  <c r="K620" i="3" s="1"/>
  <c r="M620" i="3" s="1"/>
  <c r="K619" i="3" a="1"/>
  <c r="K619" i="3" s="1"/>
  <c r="M619" i="3" s="1"/>
  <c r="K618" i="3" a="1"/>
  <c r="K618" i="3" s="1"/>
  <c r="M618" i="3" s="1"/>
  <c r="K617" i="3" a="1"/>
  <c r="K617" i="3" s="1"/>
  <c r="M617" i="3" s="1"/>
  <c r="K616" i="3" a="1"/>
  <c r="K616" i="3" s="1"/>
  <c r="M616" i="3" s="1"/>
  <c r="K615" i="3" a="1"/>
  <c r="K615" i="3" s="1"/>
  <c r="M615" i="3" s="1"/>
  <c r="K614" i="3" a="1"/>
  <c r="K614" i="3" s="1"/>
  <c r="M614" i="3" s="1"/>
  <c r="K613" i="3" a="1"/>
  <c r="K613" i="3" s="1"/>
  <c r="M613" i="3" s="1"/>
  <c r="J598" i="3" a="1"/>
  <c r="J598" i="3" s="1"/>
  <c r="V790" i="3" a="1"/>
  <c r="V790" i="3" s="1"/>
  <c r="R778" i="3" a="1"/>
  <c r="R778" i="3" s="1"/>
  <c r="R777" i="3" a="1"/>
  <c r="R777" i="3" s="1"/>
  <c r="R776" i="3" a="1"/>
  <c r="R776" i="3" s="1"/>
  <c r="R775" i="3" a="1"/>
  <c r="R775" i="3" s="1"/>
  <c r="R774" i="3" a="1"/>
  <c r="R774" i="3" s="1"/>
  <c r="R773" i="3" a="1"/>
  <c r="R773" i="3" s="1"/>
  <c r="R772" i="3" a="1"/>
  <c r="R772" i="3" s="1"/>
  <c r="R771" i="3" a="1"/>
  <c r="R771" i="3" s="1"/>
  <c r="R770" i="3" a="1"/>
  <c r="R770" i="3" s="1"/>
  <c r="R769" i="3" a="1"/>
  <c r="R769" i="3" s="1"/>
  <c r="R756" i="3" a="1"/>
  <c r="R756" i="3" s="1"/>
  <c r="R755" i="3" a="1"/>
  <c r="R755" i="3" s="1"/>
  <c r="R754" i="3" a="1"/>
  <c r="R754" i="3" s="1"/>
  <c r="B24" i="6"/>
  <c r="C49" i="6"/>
  <c r="B72" i="6"/>
  <c r="D72" i="6" s="1"/>
  <c r="E72" i="6" s="1"/>
  <c r="C92" i="6"/>
  <c r="B92" i="6"/>
  <c r="D92" i="6" s="1"/>
  <c r="E92" i="6" s="1"/>
  <c r="B107" i="6"/>
  <c r="G30" i="7"/>
  <c r="M75" i="7"/>
  <c r="G93" i="7"/>
  <c r="P28" i="10"/>
  <c r="N28" i="10"/>
  <c r="J28" i="10"/>
  <c r="I28" i="10"/>
  <c r="H28" i="10"/>
  <c r="E28" i="10"/>
  <c r="L44" i="10"/>
  <c r="O48" i="10"/>
  <c r="P59" i="10"/>
  <c r="N59" i="10"/>
  <c r="E59" i="10"/>
  <c r="B59" i="10" a="1"/>
  <c r="B59" i="10" s="1"/>
  <c r="H67" i="10"/>
  <c r="J75" i="10"/>
  <c r="K79" i="10"/>
  <c r="O82" i="10"/>
  <c r="H5" i="11" a="1"/>
  <c r="H5" i="11" s="1"/>
  <c r="L30" i="11" a="1"/>
  <c r="L30" i="11" s="1"/>
  <c r="H30" i="11" a="1"/>
  <c r="H30" i="11" s="1"/>
  <c r="B55" i="11"/>
  <c r="L72" i="11" a="1"/>
  <c r="L72" i="11" s="1"/>
  <c r="H77" i="11" a="1"/>
  <c r="H77" i="11" s="1"/>
  <c r="B87" i="11"/>
  <c r="L105" i="11" a="1"/>
  <c r="L105" i="11" s="1"/>
  <c r="L109" i="11" a="1"/>
  <c r="L109" i="11" s="1"/>
  <c r="H109" i="11" a="1"/>
  <c r="H109" i="11" s="1"/>
  <c r="L125" i="11" a="1"/>
  <c r="L125" i="11" s="1"/>
  <c r="B133" i="11"/>
  <c r="L181" i="11" a="1"/>
  <c r="L181" i="11" s="1"/>
  <c r="H181" i="11" a="1"/>
  <c r="H181" i="11" s="1"/>
  <c r="B186" i="11"/>
  <c r="L213" i="11" a="1"/>
  <c r="L213" i="11" s="1"/>
  <c r="H213" i="11" a="1"/>
  <c r="H213" i="11" s="1"/>
  <c r="L225" i="11" a="1"/>
  <c r="L225" i="11" s="1"/>
  <c r="H225" i="11" a="1"/>
  <c r="H225" i="11" s="1"/>
  <c r="B230" i="11"/>
  <c r="B232" i="11"/>
  <c r="H232" i="11" a="1"/>
  <c r="H232" i="11" s="1"/>
  <c r="B263" i="11"/>
  <c r="H263" i="11" a="1"/>
  <c r="H263" i="11" s="1"/>
  <c r="B295" i="11"/>
  <c r="H295" i="11" a="1"/>
  <c r="H295" i="11" s="1"/>
  <c r="H297" i="11" a="1"/>
  <c r="H297" i="11" s="1"/>
  <c r="B323" i="11"/>
  <c r="L325" i="11" a="1"/>
  <c r="L325" i="11" s="1"/>
  <c r="H372" i="11" a="1"/>
  <c r="H372" i="11" s="1"/>
  <c r="H397" i="11" a="1"/>
  <c r="H397" i="11" s="1"/>
  <c r="L397" i="11" a="1"/>
  <c r="L397" i="11" s="1"/>
  <c r="H398" i="11" a="1"/>
  <c r="H398" i="11" s="1"/>
  <c r="L398" i="11" a="1"/>
  <c r="L398" i="11" s="1"/>
  <c r="H406" i="11" a="1"/>
  <c r="H406" i="11" s="1"/>
  <c r="L433" i="11" a="1"/>
  <c r="L433" i="11" s="1"/>
  <c r="H459" i="11" a="1"/>
  <c r="H459" i="11" s="1"/>
  <c r="L523" i="11" a="1"/>
  <c r="L523" i="11" s="1"/>
  <c r="M523" i="11"/>
  <c r="I523" i="11"/>
  <c r="H523" i="11" a="1"/>
  <c r="H523" i="11" s="1"/>
  <c r="M753" i="11"/>
  <c r="L753" i="11" a="1"/>
  <c r="L753" i="11" s="1"/>
  <c r="I753" i="11"/>
  <c r="H753" i="11" a="1"/>
  <c r="H753" i="11" s="1"/>
  <c r="L757" i="11" a="1"/>
  <c r="L757" i="11" s="1"/>
  <c r="I757" i="11"/>
  <c r="H757" i="11" a="1"/>
  <c r="H757" i="11" s="1"/>
  <c r="H384" i="11" a="1"/>
  <c r="H384" i="11" s="1"/>
  <c r="H440" i="11" a="1"/>
  <c r="H440" i="11" s="1"/>
  <c r="L35" i="11" a="1"/>
  <c r="L35" i="11" s="1"/>
  <c r="L85" i="11" a="1"/>
  <c r="L85" i="11" s="1"/>
  <c r="H85" i="11" a="1"/>
  <c r="H85" i="11" s="1"/>
  <c r="H108" i="11" a="1"/>
  <c r="H108" i="11" s="1"/>
  <c r="H110" i="11" a="1"/>
  <c r="H110" i="11" s="1"/>
  <c r="H116" i="11" a="1"/>
  <c r="H116" i="11" s="1"/>
  <c r="H137" i="11" a="1"/>
  <c r="H137" i="11" s="1"/>
  <c r="B156" i="11"/>
  <c r="H164" i="11" a="1"/>
  <c r="H164" i="11" s="1"/>
  <c r="L164" i="11" a="1"/>
  <c r="L164" i="11" s="1"/>
  <c r="H174" i="11" a="1"/>
  <c r="H174" i="11" s="1"/>
  <c r="H201" i="11" a="1"/>
  <c r="H201" i="11" s="1"/>
  <c r="H212" i="11" a="1"/>
  <c r="H212" i="11" s="1"/>
  <c r="H236" i="11" a="1"/>
  <c r="H236" i="11" s="1"/>
  <c r="B249" i="11"/>
  <c r="L260" i="11" a="1"/>
  <c r="L260" i="11" s="1"/>
  <c r="H260" i="11" a="1"/>
  <c r="H260" i="11" s="1"/>
  <c r="L307" i="11" a="1"/>
  <c r="L307" i="11" s="1"/>
  <c r="L314" i="11" a="1"/>
  <c r="L314" i="11" s="1"/>
  <c r="H314" i="11" a="1"/>
  <c r="H314" i="11" s="1"/>
  <c r="L336" i="11" a="1"/>
  <c r="L336" i="11" s="1"/>
  <c r="H336" i="11" a="1"/>
  <c r="H336" i="11" s="1"/>
  <c r="L363" i="11" a="1"/>
  <c r="L363" i="11" s="1"/>
  <c r="L377" i="11" a="1"/>
  <c r="L377" i="11" s="1"/>
  <c r="H377" i="11" a="1"/>
  <c r="H377" i="11" s="1"/>
  <c r="H383" i="11" a="1"/>
  <c r="H383" i="11" s="1"/>
  <c r="L383" i="11" a="1"/>
  <c r="L383" i="11" s="1"/>
  <c r="L404" i="11" a="1"/>
  <c r="L404" i="11" s="1"/>
  <c r="L422" i="11" a="1"/>
  <c r="L422" i="11" s="1"/>
  <c r="H458" i="11" a="1"/>
  <c r="H458" i="11" s="1"/>
  <c r="H498" i="11" a="1"/>
  <c r="H498" i="11" s="1"/>
  <c r="M498" i="11"/>
  <c r="L498" i="11" a="1"/>
  <c r="L498" i="11" s="1"/>
  <c r="I498" i="11"/>
  <c r="L541" i="11" a="1"/>
  <c r="L541" i="11" s="1"/>
  <c r="I541" i="11"/>
  <c r="H541" i="11" a="1"/>
  <c r="H541" i="11" s="1"/>
  <c r="H604" i="11" a="1"/>
  <c r="H604" i="11" s="1"/>
  <c r="M604" i="11"/>
  <c r="I604" i="11"/>
  <c r="L604" i="11" a="1"/>
  <c r="L604" i="11" s="1"/>
  <c r="L833" i="11" a="1"/>
  <c r="L833" i="11" s="1"/>
  <c r="I833" i="11"/>
  <c r="H833" i="11" a="1"/>
  <c r="H833" i="11" s="1"/>
  <c r="R694" i="3" a="1"/>
  <c r="R694" i="3" s="1"/>
  <c r="N47" i="6" a="1"/>
  <c r="N47" i="6" s="1"/>
  <c r="P48" i="6" a="1"/>
  <c r="P48" i="6" s="1"/>
  <c r="Q48" i="6" s="1"/>
  <c r="R2" i="3" s="1" a="1"/>
  <c r="R2" i="3" s="1"/>
  <c r="N63" i="6" a="1"/>
  <c r="N63" i="6" s="1"/>
  <c r="P64" i="6" a="1"/>
  <c r="P64" i="6" s="1"/>
  <c r="Q64" i="6" s="1"/>
  <c r="R6" i="3" s="1" a="1"/>
  <c r="R6" i="3" s="1"/>
  <c r="N79" i="6" a="1"/>
  <c r="N79" i="6" s="1"/>
  <c r="P80" i="6" a="1"/>
  <c r="P80" i="6" s="1"/>
  <c r="Q80" i="6" s="1"/>
  <c r="R323" i="3" s="1" a="1"/>
  <c r="R323" i="3" s="1"/>
  <c r="N95" i="6" a="1"/>
  <c r="N95" i="6" s="1"/>
  <c r="P96" i="6" a="1"/>
  <c r="P96" i="6" s="1"/>
  <c r="Q96" i="6" s="1"/>
  <c r="N111" i="6" a="1"/>
  <c r="N111" i="6" s="1"/>
  <c r="P112" i="6" a="1"/>
  <c r="P112" i="6" s="1"/>
  <c r="Q112" i="6" s="1"/>
  <c r="N127" i="6" a="1"/>
  <c r="N127" i="6" s="1"/>
  <c r="P128" i="6" a="1"/>
  <c r="P128" i="6" s="1"/>
  <c r="Q128" i="6" s="1"/>
  <c r="R480" i="3" s="1" a="1"/>
  <c r="R480" i="3" s="1"/>
  <c r="N143" i="6" a="1"/>
  <c r="N143" i="6" s="1"/>
  <c r="P144" i="6" a="1"/>
  <c r="P144" i="6" s="1"/>
  <c r="Q144" i="6" s="1"/>
  <c r="R795" i="3" s="1" a="1"/>
  <c r="R795" i="3" s="1"/>
  <c r="N153" i="6" a="1"/>
  <c r="N153" i="6" s="1"/>
  <c r="P154" i="6" a="1"/>
  <c r="P154" i="6" s="1"/>
  <c r="Q154" i="6" s="1"/>
  <c r="R506" i="3" s="1" a="1"/>
  <c r="R506" i="3" s="1"/>
  <c r="N158" i="6" a="1"/>
  <c r="N158" i="6" s="1"/>
  <c r="P159" i="6" a="1"/>
  <c r="P159" i="6" s="1"/>
  <c r="Q159" i="6" s="1"/>
  <c r="R517" i="3" s="1" a="1"/>
  <c r="R517" i="3" s="1"/>
  <c r="G100" i="7"/>
  <c r="H60" i="11" a="1"/>
  <c r="H60" i="11" s="1"/>
  <c r="L73" i="11" a="1"/>
  <c r="L73" i="11" s="1"/>
  <c r="B108" i="11"/>
  <c r="H141" i="11" a="1"/>
  <c r="H141" i="11" s="1"/>
  <c r="L149" i="11" a="1"/>
  <c r="L149" i="11" s="1"/>
  <c r="H149" i="11" a="1"/>
  <c r="H149" i="11" s="1"/>
  <c r="L238" i="11" a="1"/>
  <c r="L238" i="11" s="1"/>
  <c r="B260" i="11"/>
  <c r="B291" i="11"/>
  <c r="L293" i="11" a="1"/>
  <c r="L293" i="11" s="1"/>
  <c r="L315" i="11" a="1"/>
  <c r="L315" i="11" s="1"/>
  <c r="H315" i="11" a="1"/>
  <c r="H315" i="11" s="1"/>
  <c r="H418" i="11" a="1"/>
  <c r="H418" i="11" s="1"/>
  <c r="L426" i="11" a="1"/>
  <c r="L426" i="11" s="1"/>
  <c r="H443" i="11" a="1"/>
  <c r="H443" i="11" s="1"/>
  <c r="H552" i="11" a="1"/>
  <c r="H552" i="11" s="1"/>
  <c r="M552" i="11"/>
  <c r="L552" i="11" a="1"/>
  <c r="L552" i="11" s="1"/>
  <c r="I552" i="11"/>
  <c r="I639" i="11"/>
  <c r="H639" i="11" a="1"/>
  <c r="H639" i="11" s="1"/>
  <c r="H698" i="11" a="1"/>
  <c r="H698" i="11" s="1"/>
  <c r="L698" i="11" a="1"/>
  <c r="L698" i="11" s="1"/>
  <c r="I698" i="11"/>
  <c r="H774" i="11" a="1"/>
  <c r="H774" i="11" s="1"/>
  <c r="I774" i="11"/>
  <c r="L405" i="11" a="1"/>
  <c r="L405" i="11" s="1"/>
  <c r="L463" i="11" a="1"/>
  <c r="L463" i="11" s="1"/>
  <c r="L464" i="11" a="1"/>
  <c r="L464" i="11" s="1"/>
  <c r="L302" i="11" a="1"/>
  <c r="L302" i="11" s="1"/>
  <c r="L375" i="11" a="1"/>
  <c r="L375" i="11" s="1"/>
  <c r="L127" i="11" a="1"/>
  <c r="L127" i="11" s="1"/>
  <c r="L201" i="11" a="1"/>
  <c r="L201" i="11" s="1"/>
  <c r="L218" i="11" a="1"/>
  <c r="L218" i="11" s="1"/>
  <c r="H218" i="11" a="1"/>
  <c r="H218" i="11" s="1"/>
  <c r="L231" i="11" a="1"/>
  <c r="L231" i="11" s="1"/>
  <c r="L234" i="11" a="1"/>
  <c r="L234" i="11" s="1"/>
  <c r="L237" i="11" a="1"/>
  <c r="L237" i="11" s="1"/>
  <c r="L266" i="11" a="1"/>
  <c r="L266" i="11" s="1"/>
  <c r="L284" i="11" a="1"/>
  <c r="L284" i="11" s="1"/>
  <c r="H351" i="11" a="1"/>
  <c r="H351" i="11" s="1"/>
  <c r="L371" i="11" a="1"/>
  <c r="L371" i="11" s="1"/>
  <c r="H374" i="11" a="1"/>
  <c r="H374" i="11" s="1"/>
  <c r="L392" i="11" a="1"/>
  <c r="L392" i="11" s="1"/>
  <c r="L420" i="11" a="1"/>
  <c r="L420" i="11" s="1"/>
  <c r="H420" i="11" a="1"/>
  <c r="H420" i="11" s="1"/>
  <c r="L457" i="11" a="1"/>
  <c r="L457" i="11" s="1"/>
  <c r="I473" i="11"/>
  <c r="H473" i="11" a="1"/>
  <c r="H473" i="11" s="1"/>
  <c r="H502" i="11" a="1"/>
  <c r="H502" i="11" s="1"/>
  <c r="I502" i="11"/>
  <c r="L502" i="11" a="1"/>
  <c r="L502" i="11" s="1"/>
  <c r="H640" i="11" a="1"/>
  <c r="H640" i="11" s="1"/>
  <c r="M640" i="11"/>
  <c r="L640" i="11" a="1"/>
  <c r="L640" i="11" s="1"/>
  <c r="I640" i="11"/>
  <c r="H916" i="11" a="1"/>
  <c r="H916" i="11" s="1"/>
  <c r="M916" i="11"/>
  <c r="L916" i="11" a="1"/>
  <c r="L916" i="11" s="1"/>
  <c r="I916" i="11"/>
  <c r="L927" i="11" a="1"/>
  <c r="L927" i="11" s="1"/>
  <c r="I927" i="11"/>
  <c r="H927" i="11" a="1"/>
  <c r="H927" i="11" s="1"/>
  <c r="B17" i="6"/>
  <c r="D17" i="6" s="1"/>
  <c r="E17" i="6" s="1"/>
  <c r="B33" i="6"/>
  <c r="D33" i="6" s="1"/>
  <c r="E33" i="6" s="1"/>
  <c r="N46" i="6" a="1"/>
  <c r="N46" i="6" s="1"/>
  <c r="P47" i="6" a="1"/>
  <c r="P47" i="6" s="1"/>
  <c r="Q47" i="6" s="1"/>
  <c r="R749" i="3" s="1" a="1"/>
  <c r="R749" i="3" s="1"/>
  <c r="B49" i="6"/>
  <c r="D49" i="6" s="1"/>
  <c r="E49" i="6" s="1"/>
  <c r="N62" i="6" a="1"/>
  <c r="N62" i="6" s="1"/>
  <c r="P63" i="6" a="1"/>
  <c r="P63" i="6" s="1"/>
  <c r="Q63" i="6" s="1"/>
  <c r="R663" i="3" s="1" a="1"/>
  <c r="R663" i="3" s="1"/>
  <c r="B65" i="6"/>
  <c r="N78" i="6" a="1"/>
  <c r="N78" i="6" s="1"/>
  <c r="P79" i="6" a="1"/>
  <c r="P79" i="6" s="1"/>
  <c r="Q79" i="6" s="1"/>
  <c r="R283" i="3" s="1" a="1"/>
  <c r="R283" i="3" s="1"/>
  <c r="B81" i="6"/>
  <c r="D81" i="6" s="1"/>
  <c r="E81" i="6" s="1"/>
  <c r="N94" i="6" a="1"/>
  <c r="N94" i="6" s="1"/>
  <c r="P95" i="6" a="1"/>
  <c r="P95" i="6" s="1"/>
  <c r="Q95" i="6" s="1"/>
  <c r="B97" i="6"/>
  <c r="D97" i="6" s="1"/>
  <c r="E97" i="6" s="1"/>
  <c r="N110" i="6" a="1"/>
  <c r="N110" i="6" s="1"/>
  <c r="P111" i="6" a="1"/>
  <c r="P111" i="6" s="1"/>
  <c r="Q111" i="6" s="1"/>
  <c r="R753" i="3" s="1" a="1"/>
  <c r="R753" i="3" s="1"/>
  <c r="B113" i="6"/>
  <c r="D113" i="6" s="1"/>
  <c r="E113" i="6" s="1"/>
  <c r="N126" i="6" a="1"/>
  <c r="N126" i="6" s="1"/>
  <c r="P127" i="6" a="1"/>
  <c r="P127" i="6" s="1"/>
  <c r="Q127" i="6" s="1"/>
  <c r="R442" i="3" s="1" a="1"/>
  <c r="R442" i="3" s="1"/>
  <c r="B129" i="6"/>
  <c r="N142" i="6" a="1"/>
  <c r="N142" i="6" s="1"/>
  <c r="P143" i="6" a="1"/>
  <c r="P143" i="6" s="1"/>
  <c r="Q143" i="6" s="1"/>
  <c r="R698" i="3" s="1" a="1"/>
  <c r="R698" i="3" s="1"/>
  <c r="B145" i="6"/>
  <c r="N152" i="6" a="1"/>
  <c r="N152" i="6" s="1"/>
  <c r="P153" i="6" a="1"/>
  <c r="P153" i="6" s="1"/>
  <c r="Q153" i="6" s="1"/>
  <c r="B155" i="6"/>
  <c r="D155" i="6" s="1"/>
  <c r="E155" i="6" s="1"/>
  <c r="N157" i="6" a="1"/>
  <c r="N157" i="6" s="1"/>
  <c r="P158" i="6" a="1"/>
  <c r="P158" i="6" s="1"/>
  <c r="Q158" i="6" s="1"/>
  <c r="R520" i="3" s="1" a="1"/>
  <c r="R520" i="3" s="1"/>
  <c r="B160" i="6"/>
  <c r="G8" i="7"/>
  <c r="G26" i="7"/>
  <c r="L104" i="11" a="1"/>
  <c r="L104" i="11" s="1"/>
  <c r="L121" i="11" a="1"/>
  <c r="L121" i="11" s="1"/>
  <c r="L136" i="11" a="1"/>
  <c r="L136" i="11" s="1"/>
  <c r="B139" i="11"/>
  <c r="H162" i="11" a="1"/>
  <c r="H162" i="11" s="1"/>
  <c r="L199" i="11" a="1"/>
  <c r="L199" i="11" s="1"/>
  <c r="L202" i="11" a="1"/>
  <c r="L202" i="11" s="1"/>
  <c r="L214" i="11" a="1"/>
  <c r="L214" i="11" s="1"/>
  <c r="H214" i="11" a="1"/>
  <c r="H214" i="11" s="1"/>
  <c r="B218" i="11"/>
  <c r="H317" i="11" a="1"/>
  <c r="H317" i="11" s="1"/>
  <c r="B347" i="11"/>
  <c r="B355" i="11"/>
  <c r="L356" i="11" a="1"/>
  <c r="L356" i="11" s="1"/>
  <c r="H356" i="11" a="1"/>
  <c r="H356" i="11" s="1"/>
  <c r="H365" i="11" a="1"/>
  <c r="H365" i="11" s="1"/>
  <c r="B381" i="11"/>
  <c r="L389" i="11" a="1"/>
  <c r="L389" i="11" s="1"/>
  <c r="H407" i="11" a="1"/>
  <c r="H407" i="11" s="1"/>
  <c r="B413" i="11"/>
  <c r="B447" i="11"/>
  <c r="H450" i="11" a="1"/>
  <c r="H450" i="11" s="1"/>
  <c r="L450" i="11" a="1"/>
  <c r="L450" i="11" s="1"/>
  <c r="H731" i="11" a="1"/>
  <c r="H731" i="11" s="1"/>
  <c r="I731" i="11"/>
  <c r="N131" i="6" a="1"/>
  <c r="N131" i="6" s="1"/>
  <c r="P132" i="6" a="1"/>
  <c r="P132" i="6" s="1"/>
  <c r="Q132" i="6" s="1"/>
  <c r="R768" i="3" s="1" a="1"/>
  <c r="R768" i="3" s="1"/>
  <c r="N147" i="6" a="1"/>
  <c r="N147" i="6" s="1"/>
  <c r="P148" i="6" a="1"/>
  <c r="P148" i="6" s="1"/>
  <c r="Q148" i="6" s="1"/>
  <c r="R397" i="3" s="1" a="1"/>
  <c r="R397" i="3" s="1"/>
  <c r="N162" i="6" a="1"/>
  <c r="N162" i="6" s="1"/>
  <c r="P163" i="6" a="1"/>
  <c r="P163" i="6" s="1"/>
  <c r="Q163" i="6" s="1"/>
  <c r="R532" i="3" s="1" a="1"/>
  <c r="R532" i="3" s="1"/>
  <c r="N167" i="6" a="1"/>
  <c r="N167" i="6" s="1"/>
  <c r="N169" i="6" a="1"/>
  <c r="N169" i="6" s="1"/>
  <c r="L39" i="11" a="1"/>
  <c r="L39" i="11" s="1"/>
  <c r="H92" i="11" a="1"/>
  <c r="H92" i="11" s="1"/>
  <c r="L119" i="11" a="1"/>
  <c r="L119" i="11" s="1"/>
  <c r="L122" i="11" a="1"/>
  <c r="L122" i="11" s="1"/>
  <c r="B136" i="11"/>
  <c r="L145" i="11" a="1"/>
  <c r="L145" i="11" s="1"/>
  <c r="H158" i="11" a="1"/>
  <c r="H158" i="11" s="1"/>
  <c r="L215" i="11" a="1"/>
  <c r="L215" i="11" s="1"/>
  <c r="H215" i="11" a="1"/>
  <c r="H215" i="11" s="1"/>
  <c r="L236" i="11" a="1"/>
  <c r="L236" i="11" s="1"/>
  <c r="L251" i="11" a="1"/>
  <c r="L251" i="11" s="1"/>
  <c r="L287" i="11" a="1"/>
  <c r="L287" i="11" s="1"/>
  <c r="L294" i="11" a="1"/>
  <c r="L294" i="11" s="1"/>
  <c r="L296" i="11" a="1"/>
  <c r="L296" i="11" s="1"/>
  <c r="L309" i="11" a="1"/>
  <c r="L309" i="11" s="1"/>
  <c r="L326" i="11" a="1"/>
  <c r="L326" i="11" s="1"/>
  <c r="L343" i="11" a="1"/>
  <c r="L343" i="11" s="1"/>
  <c r="L357" i="11" a="1"/>
  <c r="L357" i="11" s="1"/>
  <c r="H357" i="11" a="1"/>
  <c r="H357" i="11" s="1"/>
  <c r="L385" i="11" a="1"/>
  <c r="L385" i="11" s="1"/>
  <c r="L400" i="11" a="1"/>
  <c r="L400" i="11" s="1"/>
  <c r="H400" i="11" a="1"/>
  <c r="H400" i="11" s="1"/>
  <c r="H408" i="11" a="1"/>
  <c r="H408" i="11" s="1"/>
  <c r="B415" i="11"/>
  <c r="B421" i="11"/>
  <c r="L438" i="11" a="1"/>
  <c r="L438" i="11" s="1"/>
  <c r="H556" i="11" a="1"/>
  <c r="H556" i="11" s="1"/>
  <c r="I556" i="11"/>
  <c r="M601" i="11"/>
  <c r="L601" i="11" a="1"/>
  <c r="L601" i="11" s="1"/>
  <c r="I601" i="11"/>
  <c r="H601" i="11" a="1"/>
  <c r="H601" i="11" s="1"/>
  <c r="I605" i="11"/>
  <c r="H605" i="11" a="1"/>
  <c r="H605" i="11" s="1"/>
  <c r="I669" i="11"/>
  <c r="H669" i="11" a="1"/>
  <c r="H669" i="11" s="1"/>
  <c r="H695" i="11" a="1"/>
  <c r="H695" i="11" s="1"/>
  <c r="I695" i="11"/>
  <c r="H744" i="11" a="1"/>
  <c r="H744" i="11" s="1"/>
  <c r="L744" i="11" a="1"/>
  <c r="L744" i="11" s="1"/>
  <c r="I744" i="11"/>
  <c r="M771" i="11"/>
  <c r="L771" i="11" a="1"/>
  <c r="L771" i="11" s="1"/>
  <c r="H786" i="11" a="1"/>
  <c r="H786" i="11" s="1"/>
  <c r="M786" i="11"/>
  <c r="L786" i="11" a="1"/>
  <c r="L786" i="11" s="1"/>
  <c r="H868" i="11" a="1"/>
  <c r="H868" i="11" s="1"/>
  <c r="M868" i="11"/>
  <c r="L868" i="11" a="1"/>
  <c r="L868" i="11" s="1"/>
  <c r="I868" i="11"/>
  <c r="L871" i="11" a="1"/>
  <c r="L871" i="11" s="1"/>
  <c r="H871" i="11" a="1"/>
  <c r="H871" i="11" s="1"/>
  <c r="I871" i="11"/>
  <c r="H976" i="11" a="1"/>
  <c r="H976" i="11" s="1"/>
  <c r="I976" i="11"/>
  <c r="N40" i="6" a="1"/>
  <c r="N40" i="6" s="1"/>
  <c r="P41" i="6" a="1"/>
  <c r="P41" i="6" s="1"/>
  <c r="Q41" i="6" s="1"/>
  <c r="R353" i="3" s="1" a="1"/>
  <c r="R353" i="3" s="1"/>
  <c r="N56" i="6" a="1"/>
  <c r="N56" i="6" s="1"/>
  <c r="P57" i="6" a="1"/>
  <c r="P57" i="6" s="1"/>
  <c r="Q57" i="6" s="1"/>
  <c r="R657" i="3" s="1" a="1"/>
  <c r="R657" i="3" s="1"/>
  <c r="N72" i="6" a="1"/>
  <c r="N72" i="6" s="1"/>
  <c r="P73" i="6" a="1"/>
  <c r="P73" i="6" s="1"/>
  <c r="Q73" i="6" s="1"/>
  <c r="N88" i="6" a="1"/>
  <c r="N88" i="6" s="1"/>
  <c r="P89" i="6" a="1"/>
  <c r="P89" i="6" s="1"/>
  <c r="Q89" i="6" s="1"/>
  <c r="N104" i="6" a="1"/>
  <c r="N104" i="6" s="1"/>
  <c r="P105" i="6" a="1"/>
  <c r="P105" i="6" s="1"/>
  <c r="Q105" i="6" s="1"/>
  <c r="R358" i="3" s="1" a="1"/>
  <c r="R358" i="3" s="1"/>
  <c r="N120" i="6" a="1"/>
  <c r="N120" i="6" s="1"/>
  <c r="P121" i="6" a="1"/>
  <c r="P121" i="6" s="1"/>
  <c r="Q121" i="6" s="1"/>
  <c r="N136" i="6" a="1"/>
  <c r="N136" i="6" s="1"/>
  <c r="P6" i="10"/>
  <c r="N6" i="10"/>
  <c r="M6" i="10"/>
  <c r="P14" i="10"/>
  <c r="M14" i="10"/>
  <c r="P26" i="10"/>
  <c r="N26" i="10"/>
  <c r="M26" i="10"/>
  <c r="P30" i="10"/>
  <c r="N30" i="10"/>
  <c r="M30" i="10"/>
  <c r="P34" i="10"/>
  <c r="N34" i="10"/>
  <c r="P38" i="10"/>
  <c r="P42" i="10"/>
  <c r="N42" i="10"/>
  <c r="P46" i="10"/>
  <c r="N46" i="10"/>
  <c r="M46" i="10"/>
  <c r="P50" i="10"/>
  <c r="N50" i="10"/>
  <c r="P54" i="10"/>
  <c r="N54" i="10"/>
  <c r="P58" i="10"/>
  <c r="N58" i="10"/>
  <c r="M58" i="10"/>
  <c r="P62" i="10"/>
  <c r="N62" i="10"/>
  <c r="M62" i="10"/>
  <c r="P66" i="10"/>
  <c r="N66" i="10"/>
  <c r="M66" i="10"/>
  <c r="P70" i="10"/>
  <c r="N70" i="10"/>
  <c r="N74" i="10"/>
  <c r="M74" i="10"/>
  <c r="P78" i="10"/>
  <c r="N78" i="10"/>
  <c r="M78" i="10"/>
  <c r="N82" i="10"/>
  <c r="M82" i="10"/>
  <c r="P86" i="10"/>
  <c r="N86" i="10"/>
  <c r="L42" i="11" a="1"/>
  <c r="L42" i="11" s="1"/>
  <c r="L75" i="11" a="1"/>
  <c r="L75" i="11" s="1"/>
  <c r="B92" i="11"/>
  <c r="B122" i="11"/>
  <c r="H145" i="11" a="1"/>
  <c r="H145" i="11" s="1"/>
  <c r="B155" i="11"/>
  <c r="B163" i="11"/>
  <c r="H209" i="11" a="1"/>
  <c r="H209" i="11" s="1"/>
  <c r="L209" i="11" a="1"/>
  <c r="L209" i="11" s="1"/>
  <c r="L227" i="11" a="1"/>
  <c r="L227" i="11" s="1"/>
  <c r="H227" i="11" a="1"/>
  <c r="H227" i="11" s="1"/>
  <c r="B251" i="11"/>
  <c r="L285" i="11" a="1"/>
  <c r="L285" i="11" s="1"/>
  <c r="B306" i="11"/>
  <c r="H311" i="11" a="1"/>
  <c r="H311" i="11" s="1"/>
  <c r="L324" i="11" a="1"/>
  <c r="L324" i="11" s="1"/>
  <c r="H324" i="11" a="1"/>
  <c r="H324" i="11" s="1"/>
  <c r="H328" i="11" a="1"/>
  <c r="H328" i="11" s="1"/>
  <c r="H334" i="11" a="1"/>
  <c r="H334" i="11" s="1"/>
  <c r="H349" i="11" a="1"/>
  <c r="H349" i="11" s="1"/>
  <c r="L364" i="11" a="1"/>
  <c r="L364" i="11" s="1"/>
  <c r="L368" i="11" a="1"/>
  <c r="L368" i="11" s="1"/>
  <c r="H368" i="11" a="1"/>
  <c r="H368" i="11" s="1"/>
  <c r="H386" i="11" a="1"/>
  <c r="H386" i="11" s="1"/>
  <c r="H425" i="11" a="1"/>
  <c r="H425" i="11" s="1"/>
  <c r="L428" i="11" a="1"/>
  <c r="L428" i="11" s="1"/>
  <c r="H428" i="11" a="1"/>
  <c r="H428" i="11" s="1"/>
  <c r="I487" i="11"/>
  <c r="L487" i="11" a="1"/>
  <c r="L487" i="11" s="1"/>
  <c r="H487" i="11" a="1"/>
  <c r="H487" i="11" s="1"/>
  <c r="H549" i="11" a="1"/>
  <c r="H549" i="11" s="1"/>
  <c r="I549" i="11"/>
  <c r="M549" i="11"/>
  <c r="L549" i="11" a="1"/>
  <c r="L549" i="11" s="1"/>
  <c r="I625" i="11"/>
  <c r="H625" i="11" a="1"/>
  <c r="H625" i="11" s="1"/>
  <c r="I659" i="11"/>
  <c r="H659" i="11" a="1"/>
  <c r="H659" i="11" s="1"/>
  <c r="H740" i="11" a="1"/>
  <c r="H740" i="11" s="1"/>
  <c r="M740" i="11"/>
  <c r="L740" i="11" a="1"/>
  <c r="L740" i="11" s="1"/>
  <c r="I740" i="11"/>
  <c r="H814" i="11" a="1"/>
  <c r="H814" i="11" s="1"/>
  <c r="I814" i="11"/>
  <c r="I821" i="11"/>
  <c r="H821" i="11" a="1"/>
  <c r="H821" i="11" s="1"/>
  <c r="H924" i="11" a="1"/>
  <c r="H924" i="11" s="1"/>
  <c r="M924" i="11"/>
  <c r="L924" i="11" a="1"/>
  <c r="L924" i="11" s="1"/>
  <c r="I924" i="11"/>
  <c r="L355" i="11" a="1"/>
  <c r="L355" i="11" s="1"/>
  <c r="H355" i="11" a="1"/>
  <c r="H355" i="11" s="1"/>
  <c r="L378" i="11" a="1"/>
  <c r="L378" i="11" s="1"/>
  <c r="H378" i="11" a="1"/>
  <c r="H378" i="11" s="1"/>
  <c r="L421" i="11" a="1"/>
  <c r="L421" i="11" s="1"/>
  <c r="H452" i="11" a="1"/>
  <c r="H452" i="11" s="1"/>
  <c r="H590" i="11" a="1"/>
  <c r="H590" i="11" s="1"/>
  <c r="I590" i="11"/>
  <c r="M723" i="11"/>
  <c r="L723" i="11" a="1"/>
  <c r="L723" i="11" s="1"/>
  <c r="I723" i="11"/>
  <c r="H723" i="11" a="1"/>
  <c r="H723" i="11" s="1"/>
  <c r="I765" i="11"/>
  <c r="H765" i="11" a="1"/>
  <c r="H765" i="11" s="1"/>
  <c r="I799" i="11"/>
  <c r="H799" i="11" a="1"/>
  <c r="H799" i="11" s="1"/>
  <c r="L799" i="11" a="1"/>
  <c r="L799" i="11" s="1"/>
  <c r="L889" i="11" a="1"/>
  <c r="L889" i="11" s="1"/>
  <c r="I889" i="11"/>
  <c r="H889" i="11" a="1"/>
  <c r="H889" i="11" s="1"/>
  <c r="H988" i="11" a="1"/>
  <c r="H988" i="11" s="1"/>
  <c r="M988" i="11"/>
  <c r="L988" i="11" a="1"/>
  <c r="L988" i="11" s="1"/>
  <c r="I988" i="11"/>
  <c r="I991" i="11"/>
  <c r="H991" i="11" a="1"/>
  <c r="H991" i="11" s="1"/>
  <c r="H279" i="11" a="1"/>
  <c r="H279" i="11" s="1"/>
  <c r="B317" i="11"/>
  <c r="H344" i="11" a="1"/>
  <c r="H344" i="11" s="1"/>
  <c r="B359" i="11"/>
  <c r="L379" i="11" a="1"/>
  <c r="L379" i="11" s="1"/>
  <c r="L381" i="11" a="1"/>
  <c r="L381" i="11" s="1"/>
  <c r="B403" i="11"/>
  <c r="L409" i="11" a="1"/>
  <c r="L409" i="11" s="1"/>
  <c r="H409" i="11" a="1"/>
  <c r="H409" i="11" s="1"/>
  <c r="L442" i="11" a="1"/>
  <c r="L442" i="11" s="1"/>
  <c r="H447" i="11" a="1"/>
  <c r="H447" i="11" s="1"/>
  <c r="H457" i="11" a="1"/>
  <c r="H457" i="11" s="1"/>
  <c r="M471" i="11"/>
  <c r="H560" i="11" a="1"/>
  <c r="H560" i="11" s="1"/>
  <c r="M560" i="11"/>
  <c r="L560" i="11" a="1"/>
  <c r="L560" i="11" s="1"/>
  <c r="I560" i="11"/>
  <c r="M577" i="11"/>
  <c r="H584" i="11" a="1"/>
  <c r="H584" i="11" s="1"/>
  <c r="M584" i="11"/>
  <c r="L584" i="11" a="1"/>
  <c r="L584" i="11" s="1"/>
  <c r="I584" i="11"/>
  <c r="M587" i="11"/>
  <c r="H602" i="11" a="1"/>
  <c r="H602" i="11" s="1"/>
  <c r="L602" i="11" a="1"/>
  <c r="L602" i="11" s="1"/>
  <c r="H620" i="11" a="1"/>
  <c r="H620" i="11" s="1"/>
  <c r="I620" i="11"/>
  <c r="M742" i="11"/>
  <c r="H752" i="11" a="1"/>
  <c r="H752" i="11" s="1"/>
  <c r="L752" i="11" a="1"/>
  <c r="L752" i="11" s="1"/>
  <c r="I752" i="11"/>
  <c r="M803" i="11"/>
  <c r="L803" i="11" a="1"/>
  <c r="L803" i="11" s="1"/>
  <c r="I803" i="11"/>
  <c r="M835" i="11"/>
  <c r="L835" i="11" a="1"/>
  <c r="L835" i="11" s="1"/>
  <c r="I835" i="11"/>
  <c r="M838" i="11"/>
  <c r="M859" i="11"/>
  <c r="L903" i="11" a="1"/>
  <c r="L903" i="11" s="1"/>
  <c r="I903" i="11"/>
  <c r="H903" i="11" a="1"/>
  <c r="H903" i="11" s="1"/>
  <c r="I921" i="11"/>
  <c r="H921" i="11" a="1"/>
  <c r="H921" i="11" s="1"/>
  <c r="H946" i="11" a="1"/>
  <c r="H946" i="11" s="1"/>
  <c r="I946" i="11"/>
  <c r="L946" i="11" a="1"/>
  <c r="L946" i="11" s="1"/>
  <c r="H961" i="11" a="1"/>
  <c r="H961" i="11" s="1"/>
  <c r="I961" i="11"/>
  <c r="H984" i="11" a="1"/>
  <c r="H984" i="11" s="1"/>
  <c r="M984" i="11"/>
  <c r="I984" i="11"/>
  <c r="H333" i="11" a="1"/>
  <c r="H333" i="11" s="1"/>
  <c r="L337" i="11" a="1"/>
  <c r="L337" i="11" s="1"/>
  <c r="H375" i="11" a="1"/>
  <c r="H375" i="11" s="1"/>
  <c r="H474" i="11" a="1"/>
  <c r="H474" i="11" s="1"/>
  <c r="L474" i="11" a="1"/>
  <c r="L474" i="11" s="1"/>
  <c r="H522" i="11" a="1"/>
  <c r="H522" i="11" s="1"/>
  <c r="M522" i="11"/>
  <c r="L522" i="11" a="1"/>
  <c r="L522" i="11" s="1"/>
  <c r="I522" i="11"/>
  <c r="H540" i="11" a="1"/>
  <c r="H540" i="11" s="1"/>
  <c r="M540" i="11"/>
  <c r="L540" i="11" a="1"/>
  <c r="L540" i="11" s="1"/>
  <c r="I540" i="11"/>
  <c r="I551" i="11"/>
  <c r="M551" i="11"/>
  <c r="L551" i="11" a="1"/>
  <c r="L551" i="11" s="1"/>
  <c r="H551" i="11" a="1"/>
  <c r="H551" i="11" s="1"/>
  <c r="L641" i="11" a="1"/>
  <c r="L641" i="11" s="1"/>
  <c r="I641" i="11"/>
  <c r="L661" i="11" a="1"/>
  <c r="L661" i="11" s="1"/>
  <c r="I661" i="11"/>
  <c r="H661" i="11" a="1"/>
  <c r="H661" i="11" s="1"/>
  <c r="H682" i="11" a="1"/>
  <c r="H682" i="11" s="1"/>
  <c r="I682" i="11"/>
  <c r="M739" i="11"/>
  <c r="L739" i="11" a="1"/>
  <c r="L739" i="11" s="1"/>
  <c r="H739" i="11" a="1"/>
  <c r="H739" i="11" s="1"/>
  <c r="H762" i="11" a="1"/>
  <c r="H762" i="11" s="1"/>
  <c r="L762" i="11" a="1"/>
  <c r="L762" i="11" s="1"/>
  <c r="I762" i="11"/>
  <c r="H784" i="11" a="1"/>
  <c r="H784" i="11" s="1"/>
  <c r="L784" i="11" a="1"/>
  <c r="L784" i="11" s="1"/>
  <c r="I784" i="11"/>
  <c r="H796" i="11" a="1"/>
  <c r="H796" i="11" s="1"/>
  <c r="M796" i="11"/>
  <c r="I796" i="11"/>
  <c r="H918" i="11" a="1"/>
  <c r="H918" i="11" s="1"/>
  <c r="L918" i="11" a="1"/>
  <c r="L918" i="11" s="1"/>
  <c r="I918" i="11"/>
  <c r="M918" i="11"/>
  <c r="I953" i="11"/>
  <c r="H953" i="11" a="1"/>
  <c r="H953" i="11" s="1"/>
  <c r="H194" i="11" a="1"/>
  <c r="H194" i="11" s="1"/>
  <c r="L233" i="11" a="1"/>
  <c r="L233" i="11" s="1"/>
  <c r="L242" i="11" a="1"/>
  <c r="L242" i="11" s="1"/>
  <c r="H242" i="11" a="1"/>
  <c r="H242" i="11" s="1"/>
  <c r="L246" i="11" a="1"/>
  <c r="L246" i="11" s="1"/>
  <c r="L253" i="11" a="1"/>
  <c r="L253" i="11" s="1"/>
  <c r="L272" i="11" a="1"/>
  <c r="L272" i="11" s="1"/>
  <c r="H272" i="11" a="1"/>
  <c r="H272" i="11" s="1"/>
  <c r="L275" i="11" a="1"/>
  <c r="L275" i="11" s="1"/>
  <c r="B280" i="11"/>
  <c r="H302" i="11" a="1"/>
  <c r="H302" i="11" s="1"/>
  <c r="H319" i="11" a="1"/>
  <c r="H319" i="11" s="1"/>
  <c r="B351" i="11"/>
  <c r="B382" i="11"/>
  <c r="L435" i="11" a="1"/>
  <c r="L435" i="11" s="1"/>
  <c r="L441" i="11" a="1"/>
  <c r="L441" i="11" s="1"/>
  <c r="H464" i="11" a="1"/>
  <c r="H464" i="11" s="1"/>
  <c r="I599" i="11"/>
  <c r="H599" i="11" a="1"/>
  <c r="H599" i="11" s="1"/>
  <c r="H612" i="11" a="1"/>
  <c r="H612" i="11" s="1"/>
  <c r="L612" i="11" a="1"/>
  <c r="L612" i="11" s="1"/>
  <c r="I612" i="11"/>
  <c r="H648" i="11" a="1"/>
  <c r="H648" i="11" s="1"/>
  <c r="L648" i="11" a="1"/>
  <c r="L648" i="11" s="1"/>
  <c r="I648" i="11"/>
  <c r="H716" i="11" a="1"/>
  <c r="H716" i="11" s="1"/>
  <c r="I716" i="11"/>
  <c r="H732" i="11" a="1"/>
  <c r="H732" i="11" s="1"/>
  <c r="M732" i="11"/>
  <c r="M749" i="11"/>
  <c r="I749" i="11"/>
  <c r="H749" i="11" a="1"/>
  <c r="H749" i="11" s="1"/>
  <c r="H778" i="11" a="1"/>
  <c r="H778" i="11" s="1"/>
  <c r="I778" i="11"/>
  <c r="H862" i="11" a="1"/>
  <c r="H862" i="11" s="1"/>
  <c r="I862" i="11"/>
  <c r="M985" i="11"/>
  <c r="L985" i="11" a="1"/>
  <c r="L985" i="11" s="1"/>
  <c r="I985" i="11"/>
  <c r="H985" i="11" a="1"/>
  <c r="H985" i="11" s="1"/>
  <c r="H463" i="11" a="1"/>
  <c r="H463" i="11" s="1"/>
  <c r="M475" i="11"/>
  <c r="L475" i="11" a="1"/>
  <c r="L475" i="11" s="1"/>
  <c r="I475" i="11"/>
  <c r="H475" i="11" a="1"/>
  <c r="H475" i="11" s="1"/>
  <c r="H500" i="11" a="1"/>
  <c r="H500" i="11" s="1"/>
  <c r="I500" i="11"/>
  <c r="I511" i="11"/>
  <c r="H511" i="11" a="1"/>
  <c r="H511" i="11" s="1"/>
  <c r="H534" i="11" a="1"/>
  <c r="H534" i="11" s="1"/>
  <c r="I534" i="11"/>
  <c r="M667" i="11"/>
  <c r="L685" i="11" a="1"/>
  <c r="L685" i="11" s="1"/>
  <c r="H688" i="11" a="1"/>
  <c r="H688" i="11" s="1"/>
  <c r="L688" i="11" a="1"/>
  <c r="L688" i="11" s="1"/>
  <c r="I688" i="11"/>
  <c r="L697" i="11" a="1"/>
  <c r="L697" i="11" s="1"/>
  <c r="I697" i="11"/>
  <c r="H697" i="11" a="1"/>
  <c r="H697" i="11" s="1"/>
  <c r="H700" i="11" a="1"/>
  <c r="H700" i="11" s="1"/>
  <c r="M700" i="11"/>
  <c r="H736" i="11" a="1"/>
  <c r="H736" i="11" s="1"/>
  <c r="L736" i="11" a="1"/>
  <c r="L736" i="11" s="1"/>
  <c r="I736" i="11"/>
  <c r="M915" i="11"/>
  <c r="L915" i="11" a="1"/>
  <c r="L915" i="11" s="1"/>
  <c r="I915" i="11"/>
  <c r="H915" i="11" a="1"/>
  <c r="H915" i="11" s="1"/>
  <c r="L440" i="11" a="1"/>
  <c r="L440" i="11" s="1"/>
  <c r="L563" i="11" a="1"/>
  <c r="L563" i="11" s="1"/>
  <c r="H635" i="11" a="1"/>
  <c r="H635" i="11" s="1"/>
  <c r="I635" i="11"/>
  <c r="I703" i="11"/>
  <c r="H703" i="11" a="1"/>
  <c r="H703" i="11" s="1"/>
  <c r="L750" i="11" a="1"/>
  <c r="L750" i="11" s="1"/>
  <c r="L782" i="11" a="1"/>
  <c r="L782" i="11" s="1"/>
  <c r="L791" i="11" a="1"/>
  <c r="L791" i="11" s="1"/>
  <c r="L797" i="11" a="1"/>
  <c r="L797" i="11" s="1"/>
  <c r="L800" i="11" a="1"/>
  <c r="L800" i="11" s="1"/>
  <c r="L851" i="11" a="1"/>
  <c r="L851" i="11" s="1"/>
  <c r="L857" i="11" a="1"/>
  <c r="L857" i="11" s="1"/>
  <c r="M863" i="11"/>
  <c r="L863" i="11" a="1"/>
  <c r="L863" i="11" s="1"/>
  <c r="I863" i="11"/>
  <c r="H863" i="11" a="1"/>
  <c r="H863" i="11" s="1"/>
  <c r="L908" i="11" a="1"/>
  <c r="L908" i="11" s="1"/>
  <c r="L972" i="11" a="1"/>
  <c r="L972" i="11" s="1"/>
  <c r="L978" i="11" a="1"/>
  <c r="L978" i="11" s="1"/>
  <c r="L152" i="11" a="1"/>
  <c r="L152" i="11" s="1"/>
  <c r="B327" i="11"/>
  <c r="L347" i="11" a="1"/>
  <c r="L347" i="11" s="1"/>
  <c r="L349" i="11" a="1"/>
  <c r="L349" i="11" s="1"/>
  <c r="L412" i="11" a="1"/>
  <c r="L412" i="11" s="1"/>
  <c r="L413" i="11" a="1"/>
  <c r="L413" i="11" s="1"/>
  <c r="H484" i="11" a="1"/>
  <c r="H484" i="11" s="1"/>
  <c r="L484" i="11" a="1"/>
  <c r="L484" i="11" s="1"/>
  <c r="I484" i="11"/>
  <c r="I531" i="11"/>
  <c r="H531" i="11" a="1"/>
  <c r="H531" i="11" s="1"/>
  <c r="H572" i="11" a="1"/>
  <c r="H572" i="11" s="1"/>
  <c r="M572" i="11"/>
  <c r="H594" i="11" a="1"/>
  <c r="H594" i="11" s="1"/>
  <c r="L594" i="11" a="1"/>
  <c r="L594" i="11" s="1"/>
  <c r="I594" i="11"/>
  <c r="H674" i="11" a="1"/>
  <c r="H674" i="11" s="1"/>
  <c r="I674" i="11"/>
  <c r="L763" i="11" a="1"/>
  <c r="L763" i="11" s="1"/>
  <c r="L776" i="11" a="1"/>
  <c r="L776" i="11" s="1"/>
  <c r="M800" i="11"/>
  <c r="H816" i="11" a="1"/>
  <c r="H816" i="11" s="1"/>
  <c r="L816" i="11" a="1"/>
  <c r="L816" i="11" s="1"/>
  <c r="I816" i="11"/>
  <c r="L832" i="11" a="1"/>
  <c r="L832" i="11" s="1"/>
  <c r="H866" i="11" a="1"/>
  <c r="H866" i="11" s="1"/>
  <c r="L866" i="11" a="1"/>
  <c r="L866" i="11" s="1"/>
  <c r="L884" i="11" a="1"/>
  <c r="L884" i="11" s="1"/>
  <c r="M937" i="11"/>
  <c r="I937" i="11"/>
  <c r="M969" i="11"/>
  <c r="I969" i="11"/>
  <c r="L969" i="11" a="1"/>
  <c r="L969" i="11" s="1"/>
  <c r="H969" i="11" a="1"/>
  <c r="H969" i="11" s="1"/>
  <c r="I10" i="16"/>
  <c r="I11" i="16"/>
  <c r="Y11" i="16"/>
  <c r="Y10" i="16"/>
  <c r="H343" i="11" a="1"/>
  <c r="H343" i="11" s="1"/>
  <c r="H359" i="11" a="1"/>
  <c r="H359" i="11" s="1"/>
  <c r="B423" i="11"/>
  <c r="H436" i="11" a="1"/>
  <c r="H436" i="11" s="1"/>
  <c r="H558" i="11" a="1"/>
  <c r="H558" i="11" s="1"/>
  <c r="L558" i="11" a="1"/>
  <c r="L558" i="11" s="1"/>
  <c r="I558" i="11"/>
  <c r="L569" i="11" a="1"/>
  <c r="L569" i="11" s="1"/>
  <c r="I569" i="11"/>
  <c r="H569" i="11" a="1"/>
  <c r="H569" i="11" s="1"/>
  <c r="H750" i="11" a="1"/>
  <c r="H750" i="11" s="1"/>
  <c r="I750" i="11"/>
  <c r="H782" i="11" a="1"/>
  <c r="H782" i="11" s="1"/>
  <c r="I782" i="11"/>
  <c r="I791" i="11"/>
  <c r="H791" i="11" a="1"/>
  <c r="H791" i="11" s="1"/>
  <c r="I797" i="11"/>
  <c r="H797" i="11" a="1"/>
  <c r="H797" i="11" s="1"/>
  <c r="I851" i="11"/>
  <c r="H851" i="11" a="1"/>
  <c r="H851" i="11" s="1"/>
  <c r="H908" i="11" a="1"/>
  <c r="H908" i="11" s="1"/>
  <c r="I908" i="11"/>
  <c r="H972" i="11" a="1"/>
  <c r="H972" i="11" s="1"/>
  <c r="I972" i="11"/>
  <c r="H978" i="11" a="1"/>
  <c r="H978" i="11" s="1"/>
  <c r="I978" i="11"/>
  <c r="B123" i="11"/>
  <c r="L184" i="11" a="1"/>
  <c r="L184" i="11" s="1"/>
  <c r="B204" i="11"/>
  <c r="L262" i="11" a="1"/>
  <c r="L262" i="11" s="1"/>
  <c r="H287" i="11" a="1"/>
  <c r="H287" i="11" s="1"/>
  <c r="B319" i="11"/>
  <c r="B350" i="11"/>
  <c r="H382" i="11" a="1"/>
  <c r="H382" i="11" s="1"/>
  <c r="L401" i="11" a="1"/>
  <c r="L401" i="11" s="1"/>
  <c r="H421" i="11" a="1"/>
  <c r="H421" i="11" s="1"/>
  <c r="H429" i="11" a="1"/>
  <c r="H429" i="11" s="1"/>
  <c r="B452" i="11"/>
  <c r="M493" i="11"/>
  <c r="L493" i="11" a="1"/>
  <c r="L493" i="11" s="1"/>
  <c r="I493" i="11"/>
  <c r="H493" i="11" a="1"/>
  <c r="H493" i="11" s="1"/>
  <c r="H538" i="11" a="1"/>
  <c r="H538" i="11" s="1"/>
  <c r="L538" i="11" a="1"/>
  <c r="L538" i="11" s="1"/>
  <c r="I538" i="11"/>
  <c r="H770" i="11" a="1"/>
  <c r="H770" i="11" s="1"/>
  <c r="L770" i="11" a="1"/>
  <c r="L770" i="11" s="1"/>
  <c r="I770" i="11"/>
  <c r="H810" i="11" a="1"/>
  <c r="H810" i="11" s="1"/>
  <c r="I810" i="11"/>
  <c r="I829" i="11"/>
  <c r="H829" i="11" a="1"/>
  <c r="H829" i="11" s="1"/>
  <c r="H848" i="11" a="1"/>
  <c r="H848" i="11" s="1"/>
  <c r="L848" i="11" a="1"/>
  <c r="L848" i="11" s="1"/>
  <c r="I848" i="11"/>
  <c r="L877" i="11" a="1"/>
  <c r="L877" i="11" s="1"/>
  <c r="I877" i="11"/>
  <c r="H877" i="11" a="1"/>
  <c r="H877" i="11" s="1"/>
  <c r="M959" i="11"/>
  <c r="L959" i="11" a="1"/>
  <c r="L959" i="11" s="1"/>
  <c r="I959" i="11"/>
  <c r="H959" i="11" a="1"/>
  <c r="H959" i="11" s="1"/>
  <c r="L263" i="11" a="1"/>
  <c r="L263" i="11" s="1"/>
  <c r="L274" i="11" a="1"/>
  <c r="L274" i="11" s="1"/>
  <c r="L295" i="11" a="1"/>
  <c r="L295" i="11" s="1"/>
  <c r="L306" i="11" a="1"/>
  <c r="L306" i="11" s="1"/>
  <c r="L327" i="11" a="1"/>
  <c r="L327" i="11" s="1"/>
  <c r="L338" i="11" a="1"/>
  <c r="L338" i="11" s="1"/>
  <c r="L359" i="11" a="1"/>
  <c r="L359" i="11" s="1"/>
  <c r="L370" i="11" a="1"/>
  <c r="L370" i="11" s="1"/>
  <c r="L391" i="11" a="1"/>
  <c r="L391" i="11" s="1"/>
  <c r="L402" i="11" a="1"/>
  <c r="L402" i="11" s="1"/>
  <c r="L423" i="11" a="1"/>
  <c r="L423" i="11" s="1"/>
  <c r="L434" i="11" a="1"/>
  <c r="L434" i="11" s="1"/>
  <c r="L437" i="11" a="1"/>
  <c r="L437" i="11" s="1"/>
  <c r="I468" i="11"/>
  <c r="L470" i="11" a="1"/>
  <c r="L470" i="11" s="1"/>
  <c r="I477" i="11"/>
  <c r="L481" i="11" a="1"/>
  <c r="L481" i="11" s="1"/>
  <c r="M490" i="11"/>
  <c r="I497" i="11"/>
  <c r="M519" i="11"/>
  <c r="I524" i="11"/>
  <c r="L526" i="11" a="1"/>
  <c r="L526" i="11" s="1"/>
  <c r="M528" i="11"/>
  <c r="I535" i="11"/>
  <c r="L537" i="11" a="1"/>
  <c r="L537" i="11" s="1"/>
  <c r="I544" i="11"/>
  <c r="M548" i="11"/>
  <c r="H553" i="11" a="1"/>
  <c r="H553" i="11" s="1"/>
  <c r="I571" i="11"/>
  <c r="I576" i="11"/>
  <c r="M578" i="11"/>
  <c r="I586" i="11"/>
  <c r="M588" i="11"/>
  <c r="L593" i="11" a="1"/>
  <c r="L593" i="11" s="1"/>
  <c r="L603" i="11" a="1"/>
  <c r="L603" i="11" s="1"/>
  <c r="M611" i="11"/>
  <c r="L611" i="11" a="1"/>
  <c r="L611" i="11" s="1"/>
  <c r="M616" i="11"/>
  <c r="L621" i="11" a="1"/>
  <c r="L621" i="11" s="1"/>
  <c r="L642" i="11" a="1"/>
  <c r="L642" i="11" s="1"/>
  <c r="I650" i="11"/>
  <c r="H652" i="11" a="1"/>
  <c r="H652" i="11" s="1"/>
  <c r="I652" i="11"/>
  <c r="L665" i="11" a="1"/>
  <c r="L665" i="11" s="1"/>
  <c r="H686" i="11" a="1"/>
  <c r="H686" i="11" s="1"/>
  <c r="I686" i="11"/>
  <c r="I689" i="11"/>
  <c r="M704" i="11"/>
  <c r="I710" i="11"/>
  <c r="L712" i="11" a="1"/>
  <c r="L712" i="11" s="1"/>
  <c r="L725" i="11" a="1"/>
  <c r="L725" i="11" s="1"/>
  <c r="I735" i="11"/>
  <c r="H735" i="11" a="1"/>
  <c r="H735" i="11" s="1"/>
  <c r="I746" i="11"/>
  <c r="H748" i="11" a="1"/>
  <c r="H748" i="11" s="1"/>
  <c r="I748" i="11"/>
  <c r="I759" i="11"/>
  <c r="L769" i="11" a="1"/>
  <c r="L769" i="11" s="1"/>
  <c r="I769" i="11"/>
  <c r="L772" i="11" a="1"/>
  <c r="L772" i="11" s="1"/>
  <c r="M795" i="11"/>
  <c r="L817" i="11" a="1"/>
  <c r="L817" i="11" s="1"/>
  <c r="L825" i="11" a="1"/>
  <c r="L825" i="11" s="1"/>
  <c r="I853" i="11"/>
  <c r="I876" i="11"/>
  <c r="M879" i="11"/>
  <c r="I879" i="11"/>
  <c r="L891" i="11" a="1"/>
  <c r="L891" i="11" s="1"/>
  <c r="L897" i="11" a="1"/>
  <c r="L897" i="11" s="1"/>
  <c r="I929" i="11"/>
  <c r="L967" i="11" a="1"/>
  <c r="L967" i="11" s="1"/>
  <c r="I967" i="11"/>
  <c r="H967" i="11" a="1"/>
  <c r="H967" i="11" s="1"/>
  <c r="L488" i="11" a="1"/>
  <c r="L488" i="11" s="1"/>
  <c r="H508" i="11" a="1"/>
  <c r="H508" i="11" s="1"/>
  <c r="M508" i="11"/>
  <c r="M526" i="11"/>
  <c r="L546" i="11" a="1"/>
  <c r="L546" i="11" s="1"/>
  <c r="I553" i="11"/>
  <c r="M555" i="11"/>
  <c r="M603" i="11"/>
  <c r="H624" i="11" a="1"/>
  <c r="H624" i="11" s="1"/>
  <c r="L624" i="11" a="1"/>
  <c r="L624" i="11" s="1"/>
  <c r="I624" i="11"/>
  <c r="M642" i="11"/>
  <c r="I668" i="11"/>
  <c r="L673" i="11" a="1"/>
  <c r="L673" i="11" s="1"/>
  <c r="I673" i="11"/>
  <c r="M707" i="11"/>
  <c r="L707" i="11" a="1"/>
  <c r="L707" i="11" s="1"/>
  <c r="M712" i="11"/>
  <c r="L717" i="11" a="1"/>
  <c r="L717" i="11" s="1"/>
  <c r="M772" i="11"/>
  <c r="I828" i="11"/>
  <c r="H844" i="11" a="1"/>
  <c r="H844" i="11" s="1"/>
  <c r="I844" i="11"/>
  <c r="H850" i="11" a="1"/>
  <c r="H850" i="11" s="1"/>
  <c r="M850" i="11"/>
  <c r="L850" i="11" a="1"/>
  <c r="L850" i="11" s="1"/>
  <c r="I850" i="11"/>
  <c r="M873" i="11"/>
  <c r="I873" i="11"/>
  <c r="L873" i="11" a="1"/>
  <c r="L873" i="11" s="1"/>
  <c r="H873" i="11" a="1"/>
  <c r="H873" i="11" s="1"/>
  <c r="H882" i="11" a="1"/>
  <c r="H882" i="11" s="1"/>
  <c r="I882" i="11"/>
  <c r="M897" i="11"/>
  <c r="H904" i="11" a="1"/>
  <c r="H904" i="11" s="1"/>
  <c r="M904" i="11"/>
  <c r="L904" i="11" a="1"/>
  <c r="L904" i="11" s="1"/>
  <c r="I904" i="11"/>
  <c r="L935" i="11" a="1"/>
  <c r="L935" i="11" s="1"/>
  <c r="I935" i="11"/>
  <c r="H935" i="11" a="1"/>
  <c r="H935" i="11" s="1"/>
  <c r="M955" i="11"/>
  <c r="L955" i="11" a="1"/>
  <c r="L955" i="11" s="1"/>
  <c r="I955" i="11"/>
  <c r="H955" i="11" a="1"/>
  <c r="H955" i="11" s="1"/>
  <c r="H980" i="11" a="1"/>
  <c r="H980" i="11" s="1"/>
  <c r="M980" i="11"/>
  <c r="L980" i="11" a="1"/>
  <c r="L980" i="11" s="1"/>
  <c r="I980" i="11"/>
  <c r="L468" i="11" a="1"/>
  <c r="L468" i="11" s="1"/>
  <c r="H470" i="11" a="1"/>
  <c r="H470" i="11" s="1"/>
  <c r="I470" i="11"/>
  <c r="L477" i="11" a="1"/>
  <c r="L477" i="11" s="1"/>
  <c r="L497" i="11" a="1"/>
  <c r="L497" i="11" s="1"/>
  <c r="L524" i="11" a="1"/>
  <c r="L524" i="11" s="1"/>
  <c r="L535" i="11" a="1"/>
  <c r="L535" i="11" s="1"/>
  <c r="L544" i="11" a="1"/>
  <c r="L544" i="11" s="1"/>
  <c r="L553" i="11" a="1"/>
  <c r="L553" i="11" s="1"/>
  <c r="L571" i="11" a="1"/>
  <c r="L571" i="11" s="1"/>
  <c r="L576" i="11" a="1"/>
  <c r="L576" i="11" s="1"/>
  <c r="M581" i="11"/>
  <c r="L581" i="11" a="1"/>
  <c r="L581" i="11" s="1"/>
  <c r="H581" i="11" a="1"/>
  <c r="H581" i="11" s="1"/>
  <c r="L586" i="11" a="1"/>
  <c r="L586" i="11" s="1"/>
  <c r="H634" i="11" a="1"/>
  <c r="H634" i="11" s="1"/>
  <c r="L634" i="11" a="1"/>
  <c r="L634" i="11" s="1"/>
  <c r="L650" i="11" a="1"/>
  <c r="L650" i="11" s="1"/>
  <c r="L689" i="11" a="1"/>
  <c r="L689" i="11" s="1"/>
  <c r="L710" i="11" a="1"/>
  <c r="L710" i="11" s="1"/>
  <c r="H720" i="11" a="1"/>
  <c r="H720" i="11" s="1"/>
  <c r="L720" i="11" a="1"/>
  <c r="L720" i="11" s="1"/>
  <c r="I720" i="11"/>
  <c r="L733" i="11" a="1"/>
  <c r="L733" i="11" s="1"/>
  <c r="L746" i="11" a="1"/>
  <c r="L746" i="11" s="1"/>
  <c r="L759" i="11" a="1"/>
  <c r="L759" i="11" s="1"/>
  <c r="L767" i="11" a="1"/>
  <c r="L767" i="11" s="1"/>
  <c r="L780" i="11" a="1"/>
  <c r="L780" i="11" s="1"/>
  <c r="L801" i="11" a="1"/>
  <c r="L801" i="11" s="1"/>
  <c r="I801" i="11"/>
  <c r="H801" i="11" a="1"/>
  <c r="H801" i="11" s="1"/>
  <c r="L812" i="11" a="1"/>
  <c r="L812" i="11" s="1"/>
  <c r="L831" i="11" a="1"/>
  <c r="L831" i="11" s="1"/>
  <c r="L853" i="11" a="1"/>
  <c r="L853" i="11" s="1"/>
  <c r="L876" i="11" a="1"/>
  <c r="L876" i="11" s="1"/>
  <c r="I891" i="11"/>
  <c r="H891" i="11" a="1"/>
  <c r="H891" i="11" s="1"/>
  <c r="L929" i="11" a="1"/>
  <c r="L929" i="11" s="1"/>
  <c r="H942" i="11" a="1"/>
  <c r="H942" i="11" s="1"/>
  <c r="L942" i="11" a="1"/>
  <c r="L942" i="11" s="1"/>
  <c r="I942" i="11"/>
  <c r="C11" i="16"/>
  <c r="C10" i="16"/>
  <c r="S11" i="16"/>
  <c r="S10" i="16"/>
  <c r="L232" i="11" a="1"/>
  <c r="L232" i="11" s="1"/>
  <c r="L248" i="11" a="1"/>
  <c r="L248" i="11" s="1"/>
  <c r="B432" i="11"/>
  <c r="M468" i="11"/>
  <c r="H506" i="11" a="1"/>
  <c r="H506" i="11" s="1"/>
  <c r="L506" i="11" a="1"/>
  <c r="L506" i="11" s="1"/>
  <c r="M524" i="11"/>
  <c r="M544" i="11"/>
  <c r="M576" i="11"/>
  <c r="M586" i="11"/>
  <c r="I637" i="11"/>
  <c r="H637" i="11" a="1"/>
  <c r="H637" i="11" s="1"/>
  <c r="M650" i="11"/>
  <c r="H658" i="11" a="1"/>
  <c r="H658" i="11" s="1"/>
  <c r="M658" i="11"/>
  <c r="L658" i="11" a="1"/>
  <c r="L658" i="11" s="1"/>
  <c r="M710" i="11"/>
  <c r="H730" i="11" a="1"/>
  <c r="H730" i="11" s="1"/>
  <c r="L730" i="11" a="1"/>
  <c r="L730" i="11" s="1"/>
  <c r="M746" i="11"/>
  <c r="H754" i="11" a="1"/>
  <c r="H754" i="11" s="1"/>
  <c r="M754" i="11"/>
  <c r="L754" i="11" a="1"/>
  <c r="L754" i="11" s="1"/>
  <c r="H764" i="11" a="1"/>
  <c r="H764" i="11" s="1"/>
  <c r="M764" i="11"/>
  <c r="M876" i="11"/>
  <c r="I923" i="11"/>
  <c r="H923" i="11" a="1"/>
  <c r="H923" i="11" s="1"/>
  <c r="M929" i="11"/>
  <c r="D10" i="16"/>
  <c r="D11" i="16"/>
  <c r="T11" i="16"/>
  <c r="T10" i="16"/>
  <c r="B264" i="11"/>
  <c r="B296" i="11"/>
  <c r="B328" i="11"/>
  <c r="B360" i="11"/>
  <c r="B392" i="11"/>
  <c r="B424" i="11"/>
  <c r="B436" i="11"/>
  <c r="H668" i="11" a="1"/>
  <c r="H668" i="11" s="1"/>
  <c r="M668" i="11"/>
  <c r="I733" i="11"/>
  <c r="H733" i="11" a="1"/>
  <c r="H733" i="11" s="1"/>
  <c r="I767" i="11"/>
  <c r="H767" i="11" a="1"/>
  <c r="H767" i="11" s="1"/>
  <c r="H780" i="11" a="1"/>
  <c r="H780" i="11" s="1"/>
  <c r="I780" i="11"/>
  <c r="H812" i="11" a="1"/>
  <c r="H812" i="11" s="1"/>
  <c r="I812" i="11"/>
  <c r="H828" i="11" a="1"/>
  <c r="H828" i="11" s="1"/>
  <c r="M828" i="11"/>
  <c r="I831" i="11"/>
  <c r="H831" i="11" a="1"/>
  <c r="H831" i="11" s="1"/>
  <c r="H886" i="11" a="1"/>
  <c r="H886" i="11" s="1"/>
  <c r="L886" i="11" a="1"/>
  <c r="L886" i="11" s="1"/>
  <c r="M886" i="11"/>
  <c r="I886" i="11"/>
  <c r="H956" i="11" a="1"/>
  <c r="H956" i="11" s="1"/>
  <c r="M956" i="11"/>
  <c r="L956" i="11" a="1"/>
  <c r="L956" i="11" s="1"/>
  <c r="I956" i="11"/>
  <c r="H962" i="11" a="1"/>
  <c r="H962" i="11" s="1"/>
  <c r="M962" i="11"/>
  <c r="L962" i="11" a="1"/>
  <c r="L962" i="11" s="1"/>
  <c r="L609" i="11" a="1"/>
  <c r="L609" i="11" s="1"/>
  <c r="I609" i="11"/>
  <c r="H622" i="11" a="1"/>
  <c r="H622" i="11" s="1"/>
  <c r="I622" i="11"/>
  <c r="I671" i="11"/>
  <c r="H671" i="11" a="1"/>
  <c r="H671" i="11" s="1"/>
  <c r="H684" i="11" a="1"/>
  <c r="H684" i="11" s="1"/>
  <c r="I684" i="11"/>
  <c r="H818" i="11" a="1"/>
  <c r="H818" i="11" s="1"/>
  <c r="M818" i="11"/>
  <c r="L818" i="11" a="1"/>
  <c r="L818" i="11" s="1"/>
  <c r="I818" i="11"/>
  <c r="I861" i="11"/>
  <c r="H861" i="11" a="1"/>
  <c r="H861" i="11" s="1"/>
  <c r="M905" i="11"/>
  <c r="I905" i="11"/>
  <c r="I566" i="11"/>
  <c r="I583" i="11"/>
  <c r="I598" i="11"/>
  <c r="H613" i="11" a="1"/>
  <c r="H613" i="11" s="1"/>
  <c r="I630" i="11"/>
  <c r="H645" i="11" a="1"/>
  <c r="H645" i="11" s="1"/>
  <c r="I662" i="11"/>
  <c r="H677" i="11" a="1"/>
  <c r="H677" i="11" s="1"/>
  <c r="I679" i="11"/>
  <c r="I694" i="11"/>
  <c r="H709" i="11" a="1"/>
  <c r="H709" i="11" s="1"/>
  <c r="I726" i="11"/>
  <c r="H741" i="11" a="1"/>
  <c r="H741" i="11" s="1"/>
  <c r="I743" i="11"/>
  <c r="I758" i="11"/>
  <c r="H773" i="11" a="1"/>
  <c r="H773" i="11" s="1"/>
  <c r="I775" i="11"/>
  <c r="I790" i="11"/>
  <c r="L794" i="11" a="1"/>
  <c r="L794" i="11" s="1"/>
  <c r="H805" i="11" a="1"/>
  <c r="H805" i="11" s="1"/>
  <c r="I807" i="11"/>
  <c r="I822" i="11"/>
  <c r="L826" i="11" a="1"/>
  <c r="L826" i="11" s="1"/>
  <c r="H837" i="11" a="1"/>
  <c r="H837" i="11" s="1"/>
  <c r="I839" i="11"/>
  <c r="I854" i="11"/>
  <c r="L858" i="11" a="1"/>
  <c r="L858" i="11" s="1"/>
  <c r="M860" i="11"/>
  <c r="M880" i="11"/>
  <c r="H893" i="11" a="1"/>
  <c r="H893" i="11" s="1"/>
  <c r="I901" i="11"/>
  <c r="M906" i="11"/>
  <c r="I912" i="11"/>
  <c r="I925" i="11"/>
  <c r="L933" i="11" a="1"/>
  <c r="L933" i="11" s="1"/>
  <c r="M941" i="11"/>
  <c r="L941" i="11" a="1"/>
  <c r="L941" i="11" s="1"/>
  <c r="I941" i="11"/>
  <c r="H941" i="11" a="1"/>
  <c r="H941" i="11" s="1"/>
  <c r="L944" i="11" a="1"/>
  <c r="L944" i="11" s="1"/>
  <c r="L968" i="11" a="1"/>
  <c r="L968" i="11" s="1"/>
  <c r="I974" i="11"/>
  <c r="M3" i="16"/>
  <c r="H914" i="11" a="1"/>
  <c r="H914" i="11" s="1"/>
  <c r="I914" i="11"/>
  <c r="H930" i="11" a="1"/>
  <c r="H930" i="11" s="1"/>
  <c r="M930" i="11"/>
  <c r="L930" i="11" a="1"/>
  <c r="L930" i="11" s="1"/>
  <c r="H952" i="11" a="1"/>
  <c r="H952" i="11" s="1"/>
  <c r="M952" i="11"/>
  <c r="I952" i="11"/>
  <c r="M979" i="11"/>
  <c r="L979" i="11" a="1"/>
  <c r="L979" i="11" s="1"/>
  <c r="H898" i="11" a="1"/>
  <c r="H898" i="11" s="1"/>
  <c r="M898" i="11"/>
  <c r="L898" i="11" a="1"/>
  <c r="L898" i="11" s="1"/>
  <c r="M909" i="11"/>
  <c r="L909" i="11" a="1"/>
  <c r="L909" i="11" s="1"/>
  <c r="I909" i="11"/>
  <c r="H909" i="11" a="1"/>
  <c r="H909" i="11" s="1"/>
  <c r="H982" i="11" a="1"/>
  <c r="H982" i="11" s="1"/>
  <c r="L982" i="11" a="1"/>
  <c r="L982" i="11" s="1"/>
  <c r="I982" i="11"/>
  <c r="L596" i="11" a="1"/>
  <c r="L596" i="11" s="1"/>
  <c r="L613" i="11" a="1"/>
  <c r="L613" i="11" s="1"/>
  <c r="L628" i="11" a="1"/>
  <c r="L628" i="11" s="1"/>
  <c r="L645" i="11" a="1"/>
  <c r="L645" i="11" s="1"/>
  <c r="L660" i="11" a="1"/>
  <c r="L660" i="11" s="1"/>
  <c r="L677" i="11" a="1"/>
  <c r="L677" i="11" s="1"/>
  <c r="L692" i="11" a="1"/>
  <c r="L692" i="11" s="1"/>
  <c r="L709" i="11" a="1"/>
  <c r="L709" i="11" s="1"/>
  <c r="L724" i="11" a="1"/>
  <c r="L724" i="11" s="1"/>
  <c r="L741" i="11" a="1"/>
  <c r="L741" i="11" s="1"/>
  <c r="L756" i="11" a="1"/>
  <c r="L756" i="11" s="1"/>
  <c r="M758" i="11"/>
  <c r="L773" i="11" a="1"/>
  <c r="L773" i="11" s="1"/>
  <c r="L788" i="11" a="1"/>
  <c r="L788" i="11" s="1"/>
  <c r="M790" i="11"/>
  <c r="L805" i="11" a="1"/>
  <c r="L805" i="11" s="1"/>
  <c r="L820" i="11" a="1"/>
  <c r="L820" i="11" s="1"/>
  <c r="M822" i="11"/>
  <c r="L837" i="11" a="1"/>
  <c r="L837" i="11" s="1"/>
  <c r="L852" i="11" a="1"/>
  <c r="L852" i="11" s="1"/>
  <c r="M854" i="11"/>
  <c r="H888" i="11" a="1"/>
  <c r="H888" i="11" s="1"/>
  <c r="M888" i="11"/>
  <c r="I888" i="11"/>
  <c r="L893" i="11" a="1"/>
  <c r="L893" i="11" s="1"/>
  <c r="M912" i="11"/>
  <c r="H920" i="11" a="1"/>
  <c r="H920" i="11" s="1"/>
  <c r="M920" i="11"/>
  <c r="I920" i="11"/>
  <c r="L936" i="11" a="1"/>
  <c r="L936" i="11" s="1"/>
  <c r="L993" i="11" a="1"/>
  <c r="L993" i="11" s="1"/>
  <c r="K4" i="16"/>
  <c r="K3" i="16"/>
  <c r="M596" i="11"/>
  <c r="M628" i="11"/>
  <c r="M660" i="11"/>
  <c r="M692" i="11"/>
  <c r="M724" i="11"/>
  <c r="M756" i="11"/>
  <c r="M788" i="11"/>
  <c r="M820" i="11"/>
  <c r="M852" i="11"/>
  <c r="M883" i="11"/>
  <c r="L883" i="11" a="1"/>
  <c r="L883" i="11" s="1"/>
  <c r="M936" i="11"/>
  <c r="M947" i="11"/>
  <c r="L947" i="11" a="1"/>
  <c r="L947" i="11" s="1"/>
  <c r="M993" i="11"/>
  <c r="L4" i="16"/>
  <c r="L3" i="16"/>
  <c r="H950" i="11" a="1"/>
  <c r="H950" i="11" s="1"/>
  <c r="L950" i="11" a="1"/>
  <c r="L950" i="11" s="1"/>
  <c r="I950" i="11"/>
  <c r="I894" i="11"/>
  <c r="M900" i="11"/>
  <c r="I911" i="11"/>
  <c r="I926" i="11"/>
  <c r="M932" i="11"/>
  <c r="I943" i="11"/>
  <c r="I958" i="11"/>
  <c r="I975" i="11"/>
  <c r="I990" i="11"/>
  <c r="L960" i="11" a="1"/>
  <c r="L960" i="11" s="1"/>
  <c r="L992" i="11" a="1"/>
  <c r="L992" i="11" s="1"/>
  <c r="M894" i="11"/>
  <c r="M926" i="11"/>
  <c r="M958" i="11"/>
  <c r="M990" i="11"/>
  <c r="O3" i="16"/>
  <c r="O4" i="16"/>
  <c r="AE3" i="16"/>
  <c r="AE4" i="16"/>
  <c r="AD4" i="16"/>
  <c r="O13" i="16"/>
  <c r="AE13" i="16"/>
  <c r="A13" i="16"/>
  <c r="P13" i="16"/>
  <c r="AF13" i="16"/>
  <c r="Q13" i="16"/>
  <c r="K417" i="11" l="1"/>
  <c r="K275" i="11"/>
  <c r="K416" i="11"/>
  <c r="K306" i="11"/>
  <c r="K220" i="11"/>
  <c r="K192" i="11"/>
  <c r="K116" i="11"/>
  <c r="P139" i="1"/>
  <c r="O139" i="1"/>
  <c r="O134" i="1"/>
  <c r="P134" i="1"/>
  <c r="T214" i="3"/>
  <c r="O96" i="1"/>
  <c r="P96" i="1"/>
  <c r="P91" i="1"/>
  <c r="O91" i="1"/>
  <c r="P163" i="1"/>
  <c r="O163" i="1"/>
  <c r="P8" i="1"/>
  <c r="O8" i="1"/>
  <c r="T191" i="3"/>
  <c r="O107" i="1"/>
  <c r="P107" i="1"/>
  <c r="P173" i="1"/>
  <c r="O173" i="1"/>
  <c r="O81" i="1"/>
  <c r="P81" i="1"/>
  <c r="P68" i="1"/>
  <c r="O68" i="1"/>
  <c r="P3" i="1"/>
  <c r="O3" i="1"/>
  <c r="P21" i="1"/>
  <c r="O21" i="1"/>
  <c r="P4" i="1"/>
  <c r="O4" i="1"/>
  <c r="T5" i="3"/>
  <c r="AA5" i="3"/>
  <c r="AC5" i="3"/>
  <c r="K378" i="11"/>
  <c r="K318" i="11"/>
  <c r="K43" i="11"/>
  <c r="K10" i="11"/>
  <c r="D168" i="6"/>
  <c r="E168" i="6" s="1"/>
  <c r="T174" i="3"/>
  <c r="Q84" i="3"/>
  <c r="P84" i="3"/>
  <c r="S84" i="3" s="1"/>
  <c r="AB84" i="3"/>
  <c r="AB568" i="3"/>
  <c r="P568" i="3"/>
  <c r="Q568" i="3"/>
  <c r="AB744" i="3"/>
  <c r="Q744" i="3"/>
  <c r="P744" i="3"/>
  <c r="S744" i="3" s="1"/>
  <c r="P655" i="3"/>
  <c r="AB655" i="3"/>
  <c r="Q655" i="3"/>
  <c r="AB384" i="3"/>
  <c r="Q384" i="3"/>
  <c r="P384" i="3"/>
  <c r="S384" i="3" s="1"/>
  <c r="AB550" i="3"/>
  <c r="Q550" i="3"/>
  <c r="P550" i="3"/>
  <c r="S550" i="3" s="1"/>
  <c r="Q264" i="3"/>
  <c r="P264" i="3"/>
  <c r="S264" i="3" s="1"/>
  <c r="AB264" i="3"/>
  <c r="Q79" i="3"/>
  <c r="P79" i="3"/>
  <c r="AB79" i="3"/>
  <c r="AC175" i="3"/>
  <c r="AA175" i="3"/>
  <c r="Q435" i="3"/>
  <c r="P435" i="3"/>
  <c r="AB435" i="3"/>
  <c r="P662" i="3"/>
  <c r="AB662" i="3"/>
  <c r="Q662" i="3"/>
  <c r="AA308" i="3"/>
  <c r="AC308" i="3"/>
  <c r="Q629" i="3"/>
  <c r="AB629" i="3"/>
  <c r="P629" i="3"/>
  <c r="S629" i="3" s="1"/>
  <c r="K298" i="11"/>
  <c r="Q499" i="3"/>
  <c r="AB499" i="3"/>
  <c r="P499" i="3"/>
  <c r="S499" i="3" s="1"/>
  <c r="P591" i="3"/>
  <c r="Q591" i="3"/>
  <c r="AB591" i="3"/>
  <c r="P658" i="3"/>
  <c r="AB658" i="3"/>
  <c r="Q658" i="3"/>
  <c r="AC159" i="3"/>
  <c r="AA159" i="3"/>
  <c r="AB559" i="3"/>
  <c r="Q559" i="3"/>
  <c r="P559" i="3"/>
  <c r="S559" i="3" s="1"/>
  <c r="D132" i="6"/>
  <c r="E132" i="6" s="1"/>
  <c r="Q382" i="3"/>
  <c r="AB382" i="3"/>
  <c r="P382" i="3"/>
  <c r="T51" i="3"/>
  <c r="K382" i="11"/>
  <c r="K418" i="11"/>
  <c r="K455" i="11"/>
  <c r="K191" i="11"/>
  <c r="Q516" i="3"/>
  <c r="AB516" i="3"/>
  <c r="P516" i="3"/>
  <c r="S516" i="3" s="1"/>
  <c r="AB764" i="3"/>
  <c r="Q764" i="3"/>
  <c r="P764" i="3"/>
  <c r="S764" i="3" s="1"/>
  <c r="Q379" i="3"/>
  <c r="P379" i="3"/>
  <c r="S379" i="3" s="1"/>
  <c r="AB379" i="3"/>
  <c r="P118" i="3"/>
  <c r="AB118" i="3"/>
  <c r="Q118" i="3"/>
  <c r="T46" i="3"/>
  <c r="Q201" i="3"/>
  <c r="P201" i="3"/>
  <c r="AB201" i="3"/>
  <c r="AC470" i="3"/>
  <c r="AA470" i="3"/>
  <c r="T72" i="3"/>
  <c r="K285" i="11"/>
  <c r="K111" i="11"/>
  <c r="Q785" i="3"/>
  <c r="P785" i="3"/>
  <c r="AB785" i="3"/>
  <c r="K180" i="11"/>
  <c r="P627" i="3"/>
  <c r="AB627" i="3"/>
  <c r="Q627" i="3"/>
  <c r="K305" i="11"/>
  <c r="Q690" i="3"/>
  <c r="P690" i="3"/>
  <c r="S690" i="3" s="1"/>
  <c r="AB690" i="3"/>
  <c r="P676" i="3"/>
  <c r="AB676" i="3"/>
  <c r="Q676" i="3"/>
  <c r="R165" i="3" a="1"/>
  <c r="R165" i="3" s="1"/>
  <c r="P370" i="3"/>
  <c r="S370" i="3" s="1"/>
  <c r="AB370" i="3"/>
  <c r="Q370" i="3"/>
  <c r="Q236" i="3"/>
  <c r="P236" i="3"/>
  <c r="S236" i="3" s="1"/>
  <c r="AB236" i="3"/>
  <c r="AB317" i="3"/>
  <c r="P317" i="3"/>
  <c r="S317" i="3" s="1"/>
  <c r="Q317" i="3"/>
  <c r="AB171" i="3"/>
  <c r="P171" i="3"/>
  <c r="Q171" i="3"/>
  <c r="S185" i="1"/>
  <c r="L185" i="1"/>
  <c r="P102" i="3"/>
  <c r="AB102" i="3"/>
  <c r="Q102" i="3"/>
  <c r="K319" i="11"/>
  <c r="K351" i="11"/>
  <c r="K459" i="11"/>
  <c r="K414" i="11"/>
  <c r="K426" i="11"/>
  <c r="AB789" i="3"/>
  <c r="P789" i="3"/>
  <c r="S789" i="3" s="1"/>
  <c r="Q789" i="3"/>
  <c r="R437" i="3" a="1"/>
  <c r="R437" i="3" s="1"/>
  <c r="P541" i="3"/>
  <c r="AB541" i="3"/>
  <c r="Q541" i="3"/>
  <c r="Q12" i="3"/>
  <c r="P12" i="3"/>
  <c r="S12" i="3" s="1"/>
  <c r="AB12" i="3"/>
  <c r="L72" i="1"/>
  <c r="S72" i="1"/>
  <c r="AB368" i="3"/>
  <c r="Q368" i="3"/>
  <c r="P368" i="3"/>
  <c r="AB427" i="3"/>
  <c r="Q427" i="3"/>
  <c r="P427" i="3"/>
  <c r="S427" i="3" s="1"/>
  <c r="O180" i="1"/>
  <c r="O29" i="1"/>
  <c r="O18" i="1"/>
  <c r="K309" i="11"/>
  <c r="K278" i="11"/>
  <c r="K152" i="11"/>
  <c r="K245" i="11"/>
  <c r="K126" i="11"/>
  <c r="E627" i="3" a="1"/>
  <c r="E627" i="3" s="1"/>
  <c r="Q373" i="3"/>
  <c r="P373" i="3"/>
  <c r="AB373" i="3"/>
  <c r="T48" i="3"/>
  <c r="L164" i="1"/>
  <c r="S164" i="1"/>
  <c r="Q151" i="3"/>
  <c r="P151" i="3"/>
  <c r="S151" i="3" s="1"/>
  <c r="AB151" i="3"/>
  <c r="O41" i="1"/>
  <c r="P41" i="1"/>
  <c r="D160" i="6"/>
  <c r="E160" i="6" s="1"/>
  <c r="D27" i="6"/>
  <c r="E27" i="6" s="1"/>
  <c r="S38" i="1"/>
  <c r="S607" i="3"/>
  <c r="O20" i="1"/>
  <c r="K258" i="11"/>
  <c r="D148" i="6"/>
  <c r="E148" i="6" s="1"/>
  <c r="S177" i="3"/>
  <c r="K73" i="1"/>
  <c r="P141" i="1"/>
  <c r="AC346" i="3"/>
  <c r="AA346" i="3"/>
  <c r="T493" i="3"/>
  <c r="P94" i="1"/>
  <c r="O94" i="1"/>
  <c r="T123" i="3"/>
  <c r="K240" i="11"/>
  <c r="K439" i="11"/>
  <c r="Q683" i="3"/>
  <c r="P683" i="3"/>
  <c r="AB683" i="3"/>
  <c r="K225" i="11"/>
  <c r="Q734" i="3"/>
  <c r="P734" i="3"/>
  <c r="S734" i="3" s="1"/>
  <c r="AB734" i="3"/>
  <c r="K358" i="11"/>
  <c r="K271" i="11"/>
  <c r="Q337" i="3"/>
  <c r="AB337" i="3"/>
  <c r="P337" i="3"/>
  <c r="S337" i="3" s="1"/>
  <c r="Q289" i="3"/>
  <c r="P289" i="3"/>
  <c r="S289" i="3" s="1"/>
  <c r="AB289" i="3"/>
  <c r="Q474" i="3"/>
  <c r="P474" i="3"/>
  <c r="S474" i="3" s="1"/>
  <c r="AB474" i="3"/>
  <c r="P414" i="3"/>
  <c r="AB414" i="3"/>
  <c r="Q414" i="3"/>
  <c r="Q792" i="3"/>
  <c r="AB792" i="3"/>
  <c r="P792" i="3"/>
  <c r="S792" i="3" s="1"/>
  <c r="R441" i="3" a="1"/>
  <c r="R441" i="3" s="1"/>
  <c r="T60" i="3"/>
  <c r="AB127" i="3"/>
  <c r="Q127" i="3"/>
  <c r="P127" i="3"/>
  <c r="S127" i="3" s="1"/>
  <c r="T158" i="3"/>
  <c r="Q278" i="3"/>
  <c r="AB278" i="3"/>
  <c r="P278" i="3"/>
  <c r="Q790" i="3"/>
  <c r="P790" i="3"/>
  <c r="S790" i="3" s="1"/>
  <c r="AB790" i="3"/>
  <c r="Q282" i="3"/>
  <c r="AB282" i="3"/>
  <c r="P282" i="3"/>
  <c r="S282" i="3" s="1"/>
  <c r="P672" i="3"/>
  <c r="AB672" i="3"/>
  <c r="Q672" i="3"/>
  <c r="AE203" i="3"/>
  <c r="AD203" i="3"/>
  <c r="E487" i="3" a="1"/>
  <c r="E487" i="3" s="1"/>
  <c r="AD191" i="3"/>
  <c r="AE191" i="3"/>
  <c r="Q163" i="3"/>
  <c r="P163" i="3"/>
  <c r="AB163" i="3"/>
  <c r="K381" i="11"/>
  <c r="K369" i="11"/>
  <c r="Q742" i="3"/>
  <c r="P742" i="3"/>
  <c r="S742" i="3" s="1"/>
  <c r="AB742" i="3"/>
  <c r="E785" i="3" a="1"/>
  <c r="E785" i="3" s="1"/>
  <c r="AB511" i="3"/>
  <c r="Q511" i="3"/>
  <c r="P511" i="3"/>
  <c r="S511" i="3" s="1"/>
  <c r="AB585" i="3"/>
  <c r="P585" i="3"/>
  <c r="S585" i="3" s="1"/>
  <c r="Q585" i="3"/>
  <c r="T144" i="3"/>
  <c r="AB477" i="3"/>
  <c r="P477" i="3"/>
  <c r="Q477" i="3"/>
  <c r="AE216" i="3"/>
  <c r="AD216" i="3"/>
  <c r="O132" i="1"/>
  <c r="P132" i="1"/>
  <c r="AC158" i="3"/>
  <c r="AA158" i="3"/>
  <c r="P49" i="3"/>
  <c r="AB49" i="3"/>
  <c r="Q49" i="3"/>
  <c r="S308" i="3"/>
  <c r="K248" i="11"/>
  <c r="P661" i="3"/>
  <c r="Q661" i="3"/>
  <c r="AB661" i="3"/>
  <c r="K169" i="11"/>
  <c r="AB529" i="3"/>
  <c r="Q529" i="3"/>
  <c r="P529" i="3"/>
  <c r="S529" i="3" s="1"/>
  <c r="P421" i="3"/>
  <c r="Q421" i="3"/>
  <c r="AB421" i="3"/>
  <c r="Q546" i="3"/>
  <c r="P546" i="3"/>
  <c r="S546" i="3" s="1"/>
  <c r="AB546" i="3"/>
  <c r="P598" i="3"/>
  <c r="S598" i="3" s="1"/>
  <c r="AB598" i="3"/>
  <c r="Q598" i="3"/>
  <c r="Q478" i="3"/>
  <c r="P478" i="3"/>
  <c r="S478" i="3" s="1"/>
  <c r="AB478" i="3"/>
  <c r="P488" i="3"/>
  <c r="AB488" i="3"/>
  <c r="Q488" i="3"/>
  <c r="AA76" i="3"/>
  <c r="AC76" i="3"/>
  <c r="O11" i="1"/>
  <c r="E72" i="3" a="1"/>
  <c r="E72" i="3" s="1"/>
  <c r="AA386" i="3"/>
  <c r="AC386" i="3"/>
  <c r="Q30" i="3"/>
  <c r="AB30" i="3"/>
  <c r="P30" i="3"/>
  <c r="S30" i="3" s="1"/>
  <c r="T150" i="3"/>
  <c r="L75" i="1"/>
  <c r="K392" i="11"/>
  <c r="K359" i="11"/>
  <c r="K366" i="11"/>
  <c r="K437" i="11"/>
  <c r="K186" i="11"/>
  <c r="K58" i="11"/>
  <c r="Q737" i="3"/>
  <c r="P737" i="3"/>
  <c r="AB737" i="3"/>
  <c r="K24" i="11"/>
  <c r="T169" i="3"/>
  <c r="R595" i="3" a="1"/>
  <c r="R595" i="3" s="1"/>
  <c r="Q487" i="3"/>
  <c r="P487" i="3"/>
  <c r="AB487" i="3"/>
  <c r="AB388" i="3"/>
  <c r="Q388" i="3"/>
  <c r="P388" i="3"/>
  <c r="S388" i="3" s="1"/>
  <c r="Q531" i="3"/>
  <c r="AB531" i="3"/>
  <c r="P531" i="3"/>
  <c r="S531" i="3" s="1"/>
  <c r="P567" i="3"/>
  <c r="S567" i="3" s="1"/>
  <c r="AB567" i="3"/>
  <c r="Q567" i="3"/>
  <c r="K253" i="11"/>
  <c r="AE88" i="3"/>
  <c r="AD88" i="3"/>
  <c r="AC259" i="3"/>
  <c r="AA259" i="3"/>
  <c r="AB751" i="3"/>
  <c r="Q751" i="3"/>
  <c r="P751" i="3"/>
  <c r="S751" i="3" s="1"/>
  <c r="O184" i="1"/>
  <c r="O66" i="1"/>
  <c r="AC257" i="3"/>
  <c r="AA257" i="3"/>
  <c r="P62" i="1"/>
  <c r="O62" i="1"/>
  <c r="K341" i="11"/>
  <c r="K96" i="11"/>
  <c r="K401" i="11"/>
  <c r="P665" i="3"/>
  <c r="S665" i="3" s="1"/>
  <c r="Q665" i="3"/>
  <c r="AB665" i="3"/>
  <c r="P291" i="3"/>
  <c r="Q291" i="3"/>
  <c r="AB291" i="3"/>
  <c r="AB722" i="3"/>
  <c r="P722" i="3"/>
  <c r="Q722" i="3"/>
  <c r="AB535" i="3"/>
  <c r="Q535" i="3"/>
  <c r="P535" i="3"/>
  <c r="S535" i="3" s="1"/>
  <c r="R349" i="3" a="1"/>
  <c r="R349" i="3" s="1"/>
  <c r="Q777" i="3"/>
  <c r="P777" i="3"/>
  <c r="S777" i="3" s="1"/>
  <c r="AB777" i="3"/>
  <c r="P664" i="3"/>
  <c r="S664" i="3" s="1"/>
  <c r="AB664" i="3"/>
  <c r="Q664" i="3"/>
  <c r="Q290" i="3"/>
  <c r="AB290" i="3"/>
  <c r="P290" i="3"/>
  <c r="S290" i="3" s="1"/>
  <c r="AB334" i="3"/>
  <c r="Q334" i="3"/>
  <c r="P334" i="3"/>
  <c r="S334" i="3" s="1"/>
  <c r="AB295" i="3"/>
  <c r="P295" i="3"/>
  <c r="Q295" i="3"/>
  <c r="Q194" i="3"/>
  <c r="P194" i="3"/>
  <c r="AB194" i="3"/>
  <c r="S182" i="1"/>
  <c r="L182" i="1"/>
  <c r="L61" i="1"/>
  <c r="S61" i="1"/>
  <c r="T215" i="3"/>
  <c r="T47" i="3"/>
  <c r="AB18" i="3"/>
  <c r="P18" i="3"/>
  <c r="Q18" i="3"/>
  <c r="AB9" i="3"/>
  <c r="P9" i="3"/>
  <c r="S9" i="3" s="1"/>
  <c r="Q9" i="3"/>
  <c r="AC358" i="3"/>
  <c r="AA358" i="3"/>
  <c r="P65" i="3"/>
  <c r="S65" i="3" s="1"/>
  <c r="AB65" i="3"/>
  <c r="Q65" i="3"/>
  <c r="P82" i="1"/>
  <c r="K328" i="11"/>
  <c r="K365" i="11"/>
  <c r="R674" i="3" a="1"/>
  <c r="R674" i="3" s="1"/>
  <c r="Q745" i="3"/>
  <c r="P745" i="3"/>
  <c r="S745" i="3" s="1"/>
  <c r="AB745" i="3"/>
  <c r="P165" i="3"/>
  <c r="AB165" i="3"/>
  <c r="Q165" i="3"/>
  <c r="AB708" i="3"/>
  <c r="Q708" i="3"/>
  <c r="P708" i="3"/>
  <c r="S708" i="3" s="1"/>
  <c r="R350" i="3" a="1"/>
  <c r="R350" i="3" s="1"/>
  <c r="Q267" i="3"/>
  <c r="AB267" i="3"/>
  <c r="P267" i="3"/>
  <c r="P712" i="3"/>
  <c r="AB712" i="3"/>
  <c r="Q712" i="3"/>
  <c r="P409" i="3"/>
  <c r="Q409" i="3"/>
  <c r="AB409" i="3"/>
  <c r="Q716" i="3"/>
  <c r="AB716" i="3"/>
  <c r="P716" i="3"/>
  <c r="S716" i="3" s="1"/>
  <c r="E726" i="3" a="1"/>
  <c r="E726" i="3" s="1"/>
  <c r="AB517" i="3"/>
  <c r="Q517" i="3"/>
  <c r="P517" i="3"/>
  <c r="AB132" i="3"/>
  <c r="Q132" i="3"/>
  <c r="P132" i="3"/>
  <c r="S132" i="3" s="1"/>
  <c r="O116" i="1"/>
  <c r="S73" i="3"/>
  <c r="O145" i="1"/>
  <c r="P106" i="1"/>
  <c r="O106" i="1"/>
  <c r="R761" i="3" a="1"/>
  <c r="R761" i="3" s="1"/>
  <c r="R675" i="3" a="1"/>
  <c r="R675" i="3" s="1"/>
  <c r="K383" i="11"/>
  <c r="K37" i="11"/>
  <c r="E643" i="3" a="1"/>
  <c r="E643" i="3" s="1"/>
  <c r="R475" i="3" a="1"/>
  <c r="R475" i="3" s="1"/>
  <c r="P457" i="3"/>
  <c r="S457" i="3" s="1"/>
  <c r="Q457" i="3"/>
  <c r="AB457" i="3"/>
  <c r="Q552" i="3"/>
  <c r="P552" i="3"/>
  <c r="S552" i="3" s="1"/>
  <c r="AB552" i="3"/>
  <c r="R481" i="3" a="1"/>
  <c r="R481" i="3" s="1"/>
  <c r="Q753" i="3"/>
  <c r="P753" i="3"/>
  <c r="S753" i="3" s="1"/>
  <c r="AB753" i="3"/>
  <c r="Q247" i="3"/>
  <c r="P247" i="3"/>
  <c r="S247" i="3" s="1"/>
  <c r="AB247" i="3"/>
  <c r="R224" i="3" a="1"/>
  <c r="R224" i="3" s="1"/>
  <c r="R229" i="3" a="1"/>
  <c r="R229" i="3" s="1"/>
  <c r="R430" i="3" a="1"/>
  <c r="R430" i="3" s="1"/>
  <c r="R433" i="3" a="1"/>
  <c r="R433" i="3" s="1"/>
  <c r="P434" i="3"/>
  <c r="S434" i="3" s="1"/>
  <c r="AB434" i="3"/>
  <c r="Q434" i="3"/>
  <c r="Q27" i="3"/>
  <c r="AB27" i="3"/>
  <c r="P27" i="3"/>
  <c r="S27" i="3" s="1"/>
  <c r="R345" i="3" a="1"/>
  <c r="R345" i="3" s="1"/>
  <c r="R276" i="3" a="1"/>
  <c r="R276" i="3" s="1"/>
  <c r="R399" i="3" a="1"/>
  <c r="R399" i="3" s="1"/>
  <c r="R24" i="3" a="1"/>
  <c r="R24" i="3" s="1"/>
  <c r="Q195" i="3"/>
  <c r="P195" i="3"/>
  <c r="AB195" i="3"/>
  <c r="P89" i="1"/>
  <c r="O89" i="1"/>
  <c r="P52" i="1"/>
  <c r="AA14" i="3"/>
  <c r="AC14" i="3"/>
  <c r="K447" i="11"/>
  <c r="K263" i="11"/>
  <c r="D130" i="6"/>
  <c r="E130" i="6" s="1"/>
  <c r="K374" i="11"/>
  <c r="K73" i="11"/>
  <c r="D18" i="6"/>
  <c r="E18" i="6" s="1"/>
  <c r="K18" i="11"/>
  <c r="K384" i="11"/>
  <c r="K219" i="11"/>
  <c r="Q377" i="3"/>
  <c r="P377" i="3"/>
  <c r="S377" i="3" s="1"/>
  <c r="AB377" i="3"/>
  <c r="Q476" i="3"/>
  <c r="P476" i="3"/>
  <c r="AB476" i="3"/>
  <c r="P575" i="3"/>
  <c r="Q575" i="3"/>
  <c r="AB575" i="3"/>
  <c r="P553" i="3"/>
  <c r="AB553" i="3"/>
  <c r="Q553" i="3"/>
  <c r="Q718" i="3"/>
  <c r="P718" i="3"/>
  <c r="S718" i="3" s="1"/>
  <c r="AB718" i="3"/>
  <c r="P413" i="3"/>
  <c r="S413" i="3" s="1"/>
  <c r="Q413" i="3"/>
  <c r="AB413" i="3"/>
  <c r="AB618" i="3"/>
  <c r="Q618" i="3"/>
  <c r="P618" i="3"/>
  <c r="R13" i="3" a="1"/>
  <c r="R13" i="3" s="1"/>
  <c r="R10" i="3" a="1"/>
  <c r="R10" i="3" s="1"/>
  <c r="Q328" i="3"/>
  <c r="P328" i="3"/>
  <c r="S328" i="3" s="1"/>
  <c r="AB328" i="3"/>
  <c r="AB731" i="3"/>
  <c r="Q731" i="3"/>
  <c r="P731" i="3"/>
  <c r="S731" i="3" s="1"/>
  <c r="Q202" i="3"/>
  <c r="P202" i="3"/>
  <c r="S202" i="3" s="1"/>
  <c r="AB202" i="3"/>
  <c r="AE72" i="3"/>
  <c r="AD72" i="3"/>
  <c r="Q108" i="3"/>
  <c r="P108" i="3"/>
  <c r="AB108" i="3"/>
  <c r="L121" i="1"/>
  <c r="S121" i="1"/>
  <c r="AA607" i="3"/>
  <c r="AC607" i="3"/>
  <c r="AE214" i="3"/>
  <c r="AD214" i="3"/>
  <c r="D164" i="6"/>
  <c r="E164" i="6" s="1"/>
  <c r="D139" i="6"/>
  <c r="E139" i="6" s="1"/>
  <c r="K342" i="11"/>
  <c r="K31" i="11"/>
  <c r="K144" i="11"/>
  <c r="D39" i="6"/>
  <c r="E39" i="6" s="1"/>
  <c r="H38" i="14" a="1"/>
  <c r="H38" i="14" s="1"/>
  <c r="P243" i="3"/>
  <c r="AB243" i="3"/>
  <c r="Q243" i="3"/>
  <c r="R568" i="3" a="1"/>
  <c r="R568" i="3" s="1"/>
  <c r="P404" i="3"/>
  <c r="Q404" i="3"/>
  <c r="AB404" i="3"/>
  <c r="Q570" i="3"/>
  <c r="P570" i="3"/>
  <c r="S570" i="3" s="1"/>
  <c r="AB570" i="3"/>
  <c r="R462" i="3" a="1"/>
  <c r="R462" i="3" s="1"/>
  <c r="R8" i="3" a="1"/>
  <c r="R8" i="3" s="1"/>
  <c r="L150" i="1"/>
  <c r="S150" i="1"/>
  <c r="AE256" i="3"/>
  <c r="AD256" i="3"/>
  <c r="O16" i="1"/>
  <c r="K363" i="11"/>
  <c r="K321" i="11"/>
  <c r="K434" i="11"/>
  <c r="K355" i="11"/>
  <c r="R550" i="3" a="1"/>
  <c r="R550" i="3" s="1"/>
  <c r="R555" i="3" a="1"/>
  <c r="R555" i="3" s="1"/>
  <c r="K265" i="11"/>
  <c r="K156" i="11"/>
  <c r="K361" i="11"/>
  <c r="K232" i="11"/>
  <c r="K133" i="11"/>
  <c r="R662" i="3" a="1"/>
  <c r="R662" i="3" s="1"/>
  <c r="R678" i="3" a="1"/>
  <c r="R678" i="3" s="1"/>
  <c r="K117" i="11"/>
  <c r="D157" i="6"/>
  <c r="E157" i="6" s="1"/>
  <c r="AB727" i="3"/>
  <c r="Q727" i="3"/>
  <c r="P727" i="3"/>
  <c r="S727" i="3" s="1"/>
  <c r="K131" i="11"/>
  <c r="K179" i="11"/>
  <c r="K47" i="11"/>
  <c r="D60" i="6"/>
  <c r="E60" i="6" s="1"/>
  <c r="D13" i="6"/>
  <c r="E13" i="6" s="1"/>
  <c r="C190" i="1" a="1"/>
  <c r="C190" i="1" s="1"/>
  <c r="C168" i="1" a="1"/>
  <c r="C168" i="1" s="1"/>
  <c r="C135" i="1" a="1"/>
  <c r="C135" i="1" s="1"/>
  <c r="C113" i="1" a="1"/>
  <c r="C113" i="1" s="1"/>
  <c r="C124" i="1" a="1"/>
  <c r="C124" i="1" s="1"/>
  <c r="C157" i="1" a="1"/>
  <c r="C157" i="1" s="1"/>
  <c r="K231" i="11"/>
  <c r="K110" i="11"/>
  <c r="K233" i="11"/>
  <c r="K66" i="11"/>
  <c r="K397" i="11"/>
  <c r="K198" i="11"/>
  <c r="K23" i="11"/>
  <c r="R615" i="3" a="1"/>
  <c r="R615" i="3" s="1"/>
  <c r="P675" i="3"/>
  <c r="Q675" i="3"/>
  <c r="AB675" i="3"/>
  <c r="Q589" i="3"/>
  <c r="P589" i="3"/>
  <c r="AB589" i="3"/>
  <c r="Q701" i="3"/>
  <c r="P701" i="3"/>
  <c r="S701" i="3" s="1"/>
  <c r="AB701" i="3"/>
  <c r="Q762" i="3"/>
  <c r="P762" i="3"/>
  <c r="S762" i="3" s="1"/>
  <c r="AB762" i="3"/>
  <c r="R322" i="3" a="1"/>
  <c r="R322" i="3" s="1"/>
  <c r="AB588" i="3"/>
  <c r="Q588" i="3"/>
  <c r="P588" i="3"/>
  <c r="S588" i="3" s="1"/>
  <c r="Q794" i="3"/>
  <c r="AB794" i="3"/>
  <c r="P794" i="3"/>
  <c r="S794" i="3" s="1"/>
  <c r="K67" i="11"/>
  <c r="K367" i="11"/>
  <c r="K40" i="11"/>
  <c r="AB490" i="3"/>
  <c r="Q490" i="3"/>
  <c r="P490" i="3"/>
  <c r="S490" i="3" s="1"/>
  <c r="K246" i="11"/>
  <c r="D146" i="6"/>
  <c r="E146" i="6" s="1"/>
  <c r="P726" i="3"/>
  <c r="AB726" i="3"/>
  <c r="Q726" i="3"/>
  <c r="K137" i="11"/>
  <c r="K88" i="11"/>
  <c r="C176" i="1" a="1"/>
  <c r="C176" i="1" s="1"/>
  <c r="C165" i="1" a="1"/>
  <c r="C165" i="1" s="1"/>
  <c r="C154" i="1" a="1"/>
  <c r="C154" i="1" s="1"/>
  <c r="C121" i="1" a="1"/>
  <c r="C121" i="1" s="1"/>
  <c r="C110" i="1" a="1"/>
  <c r="C110" i="1" s="1"/>
  <c r="Q304" i="3"/>
  <c r="AB304" i="3"/>
  <c r="P304" i="3"/>
  <c r="D152" i="6"/>
  <c r="E152" i="6" s="1"/>
  <c r="D122" i="6"/>
  <c r="E122" i="6" s="1"/>
  <c r="D170" i="6"/>
  <c r="E170" i="6" s="1"/>
  <c r="D165" i="6"/>
  <c r="E165" i="6" s="1"/>
  <c r="E589" i="3" a="1"/>
  <c r="E589" i="3" s="1"/>
  <c r="E677" i="3" a="1"/>
  <c r="E677" i="3" s="1"/>
  <c r="E742" i="3" a="1"/>
  <c r="E742" i="3" s="1"/>
  <c r="G65" i="14" a="1"/>
  <c r="G65" i="14" s="1"/>
  <c r="D119" i="6"/>
  <c r="E119" i="6" s="1"/>
  <c r="Q242" i="3"/>
  <c r="P242" i="3"/>
  <c r="AB242" i="3"/>
  <c r="D76" i="6"/>
  <c r="E76" i="6" s="1"/>
  <c r="P348" i="3"/>
  <c r="Q348" i="3"/>
  <c r="AB348" i="3"/>
  <c r="AB578" i="3"/>
  <c r="Q578" i="3"/>
  <c r="P578" i="3"/>
  <c r="S578" i="3" s="1"/>
  <c r="R406" i="3" a="1"/>
  <c r="R406" i="3" s="1"/>
  <c r="Q378" i="3"/>
  <c r="P378" i="3"/>
  <c r="S378" i="3" s="1"/>
  <c r="AB378" i="3"/>
  <c r="P237" i="3"/>
  <c r="AB237" i="3"/>
  <c r="Q237" i="3"/>
  <c r="P694" i="3"/>
  <c r="S694" i="3" s="1"/>
  <c r="Q694" i="3"/>
  <c r="AB694" i="3"/>
  <c r="R411" i="3" a="1"/>
  <c r="R411" i="3" s="1"/>
  <c r="P407" i="3"/>
  <c r="Q407" i="3"/>
  <c r="AB407" i="3"/>
  <c r="P491" i="3"/>
  <c r="Q491" i="3"/>
  <c r="AB491" i="3"/>
  <c r="R471" i="3" a="1"/>
  <c r="R471" i="3" s="1"/>
  <c r="P415" i="3"/>
  <c r="S415" i="3" s="1"/>
  <c r="Q415" i="3"/>
  <c r="AB415" i="3"/>
  <c r="R573" i="3" a="1"/>
  <c r="R573" i="3" s="1"/>
  <c r="AB467" i="3"/>
  <c r="Q467" i="3"/>
  <c r="P467" i="3"/>
  <c r="Q452" i="3"/>
  <c r="P452" i="3"/>
  <c r="S452" i="3" s="1"/>
  <c r="AB452" i="3"/>
  <c r="R511" i="3" a="1"/>
  <c r="R511" i="3" s="1"/>
  <c r="Q635" i="3"/>
  <c r="P635" i="3"/>
  <c r="S635" i="3" s="1"/>
  <c r="AB635" i="3"/>
  <c r="R717" i="3" a="1"/>
  <c r="R717" i="3" s="1"/>
  <c r="P670" i="3"/>
  <c r="S670" i="3" s="1"/>
  <c r="AB670" i="3"/>
  <c r="Q670" i="3"/>
  <c r="R505" i="3" a="1"/>
  <c r="R505" i="3" s="1"/>
  <c r="Q555" i="3"/>
  <c r="AB555" i="3"/>
  <c r="P555" i="3"/>
  <c r="R716" i="3" a="1"/>
  <c r="R716" i="3" s="1"/>
  <c r="R510" i="3" a="1"/>
  <c r="R510" i="3" s="1"/>
  <c r="D12" i="6"/>
  <c r="E12" i="6" s="1"/>
  <c r="Q125" i="3"/>
  <c r="P125" i="3"/>
  <c r="S125" i="3" s="1"/>
  <c r="AB125" i="3"/>
  <c r="Q313" i="3"/>
  <c r="P313" i="3"/>
  <c r="S313" i="3" s="1"/>
  <c r="AB313" i="3"/>
  <c r="Q702" i="3"/>
  <c r="P702" i="3"/>
  <c r="S702" i="3" s="1"/>
  <c r="AB702" i="3"/>
  <c r="Q24" i="3"/>
  <c r="P24" i="3"/>
  <c r="S24" i="3" s="1"/>
  <c r="AB24" i="3"/>
  <c r="R464" i="3" a="1"/>
  <c r="R464" i="3" s="1"/>
  <c r="P134" i="3"/>
  <c r="AB134" i="3"/>
  <c r="Q134" i="3"/>
  <c r="R571" i="3" a="1"/>
  <c r="R571" i="3" s="1"/>
  <c r="P207" i="3"/>
  <c r="Q207" i="3"/>
  <c r="AB207" i="3"/>
  <c r="K26" i="11"/>
  <c r="Q50" i="3"/>
  <c r="AB50" i="3"/>
  <c r="P50" i="3"/>
  <c r="S136" i="1"/>
  <c r="L136" i="1"/>
  <c r="E125" i="3" a="1"/>
  <c r="E125" i="3" s="1"/>
  <c r="E512" i="3" a="1"/>
  <c r="E512" i="3" s="1"/>
  <c r="E25" i="3" a="1"/>
  <c r="E25" i="3" s="1"/>
  <c r="E366" i="3" a="1"/>
  <c r="E366" i="3" s="1"/>
  <c r="E287" i="3" a="1"/>
  <c r="E287" i="3" s="1"/>
  <c r="AB6" i="3"/>
  <c r="Q6" i="3"/>
  <c r="P6" i="3"/>
  <c r="S6" i="3" s="1"/>
  <c r="C179" i="1" a="1"/>
  <c r="C179" i="1" s="1"/>
  <c r="AB116" i="3"/>
  <c r="Q116" i="3"/>
  <c r="P116" i="3"/>
  <c r="S116" i="3" s="1"/>
  <c r="R719" i="3" a="1"/>
  <c r="R719" i="3" s="1"/>
  <c r="E327" i="3" a="1"/>
  <c r="E327" i="3" s="1"/>
  <c r="Q544" i="3"/>
  <c r="P544" i="3"/>
  <c r="S544" i="3" s="1"/>
  <c r="AB544" i="3"/>
  <c r="T76" i="3"/>
  <c r="K349" i="11"/>
  <c r="AB239" i="3"/>
  <c r="P239" i="3"/>
  <c r="Q239" i="3"/>
  <c r="R127" i="3" a="1"/>
  <c r="R127" i="3" s="1"/>
  <c r="R126" i="3" a="1"/>
  <c r="R126" i="3" s="1"/>
  <c r="R228" i="3" a="1"/>
  <c r="R228" i="3" s="1"/>
  <c r="AC245" i="3"/>
  <c r="AA245" i="3"/>
  <c r="D35" i="2" a="1"/>
  <c r="D35" i="2" s="1"/>
  <c r="S21" i="1"/>
  <c r="S4" i="1"/>
  <c r="D47" i="2" a="1"/>
  <c r="D47" i="2" s="1"/>
  <c r="AA199" i="3"/>
  <c r="AC199" i="3"/>
  <c r="P25" i="1"/>
  <c r="S114" i="1"/>
  <c r="L114" i="1"/>
  <c r="S91" i="1"/>
  <c r="R564" i="3" a="1"/>
  <c r="R564" i="3" s="1"/>
  <c r="O59" i="1"/>
  <c r="E326" i="3" a="1"/>
  <c r="E326" i="3" s="1"/>
  <c r="O188" i="1"/>
  <c r="P188" i="1"/>
  <c r="AB38" i="3"/>
  <c r="P38" i="3"/>
  <c r="Q38" i="3"/>
  <c r="C146" i="1" a="1"/>
  <c r="C146" i="1" s="1"/>
  <c r="L34" i="1"/>
  <c r="L153" i="1"/>
  <c r="S153" i="1"/>
  <c r="AE235" i="3"/>
  <c r="AD235" i="3"/>
  <c r="S346" i="3"/>
  <c r="AA156" i="3"/>
  <c r="AC156" i="3"/>
  <c r="Q786" i="3"/>
  <c r="P786" i="3"/>
  <c r="S786" i="3" s="1"/>
  <c r="AB786" i="3"/>
  <c r="K79" i="11"/>
  <c r="K409" i="11"/>
  <c r="K337" i="11"/>
  <c r="Q713" i="3"/>
  <c r="P713" i="3"/>
  <c r="S713" i="3" s="1"/>
  <c r="AB713" i="3"/>
  <c r="K12" i="11"/>
  <c r="P420" i="3"/>
  <c r="AB420" i="3"/>
  <c r="Q420" i="3"/>
  <c r="P410" i="3"/>
  <c r="S410" i="3" s="1"/>
  <c r="Q410" i="3"/>
  <c r="AB410" i="3"/>
  <c r="P429" i="3"/>
  <c r="S429" i="3" s="1"/>
  <c r="Q429" i="3"/>
  <c r="AB429" i="3"/>
  <c r="AB519" i="3"/>
  <c r="P519" i="3"/>
  <c r="Q519" i="3"/>
  <c r="Q773" i="3"/>
  <c r="P773" i="3"/>
  <c r="S773" i="3" s="1"/>
  <c r="AB773" i="3"/>
  <c r="Q137" i="3"/>
  <c r="P137" i="3"/>
  <c r="S137" i="3" s="1"/>
  <c r="AB137" i="3"/>
  <c r="AB615" i="3"/>
  <c r="Q615" i="3"/>
  <c r="P615" i="3"/>
  <c r="AB55" i="3"/>
  <c r="Q55" i="3"/>
  <c r="P55" i="3"/>
  <c r="T95" i="3"/>
  <c r="AC51" i="3"/>
  <c r="AA51" i="3"/>
  <c r="O175" i="1"/>
  <c r="P175" i="1"/>
  <c r="AC34" i="3"/>
  <c r="AA34" i="3"/>
  <c r="K362" i="11"/>
  <c r="K300" i="11"/>
  <c r="K357" i="11"/>
  <c r="Q715" i="3"/>
  <c r="P715" i="3"/>
  <c r="S715" i="3" s="1"/>
  <c r="AB715" i="3"/>
  <c r="AB564" i="3"/>
  <c r="P564" i="3"/>
  <c r="Q564" i="3"/>
  <c r="K356" i="11"/>
  <c r="Q443" i="3"/>
  <c r="P443" i="3"/>
  <c r="S443" i="3" s="1"/>
  <c r="AB443" i="3"/>
  <c r="P3" i="3"/>
  <c r="Q3" i="3"/>
  <c r="AB3" i="3"/>
  <c r="T31" i="3"/>
  <c r="K333" i="11"/>
  <c r="K266" i="11"/>
  <c r="K293" i="11"/>
  <c r="K343" i="11"/>
  <c r="K380" i="11"/>
  <c r="Q244" i="3"/>
  <c r="AB244" i="3"/>
  <c r="P244" i="3"/>
  <c r="S244" i="3" s="1"/>
  <c r="P696" i="3"/>
  <c r="AB696" i="3"/>
  <c r="Q696" i="3"/>
  <c r="Q355" i="3"/>
  <c r="P355" i="3"/>
  <c r="S355" i="3" s="1"/>
  <c r="AB355" i="3"/>
  <c r="Q459" i="3"/>
  <c r="AB459" i="3"/>
  <c r="P459" i="3"/>
  <c r="Q594" i="3"/>
  <c r="AB594" i="3"/>
  <c r="P594" i="3"/>
  <c r="Q109" i="3"/>
  <c r="P109" i="3"/>
  <c r="AB109" i="3"/>
  <c r="Q272" i="3"/>
  <c r="AB272" i="3"/>
  <c r="P272" i="3"/>
  <c r="S272" i="3" s="1"/>
  <c r="P425" i="3"/>
  <c r="AB425" i="3"/>
  <c r="Q425" i="3"/>
  <c r="Q391" i="3"/>
  <c r="P391" i="3"/>
  <c r="AB391" i="3"/>
  <c r="O103" i="1"/>
  <c r="P103" i="1"/>
  <c r="T257" i="3"/>
  <c r="K304" i="11"/>
  <c r="K199" i="11"/>
  <c r="K161" i="11"/>
  <c r="K196" i="11"/>
  <c r="K201" i="11"/>
  <c r="P153" i="3"/>
  <c r="AB153" i="3"/>
  <c r="Q153" i="3"/>
  <c r="Q480" i="3"/>
  <c r="P480" i="3"/>
  <c r="AB480" i="3"/>
  <c r="R352" i="3" a="1"/>
  <c r="R352" i="3" s="1"/>
  <c r="T374" i="3"/>
  <c r="T470" i="3"/>
  <c r="R346" i="3" a="1"/>
  <c r="R346" i="3" s="1"/>
  <c r="O57" i="1"/>
  <c r="P57" i="1"/>
  <c r="O45" i="1"/>
  <c r="K301" i="11"/>
  <c r="D9" i="6"/>
  <c r="E9" i="6" s="1"/>
  <c r="K115" i="11"/>
  <c r="K399" i="11"/>
  <c r="K272" i="11"/>
  <c r="Q573" i="3"/>
  <c r="P573" i="3"/>
  <c r="AB573" i="3"/>
  <c r="AB740" i="3"/>
  <c r="Q740" i="3"/>
  <c r="P740" i="3"/>
  <c r="E648" i="3" a="1"/>
  <c r="E648" i="3" s="1"/>
  <c r="P81" i="3"/>
  <c r="AB81" i="3"/>
  <c r="Q81" i="3"/>
  <c r="AB305" i="3"/>
  <c r="Q305" i="3"/>
  <c r="P305" i="3"/>
  <c r="S305" i="3" s="1"/>
  <c r="Q548" i="3"/>
  <c r="P548" i="3"/>
  <c r="S548" i="3" s="1"/>
  <c r="AB548" i="3"/>
  <c r="P462" i="3"/>
  <c r="AB462" i="3"/>
  <c r="Q462" i="3"/>
  <c r="Q473" i="3"/>
  <c r="AB473" i="3"/>
  <c r="P473" i="3"/>
  <c r="AC48" i="3"/>
  <c r="AA48" i="3"/>
  <c r="Q184" i="3"/>
  <c r="P184" i="3"/>
  <c r="S184" i="3" s="1"/>
  <c r="AB184" i="3"/>
  <c r="T92" i="3"/>
  <c r="AC300" i="3"/>
  <c r="AA300" i="3"/>
  <c r="Q69" i="3"/>
  <c r="P69" i="3"/>
  <c r="AB69" i="3"/>
  <c r="K234" i="11"/>
  <c r="T161" i="3"/>
  <c r="Q440" i="3"/>
  <c r="P440" i="3"/>
  <c r="S440" i="3" s="1"/>
  <c r="AB440" i="3"/>
  <c r="R274" i="3" a="1"/>
  <c r="R274" i="3" s="1"/>
  <c r="K187" i="11"/>
  <c r="P148" i="3"/>
  <c r="AB148" i="3"/>
  <c r="Q148" i="3"/>
  <c r="Q11" i="3"/>
  <c r="P11" i="3"/>
  <c r="S11" i="3" s="1"/>
  <c r="AB11" i="3"/>
  <c r="P13" i="1"/>
  <c r="S55" i="1"/>
  <c r="L55" i="1"/>
  <c r="Q539" i="3"/>
  <c r="AB539" i="3"/>
  <c r="P539" i="3"/>
  <c r="S539" i="3" s="1"/>
  <c r="AB498" i="3"/>
  <c r="Q498" i="3"/>
  <c r="P498" i="3"/>
  <c r="S498" i="3" s="1"/>
  <c r="AB451" i="3"/>
  <c r="Q451" i="3"/>
  <c r="P451" i="3"/>
  <c r="S451" i="3" s="1"/>
  <c r="R500" i="3" a="1"/>
  <c r="R500" i="3" s="1"/>
  <c r="P126" i="3"/>
  <c r="Q126" i="3"/>
  <c r="AB126" i="3"/>
  <c r="Q23" i="3"/>
  <c r="P23" i="3"/>
  <c r="AB23" i="3"/>
  <c r="AB332" i="3"/>
  <c r="Q332" i="3"/>
  <c r="P332" i="3"/>
  <c r="S332" i="3" s="1"/>
  <c r="AB136" i="3"/>
  <c r="Q136" i="3"/>
  <c r="P136" i="3"/>
  <c r="S136" i="3" s="1"/>
  <c r="S358" i="3"/>
  <c r="AE119" i="3"/>
  <c r="AD119" i="3"/>
  <c r="S14" i="3"/>
  <c r="P70" i="1"/>
  <c r="O36" i="1"/>
  <c r="D44" i="2" a="1"/>
  <c r="D44" i="2" s="1"/>
  <c r="S139" i="1"/>
  <c r="K400" i="11"/>
  <c r="D107" i="6"/>
  <c r="E107" i="6" s="1"/>
  <c r="R659" i="3" a="1"/>
  <c r="R659" i="3" s="1"/>
  <c r="P791" i="3"/>
  <c r="AB791" i="3"/>
  <c r="Q791" i="3"/>
  <c r="K269" i="11"/>
  <c r="D120" i="6"/>
  <c r="E120" i="6" s="1"/>
  <c r="Q297" i="3"/>
  <c r="P297" i="3"/>
  <c r="AB297" i="3"/>
  <c r="T283" i="3"/>
  <c r="K425" i="11"/>
  <c r="K150" i="11"/>
  <c r="K63" i="11"/>
  <c r="K261" i="11"/>
  <c r="Q697" i="3"/>
  <c r="P697" i="3"/>
  <c r="S697" i="3" s="1"/>
  <c r="AB697" i="3"/>
  <c r="K284" i="11"/>
  <c r="P167" i="3"/>
  <c r="AB167" i="3"/>
  <c r="Q167" i="3"/>
  <c r="R563" i="3" a="1"/>
  <c r="R563" i="3" s="1"/>
  <c r="Q383" i="3"/>
  <c r="P383" i="3"/>
  <c r="S383" i="3" s="1"/>
  <c r="AB383" i="3"/>
  <c r="P365" i="3"/>
  <c r="S365" i="3" s="1"/>
  <c r="Q365" i="3"/>
  <c r="AB365" i="3"/>
  <c r="R267" i="3" a="1"/>
  <c r="R267" i="3" s="1"/>
  <c r="Q623" i="3"/>
  <c r="P623" i="3"/>
  <c r="S623" i="3" s="1"/>
  <c r="AB623" i="3"/>
  <c r="Q465" i="3"/>
  <c r="P465" i="3"/>
  <c r="S465" i="3" s="1"/>
  <c r="AB465" i="3"/>
  <c r="P557" i="3"/>
  <c r="Q557" i="3"/>
  <c r="AB557" i="3"/>
  <c r="Q574" i="3"/>
  <c r="P574" i="3"/>
  <c r="S574" i="3" s="1"/>
  <c r="AB574" i="3"/>
  <c r="R440" i="3" a="1"/>
  <c r="R440" i="3" s="1"/>
  <c r="Q20" i="3"/>
  <c r="P20" i="3"/>
  <c r="S20" i="3" s="1"/>
  <c r="AB20" i="3"/>
  <c r="O143" i="1"/>
  <c r="P143" i="1"/>
  <c r="L39" i="1"/>
  <c r="P181" i="1"/>
  <c r="O181" i="1"/>
  <c r="AA177" i="3"/>
  <c r="AC177" i="3"/>
  <c r="K452" i="11"/>
  <c r="K280" i="11"/>
  <c r="K440" i="11"/>
  <c r="K134" i="11"/>
  <c r="K68" i="11"/>
  <c r="Q613" i="3"/>
  <c r="P613" i="3"/>
  <c r="S613" i="3" s="1"/>
  <c r="AB613" i="3"/>
  <c r="Q338" i="3"/>
  <c r="P338" i="3"/>
  <c r="S338" i="3" s="1"/>
  <c r="AB338" i="3"/>
  <c r="D150" i="6"/>
  <c r="E150" i="6" s="1"/>
  <c r="K282" i="11"/>
  <c r="Q230" i="3"/>
  <c r="P230" i="3"/>
  <c r="S230" i="3" s="1"/>
  <c r="AB230" i="3"/>
  <c r="Q372" i="3"/>
  <c r="P372" i="3"/>
  <c r="AB372" i="3"/>
  <c r="R707" i="3" a="1"/>
  <c r="R707" i="3" s="1"/>
  <c r="Q576" i="3"/>
  <c r="P576" i="3"/>
  <c r="AB576" i="3"/>
  <c r="R559" i="3" a="1"/>
  <c r="R559" i="3" s="1"/>
  <c r="R23" i="3" a="1"/>
  <c r="R23" i="3" s="1"/>
  <c r="Q333" i="3"/>
  <c r="AB333" i="3"/>
  <c r="P333" i="3"/>
  <c r="S333" i="3" s="1"/>
  <c r="AC331" i="3"/>
  <c r="AA331" i="3"/>
  <c r="L95" i="1"/>
  <c r="K427" i="11"/>
  <c r="K347" i="11"/>
  <c r="D65" i="6"/>
  <c r="E65" i="6" s="1"/>
  <c r="K419" i="11"/>
  <c r="K93" i="11"/>
  <c r="K230" i="11"/>
  <c r="R765" i="3" a="1"/>
  <c r="R765" i="3" s="1"/>
  <c r="R679" i="3" a="1"/>
  <c r="R679" i="3" s="1"/>
  <c r="K25" i="11"/>
  <c r="K36" i="11"/>
  <c r="K171" i="11"/>
  <c r="K39" i="11"/>
  <c r="K34" i="11"/>
  <c r="D15" i="6"/>
  <c r="E15" i="6" s="1"/>
  <c r="K335" i="11"/>
  <c r="K106" i="11"/>
  <c r="P677" i="3"/>
  <c r="S677" i="3" s="1"/>
  <c r="Q677" i="3"/>
  <c r="AB677" i="3"/>
  <c r="Q637" i="3"/>
  <c r="P637" i="3"/>
  <c r="S637" i="3" s="1"/>
  <c r="AB637" i="3"/>
  <c r="R591" i="3" a="1"/>
  <c r="R591" i="3" s="1"/>
  <c r="Q703" i="3"/>
  <c r="P703" i="3"/>
  <c r="S703" i="3" s="1"/>
  <c r="AB703" i="3"/>
  <c r="Q766" i="3"/>
  <c r="P766" i="3"/>
  <c r="S766" i="3" s="1"/>
  <c r="AB766" i="3"/>
  <c r="R590" i="3" a="1"/>
  <c r="R590" i="3" s="1"/>
  <c r="Q783" i="3"/>
  <c r="AB783" i="3"/>
  <c r="P783" i="3"/>
  <c r="S783" i="3" s="1"/>
  <c r="K35" i="11"/>
  <c r="D149" i="6"/>
  <c r="E149" i="6" s="1"/>
  <c r="K391" i="11"/>
  <c r="K244" i="11"/>
  <c r="AB252" i="3"/>
  <c r="Q252" i="3"/>
  <c r="P252" i="3"/>
  <c r="S252" i="3" s="1"/>
  <c r="P193" i="3"/>
  <c r="AB193" i="3"/>
  <c r="Q193" i="3"/>
  <c r="D147" i="6"/>
  <c r="E147" i="6" s="1"/>
  <c r="D143" i="6"/>
  <c r="E143" i="6" s="1"/>
  <c r="D16" i="6"/>
  <c r="E16" i="6" s="1"/>
  <c r="E274" i="3" a="1"/>
  <c r="E274" i="3" s="1"/>
  <c r="E558" i="3" a="1"/>
  <c r="E558" i="3" s="1"/>
  <c r="K185" i="11"/>
  <c r="S241" i="3"/>
  <c r="T77" i="3"/>
  <c r="D136" i="6"/>
  <c r="E136" i="6" s="1"/>
  <c r="Q646" i="3"/>
  <c r="AB646" i="3"/>
  <c r="P646" i="3"/>
  <c r="S646" i="3" s="1"/>
  <c r="Q234" i="3"/>
  <c r="AB234" i="3"/>
  <c r="P234" i="3"/>
  <c r="S234" i="3" s="1"/>
  <c r="P349" i="3"/>
  <c r="S349" i="3" s="1"/>
  <c r="AB349" i="3"/>
  <c r="Q349" i="3"/>
  <c r="R409" i="3" a="1"/>
  <c r="R409" i="3" s="1"/>
  <c r="Q265" i="3"/>
  <c r="P265" i="3"/>
  <c r="AB265" i="3"/>
  <c r="P394" i="3"/>
  <c r="Q394" i="3"/>
  <c r="AB394" i="3"/>
  <c r="Q554" i="3"/>
  <c r="P554" i="3"/>
  <c r="S554" i="3" s="1"/>
  <c r="AB554" i="3"/>
  <c r="R273" i="3" a="1"/>
  <c r="R273" i="3" s="1"/>
  <c r="P416" i="3"/>
  <c r="Q416" i="3"/>
  <c r="AB416" i="3"/>
  <c r="R394" i="3" a="1"/>
  <c r="R394" i="3" s="1"/>
  <c r="AB641" i="3"/>
  <c r="Q641" i="3"/>
  <c r="P641" i="3"/>
  <c r="Q496" i="3"/>
  <c r="P496" i="3"/>
  <c r="AB496" i="3"/>
  <c r="Q323" i="3"/>
  <c r="P323" i="3"/>
  <c r="S323" i="3" s="1"/>
  <c r="AB323" i="3"/>
  <c r="Q691" i="3"/>
  <c r="P691" i="3"/>
  <c r="S691" i="3" s="1"/>
  <c r="AB691" i="3"/>
  <c r="AB736" i="3"/>
  <c r="Q736" i="3"/>
  <c r="P736" i="3"/>
  <c r="S736" i="3" s="1"/>
  <c r="Q630" i="3"/>
  <c r="AB630" i="3"/>
  <c r="P630" i="3"/>
  <c r="S630" i="3" s="1"/>
  <c r="AB314" i="3"/>
  <c r="Q314" i="3"/>
  <c r="P314" i="3"/>
  <c r="P513" i="3"/>
  <c r="Q513" i="3"/>
  <c r="AB513" i="3"/>
  <c r="P583" i="3"/>
  <c r="Q583" i="3"/>
  <c r="AB583" i="3"/>
  <c r="Q723" i="3"/>
  <c r="AB723" i="3"/>
  <c r="P723" i="3"/>
  <c r="S723" i="3" s="1"/>
  <c r="R562" i="3" a="1"/>
  <c r="R562" i="3" s="1"/>
  <c r="P636" i="3"/>
  <c r="S636" i="3" s="1"/>
  <c r="Q636" i="3"/>
  <c r="AB636" i="3"/>
  <c r="Q507" i="3"/>
  <c r="AB507" i="3"/>
  <c r="P507" i="3"/>
  <c r="AB512" i="3"/>
  <c r="Q512" i="3"/>
  <c r="P512" i="3"/>
  <c r="S512" i="3" s="1"/>
  <c r="AA293" i="3"/>
  <c r="AC293" i="3"/>
  <c r="P173" i="3"/>
  <c r="Q173" i="3"/>
  <c r="AB173" i="3"/>
  <c r="Q35" i="3"/>
  <c r="P35" i="3"/>
  <c r="S35" i="3" s="1"/>
  <c r="AB35" i="3"/>
  <c r="R278" i="3" a="1"/>
  <c r="R278" i="3" s="1"/>
  <c r="P483" i="3"/>
  <c r="S483" i="3" s="1"/>
  <c r="AB483" i="3"/>
  <c r="Q483" i="3"/>
  <c r="R128" i="3" a="1"/>
  <c r="R128" i="3" s="1"/>
  <c r="Q316" i="3"/>
  <c r="AB316" i="3"/>
  <c r="P316" i="3"/>
  <c r="S316" i="3" s="1"/>
  <c r="AB492" i="3"/>
  <c r="Q492" i="3"/>
  <c r="P492" i="3"/>
  <c r="S492" i="3" s="1"/>
  <c r="R137" i="3" a="1"/>
  <c r="R137" i="3" s="1"/>
  <c r="AB436" i="3"/>
  <c r="Q436" i="3"/>
  <c r="P436" i="3"/>
  <c r="S436" i="3" s="1"/>
  <c r="S331" i="3"/>
  <c r="Q82" i="3"/>
  <c r="AB82" i="3"/>
  <c r="P82" i="3"/>
  <c r="S82" i="3" s="1"/>
  <c r="Q482" i="3"/>
  <c r="P482" i="3"/>
  <c r="AB482" i="3"/>
  <c r="P217" i="3"/>
  <c r="AB217" i="3"/>
  <c r="Q217" i="3"/>
  <c r="Q168" i="3"/>
  <c r="P168" i="3"/>
  <c r="S168" i="3" s="1"/>
  <c r="AB168" i="3"/>
  <c r="AB626" i="3"/>
  <c r="Q626" i="3"/>
  <c r="P626" i="3"/>
  <c r="S626" i="3" s="1"/>
  <c r="S251" i="3"/>
  <c r="L125" i="1"/>
  <c r="S125" i="1"/>
  <c r="E440" i="3" a="1"/>
  <c r="E440" i="3" s="1"/>
  <c r="E118" i="3" a="1"/>
  <c r="E118" i="3" s="1"/>
  <c r="E538" i="3" a="1"/>
  <c r="E538" i="3" s="1"/>
  <c r="E367" i="3" a="1"/>
  <c r="E367" i="3" s="1"/>
  <c r="E594" i="3" a="1"/>
  <c r="E594" i="3" s="1"/>
  <c r="AB262" i="3"/>
  <c r="Q262" i="3"/>
  <c r="P262" i="3"/>
  <c r="D25" i="2" a="1"/>
  <c r="D25" i="2" s="1"/>
  <c r="P165" i="1"/>
  <c r="O165" i="1"/>
  <c r="AB561" i="3"/>
  <c r="Q561" i="3"/>
  <c r="P561" i="3"/>
  <c r="S561" i="3" s="1"/>
  <c r="Q545" i="3"/>
  <c r="P545" i="3"/>
  <c r="S545" i="3" s="1"/>
  <c r="AB545" i="3"/>
  <c r="D45" i="2" a="1"/>
  <c r="D45" i="2" s="1"/>
  <c r="AB26" i="3"/>
  <c r="Q26" i="3"/>
  <c r="P26" i="3"/>
  <c r="S26" i="3" s="1"/>
  <c r="Q536" i="3"/>
  <c r="AB536" i="3"/>
  <c r="P536" i="3"/>
  <c r="K189" i="1"/>
  <c r="Q266" i="3"/>
  <c r="AB266" i="3"/>
  <c r="P266" i="3"/>
  <c r="AB135" i="3"/>
  <c r="Q135" i="3"/>
  <c r="P135" i="3"/>
  <c r="S135" i="3" s="1"/>
  <c r="Q495" i="3"/>
  <c r="AB495" i="3"/>
  <c r="P495" i="3"/>
  <c r="S495" i="3" s="1"/>
  <c r="R131" i="3" a="1"/>
  <c r="R131" i="3" s="1"/>
  <c r="Q472" i="3"/>
  <c r="P472" i="3"/>
  <c r="S472" i="3" s="1"/>
  <c r="AB472" i="3"/>
  <c r="AB525" i="3"/>
  <c r="Q525" i="3"/>
  <c r="P525" i="3"/>
  <c r="D28" i="2" a="1"/>
  <c r="D28" i="2" s="1"/>
  <c r="K38" i="1"/>
  <c r="S14" i="1"/>
  <c r="L14" i="1"/>
  <c r="S3" i="1"/>
  <c r="AC408" i="3"/>
  <c r="AA408" i="3"/>
  <c r="AC58" i="3"/>
  <c r="AA58" i="3"/>
  <c r="P109" i="1"/>
  <c r="C55" i="1" a="1"/>
  <c r="C55" i="1" s="1"/>
  <c r="L156" i="1"/>
  <c r="P77" i="1"/>
  <c r="S41" i="3"/>
  <c r="T430" i="3"/>
  <c r="D13" i="2" a="1"/>
  <c r="D13" i="2" s="1"/>
  <c r="S197" i="3"/>
  <c r="AB376" i="3"/>
  <c r="Q376" i="3"/>
  <c r="P376" i="3"/>
  <c r="S376" i="3" s="1"/>
  <c r="E124" i="3" a="1"/>
  <c r="E124" i="3" s="1"/>
  <c r="C88" i="1" a="1"/>
  <c r="C88" i="1" s="1"/>
  <c r="AC353" i="3"/>
  <c r="AA353" i="3"/>
  <c r="S142" i="3"/>
  <c r="O63" i="1"/>
  <c r="S119" i="3"/>
  <c r="C187" i="1" a="1"/>
  <c r="C187" i="1" s="1"/>
  <c r="K153" i="1"/>
  <c r="K46" i="1"/>
  <c r="S438" i="3"/>
  <c r="C91" i="1" a="1"/>
  <c r="C91" i="1" s="1"/>
  <c r="AC123" i="3"/>
  <c r="AA123" i="3"/>
  <c r="T210" i="3"/>
  <c r="AC448" i="3"/>
  <c r="AA448" i="3"/>
  <c r="AC556" i="3"/>
  <c r="AA556" i="3"/>
  <c r="K394" i="11"/>
  <c r="K441" i="11"/>
  <c r="K433" i="11"/>
  <c r="K428" i="11"/>
  <c r="K157" i="11"/>
  <c r="K45" i="11"/>
  <c r="K237" i="11"/>
  <c r="K257" i="11"/>
  <c r="K202" i="11"/>
  <c r="K112" i="11"/>
  <c r="K65" i="11"/>
  <c r="K239" i="11"/>
  <c r="K193" i="11"/>
  <c r="K172" i="11"/>
  <c r="K48" i="11"/>
  <c r="K255" i="11"/>
  <c r="K205" i="11"/>
  <c r="K77" i="11"/>
  <c r="K147" i="11"/>
  <c r="K127" i="11"/>
  <c r="K113" i="11"/>
  <c r="K221" i="11"/>
  <c r="K188" i="11"/>
  <c r="K160" i="11"/>
  <c r="K146" i="11"/>
  <c r="K189" i="11"/>
  <c r="K11" i="11"/>
  <c r="K174" i="11"/>
  <c r="K158" i="11"/>
  <c r="K98" i="11"/>
  <c r="K50" i="11"/>
  <c r="K107" i="11"/>
  <c r="K464" i="11"/>
  <c r="K210" i="11"/>
  <c r="K82" i="11"/>
  <c r="K223" i="11"/>
  <c r="K85" i="11"/>
  <c r="K235" i="11"/>
  <c r="K125" i="11"/>
  <c r="K238" i="11"/>
  <c r="K159" i="11"/>
  <c r="K64" i="11"/>
  <c r="K206" i="11"/>
  <c r="K128" i="11"/>
  <c r="K209" i="11"/>
  <c r="K76" i="11"/>
  <c r="K241" i="11"/>
  <c r="K53" i="11"/>
  <c r="K444" i="11"/>
  <c r="K44" i="11"/>
  <c r="K2" i="11"/>
  <c r="K7" i="11"/>
  <c r="K78" i="11"/>
  <c r="K17" i="11"/>
  <c r="K222" i="11"/>
  <c r="K60" i="11"/>
  <c r="K256" i="11"/>
  <c r="K140" i="11"/>
  <c r="K460" i="11"/>
  <c r="K211" i="11"/>
  <c r="K54" i="11"/>
  <c r="AB779" i="3"/>
  <c r="Q779" i="3"/>
  <c r="P779" i="3"/>
  <c r="S779" i="3" s="1"/>
  <c r="AB431" i="3"/>
  <c r="Q431" i="3"/>
  <c r="P431" i="3"/>
  <c r="S431" i="3" s="1"/>
  <c r="P608" i="3"/>
  <c r="S608" i="3" s="1"/>
  <c r="Q608" i="3"/>
  <c r="AB608" i="3"/>
  <c r="AC146" i="3"/>
  <c r="AA146" i="3"/>
  <c r="T175" i="3"/>
  <c r="AA10" i="3"/>
  <c r="AC10" i="3"/>
  <c r="AA321" i="3"/>
  <c r="AC321" i="3"/>
  <c r="K436" i="11"/>
  <c r="K92" i="11"/>
  <c r="Q612" i="3"/>
  <c r="P612" i="3"/>
  <c r="S612" i="3" s="1"/>
  <c r="AB612" i="3"/>
  <c r="Q717" i="3"/>
  <c r="P717" i="3"/>
  <c r="AB717" i="3"/>
  <c r="P656" i="3"/>
  <c r="AB656" i="3"/>
  <c r="Q656" i="3"/>
  <c r="P417" i="3"/>
  <c r="AB417" i="3"/>
  <c r="Q417" i="3"/>
  <c r="P221" i="3"/>
  <c r="AB221" i="3"/>
  <c r="Q221" i="3"/>
  <c r="Q299" i="3"/>
  <c r="AB299" i="3"/>
  <c r="P299" i="3"/>
  <c r="AB592" i="3"/>
  <c r="Q592" i="3"/>
  <c r="P592" i="3"/>
  <c r="P533" i="3"/>
  <c r="AB533" i="3"/>
  <c r="Q533" i="3"/>
  <c r="AB558" i="3"/>
  <c r="P558" i="3"/>
  <c r="Q558" i="3"/>
  <c r="Q260" i="3"/>
  <c r="AB260" i="3"/>
  <c r="P260" i="3"/>
  <c r="S260" i="3" s="1"/>
  <c r="E176" i="3" a="1"/>
  <c r="E176" i="3" s="1"/>
  <c r="T105" i="3"/>
  <c r="L146" i="1"/>
  <c r="AC150" i="3"/>
  <c r="AA150" i="3"/>
  <c r="R757" i="3" a="1"/>
  <c r="R757" i="3" s="1"/>
  <c r="K411" i="11"/>
  <c r="K288" i="11"/>
  <c r="P610" i="3"/>
  <c r="AB610" i="3"/>
  <c r="Q610" i="3"/>
  <c r="Q100" i="3"/>
  <c r="P100" i="3"/>
  <c r="S100" i="3" s="1"/>
  <c r="AB100" i="3"/>
  <c r="R439" i="3" a="1"/>
  <c r="R439" i="3" s="1"/>
  <c r="Q325" i="3"/>
  <c r="P325" i="3"/>
  <c r="S325" i="3" s="1"/>
  <c r="AB325" i="3"/>
  <c r="Q359" i="3"/>
  <c r="P359" i="3"/>
  <c r="AB359" i="3"/>
  <c r="L86" i="1"/>
  <c r="S86" i="1"/>
  <c r="P79" i="1"/>
  <c r="O79" i="1"/>
  <c r="P399" i="3"/>
  <c r="Q399" i="3"/>
  <c r="AB399" i="3"/>
  <c r="AB381" i="3"/>
  <c r="Q381" i="3"/>
  <c r="P381" i="3"/>
  <c r="S381" i="3" s="1"/>
  <c r="O162" i="1"/>
  <c r="S666" i="3"/>
  <c r="R758" i="3" a="1"/>
  <c r="R758" i="3" s="1"/>
  <c r="K458" i="11"/>
  <c r="K287" i="11"/>
  <c r="K195" i="11"/>
  <c r="AB532" i="3"/>
  <c r="Q532" i="3"/>
  <c r="P532" i="3"/>
  <c r="S532" i="3" s="1"/>
  <c r="P225" i="3"/>
  <c r="AB225" i="3"/>
  <c r="Q225" i="3"/>
  <c r="P405" i="3"/>
  <c r="AB405" i="3"/>
  <c r="Q405" i="3"/>
  <c r="R597" i="3" a="1"/>
  <c r="R597" i="3" s="1"/>
  <c r="P122" i="3"/>
  <c r="S122" i="3" s="1"/>
  <c r="Q122" i="3"/>
  <c r="AB122" i="3"/>
  <c r="Q33" i="3"/>
  <c r="AB33" i="3"/>
  <c r="P33" i="3"/>
  <c r="T204" i="3"/>
  <c r="K360" i="11"/>
  <c r="K393" i="11"/>
  <c r="K372" i="11"/>
  <c r="K197" i="11"/>
  <c r="K375" i="11"/>
  <c r="K69" i="11"/>
  <c r="Q640" i="3"/>
  <c r="AB640" i="3"/>
  <c r="P640" i="3"/>
  <c r="S640" i="3" s="1"/>
  <c r="E489" i="3" a="1"/>
  <c r="E489" i="3" s="1"/>
  <c r="E258" i="3" a="1"/>
  <c r="E258" i="3" s="1"/>
  <c r="E149" i="3" a="1"/>
  <c r="E149" i="3" s="1"/>
  <c r="H65" i="14" a="1"/>
  <c r="H65" i="14" s="1"/>
  <c r="R167" i="3" a="1"/>
  <c r="R167" i="3" s="1"/>
  <c r="Q502" i="3"/>
  <c r="AB502" i="3"/>
  <c r="P502" i="3"/>
  <c r="S502" i="3" s="1"/>
  <c r="P514" i="3"/>
  <c r="AB514" i="3"/>
  <c r="Q514" i="3"/>
  <c r="P412" i="3"/>
  <c r="AB412" i="3"/>
  <c r="Q412" i="3"/>
  <c r="Q700" i="3"/>
  <c r="AB700" i="3"/>
  <c r="P700" i="3"/>
  <c r="Q614" i="3"/>
  <c r="P614" i="3"/>
  <c r="AB614" i="3"/>
  <c r="AB746" i="3"/>
  <c r="Q746" i="3"/>
  <c r="P746" i="3"/>
  <c r="S746" i="3" s="1"/>
  <c r="R15" i="3" a="1"/>
  <c r="R15" i="3" s="1"/>
  <c r="T203" i="3"/>
  <c r="AB356" i="3"/>
  <c r="Q356" i="3"/>
  <c r="P356" i="3"/>
  <c r="S356" i="3" s="1"/>
  <c r="Q36" i="3"/>
  <c r="P36" i="3"/>
  <c r="S36" i="3" s="1"/>
  <c r="AB36" i="3"/>
  <c r="L6" i="1"/>
  <c r="S57" i="3"/>
  <c r="K451" i="11"/>
  <c r="K449" i="11"/>
  <c r="P229" i="3"/>
  <c r="AB229" i="3"/>
  <c r="Q229" i="3"/>
  <c r="AB571" i="3"/>
  <c r="Q571" i="3"/>
  <c r="P571" i="3"/>
  <c r="S571" i="3" s="1"/>
  <c r="Q117" i="3"/>
  <c r="P117" i="3"/>
  <c r="S117" i="3" s="1"/>
  <c r="AB117" i="3"/>
  <c r="AB428" i="3"/>
  <c r="Q428" i="3"/>
  <c r="P428" i="3"/>
  <c r="Q16" i="3"/>
  <c r="P16" i="3"/>
  <c r="AB16" i="3"/>
  <c r="AB309" i="3"/>
  <c r="P309" i="3"/>
  <c r="Q309" i="3"/>
  <c r="AB275" i="3"/>
  <c r="Q275" i="3"/>
  <c r="P275" i="3"/>
  <c r="S275" i="3" s="1"/>
  <c r="AC176" i="3"/>
  <c r="AA176" i="3"/>
  <c r="AA335" i="3"/>
  <c r="AC335" i="3"/>
  <c r="Q196" i="3"/>
  <c r="P196" i="3"/>
  <c r="S196" i="3" s="1"/>
  <c r="AB196" i="3"/>
  <c r="R26" i="3" a="1"/>
  <c r="R26" i="3" s="1"/>
  <c r="P392" i="3"/>
  <c r="S392" i="3" s="1"/>
  <c r="T392" i="3" s="1"/>
  <c r="Q392" i="3"/>
  <c r="AB392" i="3"/>
  <c r="K125" i="1"/>
  <c r="S259" i="3"/>
  <c r="Q179" i="3"/>
  <c r="P179" i="3"/>
  <c r="S179" i="3" s="1"/>
  <c r="AB179" i="3"/>
  <c r="P126" i="1"/>
  <c r="O126" i="1"/>
  <c r="AC283" i="3"/>
  <c r="AA283" i="3"/>
  <c r="K415" i="11"/>
  <c r="Q581" i="3"/>
  <c r="P581" i="3"/>
  <c r="AB581" i="3"/>
  <c r="K227" i="11"/>
  <c r="K214" i="11"/>
  <c r="E337" i="3" a="1"/>
  <c r="E337" i="3" s="1"/>
  <c r="P340" i="3"/>
  <c r="Q340" i="3"/>
  <c r="AB340" i="3"/>
  <c r="Q560" i="3"/>
  <c r="AB560" i="3"/>
  <c r="P560" i="3"/>
  <c r="S560" i="3" s="1"/>
  <c r="P397" i="3"/>
  <c r="Q397" i="3"/>
  <c r="AB397" i="3"/>
  <c r="Q315" i="3"/>
  <c r="P315" i="3"/>
  <c r="S315" i="3" s="1"/>
  <c r="AB315" i="3"/>
  <c r="P654" i="3"/>
  <c r="S654" i="3" s="1"/>
  <c r="Q654" i="3"/>
  <c r="AB654" i="3"/>
  <c r="AB704" i="3"/>
  <c r="P704" i="3"/>
  <c r="Q704" i="3"/>
  <c r="P680" i="3"/>
  <c r="AB680" i="3"/>
  <c r="Q680" i="3"/>
  <c r="P456" i="3"/>
  <c r="AB456" i="3"/>
  <c r="Q456" i="3"/>
  <c r="S146" i="3"/>
  <c r="AC345" i="3"/>
  <c r="AA345" i="3"/>
  <c r="K264" i="11"/>
  <c r="K270" i="11"/>
  <c r="R762" i="3" a="1"/>
  <c r="R762" i="3" s="1"/>
  <c r="K326" i="11"/>
  <c r="Q754" i="3"/>
  <c r="P754" i="3"/>
  <c r="AB754" i="3"/>
  <c r="Q601" i="3"/>
  <c r="P601" i="3"/>
  <c r="S601" i="3" s="1"/>
  <c r="AB601" i="3"/>
  <c r="K277" i="11"/>
  <c r="D134" i="6"/>
  <c r="E134" i="6" s="1"/>
  <c r="Q510" i="3"/>
  <c r="AB510" i="3"/>
  <c r="P510" i="3"/>
  <c r="S510" i="3" s="1"/>
  <c r="R279" i="3" a="1"/>
  <c r="R279" i="3" s="1"/>
  <c r="Q684" i="3"/>
  <c r="P684" i="3"/>
  <c r="S684" i="3" s="1"/>
  <c r="AB684" i="3"/>
  <c r="E88" i="3" a="1"/>
  <c r="E88" i="3" s="1"/>
  <c r="D41" i="2" a="1"/>
  <c r="D41" i="2" s="1"/>
  <c r="P200" i="3"/>
  <c r="AB200" i="3"/>
  <c r="Q200" i="3"/>
  <c r="L46" i="1"/>
  <c r="S46" i="1"/>
  <c r="K55" i="11"/>
  <c r="K254" i="11"/>
  <c r="Q758" i="3"/>
  <c r="P758" i="3"/>
  <c r="S758" i="3" s="1"/>
  <c r="AB758" i="3"/>
  <c r="E383" i="3" a="1"/>
  <c r="E383" i="3" s="1"/>
  <c r="E500" i="3" a="1"/>
  <c r="E500" i="3" s="1"/>
  <c r="AB706" i="3"/>
  <c r="Q706" i="3"/>
  <c r="P706" i="3"/>
  <c r="Q504" i="3"/>
  <c r="P504" i="3"/>
  <c r="S504" i="3" s="1"/>
  <c r="AB504" i="3"/>
  <c r="AB357" i="3"/>
  <c r="Q357" i="3"/>
  <c r="P357" i="3"/>
  <c r="S357" i="3" s="1"/>
  <c r="AB120" i="3"/>
  <c r="Q120" i="3"/>
  <c r="P120" i="3"/>
  <c r="S120" i="3" s="1"/>
  <c r="AA47" i="3"/>
  <c r="AC47" i="3"/>
  <c r="K121" i="1"/>
  <c r="D145" i="6"/>
  <c r="E145" i="6" s="1"/>
  <c r="K89" i="11"/>
  <c r="K353" i="11"/>
  <c r="D24" i="6"/>
  <c r="E24" i="6" s="1"/>
  <c r="R766" i="3" a="1"/>
  <c r="R766" i="3" s="1"/>
  <c r="AB642" i="3"/>
  <c r="P642" i="3"/>
  <c r="Q642" i="3"/>
  <c r="R680" i="3" a="1"/>
  <c r="R680" i="3" s="1"/>
  <c r="K207" i="11"/>
  <c r="K90" i="11"/>
  <c r="K364" i="11"/>
  <c r="K164" i="11"/>
  <c r="D167" i="6"/>
  <c r="E167" i="6" s="1"/>
  <c r="K28" i="11"/>
  <c r="K190" i="11"/>
  <c r="K51" i="11"/>
  <c r="K435" i="11"/>
  <c r="K8" i="11"/>
  <c r="K102" i="11"/>
  <c r="P679" i="3"/>
  <c r="Q679" i="3"/>
  <c r="AB679" i="3"/>
  <c r="Q705" i="3"/>
  <c r="P705" i="3"/>
  <c r="S705" i="3" s="1"/>
  <c r="AB705" i="3"/>
  <c r="Q770" i="3"/>
  <c r="P770" i="3"/>
  <c r="S770" i="3" s="1"/>
  <c r="AB770" i="3"/>
  <c r="R613" i="3" a="1"/>
  <c r="R613" i="3" s="1"/>
  <c r="K22" i="11"/>
  <c r="K262" i="11"/>
  <c r="K29" i="11"/>
  <c r="K412" i="11"/>
  <c r="K167" i="11"/>
  <c r="K135" i="11"/>
  <c r="K346" i="11"/>
  <c r="K114" i="11"/>
  <c r="K21" i="11"/>
  <c r="AB182" i="3"/>
  <c r="Q182" i="3"/>
  <c r="P182" i="3"/>
  <c r="S182" i="3" s="1"/>
  <c r="K80" i="11"/>
  <c r="AB453" i="3"/>
  <c r="P453" i="3"/>
  <c r="Q453" i="3"/>
  <c r="D73" i="6"/>
  <c r="E73" i="6" s="1"/>
  <c r="D31" i="6"/>
  <c r="E31" i="6" s="1"/>
  <c r="E348" i="3" a="1"/>
  <c r="E348" i="3" s="1"/>
  <c r="E760" i="3" a="1"/>
  <c r="E760" i="3" s="1"/>
  <c r="H262" i="14" a="1"/>
  <c r="H262" i="14" s="1"/>
  <c r="K99" i="11"/>
  <c r="K62" i="11"/>
  <c r="K4" i="11"/>
  <c r="S208" i="3"/>
  <c r="K208" i="11"/>
  <c r="P402" i="3"/>
  <c r="S402" i="3" s="1"/>
  <c r="Q402" i="3"/>
  <c r="AB402" i="3"/>
  <c r="P350" i="3"/>
  <c r="AB350" i="3"/>
  <c r="Q350" i="3"/>
  <c r="Q280" i="3"/>
  <c r="P280" i="3"/>
  <c r="S280" i="3" s="1"/>
  <c r="AB280" i="3"/>
  <c r="P411" i="3"/>
  <c r="Q411" i="3"/>
  <c r="AB411" i="3"/>
  <c r="P395" i="3"/>
  <c r="Q395" i="3"/>
  <c r="AB395" i="3"/>
  <c r="P253" i="3"/>
  <c r="S253" i="3" s="1"/>
  <c r="AB253" i="3"/>
  <c r="Q253" i="3"/>
  <c r="R708" i="3" a="1"/>
  <c r="R708" i="3" s="1"/>
  <c r="AB274" i="3"/>
  <c r="Q274" i="3"/>
  <c r="P274" i="3"/>
  <c r="S274" i="3" s="1"/>
  <c r="Q447" i="3"/>
  <c r="P447" i="3"/>
  <c r="S447" i="3" s="1"/>
  <c r="AB447" i="3"/>
  <c r="Q508" i="3"/>
  <c r="P508" i="3"/>
  <c r="S508" i="3" s="1"/>
  <c r="AB508" i="3"/>
  <c r="R478" i="3" a="1"/>
  <c r="R478" i="3" s="1"/>
  <c r="P343" i="3"/>
  <c r="S343" i="3" s="1"/>
  <c r="Q343" i="3"/>
  <c r="AB343" i="3"/>
  <c r="P426" i="3"/>
  <c r="S426" i="3" s="1"/>
  <c r="AB426" i="3"/>
  <c r="Q426" i="3"/>
  <c r="R496" i="3" a="1"/>
  <c r="R496" i="3" s="1"/>
  <c r="AB738" i="3"/>
  <c r="P738" i="3"/>
  <c r="Q738" i="3"/>
  <c r="R393" i="3" a="1"/>
  <c r="R393" i="3" s="1"/>
  <c r="R429" i="3" a="1"/>
  <c r="R429" i="3" s="1"/>
  <c r="AB759" i="3"/>
  <c r="Q759" i="3"/>
  <c r="P759" i="3"/>
  <c r="S759" i="3" s="1"/>
  <c r="P475" i="3"/>
  <c r="S475" i="3" s="1"/>
  <c r="AB475" i="3"/>
  <c r="Q475" i="3"/>
  <c r="P518" i="3"/>
  <c r="S518" i="3" s="1"/>
  <c r="Q518" i="3"/>
  <c r="AB518" i="3"/>
  <c r="AB563" i="3"/>
  <c r="Q563" i="3"/>
  <c r="P563" i="3"/>
  <c r="R513" i="3" a="1"/>
  <c r="R513" i="3" s="1"/>
  <c r="AB534" i="3"/>
  <c r="P534" i="3"/>
  <c r="Q534" i="3"/>
  <c r="P380" i="3"/>
  <c r="AB380" i="3"/>
  <c r="Q380" i="3"/>
  <c r="T293" i="3"/>
  <c r="Q129" i="3"/>
  <c r="P129" i="3"/>
  <c r="S129" i="3" s="1"/>
  <c r="AB129" i="3"/>
  <c r="Q500" i="3"/>
  <c r="P500" i="3"/>
  <c r="AB500" i="3"/>
  <c r="P106" i="3"/>
  <c r="AB106" i="3"/>
  <c r="Q106" i="3"/>
  <c r="P138" i="3"/>
  <c r="AB138" i="3"/>
  <c r="Q138" i="3"/>
  <c r="Q360" i="3"/>
  <c r="P360" i="3"/>
  <c r="S360" i="3" s="1"/>
  <c r="T360" i="3" s="1"/>
  <c r="AB360" i="3"/>
  <c r="P344" i="3"/>
  <c r="S344" i="3" s="1"/>
  <c r="Q344" i="3"/>
  <c r="AB344" i="3"/>
  <c r="P458" i="3"/>
  <c r="S458" i="3" s="1"/>
  <c r="AB458" i="3"/>
  <c r="Q458" i="3"/>
  <c r="Q769" i="3"/>
  <c r="P769" i="3"/>
  <c r="AB769" i="3"/>
  <c r="S192" i="3"/>
  <c r="T159" i="3"/>
  <c r="AE209" i="3"/>
  <c r="AD209" i="3"/>
  <c r="E544" i="3" a="1"/>
  <c r="E544" i="3" s="1"/>
  <c r="E122" i="3" a="1"/>
  <c r="E122" i="3" s="1"/>
  <c r="E35" i="3" a="1"/>
  <c r="E35" i="3" s="1"/>
  <c r="E75" i="3" a="1"/>
  <c r="E75" i="3" s="1"/>
  <c r="E11" i="3" a="1"/>
  <c r="E11" i="3" s="1"/>
  <c r="E575" i="3" a="1"/>
  <c r="E575" i="3" s="1"/>
  <c r="E398" i="3" a="1"/>
  <c r="E398" i="3" s="1"/>
  <c r="Q249" i="3"/>
  <c r="AB249" i="3"/>
  <c r="P249" i="3"/>
  <c r="S249" i="3" s="1"/>
  <c r="D21" i="2" a="1"/>
  <c r="D21" i="2" s="1"/>
  <c r="R497" i="3" a="1"/>
  <c r="R497" i="3" s="1"/>
  <c r="Q530" i="3"/>
  <c r="AB530" i="3"/>
  <c r="P530" i="3"/>
  <c r="T256" i="3"/>
  <c r="AB593" i="3"/>
  <c r="Q593" i="3"/>
  <c r="P593" i="3"/>
  <c r="Q288" i="3"/>
  <c r="AB288" i="3"/>
  <c r="P288" i="3"/>
  <c r="S288" i="3" s="1"/>
  <c r="R16" i="3" a="1"/>
  <c r="R16" i="3" s="1"/>
  <c r="AE187" i="3"/>
  <c r="AD187" i="3"/>
  <c r="AC64" i="3"/>
  <c r="AA64" i="3"/>
  <c r="K93" i="1"/>
  <c r="AC93" i="3"/>
  <c r="AA93" i="3"/>
  <c r="Q4" i="3"/>
  <c r="P4" i="3"/>
  <c r="AB4" i="3"/>
  <c r="Q140" i="3"/>
  <c r="P140" i="3"/>
  <c r="AB140" i="3"/>
  <c r="AB139" i="3"/>
  <c r="P139" i="3"/>
  <c r="Q139" i="3"/>
  <c r="P479" i="3"/>
  <c r="AB479" i="3"/>
  <c r="Q479" i="3"/>
  <c r="R569" i="3" a="1"/>
  <c r="R569" i="3" s="1"/>
  <c r="L135" i="1"/>
  <c r="S135" i="1"/>
  <c r="S107" i="1"/>
  <c r="K80" i="1"/>
  <c r="T58" i="3"/>
  <c r="AC433" i="3"/>
  <c r="AA433" i="3"/>
  <c r="D52" i="2" a="1"/>
  <c r="D52" i="2" s="1"/>
  <c r="Q141" i="3"/>
  <c r="P141" i="3"/>
  <c r="S141" i="3" s="1"/>
  <c r="AB141" i="3"/>
  <c r="D142" i="6"/>
  <c r="E142" i="6" s="1"/>
  <c r="E140" i="3" a="1"/>
  <c r="E140" i="3" s="1"/>
  <c r="O60" i="1"/>
  <c r="P60" i="1"/>
  <c r="L71" i="1"/>
  <c r="S71" i="1"/>
  <c r="T353" i="3"/>
  <c r="AC398" i="3"/>
  <c r="AA398" i="3"/>
  <c r="T245" i="3"/>
  <c r="Q52" i="3"/>
  <c r="P52" i="3"/>
  <c r="S52" i="3" s="1"/>
  <c r="AB52" i="3"/>
  <c r="L37" i="1"/>
  <c r="S37" i="1"/>
  <c r="C132" i="1" a="1"/>
  <c r="C132" i="1" s="1"/>
  <c r="S101" i="1"/>
  <c r="S64" i="1"/>
  <c r="L64" i="1"/>
  <c r="S180" i="3"/>
  <c r="AC219" i="3"/>
  <c r="AA219" i="3"/>
  <c r="O102" i="1"/>
  <c r="L27" i="1"/>
  <c r="AE115" i="3"/>
  <c r="AD115" i="3"/>
  <c r="AA438" i="3"/>
  <c r="AC438" i="3"/>
  <c r="T94" i="3"/>
  <c r="K294" i="11"/>
  <c r="K307" i="11"/>
  <c r="AB445" i="3"/>
  <c r="Q445" i="3"/>
  <c r="P445" i="3"/>
  <c r="S445" i="3" s="1"/>
  <c r="K72" i="11"/>
  <c r="K325" i="11"/>
  <c r="Q67" i="3"/>
  <c r="P67" i="3"/>
  <c r="AB67" i="3"/>
  <c r="Q468" i="3"/>
  <c r="P468" i="3"/>
  <c r="S468" i="3" s="1"/>
  <c r="AB468" i="3"/>
  <c r="AB639" i="3"/>
  <c r="P639" i="3"/>
  <c r="Q639" i="3"/>
  <c r="AB154" i="3"/>
  <c r="Q154" i="3"/>
  <c r="P154" i="3"/>
  <c r="S154" i="3" s="1"/>
  <c r="AB387" i="3"/>
  <c r="Q387" i="3"/>
  <c r="P387" i="3"/>
  <c r="Q271" i="3"/>
  <c r="P271" i="3"/>
  <c r="AB271" i="3"/>
  <c r="AC162" i="3"/>
  <c r="AA162" i="3"/>
  <c r="P668" i="3"/>
  <c r="AB668" i="3"/>
  <c r="Q668" i="3"/>
  <c r="T7" i="3"/>
  <c r="K431" i="11"/>
  <c r="K376" i="11"/>
  <c r="K302" i="11"/>
  <c r="Q695" i="3"/>
  <c r="P695" i="3"/>
  <c r="AB695" i="3"/>
  <c r="K250" i="11"/>
  <c r="K91" i="11"/>
  <c r="Q503" i="3"/>
  <c r="P503" i="3"/>
  <c r="S503" i="3" s="1"/>
  <c r="AB503" i="3"/>
  <c r="P600" i="3"/>
  <c r="Q600" i="3"/>
  <c r="AB600" i="3"/>
  <c r="P101" i="1"/>
  <c r="O101" i="1"/>
  <c r="AB463" i="3"/>
  <c r="Q463" i="3"/>
  <c r="P463" i="3"/>
  <c r="S463" i="3" s="1"/>
  <c r="T34" i="3"/>
  <c r="Q99" i="3"/>
  <c r="P99" i="3"/>
  <c r="AB99" i="3"/>
  <c r="P86" i="3"/>
  <c r="AB86" i="3"/>
  <c r="Q86" i="3"/>
  <c r="K138" i="11"/>
  <c r="K388" i="11"/>
  <c r="Q611" i="3"/>
  <c r="P611" i="3"/>
  <c r="S611" i="3" s="1"/>
  <c r="AB611" i="3"/>
  <c r="P659" i="3"/>
  <c r="S659" i="3" s="1"/>
  <c r="Q659" i="3"/>
  <c r="AB659" i="3"/>
  <c r="K313" i="11"/>
  <c r="Q8" i="3"/>
  <c r="P8" i="3"/>
  <c r="AB8" i="3"/>
  <c r="P422" i="3"/>
  <c r="AB422" i="3"/>
  <c r="Q422" i="3"/>
  <c r="L189" i="1"/>
  <c r="S189" i="1"/>
  <c r="AB25" i="3"/>
  <c r="Q25" i="3"/>
  <c r="P25" i="3"/>
  <c r="S25" i="3" s="1"/>
  <c r="AA78" i="3"/>
  <c r="AC78" i="3"/>
  <c r="O148" i="1"/>
  <c r="O98" i="1"/>
  <c r="K462" i="11"/>
  <c r="Q725" i="3"/>
  <c r="P725" i="3"/>
  <c r="AB725" i="3"/>
  <c r="K120" i="11"/>
  <c r="K370" i="11"/>
  <c r="Q719" i="3"/>
  <c r="P719" i="3"/>
  <c r="S719" i="3" s="1"/>
  <c r="AB719" i="3"/>
  <c r="K83" i="11"/>
  <c r="D99" i="6"/>
  <c r="E99" i="6" s="1"/>
  <c r="D74" i="6"/>
  <c r="E74" i="6" s="1"/>
  <c r="Q218" i="3"/>
  <c r="P218" i="3"/>
  <c r="AB218" i="3"/>
  <c r="Q307" i="3"/>
  <c r="P307" i="3"/>
  <c r="AB307" i="3"/>
  <c r="P269" i="3"/>
  <c r="Q269" i="3"/>
  <c r="AB269" i="3"/>
  <c r="Q286" i="3"/>
  <c r="AB286" i="3"/>
  <c r="P286" i="3"/>
  <c r="S286" i="3" s="1"/>
  <c r="K170" i="11"/>
  <c r="K6" i="11"/>
  <c r="AE61" i="3"/>
  <c r="AD61" i="3"/>
  <c r="AC780" i="3"/>
  <c r="AA780" i="3"/>
  <c r="O178" i="1"/>
  <c r="P178" i="1"/>
  <c r="AC240" i="3"/>
  <c r="AA240" i="3"/>
  <c r="T235" i="3"/>
  <c r="K251" i="11"/>
  <c r="K283" i="11"/>
  <c r="K154" i="11"/>
  <c r="Q750" i="3"/>
  <c r="P750" i="3"/>
  <c r="S750" i="3" s="1"/>
  <c r="AB750" i="3"/>
  <c r="K49" i="11"/>
  <c r="D137" i="6"/>
  <c r="E137" i="6" s="1"/>
  <c r="R498" i="3" a="1"/>
  <c r="R498" i="3" s="1"/>
  <c r="R347" i="3" a="1"/>
  <c r="R347" i="3" s="1"/>
  <c r="AB494" i="3"/>
  <c r="P494" i="3"/>
  <c r="S494" i="3" s="1"/>
  <c r="Q494" i="3"/>
  <c r="Q113" i="3"/>
  <c r="P113" i="3"/>
  <c r="AB113" i="3"/>
  <c r="AB501" i="3"/>
  <c r="Q501" i="3"/>
  <c r="P501" i="3"/>
  <c r="S501" i="3" s="1"/>
  <c r="C68" i="1" a="1"/>
  <c r="C68" i="1" s="1"/>
  <c r="Q149" i="3"/>
  <c r="AB149" i="3"/>
  <c r="P149" i="3"/>
  <c r="S149" i="3" s="1"/>
  <c r="T240" i="3"/>
  <c r="T15" i="3"/>
  <c r="K430" i="11"/>
  <c r="K259" i="11"/>
  <c r="K173" i="11"/>
  <c r="K74" i="11"/>
  <c r="K279" i="11"/>
  <c r="E448" i="3" a="1"/>
  <c r="E448" i="3" s="1"/>
  <c r="Q222" i="3"/>
  <c r="P222" i="3"/>
  <c r="S222" i="3" s="1"/>
  <c r="AB222" i="3"/>
  <c r="P342" i="3"/>
  <c r="Q342" i="3"/>
  <c r="AB342" i="3"/>
  <c r="Q311" i="3"/>
  <c r="P311" i="3"/>
  <c r="S311" i="3" s="1"/>
  <c r="AB311" i="3"/>
  <c r="T176" i="3"/>
  <c r="T335" i="3"/>
  <c r="AB131" i="3"/>
  <c r="Q131" i="3"/>
  <c r="P131" i="3"/>
  <c r="S131" i="3" s="1"/>
  <c r="Q424" i="3"/>
  <c r="AB424" i="3"/>
  <c r="P424" i="3"/>
  <c r="S424" i="3" s="1"/>
  <c r="D50" i="2" a="1"/>
  <c r="D50" i="2" s="1"/>
  <c r="K421" i="11"/>
  <c r="K182" i="11"/>
  <c r="K46" i="11"/>
  <c r="Q793" i="3"/>
  <c r="P793" i="3"/>
  <c r="S793" i="3" s="1"/>
  <c r="AB793" i="3"/>
  <c r="K229" i="11"/>
  <c r="E738" i="3" a="1"/>
  <c r="E738" i="3" s="1"/>
  <c r="G180" i="14" a="1"/>
  <c r="G180" i="14" s="1"/>
  <c r="AB87" i="3"/>
  <c r="Q87" i="3"/>
  <c r="P87" i="3"/>
  <c r="S87" i="3" s="1"/>
  <c r="AB506" i="3"/>
  <c r="P506" i="3"/>
  <c r="Q506" i="3"/>
  <c r="P549" i="3"/>
  <c r="Q549" i="3"/>
  <c r="AB549" i="3"/>
  <c r="K247" i="11"/>
  <c r="K386" i="11"/>
  <c r="K320" i="11"/>
  <c r="K310" i="11"/>
  <c r="K373" i="11"/>
  <c r="K86" i="11"/>
  <c r="K242" i="11"/>
  <c r="Q263" i="3"/>
  <c r="P263" i="3"/>
  <c r="S263" i="3" s="1"/>
  <c r="AB263" i="3"/>
  <c r="E570" i="3" a="1"/>
  <c r="E570" i="3" s="1"/>
  <c r="K75" i="11"/>
  <c r="P54" i="3"/>
  <c r="AB54" i="3"/>
  <c r="Q54" i="3"/>
  <c r="Q226" i="3"/>
  <c r="AB226" i="3"/>
  <c r="P226" i="3"/>
  <c r="AB647" i="3"/>
  <c r="P647" i="3"/>
  <c r="S647" i="3" s="1"/>
  <c r="Q647" i="3"/>
  <c r="Q268" i="3"/>
  <c r="AB268" i="3"/>
  <c r="P268" i="3"/>
  <c r="S268" i="3" s="1"/>
  <c r="Q599" i="3"/>
  <c r="AB599" i="3"/>
  <c r="P599" i="3"/>
  <c r="S599" i="3" s="1"/>
  <c r="Q624" i="3"/>
  <c r="AB624" i="3"/>
  <c r="P624" i="3"/>
  <c r="S624" i="3" s="1"/>
  <c r="AB128" i="3"/>
  <c r="Q128" i="3"/>
  <c r="P128" i="3"/>
  <c r="S128" i="3" s="1"/>
  <c r="P205" i="3"/>
  <c r="S205" i="3" s="1"/>
  <c r="AB205" i="3"/>
  <c r="Q205" i="3"/>
  <c r="AB17" i="3"/>
  <c r="Q17" i="3"/>
  <c r="P17" i="3"/>
  <c r="S17" i="3" s="1"/>
  <c r="AE59" i="3"/>
  <c r="AD59" i="3"/>
  <c r="K317" i="11"/>
  <c r="D156" i="6"/>
  <c r="E156" i="6" s="1"/>
  <c r="K463" i="11"/>
  <c r="K224" i="11"/>
  <c r="P657" i="3"/>
  <c r="Q657" i="3"/>
  <c r="AB657" i="3"/>
  <c r="Q432" i="3"/>
  <c r="P432" i="3"/>
  <c r="AB432" i="3"/>
  <c r="Q606" i="3"/>
  <c r="AB606" i="3"/>
  <c r="P606" i="3"/>
  <c r="R503" i="3" a="1"/>
  <c r="R503" i="3" s="1"/>
  <c r="Q547" i="3"/>
  <c r="P547" i="3"/>
  <c r="S547" i="3" s="1"/>
  <c r="AB547" i="3"/>
  <c r="Q29" i="3"/>
  <c r="P29" i="3"/>
  <c r="S29" i="3" s="1"/>
  <c r="AB29" i="3"/>
  <c r="P352" i="3"/>
  <c r="Q352" i="3"/>
  <c r="AB352" i="3"/>
  <c r="AB13" i="3"/>
  <c r="Q13" i="3"/>
  <c r="P13" i="3"/>
  <c r="S345" i="3"/>
  <c r="T199" i="3"/>
  <c r="O44" i="1"/>
  <c r="P44" i="1"/>
  <c r="D28" i="6"/>
  <c r="E28" i="6" s="1"/>
  <c r="D14" i="2" a="1"/>
  <c r="D14" i="2" s="1"/>
  <c r="K448" i="11"/>
  <c r="K100" i="11"/>
  <c r="K252" i="11"/>
  <c r="K165" i="11"/>
  <c r="D159" i="6"/>
  <c r="E159" i="6" s="1"/>
  <c r="D40" i="2" a="1"/>
  <c r="D40" i="2" s="1"/>
  <c r="E168" i="3" a="1"/>
  <c r="E168" i="3" s="1"/>
  <c r="K15" i="11"/>
  <c r="P302" i="3"/>
  <c r="S302" i="3" s="1"/>
  <c r="Q302" i="3"/>
  <c r="AB302" i="3"/>
  <c r="K212" i="11"/>
  <c r="Q423" i="3"/>
  <c r="AB423" i="3"/>
  <c r="P423" i="3"/>
  <c r="S423" i="3" s="1"/>
  <c r="Q733" i="3"/>
  <c r="P733" i="3"/>
  <c r="S733" i="3" s="1"/>
  <c r="AB733" i="3"/>
  <c r="AB767" i="3"/>
  <c r="Q767" i="3"/>
  <c r="P767" i="3"/>
  <c r="Q341" i="3"/>
  <c r="P341" i="3"/>
  <c r="AB341" i="3"/>
  <c r="Q185" i="3"/>
  <c r="P185" i="3"/>
  <c r="AB185" i="3"/>
  <c r="K57" i="11"/>
  <c r="E397" i="3" a="1"/>
  <c r="E397" i="3" s="1"/>
  <c r="Q298" i="3"/>
  <c r="P298" i="3"/>
  <c r="S298" i="3" s="1"/>
  <c r="AB298" i="3"/>
  <c r="R225" i="3" a="1"/>
  <c r="R225" i="3" s="1"/>
  <c r="D21" i="6"/>
  <c r="E21" i="6" s="1"/>
  <c r="K453" i="11"/>
  <c r="K332" i="11"/>
  <c r="K340" i="11"/>
  <c r="K408" i="11"/>
  <c r="K155" i="11"/>
  <c r="K329" i="11"/>
  <c r="K387" i="11"/>
  <c r="K56" i="11"/>
  <c r="K339" i="11"/>
  <c r="R751" i="3" a="1"/>
  <c r="R751" i="3" s="1"/>
  <c r="R767" i="3" a="1"/>
  <c r="R767" i="3" s="1"/>
  <c r="K348" i="11"/>
  <c r="D162" i="6"/>
  <c r="E162" i="6" s="1"/>
  <c r="K316" i="11"/>
  <c r="K184" i="11"/>
  <c r="K20" i="11"/>
  <c r="Q781" i="3"/>
  <c r="P781" i="3"/>
  <c r="AB781" i="3"/>
  <c r="K3" i="11"/>
  <c r="K243" i="11"/>
  <c r="K95" i="11"/>
  <c r="K178" i="11"/>
  <c r="Q621" i="3"/>
  <c r="P621" i="3"/>
  <c r="S621" i="3" s="1"/>
  <c r="AB621" i="3"/>
  <c r="P681" i="3"/>
  <c r="Q681" i="3"/>
  <c r="AB681" i="3"/>
  <c r="Q597" i="3"/>
  <c r="P597" i="3"/>
  <c r="S597" i="3" s="1"/>
  <c r="AB597" i="3"/>
  <c r="Q707" i="3"/>
  <c r="P707" i="3"/>
  <c r="S707" i="3" s="1"/>
  <c r="AB707" i="3"/>
  <c r="Q774" i="3"/>
  <c r="P774" i="3"/>
  <c r="AB774" i="3"/>
  <c r="R325" i="3" a="1"/>
  <c r="R325" i="3" s="1"/>
  <c r="AB596" i="3"/>
  <c r="P596" i="3"/>
  <c r="Q596" i="3"/>
  <c r="K27" i="11"/>
  <c r="K354" i="11"/>
  <c r="K109" i="11"/>
  <c r="K324" i="11"/>
  <c r="K9" i="11"/>
  <c r="D20" i="6"/>
  <c r="E20" i="6" s="1"/>
  <c r="D40" i="6"/>
  <c r="E40" i="6" s="1"/>
  <c r="E559" i="3" a="1"/>
  <c r="E559" i="3" s="1"/>
  <c r="E407" i="3" a="1"/>
  <c r="E407" i="3" s="1"/>
  <c r="E787" i="3" a="1"/>
  <c r="E787" i="3" s="1"/>
  <c r="E688" i="3" a="1"/>
  <c r="E688" i="3" s="1"/>
  <c r="G38" i="14" a="1"/>
  <c r="G38" i="14" s="1"/>
  <c r="K142" i="11"/>
  <c r="Q728" i="3"/>
  <c r="AB728" i="3"/>
  <c r="P728" i="3"/>
  <c r="S728" i="3" s="1"/>
  <c r="K446" i="11"/>
  <c r="AE241" i="3"/>
  <c r="AD241" i="3"/>
  <c r="P97" i="3"/>
  <c r="S97" i="3" s="1"/>
  <c r="AB97" i="3"/>
  <c r="Q97" i="3"/>
  <c r="Q238" i="3"/>
  <c r="AB238" i="3"/>
  <c r="P238" i="3"/>
  <c r="Q371" i="3"/>
  <c r="P371" i="3"/>
  <c r="AB371" i="3"/>
  <c r="Q285" i="3"/>
  <c r="P285" i="3"/>
  <c r="S285" i="3" s="1"/>
  <c r="AB285" i="3"/>
  <c r="P396" i="3"/>
  <c r="Q396" i="3"/>
  <c r="AB396" i="3"/>
  <c r="AB537" i="3"/>
  <c r="P537" i="3"/>
  <c r="S537" i="3" s="1"/>
  <c r="Q537" i="3"/>
  <c r="Q339" i="3"/>
  <c r="P339" i="3"/>
  <c r="AB339" i="3"/>
  <c r="R398" i="3" a="1"/>
  <c r="R398" i="3" s="1"/>
  <c r="Q270" i="3"/>
  <c r="AB270" i="3"/>
  <c r="P270" i="3"/>
  <c r="S270" i="3" s="1"/>
  <c r="R413" i="3" a="1"/>
  <c r="R413" i="3" s="1"/>
  <c r="Q622" i="3"/>
  <c r="AB622" i="3"/>
  <c r="P622" i="3"/>
  <c r="S622" i="3" s="1"/>
  <c r="Q741" i="3"/>
  <c r="P741" i="3"/>
  <c r="S741" i="3" s="1"/>
  <c r="AB741" i="3"/>
  <c r="Q327" i="3"/>
  <c r="P327" i="3"/>
  <c r="AB327" i="3"/>
  <c r="P347" i="3"/>
  <c r="S347" i="3" s="1"/>
  <c r="Q347" i="3"/>
  <c r="AB347" i="3"/>
  <c r="R432" i="3" a="1"/>
  <c r="R432" i="3" s="1"/>
  <c r="R508" i="3" a="1"/>
  <c r="R508" i="3" s="1"/>
  <c r="AB743" i="3"/>
  <c r="P743" i="3"/>
  <c r="Q743" i="3"/>
  <c r="AB318" i="3"/>
  <c r="P318" i="3"/>
  <c r="Q318" i="3"/>
  <c r="R415" i="3" a="1"/>
  <c r="R415" i="3" s="1"/>
  <c r="R628" i="3" a="1"/>
  <c r="R628" i="3" s="1"/>
  <c r="P520" i="3"/>
  <c r="S520" i="3" s="1"/>
  <c r="AB520" i="3"/>
  <c r="Q520" i="3"/>
  <c r="P587" i="3"/>
  <c r="S587" i="3" s="1"/>
  <c r="AB587" i="3"/>
  <c r="Q587" i="3"/>
  <c r="P749" i="3"/>
  <c r="AB749" i="3"/>
  <c r="Q749" i="3"/>
  <c r="P698" i="3"/>
  <c r="AB698" i="3"/>
  <c r="Q698" i="3"/>
  <c r="Q515" i="3"/>
  <c r="AB515" i="3"/>
  <c r="P515" i="3"/>
  <c r="S515" i="3" s="1"/>
  <c r="P653" i="3"/>
  <c r="S653" i="3" s="1"/>
  <c r="AB653" i="3"/>
  <c r="Q653" i="3"/>
  <c r="AB771" i="3"/>
  <c r="Q771" i="3"/>
  <c r="P771" i="3"/>
  <c r="AB303" i="3"/>
  <c r="Q303" i="3"/>
  <c r="P303" i="3"/>
  <c r="S303" i="3" s="1"/>
  <c r="R115" i="3" a="1"/>
  <c r="R115" i="3" s="1"/>
  <c r="R111" i="3" a="1"/>
  <c r="R111" i="3" s="1"/>
  <c r="Q320" i="3"/>
  <c r="AB320" i="3"/>
  <c r="P320" i="3"/>
  <c r="S320" i="3" s="1"/>
  <c r="R504" i="3" a="1"/>
  <c r="R504" i="3" s="1"/>
  <c r="R132" i="3" a="1"/>
  <c r="R132" i="3" s="1"/>
  <c r="AB329" i="3"/>
  <c r="Q329" i="3"/>
  <c r="P329" i="3"/>
  <c r="AB464" i="3"/>
  <c r="Q464" i="3"/>
  <c r="P464" i="3"/>
  <c r="AB752" i="3"/>
  <c r="Q752" i="3"/>
  <c r="P752" i="3"/>
  <c r="S752" i="3" s="1"/>
  <c r="Q231" i="3"/>
  <c r="P231" i="3"/>
  <c r="S231" i="3" s="1"/>
  <c r="AB231" i="3"/>
  <c r="R514" i="3" a="1"/>
  <c r="R514" i="3" s="1"/>
  <c r="R434" i="3" a="1"/>
  <c r="R434" i="3" s="1"/>
  <c r="R109" i="3" a="1"/>
  <c r="R109" i="3" s="1"/>
  <c r="AE192" i="3"/>
  <c r="AD192" i="3"/>
  <c r="R539" i="3" a="1"/>
  <c r="R539" i="3" s="1"/>
  <c r="R114" i="3" a="1"/>
  <c r="R114" i="3" s="1"/>
  <c r="AB729" i="3"/>
  <c r="Q729" i="3"/>
  <c r="P729" i="3"/>
  <c r="AE43" i="3"/>
  <c r="AD43" i="3"/>
  <c r="E290" i="3" a="1"/>
  <c r="E290" i="3" s="1"/>
  <c r="E285" i="3" a="1"/>
  <c r="E285" i="3" s="1"/>
  <c r="E92" i="3" a="1"/>
  <c r="E92" i="3" s="1"/>
  <c r="P164" i="3"/>
  <c r="S164" i="3" s="1"/>
  <c r="AB164" i="3"/>
  <c r="Q164" i="3"/>
  <c r="D36" i="2" a="1"/>
  <c r="D36" i="2" s="1"/>
  <c r="R509" i="3" a="1"/>
  <c r="R509" i="3" s="1"/>
  <c r="D39" i="2" a="1"/>
  <c r="D39" i="2" s="1"/>
  <c r="AB586" i="3"/>
  <c r="Q586" i="3"/>
  <c r="P586" i="3"/>
  <c r="S586" i="3" s="1"/>
  <c r="D30" i="2" a="1"/>
  <c r="D30" i="2" s="1"/>
  <c r="Q98" i="3"/>
  <c r="AB98" i="3"/>
  <c r="P98" i="3"/>
  <c r="S98" i="3" s="1"/>
  <c r="T64" i="3"/>
  <c r="T93" i="3"/>
  <c r="AB689" i="3"/>
  <c r="Q689" i="3"/>
  <c r="P689" i="3"/>
  <c r="Q220" i="3"/>
  <c r="P220" i="3"/>
  <c r="AB220" i="3"/>
  <c r="Q569" i="3"/>
  <c r="P569" i="3"/>
  <c r="S569" i="3" s="1"/>
  <c r="AB569" i="3"/>
  <c r="S408" i="3"/>
  <c r="Q211" i="3"/>
  <c r="P211" i="3"/>
  <c r="S211" i="3" s="1"/>
  <c r="AB211" i="3"/>
  <c r="T433" i="3"/>
  <c r="S321" i="3"/>
  <c r="AA41" i="3"/>
  <c r="AC41" i="3"/>
  <c r="E286" i="3" a="1"/>
  <c r="E286" i="3" s="1"/>
  <c r="AA197" i="3"/>
  <c r="AC197" i="3"/>
  <c r="P171" i="1"/>
  <c r="O171" i="1"/>
  <c r="S28" i="3"/>
  <c r="S398" i="3"/>
  <c r="D5" i="6"/>
  <c r="E5" i="6" s="1"/>
  <c r="T448" i="3"/>
  <c r="R479" i="3" a="1"/>
  <c r="R479" i="3" s="1"/>
  <c r="AC142" i="3"/>
  <c r="AA142" i="3"/>
  <c r="L92" i="1"/>
  <c r="S219" i="3"/>
  <c r="D19" i="2" a="1"/>
  <c r="D19" i="2" s="1"/>
  <c r="P190" i="1"/>
  <c r="O190" i="1"/>
  <c r="AC174" i="3"/>
  <c r="AA174" i="3"/>
  <c r="P294" i="3"/>
  <c r="AB294" i="3"/>
  <c r="Q294" i="3"/>
  <c r="AB604" i="3"/>
  <c r="P604" i="3"/>
  <c r="Q604" i="3"/>
  <c r="P526" i="3"/>
  <c r="S526" i="3" s="1"/>
  <c r="Q526" i="3"/>
  <c r="AB526" i="3"/>
  <c r="AB788" i="3"/>
  <c r="Q788" i="3"/>
  <c r="P788" i="3"/>
  <c r="S788" i="3" s="1"/>
  <c r="P114" i="3"/>
  <c r="AB114" i="3"/>
  <c r="Q114" i="3"/>
  <c r="T61" i="3"/>
  <c r="S93" i="1"/>
  <c r="L93" i="1"/>
  <c r="Q19" i="3"/>
  <c r="P19" i="3"/>
  <c r="S19" i="3" s="1"/>
  <c r="AB19" i="3"/>
  <c r="T78" i="3"/>
  <c r="Q42" i="3"/>
  <c r="P42" i="3"/>
  <c r="AB42" i="3"/>
  <c r="O131" i="1"/>
  <c r="P131" i="1"/>
  <c r="K168" i="11"/>
  <c r="AB682" i="3"/>
  <c r="Q682" i="3"/>
  <c r="P682" i="3"/>
  <c r="S682" i="3" s="1"/>
  <c r="P782" i="3"/>
  <c r="AB782" i="3"/>
  <c r="Q782" i="3"/>
  <c r="Q565" i="3"/>
  <c r="P565" i="3"/>
  <c r="S565" i="3" s="1"/>
  <c r="AB565" i="3"/>
  <c r="K162" i="11"/>
  <c r="P787" i="3"/>
  <c r="S787" i="3" s="1"/>
  <c r="AB787" i="3"/>
  <c r="Q787" i="3"/>
  <c r="K30" i="11"/>
  <c r="Q454" i="3"/>
  <c r="P454" i="3"/>
  <c r="S454" i="3" s="1"/>
  <c r="AB454" i="3"/>
  <c r="Q710" i="3"/>
  <c r="P710" i="3"/>
  <c r="S710" i="3" s="1"/>
  <c r="AB710" i="3"/>
  <c r="P366" i="3"/>
  <c r="AB366" i="3"/>
  <c r="Q366" i="3"/>
  <c r="Q336" i="3"/>
  <c r="P336" i="3"/>
  <c r="AB336" i="3"/>
  <c r="Q178" i="3"/>
  <c r="P178" i="3"/>
  <c r="AB178" i="3"/>
  <c r="P444" i="3"/>
  <c r="S444" i="3" s="1"/>
  <c r="Q444" i="3"/>
  <c r="AB444" i="3"/>
  <c r="AC105" i="3"/>
  <c r="AA105" i="3"/>
  <c r="T556" i="3"/>
  <c r="K345" i="11"/>
  <c r="K87" i="11"/>
  <c r="D42" i="6"/>
  <c r="E42" i="6" s="1"/>
  <c r="K407" i="11"/>
  <c r="K203" i="11"/>
  <c r="K267" i="11"/>
  <c r="D161" i="6"/>
  <c r="E161" i="6" s="1"/>
  <c r="P721" i="3"/>
  <c r="S721" i="3" s="1"/>
  <c r="AB721" i="3"/>
  <c r="Q721" i="3"/>
  <c r="Q324" i="3"/>
  <c r="P324" i="3"/>
  <c r="S324" i="3" s="1"/>
  <c r="AB324" i="3"/>
  <c r="AB527" i="3"/>
  <c r="P527" i="3"/>
  <c r="Q527" i="3"/>
  <c r="P603" i="3"/>
  <c r="Q603" i="3"/>
  <c r="AB603" i="3"/>
  <c r="Q693" i="3"/>
  <c r="P693" i="3"/>
  <c r="AB693" i="3"/>
  <c r="Q188" i="3"/>
  <c r="AB188" i="3"/>
  <c r="P188" i="3"/>
  <c r="AA301" i="3"/>
  <c r="AC301" i="3"/>
  <c r="K295" i="11"/>
  <c r="K398" i="11"/>
  <c r="E377" i="3" a="1"/>
  <c r="E377" i="3" s="1"/>
  <c r="E297" i="3" a="1"/>
  <c r="E297" i="3" s="1"/>
  <c r="K438" i="11"/>
  <c r="Q389" i="3"/>
  <c r="P389" i="3"/>
  <c r="S389" i="3" s="1"/>
  <c r="AB389" i="3"/>
  <c r="P605" i="3"/>
  <c r="S605" i="3" s="1"/>
  <c r="Q605" i="3"/>
  <c r="AB605" i="3"/>
  <c r="P660" i="3"/>
  <c r="S660" i="3" s="1"/>
  <c r="AB660" i="3"/>
  <c r="Q660" i="3"/>
  <c r="K402" i="11"/>
  <c r="AE45" i="3"/>
  <c r="AD45" i="3"/>
  <c r="Q85" i="3"/>
  <c r="P85" i="3"/>
  <c r="S85" i="3" s="1"/>
  <c r="AB85" i="3"/>
  <c r="D131" i="6"/>
  <c r="E131" i="6" s="1"/>
  <c r="T104" i="3"/>
  <c r="Q450" i="3"/>
  <c r="P450" i="3"/>
  <c r="S450" i="3" s="1"/>
  <c r="AB450" i="3"/>
  <c r="AA15" i="3"/>
  <c r="AC15" i="3"/>
  <c r="K406" i="11"/>
  <c r="K101" i="11"/>
  <c r="K71" i="11"/>
  <c r="P663" i="3"/>
  <c r="Q663" i="3"/>
  <c r="AB663" i="3"/>
  <c r="Q620" i="3"/>
  <c r="P620" i="3"/>
  <c r="S620" i="3" s="1"/>
  <c r="AB620" i="3"/>
  <c r="AB572" i="3"/>
  <c r="Q572" i="3"/>
  <c r="P572" i="3"/>
  <c r="S572" i="3" s="1"/>
  <c r="D59" i="6"/>
  <c r="E59" i="6" s="1"/>
  <c r="K461" i="11"/>
  <c r="P441" i="3"/>
  <c r="S441" i="3" s="1"/>
  <c r="Q441" i="3"/>
  <c r="AB441" i="3"/>
  <c r="AB103" i="3"/>
  <c r="Q103" i="3"/>
  <c r="P103" i="3"/>
  <c r="S103" i="3" s="1"/>
  <c r="Q96" i="3"/>
  <c r="P96" i="3"/>
  <c r="S96" i="3" s="1"/>
  <c r="AB96" i="3"/>
  <c r="Q361" i="3"/>
  <c r="P361" i="3"/>
  <c r="S361" i="3" s="1"/>
  <c r="AB361" i="3"/>
  <c r="Q390" i="3"/>
  <c r="P390" i="3"/>
  <c r="S390" i="3" s="1"/>
  <c r="AB390" i="3"/>
  <c r="K396" i="11"/>
  <c r="P69" i="1"/>
  <c r="O69" i="1"/>
  <c r="AB2" i="3"/>
  <c r="Q2" i="3"/>
  <c r="P2" i="3"/>
  <c r="AB735" i="3"/>
  <c r="Q735" i="3"/>
  <c r="P735" i="3"/>
  <c r="S735" i="3" s="1"/>
  <c r="AD57" i="3"/>
  <c r="AE57" i="3"/>
  <c r="P67" i="1"/>
  <c r="O67" i="1"/>
  <c r="K377" i="11"/>
  <c r="R759" i="3" a="1"/>
  <c r="R759" i="3" s="1"/>
  <c r="K118" i="11"/>
  <c r="K124" i="11"/>
  <c r="K322" i="11"/>
  <c r="D86" i="6"/>
  <c r="E86" i="6" s="1"/>
  <c r="E335" i="3" a="1"/>
  <c r="E335" i="3" s="1"/>
  <c r="K429" i="11"/>
  <c r="P296" i="3"/>
  <c r="AB296" i="3"/>
  <c r="Q296" i="3"/>
  <c r="R703" i="3" a="1"/>
  <c r="R703" i="3" s="1"/>
  <c r="P674" i="3"/>
  <c r="AB674" i="3"/>
  <c r="Q674" i="3"/>
  <c r="P393" i="3"/>
  <c r="Q393" i="3"/>
  <c r="AB393" i="3"/>
  <c r="AB795" i="3"/>
  <c r="P795" i="3"/>
  <c r="S795" i="3" s="1"/>
  <c r="Q795" i="3"/>
  <c r="R495" i="3" a="1"/>
  <c r="R495" i="3" s="1"/>
  <c r="AB489" i="3"/>
  <c r="P489" i="3"/>
  <c r="S489" i="3" s="1"/>
  <c r="Q489" i="3"/>
  <c r="AB439" i="3"/>
  <c r="P439" i="3"/>
  <c r="Q439" i="3"/>
  <c r="T45" i="3"/>
  <c r="AC255" i="3"/>
  <c r="AA255" i="3"/>
  <c r="K456" i="11"/>
  <c r="R760" i="3" a="1"/>
  <c r="R760" i="3" s="1"/>
  <c r="P667" i="3"/>
  <c r="Q667" i="3"/>
  <c r="AB667" i="3"/>
  <c r="AB748" i="3"/>
  <c r="P748" i="3"/>
  <c r="S748" i="3" s="1"/>
  <c r="Q748" i="3"/>
  <c r="K228" i="11"/>
  <c r="D102" i="6"/>
  <c r="E102" i="6" s="1"/>
  <c r="K331" i="11"/>
  <c r="K420" i="11"/>
  <c r="Q538" i="3"/>
  <c r="AB538" i="3"/>
  <c r="P538" i="3"/>
  <c r="S538" i="3" s="1"/>
  <c r="Q363" i="3"/>
  <c r="P363" i="3"/>
  <c r="S363" i="3" s="1"/>
  <c r="AB363" i="3"/>
  <c r="P551" i="3"/>
  <c r="Q551" i="3"/>
  <c r="AB551" i="3"/>
  <c r="Q250" i="3"/>
  <c r="P250" i="3"/>
  <c r="S250" i="3" s="1"/>
  <c r="AB250" i="3"/>
  <c r="AB442" i="3"/>
  <c r="Q442" i="3"/>
  <c r="P442" i="3"/>
  <c r="S442" i="3" s="1"/>
  <c r="T43" i="3"/>
  <c r="L157" i="1"/>
  <c r="S157" i="1"/>
  <c r="P32" i="3"/>
  <c r="AB32" i="3"/>
  <c r="Q32" i="3"/>
  <c r="AA92" i="3"/>
  <c r="AC92" i="3"/>
  <c r="O152" i="1"/>
  <c r="S167" i="1"/>
  <c r="L167" i="1"/>
  <c r="T255" i="3"/>
  <c r="K296" i="11"/>
  <c r="K423" i="11"/>
  <c r="K176" i="11"/>
  <c r="K70" i="11"/>
  <c r="K336" i="11"/>
  <c r="K148" i="11"/>
  <c r="AB580" i="3"/>
  <c r="Q580" i="3"/>
  <c r="P580" i="3"/>
  <c r="Q446" i="3"/>
  <c r="P446" i="3"/>
  <c r="AB446" i="3"/>
  <c r="D118" i="6"/>
  <c r="E118" i="6" s="1"/>
  <c r="P166" i="3"/>
  <c r="AB166" i="3"/>
  <c r="Q166" i="3"/>
  <c r="P364" i="3"/>
  <c r="AB364" i="3"/>
  <c r="Q364" i="3"/>
  <c r="P277" i="3"/>
  <c r="Q277" i="3"/>
  <c r="AB277" i="3"/>
  <c r="R499" i="3" a="1"/>
  <c r="R499" i="3" s="1"/>
  <c r="Q83" i="3"/>
  <c r="P83" i="3"/>
  <c r="S83" i="3" s="1"/>
  <c r="AB83" i="3"/>
  <c r="Q279" i="3"/>
  <c r="P279" i="3"/>
  <c r="AB279" i="3"/>
  <c r="AE40" i="3"/>
  <c r="AD40" i="3"/>
  <c r="P48" i="1"/>
  <c r="O48" i="1"/>
  <c r="T59" i="3"/>
  <c r="O12" i="1"/>
  <c r="P12" i="1"/>
  <c r="AA104" i="3"/>
  <c r="AC104" i="3"/>
  <c r="K390" i="11"/>
  <c r="K33" i="11"/>
  <c r="K216" i="11"/>
  <c r="K149" i="11"/>
  <c r="Q254" i="3"/>
  <c r="P254" i="3"/>
  <c r="S254" i="3" s="1"/>
  <c r="AB254" i="3"/>
  <c r="Q720" i="3"/>
  <c r="P720" i="3"/>
  <c r="S720" i="3" s="1"/>
  <c r="AB720" i="3"/>
  <c r="R502" i="3" a="1"/>
  <c r="R502" i="3" s="1"/>
  <c r="P130" i="3"/>
  <c r="Q130" i="3"/>
  <c r="AB130" i="3"/>
  <c r="K59" i="11"/>
  <c r="S162" i="3"/>
  <c r="Q80" i="3"/>
  <c r="P80" i="3"/>
  <c r="S80" i="3" s="1"/>
  <c r="AB80" i="3"/>
  <c r="Q460" i="3"/>
  <c r="AB460" i="3"/>
  <c r="P460" i="3"/>
  <c r="S460" i="3" s="1"/>
  <c r="AB107" i="3"/>
  <c r="P107" i="3"/>
  <c r="Q107" i="3"/>
  <c r="O84" i="1"/>
  <c r="AC213" i="3"/>
  <c r="AA213" i="3"/>
  <c r="K371" i="11"/>
  <c r="K153" i="11"/>
  <c r="AB634" i="3"/>
  <c r="Q634" i="3"/>
  <c r="P634" i="3"/>
  <c r="K410" i="11"/>
  <c r="D144" i="6"/>
  <c r="E144" i="6" s="1"/>
  <c r="R515" i="3" a="1"/>
  <c r="R515" i="3" s="1"/>
  <c r="R627" i="3" a="1"/>
  <c r="R627" i="3" s="1"/>
  <c r="AB469" i="3"/>
  <c r="Q469" i="3"/>
  <c r="P469" i="3"/>
  <c r="S469" i="3" s="1"/>
  <c r="K19" i="11"/>
  <c r="P248" i="3"/>
  <c r="S248" i="3" s="1"/>
  <c r="AB248" i="3"/>
  <c r="Q248" i="3"/>
  <c r="T213" i="3"/>
  <c r="K413" i="11"/>
  <c r="K139" i="11"/>
  <c r="K123" i="11"/>
  <c r="K403" i="11"/>
  <c r="K143" i="11"/>
  <c r="E480" i="3" a="1"/>
  <c r="E480" i="3" s="1"/>
  <c r="E465" i="3" a="1"/>
  <c r="E465" i="3" s="1"/>
  <c r="E434" i="3" a="1"/>
  <c r="E434" i="3" s="1"/>
  <c r="K217" i="11"/>
  <c r="K299" i="11"/>
  <c r="K129" i="11"/>
  <c r="K457" i="11"/>
  <c r="P686" i="3"/>
  <c r="S686" i="3" s="1"/>
  <c r="AB686" i="3"/>
  <c r="Q686" i="3"/>
  <c r="K344" i="11"/>
  <c r="K308" i="11"/>
  <c r="K104" i="11"/>
  <c r="D8" i="6"/>
  <c r="E8" i="6" s="1"/>
  <c r="K200" i="11"/>
  <c r="K281" i="11"/>
  <c r="Q709" i="3"/>
  <c r="P709" i="3"/>
  <c r="S709" i="3" s="1"/>
  <c r="AB709" i="3"/>
  <c r="Q778" i="3"/>
  <c r="P778" i="3"/>
  <c r="S778" i="3" s="1"/>
  <c r="AB778" i="3"/>
  <c r="R326" i="3" a="1"/>
  <c r="R326" i="3" s="1"/>
  <c r="K315" i="11"/>
  <c r="K38" i="11"/>
  <c r="D83" i="6"/>
  <c r="E83" i="6" s="1"/>
  <c r="K292" i="11"/>
  <c r="K94" i="11"/>
  <c r="K132" i="11"/>
  <c r="D41" i="6"/>
  <c r="E41" i="6" s="1"/>
  <c r="D55" i="6"/>
  <c r="E55" i="6" s="1"/>
  <c r="D18" i="2" a="1"/>
  <c r="D18" i="2" s="1"/>
  <c r="D98" i="6"/>
  <c r="E98" i="6" s="1"/>
  <c r="E598" i="3" a="1"/>
  <c r="E598" i="3" s="1"/>
  <c r="E256" i="3" a="1"/>
  <c r="E256" i="3" s="1"/>
  <c r="E605" i="3" a="1"/>
  <c r="E605" i="3" s="1"/>
  <c r="E577" i="3" a="1"/>
  <c r="E577" i="3" s="1"/>
  <c r="H138" i="14" a="1"/>
  <c r="H138" i="14" s="1"/>
  <c r="Q724" i="3"/>
  <c r="P724" i="3"/>
  <c r="S724" i="3" s="1"/>
  <c r="AB724" i="3"/>
  <c r="K105" i="11"/>
  <c r="K443" i="11"/>
  <c r="AB71" i="3"/>
  <c r="Q71" i="3"/>
  <c r="P71" i="3"/>
  <c r="S71" i="3" s="1"/>
  <c r="K177" i="11"/>
  <c r="Q212" i="3"/>
  <c r="P212" i="3"/>
  <c r="S212" i="3" s="1"/>
  <c r="AB212" i="3"/>
  <c r="Q485" i="3"/>
  <c r="P485" i="3"/>
  <c r="AB485" i="3"/>
  <c r="K84" i="11"/>
  <c r="P406" i="3"/>
  <c r="S406" i="3" s="1"/>
  <c r="AB406" i="3"/>
  <c r="Q406" i="3"/>
  <c r="AB688" i="3"/>
  <c r="Q688" i="3"/>
  <c r="P688" i="3"/>
  <c r="S688" i="3" s="1"/>
  <c r="R466" i="3" a="1"/>
  <c r="R466" i="3" s="1"/>
  <c r="R405" i="3" a="1"/>
  <c r="R405" i="3" s="1"/>
  <c r="R565" i="3" a="1"/>
  <c r="R565" i="3" s="1"/>
  <c r="Q765" i="3"/>
  <c r="P765" i="3"/>
  <c r="S765" i="3" s="1"/>
  <c r="AB765" i="3"/>
  <c r="P540" i="3"/>
  <c r="S540" i="3" s="1"/>
  <c r="AB540" i="3"/>
  <c r="Q540" i="3"/>
  <c r="P354" i="3"/>
  <c r="S354" i="3" s="1"/>
  <c r="T354" i="3" s="1"/>
  <c r="AB354" i="3"/>
  <c r="Q354" i="3"/>
  <c r="Q419" i="3"/>
  <c r="P419" i="3"/>
  <c r="S419" i="3" s="1"/>
  <c r="AB419" i="3"/>
  <c r="Q418" i="3"/>
  <c r="P418" i="3"/>
  <c r="S418" i="3" s="1"/>
  <c r="AB418" i="3"/>
  <c r="R512" i="3" a="1"/>
  <c r="R512" i="3" s="1"/>
  <c r="Q631" i="3"/>
  <c r="P631" i="3"/>
  <c r="S631" i="3" s="1"/>
  <c r="AB631" i="3"/>
  <c r="AB755" i="3"/>
  <c r="Q755" i="3"/>
  <c r="P755" i="3"/>
  <c r="S755" i="3" s="1"/>
  <c r="R710" i="3" a="1"/>
  <c r="R710" i="3" s="1"/>
  <c r="P351" i="3"/>
  <c r="Q351" i="3"/>
  <c r="AB351" i="3"/>
  <c r="P509" i="3"/>
  <c r="AB509" i="3"/>
  <c r="Q509" i="3"/>
  <c r="Q757" i="3"/>
  <c r="P757" i="3"/>
  <c r="S757" i="3" s="1"/>
  <c r="AB757" i="3"/>
  <c r="P437" i="3"/>
  <c r="AB437" i="3"/>
  <c r="Q437" i="3"/>
  <c r="AB772" i="3"/>
  <c r="Q772" i="3"/>
  <c r="P772" i="3"/>
  <c r="S772" i="3" s="1"/>
  <c r="Q761" i="3"/>
  <c r="P761" i="3"/>
  <c r="AB761" i="3"/>
  <c r="P522" i="3"/>
  <c r="AB522" i="3"/>
  <c r="Q522" i="3"/>
  <c r="AB763" i="3"/>
  <c r="P763" i="3"/>
  <c r="Q763" i="3"/>
  <c r="Q566" i="3"/>
  <c r="P566" i="3"/>
  <c r="S566" i="3" s="1"/>
  <c r="AB566" i="3"/>
  <c r="Q643" i="3"/>
  <c r="P643" i="3"/>
  <c r="S643" i="3" s="1"/>
  <c r="AB643" i="3"/>
  <c r="P714" i="3"/>
  <c r="S714" i="3" s="1"/>
  <c r="AB714" i="3"/>
  <c r="Q714" i="3"/>
  <c r="R518" i="3" a="1"/>
  <c r="R518" i="3" s="1"/>
  <c r="AB776" i="3"/>
  <c r="Q776" i="3"/>
  <c r="P776" i="3"/>
  <c r="S776" i="3" s="1"/>
  <c r="AB542" i="3"/>
  <c r="P542" i="3"/>
  <c r="Q542" i="3"/>
  <c r="AB632" i="3"/>
  <c r="Q632" i="3"/>
  <c r="P632" i="3"/>
  <c r="S632" i="3" s="1"/>
  <c r="R711" i="3" a="1"/>
  <c r="R711" i="3" s="1"/>
  <c r="P261" i="3"/>
  <c r="S261" i="3" s="1"/>
  <c r="Q261" i="3"/>
  <c r="AB261" i="3"/>
  <c r="AB523" i="3"/>
  <c r="Q523" i="3"/>
  <c r="P523" i="3"/>
  <c r="S523" i="3" s="1"/>
  <c r="Q133" i="3"/>
  <c r="P133" i="3"/>
  <c r="S133" i="3" s="1"/>
  <c r="AB133" i="3"/>
  <c r="Q232" i="3"/>
  <c r="P232" i="3"/>
  <c r="S232" i="3" s="1"/>
  <c r="AB232" i="3"/>
  <c r="R400" i="3" a="1"/>
  <c r="R400" i="3" s="1"/>
  <c r="P110" i="3"/>
  <c r="AB110" i="3"/>
  <c r="Q110" i="3"/>
  <c r="AB369" i="3"/>
  <c r="P369" i="3"/>
  <c r="Q369" i="3"/>
  <c r="R357" i="3" a="1"/>
  <c r="R357" i="3" s="1"/>
  <c r="AE181" i="3"/>
  <c r="AD181" i="3"/>
  <c r="L118" i="1"/>
  <c r="S118" i="1"/>
  <c r="E130" i="3" a="1"/>
  <c r="E130" i="3" s="1"/>
  <c r="E498" i="3" a="1"/>
  <c r="E498" i="3" s="1"/>
  <c r="E123" i="3" a="1"/>
  <c r="E123" i="3" s="1"/>
  <c r="E13" i="3" a="1"/>
  <c r="E13" i="3" s="1"/>
  <c r="E306" i="3" a="1"/>
  <c r="E306" i="3" s="1"/>
  <c r="Q152" i="3"/>
  <c r="P152" i="3"/>
  <c r="AB152" i="3"/>
  <c r="P133" i="1"/>
  <c r="O133" i="1"/>
  <c r="K181" i="11"/>
  <c r="AB481" i="3"/>
  <c r="Q481" i="3"/>
  <c r="P481" i="3"/>
  <c r="S481" i="3" s="1"/>
  <c r="D27" i="2" a="1"/>
  <c r="D27" i="2" s="1"/>
  <c r="K183" i="11"/>
  <c r="S216" i="3"/>
  <c r="P111" i="1"/>
  <c r="O111" i="1"/>
  <c r="S88" i="3"/>
  <c r="Q273" i="3"/>
  <c r="P273" i="3"/>
  <c r="S273" i="3" s="1"/>
  <c r="AB273" i="3"/>
  <c r="Q172" i="3"/>
  <c r="P172" i="3"/>
  <c r="AB172" i="3"/>
  <c r="K14" i="1"/>
  <c r="T521" i="3"/>
  <c r="AA204" i="3"/>
  <c r="AC204" i="3"/>
  <c r="R501" i="3" a="1"/>
  <c r="R501" i="3" s="1"/>
  <c r="C102" i="1" a="1"/>
  <c r="C102" i="1" s="1"/>
  <c r="S111" i="3"/>
  <c r="AC147" i="3"/>
  <c r="AA147" i="3"/>
  <c r="Q53" i="3"/>
  <c r="P53" i="3"/>
  <c r="S53" i="3" s="1"/>
  <c r="AB53" i="3"/>
  <c r="D111" i="6"/>
  <c r="E111" i="6" s="1"/>
  <c r="AB22" i="3"/>
  <c r="Q22" i="3"/>
  <c r="P22" i="3"/>
  <c r="S22" i="3" s="1"/>
  <c r="O53" i="1"/>
  <c r="P53" i="1"/>
  <c r="AE73" i="3"/>
  <c r="AD73" i="3"/>
  <c r="L32" i="1"/>
  <c r="S115" i="3"/>
  <c r="D3" i="6"/>
  <c r="E3" i="6" s="1"/>
  <c r="R139" i="3" a="1"/>
  <c r="R139" i="3" s="1"/>
  <c r="S128" i="1"/>
  <c r="L128" i="1"/>
  <c r="K64" i="1"/>
  <c r="AC180" i="3"/>
  <c r="AA180" i="3"/>
  <c r="O155" i="1"/>
  <c r="AC582" i="3"/>
  <c r="AA582" i="3"/>
  <c r="O99" i="1"/>
  <c r="AC94" i="3"/>
  <c r="AA94" i="3"/>
  <c r="K260" i="11"/>
  <c r="K5" i="11"/>
  <c r="K52" i="11"/>
  <c r="K16" i="11"/>
  <c r="AB756" i="3"/>
  <c r="Q756" i="3"/>
  <c r="P756" i="3"/>
  <c r="S756" i="3" s="1"/>
  <c r="AB461" i="3"/>
  <c r="Q461" i="3"/>
  <c r="P461" i="3"/>
  <c r="S461" i="3" s="1"/>
  <c r="AB224" i="3"/>
  <c r="P224" i="3"/>
  <c r="Q224" i="3"/>
  <c r="T183" i="3"/>
  <c r="Q190" i="3"/>
  <c r="AB190" i="3"/>
  <c r="P190" i="3"/>
  <c r="S190" i="3" s="1"/>
  <c r="AD374" i="3"/>
  <c r="AE374" i="3"/>
  <c r="AB760" i="3"/>
  <c r="Q760" i="3"/>
  <c r="P760" i="3"/>
  <c r="S760" i="3" s="1"/>
  <c r="Q312" i="3"/>
  <c r="P312" i="3"/>
  <c r="AB312" i="3"/>
  <c r="T74" i="3"/>
  <c r="AC31" i="3"/>
  <c r="AA31" i="3"/>
  <c r="K122" i="11"/>
  <c r="K314" i="11"/>
  <c r="K151" i="11"/>
  <c r="K41" i="11"/>
  <c r="K330" i="11"/>
  <c r="AB326" i="3"/>
  <c r="Q326" i="3"/>
  <c r="P326" i="3"/>
  <c r="S326" i="3" s="1"/>
  <c r="P528" i="3"/>
  <c r="S528" i="3" s="1"/>
  <c r="AB528" i="3"/>
  <c r="Q528" i="3"/>
  <c r="Q367" i="3"/>
  <c r="P367" i="3"/>
  <c r="AB367" i="3"/>
  <c r="L100" i="1"/>
  <c r="S100" i="1"/>
  <c r="P375" i="3"/>
  <c r="AB375" i="3"/>
  <c r="Q375" i="3"/>
  <c r="T301" i="3"/>
  <c r="AE143" i="3"/>
  <c r="AD143" i="3"/>
  <c r="K350" i="11"/>
  <c r="K450" i="11"/>
  <c r="E417" i="3" a="1"/>
  <c r="E417" i="3" s="1"/>
  <c r="Q284" i="3"/>
  <c r="P284" i="3"/>
  <c r="AB284" i="3"/>
  <c r="AB616" i="3"/>
  <c r="Q616" i="3"/>
  <c r="P616" i="3"/>
  <c r="S616" i="3" s="1"/>
  <c r="P400" i="3"/>
  <c r="Q400" i="3"/>
  <c r="AB400" i="3"/>
  <c r="P276" i="3"/>
  <c r="AB276" i="3"/>
  <c r="Q276" i="3"/>
  <c r="Q579" i="3"/>
  <c r="AB579" i="3"/>
  <c r="P579" i="3"/>
  <c r="AB21" i="3"/>
  <c r="Q21" i="3"/>
  <c r="P21" i="3"/>
  <c r="T780" i="3"/>
  <c r="T300" i="3"/>
  <c r="AC666" i="3"/>
  <c r="AA666" i="3"/>
  <c r="AC74" i="3"/>
  <c r="AA74" i="3"/>
  <c r="T386" i="3"/>
  <c r="K424" i="11"/>
  <c r="K379" i="11"/>
  <c r="K81" i="11"/>
  <c r="K61" i="11"/>
  <c r="K352" i="11"/>
  <c r="D19" i="6"/>
  <c r="E19" i="6" s="1"/>
  <c r="K338" i="11"/>
  <c r="AB687" i="3"/>
  <c r="Q687" i="3"/>
  <c r="P687" i="3"/>
  <c r="S687" i="3" s="1"/>
  <c r="K368" i="11"/>
  <c r="AB609" i="3"/>
  <c r="Q609" i="3"/>
  <c r="P609" i="3"/>
  <c r="S609" i="3" s="1"/>
  <c r="K13" i="11"/>
  <c r="K303" i="11"/>
  <c r="P617" i="3"/>
  <c r="S617" i="3" s="1"/>
  <c r="AB617" i="3"/>
  <c r="Q617" i="3"/>
  <c r="Q747" i="3"/>
  <c r="P747" i="3"/>
  <c r="AB747" i="3"/>
  <c r="Q66" i="3"/>
  <c r="AB66" i="3"/>
  <c r="P66" i="3"/>
  <c r="S66" i="3" s="1"/>
  <c r="D88" i="6"/>
  <c r="E88" i="6" s="1"/>
  <c r="P158" i="1"/>
  <c r="O158" i="1"/>
  <c r="K432" i="11"/>
  <c r="K108" i="11"/>
  <c r="P669" i="3"/>
  <c r="Q669" i="3"/>
  <c r="AB669" i="3"/>
  <c r="K226" i="11"/>
  <c r="E345" i="3" a="1"/>
  <c r="E345" i="3" s="1"/>
  <c r="K286" i="11"/>
  <c r="T143" i="3"/>
  <c r="R507" i="3" a="1"/>
  <c r="R507" i="3" s="1"/>
  <c r="AB306" i="3"/>
  <c r="Q306" i="3"/>
  <c r="P306" i="3"/>
  <c r="S306" i="3" s="1"/>
  <c r="E390" i="3" a="1"/>
  <c r="E390" i="3" s="1"/>
  <c r="T170" i="3"/>
  <c r="D49" i="2" a="1"/>
  <c r="D49" i="2" s="1"/>
  <c r="AB633" i="3"/>
  <c r="Q633" i="3"/>
  <c r="P633" i="3"/>
  <c r="K312" i="11"/>
  <c r="P671" i="3"/>
  <c r="Q671" i="3"/>
  <c r="AB671" i="3"/>
  <c r="Q628" i="3"/>
  <c r="P628" i="3"/>
  <c r="S628" i="3" s="1"/>
  <c r="AB628" i="3"/>
  <c r="P645" i="3"/>
  <c r="AB645" i="3"/>
  <c r="Q645" i="3"/>
  <c r="K274" i="11"/>
  <c r="K454" i="11"/>
  <c r="G188" i="14" a="1"/>
  <c r="G188" i="14" s="1"/>
  <c r="Q730" i="3"/>
  <c r="P730" i="3"/>
  <c r="S730" i="3" s="1"/>
  <c r="AB730" i="3"/>
  <c r="R227" i="3" a="1"/>
  <c r="R227" i="3" s="1"/>
  <c r="T227" i="3" s="1"/>
  <c r="P497" i="3"/>
  <c r="Q497" i="3"/>
  <c r="AB497" i="3"/>
  <c r="P233" i="3"/>
  <c r="AB233" i="3"/>
  <c r="Q233" i="3"/>
  <c r="AB562" i="3"/>
  <c r="Q562" i="3"/>
  <c r="P562" i="3"/>
  <c r="S562" i="3" s="1"/>
  <c r="AB775" i="3"/>
  <c r="P775" i="3"/>
  <c r="S775" i="3" s="1"/>
  <c r="Q775" i="3"/>
  <c r="R619" i="3" a="1"/>
  <c r="R619" i="3" s="1"/>
  <c r="R626" i="3" a="1"/>
  <c r="R626" i="3" s="1"/>
  <c r="Q121" i="3"/>
  <c r="P121" i="3"/>
  <c r="AB121" i="3"/>
  <c r="T455" i="3"/>
  <c r="E147" i="3" a="1"/>
  <c r="E147" i="3" s="1"/>
  <c r="AB124" i="3"/>
  <c r="Q124" i="3"/>
  <c r="P124" i="3"/>
  <c r="S124" i="3" s="1"/>
  <c r="T156" i="3"/>
  <c r="AA493" i="3"/>
  <c r="AC493" i="3"/>
  <c r="K204" i="11"/>
  <c r="R20" i="3" a="1"/>
  <c r="R20" i="3" s="1"/>
  <c r="R22" i="3" a="1"/>
  <c r="R22" i="3" s="1"/>
  <c r="K166" i="11"/>
  <c r="D75" i="6"/>
  <c r="E75" i="6" s="1"/>
  <c r="K141" i="11"/>
  <c r="P673" i="3"/>
  <c r="Q673" i="3"/>
  <c r="AB673" i="3"/>
  <c r="R630" i="3" a="1"/>
  <c r="R630" i="3" s="1"/>
  <c r="Q699" i="3"/>
  <c r="P699" i="3"/>
  <c r="S699" i="3" s="1"/>
  <c r="AB699" i="3"/>
  <c r="P692" i="3"/>
  <c r="AB692" i="3"/>
  <c r="Q692" i="3"/>
  <c r="K389" i="11"/>
  <c r="K42" i="11"/>
  <c r="Q784" i="3"/>
  <c r="P784" i="3"/>
  <c r="AB784" i="3"/>
  <c r="K194" i="11"/>
  <c r="T89" i="3"/>
  <c r="P37" i="3"/>
  <c r="AB37" i="3"/>
  <c r="Q37" i="3"/>
  <c r="P401" i="3"/>
  <c r="Q401" i="3"/>
  <c r="AB401" i="3"/>
  <c r="Q319" i="3"/>
  <c r="P319" i="3"/>
  <c r="AB319" i="3"/>
  <c r="P678" i="3"/>
  <c r="S678" i="3" s="1"/>
  <c r="AB678" i="3"/>
  <c r="Q678" i="3"/>
  <c r="R410" i="3" a="1"/>
  <c r="R410" i="3" s="1"/>
  <c r="AB310" i="3"/>
  <c r="Q310" i="3"/>
  <c r="P310" i="3"/>
  <c r="S310" i="3" s="1"/>
  <c r="P505" i="3"/>
  <c r="AB505" i="3"/>
  <c r="Q505" i="3"/>
  <c r="P652" i="3"/>
  <c r="Q652" i="3"/>
  <c r="AB652" i="3"/>
  <c r="Q157" i="3"/>
  <c r="P157" i="3"/>
  <c r="AB157" i="3"/>
  <c r="AA170" i="3"/>
  <c r="AC170" i="3"/>
  <c r="P112" i="3"/>
  <c r="AB112" i="3"/>
  <c r="Q112" i="3"/>
  <c r="K276" i="11"/>
  <c r="K163" i="11"/>
  <c r="K442" i="11"/>
  <c r="K405" i="11"/>
  <c r="K290" i="11"/>
  <c r="R383" i="3" a="1"/>
  <c r="R383" i="3" s="1"/>
  <c r="R395" i="3" a="1"/>
  <c r="R395" i="3" s="1"/>
  <c r="K32" i="11"/>
  <c r="K404" i="11"/>
  <c r="K385" i="11"/>
  <c r="K327" i="11"/>
  <c r="K268" i="11"/>
  <c r="K395" i="11"/>
  <c r="K136" i="11"/>
  <c r="K218" i="11"/>
  <c r="D129" i="6"/>
  <c r="E129" i="6" s="1"/>
  <c r="D31" i="2" a="1"/>
  <c r="D31" i="2" s="1"/>
  <c r="K445" i="11"/>
  <c r="K291" i="11"/>
  <c r="K249" i="11"/>
  <c r="K323" i="11"/>
  <c r="AB650" i="3"/>
  <c r="Q650" i="3"/>
  <c r="P650" i="3"/>
  <c r="S650" i="3" s="1"/>
  <c r="D67" i="6"/>
  <c r="E67" i="6" s="1"/>
  <c r="K215" i="11"/>
  <c r="K422" i="11"/>
  <c r="K213" i="11"/>
  <c r="K289" i="11"/>
  <c r="K97" i="11"/>
  <c r="K297" i="11"/>
  <c r="E41" i="3" a="1"/>
  <c r="E41" i="3" s="1"/>
  <c r="E437" i="3" a="1"/>
  <c r="E437" i="3" s="1"/>
  <c r="K236" i="11"/>
  <c r="Q732" i="3"/>
  <c r="P732" i="3"/>
  <c r="S732" i="3" s="1"/>
  <c r="AB732" i="3"/>
  <c r="Q648" i="3"/>
  <c r="P648" i="3"/>
  <c r="S648" i="3" s="1"/>
  <c r="AB648" i="3"/>
  <c r="Q711" i="3"/>
  <c r="P711" i="3"/>
  <c r="S711" i="3" s="1"/>
  <c r="AB711" i="3"/>
  <c r="P619" i="3"/>
  <c r="AB619" i="3"/>
  <c r="Q619" i="3"/>
  <c r="K311" i="11"/>
  <c r="K273" i="11"/>
  <c r="K14" i="11"/>
  <c r="D50" i="6"/>
  <c r="E50" i="6" s="1"/>
  <c r="Q685" i="3"/>
  <c r="P685" i="3"/>
  <c r="S685" i="3" s="1"/>
  <c r="AB685" i="3"/>
  <c r="D91" i="6"/>
  <c r="E91" i="6" s="1"/>
  <c r="AB484" i="3"/>
  <c r="P484" i="3"/>
  <c r="S484" i="3" s="1"/>
  <c r="Q484" i="3"/>
  <c r="K130" i="11"/>
  <c r="D26" i="6"/>
  <c r="E26" i="6" s="1"/>
  <c r="D12" i="2" a="1"/>
  <c r="D12" i="2" s="1"/>
  <c r="D84" i="6"/>
  <c r="E84" i="6" s="1"/>
  <c r="D71" i="6"/>
  <c r="E71" i="6" s="1"/>
  <c r="D95" i="6"/>
  <c r="E95" i="6" s="1"/>
  <c r="D24" i="2" a="1"/>
  <c r="D24" i="2" s="1"/>
  <c r="D36" i="6"/>
  <c r="E36" i="6" s="1"/>
  <c r="E273" i="3" a="1"/>
  <c r="E273" i="3" s="1"/>
  <c r="E360" i="3" a="1"/>
  <c r="E360" i="3" s="1"/>
  <c r="E308" i="3" a="1"/>
  <c r="E308" i="3" s="1"/>
  <c r="E502" i="3" a="1"/>
  <c r="E502" i="3" s="1"/>
  <c r="E596" i="3" a="1"/>
  <c r="E596" i="3" s="1"/>
  <c r="E450" i="3" a="1"/>
  <c r="E450" i="3" s="1"/>
  <c r="E592" i="3" a="1"/>
  <c r="E592" i="3" s="1"/>
  <c r="E763" i="3" a="1"/>
  <c r="E763" i="3" s="1"/>
  <c r="E714" i="3" a="1"/>
  <c r="E714" i="3" s="1"/>
  <c r="K103" i="11"/>
  <c r="K334" i="11"/>
  <c r="AB292" i="3"/>
  <c r="Q292" i="3"/>
  <c r="P292" i="3"/>
  <c r="S292" i="3" s="1"/>
  <c r="Q68" i="3"/>
  <c r="P68" i="3"/>
  <c r="S68" i="3" s="1"/>
  <c r="AB68" i="3"/>
  <c r="K175" i="11"/>
  <c r="Q471" i="3"/>
  <c r="P471" i="3"/>
  <c r="AB471" i="3"/>
  <c r="P625" i="3"/>
  <c r="S625" i="3" s="1"/>
  <c r="AB625" i="3"/>
  <c r="Q625" i="3"/>
  <c r="Q739" i="3"/>
  <c r="P739" i="3"/>
  <c r="S739" i="3" s="1"/>
  <c r="AB739" i="3"/>
  <c r="R412" i="3" a="1"/>
  <c r="R412" i="3" s="1"/>
  <c r="AB543" i="3"/>
  <c r="Q543" i="3"/>
  <c r="P543" i="3"/>
  <c r="S543" i="3" s="1"/>
  <c r="Q281" i="3"/>
  <c r="P281" i="3"/>
  <c r="S281" i="3" s="1"/>
  <c r="AB281" i="3"/>
  <c r="P577" i="3"/>
  <c r="S577" i="3" s="1"/>
  <c r="Q577" i="3"/>
  <c r="AB577" i="3"/>
  <c r="Q385" i="3"/>
  <c r="P385" i="3"/>
  <c r="AB385" i="3"/>
  <c r="P362" i="3"/>
  <c r="AB362" i="3"/>
  <c r="Q362" i="3"/>
  <c r="AB602" i="3"/>
  <c r="P602" i="3"/>
  <c r="Q602" i="3"/>
  <c r="Q649" i="3"/>
  <c r="P649" i="3"/>
  <c r="S649" i="3" s="1"/>
  <c r="AB649" i="3"/>
  <c r="AB322" i="3"/>
  <c r="Q322" i="3"/>
  <c r="P322" i="3"/>
  <c r="P644" i="3"/>
  <c r="S644" i="3" s="1"/>
  <c r="Q644" i="3"/>
  <c r="AB644" i="3"/>
  <c r="P524" i="3"/>
  <c r="S524" i="3" s="1"/>
  <c r="Q524" i="3"/>
  <c r="AB524" i="3"/>
  <c r="Q590" i="3"/>
  <c r="P590" i="3"/>
  <c r="S590" i="3" s="1"/>
  <c r="AB590" i="3"/>
  <c r="AB768" i="3"/>
  <c r="P768" i="3"/>
  <c r="Q768" i="3"/>
  <c r="Q651" i="3"/>
  <c r="P651" i="3"/>
  <c r="S651" i="3" s="1"/>
  <c r="AB651" i="3"/>
  <c r="Q584" i="3"/>
  <c r="AB584" i="3"/>
  <c r="P584" i="3"/>
  <c r="S584" i="3" s="1"/>
  <c r="R544" i="3" a="1"/>
  <c r="R544" i="3" s="1"/>
  <c r="AB638" i="3"/>
  <c r="Q638" i="3"/>
  <c r="P638" i="3"/>
  <c r="S638" i="3" s="1"/>
  <c r="K119" i="11"/>
  <c r="Q330" i="3"/>
  <c r="AB330" i="3"/>
  <c r="P330" i="3"/>
  <c r="S330" i="3" s="1"/>
  <c r="R531" i="3" a="1"/>
  <c r="R531" i="3" s="1"/>
  <c r="P39" i="3"/>
  <c r="AB39" i="3"/>
  <c r="Q39" i="3"/>
  <c r="R136" i="3" a="1"/>
  <c r="R136" i="3" s="1"/>
  <c r="AB486" i="3"/>
  <c r="Q486" i="3"/>
  <c r="P486" i="3"/>
  <c r="D14" i="6"/>
  <c r="E14" i="6" s="1"/>
  <c r="R384" i="3" a="1"/>
  <c r="R384" i="3" s="1"/>
  <c r="P595" i="3"/>
  <c r="AB595" i="3"/>
  <c r="Q595" i="3"/>
  <c r="P403" i="3"/>
  <c r="Q403" i="3"/>
  <c r="AB403" i="3"/>
  <c r="R113" i="3" a="1"/>
  <c r="R113" i="3" s="1"/>
  <c r="Q223" i="3"/>
  <c r="P223" i="3"/>
  <c r="S223" i="3" s="1"/>
  <c r="AB223" i="3"/>
  <c r="AB466" i="3"/>
  <c r="Q466" i="3"/>
  <c r="P466" i="3"/>
  <c r="S466" i="3" s="1"/>
  <c r="P189" i="3"/>
  <c r="S189" i="3" s="1"/>
  <c r="Q189" i="3"/>
  <c r="AB189" i="3"/>
  <c r="AC183" i="3"/>
  <c r="AA183" i="3"/>
  <c r="AD449" i="3"/>
  <c r="AE449" i="3"/>
  <c r="Q63" i="3"/>
  <c r="P63" i="3"/>
  <c r="S63" i="3" s="1"/>
  <c r="AB63" i="3"/>
  <c r="AC95" i="3"/>
  <c r="AA95" i="3"/>
  <c r="L104" i="1"/>
  <c r="S104" i="1"/>
  <c r="E351" i="3" a="1"/>
  <c r="E351" i="3" s="1"/>
  <c r="E83" i="3" a="1"/>
  <c r="E83" i="3" s="1"/>
  <c r="E441" i="3" a="1"/>
  <c r="E441" i="3" s="1"/>
  <c r="E14" i="3" a="1"/>
  <c r="E14" i="3" s="1"/>
  <c r="E281" i="3" a="1"/>
  <c r="E281" i="3" s="1"/>
  <c r="E673" i="3" a="1"/>
  <c r="E673" i="3" s="1"/>
  <c r="K145" i="11"/>
  <c r="S187" i="3"/>
  <c r="P70" i="3"/>
  <c r="AB70" i="3"/>
  <c r="Q70" i="3"/>
  <c r="Q258" i="3"/>
  <c r="P258" i="3"/>
  <c r="S258" i="3" s="1"/>
  <c r="AB258" i="3"/>
  <c r="AB90" i="3"/>
  <c r="Q90" i="3"/>
  <c r="P90" i="3"/>
  <c r="R9" i="3" a="1"/>
  <c r="R9" i="3" s="1"/>
  <c r="K121" i="11"/>
  <c r="R12" i="3" a="1"/>
  <c r="R12" i="3" s="1"/>
  <c r="D16" i="2" a="1"/>
  <c r="D16" i="2" s="1"/>
  <c r="AB228" i="3"/>
  <c r="Q228" i="3"/>
  <c r="P228" i="3"/>
  <c r="S228" i="3" s="1"/>
  <c r="AE455" i="3"/>
  <c r="AD455" i="3"/>
  <c r="Q206" i="3"/>
  <c r="AB206" i="3"/>
  <c r="P206" i="3"/>
  <c r="S206" i="3" s="1"/>
  <c r="Q101" i="3"/>
  <c r="P101" i="3"/>
  <c r="AB101" i="3"/>
  <c r="Q287" i="3"/>
  <c r="P287" i="3"/>
  <c r="AB287" i="3"/>
  <c r="S192" i="1"/>
  <c r="L192" i="1"/>
  <c r="L149" i="1"/>
  <c r="AE111" i="3"/>
  <c r="AD111" i="3"/>
  <c r="C99" i="1" a="1"/>
  <c r="C99" i="1" s="1"/>
  <c r="S147" i="3"/>
  <c r="S10" i="3"/>
  <c r="L160" i="1"/>
  <c r="D153" i="6"/>
  <c r="E153" i="6" s="1"/>
  <c r="AC430" i="3"/>
  <c r="AA430" i="3"/>
  <c r="AC210" i="3"/>
  <c r="AA210" i="3"/>
  <c r="AD28" i="3"/>
  <c r="AE28" i="3"/>
  <c r="AC7" i="3"/>
  <c r="AA7" i="3"/>
  <c r="L85" i="1"/>
  <c r="AC521" i="3"/>
  <c r="AA521" i="3"/>
  <c r="S582" i="3"/>
  <c r="AC227" i="3"/>
  <c r="AA227" i="3"/>
  <c r="P104" i="1" l="1"/>
  <c r="O104" i="1"/>
  <c r="T390" i="3"/>
  <c r="T565" i="3"/>
  <c r="AC653" i="3"/>
  <c r="AA653" i="3"/>
  <c r="T537" i="3"/>
  <c r="T97" i="3"/>
  <c r="AC597" i="3"/>
  <c r="AA597" i="3"/>
  <c r="P135" i="1"/>
  <c r="O135" i="1"/>
  <c r="T344" i="3"/>
  <c r="AC453" i="3"/>
  <c r="AA453" i="3"/>
  <c r="T315" i="3"/>
  <c r="T640" i="3"/>
  <c r="T41" i="3"/>
  <c r="T349" i="3"/>
  <c r="S401" i="3"/>
  <c r="T363" i="3"/>
  <c r="AC537" i="3"/>
  <c r="AA537" i="3"/>
  <c r="T597" i="3"/>
  <c r="AA549" i="3"/>
  <c r="AC549" i="3"/>
  <c r="AC611" i="3"/>
  <c r="AA611" i="3"/>
  <c r="AE300" i="3"/>
  <c r="AD300" i="3"/>
  <c r="T670" i="3"/>
  <c r="AC672" i="3"/>
  <c r="AA672" i="3"/>
  <c r="T223" i="3"/>
  <c r="T281" i="3"/>
  <c r="S645" i="3"/>
  <c r="AC54" i="3"/>
  <c r="AA54" i="3"/>
  <c r="AC342" i="3"/>
  <c r="AA342" i="3"/>
  <c r="T25" i="3"/>
  <c r="AA154" i="3"/>
  <c r="AC154" i="3"/>
  <c r="AD64" i="3"/>
  <c r="AE64" i="3"/>
  <c r="AC508" i="3"/>
  <c r="AA508" i="3"/>
  <c r="AC705" i="3"/>
  <c r="AA705" i="3"/>
  <c r="AC397" i="3"/>
  <c r="AA397" i="3"/>
  <c r="AC221" i="3"/>
  <c r="AA221" i="3"/>
  <c r="T559" i="3"/>
  <c r="T649" i="3"/>
  <c r="T508" i="3"/>
  <c r="AA691" i="3"/>
  <c r="AC691" i="3"/>
  <c r="AD331" i="3"/>
  <c r="AE331" i="3"/>
  <c r="T136" i="3"/>
  <c r="AA745" i="3"/>
  <c r="AC745" i="3"/>
  <c r="T282" i="3"/>
  <c r="AC84" i="3"/>
  <c r="AA84" i="3"/>
  <c r="T147" i="3"/>
  <c r="AC673" i="3"/>
  <c r="AA673" i="3"/>
  <c r="T792" i="3"/>
  <c r="AC151" i="3"/>
  <c r="AA151" i="3"/>
  <c r="AC676" i="3"/>
  <c r="AA676" i="3"/>
  <c r="AD308" i="3"/>
  <c r="AE308" i="3"/>
  <c r="S233" i="3"/>
  <c r="AC400" i="3"/>
  <c r="AA400" i="3"/>
  <c r="T115" i="3"/>
  <c r="T757" i="3"/>
  <c r="AA469" i="3"/>
  <c r="AC469" i="3"/>
  <c r="AA98" i="3"/>
  <c r="AC98" i="3"/>
  <c r="AA318" i="3"/>
  <c r="AC318" i="3"/>
  <c r="AA728" i="3"/>
  <c r="AC728" i="3"/>
  <c r="T423" i="3"/>
  <c r="T599" i="3"/>
  <c r="AC222" i="3"/>
  <c r="AA222" i="3"/>
  <c r="T554" i="3"/>
  <c r="AA136" i="3"/>
  <c r="AC136" i="3"/>
  <c r="AA328" i="3"/>
  <c r="AC328" i="3"/>
  <c r="AC334" i="3"/>
  <c r="AA334" i="3"/>
  <c r="S488" i="3"/>
  <c r="T187" i="3"/>
  <c r="S602" i="3"/>
  <c r="S364" i="3"/>
  <c r="S294" i="3"/>
  <c r="T285" i="3"/>
  <c r="AC621" i="3"/>
  <c r="AA621" i="3"/>
  <c r="AA599" i="3"/>
  <c r="AC599" i="3"/>
  <c r="T501" i="3"/>
  <c r="P189" i="1"/>
  <c r="O189" i="1"/>
  <c r="AC468" i="3"/>
  <c r="AA468" i="3"/>
  <c r="T141" i="3"/>
  <c r="S139" i="3"/>
  <c r="S534" i="3"/>
  <c r="T280" i="3"/>
  <c r="AC560" i="3"/>
  <c r="AA560" i="3"/>
  <c r="AC225" i="3"/>
  <c r="AA225" i="3"/>
  <c r="S558" i="3"/>
  <c r="S583" i="3"/>
  <c r="T338" i="3"/>
  <c r="AC791" i="3"/>
  <c r="AA791" i="3"/>
  <c r="S726" i="3"/>
  <c r="S541" i="3"/>
  <c r="T306" i="3"/>
  <c r="AE666" i="3"/>
  <c r="AD666" i="3"/>
  <c r="AA190" i="3"/>
  <c r="AC190" i="3"/>
  <c r="AD204" i="3"/>
  <c r="AE204" i="3"/>
  <c r="AC763" i="3"/>
  <c r="AA763" i="3"/>
  <c r="S439" i="3"/>
  <c r="AE105" i="3"/>
  <c r="AD105" i="3"/>
  <c r="S642" i="3"/>
  <c r="O46" i="1"/>
  <c r="P46" i="1"/>
  <c r="AA571" i="3"/>
  <c r="AC571" i="3"/>
  <c r="T545" i="3"/>
  <c r="AC217" i="3"/>
  <c r="AA217" i="3"/>
  <c r="T323" i="3"/>
  <c r="AC703" i="3"/>
  <c r="AA703" i="3"/>
  <c r="S407" i="3"/>
  <c r="AA487" i="3"/>
  <c r="AC487" i="3"/>
  <c r="T790" i="3"/>
  <c r="D790" i="3" a="1"/>
  <c r="D790" i="3" s="1"/>
  <c r="AC739" i="3"/>
  <c r="AA739" i="3"/>
  <c r="AC619" i="3"/>
  <c r="AA619" i="3"/>
  <c r="S112" i="3"/>
  <c r="AC784" i="3"/>
  <c r="AA784" i="3"/>
  <c r="AC121" i="3"/>
  <c r="AA121" i="3"/>
  <c r="S497" i="3"/>
  <c r="S671" i="3"/>
  <c r="T66" i="3"/>
  <c r="T616" i="3"/>
  <c r="T481" i="3"/>
  <c r="AC133" i="3"/>
  <c r="AA133" i="3"/>
  <c r="T776" i="3"/>
  <c r="AC509" i="3"/>
  <c r="AA509" i="3"/>
  <c r="AC419" i="3"/>
  <c r="AA419" i="3"/>
  <c r="AC460" i="3"/>
  <c r="AA460" i="3"/>
  <c r="AC279" i="3"/>
  <c r="AA279" i="3"/>
  <c r="AC166" i="3"/>
  <c r="AA166" i="3"/>
  <c r="AC439" i="3"/>
  <c r="AA439" i="3"/>
  <c r="AC296" i="3"/>
  <c r="AA296" i="3"/>
  <c r="AC735" i="3"/>
  <c r="AA735" i="3"/>
  <c r="T103" i="3"/>
  <c r="T324" i="3"/>
  <c r="AC444" i="3"/>
  <c r="AA444" i="3"/>
  <c r="T454" i="3"/>
  <c r="AD174" i="3"/>
  <c r="AE174" i="3"/>
  <c r="T28" i="3"/>
  <c r="T569" i="3"/>
  <c r="T586" i="3"/>
  <c r="AC743" i="3"/>
  <c r="AA743" i="3"/>
  <c r="T270" i="3"/>
  <c r="AC371" i="3"/>
  <c r="AA371" i="3"/>
  <c r="AC596" i="3"/>
  <c r="AA596" i="3"/>
  <c r="T17" i="3"/>
  <c r="T268" i="3"/>
  <c r="AC501" i="3"/>
  <c r="AA501" i="3"/>
  <c r="AC269" i="3"/>
  <c r="AA269" i="3"/>
  <c r="AA422" i="3"/>
  <c r="AC422" i="3"/>
  <c r="S86" i="3"/>
  <c r="T503" i="3"/>
  <c r="AA140" i="3"/>
  <c r="AC140" i="3"/>
  <c r="AC769" i="3"/>
  <c r="AA769" i="3"/>
  <c r="AC106" i="3"/>
  <c r="AA106" i="3"/>
  <c r="S738" i="3"/>
  <c r="T274" i="3"/>
  <c r="AC642" i="3"/>
  <c r="AA642" i="3"/>
  <c r="T504" i="3"/>
  <c r="S680" i="3"/>
  <c r="AC340" i="3"/>
  <c r="AA340" i="3"/>
  <c r="AC275" i="3"/>
  <c r="AA275" i="3"/>
  <c r="T502" i="3"/>
  <c r="T532" i="3"/>
  <c r="S610" i="3"/>
  <c r="AC656" i="3"/>
  <c r="AA656" i="3"/>
  <c r="AE448" i="3"/>
  <c r="AD448" i="3"/>
  <c r="AE408" i="3"/>
  <c r="AD408" i="3"/>
  <c r="T135" i="3"/>
  <c r="S217" i="3"/>
  <c r="AA316" i="3"/>
  <c r="AC316" i="3"/>
  <c r="T252" i="3"/>
  <c r="T703" i="3"/>
  <c r="AC613" i="3"/>
  <c r="AA613" i="3"/>
  <c r="AC20" i="3"/>
  <c r="AA20" i="3"/>
  <c r="AC332" i="3"/>
  <c r="AA332" i="3"/>
  <c r="T440" i="3"/>
  <c r="AD48" i="3"/>
  <c r="AE48" i="3"/>
  <c r="S81" i="3"/>
  <c r="AC109" i="3"/>
  <c r="AA109" i="3"/>
  <c r="AC244" i="3"/>
  <c r="AA244" i="3"/>
  <c r="AC544" i="3"/>
  <c r="AA544" i="3"/>
  <c r="T452" i="3"/>
  <c r="S348" i="3"/>
  <c r="T762" i="3"/>
  <c r="P121" i="1"/>
  <c r="O121" i="1"/>
  <c r="S575" i="3"/>
  <c r="S712" i="3"/>
  <c r="S291" i="3"/>
  <c r="AC751" i="3"/>
  <c r="AA751" i="3"/>
  <c r="S487" i="3"/>
  <c r="S661" i="3"/>
  <c r="S163" i="3"/>
  <c r="AC414" i="3"/>
  <c r="AA414" i="3"/>
  <c r="P164" i="1"/>
  <c r="O164" i="1"/>
  <c r="S201" i="3"/>
  <c r="AC658" i="3"/>
  <c r="AA658" i="3"/>
  <c r="S662" i="3"/>
  <c r="AA579" i="3"/>
  <c r="AC579" i="3"/>
  <c r="T261" i="3"/>
  <c r="T540" i="3"/>
  <c r="AA248" i="3"/>
  <c r="AC248" i="3"/>
  <c r="T450" i="3"/>
  <c r="AE780" i="3"/>
  <c r="AD780" i="3"/>
  <c r="T659" i="3"/>
  <c r="AC463" i="3"/>
  <c r="AA463" i="3"/>
  <c r="P64" i="1"/>
  <c r="O64" i="1"/>
  <c r="O71" i="1"/>
  <c r="P71" i="1"/>
  <c r="T343" i="3"/>
  <c r="AC525" i="3"/>
  <c r="AA525" i="3"/>
  <c r="T626" i="3"/>
  <c r="T35" i="3"/>
  <c r="AC230" i="3"/>
  <c r="AA230" i="3"/>
  <c r="T702" i="3"/>
  <c r="T378" i="3"/>
  <c r="T794" i="3"/>
  <c r="D794" i="3" a="1"/>
  <c r="D794" i="3" s="1"/>
  <c r="T202" i="3"/>
  <c r="T247" i="3"/>
  <c r="T567" i="3"/>
  <c r="T379" i="3"/>
  <c r="AC765" i="3"/>
  <c r="AA765" i="3"/>
  <c r="AC212" i="3"/>
  <c r="AA212" i="3"/>
  <c r="AA778" i="3"/>
  <c r="AC778" i="3"/>
  <c r="AC580" i="3"/>
  <c r="AA580" i="3"/>
  <c r="T572" i="3"/>
  <c r="AA19" i="3"/>
  <c r="AC19" i="3"/>
  <c r="AC767" i="3"/>
  <c r="AA767" i="3"/>
  <c r="S657" i="3"/>
  <c r="T475" i="3"/>
  <c r="T758" i="3"/>
  <c r="T723" i="3"/>
  <c r="AA783" i="3"/>
  <c r="AC783" i="3"/>
  <c r="AC167" i="3"/>
  <c r="AA167" i="3"/>
  <c r="T346" i="3"/>
  <c r="AA9" i="3"/>
  <c r="AC9" i="3"/>
  <c r="S421" i="3"/>
  <c r="T765" i="3"/>
  <c r="AA733" i="3"/>
  <c r="AC733" i="3"/>
  <c r="T146" i="3"/>
  <c r="AC117" i="3"/>
  <c r="AA117" i="3"/>
  <c r="T260" i="3"/>
  <c r="AC137" i="3"/>
  <c r="AA137" i="3"/>
  <c r="AA313" i="3"/>
  <c r="AC313" i="3"/>
  <c r="T10" i="3"/>
  <c r="S39" i="3"/>
  <c r="T68" i="3"/>
  <c r="AC505" i="3"/>
  <c r="AA505" i="3"/>
  <c r="AA760" i="3"/>
  <c r="AC760" i="3"/>
  <c r="T29" i="3"/>
  <c r="AA479" i="3"/>
  <c r="AC479" i="3"/>
  <c r="AC380" i="3"/>
  <c r="AA380" i="3"/>
  <c r="T705" i="3"/>
  <c r="T117" i="3"/>
  <c r="AC412" i="3"/>
  <c r="AA412" i="3"/>
  <c r="AC405" i="3"/>
  <c r="AA405" i="3"/>
  <c r="AC260" i="3"/>
  <c r="AA260" i="3"/>
  <c r="S221" i="3"/>
  <c r="AE321" i="3"/>
  <c r="AD321" i="3"/>
  <c r="AA6" i="3"/>
  <c r="AC6" i="3"/>
  <c r="AC409" i="3"/>
  <c r="AA409" i="3"/>
  <c r="S18" i="3"/>
  <c r="AE257" i="3"/>
  <c r="AD257" i="3"/>
  <c r="AA298" i="3"/>
  <c r="AC298" i="3"/>
  <c r="S342" i="3"/>
  <c r="AA25" i="3"/>
  <c r="AC25" i="3"/>
  <c r="AA249" i="3"/>
  <c r="AC249" i="3"/>
  <c r="AC759" i="3"/>
  <c r="AA759" i="3"/>
  <c r="S173" i="3"/>
  <c r="AA554" i="3"/>
  <c r="AC554" i="3"/>
  <c r="AC766" i="3"/>
  <c r="AA766" i="3"/>
  <c r="S70" i="3"/>
  <c r="AC403" i="3"/>
  <c r="AA403" i="3"/>
  <c r="AA768" i="3"/>
  <c r="AC768" i="3"/>
  <c r="T292" i="3"/>
  <c r="T310" i="3"/>
  <c r="AC609" i="3"/>
  <c r="AA609" i="3"/>
  <c r="AC96" i="3"/>
  <c r="AA96" i="3"/>
  <c r="AC294" i="3"/>
  <c r="AA294" i="3"/>
  <c r="AA320" i="3"/>
  <c r="AC320" i="3"/>
  <c r="AD607" i="3"/>
  <c r="AE607" i="3"/>
  <c r="S553" i="3"/>
  <c r="T27" i="3"/>
  <c r="P32" i="1"/>
  <c r="O32" i="1"/>
  <c r="AA506" i="3"/>
  <c r="AC506" i="3"/>
  <c r="AA286" i="3"/>
  <c r="AC286" i="3"/>
  <c r="AC601" i="3"/>
  <c r="AA601" i="3"/>
  <c r="AE58" i="3"/>
  <c r="AD58" i="3"/>
  <c r="AC575" i="3"/>
  <c r="AA575" i="3"/>
  <c r="AA27" i="3"/>
  <c r="AC27" i="3"/>
  <c r="AA552" i="3"/>
  <c r="AC552" i="3"/>
  <c r="T290" i="3"/>
  <c r="AA388" i="3"/>
  <c r="AC388" i="3"/>
  <c r="AA478" i="3"/>
  <c r="AC478" i="3"/>
  <c r="S477" i="3"/>
  <c r="AA690" i="3"/>
  <c r="AC690" i="3"/>
  <c r="AA550" i="3"/>
  <c r="AC550" i="3"/>
  <c r="S375" i="3"/>
  <c r="AA682" i="3"/>
  <c r="AC682" i="3"/>
  <c r="AC569" i="3"/>
  <c r="AA569" i="3"/>
  <c r="T131" i="3"/>
  <c r="AC139" i="3"/>
  <c r="AA139" i="3"/>
  <c r="S225" i="3"/>
  <c r="S399" i="3"/>
  <c r="AA610" i="3"/>
  <c r="AC610" i="3"/>
  <c r="AA558" i="3"/>
  <c r="AC558" i="3"/>
  <c r="T727" i="3"/>
  <c r="T478" i="3"/>
  <c r="AC477" i="3"/>
  <c r="AA477" i="3"/>
  <c r="AC163" i="3"/>
  <c r="AA163" i="3"/>
  <c r="T690" i="3"/>
  <c r="P85" i="1"/>
  <c r="O85" i="1"/>
  <c r="P149" i="1"/>
  <c r="O149" i="1"/>
  <c r="AA228" i="3"/>
  <c r="AC228" i="3"/>
  <c r="P192" i="1"/>
  <c r="O192" i="1"/>
  <c r="AA595" i="3"/>
  <c r="AC595" i="3"/>
  <c r="T638" i="3"/>
  <c r="AA524" i="3"/>
  <c r="AC524" i="3"/>
  <c r="AC362" i="3"/>
  <c r="AA362" i="3"/>
  <c r="T739" i="3"/>
  <c r="S619" i="3"/>
  <c r="AE170" i="3"/>
  <c r="AD170" i="3"/>
  <c r="S784" i="3"/>
  <c r="S121" i="3"/>
  <c r="AA306" i="3"/>
  <c r="AC306" i="3"/>
  <c r="AA66" i="3"/>
  <c r="AC66" i="3"/>
  <c r="AA687" i="3"/>
  <c r="AC687" i="3"/>
  <c r="AE94" i="3"/>
  <c r="AD94" i="3"/>
  <c r="T133" i="3"/>
  <c r="AC522" i="3"/>
  <c r="AA522" i="3"/>
  <c r="S509" i="3"/>
  <c r="T419" i="3"/>
  <c r="AA688" i="3"/>
  <c r="AC688" i="3"/>
  <c r="S279" i="3"/>
  <c r="S166" i="3"/>
  <c r="AA442" i="3"/>
  <c r="AC442" i="3"/>
  <c r="S296" i="3"/>
  <c r="S2" i="3"/>
  <c r="S663" i="3"/>
  <c r="AD301" i="3"/>
  <c r="AE301" i="3"/>
  <c r="AC114" i="3"/>
  <c r="AA114" i="3"/>
  <c r="T752" i="3"/>
  <c r="T303" i="3"/>
  <c r="AA749" i="3"/>
  <c r="AC749" i="3"/>
  <c r="AC270" i="3"/>
  <c r="AA270" i="3"/>
  <c r="S371" i="3"/>
  <c r="AA185" i="3"/>
  <c r="AC185" i="3"/>
  <c r="AC302" i="3"/>
  <c r="AA302" i="3"/>
  <c r="S606" i="3"/>
  <c r="AA268" i="3"/>
  <c r="AC268" i="3"/>
  <c r="AA87" i="3"/>
  <c r="AC87" i="3"/>
  <c r="AC131" i="3"/>
  <c r="AA131" i="3"/>
  <c r="AA113" i="3"/>
  <c r="AC113" i="3"/>
  <c r="S422" i="3"/>
  <c r="AC99" i="3"/>
  <c r="AA99" i="3"/>
  <c r="AE162" i="3"/>
  <c r="AD162" i="3"/>
  <c r="AC67" i="3"/>
  <c r="AA67" i="3"/>
  <c r="S140" i="3"/>
  <c r="S593" i="3"/>
  <c r="S769" i="3"/>
  <c r="S106" i="3"/>
  <c r="S563" i="3"/>
  <c r="AC738" i="3"/>
  <c r="AA738" i="3"/>
  <c r="AC350" i="3"/>
  <c r="AA350" i="3"/>
  <c r="AC200" i="3"/>
  <c r="AA200" i="3"/>
  <c r="AC754" i="3"/>
  <c r="AA754" i="3"/>
  <c r="T259" i="3"/>
  <c r="AC229" i="3"/>
  <c r="AA229" i="3"/>
  <c r="T746" i="3"/>
  <c r="AC502" i="3"/>
  <c r="AA502" i="3"/>
  <c r="AC533" i="3"/>
  <c r="AA533" i="3"/>
  <c r="S656" i="3"/>
  <c r="T376" i="3"/>
  <c r="T561" i="3"/>
  <c r="AC482" i="3"/>
  <c r="AA482" i="3"/>
  <c r="AC512" i="3"/>
  <c r="AA512" i="3"/>
  <c r="S513" i="3"/>
  <c r="AC496" i="3"/>
  <c r="AA496" i="3"/>
  <c r="S394" i="3"/>
  <c r="AC576" i="3"/>
  <c r="AA576" i="3"/>
  <c r="T613" i="3"/>
  <c r="T20" i="3"/>
  <c r="AC365" i="3"/>
  <c r="AA365" i="3"/>
  <c r="AC23" i="3"/>
  <c r="AA23" i="3"/>
  <c r="S109" i="3"/>
  <c r="AE51" i="3"/>
  <c r="AD51" i="3"/>
  <c r="S519" i="3"/>
  <c r="T544" i="3"/>
  <c r="AA134" i="3"/>
  <c r="AC134" i="3"/>
  <c r="AA694" i="3"/>
  <c r="AC694" i="3"/>
  <c r="S304" i="3"/>
  <c r="T490" i="3"/>
  <c r="AA727" i="3"/>
  <c r="AC727" i="3"/>
  <c r="AC243" i="3"/>
  <c r="AA243" i="3"/>
  <c r="AA108" i="3"/>
  <c r="AC108" i="3"/>
  <c r="AC476" i="3"/>
  <c r="AA476" i="3"/>
  <c r="AE14" i="3"/>
  <c r="AD14" i="3"/>
  <c r="AC434" i="3"/>
  <c r="AA434" i="3"/>
  <c r="AC457" i="3"/>
  <c r="AA457" i="3"/>
  <c r="T132" i="3"/>
  <c r="S267" i="3"/>
  <c r="AC665" i="3"/>
  <c r="AA665" i="3"/>
  <c r="S278" i="3"/>
  <c r="S414" i="3"/>
  <c r="AA683" i="3"/>
  <c r="AC683" i="3"/>
  <c r="T177" i="3"/>
  <c r="T427" i="3"/>
  <c r="T789" i="3"/>
  <c r="T317" i="3"/>
  <c r="S658" i="3"/>
  <c r="AC435" i="3"/>
  <c r="AA435" i="3"/>
  <c r="AA384" i="3"/>
  <c r="AC384" i="3"/>
  <c r="AE430" i="3"/>
  <c r="AD430" i="3"/>
  <c r="AC699" i="3"/>
  <c r="AA699" i="3"/>
  <c r="AC363" i="3"/>
  <c r="AA363" i="3"/>
  <c r="AA128" i="3"/>
  <c r="AC128" i="3"/>
  <c r="AE78" i="3"/>
  <c r="AD78" i="3"/>
  <c r="T154" i="3"/>
  <c r="AC475" i="3"/>
  <c r="AA475" i="3"/>
  <c r="T770" i="3"/>
  <c r="AC758" i="3"/>
  <c r="AA758" i="3"/>
  <c r="AC36" i="3"/>
  <c r="AA36" i="3"/>
  <c r="AA700" i="3"/>
  <c r="AC700" i="3"/>
  <c r="T122" i="3"/>
  <c r="T666" i="3"/>
  <c r="T325" i="3"/>
  <c r="AC431" i="3"/>
  <c r="AA431" i="3"/>
  <c r="AC416" i="3"/>
  <c r="AA416" i="3"/>
  <c r="T677" i="3"/>
  <c r="AC548" i="3"/>
  <c r="AA548" i="3"/>
  <c r="AC670" i="3"/>
  <c r="AA670" i="3"/>
  <c r="T716" i="3"/>
  <c r="T535" i="3"/>
  <c r="AC127" i="3"/>
  <c r="AA127" i="3"/>
  <c r="T337" i="3"/>
  <c r="T206" i="3"/>
  <c r="AA322" i="3"/>
  <c r="AC322" i="3"/>
  <c r="AA389" i="3"/>
  <c r="AC389" i="3"/>
  <c r="S352" i="3"/>
  <c r="AC472" i="3"/>
  <c r="AA472" i="3"/>
  <c r="T234" i="3"/>
  <c r="T230" i="3"/>
  <c r="T548" i="3"/>
  <c r="AC615" i="3"/>
  <c r="AA615" i="3"/>
  <c r="AC794" i="3"/>
  <c r="AA794" i="3"/>
  <c r="T629" i="3"/>
  <c r="AC361" i="3"/>
  <c r="AA361" i="3"/>
  <c r="T741" i="3"/>
  <c r="AC396" i="3"/>
  <c r="AA396" i="3"/>
  <c r="AA29" i="3"/>
  <c r="AC29" i="3"/>
  <c r="T119" i="3"/>
  <c r="P156" i="1"/>
  <c r="O156" i="1"/>
  <c r="AA626" i="3"/>
  <c r="AC626" i="3"/>
  <c r="AC736" i="3"/>
  <c r="AA736" i="3"/>
  <c r="AC465" i="3"/>
  <c r="AA465" i="3"/>
  <c r="AA451" i="3"/>
  <c r="AC451" i="3"/>
  <c r="T355" i="3"/>
  <c r="AA535" i="3"/>
  <c r="AC535" i="3"/>
  <c r="S672" i="3"/>
  <c r="T12" i="3"/>
  <c r="S102" i="3"/>
  <c r="AA568" i="3"/>
  <c r="AC568" i="3"/>
  <c r="AD147" i="3"/>
  <c r="AE147" i="3"/>
  <c r="AA604" i="3"/>
  <c r="AC604" i="3"/>
  <c r="AC100" i="3"/>
  <c r="AA100" i="3"/>
  <c r="AC779" i="3"/>
  <c r="AA779" i="3"/>
  <c r="T305" i="3"/>
  <c r="T137" i="3"/>
  <c r="S239" i="3"/>
  <c r="AA635" i="3"/>
  <c r="AC635" i="3"/>
  <c r="T588" i="3"/>
  <c r="S768" i="3"/>
  <c r="T111" i="3"/>
  <c r="AC632" i="3"/>
  <c r="AA632" i="3"/>
  <c r="AC709" i="3"/>
  <c r="AA709" i="3"/>
  <c r="P157" i="1"/>
  <c r="O157" i="1"/>
  <c r="T211" i="3"/>
  <c r="T357" i="3"/>
  <c r="S397" i="3"/>
  <c r="S412" i="3"/>
  <c r="S405" i="3"/>
  <c r="AC184" i="3"/>
  <c r="AA184" i="3"/>
  <c r="AA18" i="3"/>
  <c r="AC18" i="3"/>
  <c r="T388" i="3"/>
  <c r="AA764" i="3"/>
  <c r="AC764" i="3"/>
  <c r="T63" i="3"/>
  <c r="T330" i="3"/>
  <c r="T71" i="3"/>
  <c r="S674" i="3"/>
  <c r="AC547" i="3"/>
  <c r="AA547" i="3"/>
  <c r="AA424" i="3"/>
  <c r="AC424" i="3"/>
  <c r="T286" i="3"/>
  <c r="AC639" i="3"/>
  <c r="AA639" i="3"/>
  <c r="AA578" i="3"/>
  <c r="AC578" i="3"/>
  <c r="S409" i="3"/>
  <c r="AC722" i="3"/>
  <c r="AA722" i="3"/>
  <c r="T85" i="3"/>
  <c r="AC231" i="3"/>
  <c r="AA231" i="3"/>
  <c r="T547" i="3"/>
  <c r="T222" i="3"/>
  <c r="T288" i="3"/>
  <c r="S417" i="3"/>
  <c r="T332" i="3"/>
  <c r="T443" i="3"/>
  <c r="T734" i="3"/>
  <c r="S171" i="3"/>
  <c r="AC516" i="3"/>
  <c r="AA516" i="3"/>
  <c r="T460" i="3"/>
  <c r="T263" i="3"/>
  <c r="T179" i="3"/>
  <c r="T512" i="3"/>
  <c r="AC452" i="3"/>
  <c r="AA452" i="3"/>
  <c r="AC762" i="3"/>
  <c r="AA762" i="3"/>
  <c r="AC712" i="3"/>
  <c r="AA712" i="3"/>
  <c r="AA290" i="3"/>
  <c r="AC290" i="3"/>
  <c r="O75" i="1"/>
  <c r="P75" i="1"/>
  <c r="AC171" i="3"/>
  <c r="AA171" i="3"/>
  <c r="AC201" i="3"/>
  <c r="AA201" i="3"/>
  <c r="AD7" i="3"/>
  <c r="AE7" i="3"/>
  <c r="AE183" i="3"/>
  <c r="AD183" i="3"/>
  <c r="S595" i="3"/>
  <c r="S362" i="3"/>
  <c r="AC711" i="3"/>
  <c r="AA711" i="3"/>
  <c r="AC678" i="3"/>
  <c r="AA678" i="3"/>
  <c r="AA730" i="3"/>
  <c r="AC730" i="3"/>
  <c r="AC616" i="3"/>
  <c r="AA616" i="3"/>
  <c r="P100" i="1"/>
  <c r="O100" i="1"/>
  <c r="AC481" i="3"/>
  <c r="AA481" i="3"/>
  <c r="O118" i="1"/>
  <c r="P118" i="1"/>
  <c r="AA776" i="3"/>
  <c r="AC776" i="3"/>
  <c r="S522" i="3"/>
  <c r="AC351" i="3"/>
  <c r="AA351" i="3"/>
  <c r="AC724" i="3"/>
  <c r="AA724" i="3"/>
  <c r="AC80" i="3"/>
  <c r="AA80" i="3"/>
  <c r="P167" i="1"/>
  <c r="O167" i="1"/>
  <c r="AC250" i="3"/>
  <c r="AA250" i="3"/>
  <c r="T489" i="3"/>
  <c r="AA103" i="3"/>
  <c r="AC103" i="3"/>
  <c r="T444" i="3"/>
  <c r="S114" i="3"/>
  <c r="AA220" i="3"/>
  <c r="AC220" i="3"/>
  <c r="AC586" i="3"/>
  <c r="AA586" i="3"/>
  <c r="S749" i="3"/>
  <c r="AC774" i="3"/>
  <c r="AA774" i="3"/>
  <c r="S185" i="3"/>
  <c r="AC606" i="3"/>
  <c r="AA606" i="3"/>
  <c r="AA17" i="3"/>
  <c r="AC17" i="3"/>
  <c r="S113" i="3"/>
  <c r="S269" i="3"/>
  <c r="AC725" i="3"/>
  <c r="AA725" i="3"/>
  <c r="AC8" i="3"/>
  <c r="AA8" i="3"/>
  <c r="S99" i="3"/>
  <c r="AC271" i="3"/>
  <c r="AA271" i="3"/>
  <c r="S67" i="3"/>
  <c r="AE433" i="3"/>
  <c r="AD433" i="3"/>
  <c r="AC500" i="3"/>
  <c r="AA500" i="3"/>
  <c r="AC274" i="3"/>
  <c r="AA274" i="3"/>
  <c r="S350" i="3"/>
  <c r="S706" i="3"/>
  <c r="S200" i="3"/>
  <c r="S754" i="3"/>
  <c r="S704" i="3"/>
  <c r="S340" i="3"/>
  <c r="S309" i="3"/>
  <c r="S229" i="3"/>
  <c r="AC532" i="3"/>
  <c r="AA532" i="3"/>
  <c r="S533" i="3"/>
  <c r="AC717" i="3"/>
  <c r="AA717" i="3"/>
  <c r="AE146" i="3"/>
  <c r="AD146" i="3"/>
  <c r="P14" i="1"/>
  <c r="O14" i="1"/>
  <c r="AC135" i="3"/>
  <c r="AA135" i="3"/>
  <c r="S482" i="3"/>
  <c r="S507" i="3"/>
  <c r="S314" i="3"/>
  <c r="S496" i="3"/>
  <c r="AA265" i="3"/>
  <c r="AC265" i="3"/>
  <c r="T241" i="3"/>
  <c r="AC252" i="3"/>
  <c r="AA252" i="3"/>
  <c r="S576" i="3"/>
  <c r="S23" i="3"/>
  <c r="S473" i="3"/>
  <c r="S740" i="3"/>
  <c r="S564" i="3"/>
  <c r="AC519" i="3"/>
  <c r="AA519" i="3"/>
  <c r="S38" i="3"/>
  <c r="S134" i="3"/>
  <c r="S467" i="3"/>
  <c r="AC242" i="3"/>
  <c r="AA242" i="3"/>
  <c r="AA304" i="3"/>
  <c r="AC304" i="3"/>
  <c r="AC701" i="3"/>
  <c r="AA701" i="3"/>
  <c r="S243" i="3"/>
  <c r="S108" i="3"/>
  <c r="S618" i="3"/>
  <c r="S476" i="3"/>
  <c r="T434" i="3"/>
  <c r="AA267" i="3"/>
  <c r="AC267" i="3"/>
  <c r="P61" i="1"/>
  <c r="O61" i="1"/>
  <c r="AC664" i="3"/>
  <c r="AA664" i="3"/>
  <c r="AE259" i="3"/>
  <c r="AD259" i="3"/>
  <c r="T30" i="3"/>
  <c r="AC598" i="3"/>
  <c r="AA598" i="3"/>
  <c r="T308" i="3"/>
  <c r="AC278" i="3"/>
  <c r="AA278" i="3"/>
  <c r="AA474" i="3"/>
  <c r="AC474" i="3"/>
  <c r="S683" i="3"/>
  <c r="AA789" i="3"/>
  <c r="AC789" i="3"/>
  <c r="AA317" i="3"/>
  <c r="AC317" i="3"/>
  <c r="AC591" i="3"/>
  <c r="AA591" i="3"/>
  <c r="S435" i="3"/>
  <c r="T577" i="3"/>
  <c r="AC685" i="3"/>
  <c r="AA685" i="3"/>
  <c r="AC650" i="3"/>
  <c r="AA650" i="3"/>
  <c r="AC669" i="3"/>
  <c r="AA669" i="3"/>
  <c r="AC528" i="3"/>
  <c r="AA528" i="3"/>
  <c r="T273" i="3"/>
  <c r="T643" i="3"/>
  <c r="T196" i="3"/>
  <c r="AC675" i="3"/>
  <c r="AA675" i="3"/>
  <c r="P72" i="1"/>
  <c r="O72" i="1"/>
  <c r="AC370" i="3"/>
  <c r="AA370" i="3"/>
  <c r="T685" i="3"/>
  <c r="T699" i="3"/>
  <c r="T760" i="3"/>
  <c r="AA360" i="3"/>
  <c r="AC360" i="3"/>
  <c r="S395" i="3"/>
  <c r="T370" i="3"/>
  <c r="AC206" i="3"/>
  <c r="AA206" i="3"/>
  <c r="AA39" i="3"/>
  <c r="AC39" i="3"/>
  <c r="AC649" i="3"/>
  <c r="AA649" i="3"/>
  <c r="AC68" i="3"/>
  <c r="AA68" i="3"/>
  <c r="AA562" i="3"/>
  <c r="AC562" i="3"/>
  <c r="S32" i="3"/>
  <c r="S393" i="3"/>
  <c r="T389" i="3"/>
  <c r="AC366" i="3"/>
  <c r="AA366" i="3"/>
  <c r="S604" i="3"/>
  <c r="T515" i="3"/>
  <c r="T611" i="3"/>
  <c r="T570" i="3"/>
  <c r="AC295" i="3"/>
  <c r="AA295" i="3"/>
  <c r="T529" i="3"/>
  <c r="T264" i="3"/>
  <c r="AC37" i="3"/>
  <c r="AA37" i="3"/>
  <c r="T566" i="3"/>
  <c r="T361" i="3"/>
  <c r="AC782" i="3"/>
  <c r="AA782" i="3"/>
  <c r="AA149" i="3"/>
  <c r="AC149" i="3"/>
  <c r="AA120" i="3"/>
  <c r="AC120" i="3"/>
  <c r="AC168" i="3"/>
  <c r="AA168" i="3"/>
  <c r="T465" i="3"/>
  <c r="T334" i="3"/>
  <c r="O185" i="1"/>
  <c r="P185" i="1"/>
  <c r="AC63" i="3"/>
  <c r="AA63" i="3"/>
  <c r="S505" i="3"/>
  <c r="S37" i="3"/>
  <c r="AA124" i="3"/>
  <c r="AC124" i="3"/>
  <c r="AC233" i="3"/>
  <c r="AA233" i="3"/>
  <c r="S276" i="3"/>
  <c r="AC710" i="3"/>
  <c r="AA710" i="3"/>
  <c r="AC182" i="3"/>
  <c r="AA182" i="3"/>
  <c r="T168" i="3"/>
  <c r="AC583" i="3"/>
  <c r="AA583" i="3"/>
  <c r="T333" i="3"/>
  <c r="AC697" i="3"/>
  <c r="AA697" i="3"/>
  <c r="S148" i="3"/>
  <c r="S425" i="3"/>
  <c r="AC404" i="3"/>
  <c r="AA404" i="3"/>
  <c r="AC553" i="3"/>
  <c r="AA553" i="3"/>
  <c r="T745" i="3"/>
  <c r="AC488" i="3"/>
  <c r="AA488" i="3"/>
  <c r="T84" i="3"/>
  <c r="T582" i="3"/>
  <c r="T620" i="3"/>
  <c r="T682" i="3"/>
  <c r="AC285" i="3"/>
  <c r="AA285" i="3"/>
  <c r="S681" i="3"/>
  <c r="T719" i="3"/>
  <c r="AC138" i="3"/>
  <c r="AA138" i="3"/>
  <c r="AC447" i="3"/>
  <c r="AA447" i="3"/>
  <c r="AC280" i="3"/>
  <c r="AA280" i="3"/>
  <c r="AC679" i="3"/>
  <c r="AA679" i="3"/>
  <c r="T560" i="3"/>
  <c r="AC356" i="3"/>
  <c r="AA356" i="3"/>
  <c r="AC646" i="3"/>
  <c r="AA646" i="3"/>
  <c r="AA333" i="3"/>
  <c r="AC333" i="3"/>
  <c r="AA623" i="3"/>
  <c r="AC623" i="3"/>
  <c r="T184" i="3"/>
  <c r="AC443" i="3"/>
  <c r="AA443" i="3"/>
  <c r="AC792" i="3"/>
  <c r="AA792" i="3"/>
  <c r="AA590" i="3"/>
  <c r="AC590" i="3"/>
  <c r="AA543" i="3"/>
  <c r="AC543" i="3"/>
  <c r="S542" i="3"/>
  <c r="S763" i="3"/>
  <c r="T418" i="3"/>
  <c r="AC254" i="3"/>
  <c r="AA254" i="3"/>
  <c r="T735" i="3"/>
  <c r="T275" i="3"/>
  <c r="AE556" i="3"/>
  <c r="AD556" i="3"/>
  <c r="AA323" i="3"/>
  <c r="AC323" i="3"/>
  <c r="AC291" i="3"/>
  <c r="AA291" i="3"/>
  <c r="AC661" i="3"/>
  <c r="AA661" i="3"/>
  <c r="AD346" i="3"/>
  <c r="AE346" i="3"/>
  <c r="AE470" i="3"/>
  <c r="AD470" i="3"/>
  <c r="S403" i="3"/>
  <c r="T590" i="3"/>
  <c r="AA602" i="3"/>
  <c r="AC602" i="3"/>
  <c r="AC292" i="3"/>
  <c r="AA292" i="3"/>
  <c r="AA112" i="3"/>
  <c r="AC112" i="3"/>
  <c r="AC663" i="3"/>
  <c r="AA663" i="3"/>
  <c r="AA454" i="3"/>
  <c r="AC454" i="3"/>
  <c r="T398" i="3"/>
  <c r="S596" i="3"/>
  <c r="AE438" i="3"/>
  <c r="AD438" i="3"/>
  <c r="AC539" i="3"/>
  <c r="AA539" i="3"/>
  <c r="T244" i="3"/>
  <c r="AE199" i="3"/>
  <c r="AD199" i="3"/>
  <c r="T552" i="3"/>
  <c r="T384" i="3"/>
  <c r="AC287" i="3"/>
  <c r="AA287" i="3"/>
  <c r="T524" i="3"/>
  <c r="AA385" i="3"/>
  <c r="AC385" i="3"/>
  <c r="AC157" i="3"/>
  <c r="AA157" i="3"/>
  <c r="T730" i="3"/>
  <c r="AC747" i="3"/>
  <c r="AA747" i="3"/>
  <c r="AC284" i="3"/>
  <c r="AA284" i="3"/>
  <c r="AD31" i="3"/>
  <c r="AE31" i="3"/>
  <c r="T22" i="3"/>
  <c r="T523" i="3"/>
  <c r="AC761" i="3"/>
  <c r="AA761" i="3"/>
  <c r="AC406" i="3"/>
  <c r="AA406" i="3"/>
  <c r="T724" i="3"/>
  <c r="T80" i="3"/>
  <c r="AA446" i="3"/>
  <c r="AC446" i="3"/>
  <c r="T250" i="3"/>
  <c r="T748" i="3"/>
  <c r="AA489" i="3"/>
  <c r="AC489" i="3"/>
  <c r="AC2" i="3"/>
  <c r="AA2" i="3"/>
  <c r="AA441" i="3"/>
  <c r="AC441" i="3"/>
  <c r="S188" i="3"/>
  <c r="AC721" i="3"/>
  <c r="AA721" i="3"/>
  <c r="AC178" i="3"/>
  <c r="AA178" i="3"/>
  <c r="T788" i="3"/>
  <c r="AE197" i="3"/>
  <c r="AD197" i="3"/>
  <c r="S220" i="3"/>
  <c r="S729" i="3"/>
  <c r="AA752" i="3"/>
  <c r="AC752" i="3"/>
  <c r="AC303" i="3"/>
  <c r="AA303" i="3"/>
  <c r="AC347" i="3"/>
  <c r="AA347" i="3"/>
  <c r="S238" i="3"/>
  <c r="S774" i="3"/>
  <c r="T302" i="3"/>
  <c r="T345" i="3"/>
  <c r="AA307" i="3"/>
  <c r="AC307" i="3"/>
  <c r="S725" i="3"/>
  <c r="S8" i="3"/>
  <c r="S271" i="3"/>
  <c r="O27" i="1"/>
  <c r="P27" i="1"/>
  <c r="AC4" i="3"/>
  <c r="AA4" i="3"/>
  <c r="AA593" i="3"/>
  <c r="AC593" i="3"/>
  <c r="S500" i="3"/>
  <c r="AA563" i="3"/>
  <c r="AC563" i="3"/>
  <c r="AC402" i="3"/>
  <c r="AA402" i="3"/>
  <c r="AC704" i="3"/>
  <c r="AA704" i="3"/>
  <c r="AC392" i="3"/>
  <c r="AA392" i="3"/>
  <c r="AA309" i="3"/>
  <c r="AC309" i="3"/>
  <c r="AC746" i="3"/>
  <c r="AA746" i="3"/>
  <c r="S33" i="3"/>
  <c r="O86" i="1"/>
  <c r="P86" i="1"/>
  <c r="S592" i="3"/>
  <c r="S717" i="3"/>
  <c r="AC608" i="3"/>
  <c r="AA608" i="3"/>
  <c r="AC376" i="3"/>
  <c r="AA376" i="3"/>
  <c r="S266" i="3"/>
  <c r="AC561" i="3"/>
  <c r="AA561" i="3"/>
  <c r="AA507" i="3"/>
  <c r="AC507" i="3"/>
  <c r="S265" i="3"/>
  <c r="AC637" i="3"/>
  <c r="AA637" i="3"/>
  <c r="T365" i="3"/>
  <c r="AC473" i="3"/>
  <c r="AA473" i="3"/>
  <c r="S594" i="3"/>
  <c r="AC564" i="3"/>
  <c r="AA564" i="3"/>
  <c r="AC429" i="3"/>
  <c r="AA429" i="3"/>
  <c r="AA38" i="3"/>
  <c r="AC38" i="3"/>
  <c r="S555" i="3"/>
  <c r="T694" i="3"/>
  <c r="S242" i="3"/>
  <c r="AA490" i="3"/>
  <c r="AC490" i="3"/>
  <c r="T701" i="3"/>
  <c r="T457" i="3"/>
  <c r="AA132" i="3"/>
  <c r="AC132" i="3"/>
  <c r="AC65" i="3"/>
  <c r="AA65" i="3"/>
  <c r="O182" i="1"/>
  <c r="P182" i="1"/>
  <c r="T664" i="3"/>
  <c r="T665" i="3"/>
  <c r="AC30" i="3"/>
  <c r="AA30" i="3"/>
  <c r="T598" i="3"/>
  <c r="T585" i="3"/>
  <c r="T474" i="3"/>
  <c r="AC373" i="3"/>
  <c r="AA373" i="3"/>
  <c r="AA427" i="3"/>
  <c r="AC427" i="3"/>
  <c r="AC627" i="3"/>
  <c r="AA627" i="3"/>
  <c r="AC655" i="3"/>
  <c r="AA655" i="3"/>
  <c r="T756" i="3"/>
  <c r="S130" i="3"/>
  <c r="AC277" i="3"/>
  <c r="AA277" i="3"/>
  <c r="AC32" i="3"/>
  <c r="AA32" i="3"/>
  <c r="AC603" i="3"/>
  <c r="AA603" i="3"/>
  <c r="T120" i="3"/>
  <c r="AE345" i="3"/>
  <c r="AD345" i="3"/>
  <c r="T36" i="3"/>
  <c r="AA640" i="3"/>
  <c r="AC640" i="3"/>
  <c r="AC262" i="3"/>
  <c r="AA262" i="3"/>
  <c r="S557" i="3"/>
  <c r="T718" i="3"/>
  <c r="AC165" i="3"/>
  <c r="AA165" i="3"/>
  <c r="AE76" i="3"/>
  <c r="AD76" i="3"/>
  <c r="AA264" i="3"/>
  <c r="AC264" i="3"/>
  <c r="AC110" i="3"/>
  <c r="AA110" i="3"/>
  <c r="AC566" i="3"/>
  <c r="AA566" i="3"/>
  <c r="T631" i="3"/>
  <c r="T212" i="3"/>
  <c r="T778" i="3"/>
  <c r="AE213" i="3"/>
  <c r="AD213" i="3"/>
  <c r="AC510" i="3"/>
  <c r="AA510" i="3"/>
  <c r="T381" i="3"/>
  <c r="T472" i="3"/>
  <c r="AA436" i="3"/>
  <c r="AC436" i="3"/>
  <c r="AC234" i="3"/>
  <c r="AA234" i="3"/>
  <c r="S167" i="3"/>
  <c r="AA420" i="3"/>
  <c r="AC420" i="3"/>
  <c r="S165" i="3"/>
  <c r="AC531" i="3"/>
  <c r="AA531" i="3"/>
  <c r="AA276" i="3"/>
  <c r="AC276" i="3"/>
  <c r="AA720" i="3"/>
  <c r="AC720" i="3"/>
  <c r="S277" i="3"/>
  <c r="AE255" i="3"/>
  <c r="AD255" i="3"/>
  <c r="S603" i="3"/>
  <c r="AC211" i="3"/>
  <c r="AA211" i="3"/>
  <c r="AA624" i="3"/>
  <c r="AC624" i="3"/>
  <c r="S549" i="3"/>
  <c r="AC750" i="3"/>
  <c r="AA750" i="3"/>
  <c r="T249" i="3"/>
  <c r="AD283" i="3"/>
  <c r="AE283" i="3"/>
  <c r="T356" i="3"/>
  <c r="T628" i="3"/>
  <c r="S782" i="3"/>
  <c r="T98" i="3"/>
  <c r="T750" i="3"/>
  <c r="AC600" i="3"/>
  <c r="AA600" i="3"/>
  <c r="AC456" i="3"/>
  <c r="AA456" i="3"/>
  <c r="T100" i="3"/>
  <c r="T691" i="3"/>
  <c r="AA239" i="3"/>
  <c r="AC239" i="3"/>
  <c r="T635" i="3"/>
  <c r="S722" i="3"/>
  <c r="AC529" i="3"/>
  <c r="AA529" i="3"/>
  <c r="AA282" i="3"/>
  <c r="AC282" i="3"/>
  <c r="T550" i="3"/>
  <c r="AC418" i="3"/>
  <c r="AA418" i="3"/>
  <c r="S107" i="3"/>
  <c r="AC364" i="3"/>
  <c r="AA364" i="3"/>
  <c r="AC85" i="3"/>
  <c r="AA85" i="3"/>
  <c r="AC622" i="3"/>
  <c r="AA622" i="3"/>
  <c r="T298" i="3"/>
  <c r="O37" i="1"/>
  <c r="P37" i="1"/>
  <c r="AC399" i="3"/>
  <c r="AA399" i="3"/>
  <c r="AD10" i="3"/>
  <c r="AE10" i="3"/>
  <c r="AC338" i="3"/>
  <c r="AA338" i="3"/>
  <c r="T697" i="3"/>
  <c r="AA498" i="3"/>
  <c r="AC498" i="3"/>
  <c r="AA305" i="3"/>
  <c r="AC305" i="3"/>
  <c r="AE34" i="3"/>
  <c r="AD34" i="3"/>
  <c r="AC713" i="3"/>
  <c r="AA713" i="3"/>
  <c r="AC407" i="3"/>
  <c r="AA407" i="3"/>
  <c r="AC726" i="3"/>
  <c r="AA726" i="3"/>
  <c r="AC734" i="3"/>
  <c r="AA734" i="3"/>
  <c r="T151" i="3"/>
  <c r="AC541" i="3"/>
  <c r="AA541" i="3"/>
  <c r="S676" i="3"/>
  <c r="AC671" i="3"/>
  <c r="AA671" i="3"/>
  <c r="AC107" i="3"/>
  <c r="AA107" i="3"/>
  <c r="S600" i="3"/>
  <c r="AC52" i="3"/>
  <c r="AA52" i="3"/>
  <c r="S138" i="3"/>
  <c r="T447" i="3"/>
  <c r="AA179" i="3"/>
  <c r="AC179" i="3"/>
  <c r="AA514" i="3"/>
  <c r="AC514" i="3"/>
  <c r="AC495" i="3"/>
  <c r="AA495" i="3"/>
  <c r="AA193" i="3"/>
  <c r="AC193" i="3"/>
  <c r="S696" i="3"/>
  <c r="T773" i="3"/>
  <c r="T713" i="3"/>
  <c r="S207" i="3"/>
  <c r="T125" i="3"/>
  <c r="AC348" i="3"/>
  <c r="AA348" i="3"/>
  <c r="S404" i="3"/>
  <c r="T751" i="3"/>
  <c r="AC790" i="3"/>
  <c r="AA790" i="3"/>
  <c r="AD521" i="3"/>
  <c r="AE521" i="3"/>
  <c r="AA310" i="3"/>
  <c r="AC310" i="3"/>
  <c r="AA542" i="3"/>
  <c r="AC542" i="3"/>
  <c r="T688" i="3"/>
  <c r="AA71" i="3"/>
  <c r="AC71" i="3"/>
  <c r="T254" i="3"/>
  <c r="T442" i="3"/>
  <c r="AA324" i="3"/>
  <c r="AC324" i="3"/>
  <c r="AC86" i="3"/>
  <c r="AA86" i="3"/>
  <c r="S668" i="3"/>
  <c r="T52" i="3"/>
  <c r="T192" i="3"/>
  <c r="S679" i="3"/>
  <c r="AC504" i="3"/>
  <c r="AA504" i="3"/>
  <c r="AC680" i="3"/>
  <c r="AA680" i="3"/>
  <c r="S514" i="3"/>
  <c r="S791" i="3"/>
  <c r="AC81" i="3"/>
  <c r="AA81" i="3"/>
  <c r="P34" i="1"/>
  <c r="O34" i="1"/>
  <c r="T73" i="3"/>
  <c r="AC662" i="3"/>
  <c r="AA662" i="3"/>
  <c r="AC189" i="3"/>
  <c r="AA189" i="3"/>
  <c r="AC638" i="3"/>
  <c r="AA638" i="3"/>
  <c r="T711" i="3"/>
  <c r="T678" i="3"/>
  <c r="S287" i="3"/>
  <c r="AC644" i="3"/>
  <c r="AA644" i="3"/>
  <c r="S385" i="3"/>
  <c r="AC625" i="3"/>
  <c r="AA625" i="3"/>
  <c r="S157" i="3"/>
  <c r="AA319" i="3"/>
  <c r="AC319" i="3"/>
  <c r="S633" i="3"/>
  <c r="S747" i="3"/>
  <c r="S21" i="3"/>
  <c r="S284" i="3"/>
  <c r="AC367" i="3"/>
  <c r="AA367" i="3"/>
  <c r="S224" i="3"/>
  <c r="AE582" i="3"/>
  <c r="AD582" i="3"/>
  <c r="AA172" i="3"/>
  <c r="AC172" i="3"/>
  <c r="S761" i="3"/>
  <c r="S351" i="3"/>
  <c r="AC354" i="3"/>
  <c r="AA354" i="3"/>
  <c r="T406" i="3"/>
  <c r="S634" i="3"/>
  <c r="S446" i="3"/>
  <c r="AC748" i="3"/>
  <c r="AA748" i="3"/>
  <c r="AC660" i="3"/>
  <c r="AA660" i="3"/>
  <c r="AC188" i="3"/>
  <c r="AA188" i="3"/>
  <c r="T721" i="3"/>
  <c r="S178" i="3"/>
  <c r="AC787" i="3"/>
  <c r="AA787" i="3"/>
  <c r="AC42" i="3"/>
  <c r="AA42" i="3"/>
  <c r="S464" i="3"/>
  <c r="S771" i="3"/>
  <c r="AA587" i="3"/>
  <c r="AC587" i="3"/>
  <c r="AA339" i="3"/>
  <c r="AC339" i="3"/>
  <c r="AC238" i="3"/>
  <c r="AA238" i="3"/>
  <c r="AA341" i="3"/>
  <c r="AC341" i="3"/>
  <c r="S13" i="3"/>
  <c r="AA432" i="3"/>
  <c r="AC432" i="3"/>
  <c r="AC205" i="3"/>
  <c r="AA205" i="3"/>
  <c r="T647" i="3"/>
  <c r="AE240" i="3"/>
  <c r="AD240" i="3"/>
  <c r="S307" i="3"/>
  <c r="AC695" i="3"/>
  <c r="AA695" i="3"/>
  <c r="AE398" i="3"/>
  <c r="AD398" i="3"/>
  <c r="S4" i="3"/>
  <c r="AC458" i="3"/>
  <c r="AA458" i="3"/>
  <c r="AC518" i="3"/>
  <c r="AA518" i="3"/>
  <c r="AC426" i="3"/>
  <c r="AA426" i="3"/>
  <c r="AA706" i="3"/>
  <c r="AC706" i="3"/>
  <c r="AC654" i="3"/>
  <c r="AA654" i="3"/>
  <c r="AA16" i="3"/>
  <c r="AC16" i="3"/>
  <c r="AA614" i="3"/>
  <c r="AC614" i="3"/>
  <c r="AA33" i="3"/>
  <c r="AC33" i="3"/>
  <c r="AC359" i="3"/>
  <c r="AA359" i="3"/>
  <c r="AE123" i="3"/>
  <c r="AD123" i="3"/>
  <c r="T197" i="3"/>
  <c r="AA266" i="3"/>
  <c r="AC266" i="3"/>
  <c r="T82" i="3"/>
  <c r="AC483" i="3"/>
  <c r="AA483" i="3"/>
  <c r="AA314" i="3"/>
  <c r="AC314" i="3"/>
  <c r="S641" i="3"/>
  <c r="T637" i="3"/>
  <c r="AC574" i="3"/>
  <c r="AA574" i="3"/>
  <c r="AA383" i="3"/>
  <c r="AC383" i="3"/>
  <c r="AA126" i="3"/>
  <c r="AC126" i="3"/>
  <c r="O55" i="1"/>
  <c r="P55" i="1"/>
  <c r="AC740" i="3"/>
  <c r="AA740" i="3"/>
  <c r="AC594" i="3"/>
  <c r="AA594" i="3"/>
  <c r="AC715" i="3"/>
  <c r="AA715" i="3"/>
  <c r="S55" i="3"/>
  <c r="AC786" i="3"/>
  <c r="AA786" i="3"/>
  <c r="AC24" i="3"/>
  <c r="AA24" i="3"/>
  <c r="AC555" i="3"/>
  <c r="AA555" i="3"/>
  <c r="AC467" i="3"/>
  <c r="AA467" i="3"/>
  <c r="AA618" i="3"/>
  <c r="AC618" i="3"/>
  <c r="AA377" i="3"/>
  <c r="AC377" i="3"/>
  <c r="S517" i="3"/>
  <c r="T65" i="3"/>
  <c r="AC777" i="3"/>
  <c r="AA777" i="3"/>
  <c r="AA546" i="3"/>
  <c r="AC546" i="3"/>
  <c r="AC49" i="3"/>
  <c r="AA49" i="3"/>
  <c r="AA585" i="3"/>
  <c r="AC585" i="3"/>
  <c r="S373" i="3"/>
  <c r="S368" i="3"/>
  <c r="AA236" i="3"/>
  <c r="AC236" i="3"/>
  <c r="S627" i="3"/>
  <c r="S591" i="3"/>
  <c r="S655" i="3"/>
  <c r="AC258" i="3"/>
  <c r="AA258" i="3"/>
  <c r="AA651" i="3"/>
  <c r="AC651" i="3"/>
  <c r="AC732" i="3"/>
  <c r="AA732" i="3"/>
  <c r="T562" i="3"/>
  <c r="T617" i="3"/>
  <c r="AC461" i="3"/>
  <c r="AA461" i="3"/>
  <c r="AC755" i="3"/>
  <c r="AA755" i="3"/>
  <c r="AC393" i="3"/>
  <c r="AA393" i="3"/>
  <c r="T526" i="3"/>
  <c r="T164" i="3"/>
  <c r="T311" i="3"/>
  <c r="AC445" i="3"/>
  <c r="AA445" i="3"/>
  <c r="T11" i="3"/>
  <c r="AA50" i="3"/>
  <c r="AC50" i="3"/>
  <c r="AC718" i="3"/>
  <c r="AA718" i="3"/>
  <c r="T9" i="3"/>
  <c r="T528" i="3"/>
  <c r="P128" i="1"/>
  <c r="O128" i="1"/>
  <c r="T248" i="3"/>
  <c r="T510" i="3"/>
  <c r="AA428" i="3"/>
  <c r="AC428" i="3"/>
  <c r="T779" i="3"/>
  <c r="AA3" i="3"/>
  <c r="AC3" i="3"/>
  <c r="AC570" i="3"/>
  <c r="AA570" i="3"/>
  <c r="AA716" i="3"/>
  <c r="AC716" i="3"/>
  <c r="T531" i="3"/>
  <c r="AA742" i="3"/>
  <c r="AC742" i="3"/>
  <c r="AC102" i="3"/>
  <c r="AA102" i="3"/>
  <c r="S568" i="3"/>
  <c r="O160" i="1"/>
  <c r="P160" i="1"/>
  <c r="AE95" i="3"/>
  <c r="AD95" i="3"/>
  <c r="T124" i="3"/>
  <c r="T326" i="3"/>
  <c r="T88" i="3"/>
  <c r="AC437" i="3"/>
  <c r="AA437" i="3"/>
  <c r="T759" i="3"/>
  <c r="T182" i="3"/>
  <c r="T26" i="3"/>
  <c r="AC173" i="3"/>
  <c r="AA173" i="3"/>
  <c r="S416" i="3"/>
  <c r="T358" i="3"/>
  <c r="AC153" i="3"/>
  <c r="AA153" i="3"/>
  <c r="T731" i="3"/>
  <c r="AA753" i="3"/>
  <c r="AC753" i="3"/>
  <c r="T742" i="3"/>
  <c r="AC629" i="3"/>
  <c r="AA629" i="3"/>
  <c r="T609" i="3"/>
  <c r="AA756" i="3"/>
  <c r="AC756" i="3"/>
  <c r="S110" i="3"/>
  <c r="T538" i="3"/>
  <c r="S366" i="3"/>
  <c r="AA515" i="3"/>
  <c r="AC515" i="3"/>
  <c r="AC681" i="3"/>
  <c r="AA681" i="3"/>
  <c r="AC148" i="3"/>
  <c r="AA148" i="3"/>
  <c r="AC425" i="3"/>
  <c r="AA425" i="3"/>
  <c r="S3" i="3"/>
  <c r="T313" i="3"/>
  <c r="T753" i="3"/>
  <c r="T720" i="3"/>
  <c r="AA538" i="3"/>
  <c r="AC538" i="3"/>
  <c r="AC620" i="3"/>
  <c r="AA620" i="3"/>
  <c r="T320" i="3"/>
  <c r="S318" i="3"/>
  <c r="S396" i="3"/>
  <c r="T424" i="3"/>
  <c r="S380" i="3"/>
  <c r="AC381" i="3"/>
  <c r="AA381" i="3"/>
  <c r="T142" i="3"/>
  <c r="AA26" i="3"/>
  <c r="AC26" i="3"/>
  <c r="T646" i="3"/>
  <c r="P39" i="1"/>
  <c r="O39" i="1"/>
  <c r="AC207" i="3"/>
  <c r="AA207" i="3"/>
  <c r="S491" i="3"/>
  <c r="T216" i="3"/>
  <c r="T709" i="3"/>
  <c r="T710" i="3"/>
  <c r="S506" i="3"/>
  <c r="AA141" i="3"/>
  <c r="AC141" i="3"/>
  <c r="S456" i="3"/>
  <c r="AE176" i="3"/>
  <c r="AD176" i="3"/>
  <c r="T571" i="3"/>
  <c r="AA417" i="3"/>
  <c r="AC417" i="3"/>
  <c r="AA696" i="3"/>
  <c r="AC696" i="3"/>
  <c r="AA773" i="3"/>
  <c r="AC773" i="3"/>
  <c r="P153" i="1"/>
  <c r="O153" i="1"/>
  <c r="AC125" i="3"/>
  <c r="AA125" i="3"/>
  <c r="AC588" i="3"/>
  <c r="AA588" i="3"/>
  <c r="T228" i="3"/>
  <c r="AC330" i="3"/>
  <c r="AA330" i="3"/>
  <c r="S673" i="3"/>
  <c r="AC497" i="3"/>
  <c r="AA497" i="3"/>
  <c r="AC375" i="3"/>
  <c r="AA375" i="3"/>
  <c r="T190" i="3"/>
  <c r="T232" i="3"/>
  <c r="T96" i="3"/>
  <c r="AC527" i="3"/>
  <c r="AA527" i="3"/>
  <c r="T408" i="3"/>
  <c r="AC698" i="3"/>
  <c r="AA698" i="3"/>
  <c r="AC423" i="3"/>
  <c r="AA423" i="3"/>
  <c r="AA263" i="3"/>
  <c r="AC263" i="3"/>
  <c r="AC668" i="3"/>
  <c r="AA668" i="3"/>
  <c r="AA357" i="3"/>
  <c r="AC357" i="3"/>
  <c r="AE353" i="3"/>
  <c r="AD353" i="3"/>
  <c r="AC545" i="3"/>
  <c r="AA545" i="3"/>
  <c r="AA492" i="3"/>
  <c r="AC492" i="3"/>
  <c r="T623" i="3"/>
  <c r="T539" i="3"/>
  <c r="AA272" i="3"/>
  <c r="AC272" i="3"/>
  <c r="T328" i="3"/>
  <c r="AE159" i="3"/>
  <c r="AD159" i="3"/>
  <c r="T687" i="3"/>
  <c r="S400" i="3"/>
  <c r="T231" i="3"/>
  <c r="S698" i="3"/>
  <c r="S743" i="3"/>
  <c r="T621" i="3"/>
  <c r="T87" i="3"/>
  <c r="AA503" i="3"/>
  <c r="AC503" i="3"/>
  <c r="T468" i="3"/>
  <c r="AA288" i="3"/>
  <c r="AC288" i="3"/>
  <c r="AA534" i="3"/>
  <c r="AC534" i="3"/>
  <c r="T601" i="3"/>
  <c r="T316" i="3"/>
  <c r="AC513" i="3"/>
  <c r="AA513" i="3"/>
  <c r="AC394" i="3"/>
  <c r="AA394" i="3"/>
  <c r="S193" i="3"/>
  <c r="AA440" i="3"/>
  <c r="AC440" i="3"/>
  <c r="S90" i="3"/>
  <c r="T189" i="3"/>
  <c r="S486" i="3"/>
  <c r="T584" i="3"/>
  <c r="T625" i="3"/>
  <c r="T484" i="3"/>
  <c r="AA648" i="3"/>
  <c r="AC648" i="3"/>
  <c r="S319" i="3"/>
  <c r="S367" i="3"/>
  <c r="AA224" i="3"/>
  <c r="AC224" i="3"/>
  <c r="AA22" i="3"/>
  <c r="AC22" i="3"/>
  <c r="S172" i="3"/>
  <c r="AA523" i="3"/>
  <c r="AC523" i="3"/>
  <c r="AA714" i="3"/>
  <c r="AC714" i="3"/>
  <c r="T162" i="3"/>
  <c r="AC83" i="3"/>
  <c r="AA83" i="3"/>
  <c r="AA551" i="3"/>
  <c r="AC551" i="3"/>
  <c r="AC667" i="3"/>
  <c r="AA667" i="3"/>
  <c r="T441" i="3"/>
  <c r="AE15" i="3"/>
  <c r="AD15" i="3"/>
  <c r="T660" i="3"/>
  <c r="T787" i="3"/>
  <c r="S42" i="3"/>
  <c r="AA788" i="3"/>
  <c r="AC788" i="3"/>
  <c r="S689" i="3"/>
  <c r="AC729" i="3"/>
  <c r="AA729" i="3"/>
  <c r="T587" i="3"/>
  <c r="T347" i="3"/>
  <c r="S339" i="3"/>
  <c r="AC707" i="3"/>
  <c r="AA707" i="3"/>
  <c r="S341" i="3"/>
  <c r="S432" i="3"/>
  <c r="T205" i="3"/>
  <c r="AA647" i="3"/>
  <c r="AC647" i="3"/>
  <c r="AA793" i="3"/>
  <c r="AC793" i="3"/>
  <c r="T494" i="3"/>
  <c r="S695" i="3"/>
  <c r="S387" i="3"/>
  <c r="T458" i="3"/>
  <c r="AC129" i="3"/>
  <c r="AA129" i="3"/>
  <c r="T426" i="3"/>
  <c r="AC253" i="3"/>
  <c r="AA253" i="3"/>
  <c r="T402" i="3"/>
  <c r="AC684" i="3"/>
  <c r="AA684" i="3"/>
  <c r="S16" i="3"/>
  <c r="S614" i="3"/>
  <c r="S359" i="3"/>
  <c r="AE150" i="3"/>
  <c r="AD150" i="3"/>
  <c r="AC592" i="3"/>
  <c r="AA592" i="3"/>
  <c r="AC612" i="3"/>
  <c r="AA612" i="3"/>
  <c r="T608" i="3"/>
  <c r="AA82" i="3"/>
  <c r="AC82" i="3"/>
  <c r="T483" i="3"/>
  <c r="AC636" i="3"/>
  <c r="AA636" i="3"/>
  <c r="T630" i="3"/>
  <c r="AC372" i="3"/>
  <c r="AA372" i="3"/>
  <c r="T574" i="3"/>
  <c r="T383" i="3"/>
  <c r="AC69" i="3"/>
  <c r="AA69" i="3"/>
  <c r="AC573" i="3"/>
  <c r="AA573" i="3"/>
  <c r="T715" i="3"/>
  <c r="T429" i="3"/>
  <c r="T786" i="3"/>
  <c r="T116" i="3"/>
  <c r="O136" i="1"/>
  <c r="P136" i="1"/>
  <c r="T24" i="3"/>
  <c r="AC237" i="3"/>
  <c r="AA237" i="3"/>
  <c r="AC589" i="3"/>
  <c r="AA589" i="3"/>
  <c r="AC413" i="3"/>
  <c r="AA413" i="3"/>
  <c r="T377" i="3"/>
  <c r="T708" i="3"/>
  <c r="AC194" i="3"/>
  <c r="AA194" i="3"/>
  <c r="T777" i="3"/>
  <c r="AE386" i="3"/>
  <c r="AD386" i="3"/>
  <c r="T546" i="3"/>
  <c r="S49" i="3"/>
  <c r="T511" i="3"/>
  <c r="AA289" i="3"/>
  <c r="AC289" i="3"/>
  <c r="T607" i="3"/>
  <c r="T236" i="3"/>
  <c r="AA118" i="3"/>
  <c r="AC118" i="3"/>
  <c r="T499" i="3"/>
  <c r="AE175" i="3"/>
  <c r="AD175" i="3"/>
  <c r="T744" i="3"/>
  <c r="T438" i="3"/>
  <c r="S525" i="3"/>
  <c r="P125" i="1"/>
  <c r="O125" i="1"/>
  <c r="AC630" i="3"/>
  <c r="AA630" i="3"/>
  <c r="AA641" i="3"/>
  <c r="AC641" i="3"/>
  <c r="AC677" i="3"/>
  <c r="AA677" i="3"/>
  <c r="S372" i="3"/>
  <c r="AC297" i="3"/>
  <c r="AA297" i="3"/>
  <c r="S126" i="3"/>
  <c r="S69" i="3"/>
  <c r="AC462" i="3"/>
  <c r="AA462" i="3"/>
  <c r="S573" i="3"/>
  <c r="AC480" i="3"/>
  <c r="AA480" i="3"/>
  <c r="AA391" i="3"/>
  <c r="AC391" i="3"/>
  <c r="S459" i="3"/>
  <c r="AA55" i="3"/>
  <c r="AC55" i="3"/>
  <c r="AC410" i="3"/>
  <c r="AA410" i="3"/>
  <c r="AE245" i="3"/>
  <c r="AD245" i="3"/>
  <c r="AC415" i="3"/>
  <c r="AA415" i="3"/>
  <c r="S237" i="3"/>
  <c r="S589" i="3"/>
  <c r="O150" i="1"/>
  <c r="P150" i="1"/>
  <c r="AC195" i="3"/>
  <c r="AA195" i="3"/>
  <c r="AC517" i="3"/>
  <c r="AA517" i="3"/>
  <c r="AE358" i="3"/>
  <c r="AD358" i="3"/>
  <c r="S194" i="3"/>
  <c r="AC737" i="3"/>
  <c r="AA737" i="3"/>
  <c r="T127" i="3"/>
  <c r="T289" i="3"/>
  <c r="AC368" i="3"/>
  <c r="AA368" i="3"/>
  <c r="AC785" i="3"/>
  <c r="AA785" i="3"/>
  <c r="S118" i="3"/>
  <c r="S382" i="3"/>
  <c r="AC499" i="3"/>
  <c r="AA499" i="3"/>
  <c r="AC79" i="3"/>
  <c r="AA79" i="3"/>
  <c r="AE5" i="3"/>
  <c r="AD5" i="3"/>
  <c r="AC466" i="3"/>
  <c r="AA466" i="3"/>
  <c r="T53" i="3"/>
  <c r="AC369" i="3"/>
  <c r="AA369" i="3"/>
  <c r="AA772" i="3"/>
  <c r="AC772" i="3"/>
  <c r="T686" i="3"/>
  <c r="T605" i="3"/>
  <c r="T321" i="3"/>
  <c r="T520" i="3"/>
  <c r="AA536" i="3"/>
  <c r="AC536" i="3"/>
  <c r="T436" i="3"/>
  <c r="T736" i="3"/>
  <c r="T783" i="3"/>
  <c r="AE177" i="3"/>
  <c r="AD177" i="3"/>
  <c r="T451" i="3"/>
  <c r="T410" i="3"/>
  <c r="T415" i="3"/>
  <c r="T258" i="3"/>
  <c r="AC223" i="3"/>
  <c r="AA223" i="3"/>
  <c r="T651" i="3"/>
  <c r="AC281" i="3"/>
  <c r="AA281" i="3"/>
  <c r="T732" i="3"/>
  <c r="S652" i="3"/>
  <c r="AC645" i="3"/>
  <c r="AA645" i="3"/>
  <c r="AA631" i="3"/>
  <c r="AC631" i="3"/>
  <c r="AE142" i="3"/>
  <c r="AD142" i="3"/>
  <c r="AC329" i="3"/>
  <c r="AA329" i="3"/>
  <c r="T653" i="3"/>
  <c r="AA741" i="3"/>
  <c r="AC741" i="3"/>
  <c r="P95" i="1"/>
  <c r="O95" i="1"/>
  <c r="AC355" i="3"/>
  <c r="AA355" i="3"/>
  <c r="T6" i="3"/>
  <c r="S295" i="3"/>
  <c r="AC337" i="3"/>
  <c r="AA337" i="3"/>
  <c r="AA12" i="3"/>
  <c r="AC12" i="3"/>
  <c r="S669" i="3"/>
  <c r="T632" i="3"/>
  <c r="T19" i="3"/>
  <c r="T624" i="3"/>
  <c r="T149" i="3"/>
  <c r="AC411" i="3"/>
  <c r="AA411" i="3"/>
  <c r="AE335" i="3"/>
  <c r="AD335" i="3"/>
  <c r="AA723" i="3"/>
  <c r="AC723" i="3"/>
  <c r="AA491" i="3"/>
  <c r="AC491" i="3"/>
  <c r="S675" i="3"/>
  <c r="T764" i="3"/>
  <c r="AD227" i="3"/>
  <c r="AE227" i="3"/>
  <c r="AC628" i="3"/>
  <c r="AA628" i="3"/>
  <c r="S437" i="3"/>
  <c r="T469" i="3"/>
  <c r="AC572" i="3"/>
  <c r="AA572" i="3"/>
  <c r="T733" i="3"/>
  <c r="S54" i="3"/>
  <c r="T498" i="3"/>
  <c r="S153" i="3"/>
  <c r="S420" i="3"/>
  <c r="T578" i="3"/>
  <c r="AC70" i="3"/>
  <c r="AA70" i="3"/>
  <c r="T543" i="3"/>
  <c r="AA326" i="3"/>
  <c r="AC326" i="3"/>
  <c r="AA757" i="3"/>
  <c r="AC757" i="3"/>
  <c r="AC674" i="3"/>
  <c r="AA674" i="3"/>
  <c r="P93" i="1"/>
  <c r="O93" i="1"/>
  <c r="T622" i="3"/>
  <c r="T728" i="3"/>
  <c r="AC719" i="3"/>
  <c r="AA719" i="3"/>
  <c r="S639" i="3"/>
  <c r="S479" i="3"/>
  <c r="S411" i="3"/>
  <c r="T492" i="3"/>
  <c r="O114" i="1"/>
  <c r="P114" i="1"/>
  <c r="AC731" i="3"/>
  <c r="AA731" i="3"/>
  <c r="AA559" i="3"/>
  <c r="AC559" i="3"/>
  <c r="AE74" i="3"/>
  <c r="AD74" i="3"/>
  <c r="AA232" i="3"/>
  <c r="AC232" i="3"/>
  <c r="S527" i="3"/>
  <c r="T495" i="3"/>
  <c r="AE293" i="3"/>
  <c r="AD293" i="3"/>
  <c r="T766" i="3"/>
  <c r="T272" i="3"/>
  <c r="T516" i="3"/>
  <c r="AE210" i="3"/>
  <c r="AD210" i="3"/>
  <c r="AC101" i="3"/>
  <c r="AA101" i="3"/>
  <c r="T466" i="3"/>
  <c r="AC584" i="3"/>
  <c r="AA584" i="3"/>
  <c r="T644" i="3"/>
  <c r="AA577" i="3"/>
  <c r="AC577" i="3"/>
  <c r="AA471" i="3"/>
  <c r="AC471" i="3"/>
  <c r="AC484" i="3"/>
  <c r="AA484" i="3"/>
  <c r="T648" i="3"/>
  <c r="T650" i="3"/>
  <c r="AC692" i="3"/>
  <c r="AA692" i="3"/>
  <c r="AD493" i="3"/>
  <c r="AE493" i="3"/>
  <c r="T775" i="3"/>
  <c r="AC633" i="3"/>
  <c r="AA633" i="3"/>
  <c r="AA21" i="3"/>
  <c r="AC21" i="3"/>
  <c r="AA312" i="3"/>
  <c r="AC312" i="3"/>
  <c r="T461" i="3"/>
  <c r="AC152" i="3"/>
  <c r="AA152" i="3"/>
  <c r="AC261" i="3"/>
  <c r="AA261" i="3"/>
  <c r="T714" i="3"/>
  <c r="T772" i="3"/>
  <c r="T755" i="3"/>
  <c r="AA485" i="3"/>
  <c r="AC485" i="3"/>
  <c r="AA634" i="3"/>
  <c r="AC634" i="3"/>
  <c r="AE104" i="3"/>
  <c r="AD104" i="3"/>
  <c r="T83" i="3"/>
  <c r="AE92" i="3"/>
  <c r="AD92" i="3"/>
  <c r="T795" i="3"/>
  <c r="D795" i="3" a="1"/>
  <c r="D795" i="3" s="1"/>
  <c r="AC605" i="3"/>
  <c r="AA605" i="3"/>
  <c r="AC693" i="3"/>
  <c r="AA693" i="3"/>
  <c r="AC336" i="3"/>
  <c r="AA336" i="3"/>
  <c r="AA526" i="3"/>
  <c r="AC526" i="3"/>
  <c r="T219" i="3"/>
  <c r="AE41" i="3"/>
  <c r="AD41" i="3"/>
  <c r="AC464" i="3"/>
  <c r="AA464" i="3"/>
  <c r="AC771" i="3"/>
  <c r="AA771" i="3"/>
  <c r="AA327" i="3"/>
  <c r="AC327" i="3"/>
  <c r="T707" i="3"/>
  <c r="AC781" i="3"/>
  <c r="AA781" i="3"/>
  <c r="AA13" i="3"/>
  <c r="AC13" i="3"/>
  <c r="T128" i="3"/>
  <c r="S226" i="3"/>
  <c r="T793" i="3"/>
  <c r="AC494" i="3"/>
  <c r="AA494" i="3"/>
  <c r="AC218" i="3"/>
  <c r="AA218" i="3"/>
  <c r="AC659" i="3"/>
  <c r="AA659" i="3"/>
  <c r="T463" i="3"/>
  <c r="T445" i="3"/>
  <c r="AE219" i="3"/>
  <c r="AD219" i="3"/>
  <c r="S530" i="3"/>
  <c r="AC344" i="3"/>
  <c r="AA344" i="3"/>
  <c r="T129" i="3"/>
  <c r="T518" i="3"/>
  <c r="AC343" i="3"/>
  <c r="AA343" i="3"/>
  <c r="T253" i="3"/>
  <c r="T684" i="3"/>
  <c r="T654" i="3"/>
  <c r="AC581" i="3"/>
  <c r="AA581" i="3"/>
  <c r="T57" i="3"/>
  <c r="AA122" i="3"/>
  <c r="AC122" i="3"/>
  <c r="P146" i="1"/>
  <c r="O146" i="1"/>
  <c r="S299" i="3"/>
  <c r="T612" i="3"/>
  <c r="T431" i="3"/>
  <c r="S101" i="3"/>
  <c r="AC90" i="3"/>
  <c r="AA90" i="3"/>
  <c r="AC486" i="3"/>
  <c r="AA486" i="3"/>
  <c r="S322" i="3"/>
  <c r="S471" i="3"/>
  <c r="AC652" i="3"/>
  <c r="AA652" i="3"/>
  <c r="AC401" i="3"/>
  <c r="AA401" i="3"/>
  <c r="S692" i="3"/>
  <c r="AC775" i="3"/>
  <c r="AA775" i="3"/>
  <c r="AC617" i="3"/>
  <c r="AA617" i="3"/>
  <c r="S579" i="3"/>
  <c r="S312" i="3"/>
  <c r="AD180" i="3"/>
  <c r="AE180" i="3"/>
  <c r="AC53" i="3"/>
  <c r="AA53" i="3"/>
  <c r="AC273" i="3"/>
  <c r="AA273" i="3"/>
  <c r="S152" i="3"/>
  <c r="S369" i="3"/>
  <c r="AA643" i="3"/>
  <c r="AC643" i="3"/>
  <c r="AC540" i="3"/>
  <c r="AA540" i="3"/>
  <c r="S485" i="3"/>
  <c r="AC686" i="3"/>
  <c r="AA686" i="3"/>
  <c r="AA130" i="3"/>
  <c r="AC130" i="3"/>
  <c r="S580" i="3"/>
  <c r="S551" i="3"/>
  <c r="S667" i="3"/>
  <c r="AC795" i="3"/>
  <c r="AA795" i="3"/>
  <c r="AA390" i="3"/>
  <c r="AC390" i="3"/>
  <c r="AC450" i="3"/>
  <c r="AA450" i="3"/>
  <c r="S693" i="3"/>
  <c r="S336" i="3"/>
  <c r="AC565" i="3"/>
  <c r="AA565" i="3"/>
  <c r="P92" i="1"/>
  <c r="O92" i="1"/>
  <c r="AC689" i="3"/>
  <c r="AA689" i="3"/>
  <c r="AC164" i="3"/>
  <c r="AA164" i="3"/>
  <c r="S329" i="3"/>
  <c r="AC520" i="3"/>
  <c r="AA520" i="3"/>
  <c r="S327" i="3"/>
  <c r="AC97" i="3"/>
  <c r="AA97" i="3"/>
  <c r="S781" i="3"/>
  <c r="S767" i="3"/>
  <c r="AC352" i="3"/>
  <c r="AA352" i="3"/>
  <c r="AC657" i="3"/>
  <c r="AA657" i="3"/>
  <c r="AC226" i="3"/>
  <c r="AA226" i="3"/>
  <c r="AA311" i="3"/>
  <c r="AC311" i="3"/>
  <c r="S218" i="3"/>
  <c r="AA387" i="3"/>
  <c r="AC387" i="3"/>
  <c r="T180" i="3"/>
  <c r="AE93" i="3"/>
  <c r="AD93" i="3"/>
  <c r="AC530" i="3"/>
  <c r="AA530" i="3"/>
  <c r="AC395" i="3"/>
  <c r="AA395" i="3"/>
  <c r="T208" i="3"/>
  <c r="S453" i="3"/>
  <c r="AC770" i="3"/>
  <c r="AA770" i="3"/>
  <c r="AE47" i="3"/>
  <c r="AD47" i="3"/>
  <c r="AA315" i="3"/>
  <c r="AC315" i="3"/>
  <c r="S581" i="3"/>
  <c r="AC196" i="3"/>
  <c r="AA196" i="3"/>
  <c r="S428" i="3"/>
  <c r="O6" i="1"/>
  <c r="P6" i="1"/>
  <c r="S700" i="3"/>
  <c r="AA325" i="3"/>
  <c r="AC325" i="3"/>
  <c r="AC299" i="3"/>
  <c r="AA299" i="3"/>
  <c r="S536" i="3"/>
  <c r="S262" i="3"/>
  <c r="T251" i="3"/>
  <c r="T331" i="3"/>
  <c r="AC35" i="3"/>
  <c r="AA35" i="3"/>
  <c r="T636" i="3"/>
  <c r="AC349" i="3"/>
  <c r="AA349" i="3"/>
  <c r="AC557" i="3"/>
  <c r="AA557" i="3"/>
  <c r="S297" i="3"/>
  <c r="T14" i="3"/>
  <c r="AC11" i="3"/>
  <c r="AA11" i="3"/>
  <c r="S462" i="3"/>
  <c r="S480" i="3"/>
  <c r="S391" i="3"/>
  <c r="AC459" i="3"/>
  <c r="AA459" i="3"/>
  <c r="S615" i="3"/>
  <c r="AE156" i="3"/>
  <c r="AD156" i="3"/>
  <c r="AA116" i="3"/>
  <c r="AC116" i="3"/>
  <c r="S50" i="3"/>
  <c r="AC702" i="3"/>
  <c r="AA702" i="3"/>
  <c r="AC378" i="3"/>
  <c r="AA378" i="3"/>
  <c r="AC202" i="3"/>
  <c r="AA202" i="3"/>
  <c r="T413" i="3"/>
  <c r="S195" i="3"/>
  <c r="AA247" i="3"/>
  <c r="AC247" i="3"/>
  <c r="AC708" i="3"/>
  <c r="AA708" i="3"/>
  <c r="AC567" i="3"/>
  <c r="AA567" i="3"/>
  <c r="S737" i="3"/>
  <c r="AC421" i="3"/>
  <c r="AA421" i="3"/>
  <c r="AD158" i="3"/>
  <c r="AE158" i="3"/>
  <c r="AA511" i="3"/>
  <c r="AC511" i="3"/>
  <c r="S785" i="3"/>
  <c r="AC379" i="3"/>
  <c r="AA379" i="3"/>
  <c r="AA382" i="3"/>
  <c r="AC382" i="3"/>
  <c r="S79" i="3"/>
  <c r="AA744" i="3"/>
  <c r="AC744" i="3"/>
  <c r="AE793" i="3" l="1"/>
  <c r="AD793" i="3"/>
  <c r="T633" i="3"/>
  <c r="AE361" i="3"/>
  <c r="AD361" i="3"/>
  <c r="T769" i="3"/>
  <c r="AE497" i="3"/>
  <c r="AD497" i="3"/>
  <c r="T491" i="3"/>
  <c r="AE629" i="3"/>
  <c r="AD629" i="3"/>
  <c r="AE467" i="3"/>
  <c r="AD467" i="3"/>
  <c r="AE189" i="3"/>
  <c r="AD189" i="3"/>
  <c r="AE402" i="3"/>
  <c r="AD402" i="3"/>
  <c r="AE522" i="3"/>
  <c r="AD522" i="3"/>
  <c r="AE478" i="3"/>
  <c r="AD478" i="3"/>
  <c r="AE479" i="3"/>
  <c r="AD479" i="3"/>
  <c r="AD769" i="3"/>
  <c r="AE769" i="3"/>
  <c r="AD318" i="3"/>
  <c r="AE318" i="3"/>
  <c r="AE421" i="3"/>
  <c r="AD421" i="3"/>
  <c r="AE369" i="3"/>
  <c r="AD369" i="3"/>
  <c r="AE413" i="3"/>
  <c r="AD413" i="3"/>
  <c r="T318" i="3"/>
  <c r="AE291" i="3"/>
  <c r="AD291" i="3"/>
  <c r="AE233" i="3"/>
  <c r="AD233" i="3"/>
  <c r="T134" i="3"/>
  <c r="AD547" i="3"/>
  <c r="AE547" i="3"/>
  <c r="T606" i="3"/>
  <c r="AE130" i="3"/>
  <c r="AD130" i="3"/>
  <c r="AE634" i="3"/>
  <c r="AD634" i="3"/>
  <c r="T743" i="3"/>
  <c r="T717" i="3"/>
  <c r="AE178" i="3"/>
  <c r="AD178" i="3"/>
  <c r="AE323" i="3"/>
  <c r="AD323" i="3"/>
  <c r="T148" i="3"/>
  <c r="AE68" i="3"/>
  <c r="AD68" i="3"/>
  <c r="AE474" i="3"/>
  <c r="AD474" i="3"/>
  <c r="T507" i="3"/>
  <c r="T674" i="3"/>
  <c r="AE626" i="3"/>
  <c r="AD626" i="3"/>
  <c r="AE229" i="3"/>
  <c r="AD229" i="3"/>
  <c r="AD388" i="3"/>
  <c r="AE388" i="3"/>
  <c r="AE759" i="3"/>
  <c r="AD759" i="3"/>
  <c r="T291" i="3"/>
  <c r="T583" i="3"/>
  <c r="AD508" i="3"/>
  <c r="AE508" i="3"/>
  <c r="T592" i="3"/>
  <c r="T114" i="3"/>
  <c r="T171" i="3"/>
  <c r="AE794" i="3"/>
  <c r="AD794" i="3"/>
  <c r="AE67" i="3"/>
  <c r="AD67" i="3"/>
  <c r="AE362" i="3"/>
  <c r="AD362" i="3"/>
  <c r="AD249" i="3"/>
  <c r="AE249" i="3"/>
  <c r="AD579" i="3"/>
  <c r="AE579" i="3"/>
  <c r="AE691" i="3"/>
  <c r="AD691" i="3"/>
  <c r="AD485" i="3"/>
  <c r="AE485" i="3"/>
  <c r="AE471" i="3"/>
  <c r="AD471" i="3"/>
  <c r="AE731" i="3"/>
  <c r="AD731" i="3"/>
  <c r="AE12" i="3"/>
  <c r="AD12" i="3"/>
  <c r="AE415" i="3"/>
  <c r="AD415" i="3"/>
  <c r="AE340" i="3"/>
  <c r="AD340" i="3"/>
  <c r="AE469" i="3"/>
  <c r="AD469" i="3"/>
  <c r="AD69" i="3"/>
  <c r="AE69" i="3"/>
  <c r="T432" i="3"/>
  <c r="AE792" i="3"/>
  <c r="AD792" i="3"/>
  <c r="AE665" i="3"/>
  <c r="AD665" i="3"/>
  <c r="AD260" i="3"/>
  <c r="AE260" i="3"/>
  <c r="AD786" i="3"/>
  <c r="AE786" i="3"/>
  <c r="AE359" i="3"/>
  <c r="AD359" i="3"/>
  <c r="AD86" i="3"/>
  <c r="AE86" i="3"/>
  <c r="T722" i="3"/>
  <c r="AE211" i="3"/>
  <c r="AD211" i="3"/>
  <c r="T476" i="3"/>
  <c r="AE103" i="3"/>
  <c r="AD103" i="3"/>
  <c r="AE431" i="3"/>
  <c r="AD431" i="3"/>
  <c r="AE435" i="3"/>
  <c r="AD435" i="3"/>
  <c r="AE212" i="3"/>
  <c r="AD212" i="3"/>
  <c r="AE463" i="3"/>
  <c r="AD463" i="3"/>
  <c r="AE422" i="3"/>
  <c r="AD422" i="3"/>
  <c r="AE673" i="3"/>
  <c r="AD673" i="3"/>
  <c r="AE247" i="3"/>
  <c r="AD247" i="3"/>
  <c r="T428" i="3"/>
  <c r="T767" i="3"/>
  <c r="T336" i="3"/>
  <c r="AE693" i="3"/>
  <c r="AD693" i="3"/>
  <c r="AE612" i="3"/>
  <c r="AD612" i="3"/>
  <c r="AE588" i="3"/>
  <c r="AD588" i="3"/>
  <c r="AE141" i="3"/>
  <c r="AD141" i="3"/>
  <c r="AE26" i="3"/>
  <c r="AD26" i="3"/>
  <c r="T366" i="3"/>
  <c r="AE716" i="3"/>
  <c r="AD716" i="3"/>
  <c r="T672" i="3"/>
  <c r="AE477" i="3"/>
  <c r="AD477" i="3"/>
  <c r="AE569" i="3"/>
  <c r="AD569" i="3"/>
  <c r="AD768" i="3"/>
  <c r="AE768" i="3"/>
  <c r="T342" i="3"/>
  <c r="AE405" i="3"/>
  <c r="AD405" i="3"/>
  <c r="AE505" i="3"/>
  <c r="AD505" i="3"/>
  <c r="AE733" i="3"/>
  <c r="AD733" i="3"/>
  <c r="AD658" i="3"/>
  <c r="AE658" i="3"/>
  <c r="AE743" i="3"/>
  <c r="AD743" i="3"/>
  <c r="AE509" i="3"/>
  <c r="AD509" i="3"/>
  <c r="AE784" i="3"/>
  <c r="AD784" i="3"/>
  <c r="AE217" i="3"/>
  <c r="AD217" i="3"/>
  <c r="AE560" i="3"/>
  <c r="AD560" i="3"/>
  <c r="AE621" i="3"/>
  <c r="AD621" i="3"/>
  <c r="T781" i="3"/>
  <c r="T693" i="3"/>
  <c r="AD540" i="3"/>
  <c r="AE540" i="3"/>
  <c r="AE775" i="3"/>
  <c r="AD775" i="3"/>
  <c r="AD659" i="3"/>
  <c r="AE659" i="3"/>
  <c r="AE327" i="3"/>
  <c r="AD327" i="3"/>
  <c r="AD326" i="3"/>
  <c r="AE326" i="3"/>
  <c r="AD572" i="3"/>
  <c r="AE572" i="3"/>
  <c r="T295" i="3"/>
  <c r="T194" i="3"/>
  <c r="AE410" i="3"/>
  <c r="AD410" i="3"/>
  <c r="AE129" i="3"/>
  <c r="AD129" i="3"/>
  <c r="AE707" i="3"/>
  <c r="AD707" i="3"/>
  <c r="T172" i="3"/>
  <c r="AD288" i="3"/>
  <c r="AE288" i="3"/>
  <c r="AE153" i="3"/>
  <c r="AD153" i="3"/>
  <c r="AD258" i="3"/>
  <c r="AE258" i="3"/>
  <c r="T641" i="3"/>
  <c r="AD188" i="3"/>
  <c r="AE188" i="3"/>
  <c r="T287" i="3"/>
  <c r="AE81" i="3"/>
  <c r="AD81" i="3"/>
  <c r="AE790" i="3"/>
  <c r="AD790" i="3"/>
  <c r="T676" i="3"/>
  <c r="AE622" i="3"/>
  <c r="AD622" i="3"/>
  <c r="AE566" i="3"/>
  <c r="AD566" i="3"/>
  <c r="AE655" i="3"/>
  <c r="AD655" i="3"/>
  <c r="T265" i="3"/>
  <c r="AE746" i="3"/>
  <c r="AD746" i="3"/>
  <c r="AE303" i="3"/>
  <c r="AD303" i="3"/>
  <c r="AE385" i="3"/>
  <c r="AD385" i="3"/>
  <c r="AD583" i="3"/>
  <c r="AE583" i="3"/>
  <c r="T604" i="3"/>
  <c r="AD206" i="3"/>
  <c r="AE206" i="3"/>
  <c r="T108" i="3"/>
  <c r="T23" i="3"/>
  <c r="AE274" i="3"/>
  <c r="AD274" i="3"/>
  <c r="AD452" i="3"/>
  <c r="AE452" i="3"/>
  <c r="AE578" i="3"/>
  <c r="AD578" i="3"/>
  <c r="AD535" i="3"/>
  <c r="AE535" i="3"/>
  <c r="AE29" i="3"/>
  <c r="AD29" i="3"/>
  <c r="AE127" i="3"/>
  <c r="AD127" i="3"/>
  <c r="AE200" i="3"/>
  <c r="AD200" i="3"/>
  <c r="T422" i="3"/>
  <c r="AE270" i="3"/>
  <c r="AD270" i="3"/>
  <c r="T166" i="3"/>
  <c r="AD595" i="3"/>
  <c r="AE595" i="3"/>
  <c r="AE682" i="3"/>
  <c r="AD682" i="3"/>
  <c r="AE27" i="3"/>
  <c r="AD27" i="3"/>
  <c r="T553" i="3"/>
  <c r="AE298" i="3"/>
  <c r="AD298" i="3"/>
  <c r="AE765" i="3"/>
  <c r="AD765" i="3"/>
  <c r="AD230" i="3"/>
  <c r="AE230" i="3"/>
  <c r="T201" i="3"/>
  <c r="AE332" i="3"/>
  <c r="AD332" i="3"/>
  <c r="T112" i="3"/>
  <c r="AD653" i="3"/>
  <c r="AE653" i="3"/>
  <c r="AE311" i="3"/>
  <c r="AD311" i="3"/>
  <c r="T226" i="3"/>
  <c r="AE741" i="3"/>
  <c r="AD741" i="3"/>
  <c r="AE785" i="3"/>
  <c r="AD785" i="3"/>
  <c r="AD289" i="3"/>
  <c r="AE289" i="3"/>
  <c r="AE648" i="3"/>
  <c r="AD648" i="3"/>
  <c r="AE164" i="3"/>
  <c r="AD164" i="3"/>
  <c r="T530" i="3"/>
  <c r="AE699" i="3"/>
  <c r="AD699" i="3"/>
  <c r="AD676" i="3"/>
  <c r="AE676" i="3"/>
  <c r="T153" i="3"/>
  <c r="T589" i="3"/>
  <c r="AE32" i="3"/>
  <c r="AD32" i="3"/>
  <c r="T683" i="3"/>
  <c r="AE109" i="3"/>
  <c r="AD109" i="3"/>
  <c r="AE151" i="3"/>
  <c r="AD151" i="3"/>
  <c r="AD669" i="3"/>
  <c r="AE669" i="3"/>
  <c r="AE444" i="3"/>
  <c r="AD444" i="3"/>
  <c r="AE460" i="3"/>
  <c r="AD460" i="3"/>
  <c r="AE703" i="3"/>
  <c r="AD703" i="3"/>
  <c r="AE763" i="3"/>
  <c r="AD763" i="3"/>
  <c r="AE672" i="3"/>
  <c r="AD672" i="3"/>
  <c r="T101" i="3"/>
  <c r="T200" i="3"/>
  <c r="AD725" i="3"/>
  <c r="AE725" i="3"/>
  <c r="AE711" i="3"/>
  <c r="AD711" i="3"/>
  <c r="AE712" i="3"/>
  <c r="AD712" i="3"/>
  <c r="T102" i="3"/>
  <c r="AE243" i="3"/>
  <c r="AD243" i="3"/>
  <c r="AE185" i="3"/>
  <c r="AD185" i="3"/>
  <c r="AE524" i="3"/>
  <c r="AD524" i="3"/>
  <c r="AE117" i="3"/>
  <c r="AD117" i="3"/>
  <c r="T575" i="3"/>
  <c r="AD599" i="3"/>
  <c r="AE599" i="3"/>
  <c r="AE686" i="3"/>
  <c r="AD686" i="3"/>
  <c r="AD336" i="3"/>
  <c r="AE336" i="3"/>
  <c r="AE466" i="3"/>
  <c r="AD466" i="3"/>
  <c r="AE437" i="3"/>
  <c r="AD437" i="3"/>
  <c r="AE262" i="3"/>
  <c r="AD262" i="3"/>
  <c r="AE490" i="3"/>
  <c r="AD490" i="3"/>
  <c r="T188" i="3"/>
  <c r="AD602" i="3"/>
  <c r="AE602" i="3"/>
  <c r="AD679" i="3"/>
  <c r="AE679" i="3"/>
  <c r="T505" i="3"/>
  <c r="AE39" i="3"/>
  <c r="AD39" i="3"/>
  <c r="AE278" i="3"/>
  <c r="AD278" i="3"/>
  <c r="T564" i="3"/>
  <c r="AE135" i="3"/>
  <c r="AD135" i="3"/>
  <c r="T706" i="3"/>
  <c r="T362" i="3"/>
  <c r="AD615" i="3"/>
  <c r="AE615" i="3"/>
  <c r="AD482" i="3"/>
  <c r="AE482" i="3"/>
  <c r="AE687" i="3"/>
  <c r="AD687" i="3"/>
  <c r="AE25" i="3"/>
  <c r="AD25" i="3"/>
  <c r="T662" i="3"/>
  <c r="T680" i="3"/>
  <c r="T86" i="3"/>
  <c r="AE419" i="3"/>
  <c r="AD419" i="3"/>
  <c r="AE121" i="3"/>
  <c r="AD121" i="3"/>
  <c r="AE225" i="3"/>
  <c r="AD225" i="3"/>
  <c r="AD341" i="3"/>
  <c r="AE341" i="3"/>
  <c r="AE193" i="3"/>
  <c r="AD193" i="3"/>
  <c r="AD234" i="3"/>
  <c r="AE234" i="3"/>
  <c r="AD640" i="3"/>
  <c r="AE640" i="3"/>
  <c r="AE347" i="3"/>
  <c r="AD347" i="3"/>
  <c r="AE754" i="3"/>
  <c r="AD754" i="3"/>
  <c r="AE442" i="3"/>
  <c r="AD442" i="3"/>
  <c r="AE382" i="3"/>
  <c r="AD382" i="3"/>
  <c r="AE633" i="3"/>
  <c r="AD633" i="3"/>
  <c r="T486" i="3"/>
  <c r="T55" i="3"/>
  <c r="AE33" i="3"/>
  <c r="AD33" i="3"/>
  <c r="AE637" i="3"/>
  <c r="AD637" i="3"/>
  <c r="AE406" i="3"/>
  <c r="AD406" i="3"/>
  <c r="AE157" i="3"/>
  <c r="AD157" i="3"/>
  <c r="AD539" i="3"/>
  <c r="AE539" i="3"/>
  <c r="AD685" i="3"/>
  <c r="AE685" i="3"/>
  <c r="T473" i="3"/>
  <c r="AE17" i="3"/>
  <c r="AD17" i="3"/>
  <c r="AE66" i="3"/>
  <c r="AD66" i="3"/>
  <c r="T195" i="3"/>
  <c r="AE35" i="3"/>
  <c r="AD35" i="3"/>
  <c r="T299" i="3"/>
  <c r="T411" i="3"/>
  <c r="AE79" i="3"/>
  <c r="AD79" i="3"/>
  <c r="AE55" i="3"/>
  <c r="AD55" i="3"/>
  <c r="AD677" i="3"/>
  <c r="AE677" i="3"/>
  <c r="AE118" i="3"/>
  <c r="AD118" i="3"/>
  <c r="AE592" i="3"/>
  <c r="AD592" i="3"/>
  <c r="T339" i="3"/>
  <c r="AE22" i="3"/>
  <c r="AD22" i="3"/>
  <c r="AE357" i="3"/>
  <c r="AD357" i="3"/>
  <c r="AE125" i="3"/>
  <c r="AD125" i="3"/>
  <c r="T506" i="3"/>
  <c r="T655" i="3"/>
  <c r="AE715" i="3"/>
  <c r="AD715" i="3"/>
  <c r="AD314" i="3"/>
  <c r="AE314" i="3"/>
  <c r="AE614" i="3"/>
  <c r="AD614" i="3"/>
  <c r="AD238" i="3"/>
  <c r="AE238" i="3"/>
  <c r="T224" i="3"/>
  <c r="T791" i="3"/>
  <c r="AE495" i="3"/>
  <c r="AD495" i="3"/>
  <c r="AD498" i="3"/>
  <c r="AE498" i="3"/>
  <c r="AE239" i="3"/>
  <c r="AD239" i="3"/>
  <c r="AE507" i="3"/>
  <c r="AD507" i="3"/>
  <c r="AD309" i="3"/>
  <c r="AE309" i="3"/>
  <c r="AE752" i="3"/>
  <c r="AD752" i="3"/>
  <c r="AD2" i="3"/>
  <c r="AE2" i="3"/>
  <c r="AE761" i="3"/>
  <c r="AD761" i="3"/>
  <c r="T403" i="3"/>
  <c r="AE447" i="3"/>
  <c r="AD447" i="3"/>
  <c r="AE675" i="3"/>
  <c r="AD675" i="3"/>
  <c r="AD598" i="3"/>
  <c r="AE598" i="3"/>
  <c r="T243" i="3"/>
  <c r="T576" i="3"/>
  <c r="AD764" i="3"/>
  <c r="AE764" i="3"/>
  <c r="T304" i="3"/>
  <c r="AE113" i="3"/>
  <c r="AD113" i="3"/>
  <c r="AE749" i="3"/>
  <c r="AD749" i="3"/>
  <c r="T279" i="3"/>
  <c r="AD306" i="3"/>
  <c r="AE306" i="3"/>
  <c r="AE412" i="3"/>
  <c r="AD412" i="3"/>
  <c r="T348" i="3"/>
  <c r="AE642" i="3"/>
  <c r="AD642" i="3"/>
  <c r="AD269" i="3"/>
  <c r="AE269" i="3"/>
  <c r="AE735" i="3"/>
  <c r="AD735" i="3"/>
  <c r="AD222" i="3"/>
  <c r="AE222" i="3"/>
  <c r="AE611" i="3"/>
  <c r="AD611" i="3"/>
  <c r="AD101" i="3"/>
  <c r="AE101" i="3"/>
  <c r="AD281" i="3"/>
  <c r="AE281" i="3"/>
  <c r="AE636" i="3"/>
  <c r="AD636" i="3"/>
  <c r="AE729" i="3"/>
  <c r="AD729" i="3"/>
  <c r="AE394" i="3"/>
  <c r="AD394" i="3"/>
  <c r="T464" i="3"/>
  <c r="AE646" i="3"/>
  <c r="AD646" i="3"/>
  <c r="AD242" i="3"/>
  <c r="AE242" i="3"/>
  <c r="AE271" i="3"/>
  <c r="AD271" i="3"/>
  <c r="AD80" i="3"/>
  <c r="AE80" i="3"/>
  <c r="AE389" i="3"/>
  <c r="AD389" i="3"/>
  <c r="AD268" i="3"/>
  <c r="AE268" i="3"/>
  <c r="AE601" i="3"/>
  <c r="AD601" i="3"/>
  <c r="AE6" i="3"/>
  <c r="AD6" i="3"/>
  <c r="AE166" i="3"/>
  <c r="AD166" i="3"/>
  <c r="AE468" i="3"/>
  <c r="AD468" i="3"/>
  <c r="AE770" i="3"/>
  <c r="AD770" i="3"/>
  <c r="AD53" i="3"/>
  <c r="AE53" i="3"/>
  <c r="T573" i="3"/>
  <c r="AE684" i="3"/>
  <c r="AD684" i="3"/>
  <c r="AE423" i="3"/>
  <c r="AD423" i="3"/>
  <c r="AE417" i="3"/>
  <c r="AD417" i="3"/>
  <c r="AE126" i="3"/>
  <c r="AD126" i="3"/>
  <c r="T138" i="3"/>
  <c r="AE165" i="3"/>
  <c r="AD165" i="3"/>
  <c r="AD663" i="3"/>
  <c r="AE663" i="3"/>
  <c r="AD285" i="3"/>
  <c r="AE285" i="3"/>
  <c r="T309" i="3"/>
  <c r="AE184" i="3"/>
  <c r="AD184" i="3"/>
  <c r="AE548" i="3"/>
  <c r="AD548" i="3"/>
  <c r="AE476" i="3"/>
  <c r="AD476" i="3"/>
  <c r="T593" i="3"/>
  <c r="AD96" i="3"/>
  <c r="AE96" i="3"/>
  <c r="AE702" i="3"/>
  <c r="AD702" i="3"/>
  <c r="T453" i="3"/>
  <c r="AE559" i="3"/>
  <c r="AD559" i="3"/>
  <c r="AE368" i="3"/>
  <c r="AD368" i="3"/>
  <c r="AE647" i="3"/>
  <c r="AD647" i="3"/>
  <c r="AE563" i="3"/>
  <c r="AD563" i="3"/>
  <c r="AE528" i="3"/>
  <c r="AD528" i="3"/>
  <c r="AE220" i="3"/>
  <c r="AD220" i="3"/>
  <c r="AE316" i="3"/>
  <c r="AD316" i="3"/>
  <c r="T439" i="3"/>
  <c r="AD334" i="3"/>
  <c r="AE334" i="3"/>
  <c r="T50" i="3"/>
  <c r="AD226" i="3"/>
  <c r="AE226" i="3"/>
  <c r="T675" i="3"/>
  <c r="T237" i="3"/>
  <c r="AE102" i="3"/>
  <c r="AD102" i="3"/>
  <c r="AD445" i="3"/>
  <c r="AE445" i="3"/>
  <c r="AD555" i="3"/>
  <c r="AE555" i="3"/>
  <c r="AE426" i="3"/>
  <c r="AD426" i="3"/>
  <c r="AE52" i="3"/>
  <c r="AD52" i="3"/>
  <c r="AD282" i="3"/>
  <c r="AE282" i="3"/>
  <c r="AE420" i="3"/>
  <c r="AD420" i="3"/>
  <c r="AE590" i="3"/>
  <c r="AD590" i="3"/>
  <c r="AE124" i="3"/>
  <c r="AD124" i="3"/>
  <c r="AD267" i="3"/>
  <c r="AE267" i="3"/>
  <c r="T704" i="3"/>
  <c r="AD516" i="3"/>
  <c r="AE516" i="3"/>
  <c r="AE231" i="3"/>
  <c r="AD231" i="3"/>
  <c r="AD568" i="3"/>
  <c r="AE568" i="3"/>
  <c r="T414" i="3"/>
  <c r="AD580" i="3"/>
  <c r="AE580" i="3"/>
  <c r="T81" i="3"/>
  <c r="T671" i="3"/>
  <c r="AE98" i="3"/>
  <c r="AD98" i="3"/>
  <c r="AE116" i="3"/>
  <c r="AD116" i="3"/>
  <c r="T669" i="3"/>
  <c r="AE223" i="3"/>
  <c r="AD223" i="3"/>
  <c r="AE573" i="3"/>
  <c r="AD573" i="3"/>
  <c r="AD753" i="3"/>
  <c r="AE753" i="3"/>
  <c r="T479" i="3"/>
  <c r="AE411" i="3"/>
  <c r="AD411" i="3"/>
  <c r="AE645" i="3"/>
  <c r="AD645" i="3"/>
  <c r="AD641" i="3"/>
  <c r="AE641" i="3"/>
  <c r="T90" i="3"/>
  <c r="T110" i="3"/>
  <c r="AE570" i="3"/>
  <c r="AD570" i="3"/>
  <c r="AE393" i="3"/>
  <c r="AD393" i="3"/>
  <c r="T591" i="3"/>
  <c r="T517" i="3"/>
  <c r="AE339" i="3"/>
  <c r="AD339" i="3"/>
  <c r="AD660" i="3"/>
  <c r="AE660" i="3"/>
  <c r="T514" i="3"/>
  <c r="AE514" i="3"/>
  <c r="AD514" i="3"/>
  <c r="AE541" i="3"/>
  <c r="AD541" i="3"/>
  <c r="AD85" i="3"/>
  <c r="AE85" i="3"/>
  <c r="T277" i="3"/>
  <c r="AE110" i="3"/>
  <c r="AD110" i="3"/>
  <c r="AD627" i="3"/>
  <c r="AE627" i="3"/>
  <c r="T555" i="3"/>
  <c r="T271" i="3"/>
  <c r="AE489" i="3"/>
  <c r="AD489" i="3"/>
  <c r="T596" i="3"/>
  <c r="AE623" i="3"/>
  <c r="AD623" i="3"/>
  <c r="AD488" i="3"/>
  <c r="AE488" i="3"/>
  <c r="AE366" i="3"/>
  <c r="AD366" i="3"/>
  <c r="T435" i="3"/>
  <c r="AE500" i="3"/>
  <c r="AD500" i="3"/>
  <c r="AE606" i="3"/>
  <c r="AD606" i="3"/>
  <c r="AE481" i="3"/>
  <c r="AD481" i="3"/>
  <c r="T417" i="3"/>
  <c r="AE457" i="3"/>
  <c r="AD457" i="3"/>
  <c r="AE694" i="3"/>
  <c r="AD694" i="3"/>
  <c r="T656" i="3"/>
  <c r="AD350" i="3"/>
  <c r="AE350" i="3"/>
  <c r="AD688" i="3"/>
  <c r="AE688" i="3"/>
  <c r="T375" i="3"/>
  <c r="AD403" i="3"/>
  <c r="AE403" i="3"/>
  <c r="T39" i="3"/>
  <c r="T657" i="3"/>
  <c r="AE20" i="3"/>
  <c r="AD20" i="3"/>
  <c r="AD619" i="3"/>
  <c r="AE619" i="3"/>
  <c r="AE571" i="3"/>
  <c r="AD571" i="3"/>
  <c r="T534" i="3"/>
  <c r="T294" i="3"/>
  <c r="AE84" i="3"/>
  <c r="AD84" i="3"/>
  <c r="AD342" i="3"/>
  <c r="AE342" i="3"/>
  <c r="AE549" i="3"/>
  <c r="AD549" i="3"/>
  <c r="AE428" i="3"/>
  <c r="AD428" i="3"/>
  <c r="AD244" i="3"/>
  <c r="AE244" i="3"/>
  <c r="AE791" i="3"/>
  <c r="AD791" i="3"/>
  <c r="T488" i="3"/>
  <c r="AE319" i="3"/>
  <c r="AD319" i="3"/>
  <c r="T207" i="3"/>
  <c r="AD726" i="3"/>
  <c r="AE726" i="3"/>
  <c r="AE456" i="3"/>
  <c r="AD456" i="3"/>
  <c r="AE446" i="3"/>
  <c r="AD446" i="3"/>
  <c r="AE404" i="3"/>
  <c r="AD404" i="3"/>
  <c r="T297" i="3"/>
  <c r="T580" i="3"/>
  <c r="AE581" i="3"/>
  <c r="AD581" i="3"/>
  <c r="AE356" i="3"/>
  <c r="AD356" i="3"/>
  <c r="T314" i="3"/>
  <c r="AE736" i="3"/>
  <c r="AD736" i="3"/>
  <c r="T140" i="3"/>
  <c r="T225" i="3"/>
  <c r="AE596" i="3"/>
  <c r="AD596" i="3"/>
  <c r="AE148" i="3"/>
  <c r="AD148" i="3"/>
  <c r="AE662" i="3"/>
  <c r="AD662" i="3"/>
  <c r="AE8" i="3"/>
  <c r="AD8" i="3"/>
  <c r="T412" i="3"/>
  <c r="AE758" i="3"/>
  <c r="AD758" i="3"/>
  <c r="AD609" i="3"/>
  <c r="AE609" i="3"/>
  <c r="AE783" i="3"/>
  <c r="AD783" i="3"/>
  <c r="AD275" i="3"/>
  <c r="AE275" i="3"/>
  <c r="T42" i="3"/>
  <c r="AE787" i="3"/>
  <c r="AD787" i="3"/>
  <c r="T557" i="3"/>
  <c r="T500" i="3"/>
  <c r="T754" i="3"/>
  <c r="AE776" i="3"/>
  <c r="AD776" i="3"/>
  <c r="AE727" i="3"/>
  <c r="AD727" i="3"/>
  <c r="T296" i="3"/>
  <c r="AD163" i="3"/>
  <c r="AE163" i="3"/>
  <c r="AE154" i="3"/>
  <c r="AD154" i="3"/>
  <c r="AE352" i="3"/>
  <c r="AD352" i="3"/>
  <c r="AE297" i="3"/>
  <c r="AD297" i="3"/>
  <c r="T341" i="3"/>
  <c r="AD523" i="3"/>
  <c r="AE523" i="3"/>
  <c r="AE534" i="3"/>
  <c r="AD534" i="3"/>
  <c r="T400" i="3"/>
  <c r="AE545" i="3"/>
  <c r="AD545" i="3"/>
  <c r="AD527" i="3"/>
  <c r="AE527" i="3"/>
  <c r="T456" i="3"/>
  <c r="AD538" i="3"/>
  <c r="AE538" i="3"/>
  <c r="AE458" i="3"/>
  <c r="AD458" i="3"/>
  <c r="AE30" i="3"/>
  <c r="AD30" i="3"/>
  <c r="T33" i="3"/>
  <c r="AE441" i="3"/>
  <c r="AD441" i="3"/>
  <c r="T740" i="3"/>
  <c r="T350" i="3"/>
  <c r="T113" i="3"/>
  <c r="T595" i="3"/>
  <c r="AE762" i="3"/>
  <c r="AD762" i="3"/>
  <c r="AE722" i="3"/>
  <c r="AD722" i="3"/>
  <c r="AE475" i="3"/>
  <c r="AD475" i="3"/>
  <c r="T267" i="3"/>
  <c r="T371" i="3"/>
  <c r="AE552" i="3"/>
  <c r="AD552" i="3"/>
  <c r="AD190" i="3"/>
  <c r="AE190" i="3"/>
  <c r="T615" i="3"/>
  <c r="AE530" i="3"/>
  <c r="AD530" i="3"/>
  <c r="AD337" i="3"/>
  <c r="AE337" i="3"/>
  <c r="AD631" i="3"/>
  <c r="AE631" i="3"/>
  <c r="AE737" i="3"/>
  <c r="AD737" i="3"/>
  <c r="T372" i="3"/>
  <c r="AE777" i="3"/>
  <c r="AD777" i="3"/>
  <c r="T4" i="3"/>
  <c r="AE644" i="3"/>
  <c r="AD644" i="3"/>
  <c r="AE324" i="3"/>
  <c r="AD324" i="3"/>
  <c r="AE671" i="3"/>
  <c r="AD671" i="3"/>
  <c r="AE305" i="3"/>
  <c r="AD305" i="3"/>
  <c r="T782" i="3"/>
  <c r="T603" i="3"/>
  <c r="AE436" i="3"/>
  <c r="AD436" i="3"/>
  <c r="T242" i="3"/>
  <c r="AE4" i="3"/>
  <c r="AD4" i="3"/>
  <c r="AD443" i="3"/>
  <c r="AE443" i="3"/>
  <c r="AD280" i="3"/>
  <c r="AE280" i="3"/>
  <c r="AE63" i="3"/>
  <c r="AD63" i="3"/>
  <c r="T618" i="3"/>
  <c r="T409" i="3"/>
  <c r="T658" i="3"/>
  <c r="AE365" i="3"/>
  <c r="AD365" i="3"/>
  <c r="AE99" i="3"/>
  <c r="AD99" i="3"/>
  <c r="AE459" i="3"/>
  <c r="AD459" i="3"/>
  <c r="AE196" i="3"/>
  <c r="AD196" i="3"/>
  <c r="AD643" i="3"/>
  <c r="AE643" i="3"/>
  <c r="T692" i="3"/>
  <c r="AE343" i="3"/>
  <c r="AD343" i="3"/>
  <c r="AE605" i="3"/>
  <c r="AD605" i="3"/>
  <c r="AD379" i="3"/>
  <c r="AE379" i="3"/>
  <c r="T391" i="3"/>
  <c r="T581" i="3"/>
  <c r="AE97" i="3"/>
  <c r="AD97" i="3"/>
  <c r="AE450" i="3"/>
  <c r="AD450" i="3"/>
  <c r="AD218" i="3"/>
  <c r="AE218" i="3"/>
  <c r="T785" i="3"/>
  <c r="T480" i="3"/>
  <c r="AE315" i="3"/>
  <c r="AD315" i="3"/>
  <c r="T327" i="3"/>
  <c r="AE390" i="3"/>
  <c r="AD390" i="3"/>
  <c r="T369" i="3"/>
  <c r="AE401" i="3"/>
  <c r="AD401" i="3"/>
  <c r="AE771" i="3"/>
  <c r="AD771" i="3"/>
  <c r="AE584" i="3"/>
  <c r="AD584" i="3"/>
  <c r="T639" i="3"/>
  <c r="T437" i="3"/>
  <c r="T652" i="3"/>
  <c r="AE499" i="3"/>
  <c r="AD499" i="3"/>
  <c r="T459" i="3"/>
  <c r="AE194" i="3"/>
  <c r="AD194" i="3"/>
  <c r="AE372" i="3"/>
  <c r="AD372" i="3"/>
  <c r="T387" i="3"/>
  <c r="AE224" i="3"/>
  <c r="AD224" i="3"/>
  <c r="AE440" i="3"/>
  <c r="AD440" i="3"/>
  <c r="AE756" i="3"/>
  <c r="AD756" i="3"/>
  <c r="T416" i="3"/>
  <c r="AE3" i="3"/>
  <c r="AD3" i="3"/>
  <c r="T627" i="3"/>
  <c r="AE377" i="3"/>
  <c r="AD377" i="3"/>
  <c r="AE594" i="3"/>
  <c r="AD594" i="3"/>
  <c r="AE16" i="3"/>
  <c r="AD16" i="3"/>
  <c r="AE695" i="3"/>
  <c r="AD695" i="3"/>
  <c r="AE367" i="3"/>
  <c r="AD367" i="3"/>
  <c r="T404" i="3"/>
  <c r="AD720" i="3"/>
  <c r="AE720" i="3"/>
  <c r="AD264" i="3"/>
  <c r="AE264" i="3"/>
  <c r="AE427" i="3"/>
  <c r="AD427" i="3"/>
  <c r="AE38" i="3"/>
  <c r="AD38" i="3"/>
  <c r="T8" i="3"/>
  <c r="T729" i="3"/>
  <c r="AE254" i="3"/>
  <c r="AD254" i="3"/>
  <c r="AE138" i="3"/>
  <c r="AD138" i="3"/>
  <c r="AE37" i="3"/>
  <c r="AD37" i="3"/>
  <c r="T395" i="3"/>
  <c r="AE701" i="3"/>
  <c r="AD701" i="3"/>
  <c r="AE252" i="3"/>
  <c r="AD252" i="3"/>
  <c r="AE717" i="3"/>
  <c r="AD717" i="3"/>
  <c r="T185" i="3"/>
  <c r="AE250" i="3"/>
  <c r="AD250" i="3"/>
  <c r="AD639" i="3"/>
  <c r="AE639" i="3"/>
  <c r="AE709" i="3"/>
  <c r="AD709" i="3"/>
  <c r="AE779" i="3"/>
  <c r="AD779" i="3"/>
  <c r="AD396" i="3"/>
  <c r="AE396" i="3"/>
  <c r="AE128" i="3"/>
  <c r="AD128" i="3"/>
  <c r="T121" i="3"/>
  <c r="AE550" i="3"/>
  <c r="AD550" i="3"/>
  <c r="AD575" i="3"/>
  <c r="AE575" i="3"/>
  <c r="AE320" i="3"/>
  <c r="AD320" i="3"/>
  <c r="T70" i="3"/>
  <c r="T421" i="3"/>
  <c r="AE656" i="3"/>
  <c r="AD656" i="3"/>
  <c r="AE501" i="3"/>
  <c r="AD501" i="3"/>
  <c r="AE296" i="3"/>
  <c r="AD296" i="3"/>
  <c r="AE133" i="3"/>
  <c r="AD133" i="3"/>
  <c r="T139" i="3"/>
  <c r="T364" i="3"/>
  <c r="AD400" i="3"/>
  <c r="AE400" i="3"/>
  <c r="T322" i="3"/>
  <c r="AE706" i="3"/>
  <c r="AD706" i="3"/>
  <c r="T679" i="3"/>
  <c r="AD603" i="3"/>
  <c r="AE603" i="3"/>
  <c r="AD789" i="3"/>
  <c r="AE789" i="3"/>
  <c r="AE465" i="3"/>
  <c r="AD465" i="3"/>
  <c r="T467" i="3"/>
  <c r="AE561" i="3"/>
  <c r="AD561" i="3"/>
  <c r="AD392" i="3"/>
  <c r="AE392" i="3"/>
  <c r="T725" i="3"/>
  <c r="T220" i="3"/>
  <c r="AE333" i="3"/>
  <c r="AD333" i="3"/>
  <c r="AE182" i="3"/>
  <c r="AD182" i="3"/>
  <c r="AE360" i="3"/>
  <c r="AD360" i="3"/>
  <c r="AD591" i="3"/>
  <c r="AE591" i="3"/>
  <c r="AE304" i="3"/>
  <c r="AD304" i="3"/>
  <c r="T533" i="3"/>
  <c r="AE201" i="3"/>
  <c r="AD201" i="3"/>
  <c r="AE451" i="3"/>
  <c r="AD451" i="3"/>
  <c r="AE434" i="3"/>
  <c r="AD434" i="3"/>
  <c r="AE134" i="3"/>
  <c r="AD134" i="3"/>
  <c r="AD533" i="3"/>
  <c r="AE533" i="3"/>
  <c r="AE738" i="3"/>
  <c r="AD738" i="3"/>
  <c r="AE131" i="3"/>
  <c r="AD131" i="3"/>
  <c r="T784" i="3"/>
  <c r="AD228" i="3"/>
  <c r="AE228" i="3"/>
  <c r="AE558" i="3"/>
  <c r="AD558" i="3"/>
  <c r="T18" i="3"/>
  <c r="AE9" i="3"/>
  <c r="AD9" i="3"/>
  <c r="AE767" i="3"/>
  <c r="AD767" i="3"/>
  <c r="AE414" i="3"/>
  <c r="AD414" i="3"/>
  <c r="AE613" i="3"/>
  <c r="AD613" i="3"/>
  <c r="T610" i="3"/>
  <c r="T738" i="3"/>
  <c r="AE739" i="3"/>
  <c r="AD739" i="3"/>
  <c r="T541" i="3"/>
  <c r="T602" i="3"/>
  <c r="T233" i="3"/>
  <c r="AE221" i="3"/>
  <c r="AD221" i="3"/>
  <c r="AE54" i="3"/>
  <c r="AD54" i="3"/>
  <c r="AE453" i="3"/>
  <c r="AD453" i="3"/>
  <c r="AE378" i="3"/>
  <c r="AD378" i="3"/>
  <c r="T667" i="3"/>
  <c r="AE480" i="3"/>
  <c r="AD480" i="3"/>
  <c r="T373" i="3"/>
  <c r="AD266" i="3"/>
  <c r="AE266" i="3"/>
  <c r="AE418" i="3"/>
  <c r="AD418" i="3"/>
  <c r="T542" i="3"/>
  <c r="AE168" i="3"/>
  <c r="AD168" i="3"/>
  <c r="T229" i="3"/>
  <c r="T619" i="3"/>
  <c r="T477" i="3"/>
  <c r="AE380" i="3"/>
  <c r="AD380" i="3"/>
  <c r="T487" i="3"/>
  <c r="AD487" i="3"/>
  <c r="AE487" i="3"/>
  <c r="AE537" i="3"/>
  <c r="AD537" i="3"/>
  <c r="T551" i="3"/>
  <c r="T420" i="3"/>
  <c r="T525" i="3"/>
  <c r="T689" i="3"/>
  <c r="T396" i="3"/>
  <c r="T568" i="3"/>
  <c r="AD585" i="3"/>
  <c r="AE585" i="3"/>
  <c r="AD531" i="3"/>
  <c r="AE531" i="3"/>
  <c r="AD564" i="3"/>
  <c r="AE564" i="3"/>
  <c r="AD543" i="3"/>
  <c r="AE543" i="3"/>
  <c r="AD120" i="3"/>
  <c r="AE120" i="3"/>
  <c r="T496" i="3"/>
  <c r="AE586" i="3"/>
  <c r="AD586" i="3"/>
  <c r="AE683" i="3"/>
  <c r="AD683" i="3"/>
  <c r="AE496" i="3"/>
  <c r="AD496" i="3"/>
  <c r="AE114" i="3"/>
  <c r="AD114" i="3"/>
  <c r="AD286" i="3"/>
  <c r="AE286" i="3"/>
  <c r="AE137" i="3"/>
  <c r="AD137" i="3"/>
  <c r="AD299" i="3"/>
  <c r="AE299" i="3"/>
  <c r="AE486" i="3"/>
  <c r="AD486" i="3"/>
  <c r="T673" i="3"/>
  <c r="T165" i="3"/>
  <c r="AE608" i="3"/>
  <c r="AD608" i="3"/>
  <c r="AE112" i="3"/>
  <c r="AD112" i="3"/>
  <c r="AE295" i="3"/>
  <c r="AD295" i="3"/>
  <c r="T340" i="3"/>
  <c r="T405" i="3"/>
  <c r="AE108" i="3"/>
  <c r="AD108" i="3"/>
  <c r="AE167" i="3"/>
  <c r="AD167" i="3"/>
  <c r="AE751" i="3"/>
  <c r="AD751" i="3"/>
  <c r="AE140" i="3"/>
  <c r="AD140" i="3"/>
  <c r="AE279" i="3"/>
  <c r="AD279" i="3"/>
  <c r="T407" i="3"/>
  <c r="T737" i="3"/>
  <c r="AE325" i="3"/>
  <c r="AD325" i="3"/>
  <c r="AD689" i="3"/>
  <c r="AE689" i="3"/>
  <c r="AE526" i="3"/>
  <c r="AD526" i="3"/>
  <c r="AE207" i="3"/>
  <c r="AD207" i="3"/>
  <c r="AE383" i="3"/>
  <c r="AD383" i="3"/>
  <c r="AE205" i="3"/>
  <c r="AD205" i="3"/>
  <c r="AE354" i="3"/>
  <c r="AD354" i="3"/>
  <c r="AE407" i="3"/>
  <c r="AD407" i="3"/>
  <c r="T549" i="3"/>
  <c r="AE149" i="3"/>
  <c r="AD149" i="3"/>
  <c r="T38" i="3"/>
  <c r="AD506" i="3"/>
  <c r="AE506" i="3"/>
  <c r="AE328" i="3"/>
  <c r="AD328" i="3"/>
  <c r="AE597" i="3"/>
  <c r="AD597" i="3"/>
  <c r="T312" i="3"/>
  <c r="T69" i="3"/>
  <c r="AE589" i="3"/>
  <c r="AD589" i="3"/>
  <c r="T698" i="3"/>
  <c r="AD492" i="3"/>
  <c r="AE492" i="3"/>
  <c r="AD330" i="3"/>
  <c r="AE330" i="3"/>
  <c r="AE49" i="3"/>
  <c r="AD49" i="3"/>
  <c r="AE432" i="3"/>
  <c r="AD432" i="3"/>
  <c r="T351" i="3"/>
  <c r="D351" i="3" a="1"/>
  <c r="D351" i="3" s="1"/>
  <c r="AD310" i="3"/>
  <c r="AE310" i="3"/>
  <c r="T600" i="3"/>
  <c r="AD624" i="3"/>
  <c r="AE624" i="3"/>
  <c r="AD277" i="3"/>
  <c r="AE277" i="3"/>
  <c r="AE473" i="3"/>
  <c r="AD473" i="3"/>
  <c r="AE747" i="3"/>
  <c r="AD747" i="3"/>
  <c r="AE351" i="3"/>
  <c r="AD351" i="3"/>
  <c r="T397" i="3"/>
  <c r="AD635" i="3"/>
  <c r="AE635" i="3"/>
  <c r="AD384" i="3"/>
  <c r="AE384" i="3"/>
  <c r="T109" i="3"/>
  <c r="T663" i="3"/>
  <c r="AE139" i="3"/>
  <c r="AD139" i="3"/>
  <c r="T221" i="3"/>
  <c r="AE778" i="3"/>
  <c r="AD778" i="3"/>
  <c r="T712" i="3"/>
  <c r="T217" i="3"/>
  <c r="AE371" i="3"/>
  <c r="AD371" i="3"/>
  <c r="T497" i="3"/>
  <c r="T558" i="3"/>
  <c r="AD567" i="3"/>
  <c r="AE567" i="3"/>
  <c r="T579" i="3"/>
  <c r="T54" i="3"/>
  <c r="AE329" i="3"/>
  <c r="AD329" i="3"/>
  <c r="AE536" i="3"/>
  <c r="AD536" i="3"/>
  <c r="T126" i="3"/>
  <c r="AE253" i="3"/>
  <c r="AD253" i="3"/>
  <c r="AE714" i="3"/>
  <c r="AD714" i="3"/>
  <c r="AE681" i="3"/>
  <c r="AD681" i="3"/>
  <c r="AE546" i="3"/>
  <c r="AD546" i="3"/>
  <c r="T178" i="3"/>
  <c r="AD625" i="3"/>
  <c r="AE625" i="3"/>
  <c r="T238" i="3"/>
  <c r="AE697" i="3"/>
  <c r="AD697" i="3"/>
  <c r="T2" i="3"/>
  <c r="AE760" i="3"/>
  <c r="AD760" i="3"/>
  <c r="AE136" i="3"/>
  <c r="AD136" i="3"/>
  <c r="AE395" i="3"/>
  <c r="AD395" i="3"/>
  <c r="AD781" i="3"/>
  <c r="AE781" i="3"/>
  <c r="AD674" i="3"/>
  <c r="AE674" i="3"/>
  <c r="AE723" i="3"/>
  <c r="AD723" i="3"/>
  <c r="AE237" i="3"/>
  <c r="AD237" i="3"/>
  <c r="AE620" i="3"/>
  <c r="AD620" i="3"/>
  <c r="AE515" i="3"/>
  <c r="AD515" i="3"/>
  <c r="AD651" i="3"/>
  <c r="AE651" i="3"/>
  <c r="AE574" i="3"/>
  <c r="AD574" i="3"/>
  <c r="T385" i="3"/>
  <c r="T696" i="3"/>
  <c r="AE107" i="3"/>
  <c r="AD107" i="3"/>
  <c r="AE782" i="3"/>
  <c r="AD782" i="3"/>
  <c r="AE370" i="3"/>
  <c r="AD370" i="3"/>
  <c r="T269" i="3"/>
  <c r="AD23" i="3"/>
  <c r="AE23" i="3"/>
  <c r="AD287" i="3"/>
  <c r="AE287" i="3"/>
  <c r="AD454" i="3"/>
  <c r="AE454" i="3"/>
  <c r="T393" i="3"/>
  <c r="AE317" i="3"/>
  <c r="AD317" i="3"/>
  <c r="T67" i="3"/>
  <c r="AE774" i="3"/>
  <c r="AD774" i="3"/>
  <c r="AE18" i="3"/>
  <c r="AD18" i="3"/>
  <c r="AD632" i="3"/>
  <c r="AE632" i="3"/>
  <c r="AE100" i="3"/>
  <c r="AD100" i="3"/>
  <c r="AE472" i="3"/>
  <c r="AD472" i="3"/>
  <c r="AE700" i="3"/>
  <c r="AD700" i="3"/>
  <c r="AE576" i="3"/>
  <c r="AD576" i="3"/>
  <c r="T563" i="3"/>
  <c r="AE87" i="3"/>
  <c r="AD87" i="3"/>
  <c r="AE690" i="3"/>
  <c r="AD690" i="3"/>
  <c r="AE766" i="3"/>
  <c r="AD766" i="3"/>
  <c r="AE313" i="3"/>
  <c r="AD313" i="3"/>
  <c r="AE19" i="3"/>
  <c r="AD19" i="3"/>
  <c r="AE248" i="3"/>
  <c r="AD248" i="3"/>
  <c r="T163" i="3"/>
  <c r="AE544" i="3"/>
  <c r="AD544" i="3"/>
  <c r="AE439" i="3"/>
  <c r="AD439" i="3"/>
  <c r="T726" i="3"/>
  <c r="AE745" i="3"/>
  <c r="AD745" i="3"/>
  <c r="T645" i="3"/>
  <c r="T536" i="3"/>
  <c r="AE344" i="3"/>
  <c r="AD344" i="3"/>
  <c r="AD152" i="3"/>
  <c r="AE152" i="3"/>
  <c r="AE132" i="3"/>
  <c r="AD132" i="3"/>
  <c r="AE376" i="3"/>
  <c r="AD376" i="3"/>
  <c r="AD661" i="3"/>
  <c r="AE661" i="3"/>
  <c r="T276" i="3"/>
  <c r="AE562" i="3"/>
  <c r="AD562" i="3"/>
  <c r="AE664" i="3"/>
  <c r="AD664" i="3"/>
  <c r="AE730" i="3"/>
  <c r="AD730" i="3"/>
  <c r="AE425" i="3"/>
  <c r="AD425" i="3"/>
  <c r="T99" i="3"/>
  <c r="T768" i="3"/>
  <c r="AD36" i="3"/>
  <c r="AE36" i="3"/>
  <c r="T519" i="3"/>
  <c r="T399" i="3"/>
  <c r="T173" i="3"/>
  <c r="AE705" i="3"/>
  <c r="AD705" i="3"/>
  <c r="AE788" i="3"/>
  <c r="AD788" i="3"/>
  <c r="AE83" i="3"/>
  <c r="AD83" i="3"/>
  <c r="AE513" i="3"/>
  <c r="AD513" i="3"/>
  <c r="AE42" i="3"/>
  <c r="AD42" i="3"/>
  <c r="AE542" i="3"/>
  <c r="AD542" i="3"/>
  <c r="AD750" i="3"/>
  <c r="AE750" i="3"/>
  <c r="T594" i="3"/>
  <c r="AD284" i="3"/>
  <c r="AE284" i="3"/>
  <c r="T425" i="3"/>
  <c r="AE724" i="3"/>
  <c r="AD724" i="3"/>
  <c r="AD290" i="3"/>
  <c r="AE290" i="3"/>
  <c r="AD322" i="3"/>
  <c r="AE322" i="3"/>
  <c r="T513" i="3"/>
  <c r="AE13" i="3"/>
  <c r="AD13" i="3"/>
  <c r="AD312" i="3"/>
  <c r="AE312" i="3"/>
  <c r="AE462" i="3"/>
  <c r="AD462" i="3"/>
  <c r="AE82" i="3"/>
  <c r="AD82" i="3"/>
  <c r="AE698" i="3"/>
  <c r="AD698" i="3"/>
  <c r="T157" i="3"/>
  <c r="AE399" i="3"/>
  <c r="AD399" i="3"/>
  <c r="AD600" i="3"/>
  <c r="AE600" i="3"/>
  <c r="AE678" i="3"/>
  <c r="AD678" i="3"/>
  <c r="T401" i="3"/>
  <c r="AE557" i="3"/>
  <c r="AD557" i="3"/>
  <c r="AD90" i="3"/>
  <c r="AE90" i="3"/>
  <c r="AE484" i="3"/>
  <c r="AD484" i="3"/>
  <c r="AE491" i="3"/>
  <c r="AD491" i="3"/>
  <c r="T49" i="3"/>
  <c r="AE742" i="3"/>
  <c r="AD742" i="3"/>
  <c r="T774" i="3"/>
  <c r="T482" i="3"/>
  <c r="T278" i="3"/>
  <c r="AE512" i="3"/>
  <c r="AD512" i="3"/>
  <c r="AD302" i="3"/>
  <c r="AE302" i="3"/>
  <c r="AE744" i="3"/>
  <c r="AD744" i="3"/>
  <c r="T700" i="3"/>
  <c r="AE657" i="3"/>
  <c r="AD657" i="3"/>
  <c r="AE21" i="3"/>
  <c r="AD21" i="3"/>
  <c r="AE732" i="3"/>
  <c r="AD732" i="3"/>
  <c r="AE24" i="3"/>
  <c r="AD24" i="3"/>
  <c r="AE518" i="3"/>
  <c r="AD518" i="3"/>
  <c r="T761" i="3"/>
  <c r="T668" i="3"/>
  <c r="AE713" i="3"/>
  <c r="AD713" i="3"/>
  <c r="T167" i="3"/>
  <c r="T130" i="3"/>
  <c r="AD593" i="3"/>
  <c r="AE593" i="3"/>
  <c r="AE721" i="3"/>
  <c r="AD721" i="3"/>
  <c r="AE292" i="3"/>
  <c r="AD292" i="3"/>
  <c r="T37" i="3"/>
  <c r="AD649" i="3"/>
  <c r="AE649" i="3"/>
  <c r="AD519" i="3"/>
  <c r="AE519" i="3"/>
  <c r="T522" i="3"/>
  <c r="AD416" i="3"/>
  <c r="AE416" i="3"/>
  <c r="AE349" i="3"/>
  <c r="AD349" i="3"/>
  <c r="T13" i="3"/>
  <c r="AD172" i="3"/>
  <c r="AE172" i="3"/>
  <c r="AE529" i="3"/>
  <c r="AD529" i="3"/>
  <c r="AE650" i="3"/>
  <c r="AD650" i="3"/>
  <c r="T239" i="3"/>
  <c r="T79" i="3"/>
  <c r="AE708" i="3"/>
  <c r="AD708" i="3"/>
  <c r="AE565" i="3"/>
  <c r="AD565" i="3"/>
  <c r="T485" i="3"/>
  <c r="AE617" i="3"/>
  <c r="AD617" i="3"/>
  <c r="AE577" i="3"/>
  <c r="AD577" i="3"/>
  <c r="AE757" i="3"/>
  <c r="AD757" i="3"/>
  <c r="AD511" i="3"/>
  <c r="AE511" i="3"/>
  <c r="T462" i="3"/>
  <c r="AE387" i="3"/>
  <c r="AD387" i="3"/>
  <c r="T152" i="3"/>
  <c r="AE122" i="3"/>
  <c r="AD122" i="3"/>
  <c r="AD494" i="3"/>
  <c r="AE494" i="3"/>
  <c r="T527" i="3"/>
  <c r="AE355" i="3"/>
  <c r="AD355" i="3"/>
  <c r="T382" i="3"/>
  <c r="AD517" i="3"/>
  <c r="AE517" i="3"/>
  <c r="AD391" i="3"/>
  <c r="AE391" i="3"/>
  <c r="T359" i="3"/>
  <c r="T695" i="3"/>
  <c r="AE503" i="3"/>
  <c r="AD503" i="3"/>
  <c r="AE668" i="3"/>
  <c r="AD668" i="3"/>
  <c r="AD773" i="3"/>
  <c r="AE773" i="3"/>
  <c r="AE381" i="3"/>
  <c r="AD381" i="3"/>
  <c r="AE718" i="3"/>
  <c r="AD718" i="3"/>
  <c r="AE755" i="3"/>
  <c r="AD755" i="3"/>
  <c r="AE236" i="3"/>
  <c r="AD236" i="3"/>
  <c r="AD483" i="3"/>
  <c r="AE483" i="3"/>
  <c r="T307" i="3"/>
  <c r="AE587" i="3"/>
  <c r="AD587" i="3"/>
  <c r="AE748" i="3"/>
  <c r="AD748" i="3"/>
  <c r="T284" i="3"/>
  <c r="AE680" i="3"/>
  <c r="AD680" i="3"/>
  <c r="AE179" i="3"/>
  <c r="AD179" i="3"/>
  <c r="AE364" i="3"/>
  <c r="AD364" i="3"/>
  <c r="AE202" i="3"/>
  <c r="AD202" i="3"/>
  <c r="AE520" i="3"/>
  <c r="AD520" i="3"/>
  <c r="AE652" i="3"/>
  <c r="AD652" i="3"/>
  <c r="AE464" i="3"/>
  <c r="AD464" i="3"/>
  <c r="AE261" i="3"/>
  <c r="AD261" i="3"/>
  <c r="AE692" i="3"/>
  <c r="AD692" i="3"/>
  <c r="AE232" i="3"/>
  <c r="AD232" i="3"/>
  <c r="AE719" i="3"/>
  <c r="AD719" i="3"/>
  <c r="AE70" i="3"/>
  <c r="AD70" i="3"/>
  <c r="AE628" i="3"/>
  <c r="AD628" i="3"/>
  <c r="T118" i="3"/>
  <c r="AE630" i="3"/>
  <c r="AD630" i="3"/>
  <c r="T614" i="3"/>
  <c r="AE667" i="3"/>
  <c r="AD667" i="3"/>
  <c r="T367" i="3"/>
  <c r="T193" i="3"/>
  <c r="AE272" i="3"/>
  <c r="AD272" i="3"/>
  <c r="AD263" i="3"/>
  <c r="AE263" i="3"/>
  <c r="T380" i="3"/>
  <c r="AE173" i="3"/>
  <c r="AD173" i="3"/>
  <c r="AE50" i="3"/>
  <c r="AD50" i="3"/>
  <c r="AE618" i="3"/>
  <c r="AD618" i="3"/>
  <c r="AE740" i="3"/>
  <c r="AD740" i="3"/>
  <c r="T446" i="3"/>
  <c r="T21" i="3"/>
  <c r="AE71" i="3"/>
  <c r="AD71" i="3"/>
  <c r="AE348" i="3"/>
  <c r="AD348" i="3"/>
  <c r="T107" i="3"/>
  <c r="AD276" i="3"/>
  <c r="AE276" i="3"/>
  <c r="T266" i="3"/>
  <c r="AE307" i="3"/>
  <c r="AD307" i="3"/>
  <c r="AE11" i="3"/>
  <c r="AD11" i="3"/>
  <c r="T262" i="3"/>
  <c r="T218" i="3"/>
  <c r="T329" i="3"/>
  <c r="AD795" i="3"/>
  <c r="AE795" i="3"/>
  <c r="AD273" i="3"/>
  <c r="AE273" i="3"/>
  <c r="T471" i="3"/>
  <c r="AE772" i="3"/>
  <c r="AD772" i="3"/>
  <c r="AE195" i="3"/>
  <c r="AD195" i="3"/>
  <c r="T16" i="3"/>
  <c r="AE551" i="3"/>
  <c r="AD551" i="3"/>
  <c r="T319" i="3"/>
  <c r="AE375" i="3"/>
  <c r="AD375" i="3"/>
  <c r="AE696" i="3"/>
  <c r="AD696" i="3"/>
  <c r="T3" i="3"/>
  <c r="AE461" i="3"/>
  <c r="AD461" i="3"/>
  <c r="T368" i="3"/>
  <c r="AE654" i="3"/>
  <c r="AD654" i="3"/>
  <c r="T771" i="3"/>
  <c r="T634" i="3"/>
  <c r="T747" i="3"/>
  <c r="AD638" i="3"/>
  <c r="AE638" i="3"/>
  <c r="AE504" i="3"/>
  <c r="AD504" i="3"/>
  <c r="AE734" i="3"/>
  <c r="AD734" i="3"/>
  <c r="AE338" i="3"/>
  <c r="AD338" i="3"/>
  <c r="AD510" i="3"/>
  <c r="AE510" i="3"/>
  <c r="AE373" i="3"/>
  <c r="AD373" i="3"/>
  <c r="AE65" i="3"/>
  <c r="AD65" i="3"/>
  <c r="AE429" i="3"/>
  <c r="AD429" i="3"/>
  <c r="AE704" i="3"/>
  <c r="AD704" i="3"/>
  <c r="T763" i="3"/>
  <c r="T681" i="3"/>
  <c r="AE553" i="3"/>
  <c r="AD553" i="3"/>
  <c r="AE710" i="3"/>
  <c r="AD710" i="3"/>
  <c r="T32" i="3"/>
  <c r="AD265" i="3"/>
  <c r="AE265" i="3"/>
  <c r="AE532" i="3"/>
  <c r="AD532" i="3"/>
  <c r="T749" i="3"/>
  <c r="AE616" i="3"/>
  <c r="AD616" i="3"/>
  <c r="AE171" i="3"/>
  <c r="AD171" i="3"/>
  <c r="AE424" i="3"/>
  <c r="AD424" i="3"/>
  <c r="AD604" i="3"/>
  <c r="AE604" i="3"/>
  <c r="T352" i="3"/>
  <c r="AD670" i="3"/>
  <c r="AE670" i="3"/>
  <c r="AE363" i="3"/>
  <c r="AD363" i="3"/>
  <c r="T394" i="3"/>
  <c r="AD502" i="3"/>
  <c r="AE502" i="3"/>
  <c r="T106" i="3"/>
  <c r="T509" i="3"/>
  <c r="AD610" i="3"/>
  <c r="AE610" i="3"/>
  <c r="AE294" i="3"/>
  <c r="AD294" i="3"/>
  <c r="AE554" i="3"/>
  <c r="AD554" i="3"/>
  <c r="AE409" i="3"/>
  <c r="AD409" i="3"/>
  <c r="AD525" i="3"/>
  <c r="AE525" i="3"/>
  <c r="T661" i="3"/>
  <c r="AE106" i="3"/>
  <c r="AD106" i="3"/>
  <c r="T642" i="3"/>
  <c r="AE728" i="3"/>
  <c r="AD728" i="3"/>
  <c r="AE397" i="3"/>
  <c r="AD397" i="3"/>
  <c r="I390" i="11" l="1"/>
  <c r="I359" i="11"/>
  <c r="I121" i="11"/>
  <c r="I437" i="11"/>
  <c r="I338" i="11"/>
  <c r="I438" i="11"/>
  <c r="I439" i="11"/>
  <c r="I422" i="11"/>
  <c r="I404" i="11"/>
  <c r="I391" i="11"/>
  <c r="I287" i="11"/>
  <c r="I429" i="11"/>
  <c r="I326" i="11"/>
  <c r="I308" i="11"/>
  <c r="I440" i="11"/>
  <c r="I430" i="11"/>
  <c r="I401" i="11"/>
  <c r="I370" i="11"/>
  <c r="I361" i="11"/>
  <c r="I432" i="11"/>
  <c r="I405" i="11"/>
  <c r="I424" i="11"/>
  <c r="I358" i="11"/>
  <c r="I333" i="11"/>
  <c r="I266" i="11"/>
  <c r="I140" i="11"/>
  <c r="I137" i="11"/>
  <c r="I441" i="11"/>
  <c r="I350" i="11"/>
  <c r="I253" i="11"/>
  <c r="I232" i="11"/>
  <c r="I435" i="11"/>
  <c r="I382" i="11"/>
  <c r="M382" i="11" s="1"/>
  <c r="I285" i="11"/>
  <c r="I385" i="11"/>
  <c r="M385" i="11" s="1"/>
  <c r="I364" i="11"/>
  <c r="I294" i="11"/>
  <c r="I263" i="11"/>
  <c r="I442" i="11"/>
  <c r="I393" i="11"/>
  <c r="I337" i="11"/>
  <c r="I201" i="11"/>
  <c r="I412" i="11"/>
  <c r="I340" i="11"/>
  <c r="I274" i="11"/>
  <c r="I233" i="11"/>
  <c r="I217" i="11"/>
  <c r="I434" i="11"/>
  <c r="I423" i="11"/>
  <c r="I383" i="11"/>
  <c r="M383" i="11" s="1"/>
  <c r="I169" i="11"/>
  <c r="I136" i="11"/>
  <c r="I464" i="11"/>
  <c r="I381" i="11"/>
  <c r="I341" i="11"/>
  <c r="I187" i="11"/>
  <c r="I123" i="11"/>
  <c r="I386" i="11"/>
  <c r="I220" i="11"/>
  <c r="I112" i="11"/>
  <c r="I104" i="11"/>
  <c r="I231" i="11"/>
  <c r="I172" i="11"/>
  <c r="I59" i="11"/>
  <c r="I426" i="11"/>
  <c r="I262" i="11"/>
  <c r="I218" i="11"/>
  <c r="I185" i="11"/>
  <c r="I152" i="11"/>
  <c r="I62" i="11"/>
  <c r="I351" i="11"/>
  <c r="I252" i="11"/>
  <c r="I205" i="11"/>
  <c r="I77" i="11"/>
  <c r="I171" i="11"/>
  <c r="I49" i="11"/>
  <c r="I111" i="11"/>
  <c r="I81" i="11"/>
  <c r="I371" i="11"/>
  <c r="I155" i="11"/>
  <c r="I433" i="11"/>
  <c r="I349" i="11"/>
  <c r="I176" i="11"/>
  <c r="I79" i="11"/>
  <c r="I417" i="11"/>
  <c r="I319" i="11"/>
  <c r="I192" i="11"/>
  <c r="I153" i="11"/>
  <c r="I93" i="11"/>
  <c r="I72" i="11"/>
  <c r="I47" i="11"/>
  <c r="I317" i="11"/>
  <c r="I309" i="11"/>
  <c r="I295" i="11"/>
  <c r="I290" i="11"/>
  <c r="I248" i="11"/>
  <c r="I443" i="11"/>
  <c r="I402" i="11"/>
  <c r="I221" i="11"/>
  <c r="I63" i="11"/>
  <c r="I275" i="11"/>
  <c r="I127" i="11"/>
  <c r="I269" i="11"/>
  <c r="I120" i="11"/>
  <c r="I348" i="11"/>
  <c r="I265" i="11"/>
  <c r="I107" i="11"/>
  <c r="I465" i="11"/>
  <c r="I415" i="11"/>
  <c r="I363" i="11"/>
  <c r="I299" i="11"/>
  <c r="I92" i="11"/>
  <c r="M92" i="11" s="1"/>
  <c r="I413" i="11"/>
  <c r="I168" i="11"/>
  <c r="I392" i="11"/>
  <c r="I238" i="11"/>
  <c r="I97" i="11"/>
  <c r="I75" i="11"/>
  <c r="I43" i="11"/>
  <c r="I306" i="11"/>
  <c r="I122" i="11"/>
  <c r="I327" i="11"/>
  <c r="I222" i="11"/>
  <c r="I298" i="11"/>
  <c r="I145" i="11"/>
  <c r="I296" i="11"/>
  <c r="I332" i="11"/>
  <c r="I237" i="11"/>
  <c r="I206" i="11"/>
  <c r="I188" i="11"/>
  <c r="I184" i="11"/>
  <c r="I113" i="11"/>
  <c r="I108" i="11"/>
  <c r="I328" i="11"/>
  <c r="I73" i="11"/>
  <c r="I60" i="11"/>
  <c r="I128" i="11"/>
  <c r="I256" i="11"/>
  <c r="I278" i="11"/>
  <c r="I280" i="11"/>
  <c r="M280" i="11" s="1"/>
  <c r="I56" i="11"/>
  <c r="I2" i="11"/>
  <c r="I12" i="11"/>
  <c r="I82" i="11"/>
  <c r="I19" i="11"/>
  <c r="I166" i="11"/>
  <c r="I276" i="11"/>
  <c r="I7" i="11"/>
  <c r="I445" i="11"/>
  <c r="I204" i="11"/>
  <c r="I414" i="11"/>
  <c r="I403" i="11"/>
  <c r="I226" i="11"/>
  <c r="I80" i="11"/>
  <c r="I173" i="11"/>
  <c r="I15" i="11"/>
  <c r="I271" i="11"/>
  <c r="I105" i="11"/>
  <c r="I116" i="11"/>
  <c r="I389" i="11"/>
  <c r="I311" i="11"/>
  <c r="I355" i="11"/>
  <c r="I279" i="11"/>
  <c r="I331" i="11"/>
  <c r="I264" i="11"/>
  <c r="I71" i="11"/>
  <c r="I315" i="11"/>
  <c r="I208" i="11"/>
  <c r="I394" i="11"/>
  <c r="I53" i="11"/>
  <c r="I146" i="11"/>
  <c r="I244" i="11"/>
  <c r="I219" i="11"/>
  <c r="I39" i="11"/>
  <c r="I23" i="11"/>
  <c r="I159" i="11"/>
  <c r="I31" i="11"/>
  <c r="I339" i="11"/>
  <c r="I175" i="11"/>
  <c r="I85" i="11"/>
  <c r="I149" i="11"/>
  <c r="I22" i="11"/>
  <c r="I117" i="11"/>
  <c r="I115" i="11"/>
  <c r="I323" i="11"/>
  <c r="I95" i="11"/>
  <c r="I419" i="11"/>
  <c r="I163" i="11"/>
  <c r="I379" i="11"/>
  <c r="I250" i="11"/>
  <c r="I91" i="11"/>
  <c r="I141" i="11"/>
  <c r="I446" i="11"/>
  <c r="I182" i="11"/>
  <c r="I321" i="11"/>
  <c r="I100" i="11"/>
  <c r="I32" i="11"/>
  <c r="I20" i="11"/>
  <c r="I16" i="11"/>
  <c r="I342" i="11"/>
  <c r="I86" i="11"/>
  <c r="M86" i="11" s="1"/>
  <c r="I455" i="11"/>
  <c r="I225" i="11"/>
  <c r="I374" i="11"/>
  <c r="I407" i="11"/>
  <c r="I400" i="11"/>
  <c r="I272" i="11"/>
  <c r="I409" i="11"/>
  <c r="I235" i="11"/>
  <c r="I5" i="11"/>
  <c r="I395" i="11"/>
  <c r="I353" i="11"/>
  <c r="I362" i="11"/>
  <c r="I259" i="11"/>
  <c r="I411" i="11"/>
  <c r="I420" i="11"/>
  <c r="I334" i="11"/>
  <c r="I302" i="11"/>
  <c r="I366" i="11"/>
  <c r="I356" i="11"/>
  <c r="I44" i="11"/>
  <c r="I450" i="11"/>
  <c r="I150" i="11"/>
  <c r="I10" i="11"/>
  <c r="I267" i="11"/>
  <c r="I90" i="11"/>
  <c r="M90" i="11" s="1"/>
  <c r="I48" i="11"/>
  <c r="I284" i="11"/>
  <c r="I195" i="11"/>
  <c r="I376" i="11"/>
  <c r="I365" i="11"/>
  <c r="I449" i="11"/>
  <c r="I135" i="11"/>
  <c r="I357" i="11"/>
  <c r="I99" i="11"/>
  <c r="I255" i="11"/>
  <c r="I29" i="11"/>
  <c r="I160" i="11"/>
  <c r="I74" i="11"/>
  <c r="I241" i="11"/>
  <c r="I147" i="11"/>
  <c r="I301" i="11"/>
  <c r="I89" i="11"/>
  <c r="M89" i="11" s="1"/>
  <c r="I193" i="11"/>
  <c r="I313" i="11"/>
  <c r="I228" i="11"/>
  <c r="I462" i="11"/>
  <c r="I24" i="11"/>
  <c r="I236" i="11"/>
  <c r="I410" i="11"/>
  <c r="I157" i="11"/>
  <c r="I186" i="11"/>
  <c r="I109" i="11"/>
  <c r="I425" i="11"/>
  <c r="I343" i="11"/>
  <c r="I148" i="11"/>
  <c r="I330" i="11"/>
  <c r="I124" i="11"/>
  <c r="I84" i="11"/>
  <c r="I132" i="11"/>
  <c r="I45" i="11"/>
  <c r="I133" i="11"/>
  <c r="I377" i="11"/>
  <c r="I209" i="11"/>
  <c r="I384" i="11"/>
  <c r="M384" i="11" s="1"/>
  <c r="I399" i="11"/>
  <c r="I167" i="11"/>
  <c r="M167" i="11" s="1"/>
  <c r="I456" i="11"/>
  <c r="I254" i="11"/>
  <c r="I461" i="11"/>
  <c r="I227" i="11"/>
  <c r="I344" i="11"/>
  <c r="I64" i="11"/>
  <c r="I460" i="11"/>
  <c r="I191" i="11"/>
  <c r="I281" i="11"/>
  <c r="I230" i="11"/>
  <c r="I18" i="11"/>
  <c r="I387" i="11"/>
  <c r="I51" i="11"/>
  <c r="I314" i="11"/>
  <c r="I421" i="11"/>
  <c r="I245" i="11"/>
  <c r="I229" i="11"/>
  <c r="I396" i="11"/>
  <c r="I289" i="11"/>
  <c r="I251" i="11"/>
  <c r="I98" i="11"/>
  <c r="I144" i="11"/>
  <c r="I178" i="11"/>
  <c r="I28" i="11"/>
  <c r="I161" i="11"/>
  <c r="M161" i="11" s="1"/>
  <c r="I360" i="11"/>
  <c r="I346" i="11"/>
  <c r="M346" i="11" s="1"/>
  <c r="D548" i="3" s="1" a="1"/>
  <c r="D548" i="3" s="1"/>
  <c r="I451" i="11"/>
  <c r="I196" i="11"/>
  <c r="I33" i="11"/>
  <c r="I310" i="11"/>
  <c r="I345" i="11"/>
  <c r="I126" i="11"/>
  <c r="I207" i="11"/>
  <c r="I58" i="11"/>
  <c r="I4" i="11"/>
  <c r="I21" i="11"/>
  <c r="I94" i="11"/>
  <c r="I380" i="11"/>
  <c r="I30" i="11"/>
  <c r="I325" i="11"/>
  <c r="I125" i="11"/>
  <c r="I260" i="11"/>
  <c r="I46" i="11"/>
  <c r="I293" i="11"/>
  <c r="I234" i="11"/>
  <c r="I347" i="11"/>
  <c r="I69" i="11"/>
  <c r="I459" i="11"/>
  <c r="I270" i="11"/>
  <c r="I372" i="11"/>
  <c r="I96" i="11"/>
  <c r="I354" i="11"/>
  <c r="I61" i="11"/>
  <c r="I286" i="11"/>
  <c r="I110" i="11"/>
  <c r="I65" i="11"/>
  <c r="I283" i="11"/>
  <c r="I216" i="11"/>
  <c r="I300" i="11"/>
  <c r="I54" i="11"/>
  <c r="I202" i="11"/>
  <c r="I37" i="11"/>
  <c r="I129" i="11"/>
  <c r="I288" i="11"/>
  <c r="I397" i="11"/>
  <c r="I25" i="11"/>
  <c r="I13" i="11"/>
  <c r="I103" i="11"/>
  <c r="I297" i="11"/>
  <c r="I336" i="11"/>
  <c r="I214" i="11"/>
  <c r="I183" i="11"/>
  <c r="I143" i="11"/>
  <c r="I223" i="11"/>
  <c r="J3" i="10" s="1"/>
  <c r="I277" i="11"/>
  <c r="I40" i="11"/>
  <c r="I453" i="11"/>
  <c r="I8" i="11"/>
  <c r="I17" i="11"/>
  <c r="I444" i="11"/>
  <c r="I190" i="11"/>
  <c r="I118" i="11"/>
  <c r="I134" i="11"/>
  <c r="I68" i="11"/>
  <c r="I243" i="11"/>
  <c r="I273" i="11"/>
  <c r="I448" i="11"/>
  <c r="I329" i="11"/>
  <c r="I406" i="11"/>
  <c r="I162" i="11"/>
  <c r="I324" i="11"/>
  <c r="I203" i="11"/>
  <c r="I369" i="11"/>
  <c r="I158" i="11"/>
  <c r="I239" i="11"/>
  <c r="I224" i="11"/>
  <c r="I282" i="11"/>
  <c r="I307" i="11"/>
  <c r="I26" i="11"/>
  <c r="I352" i="11"/>
  <c r="I78" i="11"/>
  <c r="I215" i="11"/>
  <c r="I154" i="11"/>
  <c r="I42" i="11"/>
  <c r="I447" i="11"/>
  <c r="I240" i="11"/>
  <c r="I114" i="11"/>
  <c r="I242" i="11"/>
  <c r="I88" i="11"/>
  <c r="I165" i="11"/>
  <c r="M165" i="11" s="1"/>
  <c r="I373" i="11"/>
  <c r="I388" i="11"/>
  <c r="I457" i="11"/>
  <c r="I431" i="11"/>
  <c r="I212" i="11"/>
  <c r="I463" i="11"/>
  <c r="I257" i="11"/>
  <c r="I14" i="11"/>
  <c r="I452" i="11"/>
  <c r="I213" i="11"/>
  <c r="I427" i="11"/>
  <c r="I11" i="11"/>
  <c r="I156" i="11"/>
  <c r="I268" i="11"/>
  <c r="I320" i="11"/>
  <c r="M320" i="11" s="1"/>
  <c r="I36" i="11"/>
  <c r="I142" i="11"/>
  <c r="I247" i="11"/>
  <c r="M247" i="11" s="1"/>
  <c r="I335" i="11"/>
  <c r="M335" i="11" s="1"/>
  <c r="D536" i="3" s="1" a="1"/>
  <c r="D536" i="3" s="1"/>
  <c r="I34" i="11"/>
  <c r="I249" i="11"/>
  <c r="I131" i="11"/>
  <c r="I138" i="11"/>
  <c r="I318" i="11"/>
  <c r="I50" i="11"/>
  <c r="I174" i="11"/>
  <c r="I408" i="11"/>
  <c r="I428" i="11"/>
  <c r="I378" i="11"/>
  <c r="I416" i="11"/>
  <c r="I194" i="11"/>
  <c r="I436" i="11"/>
  <c r="I189" i="11"/>
  <c r="I210" i="11"/>
  <c r="I312" i="11"/>
  <c r="I57" i="11"/>
  <c r="I41" i="11"/>
  <c r="I164" i="11"/>
  <c r="M164" i="11" s="1"/>
  <c r="I139" i="11"/>
  <c r="I38" i="11"/>
  <c r="I101" i="11"/>
  <c r="I197" i="11"/>
  <c r="I258" i="11"/>
  <c r="I55" i="11"/>
  <c r="I181" i="11"/>
  <c r="I35" i="11"/>
  <c r="I199" i="11"/>
  <c r="I102" i="11"/>
  <c r="I179" i="11"/>
  <c r="I322" i="11"/>
  <c r="I303" i="11"/>
  <c r="I76" i="11"/>
  <c r="I6" i="11"/>
  <c r="I466" i="11"/>
  <c r="M466" i="11" s="1"/>
  <c r="I375" i="11"/>
  <c r="I367" i="11"/>
  <c r="I3" i="11"/>
  <c r="I151" i="11"/>
  <c r="I67" i="11"/>
  <c r="I200" i="11"/>
  <c r="I83" i="11"/>
  <c r="I177" i="11"/>
  <c r="I130" i="11"/>
  <c r="I52" i="11"/>
  <c r="I106" i="11"/>
  <c r="I70" i="11"/>
  <c r="I180" i="11"/>
  <c r="I304" i="11"/>
  <c r="I454" i="11"/>
  <c r="I291" i="11"/>
  <c r="I211" i="11"/>
  <c r="I66" i="11"/>
  <c r="I292" i="11"/>
  <c r="I27" i="11"/>
  <c r="I316" i="11"/>
  <c r="I368" i="11"/>
  <c r="I261" i="11"/>
  <c r="I398" i="11"/>
  <c r="I418" i="11"/>
  <c r="I119" i="11"/>
  <c r="I246" i="11"/>
  <c r="I198" i="11"/>
  <c r="I458" i="11"/>
  <c r="I305" i="11"/>
  <c r="I9" i="11"/>
  <c r="I170" i="11"/>
  <c r="I87" i="11"/>
  <c r="E22" i="10" l="1"/>
  <c r="M21" i="11"/>
  <c r="D38" i="3" s="1" a="1"/>
  <c r="D38" i="3" s="1"/>
  <c r="M409" i="11"/>
  <c r="O7" i="10"/>
  <c r="M248" i="11"/>
  <c r="D393" i="3" s="1" a="1"/>
  <c r="D393" i="3" s="1"/>
  <c r="J83" i="10"/>
  <c r="E7" i="10"/>
  <c r="M6" i="11"/>
  <c r="M96" i="11"/>
  <c r="F20" i="10"/>
  <c r="M272" i="11"/>
  <c r="D417" i="3" s="1" a="1"/>
  <c r="D417" i="3" s="1"/>
  <c r="K31" i="10"/>
  <c r="M371" i="11"/>
  <c r="M21" i="10"/>
  <c r="M57" i="11"/>
  <c r="F51" i="10"/>
  <c r="D51" i="10" s="1"/>
  <c r="K21" i="10"/>
  <c r="M289" i="11"/>
  <c r="D450" i="3" s="1" a="1"/>
  <c r="D450" i="3" s="1"/>
  <c r="J18" i="10"/>
  <c r="M250" i="11"/>
  <c r="D395" i="3" s="1" a="1"/>
  <c r="D395" i="3" s="1"/>
  <c r="M53" i="10"/>
  <c r="M363" i="11"/>
  <c r="M308" i="11"/>
  <c r="D487" i="3" s="1" a="1"/>
  <c r="D487" i="3" s="1"/>
  <c r="L19" i="10"/>
  <c r="M190" i="11"/>
  <c r="H7" i="10"/>
  <c r="F28" i="10"/>
  <c r="D28" i="10" s="1"/>
  <c r="M29" i="11"/>
  <c r="D49" i="3" s="1" a="1"/>
  <c r="D49" i="3" s="1"/>
  <c r="M145" i="11"/>
  <c r="D202" i="3" s="1" a="1"/>
  <c r="D202" i="3" s="1"/>
  <c r="G60" i="10"/>
  <c r="M60" i="10"/>
  <c r="M350" i="11"/>
  <c r="M444" i="11"/>
  <c r="P10" i="10"/>
  <c r="M340" i="11"/>
  <c r="M61" i="10"/>
  <c r="M142" i="11"/>
  <c r="D199" i="3" s="1" a="1"/>
  <c r="D199" i="3" s="1"/>
  <c r="G57" i="10"/>
  <c r="M245" i="11"/>
  <c r="D390" i="3" s="1" a="1"/>
  <c r="D390" i="3" s="1"/>
  <c r="J61" i="10"/>
  <c r="M173" i="11"/>
  <c r="D245" i="3" s="1" a="1"/>
  <c r="D245" i="3" s="1"/>
  <c r="G80" i="10"/>
  <c r="D80" i="10" s="1"/>
  <c r="N17" i="10"/>
  <c r="M399" i="11"/>
  <c r="D685" i="3" s="1" a="1"/>
  <c r="D685" i="3" s="1"/>
  <c r="M53" i="11"/>
  <c r="D73" i="3" s="1" a="1"/>
  <c r="D73" i="3" s="1"/>
  <c r="F48" i="10"/>
  <c r="D48" i="10" s="1"/>
  <c r="M386" i="11"/>
  <c r="D657" i="3" s="1" a="1"/>
  <c r="D657" i="3" s="1"/>
  <c r="N3" i="10"/>
  <c r="H20" i="10"/>
  <c r="M199" i="11"/>
  <c r="M453" i="11"/>
  <c r="D774" i="3" s="1" a="1"/>
  <c r="D774" i="3" s="1"/>
  <c r="P80" i="10"/>
  <c r="J20" i="10"/>
  <c r="M236" i="11"/>
  <c r="M22" i="10"/>
  <c r="M348" i="11"/>
  <c r="N16" i="10"/>
  <c r="M398" i="11"/>
  <c r="F37" i="10"/>
  <c r="D37" i="10" s="1"/>
  <c r="M40" i="11"/>
  <c r="D60" i="3" s="1" a="1"/>
  <c r="D60" i="3" s="1"/>
  <c r="F46" i="10"/>
  <c r="D46" i="10" s="1"/>
  <c r="M51" i="11"/>
  <c r="D71" i="3" s="1" a="1"/>
  <c r="D71" i="3" s="1"/>
  <c r="O19" i="10"/>
  <c r="M420" i="11"/>
  <c r="D726" i="3" s="1" a="1"/>
  <c r="D726" i="3" s="1"/>
  <c r="M208" i="11"/>
  <c r="I9" i="10"/>
  <c r="G38" i="10"/>
  <c r="M120" i="11"/>
  <c r="D177" i="3" s="1" a="1"/>
  <c r="D177" i="3" s="1"/>
  <c r="M393" i="11"/>
  <c r="N7" i="10"/>
  <c r="M83" i="11"/>
  <c r="D103" i="3" s="1" a="1"/>
  <c r="D103" i="3" s="1"/>
  <c r="F73" i="10"/>
  <c r="M114" i="11"/>
  <c r="D171" i="3" s="1" a="1"/>
  <c r="D171" i="3" s="1"/>
  <c r="G33" i="10"/>
  <c r="M277" i="11"/>
  <c r="K10" i="10"/>
  <c r="L9" i="10"/>
  <c r="M300" i="11"/>
  <c r="M46" i="11"/>
  <c r="D66" i="3" s="1" a="1"/>
  <c r="D66" i="3" s="1"/>
  <c r="F6" i="10"/>
  <c r="P74" i="10"/>
  <c r="M451" i="11"/>
  <c r="D772" i="3" s="1" a="1"/>
  <c r="D772" i="3" s="1"/>
  <c r="M387" i="11"/>
  <c r="N4" i="10"/>
  <c r="M377" i="11"/>
  <c r="D625" i="3" s="1" a="1"/>
  <c r="D625" i="3" s="1"/>
  <c r="M49" i="10"/>
  <c r="M462" i="11"/>
  <c r="D785" i="3" s="1" a="1"/>
  <c r="D785" i="3" s="1"/>
  <c r="P19" i="10"/>
  <c r="M365" i="11"/>
  <c r="M15" i="10"/>
  <c r="O9" i="10"/>
  <c r="M411" i="11"/>
  <c r="M16" i="11"/>
  <c r="D30" i="3" s="1" a="1"/>
  <c r="D30" i="3" s="1"/>
  <c r="E17" i="10"/>
  <c r="M117" i="11"/>
  <c r="D174" i="3" s="1" a="1"/>
  <c r="D174" i="3" s="1"/>
  <c r="G35" i="10"/>
  <c r="M315" i="11"/>
  <c r="D499" i="3" s="1" a="1"/>
  <c r="D499" i="3" s="1"/>
  <c r="L41" i="10"/>
  <c r="O12" i="10"/>
  <c r="M414" i="11"/>
  <c r="F65" i="10"/>
  <c r="M73" i="11"/>
  <c r="D93" i="3" s="1" a="1"/>
  <c r="D93" i="3" s="1"/>
  <c r="M43" i="11"/>
  <c r="F4" i="10"/>
  <c r="M269" i="11"/>
  <c r="D414" i="3" s="1" a="1"/>
  <c r="D414" i="3" s="1"/>
  <c r="K41" i="10"/>
  <c r="M192" i="11"/>
  <c r="H9" i="10"/>
  <c r="M351" i="11"/>
  <c r="D553" i="3" s="1" a="1"/>
  <c r="D553" i="3" s="1"/>
  <c r="M86" i="10"/>
  <c r="M341" i="11"/>
  <c r="D543" i="3" s="1" a="1"/>
  <c r="D543" i="3" s="1"/>
  <c r="M88" i="10"/>
  <c r="M442" i="11"/>
  <c r="D753" i="3" s="1" a="1"/>
  <c r="D753" i="3" s="1"/>
  <c r="P8" i="10"/>
  <c r="M358" i="11"/>
  <c r="M34" i="10"/>
  <c r="M439" i="11"/>
  <c r="P5" i="10"/>
  <c r="M352" i="11"/>
  <c r="M47" i="10"/>
  <c r="M98" i="11"/>
  <c r="D155" i="3" s="1" a="1"/>
  <c r="D155" i="3" s="1"/>
  <c r="G23" i="10"/>
  <c r="M82" i="11"/>
  <c r="D102" i="3" s="1" a="1"/>
  <c r="D102" i="3" s="1"/>
  <c r="F72" i="10"/>
  <c r="D72" i="10" s="1"/>
  <c r="M434" i="11"/>
  <c r="D745" i="3" s="1" a="1"/>
  <c r="D745" i="3" s="1"/>
  <c r="O41" i="10"/>
  <c r="F38" i="10"/>
  <c r="M41" i="11"/>
  <c r="D61" i="3" s="1" a="1"/>
  <c r="D61" i="3" s="1"/>
  <c r="E5" i="10"/>
  <c r="M4" i="11"/>
  <c r="M23" i="11"/>
  <c r="F13" i="10"/>
  <c r="M172" i="11"/>
  <c r="D244" i="3" s="1" a="1"/>
  <c r="D244" i="3" s="1"/>
  <c r="G75" i="10"/>
  <c r="M76" i="11"/>
  <c r="F3" i="10"/>
  <c r="M45" i="10"/>
  <c r="M372" i="11"/>
  <c r="D613" i="3" s="1" a="1"/>
  <c r="D613" i="3" s="1"/>
  <c r="M400" i="11"/>
  <c r="D686" i="3" s="1" a="1"/>
  <c r="D686" i="3" s="1"/>
  <c r="N18" i="10"/>
  <c r="L4" i="10"/>
  <c r="M295" i="11"/>
  <c r="M458" i="11"/>
  <c r="D780" i="3" s="1" a="1"/>
  <c r="D780" i="3" s="1"/>
  <c r="P15" i="10"/>
  <c r="M397" i="11"/>
  <c r="D683" i="3" s="1" a="1"/>
  <c r="D683" i="3" s="1"/>
  <c r="N15" i="10"/>
  <c r="M44" i="11"/>
  <c r="F40" i="10"/>
  <c r="O13" i="10"/>
  <c r="M415" i="11"/>
  <c r="D719" i="3" s="1" a="1"/>
  <c r="D719" i="3" s="1"/>
  <c r="M198" i="11"/>
  <c r="D297" i="3" s="1" a="1"/>
  <c r="D297" i="3" s="1"/>
  <c r="H19" i="10"/>
  <c r="M224" i="11"/>
  <c r="J4" i="10"/>
  <c r="H10" i="10"/>
  <c r="M186" i="11"/>
  <c r="L7" i="10"/>
  <c r="M298" i="11"/>
  <c r="M429" i="11"/>
  <c r="D739" i="3" s="1" a="1"/>
  <c r="D739" i="3" s="1"/>
  <c r="O50" i="10"/>
  <c r="M129" i="11"/>
  <c r="D186" i="3" s="1" a="1"/>
  <c r="D186" i="3" s="1"/>
  <c r="G45" i="10"/>
  <c r="M366" i="11"/>
  <c r="M16" i="10"/>
  <c r="G74" i="10"/>
  <c r="M171" i="11"/>
  <c r="D243" i="3" s="1" a="1"/>
  <c r="D243" i="3" s="1"/>
  <c r="G37" i="10"/>
  <c r="M119" i="11"/>
  <c r="D176" i="3" s="1" a="1"/>
  <c r="D176" i="3" s="1"/>
  <c r="M158" i="11"/>
  <c r="D215" i="3" s="1" a="1"/>
  <c r="D215" i="3" s="1"/>
  <c r="G69" i="10"/>
  <c r="M410" i="11"/>
  <c r="D704" i="3" s="1" a="1"/>
  <c r="D704" i="3" s="1"/>
  <c r="O8" i="10"/>
  <c r="M80" i="11"/>
  <c r="F70" i="10"/>
  <c r="F11" i="10"/>
  <c r="M77" i="11"/>
  <c r="M194" i="11"/>
  <c r="D292" i="3" s="1" a="1"/>
  <c r="D292" i="3" s="1"/>
  <c r="H15" i="10"/>
  <c r="I3" i="10"/>
  <c r="M202" i="11"/>
  <c r="D308" i="3" s="1" a="1"/>
  <c r="D308" i="3" s="1"/>
  <c r="M135" i="11"/>
  <c r="D192" i="3" s="1" a="1"/>
  <c r="D192" i="3" s="1"/>
  <c r="G50" i="10"/>
  <c r="M128" i="11"/>
  <c r="D185" i="3" s="1" a="1"/>
  <c r="D185" i="3" s="1"/>
  <c r="G44" i="10"/>
  <c r="M28" i="10"/>
  <c r="M337" i="11"/>
  <c r="D539" i="3" s="1" a="1"/>
  <c r="D539" i="3" s="1"/>
  <c r="M242" i="11"/>
  <c r="D387" i="3" s="1" a="1"/>
  <c r="D387" i="3" s="1"/>
  <c r="J68" i="10"/>
  <c r="M293" i="11"/>
  <c r="L10" i="10"/>
  <c r="M24" i="11"/>
  <c r="D44" i="3" s="1" a="1"/>
  <c r="D44" i="3" s="1"/>
  <c r="F24" i="10"/>
  <c r="D24" i="10" s="1"/>
  <c r="M115" i="11"/>
  <c r="D172" i="3" s="1" a="1"/>
  <c r="D172" i="3" s="1"/>
  <c r="G34" i="10"/>
  <c r="M306" i="11"/>
  <c r="D484" i="3" s="1" a="1"/>
  <c r="D484" i="3" s="1"/>
  <c r="L17" i="10"/>
  <c r="M187" i="11"/>
  <c r="H12" i="10"/>
  <c r="K57" i="10"/>
  <c r="M261" i="11"/>
  <c r="D406" i="3" s="1" a="1"/>
  <c r="D406" i="3" s="1"/>
  <c r="M156" i="11"/>
  <c r="G11" i="10"/>
  <c r="M368" i="11"/>
  <c r="M18" i="10"/>
  <c r="M200" i="11"/>
  <c r="D299" i="3" s="1" a="1"/>
  <c r="D299" i="3" s="1"/>
  <c r="H21" i="10"/>
  <c r="F49" i="10"/>
  <c r="D49" i="10" s="1"/>
  <c r="M55" i="11"/>
  <c r="M428" i="11"/>
  <c r="D738" i="3" s="1" a="1"/>
  <c r="D738" i="3" s="1"/>
  <c r="O47" i="10"/>
  <c r="E12" i="10"/>
  <c r="M11" i="11"/>
  <c r="J70" i="10"/>
  <c r="M240" i="11"/>
  <c r="D385" i="3" s="1" a="1"/>
  <c r="D385" i="3" s="1"/>
  <c r="M162" i="11"/>
  <c r="G5" i="10"/>
  <c r="I18" i="10"/>
  <c r="M216" i="11"/>
  <c r="D333" i="3" s="1" a="1"/>
  <c r="D333" i="3" s="1"/>
  <c r="M260" i="11"/>
  <c r="D405" i="3" s="1" a="1"/>
  <c r="D405" i="3" s="1"/>
  <c r="K70" i="10"/>
  <c r="M18" i="11"/>
  <c r="D33" i="3" s="1" a="1"/>
  <c r="D33" i="3" s="1"/>
  <c r="E19" i="10"/>
  <c r="M133" i="11"/>
  <c r="G12" i="10"/>
  <c r="J8" i="10"/>
  <c r="M228" i="11"/>
  <c r="D356" i="3" s="1" a="1"/>
  <c r="D356" i="3" s="1"/>
  <c r="M67" i="10"/>
  <c r="M376" i="11"/>
  <c r="D620" i="3" s="1" a="1"/>
  <c r="D620" i="3" s="1"/>
  <c r="M259" i="11"/>
  <c r="D404" i="3" s="1" a="1"/>
  <c r="D404" i="3" s="1"/>
  <c r="K51" i="10"/>
  <c r="M20" i="11"/>
  <c r="D35" i="3" s="1" a="1"/>
  <c r="D35" i="3" s="1"/>
  <c r="E21" i="10"/>
  <c r="M22" i="11"/>
  <c r="D42" i="3" s="1" a="1"/>
  <c r="D42" i="3" s="1"/>
  <c r="F23" i="10"/>
  <c r="F63" i="10"/>
  <c r="D63" i="10" s="1"/>
  <c r="M71" i="11"/>
  <c r="D91" i="3" s="1" a="1"/>
  <c r="D91" i="3" s="1"/>
  <c r="M204" i="11"/>
  <c r="I5" i="10"/>
  <c r="M328" i="11"/>
  <c r="D519" i="3" s="1" a="1"/>
  <c r="D519" i="3" s="1"/>
  <c r="L84" i="10"/>
  <c r="M75" i="11"/>
  <c r="F67" i="10"/>
  <c r="M127" i="11"/>
  <c r="D184" i="3" s="1" a="1"/>
  <c r="D184" i="3" s="1"/>
  <c r="G43" i="10"/>
  <c r="M319" i="11"/>
  <c r="D505" i="3" s="1" a="1"/>
  <c r="D505" i="3" s="1"/>
  <c r="L42" i="10"/>
  <c r="M62" i="11"/>
  <c r="D82" i="3" s="1" a="1"/>
  <c r="D82" i="3" s="1"/>
  <c r="F56" i="10"/>
  <c r="M381" i="11"/>
  <c r="N36" i="10"/>
  <c r="K50" i="10"/>
  <c r="M263" i="11"/>
  <c r="D408" i="3" s="1" a="1"/>
  <c r="D408" i="3" s="1"/>
  <c r="M424" i="11"/>
  <c r="D734" i="3" s="1" a="1"/>
  <c r="D734" i="3" s="1"/>
  <c r="O45" i="10"/>
  <c r="M438" i="11"/>
  <c r="P4" i="10"/>
  <c r="M103" i="11"/>
  <c r="D160" i="3" s="1" a="1"/>
  <c r="D160" i="3" s="1"/>
  <c r="G26" i="10"/>
  <c r="P81" i="10"/>
  <c r="M454" i="11"/>
  <c r="D775" i="3" s="1" a="1"/>
  <c r="D775" i="3" s="1"/>
  <c r="E14" i="10"/>
  <c r="M13" i="11"/>
  <c r="D26" i="3" s="1" a="1"/>
  <c r="D26" i="3" s="1"/>
  <c r="M150" i="11"/>
  <c r="D207" i="3" s="1" a="1"/>
  <c r="D207" i="3" s="1"/>
  <c r="G63" i="10"/>
  <c r="K16" i="10"/>
  <c r="M290" i="11"/>
  <c r="D451" i="3" s="1" a="1"/>
  <c r="D451" i="3" s="1"/>
  <c r="M304" i="11"/>
  <c r="L15" i="10"/>
  <c r="F25" i="10"/>
  <c r="D25" i="10" s="1"/>
  <c r="M25" i="11"/>
  <c r="D45" i="3" s="1" a="1"/>
  <c r="D45" i="3" s="1"/>
  <c r="G71" i="10"/>
  <c r="M160" i="11"/>
  <c r="D217" i="3" s="1" a="1"/>
  <c r="D217" i="3" s="1"/>
  <c r="M296" i="11"/>
  <c r="L5" i="10"/>
  <c r="M253" i="11"/>
  <c r="D398" i="3" s="1" a="1"/>
  <c r="D398" i="3" s="1"/>
  <c r="J21" i="10"/>
  <c r="K8" i="10"/>
  <c r="M282" i="11"/>
  <c r="D427" i="3" s="1" a="1"/>
  <c r="D427" i="3" s="1"/>
  <c r="G76" i="10"/>
  <c r="M109" i="11"/>
  <c r="M56" i="11"/>
  <c r="F50" i="10"/>
  <c r="M326" i="11"/>
  <c r="D514" i="3" s="1" a="1"/>
  <c r="D514" i="3" s="1"/>
  <c r="L68" i="10"/>
  <c r="M388" i="11"/>
  <c r="N5" i="10"/>
  <c r="M456" i="11"/>
  <c r="D777" i="3" s="1" a="1"/>
  <c r="D777" i="3" s="1"/>
  <c r="P76" i="10"/>
  <c r="E16" i="10"/>
  <c r="M15" i="11"/>
  <c r="M441" i="11"/>
  <c r="P7" i="10"/>
  <c r="M373" i="11"/>
  <c r="D614" i="3" s="1" a="1"/>
  <c r="D614" i="3" s="1"/>
  <c r="M51" i="10"/>
  <c r="M42" i="10"/>
  <c r="M345" i="11"/>
  <c r="D547" i="3" s="1" a="1"/>
  <c r="D547" i="3" s="1"/>
  <c r="G22" i="10"/>
  <c r="M146" i="11"/>
  <c r="M287" i="11"/>
  <c r="D448" i="3" s="1" a="1"/>
  <c r="D448" i="3" s="1"/>
  <c r="K19" i="10"/>
  <c r="F34" i="10"/>
  <c r="D34" i="10" s="1"/>
  <c r="M36" i="11"/>
  <c r="D56" i="3" s="1" a="1"/>
  <c r="D56" i="3" s="1"/>
  <c r="M421" i="11"/>
  <c r="O20" i="10"/>
  <c r="F19" i="10"/>
  <c r="M95" i="11"/>
  <c r="D147" i="3" s="1" a="1"/>
  <c r="D147" i="3" s="1"/>
  <c r="M72" i="11"/>
  <c r="F64" i="10"/>
  <c r="M130" i="11"/>
  <c r="D187" i="3" s="1" a="1"/>
  <c r="D187" i="3" s="1"/>
  <c r="G46" i="10"/>
  <c r="M93" i="11"/>
  <c r="D142" i="3" s="1" a="1"/>
  <c r="D142" i="3" s="1"/>
  <c r="F15" i="10"/>
  <c r="M177" i="11"/>
  <c r="D254" i="3" s="1" a="1"/>
  <c r="D254" i="3" s="1"/>
  <c r="G18" i="10"/>
  <c r="M54" i="11"/>
  <c r="F12" i="10"/>
  <c r="M209" i="11"/>
  <c r="I10" i="10"/>
  <c r="M342" i="11"/>
  <c r="M71" i="10"/>
  <c r="M60" i="11"/>
  <c r="D80" i="3" s="1" a="1"/>
  <c r="D80" i="3" s="1"/>
  <c r="F54" i="10"/>
  <c r="M252" i="11"/>
  <c r="D397" i="3" s="1" a="1"/>
  <c r="D397" i="3" s="1"/>
  <c r="J47" i="10"/>
  <c r="M422" i="11"/>
  <c r="D728" i="3" s="1" a="1"/>
  <c r="D728" i="3" s="1"/>
  <c r="O21" i="10"/>
  <c r="N38" i="10"/>
  <c r="M378" i="11"/>
  <c r="M324" i="11"/>
  <c r="D512" i="3" s="1" a="1"/>
  <c r="D512" i="3" s="1"/>
  <c r="L47" i="10"/>
  <c r="L61" i="10"/>
  <c r="M316" i="11"/>
  <c r="D500" i="3" s="1" a="1"/>
  <c r="D500" i="3" s="1"/>
  <c r="M67" i="11"/>
  <c r="F22" i="10"/>
  <c r="K45" i="10"/>
  <c r="M258" i="11"/>
  <c r="D403" i="3" s="1" a="1"/>
  <c r="D403" i="3" s="1"/>
  <c r="O53" i="10"/>
  <c r="M408" i="11"/>
  <c r="M427" i="11"/>
  <c r="D737" i="3" s="1" a="1"/>
  <c r="D737" i="3" s="1"/>
  <c r="O57" i="10"/>
  <c r="M447" i="11"/>
  <c r="P13" i="10"/>
  <c r="O4" i="10"/>
  <c r="M406" i="11"/>
  <c r="M143" i="11"/>
  <c r="D200" i="3" s="1" a="1"/>
  <c r="D200" i="3" s="1"/>
  <c r="G58" i="10"/>
  <c r="M283" i="11"/>
  <c r="K9" i="10"/>
  <c r="G6" i="10"/>
  <c r="M125" i="11"/>
  <c r="D182" i="3" s="1" a="1"/>
  <c r="D182" i="3" s="1"/>
  <c r="M360" i="11"/>
  <c r="D576" i="3" s="1" a="1"/>
  <c r="D576" i="3" s="1"/>
  <c r="M38" i="10"/>
  <c r="M230" i="11"/>
  <c r="J11" i="10"/>
  <c r="M45" i="11"/>
  <c r="F41" i="10"/>
  <c r="M313" i="11"/>
  <c r="D497" i="3" s="1" a="1"/>
  <c r="D497" i="3" s="1"/>
  <c r="L28" i="10"/>
  <c r="H16" i="10"/>
  <c r="M195" i="11"/>
  <c r="M5" i="10"/>
  <c r="M362" i="11"/>
  <c r="M32" i="11"/>
  <c r="D52" i="3" s="1" a="1"/>
  <c r="D52" i="3" s="1"/>
  <c r="F31" i="10"/>
  <c r="D31" i="10" s="1"/>
  <c r="M149" i="11"/>
  <c r="D206" i="3" s="1" a="1"/>
  <c r="D206" i="3" s="1"/>
  <c r="G62" i="10"/>
  <c r="M264" i="11"/>
  <c r="D409" i="3" s="1" a="1"/>
  <c r="D409" i="3" s="1"/>
  <c r="K40" i="10"/>
  <c r="M445" i="11"/>
  <c r="P11" i="10"/>
  <c r="M108" i="11"/>
  <c r="G72" i="10"/>
  <c r="M97" i="11"/>
  <c r="D149" i="3" s="1" a="1"/>
  <c r="D149" i="3" s="1"/>
  <c r="F21" i="10"/>
  <c r="M275" i="11"/>
  <c r="K5" i="10"/>
  <c r="M417" i="11"/>
  <c r="O16" i="10"/>
  <c r="M152" i="11"/>
  <c r="D209" i="3" s="1" a="1"/>
  <c r="D209" i="3" s="1"/>
  <c r="G65" i="10"/>
  <c r="M464" i="11"/>
  <c r="D787" i="3" s="1" a="1"/>
  <c r="D787" i="3" s="1"/>
  <c r="P21" i="10"/>
  <c r="M294" i="11"/>
  <c r="D461" i="3" s="1" a="1"/>
  <c r="D461" i="3" s="1"/>
  <c r="L3" i="10"/>
  <c r="M405" i="11"/>
  <c r="D699" i="3" s="1" a="1"/>
  <c r="D699" i="3" s="1"/>
  <c r="O3" i="10"/>
  <c r="M338" i="11"/>
  <c r="M64" i="10"/>
  <c r="M68" i="11"/>
  <c r="F61" i="10"/>
  <c r="M241" i="11"/>
  <c r="D386" i="3" s="1" a="1"/>
  <c r="D386" i="3" s="1"/>
  <c r="J23" i="10"/>
  <c r="M141" i="11"/>
  <c r="D198" i="3" s="1" a="1"/>
  <c r="D198" i="3" s="1"/>
  <c r="G56" i="10"/>
  <c r="M430" i="11"/>
  <c r="D740" i="3" s="1" a="1"/>
  <c r="D740" i="3" s="1"/>
  <c r="O40" i="10"/>
  <c r="M134" i="11"/>
  <c r="D191" i="3" s="1" a="1"/>
  <c r="D191" i="3" s="1"/>
  <c r="G49" i="10"/>
  <c r="M74" i="11"/>
  <c r="D94" i="3" s="1" a="1"/>
  <c r="D94" i="3" s="1"/>
  <c r="F66" i="10"/>
  <c r="D66" i="10" s="1"/>
  <c r="M332" i="11"/>
  <c r="D533" i="3" s="1" a="1"/>
  <c r="D533" i="3" s="1"/>
  <c r="L87" i="10"/>
  <c r="L16" i="10"/>
  <c r="M305" i="11"/>
  <c r="G36" i="10"/>
  <c r="M118" i="11"/>
  <c r="D175" i="3" s="1" a="1"/>
  <c r="D175" i="3" s="1"/>
  <c r="M425" i="11"/>
  <c r="D735" i="3" s="1" a="1"/>
  <c r="D735" i="3" s="1"/>
  <c r="O51" i="10"/>
  <c r="G28" i="10"/>
  <c r="M105" i="11"/>
  <c r="D162" i="3" s="1" a="1"/>
  <c r="D162" i="3" s="1"/>
  <c r="J15" i="10"/>
  <c r="M233" i="11"/>
  <c r="D373" i="3" s="1" a="1"/>
  <c r="D373" i="3" s="1"/>
  <c r="M312" i="11"/>
  <c r="L23" i="10"/>
  <c r="N13" i="10"/>
  <c r="M396" i="11"/>
  <c r="I21" i="10"/>
  <c r="M219" i="11"/>
  <c r="K4" i="10"/>
  <c r="M274" i="11"/>
  <c r="L60" i="10"/>
  <c r="M322" i="11"/>
  <c r="D510" i="3" s="1" a="1"/>
  <c r="D510" i="3" s="1"/>
  <c r="M126" i="11"/>
  <c r="D183" i="3" s="1" a="1"/>
  <c r="D183" i="3" s="1"/>
  <c r="G42" i="10"/>
  <c r="M374" i="11"/>
  <c r="D618" i="3" s="1" a="1"/>
  <c r="D618" i="3" s="1"/>
  <c r="M50" i="10"/>
  <c r="M317" i="11"/>
  <c r="D501" i="3" s="1" a="1"/>
  <c r="D501" i="3" s="1"/>
  <c r="L88" i="10"/>
  <c r="M106" i="11"/>
  <c r="D163" i="3" s="1" a="1"/>
  <c r="D163" i="3" s="1"/>
  <c r="G29" i="10"/>
  <c r="E18" i="10"/>
  <c r="D18" i="10" s="1"/>
  <c r="M17" i="11"/>
  <c r="D31" i="3" s="1" a="1"/>
  <c r="D31" i="3" s="1"/>
  <c r="M157" i="11"/>
  <c r="D214" i="3" s="1" a="1"/>
  <c r="D214" i="3" s="1"/>
  <c r="G68" i="10"/>
  <c r="M222" i="11"/>
  <c r="D350" i="3" s="1" a="1"/>
  <c r="D350" i="3" s="1"/>
  <c r="I84" i="10"/>
  <c r="M137" i="11"/>
  <c r="D194" i="3" s="1" a="1"/>
  <c r="D194" i="3" s="1"/>
  <c r="G52" i="10"/>
  <c r="M436" i="11"/>
  <c r="D747" i="3" s="1" a="1"/>
  <c r="D747" i="3" s="1"/>
  <c r="O61" i="10"/>
  <c r="M347" i="11"/>
  <c r="M13" i="10"/>
  <c r="M455" i="11"/>
  <c r="D776" i="3" s="1" a="1"/>
  <c r="D776" i="3" s="1"/>
  <c r="P82" i="10"/>
  <c r="M265" i="11"/>
  <c r="D410" i="3" s="1" a="1"/>
  <c r="D410" i="3" s="1"/>
  <c r="K67" i="10"/>
  <c r="M391" i="11"/>
  <c r="N12" i="10"/>
  <c r="M226" i="11"/>
  <c r="J7" i="10"/>
  <c r="M266" i="11"/>
  <c r="D411" i="3" s="1" a="1"/>
  <c r="D411" i="3" s="1"/>
  <c r="K64" i="10"/>
  <c r="M203" i="11"/>
  <c r="I4" i="10"/>
  <c r="H17" i="10"/>
  <c r="M196" i="11"/>
  <c r="D294" i="3" s="1" a="1"/>
  <c r="D294" i="3" s="1"/>
  <c r="P79" i="10"/>
  <c r="M449" i="11"/>
  <c r="D770" i="3" s="1" a="1"/>
  <c r="D770" i="3" s="1"/>
  <c r="M403" i="11"/>
  <c r="D690" i="3" s="1" a="1"/>
  <c r="D690" i="3" s="1"/>
  <c r="N21" i="10"/>
  <c r="M153" i="11"/>
  <c r="D210" i="3" s="1" a="1"/>
  <c r="D210" i="3" s="1"/>
  <c r="G66" i="10"/>
  <c r="M333" i="11"/>
  <c r="M23" i="10"/>
  <c r="H78" i="10"/>
  <c r="M181" i="11"/>
  <c r="D264" i="3" s="1" a="1"/>
  <c r="D264" i="3" s="1"/>
  <c r="M27" i="11"/>
  <c r="D47" i="3" s="1" a="1"/>
  <c r="D47" i="3" s="1"/>
  <c r="F26" i="10"/>
  <c r="D26" i="10" s="1"/>
  <c r="M151" i="11"/>
  <c r="D208" i="3" s="1" a="1"/>
  <c r="D208" i="3" s="1"/>
  <c r="G64" i="10"/>
  <c r="M197" i="11"/>
  <c r="D295" i="3" s="1" a="1"/>
  <c r="D295" i="3" s="1"/>
  <c r="H18" i="10"/>
  <c r="M174" i="11"/>
  <c r="D246" i="3" s="1" a="1"/>
  <c r="D246" i="3" s="1"/>
  <c r="G81" i="10"/>
  <c r="D81" i="10" s="1"/>
  <c r="M213" i="11"/>
  <c r="I15" i="10"/>
  <c r="M42" i="11"/>
  <c r="D62" i="3" s="1" a="1"/>
  <c r="D62" i="3" s="1"/>
  <c r="F39" i="10"/>
  <c r="D39" i="10" s="1"/>
  <c r="M329" i="11"/>
  <c r="D527" i="3" s="1" a="1"/>
  <c r="D527" i="3" s="1"/>
  <c r="L65" i="10"/>
  <c r="M183" i="11"/>
  <c r="H4" i="10"/>
  <c r="F59" i="10"/>
  <c r="M65" i="11"/>
  <c r="D85" i="3" s="1" a="1"/>
  <c r="D85" i="3" s="1"/>
  <c r="M325" i="11"/>
  <c r="L59" i="10"/>
  <c r="M281" i="11"/>
  <c r="K7" i="10"/>
  <c r="M132" i="11"/>
  <c r="D189" i="3" s="1" a="1"/>
  <c r="D189" i="3" s="1"/>
  <c r="G48" i="10"/>
  <c r="M193" i="11"/>
  <c r="H13" i="10"/>
  <c r="K13" i="10"/>
  <c r="M284" i="11"/>
  <c r="M59" i="10"/>
  <c r="M353" i="11"/>
  <c r="D555" i="3" s="1" a="1"/>
  <c r="D555" i="3" s="1"/>
  <c r="G24" i="10"/>
  <c r="M100" i="11"/>
  <c r="D157" i="3" s="1" a="1"/>
  <c r="D157" i="3" s="1"/>
  <c r="M85" i="11"/>
  <c r="D105" i="3" s="1" a="1"/>
  <c r="D105" i="3" s="1"/>
  <c r="F75" i="10"/>
  <c r="M331" i="11"/>
  <c r="D531" i="3" s="1" a="1"/>
  <c r="D531" i="3" s="1"/>
  <c r="L62" i="10"/>
  <c r="E8" i="10"/>
  <c r="M7" i="11"/>
  <c r="D7" i="3" s="1" a="1"/>
  <c r="D7" i="3" s="1"/>
  <c r="M113" i="11"/>
  <c r="D170" i="3" s="1" a="1"/>
  <c r="D170" i="3" s="1"/>
  <c r="G32" i="10"/>
  <c r="M238" i="11"/>
  <c r="D383" i="3" s="1" a="1"/>
  <c r="D383" i="3" s="1"/>
  <c r="J71" i="10"/>
  <c r="F57" i="10"/>
  <c r="D57" i="10" s="1"/>
  <c r="M63" i="11"/>
  <c r="F69" i="10"/>
  <c r="D69" i="10" s="1"/>
  <c r="M79" i="11"/>
  <c r="D99" i="3" s="1" a="1"/>
  <c r="D99" i="3" s="1"/>
  <c r="M185" i="11"/>
  <c r="H11" i="10"/>
  <c r="M136" i="11"/>
  <c r="D193" i="3" s="1" a="1"/>
  <c r="D193" i="3" s="1"/>
  <c r="G51" i="10"/>
  <c r="M364" i="11"/>
  <c r="M7" i="10"/>
  <c r="M432" i="11"/>
  <c r="D742" i="3" s="1" a="1"/>
  <c r="D742" i="3" s="1"/>
  <c r="O64" i="10"/>
  <c r="M437" i="11"/>
  <c r="D748" i="3" s="1" a="1"/>
  <c r="D748" i="3" s="1"/>
  <c r="P3" i="10"/>
  <c r="K22" i="10"/>
  <c r="M291" i="11"/>
  <c r="D453" i="3" s="1" a="1"/>
  <c r="D453" i="3" s="1"/>
  <c r="G17" i="10"/>
  <c r="M148" i="11"/>
  <c r="N11" i="10"/>
  <c r="M389" i="11"/>
  <c r="M435" i="11"/>
  <c r="D746" i="3" s="1" a="1"/>
  <c r="D746" i="3" s="1"/>
  <c r="O49" i="10"/>
  <c r="M212" i="11"/>
  <c r="D328" i="3" s="1" a="1"/>
  <c r="D328" i="3" s="1"/>
  <c r="I13" i="10"/>
  <c r="M251" i="11"/>
  <c r="D396" i="3" s="1" a="1"/>
  <c r="D396" i="3" s="1"/>
  <c r="J42" i="10"/>
  <c r="E13" i="10"/>
  <c r="M12" i="11"/>
  <c r="D22" i="3" s="1" a="1"/>
  <c r="D22" i="3" s="1"/>
  <c r="M232" i="11"/>
  <c r="J13" i="10"/>
  <c r="M307" i="11"/>
  <c r="D485" i="3" s="1" a="1"/>
  <c r="D485" i="3" s="1"/>
  <c r="L18" i="10"/>
  <c r="P18" i="10"/>
  <c r="M461" i="11"/>
  <c r="D783" i="3" s="1" a="1"/>
  <c r="D783" i="3" s="1"/>
  <c r="M39" i="11"/>
  <c r="D59" i="3" s="1" a="1"/>
  <c r="D59" i="3" s="1"/>
  <c r="F36" i="10"/>
  <c r="D36" i="10" s="1"/>
  <c r="M81" i="11"/>
  <c r="D101" i="3" s="1" a="1"/>
  <c r="D101" i="3" s="1"/>
  <c r="F71" i="10"/>
  <c r="L13" i="10"/>
  <c r="M303" i="11"/>
  <c r="M270" i="11"/>
  <c r="D415" i="3" s="1" a="1"/>
  <c r="D415" i="3" s="1"/>
  <c r="K49" i="10"/>
  <c r="M379" i="11"/>
  <c r="N37" i="10"/>
  <c r="M111" i="11"/>
  <c r="D168" i="3" s="1" a="1"/>
  <c r="D168" i="3" s="1"/>
  <c r="G31" i="10"/>
  <c r="M70" i="11"/>
  <c r="D90" i="3" s="1" a="1"/>
  <c r="D90" i="3" s="1"/>
  <c r="F62" i="10"/>
  <c r="M288" i="11"/>
  <c r="K20" i="10"/>
  <c r="M356" i="11"/>
  <c r="M8" i="10"/>
  <c r="M465" i="11"/>
  <c r="P22" i="10"/>
  <c r="J16" i="10"/>
  <c r="M246" i="11"/>
  <c r="D391" i="3" s="1" a="1"/>
  <c r="D391" i="3" s="1"/>
  <c r="J85" i="10"/>
  <c r="D85" i="10" s="1"/>
  <c r="M239" i="11"/>
  <c r="D384" i="3" s="1" a="1"/>
  <c r="D384" i="3" s="1"/>
  <c r="M99" i="11"/>
  <c r="G13" i="10"/>
  <c r="M278" i="11"/>
  <c r="K12" i="10"/>
  <c r="M220" i="11"/>
  <c r="D340" i="3" s="1" a="1"/>
  <c r="D340" i="3" s="1"/>
  <c r="I22" i="10"/>
  <c r="M102" i="11"/>
  <c r="G16" i="10"/>
  <c r="F8" i="10"/>
  <c r="M37" i="11"/>
  <c r="M357" i="11"/>
  <c r="M12" i="10"/>
  <c r="M327" i="11"/>
  <c r="L83" i="10"/>
  <c r="M140" i="11"/>
  <c r="D197" i="3" s="1" a="1"/>
  <c r="D197" i="3" s="1"/>
  <c r="G55" i="10"/>
  <c r="M88" i="11"/>
  <c r="F7" i="10"/>
  <c r="L64" i="10"/>
  <c r="M314" i="11"/>
  <c r="D498" i="3" s="1" a="1"/>
  <c r="D498" i="3" s="1"/>
  <c r="N8" i="10"/>
  <c r="M394" i="11"/>
  <c r="D666" i="3" s="1" a="1"/>
  <c r="D666" i="3" s="1"/>
  <c r="M205" i="11"/>
  <c r="I53" i="10"/>
  <c r="F33" i="10"/>
  <c r="D33" i="10" s="1"/>
  <c r="M35" i="11"/>
  <c r="D55" i="3" s="1" a="1"/>
  <c r="D55" i="3" s="1"/>
  <c r="M292" i="11"/>
  <c r="D459" i="3" s="1" a="1"/>
  <c r="D459" i="3" s="1"/>
  <c r="K87" i="10"/>
  <c r="D87" i="10" s="1"/>
  <c r="M101" i="11"/>
  <c r="D158" i="3" s="1" a="1"/>
  <c r="D158" i="3" s="1"/>
  <c r="G25" i="10"/>
  <c r="M452" i="11"/>
  <c r="D773" i="3" s="1" a="1"/>
  <c r="D773" i="3" s="1"/>
  <c r="P75" i="10"/>
  <c r="M214" i="11"/>
  <c r="I16" i="10"/>
  <c r="M30" i="11"/>
  <c r="D50" i="3" s="1" a="1"/>
  <c r="D50" i="3" s="1"/>
  <c r="F29" i="10"/>
  <c r="M84" i="11"/>
  <c r="D104" i="3" s="1" a="1"/>
  <c r="D104" i="3" s="1"/>
  <c r="F74" i="10"/>
  <c r="D74" i="10" s="1"/>
  <c r="M48" i="11"/>
  <c r="D68" i="3" s="1" a="1"/>
  <c r="D68" i="3" s="1"/>
  <c r="F43" i="10"/>
  <c r="D43" i="10" s="1"/>
  <c r="M321" i="11"/>
  <c r="D509" i="3" s="1" a="1"/>
  <c r="D509" i="3" s="1"/>
  <c r="L70" i="10"/>
  <c r="M276" i="11"/>
  <c r="K11" i="10"/>
  <c r="M121" i="11"/>
  <c r="D178" i="3" s="1" a="1"/>
  <c r="D178" i="3" s="1"/>
  <c r="G39" i="10"/>
  <c r="G73" i="10"/>
  <c r="M170" i="11"/>
  <c r="D242" i="3" s="1" a="1"/>
  <c r="D242" i="3" s="1"/>
  <c r="M131" i="11"/>
  <c r="D188" i="3" s="1" a="1"/>
  <c r="D188" i="3" s="1"/>
  <c r="G47" i="10"/>
  <c r="M354" i="11"/>
  <c r="M68" i="10"/>
  <c r="E11" i="10"/>
  <c r="M10" i="11"/>
  <c r="M237" i="11"/>
  <c r="D380" i="3" s="1" a="1"/>
  <c r="D380" i="3" s="1"/>
  <c r="J22" i="10"/>
  <c r="M155" i="11"/>
  <c r="G3" i="10"/>
  <c r="E10" i="10"/>
  <c r="M9" i="11"/>
  <c r="M26" i="11"/>
  <c r="F16" i="10"/>
  <c r="M343" i="11"/>
  <c r="M9" i="10"/>
  <c r="M91" i="11"/>
  <c r="F10" i="10"/>
  <c r="M299" i="11"/>
  <c r="D466" i="3" s="1" a="1"/>
  <c r="D466" i="3" s="1"/>
  <c r="L8" i="10"/>
  <c r="M440" i="11"/>
  <c r="P53" i="10"/>
  <c r="O67" i="10"/>
  <c r="M431" i="11"/>
  <c r="D741" i="3" s="1" a="1"/>
  <c r="D741" i="3" s="1"/>
  <c r="M58" i="11"/>
  <c r="D78" i="3" s="1" a="1"/>
  <c r="D78" i="3" s="1"/>
  <c r="F52" i="10"/>
  <c r="D52" i="10" s="1"/>
  <c r="P73" i="10"/>
  <c r="M450" i="11"/>
  <c r="D771" i="3" s="1" a="1"/>
  <c r="D771" i="3" s="1"/>
  <c r="E3" i="10"/>
  <c r="M2" i="11"/>
  <c r="D2" i="3" s="1" a="1"/>
  <c r="D2" i="3" s="1"/>
  <c r="M231" i="11"/>
  <c r="J12" i="10"/>
  <c r="M180" i="11"/>
  <c r="D258" i="3" s="1" a="1"/>
  <c r="D258" i="3" s="1"/>
  <c r="G21" i="10"/>
  <c r="M457" i="11"/>
  <c r="D778" i="3" s="1" a="1"/>
  <c r="D778" i="3" s="1"/>
  <c r="P77" i="10"/>
  <c r="M207" i="11"/>
  <c r="D313" i="3" s="1" a="1"/>
  <c r="D313" i="3" s="1"/>
  <c r="I8" i="10"/>
  <c r="M407" i="11"/>
  <c r="O5" i="10"/>
  <c r="M309" i="11"/>
  <c r="L20" i="10"/>
  <c r="M459" i="11"/>
  <c r="P16" i="10"/>
  <c r="K75" i="10"/>
  <c r="M255" i="11"/>
  <c r="D400" i="3" s="1" a="1"/>
  <c r="D400" i="3" s="1"/>
  <c r="M244" i="11"/>
  <c r="D389" i="3" s="1" a="1"/>
  <c r="D389" i="3" s="1"/>
  <c r="J86" i="10"/>
  <c r="M49" i="11"/>
  <c r="D69" i="3" s="1" a="1"/>
  <c r="D69" i="3" s="1"/>
  <c r="F44" i="10"/>
  <c r="D44" i="10" s="1"/>
  <c r="G20" i="10"/>
  <c r="M179" i="11"/>
  <c r="M419" i="11"/>
  <c r="D724" i="3" s="1" a="1"/>
  <c r="D724" i="3" s="1"/>
  <c r="O18" i="10"/>
  <c r="M107" i="11"/>
  <c r="D164" i="3" s="1" a="1"/>
  <c r="D164" i="3" s="1"/>
  <c r="G30" i="10"/>
  <c r="O10" i="10"/>
  <c r="M412" i="11"/>
  <c r="M52" i="11"/>
  <c r="F47" i="10"/>
  <c r="M8" i="11"/>
  <c r="E9" i="10"/>
  <c r="M310" i="11"/>
  <c r="L21" i="10"/>
  <c r="M302" i="11"/>
  <c r="L12" i="10"/>
  <c r="K38" i="10"/>
  <c r="M256" i="11"/>
  <c r="D401" i="3" s="1" a="1"/>
  <c r="D401" i="3" s="1"/>
  <c r="M201" i="11"/>
  <c r="D302" i="3" s="1" a="1"/>
  <c r="D302" i="3" s="1"/>
  <c r="H22" i="10"/>
  <c r="O17" i="10"/>
  <c r="M418" i="11"/>
  <c r="M19" i="10"/>
  <c r="M369" i="11"/>
  <c r="D605" i="3" s="1" a="1"/>
  <c r="D605" i="3" s="1"/>
  <c r="M234" i="11"/>
  <c r="D375" i="3" s="1" a="1"/>
  <c r="D375" i="3" s="1"/>
  <c r="J17" i="10"/>
  <c r="M334" i="11"/>
  <c r="M54" i="10"/>
  <c r="G4" i="10"/>
  <c r="M122" i="11"/>
  <c r="M404" i="11"/>
  <c r="D693" i="3" s="1" a="1"/>
  <c r="D693" i="3" s="1"/>
  <c r="N22" i="10"/>
  <c r="M268" i="11"/>
  <c r="D413" i="3" s="1" a="1"/>
  <c r="D413" i="3" s="1"/>
  <c r="K68" i="10"/>
  <c r="E4" i="10"/>
  <c r="M3" i="11"/>
  <c r="M50" i="11"/>
  <c r="F45" i="10"/>
  <c r="G67" i="10"/>
  <c r="M154" i="11"/>
  <c r="D211" i="3" s="1" a="1"/>
  <c r="D211" i="3" s="1"/>
  <c r="M448" i="11"/>
  <c r="D769" i="3" s="1" a="1"/>
  <c r="D769" i="3" s="1"/>
  <c r="P72" i="10"/>
  <c r="M110" i="11"/>
  <c r="G77" i="10"/>
  <c r="M28" i="11"/>
  <c r="D48" i="3" s="1" a="1"/>
  <c r="D48" i="3" s="1"/>
  <c r="F27" i="10"/>
  <c r="H8" i="10"/>
  <c r="M191" i="11"/>
  <c r="D274" i="3" s="1" a="1"/>
  <c r="D274" i="3" s="1"/>
  <c r="M395" i="11"/>
  <c r="N9" i="10"/>
  <c r="M175" i="11"/>
  <c r="D247" i="3" s="1" a="1"/>
  <c r="D247" i="3" s="1"/>
  <c r="G82" i="10"/>
  <c r="D82" i="10" s="1"/>
  <c r="M279" i="11"/>
  <c r="D424" i="3" s="1" a="1"/>
  <c r="D424" i="3" s="1"/>
  <c r="K14" i="10"/>
  <c r="M184" i="11"/>
  <c r="H5" i="10"/>
  <c r="M392" i="11"/>
  <c r="D663" i="3" s="1" a="1"/>
  <c r="D663" i="3" s="1"/>
  <c r="N14" i="10"/>
  <c r="M221" i="11"/>
  <c r="D349" i="3" s="1" a="1"/>
  <c r="D349" i="3" s="1"/>
  <c r="I83" i="10"/>
  <c r="D83" i="10" s="1"/>
  <c r="G15" i="10"/>
  <c r="M176" i="11"/>
  <c r="D251" i="3" s="1" a="1"/>
  <c r="D251" i="3" s="1"/>
  <c r="I20" i="10"/>
  <c r="M218" i="11"/>
  <c r="M169" i="11"/>
  <c r="D241" i="3" s="1" a="1"/>
  <c r="D241" i="3" s="1"/>
  <c r="G79" i="10"/>
  <c r="D79" i="10" s="1"/>
  <c r="M361" i="11"/>
  <c r="D577" i="3" s="1" a="1"/>
  <c r="D577" i="3" s="1"/>
  <c r="M3" i="10"/>
  <c r="M66" i="11"/>
  <c r="D86" i="3" s="1" a="1"/>
  <c r="D86" i="3" s="1"/>
  <c r="F60" i="10"/>
  <c r="M367" i="11"/>
  <c r="M17" i="10"/>
  <c r="M38" i="11"/>
  <c r="D58" i="3" s="1" a="1"/>
  <c r="D58" i="3" s="1"/>
  <c r="F35" i="10"/>
  <c r="L71" i="10"/>
  <c r="M318" i="11"/>
  <c r="D502" i="3" s="1" a="1"/>
  <c r="D502" i="3" s="1"/>
  <c r="M14" i="11"/>
  <c r="D28" i="3" s="1" a="1"/>
  <c r="D28" i="3" s="1"/>
  <c r="E15" i="10"/>
  <c r="M215" i="11"/>
  <c r="D332" i="3" s="1" a="1"/>
  <c r="D332" i="3" s="1"/>
  <c r="I17" i="10"/>
  <c r="M273" i="11"/>
  <c r="D418" i="3" s="1" a="1"/>
  <c r="D418" i="3" s="1"/>
  <c r="K3" i="10"/>
  <c r="M11" i="10"/>
  <c r="M336" i="11"/>
  <c r="M286" i="11"/>
  <c r="D446" i="3" s="1" a="1"/>
  <c r="D446" i="3" s="1"/>
  <c r="K18" i="10"/>
  <c r="M380" i="11"/>
  <c r="N53" i="10"/>
  <c r="G19" i="10"/>
  <c r="M178" i="11"/>
  <c r="D256" i="3" s="1" a="1"/>
  <c r="D256" i="3" s="1"/>
  <c r="P17" i="10"/>
  <c r="M460" i="11"/>
  <c r="D782" i="3" s="1" a="1"/>
  <c r="D782" i="3" s="1"/>
  <c r="G41" i="10"/>
  <c r="M124" i="11"/>
  <c r="D181" i="3" s="1" a="1"/>
  <c r="D181" i="3" s="1"/>
  <c r="M301" i="11"/>
  <c r="L11" i="10"/>
  <c r="E6" i="10"/>
  <c r="M5" i="11"/>
  <c r="M182" i="11"/>
  <c r="D265" i="3" s="1" a="1"/>
  <c r="D265" i="3" s="1"/>
  <c r="H3" i="10"/>
  <c r="M41" i="10"/>
  <c r="M339" i="11"/>
  <c r="M355" i="11"/>
  <c r="M10" i="10"/>
  <c r="G10" i="10"/>
  <c r="M166" i="11"/>
  <c r="M188" i="11"/>
  <c r="D271" i="3" s="1" a="1"/>
  <c r="D271" i="3" s="1"/>
  <c r="H14" i="10"/>
  <c r="G78" i="10"/>
  <c r="D78" i="10" s="1"/>
  <c r="M168" i="11"/>
  <c r="D239" i="3" s="1" a="1"/>
  <c r="D239" i="3" s="1"/>
  <c r="M402" i="11"/>
  <c r="N20" i="10"/>
  <c r="M349" i="11"/>
  <c r="M70" i="10"/>
  <c r="M262" i="11"/>
  <c r="D407" i="3" s="1" a="1"/>
  <c r="D407" i="3" s="1"/>
  <c r="K47" i="10"/>
  <c r="M285" i="11"/>
  <c r="D444" i="3" s="1" a="1"/>
  <c r="D444" i="3" s="1"/>
  <c r="K15" i="10"/>
  <c r="M20" i="10"/>
  <c r="M370" i="11"/>
  <c r="M359" i="11"/>
  <c r="M57" i="10"/>
  <c r="M463" i="11"/>
  <c r="P20" i="10"/>
  <c r="M344" i="11"/>
  <c r="M4" i="10"/>
  <c r="M159" i="11"/>
  <c r="D216" i="3" s="1" a="1"/>
  <c r="D216" i="3" s="1"/>
  <c r="G70" i="10"/>
  <c r="M59" i="11"/>
  <c r="F53" i="10"/>
  <c r="J54" i="10"/>
  <c r="M249" i="11"/>
  <c r="D394" i="3" s="1" a="1"/>
  <c r="D394" i="3" s="1"/>
  <c r="M227" i="11"/>
  <c r="J9" i="10"/>
  <c r="M116" i="11"/>
  <c r="G8" i="10"/>
  <c r="M217" i="11"/>
  <c r="I19" i="10"/>
  <c r="M34" i="11"/>
  <c r="D54" i="3" s="1" a="1"/>
  <c r="D54" i="3" s="1"/>
  <c r="F32" i="10"/>
  <c r="M254" i="11"/>
  <c r="D399" i="3" s="1" a="1"/>
  <c r="D399" i="3" s="1"/>
  <c r="K37" i="10"/>
  <c r="M271" i="11"/>
  <c r="D416" i="3" s="1" a="1"/>
  <c r="D416" i="3" s="1"/>
  <c r="K61" i="10"/>
  <c r="M104" i="11"/>
  <c r="D161" i="3" s="1" a="1"/>
  <c r="D161" i="3" s="1"/>
  <c r="G27" i="10"/>
  <c r="I11" i="10"/>
  <c r="M210" i="11"/>
  <c r="J10" i="10"/>
  <c r="M229" i="11"/>
  <c r="M163" i="11"/>
  <c r="G7" i="10"/>
  <c r="M112" i="11"/>
  <c r="G9" i="10"/>
  <c r="M189" i="11"/>
  <c r="H53" i="10"/>
  <c r="M69" i="11"/>
  <c r="F17" i="10"/>
  <c r="J5" i="10"/>
  <c r="M225" i="11"/>
  <c r="M47" i="11"/>
  <c r="D67" i="3" s="1" a="1"/>
  <c r="D67" i="3" s="1"/>
  <c r="F42" i="10"/>
  <c r="D42" i="10" s="1"/>
  <c r="D525" i="3" a="1"/>
  <c r="D525" i="3" s="1"/>
  <c r="D506" i="3" a="1"/>
  <c r="D506" i="3" s="1"/>
  <c r="M33" i="11"/>
  <c r="F9" i="10"/>
  <c r="M323" i="11"/>
  <c r="D511" i="3" s="1" a="1"/>
  <c r="D511" i="3" s="1"/>
  <c r="L86" i="10"/>
  <c r="G40" i="10"/>
  <c r="M123" i="11"/>
  <c r="D180" i="3" s="1" a="1"/>
  <c r="D180" i="3" s="1"/>
  <c r="M416" i="11"/>
  <c r="D721" i="3" s="1" a="1"/>
  <c r="D721" i="3" s="1"/>
  <c r="O15" i="10"/>
  <c r="M87" i="11"/>
  <c r="F5" i="10"/>
  <c r="I12" i="10"/>
  <c r="M211" i="11"/>
  <c r="M40" i="10"/>
  <c r="M375" i="11"/>
  <c r="D619" i="3" s="1" a="1"/>
  <c r="D619" i="3" s="1"/>
  <c r="G54" i="10"/>
  <c r="M139" i="11"/>
  <c r="D196" i="3" s="1" a="1"/>
  <c r="D196" i="3" s="1"/>
  <c r="G53" i="10"/>
  <c r="M138" i="11"/>
  <c r="M257" i="11"/>
  <c r="K53" i="10"/>
  <c r="M78" i="11"/>
  <c r="F68" i="10"/>
  <c r="M243" i="11"/>
  <c r="D388" i="3" s="1" a="1"/>
  <c r="D388" i="3" s="1"/>
  <c r="J60" i="10"/>
  <c r="L53" i="10"/>
  <c r="M297" i="11"/>
  <c r="F55" i="10"/>
  <c r="M61" i="11"/>
  <c r="D81" i="3" s="1" a="1"/>
  <c r="D81" i="3" s="1"/>
  <c r="M94" i="11"/>
  <c r="D145" i="3" s="1" a="1"/>
  <c r="D145" i="3" s="1"/>
  <c r="F18" i="10"/>
  <c r="M144" i="11"/>
  <c r="D201" i="3" s="1" a="1"/>
  <c r="D201" i="3" s="1"/>
  <c r="G59" i="10"/>
  <c r="F58" i="10"/>
  <c r="D58" i="10" s="1"/>
  <c r="M64" i="11"/>
  <c r="D84" i="3" s="1" a="1"/>
  <c r="D84" i="3" s="1"/>
  <c r="M330" i="11"/>
  <c r="D529" i="3" s="1" a="1"/>
  <c r="D529" i="3" s="1"/>
  <c r="L35" i="10"/>
  <c r="G61" i="10"/>
  <c r="M147" i="11"/>
  <c r="D204" i="3" s="1" a="1"/>
  <c r="D204" i="3" s="1"/>
  <c r="K17" i="10"/>
  <c r="M267" i="11"/>
  <c r="J19" i="10"/>
  <c r="M235" i="11"/>
  <c r="D377" i="3" s="1" a="1"/>
  <c r="D377" i="3" s="1"/>
  <c r="P12" i="10"/>
  <c r="M446" i="11"/>
  <c r="F30" i="10"/>
  <c r="M31" i="11"/>
  <c r="D51" i="3" s="1" a="1"/>
  <c r="D51" i="3" s="1"/>
  <c r="M311" i="11"/>
  <c r="L22" i="10"/>
  <c r="M19" i="11"/>
  <c r="E20" i="10"/>
  <c r="M206" i="11"/>
  <c r="I7" i="10"/>
  <c r="M413" i="11"/>
  <c r="O11" i="10"/>
  <c r="P9" i="10"/>
  <c r="M443" i="11"/>
  <c r="O68" i="10"/>
  <c r="M433" i="11"/>
  <c r="D744" i="3" s="1" a="1"/>
  <c r="D744" i="3" s="1"/>
  <c r="M426" i="11"/>
  <c r="D736" i="3" s="1" a="1"/>
  <c r="D736" i="3" s="1"/>
  <c r="O70" i="10"/>
  <c r="M423" i="11"/>
  <c r="D731" i="3" s="1" a="1"/>
  <c r="D731" i="3" s="1"/>
  <c r="O22" i="10"/>
  <c r="M401" i="11"/>
  <c r="D688" i="3" s="1" a="1"/>
  <c r="D688" i="3" s="1"/>
  <c r="N19" i="10"/>
  <c r="M390" i="11"/>
  <c r="N10" i="10"/>
  <c r="D590" i="3" l="1" a="1"/>
  <c r="D590" i="3" s="1"/>
  <c r="D583" i="3" a="1"/>
  <c r="D583" i="3" s="1"/>
  <c r="D579" i="3" a="1"/>
  <c r="D579" i="3" s="1"/>
  <c r="D6" i="10"/>
  <c r="D76" i="3" a="1"/>
  <c r="D76" i="3" s="1"/>
  <c r="D132" i="3" a="1"/>
  <c r="D132" i="3" s="1"/>
  <c r="D652" i="3" a="1"/>
  <c r="D652" i="3" s="1"/>
  <c r="D656" i="3" a="1"/>
  <c r="D656" i="3" s="1"/>
  <c r="D213" i="3" a="1"/>
  <c r="D213" i="3" s="1"/>
  <c r="D235" i="3" a="1"/>
  <c r="D235" i="3" s="1"/>
  <c r="D229" i="3" a="1"/>
  <c r="D229" i="3" s="1"/>
  <c r="D365" i="3" a="1"/>
  <c r="D365" i="3" s="1"/>
  <c r="D376" i="3" a="1"/>
  <c r="D376" i="3" s="1"/>
  <c r="D358" i="3" a="1"/>
  <c r="D358" i="3" s="1"/>
  <c r="D352" i="3" a="1"/>
  <c r="D352" i="3" s="1"/>
  <c r="D382" i="3" a="1"/>
  <c r="D382" i="3" s="1"/>
  <c r="D634" i="3" a="1"/>
  <c r="D634" i="3" s="1"/>
  <c r="D600" i="3" a="1"/>
  <c r="D600" i="3" s="1"/>
  <c r="D273" i="3" a="1"/>
  <c r="D273" i="3" s="1"/>
  <c r="D288" i="3" a="1"/>
  <c r="D288" i="3" s="1"/>
  <c r="D281" i="3" a="1"/>
  <c r="D281" i="3" s="1"/>
  <c r="D153" i="3" a="1"/>
  <c r="D153" i="3" s="1"/>
  <c r="D148" i="3" a="1"/>
  <c r="D148" i="3" s="1"/>
  <c r="D764" i="3" a="1"/>
  <c r="D764" i="3" s="1"/>
  <c r="D766" i="3" a="1"/>
  <c r="D766" i="3" s="1"/>
  <c r="D763" i="3" a="1"/>
  <c r="D763" i="3" s="1"/>
  <c r="D323" i="3" a="1"/>
  <c r="D323" i="3" s="1"/>
  <c r="D326" i="3" a="1"/>
  <c r="D326" i="3" s="1"/>
  <c r="D324" i="3" a="1"/>
  <c r="D324" i="3" s="1"/>
  <c r="D353" i="3" a="1"/>
  <c r="D353" i="3" s="1"/>
  <c r="D357" i="3" a="1"/>
  <c r="D357" i="3" s="1"/>
  <c r="D364" i="3" a="1"/>
  <c r="D364" i="3" s="1"/>
  <c r="D341" i="3" a="1"/>
  <c r="D341" i="3" s="1"/>
  <c r="D336" i="3" a="1"/>
  <c r="D336" i="3" s="1"/>
  <c r="D293" i="3" a="1"/>
  <c r="D293" i="3" s="1"/>
  <c r="D300" i="3" a="1"/>
  <c r="D300" i="3" s="1"/>
  <c r="D713" i="3" a="1"/>
  <c r="D713" i="3" s="1"/>
  <c r="D733" i="3" a="1"/>
  <c r="D733" i="3" s="1"/>
  <c r="D725" i="3" a="1"/>
  <c r="D725" i="3" s="1"/>
  <c r="D700" i="3" a="1"/>
  <c r="D700" i="3" s="1"/>
  <c r="D706" i="3" a="1"/>
  <c r="D706" i="3" s="1"/>
  <c r="D649" i="3" a="1"/>
  <c r="D649" i="3" s="1"/>
  <c r="D653" i="3" a="1"/>
  <c r="D653" i="3" s="1"/>
  <c r="D248" i="3" a="1"/>
  <c r="D248" i="3" s="1"/>
  <c r="D166" i="3" a="1"/>
  <c r="D166" i="3" s="1"/>
  <c r="D56" i="10"/>
  <c r="D21" i="10"/>
  <c r="D73" i="10"/>
  <c r="D550" i="3" a="1"/>
  <c r="D550" i="3" s="1"/>
  <c r="D569" i="3" a="1"/>
  <c r="D569" i="3" s="1"/>
  <c r="D642" i="3" a="1"/>
  <c r="D642" i="3" s="1"/>
  <c r="D610" i="3" a="1"/>
  <c r="D610" i="3" s="1"/>
  <c r="D14" i="3" a="1"/>
  <c r="D14" i="3" s="1"/>
  <c r="D6" i="3" a="1"/>
  <c r="D6" i="3" s="1"/>
  <c r="D21" i="3" a="1"/>
  <c r="D21" i="3" s="1"/>
  <c r="D111" i="3" a="1"/>
  <c r="D111" i="3" s="1"/>
  <c r="D57" i="3" a="1"/>
  <c r="D57" i="3" s="1"/>
  <c r="D552" i="3" a="1"/>
  <c r="D552" i="3" s="1"/>
  <c r="D641" i="3" a="1"/>
  <c r="D641" i="3" s="1"/>
  <c r="D568" i="3" a="1"/>
  <c r="D568" i="3" s="1"/>
  <c r="D223" i="3" a="1"/>
  <c r="D223" i="3" s="1"/>
  <c r="D173" i="3" a="1"/>
  <c r="D173" i="3" s="1"/>
  <c r="D282" i="3" a="1"/>
  <c r="D282" i="3" s="1"/>
  <c r="D275" i="3" a="1"/>
  <c r="D275" i="3" s="1"/>
  <c r="D267" i="3" a="1"/>
  <c r="D267" i="3" s="1"/>
  <c r="D493" i="3" a="1"/>
  <c r="D493" i="3" s="1"/>
  <c r="D488" i="3" a="1"/>
  <c r="D488" i="3" s="1"/>
  <c r="D127" i="3" a="1"/>
  <c r="D127" i="3" s="1"/>
  <c r="D70" i="3" a="1"/>
  <c r="D70" i="3" s="1"/>
  <c r="D310" i="3" a="1"/>
  <c r="D310" i="3" s="1"/>
  <c r="D321" i="3" a="1"/>
  <c r="D321" i="3" s="1"/>
  <c r="D314" i="3" a="1"/>
  <c r="D314" i="3" s="1"/>
  <c r="D100" i="3" a="1"/>
  <c r="D100" i="3" s="1"/>
  <c r="D129" i="3" a="1"/>
  <c r="D129" i="3" s="1"/>
  <c r="D607" i="3" a="1"/>
  <c r="D607" i="3" s="1"/>
  <c r="D627" i="3" a="1"/>
  <c r="D627" i="3" s="1"/>
  <c r="D62" i="10"/>
  <c r="D751" i="3" a="1"/>
  <c r="D751" i="3" s="1"/>
  <c r="D757" i="3" a="1"/>
  <c r="D757" i="3" s="1"/>
  <c r="D53" i="10"/>
  <c r="D30" i="10"/>
  <c r="D637" i="3" a="1"/>
  <c r="D637" i="3" s="1"/>
  <c r="D615" i="3" a="1"/>
  <c r="D615" i="3" s="1"/>
  <c r="D551" i="3" a="1"/>
  <c r="D551" i="3" s="1"/>
  <c r="D564" i="3" a="1"/>
  <c r="D564" i="3" s="1"/>
  <c r="D597" i="3" a="1"/>
  <c r="D597" i="3" s="1"/>
  <c r="D549" i="3" a="1"/>
  <c r="D549" i="3" s="1"/>
  <c r="D722" i="3" a="1"/>
  <c r="D722" i="3" s="1"/>
  <c r="D729" i="3" a="1"/>
  <c r="D729" i="3" s="1"/>
  <c r="D55" i="10"/>
  <c r="D694" i="3" a="1"/>
  <c r="D694" i="3" s="1"/>
  <c r="D689" i="3" a="1"/>
  <c r="D689" i="3" s="1"/>
  <c r="D472" i="3" a="1"/>
  <c r="D472" i="3" s="1"/>
  <c r="D478" i="3" a="1"/>
  <c r="D478" i="3" s="1"/>
  <c r="D496" i="3" a="1"/>
  <c r="D496" i="3" s="1"/>
  <c r="D476" i="3" a="1"/>
  <c r="D476" i="3" s="1"/>
  <c r="D477" i="3" a="1"/>
  <c r="D477" i="3" s="1"/>
  <c r="D479" i="3" a="1"/>
  <c r="D479" i="3" s="1"/>
  <c r="D151" i="3" a="1"/>
  <c r="D151" i="3" s="1"/>
  <c r="D116" i="3" a="1"/>
  <c r="D116" i="3" s="1"/>
  <c r="D331" i="3" a="1"/>
  <c r="D331" i="3" s="1"/>
  <c r="D338" i="3" a="1"/>
  <c r="D338" i="3" s="1"/>
  <c r="D347" i="3" a="1"/>
  <c r="D347" i="3" s="1"/>
  <c r="D125" i="3" a="1"/>
  <c r="D125" i="3" s="1"/>
  <c r="D118" i="3" a="1"/>
  <c r="D118" i="3" s="1"/>
  <c r="D110" i="3" a="1"/>
  <c r="D110" i="3" s="1"/>
  <c r="D156" i="3" a="1"/>
  <c r="D156" i="3" s="1"/>
  <c r="D238" i="3" a="1"/>
  <c r="D238" i="3" s="1"/>
  <c r="D650" i="3" a="1"/>
  <c r="D650" i="3" s="1"/>
  <c r="D654" i="3" a="1"/>
  <c r="D654" i="3" s="1"/>
  <c r="D13" i="10"/>
  <c r="D8" i="10"/>
  <c r="D441" i="3" a="1"/>
  <c r="D441" i="3" s="1"/>
  <c r="D426" i="3" a="1"/>
  <c r="D426" i="3" s="1"/>
  <c r="D434" i="3" a="1"/>
  <c r="D434" i="3" s="1"/>
  <c r="D435" i="3" a="1"/>
  <c r="D435" i="3" s="1"/>
  <c r="D420" i="3" a="1"/>
  <c r="D420" i="3" s="1"/>
  <c r="D428" i="3" a="1"/>
  <c r="D428" i="3" s="1"/>
  <c r="D76" i="10"/>
  <c r="D231" i="3" a="1"/>
  <c r="D231" i="3" s="1"/>
  <c r="D224" i="3" a="1"/>
  <c r="D224" i="3" s="1"/>
  <c r="D220" i="3" a="1"/>
  <c r="D220" i="3" s="1"/>
  <c r="D96" i="3" a="1"/>
  <c r="D96" i="3" s="1"/>
  <c r="D106" i="3" a="1"/>
  <c r="D106" i="3" s="1"/>
  <c r="D648" i="3" a="1"/>
  <c r="D648" i="3" s="1"/>
  <c r="D617" i="3" a="1"/>
  <c r="D617" i="3" s="1"/>
  <c r="D554" i="3" a="1"/>
  <c r="D554" i="3" s="1"/>
  <c r="D575" i="3" a="1"/>
  <c r="D575" i="3" s="1"/>
  <c r="D120" i="3" a="1"/>
  <c r="D120" i="3" s="1"/>
  <c r="D146" i="3" a="1"/>
  <c r="D146" i="3" s="1"/>
  <c r="D154" i="3" a="1"/>
  <c r="D154" i="3" s="1"/>
  <c r="D63" i="3" a="1"/>
  <c r="D63" i="3" s="1"/>
  <c r="D107" i="3" a="1"/>
  <c r="D107" i="3" s="1"/>
  <c r="D113" i="3" a="1"/>
  <c r="D113" i="3" s="1"/>
  <c r="D7" i="10"/>
  <c r="D61" i="10"/>
  <c r="D381" i="3" a="1"/>
  <c r="D381" i="3" s="1"/>
  <c r="D378" i="3" a="1"/>
  <c r="D378" i="3" s="1"/>
  <c r="D586" i="3" a="1"/>
  <c r="D586" i="3" s="1"/>
  <c r="D580" i="3" a="1"/>
  <c r="D580" i="3" s="1"/>
  <c r="D123" i="3" a="1"/>
  <c r="D123" i="3" s="1"/>
  <c r="D97" i="3" a="1"/>
  <c r="D97" i="3" s="1"/>
  <c r="D117" i="3" a="1"/>
  <c r="D117" i="3" s="1"/>
  <c r="D320" i="3" a="1"/>
  <c r="D320" i="3" s="1"/>
  <c r="D312" i="3" a="1"/>
  <c r="D312" i="3" s="1"/>
  <c r="D327" i="3" a="1"/>
  <c r="D327" i="3" s="1"/>
  <c r="D677" i="3" a="1"/>
  <c r="D677" i="3" s="1"/>
  <c r="D679" i="3" a="1"/>
  <c r="D679" i="3" s="1"/>
  <c r="D676" i="3" a="1"/>
  <c r="D676" i="3" s="1"/>
  <c r="D662" i="3" a="1"/>
  <c r="D662" i="3" s="1"/>
  <c r="D732" i="3" a="1"/>
  <c r="D732" i="3" s="1"/>
  <c r="D727" i="3" a="1"/>
  <c r="D727" i="3" s="1"/>
  <c r="D20" i="10"/>
  <c r="D205" i="3" a="1"/>
  <c r="D205" i="3" s="1"/>
  <c r="D253" i="3" a="1"/>
  <c r="D253" i="3" s="1"/>
  <c r="D465" i="3" a="1"/>
  <c r="D465" i="3" s="1"/>
  <c r="D480" i="3" a="1"/>
  <c r="D480" i="3" s="1"/>
  <c r="D473" i="3" a="1"/>
  <c r="D473" i="3" s="1"/>
  <c r="D469" i="3" a="1"/>
  <c r="D469" i="3" s="1"/>
  <c r="D503" i="3" a="1"/>
  <c r="D503" i="3" s="1"/>
  <c r="D34" i="3" a="1"/>
  <c r="D34" i="3" s="1"/>
  <c r="D39" i="3" a="1"/>
  <c r="D39" i="3" s="1"/>
  <c r="D53" i="3" a="1"/>
  <c r="D53" i="3" s="1"/>
  <c r="D141" i="3" a="1"/>
  <c r="D141" i="3" s="1"/>
  <c r="D114" i="3" a="1"/>
  <c r="D114" i="3" s="1"/>
  <c r="D87" i="3" a="1"/>
  <c r="D87" i="3" s="1"/>
  <c r="D152" i="3" a="1"/>
  <c r="D152" i="3" s="1"/>
  <c r="D532" i="3" a="1"/>
  <c r="D532" i="3" s="1"/>
  <c r="D520" i="3" a="1"/>
  <c r="D520" i="3" s="1"/>
  <c r="D460" i="3" a="1"/>
  <c r="D460" i="3" s="1"/>
  <c r="D471" i="3" a="1"/>
  <c r="D471" i="3" s="1"/>
  <c r="D491" i="3" a="1"/>
  <c r="D491" i="3" s="1"/>
  <c r="D325" i="3" a="1"/>
  <c r="D325" i="3" s="1"/>
  <c r="D319" i="3" a="1"/>
  <c r="D319" i="3" s="1"/>
  <c r="D588" i="3" a="1"/>
  <c r="D588" i="3" s="1"/>
  <c r="D560" i="3" a="1"/>
  <c r="D560" i="3" s="1"/>
  <c r="D565" i="3" a="1"/>
  <c r="D565" i="3" s="1"/>
  <c r="D538" i="3" a="1"/>
  <c r="D538" i="3" s="1"/>
  <c r="D638" i="3" a="1"/>
  <c r="D638" i="3" s="1"/>
  <c r="D594" i="3" a="1"/>
  <c r="D594" i="3" s="1"/>
  <c r="D40" i="3" a="1"/>
  <c r="D40" i="3" s="1"/>
  <c r="D9" i="3" a="1"/>
  <c r="D9" i="3" s="1"/>
  <c r="D32" i="3" a="1"/>
  <c r="D32" i="3" s="1"/>
  <c r="D3" i="3" a="1"/>
  <c r="D3" i="3" s="1"/>
  <c r="D16" i="3" a="1"/>
  <c r="D16" i="3" s="1"/>
  <c r="D88" i="10"/>
  <c r="D632" i="3" a="1"/>
  <c r="D632" i="3" s="1"/>
  <c r="D633" i="3" a="1"/>
  <c r="D633" i="3" s="1"/>
  <c r="D603" i="3" a="1"/>
  <c r="D603" i="3" s="1"/>
  <c r="D5" i="3" a="1"/>
  <c r="D5" i="3" s="1"/>
  <c r="A2" i="17" s="1" a="1"/>
  <c r="D11" i="3" a="1"/>
  <c r="D11" i="3" s="1"/>
  <c r="D50" i="10"/>
  <c r="D691" i="3" a="1"/>
  <c r="D691" i="3" s="1"/>
  <c r="D684" i="3" a="1"/>
  <c r="D684" i="3" s="1"/>
  <c r="D682" i="3" a="1"/>
  <c r="D682" i="3" s="1"/>
  <c r="D669" i="3" a="1"/>
  <c r="D669" i="3" s="1"/>
  <c r="D27" i="10"/>
  <c r="D119" i="3" a="1"/>
  <c r="D119" i="3" s="1"/>
  <c r="D108" i="3" a="1"/>
  <c r="D108" i="3" s="1"/>
  <c r="D112" i="3" a="1"/>
  <c r="D112" i="3" s="1"/>
  <c r="D89" i="3" a="1"/>
  <c r="D89" i="3" s="1"/>
  <c r="D144" i="3" a="1"/>
  <c r="D144" i="3" s="1"/>
  <c r="D136" i="3" a="1"/>
  <c r="D136" i="3" s="1"/>
  <c r="D578" i="3" a="1"/>
  <c r="D578" i="3" s="1"/>
  <c r="D584" i="3" a="1"/>
  <c r="D584" i="3" s="1"/>
  <c r="D546" i="3" a="1"/>
  <c r="D546" i="3" s="1"/>
  <c r="D647" i="3" a="1"/>
  <c r="D647" i="3" s="1"/>
  <c r="D629" i="3" a="1"/>
  <c r="D629" i="3" s="1"/>
  <c r="D574" i="3" a="1"/>
  <c r="D574" i="3" s="1"/>
  <c r="D612" i="3" a="1"/>
  <c r="D612" i="3" s="1"/>
  <c r="D591" i="3" a="1"/>
  <c r="D591" i="3" s="1"/>
  <c r="D604" i="3" a="1"/>
  <c r="D604" i="3" s="1"/>
  <c r="D516" i="3" a="1"/>
  <c r="D516" i="3" s="1"/>
  <c r="D489" i="3" a="1"/>
  <c r="D489" i="3" s="1"/>
  <c r="D366" i="3" a="1"/>
  <c r="D366" i="3" s="1"/>
  <c r="D369" i="3" a="1"/>
  <c r="D369" i="3" s="1"/>
  <c r="D367" i="3" a="1"/>
  <c r="D367" i="3" s="1"/>
  <c r="D585" i="3" a="1"/>
  <c r="D585" i="3" s="1"/>
  <c r="D636" i="3" a="1"/>
  <c r="D636" i="3" s="1"/>
  <c r="D599" i="3" a="1"/>
  <c r="D599" i="3" s="1"/>
  <c r="D545" i="3" a="1"/>
  <c r="D545" i="3" s="1"/>
  <c r="D563" i="3" a="1"/>
  <c r="D563" i="3" s="1"/>
  <c r="D589" i="3" a="1"/>
  <c r="D589" i="3" s="1"/>
  <c r="D596" i="3" a="1"/>
  <c r="D596" i="3" s="1"/>
  <c r="D581" i="3" a="1"/>
  <c r="D581" i="3" s="1"/>
  <c r="D526" i="3" a="1"/>
  <c r="D526" i="3" s="1"/>
  <c r="D513" i="3" a="1"/>
  <c r="D513" i="3" s="1"/>
  <c r="D334" i="3" a="1"/>
  <c r="D334" i="3" s="1"/>
  <c r="D315" i="3" a="1"/>
  <c r="D315" i="3" s="1"/>
  <c r="D309" i="3" a="1"/>
  <c r="D309" i="3" s="1"/>
  <c r="D322" i="3" a="1"/>
  <c r="D322" i="3" s="1"/>
  <c r="D342" i="3" a="1"/>
  <c r="D342" i="3" s="1"/>
  <c r="D88" i="3" a="1"/>
  <c r="D88" i="3" s="1"/>
  <c r="D140" i="3" a="1"/>
  <c r="D140" i="3" s="1"/>
  <c r="D793" i="3" a="1"/>
  <c r="D793" i="3" s="1"/>
  <c r="D768" i="3" a="1"/>
  <c r="D768" i="3" s="1"/>
  <c r="D14" i="10"/>
  <c r="D270" i="3" a="1"/>
  <c r="D270" i="3" s="1"/>
  <c r="D285" i="3" a="1"/>
  <c r="D285" i="3" s="1"/>
  <c r="D287" i="3" a="1"/>
  <c r="D287" i="3" s="1"/>
  <c r="D284" i="3" a="1"/>
  <c r="D284" i="3" s="1"/>
  <c r="D750" i="3" a="1"/>
  <c r="D750" i="3" s="1"/>
  <c r="D761" i="3" a="1"/>
  <c r="D761" i="3" s="1"/>
  <c r="D754" i="3" a="1"/>
  <c r="D754" i="3" s="1"/>
  <c r="D65" i="10"/>
  <c r="D665" i="3" a="1"/>
  <c r="D665" i="3" s="1"/>
  <c r="D680" i="3" a="1"/>
  <c r="D680" i="3" s="1"/>
  <c r="D673" i="3" a="1"/>
  <c r="D673" i="3" s="1"/>
  <c r="D681" i="3" a="1"/>
  <c r="D681" i="3" s="1"/>
  <c r="D696" i="3" a="1"/>
  <c r="D696" i="3" s="1"/>
  <c r="D402" i="3" a="1"/>
  <c r="D402" i="3" s="1"/>
  <c r="D431" i="3" a="1"/>
  <c r="D431" i="3" s="1"/>
  <c r="D425" i="3" a="1"/>
  <c r="D425" i="3" s="1"/>
  <c r="D609" i="3" a="1"/>
  <c r="D609" i="3" s="1"/>
  <c r="D587" i="3" a="1"/>
  <c r="D587" i="3" s="1"/>
  <c r="D557" i="3" a="1"/>
  <c r="D557" i="3" s="1"/>
  <c r="D77" i="3" a="1"/>
  <c r="D77" i="3" s="1"/>
  <c r="D128" i="3" a="1"/>
  <c r="D128" i="3" s="1"/>
  <c r="D442" i="3" a="1"/>
  <c r="D442" i="3" s="1"/>
  <c r="D456" i="3" a="1"/>
  <c r="D456" i="3" s="1"/>
  <c r="D521" i="3" a="1"/>
  <c r="D521" i="3" s="1"/>
  <c r="D494" i="3" a="1"/>
  <c r="D494" i="3" s="1"/>
  <c r="D504" i="3" a="1"/>
  <c r="D504" i="3" s="1"/>
  <c r="D468" i="3" a="1"/>
  <c r="D468" i="3" s="1"/>
  <c r="D475" i="3" a="1"/>
  <c r="D475" i="3" s="1"/>
  <c r="D486" i="3" a="1"/>
  <c r="D486" i="3" s="1"/>
  <c r="D462" i="3" a="1"/>
  <c r="D462" i="3" s="1"/>
  <c r="D481" i="3" a="1"/>
  <c r="D481" i="3" s="1"/>
  <c r="D528" i="3" a="1"/>
  <c r="D528" i="3" s="1"/>
  <c r="D507" i="3" a="1"/>
  <c r="D507" i="3" s="1"/>
  <c r="D75" i="10"/>
  <c r="D84" i="10"/>
  <c r="D455" i="3" a="1"/>
  <c r="D455" i="3" s="1"/>
  <c r="D429" i="3" a="1"/>
  <c r="D429" i="3" s="1"/>
  <c r="D447" i="3" a="1"/>
  <c r="D447" i="3" s="1"/>
  <c r="D419" i="3" a="1"/>
  <c r="D419" i="3" s="1"/>
  <c r="D436" i="3" a="1"/>
  <c r="D436" i="3" s="1"/>
  <c r="D490" i="3" a="1"/>
  <c r="D490" i="3" s="1"/>
  <c r="D483" i="3" a="1"/>
  <c r="D483" i="3" s="1"/>
  <c r="D522" i="3" a="1"/>
  <c r="D522" i="3" s="1"/>
  <c r="D517" i="3" a="1"/>
  <c r="D517" i="3" s="1"/>
  <c r="D41" i="10"/>
  <c r="D64" i="10"/>
  <c r="D17" i="3" a="1"/>
  <c r="D17" i="3" s="1"/>
  <c r="D20" i="3" a="1"/>
  <c r="D20" i="3" s="1"/>
  <c r="D25" i="3" a="1"/>
  <c r="D25" i="3" s="1"/>
  <c r="D41" i="3" a="1"/>
  <c r="D41" i="3" s="1"/>
  <c r="D18" i="3" a="1"/>
  <c r="D18" i="3" s="1"/>
  <c r="D40" i="10"/>
  <c r="D715" i="3" a="1"/>
  <c r="D715" i="3" s="1"/>
  <c r="D714" i="3" a="1"/>
  <c r="D714" i="3" s="1"/>
  <c r="D717" i="3" a="1"/>
  <c r="D717" i="3" s="1"/>
  <c r="D75" i="3" a="1"/>
  <c r="D75" i="3" s="1"/>
  <c r="D139" i="3" a="1"/>
  <c r="D139" i="3" s="1"/>
  <c r="D222" i="3" a="1"/>
  <c r="D222" i="3" s="1"/>
  <c r="D230" i="3" a="1"/>
  <c r="D230" i="3" s="1"/>
  <c r="D237" i="3" a="1"/>
  <c r="D237" i="3" s="1"/>
  <c r="D212" i="3" a="1"/>
  <c r="D212" i="3" s="1"/>
  <c r="D218" i="3" a="1"/>
  <c r="D218" i="3" s="1"/>
  <c r="D582" i="3" a="1"/>
  <c r="D582" i="3" s="1"/>
  <c r="D558" i="3" a="1"/>
  <c r="D558" i="3" s="1"/>
  <c r="D537" i="3" a="1"/>
  <c r="D537" i="3" s="1"/>
  <c r="D534" i="3" a="1"/>
  <c r="D534" i="3" s="1"/>
  <c r="D792" i="3" a="1"/>
  <c r="D792" i="3" s="1"/>
  <c r="D755" i="3" a="1"/>
  <c r="D755" i="3" s="1"/>
  <c r="D762" i="3" a="1"/>
  <c r="D762" i="3" s="1"/>
  <c r="D784" i="3" a="1"/>
  <c r="D784" i="3" s="1"/>
  <c r="D749" i="3" a="1"/>
  <c r="D749" i="3" s="1"/>
  <c r="D374" i="3" a="1"/>
  <c r="D374" i="3" s="1"/>
  <c r="D379" i="3" a="1"/>
  <c r="D379" i="3" s="1"/>
  <c r="D361" i="3" a="1"/>
  <c r="D361" i="3" s="1"/>
  <c r="D45" i="10"/>
  <c r="D17" i="10"/>
  <c r="D692" i="3" a="1"/>
  <c r="D692" i="3" s="1"/>
  <c r="D661" i="3" a="1"/>
  <c r="D661" i="3" s="1"/>
  <c r="D671" i="3" a="1"/>
  <c r="D671" i="3" s="1"/>
  <c r="D449" i="3" a="1"/>
  <c r="D449" i="3" s="1"/>
  <c r="D454" i="3" a="1"/>
  <c r="D454" i="3" s="1"/>
  <c r="D19" i="3" a="1"/>
  <c r="D19" i="3" s="1"/>
  <c r="D23" i="3" a="1"/>
  <c r="D23" i="3" s="1"/>
  <c r="D13" i="3" a="1"/>
  <c r="D13" i="3" s="1"/>
  <c r="D524" i="3" a="1"/>
  <c r="D524" i="3" s="1"/>
  <c r="D492" i="3" a="1"/>
  <c r="D492" i="3" s="1"/>
  <c r="D508" i="3" a="1"/>
  <c r="D508" i="3" s="1"/>
  <c r="D289" i="3" a="1"/>
  <c r="D289" i="3" s="1"/>
  <c r="D305" i="3" a="1"/>
  <c r="D305" i="3" s="1"/>
  <c r="D277" i="3" a="1"/>
  <c r="D277" i="3" s="1"/>
  <c r="D291" i="3" a="1"/>
  <c r="D291" i="3" s="1"/>
  <c r="D452" i="3" a="1"/>
  <c r="D452" i="3" s="1"/>
  <c r="D422" i="3" a="1"/>
  <c r="D422" i="3" s="1"/>
  <c r="D432" i="3" a="1"/>
  <c r="D432" i="3" s="1"/>
  <c r="D203" i="3" a="1"/>
  <c r="D203" i="3" s="1"/>
  <c r="D261" i="3" a="1"/>
  <c r="D261" i="3" s="1"/>
  <c r="D438" i="3" a="1"/>
  <c r="D438" i="3" s="1"/>
  <c r="D423" i="3" a="1"/>
  <c r="D423" i="3" s="1"/>
  <c r="D440" i="3" a="1"/>
  <c r="D440" i="3" s="1"/>
  <c r="D437" i="3" a="1"/>
  <c r="D437" i="3" s="1"/>
  <c r="D470" i="3" a="1"/>
  <c r="D470" i="3" s="1"/>
  <c r="D464" i="3" a="1"/>
  <c r="D464" i="3" s="1"/>
  <c r="D15" i="10"/>
  <c r="D779" i="3" a="1"/>
  <c r="D779" i="3" s="1"/>
  <c r="D756" i="3" a="1"/>
  <c r="D756" i="3" s="1"/>
  <c r="D32" i="10"/>
  <c r="D77" i="10"/>
  <c r="D786" i="3" a="1"/>
  <c r="D786" i="3" s="1"/>
  <c r="D791" i="3" a="1"/>
  <c r="D791" i="3" s="1"/>
  <c r="D249" i="3" a="1"/>
  <c r="D249" i="3" s="1"/>
  <c r="D167" i="3" a="1"/>
  <c r="D167" i="3" s="1"/>
  <c r="D572" i="3" a="1"/>
  <c r="D572" i="3" s="1"/>
  <c r="D535" i="3" a="1"/>
  <c r="D535" i="3" s="1"/>
  <c r="D645" i="3" a="1"/>
  <c r="D645" i="3" s="1"/>
  <c r="D10" i="3" a="1"/>
  <c r="D10" i="3" s="1"/>
  <c r="D27" i="3" a="1"/>
  <c r="D27" i="3" s="1"/>
  <c r="D3" i="10"/>
  <c r="D143" i="3" a="1"/>
  <c r="D143" i="3" s="1"/>
  <c r="D46" i="3" a="1"/>
  <c r="D46" i="3" s="1"/>
  <c r="D150" i="3" a="1"/>
  <c r="D150" i="3" s="1"/>
  <c r="D518" i="3" a="1"/>
  <c r="D518" i="3" s="1"/>
  <c r="D598" i="3" a="1"/>
  <c r="D598" i="3" s="1"/>
  <c r="D530" i="3" a="1"/>
  <c r="D530" i="3" s="1"/>
  <c r="D59" i="10"/>
  <c r="D621" i="3" a="1"/>
  <c r="D621" i="3" s="1"/>
  <c r="D540" i="3" a="1"/>
  <c r="D540" i="3" s="1"/>
  <c r="D240" i="3" a="1"/>
  <c r="D240" i="3" s="1"/>
  <c r="D165" i="3" a="1"/>
  <c r="D165" i="3" s="1"/>
  <c r="D65" i="3" a="1"/>
  <c r="D65" i="3" s="1"/>
  <c r="D138" i="3" a="1"/>
  <c r="D138" i="3" s="1"/>
  <c r="D92" i="3" a="1"/>
  <c r="D92" i="3" s="1"/>
  <c r="D135" i="3" a="1"/>
  <c r="D135" i="3" s="1"/>
  <c r="D752" i="3" a="1"/>
  <c r="D752" i="3" s="1"/>
  <c r="D760" i="3" a="1"/>
  <c r="D760" i="3" s="1"/>
  <c r="D767" i="3" a="1"/>
  <c r="D767" i="3" s="1"/>
  <c r="D12" i="10"/>
  <c r="D601" i="3" a="1"/>
  <c r="D601" i="3" s="1"/>
  <c r="D608" i="3" a="1"/>
  <c r="D608" i="3" s="1"/>
  <c r="D628" i="3" a="1"/>
  <c r="D628" i="3" s="1"/>
  <c r="D64" i="3" a="1"/>
  <c r="D64" i="3" s="1"/>
  <c r="D133" i="3" a="1"/>
  <c r="D133" i="3" s="1"/>
  <c r="D43" i="3" a="1"/>
  <c r="D43" i="3" s="1"/>
  <c r="D126" i="3" a="1"/>
  <c r="D126" i="3" s="1"/>
  <c r="D567" i="3" a="1"/>
  <c r="D567" i="3" s="1"/>
  <c r="D640" i="3" a="1"/>
  <c r="D640" i="3" s="1"/>
  <c r="D687" i="3" a="1"/>
  <c r="D687" i="3" s="1"/>
  <c r="D675" i="3" a="1"/>
  <c r="D675" i="3" s="1"/>
  <c r="D668" i="3" a="1"/>
  <c r="D668" i="3" s="1"/>
  <c r="D695" i="3" a="1"/>
  <c r="D695" i="3" s="1"/>
  <c r="D658" i="3" a="1"/>
  <c r="D658" i="3" s="1"/>
  <c r="D626" i="3" a="1"/>
  <c r="D626" i="3" s="1"/>
  <c r="D643" i="3" a="1"/>
  <c r="D643" i="3" s="1"/>
  <c r="D570" i="3" a="1"/>
  <c r="D570" i="3" s="1"/>
  <c r="D542" i="3" a="1"/>
  <c r="D542" i="3" s="1"/>
  <c r="D703" i="3" a="1"/>
  <c r="D703" i="3" s="1"/>
  <c r="D711" i="3" a="1"/>
  <c r="D711" i="3" s="1"/>
  <c r="D718" i="3" a="1"/>
  <c r="D718" i="3" s="1"/>
  <c r="D631" i="3" a="1"/>
  <c r="D631" i="3" s="1"/>
  <c r="D611" i="3" a="1"/>
  <c r="D611" i="3" s="1"/>
  <c r="D606" i="3" a="1"/>
  <c r="D606" i="3" s="1"/>
  <c r="D630" i="3" a="1"/>
  <c r="D630" i="3" s="1"/>
  <c r="D622" i="3" a="1"/>
  <c r="D622" i="3" s="1"/>
  <c r="D602" i="3" a="1"/>
  <c r="D602" i="3" s="1"/>
  <c r="D544" i="3" a="1"/>
  <c r="D544" i="3" s="1"/>
  <c r="D562" i="3" a="1"/>
  <c r="D562" i="3" s="1"/>
  <c r="D635" i="3" a="1"/>
  <c r="D635" i="3" s="1"/>
  <c r="D227" i="3" a="1"/>
  <c r="D227" i="3" s="1"/>
  <c r="D221" i="3" a="1"/>
  <c r="D221" i="3" s="1"/>
  <c r="D195" i="3" a="1"/>
  <c r="D195" i="3" s="1"/>
  <c r="D624" i="3" a="1"/>
  <c r="D624" i="3" s="1"/>
  <c r="D646" i="3" a="1"/>
  <c r="D646" i="3" s="1"/>
  <c r="D573" i="3" a="1"/>
  <c r="D573" i="3" s="1"/>
  <c r="D541" i="3" a="1"/>
  <c r="D541" i="3" s="1"/>
  <c r="D70" i="10"/>
  <c r="D363" i="3" a="1"/>
  <c r="D363" i="3" s="1"/>
  <c r="D355" i="3" a="1"/>
  <c r="D355" i="3" s="1"/>
  <c r="D372" i="3" a="1"/>
  <c r="D372" i="3" s="1"/>
  <c r="D359" i="3" a="1"/>
  <c r="D359" i="3" s="1"/>
  <c r="D701" i="3" a="1"/>
  <c r="D701" i="3" s="1"/>
  <c r="D705" i="3" a="1"/>
  <c r="D705" i="3" s="1"/>
  <c r="D712" i="3" a="1"/>
  <c r="D712" i="3" s="1"/>
  <c r="D159" i="3" a="1"/>
  <c r="D159" i="3" s="1"/>
  <c r="D252" i="3" a="1"/>
  <c r="D252" i="3" s="1"/>
  <c r="D259" i="3" a="1"/>
  <c r="D259" i="3" s="1"/>
  <c r="D659" i="3" a="1"/>
  <c r="D659" i="3" s="1"/>
  <c r="D667" i="3" a="1"/>
  <c r="D667" i="3" s="1"/>
  <c r="D674" i="3" a="1"/>
  <c r="D674" i="3" s="1"/>
  <c r="D707" i="3" a="1"/>
  <c r="D707" i="3" s="1"/>
  <c r="D720" i="3" a="1"/>
  <c r="D720" i="3" s="1"/>
  <c r="D4" i="10"/>
  <c r="D11" i="10"/>
  <c r="D330" i="3" a="1"/>
  <c r="D330" i="3" s="1"/>
  <c r="D344" i="3" a="1"/>
  <c r="D344" i="3" s="1"/>
  <c r="D343" i="3" a="1"/>
  <c r="D343" i="3" s="1"/>
  <c r="D430" i="3" a="1"/>
  <c r="D430" i="3" s="1"/>
  <c r="D443" i="3" a="1"/>
  <c r="D443" i="3" s="1"/>
  <c r="D515" i="3" a="1"/>
  <c r="D515" i="3" s="1"/>
  <c r="D482" i="3" a="1"/>
  <c r="D482" i="3" s="1"/>
  <c r="D29" i="10"/>
  <c r="D115" i="3" a="1"/>
  <c r="D115" i="3" s="1"/>
  <c r="D79" i="3" a="1"/>
  <c r="D79" i="3" s="1"/>
  <c r="D109" i="3" a="1"/>
  <c r="D109" i="3" s="1"/>
  <c r="D255" i="3" a="1"/>
  <c r="D255" i="3" s="1"/>
  <c r="D263" i="3" a="1"/>
  <c r="D263" i="3" s="1"/>
  <c r="D179" i="3" a="1"/>
  <c r="D179" i="3" s="1"/>
  <c r="D232" i="3" a="1"/>
  <c r="D232" i="3" s="1"/>
  <c r="D219" i="3" a="1"/>
  <c r="D219" i="3" s="1"/>
  <c r="D225" i="3" a="1"/>
  <c r="D225" i="3" s="1"/>
  <c r="D9" i="10"/>
  <c r="D272" i="3" a="1"/>
  <c r="D272" i="3" s="1"/>
  <c r="D278" i="3" a="1"/>
  <c r="D278" i="3" s="1"/>
  <c r="D68" i="10"/>
  <c r="D228" i="3" a="1"/>
  <c r="D228" i="3" s="1"/>
  <c r="D260" i="3" a="1"/>
  <c r="D260" i="3" s="1"/>
  <c r="D35" i="10"/>
  <c r="D47" i="10"/>
  <c r="D24" i="3" a="1"/>
  <c r="D24" i="3" s="1"/>
  <c r="D12" i="3" a="1"/>
  <c r="D12" i="3" s="1"/>
  <c r="D37" i="3" a="1"/>
  <c r="D37" i="3" s="1"/>
  <c r="D71" i="10"/>
  <c r="D345" i="3" a="1"/>
  <c r="D345" i="3" s="1"/>
  <c r="D337" i="3" a="1"/>
  <c r="D337" i="3" s="1"/>
  <c r="D708" i="3" a="1"/>
  <c r="D708" i="3" s="1"/>
  <c r="D702" i="3" a="1"/>
  <c r="D702" i="3" s="1"/>
  <c r="D54" i="10"/>
  <c r="D29" i="3" a="1"/>
  <c r="D29" i="3" s="1"/>
  <c r="D36" i="3" a="1"/>
  <c r="D36" i="3" s="1"/>
  <c r="D67" i="10"/>
  <c r="D15" i="3" a="1"/>
  <c r="D15" i="3" s="1"/>
  <c r="D8" i="3" a="1"/>
  <c r="D8" i="3" s="1"/>
  <c r="D4" i="3" a="1"/>
  <c r="D4" i="3" s="1"/>
  <c r="D303" i="3" a="1"/>
  <c r="D303" i="3" s="1"/>
  <c r="D298" i="3" a="1"/>
  <c r="D298" i="3" s="1"/>
  <c r="D709" i="3" a="1"/>
  <c r="D709" i="3" s="1"/>
  <c r="D730" i="3" a="1"/>
  <c r="D730" i="3" s="1"/>
  <c r="D660" i="3" a="1"/>
  <c r="D660" i="3" s="1"/>
  <c r="D697" i="3" a="1"/>
  <c r="D697" i="3" s="1"/>
  <c r="D678" i="3" a="1"/>
  <c r="D678" i="3" s="1"/>
  <c r="D672" i="3" a="1"/>
  <c r="D672" i="3" s="1"/>
  <c r="D698" i="3" a="1"/>
  <c r="D698" i="3" s="1"/>
  <c r="D670" i="3" a="1"/>
  <c r="D670" i="3" s="1"/>
  <c r="D651" i="3" a="1"/>
  <c r="D651" i="3" s="1"/>
  <c r="D664" i="3" a="1"/>
  <c r="D664" i="3" s="1"/>
  <c r="D655" i="3" a="1"/>
  <c r="D655" i="3" s="1"/>
  <c r="D236" i="3" a="1"/>
  <c r="D236" i="3" s="1"/>
  <c r="D234" i="3" a="1"/>
  <c r="D234" i="3" s="1"/>
  <c r="D190" i="3" a="1"/>
  <c r="D190" i="3" s="1"/>
  <c r="D233" i="3" a="1"/>
  <c r="D233" i="3" s="1"/>
  <c r="D38" i="10"/>
  <c r="D60" i="10"/>
  <c r="D723" i="3" a="1"/>
  <c r="D723" i="3" s="1"/>
  <c r="D743" i="3" a="1"/>
  <c r="D743" i="3" s="1"/>
  <c r="D83" i="3" a="1"/>
  <c r="D83" i="3" s="1"/>
  <c r="D130" i="3" a="1"/>
  <c r="D130" i="3" s="1"/>
  <c r="D19" i="10"/>
  <c r="D311" i="3" a="1"/>
  <c r="D311" i="3" s="1"/>
  <c r="D317" i="3" a="1"/>
  <c r="D317" i="3" s="1"/>
  <c r="D523" i="3" a="1"/>
  <c r="D523" i="3" s="1"/>
  <c r="D495" i="3" a="1"/>
  <c r="D495" i="3" s="1"/>
  <c r="D318" i="3" a="1"/>
  <c r="D318" i="3" s="1"/>
  <c r="D339" i="3" a="1"/>
  <c r="D339" i="3" s="1"/>
  <c r="D301" i="3" a="1"/>
  <c r="D301" i="3" s="1"/>
  <c r="D279" i="3" a="1"/>
  <c r="D279" i="3" s="1"/>
  <c r="D269" i="3" a="1"/>
  <c r="D269" i="3" s="1"/>
  <c r="D74" i="3" a="1"/>
  <c r="D74" i="3" s="1"/>
  <c r="D122" i="3" a="1"/>
  <c r="D122" i="3" s="1"/>
  <c r="D124" i="3" a="1"/>
  <c r="D124" i="3" s="1"/>
  <c r="D121" i="3" a="1"/>
  <c r="D121" i="3" s="1"/>
  <c r="D257" i="3" a="1"/>
  <c r="D257" i="3" s="1"/>
  <c r="D262" i="3" a="1"/>
  <c r="D262" i="3" s="1"/>
  <c r="D23" i="10"/>
  <c r="D556" i="3" a="1"/>
  <c r="D556" i="3" s="1"/>
  <c r="D623" i="3" a="1"/>
  <c r="D623" i="3" s="1"/>
  <c r="D566" i="3" a="1"/>
  <c r="D566" i="3" s="1"/>
  <c r="D639" i="3" a="1"/>
  <c r="D639" i="3" s="1"/>
  <c r="D370" i="3" a="1"/>
  <c r="D370" i="3" s="1"/>
  <c r="D371" i="3" a="1"/>
  <c r="D371" i="3" s="1"/>
  <c r="D86" i="10"/>
  <c r="D445" i="3" a="1"/>
  <c r="D445" i="3" s="1"/>
  <c r="D412" i="3" a="1"/>
  <c r="D412" i="3" s="1"/>
  <c r="D716" i="3" a="1"/>
  <c r="D716" i="3" s="1"/>
  <c r="D710" i="3" a="1"/>
  <c r="D710" i="3" s="1"/>
  <c r="D137" i="3" a="1"/>
  <c r="D137" i="3" s="1"/>
  <c r="D98" i="3" a="1"/>
  <c r="D98" i="3" s="1"/>
  <c r="D169" i="3" a="1"/>
  <c r="D169" i="3" s="1"/>
  <c r="D250" i="3" a="1"/>
  <c r="D250" i="3" s="1"/>
  <c r="D226" i="3" a="1"/>
  <c r="D226" i="3" s="1"/>
  <c r="D335" i="3" a="1"/>
  <c r="D335" i="3" s="1"/>
  <c r="D348" i="3" a="1"/>
  <c r="D348" i="3" s="1"/>
  <c r="D616" i="3" a="1"/>
  <c r="D616" i="3" s="1"/>
  <c r="D571" i="3" a="1"/>
  <c r="D571" i="3" s="1"/>
  <c r="D644" i="3" a="1"/>
  <c r="D644" i="3" s="1"/>
  <c r="D72" i="3" a="1"/>
  <c r="D72" i="3" s="1"/>
  <c r="D131" i="3" a="1"/>
  <c r="D131" i="3" s="1"/>
  <c r="D788" i="3" a="1"/>
  <c r="D788" i="3" s="1"/>
  <c r="D781" i="3" a="1"/>
  <c r="D781" i="3" s="1"/>
  <c r="D10" i="10"/>
  <c r="D433" i="3" a="1"/>
  <c r="D433" i="3" s="1"/>
  <c r="D457" i="3" a="1"/>
  <c r="D457" i="3" s="1"/>
  <c r="D458" i="3" a="1"/>
  <c r="D458" i="3" s="1"/>
  <c r="D439" i="3" a="1"/>
  <c r="D439" i="3" s="1"/>
  <c r="D421" i="3" a="1"/>
  <c r="D421" i="3" s="1"/>
  <c r="D559" i="3" a="1"/>
  <c r="D559" i="3" s="1"/>
  <c r="D561" i="3" a="1"/>
  <c r="D561" i="3" s="1"/>
  <c r="D595" i="3" a="1"/>
  <c r="D595" i="3" s="1"/>
  <c r="D593" i="3" a="1"/>
  <c r="D593" i="3" s="1"/>
  <c r="D592" i="3" a="1"/>
  <c r="D592" i="3" s="1"/>
  <c r="D286" i="3" a="1"/>
  <c r="D286" i="3" s="1"/>
  <c r="D290" i="3" a="1"/>
  <c r="D290" i="3" s="1"/>
  <c r="D268" i="3" a="1"/>
  <c r="D268" i="3" s="1"/>
  <c r="D306" i="3" a="1"/>
  <c r="D306" i="3" s="1"/>
  <c r="D280" i="3" a="1"/>
  <c r="D280" i="3" s="1"/>
  <c r="D307" i="3" a="1"/>
  <c r="D307" i="3" s="1"/>
  <c r="D283" i="3" a="1"/>
  <c r="D283" i="3" s="1"/>
  <c r="D296" i="3" a="1"/>
  <c r="D296" i="3" s="1"/>
  <c r="D304" i="3" a="1"/>
  <c r="D304" i="3" s="1"/>
  <c r="D266" i="3" a="1"/>
  <c r="D266" i="3" s="1"/>
  <c r="D276" i="3" a="1"/>
  <c r="D276" i="3" s="1"/>
  <c r="D765" i="3" a="1"/>
  <c r="D765" i="3" s="1"/>
  <c r="D759" i="3" a="1"/>
  <c r="D759" i="3" s="1"/>
  <c r="D368" i="3" a="1"/>
  <c r="D368" i="3" s="1"/>
  <c r="D362" i="3" a="1"/>
  <c r="D362" i="3" s="1"/>
  <c r="D16" i="10"/>
  <c r="D474" i="3" a="1"/>
  <c r="D474" i="3" s="1"/>
  <c r="D463" i="3" a="1"/>
  <c r="D463" i="3" s="1"/>
  <c r="D467" i="3" a="1"/>
  <c r="D467" i="3" s="1"/>
  <c r="D95" i="3" a="1"/>
  <c r="D95" i="3" s="1"/>
  <c r="D134" i="3" a="1"/>
  <c r="D134" i="3" s="1"/>
  <c r="D5" i="10"/>
  <c r="D346" i="3" a="1"/>
  <c r="D346" i="3" s="1"/>
  <c r="D316" i="3" a="1"/>
  <c r="D316" i="3" s="1"/>
  <c r="D329" i="3" a="1"/>
  <c r="D329" i="3" s="1"/>
  <c r="D789" i="3" a="1"/>
  <c r="D789" i="3" s="1"/>
  <c r="D758" i="3" a="1"/>
  <c r="D758" i="3" s="1"/>
  <c r="D22" i="10"/>
  <c r="AE801" i="17" l="1"/>
  <c r="AB801" i="17"/>
  <c r="L801" i="17"/>
  <c r="AA800" i="17"/>
  <c r="K800" i="17"/>
  <c r="Z799" i="17"/>
  <c r="J799" i="17"/>
  <c r="Y798" i="17"/>
  <c r="I798" i="17"/>
  <c r="X797" i="17"/>
  <c r="H797" i="17"/>
  <c r="W796" i="17"/>
  <c r="G796" i="17"/>
  <c r="V795" i="17"/>
  <c r="F795" i="17"/>
  <c r="U794" i="17"/>
  <c r="E794" i="17"/>
  <c r="T793" i="17"/>
  <c r="D793" i="17"/>
  <c r="S792" i="17"/>
  <c r="C792" i="17"/>
  <c r="R791" i="17"/>
  <c r="B791" i="17"/>
  <c r="Q790" i="17"/>
  <c r="A790" i="17"/>
  <c r="P789" i="17"/>
  <c r="AE788" i="17"/>
  <c r="O788" i="17"/>
  <c r="AD787" i="17"/>
  <c r="N787" i="17"/>
  <c r="AC786" i="17"/>
  <c r="M786" i="17"/>
  <c r="AB785" i="17"/>
  <c r="L785" i="17"/>
  <c r="AA784" i="17"/>
  <c r="K784" i="17"/>
  <c r="Z783" i="17"/>
  <c r="J783" i="17"/>
  <c r="Y782" i="17"/>
  <c r="I782" i="17"/>
  <c r="X781" i="17"/>
  <c r="H781" i="17"/>
  <c r="W780" i="17"/>
  <c r="G780" i="17"/>
  <c r="V779" i="17"/>
  <c r="F779" i="17"/>
  <c r="U778" i="17"/>
  <c r="E778" i="17"/>
  <c r="T777" i="17"/>
  <c r="D777" i="17"/>
  <c r="S776" i="17"/>
  <c r="C776" i="17"/>
  <c r="R775" i="17"/>
  <c r="B775" i="17"/>
  <c r="Q774" i="17"/>
  <c r="A774" i="17"/>
  <c r="P773" i="17"/>
  <c r="AE772" i="17"/>
  <c r="O772" i="17"/>
  <c r="AD771" i="17"/>
  <c r="N771" i="17"/>
  <c r="AC770" i="17"/>
  <c r="M770" i="17"/>
  <c r="AB769" i="17"/>
  <c r="L769" i="17"/>
  <c r="AA768" i="17"/>
  <c r="K768" i="17"/>
  <c r="Z767" i="17"/>
  <c r="J767" i="17"/>
  <c r="Y766" i="17"/>
  <c r="I766" i="17"/>
  <c r="X765" i="17"/>
  <c r="H765" i="17"/>
  <c r="W764" i="17"/>
  <c r="G764" i="17"/>
  <c r="V763" i="17"/>
  <c r="F763" i="17"/>
  <c r="U762" i="17"/>
  <c r="E762" i="17"/>
  <c r="T761" i="17"/>
  <c r="D761" i="17"/>
  <c r="S760" i="17"/>
  <c r="C760" i="17"/>
  <c r="R759" i="17"/>
  <c r="B759" i="17"/>
  <c r="Z801" i="17"/>
  <c r="Y801" i="17"/>
  <c r="X801" i="17"/>
  <c r="H801" i="17"/>
  <c r="W800" i="17"/>
  <c r="G800" i="17"/>
  <c r="V799" i="17"/>
  <c r="F799" i="17"/>
  <c r="U798" i="17"/>
  <c r="E798" i="17"/>
  <c r="T797" i="17"/>
  <c r="D797" i="17"/>
  <c r="S796" i="17"/>
  <c r="C796" i="17"/>
  <c r="R795" i="17"/>
  <c r="B795" i="17"/>
  <c r="Q794" i="17"/>
  <c r="A794" i="17"/>
  <c r="P793" i="17"/>
  <c r="AE792" i="17"/>
  <c r="O792" i="17"/>
  <c r="AD791" i="17"/>
  <c r="N791" i="17"/>
  <c r="W801" i="17"/>
  <c r="G801" i="17"/>
  <c r="V800" i="17"/>
  <c r="F800" i="17"/>
  <c r="U799" i="17"/>
  <c r="E799" i="17"/>
  <c r="T798" i="17"/>
  <c r="D798" i="17"/>
  <c r="S797" i="17"/>
  <c r="C797" i="17"/>
  <c r="R796" i="17"/>
  <c r="B796" i="17"/>
  <c r="Q795" i="17"/>
  <c r="A795" i="17"/>
  <c r="P794" i="17"/>
  <c r="AE793" i="17"/>
  <c r="O793" i="17"/>
  <c r="AD792" i="17"/>
  <c r="N792" i="17"/>
  <c r="AC791" i="17"/>
  <c r="M791" i="17"/>
  <c r="AB790" i="17"/>
  <c r="L790" i="17"/>
  <c r="AA789" i="17"/>
  <c r="K789" i="17"/>
  <c r="Z788" i="17"/>
  <c r="J788" i="17"/>
  <c r="Y787" i="17"/>
  <c r="I787" i="17"/>
  <c r="X786" i="17"/>
  <c r="H786" i="17"/>
  <c r="W785" i="17"/>
  <c r="G785" i="17"/>
  <c r="V784" i="17"/>
  <c r="F784" i="17"/>
  <c r="U783" i="17"/>
  <c r="E783" i="17"/>
  <c r="T782" i="17"/>
  <c r="D782" i="17"/>
  <c r="S781" i="17"/>
  <c r="C781" i="17"/>
  <c r="R780" i="17"/>
  <c r="B780" i="17"/>
  <c r="Q779" i="17"/>
  <c r="A779" i="17"/>
  <c r="P778" i="17"/>
  <c r="AE777" i="17"/>
  <c r="O777" i="17"/>
  <c r="AD776" i="17"/>
  <c r="N776" i="17"/>
  <c r="AC775" i="17"/>
  <c r="M775" i="17"/>
  <c r="AB774" i="17"/>
  <c r="L774" i="17"/>
  <c r="AA773" i="17"/>
  <c r="K773" i="17"/>
  <c r="Z772" i="17"/>
  <c r="J772" i="17"/>
  <c r="Y771" i="17"/>
  <c r="I771" i="17"/>
  <c r="X770" i="17"/>
  <c r="H770" i="17"/>
  <c r="W769" i="17"/>
  <c r="G769" i="17"/>
  <c r="V768" i="17"/>
  <c r="F768" i="17"/>
  <c r="U767" i="17"/>
  <c r="E767" i="17"/>
  <c r="T766" i="17"/>
  <c r="D766" i="17"/>
  <c r="S765" i="17"/>
  <c r="C765" i="17"/>
  <c r="R764" i="17"/>
  <c r="B764" i="17"/>
  <c r="Q763" i="17"/>
  <c r="A763" i="17"/>
  <c r="P762" i="17"/>
  <c r="AE761" i="17"/>
  <c r="O761" i="17"/>
  <c r="AD760" i="17"/>
  <c r="N760" i="17"/>
  <c r="AC759" i="17"/>
  <c r="M759" i="17"/>
  <c r="AB758" i="17"/>
  <c r="L758" i="17"/>
  <c r="V801" i="17"/>
  <c r="U801" i="17"/>
  <c r="T801" i="17"/>
  <c r="S801" i="17"/>
  <c r="C801" i="17"/>
  <c r="R800" i="17"/>
  <c r="B800" i="17"/>
  <c r="Q799" i="17"/>
  <c r="A799" i="17"/>
  <c r="P798" i="17"/>
  <c r="AE797" i="17"/>
  <c r="O797" i="17"/>
  <c r="AD796" i="17"/>
  <c r="N796" i="17"/>
  <c r="AC795" i="17"/>
  <c r="M795" i="17"/>
  <c r="AB794" i="17"/>
  <c r="L794" i="17"/>
  <c r="AA793" i="17"/>
  <c r="K793" i="17"/>
  <c r="Z792" i="17"/>
  <c r="J792" i="17"/>
  <c r="Y791" i="17"/>
  <c r="I791" i="17"/>
  <c r="X790" i="17"/>
  <c r="H790" i="17"/>
  <c r="W789" i="17"/>
  <c r="G789" i="17"/>
  <c r="V788" i="17"/>
  <c r="F788" i="17"/>
  <c r="U787" i="17"/>
  <c r="E787" i="17"/>
  <c r="T786" i="17"/>
  <c r="D786" i="17"/>
  <c r="S785" i="17"/>
  <c r="C785" i="17"/>
  <c r="R784" i="17"/>
  <c r="B784" i="17"/>
  <c r="Q783" i="17"/>
  <c r="A783" i="17"/>
  <c r="P782" i="17"/>
  <c r="AE781" i="17"/>
  <c r="O781" i="17"/>
  <c r="AD780" i="17"/>
  <c r="N780" i="17"/>
  <c r="AC779" i="17"/>
  <c r="M779" i="17"/>
  <c r="AB778" i="17"/>
  <c r="L778" i="17"/>
  <c r="AA777" i="17"/>
  <c r="K777" i="17"/>
  <c r="Z776" i="17"/>
  <c r="J776" i="17"/>
  <c r="Y775" i="17"/>
  <c r="I775" i="17"/>
  <c r="X774" i="17"/>
  <c r="H774" i="17"/>
  <c r="W773" i="17"/>
  <c r="G773" i="17"/>
  <c r="V772" i="17"/>
  <c r="F772" i="17"/>
  <c r="U771" i="17"/>
  <c r="E771" i="17"/>
  <c r="T770" i="17"/>
  <c r="D770" i="17"/>
  <c r="S769" i="17"/>
  <c r="C769" i="17"/>
  <c r="R768" i="17"/>
  <c r="B768" i="17"/>
  <c r="Q767" i="17"/>
  <c r="A767" i="17"/>
  <c r="P766" i="17"/>
  <c r="AE765" i="17"/>
  <c r="O765" i="17"/>
  <c r="AD764" i="17"/>
  <c r="N764" i="17"/>
  <c r="AC763" i="17"/>
  <c r="M763" i="17"/>
  <c r="AB762" i="17"/>
  <c r="L762" i="17"/>
  <c r="AA761" i="17"/>
  <c r="K761" i="17"/>
  <c r="Z760" i="17"/>
  <c r="J760" i="17"/>
  <c r="Y759" i="17"/>
  <c r="I759" i="17"/>
  <c r="X758" i="17"/>
  <c r="H758" i="17"/>
  <c r="R801" i="17"/>
  <c r="Q801" i="17"/>
  <c r="A801" i="17"/>
  <c r="P800" i="17"/>
  <c r="AE799" i="17"/>
  <c r="O799" i="17"/>
  <c r="AD798" i="17"/>
  <c r="N798" i="17"/>
  <c r="AC797" i="17"/>
  <c r="M797" i="17"/>
  <c r="AB796" i="17"/>
  <c r="L796" i="17"/>
  <c r="AA795" i="17"/>
  <c r="K795" i="17"/>
  <c r="Z794" i="17"/>
  <c r="J794" i="17"/>
  <c r="Y793" i="17"/>
  <c r="I793" i="17"/>
  <c r="X792" i="17"/>
  <c r="H792" i="17"/>
  <c r="W791" i="17"/>
  <c r="G791" i="17"/>
  <c r="V790" i="17"/>
  <c r="F790" i="17"/>
  <c r="U789" i="17"/>
  <c r="E789" i="17"/>
  <c r="T788" i="17"/>
  <c r="D788" i="17"/>
  <c r="S787" i="17"/>
  <c r="C787" i="17"/>
  <c r="R786" i="17"/>
  <c r="B786" i="17"/>
  <c r="Q785" i="17"/>
  <c r="A785" i="17"/>
  <c r="P784" i="17"/>
  <c r="AE783" i="17"/>
  <c r="O783" i="17"/>
  <c r="AD782" i="17"/>
  <c r="N782" i="17"/>
  <c r="AC781" i="17"/>
  <c r="M781" i="17"/>
  <c r="AB780" i="17"/>
  <c r="L780" i="17"/>
  <c r="AA779" i="17"/>
  <c r="K779" i="17"/>
  <c r="Z778" i="17"/>
  <c r="J778" i="17"/>
  <c r="Y777" i="17"/>
  <c r="I777" i="17"/>
  <c r="X776" i="17"/>
  <c r="H776" i="17"/>
  <c r="W775" i="17"/>
  <c r="G775" i="17"/>
  <c r="V774" i="17"/>
  <c r="F774" i="17"/>
  <c r="U773" i="17"/>
  <c r="E773" i="17"/>
  <c r="T772" i="17"/>
  <c r="D772" i="17"/>
  <c r="S771" i="17"/>
  <c r="C771" i="17"/>
  <c r="R770" i="17"/>
  <c r="B770" i="17"/>
  <c r="Q769" i="17"/>
  <c r="P801" i="17"/>
  <c r="AE800" i="17"/>
  <c r="O800" i="17"/>
  <c r="AD799" i="17"/>
  <c r="N799" i="17"/>
  <c r="AC798" i="17"/>
  <c r="M798" i="17"/>
  <c r="AB797" i="17"/>
  <c r="L797" i="17"/>
  <c r="AA796" i="17"/>
  <c r="K796" i="17"/>
  <c r="Z795" i="17"/>
  <c r="J795" i="17"/>
  <c r="Y794" i="17"/>
  <c r="I794" i="17"/>
  <c r="X793" i="17"/>
  <c r="H793" i="17"/>
  <c r="W792" i="17"/>
  <c r="G792" i="17"/>
  <c r="V791" i="17"/>
  <c r="F791" i="17"/>
  <c r="U790" i="17"/>
  <c r="E790" i="17"/>
  <c r="T789" i="17"/>
  <c r="D789" i="17"/>
  <c r="S788" i="17"/>
  <c r="C788" i="17"/>
  <c r="R787" i="17"/>
  <c r="B787" i="17"/>
  <c r="Q786" i="17"/>
  <c r="A786" i="17"/>
  <c r="P785" i="17"/>
  <c r="AE784" i="17"/>
  <c r="O784" i="17"/>
  <c r="AD783" i="17"/>
  <c r="N783" i="17"/>
  <c r="AC782" i="17"/>
  <c r="M782" i="17"/>
  <c r="AB781" i="17"/>
  <c r="L781" i="17"/>
  <c r="AA780" i="17"/>
  <c r="K780" i="17"/>
  <c r="Z779" i="17"/>
  <c r="J779" i="17"/>
  <c r="Y778" i="17"/>
  <c r="I778" i="17"/>
  <c r="X777" i="17"/>
  <c r="H777" i="17"/>
  <c r="W776" i="17"/>
  <c r="G776" i="17"/>
  <c r="V775" i="17"/>
  <c r="F775" i="17"/>
  <c r="U774" i="17"/>
  <c r="E774" i="17"/>
  <c r="T773" i="17"/>
  <c r="D773" i="17"/>
  <c r="S772" i="17"/>
  <c r="C772" i="17"/>
  <c r="R771" i="17"/>
  <c r="B771" i="17"/>
  <c r="Q770" i="17"/>
  <c r="A770" i="17"/>
  <c r="P769" i="17"/>
  <c r="AE768" i="17"/>
  <c r="O768" i="17"/>
  <c r="AD767" i="17"/>
  <c r="N767" i="17"/>
  <c r="AC766" i="17"/>
  <c r="M766" i="17"/>
  <c r="AB765" i="17"/>
  <c r="L765" i="17"/>
  <c r="AA764" i="17"/>
  <c r="K764" i="17"/>
  <c r="Z763" i="17"/>
  <c r="AC801" i="17"/>
  <c r="Y800" i="17"/>
  <c r="AC799" i="17"/>
  <c r="D799" i="17"/>
  <c r="J798" i="17"/>
  <c r="P797" i="17"/>
  <c r="U796" i="17"/>
  <c r="Y795" i="17"/>
  <c r="AE794" i="17"/>
  <c r="F794" i="17"/>
  <c r="L793" i="17"/>
  <c r="Q792" i="17"/>
  <c r="U791" i="17"/>
  <c r="AC790" i="17"/>
  <c r="D790" i="17"/>
  <c r="M789" i="17"/>
  <c r="U788" i="17"/>
  <c r="AB787" i="17"/>
  <c r="F787" i="17"/>
  <c r="L786" i="17"/>
  <c r="U785" i="17"/>
  <c r="AB784" i="17"/>
  <c r="E784" i="17"/>
  <c r="L783" i="17"/>
  <c r="U782" i="17"/>
  <c r="AA781" i="17"/>
  <c r="E781" i="17"/>
  <c r="M780" i="17"/>
  <c r="T779" i="17"/>
  <c r="AC778" i="17"/>
  <c r="D778" i="17"/>
  <c r="M777" i="17"/>
  <c r="T776" i="17"/>
  <c r="AB775" i="17"/>
  <c r="D775" i="17"/>
  <c r="M774" i="17"/>
  <c r="S773" i="17"/>
  <c r="AB772" i="17"/>
  <c r="E772" i="17"/>
  <c r="L771" i="17"/>
  <c r="U770" i="17"/>
  <c r="AA769" i="17"/>
  <c r="E769" i="17"/>
  <c r="N768" i="17"/>
  <c r="X767" i="17"/>
  <c r="C767" i="17"/>
  <c r="L766" i="17"/>
  <c r="V765" i="17"/>
  <c r="A765" i="17"/>
  <c r="J764" i="17"/>
  <c r="T763" i="17"/>
  <c r="AE762" i="17"/>
  <c r="K762" i="17"/>
  <c r="W761" i="17"/>
  <c r="C761" i="17"/>
  <c r="O760" i="17"/>
  <c r="Z759" i="17"/>
  <c r="F759" i="17"/>
  <c r="R758" i="17"/>
  <c r="AE757" i="17"/>
  <c r="O757" i="17"/>
  <c r="AD756" i="17"/>
  <c r="N756" i="17"/>
  <c r="AC755" i="17"/>
  <c r="M755" i="17"/>
  <c r="AB754" i="17"/>
  <c r="L754" i="17"/>
  <c r="AA753" i="17"/>
  <c r="K753" i="17"/>
  <c r="Z752" i="17"/>
  <c r="J752" i="17"/>
  <c r="Y751" i="17"/>
  <c r="I751" i="17"/>
  <c r="X750" i="17"/>
  <c r="H750" i="17"/>
  <c r="W749" i="17"/>
  <c r="G749" i="17"/>
  <c r="V748" i="17"/>
  <c r="F748" i="17"/>
  <c r="U747" i="17"/>
  <c r="E747" i="17"/>
  <c r="T746" i="17"/>
  <c r="D746" i="17"/>
  <c r="S745" i="17"/>
  <c r="C745" i="17"/>
  <c r="M801" i="17"/>
  <c r="S800" i="17"/>
  <c r="X799" i="17"/>
  <c r="AB798" i="17"/>
  <c r="C798" i="17"/>
  <c r="I797" i="17"/>
  <c r="O796" i="17"/>
  <c r="T795" i="17"/>
  <c r="X794" i="17"/>
  <c r="AD793" i="17"/>
  <c r="E793" i="17"/>
  <c r="K792" i="17"/>
  <c r="P791" i="17"/>
  <c r="W790" i="17"/>
  <c r="AD789" i="17"/>
  <c r="H789" i="17"/>
  <c r="N788" i="17"/>
  <c r="W787" i="17"/>
  <c r="AD786" i="17"/>
  <c r="G786" i="17"/>
  <c r="N785" i="17"/>
  <c r="W784" i="17"/>
  <c r="AC783" i="17"/>
  <c r="G783" i="17"/>
  <c r="O782" i="17"/>
  <c r="V781" i="17"/>
  <c r="AE780" i="17"/>
  <c r="F780" i="17"/>
  <c r="O779" i="17"/>
  <c r="V778" i="17"/>
  <c r="AD777" i="17"/>
  <c r="F777" i="17"/>
  <c r="O776" i="17"/>
  <c r="U775" i="17"/>
  <c r="AD774" i="17"/>
  <c r="G774" i="17"/>
  <c r="N773" i="17"/>
  <c r="W772" i="17"/>
  <c r="AC771" i="17"/>
  <c r="G771" i="17"/>
  <c r="N770" i="17"/>
  <c r="V769" i="17"/>
  <c r="AD768" i="17"/>
  <c r="I768" i="17"/>
  <c r="S767" i="17"/>
  <c r="AB766" i="17"/>
  <c r="G766" i="17"/>
  <c r="Q765" i="17"/>
  <c r="Z764" i="17"/>
  <c r="E764" i="17"/>
  <c r="O763" i="17"/>
  <c r="Z762" i="17"/>
  <c r="G762" i="17"/>
  <c r="R761" i="17"/>
  <c r="AC760" i="17"/>
  <c r="I760" i="17"/>
  <c r="U759" i="17"/>
  <c r="A759" i="17"/>
  <c r="N758" i="17"/>
  <c r="AA757" i="17"/>
  <c r="K757" i="17"/>
  <c r="Z756" i="17"/>
  <c r="J756" i="17"/>
  <c r="Y755" i="17"/>
  <c r="I755" i="17"/>
  <c r="X754" i="17"/>
  <c r="H754" i="17"/>
  <c r="W753" i="17"/>
  <c r="G753" i="17"/>
  <c r="V752" i="17"/>
  <c r="F752" i="17"/>
  <c r="U751" i="17"/>
  <c r="E751" i="17"/>
  <c r="T750" i="17"/>
  <c r="D750" i="17"/>
  <c r="S749" i="17"/>
  <c r="C749" i="17"/>
  <c r="R748" i="17"/>
  <c r="B748" i="17"/>
  <c r="Q747" i="17"/>
  <c r="A747" i="17"/>
  <c r="P746" i="17"/>
  <c r="AE745" i="17"/>
  <c r="O745" i="17"/>
  <c r="AD744" i="17"/>
  <c r="AD801" i="17"/>
  <c r="U800" i="17"/>
  <c r="W799" i="17"/>
  <c r="X798" i="17"/>
  <c r="Z797" i="17"/>
  <c r="AC796" i="17"/>
  <c r="AE795" i="17"/>
  <c r="C795" i="17"/>
  <c r="C794" i="17"/>
  <c r="C793" i="17"/>
  <c r="E792" i="17"/>
  <c r="H791" i="17"/>
  <c r="M790" i="17"/>
  <c r="Q789" i="17"/>
  <c r="W788" i="17"/>
  <c r="Z787" i="17"/>
  <c r="AB786" i="17"/>
  <c r="C786" i="17"/>
  <c r="H785" i="17"/>
  <c r="L784" i="17"/>
  <c r="R783" i="17"/>
  <c r="V782" i="17"/>
  <c r="Y781" i="17"/>
  <c r="AC780" i="17"/>
  <c r="C780" i="17"/>
  <c r="G779" i="17"/>
  <c r="M778" i="17"/>
  <c r="Q777" i="17"/>
  <c r="U776" i="17"/>
  <c r="Z775" i="17"/>
  <c r="AC774" i="17"/>
  <c r="B774" i="17"/>
  <c r="H773" i="17"/>
  <c r="L772" i="17"/>
  <c r="P771" i="17"/>
  <c r="V770" i="17"/>
  <c r="Y769" i="17"/>
  <c r="AC768" i="17"/>
  <c r="E768" i="17"/>
  <c r="L767" i="17"/>
  <c r="S766" i="17"/>
  <c r="Z765" i="17"/>
  <c r="B765" i="17"/>
  <c r="H764" i="17"/>
  <c r="N763" i="17"/>
  <c r="W762" i="17"/>
  <c r="A762" i="17"/>
  <c r="I761" i="17"/>
  <c r="R760" i="17"/>
  <c r="AA759" i="17"/>
  <c r="D759" i="17"/>
  <c r="M758" i="17"/>
  <c r="X757" i="17"/>
  <c r="F757" i="17"/>
  <c r="S756" i="17"/>
  <c r="A756" i="17"/>
  <c r="N755" i="17"/>
  <c r="Z754" i="17"/>
  <c r="G754" i="17"/>
  <c r="T753" i="17"/>
  <c r="B753" i="17"/>
  <c r="O752" i="17"/>
  <c r="AB751" i="17"/>
  <c r="J751" i="17"/>
  <c r="V750" i="17"/>
  <c r="C750" i="17"/>
  <c r="P749" i="17"/>
  <c r="AC748" i="17"/>
  <c r="K748" i="17"/>
  <c r="X747" i="17"/>
  <c r="F747" i="17"/>
  <c r="R746" i="17"/>
  <c r="AD745" i="17"/>
  <c r="L745" i="17"/>
  <c r="Y744" i="17"/>
  <c r="I744" i="17"/>
  <c r="X743" i="17"/>
  <c r="H743" i="17"/>
  <c r="W742" i="17"/>
  <c r="G742" i="17"/>
  <c r="V741" i="17"/>
  <c r="F741" i="17"/>
  <c r="U740" i="17"/>
  <c r="E740" i="17"/>
  <c r="T739" i="17"/>
  <c r="AA801" i="17"/>
  <c r="T800" i="17"/>
  <c r="T799" i="17"/>
  <c r="W798" i="17"/>
  <c r="Y797" i="17"/>
  <c r="Z796" i="17"/>
  <c r="AD795" i="17"/>
  <c r="AD794" i="17"/>
  <c r="B794" i="17"/>
  <c r="B793" i="17"/>
  <c r="D792" i="17"/>
  <c r="E791" i="17"/>
  <c r="K790" i="17"/>
  <c r="O789" i="17"/>
  <c r="R788" i="17"/>
  <c r="X787" i="17"/>
  <c r="AA786" i="17"/>
  <c r="AE785" i="17"/>
  <c r="F785" i="17"/>
  <c r="J784" i="17"/>
  <c r="P783" i="17"/>
  <c r="S782" i="17"/>
  <c r="W781" i="17"/>
  <c r="Z780" i="17"/>
  <c r="A780" i="17"/>
  <c r="E779" i="17"/>
  <c r="K778" i="17"/>
  <c r="P777" i="17"/>
  <c r="R776" i="17"/>
  <c r="X775" i="17"/>
  <c r="AA774" i="17"/>
  <c r="AE773" i="17"/>
  <c r="F773" i="17"/>
  <c r="K772" i="17"/>
  <c r="O771" i="17"/>
  <c r="S770" i="17"/>
  <c r="O801" i="17"/>
  <c r="Q800" i="17"/>
  <c r="S799" i="17"/>
  <c r="V798" i="17"/>
  <c r="W797" i="17"/>
  <c r="Y796" i="17"/>
  <c r="AB795" i="17"/>
  <c r="AC794" i="17"/>
  <c r="AC793" i="17"/>
  <c r="A793" i="17"/>
  <c r="B792" i="17"/>
  <c r="D791" i="17"/>
  <c r="J790" i="17"/>
  <c r="N789" i="17"/>
  <c r="Q788" i="17"/>
  <c r="V787" i="17"/>
  <c r="Z786" i="17"/>
  <c r="AD785" i="17"/>
  <c r="E785" i="17"/>
  <c r="I784" i="17"/>
  <c r="M783" i="17"/>
  <c r="R782" i="17"/>
  <c r="U781" i="17"/>
  <c r="Y780" i="17"/>
  <c r="AE779" i="17"/>
  <c r="D779" i="17"/>
  <c r="H778" i="17"/>
  <c r="N777" i="17"/>
  <c r="N801" i="17"/>
  <c r="J800" i="17"/>
  <c r="H799" i="17"/>
  <c r="B798" i="17"/>
  <c r="AE796" i="17"/>
  <c r="U795" i="17"/>
  <c r="R794" i="17"/>
  <c r="N793" i="17"/>
  <c r="I792" i="17"/>
  <c r="A791" i="17"/>
  <c r="AE789" i="17"/>
  <c r="AD788" i="17"/>
  <c r="AE787" i="17"/>
  <c r="Y786" i="17"/>
  <c r="Y785" i="17"/>
  <c r="X784" i="17"/>
  <c r="W783" i="17"/>
  <c r="W782" i="17"/>
  <c r="Q781" i="17"/>
  <c r="Q780" i="17"/>
  <c r="P779" i="17"/>
  <c r="O778" i="17"/>
  <c r="J777" i="17"/>
  <c r="K776" i="17"/>
  <c r="L775" i="17"/>
  <c r="N774" i="17"/>
  <c r="M773" i="17"/>
  <c r="N772" i="17"/>
  <c r="M771" i="17"/>
  <c r="L770" i="17"/>
  <c r="O769" i="17"/>
  <c r="U768" i="17"/>
  <c r="AA767" i="17"/>
  <c r="AE766" i="17"/>
  <c r="E766" i="17"/>
  <c r="J765" i="17"/>
  <c r="P764" i="17"/>
  <c r="U763" i="17"/>
  <c r="AA762" i="17"/>
  <c r="C762" i="17"/>
  <c r="J761" i="17"/>
  <c r="Q760" i="17"/>
  <c r="W759" i="17"/>
  <c r="AD758" i="17"/>
  <c r="G758" i="17"/>
  <c r="S757" i="17"/>
  <c r="AE756" i="17"/>
  <c r="K756" i="17"/>
  <c r="V755" i="17"/>
  <c r="C755" i="17"/>
  <c r="O754" i="17"/>
  <c r="Z753" i="17"/>
  <c r="F753" i="17"/>
  <c r="R752" i="17"/>
  <c r="AD751" i="17"/>
  <c r="K751" i="17"/>
  <c r="U750" i="17"/>
  <c r="A750" i="17"/>
  <c r="M749" i="17"/>
  <c r="Y748" i="17"/>
  <c r="E748" i="17"/>
  <c r="P747" i="17"/>
  <c r="AB746" i="17"/>
  <c r="I746" i="17"/>
  <c r="U745" i="17"/>
  <c r="A745" i="17"/>
  <c r="N744" i="17"/>
  <c r="AB743" i="17"/>
  <c r="K743" i="17"/>
  <c r="Y742" i="17"/>
  <c r="H742" i="17"/>
  <c r="U741" i="17"/>
  <c r="D741" i="17"/>
  <c r="R740" i="17"/>
  <c r="A740" i="17"/>
  <c r="O739" i="17"/>
  <c r="AD738" i="17"/>
  <c r="N738" i="17"/>
  <c r="AC737" i="17"/>
  <c r="M737" i="17"/>
  <c r="AB736" i="17"/>
  <c r="L736" i="17"/>
  <c r="AA735" i="17"/>
  <c r="K735" i="17"/>
  <c r="Z734" i="17"/>
  <c r="J734" i="17"/>
  <c r="Y733" i="17"/>
  <c r="I733" i="17"/>
  <c r="X732" i="17"/>
  <c r="H732" i="17"/>
  <c r="W731" i="17"/>
  <c r="G731" i="17"/>
  <c r="V730" i="17"/>
  <c r="F730" i="17"/>
  <c r="U729" i="17"/>
  <c r="E729" i="17"/>
  <c r="T728" i="17"/>
  <c r="D728" i="17"/>
  <c r="S727" i="17"/>
  <c r="C727" i="17"/>
  <c r="R726" i="17"/>
  <c r="B726" i="17"/>
  <c r="Q725" i="17"/>
  <c r="A725" i="17"/>
  <c r="P724" i="17"/>
  <c r="AE723" i="17"/>
  <c r="O723" i="17"/>
  <c r="AD722" i="17"/>
  <c r="N722" i="17"/>
  <c r="AC721" i="17"/>
  <c r="M721" i="17"/>
  <c r="AB720" i="17"/>
  <c r="L720" i="17"/>
  <c r="K801" i="17"/>
  <c r="I800" i="17"/>
  <c r="G799" i="17"/>
  <c r="A798" i="17"/>
  <c r="X796" i="17"/>
  <c r="S795" i="17"/>
  <c r="O794" i="17"/>
  <c r="M793" i="17"/>
  <c r="F792" i="17"/>
  <c r="AE790" i="17"/>
  <c r="AC789" i="17"/>
  <c r="AC788" i="17"/>
  <c r="AC787" i="17"/>
  <c r="W786" i="17"/>
  <c r="X785" i="17"/>
  <c r="U784" i="17"/>
  <c r="V783" i="17"/>
  <c r="Q782" i="17"/>
  <c r="P781" i="17"/>
  <c r="P780" i="17"/>
  <c r="N779" i="17"/>
  <c r="N778" i="17"/>
  <c r="G777" i="17"/>
  <c r="I776" i="17"/>
  <c r="K775" i="17"/>
  <c r="K774" i="17"/>
  <c r="L773" i="17"/>
  <c r="M772" i="17"/>
  <c r="K771" i="17"/>
  <c r="K770" i="17"/>
  <c r="N769" i="17"/>
  <c r="T768" i="17"/>
  <c r="Y767" i="17"/>
  <c r="AD766" i="17"/>
  <c r="C766" i="17"/>
  <c r="I765" i="17"/>
  <c r="O764" i="17"/>
  <c r="S763" i="17"/>
  <c r="Y762" i="17"/>
  <c r="B762" i="17"/>
  <c r="H761" i="17"/>
  <c r="P760" i="17"/>
  <c r="V759" i="17"/>
  <c r="AC758" i="17"/>
  <c r="F758" i="17"/>
  <c r="R757" i="17"/>
  <c r="AC756" i="17"/>
  <c r="I756" i="17"/>
  <c r="U755" i="17"/>
  <c r="B755" i="17"/>
  <c r="N754" i="17"/>
  <c r="Y753" i="17"/>
  <c r="E753" i="17"/>
  <c r="Q752" i="17"/>
  <c r="AC751" i="17"/>
  <c r="H751" i="17"/>
  <c r="S750" i="17"/>
  <c r="AE749" i="17"/>
  <c r="L749" i="17"/>
  <c r="X748" i="17"/>
  <c r="D748" i="17"/>
  <c r="O747" i="17"/>
  <c r="AA746" i="17"/>
  <c r="H746" i="17"/>
  <c r="T745" i="17"/>
  <c r="AE744" i="17"/>
  <c r="M744" i="17"/>
  <c r="AA743" i="17"/>
  <c r="J743" i="17"/>
  <c r="X742" i="17"/>
  <c r="F742" i="17"/>
  <c r="T741" i="17"/>
  <c r="C741" i="17"/>
  <c r="Q740" i="17"/>
  <c r="AE739" i="17"/>
  <c r="N739" i="17"/>
  <c r="AC738" i="17"/>
  <c r="M738" i="17"/>
  <c r="AB737" i="17"/>
  <c r="L737" i="17"/>
  <c r="AA736" i="17"/>
  <c r="K736" i="17"/>
  <c r="Z735" i="17"/>
  <c r="J735" i="17"/>
  <c r="Y734" i="17"/>
  <c r="I734" i="17"/>
  <c r="X733" i="17"/>
  <c r="H733" i="17"/>
  <c r="W732" i="17"/>
  <c r="G732" i="17"/>
  <c r="V731" i="17"/>
  <c r="F731" i="17"/>
  <c r="U730" i="17"/>
  <c r="E730" i="17"/>
  <c r="T729" i="17"/>
  <c r="D729" i="17"/>
  <c r="S728" i="17"/>
  <c r="C728" i="17"/>
  <c r="R727" i="17"/>
  <c r="B727" i="17"/>
  <c r="Q726" i="17"/>
  <c r="A726" i="17"/>
  <c r="P725" i="17"/>
  <c r="AE724" i="17"/>
  <c r="O724" i="17"/>
  <c r="AD723" i="17"/>
  <c r="N723" i="17"/>
  <c r="AC722" i="17"/>
  <c r="M722" i="17"/>
  <c r="AB721" i="17"/>
  <c r="L721" i="17"/>
  <c r="AA720" i="17"/>
  <c r="J801" i="17"/>
  <c r="H800" i="17"/>
  <c r="C799" i="17"/>
  <c r="AD797" i="17"/>
  <c r="V796" i="17"/>
  <c r="P795" i="17"/>
  <c r="N794" i="17"/>
  <c r="J793" i="17"/>
  <c r="A792" i="17"/>
  <c r="AD790" i="17"/>
  <c r="AB789" i="17"/>
  <c r="AB788" i="17"/>
  <c r="AA787" i="17"/>
  <c r="V786" i="17"/>
  <c r="V785" i="17"/>
  <c r="T784" i="17"/>
  <c r="T783" i="17"/>
  <c r="L782" i="17"/>
  <c r="N781" i="17"/>
  <c r="O780" i="17"/>
  <c r="L779" i="17"/>
  <c r="G778" i="17"/>
  <c r="E777" i="17"/>
  <c r="F776" i="17"/>
  <c r="J775" i="17"/>
  <c r="J774" i="17"/>
  <c r="J773" i="17"/>
  <c r="I772" i="17"/>
  <c r="J771" i="17"/>
  <c r="J770" i="17"/>
  <c r="M769" i="17"/>
  <c r="S768" i="17"/>
  <c r="W767" i="17"/>
  <c r="AA766" i="17"/>
  <c r="B766" i="17"/>
  <c r="G765" i="17"/>
  <c r="M764" i="17"/>
  <c r="R763" i="17"/>
  <c r="X762" i="17"/>
  <c r="AD761" i="17"/>
  <c r="G761" i="17"/>
  <c r="M760" i="17"/>
  <c r="T759" i="17"/>
  <c r="AA758" i="17"/>
  <c r="E758" i="17"/>
  <c r="Q757" i="17"/>
  <c r="AB756" i="17"/>
  <c r="H756" i="17"/>
  <c r="T755" i="17"/>
  <c r="A755" i="17"/>
  <c r="M754" i="17"/>
  <c r="X753" i="17"/>
  <c r="D753" i="17"/>
  <c r="P752" i="17"/>
  <c r="AA751" i="17"/>
  <c r="G751" i="17"/>
  <c r="R750" i="17"/>
  <c r="AD749" i="17"/>
  <c r="K749" i="17"/>
  <c r="W748" i="17"/>
  <c r="C748" i="17"/>
  <c r="N747" i="17"/>
  <c r="Z746" i="17"/>
  <c r="G746" i="17"/>
  <c r="R745" i="17"/>
  <c r="AC744" i="17"/>
  <c r="L744" i="17"/>
  <c r="Z743" i="17"/>
  <c r="I743" i="17"/>
  <c r="V742" i="17"/>
  <c r="E742" i="17"/>
  <c r="S741" i="17"/>
  <c r="B741" i="17"/>
  <c r="P740" i="17"/>
  <c r="AD739" i="17"/>
  <c r="M739" i="17"/>
  <c r="AB738" i="17"/>
  <c r="L738" i="17"/>
  <c r="AA737" i="17"/>
  <c r="K737" i="17"/>
  <c r="Z736" i="17"/>
  <c r="J736" i="17"/>
  <c r="Y735" i="17"/>
  <c r="I735" i="17"/>
  <c r="X734" i="17"/>
  <c r="I801" i="17"/>
  <c r="A800" i="17"/>
  <c r="Q798" i="17"/>
  <c r="F797" i="17"/>
  <c r="W795" i="17"/>
  <c r="H794" i="17"/>
  <c r="Y792" i="17"/>
  <c r="O791" i="17"/>
  <c r="C790" i="17"/>
  <c r="Y788" i="17"/>
  <c r="M787" i="17"/>
  <c r="I786" i="17"/>
  <c r="AC784" i="17"/>
  <c r="S783" i="17"/>
  <c r="G782" i="17"/>
  <c r="B781" i="17"/>
  <c r="W779" i="17"/>
  <c r="Q778" i="17"/>
  <c r="A777" i="17"/>
  <c r="AD775" i="17"/>
  <c r="T774" i="17"/>
  <c r="Q773" i="17"/>
  <c r="G772" i="17"/>
  <c r="AE770" i="17"/>
  <c r="AC769" i="17"/>
  <c r="Y768" i="17"/>
  <c r="V767" i="17"/>
  <c r="V766" i="17"/>
  <c r="U765" i="17"/>
  <c r="U764" i="17"/>
  <c r="W763" i="17"/>
  <c r="S762" i="17"/>
  <c r="V761" i="17"/>
  <c r="X760" i="17"/>
  <c r="AB759" i="17"/>
  <c r="Y758" i="17"/>
  <c r="AD757" i="17"/>
  <c r="G757" i="17"/>
  <c r="O756" i="17"/>
  <c r="S755" i="17"/>
  <c r="AA754" i="17"/>
  <c r="C754" i="17"/>
  <c r="L753" i="17"/>
  <c r="S752" i="17"/>
  <c r="W751" i="17"/>
  <c r="AE750" i="17"/>
  <c r="I750" i="17"/>
  <c r="O749" i="17"/>
  <c r="T748" i="17"/>
  <c r="AB747" i="17"/>
  <c r="D747" i="17"/>
  <c r="L746" i="17"/>
  <c r="Q745" i="17"/>
  <c r="X744" i="17"/>
  <c r="D744" i="17"/>
  <c r="O743" i="17"/>
  <c r="Z742" i="17"/>
  <c r="B742" i="17"/>
  <c r="M741" i="17"/>
  <c r="X740" i="17"/>
  <c r="C740" i="17"/>
  <c r="K739" i="17"/>
  <c r="W738" i="17"/>
  <c r="D738" i="17"/>
  <c r="P737" i="17"/>
  <c r="Y736" i="17"/>
  <c r="F736" i="17"/>
  <c r="R735" i="17"/>
  <c r="AD734" i="17"/>
  <c r="K734" i="17"/>
  <c r="V733" i="17"/>
  <c r="D733" i="17"/>
  <c r="Q732" i="17"/>
  <c r="AD731" i="17"/>
  <c r="L731" i="17"/>
  <c r="Y730" i="17"/>
  <c r="G730" i="17"/>
  <c r="R729" i="17"/>
  <c r="AE728" i="17"/>
  <c r="M728" i="17"/>
  <c r="Z727" i="17"/>
  <c r="H727" i="17"/>
  <c r="U726" i="17"/>
  <c r="C726" i="17"/>
  <c r="N725" i="17"/>
  <c r="AA724" i="17"/>
  <c r="I724" i="17"/>
  <c r="V723" i="17"/>
  <c r="D723" i="17"/>
  <c r="Q722" i="17"/>
  <c r="AD721" i="17"/>
  <c r="J721" i="17"/>
  <c r="W720" i="17"/>
  <c r="F720" i="17"/>
  <c r="U719" i="17"/>
  <c r="E719" i="17"/>
  <c r="T718" i="17"/>
  <c r="D718" i="17"/>
  <c r="S717" i="17"/>
  <c r="C717" i="17"/>
  <c r="R716" i="17"/>
  <c r="B716" i="17"/>
  <c r="Q715" i="17"/>
  <c r="A715" i="17"/>
  <c r="P714" i="17"/>
  <c r="AE713" i="17"/>
  <c r="O713" i="17"/>
  <c r="AD712" i="17"/>
  <c r="N712" i="17"/>
  <c r="AC711" i="17"/>
  <c r="M711" i="17"/>
  <c r="AB710" i="17"/>
  <c r="L710" i="17"/>
  <c r="AA709" i="17"/>
  <c r="K709" i="17"/>
  <c r="Z708" i="17"/>
  <c r="J708" i="17"/>
  <c r="Y707" i="17"/>
  <c r="I707" i="17"/>
  <c r="X706" i="17"/>
  <c r="H706" i="17"/>
  <c r="W705" i="17"/>
  <c r="G705" i="17"/>
  <c r="V704" i="17"/>
  <c r="F704" i="17"/>
  <c r="U703" i="17"/>
  <c r="E703" i="17"/>
  <c r="T702" i="17"/>
  <c r="D702" i="17"/>
  <c r="S701" i="17"/>
  <c r="C701" i="17"/>
  <c r="R700" i="17"/>
  <c r="B700" i="17"/>
  <c r="Q699" i="17"/>
  <c r="A699" i="17"/>
  <c r="P698" i="17"/>
  <c r="AE697" i="17"/>
  <c r="O697" i="17"/>
  <c r="AD696" i="17"/>
  <c r="N696" i="17"/>
  <c r="AC695" i="17"/>
  <c r="M695" i="17"/>
  <c r="AB694" i="17"/>
  <c r="L694" i="17"/>
  <c r="AA693" i="17"/>
  <c r="K693" i="17"/>
  <c r="Z692" i="17"/>
  <c r="J692" i="17"/>
  <c r="Y691" i="17"/>
  <c r="I691" i="17"/>
  <c r="X690" i="17"/>
  <c r="H690" i="17"/>
  <c r="W689" i="17"/>
  <c r="G689" i="17"/>
  <c r="V688" i="17"/>
  <c r="F688" i="17"/>
  <c r="U687" i="17"/>
  <c r="E687" i="17"/>
  <c r="T686" i="17"/>
  <c r="D686" i="17"/>
  <c r="S685" i="17"/>
  <c r="C685" i="17"/>
  <c r="R684" i="17"/>
  <c r="B684" i="17"/>
  <c r="Q683" i="17"/>
  <c r="A683" i="17"/>
  <c r="P682" i="17"/>
  <c r="AE681" i="17"/>
  <c r="O681" i="17"/>
  <c r="AD680" i="17"/>
  <c r="F801" i="17"/>
  <c r="AB799" i="17"/>
  <c r="O798" i="17"/>
  <c r="E797" i="17"/>
  <c r="O795" i="17"/>
  <c r="G794" i="17"/>
  <c r="V792" i="17"/>
  <c r="L791" i="17"/>
  <c r="B790" i="17"/>
  <c r="X788" i="17"/>
  <c r="L787" i="17"/>
  <c r="F786" i="17"/>
  <c r="Z784" i="17"/>
  <c r="K783" i="17"/>
  <c r="F782" i="17"/>
  <c r="A781" i="17"/>
  <c r="U779" i="17"/>
  <c r="F778" i="17"/>
  <c r="AE776" i="17"/>
  <c r="AA775" i="17"/>
  <c r="S774" i="17"/>
  <c r="O773" i="17"/>
  <c r="B772" i="17"/>
  <c r="AD770" i="17"/>
  <c r="Z769" i="17"/>
  <c r="X768" i="17"/>
  <c r="T767" i="17"/>
  <c r="U766" i="17"/>
  <c r="T765" i="17"/>
  <c r="T764" i="17"/>
  <c r="P763" i="17"/>
  <c r="R762" i="17"/>
  <c r="U761" i="17"/>
  <c r="W760" i="17"/>
  <c r="X759" i="17"/>
  <c r="W758" i="17"/>
  <c r="AC757" i="17"/>
  <c r="E757" i="17"/>
  <c r="M756" i="17"/>
  <c r="R755" i="17"/>
  <c r="Y754" i="17"/>
  <c r="B754" i="17"/>
  <c r="J753" i="17"/>
  <c r="N752" i="17"/>
  <c r="V751" i="17"/>
  <c r="AD750" i="17"/>
  <c r="G750" i="17"/>
  <c r="N749" i="17"/>
  <c r="S748" i="17"/>
  <c r="AA747" i="17"/>
  <c r="C747" i="17"/>
  <c r="K746" i="17"/>
  <c r="P745" i="17"/>
  <c r="W744" i="17"/>
  <c r="C744" i="17"/>
  <c r="N743" i="17"/>
  <c r="U742" i="17"/>
  <c r="A742" i="17"/>
  <c r="L741" i="17"/>
  <c r="W740" i="17"/>
  <c r="B740" i="17"/>
  <c r="J739" i="17"/>
  <c r="V738" i="17"/>
  <c r="C738" i="17"/>
  <c r="O737" i="17"/>
  <c r="X736" i="17"/>
  <c r="E736" i="17"/>
  <c r="Q735" i="17"/>
  <c r="AC734" i="17"/>
  <c r="H734" i="17"/>
  <c r="U733" i="17"/>
  <c r="C733" i="17"/>
  <c r="P732" i="17"/>
  <c r="AC731" i="17"/>
  <c r="K731" i="17"/>
  <c r="X730" i="17"/>
  <c r="D730" i="17"/>
  <c r="Q729" i="17"/>
  <c r="AD728" i="17"/>
  <c r="L728" i="17"/>
  <c r="Y727" i="17"/>
  <c r="G727" i="17"/>
  <c r="T726" i="17"/>
  <c r="AE725" i="17"/>
  <c r="M725" i="17"/>
  <c r="Z724" i="17"/>
  <c r="H724" i="17"/>
  <c r="U723" i="17"/>
  <c r="C723" i="17"/>
  <c r="P722" i="17"/>
  <c r="AA721" i="17"/>
  <c r="I721" i="17"/>
  <c r="V720" i="17"/>
  <c r="E720" i="17"/>
  <c r="T719" i="17"/>
  <c r="D719" i="17"/>
  <c r="S718" i="17"/>
  <c r="C718" i="17"/>
  <c r="R717" i="17"/>
  <c r="B717" i="17"/>
  <c r="Q716" i="17"/>
  <c r="A716" i="17"/>
  <c r="P715" i="17"/>
  <c r="AE714" i="17"/>
  <c r="O714" i="17"/>
  <c r="AD713" i="17"/>
  <c r="N713" i="17"/>
  <c r="AC712" i="17"/>
  <c r="M712" i="17"/>
  <c r="AB711" i="17"/>
  <c r="L711" i="17"/>
  <c r="AA710" i="17"/>
  <c r="K710" i="17"/>
  <c r="Z709" i="17"/>
  <c r="J709" i="17"/>
  <c r="Y708" i="17"/>
  <c r="I708" i="17"/>
  <c r="X707" i="17"/>
  <c r="H707" i="17"/>
  <c r="W706" i="17"/>
  <c r="G706" i="17"/>
  <c r="V705" i="17"/>
  <c r="F705" i="17"/>
  <c r="U704" i="17"/>
  <c r="E704" i="17"/>
  <c r="T703" i="17"/>
  <c r="D703" i="17"/>
  <c r="S702" i="17"/>
  <c r="C702" i="17"/>
  <c r="R701" i="17"/>
  <c r="B701" i="17"/>
  <c r="Q700" i="17"/>
  <c r="A700" i="17"/>
  <c r="P699" i="17"/>
  <c r="AE698" i="17"/>
  <c r="O698" i="17"/>
  <c r="AD697" i="17"/>
  <c r="N697" i="17"/>
  <c r="AC696" i="17"/>
  <c r="M696" i="17"/>
  <c r="AB695" i="17"/>
  <c r="L695" i="17"/>
  <c r="AA694" i="17"/>
  <c r="K694" i="17"/>
  <c r="Z693" i="17"/>
  <c r="J693" i="17"/>
  <c r="Y692" i="17"/>
  <c r="I692" i="17"/>
  <c r="X691" i="17"/>
  <c r="H691" i="17"/>
  <c r="W690" i="17"/>
  <c r="G690" i="17"/>
  <c r="V689" i="17"/>
  <c r="AD800" i="17"/>
  <c r="P799" i="17"/>
  <c r="G798" i="17"/>
  <c r="Q796" i="17"/>
  <c r="H795" i="17"/>
  <c r="W793" i="17"/>
  <c r="P792" i="17"/>
  <c r="AA790" i="17"/>
  <c r="V789" i="17"/>
  <c r="K788" i="17"/>
  <c r="G787" i="17"/>
  <c r="Z785" i="17"/>
  <c r="N784" i="17"/>
  <c r="D783" i="17"/>
  <c r="A782" i="17"/>
  <c r="T780" i="17"/>
  <c r="H779" i="17"/>
  <c r="AC777" i="17"/>
  <c r="Y776" i="17"/>
  <c r="P775" i="17"/>
  <c r="I774" i="17"/>
  <c r="A773" i="17"/>
  <c r="AA771" i="17"/>
  <c r="Y770" i="17"/>
  <c r="R769" i="17"/>
  <c r="M768" i="17"/>
  <c r="M767" i="17"/>
  <c r="N766" i="17"/>
  <c r="M765" i="17"/>
  <c r="I764" i="17"/>
  <c r="I763" i="17"/>
  <c r="M762" i="17"/>
  <c r="N761" i="17"/>
  <c r="L760" i="17"/>
  <c r="O759" i="17"/>
  <c r="S758" i="17"/>
  <c r="W757" i="17"/>
  <c r="A757" i="17"/>
  <c r="E756" i="17"/>
  <c r="L755" i="17"/>
  <c r="T754" i="17"/>
  <c r="AC753" i="17"/>
  <c r="A753" i="17"/>
  <c r="I752" i="17"/>
  <c r="Q751" i="17"/>
  <c r="Z750" i="17"/>
  <c r="AC749" i="17"/>
  <c r="F749" i="17"/>
  <c r="N748" i="17"/>
  <c r="V747" i="17"/>
  <c r="AC746" i="17"/>
  <c r="C746" i="17"/>
  <c r="J745" i="17"/>
  <c r="S744" i="17"/>
  <c r="AD743" i="17"/>
  <c r="F743" i="17"/>
  <c r="Q742" i="17"/>
  <c r="AB741" i="17"/>
  <c r="H741" i="17"/>
  <c r="O740" i="17"/>
  <c r="Z739" i="17"/>
  <c r="F739" i="17"/>
  <c r="R738" i="17"/>
  <c r="AD737" i="17"/>
  <c r="H737" i="17"/>
  <c r="T736" i="17"/>
  <c r="A736" i="17"/>
  <c r="M735" i="17"/>
  <c r="V734" i="17"/>
  <c r="D734" i="17"/>
  <c r="Q733" i="17"/>
  <c r="AD732" i="17"/>
  <c r="L732" i="17"/>
  <c r="Y731" i="17"/>
  <c r="E731" i="17"/>
  <c r="R730" i="17"/>
  <c r="AE729" i="17"/>
  <c r="M729" i="17"/>
  <c r="Z728" i="17"/>
  <c r="H728" i="17"/>
  <c r="U727" i="17"/>
  <c r="A727" i="17"/>
  <c r="N726" i="17"/>
  <c r="AA725" i="17"/>
  <c r="I725" i="17"/>
  <c r="V724" i="17"/>
  <c r="D724" i="17"/>
  <c r="Q723" i="17"/>
  <c r="AB722" i="17"/>
  <c r="J722" i="17"/>
  <c r="W721" i="17"/>
  <c r="E721" i="17"/>
  <c r="R720" i="17"/>
  <c r="A720" i="17"/>
  <c r="P719" i="17"/>
  <c r="AE718" i="17"/>
  <c r="O718" i="17"/>
  <c r="AD717" i="17"/>
  <c r="N717" i="17"/>
  <c r="AC716" i="17"/>
  <c r="M716" i="17"/>
  <c r="AB715" i="17"/>
  <c r="L715" i="17"/>
  <c r="AA714" i="17"/>
  <c r="K714" i="17"/>
  <c r="Z713" i="17"/>
  <c r="J713" i="17"/>
  <c r="Y712" i="17"/>
  <c r="I712" i="17"/>
  <c r="X711" i="17"/>
  <c r="H711" i="17"/>
  <c r="W710" i="17"/>
  <c r="G710" i="17"/>
  <c r="V709" i="17"/>
  <c r="F709" i="17"/>
  <c r="U708" i="17"/>
  <c r="E708" i="17"/>
  <c r="T707" i="17"/>
  <c r="D707" i="17"/>
  <c r="S706" i="17"/>
  <c r="C706" i="17"/>
  <c r="R705" i="17"/>
  <c r="B705" i="17"/>
  <c r="Q704" i="17"/>
  <c r="A704" i="17"/>
  <c r="P703" i="17"/>
  <c r="AE702" i="17"/>
  <c r="O702" i="17"/>
  <c r="AD701" i="17"/>
  <c r="N701" i="17"/>
  <c r="AC700" i="17"/>
  <c r="M700" i="17"/>
  <c r="AB699" i="17"/>
  <c r="L699" i="17"/>
  <c r="AA698" i="17"/>
  <c r="K698" i="17"/>
  <c r="Z697" i="17"/>
  <c r="J697" i="17"/>
  <c r="Y696" i="17"/>
  <c r="I696" i="17"/>
  <c r="E801" i="17"/>
  <c r="M799" i="17"/>
  <c r="U797" i="17"/>
  <c r="E796" i="17"/>
  <c r="K794" i="17"/>
  <c r="R792" i="17"/>
  <c r="T790" i="17"/>
  <c r="F789" i="17"/>
  <c r="P787" i="17"/>
  <c r="AC785" i="17"/>
  <c r="H784" i="17"/>
  <c r="AA782" i="17"/>
  <c r="G781" i="17"/>
  <c r="S779" i="17"/>
  <c r="AB777" i="17"/>
  <c r="M776" i="17"/>
  <c r="AE774" i="17"/>
  <c r="R773" i="17"/>
  <c r="AB771" i="17"/>
  <c r="O770" i="17"/>
  <c r="D769" i="17"/>
  <c r="AC767" i="17"/>
  <c r="Q766" i="17"/>
  <c r="F765" i="17"/>
  <c r="AE763" i="17"/>
  <c r="AC762" i="17"/>
  <c r="S761" i="17"/>
  <c r="K760" i="17"/>
  <c r="J759" i="17"/>
  <c r="D758" i="17"/>
  <c r="H757" i="17"/>
  <c r="F756" i="17"/>
  <c r="H755" i="17"/>
  <c r="J754" i="17"/>
  <c r="N753" i="17"/>
  <c r="L752" i="17"/>
  <c r="O751" i="17"/>
  <c r="O750" i="17"/>
  <c r="T749" i="17"/>
  <c r="Q748" i="17"/>
  <c r="T747" i="17"/>
  <c r="V746" i="17"/>
  <c r="Y745" i="17"/>
  <c r="Z744" i="17"/>
  <c r="AE743" i="17"/>
  <c r="C743" i="17"/>
  <c r="K742" i="17"/>
  <c r="O741" i="17"/>
  <c r="T740" i="17"/>
  <c r="X739" i="17"/>
  <c r="A739" i="17"/>
  <c r="G738" i="17"/>
  <c r="N737" i="17"/>
  <c r="S736" i="17"/>
  <c r="AB735" i="17"/>
  <c r="C735" i="17"/>
  <c r="L734" i="17"/>
  <c r="R733" i="17"/>
  <c r="AA732" i="17"/>
  <c r="D732" i="17"/>
  <c r="N731" i="17"/>
  <c r="T730" i="17"/>
  <c r="AC729" i="17"/>
  <c r="H729" i="17"/>
  <c r="P728" i="17"/>
  <c r="X727" i="17"/>
  <c r="AE726" i="17"/>
  <c r="J726" i="17"/>
  <c r="T725" i="17"/>
  <c r="AB724" i="17"/>
  <c r="E724" i="17"/>
  <c r="L723" i="17"/>
  <c r="V722" i="17"/>
  <c r="A722" i="17"/>
  <c r="G721" i="17"/>
  <c r="P720" i="17"/>
  <c r="AA719" i="17"/>
  <c r="H719" i="17"/>
  <c r="R718" i="17"/>
  <c r="AC717" i="17"/>
  <c r="J717" i="17"/>
  <c r="V716" i="17"/>
  <c r="C716" i="17"/>
  <c r="M715" i="17"/>
  <c r="X714" i="17"/>
  <c r="E714" i="17"/>
  <c r="Q713" i="17"/>
  <c r="AA712" i="17"/>
  <c r="G712" i="17"/>
  <c r="S711" i="17"/>
  <c r="AE710" i="17"/>
  <c r="J710" i="17"/>
  <c r="U709" i="17"/>
  <c r="B709" i="17"/>
  <c r="N708" i="17"/>
  <c r="Z707" i="17"/>
  <c r="E707" i="17"/>
  <c r="P706" i="17"/>
  <c r="AB705" i="17"/>
  <c r="I705" i="17"/>
  <c r="S704" i="17"/>
  <c r="AD703" i="17"/>
  <c r="K703" i="17"/>
  <c r="W702" i="17"/>
  <c r="B702" i="17"/>
  <c r="M701" i="17"/>
  <c r="Y700" i="17"/>
  <c r="F700" i="17"/>
  <c r="R699" i="17"/>
  <c r="AB698" i="17"/>
  <c r="H698" i="17"/>
  <c r="T697" i="17"/>
  <c r="A697" i="17"/>
  <c r="K696" i="17"/>
  <c r="W695" i="17"/>
  <c r="E695" i="17"/>
  <c r="R694" i="17"/>
  <c r="AE693" i="17"/>
  <c r="M693" i="17"/>
  <c r="X692" i="17"/>
  <c r="F692" i="17"/>
  <c r="S691" i="17"/>
  <c r="A691" i="17"/>
  <c r="N690" i="17"/>
  <c r="AA689" i="17"/>
  <c r="I689" i="17"/>
  <c r="W688" i="17"/>
  <c r="E688" i="17"/>
  <c r="S687" i="17"/>
  <c r="B687" i="17"/>
  <c r="P686" i="17"/>
  <c r="AD685" i="17"/>
  <c r="M685" i="17"/>
  <c r="AA684" i="17"/>
  <c r="J684" i="17"/>
  <c r="X683" i="17"/>
  <c r="G683" i="17"/>
  <c r="U682" i="17"/>
  <c r="D682" i="17"/>
  <c r="R681" i="17"/>
  <c r="A681" i="17"/>
  <c r="O680" i="17"/>
  <c r="AD679" i="17"/>
  <c r="N679" i="17"/>
  <c r="AC678" i="17"/>
  <c r="M678" i="17"/>
  <c r="AB677" i="17"/>
  <c r="L677" i="17"/>
  <c r="AA676" i="17"/>
  <c r="K676" i="17"/>
  <c r="Z675" i="17"/>
  <c r="J675" i="17"/>
  <c r="Y674" i="17"/>
  <c r="I674" i="17"/>
  <c r="X673" i="17"/>
  <c r="H673" i="17"/>
  <c r="W672" i="17"/>
  <c r="G672" i="17"/>
  <c r="V671" i="17"/>
  <c r="F671" i="17"/>
  <c r="U670" i="17"/>
  <c r="E670" i="17"/>
  <c r="T669" i="17"/>
  <c r="D669" i="17"/>
  <c r="S668" i="17"/>
  <c r="C668" i="17"/>
  <c r="R667" i="17"/>
  <c r="B667" i="17"/>
  <c r="Q666" i="17"/>
  <c r="A666" i="17"/>
  <c r="P665" i="17"/>
  <c r="AE664" i="17"/>
  <c r="O664" i="17"/>
  <c r="AD663" i="17"/>
  <c r="N663" i="17"/>
  <c r="AC662" i="17"/>
  <c r="M662" i="17"/>
  <c r="AB661" i="17"/>
  <c r="L661" i="17"/>
  <c r="AA660" i="17"/>
  <c r="K660" i="17"/>
  <c r="Z659" i="17"/>
  <c r="J659" i="17"/>
  <c r="D801" i="17"/>
  <c r="L799" i="17"/>
  <c r="R797" i="17"/>
  <c r="D796" i="17"/>
  <c r="D794" i="17"/>
  <c r="M792" i="17"/>
  <c r="S790" i="17"/>
  <c r="C789" i="17"/>
  <c r="O787" i="17"/>
  <c r="AA785" i="17"/>
  <c r="G784" i="17"/>
  <c r="Z782" i="17"/>
  <c r="F781" i="17"/>
  <c r="R779" i="17"/>
  <c r="Z777" i="17"/>
  <c r="L776" i="17"/>
  <c r="Z774" i="17"/>
  <c r="I773" i="17"/>
  <c r="Z771" i="17"/>
  <c r="I770" i="17"/>
  <c r="B769" i="17"/>
  <c r="AB767" i="17"/>
  <c r="O766" i="17"/>
  <c r="E765" i="17"/>
  <c r="AD763" i="17"/>
  <c r="V762" i="17"/>
  <c r="Q761" i="17"/>
  <c r="H760" i="17"/>
  <c r="H759" i="17"/>
  <c r="C758" i="17"/>
  <c r="D757" i="17"/>
  <c r="D756" i="17"/>
  <c r="G755" i="17"/>
  <c r="I754" i="17"/>
  <c r="M753" i="17"/>
  <c r="K752" i="17"/>
  <c r="N751" i="17"/>
  <c r="N750" i="17"/>
  <c r="R749" i="17"/>
  <c r="P748" i="17"/>
  <c r="S747" i="17"/>
  <c r="U746" i="17"/>
  <c r="X745" i="17"/>
  <c r="V744" i="17"/>
  <c r="AC743" i="17"/>
  <c r="B743" i="17"/>
  <c r="J742" i="17"/>
  <c r="N741" i="17"/>
  <c r="S740" i="17"/>
  <c r="W739" i="17"/>
  <c r="AE738" i="17"/>
  <c r="F738" i="17"/>
  <c r="J737" i="17"/>
  <c r="R736" i="17"/>
  <c r="X735" i="17"/>
  <c r="B735" i="17"/>
  <c r="G734" i="17"/>
  <c r="P733" i="17"/>
  <c r="Z732" i="17"/>
  <c r="C732" i="17"/>
  <c r="M731" i="17"/>
  <c r="S730" i="17"/>
  <c r="AB729" i="17"/>
  <c r="G729" i="17"/>
  <c r="O728" i="17"/>
  <c r="W727" i="17"/>
  <c r="AD726" i="17"/>
  <c r="I726" i="17"/>
  <c r="S725" i="17"/>
  <c r="Y724" i="17"/>
  <c r="C724" i="17"/>
  <c r="K723" i="17"/>
  <c r="U722" i="17"/>
  <c r="AE721" i="17"/>
  <c r="F721" i="17"/>
  <c r="O720" i="17"/>
  <c r="Z719" i="17"/>
  <c r="G719" i="17"/>
  <c r="Q718" i="17"/>
  <c r="AB717" i="17"/>
  <c r="I717" i="17"/>
  <c r="U716" i="17"/>
  <c r="AE715" i="17"/>
  <c r="K715" i="17"/>
  <c r="W714" i="17"/>
  <c r="D714" i="17"/>
  <c r="P713" i="17"/>
  <c r="Z712" i="17"/>
  <c r="F712" i="17"/>
  <c r="R711" i="17"/>
  <c r="AD710" i="17"/>
  <c r="I710" i="17"/>
  <c r="T709" i="17"/>
  <c r="A709" i="17"/>
  <c r="M708" i="17"/>
  <c r="W707" i="17"/>
  <c r="C707" i="17"/>
  <c r="O706" i="17"/>
  <c r="AA705" i="17"/>
  <c r="H705" i="17"/>
  <c r="R704" i="17"/>
  <c r="AC703" i="17"/>
  <c r="J703" i="17"/>
  <c r="V702" i="17"/>
  <c r="A702" i="17"/>
  <c r="L701" i="17"/>
  <c r="X700" i="17"/>
  <c r="E700" i="17"/>
  <c r="O699" i="17"/>
  <c r="Z698" i="17"/>
  <c r="G698" i="17"/>
  <c r="S697" i="17"/>
  <c r="AE696" i="17"/>
  <c r="J696" i="17"/>
  <c r="V695" i="17"/>
  <c r="D695" i="17"/>
  <c r="Q694" i="17"/>
  <c r="AD693" i="17"/>
  <c r="L693" i="17"/>
  <c r="W692" i="17"/>
  <c r="E692" i="17"/>
  <c r="R691" i="17"/>
  <c r="AE690" i="17"/>
  <c r="M690" i="17"/>
  <c r="Z689" i="17"/>
  <c r="H689" i="17"/>
  <c r="U688" i="17"/>
  <c r="D688" i="17"/>
  <c r="R687" i="17"/>
  <c r="A687" i="17"/>
  <c r="O686" i="17"/>
  <c r="AC685" i="17"/>
  <c r="L685" i="17"/>
  <c r="Z684" i="17"/>
  <c r="I684" i="17"/>
  <c r="W683" i="17"/>
  <c r="F683" i="17"/>
  <c r="T682" i="17"/>
  <c r="C682" i="17"/>
  <c r="Q681" i="17"/>
  <c r="AE680" i="17"/>
  <c r="N680" i="17"/>
  <c r="AC679" i="17"/>
  <c r="M679" i="17"/>
  <c r="AB678" i="17"/>
  <c r="L678" i="17"/>
  <c r="AA677" i="17"/>
  <c r="K677" i="17"/>
  <c r="Z676" i="17"/>
  <c r="J676" i="17"/>
  <c r="Y675" i="17"/>
  <c r="I675" i="17"/>
  <c r="X674" i="17"/>
  <c r="H674" i="17"/>
  <c r="W673" i="17"/>
  <c r="G673" i="17"/>
  <c r="V672" i="17"/>
  <c r="F672" i="17"/>
  <c r="U671" i="17"/>
  <c r="E671" i="17"/>
  <c r="T670" i="17"/>
  <c r="D670" i="17"/>
  <c r="S669" i="17"/>
  <c r="C669" i="17"/>
  <c r="R668" i="17"/>
  <c r="B668" i="17"/>
  <c r="Q667" i="17"/>
  <c r="A667" i="17"/>
  <c r="P666" i="17"/>
  <c r="AE665" i="17"/>
  <c r="B801" i="17"/>
  <c r="K799" i="17"/>
  <c r="Q797" i="17"/>
  <c r="A796" i="17"/>
  <c r="AB793" i="17"/>
  <c r="L792" i="17"/>
  <c r="R790" i="17"/>
  <c r="B789" i="17"/>
  <c r="K787" i="17"/>
  <c r="T785" i="17"/>
  <c r="D784" i="17"/>
  <c r="X782" i="17"/>
  <c r="D781" i="17"/>
  <c r="I779" i="17"/>
  <c r="W777" i="17"/>
  <c r="E776" i="17"/>
  <c r="Y774" i="17"/>
  <c r="C773" i="17"/>
  <c r="X771" i="17"/>
  <c r="G770" i="17"/>
  <c r="A769" i="17"/>
  <c r="R767" i="17"/>
  <c r="K766" i="17"/>
  <c r="D765" i="17"/>
  <c r="AB763" i="17"/>
  <c r="T762" i="17"/>
  <c r="P761" i="17"/>
  <c r="G760" i="17"/>
  <c r="G759" i="17"/>
  <c r="B758" i="17"/>
  <c r="C757" i="17"/>
  <c r="C756" i="17"/>
  <c r="F755" i="17"/>
  <c r="F754" i="17"/>
  <c r="I753" i="17"/>
  <c r="H752" i="17"/>
  <c r="M751" i="17"/>
  <c r="M750" i="17"/>
  <c r="Q749" i="17"/>
  <c r="O748" i="17"/>
  <c r="R747" i="17"/>
  <c r="S746" i="17"/>
  <c r="W745" i="17"/>
  <c r="U744" i="17"/>
  <c r="Y743" i="17"/>
  <c r="A743" i="17"/>
  <c r="I742" i="17"/>
  <c r="K741" i="17"/>
  <c r="N740" i="17"/>
  <c r="V739" i="17"/>
  <c r="AA738" i="17"/>
  <c r="E738" i="17"/>
  <c r="I737" i="17"/>
  <c r="Q736" i="17"/>
  <c r="W735" i="17"/>
  <c r="A735" i="17"/>
  <c r="F734" i="17"/>
  <c r="O733" i="17"/>
  <c r="Y732" i="17"/>
  <c r="B732" i="17"/>
  <c r="J731" i="17"/>
  <c r="Q730" i="17"/>
  <c r="AA729" i="17"/>
  <c r="F729" i="17"/>
  <c r="N728" i="17"/>
  <c r="V727" i="17"/>
  <c r="AC726" i="17"/>
  <c r="H726" i="17"/>
  <c r="R725" i="17"/>
  <c r="X724" i="17"/>
  <c r="B724" i="17"/>
  <c r="J723" i="17"/>
  <c r="T722" i="17"/>
  <c r="Z721" i="17"/>
  <c r="D721" i="17"/>
  <c r="N720" i="17"/>
  <c r="Y719" i="17"/>
  <c r="F719" i="17"/>
  <c r="P718" i="17"/>
  <c r="AA717" i="17"/>
  <c r="H717" i="17"/>
  <c r="T716" i="17"/>
  <c r="AD715" i="17"/>
  <c r="J715" i="17"/>
  <c r="V714" i="17"/>
  <c r="C714" i="17"/>
  <c r="M713" i="17"/>
  <c r="X712" i="17"/>
  <c r="E712" i="17"/>
  <c r="Q711" i="17"/>
  <c r="AC710" i="17"/>
  <c r="H710" i="17"/>
  <c r="S709" i="17"/>
  <c r="AE708" i="17"/>
  <c r="L708" i="17"/>
  <c r="V707" i="17"/>
  <c r="B707" i="17"/>
  <c r="N706" i="17"/>
  <c r="Z705" i="17"/>
  <c r="E705" i="17"/>
  <c r="P704" i="17"/>
  <c r="AB703" i="17"/>
  <c r="I703" i="17"/>
  <c r="U702" i="17"/>
  <c r="AE701" i="17"/>
  <c r="K701" i="17"/>
  <c r="W700" i="17"/>
  <c r="D700" i="17"/>
  <c r="N699" i="17"/>
  <c r="Y698" i="17"/>
  <c r="F698" i="17"/>
  <c r="R697" i="17"/>
  <c r="AB696" i="17"/>
  <c r="H696" i="17"/>
  <c r="U695" i="17"/>
  <c r="C695" i="17"/>
  <c r="P694" i="17"/>
  <c r="AC693" i="17"/>
  <c r="I693" i="17"/>
  <c r="V692" i="17"/>
  <c r="D692" i="17"/>
  <c r="Q691" i="17"/>
  <c r="AD690" i="17"/>
  <c r="AC800" i="17"/>
  <c r="I799" i="17"/>
  <c r="N797" i="17"/>
  <c r="X795" i="17"/>
  <c r="Z793" i="17"/>
  <c r="AE791" i="17"/>
  <c r="P790" i="17"/>
  <c r="A789" i="17"/>
  <c r="J787" i="17"/>
  <c r="R785" i="17"/>
  <c r="C784" i="17"/>
  <c r="K782" i="17"/>
  <c r="X780" i="17"/>
  <c r="C779" i="17"/>
  <c r="V777" i="17"/>
  <c r="D776" i="17"/>
  <c r="W774" i="17"/>
  <c r="B773" i="17"/>
  <c r="W771" i="17"/>
  <c r="F770" i="17"/>
  <c r="AB768" i="17"/>
  <c r="P767" i="17"/>
  <c r="J766" i="17"/>
  <c r="AE764" i="17"/>
  <c r="AA763" i="17"/>
  <c r="Q762" i="17"/>
  <c r="M761" i="17"/>
  <c r="F760" i="17"/>
  <c r="E759" i="17"/>
  <c r="A758" i="17"/>
  <c r="B757" i="17"/>
  <c r="B756" i="17"/>
  <c r="E755" i="17"/>
  <c r="E754" i="17"/>
  <c r="H753" i="17"/>
  <c r="G752" i="17"/>
  <c r="L751" i="17"/>
  <c r="L750" i="17"/>
  <c r="J749" i="17"/>
  <c r="M748" i="17"/>
  <c r="AB800" i="17"/>
  <c r="S798" i="17"/>
  <c r="J796" i="17"/>
  <c r="V793" i="17"/>
  <c r="T791" i="17"/>
  <c r="R789" i="17"/>
  <c r="H787" i="17"/>
  <c r="I785" i="17"/>
  <c r="C783" i="17"/>
  <c r="V780" i="17"/>
  <c r="X778" i="17"/>
  <c r="AA776" i="17"/>
  <c r="R774" i="17"/>
  <c r="X772" i="17"/>
  <c r="AA770" i="17"/>
  <c r="Z768" i="17"/>
  <c r="G767" i="17"/>
  <c r="R765" i="17"/>
  <c r="Y763" i="17"/>
  <c r="H762" i="17"/>
  <c r="Y760" i="17"/>
  <c r="C759" i="17"/>
  <c r="U757" i="17"/>
  <c r="Q756" i="17"/>
  <c r="D755" i="17"/>
  <c r="AB753" i="17"/>
  <c r="W752" i="17"/>
  <c r="F751" i="17"/>
  <c r="B750" i="17"/>
  <c r="AB748" i="17"/>
  <c r="M747" i="17"/>
  <c r="M746" i="17"/>
  <c r="G745" i="17"/>
  <c r="F744" i="17"/>
  <c r="D743" i="17"/>
  <c r="AE741" i="17"/>
  <c r="AE740" i="17"/>
  <c r="D740" i="17"/>
  <c r="C739" i="17"/>
  <c r="A738" i="17"/>
  <c r="C737" i="17"/>
  <c r="D736" i="17"/>
  <c r="F735" i="17"/>
  <c r="E734" i="17"/>
  <c r="K733" i="17"/>
  <c r="N732" i="17"/>
  <c r="R731" i="17"/>
  <c r="W730" i="17"/>
  <c r="X729" i="17"/>
  <c r="AA728" i="17"/>
  <c r="AE727" i="17"/>
  <c r="E727" i="17"/>
  <c r="F726" i="17"/>
  <c r="H725" i="17"/>
  <c r="M724" i="17"/>
  <c r="R723" i="17"/>
  <c r="S722" i="17"/>
  <c r="U721" i="17"/>
  <c r="Z720" i="17"/>
  <c r="AE719" i="17"/>
  <c r="I719" i="17"/>
  <c r="L718" i="17"/>
  <c r="U717" i="17"/>
  <c r="AA716" i="17"/>
  <c r="E716" i="17"/>
  <c r="H715" i="17"/>
  <c r="Q714" i="17"/>
  <c r="W713" i="17"/>
  <c r="A713" i="17"/>
  <c r="D712" i="17"/>
  <c r="K711" i="17"/>
  <c r="S710" i="17"/>
  <c r="AB709" i="17"/>
  <c r="C709" i="17"/>
  <c r="G708" i="17"/>
  <c r="O707" i="17"/>
  <c r="V706" i="17"/>
  <c r="AD705" i="17"/>
  <c r="C705" i="17"/>
  <c r="K704" i="17"/>
  <c r="R703" i="17"/>
  <c r="Z702" i="17"/>
  <c r="AC701" i="17"/>
  <c r="G701" i="17"/>
  <c r="N700" i="17"/>
  <c r="V699" i="17"/>
  <c r="AC698" i="17"/>
  <c r="C698" i="17"/>
  <c r="I697" i="17"/>
  <c r="R696" i="17"/>
  <c r="Y695" i="17"/>
  <c r="A695" i="17"/>
  <c r="I694" i="17"/>
  <c r="S693" i="17"/>
  <c r="AC692" i="17"/>
  <c r="C692" i="17"/>
  <c r="M691" i="17"/>
  <c r="U690" i="17"/>
  <c r="A690" i="17"/>
  <c r="L689" i="17"/>
  <c r="X688" i="17"/>
  <c r="B688" i="17"/>
  <c r="N687" i="17"/>
  <c r="Z686" i="17"/>
  <c r="G686" i="17"/>
  <c r="R685" i="17"/>
  <c r="AD684" i="17"/>
  <c r="Z800" i="17"/>
  <c r="R798" i="17"/>
  <c r="I796" i="17"/>
  <c r="U793" i="17"/>
  <c r="S791" i="17"/>
  <c r="L789" i="17"/>
  <c r="D787" i="17"/>
  <c r="D785" i="17"/>
  <c r="B783" i="17"/>
  <c r="U780" i="17"/>
  <c r="W778" i="17"/>
  <c r="V776" i="17"/>
  <c r="P774" i="17"/>
  <c r="U772" i="17"/>
  <c r="Z770" i="17"/>
  <c r="W768" i="17"/>
  <c r="F767" i="17"/>
  <c r="P765" i="17"/>
  <c r="X763" i="17"/>
  <c r="F762" i="17"/>
  <c r="V760" i="17"/>
  <c r="AE758" i="17"/>
  <c r="T757" i="17"/>
  <c r="P756" i="17"/>
  <c r="AE754" i="17"/>
  <c r="V753" i="17"/>
  <c r="U752" i="17"/>
  <c r="D751" i="17"/>
  <c r="AB749" i="17"/>
  <c r="AA748" i="17"/>
  <c r="L747" i="17"/>
  <c r="J746" i="17"/>
  <c r="F745" i="17"/>
  <c r="E744" i="17"/>
  <c r="AE742" i="17"/>
  <c r="AD741" i="17"/>
  <c r="AD740" i="17"/>
  <c r="AC739" i="17"/>
  <c r="B739" i="17"/>
  <c r="AE737" i="17"/>
  <c r="B737" i="17"/>
  <c r="C736" i="17"/>
  <c r="E735" i="17"/>
  <c r="C734" i="17"/>
  <c r="J733" i="17"/>
  <c r="M732" i="17"/>
  <c r="Q731" i="17"/>
  <c r="P730" i="17"/>
  <c r="W729" i="17"/>
  <c r="Y728" i="17"/>
  <c r="AD727" i="17"/>
  <c r="D727" i="17"/>
  <c r="E726" i="17"/>
  <c r="G725" i="17"/>
  <c r="L724" i="17"/>
  <c r="P723" i="17"/>
  <c r="R722" i="17"/>
  <c r="T721" i="17"/>
  <c r="Y720" i="17"/>
  <c r="AD719" i="17"/>
  <c r="C719" i="17"/>
  <c r="K718" i="17"/>
  <c r="T717" i="17"/>
  <c r="Z716" i="17"/>
  <c r="D716" i="17"/>
  <c r="G715" i="17"/>
  <c r="N714" i="17"/>
  <c r="V713" i="17"/>
  <c r="AE712" i="17"/>
  <c r="C712" i="17"/>
  <c r="J711" i="17"/>
  <c r="R710" i="17"/>
  <c r="Y709" i="17"/>
  <c r="AD708" i="17"/>
  <c r="F708" i="17"/>
  <c r="N707" i="17"/>
  <c r="U706" i="17"/>
  <c r="AC705" i="17"/>
  <c r="A705" i="17"/>
  <c r="J704" i="17"/>
  <c r="Q703" i="17"/>
  <c r="Y702" i="17"/>
  <c r="AB701" i="17"/>
  <c r="F701" i="17"/>
  <c r="L700" i="17"/>
  <c r="U699" i="17"/>
  <c r="X698" i="17"/>
  <c r="B698" i="17"/>
  <c r="H697" i="17"/>
  <c r="Q696" i="17"/>
  <c r="X695" i="17"/>
  <c r="AE694" i="17"/>
  <c r="H694" i="17"/>
  <c r="R693" i="17"/>
  <c r="AB692" i="17"/>
  <c r="B692" i="17"/>
  <c r="L691" i="17"/>
  <c r="T690" i="17"/>
  <c r="AE689" i="17"/>
  <c r="K689" i="17"/>
  <c r="T688" i="17"/>
  <c r="A688" i="17"/>
  <c r="M687" i="17"/>
  <c r="Y686" i="17"/>
  <c r="F686" i="17"/>
  <c r="Q685" i="17"/>
  <c r="AC684" i="17"/>
  <c r="X800" i="17"/>
  <c r="L798" i="17"/>
  <c r="H796" i="17"/>
  <c r="S793" i="17"/>
  <c r="Q791" i="17"/>
  <c r="J789" i="17"/>
  <c r="A787" i="17"/>
  <c r="B785" i="17"/>
  <c r="AE782" i="17"/>
  <c r="S780" i="17"/>
  <c r="T778" i="17"/>
  <c r="Q776" i="17"/>
  <c r="O774" i="17"/>
  <c r="R772" i="17"/>
  <c r="W770" i="17"/>
  <c r="Q768" i="17"/>
  <c r="D767" i="17"/>
  <c r="N765" i="17"/>
  <c r="L763" i="17"/>
  <c r="D762" i="17"/>
  <c r="U760" i="17"/>
  <c r="Z758" i="17"/>
  <c r="P757" i="17"/>
  <c r="L756" i="17"/>
  <c r="AD754" i="17"/>
  <c r="U753" i="17"/>
  <c r="T752" i="17"/>
  <c r="C751" i="17"/>
  <c r="AA749" i="17"/>
  <c r="Z748" i="17"/>
  <c r="K747" i="17"/>
  <c r="F746" i="17"/>
  <c r="E745" i="17"/>
  <c r="B744" i="17"/>
  <c r="AD742" i="17"/>
  <c r="AC741" i="17"/>
  <c r="AC740" i="17"/>
  <c r="AB739" i="17"/>
  <c r="Z738" i="17"/>
  <c r="Z737" i="17"/>
  <c r="A737" i="17"/>
  <c r="B736" i="17"/>
  <c r="D735" i="17"/>
  <c r="B734" i="17"/>
  <c r="G733" i="17"/>
  <c r="K732" i="17"/>
  <c r="P731" i="17"/>
  <c r="O730" i="17"/>
  <c r="V729" i="17"/>
  <c r="X728" i="17"/>
  <c r="AC727" i="17"/>
  <c r="AB726" i="17"/>
  <c r="D726" i="17"/>
  <c r="F725" i="17"/>
  <c r="K724" i="17"/>
  <c r="M723" i="17"/>
  <c r="O722" i="17"/>
  <c r="S721" i="17"/>
  <c r="X720" i="17"/>
  <c r="AC719" i="17"/>
  <c r="B719" i="17"/>
  <c r="J718" i="17"/>
  <c r="Q717" i="17"/>
  <c r="Y716" i="17"/>
  <c r="AC715" i="17"/>
  <c r="F715" i="17"/>
  <c r="M714" i="17"/>
  <c r="U713" i="17"/>
  <c r="AB712" i="17"/>
  <c r="B712" i="17"/>
  <c r="I711" i="17"/>
  <c r="Q710" i="17"/>
  <c r="X709" i="17"/>
  <c r="AC708" i="17"/>
  <c r="D708" i="17"/>
  <c r="M707" i="17"/>
  <c r="T706" i="17"/>
  <c r="Y705" i="17"/>
  <c r="AE704" i="17"/>
  <c r="I704" i="17"/>
  <c r="O703" i="17"/>
  <c r="X702" i="17"/>
  <c r="AA701" i="17"/>
  <c r="E701" i="17"/>
  <c r="K700" i="17"/>
  <c r="T699" i="17"/>
  <c r="W698" i="17"/>
  <c r="A698" i="17"/>
  <c r="G697" i="17"/>
  <c r="P696" i="17"/>
  <c r="T695" i="17"/>
  <c r="AD694" i="17"/>
  <c r="G694" i="17"/>
  <c r="Q693" i="17"/>
  <c r="AA692" i="17"/>
  <c r="A692" i="17"/>
  <c r="K691" i="17"/>
  <c r="S690" i="17"/>
  <c r="AD689" i="17"/>
  <c r="J689" i="17"/>
  <c r="S688" i="17"/>
  <c r="AE687" i="17"/>
  <c r="L687" i="17"/>
  <c r="X686" i="17"/>
  <c r="E686" i="17"/>
  <c r="P685" i="17"/>
  <c r="AB684" i="17"/>
  <c r="N800" i="17"/>
  <c r="K798" i="17"/>
  <c r="F796" i="17"/>
  <c r="R793" i="17"/>
  <c r="K791" i="17"/>
  <c r="I789" i="17"/>
  <c r="AE786" i="17"/>
  <c r="AD784" i="17"/>
  <c r="AB782" i="17"/>
  <c r="J780" i="17"/>
  <c r="S778" i="17"/>
  <c r="P776" i="17"/>
  <c r="D774" i="17"/>
  <c r="Q772" i="17"/>
  <c r="P770" i="17"/>
  <c r="P768" i="17"/>
  <c r="B767" i="17"/>
  <c r="K765" i="17"/>
  <c r="K763" i="17"/>
  <c r="AC761" i="17"/>
  <c r="T760" i="17"/>
  <c r="V758" i="17"/>
  <c r="N757" i="17"/>
  <c r="G756" i="17"/>
  <c r="AC754" i="17"/>
  <c r="S753" i="17"/>
  <c r="M752" i="17"/>
  <c r="B751" i="17"/>
  <c r="Z749" i="17"/>
  <c r="U748" i="17"/>
  <c r="J747" i="17"/>
  <c r="E746" i="17"/>
  <c r="D745" i="17"/>
  <c r="A744" i="17"/>
  <c r="AC742" i="17"/>
  <c r="AA741" i="17"/>
  <c r="AB740" i="17"/>
  <c r="AA739" i="17"/>
  <c r="Y738" i="17"/>
  <c r="Y737" i="17"/>
  <c r="AE736" i="17"/>
  <c r="AE735" i="17"/>
  <c r="AE734" i="17"/>
  <c r="A734" i="17"/>
  <c r="F733" i="17"/>
  <c r="J732" i="17"/>
  <c r="O731" i="17"/>
  <c r="N730" i="17"/>
  <c r="S729" i="17"/>
  <c r="W728" i="17"/>
  <c r="AB727" i="17"/>
  <c r="AA726" i="17"/>
  <c r="AD725" i="17"/>
  <c r="E725" i="17"/>
  <c r="J724" i="17"/>
  <c r="I723" i="17"/>
  <c r="L722" i="17"/>
  <c r="R721" i="17"/>
  <c r="U720" i="17"/>
  <c r="AB719" i="17"/>
  <c r="A719" i="17"/>
  <c r="I718" i="17"/>
  <c r="P717" i="17"/>
  <c r="X716" i="17"/>
  <c r="AA715" i="17"/>
  <c r="E715" i="17"/>
  <c r="L714" i="17"/>
  <c r="T713" i="17"/>
  <c r="W712" i="17"/>
  <c r="A712" i="17"/>
  <c r="G711" i="17"/>
  <c r="P710" i="17"/>
  <c r="W709" i="17"/>
  <c r="AB708" i="17"/>
  <c r="C708" i="17"/>
  <c r="L707" i="17"/>
  <c r="R706" i="17"/>
  <c r="X705" i="17"/>
  <c r="AD704" i="17"/>
  <c r="H704" i="17"/>
  <c r="N703" i="17"/>
  <c r="R702" i="17"/>
  <c r="Z701" i="17"/>
  <c r="D701" i="17"/>
  <c r="J700" i="17"/>
  <c r="M800" i="17"/>
  <c r="K797" i="17"/>
  <c r="V794" i="17"/>
  <c r="J791" i="17"/>
  <c r="I788" i="17"/>
  <c r="O785" i="17"/>
  <c r="J782" i="17"/>
  <c r="AD779" i="17"/>
  <c r="C777" i="17"/>
  <c r="C774" i="17"/>
  <c r="V771" i="17"/>
  <c r="J769" i="17"/>
  <c r="Z766" i="17"/>
  <c r="V764" i="17"/>
  <c r="O762" i="17"/>
  <c r="E760" i="17"/>
  <c r="O758" i="17"/>
  <c r="V756" i="17"/>
  <c r="W754" i="17"/>
  <c r="C753" i="17"/>
  <c r="T751" i="17"/>
  <c r="Y749" i="17"/>
  <c r="G748" i="17"/>
  <c r="W746" i="17"/>
  <c r="B745" i="17"/>
  <c r="S743" i="17"/>
  <c r="M742" i="17"/>
  <c r="AA740" i="17"/>
  <c r="Q739" i="17"/>
  <c r="J738" i="17"/>
  <c r="AD736" i="17"/>
  <c r="T735" i="17"/>
  <c r="P734" i="17"/>
  <c r="E733" i="17"/>
  <c r="AE731" i="17"/>
  <c r="AC730" i="17"/>
  <c r="P729" i="17"/>
  <c r="K728" i="17"/>
  <c r="K727" i="17"/>
  <c r="AC725" i="17"/>
  <c r="AC724" i="17"/>
  <c r="X723" i="17"/>
  <c r="K722" i="17"/>
  <c r="K721" i="17"/>
  <c r="G720" i="17"/>
  <c r="AD718" i="17"/>
  <c r="B718" i="17"/>
  <c r="A717" i="17"/>
  <c r="Z715" i="17"/>
  <c r="AC714" i="17"/>
  <c r="AB713" i="17"/>
  <c r="V712" i="17"/>
  <c r="Y711" i="17"/>
  <c r="X710" i="17"/>
  <c r="R709" i="17"/>
  <c r="T708" i="17"/>
  <c r="S707" i="17"/>
  <c r="Q706" i="17"/>
  <c r="P705" i="17"/>
  <c r="O704" i="17"/>
  <c r="M703" i="17"/>
  <c r="L702" i="17"/>
  <c r="O701" i="17"/>
  <c r="I700" i="17"/>
  <c r="I699" i="17"/>
  <c r="M698" i="17"/>
  <c r="M697" i="17"/>
  <c r="O696" i="17"/>
  <c r="P695" i="17"/>
  <c r="U694" i="17"/>
  <c r="W693" i="17"/>
  <c r="AD692" i="17"/>
  <c r="AC691" i="17"/>
  <c r="C691" i="17"/>
  <c r="F690" i="17"/>
  <c r="N689" i="17"/>
  <c r="Q688" i="17"/>
  <c r="Z687" i="17"/>
  <c r="C687" i="17"/>
  <c r="J686" i="17"/>
  <c r="O685" i="17"/>
  <c r="V684" i="17"/>
  <c r="C684" i="17"/>
  <c r="N683" i="17"/>
  <c r="Z682" i="17"/>
  <c r="G682" i="17"/>
  <c r="S681" i="17"/>
  <c r="AB680" i="17"/>
  <c r="J680" i="17"/>
  <c r="W679" i="17"/>
  <c r="E679" i="17"/>
  <c r="R678" i="17"/>
  <c r="AE677" i="17"/>
  <c r="M677" i="17"/>
  <c r="X676" i="17"/>
  <c r="F676" i="17"/>
  <c r="S675" i="17"/>
  <c r="A675" i="17"/>
  <c r="N674" i="17"/>
  <c r="AA673" i="17"/>
  <c r="I673" i="17"/>
  <c r="T672" i="17"/>
  <c r="B672" i="17"/>
  <c r="O671" i="17"/>
  <c r="AB670" i="17"/>
  <c r="J670" i="17"/>
  <c r="W669" i="17"/>
  <c r="E669" i="17"/>
  <c r="P668" i="17"/>
  <c r="AC667" i="17"/>
  <c r="K667" i="17"/>
  <c r="X666" i="17"/>
  <c r="F666" i="17"/>
  <c r="S665" i="17"/>
  <c r="B665" i="17"/>
  <c r="P664" i="17"/>
  <c r="AC663" i="17"/>
  <c r="L663" i="17"/>
  <c r="Z662" i="17"/>
  <c r="I662" i="17"/>
  <c r="W661" i="17"/>
  <c r="F661" i="17"/>
  <c r="T660" i="17"/>
  <c r="C660" i="17"/>
  <c r="Q659" i="17"/>
  <c r="AE658" i="17"/>
  <c r="O658" i="17"/>
  <c r="AD657" i="17"/>
  <c r="N657" i="17"/>
  <c r="AC656" i="17"/>
  <c r="M656" i="17"/>
  <c r="AB655" i="17"/>
  <c r="L655" i="17"/>
  <c r="AA654" i="17"/>
  <c r="K654" i="17"/>
  <c r="Z653" i="17"/>
  <c r="J653" i="17"/>
  <c r="Y652" i="17"/>
  <c r="I652" i="17"/>
  <c r="X651" i="17"/>
  <c r="H651" i="17"/>
  <c r="W650" i="17"/>
  <c r="G650" i="17"/>
  <c r="V649" i="17"/>
  <c r="F649" i="17"/>
  <c r="U648" i="17"/>
  <c r="E648" i="17"/>
  <c r="T647" i="17"/>
  <c r="D647" i="17"/>
  <c r="S646" i="17"/>
  <c r="C646" i="17"/>
  <c r="R645" i="17"/>
  <c r="B645" i="17"/>
  <c r="Q644" i="17"/>
  <c r="A644" i="17"/>
  <c r="P643" i="17"/>
  <c r="AE642" i="17"/>
  <c r="O642" i="17"/>
  <c r="AD641" i="17"/>
  <c r="N641" i="17"/>
  <c r="AC640" i="17"/>
  <c r="M640" i="17"/>
  <c r="AB639" i="17"/>
  <c r="L639" i="17"/>
  <c r="AA638" i="17"/>
  <c r="K638" i="17"/>
  <c r="Z637" i="17"/>
  <c r="J637" i="17"/>
  <c r="Y636" i="17"/>
  <c r="I636" i="17"/>
  <c r="X635" i="17"/>
  <c r="L800" i="17"/>
  <c r="J797" i="17"/>
  <c r="T794" i="17"/>
  <c r="C791" i="17"/>
  <c r="H788" i="17"/>
  <c r="M785" i="17"/>
  <c r="H782" i="17"/>
  <c r="AB779" i="17"/>
  <c r="B777" i="17"/>
  <c r="AD773" i="17"/>
  <c r="T771" i="17"/>
  <c r="I769" i="17"/>
  <c r="X766" i="17"/>
  <c r="S764" i="17"/>
  <c r="N762" i="17"/>
  <c r="D760" i="17"/>
  <c r="K758" i="17"/>
  <c r="U756" i="17"/>
  <c r="V754" i="17"/>
  <c r="AE752" i="17"/>
  <c r="S751" i="17"/>
  <c r="X749" i="17"/>
  <c r="A748" i="17"/>
  <c r="Q746" i="17"/>
  <c r="AB744" i="17"/>
  <c r="R743" i="17"/>
  <c r="L742" i="17"/>
  <c r="Z740" i="17"/>
  <c r="P739" i="17"/>
  <c r="I738" i="17"/>
  <c r="AC736" i="17"/>
  <c r="S735" i="17"/>
  <c r="O734" i="17"/>
  <c r="B733" i="17"/>
  <c r="AB731" i="17"/>
  <c r="AB730" i="17"/>
  <c r="O729" i="17"/>
  <c r="J728" i="17"/>
  <c r="J727" i="17"/>
  <c r="AB725" i="17"/>
  <c r="W724" i="17"/>
  <c r="W723" i="17"/>
  <c r="I722" i="17"/>
  <c r="H721" i="17"/>
  <c r="D720" i="17"/>
  <c r="AC718" i="17"/>
  <c r="A718" i="17"/>
  <c r="AE716" i="17"/>
  <c r="Y715" i="17"/>
  <c r="AB714" i="17"/>
  <c r="AA713" i="17"/>
  <c r="U712" i="17"/>
  <c r="W711" i="17"/>
  <c r="V710" i="17"/>
  <c r="Q709" i="17"/>
  <c r="S708" i="17"/>
  <c r="R707" i="17"/>
  <c r="M706" i="17"/>
  <c r="O705" i="17"/>
  <c r="N704" i="17"/>
  <c r="L703" i="17"/>
  <c r="K702" i="17"/>
  <c r="J701" i="17"/>
  <c r="H700" i="17"/>
  <c r="H699" i="17"/>
  <c r="L698" i="17"/>
  <c r="L697" i="17"/>
  <c r="L696" i="17"/>
  <c r="O695" i="17"/>
  <c r="T694" i="17"/>
  <c r="V693" i="17"/>
  <c r="U692" i="17"/>
  <c r="AB691" i="17"/>
  <c r="B691" i="17"/>
  <c r="E690" i="17"/>
  <c r="M689" i="17"/>
  <c r="P688" i="17"/>
  <c r="Y687" i="17"/>
  <c r="AE686" i="17"/>
  <c r="I686" i="17"/>
  <c r="N685" i="17"/>
  <c r="U684" i="17"/>
  <c r="A684" i="17"/>
  <c r="M683" i="17"/>
  <c r="Y682" i="17"/>
  <c r="F682" i="17"/>
  <c r="P681" i="17"/>
  <c r="AA680" i="17"/>
  <c r="I680" i="17"/>
  <c r="V679" i="17"/>
  <c r="D679" i="17"/>
  <c r="Q678" i="17"/>
  <c r="AD677" i="17"/>
  <c r="J677" i="17"/>
  <c r="W676" i="17"/>
  <c r="E676" i="17"/>
  <c r="R675" i="17"/>
  <c r="AE674" i="17"/>
  <c r="M674" i="17"/>
  <c r="Z673" i="17"/>
  <c r="F673" i="17"/>
  <c r="S672" i="17"/>
  <c r="A672" i="17"/>
  <c r="N671" i="17"/>
  <c r="AA670" i="17"/>
  <c r="I670" i="17"/>
  <c r="V669" i="17"/>
  <c r="B669" i="17"/>
  <c r="O668" i="17"/>
  <c r="AB667" i="17"/>
  <c r="J667" i="17"/>
  <c r="W666" i="17"/>
  <c r="E666" i="17"/>
  <c r="R665" i="17"/>
  <c r="A665" i="17"/>
  <c r="N664" i="17"/>
  <c r="AB663" i="17"/>
  <c r="K663" i="17"/>
  <c r="Y662" i="17"/>
  <c r="H662" i="17"/>
  <c r="V661" i="17"/>
  <c r="E661" i="17"/>
  <c r="S660" i="17"/>
  <c r="B660" i="17"/>
  <c r="P659" i="17"/>
  <c r="AD658" i="17"/>
  <c r="N658" i="17"/>
  <c r="AC657" i="17"/>
  <c r="M657" i="17"/>
  <c r="AB656" i="17"/>
  <c r="L656" i="17"/>
  <c r="AA655" i="17"/>
  <c r="K655" i="17"/>
  <c r="Z654" i="17"/>
  <c r="J654" i="17"/>
  <c r="Y653" i="17"/>
  <c r="I653" i="17"/>
  <c r="X652" i="17"/>
  <c r="H652" i="17"/>
  <c r="W651" i="17"/>
  <c r="G651" i="17"/>
  <c r="V650" i="17"/>
  <c r="F650" i="17"/>
  <c r="U649" i="17"/>
  <c r="E649" i="17"/>
  <c r="T648" i="17"/>
  <c r="D648" i="17"/>
  <c r="S647" i="17"/>
  <c r="C647" i="17"/>
  <c r="R646" i="17"/>
  <c r="B646" i="17"/>
  <c r="Q645" i="17"/>
  <c r="A645" i="17"/>
  <c r="P644" i="17"/>
  <c r="AE643" i="17"/>
  <c r="O643" i="17"/>
  <c r="AD642" i="17"/>
  <c r="N642" i="17"/>
  <c r="AC641" i="17"/>
  <c r="M641" i="17"/>
  <c r="AB640" i="17"/>
  <c r="L640" i="17"/>
  <c r="AA639" i="17"/>
  <c r="K639" i="17"/>
  <c r="Z638" i="17"/>
  <c r="J638" i="17"/>
  <c r="Y637" i="17"/>
  <c r="I637" i="17"/>
  <c r="X636" i="17"/>
  <c r="H636" i="17"/>
  <c r="W635" i="17"/>
  <c r="E800" i="17"/>
  <c r="G797" i="17"/>
  <c r="S794" i="17"/>
  <c r="Z790" i="17"/>
  <c r="G788" i="17"/>
  <c r="K785" i="17"/>
  <c r="E782" i="17"/>
  <c r="Y779" i="17"/>
  <c r="AC776" i="17"/>
  <c r="AC773" i="17"/>
  <c r="Q771" i="17"/>
  <c r="H769" i="17"/>
  <c r="W766" i="17"/>
  <c r="Q764" i="17"/>
  <c r="J762" i="17"/>
  <c r="B760" i="17"/>
  <c r="J758" i="17"/>
  <c r="T756" i="17"/>
  <c r="U754" i="17"/>
  <c r="AD752" i="17"/>
  <c r="R751" i="17"/>
  <c r="V749" i="17"/>
  <c r="AE747" i="17"/>
  <c r="O746" i="17"/>
  <c r="AA744" i="17"/>
  <c r="Q743" i="17"/>
  <c r="D742" i="17"/>
  <c r="Y740" i="17"/>
  <c r="L739" i="17"/>
  <c r="H738" i="17"/>
  <c r="W736" i="17"/>
  <c r="P735" i="17"/>
  <c r="N734" i="17"/>
  <c r="A733" i="17"/>
  <c r="AA731" i="17"/>
  <c r="AA730" i="17"/>
  <c r="N729" i="17"/>
  <c r="I728" i="17"/>
  <c r="I727" i="17"/>
  <c r="Z725" i="17"/>
  <c r="U724" i="17"/>
  <c r="T723" i="17"/>
  <c r="H722" i="17"/>
  <c r="C721" i="17"/>
  <c r="C720" i="17"/>
  <c r="AB718" i="17"/>
  <c r="AE717" i="17"/>
  <c r="AD716" i="17"/>
  <c r="X715" i="17"/>
  <c r="Z714" i="17"/>
  <c r="Y713" i="17"/>
  <c r="T712" i="17"/>
  <c r="V711" i="17"/>
  <c r="U710" i="17"/>
  <c r="P709" i="17"/>
  <c r="R708" i="17"/>
  <c r="Q707" i="17"/>
  <c r="L706" i="17"/>
  <c r="N705" i="17"/>
  <c r="M704" i="17"/>
  <c r="H703" i="17"/>
  <c r="J702" i="17"/>
  <c r="I701" i="17"/>
  <c r="G700" i="17"/>
  <c r="G699" i="17"/>
  <c r="J698" i="17"/>
  <c r="K697" i="17"/>
  <c r="G696" i="17"/>
  <c r="N695" i="17"/>
  <c r="S694" i="17"/>
  <c r="U693" i="17"/>
  <c r="T692" i="17"/>
  <c r="AA691" i="17"/>
  <c r="AC690" i="17"/>
  <c r="D690" i="17"/>
  <c r="F689" i="17"/>
  <c r="O688" i="17"/>
  <c r="X687" i="17"/>
  <c r="AD686" i="17"/>
  <c r="H686" i="17"/>
  <c r="K685" i="17"/>
  <c r="T684" i="17"/>
  <c r="AE683" i="17"/>
  <c r="L683" i="17"/>
  <c r="X682" i="17"/>
  <c r="E682" i="17"/>
  <c r="N681" i="17"/>
  <c r="Z680" i="17"/>
  <c r="H680" i="17"/>
  <c r="U679" i="17"/>
  <c r="C679" i="17"/>
  <c r="P678" i="17"/>
  <c r="AC677" i="17"/>
  <c r="I677" i="17"/>
  <c r="V676" i="17"/>
  <c r="D676" i="17"/>
  <c r="Q675" i="17"/>
  <c r="AD674" i="17"/>
  <c r="L674" i="17"/>
  <c r="Y673" i="17"/>
  <c r="E673" i="17"/>
  <c r="R672" i="17"/>
  <c r="AE671" i="17"/>
  <c r="M671" i="17"/>
  <c r="Z670" i="17"/>
  <c r="H670" i="17"/>
  <c r="U669" i="17"/>
  <c r="A669" i="17"/>
  <c r="N668" i="17"/>
  <c r="AA667" i="17"/>
  <c r="I667" i="17"/>
  <c r="V666" i="17"/>
  <c r="D666" i="17"/>
  <c r="Q665" i="17"/>
  <c r="AD664" i="17"/>
  <c r="M664" i="17"/>
  <c r="AA663" i="17"/>
  <c r="J663" i="17"/>
  <c r="X662" i="17"/>
  <c r="G662" i="17"/>
  <c r="U661" i="17"/>
  <c r="D661" i="17"/>
  <c r="R660" i="17"/>
  <c r="A660" i="17"/>
  <c r="O659" i="17"/>
  <c r="AC658" i="17"/>
  <c r="M658" i="17"/>
  <c r="AB657" i="17"/>
  <c r="L657" i="17"/>
  <c r="AA656" i="17"/>
  <c r="K656" i="17"/>
  <c r="Z655" i="17"/>
  <c r="J655" i="17"/>
  <c r="Y654" i="17"/>
  <c r="I654" i="17"/>
  <c r="X653" i="17"/>
  <c r="H653" i="17"/>
  <c r="W652" i="17"/>
  <c r="G652" i="17"/>
  <c r="V651" i="17"/>
  <c r="F651" i="17"/>
  <c r="U650" i="17"/>
  <c r="E650" i="17"/>
  <c r="T649" i="17"/>
  <c r="D649" i="17"/>
  <c r="S648" i="17"/>
  <c r="C648" i="17"/>
  <c r="R647" i="17"/>
  <c r="B647" i="17"/>
  <c r="Q646" i="17"/>
  <c r="A646" i="17"/>
  <c r="P645" i="17"/>
  <c r="AE644" i="17"/>
  <c r="O644" i="17"/>
  <c r="AD643" i="17"/>
  <c r="N643" i="17"/>
  <c r="AC642" i="17"/>
  <c r="M642" i="17"/>
  <c r="AB641" i="17"/>
  <c r="L641" i="17"/>
  <c r="AA640" i="17"/>
  <c r="K640" i="17"/>
  <c r="Z639" i="17"/>
  <c r="J639" i="17"/>
  <c r="Y638" i="17"/>
  <c r="I638" i="17"/>
  <c r="X637" i="17"/>
  <c r="H637" i="17"/>
  <c r="W636" i="17"/>
  <c r="G636" i="17"/>
  <c r="AA799" i="17"/>
  <c r="T796" i="17"/>
  <c r="G793" i="17"/>
  <c r="N790" i="17"/>
  <c r="A788" i="17"/>
  <c r="S784" i="17"/>
  <c r="AD781" i="17"/>
  <c r="AE778" i="17"/>
  <c r="A776" i="17"/>
  <c r="Y773" i="17"/>
  <c r="D771" i="17"/>
  <c r="J768" i="17"/>
  <c r="F766" i="17"/>
  <c r="D764" i="17"/>
  <c r="Z761" i="17"/>
  <c r="AD759" i="17"/>
  <c r="Z757" i="17"/>
  <c r="AD755" i="17"/>
  <c r="Q754" i="17"/>
  <c r="AA752" i="17"/>
  <c r="AC750" i="17"/>
  <c r="H749" i="17"/>
  <c r="Z747" i="17"/>
  <c r="A746" i="17"/>
  <c r="Q744" i="17"/>
  <c r="L743" i="17"/>
  <c r="Y741" i="17"/>
  <c r="L740" i="17"/>
  <c r="G739" i="17"/>
  <c r="W737" i="17"/>
  <c r="P736" i="17"/>
  <c r="L735" i="17"/>
  <c r="AD733" i="17"/>
  <c r="AB732" i="17"/>
  <c r="U731" i="17"/>
  <c r="L730" i="17"/>
  <c r="J729" i="17"/>
  <c r="E728" i="17"/>
  <c r="Y726" i="17"/>
  <c r="W725" i="17"/>
  <c r="R724" i="17"/>
  <c r="G723" i="17"/>
  <c r="E722" i="17"/>
  <c r="AE720" i="17"/>
  <c r="W719" i="17"/>
  <c r="Y718" i="17"/>
  <c r="X717" i="17"/>
  <c r="S716" i="17"/>
  <c r="U715" i="17"/>
  <c r="T714" i="17"/>
  <c r="R713" i="17"/>
  <c r="Q712" i="17"/>
  <c r="P711" i="17"/>
  <c r="N710" i="17"/>
  <c r="M709" i="17"/>
  <c r="O708" i="17"/>
  <c r="J707" i="17"/>
  <c r="I706" i="17"/>
  <c r="K705" i="17"/>
  <c r="D704" i="17"/>
  <c r="C703" i="17"/>
  <c r="G702" i="17"/>
  <c r="AE700" i="17"/>
  <c r="AD699" i="17"/>
  <c r="D699" i="17"/>
  <c r="D698" i="17"/>
  <c r="D697" i="17"/>
  <c r="D696" i="17"/>
  <c r="I695" i="17"/>
  <c r="M694" i="17"/>
  <c r="O693" i="17"/>
  <c r="Q692" i="17"/>
  <c r="V691" i="17"/>
  <c r="Z690" i="17"/>
  <c r="AC689" i="17"/>
  <c r="C689" i="17"/>
  <c r="L688" i="17"/>
  <c r="T687" i="17"/>
  <c r="AA686" i="17"/>
  <c r="A686" i="17"/>
  <c r="H685" i="17"/>
  <c r="P684" i="17"/>
  <c r="AB683" i="17"/>
  <c r="I683" i="17"/>
  <c r="S682" i="17"/>
  <c r="AD681" i="17"/>
  <c r="K681" i="17"/>
  <c r="W680" i="17"/>
  <c r="E680" i="17"/>
  <c r="R679" i="17"/>
  <c r="AE678" i="17"/>
  <c r="K678" i="17"/>
  <c r="X677" i="17"/>
  <c r="F677" i="17"/>
  <c r="S676" i="17"/>
  <c r="A676" i="17"/>
  <c r="N675" i="17"/>
  <c r="AA674" i="17"/>
  <c r="G674" i="17"/>
  <c r="T673" i="17"/>
  <c r="B673" i="17"/>
  <c r="O672" i="17"/>
  <c r="AB671" i="17"/>
  <c r="J671" i="17"/>
  <c r="W670" i="17"/>
  <c r="C670" i="17"/>
  <c r="P669" i="17"/>
  <c r="AC668" i="17"/>
  <c r="K668" i="17"/>
  <c r="X667" i="17"/>
  <c r="F667" i="17"/>
  <c r="S666" i="17"/>
  <c r="AD665" i="17"/>
  <c r="M665" i="17"/>
  <c r="AA664" i="17"/>
  <c r="J664" i="17"/>
  <c r="X663" i="17"/>
  <c r="G663" i="17"/>
  <c r="U662" i="17"/>
  <c r="D662" i="17"/>
  <c r="R661" i="17"/>
  <c r="A661" i="17"/>
  <c r="O660" i="17"/>
  <c r="AC659" i="17"/>
  <c r="L659" i="17"/>
  <c r="Z658" i="17"/>
  <c r="J658" i="17"/>
  <c r="Y657" i="17"/>
  <c r="I657" i="17"/>
  <c r="X656" i="17"/>
  <c r="H656" i="17"/>
  <c r="W655" i="17"/>
  <c r="G655" i="17"/>
  <c r="V654" i="17"/>
  <c r="F654" i="17"/>
  <c r="U653" i="17"/>
  <c r="E653" i="17"/>
  <c r="T652" i="17"/>
  <c r="D652" i="17"/>
  <c r="S651" i="17"/>
  <c r="C651" i="17"/>
  <c r="R650" i="17"/>
  <c r="B650" i="17"/>
  <c r="Q649" i="17"/>
  <c r="A649" i="17"/>
  <c r="P648" i="17"/>
  <c r="AE647" i="17"/>
  <c r="O647" i="17"/>
  <c r="AD646" i="17"/>
  <c r="N646" i="17"/>
  <c r="AC645" i="17"/>
  <c r="M645" i="17"/>
  <c r="AB644" i="17"/>
  <c r="L644" i="17"/>
  <c r="AA643" i="17"/>
  <c r="K643" i="17"/>
  <c r="Z642" i="17"/>
  <c r="J642" i="17"/>
  <c r="Y641" i="17"/>
  <c r="I641" i="17"/>
  <c r="X640" i="17"/>
  <c r="H640" i="17"/>
  <c r="W639" i="17"/>
  <c r="G639" i="17"/>
  <c r="V638" i="17"/>
  <c r="F638" i="17"/>
  <c r="U637" i="17"/>
  <c r="E637" i="17"/>
  <c r="T636" i="17"/>
  <c r="D636" i="17"/>
  <c r="D800" i="17"/>
  <c r="N795" i="17"/>
  <c r="AB791" i="17"/>
  <c r="E788" i="17"/>
  <c r="A784" i="17"/>
  <c r="I780" i="17"/>
  <c r="AB776" i="17"/>
  <c r="AD772" i="17"/>
  <c r="X769" i="17"/>
  <c r="R766" i="17"/>
  <c r="J763" i="17"/>
  <c r="A761" i="17"/>
  <c r="I758" i="17"/>
  <c r="Z755" i="17"/>
  <c r="R753" i="17"/>
  <c r="P751" i="17"/>
  <c r="B749" i="17"/>
  <c r="AE746" i="17"/>
  <c r="T744" i="17"/>
  <c r="AB742" i="17"/>
  <c r="I741" i="17"/>
  <c r="I739" i="17"/>
  <c r="T737" i="17"/>
  <c r="AD735" i="17"/>
  <c r="M734" i="17"/>
  <c r="T732" i="17"/>
  <c r="B731" i="17"/>
  <c r="L729" i="17"/>
  <c r="AA727" i="17"/>
  <c r="M726" i="17"/>
  <c r="T724" i="17"/>
  <c r="B723" i="17"/>
  <c r="Q721" i="17"/>
  <c r="B720" i="17"/>
  <c r="V718" i="17"/>
  <c r="G717" i="17"/>
  <c r="W715" i="17"/>
  <c r="J714" i="17"/>
  <c r="E713" i="17"/>
  <c r="U711" i="17"/>
  <c r="E710" i="17"/>
  <c r="AA708" i="17"/>
  <c r="P707" i="17"/>
  <c r="D706" i="17"/>
  <c r="Y704" i="17"/>
  <c r="G703" i="17"/>
  <c r="Y701" i="17"/>
  <c r="T700" i="17"/>
  <c r="F699" i="17"/>
  <c r="AA697" i="17"/>
  <c r="V696" i="17"/>
  <c r="K695" i="17"/>
  <c r="E694" i="17"/>
  <c r="C693" i="17"/>
  <c r="Z691" i="17"/>
  <c r="R690" i="17"/>
  <c r="R689" i="17"/>
  <c r="N688" i="17"/>
  <c r="O687" i="17"/>
  <c r="N686" i="17"/>
  <c r="J685" i="17"/>
  <c r="M684" i="17"/>
  <c r="S683" i="17"/>
  <c r="W682" i="17"/>
  <c r="AA681" i="17"/>
  <c r="D681" i="17"/>
  <c r="G680" i="17"/>
  <c r="O679" i="17"/>
  <c r="V678" i="17"/>
  <c r="Z677" i="17"/>
  <c r="C677" i="17"/>
  <c r="L676" i="17"/>
  <c r="P675" i="17"/>
  <c r="V674" i="17"/>
  <c r="AE673" i="17"/>
  <c r="D673" i="17"/>
  <c r="L672" i="17"/>
  <c r="S671" i="17"/>
  <c r="Y670" i="17"/>
  <c r="AE669" i="17"/>
  <c r="I669" i="17"/>
  <c r="M668" i="17"/>
  <c r="U667" i="17"/>
  <c r="AB666" i="17"/>
  <c r="C666" i="17"/>
  <c r="J665" i="17"/>
  <c r="T664" i="17"/>
  <c r="Z663" i="17"/>
  <c r="D663" i="17"/>
  <c r="N662" i="17"/>
  <c r="T661" i="17"/>
  <c r="AC660" i="17"/>
  <c r="G660" i="17"/>
  <c r="N659" i="17"/>
  <c r="W658" i="17"/>
  <c r="C658" i="17"/>
  <c r="K657" i="17"/>
  <c r="U656" i="17"/>
  <c r="A656" i="17"/>
  <c r="I655" i="17"/>
  <c r="S654" i="17"/>
  <c r="AD653" i="17"/>
  <c r="G653" i="17"/>
  <c r="Q652" i="17"/>
  <c r="AB651" i="17"/>
  <c r="E651" i="17"/>
  <c r="O650" i="17"/>
  <c r="Z649" i="17"/>
  <c r="C649" i="17"/>
  <c r="M648" i="17"/>
  <c r="X647" i="17"/>
  <c r="A647" i="17"/>
  <c r="K646" i="17"/>
  <c r="V645" i="17"/>
  <c r="AD644" i="17"/>
  <c r="I644" i="17"/>
  <c r="T643" i="17"/>
  <c r="AB642" i="17"/>
  <c r="G642" i="17"/>
  <c r="R641" i="17"/>
  <c r="Z640" i="17"/>
  <c r="E640" i="17"/>
  <c r="P639" i="17"/>
  <c r="X638" i="17"/>
  <c r="C638" i="17"/>
  <c r="N637" i="17"/>
  <c r="V636" i="17"/>
  <c r="A636" i="17"/>
  <c r="N635" i="17"/>
  <c r="AC634" i="17"/>
  <c r="M634" i="17"/>
  <c r="AB633" i="17"/>
  <c r="L633" i="17"/>
  <c r="AA632" i="17"/>
  <c r="K632" i="17"/>
  <c r="Z631" i="17"/>
  <c r="J631" i="17"/>
  <c r="Y630" i="17"/>
  <c r="I630" i="17"/>
  <c r="X629" i="17"/>
  <c r="H629" i="17"/>
  <c r="W628" i="17"/>
  <c r="G628" i="17"/>
  <c r="V627" i="17"/>
  <c r="F627" i="17"/>
  <c r="U626" i="17"/>
  <c r="E626" i="17"/>
  <c r="T625" i="17"/>
  <c r="D625" i="17"/>
  <c r="S624" i="17"/>
  <c r="C624" i="17"/>
  <c r="R623" i="17"/>
  <c r="B623" i="17"/>
  <c r="C800" i="17"/>
  <c r="L795" i="17"/>
  <c r="AA791" i="17"/>
  <c r="B788" i="17"/>
  <c r="AB783" i="17"/>
  <c r="H780" i="17"/>
  <c r="B776" i="17"/>
  <c r="AC772" i="17"/>
  <c r="U769" i="17"/>
  <c r="H766" i="17"/>
  <c r="H763" i="17"/>
  <c r="AE760" i="17"/>
  <c r="AB757" i="17"/>
  <c r="X755" i="17"/>
  <c r="Q753" i="17"/>
  <c r="A751" i="17"/>
  <c r="A749" i="17"/>
  <c r="AD746" i="17"/>
  <c r="R744" i="17"/>
  <c r="AA742" i="17"/>
  <c r="G741" i="17"/>
  <c r="H739" i="17"/>
  <c r="S737" i="17"/>
  <c r="AC735" i="17"/>
  <c r="AE733" i="17"/>
  <c r="S732" i="17"/>
  <c r="A731" i="17"/>
  <c r="K729" i="17"/>
  <c r="T727" i="17"/>
  <c r="L726" i="17"/>
  <c r="S724" i="17"/>
  <c r="A723" i="17"/>
  <c r="P721" i="17"/>
  <c r="X719" i="17"/>
  <c r="U718" i="17"/>
  <c r="F717" i="17"/>
  <c r="V715" i="17"/>
  <c r="I714" i="17"/>
  <c r="D713" i="17"/>
  <c r="T711" i="17"/>
  <c r="D710" i="17"/>
  <c r="X708" i="17"/>
  <c r="K707" i="17"/>
  <c r="B706" i="17"/>
  <c r="X704" i="17"/>
  <c r="F703" i="17"/>
  <c r="X701" i="17"/>
  <c r="S700" i="17"/>
  <c r="E699" i="17"/>
  <c r="Y697" i="17"/>
  <c r="U696" i="17"/>
  <c r="J695" i="17"/>
  <c r="D694" i="17"/>
  <c r="B693" i="17"/>
  <c r="W691" i="17"/>
  <c r="Q690" i="17"/>
  <c r="Q689" i="17"/>
  <c r="M688" i="17"/>
  <c r="K687" i="17"/>
  <c r="M686" i="17"/>
  <c r="I685" i="17"/>
  <c r="L684" i="17"/>
  <c r="R683" i="17"/>
  <c r="V682" i="17"/>
  <c r="Z681" i="17"/>
  <c r="C681" i="17"/>
  <c r="F680" i="17"/>
  <c r="L679" i="17"/>
  <c r="U678" i="17"/>
  <c r="Y677" i="17"/>
  <c r="B677" i="17"/>
  <c r="I676" i="17"/>
  <c r="O675" i="17"/>
  <c r="U674" i="17"/>
  <c r="AD673" i="17"/>
  <c r="C673" i="17"/>
  <c r="K672" i="17"/>
  <c r="R671" i="17"/>
  <c r="X670" i="17"/>
  <c r="AD669" i="17"/>
  <c r="H669" i="17"/>
  <c r="L668" i="17"/>
  <c r="T667" i="17"/>
  <c r="AA666" i="17"/>
  <c r="B666" i="17"/>
  <c r="I665" i="17"/>
  <c r="S664" i="17"/>
  <c r="Y663" i="17"/>
  <c r="C663" i="17"/>
  <c r="L662" i="17"/>
  <c r="S661" i="17"/>
  <c r="AB660" i="17"/>
  <c r="F660" i="17"/>
  <c r="M659" i="17"/>
  <c r="V658" i="17"/>
  <c r="B658" i="17"/>
  <c r="J657" i="17"/>
  <c r="T656" i="17"/>
  <c r="AE655" i="17"/>
  <c r="H655" i="17"/>
  <c r="R654" i="17"/>
  <c r="AC653" i="17"/>
  <c r="F653" i="17"/>
  <c r="P652" i="17"/>
  <c r="AA651" i="17"/>
  <c r="D651" i="17"/>
  <c r="N650" i="17"/>
  <c r="Y649" i="17"/>
  <c r="B649" i="17"/>
  <c r="L648" i="17"/>
  <c r="W647" i="17"/>
  <c r="AE646" i="17"/>
  <c r="J646" i="17"/>
  <c r="U645" i="17"/>
  <c r="AC644" i="17"/>
  <c r="H644" i="17"/>
  <c r="S643" i="17"/>
  <c r="AA642" i="17"/>
  <c r="F642" i="17"/>
  <c r="Q641" i="17"/>
  <c r="Y640" i="17"/>
  <c r="D640" i="17"/>
  <c r="O639" i="17"/>
  <c r="W638" i="17"/>
  <c r="B638" i="17"/>
  <c r="M637" i="17"/>
  <c r="U636" i="17"/>
  <c r="AE635" i="17"/>
  <c r="M635" i="17"/>
  <c r="AB634" i="17"/>
  <c r="L634" i="17"/>
  <c r="AA633" i="17"/>
  <c r="K633" i="17"/>
  <c r="Z632" i="17"/>
  <c r="J632" i="17"/>
  <c r="Y631" i="17"/>
  <c r="I631" i="17"/>
  <c r="X630" i="17"/>
  <c r="H630" i="17"/>
  <c r="W629" i="17"/>
  <c r="G629" i="17"/>
  <c r="V628" i="17"/>
  <c r="F628" i="17"/>
  <c r="U627" i="17"/>
  <c r="E627" i="17"/>
  <c r="T626" i="17"/>
  <c r="D626" i="17"/>
  <c r="S625" i="17"/>
  <c r="C625" i="17"/>
  <c r="R624" i="17"/>
  <c r="B624" i="17"/>
  <c r="Q623" i="17"/>
  <c r="A623" i="17"/>
  <c r="P622" i="17"/>
  <c r="AE621" i="17"/>
  <c r="O621" i="17"/>
  <c r="AD620" i="17"/>
  <c r="N620" i="17"/>
  <c r="AC619" i="17"/>
  <c r="M619" i="17"/>
  <c r="AB618" i="17"/>
  <c r="L618" i="17"/>
  <c r="AA617" i="17"/>
  <c r="K617" i="17"/>
  <c r="Z616" i="17"/>
  <c r="J616" i="17"/>
  <c r="Y615" i="17"/>
  <c r="I615" i="17"/>
  <c r="X614" i="17"/>
  <c r="H614" i="17"/>
  <c r="W613" i="17"/>
  <c r="Y799" i="17"/>
  <c r="I795" i="17"/>
  <c r="Z791" i="17"/>
  <c r="T787" i="17"/>
  <c r="AA783" i="17"/>
  <c r="E780" i="17"/>
  <c r="AE775" i="17"/>
  <c r="AA772" i="17"/>
  <c r="T769" i="17"/>
  <c r="A766" i="17"/>
  <c r="G763" i="17"/>
  <c r="AB760" i="17"/>
  <c r="Y757" i="17"/>
  <c r="W755" i="17"/>
  <c r="P753" i="17"/>
  <c r="AB750" i="17"/>
  <c r="AE748" i="17"/>
  <c r="Y746" i="17"/>
  <c r="P744" i="17"/>
  <c r="T742" i="17"/>
  <c r="E741" i="17"/>
  <c r="E739" i="17"/>
  <c r="R737" i="17"/>
  <c r="V735" i="17"/>
  <c r="AC733" i="17"/>
  <c r="R732" i="17"/>
  <c r="AE730" i="17"/>
  <c r="I729" i="17"/>
  <c r="Q727" i="17"/>
  <c r="K726" i="17"/>
  <c r="Q724" i="17"/>
  <c r="AE722" i="17"/>
  <c r="O721" i="17"/>
  <c r="V719" i="17"/>
  <c r="N718" i="17"/>
  <c r="E717" i="17"/>
  <c r="T715" i="17"/>
  <c r="H714" i="17"/>
  <c r="C713" i="17"/>
  <c r="O711" i="17"/>
  <c r="C710" i="17"/>
  <c r="W708" i="17"/>
  <c r="G707" i="17"/>
  <c r="A706" i="17"/>
  <c r="W704" i="17"/>
  <c r="B703" i="17"/>
  <c r="W701" i="17"/>
  <c r="P700" i="17"/>
  <c r="C699" i="17"/>
  <c r="X697" i="17"/>
  <c r="T696" i="17"/>
  <c r="H695" i="17"/>
  <c r="C694" i="17"/>
  <c r="A693" i="17"/>
  <c r="U691" i="17"/>
  <c r="P690" i="17"/>
  <c r="P689" i="17"/>
  <c r="K688" i="17"/>
  <c r="J687" i="17"/>
  <c r="L686" i="17"/>
  <c r="G685" i="17"/>
  <c r="K684" i="17"/>
  <c r="P683" i="17"/>
  <c r="R682" i="17"/>
  <c r="Y681" i="17"/>
  <c r="B681" i="17"/>
  <c r="D680" i="17"/>
  <c r="K679" i="17"/>
  <c r="T678" i="17"/>
  <c r="W677" i="17"/>
  <c r="A677" i="17"/>
  <c r="H676" i="17"/>
  <c r="M675" i="17"/>
  <c r="T674" i="17"/>
  <c r="AC673" i="17"/>
  <c r="A673" i="17"/>
  <c r="J672" i="17"/>
  <c r="Q671" i="17"/>
  <c r="V670" i="17"/>
  <c r="AC669" i="17"/>
  <c r="G669" i="17"/>
  <c r="J668" i="17"/>
  <c r="S667" i="17"/>
  <c r="Z666" i="17"/>
  <c r="AC665" i="17"/>
  <c r="H665" i="17"/>
  <c r="R664" i="17"/>
  <c r="W663" i="17"/>
  <c r="B663" i="17"/>
  <c r="K662" i="17"/>
  <c r="Q661" i="17"/>
  <c r="Z660" i="17"/>
  <c r="E660" i="17"/>
  <c r="K659" i="17"/>
  <c r="U658" i="17"/>
  <c r="A658" i="17"/>
  <c r="H657" i="17"/>
  <c r="S656" i="17"/>
  <c r="AD655" i="17"/>
  <c r="F655" i="17"/>
  <c r="Q654" i="17"/>
  <c r="AB653" i="17"/>
  <c r="D653" i="17"/>
  <c r="O652" i="17"/>
  <c r="Z651" i="17"/>
  <c r="B651" i="17"/>
  <c r="M650" i="17"/>
  <c r="X649" i="17"/>
  <c r="AE648" i="17"/>
  <c r="K648" i="17"/>
  <c r="V647" i="17"/>
  <c r="AC646" i="17"/>
  <c r="I646" i="17"/>
  <c r="T645" i="17"/>
  <c r="AA644" i="17"/>
  <c r="G644" i="17"/>
  <c r="R643" i="17"/>
  <c r="Y642" i="17"/>
  <c r="E642" i="17"/>
  <c r="P641" i="17"/>
  <c r="W640" i="17"/>
  <c r="C640" i="17"/>
  <c r="N639" i="17"/>
  <c r="U638" i="17"/>
  <c r="A638" i="17"/>
  <c r="L637" i="17"/>
  <c r="S636" i="17"/>
  <c r="AD635" i="17"/>
  <c r="L635" i="17"/>
  <c r="AA634" i="17"/>
  <c r="K634" i="17"/>
  <c r="Z633" i="17"/>
  <c r="J633" i="17"/>
  <c r="Y632" i="17"/>
  <c r="I632" i="17"/>
  <c r="X631" i="17"/>
  <c r="H631" i="17"/>
  <c r="W630" i="17"/>
  <c r="G630" i="17"/>
  <c r="V629" i="17"/>
  <c r="F629" i="17"/>
  <c r="U628" i="17"/>
  <c r="E628" i="17"/>
  <c r="T627" i="17"/>
  <c r="D627" i="17"/>
  <c r="S626" i="17"/>
  <c r="C626" i="17"/>
  <c r="R625" i="17"/>
  <c r="B625" i="17"/>
  <c r="Q624" i="17"/>
  <c r="A624" i="17"/>
  <c r="P623" i="17"/>
  <c r="AE622" i="17"/>
  <c r="O622" i="17"/>
  <c r="AD621" i="17"/>
  <c r="N621" i="17"/>
  <c r="AC620" i="17"/>
  <c r="M620" i="17"/>
  <c r="AB619" i="17"/>
  <c r="L619" i="17"/>
  <c r="AA618" i="17"/>
  <c r="K618" i="17"/>
  <c r="Z617" i="17"/>
  <c r="J617" i="17"/>
  <c r="Y616" i="17"/>
  <c r="I616" i="17"/>
  <c r="X615" i="17"/>
  <c r="H615" i="17"/>
  <c r="W614" i="17"/>
  <c r="G614" i="17"/>
  <c r="AE798" i="17"/>
  <c r="D795" i="17"/>
  <c r="O790" i="17"/>
  <c r="S786" i="17"/>
  <c r="I783" i="17"/>
  <c r="B779" i="17"/>
  <c r="Q775" i="17"/>
  <c r="H772" i="17"/>
  <c r="L768" i="17"/>
  <c r="AA765" i="17"/>
  <c r="C763" i="17"/>
  <c r="AE759" i="17"/>
  <c r="L757" i="17"/>
  <c r="O755" i="17"/>
  <c r="AB752" i="17"/>
  <c r="W750" i="17"/>
  <c r="J748" i="17"/>
  <c r="B746" i="17"/>
  <c r="J744" i="17"/>
  <c r="P742" i="17"/>
  <c r="M740" i="17"/>
  <c r="U738" i="17"/>
  <c r="F737" i="17"/>
  <c r="N735" i="17"/>
  <c r="Z733" i="17"/>
  <c r="F732" i="17"/>
  <c r="M730" i="17"/>
  <c r="A729" i="17"/>
  <c r="N727" i="17"/>
  <c r="X725" i="17"/>
  <c r="F724" i="17"/>
  <c r="Y722" i="17"/>
  <c r="A721" i="17"/>
  <c r="Q719" i="17"/>
  <c r="G718" i="17"/>
  <c r="W716" i="17"/>
  <c r="O715" i="17"/>
  <c r="B714" i="17"/>
  <c r="R712" i="17"/>
  <c r="E711" i="17"/>
  <c r="AE709" i="17"/>
  <c r="P708" i="17"/>
  <c r="AE706" i="17"/>
  <c r="T705" i="17"/>
  <c r="G704" i="17"/>
  <c r="AC702" i="17"/>
  <c r="T701" i="17"/>
  <c r="AE699" i="17"/>
  <c r="V698" i="17"/>
  <c r="U697" i="17"/>
  <c r="E696" i="17"/>
  <c r="B695" i="17"/>
  <c r="AB693" i="17"/>
  <c r="R692" i="17"/>
  <c r="O691" i="17"/>
  <c r="K690" i="17"/>
  <c r="D689" i="17"/>
  <c r="H688" i="17"/>
  <c r="G687" i="17"/>
  <c r="B686" i="17"/>
  <c r="D685" i="17"/>
  <c r="F684" i="17"/>
  <c r="J683" i="17"/>
  <c r="N682" i="17"/>
  <c r="V681" i="17"/>
  <c r="X680" i="17"/>
  <c r="A680" i="17"/>
  <c r="H679" i="17"/>
  <c r="N678" i="17"/>
  <c r="T677" i="17"/>
  <c r="AC676" i="17"/>
  <c r="B676" i="17"/>
  <c r="H675" i="17"/>
  <c r="Q674" i="17"/>
  <c r="U673" i="17"/>
  <c r="AC672" i="17"/>
  <c r="E672" i="17"/>
  <c r="K671" i="17"/>
  <c r="Q670" i="17"/>
  <c r="Z669" i="17"/>
  <c r="AD668" i="17"/>
  <c r="G668" i="17"/>
  <c r="N667" i="17"/>
  <c r="T666" i="17"/>
  <c r="Z665" i="17"/>
  <c r="E665" i="17"/>
  <c r="K664" i="17"/>
  <c r="T663" i="17"/>
  <c r="AD662" i="17"/>
  <c r="E662" i="17"/>
  <c r="N661" i="17"/>
  <c r="W660" i="17"/>
  <c r="AD659" i="17"/>
  <c r="G659" i="17"/>
  <c r="R658" i="17"/>
  <c r="Z657" i="17"/>
  <c r="E657" i="17"/>
  <c r="P656" i="17"/>
  <c r="X655" i="17"/>
  <c r="C655" i="17"/>
  <c r="N654" i="17"/>
  <c r="V653" i="17"/>
  <c r="A653" i="17"/>
  <c r="L652" i="17"/>
  <c r="T651" i="17"/>
  <c r="AD650" i="17"/>
  <c r="J650" i="17"/>
  <c r="R649" i="17"/>
  <c r="AB648" i="17"/>
  <c r="H648" i="17"/>
  <c r="P647" i="17"/>
  <c r="Z646" i="17"/>
  <c r="F646" i="17"/>
  <c r="N645" i="17"/>
  <c r="X644" i="17"/>
  <c r="D644" i="17"/>
  <c r="L643" i="17"/>
  <c r="V642" i="17"/>
  <c r="B642" i="17"/>
  <c r="J641" i="17"/>
  <c r="T640" i="17"/>
  <c r="AE639" i="17"/>
  <c r="H639" i="17"/>
  <c r="R638" i="17"/>
  <c r="AC637" i="17"/>
  <c r="F637" i="17"/>
  <c r="P636" i="17"/>
  <c r="AA635" i="17"/>
  <c r="I635" i="17"/>
  <c r="X634" i="17"/>
  <c r="H634" i="17"/>
  <c r="W633" i="17"/>
  <c r="G633" i="17"/>
  <c r="V632" i="17"/>
  <c r="F632" i="17"/>
  <c r="U631" i="17"/>
  <c r="E631" i="17"/>
  <c r="T630" i="17"/>
  <c r="D630" i="17"/>
  <c r="S629" i="17"/>
  <c r="C629" i="17"/>
  <c r="R628" i="17"/>
  <c r="B628" i="17"/>
  <c r="Q627" i="17"/>
  <c r="A627" i="17"/>
  <c r="P626" i="17"/>
  <c r="AE625" i="17"/>
  <c r="O625" i="17"/>
  <c r="AD624" i="17"/>
  <c r="N624" i="17"/>
  <c r="AC623" i="17"/>
  <c r="M623" i="17"/>
  <c r="AB622" i="17"/>
  <c r="R799" i="17"/>
  <c r="M794" i="17"/>
  <c r="AA788" i="17"/>
  <c r="Y783" i="17"/>
  <c r="R778" i="17"/>
  <c r="AB773" i="17"/>
  <c r="K769" i="17"/>
  <c r="AC764" i="17"/>
  <c r="L761" i="17"/>
  <c r="V757" i="17"/>
  <c r="S754" i="17"/>
  <c r="A752" i="17"/>
  <c r="AD748" i="17"/>
  <c r="AA745" i="17"/>
  <c r="P743" i="17"/>
  <c r="A741" i="17"/>
  <c r="Q738" i="17"/>
  <c r="M736" i="17"/>
  <c r="AB733" i="17"/>
  <c r="Z731" i="17"/>
  <c r="A730" i="17"/>
  <c r="P727" i="17"/>
  <c r="O725" i="17"/>
  <c r="S723" i="17"/>
  <c r="N721" i="17"/>
  <c r="M719" i="17"/>
  <c r="O717" i="17"/>
  <c r="S715" i="17"/>
  <c r="X713" i="17"/>
  <c r="AE711" i="17"/>
  <c r="B710" i="17"/>
  <c r="B708" i="17"/>
  <c r="K706" i="17"/>
  <c r="T704" i="17"/>
  <c r="Q702" i="17"/>
  <c r="AA700" i="17"/>
  <c r="B699" i="17"/>
  <c r="F697" i="17"/>
  <c r="Z695" i="17"/>
  <c r="B694" i="17"/>
  <c r="N692" i="17"/>
  <c r="AB690" i="17"/>
  <c r="O689" i="17"/>
  <c r="AD687" i="17"/>
  <c r="U686" i="17"/>
  <c r="F685" i="17"/>
  <c r="AD683" i="17"/>
  <c r="AD682" i="17"/>
  <c r="X681" i="17"/>
  <c r="T680" i="17"/>
  <c r="T679" i="17"/>
  <c r="S678" i="17"/>
  <c r="Q677" i="17"/>
  <c r="P676" i="17"/>
  <c r="L675" i="17"/>
  <c r="K674" i="17"/>
  <c r="M673" i="17"/>
  <c r="I672" i="17"/>
  <c r="G671" i="17"/>
  <c r="G670" i="17"/>
  <c r="F669" i="17"/>
  <c r="D668" i="17"/>
  <c r="C667" i="17"/>
  <c r="AB665" i="17"/>
  <c r="AC664" i="17"/>
  <c r="C664" i="17"/>
  <c r="A663" i="17"/>
  <c r="A662" i="17"/>
  <c r="C661" i="17"/>
  <c r="D660" i="17"/>
  <c r="D659" i="17"/>
  <c r="G658" i="17"/>
  <c r="G657" i="17"/>
  <c r="J656" i="17"/>
  <c r="P655" i="17"/>
  <c r="P654" i="17"/>
  <c r="R653" i="17"/>
  <c r="V652" i="17"/>
  <c r="Y651" i="17"/>
  <c r="AA650" i="17"/>
  <c r="AD649" i="17"/>
  <c r="AD648" i="17"/>
  <c r="B648" i="17"/>
  <c r="H647" i="17"/>
  <c r="H646" i="17"/>
  <c r="J645" i="17"/>
  <c r="N644" i="17"/>
  <c r="Q643" i="17"/>
  <c r="S642" i="17"/>
  <c r="V641" i="17"/>
  <c r="V640" i="17"/>
  <c r="Y639" i="17"/>
  <c r="AE638" i="17"/>
  <c r="AE637" i="17"/>
  <c r="B637" i="17"/>
  <c r="F636" i="17"/>
  <c r="K635" i="17"/>
  <c r="U634" i="17"/>
  <c r="A634" i="17"/>
  <c r="I633" i="17"/>
  <c r="S632" i="17"/>
  <c r="AD631" i="17"/>
  <c r="G631" i="17"/>
  <c r="Q630" i="17"/>
  <c r="AB629" i="17"/>
  <c r="E629" i="17"/>
  <c r="O628" i="17"/>
  <c r="Z627" i="17"/>
  <c r="C627" i="17"/>
  <c r="M626" i="17"/>
  <c r="X625" i="17"/>
  <c r="A625" i="17"/>
  <c r="K624" i="17"/>
  <c r="V623" i="17"/>
  <c r="AD622" i="17"/>
  <c r="K622" i="17"/>
  <c r="X621" i="17"/>
  <c r="F621" i="17"/>
  <c r="S620" i="17"/>
  <c r="A620" i="17"/>
  <c r="N619" i="17"/>
  <c r="Y618" i="17"/>
  <c r="G618" i="17"/>
  <c r="T617" i="17"/>
  <c r="B617" i="17"/>
  <c r="O616" i="17"/>
  <c r="AB615" i="17"/>
  <c r="J615" i="17"/>
  <c r="U614" i="17"/>
  <c r="C614" i="17"/>
  <c r="Q613" i="17"/>
  <c r="A613" i="17"/>
  <c r="P612" i="17"/>
  <c r="AE611" i="17"/>
  <c r="O611" i="17"/>
  <c r="AD610" i="17"/>
  <c r="N610" i="17"/>
  <c r="AC609" i="17"/>
  <c r="M609" i="17"/>
  <c r="AB608" i="17"/>
  <c r="L608" i="17"/>
  <c r="AA607" i="17"/>
  <c r="K607" i="17"/>
  <c r="Z606" i="17"/>
  <c r="J606" i="17"/>
  <c r="Y605" i="17"/>
  <c r="I605" i="17"/>
  <c r="X604" i="17"/>
  <c r="H604" i="17"/>
  <c r="W603" i="17"/>
  <c r="G603" i="17"/>
  <c r="V602" i="17"/>
  <c r="F602" i="17"/>
  <c r="U601" i="17"/>
  <c r="E601" i="17"/>
  <c r="T600" i="17"/>
  <c r="D600" i="17"/>
  <c r="S599" i="17"/>
  <c r="C599" i="17"/>
  <c r="R598" i="17"/>
  <c r="B598" i="17"/>
  <c r="Q597" i="17"/>
  <c r="A597" i="17"/>
  <c r="P596" i="17"/>
  <c r="AE595" i="17"/>
  <c r="O595" i="17"/>
  <c r="AD594" i="17"/>
  <c r="N594" i="17"/>
  <c r="AC593" i="17"/>
  <c r="M593" i="17"/>
  <c r="AB592" i="17"/>
  <c r="L592" i="17"/>
  <c r="AA591" i="17"/>
  <c r="K591" i="17"/>
  <c r="Z590" i="17"/>
  <c r="J590" i="17"/>
  <c r="Y589" i="17"/>
  <c r="I589" i="17"/>
  <c r="X588" i="17"/>
  <c r="H588" i="17"/>
  <c r="W587" i="17"/>
  <c r="G587" i="17"/>
  <c r="V586" i="17"/>
  <c r="F586" i="17"/>
  <c r="U585" i="17"/>
  <c r="E585" i="17"/>
  <c r="T584" i="17"/>
  <c r="D584" i="17"/>
  <c r="S583" i="17"/>
  <c r="C583" i="17"/>
  <c r="R582" i="17"/>
  <c r="B582" i="17"/>
  <c r="Q581" i="17"/>
  <c r="A581" i="17"/>
  <c r="P580" i="17"/>
  <c r="AE579" i="17"/>
  <c r="O579" i="17"/>
  <c r="AD578" i="17"/>
  <c r="N578" i="17"/>
  <c r="AC577" i="17"/>
  <c r="M577" i="17"/>
  <c r="AB576" i="17"/>
  <c r="L576" i="17"/>
  <c r="AA575" i="17"/>
  <c r="K575" i="17"/>
  <c r="Z574" i="17"/>
  <c r="J574" i="17"/>
  <c r="Y573" i="17"/>
  <c r="I573" i="17"/>
  <c r="X572" i="17"/>
  <c r="H572" i="17"/>
  <c r="W571" i="17"/>
  <c r="G571" i="17"/>
  <c r="V570" i="17"/>
  <c r="F570" i="17"/>
  <c r="U569" i="17"/>
  <c r="E569" i="17"/>
  <c r="T568" i="17"/>
  <c r="D568" i="17"/>
  <c r="S567" i="17"/>
  <c r="C567" i="17"/>
  <c r="R566" i="17"/>
  <c r="B566" i="17"/>
  <c r="Q565" i="17"/>
  <c r="A565" i="17"/>
  <c r="P564" i="17"/>
  <c r="AE563" i="17"/>
  <c r="O563" i="17"/>
  <c r="AD562" i="17"/>
  <c r="N562" i="17"/>
  <c r="AC561" i="17"/>
  <c r="M561" i="17"/>
  <c r="AB560" i="17"/>
  <c r="L560" i="17"/>
  <c r="AA559" i="17"/>
  <c r="K559" i="17"/>
  <c r="Z558" i="17"/>
  <c r="J558" i="17"/>
  <c r="Y557" i="17"/>
  <c r="I557" i="17"/>
  <c r="X556" i="17"/>
  <c r="H556" i="17"/>
  <c r="W555" i="17"/>
  <c r="G555" i="17"/>
  <c r="V554" i="17"/>
  <c r="F554" i="17"/>
  <c r="U553" i="17"/>
  <c r="E553" i="17"/>
  <c r="T552" i="17"/>
  <c r="D552" i="17"/>
  <c r="S551" i="17"/>
  <c r="C551" i="17"/>
  <c r="R550" i="17"/>
  <c r="B550" i="17"/>
  <c r="Q549" i="17"/>
  <c r="A549" i="17"/>
  <c r="P548" i="17"/>
  <c r="AE547" i="17"/>
  <c r="O547" i="17"/>
  <c r="AD546" i="17"/>
  <c r="N546" i="17"/>
  <c r="AC545" i="17"/>
  <c r="M545" i="17"/>
  <c r="AB544" i="17"/>
  <c r="L544" i="17"/>
  <c r="AA543" i="17"/>
  <c r="K543" i="17"/>
  <c r="Z542" i="17"/>
  <c r="J542" i="17"/>
  <c r="Y541" i="17"/>
  <c r="I541" i="17"/>
  <c r="X540" i="17"/>
  <c r="H540" i="17"/>
  <c r="W539" i="17"/>
  <c r="G539" i="17"/>
  <c r="V538" i="17"/>
  <c r="F538" i="17"/>
  <c r="U537" i="17"/>
  <c r="E537" i="17"/>
  <c r="T536" i="17"/>
  <c r="D536" i="17"/>
  <c r="S535" i="17"/>
  <c r="C535" i="17"/>
  <c r="R534" i="17"/>
  <c r="B534" i="17"/>
  <c r="Q533" i="17"/>
  <c r="A533" i="17"/>
  <c r="P532" i="17"/>
  <c r="AE531" i="17"/>
  <c r="O531" i="17"/>
  <c r="AD530" i="17"/>
  <c r="N530" i="17"/>
  <c r="AC529" i="17"/>
  <c r="M529" i="17"/>
  <c r="AB528" i="17"/>
  <c r="L528" i="17"/>
  <c r="AA527" i="17"/>
  <c r="K527" i="17"/>
  <c r="Z526" i="17"/>
  <c r="J526" i="17"/>
  <c r="Y525" i="17"/>
  <c r="I525" i="17"/>
  <c r="X524" i="17"/>
  <c r="H524" i="17"/>
  <c r="W523" i="17"/>
  <c r="G523" i="17"/>
  <c r="V522" i="17"/>
  <c r="F522" i="17"/>
  <c r="U521" i="17"/>
  <c r="E521" i="17"/>
  <c r="T520" i="17"/>
  <c r="D520" i="17"/>
  <c r="S519" i="17"/>
  <c r="C519" i="17"/>
  <c r="R518" i="17"/>
  <c r="B518" i="17"/>
  <c r="Q517" i="17"/>
  <c r="A517" i="17"/>
  <c r="P516" i="17"/>
  <c r="AE515" i="17"/>
  <c r="O515" i="17"/>
  <c r="AD514" i="17"/>
  <c r="N514" i="17"/>
  <c r="AC513" i="17"/>
  <c r="M513" i="17"/>
  <c r="AB512" i="17"/>
  <c r="L512" i="17"/>
  <c r="AA511" i="17"/>
  <c r="K511" i="17"/>
  <c r="Z510" i="17"/>
  <c r="J510" i="17"/>
  <c r="Y509" i="17"/>
  <c r="I509" i="17"/>
  <c r="X508" i="17"/>
  <c r="H508" i="17"/>
  <c r="W507" i="17"/>
  <c r="G507" i="17"/>
  <c r="V506" i="17"/>
  <c r="F506" i="17"/>
  <c r="U505" i="17"/>
  <c r="E505" i="17"/>
  <c r="B799" i="17"/>
  <c r="Q793" i="17"/>
  <c r="P788" i="17"/>
  <c r="X783" i="17"/>
  <c r="C778" i="17"/>
  <c r="Z773" i="17"/>
  <c r="F769" i="17"/>
  <c r="AB764" i="17"/>
  <c r="F761" i="17"/>
  <c r="M757" i="17"/>
  <c r="R754" i="17"/>
  <c r="AE751" i="17"/>
  <c r="L748" i="17"/>
  <c r="Z745" i="17"/>
  <c r="M743" i="17"/>
  <c r="V740" i="17"/>
  <c r="P738" i="17"/>
  <c r="I736" i="17"/>
  <c r="AA733" i="17"/>
  <c r="X731" i="17"/>
  <c r="AD729" i="17"/>
  <c r="O727" i="17"/>
  <c r="L725" i="17"/>
  <c r="H723" i="17"/>
  <c r="B721" i="17"/>
  <c r="L719" i="17"/>
  <c r="M717" i="17"/>
  <c r="R715" i="17"/>
  <c r="S713" i="17"/>
  <c r="AD711" i="17"/>
  <c r="A710" i="17"/>
  <c r="A708" i="17"/>
  <c r="J706" i="17"/>
  <c r="L704" i="17"/>
  <c r="P702" i="17"/>
  <c r="Z700" i="17"/>
  <c r="AD698" i="17"/>
  <c r="E697" i="17"/>
  <c r="S695" i="17"/>
  <c r="A694" i="17"/>
  <c r="M692" i="17"/>
  <c r="AA690" i="17"/>
  <c r="E689" i="17"/>
  <c r="AC687" i="17"/>
  <c r="S686" i="17"/>
  <c r="E685" i="17"/>
  <c r="AC683" i="17"/>
  <c r="AA798" i="17"/>
  <c r="F793" i="17"/>
  <c r="M788" i="17"/>
  <c r="H783" i="17"/>
  <c r="B778" i="17"/>
  <c r="X773" i="17"/>
  <c r="H768" i="17"/>
  <c r="Y764" i="17"/>
  <c r="E761" i="17"/>
  <c r="J757" i="17"/>
  <c r="P754" i="17"/>
  <c r="Z751" i="17"/>
  <c r="I748" i="17"/>
  <c r="V745" i="17"/>
  <c r="G743" i="17"/>
  <c r="K740" i="17"/>
  <c r="O738" i="17"/>
  <c r="H736" i="17"/>
  <c r="W733" i="17"/>
  <c r="T731" i="17"/>
  <c r="Z729" i="17"/>
  <c r="M727" i="17"/>
  <c r="K725" i="17"/>
  <c r="F723" i="17"/>
  <c r="AD720" i="17"/>
  <c r="K719" i="17"/>
  <c r="L717" i="17"/>
  <c r="N715" i="17"/>
  <c r="L713" i="17"/>
  <c r="AA711" i="17"/>
  <c r="AD709" i="17"/>
  <c r="AE707" i="17"/>
  <c r="F706" i="17"/>
  <c r="C704" i="17"/>
  <c r="N702" i="17"/>
  <c r="V700" i="17"/>
  <c r="U698" i="17"/>
  <c r="C697" i="17"/>
  <c r="R695" i="17"/>
  <c r="Y693" i="17"/>
  <c r="L692" i="17"/>
  <c r="Y690" i="17"/>
  <c r="B689" i="17"/>
  <c r="AB687" i="17"/>
  <c r="R686" i="17"/>
  <c r="B685" i="17"/>
  <c r="AA683" i="17"/>
  <c r="AB682" i="17"/>
  <c r="U681" i="17"/>
  <c r="R680" i="17"/>
  <c r="Q679" i="17"/>
  <c r="J678" i="17"/>
  <c r="O677" i="17"/>
  <c r="N676" i="17"/>
  <c r="G675" i="17"/>
  <c r="F674" i="17"/>
  <c r="K673" i="17"/>
  <c r="D672" i="17"/>
  <c r="C671" i="17"/>
  <c r="B670" i="17"/>
  <c r="AB668" i="17"/>
  <c r="AE667" i="17"/>
  <c r="AD666" i="17"/>
  <c r="Y665" i="17"/>
  <c r="Z664" i="17"/>
  <c r="A664" i="17"/>
  <c r="AB662" i="17"/>
  <c r="AD661" i="17"/>
  <c r="AE660" i="17"/>
  <c r="AB659" i="17"/>
  <c r="B659" i="17"/>
  <c r="E658" i="17"/>
  <c r="D657" i="17"/>
  <c r="G656" i="17"/>
  <c r="N655" i="17"/>
  <c r="M654" i="17"/>
  <c r="P653" i="17"/>
  <c r="S652" i="17"/>
  <c r="R651" i="17"/>
  <c r="Y650" i="17"/>
  <c r="AB649" i="17"/>
  <c r="AA648" i="17"/>
  <c r="AD647" i="17"/>
  <c r="F647" i="17"/>
  <c r="E646" i="17"/>
  <c r="H645" i="17"/>
  <c r="K644" i="17"/>
  <c r="J643" i="17"/>
  <c r="Q642" i="17"/>
  <c r="T641" i="17"/>
  <c r="S640" i="17"/>
  <c r="V639" i="17"/>
  <c r="AC638" i="17"/>
  <c r="AB637" i="17"/>
  <c r="AE636" i="17"/>
  <c r="C636" i="17"/>
  <c r="H635" i="17"/>
  <c r="S634" i="17"/>
  <c r="AD633" i="17"/>
  <c r="F633" i="17"/>
  <c r="Q632" i="17"/>
  <c r="AB631" i="17"/>
  <c r="D631" i="17"/>
  <c r="O630" i="17"/>
  <c r="Z629" i="17"/>
  <c r="B629" i="17"/>
  <c r="M628" i="17"/>
  <c r="X627" i="17"/>
  <c r="AE626" i="17"/>
  <c r="K626" i="17"/>
  <c r="V625" i="17"/>
  <c r="AC624" i="17"/>
  <c r="I624" i="17"/>
  <c r="T623" i="17"/>
  <c r="AA622" i="17"/>
  <c r="I622" i="17"/>
  <c r="V621" i="17"/>
  <c r="D621" i="17"/>
  <c r="Q620" i="17"/>
  <c r="AD619" i="17"/>
  <c r="J619" i="17"/>
  <c r="W618" i="17"/>
  <c r="E618" i="17"/>
  <c r="R617" i="17"/>
  <c r="AE616" i="17"/>
  <c r="M616" i="17"/>
  <c r="Z615" i="17"/>
  <c r="F615" i="17"/>
  <c r="S614" i="17"/>
  <c r="A614" i="17"/>
  <c r="O613" i="17"/>
  <c r="AD612" i="17"/>
  <c r="N612" i="17"/>
  <c r="AC611" i="17"/>
  <c r="M611" i="17"/>
  <c r="AB610" i="17"/>
  <c r="L610" i="17"/>
  <c r="AA609" i="17"/>
  <c r="K609" i="17"/>
  <c r="Z608" i="17"/>
  <c r="J608" i="17"/>
  <c r="Y607" i="17"/>
  <c r="I607" i="17"/>
  <c r="X606" i="17"/>
  <c r="H606" i="17"/>
  <c r="W605" i="17"/>
  <c r="G605" i="17"/>
  <c r="V604" i="17"/>
  <c r="F604" i="17"/>
  <c r="U603" i="17"/>
  <c r="E603" i="17"/>
  <c r="T602" i="17"/>
  <c r="D602" i="17"/>
  <c r="S601" i="17"/>
  <c r="C601" i="17"/>
  <c r="R600" i="17"/>
  <c r="B600" i="17"/>
  <c r="Q599" i="17"/>
  <c r="A599" i="17"/>
  <c r="P598" i="17"/>
  <c r="AE597" i="17"/>
  <c r="O597" i="17"/>
  <c r="AD596" i="17"/>
  <c r="N596" i="17"/>
  <c r="AC595" i="17"/>
  <c r="M595" i="17"/>
  <c r="AB594" i="17"/>
  <c r="L594" i="17"/>
  <c r="AA593" i="17"/>
  <c r="K593" i="17"/>
  <c r="Z592" i="17"/>
  <c r="J592" i="17"/>
  <c r="Y591" i="17"/>
  <c r="I591" i="17"/>
  <c r="X590" i="17"/>
  <c r="H590" i="17"/>
  <c r="W589" i="17"/>
  <c r="G589" i="17"/>
  <c r="V588" i="17"/>
  <c r="F588" i="17"/>
  <c r="U587" i="17"/>
  <c r="E587" i="17"/>
  <c r="T586" i="17"/>
  <c r="D586" i="17"/>
  <c r="S585" i="17"/>
  <c r="C585" i="17"/>
  <c r="R584" i="17"/>
  <c r="B584" i="17"/>
  <c r="Q583" i="17"/>
  <c r="A583" i="17"/>
  <c r="P582" i="17"/>
  <c r="AE581" i="17"/>
  <c r="O581" i="17"/>
  <c r="AD580" i="17"/>
  <c r="N580" i="17"/>
  <c r="AC579" i="17"/>
  <c r="M579" i="17"/>
  <c r="AB578" i="17"/>
  <c r="L578" i="17"/>
  <c r="AA577" i="17"/>
  <c r="K577" i="17"/>
  <c r="Z576" i="17"/>
  <c r="J576" i="17"/>
  <c r="Y575" i="17"/>
  <c r="I575" i="17"/>
  <c r="X574" i="17"/>
  <c r="H574" i="17"/>
  <c r="W573" i="17"/>
  <c r="G573" i="17"/>
  <c r="V572" i="17"/>
  <c r="F572" i="17"/>
  <c r="U571" i="17"/>
  <c r="E571" i="17"/>
  <c r="T570" i="17"/>
  <c r="D570" i="17"/>
  <c r="S569" i="17"/>
  <c r="C569" i="17"/>
  <c r="R568" i="17"/>
  <c r="B568" i="17"/>
  <c r="Q567" i="17"/>
  <c r="A567" i="17"/>
  <c r="P566" i="17"/>
  <c r="AE565" i="17"/>
  <c r="O565" i="17"/>
  <c r="AD564" i="17"/>
  <c r="N564" i="17"/>
  <c r="AC563" i="17"/>
  <c r="M563" i="17"/>
  <c r="AB562" i="17"/>
  <c r="L562" i="17"/>
  <c r="AA561" i="17"/>
  <c r="K561" i="17"/>
  <c r="Z560" i="17"/>
  <c r="J560" i="17"/>
  <c r="Y559" i="17"/>
  <c r="I559" i="17"/>
  <c r="X558" i="17"/>
  <c r="H558" i="17"/>
  <c r="W557" i="17"/>
  <c r="G557" i="17"/>
  <c r="V556" i="17"/>
  <c r="F556" i="17"/>
  <c r="U555" i="17"/>
  <c r="E555" i="17"/>
  <c r="T554" i="17"/>
  <c r="D554" i="17"/>
  <c r="S553" i="17"/>
  <c r="C553" i="17"/>
  <c r="R552" i="17"/>
  <c r="B552" i="17"/>
  <c r="Q551" i="17"/>
  <c r="A551" i="17"/>
  <c r="P550" i="17"/>
  <c r="AE549" i="17"/>
  <c r="O549" i="17"/>
  <c r="AD548" i="17"/>
  <c r="N548" i="17"/>
  <c r="AC547" i="17"/>
  <c r="M547" i="17"/>
  <c r="AB546" i="17"/>
  <c r="L546" i="17"/>
  <c r="AA545" i="17"/>
  <c r="K545" i="17"/>
  <c r="Z544" i="17"/>
  <c r="J544" i="17"/>
  <c r="Y543" i="17"/>
  <c r="I543" i="17"/>
  <c r="X542" i="17"/>
  <c r="H542" i="17"/>
  <c r="W541" i="17"/>
  <c r="G541" i="17"/>
  <c r="V540" i="17"/>
  <c r="F540" i="17"/>
  <c r="U539" i="17"/>
  <c r="E539" i="17"/>
  <c r="T538" i="17"/>
  <c r="D538" i="17"/>
  <c r="S537" i="17"/>
  <c r="C537" i="17"/>
  <c r="R536" i="17"/>
  <c r="B536" i="17"/>
  <c r="Q535" i="17"/>
  <c r="A535" i="17"/>
  <c r="P534" i="17"/>
  <c r="AE533" i="17"/>
  <c r="O533" i="17"/>
  <c r="AD532" i="17"/>
  <c r="N532" i="17"/>
  <c r="AC531" i="17"/>
  <c r="M531" i="17"/>
  <c r="AB530" i="17"/>
  <c r="L530" i="17"/>
  <c r="AA529" i="17"/>
  <c r="K529" i="17"/>
  <c r="Z528" i="17"/>
  <c r="J528" i="17"/>
  <c r="Y527" i="17"/>
  <c r="I527" i="17"/>
  <c r="X526" i="17"/>
  <c r="H526" i="17"/>
  <c r="W525" i="17"/>
  <c r="G525" i="17"/>
  <c r="V524" i="17"/>
  <c r="F524" i="17"/>
  <c r="U523" i="17"/>
  <c r="E523" i="17"/>
  <c r="T522" i="17"/>
  <c r="D522" i="17"/>
  <c r="S521" i="17"/>
  <c r="C521" i="17"/>
  <c r="R520" i="17"/>
  <c r="B520" i="17"/>
  <c r="Q519" i="17"/>
  <c r="A519" i="17"/>
  <c r="P518" i="17"/>
  <c r="AE517" i="17"/>
  <c r="O517" i="17"/>
  <c r="AD516" i="17"/>
  <c r="N516" i="17"/>
  <c r="AC515" i="17"/>
  <c r="M515" i="17"/>
  <c r="AB514" i="17"/>
  <c r="L514" i="17"/>
  <c r="AA513" i="17"/>
  <c r="K513" i="17"/>
  <c r="Z512" i="17"/>
  <c r="J512" i="17"/>
  <c r="Y511" i="17"/>
  <c r="I511" i="17"/>
  <c r="X510" i="17"/>
  <c r="H510" i="17"/>
  <c r="W509" i="17"/>
  <c r="G509" i="17"/>
  <c r="V508" i="17"/>
  <c r="F508" i="17"/>
  <c r="U507" i="17"/>
  <c r="E507" i="17"/>
  <c r="T506" i="17"/>
  <c r="D506" i="17"/>
  <c r="S505" i="17"/>
  <c r="C505" i="17"/>
  <c r="F798" i="17"/>
  <c r="AA792" i="17"/>
  <c r="U786" i="17"/>
  <c r="B782" i="17"/>
  <c r="S777" i="17"/>
  <c r="P772" i="17"/>
  <c r="C768" i="17"/>
  <c r="F764" i="17"/>
  <c r="A760" i="17"/>
  <c r="Y756" i="17"/>
  <c r="A754" i="17"/>
  <c r="Y750" i="17"/>
  <c r="AC747" i="17"/>
  <c r="K745" i="17"/>
  <c r="R742" i="17"/>
  <c r="H740" i="17"/>
  <c r="X737" i="17"/>
  <c r="O735" i="17"/>
  <c r="N733" i="17"/>
  <c r="H731" i="17"/>
  <c r="B729" i="17"/>
  <c r="Z726" i="17"/>
  <c r="C725" i="17"/>
  <c r="Z722" i="17"/>
  <c r="S720" i="17"/>
  <c r="Z718" i="17"/>
  <c r="AB716" i="17"/>
  <c r="C715" i="17"/>
  <c r="H713" i="17"/>
  <c r="F711" i="17"/>
  <c r="N709" i="17"/>
  <c r="AB707" i="17"/>
  <c r="U705" i="17"/>
  <c r="AA703" i="17"/>
  <c r="H702" i="17"/>
  <c r="C700" i="17"/>
  <c r="R698" i="17"/>
  <c r="Z696" i="17"/>
  <c r="F695" i="17"/>
  <c r="P693" i="17"/>
  <c r="G692" i="17"/>
  <c r="L690" i="17"/>
  <c r="AD688" i="17"/>
  <c r="V687" i="17"/>
  <c r="C686" i="17"/>
  <c r="Y684" i="17"/>
  <c r="V683" i="17"/>
  <c r="O682" i="17"/>
  <c r="L681" i="17"/>
  <c r="M680" i="17"/>
  <c r="I679" i="17"/>
  <c r="G678" i="17"/>
  <c r="G677" i="17"/>
  <c r="C676" i="17"/>
  <c r="D675" i="17"/>
  <c r="C674" i="17"/>
  <c r="AD672" i="17"/>
  <c r="AC671" i="17"/>
  <c r="AE670" i="17"/>
  <c r="AA669" i="17"/>
  <c r="Y668" i="17"/>
  <c r="Y667" i="17"/>
  <c r="U666" i="17"/>
  <c r="V665" i="17"/>
  <c r="W664" i="17"/>
  <c r="U663" i="17"/>
  <c r="V662" i="17"/>
  <c r="Z661" i="17"/>
  <c r="X660" i="17"/>
  <c r="X659" i="17"/>
  <c r="AA658" i="17"/>
  <c r="AA657" i="17"/>
  <c r="A657" i="17"/>
  <c r="D656" i="17"/>
  <c r="D655" i="17"/>
  <c r="G654" i="17"/>
  <c r="M653" i="17"/>
  <c r="M652" i="17"/>
  <c r="O651" i="17"/>
  <c r="S650" i="17"/>
  <c r="S649" i="17"/>
  <c r="X648" i="17"/>
  <c r="AA647" i="17"/>
  <c r="AA646" i="17"/>
  <c r="AD645" i="17"/>
  <c r="E645" i="17"/>
  <c r="E644" i="17"/>
  <c r="G643" i="17"/>
  <c r="K642" i="17"/>
  <c r="K641" i="17"/>
  <c r="P640" i="17"/>
  <c r="S639" i="17"/>
  <c r="S638" i="17"/>
  <c r="V637" i="17"/>
  <c r="AB636" i="17"/>
  <c r="AB635" i="17"/>
  <c r="E635" i="17"/>
  <c r="P634" i="17"/>
  <c r="X633" i="17"/>
  <c r="C633" i="17"/>
  <c r="N632" i="17"/>
  <c r="V631" i="17"/>
  <c r="A631" i="17"/>
  <c r="L630" i="17"/>
  <c r="T629" i="17"/>
  <c r="AD628" i="17"/>
  <c r="J628" i="17"/>
  <c r="R627" i="17"/>
  <c r="AB626" i="17"/>
  <c r="H626" i="17"/>
  <c r="P625" i="17"/>
  <c r="Z624" i="17"/>
  <c r="F624" i="17"/>
  <c r="N623" i="17"/>
  <c r="X622" i="17"/>
  <c r="F622" i="17"/>
  <c r="S621" i="17"/>
  <c r="A621" i="17"/>
  <c r="L620" i="17"/>
  <c r="Y619" i="17"/>
  <c r="G619" i="17"/>
  <c r="T618" i="17"/>
  <c r="B618" i="17"/>
  <c r="O617" i="17"/>
  <c r="AB616" i="17"/>
  <c r="H616" i="17"/>
  <c r="U615" i="17"/>
  <c r="C615" i="17"/>
  <c r="P614" i="17"/>
  <c r="AC613" i="17"/>
  <c r="L613" i="17"/>
  <c r="AA612" i="17"/>
  <c r="K612" i="17"/>
  <c r="Z611" i="17"/>
  <c r="J611" i="17"/>
  <c r="Y610" i="17"/>
  <c r="I610" i="17"/>
  <c r="X609" i="17"/>
  <c r="H609" i="17"/>
  <c r="W608" i="17"/>
  <c r="G608" i="17"/>
  <c r="V607" i="17"/>
  <c r="F607" i="17"/>
  <c r="U606" i="17"/>
  <c r="E606" i="17"/>
  <c r="T605" i="17"/>
  <c r="D605" i="17"/>
  <c r="S604" i="17"/>
  <c r="C604" i="17"/>
  <c r="R603" i="17"/>
  <c r="B603" i="17"/>
  <c r="Q602" i="17"/>
  <c r="A602" i="17"/>
  <c r="P601" i="17"/>
  <c r="AE600" i="17"/>
  <c r="O600" i="17"/>
  <c r="AD599" i="17"/>
  <c r="N599" i="17"/>
  <c r="AC598" i="17"/>
  <c r="M598" i="17"/>
  <c r="AB597" i="17"/>
  <c r="L597" i="17"/>
  <c r="AA596" i="17"/>
  <c r="K596" i="17"/>
  <c r="Z595" i="17"/>
  <c r="J595" i="17"/>
  <c r="Y594" i="17"/>
  <c r="I594" i="17"/>
  <c r="X593" i="17"/>
  <c r="H593" i="17"/>
  <c r="W592" i="17"/>
  <c r="G592" i="17"/>
  <c r="V591" i="17"/>
  <c r="F591" i="17"/>
  <c r="U590" i="17"/>
  <c r="E590" i="17"/>
  <c r="T589" i="17"/>
  <c r="D589" i="17"/>
  <c r="S588" i="17"/>
  <c r="C588" i="17"/>
  <c r="R587" i="17"/>
  <c r="B587" i="17"/>
  <c r="Q586" i="17"/>
  <c r="A586" i="17"/>
  <c r="P585" i="17"/>
  <c r="AE584" i="17"/>
  <c r="O584" i="17"/>
  <c r="AD583" i="17"/>
  <c r="N583" i="17"/>
  <c r="AC582" i="17"/>
  <c r="M582" i="17"/>
  <c r="AB581" i="17"/>
  <c r="L581" i="17"/>
  <c r="AA580" i="17"/>
  <c r="K580" i="17"/>
  <c r="Z579" i="17"/>
  <c r="J579" i="17"/>
  <c r="Y578" i="17"/>
  <c r="I578" i="17"/>
  <c r="X577" i="17"/>
  <c r="H577" i="17"/>
  <c r="W576" i="17"/>
  <c r="G576" i="17"/>
  <c r="V575" i="17"/>
  <c r="F575" i="17"/>
  <c r="U574" i="17"/>
  <c r="E574" i="17"/>
  <c r="T573" i="17"/>
  <c r="D573" i="17"/>
  <c r="S572" i="17"/>
  <c r="C572" i="17"/>
  <c r="R571" i="17"/>
  <c r="B571" i="17"/>
  <c r="Q570" i="17"/>
  <c r="A570" i="17"/>
  <c r="P569" i="17"/>
  <c r="AE568" i="17"/>
  <c r="O568" i="17"/>
  <c r="AD567" i="17"/>
  <c r="N567" i="17"/>
  <c r="AC566" i="17"/>
  <c r="M566" i="17"/>
  <c r="AB565" i="17"/>
  <c r="L565" i="17"/>
  <c r="AA564" i="17"/>
  <c r="K564" i="17"/>
  <c r="Z563" i="17"/>
  <c r="J563" i="17"/>
  <c r="Y562" i="17"/>
  <c r="I562" i="17"/>
  <c r="X561" i="17"/>
  <c r="H561" i="17"/>
  <c r="W560" i="17"/>
  <c r="G560" i="17"/>
  <c r="V559" i="17"/>
  <c r="F559" i="17"/>
  <c r="U558" i="17"/>
  <c r="E558" i="17"/>
  <c r="T557" i="17"/>
  <c r="D557" i="17"/>
  <c r="S556" i="17"/>
  <c r="C556" i="17"/>
  <c r="R555" i="17"/>
  <c r="B555" i="17"/>
  <c r="Q554" i="17"/>
  <c r="A554" i="17"/>
  <c r="P553" i="17"/>
  <c r="AE552" i="17"/>
  <c r="O552" i="17"/>
  <c r="AD551" i="17"/>
  <c r="N551" i="17"/>
  <c r="AC550" i="17"/>
  <c r="M550" i="17"/>
  <c r="AB549" i="17"/>
  <c r="L549" i="17"/>
  <c r="AA548" i="17"/>
  <c r="K548" i="17"/>
  <c r="Z547" i="17"/>
  <c r="J547" i="17"/>
  <c r="Y546" i="17"/>
  <c r="I546" i="17"/>
  <c r="X545" i="17"/>
  <c r="H545" i="17"/>
  <c r="W544" i="17"/>
  <c r="G544" i="17"/>
  <c r="V543" i="17"/>
  <c r="F543" i="17"/>
  <c r="U542" i="17"/>
  <c r="E542" i="17"/>
  <c r="T541" i="17"/>
  <c r="D541" i="17"/>
  <c r="S540" i="17"/>
  <c r="C540" i="17"/>
  <c r="R539" i="17"/>
  <c r="B539" i="17"/>
  <c r="Q538" i="17"/>
  <c r="A538" i="17"/>
  <c r="P537" i="17"/>
  <c r="AE536" i="17"/>
  <c r="O536" i="17"/>
  <c r="AD535" i="17"/>
  <c r="N535" i="17"/>
  <c r="AC534" i="17"/>
  <c r="M534" i="17"/>
  <c r="AB533" i="17"/>
  <c r="L533" i="17"/>
  <c r="AA532" i="17"/>
  <c r="K532" i="17"/>
  <c r="Z531" i="17"/>
  <c r="J531" i="17"/>
  <c r="Y530" i="17"/>
  <c r="I530" i="17"/>
  <c r="X529" i="17"/>
  <c r="H529" i="17"/>
  <c r="W528" i="17"/>
  <c r="G528" i="17"/>
  <c r="V527" i="17"/>
  <c r="F527" i="17"/>
  <c r="U526" i="17"/>
  <c r="E526" i="17"/>
  <c r="T525" i="17"/>
  <c r="D525" i="17"/>
  <c r="S524" i="17"/>
  <c r="C524" i="17"/>
  <c r="R523" i="17"/>
  <c r="B523" i="17"/>
  <c r="Q522" i="17"/>
  <c r="A522" i="17"/>
  <c r="P521" i="17"/>
  <c r="AE520" i="17"/>
  <c r="O520" i="17"/>
  <c r="AD519" i="17"/>
  <c r="N519" i="17"/>
  <c r="AC518" i="17"/>
  <c r="M518" i="17"/>
  <c r="AB517" i="17"/>
  <c r="L517" i="17"/>
  <c r="AA516" i="17"/>
  <c r="K516" i="17"/>
  <c r="Z515" i="17"/>
  <c r="J515" i="17"/>
  <c r="Y514" i="17"/>
  <c r="I514" i="17"/>
  <c r="X513" i="17"/>
  <c r="H513" i="17"/>
  <c r="W512" i="17"/>
  <c r="G512" i="17"/>
  <c r="V511" i="17"/>
  <c r="F511" i="17"/>
  <c r="U510" i="17"/>
  <c r="E510" i="17"/>
  <c r="T509" i="17"/>
  <c r="D509" i="17"/>
  <c r="S508" i="17"/>
  <c r="H798" i="17"/>
  <c r="Y790" i="17"/>
  <c r="Y784" i="17"/>
  <c r="U777" i="17"/>
  <c r="F771" i="17"/>
  <c r="AC765" i="17"/>
  <c r="AA760" i="17"/>
  <c r="AE755" i="17"/>
  <c r="D752" i="17"/>
  <c r="AD747" i="17"/>
  <c r="K744" i="17"/>
  <c r="Q741" i="17"/>
  <c r="B738" i="17"/>
  <c r="AA734" i="17"/>
  <c r="I732" i="17"/>
  <c r="C729" i="17"/>
  <c r="S726" i="17"/>
  <c r="AA723" i="17"/>
  <c r="T720" i="17"/>
  <c r="H718" i="17"/>
  <c r="H716" i="17"/>
  <c r="I713" i="17"/>
  <c r="A711" i="17"/>
  <c r="Q708" i="17"/>
  <c r="AE705" i="17"/>
  <c r="W703" i="17"/>
  <c r="A701" i="17"/>
  <c r="S698" i="17"/>
  <c r="F696" i="17"/>
  <c r="N694" i="17"/>
  <c r="H692" i="17"/>
  <c r="B690" i="17"/>
  <c r="I688" i="17"/>
  <c r="K686" i="17"/>
  <c r="Q684" i="17"/>
  <c r="C683" i="17"/>
  <c r="W681" i="17"/>
  <c r="L680" i="17"/>
  <c r="A679" i="17"/>
  <c r="V677" i="17"/>
  <c r="Q676" i="17"/>
  <c r="E675" i="17"/>
  <c r="AB673" i="17"/>
  <c r="U672" i="17"/>
  <c r="I671" i="17"/>
  <c r="A670" i="17"/>
  <c r="W668" i="17"/>
  <c r="M667" i="17"/>
  <c r="I666" i="17"/>
  <c r="AB664" i="17"/>
  <c r="S663" i="17"/>
  <c r="Q662" i="17"/>
  <c r="J661" i="17"/>
  <c r="H660" i="17"/>
  <c r="AB658" i="17"/>
  <c r="V657" i="17"/>
  <c r="V656" i="17"/>
  <c r="R655" i="17"/>
  <c r="L654" i="17"/>
  <c r="K653" i="17"/>
  <c r="C652" i="17"/>
  <c r="AE650" i="17"/>
  <c r="AC649" i="17"/>
  <c r="W648" i="17"/>
  <c r="Q647" i="17"/>
  <c r="P646" i="17"/>
  <c r="K645" i="17"/>
  <c r="F644" i="17"/>
  <c r="D643" i="17"/>
  <c r="AE641" i="17"/>
  <c r="AE640" i="17"/>
  <c r="U639" i="17"/>
  <c r="P638" i="17"/>
  <c r="P637" i="17"/>
  <c r="L636" i="17"/>
  <c r="J635" i="17"/>
  <c r="O634" i="17"/>
  <c r="S633" i="17"/>
  <c r="X632" i="17"/>
  <c r="AE631" i="17"/>
  <c r="B631" i="17"/>
  <c r="F630" i="17"/>
  <c r="M629" i="17"/>
  <c r="Q628" i="17"/>
  <c r="W627" i="17"/>
  <c r="Z626" i="17"/>
  <c r="AD625" i="17"/>
  <c r="G625" i="17"/>
  <c r="J624" i="17"/>
  <c r="L623" i="17"/>
  <c r="T622" i="17"/>
  <c r="AB621" i="17"/>
  <c r="G621" i="17"/>
  <c r="O620" i="17"/>
  <c r="V619" i="17"/>
  <c r="A619" i="17"/>
  <c r="I618" i="17"/>
  <c r="Q617" i="17"/>
  <c r="X616" i="17"/>
  <c r="C616" i="17"/>
  <c r="M615" i="17"/>
  <c r="T614" i="17"/>
  <c r="AB613" i="17"/>
  <c r="H613" i="17"/>
  <c r="T612" i="17"/>
  <c r="A612" i="17"/>
  <c r="K611" i="17"/>
  <c r="V610" i="17"/>
  <c r="C610" i="17"/>
  <c r="O609" i="17"/>
  <c r="Y608" i="17"/>
  <c r="E608" i="17"/>
  <c r="Q607" i="17"/>
  <c r="AC606" i="17"/>
  <c r="I606" i="17"/>
  <c r="S605" i="17"/>
  <c r="AE604" i="17"/>
  <c r="L604" i="17"/>
  <c r="X603" i="17"/>
  <c r="C603" i="17"/>
  <c r="N602" i="17"/>
  <c r="Z601" i="17"/>
  <c r="G601" i="17"/>
  <c r="Q600" i="17"/>
  <c r="AB599" i="17"/>
  <c r="I599" i="17"/>
  <c r="U598" i="17"/>
  <c r="A598" i="17"/>
  <c r="K597" i="17"/>
  <c r="W596" i="17"/>
  <c r="D596" i="17"/>
  <c r="P595" i="17"/>
  <c r="Z594" i="17"/>
  <c r="F594" i="17"/>
  <c r="R593" i="17"/>
  <c r="AD592" i="17"/>
  <c r="I592" i="17"/>
  <c r="T591" i="17"/>
  <c r="A591" i="17"/>
  <c r="M590" i="17"/>
  <c r="X589" i="17"/>
  <c r="C589" i="17"/>
  <c r="O588" i="17"/>
  <c r="AA587" i="17"/>
  <c r="H587" i="17"/>
  <c r="R586" i="17"/>
  <c r="AC585" i="17"/>
  <c r="J585" i="17"/>
  <c r="V584" i="17"/>
  <c r="A584" i="17"/>
  <c r="L583" i="17"/>
  <c r="X582" i="17"/>
  <c r="E582" i="17"/>
  <c r="P581" i="17"/>
  <c r="Z580" i="17"/>
  <c r="G580" i="17"/>
  <c r="S579" i="17"/>
  <c r="AE578" i="17"/>
  <c r="J578" i="17"/>
  <c r="U577" i="17"/>
  <c r="B577" i="17"/>
  <c r="N576" i="17"/>
  <c r="X575" i="17"/>
  <c r="D575" i="17"/>
  <c r="P574" i="17"/>
  <c r="AB573" i="17"/>
  <c r="H573" i="17"/>
  <c r="R572" i="17"/>
  <c r="AD571" i="17"/>
  <c r="K571" i="17"/>
  <c r="W570" i="17"/>
  <c r="B570" i="17"/>
  <c r="M569" i="17"/>
  <c r="Y568" i="17"/>
  <c r="F568" i="17"/>
  <c r="P567" i="17"/>
  <c r="AA566" i="17"/>
  <c r="H566" i="17"/>
  <c r="T565" i="17"/>
  <c r="AE564" i="17"/>
  <c r="J564" i="17"/>
  <c r="V563" i="17"/>
  <c r="C563" i="17"/>
  <c r="O562" i="17"/>
  <c r="Y561" i="17"/>
  <c r="E561" i="17"/>
  <c r="Q560" i="17"/>
  <c r="AC559" i="17"/>
  <c r="H559" i="17"/>
  <c r="S558" i="17"/>
  <c r="AE557" i="17"/>
  <c r="L557" i="17"/>
  <c r="W556" i="17"/>
  <c r="B556" i="17"/>
  <c r="N555" i="17"/>
  <c r="Z554" i="17"/>
  <c r="G554" i="17"/>
  <c r="Q553" i="17"/>
  <c r="AB552" i="17"/>
  <c r="I552" i="17"/>
  <c r="U551" i="17"/>
  <c r="AE550" i="17"/>
  <c r="K550" i="17"/>
  <c r="W549" i="17"/>
  <c r="D549" i="17"/>
  <c r="O548" i="17"/>
  <c r="Y547" i="17"/>
  <c r="F547" i="17"/>
  <c r="R546" i="17"/>
  <c r="AD545" i="17"/>
  <c r="I545" i="17"/>
  <c r="T544" i="17"/>
  <c r="A544" i="17"/>
  <c r="M543" i="17"/>
  <c r="W542" i="17"/>
  <c r="C542" i="17"/>
  <c r="O541" i="17"/>
  <c r="AA540" i="17"/>
  <c r="G540" i="17"/>
  <c r="Q539" i="17"/>
  <c r="AC538" i="17"/>
  <c r="J538" i="17"/>
  <c r="V537" i="17"/>
  <c r="A537" i="17"/>
  <c r="L536" i="17"/>
  <c r="X535" i="17"/>
  <c r="E535" i="17"/>
  <c r="O534" i="17"/>
  <c r="Z533" i="17"/>
  <c r="G533" i="17"/>
  <c r="S532" i="17"/>
  <c r="AD531" i="17"/>
  <c r="I531" i="17"/>
  <c r="U530" i="17"/>
  <c r="B530" i="17"/>
  <c r="N529" i="17"/>
  <c r="X528" i="17"/>
  <c r="D528" i="17"/>
  <c r="P527" i="17"/>
  <c r="AB526" i="17"/>
  <c r="G526" i="17"/>
  <c r="R525" i="17"/>
  <c r="AD524" i="17"/>
  <c r="K524" i="17"/>
  <c r="V523" i="17"/>
  <c r="A523" i="17"/>
  <c r="M522" i="17"/>
  <c r="Y521" i="17"/>
  <c r="F521" i="17"/>
  <c r="P520" i="17"/>
  <c r="AA519" i="17"/>
  <c r="H519" i="17"/>
  <c r="T518" i="17"/>
  <c r="AD517" i="17"/>
  <c r="J517" i="17"/>
  <c r="V516" i="17"/>
  <c r="C516" i="17"/>
  <c r="N515" i="17"/>
  <c r="X514" i="17"/>
  <c r="E514" i="17"/>
  <c r="Q513" i="17"/>
  <c r="AC512" i="17"/>
  <c r="H512" i="17"/>
  <c r="S511" i="17"/>
  <c r="AE510" i="17"/>
  <c r="L510" i="17"/>
  <c r="V509" i="17"/>
  <c r="B509" i="17"/>
  <c r="N508" i="17"/>
  <c r="AA507" i="17"/>
  <c r="I507" i="17"/>
  <c r="U506" i="17"/>
  <c r="B506" i="17"/>
  <c r="O505" i="17"/>
  <c r="AB504" i="17"/>
  <c r="L504" i="17"/>
  <c r="AA503" i="17"/>
  <c r="K503" i="17"/>
  <c r="Z502" i="17"/>
  <c r="J502" i="17"/>
  <c r="Y501" i="17"/>
  <c r="I501" i="17"/>
  <c r="X500" i="17"/>
  <c r="H500" i="17"/>
  <c r="W499" i="17"/>
  <c r="G499" i="17"/>
  <c r="V498" i="17"/>
  <c r="F498" i="17"/>
  <c r="U497" i="17"/>
  <c r="E497" i="17"/>
  <c r="T496" i="17"/>
  <c r="D496" i="17"/>
  <c r="S495" i="17"/>
  <c r="C495" i="17"/>
  <c r="R494" i="17"/>
  <c r="B494" i="17"/>
  <c r="Q493" i="17"/>
  <c r="A493" i="17"/>
  <c r="P492" i="17"/>
  <c r="AE491" i="17"/>
  <c r="O491" i="17"/>
  <c r="AD490" i="17"/>
  <c r="N490" i="17"/>
  <c r="AC489" i="17"/>
  <c r="M489" i="17"/>
  <c r="AB488" i="17"/>
  <c r="L488" i="17"/>
  <c r="AA487" i="17"/>
  <c r="K487" i="17"/>
  <c r="Z486" i="17"/>
  <c r="J486" i="17"/>
  <c r="Y485" i="17"/>
  <c r="I485" i="17"/>
  <c r="X484" i="17"/>
  <c r="H484" i="17"/>
  <c r="W483" i="17"/>
  <c r="G483" i="17"/>
  <c r="V482" i="17"/>
  <c r="F482" i="17"/>
  <c r="U481" i="17"/>
  <c r="E481" i="17"/>
  <c r="T480" i="17"/>
  <c r="D480" i="17"/>
  <c r="S479" i="17"/>
  <c r="C479" i="17"/>
  <c r="R478" i="17"/>
  <c r="B478" i="17"/>
  <c r="Q477" i="17"/>
  <c r="A477" i="17"/>
  <c r="P476" i="17"/>
  <c r="AE475" i="17"/>
  <c r="O475" i="17"/>
  <c r="AD474" i="17"/>
  <c r="N474" i="17"/>
  <c r="AC473" i="17"/>
  <c r="M473" i="17"/>
  <c r="AB472" i="17"/>
  <c r="L472" i="17"/>
  <c r="AA471" i="17"/>
  <c r="K471" i="17"/>
  <c r="Z470" i="17"/>
  <c r="AA797" i="17"/>
  <c r="I790" i="17"/>
  <c r="Q784" i="17"/>
  <c r="R777" i="17"/>
  <c r="A771" i="17"/>
  <c r="Y765" i="17"/>
  <c r="S759" i="17"/>
  <c r="AB755" i="17"/>
  <c r="C752" i="17"/>
  <c r="Y747" i="17"/>
  <c r="H744" i="17"/>
  <c r="P741" i="17"/>
  <c r="V737" i="17"/>
  <c r="W734" i="17"/>
  <c r="E732" i="17"/>
  <c r="AC728" i="17"/>
  <c r="P726" i="17"/>
  <c r="Z723" i="17"/>
  <c r="Q720" i="17"/>
  <c r="F718" i="17"/>
  <c r="G716" i="17"/>
  <c r="G713" i="17"/>
  <c r="Z710" i="17"/>
  <c r="K708" i="17"/>
  <c r="S705" i="17"/>
  <c r="V703" i="17"/>
  <c r="AD700" i="17"/>
  <c r="Q698" i="17"/>
  <c r="C696" i="17"/>
  <c r="J694" i="17"/>
  <c r="AE691" i="17"/>
  <c r="AB689" i="17"/>
  <c r="G688" i="17"/>
  <c r="AE685" i="17"/>
  <c r="O684" i="17"/>
  <c r="B683" i="17"/>
  <c r="T681" i="17"/>
  <c r="K680" i="17"/>
  <c r="AD678" i="17"/>
  <c r="U677" i="17"/>
  <c r="O676" i="17"/>
  <c r="C675" i="17"/>
  <c r="V673" i="17"/>
  <c r="Q672" i="17"/>
  <c r="H671" i="17"/>
  <c r="AB669" i="17"/>
  <c r="V668" i="17"/>
  <c r="L667" i="17"/>
  <c r="H666" i="17"/>
  <c r="Y664" i="17"/>
  <c r="R663" i="17"/>
  <c r="P662" i="17"/>
  <c r="I661" i="17"/>
  <c r="AE659" i="17"/>
  <c r="Y658" i="17"/>
  <c r="U657" i="17"/>
  <c r="R656" i="17"/>
  <c r="Q655" i="17"/>
  <c r="H654" i="17"/>
  <c r="C653" i="17"/>
  <c r="B652" i="17"/>
  <c r="AC650" i="17"/>
  <c r="AA649" i="17"/>
  <c r="V648" i="17"/>
  <c r="N647" i="17"/>
  <c r="O646" i="17"/>
  <c r="I645" i="17"/>
  <c r="C644" i="17"/>
  <c r="C643" i="17"/>
  <c r="AA641" i="17"/>
  <c r="AD640" i="17"/>
  <c r="T639" i="17"/>
  <c r="O638" i="17"/>
  <c r="O637" i="17"/>
  <c r="K636" i="17"/>
  <c r="G635" i="17"/>
  <c r="N634" i="17"/>
  <c r="R633" i="17"/>
  <c r="W632" i="17"/>
  <c r="AC631" i="17"/>
  <c r="AE630" i="17"/>
  <c r="E630" i="17"/>
  <c r="L629" i="17"/>
  <c r="P628" i="17"/>
  <c r="S627" i="17"/>
  <c r="Y626" i="17"/>
  <c r="AC625" i="17"/>
  <c r="F625" i="17"/>
  <c r="H624" i="17"/>
  <c r="K623" i="17"/>
  <c r="S622" i="17"/>
  <c r="AA621" i="17"/>
  <c r="E621" i="17"/>
  <c r="K620" i="17"/>
  <c r="U619" i="17"/>
  <c r="AE618" i="17"/>
  <c r="H618" i="17"/>
  <c r="P617" i="17"/>
  <c r="W616" i="17"/>
  <c r="B616" i="17"/>
  <c r="L615" i="17"/>
  <c r="R614" i="17"/>
  <c r="AA613" i="17"/>
  <c r="G613" i="17"/>
  <c r="S612" i="17"/>
  <c r="AD611" i="17"/>
  <c r="I611" i="17"/>
  <c r="U610" i="17"/>
  <c r="B610" i="17"/>
  <c r="N609" i="17"/>
  <c r="X608" i="17"/>
  <c r="D608" i="17"/>
  <c r="P607" i="17"/>
  <c r="AB606" i="17"/>
  <c r="G606" i="17"/>
  <c r="R605" i="17"/>
  <c r="AD604" i="17"/>
  <c r="K604" i="17"/>
  <c r="V603" i="17"/>
  <c r="A603" i="17"/>
  <c r="M602" i="17"/>
  <c r="Y601" i="17"/>
  <c r="F601" i="17"/>
  <c r="P600" i="17"/>
  <c r="AA599" i="17"/>
  <c r="H599" i="17"/>
  <c r="T598" i="17"/>
  <c r="AD597" i="17"/>
  <c r="J597" i="17"/>
  <c r="V596" i="17"/>
  <c r="C596" i="17"/>
  <c r="N595" i="17"/>
  <c r="X594" i="17"/>
  <c r="E594" i="17"/>
  <c r="Q593" i="17"/>
  <c r="AC592" i="17"/>
  <c r="H592" i="17"/>
  <c r="S591" i="17"/>
  <c r="AE590" i="17"/>
  <c r="L590" i="17"/>
  <c r="V589" i="17"/>
  <c r="B589" i="17"/>
  <c r="N588" i="17"/>
  <c r="Z587" i="17"/>
  <c r="F587" i="17"/>
  <c r="P586" i="17"/>
  <c r="AB585" i="17"/>
  <c r="I585" i="17"/>
  <c r="U584" i="17"/>
  <c r="AE583" i="17"/>
  <c r="K583" i="17"/>
  <c r="W582" i="17"/>
  <c r="D582" i="17"/>
  <c r="N581" i="17"/>
  <c r="Y580" i="17"/>
  <c r="F580" i="17"/>
  <c r="R579" i="17"/>
  <c r="AC578" i="17"/>
  <c r="H578" i="17"/>
  <c r="T577" i="17"/>
  <c r="A577" i="17"/>
  <c r="M576" i="17"/>
  <c r="W575" i="17"/>
  <c r="C575" i="17"/>
  <c r="O574" i="17"/>
  <c r="AA573" i="17"/>
  <c r="F573" i="17"/>
  <c r="Q572" i="17"/>
  <c r="AC571" i="17"/>
  <c r="J571" i="17"/>
  <c r="U570" i="17"/>
  <c r="AE569" i="17"/>
  <c r="L569" i="17"/>
  <c r="X568" i="17"/>
  <c r="E568" i="17"/>
  <c r="O567" i="17"/>
  <c r="Z566" i="17"/>
  <c r="G566" i="17"/>
  <c r="S565" i="17"/>
  <c r="AC564" i="17"/>
  <c r="I564" i="17"/>
  <c r="U563" i="17"/>
  <c r="B563" i="17"/>
  <c r="M562" i="17"/>
  <c r="W561" i="17"/>
  <c r="D561" i="17"/>
  <c r="P560" i="17"/>
  <c r="AB559" i="17"/>
  <c r="G559" i="17"/>
  <c r="R558" i="17"/>
  <c r="AD557" i="17"/>
  <c r="K557" i="17"/>
  <c r="U556" i="17"/>
  <c r="A556" i="17"/>
  <c r="M555" i="17"/>
  <c r="Y554" i="17"/>
  <c r="E554" i="17"/>
  <c r="O553" i="17"/>
  <c r="AA552" i="17"/>
  <c r="H552" i="17"/>
  <c r="T551" i="17"/>
  <c r="AD550" i="17"/>
  <c r="J550" i="17"/>
  <c r="V549" i="17"/>
  <c r="C549" i="17"/>
  <c r="M548" i="17"/>
  <c r="X547" i="17"/>
  <c r="E547" i="17"/>
  <c r="Q546" i="17"/>
  <c r="AB545" i="17"/>
  <c r="G545" i="17"/>
  <c r="S544" i="17"/>
  <c r="AE543" i="17"/>
  <c r="L543" i="17"/>
  <c r="V542" i="17"/>
  <c r="B542" i="17"/>
  <c r="N541" i="17"/>
  <c r="Z540" i="17"/>
  <c r="E540" i="17"/>
  <c r="P539" i="17"/>
  <c r="AB538" i="17"/>
  <c r="I538" i="17"/>
  <c r="T537" i="17"/>
  <c r="AD536" i="17"/>
  <c r="K536" i="17"/>
  <c r="W535" i="17"/>
  <c r="D535" i="17"/>
  <c r="N534" i="17"/>
  <c r="Y533" i="17"/>
  <c r="F533" i="17"/>
  <c r="R532" i="17"/>
  <c r="AB531" i="17"/>
  <c r="H531" i="17"/>
  <c r="T530" i="17"/>
  <c r="A530" i="17"/>
  <c r="L529" i="17"/>
  <c r="V528" i="17"/>
  <c r="C528" i="17"/>
  <c r="O527" i="17"/>
  <c r="AA526" i="17"/>
  <c r="F526" i="17"/>
  <c r="Q525" i="17"/>
  <c r="AC524" i="17"/>
  <c r="J524" i="17"/>
  <c r="T523" i="17"/>
  <c r="AE522" i="17"/>
  <c r="L522" i="17"/>
  <c r="X521" i="17"/>
  <c r="D521" i="17"/>
  <c r="N520" i="17"/>
  <c r="Z519" i="17"/>
  <c r="G519" i="17"/>
  <c r="S518" i="17"/>
  <c r="AC517" i="17"/>
  <c r="I517" i="17"/>
  <c r="U516" i="17"/>
  <c r="B516" i="17"/>
  <c r="L515" i="17"/>
  <c r="W514" i="17"/>
  <c r="D514" i="17"/>
  <c r="Z798" i="17"/>
  <c r="Z789" i="17"/>
  <c r="Z781" i="17"/>
  <c r="H775" i="17"/>
  <c r="A768" i="17"/>
  <c r="I762" i="17"/>
  <c r="X756" i="17"/>
  <c r="E752" i="17"/>
  <c r="I747" i="17"/>
  <c r="U743" i="17"/>
  <c r="Y739" i="17"/>
  <c r="O736" i="17"/>
  <c r="AE732" i="17"/>
  <c r="C730" i="17"/>
  <c r="V726" i="17"/>
  <c r="E723" i="17"/>
  <c r="I720" i="17"/>
  <c r="K717" i="17"/>
  <c r="S714" i="17"/>
  <c r="Z711" i="17"/>
  <c r="E709" i="17"/>
  <c r="E706" i="17"/>
  <c r="A703" i="17"/>
  <c r="AC699" i="17"/>
  <c r="W697" i="17"/>
  <c r="AC694" i="17"/>
  <c r="AE692" i="17"/>
  <c r="J690" i="17"/>
  <c r="J688" i="17"/>
  <c r="AA685" i="17"/>
  <c r="E684" i="17"/>
  <c r="L682" i="17"/>
  <c r="AC680" i="17"/>
  <c r="P679" i="17"/>
  <c r="C678" i="17"/>
  <c r="R676" i="17"/>
  <c r="AC674" i="17"/>
  <c r="P673" i="17"/>
  <c r="AD671" i="17"/>
  <c r="P670" i="17"/>
  <c r="J669" i="17"/>
  <c r="V667" i="17"/>
  <c r="J666" i="17"/>
  <c r="V664" i="17"/>
  <c r="M663" i="17"/>
  <c r="AE661" i="17"/>
  <c r="Q660" i="17"/>
  <c r="H659" i="17"/>
  <c r="AE657" i="17"/>
  <c r="W656" i="17"/>
  <c r="M655" i="17"/>
  <c r="B654" i="17"/>
  <c r="AA652" i="17"/>
  <c r="N651" i="17"/>
  <c r="H650" i="17"/>
  <c r="AC648" i="17"/>
  <c r="U647" i="17"/>
  <c r="L646" i="17"/>
  <c r="C645" i="17"/>
  <c r="X643" i="17"/>
  <c r="P642" i="17"/>
  <c r="E641" i="17"/>
  <c r="AD639" i="17"/>
  <c r="Q638" i="17"/>
  <c r="G637" i="17"/>
  <c r="AC635" i="17"/>
  <c r="AE634" i="17"/>
  <c r="B634" i="17"/>
  <c r="A633" i="17"/>
  <c r="C632" i="17"/>
  <c r="C631" i="17"/>
  <c r="B630" i="17"/>
  <c r="D629" i="17"/>
  <c r="D628" i="17"/>
  <c r="I627" i="17"/>
  <c r="I626" i="17"/>
  <c r="J625" i="17"/>
  <c r="L624" i="17"/>
  <c r="I623" i="17"/>
  <c r="M622" i="17"/>
  <c r="R621" i="17"/>
  <c r="X620" i="17"/>
  <c r="AE619" i="17"/>
  <c r="D619" i="17"/>
  <c r="J618" i="17"/>
  <c r="M617" i="17"/>
  <c r="S616" i="17"/>
  <c r="W615" i="17"/>
  <c r="AD614" i="17"/>
  <c r="E614" i="17"/>
  <c r="K613" i="17"/>
  <c r="U612" i="17"/>
  <c r="AA611" i="17"/>
  <c r="E611" i="17"/>
  <c r="O610" i="17"/>
  <c r="V609" i="17"/>
  <c r="A609" i="17"/>
  <c r="I608" i="17"/>
  <c r="R607" i="17"/>
  <c r="Y606" i="17"/>
  <c r="B606" i="17"/>
  <c r="L605" i="17"/>
  <c r="T604" i="17"/>
  <c r="AC603" i="17"/>
  <c r="H603" i="17"/>
  <c r="O602" i="17"/>
  <c r="W601" i="17"/>
  <c r="AD600" i="17"/>
  <c r="I600" i="17"/>
  <c r="R599" i="17"/>
  <c r="Z598" i="17"/>
  <c r="E598" i="17"/>
  <c r="M597" i="17"/>
  <c r="T596" i="17"/>
  <c r="AB595" i="17"/>
  <c r="F595" i="17"/>
  <c r="P594" i="17"/>
  <c r="W593" i="17"/>
  <c r="B593" i="17"/>
  <c r="K592" i="17"/>
  <c r="Q591" i="17"/>
  <c r="AA590" i="17"/>
  <c r="C590" i="17"/>
  <c r="M589" i="17"/>
  <c r="U588" i="17"/>
  <c r="AD587" i="17"/>
  <c r="I587" i="17"/>
  <c r="N586" i="17"/>
  <c r="X585" i="17"/>
  <c r="A585" i="17"/>
  <c r="J584" i="17"/>
  <c r="T583" i="17"/>
  <c r="AA582" i="17"/>
  <c r="F582" i="17"/>
  <c r="K581" i="17"/>
  <c r="U580" i="17"/>
  <c r="AD579" i="17"/>
  <c r="G579" i="17"/>
  <c r="Q578" i="17"/>
  <c r="Y577" i="17"/>
  <c r="C577" i="17"/>
  <c r="I576" i="17"/>
  <c r="R575" i="17"/>
  <c r="AB574" i="17"/>
  <c r="D574" i="17"/>
  <c r="N573" i="17"/>
  <c r="W572" i="17"/>
  <c r="AE571" i="17"/>
  <c r="H571" i="17"/>
  <c r="O570" i="17"/>
  <c r="Y569" i="17"/>
  <c r="B569" i="17"/>
  <c r="K568" i="17"/>
  <c r="U567" i="17"/>
  <c r="AB566" i="17"/>
  <c r="E566" i="17"/>
  <c r="M565" i="17"/>
  <c r="V564" i="17"/>
  <c r="A564" i="17"/>
  <c r="H563" i="17"/>
  <c r="R562" i="17"/>
  <c r="Z561" i="17"/>
  <c r="B561" i="17"/>
  <c r="K560" i="17"/>
  <c r="S559" i="17"/>
  <c r="AC558" i="17"/>
  <c r="F558" i="17"/>
  <c r="O557" i="17"/>
  <c r="Y556" i="17"/>
  <c r="AD555" i="17"/>
  <c r="I555" i="17"/>
  <c r="P554" i="17"/>
  <c r="Z553" i="17"/>
  <c r="D553" i="17"/>
  <c r="L552" i="17"/>
  <c r="V551" i="17"/>
  <c r="AA550" i="17"/>
  <c r="F550" i="17"/>
  <c r="N549" i="17"/>
  <c r="W548" i="17"/>
  <c r="B548" i="17"/>
  <c r="I547" i="17"/>
  <c r="S546" i="17"/>
  <c r="Y545" i="17"/>
  <c r="C545" i="17"/>
  <c r="M544" i="17"/>
  <c r="T543" i="17"/>
  <c r="AD542" i="17"/>
  <c r="G542" i="17"/>
  <c r="P541" i="17"/>
  <c r="W540" i="17"/>
  <c r="AE539" i="17"/>
  <c r="J539" i="17"/>
  <c r="R538" i="17"/>
  <c r="AA537" i="17"/>
  <c r="F537" i="17"/>
  <c r="M536" i="17"/>
  <c r="U535" i="17"/>
  <c r="AB534" i="17"/>
  <c r="G534" i="17"/>
  <c r="P533" i="17"/>
  <c r="X532" i="17"/>
  <c r="C532" i="17"/>
  <c r="K531" i="17"/>
  <c r="R530" i="17"/>
  <c r="Z529" i="17"/>
  <c r="D529" i="17"/>
  <c r="N528" i="17"/>
  <c r="U527" i="17"/>
  <c r="AE526" i="17"/>
  <c r="I526" i="17"/>
  <c r="O525" i="17"/>
  <c r="Y524" i="17"/>
  <c r="A524" i="17"/>
  <c r="K523" i="17"/>
  <c r="S522" i="17"/>
  <c r="AB521" i="17"/>
  <c r="G521" i="17"/>
  <c r="L520" i="17"/>
  <c r="V519" i="17"/>
  <c r="AD518" i="17"/>
  <c r="H518" i="17"/>
  <c r="R517" i="17"/>
  <c r="Y516" i="17"/>
  <c r="D516" i="17"/>
  <c r="I515" i="17"/>
  <c r="S514" i="17"/>
  <c r="AB513" i="17"/>
  <c r="F513" i="17"/>
  <c r="Q512" i="17"/>
  <c r="AB511" i="17"/>
  <c r="E511" i="17"/>
  <c r="P510" i="17"/>
  <c r="AA509" i="17"/>
  <c r="E509" i="17"/>
  <c r="O508" i="17"/>
  <c r="Z507" i="17"/>
  <c r="F507" i="17"/>
  <c r="Q506" i="17"/>
  <c r="AC505" i="17"/>
  <c r="J505" i="17"/>
  <c r="V504" i="17"/>
  <c r="E504" i="17"/>
  <c r="S503" i="17"/>
  <c r="B503" i="17"/>
  <c r="P502" i="17"/>
  <c r="AD501" i="17"/>
  <c r="M501" i="17"/>
  <c r="AA500" i="17"/>
  <c r="J500" i="17"/>
  <c r="X499" i="17"/>
  <c r="F499" i="17"/>
  <c r="T498" i="17"/>
  <c r="C498" i="17"/>
  <c r="Q497" i="17"/>
  <c r="AE496" i="17"/>
  <c r="N496" i="17"/>
  <c r="AB495" i="17"/>
  <c r="K495" i="17"/>
  <c r="Y494" i="17"/>
  <c r="H494" i="17"/>
  <c r="V493" i="17"/>
  <c r="E493" i="17"/>
  <c r="S492" i="17"/>
  <c r="B492" i="17"/>
  <c r="P491" i="17"/>
  <c r="AC490" i="17"/>
  <c r="L490" i="17"/>
  <c r="Z489" i="17"/>
  <c r="I489" i="17"/>
  <c r="W488" i="17"/>
  <c r="F488" i="17"/>
  <c r="T487" i="17"/>
  <c r="C487" i="17"/>
  <c r="Q486" i="17"/>
  <c r="AE485" i="17"/>
  <c r="N485" i="17"/>
  <c r="AB484" i="17"/>
  <c r="K484" i="17"/>
  <c r="Y483" i="17"/>
  <c r="H483" i="17"/>
  <c r="U482" i="17"/>
  <c r="D482" i="17"/>
  <c r="R481" i="17"/>
  <c r="A481" i="17"/>
  <c r="O480" i="17"/>
  <c r="AC479" i="17"/>
  <c r="L479" i="17"/>
  <c r="Z478" i="17"/>
  <c r="I478" i="17"/>
  <c r="W477" i="17"/>
  <c r="F477" i="17"/>
  <c r="T476" i="17"/>
  <c r="C476" i="17"/>
  <c r="Q475" i="17"/>
  <c r="AE474" i="17"/>
  <c r="M474" i="17"/>
  <c r="AA473" i="17"/>
  <c r="J473" i="17"/>
  <c r="X472" i="17"/>
  <c r="G472" i="17"/>
  <c r="U471" i="17"/>
  <c r="D471" i="17"/>
  <c r="R470" i="17"/>
  <c r="B470" i="17"/>
  <c r="Q469" i="17"/>
  <c r="A469" i="17"/>
  <c r="P468" i="17"/>
  <c r="AE467" i="17"/>
  <c r="O467" i="17"/>
  <c r="AD466" i="17"/>
  <c r="N466" i="17"/>
  <c r="AC465" i="17"/>
  <c r="M465" i="17"/>
  <c r="AB464" i="17"/>
  <c r="L464" i="17"/>
  <c r="AA463" i="17"/>
  <c r="K463" i="17"/>
  <c r="Z462" i="17"/>
  <c r="J462" i="17"/>
  <c r="Y461" i="17"/>
  <c r="I461" i="17"/>
  <c r="X460" i="17"/>
  <c r="H460" i="17"/>
  <c r="W459" i="17"/>
  <c r="G459" i="17"/>
  <c r="V458" i="17"/>
  <c r="F458" i="17"/>
  <c r="U457" i="17"/>
  <c r="E457" i="17"/>
  <c r="T456" i="17"/>
  <c r="D456" i="17"/>
  <c r="S455" i="17"/>
  <c r="C455" i="17"/>
  <c r="R454" i="17"/>
  <c r="B454" i="17"/>
  <c r="Q453" i="17"/>
  <c r="A453" i="17"/>
  <c r="P452" i="17"/>
  <c r="AE451" i="17"/>
  <c r="O451" i="17"/>
  <c r="AD450" i="17"/>
  <c r="N450" i="17"/>
  <c r="AC449" i="17"/>
  <c r="M449" i="17"/>
  <c r="AB448" i="17"/>
  <c r="L448" i="17"/>
  <c r="AA447" i="17"/>
  <c r="K447" i="17"/>
  <c r="Z446" i="17"/>
  <c r="J446" i="17"/>
  <c r="Y445" i="17"/>
  <c r="I445" i="17"/>
  <c r="X444" i="17"/>
  <c r="H444" i="17"/>
  <c r="W443" i="17"/>
  <c r="G443" i="17"/>
  <c r="V442" i="17"/>
  <c r="F442" i="17"/>
  <c r="U441" i="17"/>
  <c r="E441" i="17"/>
  <c r="T440" i="17"/>
  <c r="D440" i="17"/>
  <c r="S439" i="17"/>
  <c r="C439" i="17"/>
  <c r="R438" i="17"/>
  <c r="B438" i="17"/>
  <c r="Q437" i="17"/>
  <c r="A437" i="17"/>
  <c r="P436" i="17"/>
  <c r="AE435" i="17"/>
  <c r="O435" i="17"/>
  <c r="AD434" i="17"/>
  <c r="N434" i="17"/>
  <c r="AC433" i="17"/>
  <c r="M433" i="17"/>
  <c r="AB432" i="17"/>
  <c r="L432" i="17"/>
  <c r="AA431" i="17"/>
  <c r="K431" i="17"/>
  <c r="Z430" i="17"/>
  <c r="J430" i="17"/>
  <c r="Y429" i="17"/>
  <c r="I429" i="17"/>
  <c r="X428" i="17"/>
  <c r="H428" i="17"/>
  <c r="W427" i="17"/>
  <c r="G427" i="17"/>
  <c r="V426" i="17"/>
  <c r="F426" i="17"/>
  <c r="U425" i="17"/>
  <c r="E425" i="17"/>
  <c r="T424" i="17"/>
  <c r="D424" i="17"/>
  <c r="S423" i="17"/>
  <c r="C423" i="17"/>
  <c r="R422" i="17"/>
  <c r="B422" i="17"/>
  <c r="Q421" i="17"/>
  <c r="A421" i="17"/>
  <c r="P420" i="17"/>
  <c r="AE419" i="17"/>
  <c r="O419" i="17"/>
  <c r="AD418" i="17"/>
  <c r="N418" i="17"/>
  <c r="AC417" i="17"/>
  <c r="M417" i="17"/>
  <c r="AB416" i="17"/>
  <c r="L416" i="17"/>
  <c r="AA415" i="17"/>
  <c r="K415" i="17"/>
  <c r="Z414" i="17"/>
  <c r="J414" i="17"/>
  <c r="Y413" i="17"/>
  <c r="I413" i="17"/>
  <c r="X412" i="17"/>
  <c r="H412" i="17"/>
  <c r="W411" i="17"/>
  <c r="G411" i="17"/>
  <c r="V410" i="17"/>
  <c r="F410" i="17"/>
  <c r="U409" i="17"/>
  <c r="E409" i="17"/>
  <c r="T408" i="17"/>
  <c r="D408" i="17"/>
  <c r="S407" i="17"/>
  <c r="C407" i="17"/>
  <c r="R406" i="17"/>
  <c r="B406" i="17"/>
  <c r="Q405" i="17"/>
  <c r="A405" i="17"/>
  <c r="P404" i="17"/>
  <c r="AE403" i="17"/>
  <c r="O403" i="17"/>
  <c r="AD402" i="17"/>
  <c r="N402" i="17"/>
  <c r="AC401" i="17"/>
  <c r="M401" i="17"/>
  <c r="AB400" i="17"/>
  <c r="L400" i="17"/>
  <c r="AA399" i="17"/>
  <c r="K399" i="17"/>
  <c r="Z398" i="17"/>
  <c r="J398" i="17"/>
  <c r="Y397" i="17"/>
  <c r="I397" i="17"/>
  <c r="X396" i="17"/>
  <c r="H396" i="17"/>
  <c r="W395" i="17"/>
  <c r="G395" i="17"/>
  <c r="V394" i="17"/>
  <c r="F394" i="17"/>
  <c r="U393" i="17"/>
  <c r="E393" i="17"/>
  <c r="T392" i="17"/>
  <c r="D392" i="17"/>
  <c r="S391" i="17"/>
  <c r="C391" i="17"/>
  <c r="R390" i="17"/>
  <c r="B390" i="17"/>
  <c r="Q389" i="17"/>
  <c r="A389" i="17"/>
  <c r="P388" i="17"/>
  <c r="AE387" i="17"/>
  <c r="O387" i="17"/>
  <c r="AD386" i="17"/>
  <c r="N386" i="17"/>
  <c r="AC385" i="17"/>
  <c r="M385" i="17"/>
  <c r="AB384" i="17"/>
  <c r="L384" i="17"/>
  <c r="AA383" i="17"/>
  <c r="K383" i="17"/>
  <c r="Z382" i="17"/>
  <c r="J382" i="17"/>
  <c r="Y381" i="17"/>
  <c r="I381" i="17"/>
  <c r="X380" i="17"/>
  <c r="H380" i="17"/>
  <c r="W379" i="17"/>
  <c r="G379" i="17"/>
  <c r="V378" i="17"/>
  <c r="F378" i="17"/>
  <c r="U377" i="17"/>
  <c r="E377" i="17"/>
  <c r="T376" i="17"/>
  <c r="D376" i="17"/>
  <c r="S375" i="17"/>
  <c r="C375" i="17"/>
  <c r="R374" i="17"/>
  <c r="B374" i="17"/>
  <c r="Q373" i="17"/>
  <c r="A373" i="17"/>
  <c r="P372" i="17"/>
  <c r="AE371" i="17"/>
  <c r="O371" i="17"/>
  <c r="AD370" i="17"/>
  <c r="N370" i="17"/>
  <c r="AC369" i="17"/>
  <c r="M369" i="17"/>
  <c r="AB368" i="17"/>
  <c r="L368" i="17"/>
  <c r="AA367" i="17"/>
  <c r="K367" i="17"/>
  <c r="Z366" i="17"/>
  <c r="J366" i="17"/>
  <c r="Y365" i="17"/>
  <c r="I365" i="17"/>
  <c r="X364" i="17"/>
  <c r="H364" i="17"/>
  <c r="W363" i="17"/>
  <c r="G363" i="17"/>
  <c r="V362" i="17"/>
  <c r="F362" i="17"/>
  <c r="U361" i="17"/>
  <c r="E361" i="17"/>
  <c r="T360" i="17"/>
  <c r="D360" i="17"/>
  <c r="S359" i="17"/>
  <c r="C359" i="17"/>
  <c r="R358" i="17"/>
  <c r="B358" i="17"/>
  <c r="Q357" i="17"/>
  <c r="A357" i="17"/>
  <c r="P356" i="17"/>
  <c r="AE355" i="17"/>
  <c r="O355" i="17"/>
  <c r="AD354" i="17"/>
  <c r="N354" i="17"/>
  <c r="AC353" i="17"/>
  <c r="M353" i="17"/>
  <c r="AB352" i="17"/>
  <c r="L352" i="17"/>
  <c r="AA351" i="17"/>
  <c r="K351" i="17"/>
  <c r="Z350" i="17"/>
  <c r="J350" i="17"/>
  <c r="Y349" i="17"/>
  <c r="I349" i="17"/>
  <c r="X348" i="17"/>
  <c r="H348" i="17"/>
  <c r="W347" i="17"/>
  <c r="G347" i="17"/>
  <c r="V346" i="17"/>
  <c r="F346" i="17"/>
  <c r="U345" i="17"/>
  <c r="E345" i="17"/>
  <c r="T344" i="17"/>
  <c r="D344" i="17"/>
  <c r="S343" i="17"/>
  <c r="C343" i="17"/>
  <c r="R342" i="17"/>
  <c r="B342" i="17"/>
  <c r="Q341" i="17"/>
  <c r="A341" i="17"/>
  <c r="P340" i="17"/>
  <c r="AE339" i="17"/>
  <c r="O339" i="17"/>
  <c r="AD338" i="17"/>
  <c r="N338" i="17"/>
  <c r="AC337" i="17"/>
  <c r="M337" i="17"/>
  <c r="AB336" i="17"/>
  <c r="L336" i="17"/>
  <c r="AA335" i="17"/>
  <c r="K335" i="17"/>
  <c r="Z334" i="17"/>
  <c r="J334" i="17"/>
  <c r="Y333" i="17"/>
  <c r="I333" i="17"/>
  <c r="X332" i="17"/>
  <c r="H332" i="17"/>
  <c r="W331" i="17"/>
  <c r="G331" i="17"/>
  <c r="V330" i="17"/>
  <c r="F330" i="17"/>
  <c r="U329" i="17"/>
  <c r="E329" i="17"/>
  <c r="T328" i="17"/>
  <c r="D328" i="17"/>
  <c r="S327" i="17"/>
  <c r="C327" i="17"/>
  <c r="R326" i="17"/>
  <c r="B326" i="17"/>
  <c r="Q325" i="17"/>
  <c r="A325" i="17"/>
  <c r="P324" i="17"/>
  <c r="AE323" i="17"/>
  <c r="O323" i="17"/>
  <c r="AD322" i="17"/>
  <c r="N322" i="17"/>
  <c r="AC321" i="17"/>
  <c r="M321" i="17"/>
  <c r="AB320" i="17"/>
  <c r="L320" i="17"/>
  <c r="AA319" i="17"/>
  <c r="K319" i="17"/>
  <c r="Z318" i="17"/>
  <c r="J318" i="17"/>
  <c r="Y317" i="17"/>
  <c r="I317" i="17"/>
  <c r="X316" i="17"/>
  <c r="H316" i="17"/>
  <c r="W315" i="17"/>
  <c r="G315" i="17"/>
  <c r="V314" i="17"/>
  <c r="F314" i="17"/>
  <c r="U313" i="17"/>
  <c r="E313" i="17"/>
  <c r="T312" i="17"/>
  <c r="D312" i="17"/>
  <c r="S311" i="17"/>
  <c r="C311" i="17"/>
  <c r="R310" i="17"/>
  <c r="B310" i="17"/>
  <c r="Q309" i="17"/>
  <c r="A309" i="17"/>
  <c r="P308" i="17"/>
  <c r="AE307" i="17"/>
  <c r="O307" i="17"/>
  <c r="AD306" i="17"/>
  <c r="N306" i="17"/>
  <c r="AC305" i="17"/>
  <c r="M305" i="17"/>
  <c r="AB304" i="17"/>
  <c r="L304" i="17"/>
  <c r="AA303" i="17"/>
  <c r="K303" i="17"/>
  <c r="Z302" i="17"/>
  <c r="J302" i="17"/>
  <c r="Y301" i="17"/>
  <c r="I301" i="17"/>
  <c r="X300" i="17"/>
  <c r="H300" i="17"/>
  <c r="W299" i="17"/>
  <c r="G299" i="17"/>
  <c r="V298" i="17"/>
  <c r="F298" i="17"/>
  <c r="U297" i="17"/>
  <c r="E297" i="17"/>
  <c r="T296" i="17"/>
  <c r="D296" i="17"/>
  <c r="S295" i="17"/>
  <c r="C295" i="17"/>
  <c r="R294" i="17"/>
  <c r="B294" i="17"/>
  <c r="Q293" i="17"/>
  <c r="A293" i="17"/>
  <c r="P292" i="17"/>
  <c r="AE291" i="17"/>
  <c r="O291" i="17"/>
  <c r="AD290" i="17"/>
  <c r="N290" i="17"/>
  <c r="AC289" i="17"/>
  <c r="M289" i="17"/>
  <c r="AB288" i="17"/>
  <c r="L288" i="17"/>
  <c r="AA287" i="17"/>
  <c r="K287" i="17"/>
  <c r="Z286" i="17"/>
  <c r="J286" i="17"/>
  <c r="Y285" i="17"/>
  <c r="I285" i="17"/>
  <c r="X284" i="17"/>
  <c r="H284" i="17"/>
  <c r="W283" i="17"/>
  <c r="G283" i="17"/>
  <c r="V282" i="17"/>
  <c r="F282" i="17"/>
  <c r="U281" i="17"/>
  <c r="E281" i="17"/>
  <c r="T280" i="17"/>
  <c r="D280" i="17"/>
  <c r="S279" i="17"/>
  <c r="C279" i="17"/>
  <c r="R278" i="17"/>
  <c r="B278" i="17"/>
  <c r="Q277" i="17"/>
  <c r="A277" i="17"/>
  <c r="P276" i="17"/>
  <c r="AE275" i="17"/>
  <c r="O275" i="17"/>
  <c r="V797" i="17"/>
  <c r="Y789" i="17"/>
  <c r="T781" i="17"/>
  <c r="E775" i="17"/>
  <c r="AE767" i="17"/>
  <c r="AB761" i="17"/>
  <c r="W756" i="17"/>
  <c r="B752" i="17"/>
  <c r="H747" i="17"/>
  <c r="T743" i="17"/>
  <c r="U739" i="17"/>
  <c r="N736" i="17"/>
  <c r="AC732" i="17"/>
  <c r="B730" i="17"/>
  <c r="O726" i="17"/>
  <c r="AA722" i="17"/>
  <c r="H720" i="17"/>
  <c r="D717" i="17"/>
  <c r="R714" i="17"/>
  <c r="N711" i="17"/>
  <c r="D709" i="17"/>
  <c r="Q705" i="17"/>
  <c r="AD702" i="17"/>
  <c r="AA699" i="17"/>
  <c r="V697" i="17"/>
  <c r="Z694" i="17"/>
  <c r="S692" i="17"/>
  <c r="I690" i="17"/>
  <c r="C688" i="17"/>
  <c r="Z685" i="17"/>
  <c r="D684" i="17"/>
  <c r="K682" i="17"/>
  <c r="Y680" i="17"/>
  <c r="J679" i="17"/>
  <c r="B678" i="17"/>
  <c r="M676" i="17"/>
  <c r="AB674" i="17"/>
  <c r="O673" i="17"/>
  <c r="AA671" i="17"/>
  <c r="O670" i="17"/>
  <c r="AE668" i="17"/>
  <c r="P667" i="17"/>
  <c r="G666" i="17"/>
  <c r="U664" i="17"/>
  <c r="I663" i="17"/>
  <c r="AC661" i="17"/>
  <c r="P660" i="17"/>
  <c r="F659" i="17"/>
  <c r="X657" i="17"/>
  <c r="Q656" i="17"/>
  <c r="E655" i="17"/>
  <c r="A654" i="17"/>
  <c r="Z652" i="17"/>
  <c r="M651" i="17"/>
  <c r="D650" i="17"/>
  <c r="Z648" i="17"/>
  <c r="M647" i="17"/>
  <c r="G646" i="17"/>
  <c r="Z644" i="17"/>
  <c r="W643" i="17"/>
  <c r="L642" i="17"/>
  <c r="D641" i="17"/>
  <c r="AC639" i="17"/>
  <c r="N638" i="17"/>
  <c r="D637" i="17"/>
  <c r="Z635" i="17"/>
  <c r="AD634" i="17"/>
  <c r="AE633" i="17"/>
  <c r="AE632" i="17"/>
  <c r="B632" i="17"/>
  <c r="AD630" i="17"/>
  <c r="A630" i="17"/>
  <c r="A629" i="17"/>
  <c r="C628" i="17"/>
  <c r="H627" i="17"/>
  <c r="G626" i="17"/>
  <c r="I625" i="17"/>
  <c r="G624" i="17"/>
  <c r="H623" i="17"/>
  <c r="L622" i="17"/>
  <c r="Q621" i="17"/>
  <c r="W620" i="17"/>
  <c r="AA619" i="17"/>
  <c r="C619" i="17"/>
  <c r="F618" i="17"/>
  <c r="L617" i="17"/>
  <c r="R616" i="17"/>
  <c r="V615" i="17"/>
  <c r="AC614" i="17"/>
  <c r="D614" i="17"/>
  <c r="J613" i="17"/>
  <c r="R612" i="17"/>
  <c r="Y611" i="17"/>
  <c r="D611" i="17"/>
  <c r="M610" i="17"/>
  <c r="U609" i="17"/>
  <c r="AE608" i="17"/>
  <c r="H608" i="17"/>
  <c r="O607" i="17"/>
  <c r="W606" i="17"/>
  <c r="A606" i="17"/>
  <c r="K605" i="17"/>
  <c r="R604" i="17"/>
  <c r="AB603" i="17"/>
  <c r="F603" i="17"/>
  <c r="L602" i="17"/>
  <c r="V601" i="17"/>
  <c r="AC600" i="17"/>
  <c r="H600" i="17"/>
  <c r="P599" i="17"/>
  <c r="Y598" i="17"/>
  <c r="D598" i="17"/>
  <c r="I597" i="17"/>
  <c r="S596" i="17"/>
  <c r="AA595" i="17"/>
  <c r="E595" i="17"/>
  <c r="O594" i="17"/>
  <c r="V593" i="17"/>
  <c r="A593" i="17"/>
  <c r="F592" i="17"/>
  <c r="P591" i="17"/>
  <c r="Y590" i="17"/>
  <c r="B590" i="17"/>
  <c r="L589" i="17"/>
  <c r="T588" i="17"/>
  <c r="AC587" i="17"/>
  <c r="D587" i="17"/>
  <c r="M586" i="17"/>
  <c r="W585" i="17"/>
  <c r="AD584" i="17"/>
  <c r="I584" i="17"/>
  <c r="R583" i="17"/>
  <c r="Z582" i="17"/>
  <c r="C582" i="17"/>
  <c r="J581" i="17"/>
  <c r="T580" i="17"/>
  <c r="AB579" i="17"/>
  <c r="F579" i="17"/>
  <c r="P578" i="17"/>
  <c r="W577" i="17"/>
  <c r="AE576" i="17"/>
  <c r="H576" i="17"/>
  <c r="Q575" i="17"/>
  <c r="AA574" i="17"/>
  <c r="C574" i="17"/>
  <c r="M573" i="17"/>
  <c r="U572" i="17"/>
  <c r="AB571" i="17"/>
  <c r="F571" i="17"/>
  <c r="N570" i="17"/>
  <c r="X569" i="17"/>
  <c r="A569" i="17"/>
  <c r="J568" i="17"/>
  <c r="T567" i="17"/>
  <c r="Y566" i="17"/>
  <c r="D566" i="17"/>
  <c r="K565" i="17"/>
  <c r="U564" i="17"/>
  <c r="AD563" i="17"/>
  <c r="G563" i="17"/>
  <c r="Q562" i="17"/>
  <c r="V561" i="17"/>
  <c r="A561" i="17"/>
  <c r="I560" i="17"/>
  <c r="R559" i="17"/>
  <c r="AB558" i="17"/>
  <c r="D558" i="17"/>
  <c r="N557" i="17"/>
  <c r="T556" i="17"/>
  <c r="AC555" i="17"/>
  <c r="H555" i="17"/>
  <c r="O554" i="17"/>
  <c r="Y553" i="17"/>
  <c r="B553" i="17"/>
  <c r="K552" i="17"/>
  <c r="R551" i="17"/>
  <c r="Z550" i="17"/>
  <c r="E550" i="17"/>
  <c r="M549" i="17"/>
  <c r="V548" i="17"/>
  <c r="A548" i="17"/>
  <c r="H547" i="17"/>
  <c r="P546" i="17"/>
  <c r="W545" i="17"/>
  <c r="B545" i="17"/>
  <c r="K544" i="17"/>
  <c r="S543" i="17"/>
  <c r="AC542" i="17"/>
  <c r="F542" i="17"/>
  <c r="M541" i="17"/>
  <c r="U540" i="17"/>
  <c r="AD539" i="17"/>
  <c r="I539" i="17"/>
  <c r="P538" i="17"/>
  <c r="Z537" i="17"/>
  <c r="D537" i="17"/>
  <c r="J536" i="17"/>
  <c r="T535" i="17"/>
  <c r="AA534" i="17"/>
  <c r="F534" i="17"/>
  <c r="N533" i="17"/>
  <c r="W532" i="17"/>
  <c r="B532" i="17"/>
  <c r="G531" i="17"/>
  <c r="Q530" i="17"/>
  <c r="Y529" i="17"/>
  <c r="C529" i="17"/>
  <c r="M528" i="17"/>
  <c r="T527" i="17"/>
  <c r="AD526" i="17"/>
  <c r="D526" i="17"/>
  <c r="N525" i="17"/>
  <c r="W524" i="17"/>
  <c r="AE523" i="17"/>
  <c r="J523" i="17"/>
  <c r="R522" i="17"/>
  <c r="AA521" i="17"/>
  <c r="B521" i="17"/>
  <c r="K520" i="17"/>
  <c r="U519" i="17"/>
  <c r="AB518" i="17"/>
  <c r="G518" i="17"/>
  <c r="P517" i="17"/>
  <c r="X516" i="17"/>
  <c r="A516" i="17"/>
  <c r="H515" i="17"/>
  <c r="R514" i="17"/>
  <c r="Z513" i="17"/>
  <c r="E513" i="17"/>
  <c r="P512" i="17"/>
  <c r="Z511" i="17"/>
  <c r="D511" i="17"/>
  <c r="O510" i="17"/>
  <c r="Z509" i="17"/>
  <c r="C509" i="17"/>
  <c r="M508" i="17"/>
  <c r="Y507" i="17"/>
  <c r="D507" i="17"/>
  <c r="P506" i="17"/>
  <c r="AB505" i="17"/>
  <c r="I505" i="17"/>
  <c r="U504" i="17"/>
  <c r="D504" i="17"/>
  <c r="R503" i="17"/>
  <c r="A503" i="17"/>
  <c r="O502" i="17"/>
  <c r="AC501" i="17"/>
  <c r="L501" i="17"/>
  <c r="Z500" i="17"/>
  <c r="I500" i="17"/>
  <c r="V499" i="17"/>
  <c r="E499" i="17"/>
  <c r="S498" i="17"/>
  <c r="B498" i="17"/>
  <c r="P497" i="17"/>
  <c r="AD496" i="17"/>
  <c r="M496" i="17"/>
  <c r="AA495" i="17"/>
  <c r="J495" i="17"/>
  <c r="X494" i="17"/>
  <c r="G494" i="17"/>
  <c r="U493" i="17"/>
  <c r="D493" i="17"/>
  <c r="R492" i="17"/>
  <c r="A492" i="17"/>
  <c r="N491" i="17"/>
  <c r="AB490" i="17"/>
  <c r="K490" i="17"/>
  <c r="Y489" i="17"/>
  <c r="H489" i="17"/>
  <c r="V488" i="17"/>
  <c r="E488" i="17"/>
  <c r="S487" i="17"/>
  <c r="B487" i="17"/>
  <c r="P486" i="17"/>
  <c r="AD485" i="17"/>
  <c r="M485" i="17"/>
  <c r="AA484" i="17"/>
  <c r="J484" i="17"/>
  <c r="X483" i="17"/>
  <c r="F483" i="17"/>
  <c r="T482" i="17"/>
  <c r="C482" i="17"/>
  <c r="Q481" i="17"/>
  <c r="AE480" i="17"/>
  <c r="N480" i="17"/>
  <c r="AB479" i="17"/>
  <c r="K479" i="17"/>
  <c r="Y478" i="17"/>
  <c r="H478" i="17"/>
  <c r="V477" i="17"/>
  <c r="E477" i="17"/>
  <c r="S476" i="17"/>
  <c r="B476" i="17"/>
  <c r="P475" i="17"/>
  <c r="AC474" i="17"/>
  <c r="L474" i="17"/>
  <c r="Z473" i="17"/>
  <c r="I473" i="17"/>
  <c r="W472" i="17"/>
  <c r="F472" i="17"/>
  <c r="T471" i="17"/>
  <c r="C471" i="17"/>
  <c r="Q470" i="17"/>
  <c r="A470" i="17"/>
  <c r="P469" i="17"/>
  <c r="AE468" i="17"/>
  <c r="O468" i="17"/>
  <c r="AD467" i="17"/>
  <c r="N467" i="17"/>
  <c r="AC466" i="17"/>
  <c r="M466" i="17"/>
  <c r="AB465" i="17"/>
  <c r="L465" i="17"/>
  <c r="AA464" i="17"/>
  <c r="K464" i="17"/>
  <c r="Z463" i="17"/>
  <c r="J463" i="17"/>
  <c r="Y462" i="17"/>
  <c r="I462" i="17"/>
  <c r="X461" i="17"/>
  <c r="H461" i="17"/>
  <c r="W460" i="17"/>
  <c r="G460" i="17"/>
  <c r="V459" i="17"/>
  <c r="F459" i="17"/>
  <c r="U458" i="17"/>
  <c r="E458" i="17"/>
  <c r="T457" i="17"/>
  <c r="D457" i="17"/>
  <c r="S456" i="17"/>
  <c r="C456" i="17"/>
  <c r="R455" i="17"/>
  <c r="B455" i="17"/>
  <c r="Q454" i="17"/>
  <c r="A454" i="17"/>
  <c r="P453" i="17"/>
  <c r="AE452" i="17"/>
  <c r="O452" i="17"/>
  <c r="AD451" i="17"/>
  <c r="N451" i="17"/>
  <c r="AC450" i="17"/>
  <c r="M450" i="17"/>
  <c r="AB449" i="17"/>
  <c r="L449" i="17"/>
  <c r="AA448" i="17"/>
  <c r="K448" i="17"/>
  <c r="Z447" i="17"/>
  <c r="J447" i="17"/>
  <c r="Y446" i="17"/>
  <c r="I446" i="17"/>
  <c r="X445" i="17"/>
  <c r="H445" i="17"/>
  <c r="W444" i="17"/>
  <c r="G444" i="17"/>
  <c r="V443" i="17"/>
  <c r="F443" i="17"/>
  <c r="U442" i="17"/>
  <c r="E442" i="17"/>
  <c r="T441" i="17"/>
  <c r="D441" i="17"/>
  <c r="S440" i="17"/>
  <c r="C440" i="17"/>
  <c r="R439" i="17"/>
  <c r="B439" i="17"/>
  <c r="Q438" i="17"/>
  <c r="A438" i="17"/>
  <c r="P437" i="17"/>
  <c r="AE436" i="17"/>
  <c r="O436" i="17"/>
  <c r="AD435" i="17"/>
  <c r="N435" i="17"/>
  <c r="AC434" i="17"/>
  <c r="M434" i="17"/>
  <c r="AB433" i="17"/>
  <c r="L433" i="17"/>
  <c r="AA432" i="17"/>
  <c r="K432" i="17"/>
  <c r="Z431" i="17"/>
  <c r="J431" i="17"/>
  <c r="Y430" i="17"/>
  <c r="I430" i="17"/>
  <c r="X429" i="17"/>
  <c r="H429" i="17"/>
  <c r="W428" i="17"/>
  <c r="G428" i="17"/>
  <c r="V427" i="17"/>
  <c r="F427" i="17"/>
  <c r="U426" i="17"/>
  <c r="E426" i="17"/>
  <c r="T425" i="17"/>
  <c r="D425" i="17"/>
  <c r="S424" i="17"/>
  <c r="C424" i="17"/>
  <c r="R423" i="17"/>
  <c r="B423" i="17"/>
  <c r="Q422" i="17"/>
  <c r="A422" i="17"/>
  <c r="P421" i="17"/>
  <c r="AE420" i="17"/>
  <c r="O420" i="17"/>
  <c r="AD419" i="17"/>
  <c r="N419" i="17"/>
  <c r="AC418" i="17"/>
  <c r="M418" i="17"/>
  <c r="AB417" i="17"/>
  <c r="L417" i="17"/>
  <c r="AA416" i="17"/>
  <c r="K416" i="17"/>
  <c r="Z415" i="17"/>
  <c r="J415" i="17"/>
  <c r="Y414" i="17"/>
  <c r="I414" i="17"/>
  <c r="X413" i="17"/>
  <c r="H413" i="17"/>
  <c r="W412" i="17"/>
  <c r="G412" i="17"/>
  <c r="V411" i="17"/>
  <c r="F411" i="17"/>
  <c r="U410" i="17"/>
  <c r="E410" i="17"/>
  <c r="T409" i="17"/>
  <c r="D409" i="17"/>
  <c r="S408" i="17"/>
  <c r="C408" i="17"/>
  <c r="R407" i="17"/>
  <c r="B407" i="17"/>
  <c r="Q406" i="17"/>
  <c r="A406" i="17"/>
  <c r="P405" i="17"/>
  <c r="AE404" i="17"/>
  <c r="O404" i="17"/>
  <c r="AD403" i="17"/>
  <c r="N403" i="17"/>
  <c r="AC402" i="17"/>
  <c r="M402" i="17"/>
  <c r="AB401" i="17"/>
  <c r="L401" i="17"/>
  <c r="AA400" i="17"/>
  <c r="K400" i="17"/>
  <c r="Z399" i="17"/>
  <c r="J399" i="17"/>
  <c r="Y398" i="17"/>
  <c r="I398" i="17"/>
  <c r="X397" i="17"/>
  <c r="H397" i="17"/>
  <c r="W396" i="17"/>
  <c r="G396" i="17"/>
  <c r="V395" i="17"/>
  <c r="F395" i="17"/>
  <c r="U394" i="17"/>
  <c r="E394" i="17"/>
  <c r="T393" i="17"/>
  <c r="D393" i="17"/>
  <c r="S392" i="17"/>
  <c r="C392" i="17"/>
  <c r="R391" i="17"/>
  <c r="B391" i="17"/>
  <c r="Q390" i="17"/>
  <c r="A390" i="17"/>
  <c r="P389" i="17"/>
  <c r="AE388" i="17"/>
  <c r="O388" i="17"/>
  <c r="AD387" i="17"/>
  <c r="N387" i="17"/>
  <c r="AC386" i="17"/>
  <c r="M386" i="17"/>
  <c r="AB385" i="17"/>
  <c r="L385" i="17"/>
  <c r="AA384" i="17"/>
  <c r="K384" i="17"/>
  <c r="Z383" i="17"/>
  <c r="J383" i="17"/>
  <c r="Y382" i="17"/>
  <c r="I382" i="17"/>
  <c r="X381" i="17"/>
  <c r="H381" i="17"/>
  <c r="W380" i="17"/>
  <c r="G380" i="17"/>
  <c r="V379" i="17"/>
  <c r="F379" i="17"/>
  <c r="U378" i="17"/>
  <c r="E378" i="17"/>
  <c r="T377" i="17"/>
  <c r="D377" i="17"/>
  <c r="S376" i="17"/>
  <c r="C376" i="17"/>
  <c r="R375" i="17"/>
  <c r="B375" i="17"/>
  <c r="Q374" i="17"/>
  <c r="A374" i="17"/>
  <c r="P373" i="17"/>
  <c r="AE372" i="17"/>
  <c r="O372" i="17"/>
  <c r="AD371" i="17"/>
  <c r="N371" i="17"/>
  <c r="AC370" i="17"/>
  <c r="M370" i="17"/>
  <c r="AB369" i="17"/>
  <c r="L369" i="17"/>
  <c r="AA368" i="17"/>
  <c r="K368" i="17"/>
  <c r="Z367" i="17"/>
  <c r="J367" i="17"/>
  <c r="Y366" i="17"/>
  <c r="I366" i="17"/>
  <c r="X365" i="17"/>
  <c r="H365" i="17"/>
  <c r="W364" i="17"/>
  <c r="G364" i="17"/>
  <c r="V363" i="17"/>
  <c r="F363" i="17"/>
  <c r="U362" i="17"/>
  <c r="E362" i="17"/>
  <c r="T361" i="17"/>
  <c r="D361" i="17"/>
  <c r="S360" i="17"/>
  <c r="C360" i="17"/>
  <c r="R359" i="17"/>
  <c r="B359" i="17"/>
  <c r="Q358" i="17"/>
  <c r="A358" i="17"/>
  <c r="P357" i="17"/>
  <c r="AE356" i="17"/>
  <c r="O356" i="17"/>
  <c r="AD355" i="17"/>
  <c r="N355" i="17"/>
  <c r="AC354" i="17"/>
  <c r="M354" i="17"/>
  <c r="AB353" i="17"/>
  <c r="L353" i="17"/>
  <c r="AA352" i="17"/>
  <c r="K352" i="17"/>
  <c r="Z351" i="17"/>
  <c r="J351" i="17"/>
  <c r="Y350" i="17"/>
  <c r="I350" i="17"/>
  <c r="X349" i="17"/>
  <c r="H349" i="17"/>
  <c r="W348" i="17"/>
  <c r="G348" i="17"/>
  <c r="V347" i="17"/>
  <c r="F347" i="17"/>
  <c r="U346" i="17"/>
  <c r="E346" i="17"/>
  <c r="T345" i="17"/>
  <c r="D345" i="17"/>
  <c r="S344" i="17"/>
  <c r="C344" i="17"/>
  <c r="R343" i="17"/>
  <c r="B343" i="17"/>
  <c r="Q342" i="17"/>
  <c r="A342" i="17"/>
  <c r="P341" i="17"/>
  <c r="AE340" i="17"/>
  <c r="O340" i="17"/>
  <c r="AD339" i="17"/>
  <c r="N339" i="17"/>
  <c r="AC338" i="17"/>
  <c r="M338" i="17"/>
  <c r="AB337" i="17"/>
  <c r="L337" i="17"/>
  <c r="AA336" i="17"/>
  <c r="K336" i="17"/>
  <c r="Z335" i="17"/>
  <c r="J335" i="17"/>
  <c r="Y334" i="17"/>
  <c r="I334" i="17"/>
  <c r="X333" i="17"/>
  <c r="H333" i="17"/>
  <c r="W332" i="17"/>
  <c r="G332" i="17"/>
  <c r="V331" i="17"/>
  <c r="F331" i="17"/>
  <c r="U330" i="17"/>
  <c r="E330" i="17"/>
  <c r="T329" i="17"/>
  <c r="D329" i="17"/>
  <c r="S328" i="17"/>
  <c r="C328" i="17"/>
  <c r="R327" i="17"/>
  <c r="B327" i="17"/>
  <c r="Q326" i="17"/>
  <c r="A326" i="17"/>
  <c r="P325" i="17"/>
  <c r="AE324" i="17"/>
  <c r="O324" i="17"/>
  <c r="AD323" i="17"/>
  <c r="N323" i="17"/>
  <c r="AC322" i="17"/>
  <c r="M322" i="17"/>
  <c r="AB321" i="17"/>
  <c r="L321" i="17"/>
  <c r="AA320" i="17"/>
  <c r="K320" i="17"/>
  <c r="Z319" i="17"/>
  <c r="J319" i="17"/>
  <c r="Y318" i="17"/>
  <c r="I318" i="17"/>
  <c r="X317" i="17"/>
  <c r="H317" i="17"/>
  <c r="W316" i="17"/>
  <c r="G316" i="17"/>
  <c r="V315" i="17"/>
  <c r="F315" i="17"/>
  <c r="U314" i="17"/>
  <c r="E314" i="17"/>
  <c r="T313" i="17"/>
  <c r="D313" i="17"/>
  <c r="S312" i="17"/>
  <c r="C312" i="17"/>
  <c r="R311" i="17"/>
  <c r="B311" i="17"/>
  <c r="Q310" i="17"/>
  <c r="A310" i="17"/>
  <c r="P309" i="17"/>
  <c r="AE308" i="17"/>
  <c r="O308" i="17"/>
  <c r="AD307" i="17"/>
  <c r="N307" i="17"/>
  <c r="AC306" i="17"/>
  <c r="M306" i="17"/>
  <c r="AB305" i="17"/>
  <c r="L305" i="17"/>
  <c r="AA304" i="17"/>
  <c r="K304" i="17"/>
  <c r="Z303" i="17"/>
  <c r="J303" i="17"/>
  <c r="Y302" i="17"/>
  <c r="I302" i="17"/>
  <c r="X301" i="17"/>
  <c r="H301" i="17"/>
  <c r="W300" i="17"/>
  <c r="G300" i="17"/>
  <c r="V299" i="17"/>
  <c r="F299" i="17"/>
  <c r="U298" i="17"/>
  <c r="E298" i="17"/>
  <c r="T297" i="17"/>
  <c r="D297" i="17"/>
  <c r="S296" i="17"/>
  <c r="C296" i="17"/>
  <c r="R295" i="17"/>
  <c r="B295" i="17"/>
  <c r="Q294" i="17"/>
  <c r="A294" i="17"/>
  <c r="P293" i="17"/>
  <c r="AE292" i="17"/>
  <c r="O292" i="17"/>
  <c r="AD291" i="17"/>
  <c r="N291" i="17"/>
  <c r="AC290" i="17"/>
  <c r="M290" i="17"/>
  <c r="AB289" i="17"/>
  <c r="L289" i="17"/>
  <c r="AA288" i="17"/>
  <c r="K288" i="17"/>
  <c r="Z287" i="17"/>
  <c r="J287" i="17"/>
  <c r="Y286" i="17"/>
  <c r="I286" i="17"/>
  <c r="X285" i="17"/>
  <c r="H285" i="17"/>
  <c r="W284" i="17"/>
  <c r="G284" i="17"/>
  <c r="V283" i="17"/>
  <c r="F283" i="17"/>
  <c r="U282" i="17"/>
  <c r="E282" i="17"/>
  <c r="T281" i="17"/>
  <c r="D281" i="17"/>
  <c r="S280" i="17"/>
  <c r="C280" i="17"/>
  <c r="R279" i="17"/>
  <c r="B279" i="17"/>
  <c r="Q278" i="17"/>
  <c r="A278" i="17"/>
  <c r="P277" i="17"/>
  <c r="AE276" i="17"/>
  <c r="O276" i="17"/>
  <c r="AD275" i="17"/>
  <c r="N275" i="17"/>
  <c r="B797" i="17"/>
  <c r="X789" i="17"/>
  <c r="R781" i="17"/>
  <c r="C775" i="17"/>
  <c r="O767" i="17"/>
  <c r="Y761" i="17"/>
  <c r="R756" i="17"/>
  <c r="X751" i="17"/>
  <c r="G747" i="17"/>
  <c r="E743" i="17"/>
  <c r="S739" i="17"/>
  <c r="G736" i="17"/>
  <c r="V732" i="17"/>
  <c r="Y729" i="17"/>
  <c r="G726" i="17"/>
  <c r="X722" i="17"/>
  <c r="S719" i="17"/>
  <c r="P716" i="17"/>
  <c r="G714" i="17"/>
  <c r="D711" i="17"/>
  <c r="V708" i="17"/>
  <c r="M705" i="17"/>
  <c r="AB702" i="17"/>
  <c r="Z699" i="17"/>
  <c r="Q697" i="17"/>
  <c r="Y694" i="17"/>
  <c r="P692" i="17"/>
  <c r="C690" i="17"/>
  <c r="AA687" i="17"/>
  <c r="Y685" i="17"/>
  <c r="Z683" i="17"/>
  <c r="J682" i="17"/>
  <c r="V680" i="17"/>
  <c r="G679" i="17"/>
  <c r="A678" i="17"/>
  <c r="G676" i="17"/>
  <c r="Z674" i="17"/>
  <c r="N673" i="17"/>
  <c r="Z671" i="17"/>
  <c r="N670" i="17"/>
  <c r="AA668" i="17"/>
  <c r="O667" i="17"/>
  <c r="AA665" i="17"/>
  <c r="Q664" i="17"/>
  <c r="H663" i="17"/>
  <c r="AA661" i="17"/>
  <c r="N660" i="17"/>
  <c r="E659" i="17"/>
  <c r="W657" i="17"/>
  <c r="O656" i="17"/>
  <c r="B655" i="17"/>
  <c r="AE653" i="17"/>
  <c r="U652" i="17"/>
  <c r="L651" i="17"/>
  <c r="C650" i="17"/>
  <c r="Y648" i="17"/>
  <c r="L647" i="17"/>
  <c r="D646" i="17"/>
  <c r="Y644" i="17"/>
  <c r="V643" i="17"/>
  <c r="I642" i="17"/>
  <c r="C641" i="17"/>
  <c r="X639" i="17"/>
  <c r="M638" i="17"/>
  <c r="C637" i="17"/>
  <c r="Y635" i="17"/>
  <c r="Z634" i="17"/>
  <c r="AC633" i="17"/>
  <c r="AD632" i="17"/>
  <c r="A632" i="17"/>
  <c r="AC630" i="17"/>
  <c r="AE629" i="17"/>
  <c r="AE628" i="17"/>
  <c r="A628" i="17"/>
  <c r="G627" i="17"/>
  <c r="F626" i="17"/>
  <c r="H625" i="17"/>
  <c r="E624" i="17"/>
  <c r="G623" i="17"/>
  <c r="J622" i="17"/>
  <c r="P621" i="17"/>
  <c r="V620" i="17"/>
  <c r="Z619" i="17"/>
  <c r="B619" i="17"/>
  <c r="D618" i="17"/>
  <c r="I617" i="17"/>
  <c r="Q616" i="17"/>
  <c r="T615" i="17"/>
  <c r="AB614" i="17"/>
  <c r="B614" i="17"/>
  <c r="I613" i="17"/>
  <c r="Q612" i="17"/>
  <c r="X611" i="17"/>
  <c r="C611" i="17"/>
  <c r="K610" i="17"/>
  <c r="T609" i="17"/>
  <c r="AD608" i="17"/>
  <c r="F608" i="17"/>
  <c r="N607" i="17"/>
  <c r="V606" i="17"/>
  <c r="AE605" i="17"/>
  <c r="J605" i="17"/>
  <c r="Q604" i="17"/>
  <c r="AA603" i="17"/>
  <c r="D603" i="17"/>
  <c r="K602" i="17"/>
  <c r="T601" i="17"/>
  <c r="AB600" i="17"/>
  <c r="G600" i="17"/>
  <c r="O599" i="17"/>
  <c r="X598" i="17"/>
  <c r="C598" i="17"/>
  <c r="H597" i="17"/>
  <c r="R596" i="17"/>
  <c r="Y595" i="17"/>
  <c r="D595" i="17"/>
  <c r="M594" i="17"/>
  <c r="U593" i="17"/>
  <c r="AE592" i="17"/>
  <c r="E592" i="17"/>
  <c r="O591" i="17"/>
  <c r="W590" i="17"/>
  <c r="A590" i="17"/>
  <c r="K589" i="17"/>
  <c r="R588" i="17"/>
  <c r="AB587" i="17"/>
  <c r="C587" i="17"/>
  <c r="L586" i="17"/>
  <c r="V585" i="17"/>
  <c r="AC584" i="17"/>
  <c r="H584" i="17"/>
  <c r="P583" i="17"/>
  <c r="Y582" i="17"/>
  <c r="A582" i="17"/>
  <c r="I581" i="17"/>
  <c r="S580" i="17"/>
  <c r="AA579" i="17"/>
  <c r="E579" i="17"/>
  <c r="O578" i="17"/>
  <c r="V577" i="17"/>
  <c r="AD576" i="17"/>
  <c r="F576" i="17"/>
  <c r="P575" i="17"/>
  <c r="Y574" i="17"/>
  <c r="B574" i="17"/>
  <c r="L573" i="17"/>
  <c r="T572" i="17"/>
  <c r="AA571" i="17"/>
  <c r="D571" i="17"/>
  <c r="M570" i="17"/>
  <c r="W569" i="17"/>
  <c r="AD568" i="17"/>
  <c r="I568" i="17"/>
  <c r="R567" i="17"/>
  <c r="X566" i="17"/>
  <c r="C566" i="17"/>
  <c r="J565" i="17"/>
  <c r="T564" i="17"/>
  <c r="AB563" i="17"/>
  <c r="F563" i="17"/>
  <c r="P562" i="17"/>
  <c r="U561" i="17"/>
  <c r="AE560" i="17"/>
  <c r="H560" i="17"/>
  <c r="Q559" i="17"/>
  <c r="AA558" i="17"/>
  <c r="C558" i="17"/>
  <c r="M557" i="17"/>
  <c r="R556" i="17"/>
  <c r="AB555" i="17"/>
  <c r="F555" i="17"/>
  <c r="N554" i="17"/>
  <c r="X553" i="17"/>
  <c r="A553" i="17"/>
  <c r="J552" i="17"/>
  <c r="P551" i="17"/>
  <c r="Y550" i="17"/>
  <c r="D550" i="17"/>
  <c r="K549" i="17"/>
  <c r="U548" i="17"/>
  <c r="AD547" i="17"/>
  <c r="G547" i="17"/>
  <c r="O546" i="17"/>
  <c r="V545" i="17"/>
  <c r="A545" i="17"/>
  <c r="I544" i="17"/>
  <c r="R543" i="17"/>
  <c r="AB542" i="17"/>
  <c r="D542" i="17"/>
  <c r="L541" i="17"/>
  <c r="T540" i="17"/>
  <c r="AC539" i="17"/>
  <c r="H539" i="17"/>
  <c r="O538" i="17"/>
  <c r="Y537" i="17"/>
  <c r="B537" i="17"/>
  <c r="I536" i="17"/>
  <c r="R535" i="17"/>
  <c r="Z534" i="17"/>
  <c r="E534" i="17"/>
  <c r="M533" i="17"/>
  <c r="V532" i="17"/>
  <c r="A532" i="17"/>
  <c r="F531" i="17"/>
  <c r="P530" i="17"/>
  <c r="W529" i="17"/>
  <c r="B529" i="17"/>
  <c r="K528" i="17"/>
  <c r="S527" i="17"/>
  <c r="AC526" i="17"/>
  <c r="C526" i="17"/>
  <c r="M525" i="17"/>
  <c r="U524" i="17"/>
  <c r="AD523" i="17"/>
  <c r="I523" i="17"/>
  <c r="P522" i="17"/>
  <c r="Z521" i="17"/>
  <c r="A521" i="17"/>
  <c r="J520" i="17"/>
  <c r="T519" i="17"/>
  <c r="AA518" i="17"/>
  <c r="F518" i="17"/>
  <c r="N517" i="17"/>
  <c r="W516" i="17"/>
  <c r="AD515" i="17"/>
  <c r="G515" i="17"/>
  <c r="Q514" i="17"/>
  <c r="Y513" i="17"/>
  <c r="D513" i="17"/>
  <c r="O512" i="17"/>
  <c r="X511" i="17"/>
  <c r="C511" i="17"/>
  <c r="N510" i="17"/>
  <c r="X509" i="17"/>
  <c r="A509" i="17"/>
  <c r="L508" i="17"/>
  <c r="X507" i="17"/>
  <c r="C507" i="17"/>
  <c r="O506" i="17"/>
  <c r="AA505" i="17"/>
  <c r="H505" i="17"/>
  <c r="T504" i="17"/>
  <c r="C504" i="17"/>
  <c r="Q503" i="17"/>
  <c r="AE502" i="17"/>
  <c r="N502" i="17"/>
  <c r="AB501" i="17"/>
  <c r="K501" i="17"/>
  <c r="Y500" i="17"/>
  <c r="G500" i="17"/>
  <c r="U499" i="17"/>
  <c r="D499" i="17"/>
  <c r="R498" i="17"/>
  <c r="A498" i="17"/>
  <c r="O497" i="17"/>
  <c r="AC496" i="17"/>
  <c r="L496" i="17"/>
  <c r="Z495" i="17"/>
  <c r="I495" i="17"/>
  <c r="W494" i="17"/>
  <c r="F494" i="17"/>
  <c r="T493" i="17"/>
  <c r="C493" i="17"/>
  <c r="Q492" i="17"/>
  <c r="AD491" i="17"/>
  <c r="M491" i="17"/>
  <c r="AA490" i="17"/>
  <c r="J490" i="17"/>
  <c r="X489" i="17"/>
  <c r="G489" i="17"/>
  <c r="U488" i="17"/>
  <c r="D488" i="17"/>
  <c r="R487" i="17"/>
  <c r="A487" i="17"/>
  <c r="O486" i="17"/>
  <c r="AC485" i="17"/>
  <c r="L485" i="17"/>
  <c r="Z484" i="17"/>
  <c r="I484" i="17"/>
  <c r="V483" i="17"/>
  <c r="E483" i="17"/>
  <c r="S482" i="17"/>
  <c r="B482" i="17"/>
  <c r="P481" i="17"/>
  <c r="AD480" i="17"/>
  <c r="M480" i="17"/>
  <c r="AA479" i="17"/>
  <c r="J479" i="17"/>
  <c r="X478" i="17"/>
  <c r="G478" i="17"/>
  <c r="U477" i="17"/>
  <c r="D477" i="17"/>
  <c r="R476" i="17"/>
  <c r="A476" i="17"/>
  <c r="N475" i="17"/>
  <c r="AB474" i="17"/>
  <c r="K474" i="17"/>
  <c r="Y473" i="17"/>
  <c r="H473" i="17"/>
  <c r="V472" i="17"/>
  <c r="E472" i="17"/>
  <c r="S471" i="17"/>
  <c r="B471" i="17"/>
  <c r="P470" i="17"/>
  <c r="AE469" i="17"/>
  <c r="O469" i="17"/>
  <c r="AD468" i="17"/>
  <c r="N468" i="17"/>
  <c r="AC467" i="17"/>
  <c r="M467" i="17"/>
  <c r="AB466" i="17"/>
  <c r="L466" i="17"/>
  <c r="AA465" i="17"/>
  <c r="K465" i="17"/>
  <c r="Z464" i="17"/>
  <c r="J464" i="17"/>
  <c r="Y463" i="17"/>
  <c r="I463" i="17"/>
  <c r="X462" i="17"/>
  <c r="H462" i="17"/>
  <c r="W461" i="17"/>
  <c r="G461" i="17"/>
  <c r="V460" i="17"/>
  <c r="F460" i="17"/>
  <c r="U459" i="17"/>
  <c r="E459" i="17"/>
  <c r="T458" i="17"/>
  <c r="D458" i="17"/>
  <c r="S457" i="17"/>
  <c r="C457" i="17"/>
  <c r="R456" i="17"/>
  <c r="B456" i="17"/>
  <c r="Q455" i="17"/>
  <c r="A455" i="17"/>
  <c r="P454" i="17"/>
  <c r="AE453" i="17"/>
  <c r="O453" i="17"/>
  <c r="AD452" i="17"/>
  <c r="N452" i="17"/>
  <c r="AC451" i="17"/>
  <c r="M451" i="17"/>
  <c r="AB450" i="17"/>
  <c r="L450" i="17"/>
  <c r="AA449" i="17"/>
  <c r="K449" i="17"/>
  <c r="Z448" i="17"/>
  <c r="J448" i="17"/>
  <c r="Y447" i="17"/>
  <c r="I447" i="17"/>
  <c r="X446" i="17"/>
  <c r="H446" i="17"/>
  <c r="W445" i="17"/>
  <c r="G445" i="17"/>
  <c r="V444" i="17"/>
  <c r="F444" i="17"/>
  <c r="U443" i="17"/>
  <c r="E443" i="17"/>
  <c r="T442" i="17"/>
  <c r="D442" i="17"/>
  <c r="S441" i="17"/>
  <c r="C441" i="17"/>
  <c r="R440" i="17"/>
  <c r="B440" i="17"/>
  <c r="Q439" i="17"/>
  <c r="A439" i="17"/>
  <c r="P438" i="17"/>
  <c r="AE437" i="17"/>
  <c r="O437" i="17"/>
  <c r="AD436" i="17"/>
  <c r="N436" i="17"/>
  <c r="AC435" i="17"/>
  <c r="M435" i="17"/>
  <c r="AB434" i="17"/>
  <c r="L434" i="17"/>
  <c r="AA433" i="17"/>
  <c r="K433" i="17"/>
  <c r="Z432" i="17"/>
  <c r="J432" i="17"/>
  <c r="Y431" i="17"/>
  <c r="I431" i="17"/>
  <c r="X430" i="17"/>
  <c r="H430" i="17"/>
  <c r="W429" i="17"/>
  <c r="G429" i="17"/>
  <c r="V428" i="17"/>
  <c r="F428" i="17"/>
  <c r="U427" i="17"/>
  <c r="E427" i="17"/>
  <c r="T426" i="17"/>
  <c r="D426" i="17"/>
  <c r="S425" i="17"/>
  <c r="C425" i="17"/>
  <c r="R424" i="17"/>
  <c r="B424" i="17"/>
  <c r="Q423" i="17"/>
  <c r="A423" i="17"/>
  <c r="P422" i="17"/>
  <c r="AE421" i="17"/>
  <c r="O421" i="17"/>
  <c r="AD420" i="17"/>
  <c r="N420" i="17"/>
  <c r="AC419" i="17"/>
  <c r="M419" i="17"/>
  <c r="AB418" i="17"/>
  <c r="L418" i="17"/>
  <c r="AA417" i="17"/>
  <c r="K417" i="17"/>
  <c r="Z416" i="17"/>
  <c r="J416" i="17"/>
  <c r="Y415" i="17"/>
  <c r="I415" i="17"/>
  <c r="X414" i="17"/>
  <c r="H414" i="17"/>
  <c r="W413" i="17"/>
  <c r="G413" i="17"/>
  <c r="V412" i="17"/>
  <c r="F412" i="17"/>
  <c r="U411" i="17"/>
  <c r="E411" i="17"/>
  <c r="T410" i="17"/>
  <c r="D410" i="17"/>
  <c r="S409" i="17"/>
  <c r="C409" i="17"/>
  <c r="R408" i="17"/>
  <c r="B408" i="17"/>
  <c r="Q407" i="17"/>
  <c r="A407" i="17"/>
  <c r="P406" i="17"/>
  <c r="AE405" i="17"/>
  <c r="O405" i="17"/>
  <c r="AD404" i="17"/>
  <c r="N404" i="17"/>
  <c r="AC403" i="17"/>
  <c r="M403" i="17"/>
  <c r="AB402" i="17"/>
  <c r="L402" i="17"/>
  <c r="AA401" i="17"/>
  <c r="K401" i="17"/>
  <c r="Z400" i="17"/>
  <c r="J400" i="17"/>
  <c r="Y399" i="17"/>
  <c r="I399" i="17"/>
  <c r="X398" i="17"/>
  <c r="H398" i="17"/>
  <c r="W397" i="17"/>
  <c r="G397" i="17"/>
  <c r="V396" i="17"/>
  <c r="F396" i="17"/>
  <c r="U395" i="17"/>
  <c r="E395" i="17"/>
  <c r="T394" i="17"/>
  <c r="D394" i="17"/>
  <c r="S393" i="17"/>
  <c r="C393" i="17"/>
  <c r="R392" i="17"/>
  <c r="B392" i="17"/>
  <c r="Q391" i="17"/>
  <c r="A391" i="17"/>
  <c r="P390" i="17"/>
  <c r="AE389" i="17"/>
  <c r="O389" i="17"/>
  <c r="AD388" i="17"/>
  <c r="N388" i="17"/>
  <c r="AC387" i="17"/>
  <c r="M387" i="17"/>
  <c r="AB386" i="17"/>
  <c r="L386" i="17"/>
  <c r="AA385" i="17"/>
  <c r="K385" i="17"/>
  <c r="Z384" i="17"/>
  <c r="J384" i="17"/>
  <c r="Y383" i="17"/>
  <c r="I383" i="17"/>
  <c r="X382" i="17"/>
  <c r="H382" i="17"/>
  <c r="W381" i="17"/>
  <c r="G381" i="17"/>
  <c r="V380" i="17"/>
  <c r="F380" i="17"/>
  <c r="U379" i="17"/>
  <c r="E379" i="17"/>
  <c r="T378" i="17"/>
  <c r="D378" i="17"/>
  <c r="S377" i="17"/>
  <c r="C377" i="17"/>
  <c r="R376" i="17"/>
  <c r="B376" i="17"/>
  <c r="Q375" i="17"/>
  <c r="A375" i="17"/>
  <c r="P374" i="17"/>
  <c r="AE373" i="17"/>
  <c r="O373" i="17"/>
  <c r="AD372" i="17"/>
  <c r="N372" i="17"/>
  <c r="AC371" i="17"/>
  <c r="M371" i="17"/>
  <c r="AB370" i="17"/>
  <c r="L370" i="17"/>
  <c r="AA369" i="17"/>
  <c r="K369" i="17"/>
  <c r="Z368" i="17"/>
  <c r="J368" i="17"/>
  <c r="Y367" i="17"/>
  <c r="I367" i="17"/>
  <c r="X366" i="17"/>
  <c r="H366" i="17"/>
  <c r="W365" i="17"/>
  <c r="G365" i="17"/>
  <c r="V364" i="17"/>
  <c r="F364" i="17"/>
  <c r="U363" i="17"/>
  <c r="E363" i="17"/>
  <c r="T362" i="17"/>
  <c r="D362" i="17"/>
  <c r="S361" i="17"/>
  <c r="C361" i="17"/>
  <c r="R360" i="17"/>
  <c r="B360" i="17"/>
  <c r="Q359" i="17"/>
  <c r="A359" i="17"/>
  <c r="P358" i="17"/>
  <c r="AE357" i="17"/>
  <c r="O357" i="17"/>
  <c r="AD356" i="17"/>
  <c r="N356" i="17"/>
  <c r="AC355" i="17"/>
  <c r="M355" i="17"/>
  <c r="AB354" i="17"/>
  <c r="L354" i="17"/>
  <c r="AA353" i="17"/>
  <c r="K353" i="17"/>
  <c r="Z352" i="17"/>
  <c r="J352" i="17"/>
  <c r="Y351" i="17"/>
  <c r="I351" i="17"/>
  <c r="X350" i="17"/>
  <c r="H350" i="17"/>
  <c r="W349" i="17"/>
  <c r="G349" i="17"/>
  <c r="V348" i="17"/>
  <c r="F348" i="17"/>
  <c r="U347" i="17"/>
  <c r="E347" i="17"/>
  <c r="T346" i="17"/>
  <c r="D346" i="17"/>
  <c r="S345" i="17"/>
  <c r="C345" i="17"/>
  <c r="R344" i="17"/>
  <c r="B344" i="17"/>
  <c r="Q343" i="17"/>
  <c r="A343" i="17"/>
  <c r="P342" i="17"/>
  <c r="AE341" i="17"/>
  <c r="O341" i="17"/>
  <c r="AD340" i="17"/>
  <c r="N340" i="17"/>
  <c r="AC339" i="17"/>
  <c r="M339" i="17"/>
  <c r="AB338" i="17"/>
  <c r="L338" i="17"/>
  <c r="AA337" i="17"/>
  <c r="K337" i="17"/>
  <c r="Z336" i="17"/>
  <c r="J336" i="17"/>
  <c r="Y335" i="17"/>
  <c r="I335" i="17"/>
  <c r="X334" i="17"/>
  <c r="H334" i="17"/>
  <c r="W333" i="17"/>
  <c r="G333" i="17"/>
  <c r="V332" i="17"/>
  <c r="F332" i="17"/>
  <c r="U331" i="17"/>
  <c r="E331" i="17"/>
  <c r="T330" i="17"/>
  <c r="D330" i="17"/>
  <c r="S329" i="17"/>
  <c r="C329" i="17"/>
  <c r="R328" i="17"/>
  <c r="B328" i="17"/>
  <c r="Q327" i="17"/>
  <c r="A327" i="17"/>
  <c r="P326" i="17"/>
  <c r="AE325" i="17"/>
  <c r="O325" i="17"/>
  <c r="AD324" i="17"/>
  <c r="N324" i="17"/>
  <c r="AC323" i="17"/>
  <c r="M323" i="17"/>
  <c r="AB322" i="17"/>
  <c r="L322" i="17"/>
  <c r="AA321" i="17"/>
  <c r="K321" i="17"/>
  <c r="Z320" i="17"/>
  <c r="J320" i="17"/>
  <c r="Y319" i="17"/>
  <c r="I319" i="17"/>
  <c r="X318" i="17"/>
  <c r="H318" i="17"/>
  <c r="W317" i="17"/>
  <c r="G317" i="17"/>
  <c r="V316" i="17"/>
  <c r="F316" i="17"/>
  <c r="U315" i="17"/>
  <c r="E315" i="17"/>
  <c r="T314" i="17"/>
  <c r="D314" i="17"/>
  <c r="S313" i="17"/>
  <c r="C313" i="17"/>
  <c r="R312" i="17"/>
  <c r="B312" i="17"/>
  <c r="Q311" i="17"/>
  <c r="A311" i="17"/>
  <c r="P310" i="17"/>
  <c r="AE309" i="17"/>
  <c r="O309" i="17"/>
  <c r="AD308" i="17"/>
  <c r="N308" i="17"/>
  <c r="AC307" i="17"/>
  <c r="M307" i="17"/>
  <c r="AB306" i="17"/>
  <c r="L306" i="17"/>
  <c r="AA305" i="17"/>
  <c r="K305" i="17"/>
  <c r="Z304" i="17"/>
  <c r="J304" i="17"/>
  <c r="Y303" i="17"/>
  <c r="I303" i="17"/>
  <c r="X302" i="17"/>
  <c r="H302" i="17"/>
  <c r="W301" i="17"/>
  <c r="G301" i="17"/>
  <c r="V300" i="17"/>
  <c r="F300" i="17"/>
  <c r="U299" i="17"/>
  <c r="E299" i="17"/>
  <c r="T298" i="17"/>
  <c r="D298" i="17"/>
  <c r="S297" i="17"/>
  <c r="C297" i="17"/>
  <c r="R296" i="17"/>
  <c r="B296" i="17"/>
  <c r="Q295" i="17"/>
  <c r="A295" i="17"/>
  <c r="P294" i="17"/>
  <c r="AE293" i="17"/>
  <c r="O293" i="17"/>
  <c r="AD292" i="17"/>
  <c r="N292" i="17"/>
  <c r="AC291" i="17"/>
  <c r="M291" i="17"/>
  <c r="AB290" i="17"/>
  <c r="L290" i="17"/>
  <c r="AA289" i="17"/>
  <c r="K289" i="17"/>
  <c r="Z288" i="17"/>
  <c r="J288" i="17"/>
  <c r="Y287" i="17"/>
  <c r="I287" i="17"/>
  <c r="X286" i="17"/>
  <c r="H286" i="17"/>
  <c r="W285" i="17"/>
  <c r="G285" i="17"/>
  <c r="V284" i="17"/>
  <c r="F284" i="17"/>
  <c r="U283" i="17"/>
  <c r="E283" i="17"/>
  <c r="T282" i="17"/>
  <c r="D282" i="17"/>
  <c r="S281" i="17"/>
  <c r="C281" i="17"/>
  <c r="R280" i="17"/>
  <c r="B280" i="17"/>
  <c r="A797" i="17"/>
  <c r="P786" i="17"/>
  <c r="AA778" i="17"/>
  <c r="AE769" i="17"/>
  <c r="AD762" i="17"/>
  <c r="P755" i="17"/>
  <c r="F750" i="17"/>
  <c r="H745" i="17"/>
  <c r="G740" i="17"/>
  <c r="H735" i="17"/>
  <c r="I731" i="17"/>
  <c r="B728" i="17"/>
  <c r="AC723" i="17"/>
  <c r="R719" i="17"/>
  <c r="K716" i="17"/>
  <c r="S712" i="17"/>
  <c r="L709" i="17"/>
  <c r="Y706" i="17"/>
  <c r="I702" i="17"/>
  <c r="K699" i="17"/>
  <c r="AE695" i="17"/>
  <c r="E693" i="17"/>
  <c r="X689" i="17"/>
  <c r="H687" i="17"/>
  <c r="X684" i="17"/>
  <c r="AA682" i="17"/>
  <c r="U680" i="17"/>
  <c r="Z678" i="17"/>
  <c r="D677" i="17"/>
  <c r="T675" i="17"/>
  <c r="Q673" i="17"/>
  <c r="W671" i="17"/>
  <c r="X669" i="17"/>
  <c r="E668" i="17"/>
  <c r="L666" i="17"/>
  <c r="I664" i="17"/>
  <c r="W662" i="17"/>
  <c r="G661" i="17"/>
  <c r="S659" i="17"/>
  <c r="T657" i="17"/>
  <c r="E656" i="17"/>
  <c r="W654" i="17"/>
  <c r="AE652" i="17"/>
  <c r="P651" i="17"/>
  <c r="W649" i="17"/>
  <c r="I648" i="17"/>
  <c r="W646" i="17"/>
  <c r="F645" i="17"/>
  <c r="M643" i="17"/>
  <c r="Z641" i="17"/>
  <c r="J640" i="17"/>
  <c r="AD638" i="17"/>
  <c r="A637" i="17"/>
  <c r="S635" i="17"/>
  <c r="J634" i="17"/>
  <c r="H633" i="17"/>
  <c r="D632" i="17"/>
  <c r="Z630" i="17"/>
  <c r="R629" i="17"/>
  <c r="N628" i="17"/>
  <c r="K627" i="17"/>
  <c r="A626" i="17"/>
  <c r="Y624" i="17"/>
  <c r="X623" i="17"/>
  <c r="R622" i="17"/>
  <c r="M621" i="17"/>
  <c r="P620" i="17"/>
  <c r="P619" i="17"/>
  <c r="P618" i="17"/>
  <c r="N617" i="17"/>
  <c r="L616" i="17"/>
  <c r="N615" i="17"/>
  <c r="L614" i="17"/>
  <c r="N613" i="17"/>
  <c r="M612" i="17"/>
  <c r="S611" i="17"/>
  <c r="W610" i="17"/>
  <c r="Z609" i="17"/>
  <c r="AC608" i="17"/>
  <c r="AE607" i="17"/>
  <c r="D607" i="17"/>
  <c r="K606" i="17"/>
  <c r="M605" i="17"/>
  <c r="N604" i="17"/>
  <c r="P603" i="17"/>
  <c r="W602" i="17"/>
  <c r="AA601" i="17"/>
  <c r="Z600" i="17"/>
  <c r="AE599" i="17"/>
  <c r="D599" i="17"/>
  <c r="H598" i="17"/>
  <c r="G597" i="17"/>
  <c r="L596" i="17"/>
  <c r="R595" i="17"/>
  <c r="T594" i="17"/>
  <c r="Y593" i="17"/>
  <c r="X592" i="17"/>
  <c r="AD591" i="17"/>
  <c r="C591" i="17"/>
  <c r="F590" i="17"/>
  <c r="H589" i="17"/>
  <c r="K588" i="17"/>
  <c r="O587" i="17"/>
  <c r="U586" i="17"/>
  <c r="T585" i="17"/>
  <c r="Y584" i="17"/>
  <c r="AA583" i="17"/>
  <c r="B583" i="17"/>
  <c r="G582" i="17"/>
  <c r="F581" i="17"/>
  <c r="J580" i="17"/>
  <c r="N579" i="17"/>
  <c r="S578" i="17"/>
  <c r="R577" i="17"/>
  <c r="V576" i="17"/>
  <c r="AC575" i="17"/>
  <c r="AE574" i="17"/>
  <c r="A574" i="17"/>
  <c r="C573" i="17"/>
  <c r="J572" i="17"/>
  <c r="N571" i="17"/>
  <c r="P570" i="17"/>
  <c r="R569" i="17"/>
  <c r="V568" i="17"/>
  <c r="Z567" i="17"/>
  <c r="AE566" i="17"/>
  <c r="AD565" i="17"/>
  <c r="E565" i="17"/>
  <c r="G564" i="17"/>
  <c r="L563" i="17"/>
  <c r="K562" i="17"/>
  <c r="Q561" i="17"/>
  <c r="U560" i="17"/>
  <c r="X559" i="17"/>
  <c r="AD558" i="17"/>
  <c r="AC557" i="17"/>
  <c r="B557" i="17"/>
  <c r="I556" i="17"/>
  <c r="K555" i="17"/>
  <c r="L554" i="17"/>
  <c r="N553" i="17"/>
  <c r="U552" i="17"/>
  <c r="Y551" i="17"/>
  <c r="X550" i="17"/>
  <c r="AC549" i="17"/>
  <c r="B549" i="17"/>
  <c r="F548" i="17"/>
  <c r="K547" i="17"/>
  <c r="J546" i="17"/>
  <c r="P545" i="17"/>
  <c r="R544" i="17"/>
  <c r="W543" i="17"/>
  <c r="Y542" i="17"/>
  <c r="AB541" i="17"/>
  <c r="A541" i="17"/>
  <c r="D540" i="17"/>
  <c r="F539" i="17"/>
  <c r="K538" i="17"/>
  <c r="M537" i="17"/>
  <c r="S536" i="17"/>
  <c r="V535" i="17"/>
  <c r="W534" i="17"/>
  <c r="AA533" i="17"/>
  <c r="AE532" i="17"/>
  <c r="E532" i="17"/>
  <c r="D531" i="17"/>
  <c r="H530" i="17"/>
  <c r="O529" i="17"/>
  <c r="Q528" i="17"/>
  <c r="R527" i="17"/>
  <c r="T526" i="17"/>
  <c r="AA525" i="17"/>
  <c r="AE524" i="17"/>
  <c r="B524" i="17"/>
  <c r="D523" i="17"/>
  <c r="H522" i="17"/>
  <c r="L521" i="17"/>
  <c r="Q520" i="17"/>
  <c r="P519" i="17"/>
  <c r="V518" i="17"/>
  <c r="X517" i="17"/>
  <c r="AC516" i="17"/>
  <c r="AB515" i="17"/>
  <c r="C515" i="17"/>
  <c r="G514" i="17"/>
  <c r="L513" i="17"/>
  <c r="R512" i="17"/>
  <c r="T511" i="17"/>
  <c r="AA510" i="17"/>
  <c r="A510" i="17"/>
  <c r="H509" i="17"/>
  <c r="J508" i="17"/>
  <c r="Q507" i="17"/>
  <c r="Z506" i="17"/>
  <c r="A506" i="17"/>
  <c r="G505" i="17"/>
  <c r="P504" i="17"/>
  <c r="Z503" i="17"/>
  <c r="F503" i="17"/>
  <c r="Q502" i="17"/>
  <c r="X501" i="17"/>
  <c r="D501" i="17"/>
  <c r="O500" i="17"/>
  <c r="Z499" i="17"/>
  <c r="B499" i="17"/>
  <c r="M498" i="17"/>
  <c r="X497" i="17"/>
  <c r="C497" i="17"/>
  <c r="K496" i="17"/>
  <c r="V495" i="17"/>
  <c r="A495" i="17"/>
  <c r="L494" i="17"/>
  <c r="W493" i="17"/>
  <c r="AD492" i="17"/>
  <c r="J492" i="17"/>
  <c r="U491" i="17"/>
  <c r="A491" i="17"/>
  <c r="H490" i="17"/>
  <c r="S489" i="17"/>
  <c r="AD488" i="17"/>
  <c r="I488" i="17"/>
  <c r="Q487" i="17"/>
  <c r="AB486" i="17"/>
  <c r="G486" i="17"/>
  <c r="R485" i="17"/>
  <c r="AC484" i="17"/>
  <c r="E484" i="17"/>
  <c r="P483" i="17"/>
  <c r="AA482" i="17"/>
  <c r="G482" i="17"/>
  <c r="N481" i="17"/>
  <c r="Y480" i="17"/>
  <c r="E480" i="17"/>
  <c r="O479" i="17"/>
  <c r="W478" i="17"/>
  <c r="C478" i="17"/>
  <c r="M477" i="17"/>
  <c r="X476" i="17"/>
  <c r="D476" i="17"/>
  <c r="K475" i="17"/>
  <c r="V474" i="17"/>
  <c r="B474" i="17"/>
  <c r="L473" i="17"/>
  <c r="T472" i="17"/>
  <c r="AE471" i="17"/>
  <c r="J471" i="17"/>
  <c r="U470" i="17"/>
  <c r="AD469" i="17"/>
  <c r="K469" i="17"/>
  <c r="W468" i="17"/>
  <c r="D468" i="17"/>
  <c r="P467" i="17"/>
  <c r="Y466" i="17"/>
  <c r="F466" i="17"/>
  <c r="R465" i="17"/>
  <c r="AD464" i="17"/>
  <c r="H464" i="17"/>
  <c r="T463" i="17"/>
  <c r="A463" i="17"/>
  <c r="M462" i="17"/>
  <c r="V461" i="17"/>
  <c r="C461" i="17"/>
  <c r="O460" i="17"/>
  <c r="AA459" i="17"/>
  <c r="H459" i="17"/>
  <c r="Q458" i="17"/>
  <c r="AC457" i="17"/>
  <c r="J457" i="17"/>
  <c r="V456" i="17"/>
  <c r="AE455" i="17"/>
  <c r="L455" i="17"/>
  <c r="X454" i="17"/>
  <c r="E454" i="17"/>
  <c r="N453" i="17"/>
  <c r="Z452" i="17"/>
  <c r="G452" i="17"/>
  <c r="S451" i="17"/>
  <c r="AE450" i="17"/>
  <c r="I450" i="17"/>
  <c r="U449" i="17"/>
  <c r="B449" i="17"/>
  <c r="N448" i="17"/>
  <c r="W447" i="17"/>
  <c r="D447" i="17"/>
  <c r="P446" i="17"/>
  <c r="AB445" i="17"/>
  <c r="F445" i="17"/>
  <c r="R444" i="17"/>
  <c r="AD443" i="17"/>
  <c r="K443" i="17"/>
  <c r="W442" i="17"/>
  <c r="A442" i="17"/>
  <c r="M441" i="17"/>
  <c r="Y440" i="17"/>
  <c r="F440" i="17"/>
  <c r="O439" i="17"/>
  <c r="AA438" i="17"/>
  <c r="H438" i="17"/>
  <c r="T437" i="17"/>
  <c r="AC436" i="17"/>
  <c r="J436" i="17"/>
  <c r="V435" i="17"/>
  <c r="C435" i="17"/>
  <c r="O434" i="17"/>
  <c r="X433" i="17"/>
  <c r="E433" i="17"/>
  <c r="Q432" i="17"/>
  <c r="AC431" i="17"/>
  <c r="G431" i="17"/>
  <c r="S430" i="17"/>
  <c r="AE429" i="17"/>
  <c r="L429" i="17"/>
  <c r="U428" i="17"/>
  <c r="B428" i="17"/>
  <c r="N427" i="17"/>
  <c r="Z426" i="17"/>
  <c r="G426" i="17"/>
  <c r="P425" i="17"/>
  <c r="AB424" i="17"/>
  <c r="I424" i="17"/>
  <c r="U423" i="17"/>
  <c r="AD422" i="17"/>
  <c r="K422" i="17"/>
  <c r="W421" i="17"/>
  <c r="D421" i="17"/>
  <c r="M420" i="17"/>
  <c r="Y419" i="17"/>
  <c r="F419" i="17"/>
  <c r="R418" i="17"/>
  <c r="AD417" i="17"/>
  <c r="H417" i="17"/>
  <c r="T416" i="17"/>
  <c r="A416" i="17"/>
  <c r="M415" i="17"/>
  <c r="V414" i="17"/>
  <c r="C414" i="17"/>
  <c r="O413" i="17"/>
  <c r="AA412" i="17"/>
  <c r="E412" i="17"/>
  <c r="Q411" i="17"/>
  <c r="AC410" i="17"/>
  <c r="J410" i="17"/>
  <c r="V409" i="17"/>
  <c r="AE408" i="17"/>
  <c r="L408" i="17"/>
  <c r="X407" i="17"/>
  <c r="E407" i="17"/>
  <c r="N406" i="17"/>
  <c r="Z405" i="17"/>
  <c r="G405" i="17"/>
  <c r="S404" i="17"/>
  <c r="AB403" i="17"/>
  <c r="I403" i="17"/>
  <c r="U402" i="17"/>
  <c r="B402" i="17"/>
  <c r="N401" i="17"/>
  <c r="W400" i="17"/>
  <c r="D400" i="17"/>
  <c r="P399" i="17"/>
  <c r="AB398" i="17"/>
  <c r="F398" i="17"/>
  <c r="R397" i="17"/>
  <c r="AD396" i="17"/>
  <c r="K396" i="17"/>
  <c r="T395" i="17"/>
  <c r="A395" i="17"/>
  <c r="M394" i="17"/>
  <c r="Y393" i="17"/>
  <c r="F393" i="17"/>
  <c r="O392" i="17"/>
  <c r="AA391" i="17"/>
  <c r="H391" i="17"/>
  <c r="T390" i="17"/>
  <c r="AC389" i="17"/>
  <c r="J389" i="17"/>
  <c r="V388" i="17"/>
  <c r="C388" i="17"/>
  <c r="L387" i="17"/>
  <c r="X386" i="17"/>
  <c r="E386" i="17"/>
  <c r="Q385" i="17"/>
  <c r="AC384" i="17"/>
  <c r="G384" i="17"/>
  <c r="S383" i="17"/>
  <c r="AE382" i="17"/>
  <c r="L382" i="17"/>
  <c r="U381" i="17"/>
  <c r="B381" i="17"/>
  <c r="N380" i="17"/>
  <c r="Z379" i="17"/>
  <c r="D379" i="17"/>
  <c r="P378" i="17"/>
  <c r="AB377" i="17"/>
  <c r="I377" i="17"/>
  <c r="U376" i="17"/>
  <c r="AD375" i="17"/>
  <c r="K375" i="17"/>
  <c r="W374" i="17"/>
  <c r="D374" i="17"/>
  <c r="M373" i="17"/>
  <c r="Y372" i="17"/>
  <c r="F372" i="17"/>
  <c r="R371" i="17"/>
  <c r="AA370" i="17"/>
  <c r="H370" i="17"/>
  <c r="T369" i="17"/>
  <c r="A369" i="17"/>
  <c r="M368" i="17"/>
  <c r="V367" i="17"/>
  <c r="C367" i="17"/>
  <c r="O366" i="17"/>
  <c r="AA365" i="17"/>
  <c r="E365" i="17"/>
  <c r="Q364" i="17"/>
  <c r="AC363" i="17"/>
  <c r="J363" i="17"/>
  <c r="S362" i="17"/>
  <c r="AE361" i="17"/>
  <c r="L361" i="17"/>
  <c r="X360" i="17"/>
  <c r="E360" i="17"/>
  <c r="N359" i="17"/>
  <c r="Z358" i="17"/>
  <c r="G358" i="17"/>
  <c r="S357" i="17"/>
  <c r="AB356" i="17"/>
  <c r="I356" i="17"/>
  <c r="U355" i="17"/>
  <c r="B355" i="17"/>
  <c r="K354" i="17"/>
  <c r="W353" i="17"/>
  <c r="D353" i="17"/>
  <c r="P352" i="17"/>
  <c r="AB351" i="17"/>
  <c r="F351" i="17"/>
  <c r="R350" i="17"/>
  <c r="AD349" i="17"/>
  <c r="K349" i="17"/>
  <c r="T348" i="17"/>
  <c r="A348" i="17"/>
  <c r="M347" i="17"/>
  <c r="Y346" i="17"/>
  <c r="C346" i="17"/>
  <c r="O345" i="17"/>
  <c r="AA344" i="17"/>
  <c r="H344" i="17"/>
  <c r="T343" i="17"/>
  <c r="AC342" i="17"/>
  <c r="J342" i="17"/>
  <c r="V341" i="17"/>
  <c r="C341" i="17"/>
  <c r="L340" i="17"/>
  <c r="X339" i="17"/>
  <c r="E339" i="17"/>
  <c r="Q338" i="17"/>
  <c r="Z337" i="17"/>
  <c r="G337" i="17"/>
  <c r="S336" i="17"/>
  <c r="AE335" i="17"/>
  <c r="L335" i="17"/>
  <c r="U334" i="17"/>
  <c r="B334" i="17"/>
  <c r="N333" i="17"/>
  <c r="Z332" i="17"/>
  <c r="D332" i="17"/>
  <c r="P331" i="17"/>
  <c r="AB330" i="17"/>
  <c r="I330" i="17"/>
  <c r="R329" i="17"/>
  <c r="AD328" i="17"/>
  <c r="K328" i="17"/>
  <c r="W327" i="17"/>
  <c r="D327" i="17"/>
  <c r="M326" i="17"/>
  <c r="Y325" i="17"/>
  <c r="F325" i="17"/>
  <c r="R324" i="17"/>
  <c r="AA323" i="17"/>
  <c r="H323" i="17"/>
  <c r="T322" i="17"/>
  <c r="A322" i="17"/>
  <c r="J321" i="17"/>
  <c r="V320" i="17"/>
  <c r="C320" i="17"/>
  <c r="O319" i="17"/>
  <c r="AA318" i="17"/>
  <c r="E318" i="17"/>
  <c r="Q317" i="17"/>
  <c r="AC316" i="17"/>
  <c r="J316" i="17"/>
  <c r="S315" i="17"/>
  <c r="AE314" i="17"/>
  <c r="L314" i="17"/>
  <c r="X313" i="17"/>
  <c r="B313" i="17"/>
  <c r="N312" i="17"/>
  <c r="Z311" i="17"/>
  <c r="G311" i="17"/>
  <c r="S310" i="17"/>
  <c r="AB309" i="17"/>
  <c r="I309" i="17"/>
  <c r="U308" i="17"/>
  <c r="B308" i="17"/>
  <c r="K307" i="17"/>
  <c r="W306" i="17"/>
  <c r="D306" i="17"/>
  <c r="P305" i="17"/>
  <c r="Y304" i="17"/>
  <c r="F304" i="17"/>
  <c r="R303" i="17"/>
  <c r="AD302" i="17"/>
  <c r="K302" i="17"/>
  <c r="T301" i="17"/>
  <c r="A301" i="17"/>
  <c r="M300" i="17"/>
  <c r="Y299" i="17"/>
  <c r="C299" i="17"/>
  <c r="O298" i="17"/>
  <c r="AA297" i="17"/>
  <c r="H297" i="17"/>
  <c r="Q296" i="17"/>
  <c r="AC295" i="17"/>
  <c r="J295" i="17"/>
  <c r="V294" i="17"/>
  <c r="C294" i="17"/>
  <c r="L293" i="17"/>
  <c r="X292" i="17"/>
  <c r="E292" i="17"/>
  <c r="Q291" i="17"/>
  <c r="Z290" i="17"/>
  <c r="G290" i="17"/>
  <c r="S289" i="17"/>
  <c r="AE288" i="17"/>
  <c r="I288" i="17"/>
  <c r="U287" i="17"/>
  <c r="B287" i="17"/>
  <c r="N286" i="17"/>
  <c r="Z285" i="17"/>
  <c r="D285" i="17"/>
  <c r="P284" i="17"/>
  <c r="AB283" i="17"/>
  <c r="I283" i="17"/>
  <c r="R282" i="17"/>
  <c r="AD281" i="17"/>
  <c r="K281" i="17"/>
  <c r="W280" i="17"/>
  <c r="A280" i="17"/>
  <c r="N279" i="17"/>
  <c r="AA278" i="17"/>
  <c r="I278" i="17"/>
  <c r="V277" i="17"/>
  <c r="D277" i="17"/>
  <c r="Q276" i="17"/>
  <c r="AB275" i="17"/>
  <c r="J275" i="17"/>
  <c r="Y274" i="17"/>
  <c r="I274" i="17"/>
  <c r="X273" i="17"/>
  <c r="H273" i="17"/>
  <c r="W272" i="17"/>
  <c r="G272" i="17"/>
  <c r="V271" i="17"/>
  <c r="F271" i="17"/>
  <c r="U270" i="17"/>
  <c r="E270" i="17"/>
  <c r="T269" i="17"/>
  <c r="D269" i="17"/>
  <c r="S268" i="17"/>
  <c r="C268" i="17"/>
  <c r="R267" i="17"/>
  <c r="B267" i="17"/>
  <c r="Q266" i="17"/>
  <c r="A266" i="17"/>
  <c r="P265" i="17"/>
  <c r="AE264" i="17"/>
  <c r="O264" i="17"/>
  <c r="AD263" i="17"/>
  <c r="N263" i="17"/>
  <c r="AC262" i="17"/>
  <c r="M262" i="17"/>
  <c r="AB261" i="17"/>
  <c r="L261" i="17"/>
  <c r="AA260" i="17"/>
  <c r="K260" i="17"/>
  <c r="Z259" i="17"/>
  <c r="J259" i="17"/>
  <c r="Y258" i="17"/>
  <c r="I258" i="17"/>
  <c r="X257" i="17"/>
  <c r="H257" i="17"/>
  <c r="W256" i="17"/>
  <c r="G256" i="17"/>
  <c r="V255" i="17"/>
  <c r="F255" i="17"/>
  <c r="U254" i="17"/>
  <c r="E254" i="17"/>
  <c r="T253" i="17"/>
  <c r="D253" i="17"/>
  <c r="S252" i="17"/>
  <c r="C252" i="17"/>
  <c r="R251" i="17"/>
  <c r="B251" i="17"/>
  <c r="Q250" i="17"/>
  <c r="A250" i="17"/>
  <c r="P249" i="17"/>
  <c r="AE248" i="17"/>
  <c r="O248" i="17"/>
  <c r="AD247" i="17"/>
  <c r="N247" i="17"/>
  <c r="AC246" i="17"/>
  <c r="M246" i="17"/>
  <c r="AB245" i="17"/>
  <c r="L245" i="17"/>
  <c r="AA244" i="17"/>
  <c r="K244" i="17"/>
  <c r="Z243" i="17"/>
  <c r="J243" i="17"/>
  <c r="Y242" i="17"/>
  <c r="I242" i="17"/>
  <c r="X241" i="17"/>
  <c r="H241" i="17"/>
  <c r="W240" i="17"/>
  <c r="G240" i="17"/>
  <c r="V239" i="17"/>
  <c r="F239" i="17"/>
  <c r="U238" i="17"/>
  <c r="E238" i="17"/>
  <c r="T237" i="17"/>
  <c r="D237" i="17"/>
  <c r="S236" i="17"/>
  <c r="C236" i="17"/>
  <c r="R235" i="17"/>
  <c r="B235" i="17"/>
  <c r="Q234" i="17"/>
  <c r="A234" i="17"/>
  <c r="P233" i="17"/>
  <c r="AE232" i="17"/>
  <c r="O232" i="17"/>
  <c r="AD231" i="17"/>
  <c r="N231" i="17"/>
  <c r="AC230" i="17"/>
  <c r="M230" i="17"/>
  <c r="AB229" i="17"/>
  <c r="L229" i="17"/>
  <c r="AA228" i="17"/>
  <c r="K228" i="17"/>
  <c r="Z227" i="17"/>
  <c r="J227" i="17"/>
  <c r="Y226" i="17"/>
  <c r="I226" i="17"/>
  <c r="X225" i="17"/>
  <c r="H225" i="17"/>
  <c r="W224" i="17"/>
  <c r="G224" i="17"/>
  <c r="V223" i="17"/>
  <c r="F223" i="17"/>
  <c r="U222" i="17"/>
  <c r="E222" i="17"/>
  <c r="T221" i="17"/>
  <c r="D221" i="17"/>
  <c r="S220" i="17"/>
  <c r="C220" i="17"/>
  <c r="R219" i="17"/>
  <c r="B219" i="17"/>
  <c r="Q218" i="17"/>
  <c r="A218" i="17"/>
  <c r="P217" i="17"/>
  <c r="AE216" i="17"/>
  <c r="O216" i="17"/>
  <c r="AD215" i="17"/>
  <c r="N215" i="17"/>
  <c r="AC214" i="17"/>
  <c r="M214" i="17"/>
  <c r="AB213" i="17"/>
  <c r="L213" i="17"/>
  <c r="AA212" i="17"/>
  <c r="K212" i="17"/>
  <c r="Z211" i="17"/>
  <c r="J211" i="17"/>
  <c r="Y210" i="17"/>
  <c r="I210" i="17"/>
  <c r="X209" i="17"/>
  <c r="P796" i="17"/>
  <c r="O786" i="17"/>
  <c r="A778" i="17"/>
  <c r="AD769" i="17"/>
  <c r="X761" i="17"/>
  <c r="K755" i="17"/>
  <c r="E750" i="17"/>
  <c r="O744" i="17"/>
  <c r="F740" i="17"/>
  <c r="G735" i="17"/>
  <c r="D731" i="17"/>
  <c r="A728" i="17"/>
  <c r="AB723" i="17"/>
  <c r="O719" i="17"/>
  <c r="J716" i="17"/>
  <c r="P712" i="17"/>
  <c r="I709" i="17"/>
  <c r="L705" i="17"/>
  <c r="F702" i="17"/>
  <c r="J699" i="17"/>
  <c r="AD695" i="17"/>
  <c r="D693" i="17"/>
  <c r="U689" i="17"/>
  <c r="F687" i="17"/>
  <c r="W684" i="17"/>
  <c r="Q682" i="17"/>
  <c r="S680" i="17"/>
  <c r="Y678" i="17"/>
  <c r="AE676" i="17"/>
  <c r="M796" i="17"/>
  <c r="J786" i="17"/>
  <c r="N775" i="17"/>
  <c r="W765" i="17"/>
  <c r="Q758" i="17"/>
  <c r="Q750" i="17"/>
  <c r="M745" i="17"/>
  <c r="R739" i="17"/>
  <c r="T734" i="17"/>
  <c r="J730" i="17"/>
  <c r="U725" i="17"/>
  <c r="X721" i="17"/>
  <c r="V717" i="17"/>
  <c r="F713" i="17"/>
  <c r="H709" i="17"/>
  <c r="AC704" i="17"/>
  <c r="P701" i="17"/>
  <c r="P697" i="17"/>
  <c r="X693" i="17"/>
  <c r="D691" i="17"/>
  <c r="P687" i="17"/>
  <c r="S684" i="17"/>
  <c r="H682" i="17"/>
  <c r="AE679" i="17"/>
  <c r="E678" i="17"/>
  <c r="AB675" i="17"/>
  <c r="D674" i="17"/>
  <c r="H672" i="17"/>
  <c r="K670" i="17"/>
  <c r="H668" i="17"/>
  <c r="M666" i="17"/>
  <c r="H664" i="17"/>
  <c r="S662" i="17"/>
  <c r="Y660" i="17"/>
  <c r="A659" i="17"/>
  <c r="O657" i="17"/>
  <c r="U655" i="17"/>
  <c r="AA653" i="17"/>
  <c r="F652" i="17"/>
  <c r="Q650" i="17"/>
  <c r="G649" i="17"/>
  <c r="G647" i="17"/>
  <c r="S645" i="17"/>
  <c r="Z643" i="17"/>
  <c r="C642" i="17"/>
  <c r="N640" i="17"/>
  <c r="AB638" i="17"/>
  <c r="AC636" i="17"/>
  <c r="P635" i="17"/>
  <c r="E634" i="17"/>
  <c r="AB632" i="17"/>
  <c r="Q631" i="17"/>
  <c r="M630" i="17"/>
  <c r="AC628" i="17"/>
  <c r="AA627" i="17"/>
  <c r="Q626" i="17"/>
  <c r="K625" i="17"/>
  <c r="AB623" i="17"/>
  <c r="W622" i="17"/>
  <c r="U621" i="17"/>
  <c r="R620" i="17"/>
  <c r="O619" i="17"/>
  <c r="N618" i="17"/>
  <c r="F617" i="17"/>
  <c r="E616" i="17"/>
  <c r="B615" i="17"/>
  <c r="AD613" i="17"/>
  <c r="AE612" i="17"/>
  <c r="D612" i="17"/>
  <c r="B611" i="17"/>
  <c r="E610" i="17"/>
  <c r="F609" i="17"/>
  <c r="K608" i="17"/>
  <c r="H607" i="17"/>
  <c r="M606" i="17"/>
  <c r="N605" i="17"/>
  <c r="M604" i="17"/>
  <c r="N603" i="17"/>
  <c r="R602" i="17"/>
  <c r="O601" i="17"/>
  <c r="U600" i="17"/>
  <c r="V599" i="17"/>
  <c r="V598" i="17"/>
  <c r="W597" i="17"/>
  <c r="Z596" i="17"/>
  <c r="X595" i="17"/>
  <c r="AC594" i="17"/>
  <c r="AE593" i="17"/>
  <c r="C593" i="17"/>
  <c r="A592" i="17"/>
  <c r="D591" i="17"/>
  <c r="D590" i="17"/>
  <c r="E589" i="17"/>
  <c r="G588" i="17"/>
  <c r="K587" i="17"/>
  <c r="I586" i="17"/>
  <c r="L585" i="17"/>
  <c r="M584" i="17"/>
  <c r="M583" i="17"/>
  <c r="O582" i="17"/>
  <c r="T581" i="17"/>
  <c r="R580" i="17"/>
  <c r="U579" i="17"/>
  <c r="V578" i="17"/>
  <c r="Z577" i="17"/>
  <c r="X576" i="17"/>
  <c r="AB575" i="17"/>
  <c r="AC574" i="17"/>
  <c r="AC573" i="17"/>
  <c r="AD572" i="17"/>
  <c r="B572" i="17"/>
  <c r="AE570" i="17"/>
  <c r="E570" i="17"/>
  <c r="G569" i="17"/>
  <c r="G568" i="17"/>
  <c r="H567" i="17"/>
  <c r="K566" i="17"/>
  <c r="I565" i="17"/>
  <c r="M564" i="17"/>
  <c r="P563" i="17"/>
  <c r="S562" i="17"/>
  <c r="P561" i="17"/>
  <c r="S560" i="17"/>
  <c r="T559" i="17"/>
  <c r="T558" i="17"/>
  <c r="V557" i="17"/>
  <c r="AA556" i="17"/>
  <c r="Y555" i="17"/>
  <c r="AB554" i="17"/>
  <c r="AC553" i="17"/>
  <c r="AC552" i="17"/>
  <c r="AE551" i="17"/>
  <c r="E551" i="17"/>
  <c r="C550" i="17"/>
  <c r="F549" i="17"/>
  <c r="G548" i="17"/>
  <c r="D547" i="17"/>
  <c r="G546" i="17"/>
  <c r="L545" i="17"/>
  <c r="N544" i="17"/>
  <c r="N543" i="17"/>
  <c r="O542" i="17"/>
  <c r="R541" i="17"/>
  <c r="P540" i="17"/>
  <c r="T539" i="17"/>
  <c r="W538" i="17"/>
  <c r="W537" i="17"/>
  <c r="X536" i="17"/>
  <c r="AA535" i="17"/>
  <c r="Y534" i="17"/>
  <c r="AC533" i="17"/>
  <c r="AC532" i="17"/>
  <c r="AA531" i="17"/>
  <c r="A531" i="17"/>
  <c r="D530" i="17"/>
  <c r="E529" i="17"/>
  <c r="E528" i="17"/>
  <c r="G527" i="17"/>
  <c r="L526" i="17"/>
  <c r="J525" i="17"/>
  <c r="M524" i="17"/>
  <c r="N523" i="17"/>
  <c r="N522" i="17"/>
  <c r="O521" i="17"/>
  <c r="U520" i="17"/>
  <c r="R519" i="17"/>
  <c r="U518" i="17"/>
  <c r="V517" i="17"/>
  <c r="T516" i="17"/>
  <c r="W515" i="17"/>
  <c r="AA514" i="17"/>
  <c r="AD513" i="17"/>
  <c r="AE512" i="17"/>
  <c r="C512" i="17"/>
  <c r="H511" i="17"/>
  <c r="I510" i="17"/>
  <c r="N509" i="17"/>
  <c r="R508" i="17"/>
  <c r="T507" i="17"/>
  <c r="AB506" i="17"/>
  <c r="C506" i="17"/>
  <c r="F505" i="17"/>
  <c r="N504" i="17"/>
  <c r="W503" i="17"/>
  <c r="AD502" i="17"/>
  <c r="H502" i="17"/>
  <c r="R501" i="17"/>
  <c r="AB500" i="17"/>
  <c r="C500" i="17"/>
  <c r="M499" i="17"/>
  <c r="W498" i="17"/>
  <c r="AC497" i="17"/>
  <c r="H497" i="17"/>
  <c r="Q496" i="17"/>
  <c r="X495" i="17"/>
  <c r="B495" i="17"/>
  <c r="K494" i="17"/>
  <c r="R493" i="17"/>
  <c r="AA492" i="17"/>
  <c r="F492" i="17"/>
  <c r="L491" i="17"/>
  <c r="V490" i="17"/>
  <c r="A490" i="17"/>
  <c r="J489" i="17"/>
  <c r="Q488" i="17"/>
  <c r="Z487" i="17"/>
  <c r="E487" i="17"/>
  <c r="L486" i="17"/>
  <c r="U485" i="17"/>
  <c r="AE484" i="17"/>
  <c r="F484" i="17"/>
  <c r="O483" i="17"/>
  <c r="Y482" i="17"/>
  <c r="AE481" i="17"/>
  <c r="J481" i="17"/>
  <c r="S480" i="17"/>
  <c r="Z479" i="17"/>
  <c r="E479" i="17"/>
  <c r="N478" i="17"/>
  <c r="X477" i="17"/>
  <c r="AD476" i="17"/>
  <c r="I476" i="17"/>
  <c r="S475" i="17"/>
  <c r="Y474" i="17"/>
  <c r="D474" i="17"/>
  <c r="N473" i="17"/>
  <c r="S472" i="17"/>
  <c r="AC471" i="17"/>
  <c r="G471" i="17"/>
  <c r="N470" i="17"/>
  <c r="Y469" i="17"/>
  <c r="E469" i="17"/>
  <c r="M468" i="17"/>
  <c r="X467" i="17"/>
  <c r="D467" i="17"/>
  <c r="O466" i="17"/>
  <c r="W465" i="17"/>
  <c r="C465" i="17"/>
  <c r="N464" i="17"/>
  <c r="V463" i="17"/>
  <c r="B463" i="17"/>
  <c r="L462" i="17"/>
  <c r="T461" i="17"/>
  <c r="AE460" i="17"/>
  <c r="K460" i="17"/>
  <c r="S459" i="17"/>
  <c r="AD458" i="17"/>
  <c r="J458" i="17"/>
  <c r="R457" i="17"/>
  <c r="AC456" i="17"/>
  <c r="I456" i="17"/>
  <c r="T455" i="17"/>
  <c r="AB454" i="17"/>
  <c r="H454" i="17"/>
  <c r="S453" i="17"/>
  <c r="AA452" i="17"/>
  <c r="F452" i="17"/>
  <c r="Q451" i="17"/>
  <c r="Y450" i="17"/>
  <c r="E450" i="17"/>
  <c r="P449" i="17"/>
  <c r="X448" i="17"/>
  <c r="D448" i="17"/>
  <c r="O447" i="17"/>
  <c r="W446" i="17"/>
  <c r="C446" i="17"/>
  <c r="N445" i="17"/>
  <c r="Y444" i="17"/>
  <c r="B444" i="17"/>
  <c r="M443" i="17"/>
  <c r="X442" i="17"/>
  <c r="AE441" i="17"/>
  <c r="K441" i="17"/>
  <c r="V440" i="17"/>
  <c r="AD439" i="17"/>
  <c r="J439" i="17"/>
  <c r="U438" i="17"/>
  <c r="AC437" i="17"/>
  <c r="I437" i="17"/>
  <c r="T436" i="17"/>
  <c r="AB435" i="17"/>
  <c r="H435" i="17"/>
  <c r="S434" i="17"/>
  <c r="AD433" i="17"/>
  <c r="G433" i="17"/>
  <c r="R432" i="17"/>
  <c r="AB431" i="17"/>
  <c r="E431" i="17"/>
  <c r="P430" i="17"/>
  <c r="AA429" i="17"/>
  <c r="D429" i="17"/>
  <c r="O428" i="17"/>
  <c r="Z427" i="17"/>
  <c r="C427" i="17"/>
  <c r="N426" i="17"/>
  <c r="Y425" i="17"/>
  <c r="B425" i="17"/>
  <c r="M424" i="17"/>
  <c r="X423" i="17"/>
  <c r="D423" i="17"/>
  <c r="L422" i="17"/>
  <c r="V421" i="17"/>
  <c r="B421" i="17"/>
  <c r="J420" i="17"/>
  <c r="U419" i="17"/>
  <c r="A419" i="17"/>
  <c r="I418" i="17"/>
  <c r="T417" i="17"/>
  <c r="G795" i="17"/>
  <c r="E786" i="17"/>
  <c r="A775" i="17"/>
  <c r="X764" i="17"/>
  <c r="P758" i="17"/>
  <c r="P750" i="17"/>
  <c r="I745" i="17"/>
  <c r="D739" i="17"/>
  <c r="S734" i="17"/>
  <c r="I730" i="17"/>
  <c r="J725" i="17"/>
  <c r="V721" i="17"/>
  <c r="O716" i="17"/>
  <c r="B713" i="17"/>
  <c r="G709" i="17"/>
  <c r="AB704" i="17"/>
  <c r="H701" i="17"/>
  <c r="B697" i="17"/>
  <c r="T693" i="17"/>
  <c r="V690" i="17"/>
  <c r="I687" i="17"/>
  <c r="N684" i="17"/>
  <c r="B682" i="17"/>
  <c r="AB679" i="17"/>
  <c r="D678" i="17"/>
  <c r="AA675" i="17"/>
  <c r="B674" i="17"/>
  <c r="C672" i="17"/>
  <c r="F670" i="17"/>
  <c r="F668" i="17"/>
  <c r="K666" i="17"/>
  <c r="G664" i="17"/>
  <c r="R662" i="17"/>
  <c r="V660" i="17"/>
  <c r="X658" i="17"/>
  <c r="F657" i="17"/>
  <c r="T655" i="17"/>
  <c r="W653" i="17"/>
  <c r="E652" i="17"/>
  <c r="P650" i="17"/>
  <c r="R648" i="17"/>
  <c r="E647" i="17"/>
  <c r="O645" i="17"/>
  <c r="Y643" i="17"/>
  <c r="A642" i="17"/>
  <c r="I640" i="17"/>
  <c r="T638" i="17"/>
  <c r="AA636" i="17"/>
  <c r="O635" i="17"/>
  <c r="D634" i="17"/>
  <c r="U632" i="17"/>
  <c r="P631" i="17"/>
  <c r="K630" i="17"/>
  <c r="AB628" i="17"/>
  <c r="Y627" i="17"/>
  <c r="O626" i="17"/>
  <c r="E625" i="17"/>
  <c r="AA623" i="17"/>
  <c r="V622" i="17"/>
  <c r="T621" i="17"/>
  <c r="J620" i="17"/>
  <c r="K619" i="17"/>
  <c r="M618" i="17"/>
  <c r="E617" i="17"/>
  <c r="D616" i="17"/>
  <c r="A615" i="17"/>
  <c r="Z613" i="17"/>
  <c r="AC612" i="17"/>
  <c r="C612" i="17"/>
  <c r="A611" i="17"/>
  <c r="D610" i="17"/>
  <c r="E609" i="17"/>
  <c r="C608" i="17"/>
  <c r="G607" i="17"/>
  <c r="L606" i="17"/>
  <c r="H605" i="17"/>
  <c r="J604" i="17"/>
  <c r="M603" i="17"/>
  <c r="P602" i="17"/>
  <c r="N601" i="17"/>
  <c r="S600" i="17"/>
  <c r="U599" i="17"/>
  <c r="S598" i="17"/>
  <c r="V597" i="17"/>
  <c r="Y596" i="17"/>
  <c r="W595" i="17"/>
  <c r="AA594" i="17"/>
  <c r="AD593" i="17"/>
  <c r="AA592" i="17"/>
  <c r="AE591" i="17"/>
  <c r="B591" i="17"/>
  <c r="AE589" i="17"/>
  <c r="A589" i="17"/>
  <c r="E588" i="17"/>
  <c r="J587" i="17"/>
  <c r="H586" i="17"/>
  <c r="K585" i="17"/>
  <c r="L584" i="17"/>
  <c r="J583" i="17"/>
  <c r="N582" i="17"/>
  <c r="S581" i="17"/>
  <c r="Q580" i="17"/>
  <c r="T579" i="17"/>
  <c r="U578" i="17"/>
  <c r="S577" i="17"/>
  <c r="U576" i="17"/>
  <c r="Z575" i="17"/>
  <c r="W574" i="17"/>
  <c r="Z573" i="17"/>
  <c r="AC572" i="17"/>
  <c r="A572" i="17"/>
  <c r="AD570" i="17"/>
  <c r="C570" i="17"/>
  <c r="F569" i="17"/>
  <c r="C568" i="17"/>
  <c r="G567" i="17"/>
  <c r="J566" i="17"/>
  <c r="H565" i="17"/>
  <c r="L564" i="17"/>
  <c r="N563" i="17"/>
  <c r="J562" i="17"/>
  <c r="O561" i="17"/>
  <c r="R560" i="17"/>
  <c r="P559" i="17"/>
  <c r="Q558" i="17"/>
  <c r="U557" i="17"/>
  <c r="Z556" i="17"/>
  <c r="X555" i="17"/>
  <c r="AA554" i="17"/>
  <c r="AB553" i="17"/>
  <c r="Z552" i="17"/>
  <c r="AC551" i="17"/>
  <c r="D551" i="17"/>
  <c r="A550" i="17"/>
  <c r="E549" i="17"/>
  <c r="E548" i="17"/>
  <c r="C547" i="17"/>
  <c r="F546" i="17"/>
  <c r="J545" i="17"/>
  <c r="H544" i="17"/>
  <c r="J543" i="17"/>
  <c r="N542" i="17"/>
  <c r="Q541" i="17"/>
  <c r="O540" i="17"/>
  <c r="S539" i="17"/>
  <c r="U538" i="17"/>
  <c r="R537" i="17"/>
  <c r="W536" i="17"/>
  <c r="Z535" i="17"/>
  <c r="X534" i="17"/>
  <c r="X533" i="17"/>
  <c r="AB532" i="17"/>
  <c r="Y531" i="17"/>
  <c r="AE530" i="17"/>
  <c r="C530" i="17"/>
  <c r="A529" i="17"/>
  <c r="B528" i="17"/>
  <c r="E527" i="17"/>
  <c r="K526" i="17"/>
  <c r="H525" i="17"/>
  <c r="L524" i="17"/>
  <c r="M523" i="17"/>
  <c r="K522" i="17"/>
  <c r="N521" i="17"/>
  <c r="S520" i="17"/>
  <c r="O519" i="17"/>
  <c r="Q518" i="17"/>
  <c r="U517" i="17"/>
  <c r="S516" i="17"/>
  <c r="V515" i="17"/>
  <c r="Z514" i="17"/>
  <c r="W513" i="17"/>
  <c r="AD512" i="17"/>
  <c r="B512" i="17"/>
  <c r="G511" i="17"/>
  <c r="G510" i="17"/>
  <c r="M509" i="17"/>
  <c r="Q508" i="17"/>
  <c r="S507" i="17"/>
  <c r="AA506" i="17"/>
  <c r="AE505" i="17"/>
  <c r="D505" i="17"/>
  <c r="M504" i="17"/>
  <c r="V503" i="17"/>
  <c r="AC502" i="17"/>
  <c r="G502" i="17"/>
  <c r="Q501" i="17"/>
  <c r="W500" i="17"/>
  <c r="B500" i="17"/>
  <c r="L499" i="17"/>
  <c r="U498" i="17"/>
  <c r="AB497" i="17"/>
  <c r="G497" i="17"/>
  <c r="P496" i="17"/>
  <c r="W495" i="17"/>
  <c r="AE494" i="17"/>
  <c r="J494" i="17"/>
  <c r="P493" i="17"/>
  <c r="Z492" i="17"/>
  <c r="E492" i="17"/>
  <c r="K491" i="17"/>
  <c r="U490" i="17"/>
  <c r="AE489" i="17"/>
  <c r="F489" i="17"/>
  <c r="P488" i="17"/>
  <c r="Y487" i="17"/>
  <c r="D487" i="17"/>
  <c r="K486" i="17"/>
  <c r="T485" i="17"/>
  <c r="AD484" i="17"/>
  <c r="D484" i="17"/>
  <c r="N483" i="17"/>
  <c r="X482" i="17"/>
  <c r="AD481" i="17"/>
  <c r="I481" i="17"/>
  <c r="R480" i="17"/>
  <c r="Y479" i="17"/>
  <c r="D479" i="17"/>
  <c r="M478" i="17"/>
  <c r="T477" i="17"/>
  <c r="AC476" i="17"/>
  <c r="H476" i="17"/>
  <c r="R475" i="17"/>
  <c r="X474" i="17"/>
  <c r="C474" i="17"/>
  <c r="K473" i="17"/>
  <c r="R472" i="17"/>
  <c r="AB471" i="17"/>
  <c r="F471" i="17"/>
  <c r="M470" i="17"/>
  <c r="X469" i="17"/>
  <c r="D469" i="17"/>
  <c r="L468" i="17"/>
  <c r="W467" i="17"/>
  <c r="C467" i="17"/>
  <c r="K466" i="17"/>
  <c r="V465" i="17"/>
  <c r="B465" i="17"/>
  <c r="M464" i="17"/>
  <c r="U463" i="17"/>
  <c r="AE462" i="17"/>
  <c r="K462" i="17"/>
  <c r="S461" i="17"/>
  <c r="AD460" i="17"/>
  <c r="J460" i="17"/>
  <c r="R459" i="17"/>
  <c r="AC458" i="17"/>
  <c r="I458" i="17"/>
  <c r="Q457" i="17"/>
  <c r="AB456" i="17"/>
  <c r="H456" i="17"/>
  <c r="P455" i="17"/>
  <c r="AA454" i="17"/>
  <c r="G454" i="17"/>
  <c r="R453" i="17"/>
  <c r="Y452" i="17"/>
  <c r="E452" i="17"/>
  <c r="P451" i="17"/>
  <c r="X450" i="17"/>
  <c r="D450" i="17"/>
  <c r="O449" i="17"/>
  <c r="W448" i="17"/>
  <c r="C448" i="17"/>
  <c r="N447" i="17"/>
  <c r="V446" i="17"/>
  <c r="B446" i="17"/>
  <c r="M445" i="17"/>
  <c r="U444" i="17"/>
  <c r="A444" i="17"/>
  <c r="L443" i="17"/>
  <c r="S442" i="17"/>
  <c r="AD441" i="17"/>
  <c r="J441" i="17"/>
  <c r="U440" i="17"/>
  <c r="AC439" i="17"/>
  <c r="I439" i="17"/>
  <c r="T438" i="17"/>
  <c r="AB437" i="17"/>
  <c r="H437" i="17"/>
  <c r="S436" i="17"/>
  <c r="AA435" i="17"/>
  <c r="G435" i="17"/>
  <c r="R434" i="17"/>
  <c r="Z433" i="17"/>
  <c r="F433" i="17"/>
  <c r="AC792" i="17"/>
  <c r="C782" i="17"/>
  <c r="AE771" i="17"/>
  <c r="E763" i="17"/>
  <c r="Q755" i="17"/>
  <c r="I749" i="17"/>
  <c r="S742" i="17"/>
  <c r="K738" i="17"/>
  <c r="S733" i="17"/>
  <c r="U728" i="17"/>
  <c r="N724" i="17"/>
  <c r="J720" i="17"/>
  <c r="F716" i="17"/>
  <c r="J712" i="17"/>
  <c r="AA707" i="17"/>
  <c r="AE703" i="17"/>
  <c r="Y699" i="17"/>
  <c r="S696" i="17"/>
  <c r="F693" i="17"/>
  <c r="S689" i="17"/>
  <c r="W686" i="17"/>
  <c r="U683" i="17"/>
  <c r="M681" i="17"/>
  <c r="X679" i="17"/>
  <c r="N677" i="17"/>
  <c r="U675" i="17"/>
  <c r="L673" i="17"/>
  <c r="P671" i="17"/>
  <c r="O669" i="17"/>
  <c r="W667" i="17"/>
  <c r="T665" i="17"/>
  <c r="B664" i="17"/>
  <c r="C662" i="17"/>
  <c r="J660" i="17"/>
  <c r="P658" i="17"/>
  <c r="AD656" i="17"/>
  <c r="AE654" i="17"/>
  <c r="O653" i="17"/>
  <c r="AC651" i="17"/>
  <c r="A650" i="17"/>
  <c r="J648" i="17"/>
  <c r="V646" i="17"/>
  <c r="W644" i="17"/>
  <c r="F643" i="17"/>
  <c r="S641" i="17"/>
  <c r="A640" i="17"/>
  <c r="E638" i="17"/>
  <c r="O636" i="17"/>
  <c r="B635" i="17"/>
  <c r="U633" i="17"/>
  <c r="O632" i="17"/>
  <c r="L631" i="17"/>
  <c r="AC629" i="17"/>
  <c r="X628" i="17"/>
  <c r="M627" i="17"/>
  <c r="B626" i="17"/>
  <c r="X624" i="17"/>
  <c r="U623" i="17"/>
  <c r="H622" i="17"/>
  <c r="I621" i="17"/>
  <c r="F620" i="17"/>
  <c r="E619" i="17"/>
  <c r="AD617" i="17"/>
  <c r="AD616" i="17"/>
  <c r="AC615" i="17"/>
  <c r="Y614" i="17"/>
  <c r="U613" i="17"/>
  <c r="X612" i="17"/>
  <c r="V611" i="17"/>
  <c r="Z610" i="17"/>
  <c r="AB609" i="17"/>
  <c r="AA608" i="17"/>
  <c r="AC607" i="17"/>
  <c r="A607" i="17"/>
  <c r="AD605" i="17"/>
  <c r="B605" i="17"/>
  <c r="D604" i="17"/>
  <c r="I603" i="17"/>
  <c r="G602" i="17"/>
  <c r="J601" i="17"/>
  <c r="K600" i="17"/>
  <c r="K599" i="17"/>
  <c r="L598" i="17"/>
  <c r="R597" i="17"/>
  <c r="O596" i="17"/>
  <c r="S595" i="17"/>
  <c r="S594" i="17"/>
  <c r="S593" i="17"/>
  <c r="T592" i="17"/>
  <c r="X591" i="17"/>
  <c r="V590" i="17"/>
  <c r="AA589" i="17"/>
  <c r="AB588" i="17"/>
  <c r="AE587" i="17"/>
  <c r="AC586" i="17"/>
  <c r="B586" i="17"/>
  <c r="D585" i="17"/>
  <c r="E584" i="17"/>
  <c r="F583" i="17"/>
  <c r="I582" i="17"/>
  <c r="G581" i="17"/>
  <c r="I580" i="17"/>
  <c r="K579" i="17"/>
  <c r="K578" i="17"/>
  <c r="N577" i="17"/>
  <c r="Q576" i="17"/>
  <c r="O575" i="17"/>
  <c r="R574" i="17"/>
  <c r="S573" i="17"/>
  <c r="Y572" i="17"/>
  <c r="V571" i="17"/>
  <c r="Z570" i="17"/>
  <c r="AA569" i="17"/>
  <c r="AA568" i="17"/>
  <c r="AB567" i="17"/>
  <c r="B567" i="17"/>
  <c r="AC565" i="17"/>
  <c r="C565" i="17"/>
  <c r="D564" i="17"/>
  <c r="D563" i="17"/>
  <c r="E562" i="17"/>
  <c r="I561" i="17"/>
  <c r="F560" i="17"/>
  <c r="L559" i="17"/>
  <c r="M558" i="17"/>
  <c r="P557" i="17"/>
  <c r="N556" i="17"/>
  <c r="Q555" i="17"/>
  <c r="S554" i="17"/>
  <c r="T553" i="17"/>
  <c r="V552" i="17"/>
  <c r="X551" i="17"/>
  <c r="V550" i="17"/>
  <c r="Y549" i="17"/>
  <c r="Z548" i="17"/>
  <c r="AA547" i="17"/>
  <c r="AC546" i="17"/>
  <c r="B546" i="17"/>
  <c r="AE544" i="17"/>
  <c r="C544" i="17"/>
  <c r="D543" i="17"/>
  <c r="I542" i="17"/>
  <c r="F541" i="17"/>
  <c r="K540" i="17"/>
  <c r="L539" i="17"/>
  <c r="L538" i="17"/>
  <c r="L537" i="17"/>
  <c r="P536" i="17"/>
  <c r="M535" i="17"/>
  <c r="S534" i="17"/>
  <c r="T533" i="17"/>
  <c r="T532" i="17"/>
  <c r="U531" i="17"/>
  <c r="X530" i="17"/>
  <c r="V529" i="17"/>
  <c r="AA528" i="17"/>
  <c r="AC527" i="17"/>
  <c r="A527" i="17"/>
  <c r="AD525" i="17"/>
  <c r="B525" i="17"/>
  <c r="D524" i="17"/>
  <c r="C523" i="17"/>
  <c r="E522" i="17"/>
  <c r="I521" i="17"/>
  <c r="G520" i="17"/>
  <c r="J519" i="17"/>
  <c r="K518" i="17"/>
  <c r="K517" i="17"/>
  <c r="M516" i="17"/>
  <c r="R515" i="17"/>
  <c r="P514" i="17"/>
  <c r="S513" i="17"/>
  <c r="V512" i="17"/>
  <c r="AC511" i="17"/>
  <c r="AC510" i="17"/>
  <c r="B510" i="17"/>
  <c r="F509" i="17"/>
  <c r="G508" i="17"/>
  <c r="N507" i="17"/>
  <c r="S506" i="17"/>
  <c r="X505" i="17"/>
  <c r="AD504" i="17"/>
  <c r="H504" i="17"/>
  <c r="O503" i="17"/>
  <c r="X502" i="17"/>
  <c r="C502" i="17"/>
  <c r="J501" i="17"/>
  <c r="S500" i="17"/>
  <c r="AC499" i="17"/>
  <c r="H499" i="17"/>
  <c r="N498" i="17"/>
  <c r="W497" i="17"/>
  <c r="A497" i="17"/>
  <c r="H496" i="17"/>
  <c r="Q495" i="17"/>
  <c r="AA494" i="17"/>
  <c r="C494" i="17"/>
  <c r="L493" i="17"/>
  <c r="V492" i="17"/>
  <c r="AB491" i="17"/>
  <c r="G491" i="17"/>
  <c r="Q490" i="17"/>
  <c r="W489" i="17"/>
  <c r="B489" i="17"/>
  <c r="K488" i="17"/>
  <c r="U487" i="17"/>
  <c r="AA486" i="17"/>
  <c r="E486" i="17"/>
  <c r="O485" i="17"/>
  <c r="U484" i="17"/>
  <c r="AE483" i="17"/>
  <c r="J483" i="17"/>
  <c r="P482" i="17"/>
  <c r="Z481" i="17"/>
  <c r="D481" i="17"/>
  <c r="K480" i="17"/>
  <c r="U479" i="17"/>
  <c r="AD478" i="17"/>
  <c r="F478" i="17"/>
  <c r="O477" i="17"/>
  <c r="Y476" i="17"/>
  <c r="AD475" i="17"/>
  <c r="I475" i="17"/>
  <c r="S474" i="17"/>
  <c r="AB473" i="17"/>
  <c r="D473" i="17"/>
  <c r="N472" i="17"/>
  <c r="W471" i="17"/>
  <c r="AD470" i="17"/>
  <c r="I470" i="17"/>
  <c r="T469" i="17"/>
  <c r="AB468" i="17"/>
  <c r="H468" i="17"/>
  <c r="S467" i="17"/>
  <c r="AA466" i="17"/>
  <c r="G466" i="17"/>
  <c r="Q465" i="17"/>
  <c r="Y464" i="17"/>
  <c r="E464" i="17"/>
  <c r="P463" i="17"/>
  <c r="AA462" i="17"/>
  <c r="D462" i="17"/>
  <c r="O461" i="17"/>
  <c r="Z460" i="17"/>
  <c r="C460" i="17"/>
  <c r="N459" i="17"/>
  <c r="Y458" i="17"/>
  <c r="B458" i="17"/>
  <c r="M457" i="17"/>
  <c r="X456" i="17"/>
  <c r="A456" i="17"/>
  <c r="K455" i="17"/>
  <c r="V454" i="17"/>
  <c r="AD453" i="17"/>
  <c r="J453" i="17"/>
  <c r="U452" i="17"/>
  <c r="A452" i="17"/>
  <c r="I451" i="17"/>
  <c r="T450" i="17"/>
  <c r="AE449" i="17"/>
  <c r="H449" i="17"/>
  <c r="S448" i="17"/>
  <c r="AD447" i="17"/>
  <c r="G447" i="17"/>
  <c r="R446" i="17"/>
  <c r="AC445" i="17"/>
  <c r="E445" i="17"/>
  <c r="P444" i="17"/>
  <c r="AA443" i="17"/>
  <c r="D443" i="17"/>
  <c r="O442" i="17"/>
  <c r="Z441" i="17"/>
  <c r="F441" i="17"/>
  <c r="N440" i="17"/>
  <c r="Y439" i="17"/>
  <c r="E439" i="17"/>
  <c r="M438" i="17"/>
  <c r="X437" i="17"/>
  <c r="D437" i="17"/>
  <c r="L436" i="17"/>
  <c r="W435" i="17"/>
  <c r="B435" i="17"/>
  <c r="J434" i="17"/>
  <c r="U433" i="17"/>
  <c r="A433" i="17"/>
  <c r="I432" i="17"/>
  <c r="T431" i="17"/>
  <c r="AE430" i="17"/>
  <c r="K430" i="17"/>
  <c r="S429" i="17"/>
  <c r="AD428" i="17"/>
  <c r="J428" i="17"/>
  <c r="R427" i="17"/>
  <c r="AC426" i="17"/>
  <c r="I426" i="17"/>
  <c r="Q425" i="17"/>
  <c r="AA424" i="17"/>
  <c r="G424" i="17"/>
  <c r="O423" i="17"/>
  <c r="Z422" i="17"/>
  <c r="F422" i="17"/>
  <c r="N421" i="17"/>
  <c r="Y420" i="17"/>
  <c r="E420" i="17"/>
  <c r="P419" i="17"/>
  <c r="X418" i="17"/>
  <c r="D418" i="17"/>
  <c r="O417" i="17"/>
  <c r="W416" i="17"/>
  <c r="C416" i="17"/>
  <c r="N415" i="17"/>
  <c r="U414" i="17"/>
  <c r="A414" i="17"/>
  <c r="L413" i="17"/>
  <c r="T412" i="17"/>
  <c r="AE411" i="17"/>
  <c r="K411" i="17"/>
  <c r="S410" i="17"/>
  <c r="AD409" i="17"/>
  <c r="J409" i="17"/>
  <c r="U408" i="17"/>
  <c r="AC407" i="17"/>
  <c r="I407" i="17"/>
  <c r="T406" i="17"/>
  <c r="AB405" i="17"/>
  <c r="H405" i="17"/>
  <c r="R404" i="17"/>
  <c r="Z403" i="17"/>
  <c r="F403" i="17"/>
  <c r="Q402" i="17"/>
  <c r="Y401" i="17"/>
  <c r="E401" i="17"/>
  <c r="P400" i="17"/>
  <c r="X399" i="17"/>
  <c r="D399" i="17"/>
  <c r="O398" i="17"/>
  <c r="Z397" i="17"/>
  <c r="C397" i="17"/>
  <c r="N396" i="17"/>
  <c r="Y395" i="17"/>
  <c r="B395" i="17"/>
  <c r="E795" i="17"/>
  <c r="K781" i="17"/>
  <c r="C770" i="17"/>
  <c r="L759" i="17"/>
  <c r="AA750" i="17"/>
  <c r="V743" i="17"/>
  <c r="G737" i="17"/>
  <c r="S731" i="17"/>
  <c r="Y725" i="17"/>
  <c r="M720" i="17"/>
  <c r="D715" i="17"/>
  <c r="T710" i="17"/>
  <c r="Z706" i="17"/>
  <c r="AB700" i="17"/>
  <c r="B696" i="17"/>
  <c r="T691" i="17"/>
  <c r="Y688" i="17"/>
  <c r="AE684" i="17"/>
  <c r="AB681" i="17"/>
  <c r="B679" i="17"/>
  <c r="U676" i="17"/>
  <c r="J674" i="17"/>
  <c r="X671" i="17"/>
  <c r="M669" i="17"/>
  <c r="AE666" i="17"/>
  <c r="C665" i="17"/>
  <c r="O662" i="17"/>
  <c r="I660" i="17"/>
  <c r="H658" i="17"/>
  <c r="B656" i="17"/>
  <c r="C654" i="17"/>
  <c r="AD651" i="17"/>
  <c r="O649" i="17"/>
  <c r="Z647" i="17"/>
  <c r="X645" i="17"/>
  <c r="I643" i="17"/>
  <c r="H641" i="17"/>
  <c r="F639" i="17"/>
  <c r="Q637" i="17"/>
  <c r="F635" i="17"/>
  <c r="T633" i="17"/>
  <c r="G632" i="17"/>
  <c r="S630" i="17"/>
  <c r="I629" i="17"/>
  <c r="N627" i="17"/>
  <c r="Z625" i="17"/>
  <c r="O624" i="17"/>
  <c r="Z622" i="17"/>
  <c r="K621" i="17"/>
  <c r="D620" i="17"/>
  <c r="V618" i="17"/>
  <c r="S617" i="17"/>
  <c r="A616" i="17"/>
  <c r="V614" i="17"/>
  <c r="P613" i="17"/>
  <c r="H612" i="17"/>
  <c r="F611" i="17"/>
  <c r="AD609" i="17"/>
  <c r="T608" i="17"/>
  <c r="T607" i="17"/>
  <c r="O606" i="17"/>
  <c r="E605" i="17"/>
  <c r="A604" i="17"/>
  <c r="AA602" i="17"/>
  <c r="X601" i="17"/>
  <c r="N600" i="17"/>
  <c r="J599" i="17"/>
  <c r="G598" i="17"/>
  <c r="B597" i="17"/>
  <c r="AD595" i="17"/>
  <c r="U594" i="17"/>
  <c r="N593" i="17"/>
  <c r="N592" i="17"/>
  <c r="G591" i="17"/>
  <c r="AC589" i="17"/>
  <c r="Z588" i="17"/>
  <c r="S587" i="17"/>
  <c r="O586" i="17"/>
  <c r="H585" i="17"/>
  <c r="C584" i="17"/>
  <c r="AD582" i="17"/>
  <c r="X581" i="17"/>
  <c r="V580" i="17"/>
  <c r="L579" i="17"/>
  <c r="E578" i="17"/>
  <c r="E577" i="17"/>
  <c r="AE575" i="17"/>
  <c r="T574" i="17"/>
  <c r="Q573" i="17"/>
  <c r="L572" i="17"/>
  <c r="I571" i="17"/>
  <c r="AD569" i="17"/>
  <c r="Z568" i="17"/>
  <c r="W567" i="17"/>
  <c r="Q566" i="17"/>
  <c r="N565" i="17"/>
  <c r="E564" i="17"/>
  <c r="AC562" i="17"/>
  <c r="AD561" i="17"/>
  <c r="V560" i="17"/>
  <c r="N559" i="17"/>
  <c r="K558" i="17"/>
  <c r="C557" i="17"/>
  <c r="AE555" i="17"/>
  <c r="X554" i="17"/>
  <c r="R553" i="17"/>
  <c r="N552" i="17"/>
  <c r="I551" i="17"/>
  <c r="G550" i="17"/>
  <c r="AB548" i="17"/>
  <c r="U547" i="17"/>
  <c r="U546" i="17"/>
  <c r="O545" i="17"/>
  <c r="E544" i="17"/>
  <c r="B543" i="17"/>
  <c r="AA541" i="17"/>
  <c r="Y540" i="17"/>
  <c r="O539" i="17"/>
  <c r="H538" i="17"/>
  <c r="H537" i="17"/>
  <c r="A536" i="17"/>
  <c r="AD534" i="17"/>
  <c r="U533" i="17"/>
  <c r="M532" i="17"/>
  <c r="N531" i="17"/>
  <c r="F530" i="17"/>
  <c r="AD528" i="17"/>
  <c r="Z527" i="17"/>
  <c r="R526" i="17"/>
  <c r="P525" i="17"/>
  <c r="I524" i="17"/>
  <c r="AD522" i="17"/>
  <c r="AD521" i="17"/>
  <c r="Y520" i="17"/>
  <c r="W519" i="17"/>
  <c r="L518" i="17"/>
  <c r="F517" i="17"/>
  <c r="F516" i="17"/>
  <c r="AE514" i="17"/>
  <c r="U513" i="17"/>
  <c r="T512" i="17"/>
  <c r="P511" i="17"/>
  <c r="Q510" i="17"/>
  <c r="L509" i="17"/>
  <c r="E508" i="17"/>
  <c r="J507" i="17"/>
  <c r="I506" i="17"/>
  <c r="K505" i="17"/>
  <c r="I504" i="17"/>
  <c r="L503" i="17"/>
  <c r="R502" i="17"/>
  <c r="T501" i="17"/>
  <c r="U500" i="17"/>
  <c r="AA499" i="17"/>
  <c r="AC498" i="17"/>
  <c r="D498" i="17"/>
  <c r="F497" i="17"/>
  <c r="G496" i="17"/>
  <c r="M495" i="17"/>
  <c r="P494" i="17"/>
  <c r="S493" i="17"/>
  <c r="W492" i="17"/>
  <c r="Y491" i="17"/>
  <c r="AE490" i="17"/>
  <c r="C490" i="17"/>
  <c r="D489" i="17"/>
  <c r="H488" i="17"/>
  <c r="L487" i="17"/>
  <c r="R486" i="17"/>
  <c r="S485" i="17"/>
  <c r="T484" i="17"/>
  <c r="AA483" i="17"/>
  <c r="AD482" i="17"/>
  <c r="A482" i="17"/>
  <c r="F481" i="17"/>
  <c r="H480" i="17"/>
  <c r="M479" i="17"/>
  <c r="P478" i="17"/>
  <c r="R477" i="17"/>
  <c r="V476" i="17"/>
  <c r="Y475" i="17"/>
  <c r="A475" i="17"/>
  <c r="A474" i="17"/>
  <c r="C473" i="17"/>
  <c r="I472" i="17"/>
  <c r="M471" i="17"/>
  <c r="O470" i="17"/>
  <c r="U469" i="17"/>
  <c r="Y468" i="17"/>
  <c r="A468" i="17"/>
  <c r="F467" i="17"/>
  <c r="I466" i="17"/>
  <c r="O465" i="17"/>
  <c r="T464" i="17"/>
  <c r="AB463" i="17"/>
  <c r="AD462" i="17"/>
  <c r="C462" i="17"/>
  <c r="K461" i="17"/>
  <c r="P460" i="17"/>
  <c r="T459" i="17"/>
  <c r="Z458" i="17"/>
  <c r="AD457" i="17"/>
  <c r="F457" i="17"/>
  <c r="K456" i="17"/>
  <c r="N455" i="17"/>
  <c r="T454" i="17"/>
  <c r="Y453" i="17"/>
  <c r="B453" i="17"/>
  <c r="D452" i="17"/>
  <c r="H451" i="17"/>
  <c r="P450" i="17"/>
  <c r="T449" i="17"/>
  <c r="Y448" i="17"/>
  <c r="AE447" i="17"/>
  <c r="C447" i="17"/>
  <c r="K446" i="17"/>
  <c r="P445" i="17"/>
  <c r="S444" i="17"/>
  <c r="Y443" i="17"/>
  <c r="AD442" i="17"/>
  <c r="G442" i="17"/>
  <c r="I441" i="17"/>
  <c r="M440" i="17"/>
  <c r="U439" i="17"/>
  <c r="Y438" i="17"/>
  <c r="AD437" i="17"/>
  <c r="E437" i="17"/>
  <c r="H436" i="17"/>
  <c r="P435" i="17"/>
  <c r="U434" i="17"/>
  <c r="W433" i="17"/>
  <c r="AD432" i="17"/>
  <c r="E432" i="17"/>
  <c r="N431" i="17"/>
  <c r="T430" i="17"/>
  <c r="AB429" i="17"/>
  <c r="B429" i="17"/>
  <c r="K428" i="17"/>
  <c r="P427" i="17"/>
  <c r="X426" i="17"/>
  <c r="AD425" i="17"/>
  <c r="H425" i="17"/>
  <c r="N424" i="17"/>
  <c r="V423" i="17"/>
  <c r="AA422" i="17"/>
  <c r="D422" i="17"/>
  <c r="J421" i="17"/>
  <c r="S420" i="17"/>
  <c r="X419" i="17"/>
  <c r="B419" i="17"/>
  <c r="G418" i="17"/>
  <c r="P417" i="17"/>
  <c r="V416" i="17"/>
  <c r="AE415" i="17"/>
  <c r="G415" i="17"/>
  <c r="Q414" i="17"/>
  <c r="AA413" i="17"/>
  <c r="C413" i="17"/>
  <c r="M412" i="17"/>
  <c r="T411" i="17"/>
  <c r="AD410" i="17"/>
  <c r="H410" i="17"/>
  <c r="O409" i="17"/>
  <c r="Y408" i="17"/>
  <c r="A408" i="17"/>
  <c r="K407" i="17"/>
  <c r="U406" i="17"/>
  <c r="AA405" i="17"/>
  <c r="E405" i="17"/>
  <c r="L404" i="17"/>
  <c r="V403" i="17"/>
  <c r="A403" i="17"/>
  <c r="H402" i="17"/>
  <c r="R401" i="17"/>
  <c r="Y400" i="17"/>
  <c r="C400" i="17"/>
  <c r="M399" i="17"/>
  <c r="T398" i="17"/>
  <c r="AD397" i="17"/>
  <c r="F397" i="17"/>
  <c r="P396" i="17"/>
  <c r="Z395" i="17"/>
  <c r="AE394" i="17"/>
  <c r="K394" i="17"/>
  <c r="V393" i="17"/>
  <c r="AD392" i="17"/>
  <c r="J392" i="17"/>
  <c r="U391" i="17"/>
  <c r="AC390" i="17"/>
  <c r="I390" i="17"/>
  <c r="T389" i="17"/>
  <c r="AB388" i="17"/>
  <c r="H388" i="17"/>
  <c r="S387" i="17"/>
  <c r="AA386" i="17"/>
  <c r="G386" i="17"/>
  <c r="R385" i="17"/>
  <c r="Y384" i="17"/>
  <c r="E384" i="17"/>
  <c r="P383" i="17"/>
  <c r="AA382" i="17"/>
  <c r="D382" i="17"/>
  <c r="O381" i="17"/>
  <c r="Z380" i="17"/>
  <c r="C380" i="17"/>
  <c r="N379" i="17"/>
  <c r="Y378" i="17"/>
  <c r="B378" i="17"/>
  <c r="M377" i="17"/>
  <c r="X376" i="17"/>
  <c r="A376" i="17"/>
  <c r="L375" i="17"/>
  <c r="V374" i="17"/>
  <c r="AD373" i="17"/>
  <c r="J373" i="17"/>
  <c r="U372" i="17"/>
  <c r="A372" i="17"/>
  <c r="I371" i="17"/>
  <c r="T370" i="17"/>
  <c r="AE369" i="17"/>
  <c r="H369" i="17"/>
  <c r="S368" i="17"/>
  <c r="AD367" i="17"/>
  <c r="G367" i="17"/>
  <c r="R366" i="17"/>
  <c r="AC365" i="17"/>
  <c r="F365" i="17"/>
  <c r="P364" i="17"/>
  <c r="AA363" i="17"/>
  <c r="D363" i="17"/>
  <c r="O362" i="17"/>
  <c r="Z361" i="17"/>
  <c r="F361" i="17"/>
  <c r="N360" i="17"/>
  <c r="AA794" i="17"/>
  <c r="J781" i="17"/>
  <c r="G768" i="17"/>
  <c r="K759" i="17"/>
  <c r="K750" i="17"/>
  <c r="O742" i="17"/>
  <c r="E737" i="17"/>
  <c r="C731" i="17"/>
  <c r="V725" i="17"/>
  <c r="K720" i="17"/>
  <c r="B715" i="17"/>
  <c r="O710" i="17"/>
  <c r="J705" i="17"/>
  <c r="U700" i="17"/>
  <c r="A696" i="17"/>
  <c r="P691" i="17"/>
  <c r="R688" i="17"/>
  <c r="H684" i="17"/>
  <c r="J681" i="17"/>
  <c r="AA678" i="17"/>
  <c r="T676" i="17"/>
  <c r="E674" i="17"/>
  <c r="T671" i="17"/>
  <c r="L669" i="17"/>
  <c r="AC666" i="17"/>
  <c r="X664" i="17"/>
  <c r="J662" i="17"/>
  <c r="AA659" i="17"/>
  <c r="F658" i="17"/>
  <c r="AC655" i="17"/>
  <c r="T653" i="17"/>
  <c r="U651" i="17"/>
  <c r="N649" i="17"/>
  <c r="Y647" i="17"/>
  <c r="W645" i="17"/>
  <c r="H643" i="17"/>
  <c r="G641" i="17"/>
  <c r="E639" i="17"/>
  <c r="K637" i="17"/>
  <c r="D635" i="17"/>
  <c r="Q633" i="17"/>
  <c r="E632" i="17"/>
  <c r="R630" i="17"/>
  <c r="AA628" i="17"/>
  <c r="L627" i="17"/>
  <c r="Y625" i="17"/>
  <c r="M624" i="17"/>
  <c r="Y622" i="17"/>
  <c r="J621" i="17"/>
  <c r="C620" i="17"/>
  <c r="U618" i="17"/>
  <c r="H617" i="17"/>
  <c r="AE615" i="17"/>
  <c r="Q614" i="17"/>
  <c r="M613" i="17"/>
  <c r="G612" i="17"/>
  <c r="AE610" i="17"/>
  <c r="Y609" i="17"/>
  <c r="S608" i="17"/>
  <c r="S607" i="17"/>
  <c r="N606" i="17"/>
  <c r="C605" i="17"/>
  <c r="AE603" i="17"/>
  <c r="Z602" i="17"/>
  <c r="R601" i="17"/>
  <c r="M600" i="17"/>
  <c r="G599" i="17"/>
  <c r="F598" i="17"/>
  <c r="AE596" i="17"/>
  <c r="V595" i="17"/>
  <c r="R594" i="17"/>
  <c r="L593" i="17"/>
  <c r="M592" i="17"/>
  <c r="E591" i="17"/>
  <c r="AB589" i="17"/>
  <c r="Y588" i="17"/>
  <c r="Q587" i="17"/>
  <c r="K586" i="17"/>
  <c r="G585" i="17"/>
  <c r="AC583" i="17"/>
  <c r="AB582" i="17"/>
  <c r="W581" i="17"/>
  <c r="O580" i="17"/>
  <c r="I579" i="17"/>
  <c r="D578" i="17"/>
  <c r="D577" i="17"/>
  <c r="AD575" i="17"/>
  <c r="S574" i="17"/>
  <c r="P573" i="17"/>
  <c r="K572" i="17"/>
  <c r="C571" i="17"/>
  <c r="AC569" i="17"/>
  <c r="W568" i="17"/>
  <c r="V567" i="17"/>
  <c r="O566" i="17"/>
  <c r="G565" i="17"/>
  <c r="C564" i="17"/>
  <c r="AA562" i="17"/>
  <c r="AB561" i="17"/>
  <c r="T560" i="17"/>
  <c r="M559" i="17"/>
  <c r="I558" i="17"/>
  <c r="A557" i="17"/>
  <c r="AA555" i="17"/>
  <c r="W554" i="17"/>
  <c r="M553" i="17"/>
  <c r="M552" i="17"/>
  <c r="H551" i="17"/>
  <c r="AD549" i="17"/>
  <c r="Y548" i="17"/>
  <c r="T547" i="17"/>
  <c r="T546" i="17"/>
  <c r="N545" i="17"/>
  <c r="D544" i="17"/>
  <c r="A543" i="17"/>
  <c r="Z541" i="17"/>
  <c r="R540" i="17"/>
  <c r="N539" i="17"/>
  <c r="G538" i="17"/>
  <c r="G537" i="17"/>
  <c r="AE535" i="17"/>
  <c r="V534" i="17"/>
  <c r="S533" i="17"/>
  <c r="L532" i="17"/>
  <c r="L531" i="17"/>
  <c r="E530" i="17"/>
  <c r="AC528" i="17"/>
  <c r="X527" i="17"/>
  <c r="Q526" i="17"/>
  <c r="L525" i="17"/>
  <c r="G524" i="17"/>
  <c r="AC522" i="17"/>
  <c r="AC521" i="17"/>
  <c r="X520" i="17"/>
  <c r="M519" i="17"/>
  <c r="J518" i="17"/>
  <c r="E517" i="17"/>
  <c r="E516" i="17"/>
  <c r="AC514" i="17"/>
  <c r="T513" i="17"/>
  <c r="S512" i="17"/>
  <c r="O511" i="17"/>
  <c r="M510" i="17"/>
  <c r="K509" i="17"/>
  <c r="D508" i="17"/>
  <c r="H507" i="17"/>
  <c r="H506" i="17"/>
  <c r="B505" i="17"/>
  <c r="G504" i="17"/>
  <c r="J503" i="17"/>
  <c r="M502" i="17"/>
  <c r="S501" i="17"/>
  <c r="T500" i="17"/>
  <c r="Y499" i="17"/>
  <c r="AB498" i="17"/>
  <c r="AE497" i="17"/>
  <c r="D497" i="17"/>
  <c r="F496" i="17"/>
  <c r="L495" i="17"/>
  <c r="O494" i="17"/>
  <c r="O493" i="17"/>
  <c r="U492" i="17"/>
  <c r="X491" i="17"/>
  <c r="Z490" i="17"/>
  <c r="B490" i="17"/>
  <c r="C489" i="17"/>
  <c r="G488" i="17"/>
  <c r="J487" i="17"/>
  <c r="N486" i="17"/>
  <c r="Q485" i="17"/>
  <c r="S484" i="17"/>
  <c r="Z483" i="17"/>
  <c r="AC482" i="17"/>
  <c r="AC481" i="17"/>
  <c r="C481" i="17"/>
  <c r="G480" i="17"/>
  <c r="I479" i="17"/>
  <c r="O478" i="17"/>
  <c r="P477" i="17"/>
  <c r="U476" i="17"/>
  <c r="X475" i="17"/>
  <c r="AA474" i="17"/>
  <c r="AE473" i="17"/>
  <c r="B473" i="17"/>
  <c r="H472" i="17"/>
  <c r="L471" i="17"/>
  <c r="L470" i="17"/>
  <c r="S469" i="17"/>
  <c r="X468" i="17"/>
  <c r="AB467" i="17"/>
  <c r="E467" i="17"/>
  <c r="H466" i="17"/>
  <c r="N465" i="17"/>
  <c r="S464" i="17"/>
  <c r="X463" i="17"/>
  <c r="AC462" i="17"/>
  <c r="B462" i="17"/>
  <c r="J461" i="17"/>
  <c r="N460" i="17"/>
  <c r="Q459" i="17"/>
  <c r="X458" i="17"/>
  <c r="AB457" i="17"/>
  <c r="B457" i="17"/>
  <c r="J456" i="17"/>
  <c r="M455" i="17"/>
  <c r="S454" i="17"/>
  <c r="X453" i="17"/>
  <c r="AC452" i="17"/>
  <c r="C452" i="17"/>
  <c r="G451" i="17"/>
  <c r="O450" i="17"/>
  <c r="S449" i="17"/>
  <c r="V448" i="17"/>
  <c r="AC447" i="17"/>
  <c r="B447" i="17"/>
  <c r="G446" i="17"/>
  <c r="O445" i="17"/>
  <c r="Q444" i="17"/>
  <c r="X443" i="17"/>
  <c r="AC442" i="17"/>
  <c r="C442" i="17"/>
  <c r="H441" i="17"/>
  <c r="L440" i="17"/>
  <c r="T439" i="17"/>
  <c r="X438" i="17"/>
  <c r="AA437" i="17"/>
  <c r="C437" i="17"/>
  <c r="G436" i="17"/>
  <c r="L435" i="17"/>
  <c r="T434" i="17"/>
  <c r="V433" i="17"/>
  <c r="AC432" i="17"/>
  <c r="D432" i="17"/>
  <c r="M431" i="17"/>
  <c r="R430" i="17"/>
  <c r="Z429" i="17"/>
  <c r="A429" i="17"/>
  <c r="I428" i="17"/>
  <c r="O427" i="17"/>
  <c r="W426" i="17"/>
  <c r="AC425" i="17"/>
  <c r="G425" i="17"/>
  <c r="L424" i="17"/>
  <c r="T423" i="17"/>
  <c r="Y422" i="17"/>
  <c r="C422" i="17"/>
  <c r="I421" i="17"/>
  <c r="R420" i="17"/>
  <c r="W419" i="17"/>
  <c r="AE418" i="17"/>
  <c r="F418" i="17"/>
  <c r="N417" i="17"/>
  <c r="U416" i="17"/>
  <c r="AD415" i="17"/>
  <c r="F415" i="17"/>
  <c r="P414" i="17"/>
  <c r="Z413" i="17"/>
  <c r="B413" i="17"/>
  <c r="L412" i="17"/>
  <c r="S411" i="17"/>
  <c r="AB410" i="17"/>
  <c r="G410" i="17"/>
  <c r="N409" i="17"/>
  <c r="X408" i="17"/>
  <c r="AE407" i="17"/>
  <c r="J407" i="17"/>
  <c r="S406" i="17"/>
  <c r="Y405" i="17"/>
  <c r="D405" i="17"/>
  <c r="K404" i="17"/>
  <c r="U403" i="17"/>
  <c r="AE402" i="17"/>
  <c r="G402" i="17"/>
  <c r="Q401" i="17"/>
  <c r="X400" i="17"/>
  <c r="B400" i="17"/>
  <c r="L399" i="17"/>
  <c r="S398" i="17"/>
  <c r="AC397" i="17"/>
  <c r="E397" i="17"/>
  <c r="O396" i="17"/>
  <c r="X395" i="17"/>
  <c r="AD394" i="17"/>
  <c r="J394" i="17"/>
  <c r="R393" i="17"/>
  <c r="AC392" i="17"/>
  <c r="I392" i="17"/>
  <c r="T391" i="17"/>
  <c r="AB390" i="17"/>
  <c r="H390" i="17"/>
  <c r="S389" i="17"/>
  <c r="AA388" i="17"/>
  <c r="G388" i="17"/>
  <c r="R387" i="17"/>
  <c r="Z386" i="17"/>
  <c r="F386" i="17"/>
  <c r="P385" i="17"/>
  <c r="X384" i="17"/>
  <c r="D384" i="17"/>
  <c r="O383" i="17"/>
  <c r="W382" i="17"/>
  <c r="C382" i="17"/>
  <c r="N381" i="17"/>
  <c r="Y380" i="17"/>
  <c r="B380" i="17"/>
  <c r="M379" i="17"/>
  <c r="X378" i="17"/>
  <c r="A378" i="17"/>
  <c r="L377" i="17"/>
  <c r="W376" i="17"/>
  <c r="AE375" i="17"/>
  <c r="J375" i="17"/>
  <c r="U374" i="17"/>
  <c r="AC373" i="17"/>
  <c r="I373" i="17"/>
  <c r="T372" i="17"/>
  <c r="AB371" i="17"/>
  <c r="H371" i="17"/>
  <c r="S370" i="17"/>
  <c r="AD369" i="17"/>
  <c r="G369" i="17"/>
  <c r="R368" i="17"/>
  <c r="AC367" i="17"/>
  <c r="F367" i="17"/>
  <c r="Q366" i="17"/>
  <c r="AB365" i="17"/>
  <c r="D365" i="17"/>
  <c r="O364" i="17"/>
  <c r="Z363" i="17"/>
  <c r="C363" i="17"/>
  <c r="N362" i="17"/>
  <c r="Y361" i="17"/>
  <c r="B361" i="17"/>
  <c r="M360" i="17"/>
  <c r="X359" i="17"/>
  <c r="D359" i="17"/>
  <c r="L358" i="17"/>
  <c r="W357" i="17"/>
  <c r="C357" i="17"/>
  <c r="K356" i="17"/>
  <c r="V355" i="17"/>
  <c r="A355" i="17"/>
  <c r="I354" i="17"/>
  <c r="T353" i="17"/>
  <c r="AE352" i="17"/>
  <c r="H352" i="17"/>
  <c r="S351" i="17"/>
  <c r="AD350" i="17"/>
  <c r="G350" i="17"/>
  <c r="R349" i="17"/>
  <c r="AC348" i="17"/>
  <c r="I348" i="17"/>
  <c r="Q347" i="17"/>
  <c r="AB346" i="17"/>
  <c r="H346" i="17"/>
  <c r="P345" i="17"/>
  <c r="Z344" i="17"/>
  <c r="F344" i="17"/>
  <c r="N343" i="17"/>
  <c r="Y342" i="17"/>
  <c r="E342" i="17"/>
  <c r="M341" i="17"/>
  <c r="X340" i="17"/>
  <c r="D340" i="17"/>
  <c r="L339" i="17"/>
  <c r="W338" i="17"/>
  <c r="C338" i="17"/>
  <c r="N337" i="17"/>
  <c r="V336" i="17"/>
  <c r="B336" i="17"/>
  <c r="M335" i="17"/>
  <c r="AB792" i="17"/>
  <c r="D780" i="17"/>
  <c r="K767" i="17"/>
  <c r="T758" i="17"/>
  <c r="U749" i="17"/>
  <c r="C742" i="17"/>
  <c r="V736" i="17"/>
  <c r="Z730" i="17"/>
  <c r="B725" i="17"/>
  <c r="J719" i="17"/>
  <c r="Y714" i="17"/>
  <c r="F710" i="17"/>
  <c r="AA704" i="17"/>
  <c r="X699" i="17"/>
  <c r="Q695" i="17"/>
  <c r="J691" i="17"/>
  <c r="Q687" i="17"/>
  <c r="Y683" i="17"/>
  <c r="H681" i="17"/>
  <c r="W678" i="17"/>
  <c r="AD675" i="17"/>
  <c r="S673" i="17"/>
  <c r="D671" i="17"/>
  <c r="Z668" i="17"/>
  <c r="R666" i="17"/>
  <c r="F664" i="17"/>
  <c r="B662" i="17"/>
  <c r="W659" i="17"/>
  <c r="S657" i="17"/>
  <c r="V655" i="17"/>
  <c r="Q653" i="17"/>
  <c r="K651" i="17"/>
  <c r="L649" i="17"/>
  <c r="J647" i="17"/>
  <c r="G645" i="17"/>
  <c r="B643" i="17"/>
  <c r="B641" i="17"/>
  <c r="C639" i="17"/>
  <c r="Z636" i="17"/>
  <c r="A635" i="17"/>
  <c r="O633" i="17"/>
  <c r="W631" i="17"/>
  <c r="N630" i="17"/>
  <c r="Y628" i="17"/>
  <c r="B627" i="17"/>
  <c r="U625" i="17"/>
  <c r="AE623" i="17"/>
  <c r="Q622" i="17"/>
  <c r="C621" i="17"/>
  <c r="X619" i="17"/>
  <c r="R618" i="17"/>
  <c r="D617" i="17"/>
  <c r="AA615" i="17"/>
  <c r="N614" i="17"/>
  <c r="E613" i="17"/>
  <c r="E612" i="17"/>
  <c r="AA610" i="17"/>
  <c r="S609" i="17"/>
  <c r="Q608" i="17"/>
  <c r="L607" i="17"/>
  <c r="D606" i="17"/>
  <c r="AC604" i="17"/>
  <c r="Z603" i="17"/>
  <c r="X602" i="17"/>
  <c r="M601" i="17"/>
  <c r="J600" i="17"/>
  <c r="E599" i="17"/>
  <c r="AA597" i="17"/>
  <c r="AB596" i="17"/>
  <c r="T595" i="17"/>
  <c r="K594" i="17"/>
  <c r="I593" i="17"/>
  <c r="C592" i="17"/>
  <c r="AC590" i="17"/>
  <c r="U589" i="17"/>
  <c r="Q588" i="17"/>
  <c r="N587" i="17"/>
  <c r="G586" i="17"/>
  <c r="B585" i="17"/>
  <c r="Z583" i="17"/>
  <c r="U582" i="17"/>
  <c r="U581" i="17"/>
  <c r="L580" i="17"/>
  <c r="D579" i="17"/>
  <c r="B578" i="17"/>
  <c r="AA576" i="17"/>
  <c r="T575" i="17"/>
  <c r="N574" i="17"/>
  <c r="K573" i="17"/>
  <c r="G572" i="17"/>
  <c r="AC570" i="17"/>
  <c r="Z569" i="17"/>
  <c r="S568" i="17"/>
  <c r="L567" i="17"/>
  <c r="L566" i="17"/>
  <c r="D565" i="17"/>
  <c r="AA563" i="17"/>
  <c r="X562" i="17"/>
  <c r="S561" i="17"/>
  <c r="N560" i="17"/>
  <c r="E559" i="17"/>
  <c r="B558" i="17"/>
  <c r="AD556" i="17"/>
  <c r="V555" i="17"/>
  <c r="R554" i="17"/>
  <c r="K553" i="17"/>
  <c r="F552" i="17"/>
  <c r="F551" i="17"/>
  <c r="Z549" i="17"/>
  <c r="T548" i="17"/>
  <c r="R547" i="17"/>
  <c r="K546" i="17"/>
  <c r="E545" i="17"/>
  <c r="AD543" i="17"/>
  <c r="AA542" i="17"/>
  <c r="V541" i="17"/>
  <c r="N540" i="17"/>
  <c r="K539" i="17"/>
  <c r="C538" i="17"/>
  <c r="AB536" i="17"/>
  <c r="AB535" i="17"/>
  <c r="T534" i="17"/>
  <c r="K533" i="17"/>
  <c r="I532" i="17"/>
  <c r="C531" i="17"/>
  <c r="AD529" i="17"/>
  <c r="U528" i="17"/>
  <c r="Q527" i="17"/>
  <c r="O526" i="17"/>
  <c r="F525" i="17"/>
  <c r="AC523" i="17"/>
  <c r="AA522" i="17"/>
  <c r="V521" i="17"/>
  <c r="V520" i="17"/>
  <c r="K519" i="17"/>
  <c r="E518" i="17"/>
  <c r="C517" i="17"/>
  <c r="Y515" i="17"/>
  <c r="U514" i="17"/>
  <c r="P513" i="17"/>
  <c r="M512" i="17"/>
  <c r="M511" i="17"/>
  <c r="F510" i="17"/>
  <c r="AE508" i="17"/>
  <c r="B508" i="17"/>
  <c r="A507" i="17"/>
  <c r="E506" i="17"/>
  <c r="AE504" i="17"/>
  <c r="B504" i="17"/>
  <c r="H503" i="17"/>
  <c r="K502" i="17"/>
  <c r="O501" i="17"/>
  <c r="Q500" i="17"/>
  <c r="S499" i="17"/>
  <c r="Z498" i="17"/>
  <c r="AA497" i="17"/>
  <c r="AB496" i="17"/>
  <c r="C496" i="17"/>
  <c r="G495" i="17"/>
  <c r="M494" i="17"/>
  <c r="M493" i="17"/>
  <c r="O492" i="17"/>
  <c r="V491" i="17"/>
  <c r="X490" i="17"/>
  <c r="AB489" i="17"/>
  <c r="AE488" i="17"/>
  <c r="B488" i="17"/>
  <c r="H487" i="17"/>
  <c r="I486" i="17"/>
  <c r="K485" i="17"/>
  <c r="W794" i="17"/>
  <c r="L777" i="17"/>
  <c r="A764" i="17"/>
  <c r="O753" i="17"/>
  <c r="W743" i="17"/>
  <c r="U735" i="17"/>
  <c r="R728" i="17"/>
  <c r="D722" i="17"/>
  <c r="I716" i="17"/>
  <c r="AC709" i="17"/>
  <c r="Y703" i="17"/>
  <c r="E698" i="17"/>
  <c r="O692" i="17"/>
  <c r="W687" i="17"/>
  <c r="K683" i="17"/>
  <c r="C680" i="17"/>
  <c r="E677" i="17"/>
  <c r="O674" i="17"/>
  <c r="A671" i="17"/>
  <c r="I668" i="17"/>
  <c r="L665" i="17"/>
  <c r="AA662" i="17"/>
  <c r="V659" i="17"/>
  <c r="C657" i="17"/>
  <c r="X654" i="17"/>
  <c r="J652" i="17"/>
  <c r="M649" i="17"/>
  <c r="Y646" i="17"/>
  <c r="R644" i="17"/>
  <c r="X641" i="17"/>
  <c r="I639" i="17"/>
  <c r="Q636" i="17"/>
  <c r="R634" i="17"/>
  <c r="R632" i="17"/>
  <c r="V630" i="17"/>
  <c r="T628" i="17"/>
  <c r="X626" i="17"/>
  <c r="AA624" i="17"/>
  <c r="D623" i="17"/>
  <c r="H621" i="17"/>
  <c r="S619" i="17"/>
  <c r="AC617" i="17"/>
  <c r="N616" i="17"/>
  <c r="Z614" i="17"/>
  <c r="C613" i="17"/>
  <c r="T611" i="17"/>
  <c r="H610" i="17"/>
  <c r="V608" i="17"/>
  <c r="J607" i="17"/>
  <c r="AA605" i="17"/>
  <c r="P604" i="17"/>
  <c r="AD602" i="17"/>
  <c r="Q601" i="17"/>
  <c r="C600" i="17"/>
  <c r="W598" i="17"/>
  <c r="F597" i="17"/>
  <c r="A596" i="17"/>
  <c r="H594" i="17"/>
  <c r="Y592" i="17"/>
  <c r="N591" i="17"/>
  <c r="G590" i="17"/>
  <c r="P588" i="17"/>
  <c r="AE586" i="17"/>
  <c r="Y585" i="17"/>
  <c r="K584" i="17"/>
  <c r="V582" i="17"/>
  <c r="H581" i="17"/>
  <c r="A580" i="17"/>
  <c r="R578" i="17"/>
  <c r="F577" i="17"/>
  <c r="N575" i="17"/>
  <c r="G574" i="17"/>
  <c r="Z572" i="17"/>
  <c r="M571" i="17"/>
  <c r="V569" i="17"/>
  <c r="M568" i="17"/>
  <c r="AD566" i="17"/>
  <c r="U565" i="17"/>
  <c r="B564" i="17"/>
  <c r="U562" i="17"/>
  <c r="F561" i="17"/>
  <c r="Z559" i="17"/>
  <c r="L558" i="17"/>
  <c r="AB556" i="17"/>
  <c r="L555" i="17"/>
  <c r="AE553" i="17"/>
  <c r="Q552" i="17"/>
  <c r="B551" i="17"/>
  <c r="S549" i="17"/>
  <c r="H548" i="17"/>
  <c r="X546" i="17"/>
  <c r="F545" i="17"/>
  <c r="Z543" i="17"/>
  <c r="M542" i="17"/>
  <c r="AE540" i="17"/>
  <c r="V539" i="17"/>
  <c r="AE537" i="17"/>
  <c r="U536" i="17"/>
  <c r="H535" i="17"/>
  <c r="W533" i="17"/>
  <c r="H532" i="17"/>
  <c r="Z530" i="17"/>
  <c r="P529" i="17"/>
  <c r="AE527" i="17"/>
  <c r="P526" i="17"/>
  <c r="A525" i="17"/>
  <c r="S523" i="17"/>
  <c r="G522" i="17"/>
  <c r="Z520" i="17"/>
  <c r="F519" i="17"/>
  <c r="Z517" i="17"/>
  <c r="L516" i="17"/>
  <c r="B515" i="17"/>
  <c r="O513" i="17"/>
  <c r="E512" i="17"/>
  <c r="Y510" i="17"/>
  <c r="Q509" i="17"/>
  <c r="C508" i="17"/>
  <c r="AC506" i="17"/>
  <c r="T505" i="17"/>
  <c r="Q504" i="17"/>
  <c r="M503" i="17"/>
  <c r="F502" i="17"/>
  <c r="E501" i="17"/>
  <c r="D500" i="17"/>
  <c r="AE498" i="17"/>
  <c r="Z497" i="17"/>
  <c r="X496" i="17"/>
  <c r="U495" i="17"/>
  <c r="T494" i="17"/>
  <c r="N493" i="17"/>
  <c r="L492" i="17"/>
  <c r="I491" i="17"/>
  <c r="G490" i="17"/>
  <c r="E489" i="17"/>
  <c r="AE487" i="17"/>
  <c r="AC486" i="17"/>
  <c r="AA485" i="17"/>
  <c r="W484" i="17"/>
  <c r="U483" i="17"/>
  <c r="W482" i="17"/>
  <c r="W481" i="17"/>
  <c r="W480" i="17"/>
  <c r="V479" i="17"/>
  <c r="U478" i="17"/>
  <c r="Y477" i="17"/>
  <c r="Q476" i="17"/>
  <c r="U475" i="17"/>
  <c r="R474" i="17"/>
  <c r="S473" i="17"/>
  <c r="Q472" i="17"/>
  <c r="Q471" i="17"/>
  <c r="T470" i="17"/>
  <c r="R469" i="17"/>
  <c r="T468" i="17"/>
  <c r="U467" i="17"/>
  <c r="V466" i="17"/>
  <c r="Y465" i="17"/>
  <c r="X464" i="17"/>
  <c r="AD463" i="17"/>
  <c r="AB462" i="17"/>
  <c r="AD461" i="17"/>
  <c r="A461" i="17"/>
  <c r="A460" i="17"/>
  <c r="C459" i="17"/>
  <c r="G458" i="17"/>
  <c r="H457" i="17"/>
  <c r="G456" i="17"/>
  <c r="H455" i="17"/>
  <c r="K454" i="17"/>
  <c r="K453" i="17"/>
  <c r="M452" i="17"/>
  <c r="R451" i="17"/>
  <c r="R450" i="17"/>
  <c r="R449" i="17"/>
  <c r="R448" i="17"/>
  <c r="T447" i="17"/>
  <c r="U446" i="17"/>
  <c r="V445" i="17"/>
  <c r="AB444" i="17"/>
  <c r="AB443" i="17"/>
  <c r="AB442" i="17"/>
  <c r="AB441" i="17"/>
  <c r="AD440" i="17"/>
  <c r="A440" i="17"/>
  <c r="D439" i="17"/>
  <c r="F438" i="17"/>
  <c r="G437" i="17"/>
  <c r="F436" i="17"/>
  <c r="I435" i="17"/>
  <c r="H434" i="17"/>
  <c r="N433" i="17"/>
  <c r="O432" i="17"/>
  <c r="R431" i="17"/>
  <c r="V430" i="17"/>
  <c r="V429" i="17"/>
  <c r="AB428" i="17"/>
  <c r="AE427" i="17"/>
  <c r="D427" i="17"/>
  <c r="J426" i="17"/>
  <c r="L425" i="17"/>
  <c r="P424" i="17"/>
  <c r="P423" i="17"/>
  <c r="V422" i="17"/>
  <c r="Z421" i="17"/>
  <c r="AB420" i="17"/>
  <c r="C420" i="17"/>
  <c r="G419" i="17"/>
  <c r="J418" i="17"/>
  <c r="J417" i="17"/>
  <c r="Q416" i="17"/>
  <c r="V415" i="17"/>
  <c r="AD414" i="17"/>
  <c r="D414" i="17"/>
  <c r="J413" i="17"/>
  <c r="O412" i="17"/>
  <c r="R411" i="17"/>
  <c r="Y410" i="17"/>
  <c r="AC409" i="17"/>
  <c r="F409" i="17"/>
  <c r="J408" i="17"/>
  <c r="O407" i="17"/>
  <c r="W406" i="17"/>
  <c r="X405" i="17"/>
  <c r="AC404" i="17"/>
  <c r="F404" i="17"/>
  <c r="K403" i="17"/>
  <c r="R402" i="17"/>
  <c r="V401" i="17"/>
  <c r="AD400" i="17"/>
  <c r="A400" i="17"/>
  <c r="F399" i="17"/>
  <c r="M398" i="17"/>
  <c r="Q397" i="17"/>
  <c r="Y396" i="17"/>
  <c r="AD395" i="17"/>
  <c r="D395" i="17"/>
  <c r="I394" i="17"/>
  <c r="O393" i="17"/>
  <c r="X392" i="17"/>
  <c r="AD391" i="17"/>
  <c r="G391" i="17"/>
  <c r="M390" i="17"/>
  <c r="V389" i="17"/>
  <c r="Z388" i="17"/>
  <c r="D388" i="17"/>
  <c r="I387" i="17"/>
  <c r="R386" i="17"/>
  <c r="X385" i="17"/>
  <c r="B385" i="17"/>
  <c r="H384" i="17"/>
  <c r="N383" i="17"/>
  <c r="T382" i="17"/>
  <c r="U792" i="17"/>
  <c r="T775" i="17"/>
  <c r="D763" i="17"/>
  <c r="AC752" i="17"/>
  <c r="N742" i="17"/>
  <c r="AB734" i="17"/>
  <c r="Q728" i="17"/>
  <c r="C722" i="17"/>
  <c r="I715" i="17"/>
  <c r="O709" i="17"/>
  <c r="X703" i="17"/>
  <c r="AC697" i="17"/>
  <c r="K692" i="17"/>
  <c r="D687" i="17"/>
  <c r="H683" i="17"/>
  <c r="B680" i="17"/>
  <c r="AD676" i="17"/>
  <c r="A674" i="17"/>
  <c r="AD670" i="17"/>
  <c r="A668" i="17"/>
  <c r="K665" i="17"/>
  <c r="T662" i="17"/>
  <c r="U659" i="17"/>
  <c r="B657" i="17"/>
  <c r="U654" i="17"/>
  <c r="A652" i="17"/>
  <c r="K649" i="17"/>
  <c r="X646" i="17"/>
  <c r="M644" i="17"/>
  <c r="W641" i="17"/>
  <c r="D639" i="17"/>
  <c r="N636" i="17"/>
  <c r="Q634" i="17"/>
  <c r="P632" i="17"/>
  <c r="U630" i="17"/>
  <c r="S628" i="17"/>
  <c r="W626" i="17"/>
  <c r="W624" i="17"/>
  <c r="C623" i="17"/>
  <c r="B621" i="17"/>
  <c r="R619" i="17"/>
  <c r="AB617" i="17"/>
  <c r="K616" i="17"/>
  <c r="O614" i="17"/>
  <c r="B613" i="17"/>
  <c r="R611" i="17"/>
  <c r="G610" i="17"/>
  <c r="U608" i="17"/>
  <c r="E607" i="17"/>
  <c r="Z605" i="17"/>
  <c r="O604" i="17"/>
  <c r="AC602" i="17"/>
  <c r="L601" i="17"/>
  <c r="A600" i="17"/>
  <c r="Q598" i="17"/>
  <c r="E597" i="17"/>
  <c r="U595" i="17"/>
  <c r="G594" i="17"/>
  <c r="V592" i="17"/>
  <c r="M591" i="17"/>
  <c r="AD589" i="17"/>
  <c r="M588" i="17"/>
  <c r="AD586" i="17"/>
  <c r="R585" i="17"/>
  <c r="G584" i="17"/>
  <c r="T582" i="17"/>
  <c r="E581" i="17"/>
  <c r="Y579" i="17"/>
  <c r="M578" i="17"/>
  <c r="AC576" i="17"/>
  <c r="M575" i="17"/>
  <c r="F574" i="17"/>
  <c r="P572" i="17"/>
  <c r="L571" i="17"/>
  <c r="T569" i="17"/>
  <c r="L568" i="17"/>
  <c r="W566" i="17"/>
  <c r="R565" i="17"/>
  <c r="Y563" i="17"/>
  <c r="T562" i="17"/>
  <c r="C561" i="17"/>
  <c r="W559" i="17"/>
  <c r="G558" i="17"/>
  <c r="Q556" i="17"/>
  <c r="J555" i="17"/>
  <c r="AD553" i="17"/>
  <c r="P552" i="17"/>
  <c r="AB550" i="17"/>
  <c r="R549" i="17"/>
  <c r="D548" i="17"/>
  <c r="W546" i="17"/>
  <c r="D545" i="17"/>
  <c r="X543" i="17"/>
  <c r="L542" i="17"/>
  <c r="AD540" i="17"/>
  <c r="M539" i="17"/>
  <c r="AD537" i="17"/>
  <c r="Q536" i="17"/>
  <c r="G535" i="17"/>
  <c r="V533" i="17"/>
  <c r="G532" i="17"/>
  <c r="W530" i="17"/>
  <c r="J529" i="17"/>
  <c r="AD527" i="17"/>
  <c r="N526" i="17"/>
  <c r="AB524" i="17"/>
  <c r="Q523" i="17"/>
  <c r="C522" i="17"/>
  <c r="W520" i="17"/>
  <c r="E519" i="17"/>
  <c r="Y517" i="17"/>
  <c r="J516" i="17"/>
  <c r="A515" i="17"/>
  <c r="N513" i="17"/>
  <c r="D512" i="17"/>
  <c r="W510" i="17"/>
  <c r="P509" i="17"/>
  <c r="A508" i="17"/>
  <c r="Y506" i="17"/>
  <c r="R505" i="17"/>
  <c r="O504" i="17"/>
  <c r="I503" i="17"/>
  <c r="E502" i="17"/>
  <c r="C501" i="17"/>
  <c r="A500" i="17"/>
  <c r="AD498" i="17"/>
  <c r="Y497" i="17"/>
  <c r="W496" i="17"/>
  <c r="T495" i="17"/>
  <c r="S494" i="17"/>
  <c r="K493" i="17"/>
  <c r="K492" i="17"/>
  <c r="H491" i="17"/>
  <c r="F490" i="17"/>
  <c r="A489" i="17"/>
  <c r="AD487" i="17"/>
  <c r="Y486" i="17"/>
  <c r="Z485" i="17"/>
  <c r="V484" i="17"/>
  <c r="T483" i="17"/>
  <c r="R482" i="17"/>
  <c r="V481" i="17"/>
  <c r="V480" i="17"/>
  <c r="T479" i="17"/>
  <c r="T478" i="17"/>
  <c r="S477" i="17"/>
  <c r="O476" i="17"/>
  <c r="T475" i="17"/>
  <c r="Q474" i="17"/>
  <c r="R473" i="17"/>
  <c r="P472" i="17"/>
  <c r="P471" i="17"/>
  <c r="S470" i="17"/>
  <c r="N469" i="17"/>
  <c r="S468" i="17"/>
  <c r="T467" i="17"/>
  <c r="U466" i="17"/>
  <c r="X465" i="17"/>
  <c r="W464" i="17"/>
  <c r="AC463" i="17"/>
  <c r="W462" i="17"/>
  <c r="AC461" i="17"/>
  <c r="AC460" i="17"/>
  <c r="AE459" i="17"/>
  <c r="B459" i="17"/>
  <c r="C458" i="17"/>
  <c r="G457" i="17"/>
  <c r="F456" i="17"/>
  <c r="G455" i="17"/>
  <c r="J454" i="17"/>
  <c r="I453" i="17"/>
  <c r="L452" i="17"/>
  <c r="L451" i="17"/>
  <c r="Q450" i="17"/>
  <c r="Q449" i="17"/>
  <c r="Q448" i="17"/>
  <c r="S447" i="17"/>
  <c r="T446" i="17"/>
  <c r="U445" i="17"/>
  <c r="AA444" i="17"/>
  <c r="Z443" i="17"/>
  <c r="AA442" i="17"/>
  <c r="AA441" i="17"/>
  <c r="AC440" i="17"/>
  <c r="AE439" i="17"/>
  <c r="AE438" i="17"/>
  <c r="E438" i="17"/>
  <c r="F437" i="17"/>
  <c r="E436" i="17"/>
  <c r="F435" i="17"/>
  <c r="G434" i="17"/>
  <c r="J433" i="17"/>
  <c r="N432" i="17"/>
  <c r="Q431" i="17"/>
  <c r="U430" i="17"/>
  <c r="U429" i="17"/>
  <c r="AA428" i="17"/>
  <c r="AD427" i="17"/>
  <c r="B427" i="17"/>
  <c r="H426" i="17"/>
  <c r="K425" i="17"/>
  <c r="O424" i="17"/>
  <c r="N423" i="17"/>
  <c r="U422" i="17"/>
  <c r="Y421" i="17"/>
  <c r="AA420" i="17"/>
  <c r="B420" i="17"/>
  <c r="E419" i="17"/>
  <c r="H418" i="17"/>
  <c r="I417" i="17"/>
  <c r="P416" i="17"/>
  <c r="U415" i="17"/>
  <c r="AC414" i="17"/>
  <c r="B414" i="17"/>
  <c r="F413" i="17"/>
  <c r="N412" i="17"/>
  <c r="P411" i="17"/>
  <c r="X410" i="17"/>
  <c r="AB409" i="17"/>
  <c r="B409" i="17"/>
  <c r="I408" i="17"/>
  <c r="N407" i="17"/>
  <c r="V406" i="17"/>
  <c r="W405" i="17"/>
  <c r="AB404" i="17"/>
  <c r="E404" i="17"/>
  <c r="J403" i="17"/>
  <c r="P402" i="17"/>
  <c r="U401" i="17"/>
  <c r="AC400" i="17"/>
  <c r="AE399" i="17"/>
  <c r="E399" i="17"/>
  <c r="L398" i="17"/>
  <c r="P397" i="17"/>
  <c r="U396" i="17"/>
  <c r="AC395" i="17"/>
  <c r="C395" i="17"/>
  <c r="H394" i="17"/>
  <c r="N393" i="17"/>
  <c r="W392" i="17"/>
  <c r="AC391" i="17"/>
  <c r="F391" i="17"/>
  <c r="L390" i="17"/>
  <c r="U389" i="17"/>
  <c r="Y388" i="17"/>
  <c r="B388" i="17"/>
  <c r="H387" i="17"/>
  <c r="Q386" i="17"/>
  <c r="W385" i="17"/>
  <c r="A385" i="17"/>
  <c r="F384" i="17"/>
  <c r="M383" i="17"/>
  <c r="S382" i="17"/>
  <c r="AB381" i="17"/>
  <c r="C381" i="17"/>
  <c r="K380" i="17"/>
  <c r="Q379" i="17"/>
  <c r="Z378" i="17"/>
  <c r="AD377" i="17"/>
  <c r="G377" i="17"/>
  <c r="M376" i="17"/>
  <c r="V375" i="17"/>
  <c r="AB374" i="17"/>
  <c r="F374" i="17"/>
  <c r="K373" i="17"/>
  <c r="R372" i="17"/>
  <c r="X371" i="17"/>
  <c r="B371" i="17"/>
  <c r="G370" i="17"/>
  <c r="P369" i="17"/>
  <c r="V368" i="17"/>
  <c r="AE367" i="17"/>
  <c r="D367" i="17"/>
  <c r="L366" i="17"/>
  <c r="R365" i="17"/>
  <c r="AA364" i="17"/>
  <c r="B364" i="17"/>
  <c r="K363" i="17"/>
  <c r="P362" i="17"/>
  <c r="W361" i="17"/>
  <c r="AC360" i="17"/>
  <c r="G360" i="17"/>
  <c r="M359" i="17"/>
  <c r="W358" i="17"/>
  <c r="AD357" i="17"/>
  <c r="I357" i="17"/>
  <c r="S356" i="17"/>
  <c r="Z355" i="17"/>
  <c r="E355" i="17"/>
  <c r="O354" i="17"/>
  <c r="U353" i="17"/>
  <c r="AD352" i="17"/>
  <c r="F352" i="17"/>
  <c r="P351" i="17"/>
  <c r="W350" i="17"/>
  <c r="B350" i="17"/>
  <c r="L349" i="17"/>
  <c r="R348" i="17"/>
  <c r="AB347" i="17"/>
  <c r="D347" i="17"/>
  <c r="N346" i="17"/>
  <c r="X345" i="17"/>
  <c r="AE344" i="17"/>
  <c r="J344" i="17"/>
  <c r="P343" i="17"/>
  <c r="Z342" i="17"/>
  <c r="D342" i="17"/>
  <c r="K341" i="17"/>
  <c r="U340" i="17"/>
  <c r="AB339" i="17"/>
  <c r="G339" i="17"/>
  <c r="P338" i="17"/>
  <c r="W337" i="17"/>
  <c r="B337" i="17"/>
  <c r="I336" i="17"/>
  <c r="S335" i="17"/>
  <c r="AC334" i="17"/>
  <c r="F334" i="17"/>
  <c r="Q333" i="17"/>
  <c r="AB332" i="17"/>
  <c r="E332" i="17"/>
  <c r="O331" i="17"/>
  <c r="Z330" i="17"/>
  <c r="C330" i="17"/>
  <c r="N329" i="17"/>
  <c r="Y328" i="17"/>
  <c r="E328" i="17"/>
  <c r="M327" i="17"/>
  <c r="X326" i="17"/>
  <c r="D326" i="17"/>
  <c r="L325" i="17"/>
  <c r="W324" i="17"/>
  <c r="C324" i="17"/>
  <c r="K323" i="17"/>
  <c r="V322" i="17"/>
  <c r="B322" i="17"/>
  <c r="I321" i="17"/>
  <c r="T320" i="17"/>
  <c r="AE319" i="17"/>
  <c r="H319" i="17"/>
  <c r="S318" i="17"/>
  <c r="AD317" i="17"/>
  <c r="J317" i="17"/>
  <c r="R316" i="17"/>
  <c r="AC315" i="17"/>
  <c r="I315" i="17"/>
  <c r="Q314" i="17"/>
  <c r="AB313" i="17"/>
  <c r="H313" i="17"/>
  <c r="P312" i="17"/>
  <c r="AA311" i="17"/>
  <c r="F311" i="17"/>
  <c r="N310" i="17"/>
  <c r="Y309" i="17"/>
  <c r="E309" i="17"/>
  <c r="M308" i="17"/>
  <c r="X307" i="17"/>
  <c r="D307" i="17"/>
  <c r="O306" i="17"/>
  <c r="W305" i="17"/>
  <c r="C305" i="17"/>
  <c r="N304" i="17"/>
  <c r="V303" i="17"/>
  <c r="B303" i="17"/>
  <c r="M302" i="17"/>
  <c r="U301" i="17"/>
  <c r="AE300" i="17"/>
  <c r="K300" i="17"/>
  <c r="S299" i="17"/>
  <c r="AD298" i="17"/>
  <c r="J298" i="17"/>
  <c r="R297" i="17"/>
  <c r="AC296" i="17"/>
  <c r="I296" i="17"/>
  <c r="T295" i="17"/>
  <c r="AB294" i="17"/>
  <c r="H294" i="17"/>
  <c r="S293" i="17"/>
  <c r="AA292" i="17"/>
  <c r="G292" i="17"/>
  <c r="R291" i="17"/>
  <c r="Y290" i="17"/>
  <c r="E290" i="17"/>
  <c r="P289" i="17"/>
  <c r="X288" i="17"/>
  <c r="D288" i="17"/>
  <c r="O287" i="17"/>
  <c r="W286" i="17"/>
  <c r="C286" i="17"/>
  <c r="N285" i="17"/>
  <c r="Y284" i="17"/>
  <c r="B284" i="17"/>
  <c r="M283" i="17"/>
  <c r="X282" i="17"/>
  <c r="A282" i="17"/>
  <c r="L281" i="17"/>
  <c r="V280" i="17"/>
  <c r="AD279" i="17"/>
  <c r="K279" i="17"/>
  <c r="W278" i="17"/>
  <c r="D278" i="17"/>
  <c r="N277" i="17"/>
  <c r="Z276" i="17"/>
  <c r="G276" i="17"/>
  <c r="S275" i="17"/>
  <c r="AE274" i="17"/>
  <c r="N274" i="17"/>
  <c r="AB273" i="17"/>
  <c r="K273" i="17"/>
  <c r="Y272" i="17"/>
  <c r="H272" i="17"/>
  <c r="U271" i="17"/>
  <c r="D271" i="17"/>
  <c r="R270" i="17"/>
  <c r="A270" i="17"/>
  <c r="O269" i="17"/>
  <c r="AC268" i="17"/>
  <c r="L268" i="17"/>
  <c r="Z267" i="17"/>
  <c r="I267" i="17"/>
  <c r="W266" i="17"/>
  <c r="F266" i="17"/>
  <c r="T265" i="17"/>
  <c r="C265" i="17"/>
  <c r="Q264" i="17"/>
  <c r="AE263" i="17"/>
  <c r="M263" i="17"/>
  <c r="AA262" i="17"/>
  <c r="J262" i="17"/>
  <c r="X261" i="17"/>
  <c r="G261" i="17"/>
  <c r="U260" i="17"/>
  <c r="D260" i="17"/>
  <c r="R259" i="17"/>
  <c r="A259" i="17"/>
  <c r="O258" i="17"/>
  <c r="AC257" i="17"/>
  <c r="L257" i="17"/>
  <c r="Z256" i="17"/>
  <c r="I256" i="17"/>
  <c r="W255" i="17"/>
  <c r="E255" i="17"/>
  <c r="S254" i="17"/>
  <c r="B254" i="17"/>
  <c r="P253" i="17"/>
  <c r="AD252" i="17"/>
  <c r="M252" i="17"/>
  <c r="AA251" i="17"/>
  <c r="J251" i="17"/>
  <c r="X250" i="17"/>
  <c r="G250" i="17"/>
  <c r="U249" i="17"/>
  <c r="D249" i="17"/>
  <c r="R248" i="17"/>
  <c r="A248" i="17"/>
  <c r="O247" i="17"/>
  <c r="AB246" i="17"/>
  <c r="K246" i="17"/>
  <c r="Y245" i="17"/>
  <c r="H245" i="17"/>
  <c r="V244" i="17"/>
  <c r="E244" i="17"/>
  <c r="S243" i="17"/>
  <c r="B243" i="17"/>
  <c r="P242" i="17"/>
  <c r="AD241" i="17"/>
  <c r="M241" i="17"/>
  <c r="AA240" i="17"/>
  <c r="J240" i="17"/>
  <c r="X239" i="17"/>
  <c r="G239" i="17"/>
  <c r="T238" i="17"/>
  <c r="C238" i="17"/>
  <c r="Q237" i="17"/>
  <c r="AE236" i="17"/>
  <c r="N236" i="17"/>
  <c r="AB235" i="17"/>
  <c r="K235" i="17"/>
  <c r="Y234" i="17"/>
  <c r="H234" i="17"/>
  <c r="V233" i="17"/>
  <c r="E233" i="17"/>
  <c r="S232" i="17"/>
  <c r="B232" i="17"/>
  <c r="P231" i="17"/>
  <c r="AD230" i="17"/>
  <c r="L230" i="17"/>
  <c r="Z229" i="17"/>
  <c r="I229" i="17"/>
  <c r="W228" i="17"/>
  <c r="F228" i="17"/>
  <c r="T227" i="17"/>
  <c r="C227" i="17"/>
  <c r="Q226" i="17"/>
  <c r="AE225" i="17"/>
  <c r="N225" i="17"/>
  <c r="AB224" i="17"/>
  <c r="K224" i="17"/>
  <c r="Y223" i="17"/>
  <c r="H223" i="17"/>
  <c r="V222" i="17"/>
  <c r="D222" i="17"/>
  <c r="R221" i="17"/>
  <c r="A221" i="17"/>
  <c r="O220" i="17"/>
  <c r="AC219" i="17"/>
  <c r="L219" i="17"/>
  <c r="Z218" i="17"/>
  <c r="I218" i="17"/>
  <c r="W217" i="17"/>
  <c r="F217" i="17"/>
  <c r="T216" i="17"/>
  <c r="C216" i="17"/>
  <c r="Q215" i="17"/>
  <c r="AE214" i="17"/>
  <c r="N214" i="17"/>
  <c r="AA213" i="17"/>
  <c r="J213" i="17"/>
  <c r="X212" i="17"/>
  <c r="G212" i="17"/>
  <c r="U211" i="17"/>
  <c r="D211" i="17"/>
  <c r="R210" i="17"/>
  <c r="A210" i="17"/>
  <c r="O209" i="17"/>
  <c r="AD208" i="17"/>
  <c r="N208" i="17"/>
  <c r="AC207" i="17"/>
  <c r="M207" i="17"/>
  <c r="AB206" i="17"/>
  <c r="L206" i="17"/>
  <c r="AA205" i="17"/>
  <c r="K205" i="17"/>
  <c r="Z204" i="17"/>
  <c r="J204" i="17"/>
  <c r="Y203" i="17"/>
  <c r="I203" i="17"/>
  <c r="X202" i="17"/>
  <c r="H202" i="17"/>
  <c r="W201" i="17"/>
  <c r="G201" i="17"/>
  <c r="V200" i="17"/>
  <c r="F200" i="17"/>
  <c r="U199" i="17"/>
  <c r="E199" i="17"/>
  <c r="T198" i="17"/>
  <c r="D198" i="17"/>
  <c r="S197" i="17"/>
  <c r="C197" i="17"/>
  <c r="R196" i="17"/>
  <c r="B196" i="17"/>
  <c r="Q195" i="17"/>
  <c r="A195" i="17"/>
  <c r="P194" i="17"/>
  <c r="AE193" i="17"/>
  <c r="O193" i="17"/>
  <c r="AD192" i="17"/>
  <c r="N192" i="17"/>
  <c r="AC191" i="17"/>
  <c r="M191" i="17"/>
  <c r="AB190" i="17"/>
  <c r="L190" i="17"/>
  <c r="AA189" i="17"/>
  <c r="K189" i="17"/>
  <c r="Z188" i="17"/>
  <c r="J188" i="17"/>
  <c r="Y187" i="17"/>
  <c r="I187" i="17"/>
  <c r="X186" i="17"/>
  <c r="H186" i="17"/>
  <c r="W185" i="17"/>
  <c r="G185" i="17"/>
  <c r="V184" i="17"/>
  <c r="F184" i="17"/>
  <c r="U183" i="17"/>
  <c r="E183" i="17"/>
  <c r="T182" i="17"/>
  <c r="D182" i="17"/>
  <c r="S181" i="17"/>
  <c r="C181" i="17"/>
  <c r="R180" i="17"/>
  <c r="B180" i="17"/>
  <c r="Q179" i="17"/>
  <c r="A179" i="17"/>
  <c r="P178" i="17"/>
  <c r="AE177" i="17"/>
  <c r="O177" i="17"/>
  <c r="AD176" i="17"/>
  <c r="N176" i="17"/>
  <c r="AC175" i="17"/>
  <c r="M175" i="17"/>
  <c r="AB174" i="17"/>
  <c r="L174" i="17"/>
  <c r="AA173" i="17"/>
  <c r="K173" i="17"/>
  <c r="Z172" i="17"/>
  <c r="J172" i="17"/>
  <c r="Y171" i="17"/>
  <c r="I171" i="17"/>
  <c r="X170" i="17"/>
  <c r="H170" i="17"/>
  <c r="W169" i="17"/>
  <c r="G169" i="17"/>
  <c r="V168" i="17"/>
  <c r="F168" i="17"/>
  <c r="U167" i="17"/>
  <c r="E167" i="17"/>
  <c r="T166" i="17"/>
  <c r="D166" i="17"/>
  <c r="S165" i="17"/>
  <c r="C165" i="17"/>
  <c r="R164" i="17"/>
  <c r="B164" i="17"/>
  <c r="Q163" i="17"/>
  <c r="A163" i="17"/>
  <c r="P162" i="17"/>
  <c r="AE161" i="17"/>
  <c r="O161" i="17"/>
  <c r="AD160" i="17"/>
  <c r="N160" i="17"/>
  <c r="AC159" i="17"/>
  <c r="M159" i="17"/>
  <c r="AB158" i="17"/>
  <c r="L158" i="17"/>
  <c r="AA157" i="17"/>
  <c r="K157" i="17"/>
  <c r="Z156" i="17"/>
  <c r="J156" i="17"/>
  <c r="Y155" i="17"/>
  <c r="I155" i="17"/>
  <c r="X154" i="17"/>
  <c r="H154" i="17"/>
  <c r="W153" i="17"/>
  <c r="G153" i="17"/>
  <c r="V152" i="17"/>
  <c r="F152" i="17"/>
  <c r="U151" i="17"/>
  <c r="E151" i="17"/>
  <c r="T150" i="17"/>
  <c r="D150" i="17"/>
  <c r="S149" i="17"/>
  <c r="C149" i="17"/>
  <c r="R148" i="17"/>
  <c r="B148" i="17"/>
  <c r="Q147" i="17"/>
  <c r="A147" i="17"/>
  <c r="P146" i="17"/>
  <c r="AE145" i="17"/>
  <c r="O145" i="17"/>
  <c r="AD144" i="17"/>
  <c r="N144" i="17"/>
  <c r="AC143" i="17"/>
  <c r="M143" i="17"/>
  <c r="AB142" i="17"/>
  <c r="L142" i="17"/>
  <c r="AA141" i="17"/>
  <c r="K141" i="17"/>
  <c r="Z140" i="17"/>
  <c r="J140" i="17"/>
  <c r="Y139" i="17"/>
  <c r="I139" i="17"/>
  <c r="X138" i="17"/>
  <c r="H138" i="17"/>
  <c r="W137" i="17"/>
  <c r="G137" i="17"/>
  <c r="V136" i="17"/>
  <c r="F136" i="17"/>
  <c r="U135" i="17"/>
  <c r="E135" i="17"/>
  <c r="T134" i="17"/>
  <c r="D134" i="17"/>
  <c r="S133" i="17"/>
  <c r="C133" i="17"/>
  <c r="R132" i="17"/>
  <c r="B132" i="17"/>
  <c r="Q131" i="17"/>
  <c r="A131" i="17"/>
  <c r="P130" i="17"/>
  <c r="AE129" i="17"/>
  <c r="O129" i="17"/>
  <c r="AD128" i="17"/>
  <c r="N128" i="17"/>
  <c r="AC127" i="17"/>
  <c r="M127" i="17"/>
  <c r="AB126" i="17"/>
  <c r="L126" i="17"/>
  <c r="AA125" i="17"/>
  <c r="K125" i="17"/>
  <c r="Z124" i="17"/>
  <c r="J124" i="17"/>
  <c r="Y123" i="17"/>
  <c r="I123" i="17"/>
  <c r="X122" i="17"/>
  <c r="H122" i="17"/>
  <c r="W121" i="17"/>
  <c r="G121" i="17"/>
  <c r="V120" i="17"/>
  <c r="F120" i="17"/>
  <c r="U119" i="17"/>
  <c r="E119" i="17"/>
  <c r="T118" i="17"/>
  <c r="D118" i="17"/>
  <c r="T792" i="17"/>
  <c r="S775" i="17"/>
  <c r="B763" i="17"/>
  <c r="Y752" i="17"/>
  <c r="Z741" i="17"/>
  <c r="U734" i="17"/>
  <c r="G728" i="17"/>
  <c r="B722" i="17"/>
  <c r="AD714" i="17"/>
  <c r="H708" i="17"/>
  <c r="S703" i="17"/>
  <c r="AB697" i="17"/>
  <c r="AD691" i="17"/>
  <c r="AC686" i="17"/>
  <c r="E683" i="17"/>
  <c r="AA679" i="17"/>
  <c r="AB676" i="17"/>
  <c r="R673" i="17"/>
  <c r="AC670" i="17"/>
  <c r="AD667" i="17"/>
  <c r="G665" i="17"/>
  <c r="F662" i="17"/>
  <c r="T659" i="17"/>
  <c r="AE656" i="17"/>
  <c r="T654" i="17"/>
  <c r="AE651" i="17"/>
  <c r="J649" i="17"/>
  <c r="U646" i="17"/>
  <c r="J644" i="17"/>
  <c r="U641" i="17"/>
  <c r="B639" i="17"/>
  <c r="M636" i="17"/>
  <c r="I634" i="17"/>
  <c r="M632" i="17"/>
  <c r="P630" i="17"/>
  <c r="L628" i="17"/>
  <c r="V626" i="17"/>
  <c r="V624" i="17"/>
  <c r="AC622" i="17"/>
  <c r="AE620" i="17"/>
  <c r="Q619" i="17"/>
  <c r="Y617" i="17"/>
  <c r="G616" i="17"/>
  <c r="M614" i="17"/>
  <c r="AB612" i="17"/>
  <c r="Q611" i="17"/>
  <c r="F610" i="17"/>
  <c r="R608" i="17"/>
  <c r="C607" i="17"/>
  <c r="X605" i="17"/>
  <c r="I604" i="17"/>
  <c r="AB602" i="17"/>
  <c r="K601" i="17"/>
  <c r="AC599" i="17"/>
  <c r="O598" i="17"/>
  <c r="D597" i="17"/>
  <c r="Q595" i="17"/>
  <c r="D594" i="17"/>
  <c r="U592" i="17"/>
  <c r="L591" i="17"/>
  <c r="Z589" i="17"/>
  <c r="L588" i="17"/>
  <c r="AB586" i="17"/>
  <c r="Q585" i="17"/>
  <c r="F584" i="17"/>
  <c r="S582" i="17"/>
  <c r="D581" i="17"/>
  <c r="X579" i="17"/>
  <c r="G578" i="17"/>
  <c r="Y576" i="17"/>
  <c r="L575" i="17"/>
  <c r="AE573" i="17"/>
  <c r="O572" i="17"/>
  <c r="A571" i="17"/>
  <c r="Q569" i="17"/>
  <c r="H568" i="17"/>
  <c r="V566" i="17"/>
  <c r="P565" i="17"/>
  <c r="X563" i="17"/>
  <c r="H562" i="17"/>
  <c r="AD560" i="17"/>
  <c r="U559" i="17"/>
  <c r="A558" i="17"/>
  <c r="P556" i="17"/>
  <c r="D555" i="17"/>
  <c r="AA553" i="17"/>
  <c r="G552" i="17"/>
  <c r="W550" i="17"/>
  <c r="P549" i="17"/>
  <c r="C548" i="17"/>
  <c r="V546" i="17"/>
  <c r="AD544" i="17"/>
  <c r="U543" i="17"/>
  <c r="K542" i="17"/>
  <c r="AC540" i="17"/>
  <c r="D539" i="17"/>
  <c r="AC537" i="17"/>
  <c r="N536" i="17"/>
  <c r="F535" i="17"/>
  <c r="R533" i="17"/>
  <c r="F532" i="17"/>
  <c r="V530" i="17"/>
  <c r="I529" i="17"/>
  <c r="AB527" i="17"/>
  <c r="M526" i="17"/>
  <c r="AA524" i="17"/>
  <c r="P523" i="17"/>
  <c r="B522" i="17"/>
  <c r="M520" i="17"/>
  <c r="D519" i="17"/>
  <c r="W517" i="17"/>
  <c r="I516" i="17"/>
  <c r="V514" i="17"/>
  <c r="J513" i="17"/>
  <c r="A512" i="17"/>
  <c r="V510" i="17"/>
  <c r="O509" i="17"/>
  <c r="AE507" i="17"/>
  <c r="X506" i="17"/>
  <c r="Q505" i="17"/>
  <c r="K504" i="17"/>
  <c r="G503" i="17"/>
  <c r="D502" i="17"/>
  <c r="B501" i="17"/>
  <c r="AE499" i="17"/>
  <c r="AA498" i="17"/>
  <c r="V497" i="17"/>
  <c r="V496" i="17"/>
  <c r="R495" i="17"/>
  <c r="Q494" i="17"/>
  <c r="J493" i="17"/>
  <c r="I492" i="17"/>
  <c r="F491" i="17"/>
  <c r="E490" i="17"/>
  <c r="AC488" i="17"/>
  <c r="AC487" i="17"/>
  <c r="X486" i="17"/>
  <c r="X485" i="17"/>
  <c r="R484" i="17"/>
  <c r="S483" i="17"/>
  <c r="Q482" i="17"/>
  <c r="T481" i="17"/>
  <c r="U480" i="17"/>
  <c r="R479" i="17"/>
  <c r="S478" i="17"/>
  <c r="N477" i="17"/>
  <c r="N476" i="17"/>
  <c r="M475" i="17"/>
  <c r="P474" i="17"/>
  <c r="Q473" i="17"/>
  <c r="O472" i="17"/>
  <c r="O471" i="17"/>
  <c r="K470" i="17"/>
  <c r="M469" i="17"/>
  <c r="R468" i="17"/>
  <c r="R467" i="17"/>
  <c r="T466" i="17"/>
  <c r="U465" i="17"/>
  <c r="V464" i="17"/>
  <c r="W463" i="17"/>
  <c r="V462" i="17"/>
  <c r="AB461" i="17"/>
  <c r="AB460" i="17"/>
  <c r="AD459" i="17"/>
  <c r="A459" i="17"/>
  <c r="A458" i="17"/>
  <c r="A457" i="17"/>
  <c r="E456" i="17"/>
  <c r="F455" i="17"/>
  <c r="I454" i="17"/>
  <c r="H453" i="17"/>
  <c r="K452" i="17"/>
  <c r="K451" i="17"/>
  <c r="K450" i="17"/>
  <c r="N449" i="17"/>
  <c r="P448" i="17"/>
  <c r="R447" i="17"/>
  <c r="S446" i="17"/>
  <c r="T445" i="17"/>
  <c r="Z444" i="17"/>
  <c r="T443" i="17"/>
  <c r="Z442" i="17"/>
  <c r="Y441" i="17"/>
  <c r="AB440" i="17"/>
  <c r="AB439" i="17"/>
  <c r="AD438" i="17"/>
  <c r="D438" i="17"/>
  <c r="B437" i="17"/>
  <c r="D436" i="17"/>
  <c r="E435" i="17"/>
  <c r="F434" i="17"/>
  <c r="I433" i="17"/>
  <c r="M432" i="17"/>
  <c r="P431" i="17"/>
  <c r="Q430" i="17"/>
  <c r="T429" i="17"/>
  <c r="Z428" i="17"/>
  <c r="AC427" i="17"/>
  <c r="A427" i="17"/>
  <c r="C426" i="17"/>
  <c r="J425" i="17"/>
  <c r="K424" i="17"/>
  <c r="M423" i="17"/>
  <c r="T422" i="17"/>
  <c r="X421" i="17"/>
  <c r="Z420" i="17"/>
  <c r="A420" i="17"/>
  <c r="D419" i="17"/>
  <c r="E418" i="17"/>
  <c r="G417" i="17"/>
  <c r="O416" i="17"/>
  <c r="T415" i="17"/>
  <c r="AB414" i="17"/>
  <c r="AE413" i="17"/>
  <c r="E413" i="17"/>
  <c r="K412" i="17"/>
  <c r="O411" i="17"/>
  <c r="W410" i="17"/>
  <c r="AA409" i="17"/>
  <c r="A409" i="17"/>
  <c r="H408" i="17"/>
  <c r="M407" i="17"/>
  <c r="O406" i="17"/>
  <c r="V405" i="17"/>
  <c r="AA404" i="17"/>
  <c r="D404" i="17"/>
  <c r="H403" i="17"/>
  <c r="O402" i="17"/>
  <c r="T401" i="17"/>
  <c r="V400" i="17"/>
  <c r="AD399" i="17"/>
  <c r="C399" i="17"/>
  <c r="K398" i="17"/>
  <c r="O397" i="17"/>
  <c r="T396" i="17"/>
  <c r="AB395" i="17"/>
  <c r="AC394" i="17"/>
  <c r="G394" i="17"/>
  <c r="M393" i="17"/>
  <c r="V392" i="17"/>
  <c r="AB391" i="17"/>
  <c r="E391" i="17"/>
  <c r="K390" i="17"/>
  <c r="R389" i="17"/>
  <c r="X388" i="17"/>
  <c r="A388" i="17"/>
  <c r="G387" i="17"/>
  <c r="P386" i="17"/>
  <c r="V385" i="17"/>
  <c r="AE384" i="17"/>
  <c r="C384" i="17"/>
  <c r="L383" i="17"/>
  <c r="R382" i="17"/>
  <c r="AA381" i="17"/>
  <c r="A381" i="17"/>
  <c r="J380" i="17"/>
  <c r="P379" i="17"/>
  <c r="W378" i="17"/>
  <c r="AC377" i="17"/>
  <c r="F377" i="17"/>
  <c r="L376" i="17"/>
  <c r="U375" i="17"/>
  <c r="AA374" i="17"/>
  <c r="E374" i="17"/>
  <c r="H373" i="17"/>
  <c r="Q372" i="17"/>
  <c r="W371" i="17"/>
  <c r="A371" i="17"/>
  <c r="F370" i="17"/>
  <c r="O369" i="17"/>
  <c r="U368" i="17"/>
  <c r="AB367" i="17"/>
  <c r="B367" i="17"/>
  <c r="K366" i="17"/>
  <c r="Q365" i="17"/>
  <c r="Z364" i="17"/>
  <c r="A364" i="17"/>
  <c r="I363" i="17"/>
  <c r="M362" i="17"/>
  <c r="V361" i="17"/>
  <c r="AB360" i="17"/>
  <c r="F360" i="17"/>
  <c r="L359" i="17"/>
  <c r="V358" i="17"/>
  <c r="AC357" i="17"/>
  <c r="H357" i="17"/>
  <c r="R356" i="17"/>
  <c r="Y355" i="17"/>
  <c r="D355" i="17"/>
  <c r="J354" i="17"/>
  <c r="S353" i="17"/>
  <c r="AC352" i="17"/>
  <c r="E352" i="17"/>
  <c r="O351" i="17"/>
  <c r="V350" i="17"/>
  <c r="A350" i="17"/>
  <c r="J349" i="17"/>
  <c r="Q348" i="17"/>
  <c r="AA347" i="17"/>
  <c r="C347" i="17"/>
  <c r="M346" i="17"/>
  <c r="W345" i="17"/>
  <c r="AD344" i="17"/>
  <c r="I344" i="17"/>
  <c r="O343" i="17"/>
  <c r="X342" i="17"/>
  <c r="C342" i="17"/>
  <c r="J341" i="17"/>
  <c r="T340" i="17"/>
  <c r="AA339" i="17"/>
  <c r="F339" i="17"/>
  <c r="O338" i="17"/>
  <c r="V337" i="17"/>
  <c r="A337" i="17"/>
  <c r="H336" i="17"/>
  <c r="R335" i="17"/>
  <c r="AB334" i="17"/>
  <c r="E334" i="17"/>
  <c r="P333" i="17"/>
  <c r="AA332" i="17"/>
  <c r="C332" i="17"/>
  <c r="N331" i="17"/>
  <c r="Y330" i="17"/>
  <c r="B330" i="17"/>
  <c r="M329" i="17"/>
  <c r="X328" i="17"/>
  <c r="A328" i="17"/>
  <c r="L327" i="17"/>
  <c r="W326" i="17"/>
  <c r="C326" i="17"/>
  <c r="K325" i="17"/>
  <c r="V324" i="17"/>
  <c r="B324" i="17"/>
  <c r="J323" i="17"/>
  <c r="U322" i="17"/>
  <c r="AE321" i="17"/>
  <c r="H321" i="17"/>
  <c r="S320" i="17"/>
  <c r="AD319" i="17"/>
  <c r="G319" i="17"/>
  <c r="R318" i="17"/>
  <c r="AC317" i="17"/>
  <c r="F317" i="17"/>
  <c r="Q316" i="17"/>
  <c r="AB315" i="17"/>
  <c r="H315" i="17"/>
  <c r="P314" i="17"/>
  <c r="AA313" i="17"/>
  <c r="G313" i="17"/>
  <c r="O312" i="17"/>
  <c r="Y311" i="17"/>
  <c r="E311" i="17"/>
  <c r="M310" i="17"/>
  <c r="X309" i="17"/>
  <c r="D309" i="17"/>
  <c r="L308" i="17"/>
  <c r="W307" i="17"/>
  <c r="C307" i="17"/>
  <c r="K306" i="17"/>
  <c r="V305" i="17"/>
  <c r="B305" i="17"/>
  <c r="M304" i="17"/>
  <c r="U303" i="17"/>
  <c r="A303" i="17"/>
  <c r="L302" i="17"/>
  <c r="S301" i="17"/>
  <c r="AD300" i="17"/>
  <c r="J300" i="17"/>
  <c r="R299" i="17"/>
  <c r="AC298" i="17"/>
  <c r="I298" i="17"/>
  <c r="Q297" i="17"/>
  <c r="AB296" i="17"/>
  <c r="H296" i="17"/>
  <c r="P295" i="17"/>
  <c r="AA294" i="17"/>
  <c r="G294" i="17"/>
  <c r="R293" i="17"/>
  <c r="Z292" i="17"/>
  <c r="F292" i="17"/>
  <c r="P291" i="17"/>
  <c r="X290" i="17"/>
  <c r="D290" i="17"/>
  <c r="O289" i="17"/>
  <c r="W288" i="17"/>
  <c r="C288" i="17"/>
  <c r="N287" i="17"/>
  <c r="V286" i="17"/>
  <c r="B286" i="17"/>
  <c r="M285" i="17"/>
  <c r="U284" i="17"/>
  <c r="A284" i="17"/>
  <c r="L283" i="17"/>
  <c r="W282" i="17"/>
  <c r="AE281" i="17"/>
  <c r="J281" i="17"/>
  <c r="U280" i="17"/>
  <c r="AC279" i="17"/>
  <c r="J279" i="17"/>
  <c r="V278" i="17"/>
  <c r="C278" i="17"/>
  <c r="M277" i="17"/>
  <c r="Y276" i="17"/>
  <c r="F276" i="17"/>
  <c r="R275" i="17"/>
  <c r="AD274" i="17"/>
  <c r="M274" i="17"/>
  <c r="AA273" i="17"/>
  <c r="J273" i="17"/>
  <c r="X272" i="17"/>
  <c r="F272" i="17"/>
  <c r="T271" i="17"/>
  <c r="C271" i="17"/>
  <c r="Q270" i="17"/>
  <c r="AE269" i="17"/>
  <c r="N269" i="17"/>
  <c r="AB268" i="17"/>
  <c r="K268" i="17"/>
  <c r="Y267" i="17"/>
  <c r="H267" i="17"/>
  <c r="V266" i="17"/>
  <c r="E266" i="17"/>
  <c r="S265" i="17"/>
  <c r="B265" i="17"/>
  <c r="P264" i="17"/>
  <c r="AC263" i="17"/>
  <c r="L263" i="17"/>
  <c r="Z262" i="17"/>
  <c r="I262" i="17"/>
  <c r="W261" i="17"/>
  <c r="F261" i="17"/>
  <c r="T260" i="17"/>
  <c r="C260" i="17"/>
  <c r="Q259" i="17"/>
  <c r="AE258" i="17"/>
  <c r="N258" i="17"/>
  <c r="AB257" i="17"/>
  <c r="K257" i="17"/>
  <c r="Y256" i="17"/>
  <c r="H256" i="17"/>
  <c r="U255" i="17"/>
  <c r="D255" i="17"/>
  <c r="R254" i="17"/>
  <c r="A254" i="17"/>
  <c r="O253" i="17"/>
  <c r="AC252" i="17"/>
  <c r="L252" i="17"/>
  <c r="Z251" i="17"/>
  <c r="I251" i="17"/>
  <c r="W250" i="17"/>
  <c r="F250" i="17"/>
  <c r="T249" i="17"/>
  <c r="C249" i="17"/>
  <c r="Q248" i="17"/>
  <c r="AE247" i="17"/>
  <c r="M247" i="17"/>
  <c r="AA246" i="17"/>
  <c r="J246" i="17"/>
  <c r="X245" i="17"/>
  <c r="G245" i="17"/>
  <c r="U244" i="17"/>
  <c r="D244" i="17"/>
  <c r="R243" i="17"/>
  <c r="A243" i="17"/>
  <c r="O242" i="17"/>
  <c r="AC241" i="17"/>
  <c r="L241" i="17"/>
  <c r="Z240" i="17"/>
  <c r="I240" i="17"/>
  <c r="W239" i="17"/>
  <c r="E239" i="17"/>
  <c r="S238" i="17"/>
  <c r="B238" i="17"/>
  <c r="P237" i="17"/>
  <c r="AD236" i="17"/>
  <c r="M236" i="17"/>
  <c r="AA235" i="17"/>
  <c r="J235" i="17"/>
  <c r="X234" i="17"/>
  <c r="G234" i="17"/>
  <c r="U233" i="17"/>
  <c r="D233" i="17"/>
  <c r="R232" i="17"/>
  <c r="A232" i="17"/>
  <c r="O231" i="17"/>
  <c r="AB230" i="17"/>
  <c r="K230" i="17"/>
  <c r="Y229" i="17"/>
  <c r="H229" i="17"/>
  <c r="V228" i="17"/>
  <c r="E228" i="17"/>
  <c r="S227" i="17"/>
  <c r="B227" i="17"/>
  <c r="P226" i="17"/>
  <c r="AD225" i="17"/>
  <c r="M225" i="17"/>
  <c r="AA224" i="17"/>
  <c r="J224" i="17"/>
  <c r="X223" i="17"/>
  <c r="G223" i="17"/>
  <c r="T222" i="17"/>
  <c r="C222" i="17"/>
  <c r="Q221" i="17"/>
  <c r="AE220" i="17"/>
  <c r="N220" i="17"/>
  <c r="AB219" i="17"/>
  <c r="K219" i="17"/>
  <c r="Y218" i="17"/>
  <c r="H218" i="17"/>
  <c r="V217" i="17"/>
  <c r="E217" i="17"/>
  <c r="S216" i="17"/>
  <c r="B216" i="17"/>
  <c r="P215" i="17"/>
  <c r="AD214" i="17"/>
  <c r="L214" i="17"/>
  <c r="Z213" i="17"/>
  <c r="I213" i="17"/>
  <c r="W212" i="17"/>
  <c r="F212" i="17"/>
  <c r="T211" i="17"/>
  <c r="C211" i="17"/>
  <c r="Q210" i="17"/>
  <c r="AE209" i="17"/>
  <c r="N209" i="17"/>
  <c r="AC208" i="17"/>
  <c r="M208" i="17"/>
  <c r="AB207" i="17"/>
  <c r="L207" i="17"/>
  <c r="AA206" i="17"/>
  <c r="K206" i="17"/>
  <c r="Z205" i="17"/>
  <c r="J205" i="17"/>
  <c r="Y204" i="17"/>
  <c r="I204" i="17"/>
  <c r="X203" i="17"/>
  <c r="H203" i="17"/>
  <c r="W202" i="17"/>
  <c r="G202" i="17"/>
  <c r="V201" i="17"/>
  <c r="F201" i="17"/>
  <c r="U200" i="17"/>
  <c r="E200" i="17"/>
  <c r="T199" i="17"/>
  <c r="D199" i="17"/>
  <c r="S198" i="17"/>
  <c r="C198" i="17"/>
  <c r="R197" i="17"/>
  <c r="B197" i="17"/>
  <c r="Q196" i="17"/>
  <c r="A196" i="17"/>
  <c r="P195" i="17"/>
  <c r="AE194" i="17"/>
  <c r="O194" i="17"/>
  <c r="AD193" i="17"/>
  <c r="N193" i="17"/>
  <c r="AC192" i="17"/>
  <c r="M192" i="17"/>
  <c r="AB191" i="17"/>
  <c r="L191" i="17"/>
  <c r="AA190" i="17"/>
  <c r="K190" i="17"/>
  <c r="Z189" i="17"/>
  <c r="J189" i="17"/>
  <c r="Y188" i="17"/>
  <c r="I188" i="17"/>
  <c r="X187" i="17"/>
  <c r="H187" i="17"/>
  <c r="W186" i="17"/>
  <c r="G186" i="17"/>
  <c r="V185" i="17"/>
  <c r="F185" i="17"/>
  <c r="U184" i="17"/>
  <c r="E184" i="17"/>
  <c r="T183" i="17"/>
  <c r="D183" i="17"/>
  <c r="S182" i="17"/>
  <c r="C182" i="17"/>
  <c r="R181" i="17"/>
  <c r="B181" i="17"/>
  <c r="Q180" i="17"/>
  <c r="A180" i="17"/>
  <c r="P179" i="17"/>
  <c r="AE178" i="17"/>
  <c r="O178" i="17"/>
  <c r="AD177" i="17"/>
  <c r="N177" i="17"/>
  <c r="AC176" i="17"/>
  <c r="M176" i="17"/>
  <c r="AB175" i="17"/>
  <c r="L175" i="17"/>
  <c r="AA174" i="17"/>
  <c r="K174" i="17"/>
  <c r="Z173" i="17"/>
  <c r="J173" i="17"/>
  <c r="Y172" i="17"/>
  <c r="I172" i="17"/>
  <c r="X171" i="17"/>
  <c r="H171" i="17"/>
  <c r="W170" i="17"/>
  <c r="G170" i="17"/>
  <c r="V169" i="17"/>
  <c r="F169" i="17"/>
  <c r="U168" i="17"/>
  <c r="E168" i="17"/>
  <c r="T167" i="17"/>
  <c r="D167" i="17"/>
  <c r="S166" i="17"/>
  <c r="C166" i="17"/>
  <c r="R165" i="17"/>
  <c r="B165" i="17"/>
  <c r="Q164" i="17"/>
  <c r="A164" i="17"/>
  <c r="P163" i="17"/>
  <c r="AE162" i="17"/>
  <c r="O162" i="17"/>
  <c r="AD161" i="17"/>
  <c r="N161" i="17"/>
  <c r="AC160" i="17"/>
  <c r="M160" i="17"/>
  <c r="AB159" i="17"/>
  <c r="L159" i="17"/>
  <c r="AA158" i="17"/>
  <c r="K158" i="17"/>
  <c r="Z157" i="17"/>
  <c r="J157" i="17"/>
  <c r="Y156" i="17"/>
  <c r="I156" i="17"/>
  <c r="X155" i="17"/>
  <c r="H155" i="17"/>
  <c r="W154" i="17"/>
  <c r="G154" i="17"/>
  <c r="V153" i="17"/>
  <c r="F153" i="17"/>
  <c r="U152" i="17"/>
  <c r="E152" i="17"/>
  <c r="T151" i="17"/>
  <c r="D151" i="17"/>
  <c r="S150" i="17"/>
  <c r="C150" i="17"/>
  <c r="R149" i="17"/>
  <c r="B149" i="17"/>
  <c r="Q148" i="17"/>
  <c r="A148" i="17"/>
  <c r="P147" i="17"/>
  <c r="AE146" i="17"/>
  <c r="O146" i="17"/>
  <c r="AD145" i="17"/>
  <c r="N145" i="17"/>
  <c r="AC144" i="17"/>
  <c r="M144" i="17"/>
  <c r="AB143" i="17"/>
  <c r="L143" i="17"/>
  <c r="AA142" i="17"/>
  <c r="K142" i="17"/>
  <c r="Z141" i="17"/>
  <c r="J141" i="17"/>
  <c r="Y140" i="17"/>
  <c r="I140" i="17"/>
  <c r="X139" i="17"/>
  <c r="H139" i="17"/>
  <c r="W138" i="17"/>
  <c r="G138" i="17"/>
  <c r="V137" i="17"/>
  <c r="F137" i="17"/>
  <c r="U136" i="17"/>
  <c r="E136" i="17"/>
  <c r="T135" i="17"/>
  <c r="D135" i="17"/>
  <c r="S134" i="17"/>
  <c r="C134" i="17"/>
  <c r="R133" i="17"/>
  <c r="B133" i="17"/>
  <c r="Q132" i="17"/>
  <c r="A132" i="17"/>
  <c r="P131" i="17"/>
  <c r="AE130" i="17"/>
  <c r="O130" i="17"/>
  <c r="AD129" i="17"/>
  <c r="N129" i="17"/>
  <c r="AC128" i="17"/>
  <c r="M128" i="17"/>
  <c r="X791" i="17"/>
  <c r="A772" i="17"/>
  <c r="AA756" i="17"/>
  <c r="AC745" i="17"/>
  <c r="U736" i="17"/>
  <c r="F727" i="17"/>
  <c r="W718" i="17"/>
  <c r="H712" i="17"/>
  <c r="B704" i="17"/>
  <c r="X696" i="17"/>
  <c r="O690" i="17"/>
  <c r="U685" i="17"/>
  <c r="E681" i="17"/>
  <c r="Y676" i="17"/>
  <c r="AA672" i="17"/>
  <c r="Q669" i="17"/>
  <c r="W665" i="17"/>
  <c r="AE662" i="17"/>
  <c r="C659" i="17"/>
  <c r="C656" i="17"/>
  <c r="AC652" i="17"/>
  <c r="AE649" i="17"/>
  <c r="M646" i="17"/>
  <c r="E643" i="17"/>
  <c r="G640" i="17"/>
  <c r="R637" i="17"/>
  <c r="G634" i="17"/>
  <c r="T631" i="17"/>
  <c r="Q629" i="17"/>
  <c r="J627" i="17"/>
  <c r="AB624" i="17"/>
  <c r="G622" i="17"/>
  <c r="T620" i="17"/>
  <c r="Q618" i="17"/>
  <c r="T616" i="17"/>
  <c r="J614" i="17"/>
  <c r="O612" i="17"/>
  <c r="T610" i="17"/>
  <c r="D609" i="17"/>
  <c r="B607" i="17"/>
  <c r="P605" i="17"/>
  <c r="S603" i="17"/>
  <c r="AE601" i="17"/>
  <c r="E600" i="17"/>
  <c r="J598" i="17"/>
  <c r="M596" i="17"/>
  <c r="AE594" i="17"/>
  <c r="E593" i="17"/>
  <c r="H591" i="17"/>
  <c r="O589" i="17"/>
  <c r="V587" i="17"/>
  <c r="AD585" i="17"/>
  <c r="AB583" i="17"/>
  <c r="J582" i="17"/>
  <c r="W580" i="17"/>
  <c r="Z578" i="17"/>
  <c r="G577" i="17"/>
  <c r="G575" i="17"/>
  <c r="O573" i="17"/>
  <c r="T571" i="17"/>
  <c r="G570" i="17"/>
  <c r="AE567" i="17"/>
  <c r="I566" i="17"/>
  <c r="S564" i="17"/>
  <c r="Z562" i="17"/>
  <c r="AC560" i="17"/>
  <c r="C559" i="17"/>
  <c r="Q557" i="17"/>
  <c r="T555" i="17"/>
  <c r="B554" i="17"/>
  <c r="A552" i="17"/>
  <c r="N550" i="17"/>
  <c r="R548" i="17"/>
  <c r="AA546" i="17"/>
  <c r="AA544" i="17"/>
  <c r="G543" i="17"/>
  <c r="K541" i="17"/>
  <c r="Z539" i="17"/>
  <c r="AB537" i="17"/>
  <c r="E536" i="17"/>
  <c r="J534" i="17"/>
  <c r="U532" i="17"/>
  <c r="AA530" i="17"/>
  <c r="AE528" i="17"/>
  <c r="H527" i="17"/>
  <c r="U525" i="17"/>
  <c r="Y523" i="17"/>
  <c r="W521" i="17"/>
  <c r="C520" i="17"/>
  <c r="N518" i="17"/>
  <c r="R516" i="17"/>
  <c r="T514" i="17"/>
  <c r="B513" i="17"/>
  <c r="N511" i="17"/>
  <c r="AB509" i="17"/>
  <c r="I508" i="17"/>
  <c r="N506" i="17"/>
  <c r="AC504" i="17"/>
  <c r="X503" i="17"/>
  <c r="L502" i="17"/>
  <c r="AE500" i="17"/>
  <c r="Q499" i="17"/>
  <c r="J498" i="17"/>
  <c r="AA496" i="17"/>
  <c r="P495" i="17"/>
  <c r="D494" i="17"/>
  <c r="AC492" i="17"/>
  <c r="S491" i="17"/>
  <c r="I490" i="17"/>
  <c r="Y488" i="17"/>
  <c r="O487" i="17"/>
  <c r="D486" i="17"/>
  <c r="A485" i="17"/>
  <c r="Q483" i="17"/>
  <c r="K482" i="17"/>
  <c r="B481" i="17"/>
  <c r="AD479" i="17"/>
  <c r="Q478" i="17"/>
  <c r="I477" i="17"/>
  <c r="E476" i="17"/>
  <c r="Z474" i="17"/>
  <c r="T473" i="17"/>
  <c r="J472" i="17"/>
  <c r="AE470" i="17"/>
  <c r="AB469" i="17"/>
  <c r="V468" i="17"/>
  <c r="L467" i="17"/>
  <c r="J466" i="17"/>
  <c r="F465" i="17"/>
  <c r="B464" i="17"/>
  <c r="U462" i="17"/>
  <c r="R461" i="17"/>
  <c r="Q460" i="17"/>
  <c r="K459" i="17"/>
  <c r="H458" i="17"/>
  <c r="AA456" i="17"/>
  <c r="Y455" i="17"/>
  <c r="U454" i="17"/>
  <c r="M453" i="17"/>
  <c r="I452" i="17"/>
  <c r="C451" i="17"/>
  <c r="AD449" i="17"/>
  <c r="AC448" i="17"/>
  <c r="Q447" i="17"/>
  <c r="M446" i="17"/>
  <c r="D445" i="17"/>
  <c r="D444" i="17"/>
  <c r="AE442" i="17"/>
  <c r="V441" i="17"/>
  <c r="P440" i="17"/>
  <c r="L439" i="17"/>
  <c r="I438" i="17"/>
  <c r="AA436" i="17"/>
  <c r="Y435" i="17"/>
  <c r="W434" i="17"/>
  <c r="Q433" i="17"/>
  <c r="H432" i="17"/>
  <c r="F431" i="17"/>
  <c r="E430" i="17"/>
  <c r="E429" i="17"/>
  <c r="A428" i="17"/>
  <c r="AB426" i="17"/>
  <c r="Z425" i="17"/>
  <c r="X424" i="17"/>
  <c r="Y423" i="17"/>
  <c r="O422" i="17"/>
  <c r="M421" i="17"/>
  <c r="K420" i="17"/>
  <c r="J419" i="17"/>
  <c r="C418" i="17"/>
  <c r="C417" i="17"/>
  <c r="E416" i="17"/>
  <c r="C415" i="17"/>
  <c r="E414" i="17"/>
  <c r="AE412" i="17"/>
  <c r="A412" i="17"/>
  <c r="B411" i="17"/>
  <c r="A410" i="17"/>
  <c r="AC408" i="17"/>
  <c r="AB407" i="17"/>
  <c r="AC406" i="17"/>
  <c r="C406" i="17"/>
  <c r="Z404" i="17"/>
  <c r="AA403" i="17"/>
  <c r="Z402" i="17"/>
  <c r="AD401" i="17"/>
  <c r="AE400" i="17"/>
  <c r="W399" i="17"/>
  <c r="AA398" i="17"/>
  <c r="AA397" i="17"/>
  <c r="AA396" i="17"/>
  <c r="S395" i="17"/>
  <c r="X394" i="17"/>
  <c r="AA393" i="17"/>
  <c r="AA392" i="17"/>
  <c r="Z391" i="17"/>
  <c r="AA390" i="17"/>
  <c r="AD389" i="17"/>
  <c r="D389" i="17"/>
  <c r="E388" i="17"/>
  <c r="D387" i="17"/>
  <c r="D386" i="17"/>
  <c r="G385" i="17"/>
  <c r="M384" i="17"/>
  <c r="G383" i="17"/>
  <c r="M382" i="17"/>
  <c r="P381" i="17"/>
  <c r="R380" i="17"/>
  <c r="X379" i="17"/>
  <c r="AB378" i="17"/>
  <c r="AA377" i="17"/>
  <c r="AE376" i="17"/>
  <c r="G376" i="17"/>
  <c r="H375" i="17"/>
  <c r="L374" i="17"/>
  <c r="S373" i="17"/>
  <c r="V372" i="17"/>
  <c r="V371" i="17"/>
  <c r="Y370" i="17"/>
  <c r="A370" i="17"/>
  <c r="C369" i="17"/>
  <c r="F368" i="17"/>
  <c r="M367" i="17"/>
  <c r="N366" i="17"/>
  <c r="P365" i="17"/>
  <c r="T364" i="17"/>
  <c r="X363" i="17"/>
  <c r="AB362" i="17"/>
  <c r="A362" i="17"/>
  <c r="G361" i="17"/>
  <c r="I360" i="17"/>
  <c r="K359" i="17"/>
  <c r="S358" i="17"/>
  <c r="X357" i="17"/>
  <c r="AA356" i="17"/>
  <c r="D356" i="17"/>
  <c r="I355" i="17"/>
  <c r="Q354" i="17"/>
  <c r="R353" i="17"/>
  <c r="W352" i="17"/>
  <c r="AE351" i="17"/>
  <c r="D351" i="17"/>
  <c r="L350" i="17"/>
  <c r="P349" i="17"/>
  <c r="U348" i="17"/>
  <c r="Z347" i="17"/>
  <c r="AE346" i="17"/>
  <c r="G346" i="17"/>
  <c r="K345" i="17"/>
  <c r="P344" i="17"/>
  <c r="X343" i="17"/>
  <c r="AB342" i="17"/>
  <c r="AD341" i="17"/>
  <c r="G341" i="17"/>
  <c r="K340" i="17"/>
  <c r="S339" i="17"/>
  <c r="X338" i="17"/>
  <c r="AE337" i="17"/>
  <c r="D337" i="17"/>
  <c r="G336" i="17"/>
  <c r="O335" i="17"/>
  <c r="S334" i="17"/>
  <c r="AB333" i="17"/>
  <c r="C333" i="17"/>
  <c r="L332" i="17"/>
  <c r="R331" i="17"/>
  <c r="X330" i="17"/>
  <c r="AD329" i="17"/>
  <c r="H329" i="17"/>
  <c r="N328" i="17"/>
  <c r="V327" i="17"/>
  <c r="AB326" i="17"/>
  <c r="F326" i="17"/>
  <c r="J325" i="17"/>
  <c r="S324" i="17"/>
  <c r="X323" i="17"/>
  <c r="B323" i="17"/>
  <c r="H322" i="17"/>
  <c r="Q321" i="17"/>
  <c r="W320" i="17"/>
  <c r="AC319" i="17"/>
  <c r="D319" i="17"/>
  <c r="M318" i="17"/>
  <c r="S317" i="17"/>
  <c r="AA316" i="17"/>
  <c r="B316" i="17"/>
  <c r="K315" i="17"/>
  <c r="O314" i="17"/>
  <c r="W313" i="17"/>
  <c r="AC312" i="17"/>
  <c r="G312" i="17"/>
  <c r="M311" i="17"/>
  <c r="V310" i="17"/>
  <c r="AA309" i="17"/>
  <c r="C309" i="17"/>
  <c r="I308" i="17"/>
  <c r="R307" i="17"/>
  <c r="X306" i="17"/>
  <c r="A306" i="17"/>
  <c r="G305" i="17"/>
  <c r="P304" i="17"/>
  <c r="T303" i="17"/>
  <c r="AB302" i="17"/>
  <c r="C302" i="17"/>
  <c r="L301" i="17"/>
  <c r="R300" i="17"/>
  <c r="AA299" i="17"/>
  <c r="A299" i="17"/>
  <c r="H298" i="17"/>
  <c r="N297" i="17"/>
  <c r="W296" i="17"/>
  <c r="AB295" i="17"/>
  <c r="F295" i="17"/>
  <c r="L294" i="17"/>
  <c r="U293" i="17"/>
  <c r="Y292" i="17"/>
  <c r="B292" i="17"/>
  <c r="H291" i="17"/>
  <c r="Q290" i="17"/>
  <c r="W289" i="17"/>
  <c r="A289" i="17"/>
  <c r="F288" i="17"/>
  <c r="M287" i="17"/>
  <c r="S286" i="17"/>
  <c r="AB285" i="17"/>
  <c r="B285" i="17"/>
  <c r="K284" i="17"/>
  <c r="Q283" i="17"/>
  <c r="Z282" i="17"/>
  <c r="AC281" i="17"/>
  <c r="G281" i="17"/>
  <c r="M280" i="17"/>
  <c r="V279" i="17"/>
  <c r="AD278" i="17"/>
  <c r="H278" i="17"/>
  <c r="R277" i="17"/>
  <c r="X276" i="17"/>
  <c r="C276" i="17"/>
  <c r="K275" i="17"/>
  <c r="V274" i="17"/>
  <c r="C274" i="17"/>
  <c r="O273" i="17"/>
  <c r="AA272" i="17"/>
  <c r="E272" i="17"/>
  <c r="Q271" i="17"/>
  <c r="AC270" i="17"/>
  <c r="J270" i="17"/>
  <c r="V269" i="17"/>
  <c r="B269" i="17"/>
  <c r="N268" i="17"/>
  <c r="X267" i="17"/>
  <c r="E267" i="17"/>
  <c r="P266" i="17"/>
  <c r="AB265" i="17"/>
  <c r="I265" i="17"/>
  <c r="U264" i="17"/>
  <c r="B264" i="17"/>
  <c r="K263" i="17"/>
  <c r="W262" i="17"/>
  <c r="D262" i="17"/>
  <c r="P261" i="17"/>
  <c r="AB260" i="17"/>
  <c r="H260" i="17"/>
  <c r="T259" i="17"/>
  <c r="AD258" i="17"/>
  <c r="K258" i="17"/>
  <c r="V257" i="17"/>
  <c r="C257" i="17"/>
  <c r="O256" i="17"/>
  <c r="AA255" i="17"/>
  <c r="H255" i="17"/>
  <c r="Q254" i="17"/>
  <c r="AC253" i="17"/>
  <c r="J253" i="17"/>
  <c r="V252" i="17"/>
  <c r="B252" i="17"/>
  <c r="N251" i="17"/>
  <c r="Z250" i="17"/>
  <c r="E250" i="17"/>
  <c r="Q249" i="17"/>
  <c r="AB248" i="17"/>
  <c r="I248" i="17"/>
  <c r="U247" i="17"/>
  <c r="B247" i="17"/>
  <c r="N246" i="17"/>
  <c r="W245" i="17"/>
  <c r="D245" i="17"/>
  <c r="P244" i="17"/>
  <c r="AB243" i="17"/>
  <c r="H243" i="17"/>
  <c r="T242" i="17"/>
  <c r="A242" i="17"/>
  <c r="K241" i="17"/>
  <c r="V240" i="17"/>
  <c r="C240" i="17"/>
  <c r="O239" i="17"/>
  <c r="AA238" i="17"/>
  <c r="H238" i="17"/>
  <c r="S237" i="17"/>
  <c r="AC236" i="17"/>
  <c r="J236" i="17"/>
  <c r="V235" i="17"/>
  <c r="C235" i="17"/>
  <c r="N234" i="17"/>
  <c r="Z233" i="17"/>
  <c r="G233" i="17"/>
  <c r="Q232" i="17"/>
  <c r="AB231" i="17"/>
  <c r="I231" i="17"/>
  <c r="U230" i="17"/>
  <c r="B230" i="17"/>
  <c r="N229" i="17"/>
  <c r="Y228" i="17"/>
  <c r="D228" i="17"/>
  <c r="P227" i="17"/>
  <c r="AB226" i="17"/>
  <c r="H226" i="17"/>
  <c r="T225" i="17"/>
  <c r="A225" i="17"/>
  <c r="M224" i="17"/>
  <c r="W223" i="17"/>
  <c r="C223" i="17"/>
  <c r="O222" i="17"/>
  <c r="AA221" i="17"/>
  <c r="H221" i="17"/>
  <c r="T220" i="17"/>
  <c r="AE219" i="17"/>
  <c r="J219" i="17"/>
  <c r="V218" i="17"/>
  <c r="C218" i="17"/>
  <c r="N217" i="17"/>
  <c r="Z216" i="17"/>
  <c r="G216" i="17"/>
  <c r="S215" i="17"/>
  <c r="AB214" i="17"/>
  <c r="I214" i="17"/>
  <c r="U213" i="17"/>
  <c r="B213" i="17"/>
  <c r="N212" i="17"/>
  <c r="Y211" i="17"/>
  <c r="F211" i="17"/>
  <c r="P210" i="17"/>
  <c r="AB209" i="17"/>
  <c r="I209" i="17"/>
  <c r="V208" i="17"/>
  <c r="D208" i="17"/>
  <c r="Q207" i="17"/>
  <c r="AD206" i="17"/>
  <c r="J206" i="17"/>
  <c r="W205" i="17"/>
  <c r="E205" i="17"/>
  <c r="R204" i="17"/>
  <c r="AE203" i="17"/>
  <c r="M203" i="17"/>
  <c r="Z202" i="17"/>
  <c r="F202" i="17"/>
  <c r="S201" i="17"/>
  <c r="A201" i="17"/>
  <c r="N200" i="17"/>
  <c r="AA199" i="17"/>
  <c r="I199" i="17"/>
  <c r="V198" i="17"/>
  <c r="B198" i="17"/>
  <c r="O197" i="17"/>
  <c r="AB196" i="17"/>
  <c r="J196" i="17"/>
  <c r="W195" i="17"/>
  <c r="E195" i="17"/>
  <c r="R194" i="17"/>
  <c r="AC193" i="17"/>
  <c r="K193" i="17"/>
  <c r="X192" i="17"/>
  <c r="F192" i="17"/>
  <c r="S191" i="17"/>
  <c r="A191" i="17"/>
  <c r="N190" i="17"/>
  <c r="Y189" i="17"/>
  <c r="G189" i="17"/>
  <c r="T188" i="17"/>
  <c r="B188" i="17"/>
  <c r="O187" i="17"/>
  <c r="AB186" i="17"/>
  <c r="J186" i="17"/>
  <c r="U185" i="17"/>
  <c r="C185" i="17"/>
  <c r="P184" i="17"/>
  <c r="AC183" i="17"/>
  <c r="K183" i="17"/>
  <c r="X182" i="17"/>
  <c r="F182" i="17"/>
  <c r="Q181" i="17"/>
  <c r="AD180" i="17"/>
  <c r="L180" i="17"/>
  <c r="Y179" i="17"/>
  <c r="G179" i="17"/>
  <c r="T178" i="17"/>
  <c r="B178" i="17"/>
  <c r="M177" i="17"/>
  <c r="Z176" i="17"/>
  <c r="H176" i="17"/>
  <c r="U175" i="17"/>
  <c r="C175" i="17"/>
  <c r="P174" i="17"/>
  <c r="AC173" i="17"/>
  <c r="I173" i="17"/>
  <c r="V172" i="17"/>
  <c r="D172" i="17"/>
  <c r="Q171" i="17"/>
  <c r="AD170" i="17"/>
  <c r="L170" i="17"/>
  <c r="Y169" i="17"/>
  <c r="E169" i="17"/>
  <c r="R168" i="17"/>
  <c r="AE167" i="17"/>
  <c r="M167" i="17"/>
  <c r="Z166" i="17"/>
  <c r="H166" i="17"/>
  <c r="U165" i="17"/>
  <c r="A165" i="17"/>
  <c r="N164" i="17"/>
  <c r="AA163" i="17"/>
  <c r="I163" i="17"/>
  <c r="V162" i="17"/>
  <c r="D162" i="17"/>
  <c r="Q161" i="17"/>
  <c r="AB160" i="17"/>
  <c r="J160" i="17"/>
  <c r="W159" i="17"/>
  <c r="E159" i="17"/>
  <c r="R158" i="17"/>
  <c r="AE157" i="17"/>
  <c r="M157" i="17"/>
  <c r="X156" i="17"/>
  <c r="F156" i="17"/>
  <c r="S155" i="17"/>
  <c r="A155" i="17"/>
  <c r="N154" i="17"/>
  <c r="AA153" i="17"/>
  <c r="I153" i="17"/>
  <c r="T152" i="17"/>
  <c r="B152" i="17"/>
  <c r="O151" i="17"/>
  <c r="AB150" i="17"/>
  <c r="J150" i="17"/>
  <c r="W149" i="17"/>
  <c r="E149" i="17"/>
  <c r="P148" i="17"/>
  <c r="AC147" i="17"/>
  <c r="K147" i="17"/>
  <c r="X146" i="17"/>
  <c r="F146" i="17"/>
  <c r="S145" i="17"/>
  <c r="A145" i="17"/>
  <c r="L144" i="17"/>
  <c r="Y143" i="17"/>
  <c r="G143" i="17"/>
  <c r="T142" i="17"/>
  <c r="B142" i="17"/>
  <c r="O141" i="17"/>
  <c r="AB140" i="17"/>
  <c r="H140" i="17"/>
  <c r="U139" i="17"/>
  <c r="C139" i="17"/>
  <c r="P138" i="17"/>
  <c r="AC137" i="17"/>
  <c r="K137" i="17"/>
  <c r="X136" i="17"/>
  <c r="D136" i="17"/>
  <c r="Q135" i="17"/>
  <c r="AD134" i="17"/>
  <c r="L134" i="17"/>
  <c r="Y133" i="17"/>
  <c r="G133" i="17"/>
  <c r="T132" i="17"/>
  <c r="AE131" i="17"/>
  <c r="M131" i="17"/>
  <c r="Z130" i="17"/>
  <c r="H130" i="17"/>
  <c r="U129" i="17"/>
  <c r="C129" i="17"/>
  <c r="P128" i="17"/>
  <c r="AB127" i="17"/>
  <c r="K127" i="17"/>
  <c r="Y126" i="17"/>
  <c r="H126" i="17"/>
  <c r="V125" i="17"/>
  <c r="E125" i="17"/>
  <c r="S124" i="17"/>
  <c r="B124" i="17"/>
  <c r="P123" i="17"/>
  <c r="AD122" i="17"/>
  <c r="M122" i="17"/>
  <c r="AA121" i="17"/>
  <c r="J121" i="17"/>
  <c r="X120" i="17"/>
  <c r="G120" i="17"/>
  <c r="T119" i="17"/>
  <c r="C119" i="17"/>
  <c r="Q118" i="17"/>
  <c r="AE117" i="17"/>
  <c r="O117" i="17"/>
  <c r="AD116" i="17"/>
  <c r="N116" i="17"/>
  <c r="AC115" i="17"/>
  <c r="M115" i="17"/>
  <c r="AB114" i="17"/>
  <c r="L114" i="17"/>
  <c r="AA113" i="17"/>
  <c r="K113" i="17"/>
  <c r="Z112" i="17"/>
  <c r="J112" i="17"/>
  <c r="Y111" i="17"/>
  <c r="I111" i="17"/>
  <c r="X110" i="17"/>
  <c r="H110" i="17"/>
  <c r="W109" i="17"/>
  <c r="G109" i="17"/>
  <c r="V108" i="17"/>
  <c r="F108" i="17"/>
  <c r="U107" i="17"/>
  <c r="E107" i="17"/>
  <c r="T106" i="17"/>
  <c r="D106" i="17"/>
  <c r="S105" i="17"/>
  <c r="C105" i="17"/>
  <c r="R104" i="17"/>
  <c r="B104" i="17"/>
  <c r="Q103" i="17"/>
  <c r="A103" i="17"/>
  <c r="P102" i="17"/>
  <c r="AE101" i="17"/>
  <c r="O101" i="17"/>
  <c r="AD100" i="17"/>
  <c r="N100" i="17"/>
  <c r="AC99" i="17"/>
  <c r="M99" i="17"/>
  <c r="AB98" i="17"/>
  <c r="L98" i="17"/>
  <c r="AA97" i="17"/>
  <c r="K97" i="17"/>
  <c r="Z96" i="17"/>
  <c r="J96" i="17"/>
  <c r="Y95" i="17"/>
  <c r="I95" i="17"/>
  <c r="X94" i="17"/>
  <c r="H94" i="17"/>
  <c r="W93" i="17"/>
  <c r="G93" i="17"/>
  <c r="V92" i="17"/>
  <c r="F92" i="17"/>
  <c r="U91" i="17"/>
  <c r="E91" i="17"/>
  <c r="T90" i="17"/>
  <c r="D90" i="17"/>
  <c r="S89" i="17"/>
  <c r="C89" i="17"/>
  <c r="R88" i="17"/>
  <c r="B88" i="17"/>
  <c r="Q87" i="17"/>
  <c r="A87" i="17"/>
  <c r="P86" i="17"/>
  <c r="AE85" i="17"/>
  <c r="O85" i="17"/>
  <c r="AD84" i="17"/>
  <c r="N84" i="17"/>
  <c r="AC83" i="17"/>
  <c r="M83" i="17"/>
  <c r="AB82" i="17"/>
  <c r="L82" i="17"/>
  <c r="AA81" i="17"/>
  <c r="K81" i="17"/>
  <c r="Z80" i="17"/>
  <c r="J80" i="17"/>
  <c r="Y79" i="17"/>
  <c r="I79" i="17"/>
  <c r="X78" i="17"/>
  <c r="H78" i="17"/>
  <c r="W77" i="17"/>
  <c r="G77" i="17"/>
  <c r="V76" i="17"/>
  <c r="F76" i="17"/>
  <c r="U75" i="17"/>
  <c r="E75" i="17"/>
  <c r="T74" i="17"/>
  <c r="D74" i="17"/>
  <c r="S73" i="17"/>
  <c r="C73" i="17"/>
  <c r="R72" i="17"/>
  <c r="B72" i="17"/>
  <c r="Q71" i="17"/>
  <c r="A71" i="17"/>
  <c r="P70" i="17"/>
  <c r="AE69" i="17"/>
  <c r="O69" i="17"/>
  <c r="AD68" i="17"/>
  <c r="N68" i="17"/>
  <c r="AC67" i="17"/>
  <c r="M67" i="17"/>
  <c r="AB66" i="17"/>
  <c r="L66" i="17"/>
  <c r="AA65" i="17"/>
  <c r="K65" i="17"/>
  <c r="Z64" i="17"/>
  <c r="J64" i="17"/>
  <c r="Y63" i="17"/>
  <c r="I63" i="17"/>
  <c r="X62" i="17"/>
  <c r="H62" i="17"/>
  <c r="W61" i="17"/>
  <c r="G61" i="17"/>
  <c r="V60" i="17"/>
  <c r="F60" i="17"/>
  <c r="U59" i="17"/>
  <c r="E59" i="17"/>
  <c r="T58" i="17"/>
  <c r="D58" i="17"/>
  <c r="S57" i="17"/>
  <c r="C57" i="17"/>
  <c r="R56" i="17"/>
  <c r="B56" i="17"/>
  <c r="Q55" i="17"/>
  <c r="A55" i="17"/>
  <c r="P54" i="17"/>
  <c r="AE53" i="17"/>
  <c r="O53" i="17"/>
  <c r="AD52" i="17"/>
  <c r="N52" i="17"/>
  <c r="AC51" i="17"/>
  <c r="M51" i="17"/>
  <c r="AB50" i="17"/>
  <c r="L50" i="17"/>
  <c r="AA49" i="17"/>
  <c r="K49" i="17"/>
  <c r="Z48" i="17"/>
  <c r="J48" i="17"/>
  <c r="Y47" i="17"/>
  <c r="I47" i="17"/>
  <c r="X46" i="17"/>
  <c r="H46" i="17"/>
  <c r="W45" i="17"/>
  <c r="G45" i="17"/>
  <c r="V44" i="17"/>
  <c r="F44" i="17"/>
  <c r="U43" i="17"/>
  <c r="E43" i="17"/>
  <c r="T42" i="17"/>
  <c r="D42" i="17"/>
  <c r="S41" i="17"/>
  <c r="C41" i="17"/>
  <c r="R40" i="17"/>
  <c r="B40" i="17"/>
  <c r="Q39" i="17"/>
  <c r="A39" i="17"/>
  <c r="P38" i="17"/>
  <c r="AE37" i="17"/>
  <c r="O37" i="17"/>
  <c r="AD36" i="17"/>
  <c r="N36" i="17"/>
  <c r="AC35" i="17"/>
  <c r="M35" i="17"/>
  <c r="AB34" i="17"/>
  <c r="L34" i="17"/>
  <c r="AA33" i="17"/>
  <c r="K33" i="17"/>
  <c r="Z32" i="17"/>
  <c r="J32" i="17"/>
  <c r="Y31" i="17"/>
  <c r="I31" i="17"/>
  <c r="X30" i="17"/>
  <c r="H30" i="17"/>
  <c r="W29" i="17"/>
  <c r="G29" i="17"/>
  <c r="V28" i="17"/>
  <c r="F28" i="17"/>
  <c r="U27" i="17"/>
  <c r="E27" i="17"/>
  <c r="T26" i="17"/>
  <c r="D26" i="17"/>
  <c r="S25" i="17"/>
  <c r="C25" i="17"/>
  <c r="R24" i="17"/>
  <c r="B24" i="17"/>
  <c r="Q23" i="17"/>
  <c r="A23" i="17"/>
  <c r="P22" i="17"/>
  <c r="AE21" i="17"/>
  <c r="O21" i="17"/>
  <c r="AD20" i="17"/>
  <c r="N20" i="17"/>
  <c r="AC19" i="17"/>
  <c r="M19" i="17"/>
  <c r="AB18" i="17"/>
  <c r="L18" i="17"/>
  <c r="AA17" i="17"/>
  <c r="K17" i="17"/>
  <c r="Z16" i="17"/>
  <c r="J16" i="17"/>
  <c r="Y15" i="17"/>
  <c r="I15" i="17"/>
  <c r="X14" i="17"/>
  <c r="H14" i="17"/>
  <c r="W13" i="17"/>
  <c r="G13" i="17"/>
  <c r="V12" i="17"/>
  <c r="F12" i="17"/>
  <c r="U11" i="17"/>
  <c r="E11" i="17"/>
  <c r="T10" i="17"/>
  <c r="D10" i="17"/>
  <c r="S9" i="17"/>
  <c r="C9" i="17"/>
  <c r="R8" i="17"/>
  <c r="B8" i="17"/>
  <c r="Q7" i="17"/>
  <c r="A7" i="17"/>
  <c r="P6" i="17"/>
  <c r="AE5" i="17"/>
  <c r="O5" i="17"/>
  <c r="AD4" i="17"/>
  <c r="N4" i="17"/>
  <c r="AC3" i="17"/>
  <c r="M3" i="17"/>
  <c r="AB2" i="17"/>
  <c r="L2" i="17"/>
  <c r="G790" i="17"/>
  <c r="H771" i="17"/>
  <c r="AA755" i="17"/>
  <c r="AB745" i="17"/>
  <c r="R734" i="17"/>
  <c r="X726" i="17"/>
  <c r="M718" i="17"/>
  <c r="C711" i="17"/>
  <c r="Z703" i="17"/>
  <c r="W696" i="17"/>
  <c r="Y689" i="17"/>
  <c r="T685" i="17"/>
  <c r="Q680" i="17"/>
  <c r="AE675" i="17"/>
  <c r="Z672" i="17"/>
  <c r="N669" i="17"/>
  <c r="U665" i="17"/>
  <c r="Y661" i="17"/>
  <c r="T658" i="17"/>
  <c r="Y655" i="17"/>
  <c r="AB652" i="17"/>
  <c r="P649" i="17"/>
  <c r="AE645" i="17"/>
  <c r="A643" i="17"/>
  <c r="F640" i="17"/>
  <c r="AD636" i="17"/>
  <c r="F634" i="17"/>
  <c r="S631" i="17"/>
  <c r="P629" i="17"/>
  <c r="AD626" i="17"/>
  <c r="U624" i="17"/>
  <c r="E622" i="17"/>
  <c r="I620" i="17"/>
  <c r="O618" i="17"/>
  <c r="P616" i="17"/>
  <c r="I614" i="17"/>
  <c r="L612" i="17"/>
  <c r="S610" i="17"/>
  <c r="C609" i="17"/>
  <c r="AE606" i="17"/>
  <c r="O605" i="17"/>
  <c r="Q603" i="17"/>
  <c r="AD601" i="17"/>
  <c r="Z599" i="17"/>
  <c r="I598" i="17"/>
  <c r="J596" i="17"/>
  <c r="W594" i="17"/>
  <c r="D593" i="17"/>
  <c r="AD590" i="17"/>
  <c r="N589" i="17"/>
  <c r="T587" i="17"/>
  <c r="AA585" i="17"/>
  <c r="Y583" i="17"/>
  <c r="H582" i="17"/>
  <c r="M580" i="17"/>
  <c r="X578" i="17"/>
  <c r="T576" i="17"/>
  <c r="E575" i="17"/>
  <c r="J573" i="17"/>
  <c r="S571" i="17"/>
  <c r="AB569" i="17"/>
  <c r="AC567" i="17"/>
  <c r="F566" i="17"/>
  <c r="R564" i="17"/>
  <c r="W562" i="17"/>
  <c r="AA560" i="17"/>
  <c r="B559" i="17"/>
  <c r="J557" i="17"/>
  <c r="S555" i="17"/>
  <c r="W553" i="17"/>
  <c r="AB551" i="17"/>
  <c r="L550" i="17"/>
  <c r="Q548" i="17"/>
  <c r="Z546" i="17"/>
  <c r="Y544" i="17"/>
  <c r="E543" i="17"/>
  <c r="J541" i="17"/>
  <c r="Y539" i="17"/>
  <c r="X537" i="17"/>
  <c r="C536" i="17"/>
  <c r="I534" i="17"/>
  <c r="Q532" i="17"/>
  <c r="S530" i="17"/>
  <c r="Y528" i="17"/>
  <c r="D527" i="17"/>
  <c r="S525" i="17"/>
  <c r="X523" i="17"/>
  <c r="T521" i="17"/>
  <c r="A520" i="17"/>
  <c r="I518" i="17"/>
  <c r="Q516" i="17"/>
  <c r="O514" i="17"/>
  <c r="A513" i="17"/>
  <c r="L511" i="17"/>
  <c r="U509" i="17"/>
  <c r="AD507" i="17"/>
  <c r="M506" i="17"/>
  <c r="AA504" i="17"/>
  <c r="U503" i="17"/>
  <c r="I502" i="17"/>
  <c r="AD500" i="17"/>
  <c r="P499" i="17"/>
  <c r="I498" i="17"/>
  <c r="Z496" i="17"/>
  <c r="O495" i="17"/>
  <c r="A494" i="17"/>
  <c r="AB492" i="17"/>
  <c r="R491" i="17"/>
  <c r="D490" i="17"/>
  <c r="X488" i="17"/>
  <c r="N487" i="17"/>
  <c r="C486" i="17"/>
  <c r="Y484" i="17"/>
  <c r="M483" i="17"/>
  <c r="J482" i="17"/>
  <c r="AC480" i="17"/>
  <c r="X479" i="17"/>
  <c r="L478" i="17"/>
  <c r="H477" i="17"/>
  <c r="AC475" i="17"/>
  <c r="W474" i="17"/>
  <c r="P473" i="17"/>
  <c r="D472" i="17"/>
  <c r="AC470" i="17"/>
  <c r="AA469" i="17"/>
  <c r="U468" i="17"/>
  <c r="K467" i="17"/>
  <c r="E466" i="17"/>
  <c r="E465" i="17"/>
  <c r="A464" i="17"/>
  <c r="T462" i="17"/>
  <c r="Q461" i="17"/>
  <c r="M460" i="17"/>
  <c r="J459" i="17"/>
  <c r="AE457" i="17"/>
  <c r="Z456" i="17"/>
  <c r="X455" i="17"/>
  <c r="O454" i="17"/>
  <c r="L453" i="17"/>
  <c r="H452" i="17"/>
  <c r="B451" i="17"/>
  <c r="Z449" i="17"/>
  <c r="U448" i="17"/>
  <c r="P447" i="17"/>
  <c r="L446" i="17"/>
  <c r="C445" i="17"/>
  <c r="C444" i="17"/>
  <c r="Y442" i="17"/>
  <c r="R441" i="17"/>
  <c r="O440" i="17"/>
  <c r="K439" i="17"/>
  <c r="G438" i="17"/>
  <c r="Z436" i="17"/>
  <c r="X435" i="17"/>
  <c r="V434" i="17"/>
  <c r="P433" i="17"/>
  <c r="G432" i="17"/>
  <c r="D431" i="17"/>
  <c r="D430" i="17"/>
  <c r="C429" i="17"/>
  <c r="AB427" i="17"/>
  <c r="AA426" i="17"/>
  <c r="X425" i="17"/>
  <c r="W424" i="17"/>
  <c r="W423" i="17"/>
  <c r="N422" i="17"/>
  <c r="L421" i="17"/>
  <c r="I420" i="17"/>
  <c r="I419" i="17"/>
  <c r="B418" i="17"/>
  <c r="B417" i="17"/>
  <c r="D416" i="17"/>
  <c r="B415" i="17"/>
  <c r="AD413" i="17"/>
  <c r="AD412" i="17"/>
  <c r="AD411" i="17"/>
  <c r="A411" i="17"/>
  <c r="AE409" i="17"/>
  <c r="AB408" i="17"/>
  <c r="AA407" i="17"/>
  <c r="AB406" i="17"/>
  <c r="AD405" i="17"/>
  <c r="Y404" i="17"/>
  <c r="Y403" i="17"/>
  <c r="Y402" i="17"/>
  <c r="Z401" i="17"/>
  <c r="U400" i="17"/>
  <c r="V399" i="17"/>
  <c r="W398" i="17"/>
  <c r="V397" i="17"/>
  <c r="Z396" i="17"/>
  <c r="R395" i="17"/>
  <c r="W394" i="17"/>
  <c r="Z393" i="17"/>
  <c r="Z392" i="17"/>
  <c r="Y391" i="17"/>
  <c r="Z390" i="17"/>
  <c r="AB389" i="17"/>
  <c r="C389" i="17"/>
  <c r="AB387" i="17"/>
  <c r="C387" i="17"/>
  <c r="C386" i="17"/>
  <c r="F385" i="17"/>
  <c r="I384" i="17"/>
  <c r="F383" i="17"/>
  <c r="K382" i="17"/>
  <c r="M381" i="17"/>
  <c r="Q380" i="17"/>
  <c r="T379" i="17"/>
  <c r="AA378" i="17"/>
  <c r="Z377" i="17"/>
  <c r="AD376" i="17"/>
  <c r="F376" i="17"/>
  <c r="G375" i="17"/>
  <c r="K374" i="17"/>
  <c r="R373" i="17"/>
  <c r="S372" i="17"/>
  <c r="U371" i="17"/>
  <c r="X370" i="17"/>
  <c r="Z369" i="17"/>
  <c r="B369" i="17"/>
  <c r="E368" i="17"/>
  <c r="L367" i="17"/>
  <c r="M366" i="17"/>
  <c r="O365" i="17"/>
  <c r="S364" i="17"/>
  <c r="T363" i="17"/>
  <c r="AA362" i="17"/>
  <c r="AD361" i="17"/>
  <c r="A361" i="17"/>
  <c r="H360" i="17"/>
  <c r="J359" i="17"/>
  <c r="O358" i="17"/>
  <c r="V357" i="17"/>
  <c r="Z356" i="17"/>
  <c r="C356" i="17"/>
  <c r="H355" i="17"/>
  <c r="P354" i="17"/>
  <c r="Q353" i="17"/>
  <c r="V352" i="17"/>
  <c r="AD351" i="17"/>
  <c r="C351" i="17"/>
  <c r="K350" i="17"/>
  <c r="O349" i="17"/>
  <c r="S348" i="17"/>
  <c r="Y347" i="17"/>
  <c r="AD346" i="17"/>
  <c r="B346" i="17"/>
  <c r="J345" i="17"/>
  <c r="O344" i="17"/>
  <c r="W343" i="17"/>
  <c r="AA342" i="17"/>
  <c r="AC341" i="17"/>
  <c r="F341" i="17"/>
  <c r="J340" i="17"/>
  <c r="R339" i="17"/>
  <c r="V338" i="17"/>
  <c r="AD337" i="17"/>
  <c r="C337" i="17"/>
  <c r="F336" i="17"/>
  <c r="N335" i="17"/>
  <c r="R334" i="17"/>
  <c r="AA333" i="17"/>
  <c r="B333" i="17"/>
  <c r="K332" i="17"/>
  <c r="Q331" i="17"/>
  <c r="W330" i="17"/>
  <c r="AC329" i="17"/>
  <c r="G329" i="17"/>
  <c r="M328" i="17"/>
  <c r="U327" i="17"/>
  <c r="AA326" i="17"/>
  <c r="E326" i="17"/>
  <c r="I325" i="17"/>
  <c r="Q324" i="17"/>
  <c r="W323" i="17"/>
  <c r="A323" i="17"/>
  <c r="G322" i="17"/>
  <c r="P321" i="17"/>
  <c r="U320" i="17"/>
  <c r="AB319" i="17"/>
  <c r="C319" i="17"/>
  <c r="L318" i="17"/>
  <c r="R317" i="17"/>
  <c r="Z316" i="17"/>
  <c r="A316" i="17"/>
  <c r="J315" i="17"/>
  <c r="N314" i="17"/>
  <c r="V313" i="17"/>
  <c r="AB312" i="17"/>
  <c r="F312" i="17"/>
  <c r="L311" i="17"/>
  <c r="U310" i="17"/>
  <c r="Z309" i="17"/>
  <c r="B309" i="17"/>
  <c r="H308" i="17"/>
  <c r="Q307" i="17"/>
  <c r="V306" i="17"/>
  <c r="AE305" i="17"/>
  <c r="F305" i="17"/>
  <c r="O304" i="17"/>
  <c r="S303" i="17"/>
  <c r="AA302" i="17"/>
  <c r="B302" i="17"/>
  <c r="K301" i="17"/>
  <c r="Q300" i="17"/>
  <c r="Z299" i="17"/>
  <c r="AE298" i="17"/>
  <c r="G298" i="17"/>
  <c r="M297" i="17"/>
  <c r="V296" i="17"/>
  <c r="AA295" i="17"/>
  <c r="E295" i="17"/>
  <c r="K294" i="17"/>
  <c r="T293" i="17"/>
  <c r="W292" i="17"/>
  <c r="A292" i="17"/>
  <c r="G291" i="17"/>
  <c r="P290" i="17"/>
  <c r="V289" i="17"/>
  <c r="AD288" i="17"/>
  <c r="E288" i="17"/>
  <c r="L287" i="17"/>
  <c r="R286" i="17"/>
  <c r="AA285" i="17"/>
  <c r="A285" i="17"/>
  <c r="J284" i="17"/>
  <c r="P283" i="17"/>
  <c r="Y282" i="17"/>
  <c r="AB281" i="17"/>
  <c r="F281" i="17"/>
  <c r="L280" i="17"/>
  <c r="U279" i="17"/>
  <c r="AC278" i="17"/>
  <c r="G278" i="17"/>
  <c r="O277" i="17"/>
  <c r="W276" i="17"/>
  <c r="B276" i="17"/>
  <c r="I275" i="17"/>
  <c r="U274" i="17"/>
  <c r="B274" i="17"/>
  <c r="N273" i="17"/>
  <c r="Z272" i="17"/>
  <c r="D272" i="17"/>
  <c r="P271" i="17"/>
  <c r="AB270" i="17"/>
  <c r="I270" i="17"/>
  <c r="U269" i="17"/>
  <c r="A269" i="17"/>
  <c r="M268" i="17"/>
  <c r="W267" i="17"/>
  <c r="D267" i="17"/>
  <c r="O266" i="17"/>
  <c r="AA265" i="17"/>
  <c r="H265" i="17"/>
  <c r="T264" i="17"/>
  <c r="A264" i="17"/>
  <c r="J263" i="17"/>
  <c r="V262" i="17"/>
  <c r="C262" i="17"/>
  <c r="O261" i="17"/>
  <c r="Z260" i="17"/>
  <c r="G260" i="17"/>
  <c r="S259" i="17"/>
  <c r="AC258" i="17"/>
  <c r="J258" i="17"/>
  <c r="U257" i="17"/>
  <c r="B257" i="17"/>
  <c r="N256" i="17"/>
  <c r="Z255" i="17"/>
  <c r="G255" i="17"/>
  <c r="P254" i="17"/>
  <c r="AB253" i="17"/>
  <c r="I253" i="17"/>
  <c r="U252" i="17"/>
  <c r="A252" i="17"/>
  <c r="M251" i="17"/>
  <c r="Y250" i="17"/>
  <c r="D250" i="17"/>
  <c r="O249" i="17"/>
  <c r="AA248" i="17"/>
  <c r="H248" i="17"/>
  <c r="T247" i="17"/>
  <c r="A247" i="17"/>
  <c r="L246" i="17"/>
  <c r="V245" i="17"/>
  <c r="C245" i="17"/>
  <c r="O244" i="17"/>
  <c r="AA243" i="17"/>
  <c r="G243" i="17"/>
  <c r="S242" i="17"/>
  <c r="AE241" i="17"/>
  <c r="J241" i="17"/>
  <c r="U240" i="17"/>
  <c r="B240" i="17"/>
  <c r="N239" i="17"/>
  <c r="Z238" i="17"/>
  <c r="G238" i="17"/>
  <c r="R237" i="17"/>
  <c r="AB236" i="17"/>
  <c r="I236" i="17"/>
  <c r="U235" i="17"/>
  <c r="A235" i="17"/>
  <c r="M234" i="17"/>
  <c r="Y233" i="17"/>
  <c r="F233" i="17"/>
  <c r="P232" i="17"/>
  <c r="AA231" i="17"/>
  <c r="H231" i="17"/>
  <c r="T230" i="17"/>
  <c r="A230" i="17"/>
  <c r="M229" i="17"/>
  <c r="X228" i="17"/>
  <c r="C228" i="17"/>
  <c r="O227" i="17"/>
  <c r="AA226" i="17"/>
  <c r="G226" i="17"/>
  <c r="S225" i="17"/>
  <c r="AE224" i="17"/>
  <c r="L224" i="17"/>
  <c r="U223" i="17"/>
  <c r="B223" i="17"/>
  <c r="N222" i="17"/>
  <c r="Z221" i="17"/>
  <c r="G221" i="17"/>
  <c r="R220" i="17"/>
  <c r="AD219" i="17"/>
  <c r="I219" i="17"/>
  <c r="U218" i="17"/>
  <c r="B218" i="17"/>
  <c r="M217" i="17"/>
  <c r="Y216" i="17"/>
  <c r="F216" i="17"/>
  <c r="R215" i="17"/>
  <c r="AA214" i="17"/>
  <c r="H214" i="17"/>
  <c r="T213" i="17"/>
  <c r="A213" i="17"/>
  <c r="M212" i="17"/>
  <c r="X211" i="17"/>
  <c r="E211" i="17"/>
  <c r="O210" i="17"/>
  <c r="AA209" i="17"/>
  <c r="H209" i="17"/>
  <c r="U208" i="17"/>
  <c r="C208" i="17"/>
  <c r="P207" i="17"/>
  <c r="AC206" i="17"/>
  <c r="I206" i="17"/>
  <c r="V205" i="17"/>
  <c r="D205" i="17"/>
  <c r="Q204" i="17"/>
  <c r="AD203" i="17"/>
  <c r="L203" i="17"/>
  <c r="Y202" i="17"/>
  <c r="E202" i="17"/>
  <c r="R201" i="17"/>
  <c r="AE200" i="17"/>
  <c r="M200" i="17"/>
  <c r="Z199" i="17"/>
  <c r="H199" i="17"/>
  <c r="U198" i="17"/>
  <c r="A198" i="17"/>
  <c r="N197" i="17"/>
  <c r="AA196" i="17"/>
  <c r="I196" i="17"/>
  <c r="V195" i="17"/>
  <c r="D195" i="17"/>
  <c r="Q194" i="17"/>
  <c r="AB193" i="17"/>
  <c r="J193" i="17"/>
  <c r="W192" i="17"/>
  <c r="E192" i="17"/>
  <c r="R191" i="17"/>
  <c r="AE190" i="17"/>
  <c r="M190" i="17"/>
  <c r="X189" i="17"/>
  <c r="F189" i="17"/>
  <c r="S188" i="17"/>
  <c r="A188" i="17"/>
  <c r="N187" i="17"/>
  <c r="AA186" i="17"/>
  <c r="I186" i="17"/>
  <c r="T185" i="17"/>
  <c r="B185" i="17"/>
  <c r="O184" i="17"/>
  <c r="AB183" i="17"/>
  <c r="J183" i="17"/>
  <c r="W182" i="17"/>
  <c r="E182" i="17"/>
  <c r="P181" i="17"/>
  <c r="AC180" i="17"/>
  <c r="K180" i="17"/>
  <c r="X179" i="17"/>
  <c r="F179" i="17"/>
  <c r="S178" i="17"/>
  <c r="A178" i="17"/>
  <c r="L177" i="17"/>
  <c r="Y176" i="17"/>
  <c r="G176" i="17"/>
  <c r="T175" i="17"/>
  <c r="B175" i="17"/>
  <c r="O174" i="17"/>
  <c r="AB173" i="17"/>
  <c r="H173" i="17"/>
  <c r="U172" i="17"/>
  <c r="C172" i="17"/>
  <c r="P171" i="17"/>
  <c r="AC170" i="17"/>
  <c r="K170" i="17"/>
  <c r="X169" i="17"/>
  <c r="D169" i="17"/>
  <c r="Q168" i="17"/>
  <c r="AD167" i="17"/>
  <c r="L167" i="17"/>
  <c r="Y166" i="17"/>
  <c r="G166" i="17"/>
  <c r="T165" i="17"/>
  <c r="AE164" i="17"/>
  <c r="M164" i="17"/>
  <c r="Z163" i="17"/>
  <c r="H163" i="17"/>
  <c r="U162" i="17"/>
  <c r="C162" i="17"/>
  <c r="P161" i="17"/>
  <c r="AA160" i="17"/>
  <c r="I160" i="17"/>
  <c r="V159" i="17"/>
  <c r="D159" i="17"/>
  <c r="Q158" i="17"/>
  <c r="AD157" i="17"/>
  <c r="L157" i="17"/>
  <c r="W156" i="17"/>
  <c r="E156" i="17"/>
  <c r="R155" i="17"/>
  <c r="AE154" i="17"/>
  <c r="M154" i="17"/>
  <c r="Z153" i="17"/>
  <c r="H153" i="17"/>
  <c r="S152" i="17"/>
  <c r="A152" i="17"/>
  <c r="N151" i="17"/>
  <c r="AA150" i="17"/>
  <c r="I150" i="17"/>
  <c r="V149" i="17"/>
  <c r="D149" i="17"/>
  <c r="O148" i="17"/>
  <c r="AB147" i="17"/>
  <c r="J147" i="17"/>
  <c r="W146" i="17"/>
  <c r="E146" i="17"/>
  <c r="R145" i="17"/>
  <c r="AE144" i="17"/>
  <c r="K144" i="17"/>
  <c r="X143" i="17"/>
  <c r="F143" i="17"/>
  <c r="S142" i="17"/>
  <c r="A142" i="17"/>
  <c r="N141" i="17"/>
  <c r="AA140" i="17"/>
  <c r="G140" i="17"/>
  <c r="T139" i="17"/>
  <c r="B139" i="17"/>
  <c r="O138" i="17"/>
  <c r="AB137" i="17"/>
  <c r="J137" i="17"/>
  <c r="W136" i="17"/>
  <c r="C136" i="17"/>
  <c r="P135" i="17"/>
  <c r="AC134" i="17"/>
  <c r="K134" i="17"/>
  <c r="X133" i="17"/>
  <c r="F133" i="17"/>
  <c r="S132" i="17"/>
  <c r="AD131" i="17"/>
  <c r="L131" i="17"/>
  <c r="Y130" i="17"/>
  <c r="G130" i="17"/>
  <c r="T129" i="17"/>
  <c r="B129" i="17"/>
  <c r="O128" i="17"/>
  <c r="AA127" i="17"/>
  <c r="J127" i="17"/>
  <c r="X126" i="17"/>
  <c r="G126" i="17"/>
  <c r="U125" i="17"/>
  <c r="D125" i="17"/>
  <c r="R124" i="17"/>
  <c r="A124" i="17"/>
  <c r="O123" i="17"/>
  <c r="AC122" i="17"/>
  <c r="L122" i="17"/>
  <c r="Z121" i="17"/>
  <c r="I121" i="17"/>
  <c r="W120" i="17"/>
  <c r="E120" i="17"/>
  <c r="S119" i="17"/>
  <c r="B119" i="17"/>
  <c r="P118" i="17"/>
  <c r="AD117" i="17"/>
  <c r="N117" i="17"/>
  <c r="AC116" i="17"/>
  <c r="M116" i="17"/>
  <c r="AB115" i="17"/>
  <c r="L115" i="17"/>
  <c r="AA114" i="17"/>
  <c r="K114" i="17"/>
  <c r="Z113" i="17"/>
  <c r="J113" i="17"/>
  <c r="Y112" i="17"/>
  <c r="I112" i="17"/>
  <c r="X111" i="17"/>
  <c r="H111" i="17"/>
  <c r="W110" i="17"/>
  <c r="G110" i="17"/>
  <c r="V109" i="17"/>
  <c r="F109" i="17"/>
  <c r="U108" i="17"/>
  <c r="E108" i="17"/>
  <c r="T107" i="17"/>
  <c r="D107" i="17"/>
  <c r="S106" i="17"/>
  <c r="C106" i="17"/>
  <c r="R105" i="17"/>
  <c r="B105" i="17"/>
  <c r="Q104" i="17"/>
  <c r="A104" i="17"/>
  <c r="P103" i="17"/>
  <c r="AE102" i="17"/>
  <c r="O102" i="17"/>
  <c r="AD101" i="17"/>
  <c r="N101" i="17"/>
  <c r="AC100" i="17"/>
  <c r="M100" i="17"/>
  <c r="AB99" i="17"/>
  <c r="L99" i="17"/>
  <c r="AA98" i="17"/>
  <c r="K98" i="17"/>
  <c r="Z97" i="17"/>
  <c r="J97" i="17"/>
  <c r="Y96" i="17"/>
  <c r="I96" i="17"/>
  <c r="X95" i="17"/>
  <c r="H95" i="17"/>
  <c r="W94" i="17"/>
  <c r="G94" i="17"/>
  <c r="V93" i="17"/>
  <c r="F93" i="17"/>
  <c r="U92" i="17"/>
  <c r="E92" i="17"/>
  <c r="T91" i="17"/>
  <c r="D91" i="17"/>
  <c r="S90" i="17"/>
  <c r="C90" i="17"/>
  <c r="R89" i="17"/>
  <c r="B89" i="17"/>
  <c r="Q88" i="17"/>
  <c r="A88" i="17"/>
  <c r="P87" i="17"/>
  <c r="AE86" i="17"/>
  <c r="O86" i="17"/>
  <c r="AD85" i="17"/>
  <c r="N85" i="17"/>
  <c r="AC84" i="17"/>
  <c r="M84" i="17"/>
  <c r="AB83" i="17"/>
  <c r="L83" i="17"/>
  <c r="AA82" i="17"/>
  <c r="K82" i="17"/>
  <c r="Z81" i="17"/>
  <c r="J81" i="17"/>
  <c r="Y80" i="17"/>
  <c r="I80" i="17"/>
  <c r="X79" i="17"/>
  <c r="H79" i="17"/>
  <c r="W78" i="17"/>
  <c r="G78" i="17"/>
  <c r="V77" i="17"/>
  <c r="F77" i="17"/>
  <c r="U76" i="17"/>
  <c r="E76" i="17"/>
  <c r="T75" i="17"/>
  <c r="D75" i="17"/>
  <c r="S74" i="17"/>
  <c r="C74" i="17"/>
  <c r="R73" i="17"/>
  <c r="B73" i="17"/>
  <c r="Q72" i="17"/>
  <c r="A72" i="17"/>
  <c r="P71" i="17"/>
  <c r="AE70" i="17"/>
  <c r="O70" i="17"/>
  <c r="AD69" i="17"/>
  <c r="N69" i="17"/>
  <c r="AC68" i="17"/>
  <c r="M68" i="17"/>
  <c r="AB67" i="17"/>
  <c r="L67" i="17"/>
  <c r="AA66" i="17"/>
  <c r="K66" i="17"/>
  <c r="Z65" i="17"/>
  <c r="J65" i="17"/>
  <c r="Y64" i="17"/>
  <c r="I64" i="17"/>
  <c r="X63" i="17"/>
  <c r="H63" i="17"/>
  <c r="W62" i="17"/>
  <c r="G62" i="17"/>
  <c r="V61" i="17"/>
  <c r="F61" i="17"/>
  <c r="U60" i="17"/>
  <c r="E60" i="17"/>
  <c r="T59" i="17"/>
  <c r="D59" i="17"/>
  <c r="S58" i="17"/>
  <c r="C58" i="17"/>
  <c r="R57" i="17"/>
  <c r="B57" i="17"/>
  <c r="Q56" i="17"/>
  <c r="A56" i="17"/>
  <c r="P55" i="17"/>
  <c r="AE54" i="17"/>
  <c r="O54" i="17"/>
  <c r="AD53" i="17"/>
  <c r="N53" i="17"/>
  <c r="AC52" i="17"/>
  <c r="M52" i="17"/>
  <c r="AB51" i="17"/>
  <c r="L51" i="17"/>
  <c r="AA50" i="17"/>
  <c r="K50" i="17"/>
  <c r="Z49" i="17"/>
  <c r="J49" i="17"/>
  <c r="Y48" i="17"/>
  <c r="I48" i="17"/>
  <c r="X47" i="17"/>
  <c r="H47" i="17"/>
  <c r="W46" i="17"/>
  <c r="G46" i="17"/>
  <c r="V45" i="17"/>
  <c r="F45" i="17"/>
  <c r="U44" i="17"/>
  <c r="E44" i="17"/>
  <c r="T43" i="17"/>
  <c r="D43" i="17"/>
  <c r="S42" i="17"/>
  <c r="C42" i="17"/>
  <c r="R41" i="17"/>
  <c r="B41" i="17"/>
  <c r="Q40" i="17"/>
  <c r="A40" i="17"/>
  <c r="P39" i="17"/>
  <c r="AE38" i="17"/>
  <c r="O38" i="17"/>
  <c r="AD37" i="17"/>
  <c r="N37" i="17"/>
  <c r="AC36" i="17"/>
  <c r="M36" i="17"/>
  <c r="AB35" i="17"/>
  <c r="L35" i="17"/>
  <c r="AA34" i="17"/>
  <c r="K34" i="17"/>
  <c r="Z33" i="17"/>
  <c r="J33" i="17"/>
  <c r="Y32" i="17"/>
  <c r="I32" i="17"/>
  <c r="X31" i="17"/>
  <c r="H31" i="17"/>
  <c r="W30" i="17"/>
  <c r="G30" i="17"/>
  <c r="V29" i="17"/>
  <c r="F29" i="17"/>
  <c r="U28" i="17"/>
  <c r="E28" i="17"/>
  <c r="T27" i="17"/>
  <c r="D27" i="17"/>
  <c r="S26" i="17"/>
  <c r="C26" i="17"/>
  <c r="R25" i="17"/>
  <c r="B25" i="17"/>
  <c r="Q24" i="17"/>
  <c r="A24" i="17"/>
  <c r="P23" i="17"/>
  <c r="AE22" i="17"/>
  <c r="O22" i="17"/>
  <c r="AD21" i="17"/>
  <c r="N21" i="17"/>
  <c r="AC20" i="17"/>
  <c r="M20" i="17"/>
  <c r="AB19" i="17"/>
  <c r="L19" i="17"/>
  <c r="AA18" i="17"/>
  <c r="K18" i="17"/>
  <c r="Z17" i="17"/>
  <c r="J17" i="17"/>
  <c r="Y16" i="17"/>
  <c r="I16" i="17"/>
  <c r="X15" i="17"/>
  <c r="H15" i="17"/>
  <c r="W14" i="17"/>
  <c r="G14" i="17"/>
  <c r="V13" i="17"/>
  <c r="F13" i="17"/>
  <c r="U12" i="17"/>
  <c r="E12" i="17"/>
  <c r="T11" i="17"/>
  <c r="D11" i="17"/>
  <c r="S10" i="17"/>
  <c r="C10" i="17"/>
  <c r="R9" i="17"/>
  <c r="B9" i="17"/>
  <c r="Q8" i="17"/>
  <c r="A8" i="17"/>
  <c r="P7" i="17"/>
  <c r="AE6" i="17"/>
  <c r="O6" i="17"/>
  <c r="AD5" i="17"/>
  <c r="N5" i="17"/>
  <c r="AC4" i="17"/>
  <c r="M4" i="17"/>
  <c r="AB3" i="17"/>
  <c r="L3" i="17"/>
  <c r="AA2" i="17"/>
  <c r="K2" i="17"/>
  <c r="S789" i="17"/>
  <c r="AB770" i="17"/>
  <c r="J755" i="17"/>
  <c r="N745" i="17"/>
  <c r="Q734" i="17"/>
  <c r="W726" i="17"/>
  <c r="E718" i="17"/>
  <c r="B711" i="17"/>
  <c r="AA702" i="17"/>
  <c r="AA695" i="17"/>
  <c r="T689" i="17"/>
  <c r="A685" i="17"/>
  <c r="P680" i="17"/>
  <c r="AC675" i="17"/>
  <c r="Y672" i="17"/>
  <c r="K669" i="17"/>
  <c r="O665" i="17"/>
  <c r="X661" i="17"/>
  <c r="S658" i="17"/>
  <c r="S655" i="17"/>
  <c r="R652" i="17"/>
  <c r="I649" i="17"/>
  <c r="AB645" i="17"/>
  <c r="X642" i="17"/>
  <c r="B640" i="17"/>
  <c r="R636" i="17"/>
  <c r="C634" i="17"/>
  <c r="R631" i="17"/>
  <c r="O629" i="17"/>
  <c r="AC626" i="17"/>
  <c r="T624" i="17"/>
  <c r="D622" i="17"/>
  <c r="H620" i="17"/>
  <c r="C618" i="17"/>
  <c r="F616" i="17"/>
  <c r="F614" i="17"/>
  <c r="J612" i="17"/>
  <c r="R610" i="17"/>
  <c r="B609" i="17"/>
  <c r="AD606" i="17"/>
  <c r="F605" i="17"/>
  <c r="O603" i="17"/>
  <c r="AC601" i="17"/>
  <c r="Y599" i="17"/>
  <c r="AC597" i="17"/>
  <c r="I596" i="17"/>
  <c r="V594" i="17"/>
  <c r="S592" i="17"/>
  <c r="AB590" i="17"/>
  <c r="J589" i="17"/>
  <c r="P587" i="17"/>
  <c r="Z585" i="17"/>
  <c r="X583" i="17"/>
  <c r="AD581" i="17"/>
  <c r="H580" i="17"/>
  <c r="W578" i="17"/>
  <c r="S576" i="17"/>
  <c r="B575" i="17"/>
  <c r="E573" i="17"/>
  <c r="Q571" i="17"/>
  <c r="O569" i="17"/>
  <c r="AA567" i="17"/>
  <c r="A566" i="17"/>
  <c r="Q564" i="17"/>
  <c r="V562" i="17"/>
  <c r="Y560" i="17"/>
  <c r="A559" i="17"/>
  <c r="H557" i="17"/>
  <c r="P555" i="17"/>
  <c r="V553" i="17"/>
  <c r="AA551" i="17"/>
  <c r="I550" i="17"/>
  <c r="L548" i="17"/>
  <c r="M546" i="17"/>
  <c r="X544" i="17"/>
  <c r="C543" i="17"/>
  <c r="H541" i="17"/>
  <c r="X539" i="17"/>
  <c r="Q537" i="17"/>
  <c r="AC535" i="17"/>
  <c r="H534" i="17"/>
  <c r="O532" i="17"/>
  <c r="O530" i="17"/>
  <c r="T528" i="17"/>
  <c r="C527" i="17"/>
  <c r="K525" i="17"/>
  <c r="O523" i="17"/>
  <c r="R521" i="17"/>
  <c r="AE519" i="17"/>
  <c r="D518" i="17"/>
  <c r="O516" i="17"/>
  <c r="M514" i="17"/>
  <c r="AA512" i="17"/>
  <c r="J511" i="17"/>
  <c r="S509" i="17"/>
  <c r="AC507" i="17"/>
  <c r="L506" i="17"/>
  <c r="Z504" i="17"/>
  <c r="T503" i="17"/>
  <c r="B502" i="17"/>
  <c r="AC500" i="17"/>
  <c r="O499" i="17"/>
  <c r="H498" i="17"/>
  <c r="Y496" i="17"/>
  <c r="N495" i="17"/>
  <c r="AE493" i="17"/>
  <c r="Y492" i="17"/>
  <c r="Q491" i="17"/>
  <c r="AD489" i="17"/>
  <c r="T488" i="17"/>
  <c r="M487" i="17"/>
  <c r="B486" i="17"/>
  <c r="Q484" i="17"/>
  <c r="L483" i="17"/>
  <c r="I482" i="17"/>
  <c r="AB480" i="17"/>
  <c r="W479" i="17"/>
  <c r="K478" i="17"/>
  <c r="G477" i="17"/>
  <c r="AB475" i="17"/>
  <c r="U474" i="17"/>
  <c r="O473" i="17"/>
  <c r="C472" i="17"/>
  <c r="AB470" i="17"/>
  <c r="Z469" i="17"/>
  <c r="Q468" i="17"/>
  <c r="J467" i="17"/>
  <c r="D466" i="17"/>
  <c r="D465" i="17"/>
  <c r="AE463" i="17"/>
  <c r="S462" i="17"/>
  <c r="P461" i="17"/>
  <c r="L460" i="17"/>
  <c r="I459" i="17"/>
  <c r="AA457" i="17"/>
  <c r="Y456" i="17"/>
  <c r="W455" i="17"/>
  <c r="N454" i="17"/>
  <c r="G453" i="17"/>
  <c r="B452" i="17"/>
  <c r="A451" i="17"/>
  <c r="Y449" i="17"/>
  <c r="T448" i="17"/>
  <c r="M447" i="17"/>
  <c r="F446" i="17"/>
  <c r="B445" i="17"/>
  <c r="AE443" i="17"/>
  <c r="R442" i="17"/>
  <c r="Q441" i="17"/>
  <c r="K440" i="17"/>
  <c r="H439" i="17"/>
  <c r="C438" i="17"/>
  <c r="Y436" i="17"/>
  <c r="U435" i="17"/>
  <c r="Q434" i="17"/>
  <c r="O433" i="17"/>
  <c r="F432" i="17"/>
  <c r="C431" i="17"/>
  <c r="C430" i="17"/>
  <c r="AE428" i="17"/>
  <c r="AA427" i="17"/>
  <c r="Y426" i="17"/>
  <c r="W425" i="17"/>
  <c r="V424" i="17"/>
  <c r="L423" i="17"/>
  <c r="M422" i="17"/>
  <c r="K421" i="17"/>
  <c r="H420" i="17"/>
  <c r="H419" i="17"/>
  <c r="A418" i="17"/>
  <c r="A417" i="17"/>
  <c r="B416" i="17"/>
  <c r="A415" i="17"/>
  <c r="AC413" i="17"/>
  <c r="AC412" i="17"/>
  <c r="AC411" i="17"/>
  <c r="AE410" i="17"/>
  <c r="Z409" i="17"/>
  <c r="AA408" i="17"/>
  <c r="Z407" i="17"/>
  <c r="AA406" i="17"/>
  <c r="AC405" i="17"/>
  <c r="X404" i="17"/>
  <c r="X403" i="17"/>
  <c r="X402" i="17"/>
  <c r="X401" i="17"/>
  <c r="T400" i="17"/>
  <c r="U399" i="17"/>
  <c r="V398" i="17"/>
  <c r="U397" i="17"/>
  <c r="S396" i="17"/>
  <c r="Q395" i="17"/>
  <c r="S394" i="17"/>
  <c r="X393" i="17"/>
  <c r="Y392" i="17"/>
  <c r="X391" i="17"/>
  <c r="Y390" i="17"/>
  <c r="AA389" i="17"/>
  <c r="B389" i="17"/>
  <c r="AA387" i="17"/>
  <c r="B387" i="17"/>
  <c r="B386" i="17"/>
  <c r="E385" i="17"/>
  <c r="B384" i="17"/>
  <c r="E383" i="17"/>
  <c r="G382" i="17"/>
  <c r="L381" i="17"/>
  <c r="P380" i="17"/>
  <c r="S379" i="17"/>
  <c r="S378" i="17"/>
  <c r="Y377" i="17"/>
  <c r="AC376" i="17"/>
  <c r="E376" i="17"/>
  <c r="F375" i="17"/>
  <c r="J374" i="17"/>
  <c r="N373" i="17"/>
  <c r="M372" i="17"/>
  <c r="T371" i="17"/>
  <c r="W370" i="17"/>
  <c r="Y369" i="17"/>
  <c r="AE368" i="17"/>
  <c r="D368" i="17"/>
  <c r="H367" i="17"/>
  <c r="G366" i="17"/>
  <c r="N365" i="17"/>
  <c r="R364" i="17"/>
  <c r="S363" i="17"/>
  <c r="Z362" i="17"/>
  <c r="AC361" i="17"/>
  <c r="AE360" i="17"/>
  <c r="A360" i="17"/>
  <c r="I359" i="17"/>
  <c r="N358" i="17"/>
  <c r="U357" i="17"/>
  <c r="Y356" i="17"/>
  <c r="B356" i="17"/>
  <c r="G355" i="17"/>
  <c r="H354" i="17"/>
  <c r="P353" i="17"/>
  <c r="U352" i="17"/>
  <c r="AC351" i="17"/>
  <c r="B351" i="17"/>
  <c r="F350" i="17"/>
  <c r="N349" i="17"/>
  <c r="P348" i="17"/>
  <c r="X347" i="17"/>
  <c r="AC346" i="17"/>
  <c r="A346" i="17"/>
  <c r="I345" i="17"/>
  <c r="N344" i="17"/>
  <c r="V343" i="17"/>
  <c r="W342" i="17"/>
  <c r="AB341" i="17"/>
  <c r="E341" i="17"/>
  <c r="I340" i="17"/>
  <c r="Q339" i="17"/>
  <c r="U338" i="17"/>
  <c r="Y337" i="17"/>
  <c r="AE336" i="17"/>
  <c r="E336" i="17"/>
  <c r="H335" i="17"/>
  <c r="Q334" i="17"/>
  <c r="Z333" i="17"/>
  <c r="A333" i="17"/>
  <c r="J332" i="17"/>
  <c r="M331" i="17"/>
  <c r="S330" i="17"/>
  <c r="AB329" i="17"/>
  <c r="F329" i="17"/>
  <c r="L328" i="17"/>
  <c r="T327" i="17"/>
  <c r="Z326" i="17"/>
  <c r="AD325" i="17"/>
  <c r="H325" i="17"/>
  <c r="M324" i="17"/>
  <c r="V323" i="17"/>
  <c r="AE322" i="17"/>
  <c r="F322" i="17"/>
  <c r="O321" i="17"/>
  <c r="R320" i="17"/>
  <c r="X319" i="17"/>
  <c r="B319" i="17"/>
  <c r="K318" i="17"/>
  <c r="P317" i="17"/>
  <c r="Y316" i="17"/>
  <c r="AE315" i="17"/>
  <c r="D315" i="17"/>
  <c r="M314" i="17"/>
  <c r="R313" i="17"/>
  <c r="AA312" i="17"/>
  <c r="E312" i="17"/>
  <c r="K311" i="17"/>
  <c r="T310" i="17"/>
  <c r="W309" i="17"/>
  <c r="AC308" i="17"/>
  <c r="G308" i="17"/>
  <c r="P307" i="17"/>
  <c r="U306" i="17"/>
  <c r="AD305" i="17"/>
  <c r="E305" i="17"/>
  <c r="I304" i="17"/>
  <c r="Q303" i="17"/>
  <c r="W302" i="17"/>
  <c r="A302" i="17"/>
  <c r="J301" i="17"/>
  <c r="P300" i="17"/>
  <c r="X299" i="17"/>
  <c r="AB298" i="17"/>
  <c r="C298" i="17"/>
  <c r="L297" i="17"/>
  <c r="U296" i="17"/>
  <c r="Z295" i="17"/>
  <c r="D295" i="17"/>
  <c r="J294" i="17"/>
  <c r="N293" i="17"/>
  <c r="V292" i="17"/>
  <c r="AB291" i="17"/>
  <c r="F291" i="17"/>
  <c r="O290" i="17"/>
  <c r="U289" i="17"/>
  <c r="AC288" i="17"/>
  <c r="B288" i="17"/>
  <c r="H287" i="17"/>
  <c r="Q286" i="17"/>
  <c r="V285" i="17"/>
  <c r="AE284" i="17"/>
  <c r="I284" i="17"/>
  <c r="O283" i="17"/>
  <c r="S282" i="17"/>
  <c r="AA281" i="17"/>
  <c r="B281" i="17"/>
  <c r="K280" i="17"/>
  <c r="T279" i="17"/>
  <c r="AB278" i="17"/>
  <c r="F278" i="17"/>
  <c r="L277" i="17"/>
  <c r="V276" i="17"/>
  <c r="A276" i="17"/>
  <c r="H275" i="17"/>
  <c r="T274" i="17"/>
  <c r="A274" i="17"/>
  <c r="M273" i="17"/>
  <c r="V272" i="17"/>
  <c r="C272" i="17"/>
  <c r="O271" i="17"/>
  <c r="AA270" i="17"/>
  <c r="H270" i="17"/>
  <c r="S269" i="17"/>
  <c r="AE268" i="17"/>
  <c r="J268" i="17"/>
  <c r="V267" i="17"/>
  <c r="C267" i="17"/>
  <c r="N266" i="17"/>
  <c r="Z265" i="17"/>
  <c r="G265" i="17"/>
  <c r="S264" i="17"/>
  <c r="AB263" i="17"/>
  <c r="I263" i="17"/>
  <c r="U262" i="17"/>
  <c r="B262" i="17"/>
  <c r="N261" i="17"/>
  <c r="Y260" i="17"/>
  <c r="F260" i="17"/>
  <c r="P259" i="17"/>
  <c r="AB258" i="17"/>
  <c r="H258" i="17"/>
  <c r="T257" i="17"/>
  <c r="A257" i="17"/>
  <c r="M256" i="17"/>
  <c r="Y255" i="17"/>
  <c r="C255" i="17"/>
  <c r="O254" i="17"/>
  <c r="AA253" i="17"/>
  <c r="H253" i="17"/>
  <c r="T252" i="17"/>
  <c r="AE251" i="17"/>
  <c r="L251" i="17"/>
  <c r="V250" i="17"/>
  <c r="C250" i="17"/>
  <c r="N249" i="17"/>
  <c r="Z248" i="17"/>
  <c r="G248" i="17"/>
  <c r="S247" i="17"/>
  <c r="AE246" i="17"/>
  <c r="I246" i="17"/>
  <c r="U245" i="17"/>
  <c r="B245" i="17"/>
  <c r="N244" i="17"/>
  <c r="Y243" i="17"/>
  <c r="F243" i="17"/>
  <c r="R242" i="17"/>
  <c r="AB241" i="17"/>
  <c r="I241" i="17"/>
  <c r="T240" i="17"/>
  <c r="A240" i="17"/>
  <c r="M239" i="17"/>
  <c r="Y238" i="17"/>
  <c r="F238" i="17"/>
  <c r="O237" i="17"/>
  <c r="AA236" i="17"/>
  <c r="H236" i="17"/>
  <c r="T235" i="17"/>
  <c r="AE234" i="17"/>
  <c r="L234" i="17"/>
  <c r="X233" i="17"/>
  <c r="C233" i="17"/>
  <c r="N232" i="17"/>
  <c r="Z231" i="17"/>
  <c r="G231" i="17"/>
  <c r="S230" i="17"/>
  <c r="AE229" i="17"/>
  <c r="K229" i="17"/>
  <c r="U228" i="17"/>
  <c r="B228" i="17"/>
  <c r="N227" i="17"/>
  <c r="Z226" i="17"/>
  <c r="F226" i="17"/>
  <c r="R225" i="17"/>
  <c r="AD224" i="17"/>
  <c r="I224" i="17"/>
  <c r="T223" i="17"/>
  <c r="A223" i="17"/>
  <c r="M222" i="17"/>
  <c r="Y221" i="17"/>
  <c r="F221" i="17"/>
  <c r="Q220" i="17"/>
  <c r="AA219" i="17"/>
  <c r="H219" i="17"/>
  <c r="T218" i="17"/>
  <c r="AE217" i="17"/>
  <c r="L217" i="17"/>
  <c r="X216" i="17"/>
  <c r="E216" i="17"/>
  <c r="O215" i="17"/>
  <c r="Z214" i="17"/>
  <c r="G214" i="17"/>
  <c r="S213" i="17"/>
  <c r="AE212" i="17"/>
  <c r="L212" i="17"/>
  <c r="W211" i="17"/>
  <c r="B211" i="17"/>
  <c r="N210" i="17"/>
  <c r="Z209" i="17"/>
  <c r="G209" i="17"/>
  <c r="T208" i="17"/>
  <c r="B208" i="17"/>
  <c r="O207" i="17"/>
  <c r="Z206" i="17"/>
  <c r="H206" i="17"/>
  <c r="U205" i="17"/>
  <c r="C205" i="17"/>
  <c r="P204" i="17"/>
  <c r="AC203" i="17"/>
  <c r="K203" i="17"/>
  <c r="V202" i="17"/>
  <c r="D202" i="17"/>
  <c r="Q201" i="17"/>
  <c r="AD200" i="17"/>
  <c r="L200" i="17"/>
  <c r="Y199" i="17"/>
  <c r="G199" i="17"/>
  <c r="R198" i="17"/>
  <c r="AE197" i="17"/>
  <c r="M197" i="17"/>
  <c r="Z196" i="17"/>
  <c r="H196" i="17"/>
  <c r="U195" i="17"/>
  <c r="C195" i="17"/>
  <c r="N194" i="17"/>
  <c r="AA193" i="17"/>
  <c r="I193" i="17"/>
  <c r="V192" i="17"/>
  <c r="D192" i="17"/>
  <c r="Q191" i="17"/>
  <c r="AD190" i="17"/>
  <c r="J190" i="17"/>
  <c r="W189" i="17"/>
  <c r="E189" i="17"/>
  <c r="R188" i="17"/>
  <c r="AE187" i="17"/>
  <c r="M187" i="17"/>
  <c r="Z186" i="17"/>
  <c r="F186" i="17"/>
  <c r="S185" i="17"/>
  <c r="A185" i="17"/>
  <c r="N184" i="17"/>
  <c r="AA183" i="17"/>
  <c r="I183" i="17"/>
  <c r="V182" i="17"/>
  <c r="B182" i="17"/>
  <c r="O181" i="17"/>
  <c r="AB180" i="17"/>
  <c r="J180" i="17"/>
  <c r="W179" i="17"/>
  <c r="E179" i="17"/>
  <c r="R178" i="17"/>
  <c r="AC177" i="17"/>
  <c r="K177" i="17"/>
  <c r="X176" i="17"/>
  <c r="F176" i="17"/>
  <c r="S175" i="17"/>
  <c r="A175" i="17"/>
  <c r="N174" i="17"/>
  <c r="Y173" i="17"/>
  <c r="G173" i="17"/>
  <c r="T172" i="17"/>
  <c r="B172" i="17"/>
  <c r="O171" i="17"/>
  <c r="AB170" i="17"/>
  <c r="J170" i="17"/>
  <c r="U169" i="17"/>
  <c r="C169" i="17"/>
  <c r="P168" i="17"/>
  <c r="AC167" i="17"/>
  <c r="K167" i="17"/>
  <c r="X166" i="17"/>
  <c r="F166" i="17"/>
  <c r="Q165" i="17"/>
  <c r="AD164" i="17"/>
  <c r="L164" i="17"/>
  <c r="Y163" i="17"/>
  <c r="G163" i="17"/>
  <c r="T162" i="17"/>
  <c r="B162" i="17"/>
  <c r="M161" i="17"/>
  <c r="Z160" i="17"/>
  <c r="H160" i="17"/>
  <c r="U159" i="17"/>
  <c r="C159" i="17"/>
  <c r="P158" i="17"/>
  <c r="AC157" i="17"/>
  <c r="I157" i="17"/>
  <c r="V156" i="17"/>
  <c r="D156" i="17"/>
  <c r="Q155" i="17"/>
  <c r="AD154" i="17"/>
  <c r="L154" i="17"/>
  <c r="Y153" i="17"/>
  <c r="E153" i="17"/>
  <c r="R152" i="17"/>
  <c r="AE151" i="17"/>
  <c r="M151" i="17"/>
  <c r="Z150" i="17"/>
  <c r="H150" i="17"/>
  <c r="U149" i="17"/>
  <c r="A149" i="17"/>
  <c r="N148" i="17"/>
  <c r="AA147" i="17"/>
  <c r="I147" i="17"/>
  <c r="V146" i="17"/>
  <c r="D146" i="17"/>
  <c r="Q145" i="17"/>
  <c r="AB144" i="17"/>
  <c r="J144" i="17"/>
  <c r="W143" i="17"/>
  <c r="E143" i="17"/>
  <c r="R142" i="17"/>
  <c r="AE141" i="17"/>
  <c r="M141" i="17"/>
  <c r="X140" i="17"/>
  <c r="F140" i="17"/>
  <c r="S139" i="17"/>
  <c r="A139" i="17"/>
  <c r="N138" i="17"/>
  <c r="AA137" i="17"/>
  <c r="I137" i="17"/>
  <c r="T136" i="17"/>
  <c r="B136" i="17"/>
  <c r="O135" i="17"/>
  <c r="AB134" i="17"/>
  <c r="J134" i="17"/>
  <c r="W133" i="17"/>
  <c r="E133" i="17"/>
  <c r="P132" i="17"/>
  <c r="AC131" i="17"/>
  <c r="K131" i="17"/>
  <c r="X130" i="17"/>
  <c r="F130" i="17"/>
  <c r="S129" i="17"/>
  <c r="A129" i="17"/>
  <c r="L128" i="17"/>
  <c r="Z127" i="17"/>
  <c r="I127" i="17"/>
  <c r="W126" i="17"/>
  <c r="F126" i="17"/>
  <c r="T125" i="17"/>
  <c r="C125" i="17"/>
  <c r="Q124" i="17"/>
  <c r="AE123" i="17"/>
  <c r="N123" i="17"/>
  <c r="AB122" i="17"/>
  <c r="K122" i="17"/>
  <c r="Y121" i="17"/>
  <c r="H121" i="17"/>
  <c r="U120" i="17"/>
  <c r="D120" i="17"/>
  <c r="R119" i="17"/>
  <c r="A119" i="17"/>
  <c r="O118" i="17"/>
  <c r="AC117" i="17"/>
  <c r="M117" i="17"/>
  <c r="AB116" i="17"/>
  <c r="L116" i="17"/>
  <c r="AA115" i="17"/>
  <c r="K115" i="17"/>
  <c r="Z114" i="17"/>
  <c r="J114" i="17"/>
  <c r="Y113" i="17"/>
  <c r="I113" i="17"/>
  <c r="X112" i="17"/>
  <c r="H112" i="17"/>
  <c r="W111" i="17"/>
  <c r="G111" i="17"/>
  <c r="V110" i="17"/>
  <c r="F110" i="17"/>
  <c r="U109" i="17"/>
  <c r="E109" i="17"/>
  <c r="T108" i="17"/>
  <c r="D108" i="17"/>
  <c r="S107" i="17"/>
  <c r="C107" i="17"/>
  <c r="R106" i="17"/>
  <c r="B106" i="17"/>
  <c r="Q105" i="17"/>
  <c r="A105" i="17"/>
  <c r="P104" i="17"/>
  <c r="AE103" i="17"/>
  <c r="O103" i="17"/>
  <c r="AD102" i="17"/>
  <c r="N102" i="17"/>
  <c r="AC101" i="17"/>
  <c r="M101" i="17"/>
  <c r="AB100" i="17"/>
  <c r="L100" i="17"/>
  <c r="AA99" i="17"/>
  <c r="K99" i="17"/>
  <c r="Z98" i="17"/>
  <c r="J98" i="17"/>
  <c r="Y97" i="17"/>
  <c r="I97" i="17"/>
  <c r="X96" i="17"/>
  <c r="H96" i="17"/>
  <c r="W95" i="17"/>
  <c r="G95" i="17"/>
  <c r="V94" i="17"/>
  <c r="F94" i="17"/>
  <c r="U93" i="17"/>
  <c r="E93" i="17"/>
  <c r="T92" i="17"/>
  <c r="D92" i="17"/>
  <c r="S91" i="17"/>
  <c r="C91" i="17"/>
  <c r="R90" i="17"/>
  <c r="B90" i="17"/>
  <c r="Q89" i="17"/>
  <c r="A89" i="17"/>
  <c r="P88" i="17"/>
  <c r="AE87" i="17"/>
  <c r="O87" i="17"/>
  <c r="AD86" i="17"/>
  <c r="N86" i="17"/>
  <c r="AC85" i="17"/>
  <c r="M85" i="17"/>
  <c r="AB84" i="17"/>
  <c r="L84" i="17"/>
  <c r="AA83" i="17"/>
  <c r="K83" i="17"/>
  <c r="Z82" i="17"/>
  <c r="J82" i="17"/>
  <c r="Y81" i="17"/>
  <c r="I81" i="17"/>
  <c r="X80" i="17"/>
  <c r="H80" i="17"/>
  <c r="W79" i="17"/>
  <c r="G79" i="17"/>
  <c r="V78" i="17"/>
  <c r="F78" i="17"/>
  <c r="U77" i="17"/>
  <c r="E77" i="17"/>
  <c r="T76" i="17"/>
  <c r="D76" i="17"/>
  <c r="S75" i="17"/>
  <c r="C75" i="17"/>
  <c r="R74" i="17"/>
  <c r="B74" i="17"/>
  <c r="Q73" i="17"/>
  <c r="A73" i="17"/>
  <c r="P72" i="17"/>
  <c r="AE71" i="17"/>
  <c r="O71" i="17"/>
  <c r="AD70" i="17"/>
  <c r="N70" i="17"/>
  <c r="AC69" i="17"/>
  <c r="M69" i="17"/>
  <c r="AB68" i="17"/>
  <c r="L68" i="17"/>
  <c r="AA67" i="17"/>
  <c r="K67" i="17"/>
  <c r="Z66" i="17"/>
  <c r="J66" i="17"/>
  <c r="Y65" i="17"/>
  <c r="I65" i="17"/>
  <c r="X64" i="17"/>
  <c r="H64" i="17"/>
  <c r="W63" i="17"/>
  <c r="G63" i="17"/>
  <c r="V62" i="17"/>
  <c r="F62" i="17"/>
  <c r="U61" i="17"/>
  <c r="E61" i="17"/>
  <c r="T60" i="17"/>
  <c r="D60" i="17"/>
  <c r="S59" i="17"/>
  <c r="C59" i="17"/>
  <c r="R58" i="17"/>
  <c r="B58" i="17"/>
  <c r="Q57" i="17"/>
  <c r="A57" i="17"/>
  <c r="P56" i="17"/>
  <c r="AE55" i="17"/>
  <c r="O55" i="17"/>
  <c r="AD54" i="17"/>
  <c r="N54" i="17"/>
  <c r="AC53" i="17"/>
  <c r="M53" i="17"/>
  <c r="AB52" i="17"/>
  <c r="L52" i="17"/>
  <c r="AA51" i="17"/>
  <c r="K51" i="17"/>
  <c r="Z50" i="17"/>
  <c r="J50" i="17"/>
  <c r="Y49" i="17"/>
  <c r="I49" i="17"/>
  <c r="X48" i="17"/>
  <c r="H48" i="17"/>
  <c r="W47" i="17"/>
  <c r="G47" i="17"/>
  <c r="V46" i="17"/>
  <c r="F46" i="17"/>
  <c r="U45" i="17"/>
  <c r="E45" i="17"/>
  <c r="T44" i="17"/>
  <c r="D44" i="17"/>
  <c r="S43" i="17"/>
  <c r="C43" i="17"/>
  <c r="R42" i="17"/>
  <c r="B42" i="17"/>
  <c r="Q41" i="17"/>
  <c r="A41" i="17"/>
  <c r="P40" i="17"/>
  <c r="AE39" i="17"/>
  <c r="O39" i="17"/>
  <c r="AD38" i="17"/>
  <c r="N38" i="17"/>
  <c r="AC37" i="17"/>
  <c r="M37" i="17"/>
  <c r="AB36" i="17"/>
  <c r="L36" i="17"/>
  <c r="AA35" i="17"/>
  <c r="K35" i="17"/>
  <c r="Z34" i="17"/>
  <c r="J34" i="17"/>
  <c r="Y33" i="17"/>
  <c r="I33" i="17"/>
  <c r="X32" i="17"/>
  <c r="H32" i="17"/>
  <c r="W31" i="17"/>
  <c r="G31" i="17"/>
  <c r="V30" i="17"/>
  <c r="F30" i="17"/>
  <c r="U29" i="17"/>
  <c r="E29" i="17"/>
  <c r="T28" i="17"/>
  <c r="D28" i="17"/>
  <c r="S27" i="17"/>
  <c r="C27" i="17"/>
  <c r="R26" i="17"/>
  <c r="B26" i="17"/>
  <c r="Q25" i="17"/>
  <c r="A25" i="17"/>
  <c r="P24" i="17"/>
  <c r="AE23" i="17"/>
  <c r="O23" i="17"/>
  <c r="AD22" i="17"/>
  <c r="N22" i="17"/>
  <c r="AC21" i="17"/>
  <c r="M21" i="17"/>
  <c r="AB20" i="17"/>
  <c r="L20" i="17"/>
  <c r="AA19" i="17"/>
  <c r="K19" i="17"/>
  <c r="Z18" i="17"/>
  <c r="J18" i="17"/>
  <c r="Y17" i="17"/>
  <c r="I17" i="17"/>
  <c r="X16" i="17"/>
  <c r="H16" i="17"/>
  <c r="W15" i="17"/>
  <c r="G15" i="17"/>
  <c r="V14" i="17"/>
  <c r="F14" i="17"/>
  <c r="U13" i="17"/>
  <c r="E13" i="17"/>
  <c r="T12" i="17"/>
  <c r="D12" i="17"/>
  <c r="S11" i="17"/>
  <c r="C11" i="17"/>
  <c r="R10" i="17"/>
  <c r="B10" i="17"/>
  <c r="Q9" i="17"/>
  <c r="A9" i="17"/>
  <c r="P8" i="17"/>
  <c r="AE7" i="17"/>
  <c r="O7" i="17"/>
  <c r="AD6" i="17"/>
  <c r="N6" i="17"/>
  <c r="AC5" i="17"/>
  <c r="M5" i="17"/>
  <c r="AB4" i="17"/>
  <c r="L4" i="17"/>
  <c r="AA3" i="17"/>
  <c r="K3" i="17"/>
  <c r="Z2" i="17"/>
  <c r="J2" i="17"/>
  <c r="L788" i="17"/>
  <c r="E770" i="17"/>
  <c r="K754" i="17"/>
  <c r="G744" i="17"/>
  <c r="T733" i="17"/>
  <c r="D725" i="17"/>
  <c r="Z717" i="17"/>
  <c r="Y710" i="17"/>
  <c r="M702" i="17"/>
  <c r="G695" i="17"/>
  <c r="A689" i="17"/>
  <c r="G684" i="17"/>
  <c r="Z679" i="17"/>
  <c r="X675" i="17"/>
  <c r="X672" i="17"/>
  <c r="X668" i="17"/>
  <c r="N665" i="17"/>
  <c r="P661" i="17"/>
  <c r="Q658" i="17"/>
  <c r="O655" i="17"/>
  <c r="N652" i="17"/>
  <c r="H649" i="17"/>
  <c r="AA645" i="17"/>
  <c r="W642" i="17"/>
  <c r="R639" i="17"/>
  <c r="J636" i="17"/>
  <c r="Y633" i="17"/>
  <c r="O631" i="17"/>
  <c r="N629" i="17"/>
  <c r="AA626" i="17"/>
  <c r="P624" i="17"/>
  <c r="C622" i="17"/>
  <c r="G620" i="17"/>
  <c r="A618" i="17"/>
  <c r="AD615" i="17"/>
  <c r="AE613" i="17"/>
  <c r="I612" i="17"/>
  <c r="Q610" i="17"/>
  <c r="P608" i="17"/>
  <c r="AA606" i="17"/>
  <c r="A605" i="17"/>
  <c r="L603" i="17"/>
  <c r="AB601" i="17"/>
  <c r="X599" i="17"/>
  <c r="Z597" i="17"/>
  <c r="H596" i="17"/>
  <c r="Q594" i="17"/>
  <c r="R592" i="17"/>
  <c r="T590" i="17"/>
  <c r="F589" i="17"/>
  <c r="M587" i="17"/>
  <c r="O585" i="17"/>
  <c r="W583" i="17"/>
  <c r="AC581" i="17"/>
  <c r="E580" i="17"/>
  <c r="T578" i="17"/>
  <c r="R576" i="17"/>
  <c r="A575" i="17"/>
  <c r="B573" i="17"/>
  <c r="P571" i="17"/>
  <c r="N569" i="17"/>
  <c r="Y567" i="17"/>
  <c r="AA565" i="17"/>
  <c r="O564" i="17"/>
  <c r="G562" i="17"/>
  <c r="X560" i="17"/>
  <c r="AE558" i="17"/>
  <c r="F557" i="17"/>
  <c r="O555" i="17"/>
  <c r="L553" i="17"/>
  <c r="Z551" i="17"/>
  <c r="H550" i="17"/>
  <c r="J548" i="17"/>
  <c r="H546" i="17"/>
  <c r="V544" i="17"/>
  <c r="AE542" i="17"/>
  <c r="E541" i="17"/>
  <c r="C539" i="17"/>
  <c r="O537" i="17"/>
  <c r="Y535" i="17"/>
  <c r="D534" i="17"/>
  <c r="J532" i="17"/>
  <c r="M530" i="17"/>
  <c r="S528" i="17"/>
  <c r="B527" i="17"/>
  <c r="E525" i="17"/>
  <c r="L523" i="17"/>
  <c r="Q521" i="17"/>
  <c r="AC519" i="17"/>
  <c r="C518" i="17"/>
  <c r="H516" i="17"/>
  <c r="K514" i="17"/>
  <c r="Y512" i="17"/>
  <c r="B511" i="17"/>
  <c r="R509" i="17"/>
  <c r="AB507" i="17"/>
  <c r="K506" i="17"/>
  <c r="Y504" i="17"/>
  <c r="P503" i="17"/>
  <c r="Q787" i="17"/>
  <c r="D768" i="17"/>
  <c r="D754" i="17"/>
  <c r="X741" i="17"/>
  <c r="M733" i="17"/>
  <c r="AD724" i="17"/>
  <c r="Y717" i="17"/>
  <c r="M710" i="17"/>
  <c r="E702" i="17"/>
  <c r="X694" i="17"/>
  <c r="AE688" i="17"/>
  <c r="T683" i="17"/>
  <c r="Y679" i="17"/>
  <c r="W675" i="17"/>
  <c r="P672" i="17"/>
  <c r="U668" i="17"/>
  <c r="F665" i="17"/>
  <c r="O661" i="17"/>
  <c r="L658" i="17"/>
  <c r="A655" i="17"/>
  <c r="K652" i="17"/>
  <c r="Q648" i="17"/>
  <c r="Z645" i="17"/>
  <c r="U642" i="17"/>
  <c r="Q639" i="17"/>
  <c r="E636" i="17"/>
  <c r="V633" i="17"/>
  <c r="N631" i="17"/>
  <c r="K629" i="17"/>
  <c r="R626" i="17"/>
  <c r="D624" i="17"/>
  <c r="B622" i="17"/>
  <c r="E620" i="17"/>
  <c r="AE617" i="17"/>
  <c r="S615" i="17"/>
  <c r="Y613" i="17"/>
  <c r="F612" i="17"/>
  <c r="P610" i="17"/>
  <c r="O608" i="17"/>
  <c r="T606" i="17"/>
  <c r="AB604" i="17"/>
  <c r="K603" i="17"/>
  <c r="I601" i="17"/>
  <c r="W599" i="17"/>
  <c r="Y597" i="17"/>
  <c r="G596" i="17"/>
  <c r="J594" i="17"/>
  <c r="Q592" i="17"/>
  <c r="S590" i="17"/>
  <c r="AE588" i="17"/>
  <c r="L587" i="17"/>
  <c r="N585" i="17"/>
  <c r="V583" i="17"/>
  <c r="AA581" i="17"/>
  <c r="D580" i="17"/>
  <c r="F578" i="17"/>
  <c r="P576" i="17"/>
  <c r="AD574" i="17"/>
  <c r="A573" i="17"/>
  <c r="O571" i="17"/>
  <c r="K569" i="17"/>
  <c r="X567" i="17"/>
  <c r="Z565" i="17"/>
  <c r="H564" i="17"/>
  <c r="F562" i="17"/>
  <c r="O560" i="17"/>
  <c r="Y558" i="17"/>
  <c r="E557" i="17"/>
  <c r="C555" i="17"/>
  <c r="J553" i="17"/>
  <c r="W551" i="17"/>
  <c r="AA549" i="17"/>
  <c r="I548" i="17"/>
  <c r="E546" i="17"/>
  <c r="U544" i="17"/>
  <c r="T542" i="17"/>
  <c r="C541" i="17"/>
  <c r="A539" i="17"/>
  <c r="N537" i="17"/>
  <c r="P535" i="17"/>
  <c r="C534" i="17"/>
  <c r="D532" i="17"/>
  <c r="K530" i="17"/>
  <c r="R528" i="17"/>
  <c r="Y526" i="17"/>
  <c r="N786" i="17"/>
  <c r="B761" i="17"/>
  <c r="N746" i="17"/>
  <c r="AD730" i="17"/>
  <c r="AA718" i="17"/>
  <c r="F707" i="17"/>
  <c r="N698" i="17"/>
  <c r="AA688" i="17"/>
  <c r="AC681" i="17"/>
  <c r="K675" i="17"/>
  <c r="R670" i="17"/>
  <c r="D665" i="17"/>
  <c r="U660" i="17"/>
  <c r="F656" i="17"/>
  <c r="AB650" i="17"/>
  <c r="AB646" i="17"/>
  <c r="D642" i="17"/>
  <c r="W637" i="17"/>
  <c r="M633" i="17"/>
  <c r="AD629" i="17"/>
  <c r="L626" i="17"/>
  <c r="J623" i="17"/>
  <c r="B620" i="17"/>
  <c r="C617" i="17"/>
  <c r="K614" i="17"/>
  <c r="P611" i="17"/>
  <c r="I609" i="17"/>
  <c r="P606" i="17"/>
  <c r="AD603" i="17"/>
  <c r="B601" i="17"/>
  <c r="AB598" i="17"/>
  <c r="E596" i="17"/>
  <c r="P593" i="17"/>
  <c r="R590" i="17"/>
  <c r="I588" i="17"/>
  <c r="AE585" i="17"/>
  <c r="G583" i="17"/>
  <c r="AB580" i="17"/>
  <c r="AD577" i="17"/>
  <c r="S575" i="17"/>
  <c r="AA572" i="17"/>
  <c r="K570" i="17"/>
  <c r="K567" i="17"/>
  <c r="AB564" i="17"/>
  <c r="D562" i="17"/>
  <c r="A560" i="17"/>
  <c r="R557" i="17"/>
  <c r="U554" i="17"/>
  <c r="E552" i="17"/>
  <c r="J549" i="17"/>
  <c r="B547" i="17"/>
  <c r="O544" i="17"/>
  <c r="AC541" i="17"/>
  <c r="AD538" i="17"/>
  <c r="Y536" i="17"/>
  <c r="A534" i="17"/>
  <c r="R531" i="17"/>
  <c r="F529" i="17"/>
  <c r="A526" i="17"/>
  <c r="AB523" i="17"/>
  <c r="K521" i="17"/>
  <c r="B519" i="17"/>
  <c r="AE516" i="17"/>
  <c r="H514" i="17"/>
  <c r="F512" i="17"/>
  <c r="AE509" i="17"/>
  <c r="R507" i="17"/>
  <c r="W505" i="17"/>
  <c r="AC503" i="17"/>
  <c r="AE501" i="17"/>
  <c r="M500" i="17"/>
  <c r="X498" i="17"/>
  <c r="J497" i="17"/>
  <c r="H495" i="17"/>
  <c r="AA493" i="17"/>
  <c r="D492" i="17"/>
  <c r="R490" i="17"/>
  <c r="Z488" i="17"/>
  <c r="F487" i="17"/>
  <c r="J485" i="17"/>
  <c r="A484" i="17"/>
  <c r="M482" i="17"/>
  <c r="Z480" i="17"/>
  <c r="G479" i="17"/>
  <c r="AB477" i="17"/>
  <c r="J476" i="17"/>
  <c r="T474" i="17"/>
  <c r="A473" i="17"/>
  <c r="V471" i="17"/>
  <c r="E470" i="17"/>
  <c r="Z468" i="17"/>
  <c r="G467" i="17"/>
  <c r="Z465" i="17"/>
  <c r="I464" i="17"/>
  <c r="D463" i="17"/>
  <c r="M461" i="17"/>
  <c r="AC459" i="17"/>
  <c r="P458" i="17"/>
  <c r="I457" i="17"/>
  <c r="V455" i="17"/>
  <c r="D454" i="17"/>
  <c r="W452" i="17"/>
  <c r="J451" i="17"/>
  <c r="A450" i="17"/>
  <c r="I448" i="17"/>
  <c r="AE446" i="17"/>
  <c r="R445" i="17"/>
  <c r="I444" i="17"/>
  <c r="P442" i="17"/>
  <c r="G441" i="17"/>
  <c r="X439" i="17"/>
  <c r="L438" i="17"/>
  <c r="X436" i="17"/>
  <c r="Q435" i="17"/>
  <c r="B434" i="17"/>
  <c r="U432" i="17"/>
  <c r="H431" i="17"/>
  <c r="AD429" i="17"/>
  <c r="Q428" i="17"/>
  <c r="J427" i="17"/>
  <c r="AB425" i="17"/>
  <c r="Q424" i="17"/>
  <c r="G423" i="17"/>
  <c r="AB421" i="17"/>
  <c r="T420" i="17"/>
  <c r="C419" i="17"/>
  <c r="X417" i="17"/>
  <c r="R416" i="17"/>
  <c r="L415" i="17"/>
  <c r="F414" i="17"/>
  <c r="Y412" i="17"/>
  <c r="N411" i="17"/>
  <c r="L410" i="17"/>
  <c r="G409" i="17"/>
  <c r="W407" i="17"/>
  <c r="L406" i="17"/>
  <c r="K405" i="17"/>
  <c r="C404" i="17"/>
  <c r="W402" i="17"/>
  <c r="O401" i="17"/>
  <c r="I400" i="17"/>
  <c r="A399" i="17"/>
  <c r="AB397" i="17"/>
  <c r="M396" i="17"/>
  <c r="K395" i="17"/>
  <c r="A394" i="17"/>
  <c r="AE392" i="17"/>
  <c r="V391" i="17"/>
  <c r="S390" i="17"/>
  <c r="K389" i="17"/>
  <c r="J388" i="17"/>
  <c r="A387" i="17"/>
  <c r="Z385" i="17"/>
  <c r="T384" i="17"/>
  <c r="T383" i="17"/>
  <c r="N382" i="17"/>
  <c r="F381" i="17"/>
  <c r="D380" i="17"/>
  <c r="B379" i="17"/>
  <c r="C378" i="17"/>
  <c r="AA376" i="17"/>
  <c r="Y375" i="17"/>
  <c r="X374" i="17"/>
  <c r="V373" i="17"/>
  <c r="L372" i="17"/>
  <c r="L371" i="17"/>
  <c r="K370" i="17"/>
  <c r="I369" i="17"/>
  <c r="G368" i="17"/>
  <c r="AE366" i="17"/>
  <c r="A366" i="17"/>
  <c r="AD364" i="17"/>
  <c r="AB363" i="17"/>
  <c r="X362" i="17"/>
  <c r="Q361" i="17"/>
  <c r="Q360" i="17"/>
  <c r="T359" i="17"/>
  <c r="M358" i="17"/>
  <c r="M357" i="17"/>
  <c r="M356" i="17"/>
  <c r="P355" i="17"/>
  <c r="R354" i="17"/>
  <c r="J353" i="17"/>
  <c r="N352" i="17"/>
  <c r="M351" i="17"/>
  <c r="N350" i="17"/>
  <c r="F349" i="17"/>
  <c r="K348" i="17"/>
  <c r="K347" i="17"/>
  <c r="K346" i="17"/>
  <c r="H345" i="17"/>
  <c r="G344" i="17"/>
  <c r="H343" i="17"/>
  <c r="I342" i="17"/>
  <c r="H341" i="17"/>
  <c r="F340" i="17"/>
  <c r="D339" i="17"/>
  <c r="F338" i="17"/>
  <c r="F337" i="17"/>
  <c r="C336" i="17"/>
  <c r="C335" i="17"/>
  <c r="D334" i="17"/>
  <c r="F333" i="17"/>
  <c r="I332" i="17"/>
  <c r="I331" i="17"/>
  <c r="L330" i="17"/>
  <c r="L329" i="17"/>
  <c r="O328" i="17"/>
  <c r="N327" i="17"/>
  <c r="O326" i="17"/>
  <c r="T325" i="17"/>
  <c r="U324" i="17"/>
  <c r="T323" i="17"/>
  <c r="W322" i="17"/>
  <c r="W321" i="17"/>
  <c r="AC320" i="17"/>
  <c r="W319" i="17"/>
  <c r="AC318" i="17"/>
  <c r="AE317" i="17"/>
  <c r="A317" i="17"/>
  <c r="C316" i="17"/>
  <c r="A315" i="17"/>
  <c r="C314" i="17"/>
  <c r="I313" i="17"/>
  <c r="I312" i="17"/>
  <c r="I311" i="17"/>
  <c r="I310" i="17"/>
  <c r="L309" i="17"/>
  <c r="Q308" i="17"/>
  <c r="L307" i="17"/>
  <c r="Q306" i="17"/>
  <c r="R305" i="17"/>
  <c r="T304" i="17"/>
  <c r="W303" i="17"/>
  <c r="T302" i="17"/>
  <c r="Z301" i="17"/>
  <c r="Z300" i="17"/>
  <c r="AC299" i="17"/>
  <c r="Z298" i="17"/>
  <c r="AC297" i="17"/>
  <c r="AE296" i="17"/>
  <c r="A296" i="17"/>
  <c r="AE294" i="17"/>
  <c r="D294" i="17"/>
  <c r="F293" i="17"/>
  <c r="I292" i="17"/>
  <c r="I291" i="17"/>
  <c r="I290" i="17"/>
  <c r="I289" i="17"/>
  <c r="O288" i="17"/>
  <c r="Q287" i="17"/>
  <c r="O286" i="17"/>
  <c r="Q285" i="17"/>
  <c r="R284" i="17"/>
  <c r="T283" i="17"/>
  <c r="Q282" i="17"/>
  <c r="W281" i="17"/>
  <c r="Z280" i="17"/>
  <c r="Z279" i="17"/>
  <c r="AE278" i="17"/>
  <c r="AD277" i="17"/>
  <c r="F277" i="17"/>
  <c r="J276" i="17"/>
  <c r="M275" i="17"/>
  <c r="R274" i="17"/>
  <c r="Y273" i="17"/>
  <c r="B273" i="17"/>
  <c r="K272" i="17"/>
  <c r="N271" i="17"/>
  <c r="W270" i="17"/>
  <c r="AC269" i="17"/>
  <c r="G269" i="17"/>
  <c r="O268" i="17"/>
  <c r="S267" i="17"/>
  <c r="AA266" i="17"/>
  <c r="C266" i="17"/>
  <c r="K265" i="17"/>
  <c r="N264" i="17"/>
  <c r="W263" i="17"/>
  <c r="A263" i="17"/>
  <c r="G262" i="17"/>
  <c r="M261" i="17"/>
  <c r="S260" i="17"/>
  <c r="AB259" i="17"/>
  <c r="E259" i="17"/>
  <c r="L258" i="17"/>
  <c r="Q257" i="17"/>
  <c r="X256" i="17"/>
  <c r="A256" i="17"/>
  <c r="J255" i="17"/>
  <c r="M254" i="17"/>
  <c r="V253" i="17"/>
  <c r="AB252" i="17"/>
  <c r="F252" i="17"/>
  <c r="K251" i="17"/>
  <c r="R250" i="17"/>
  <c r="Z249" i="17"/>
  <c r="B249" i="17"/>
  <c r="J248" i="17"/>
  <c r="P247" i="17"/>
  <c r="V246" i="17"/>
  <c r="AE245" i="17"/>
  <c r="F245" i="17"/>
  <c r="L244" i="17"/>
  <c r="T243" i="17"/>
  <c r="AA242" i="17"/>
  <c r="D242" i="17"/>
  <c r="G241" i="17"/>
  <c r="P240" i="17"/>
  <c r="Y239" i="17"/>
  <c r="AE238" i="17"/>
  <c r="I238" i="17"/>
  <c r="L237" i="17"/>
  <c r="U236" i="17"/>
  <c r="AC235" i="17"/>
  <c r="E235" i="17"/>
  <c r="J234" i="17"/>
  <c r="Q233" i="17"/>
  <c r="Y232" i="17"/>
  <c r="C232" i="17"/>
  <c r="F231" i="17"/>
  <c r="O230" i="17"/>
  <c r="U229" i="17"/>
  <c r="AD228" i="17"/>
  <c r="G228" i="17"/>
  <c r="K227" i="17"/>
  <c r="S226" i="17"/>
  <c r="Z225" i="17"/>
  <c r="C225" i="17"/>
  <c r="F224" i="17"/>
  <c r="O223" i="17"/>
  <c r="X222" i="17"/>
  <c r="AD221" i="17"/>
  <c r="E221" i="17"/>
  <c r="K220" i="17"/>
  <c r="T219" i="17"/>
  <c r="AB218" i="17"/>
  <c r="D218" i="17"/>
  <c r="I217" i="17"/>
  <c r="P216" i="17"/>
  <c r="X215" i="17"/>
  <c r="B215" i="17"/>
  <c r="E214" i="17"/>
  <c r="N213" i="17"/>
  <c r="T212" i="17"/>
  <c r="AC211" i="17"/>
  <c r="A211" i="17"/>
  <c r="J210" i="17"/>
  <c r="R209" i="17"/>
  <c r="Z208" i="17"/>
  <c r="E208" i="17"/>
  <c r="J207" i="17"/>
  <c r="T206" i="17"/>
  <c r="AD205" i="17"/>
  <c r="G205" i="17"/>
  <c r="N204" i="17"/>
  <c r="V203" i="17"/>
  <c r="A203" i="17"/>
  <c r="K202" i="17"/>
  <c r="P201" i="17"/>
  <c r="Z200" i="17"/>
  <c r="C200" i="17"/>
  <c r="M199" i="17"/>
  <c r="W198" i="17"/>
  <c r="AB197" i="17"/>
  <c r="G197" i="17"/>
  <c r="O196" i="17"/>
  <c r="Y195" i="17"/>
  <c r="AD194" i="17"/>
  <c r="I194" i="17"/>
  <c r="S193" i="17"/>
  <c r="AA192" i="17"/>
  <c r="C192" i="17"/>
  <c r="K191" i="17"/>
  <c r="U190" i="17"/>
  <c r="AE189" i="17"/>
  <c r="H189" i="17"/>
  <c r="O188" i="17"/>
  <c r="W187" i="17"/>
  <c r="B187" i="17"/>
  <c r="L186" i="17"/>
  <c r="Q185" i="17"/>
  <c r="AA184" i="17"/>
  <c r="D184" i="17"/>
  <c r="N183" i="17"/>
  <c r="U182" i="17"/>
  <c r="AC181" i="17"/>
  <c r="H181" i="17"/>
  <c r="P180" i="17"/>
  <c r="Z179" i="17"/>
  <c r="B179" i="17"/>
  <c r="J178" i="17"/>
  <c r="T177" i="17"/>
  <c r="AB176" i="17"/>
  <c r="D176" i="17"/>
  <c r="N175" i="17"/>
  <c r="V174" i="17"/>
  <c r="A174" i="17"/>
  <c r="F173" i="17"/>
  <c r="P172" i="17"/>
  <c r="Z171" i="17"/>
  <c r="C171" i="17"/>
  <c r="M170" i="17"/>
  <c r="R169" i="17"/>
  <c r="AB168" i="17"/>
  <c r="G168" i="17"/>
  <c r="O167" i="17"/>
  <c r="V166" i="17"/>
  <c r="AD165" i="17"/>
  <c r="I165" i="17"/>
  <c r="S164" i="17"/>
  <c r="X163" i="17"/>
  <c r="C163" i="17"/>
  <c r="K162" i="17"/>
  <c r="U161" i="17"/>
  <c r="AE160" i="17"/>
  <c r="E160" i="17"/>
  <c r="O159" i="17"/>
  <c r="W158" i="17"/>
  <c r="B158" i="17"/>
  <c r="G157" i="17"/>
  <c r="Q156" i="17"/>
  <c r="AA155" i="17"/>
  <c r="D155" i="17"/>
  <c r="K154" i="17"/>
  <c r="S153" i="17"/>
  <c r="AC152" i="17"/>
  <c r="H152" i="17"/>
  <c r="P151" i="17"/>
  <c r="W150" i="17"/>
  <c r="AE149" i="17"/>
  <c r="J149" i="17"/>
  <c r="T148" i="17"/>
  <c r="Y147" i="17"/>
  <c r="D147" i="17"/>
  <c r="L146" i="17"/>
  <c r="V145" i="17"/>
  <c r="AA144" i="17"/>
  <c r="F144" i="17"/>
  <c r="P143" i="17"/>
  <c r="X142" i="17"/>
  <c r="C142" i="17"/>
  <c r="H141" i="17"/>
  <c r="R140" i="17"/>
  <c r="AB139" i="17"/>
  <c r="E139" i="17"/>
  <c r="L138" i="17"/>
  <c r="T137" i="17"/>
  <c r="AD136" i="17"/>
  <c r="I136" i="17"/>
  <c r="N135" i="17"/>
  <c r="X134" i="17"/>
  <c r="A134" i="17"/>
  <c r="K133" i="17"/>
  <c r="U132" i="17"/>
  <c r="Z131" i="17"/>
  <c r="E131" i="17"/>
  <c r="M130" i="17"/>
  <c r="W129" i="17"/>
  <c r="AB128" i="17"/>
  <c r="G128" i="17"/>
  <c r="R127" i="17"/>
  <c r="AC126" i="17"/>
  <c r="E126" i="17"/>
  <c r="P125" i="17"/>
  <c r="AA124" i="17"/>
  <c r="F124" i="17"/>
  <c r="Q123" i="17"/>
  <c r="Y122" i="17"/>
  <c r="D122" i="17"/>
  <c r="O121" i="17"/>
  <c r="Z120" i="17"/>
  <c r="B120" i="17"/>
  <c r="M119" i="17"/>
  <c r="X118" i="17"/>
  <c r="C118" i="17"/>
  <c r="L117" i="17"/>
  <c r="X116" i="17"/>
  <c r="E116" i="17"/>
  <c r="Q115" i="17"/>
  <c r="AC114" i="17"/>
  <c r="G114" i="17"/>
  <c r="S113" i="17"/>
  <c r="AE112" i="17"/>
  <c r="L112" i="17"/>
  <c r="U111" i="17"/>
  <c r="B111" i="17"/>
  <c r="N110" i="17"/>
  <c r="Z109" i="17"/>
  <c r="D109" i="17"/>
  <c r="P108" i="17"/>
  <c r="AB107" i="17"/>
  <c r="I107" i="17"/>
  <c r="U106" i="17"/>
  <c r="AD105" i="17"/>
  <c r="K105" i="17"/>
  <c r="W104" i="17"/>
  <c r="D104" i="17"/>
  <c r="M103" i="17"/>
  <c r="Y102" i="17"/>
  <c r="F102" i="17"/>
  <c r="R101" i="17"/>
  <c r="AA100" i="17"/>
  <c r="H100" i="17"/>
  <c r="T99" i="17"/>
  <c r="A99" i="17"/>
  <c r="M98" i="17"/>
  <c r="V97" i="17"/>
  <c r="C97" i="17"/>
  <c r="O96" i="17"/>
  <c r="AA95" i="17"/>
  <c r="E95" i="17"/>
  <c r="Q94" i="17"/>
  <c r="AC93" i="17"/>
  <c r="J93" i="17"/>
  <c r="S92" i="17"/>
  <c r="AE91" i="17"/>
  <c r="L91" i="17"/>
  <c r="X90" i="17"/>
  <c r="E90" i="17"/>
  <c r="N89" i="17"/>
  <c r="Z88" i="17"/>
  <c r="G88" i="17"/>
  <c r="S87" i="17"/>
  <c r="AB86" i="17"/>
  <c r="I86" i="17"/>
  <c r="U85" i="17"/>
  <c r="B85" i="17"/>
  <c r="K84" i="17"/>
  <c r="W83" i="17"/>
  <c r="D83" i="17"/>
  <c r="P82" i="17"/>
  <c r="AB81" i="17"/>
  <c r="F81" i="17"/>
  <c r="R80" i="17"/>
  <c r="AD79" i="17"/>
  <c r="K79" i="17"/>
  <c r="T78" i="17"/>
  <c r="A78" i="17"/>
  <c r="M77" i="17"/>
  <c r="Y76" i="17"/>
  <c r="C76" i="17"/>
  <c r="O75" i="17"/>
  <c r="AA74" i="17"/>
  <c r="H74" i="17"/>
  <c r="T73" i="17"/>
  <c r="AC72" i="17"/>
  <c r="J72" i="17"/>
  <c r="V71" i="17"/>
  <c r="C71" i="17"/>
  <c r="L70" i="17"/>
  <c r="X69" i="17"/>
  <c r="E69" i="17"/>
  <c r="Q68" i="17"/>
  <c r="Z67" i="17"/>
  <c r="G67" i="17"/>
  <c r="S66" i="17"/>
  <c r="AE65" i="17"/>
  <c r="L65" i="17"/>
  <c r="U64" i="17"/>
  <c r="B64" i="17"/>
  <c r="N63" i="17"/>
  <c r="Z62" i="17"/>
  <c r="D62" i="17"/>
  <c r="P61" i="17"/>
  <c r="AB60" i="17"/>
  <c r="I60" i="17"/>
  <c r="R59" i="17"/>
  <c r="AD58" i="17"/>
  <c r="K58" i="17"/>
  <c r="W57" i="17"/>
  <c r="D57" i="17"/>
  <c r="M56" i="17"/>
  <c r="Y55" i="17"/>
  <c r="F55" i="17"/>
  <c r="R54" i="17"/>
  <c r="AA53" i="17"/>
  <c r="H53" i="17"/>
  <c r="T52" i="17"/>
  <c r="A52" i="17"/>
  <c r="J51" i="17"/>
  <c r="V50" i="17"/>
  <c r="C50" i="17"/>
  <c r="O49" i="17"/>
  <c r="AA48" i="17"/>
  <c r="E48" i="17"/>
  <c r="Q47" i="17"/>
  <c r="AC46" i="17"/>
  <c r="J46" i="17"/>
  <c r="S45" i="17"/>
  <c r="AE44" i="17"/>
  <c r="L44" i="17"/>
  <c r="X43" i="17"/>
  <c r="B43" i="17"/>
  <c r="N42" i="17"/>
  <c r="Z41" i="17"/>
  <c r="G41" i="17"/>
  <c r="S40" i="17"/>
  <c r="AB39" i="17"/>
  <c r="I39" i="17"/>
  <c r="U38" i="17"/>
  <c r="B38" i="17"/>
  <c r="K37" i="17"/>
  <c r="W36" i="17"/>
  <c r="D36" i="17"/>
  <c r="P35" i="17"/>
  <c r="Y34" i="17"/>
  <c r="F34" i="17"/>
  <c r="R33" i="17"/>
  <c r="AD32" i="17"/>
  <c r="K32" i="17"/>
  <c r="T31" i="17"/>
  <c r="A31" i="17"/>
  <c r="M30" i="17"/>
  <c r="Y29" i="17"/>
  <c r="C29" i="17"/>
  <c r="O28" i="17"/>
  <c r="AA27" i="17"/>
  <c r="H27" i="17"/>
  <c r="Q26" i="17"/>
  <c r="AC25" i="17"/>
  <c r="J25" i="17"/>
  <c r="V24" i="17"/>
  <c r="C24" i="17"/>
  <c r="L23" i="17"/>
  <c r="X22" i="17"/>
  <c r="E22" i="17"/>
  <c r="Q21" i="17"/>
  <c r="Z20" i="17"/>
  <c r="G20" i="17"/>
  <c r="S19" i="17"/>
  <c r="AE18" i="17"/>
  <c r="I18" i="17"/>
  <c r="U17" i="17"/>
  <c r="B17" i="17"/>
  <c r="N16" i="17"/>
  <c r="Z15" i="17"/>
  <c r="D15" i="17"/>
  <c r="P14" i="17"/>
  <c r="AB13" i="17"/>
  <c r="I13" i="17"/>
  <c r="R12" i="17"/>
  <c r="AD11" i="17"/>
  <c r="K11" i="17"/>
  <c r="W10" i="17"/>
  <c r="A10" i="17"/>
  <c r="M9" i="17"/>
  <c r="Y8" i="17"/>
  <c r="F8" i="17"/>
  <c r="R7" i="17"/>
  <c r="AA6" i="17"/>
  <c r="H6" i="17"/>
  <c r="T5" i="17"/>
  <c r="A5" i="17"/>
  <c r="J4" i="17"/>
  <c r="V3" i="17"/>
  <c r="C3" i="17"/>
  <c r="O2" i="17"/>
  <c r="K786" i="17"/>
  <c r="Q759" i="17"/>
  <c r="W741" i="17"/>
  <c r="K730" i="17"/>
  <c r="X718" i="17"/>
  <c r="A707" i="17"/>
  <c r="I698" i="17"/>
  <c r="Z688" i="17"/>
  <c r="I681" i="17"/>
  <c r="F675" i="17"/>
  <c r="M670" i="17"/>
  <c r="L664" i="17"/>
  <c r="M660" i="17"/>
  <c r="AD654" i="17"/>
  <c r="Z650" i="17"/>
  <c r="T646" i="17"/>
  <c r="O641" i="17"/>
  <c r="T637" i="17"/>
  <c r="E633" i="17"/>
  <c r="AA629" i="17"/>
  <c r="J626" i="17"/>
  <c r="F623" i="17"/>
  <c r="W619" i="17"/>
  <c r="A617" i="17"/>
  <c r="X613" i="17"/>
  <c r="N611" i="17"/>
  <c r="G609" i="17"/>
  <c r="F606" i="17"/>
  <c r="Y603" i="17"/>
  <c r="A601" i="17"/>
  <c r="AA598" i="17"/>
  <c r="B596" i="17"/>
  <c r="O593" i="17"/>
  <c r="Q590" i="17"/>
  <c r="D588" i="17"/>
  <c r="M585" i="17"/>
  <c r="E583" i="17"/>
  <c r="X580" i="17"/>
  <c r="AB577" i="17"/>
  <c r="J575" i="17"/>
  <c r="N572" i="17"/>
  <c r="J570" i="17"/>
  <c r="J567" i="17"/>
  <c r="Z564" i="17"/>
  <c r="C562" i="17"/>
  <c r="AE559" i="17"/>
  <c r="AE556" i="17"/>
  <c r="M554" i="17"/>
  <c r="C552" i="17"/>
  <c r="I549" i="17"/>
  <c r="A547" i="17"/>
  <c r="F544" i="17"/>
  <c r="X541" i="17"/>
  <c r="AA538" i="17"/>
  <c r="V536" i="17"/>
  <c r="AD533" i="17"/>
  <c r="Q531" i="17"/>
  <c r="P528" i="17"/>
  <c r="AE525" i="17"/>
  <c r="AA523" i="17"/>
  <c r="J521" i="17"/>
  <c r="AE518" i="17"/>
  <c r="AB516" i="17"/>
  <c r="F514" i="17"/>
  <c r="AE511" i="17"/>
  <c r="AD509" i="17"/>
  <c r="P507" i="17"/>
  <c r="V505" i="17"/>
  <c r="AB503" i="17"/>
  <c r="AA501" i="17"/>
  <c r="L500" i="17"/>
  <c r="Q498" i="17"/>
  <c r="I497" i="17"/>
  <c r="F495" i="17"/>
  <c r="Z493" i="17"/>
  <c r="C492" i="17"/>
  <c r="P490" i="17"/>
  <c r="S488" i="17"/>
  <c r="AE486" i="17"/>
  <c r="H485" i="17"/>
  <c r="AD483" i="17"/>
  <c r="L482" i="17"/>
  <c r="X480" i="17"/>
  <c r="F479" i="17"/>
  <c r="AA477" i="17"/>
  <c r="G476" i="17"/>
  <c r="O474" i="17"/>
  <c r="AE472" i="17"/>
  <c r="R471" i="17"/>
  <c r="D470" i="17"/>
  <c r="K468" i="17"/>
  <c r="B467" i="17"/>
  <c r="T465" i="17"/>
  <c r="G464" i="17"/>
  <c r="C463" i="17"/>
  <c r="L461" i="17"/>
  <c r="AB459" i="17"/>
  <c r="O458" i="17"/>
  <c r="AE456" i="17"/>
  <c r="U455" i="17"/>
  <c r="C454" i="17"/>
  <c r="V452" i="17"/>
  <c r="F451" i="17"/>
  <c r="X449" i="17"/>
  <c r="H448" i="17"/>
  <c r="AD446" i="17"/>
  <c r="Q445" i="17"/>
  <c r="E444" i="17"/>
  <c r="N442" i="17"/>
  <c r="B441" i="17"/>
  <c r="W439" i="17"/>
  <c r="K438" i="17"/>
  <c r="W436" i="17"/>
  <c r="K435" i="17"/>
  <c r="A434" i="17"/>
  <c r="T432" i="17"/>
  <c r="B431" i="17"/>
  <c r="AC429" i="17"/>
  <c r="P428" i="17"/>
  <c r="I427" i="17"/>
  <c r="AA425" i="17"/>
  <c r="J424" i="17"/>
  <c r="F423" i="17"/>
  <c r="AA421" i="17"/>
  <c r="Q420" i="17"/>
  <c r="AA418" i="17"/>
  <c r="W417" i="17"/>
  <c r="N416" i="17"/>
  <c r="H415" i="17"/>
  <c r="AB413" i="17"/>
  <c r="U412" i="17"/>
  <c r="M411" i="17"/>
  <c r="K410" i="17"/>
  <c r="AD408" i="17"/>
  <c r="V407" i="17"/>
  <c r="K406" i="17"/>
  <c r="J405" i="17"/>
  <c r="B404" i="17"/>
  <c r="V402" i="17"/>
  <c r="J401" i="17"/>
  <c r="H400" i="17"/>
  <c r="AE398" i="17"/>
  <c r="T397" i="17"/>
  <c r="L396" i="17"/>
  <c r="J395" i="17"/>
  <c r="AE393" i="17"/>
  <c r="AB392" i="17"/>
  <c r="P391" i="17"/>
  <c r="O390" i="17"/>
  <c r="I389" i="17"/>
  <c r="I388" i="17"/>
  <c r="AE386" i="17"/>
  <c r="Y385" i="17"/>
  <c r="S384" i="17"/>
  <c r="R383" i="17"/>
  <c r="F382" i="17"/>
  <c r="E381" i="17"/>
  <c r="A380" i="17"/>
  <c r="A379" i="17"/>
  <c r="AE377" i="17"/>
  <c r="Z376" i="17"/>
  <c r="X375" i="17"/>
  <c r="T374" i="17"/>
  <c r="U373" i="17"/>
  <c r="K372" i="17"/>
  <c r="K371" i="17"/>
  <c r="J370" i="17"/>
  <c r="F369" i="17"/>
  <c r="C368" i="17"/>
  <c r="AD366" i="17"/>
  <c r="AE365" i="17"/>
  <c r="AC364" i="17"/>
  <c r="Y363" i="17"/>
  <c r="W362" i="17"/>
  <c r="P361" i="17"/>
  <c r="P360" i="17"/>
  <c r="P359" i="17"/>
  <c r="K358" i="17"/>
  <c r="L357" i="17"/>
  <c r="L356" i="17"/>
  <c r="L355" i="17"/>
  <c r="G354" i="17"/>
  <c r="I353" i="17"/>
  <c r="M352" i="17"/>
  <c r="L351" i="17"/>
  <c r="M350" i="17"/>
  <c r="E349" i="17"/>
  <c r="J348" i="17"/>
  <c r="J347" i="17"/>
  <c r="J346" i="17"/>
  <c r="G345" i="17"/>
  <c r="E344" i="17"/>
  <c r="G343" i="17"/>
  <c r="H342" i="17"/>
  <c r="D341" i="17"/>
  <c r="E340" i="17"/>
  <c r="C339" i="17"/>
  <c r="E338" i="17"/>
  <c r="E337" i="17"/>
  <c r="A336" i="17"/>
  <c r="B335" i="17"/>
  <c r="C334" i="17"/>
  <c r="E333" i="17"/>
  <c r="B332" i="17"/>
  <c r="H331" i="17"/>
  <c r="K330" i="17"/>
  <c r="K329" i="17"/>
  <c r="J328" i="17"/>
  <c r="K327" i="17"/>
  <c r="N326" i="17"/>
  <c r="S325" i="17"/>
  <c r="T324" i="17"/>
  <c r="S323" i="17"/>
  <c r="S322" i="17"/>
  <c r="V321" i="17"/>
  <c r="Y320" i="17"/>
  <c r="V319" i="17"/>
  <c r="AB318" i="17"/>
  <c r="AB317" i="17"/>
  <c r="AE316" i="17"/>
  <c r="AD315" i="17"/>
  <c r="AD314" i="17"/>
  <c r="B314" i="17"/>
  <c r="F313" i="17"/>
  <c r="H312" i="17"/>
  <c r="H311" i="17"/>
  <c r="H310" i="17"/>
  <c r="K309" i="17"/>
  <c r="K308" i="17"/>
  <c r="J307" i="17"/>
  <c r="P306" i="17"/>
  <c r="Q305" i="17"/>
  <c r="S304" i="17"/>
  <c r="P303" i="17"/>
  <c r="S302" i="17"/>
  <c r="V301" i="17"/>
  <c r="Y300" i="17"/>
  <c r="AB299" i="17"/>
  <c r="Y298" i="17"/>
  <c r="AB297" i="17"/>
  <c r="AD296" i="17"/>
  <c r="AE295" i="17"/>
  <c r="AD294" i="17"/>
  <c r="AD293" i="17"/>
  <c r="E293" i="17"/>
  <c r="H292" i="17"/>
  <c r="E291" i="17"/>
  <c r="H290" i="17"/>
  <c r="H289" i="17"/>
  <c r="N288" i="17"/>
  <c r="P287" i="17"/>
  <c r="M286" i="17"/>
  <c r="P285" i="17"/>
  <c r="Q284" i="17"/>
  <c r="S283" i="17"/>
  <c r="P282" i="17"/>
  <c r="V281" i="17"/>
  <c r="Y280" i="17"/>
  <c r="Y279" i="17"/>
  <c r="Z278" i="17"/>
  <c r="AC277" i="17"/>
  <c r="E277" i="17"/>
  <c r="I276" i="17"/>
  <c r="L275" i="17"/>
  <c r="Q274" i="17"/>
  <c r="W273" i="17"/>
  <c r="A273" i="17"/>
  <c r="J272" i="17"/>
  <c r="M271" i="17"/>
  <c r="V270" i="17"/>
  <c r="AB269" i="17"/>
  <c r="F269" i="17"/>
  <c r="I268" i="17"/>
  <c r="Q267" i="17"/>
  <c r="Z266" i="17"/>
  <c r="B266" i="17"/>
  <c r="J265" i="17"/>
  <c r="M264" i="17"/>
  <c r="V263" i="17"/>
  <c r="AE262" i="17"/>
  <c r="F262" i="17"/>
  <c r="K261" i="17"/>
  <c r="R260" i="17"/>
  <c r="AA259" i="17"/>
  <c r="D259" i="17"/>
  <c r="G258" i="17"/>
  <c r="P257" i="17"/>
  <c r="V256" i="17"/>
  <c r="AE255" i="17"/>
  <c r="I255" i="17"/>
  <c r="L254" i="17"/>
  <c r="U253" i="17"/>
  <c r="AA252" i="17"/>
  <c r="E252" i="17"/>
  <c r="H251" i="17"/>
  <c r="P250" i="17"/>
  <c r="Y249" i="17"/>
  <c r="A249" i="17"/>
  <c r="F248" i="17"/>
  <c r="L247" i="17"/>
  <c r="U246" i="17"/>
  <c r="AD245" i="17"/>
  <c r="E245" i="17"/>
  <c r="J244" i="17"/>
  <c r="Q243" i="17"/>
  <c r="Z242" i="17"/>
  <c r="C242" i="17"/>
  <c r="F241" i="17"/>
  <c r="O240" i="17"/>
  <c r="U239" i="17"/>
  <c r="AD238" i="17"/>
  <c r="D238" i="17"/>
  <c r="K237" i="17"/>
  <c r="T236" i="17"/>
  <c r="Z235" i="17"/>
  <c r="D235" i="17"/>
  <c r="I234" i="17"/>
  <c r="O233" i="17"/>
  <c r="X232" i="17"/>
  <c r="AE231" i="17"/>
  <c r="E231" i="17"/>
  <c r="N230" i="17"/>
  <c r="T229" i="17"/>
  <c r="AC228" i="17"/>
  <c r="A228" i="17"/>
  <c r="I227" i="17"/>
  <c r="R226" i="17"/>
  <c r="Y225" i="17"/>
  <c r="B225" i="17"/>
  <c r="E224" i="17"/>
  <c r="N223" i="17"/>
  <c r="W222" i="17"/>
  <c r="AC221" i="17"/>
  <c r="C221" i="17"/>
  <c r="J220" i="17"/>
  <c r="S219" i="17"/>
  <c r="AA218" i="17"/>
  <c r="AD217" i="17"/>
  <c r="H217" i="17"/>
  <c r="N216" i="17"/>
  <c r="W215" i="17"/>
  <c r="A215" i="17"/>
  <c r="D214" i="17"/>
  <c r="M213" i="17"/>
  <c r="S212" i="17"/>
  <c r="AB211" i="17"/>
  <c r="AE210" i="17"/>
  <c r="H210" i="17"/>
  <c r="Q209" i="17"/>
  <c r="Y208" i="17"/>
  <c r="A208" i="17"/>
  <c r="I207" i="17"/>
  <c r="S206" i="17"/>
  <c r="AC205" i="17"/>
  <c r="F205" i="17"/>
  <c r="M204" i="17"/>
  <c r="U203" i="17"/>
  <c r="AE202" i="17"/>
  <c r="J202" i="17"/>
  <c r="O201" i="17"/>
  <c r="Y200" i="17"/>
  <c r="B200" i="17"/>
  <c r="L199" i="17"/>
  <c r="Q198" i="17"/>
  <c r="AA197" i="17"/>
  <c r="F197" i="17"/>
  <c r="N196" i="17"/>
  <c r="X195" i="17"/>
  <c r="AC194" i="17"/>
  <c r="H194" i="17"/>
  <c r="R193" i="17"/>
  <c r="Z192" i="17"/>
  <c r="B192" i="17"/>
  <c r="J191" i="17"/>
  <c r="T190" i="17"/>
  <c r="AD189" i="17"/>
  <c r="D189" i="17"/>
  <c r="N188" i="17"/>
  <c r="V187" i="17"/>
  <c r="A187" i="17"/>
  <c r="K186" i="17"/>
  <c r="P185" i="17"/>
  <c r="Z184" i="17"/>
  <c r="C184" i="17"/>
  <c r="M183" i="17"/>
  <c r="R182" i="17"/>
  <c r="AB181" i="17"/>
  <c r="G181" i="17"/>
  <c r="O180" i="17"/>
  <c r="V179" i="17"/>
  <c r="AD178" i="17"/>
  <c r="I178" i="17"/>
  <c r="S177" i="17"/>
  <c r="AA176" i="17"/>
  <c r="C176" i="17"/>
  <c r="K175" i="17"/>
  <c r="U174" i="17"/>
  <c r="AE173" i="17"/>
  <c r="E173" i="17"/>
  <c r="O172" i="17"/>
  <c r="W171" i="17"/>
  <c r="B171" i="17"/>
  <c r="I170" i="17"/>
  <c r="Q169" i="17"/>
  <c r="AA168" i="17"/>
  <c r="D168" i="17"/>
  <c r="N167" i="17"/>
  <c r="U166" i="17"/>
  <c r="AC165" i="17"/>
  <c r="H165" i="17"/>
  <c r="P164" i="17"/>
  <c r="W163" i="17"/>
  <c r="B163" i="17"/>
  <c r="J162" i="17"/>
  <c r="T161" i="17"/>
  <c r="Y160" i="17"/>
  <c r="D160" i="17"/>
  <c r="N159" i="17"/>
  <c r="V158" i="17"/>
  <c r="A158" i="17"/>
  <c r="F157" i="17"/>
  <c r="P156" i="17"/>
  <c r="Z155" i="17"/>
  <c r="C155" i="17"/>
  <c r="J154" i="17"/>
  <c r="R153" i="17"/>
  <c r="AB152" i="17"/>
  <c r="G152" i="17"/>
  <c r="L151" i="17"/>
  <c r="V150" i="17"/>
  <c r="AD149" i="17"/>
  <c r="I149" i="17"/>
  <c r="S148" i="17"/>
  <c r="X147" i="17"/>
  <c r="C147" i="17"/>
  <c r="K146" i="17"/>
  <c r="U145" i="17"/>
  <c r="Z144" i="17"/>
  <c r="E144" i="17"/>
  <c r="O143" i="17"/>
  <c r="W142" i="17"/>
  <c r="AD141" i="17"/>
  <c r="G141" i="17"/>
  <c r="Q140" i="17"/>
  <c r="AA139" i="17"/>
  <c r="D139" i="17"/>
  <c r="K138" i="17"/>
  <c r="S137" i="17"/>
  <c r="AC136" i="17"/>
  <c r="H136" i="17"/>
  <c r="M135" i="17"/>
  <c r="W134" i="17"/>
  <c r="AE133" i="17"/>
  <c r="J133" i="17"/>
  <c r="O132" i="17"/>
  <c r="Y131" i="17"/>
  <c r="D131" i="17"/>
  <c r="L130" i="17"/>
  <c r="V129" i="17"/>
  <c r="AA128" i="17"/>
  <c r="F128" i="17"/>
  <c r="Q127" i="17"/>
  <c r="AA126" i="17"/>
  <c r="D126" i="17"/>
  <c r="O125" i="17"/>
  <c r="Y124" i="17"/>
  <c r="E124" i="17"/>
  <c r="M123" i="17"/>
  <c r="W122" i="17"/>
  <c r="C122" i="17"/>
  <c r="N121" i="17"/>
  <c r="Y120" i="17"/>
  <c r="A120" i="17"/>
  <c r="L119" i="17"/>
  <c r="W118" i="17"/>
  <c r="B118" i="17"/>
  <c r="K117" i="17"/>
  <c r="W116" i="17"/>
  <c r="D116" i="17"/>
  <c r="P115" i="17"/>
  <c r="Y114" i="17"/>
  <c r="F114" i="17"/>
  <c r="R113" i="17"/>
  <c r="AD112" i="17"/>
  <c r="K112" i="17"/>
  <c r="T111" i="17"/>
  <c r="A111" i="17"/>
  <c r="M110" i="17"/>
  <c r="Y109" i="17"/>
  <c r="C109" i="17"/>
  <c r="O108" i="17"/>
  <c r="AA107" i="17"/>
  <c r="H107" i="17"/>
  <c r="Q106" i="17"/>
  <c r="AC105" i="17"/>
  <c r="J105" i="17"/>
  <c r="V104" i="17"/>
  <c r="C104" i="17"/>
  <c r="L103" i="17"/>
  <c r="X102" i="17"/>
  <c r="E102" i="17"/>
  <c r="Q101" i="17"/>
  <c r="Z100" i="17"/>
  <c r="G100" i="17"/>
  <c r="S99" i="17"/>
  <c r="AE98" i="17"/>
  <c r="I98" i="17"/>
  <c r="U97" i="17"/>
  <c r="B97" i="17"/>
  <c r="N96" i="17"/>
  <c r="Z95" i="17"/>
  <c r="D95" i="17"/>
  <c r="P94" i="17"/>
  <c r="AB93" i="17"/>
  <c r="I93" i="17"/>
  <c r="R92" i="17"/>
  <c r="AD91" i="17"/>
  <c r="K91" i="17"/>
  <c r="W90" i="17"/>
  <c r="A90" i="17"/>
  <c r="M89" i="17"/>
  <c r="Y88" i="17"/>
  <c r="F88" i="17"/>
  <c r="R87" i="17"/>
  <c r="AA86" i="17"/>
  <c r="H86" i="17"/>
  <c r="T85" i="17"/>
  <c r="A85" i="17"/>
  <c r="J84" i="17"/>
  <c r="V83" i="17"/>
  <c r="C83" i="17"/>
  <c r="O82" i="17"/>
  <c r="X81" i="17"/>
  <c r="E81" i="17"/>
  <c r="Q80" i="17"/>
  <c r="AC79" i="17"/>
  <c r="J79" i="17"/>
  <c r="S78" i="17"/>
  <c r="AE77" i="17"/>
  <c r="L77" i="17"/>
  <c r="X76" i="17"/>
  <c r="B76" i="17"/>
  <c r="N75" i="17"/>
  <c r="Z74" i="17"/>
  <c r="G74" i="17"/>
  <c r="P73" i="17"/>
  <c r="AB72" i="17"/>
  <c r="I72" i="17"/>
  <c r="U71" i="17"/>
  <c r="B71" i="17"/>
  <c r="K70" i="17"/>
  <c r="W69" i="17"/>
  <c r="D69" i="17"/>
  <c r="P68" i="17"/>
  <c r="Y67" i="17"/>
  <c r="F67" i="17"/>
  <c r="R66" i="17"/>
  <c r="AD65" i="17"/>
  <c r="H65" i="17"/>
  <c r="T64" i="17"/>
  <c r="A64" i="17"/>
  <c r="M63" i="17"/>
  <c r="Y62" i="17"/>
  <c r="C62" i="17"/>
  <c r="O61" i="17"/>
  <c r="AA60" i="17"/>
  <c r="H60" i="17"/>
  <c r="Q59" i="17"/>
  <c r="AC58" i="17"/>
  <c r="J58" i="17"/>
  <c r="V57" i="17"/>
  <c r="AE56" i="17"/>
  <c r="L56" i="17"/>
  <c r="X55" i="17"/>
  <c r="E55" i="17"/>
  <c r="Q54" i="17"/>
  <c r="Z53" i="17"/>
  <c r="G53" i="17"/>
  <c r="S52" i="17"/>
  <c r="AE51" i="17"/>
  <c r="I51" i="17"/>
  <c r="U50" i="17"/>
  <c r="B50" i="17"/>
  <c r="N49" i="17"/>
  <c r="W48" i="17"/>
  <c r="D48" i="17"/>
  <c r="P47" i="17"/>
  <c r="AB46" i="17"/>
  <c r="I46" i="17"/>
  <c r="R45" i="17"/>
  <c r="AD44" i="17"/>
  <c r="K44" i="17"/>
  <c r="W43" i="17"/>
  <c r="A43" i="17"/>
  <c r="M42" i="17"/>
  <c r="Y41" i="17"/>
  <c r="F41" i="17"/>
  <c r="O40" i="17"/>
  <c r="AA39" i="17"/>
  <c r="H39" i="17"/>
  <c r="T38" i="17"/>
  <c r="A38" i="17"/>
  <c r="J37" i="17"/>
  <c r="V36" i="17"/>
  <c r="C36" i="17"/>
  <c r="O35" i="17"/>
  <c r="X34" i="17"/>
  <c r="E34" i="17"/>
  <c r="Q33" i="17"/>
  <c r="AC32" i="17"/>
  <c r="G32" i="17"/>
  <c r="S31" i="17"/>
  <c r="AE30" i="17"/>
  <c r="L30" i="17"/>
  <c r="X29" i="17"/>
  <c r="B29" i="17"/>
  <c r="N28" i="17"/>
  <c r="Z27" i="17"/>
  <c r="G27" i="17"/>
  <c r="P26" i="17"/>
  <c r="AB25" i="17"/>
  <c r="I25" i="17"/>
  <c r="U24" i="17"/>
  <c r="AD23" i="17"/>
  <c r="K23" i="17"/>
  <c r="W22" i="17"/>
  <c r="D22" i="17"/>
  <c r="P21" i="17"/>
  <c r="Y20" i="17"/>
  <c r="F20" i="17"/>
  <c r="R19" i="17"/>
  <c r="AD18" i="17"/>
  <c r="H18" i="17"/>
  <c r="T17" i="17"/>
  <c r="A17" i="17"/>
  <c r="M16" i="17"/>
  <c r="V15" i="17"/>
  <c r="C15" i="17"/>
  <c r="O14" i="17"/>
  <c r="AA13" i="17"/>
  <c r="H13" i="17"/>
  <c r="Q12" i="17"/>
  <c r="AC11" i="17"/>
  <c r="J11" i="17"/>
  <c r="V10" i="17"/>
  <c r="AE9" i="17"/>
  <c r="L9" i="17"/>
  <c r="X8" i="17"/>
  <c r="E8" i="17"/>
  <c r="N7" i="17"/>
  <c r="Z6" i="17"/>
  <c r="G6" i="17"/>
  <c r="S5" i="17"/>
  <c r="AE4" i="17"/>
  <c r="I4" i="17"/>
  <c r="U3" i="17"/>
  <c r="B3" i="17"/>
  <c r="N2" i="17"/>
  <c r="J785" i="17"/>
  <c r="P759" i="17"/>
  <c r="R741" i="17"/>
  <c r="H730" i="17"/>
  <c r="W717" i="17"/>
  <c r="AD706" i="17"/>
  <c r="AA696" i="17"/>
  <c r="AB686" i="17"/>
  <c r="G681" i="17"/>
  <c r="B675" i="17"/>
  <c r="L670" i="17"/>
  <c r="E664" i="17"/>
  <c r="L660" i="17"/>
  <c r="AC654" i="17"/>
  <c r="X650" i="17"/>
  <c r="Y645" i="17"/>
  <c r="F641" i="17"/>
  <c r="S637" i="17"/>
  <c r="D633" i="17"/>
  <c r="Y629" i="17"/>
  <c r="AB625" i="17"/>
  <c r="E623" i="17"/>
  <c r="T619" i="17"/>
  <c r="AC616" i="17"/>
  <c r="V613" i="17"/>
  <c r="L611" i="17"/>
  <c r="N608" i="17"/>
  <c r="C606" i="17"/>
  <c r="T603" i="17"/>
  <c r="AA600" i="17"/>
  <c r="N598" i="17"/>
  <c r="L595" i="17"/>
  <c r="J593" i="17"/>
  <c r="P590" i="17"/>
  <c r="B588" i="17"/>
  <c r="F585" i="17"/>
  <c r="D583" i="17"/>
  <c r="C580" i="17"/>
  <c r="Q577" i="17"/>
  <c r="H575" i="17"/>
  <c r="M572" i="17"/>
  <c r="I570" i="17"/>
  <c r="I567" i="17"/>
  <c r="Y564" i="17"/>
  <c r="B562" i="17"/>
  <c r="AD559" i="17"/>
  <c r="AC556" i="17"/>
  <c r="K554" i="17"/>
  <c r="O551" i="17"/>
  <c r="H549" i="17"/>
  <c r="AE546" i="17"/>
  <c r="B544" i="17"/>
  <c r="U541" i="17"/>
  <c r="Z538" i="17"/>
  <c r="H536" i="17"/>
  <c r="J533" i="17"/>
  <c r="P531" i="17"/>
  <c r="O528" i="17"/>
  <c r="AC525" i="17"/>
  <c r="Z523" i="17"/>
  <c r="H521" i="17"/>
  <c r="Z518" i="17"/>
  <c r="Z516" i="17"/>
  <c r="C514" i="17"/>
  <c r="AD511" i="17"/>
  <c r="AC509" i="17"/>
  <c r="O507" i="17"/>
  <c r="P505" i="17"/>
  <c r="Y503" i="17"/>
  <c r="Z501" i="17"/>
  <c r="K500" i="17"/>
  <c r="P498" i="17"/>
  <c r="B497" i="17"/>
  <c r="E495" i="17"/>
  <c r="Y493" i="17"/>
  <c r="AC491" i="17"/>
  <c r="O490" i="17"/>
  <c r="R488" i="17"/>
  <c r="AD486" i="17"/>
  <c r="G485" i="17"/>
  <c r="AC483" i="17"/>
  <c r="H482" i="17"/>
  <c r="Q480" i="17"/>
  <c r="B479" i="17"/>
  <c r="Z477" i="17"/>
  <c r="F476" i="17"/>
  <c r="J474" i="17"/>
  <c r="AD472" i="17"/>
  <c r="N471" i="17"/>
  <c r="C470" i="17"/>
  <c r="J468" i="17"/>
  <c r="A467" i="17"/>
  <c r="S465" i="17"/>
  <c r="F464" i="17"/>
  <c r="R462" i="17"/>
  <c r="F461" i="17"/>
  <c r="Z459" i="17"/>
  <c r="N458" i="17"/>
  <c r="AD456" i="17"/>
  <c r="O455" i="17"/>
  <c r="AC453" i="17"/>
  <c r="T452" i="17"/>
  <c r="E451" i="17"/>
  <c r="W449" i="17"/>
  <c r="G448" i="17"/>
  <c r="AC446" i="17"/>
  <c r="L445" i="17"/>
  <c r="AC443" i="17"/>
  <c r="M442" i="17"/>
  <c r="A441" i="17"/>
  <c r="V439" i="17"/>
  <c r="J438" i="17"/>
  <c r="V436" i="17"/>
  <c r="J435" i="17"/>
  <c r="AE433" i="17"/>
  <c r="S432" i="17"/>
  <c r="A431" i="17"/>
  <c r="R429" i="17"/>
  <c r="N428" i="17"/>
  <c r="H427" i="17"/>
  <c r="V425" i="17"/>
  <c r="H424" i="17"/>
  <c r="E423" i="17"/>
  <c r="U421" i="17"/>
  <c r="L420" i="17"/>
  <c r="Z418" i="17"/>
  <c r="V417" i="17"/>
  <c r="M416" i="17"/>
  <c r="E415" i="17"/>
  <c r="V413" i="17"/>
  <c r="S412" i="17"/>
  <c r="L411" i="17"/>
  <c r="I410" i="17"/>
  <c r="Z408" i="17"/>
  <c r="U407" i="17"/>
  <c r="J406" i="17"/>
  <c r="I405" i="17"/>
  <c r="A404" i="17"/>
  <c r="T402" i="17"/>
  <c r="I401" i="17"/>
  <c r="G400" i="17"/>
  <c r="AD398" i="17"/>
  <c r="S397" i="17"/>
  <c r="J396" i="17"/>
  <c r="I395" i="17"/>
  <c r="AD393" i="17"/>
  <c r="U392" i="17"/>
  <c r="O391" i="17"/>
  <c r="N390" i="17"/>
  <c r="H389" i="17"/>
  <c r="F388" i="17"/>
  <c r="Y386" i="17"/>
  <c r="U385" i="17"/>
  <c r="R384" i="17"/>
  <c r="Q383" i="17"/>
  <c r="E382" i="17"/>
  <c r="D381" i="17"/>
  <c r="AE379" i="17"/>
  <c r="AE378" i="17"/>
  <c r="X377" i="17"/>
  <c r="Y376" i="17"/>
  <c r="W375" i="17"/>
  <c r="S374" i="17"/>
  <c r="T373" i="17"/>
  <c r="J372" i="17"/>
  <c r="J371" i="17"/>
  <c r="I370" i="17"/>
  <c r="E369" i="17"/>
  <c r="B368" i="17"/>
  <c r="AC366" i="17"/>
  <c r="AD365" i="17"/>
  <c r="AB364" i="17"/>
  <c r="R363" i="17"/>
  <c r="R362" i="17"/>
  <c r="O361" i="17"/>
  <c r="O360" i="17"/>
  <c r="O359" i="17"/>
  <c r="J358" i="17"/>
  <c r="K357" i="17"/>
  <c r="J356" i="17"/>
  <c r="K355" i="17"/>
  <c r="F354" i="17"/>
  <c r="H353" i="17"/>
  <c r="I352" i="17"/>
  <c r="H351" i="17"/>
  <c r="E350" i="17"/>
  <c r="D349" i="17"/>
  <c r="E348" i="17"/>
  <c r="I347" i="17"/>
  <c r="I346" i="17"/>
  <c r="F345" i="17"/>
  <c r="A344" i="17"/>
  <c r="F343" i="17"/>
  <c r="G342" i="17"/>
  <c r="B341" i="17"/>
  <c r="C340" i="17"/>
  <c r="B339" i="17"/>
  <c r="D338" i="17"/>
  <c r="AD336" i="17"/>
  <c r="AD335" i="17"/>
  <c r="A335" i="17"/>
  <c r="A334" i="17"/>
  <c r="D333" i="17"/>
  <c r="A332" i="17"/>
  <c r="D331" i="17"/>
  <c r="J330" i="17"/>
  <c r="J329" i="17"/>
  <c r="I328" i="17"/>
  <c r="J327" i="17"/>
  <c r="L326" i="17"/>
  <c r="R325" i="17"/>
  <c r="L324" i="17"/>
  <c r="R323" i="17"/>
  <c r="R322" i="17"/>
  <c r="U321" i="17"/>
  <c r="X320" i="17"/>
  <c r="U319" i="17"/>
  <c r="W318" i="17"/>
  <c r="AA317" i="17"/>
  <c r="AD316" i="17"/>
  <c r="AA315" i="17"/>
  <c r="AC314" i="17"/>
  <c r="A314" i="17"/>
  <c r="A313" i="17"/>
  <c r="A312" i="17"/>
  <c r="D311" i="17"/>
  <c r="G310" i="17"/>
  <c r="J309" i="17"/>
  <c r="J308" i="17"/>
  <c r="I307" i="17"/>
  <c r="J306" i="17"/>
  <c r="O305" i="17"/>
  <c r="R304" i="17"/>
  <c r="O303" i="17"/>
  <c r="R302" i="17"/>
  <c r="R301" i="17"/>
  <c r="U300" i="17"/>
  <c r="T299" i="17"/>
  <c r="X298" i="17"/>
  <c r="Z297" i="17"/>
  <c r="AA296" i="17"/>
  <c r="AD295" i="17"/>
  <c r="AC294" i="17"/>
  <c r="AC293" i="17"/>
  <c r="D293" i="17"/>
  <c r="D292" i="17"/>
  <c r="D291" i="17"/>
  <c r="F290" i="17"/>
  <c r="G289" i="17"/>
  <c r="M288" i="17"/>
  <c r="G287" i="17"/>
  <c r="L286" i="17"/>
  <c r="O285" i="17"/>
  <c r="O284" i="17"/>
  <c r="R283" i="17"/>
  <c r="O282" i="17"/>
  <c r="R281" i="17"/>
  <c r="X280" i="17"/>
  <c r="X279" i="17"/>
  <c r="Y278" i="17"/>
  <c r="AB277" i="17"/>
  <c r="C277" i="17"/>
  <c r="H276" i="17"/>
  <c r="G275" i="17"/>
  <c r="P274" i="17"/>
  <c r="V273" i="17"/>
  <c r="AE272" i="17"/>
  <c r="I272" i="17"/>
  <c r="L271" i="17"/>
  <c r="T270" i="17"/>
  <c r="AA269" i="17"/>
  <c r="E269" i="17"/>
  <c r="H268" i="17"/>
  <c r="P267" i="17"/>
  <c r="Y266" i="17"/>
  <c r="AE265" i="17"/>
  <c r="F265" i="17"/>
  <c r="L264" i="17"/>
  <c r="U263" i="17"/>
  <c r="AD262" i="17"/>
  <c r="E262" i="17"/>
  <c r="J261" i="17"/>
  <c r="Q260" i="17"/>
  <c r="Y259" i="17"/>
  <c r="C259" i="17"/>
  <c r="F258" i="17"/>
  <c r="O257" i="17"/>
  <c r="U256" i="17"/>
  <c r="AD255" i="17"/>
  <c r="B255" i="17"/>
  <c r="K254" i="17"/>
  <c r="S253" i="17"/>
  <c r="Z252" i="17"/>
  <c r="D252" i="17"/>
  <c r="G251" i="17"/>
  <c r="O250" i="17"/>
  <c r="X249" i="17"/>
  <c r="AD248" i="17"/>
  <c r="E248" i="17"/>
  <c r="K247" i="17"/>
  <c r="T246" i="17"/>
  <c r="AC245" i="17"/>
  <c r="A245" i="17"/>
  <c r="I244" i="17"/>
  <c r="P243" i="17"/>
  <c r="X242" i="17"/>
  <c r="B242" i="17"/>
  <c r="E241" i="17"/>
  <c r="N240" i="17"/>
  <c r="T239" i="17"/>
  <c r="AC238" i="17"/>
  <c r="A238" i="17"/>
  <c r="J237" i="17"/>
  <c r="R236" i="17"/>
  <c r="Y235" i="17"/>
  <c r="AD234" i="17"/>
  <c r="F234" i="17"/>
  <c r="N233" i="17"/>
  <c r="W232" i="17"/>
  <c r="AC231" i="17"/>
  <c r="D231" i="17"/>
  <c r="J230" i="17"/>
  <c r="S229" i="17"/>
  <c r="AB228" i="17"/>
  <c r="AE227" i="17"/>
  <c r="H227" i="17"/>
  <c r="O226" i="17"/>
  <c r="W225" i="17"/>
  <c r="AC224" i="17"/>
  <c r="D224" i="17"/>
  <c r="M223" i="17"/>
  <c r="S222" i="17"/>
  <c r="AB221" i="17"/>
  <c r="B221" i="17"/>
  <c r="I220" i="17"/>
  <c r="Q219" i="17"/>
  <c r="X218" i="17"/>
  <c r="AC217" i="17"/>
  <c r="G217" i="17"/>
  <c r="M216" i="17"/>
  <c r="V215" i="17"/>
  <c r="Y214" i="17"/>
  <c r="C214" i="17"/>
  <c r="K213" i="17"/>
  <c r="R212" i="17"/>
  <c r="AA211" i="17"/>
  <c r="AD210" i="17"/>
  <c r="G210" i="17"/>
  <c r="P209" i="17"/>
  <c r="X208" i="17"/>
  <c r="AE207" i="17"/>
  <c r="H207" i="17"/>
  <c r="R206" i="17"/>
  <c r="AB205" i="17"/>
  <c r="B205" i="17"/>
  <c r="L204" i="17"/>
  <c r="T203" i="17"/>
  <c r="AD202" i="17"/>
  <c r="I202" i="17"/>
  <c r="N201" i="17"/>
  <c r="X200" i="17"/>
  <c r="A200" i="17"/>
  <c r="K199" i="17"/>
  <c r="P198" i="17"/>
  <c r="Z197" i="17"/>
  <c r="E197" i="17"/>
  <c r="M196" i="17"/>
  <c r="T195" i="17"/>
  <c r="AB194" i="17"/>
  <c r="G194" i="17"/>
  <c r="Q193" i="17"/>
  <c r="Y192" i="17"/>
  <c r="A192" i="17"/>
  <c r="I191" i="17"/>
  <c r="S190" i="17"/>
  <c r="AC189" i="17"/>
  <c r="C189" i="17"/>
  <c r="M188" i="17"/>
  <c r="U187" i="17"/>
  <c r="AE186" i="17"/>
  <c r="E186" i="17"/>
  <c r="O185" i="17"/>
  <c r="Y184" i="17"/>
  <c r="B184" i="17"/>
  <c r="L183" i="17"/>
  <c r="Q182" i="17"/>
  <c r="AA181" i="17"/>
  <c r="F181" i="17"/>
  <c r="N180" i="17"/>
  <c r="U179" i="17"/>
  <c r="AC178" i="17"/>
  <c r="H178" i="17"/>
  <c r="R177" i="17"/>
  <c r="W176" i="17"/>
  <c r="B176" i="17"/>
  <c r="J175" i="17"/>
  <c r="T174" i="17"/>
  <c r="AD173" i="17"/>
  <c r="D173" i="17"/>
  <c r="N172" i="17"/>
  <c r="V171" i="17"/>
  <c r="A171" i="17"/>
  <c r="F170" i="17"/>
  <c r="P169" i="17"/>
  <c r="Z168" i="17"/>
  <c r="C168" i="17"/>
  <c r="J167" i="17"/>
  <c r="R166" i="17"/>
  <c r="AB165" i="17"/>
  <c r="G165" i="17"/>
  <c r="O164" i="17"/>
  <c r="V163" i="17"/>
  <c r="AD162" i="17"/>
  <c r="I162" i="17"/>
  <c r="S161" i="17"/>
  <c r="X160" i="17"/>
  <c r="C160" i="17"/>
  <c r="K159" i="17"/>
  <c r="U158" i="17"/>
  <c r="AB157" i="17"/>
  <c r="E157" i="17"/>
  <c r="O156" i="17"/>
  <c r="W155" i="17"/>
  <c r="B155" i="17"/>
  <c r="I154" i="17"/>
  <c r="Q153" i="17"/>
  <c r="AA152" i="17"/>
  <c r="D152" i="17"/>
  <c r="K151" i="17"/>
  <c r="U150" i="17"/>
  <c r="AC149" i="17"/>
  <c r="H149" i="17"/>
  <c r="M148" i="17"/>
  <c r="W147" i="17"/>
  <c r="B147" i="17"/>
  <c r="J146" i="17"/>
  <c r="T145" i="17"/>
  <c r="Y144" i="17"/>
  <c r="D144" i="17"/>
  <c r="N143" i="17"/>
  <c r="V142" i="17"/>
  <c r="AC141" i="17"/>
  <c r="F141" i="17"/>
  <c r="P140" i="17"/>
  <c r="Z139" i="17"/>
  <c r="AE138" i="17"/>
  <c r="J138" i="17"/>
  <c r="R137" i="17"/>
  <c r="AB136" i="17"/>
  <c r="G136" i="17"/>
  <c r="L135" i="17"/>
  <c r="V134" i="17"/>
  <c r="AD133" i="17"/>
  <c r="I133" i="17"/>
  <c r="N132" i="17"/>
  <c r="X131" i="17"/>
  <c r="C131" i="17"/>
  <c r="K130" i="17"/>
  <c r="R129" i="17"/>
  <c r="Z128" i="17"/>
  <c r="E128" i="17"/>
  <c r="P127" i="17"/>
  <c r="Z126" i="17"/>
  <c r="C126" i="17"/>
  <c r="N125" i="17"/>
  <c r="X124" i="17"/>
  <c r="D124" i="17"/>
  <c r="L123" i="17"/>
  <c r="V122" i="17"/>
  <c r="B122" i="17"/>
  <c r="M121" i="17"/>
  <c r="T120" i="17"/>
  <c r="AE119" i="17"/>
  <c r="K119" i="17"/>
  <c r="V118" i="17"/>
  <c r="A118" i="17"/>
  <c r="J117" i="17"/>
  <c r="V116" i="17"/>
  <c r="C116" i="17"/>
  <c r="O115" i="17"/>
  <c r="X114" i="17"/>
  <c r="E114" i="17"/>
  <c r="Q113" i="17"/>
  <c r="AC112" i="17"/>
  <c r="G112" i="17"/>
  <c r="S111" i="17"/>
  <c r="AE110" i="17"/>
  <c r="L110" i="17"/>
  <c r="X109" i="17"/>
  <c r="B109" i="17"/>
  <c r="N108" i="17"/>
  <c r="Z107" i="17"/>
  <c r="G107" i="17"/>
  <c r="P106" i="17"/>
  <c r="AB105" i="17"/>
  <c r="I105" i="17"/>
  <c r="U104" i="17"/>
  <c r="AD103" i="17"/>
  <c r="K103" i="17"/>
  <c r="W102" i="17"/>
  <c r="D102" i="17"/>
  <c r="P101" i="17"/>
  <c r="Y100" i="17"/>
  <c r="F100" i="17"/>
  <c r="R99" i="17"/>
  <c r="AD98" i="17"/>
  <c r="H98" i="17"/>
  <c r="T97" i="17"/>
  <c r="A97" i="17"/>
  <c r="M96" i="17"/>
  <c r="V95" i="17"/>
  <c r="C95" i="17"/>
  <c r="O94" i="17"/>
  <c r="AA93" i="17"/>
  <c r="H93" i="17"/>
  <c r="Q92" i="17"/>
  <c r="AC91" i="17"/>
  <c r="J91" i="17"/>
  <c r="V90" i="17"/>
  <c r="AE89" i="17"/>
  <c r="L89" i="17"/>
  <c r="X88" i="17"/>
  <c r="E88" i="17"/>
  <c r="N87" i="17"/>
  <c r="Z86" i="17"/>
  <c r="G86" i="17"/>
  <c r="S85" i="17"/>
  <c r="AE84" i="17"/>
  <c r="I84" i="17"/>
  <c r="U83" i="17"/>
  <c r="B83" i="17"/>
  <c r="N82" i="17"/>
  <c r="W81" i="17"/>
  <c r="D81" i="17"/>
  <c r="P80" i="17"/>
  <c r="AB79" i="17"/>
  <c r="F79" i="17"/>
  <c r="R78" i="17"/>
  <c r="AD77" i="17"/>
  <c r="K77" i="17"/>
  <c r="W76" i="17"/>
  <c r="A76" i="17"/>
  <c r="M75" i="17"/>
  <c r="Y74" i="17"/>
  <c r="F74" i="17"/>
  <c r="O73" i="17"/>
  <c r="AA72" i="17"/>
  <c r="H72" i="17"/>
  <c r="T71" i="17"/>
  <c r="AC70" i="17"/>
  <c r="J70" i="17"/>
  <c r="V69" i="17"/>
  <c r="C69" i="17"/>
  <c r="O68" i="17"/>
  <c r="X67" i="17"/>
  <c r="E67" i="17"/>
  <c r="Q66" i="17"/>
  <c r="AC65" i="17"/>
  <c r="G65" i="17"/>
  <c r="S64" i="17"/>
  <c r="AE63" i="17"/>
  <c r="L63" i="17"/>
  <c r="U62" i="17"/>
  <c r="B62" i="17"/>
  <c r="N61" i="17"/>
  <c r="Z60" i="17"/>
  <c r="G60" i="17"/>
  <c r="P59" i="17"/>
  <c r="AB58" i="17"/>
  <c r="I58" i="17"/>
  <c r="U57" i="17"/>
  <c r="AD56" i="17"/>
  <c r="K56" i="17"/>
  <c r="W55" i="17"/>
  <c r="D55" i="17"/>
  <c r="M54" i="17"/>
  <c r="Y53" i="17"/>
  <c r="F53" i="17"/>
  <c r="R52" i="17"/>
  <c r="AD51" i="17"/>
  <c r="H51" i="17"/>
  <c r="T50" i="17"/>
  <c r="A50" i="17"/>
  <c r="M49" i="17"/>
  <c r="V48" i="17"/>
  <c r="C48" i="17"/>
  <c r="O47" i="17"/>
  <c r="AA46" i="17"/>
  <c r="E46" i="17"/>
  <c r="Q45" i="17"/>
  <c r="AC44" i="17"/>
  <c r="J44" i="17"/>
  <c r="V43" i="17"/>
  <c r="AE42" i="17"/>
  <c r="L42" i="17"/>
  <c r="X41" i="17"/>
  <c r="E41" i="17"/>
  <c r="N40" i="17"/>
  <c r="Z39" i="17"/>
  <c r="G39" i="17"/>
  <c r="S38" i="17"/>
  <c r="AB37" i="17"/>
  <c r="I37" i="17"/>
  <c r="U36" i="17"/>
  <c r="B36" i="17"/>
  <c r="N35" i="17"/>
  <c r="W34" i="17"/>
  <c r="D34" i="17"/>
  <c r="P33" i="17"/>
  <c r="AB32" i="17"/>
  <c r="F32" i="17"/>
  <c r="R31" i="17"/>
  <c r="AD30" i="17"/>
  <c r="K30" i="17"/>
  <c r="T29" i="17"/>
  <c r="A29" i="17"/>
  <c r="M28" i="17"/>
  <c r="Y27" i="17"/>
  <c r="F27" i="17"/>
  <c r="O26" i="17"/>
  <c r="AA25" i="17"/>
  <c r="H25" i="17"/>
  <c r="T24" i="17"/>
  <c r="AC23" i="17"/>
  <c r="J23" i="17"/>
  <c r="V22" i="17"/>
  <c r="C22" i="17"/>
  <c r="L21" i="17"/>
  <c r="X20" i="17"/>
  <c r="E20" i="17"/>
  <c r="Q19" i="17"/>
  <c r="AC18" i="17"/>
  <c r="G18" i="17"/>
  <c r="S17" i="17"/>
  <c r="AE16" i="17"/>
  <c r="L16" i="17"/>
  <c r="U15" i="17"/>
  <c r="B15" i="17"/>
  <c r="N14" i="17"/>
  <c r="Z13" i="17"/>
  <c r="D13" i="17"/>
  <c r="P12" i="17"/>
  <c r="AB11" i="17"/>
  <c r="I11" i="17"/>
  <c r="U10" i="17"/>
  <c r="AD9" i="17"/>
  <c r="K9" i="17"/>
  <c r="W8" i="17"/>
  <c r="D8" i="17"/>
  <c r="M7" i="17"/>
  <c r="Y6" i="17"/>
  <c r="F6" i="17"/>
  <c r="R5" i="17"/>
  <c r="AA4" i="17"/>
  <c r="H4" i="17"/>
  <c r="T3" i="17"/>
  <c r="A3" i="17"/>
  <c r="M2" i="17"/>
  <c r="M784" i="17"/>
  <c r="N759" i="17"/>
  <c r="J741" i="17"/>
  <c r="AB728" i="17"/>
  <c r="N716" i="17"/>
  <c r="AC706" i="17"/>
  <c r="W694" i="17"/>
  <c r="V686" i="17"/>
  <c r="F681" i="17"/>
  <c r="W674" i="17"/>
  <c r="Y669" i="17"/>
  <c r="D664" i="17"/>
  <c r="Y659" i="17"/>
  <c r="AB654" i="17"/>
  <c r="T650" i="17"/>
  <c r="L645" i="17"/>
  <c r="A641" i="17"/>
  <c r="B636" i="17"/>
  <c r="B633" i="17"/>
  <c r="U629" i="17"/>
  <c r="AA625" i="17"/>
  <c r="U622" i="17"/>
  <c r="I619" i="17"/>
  <c r="AA616" i="17"/>
  <c r="T613" i="17"/>
  <c r="H611" i="17"/>
  <c r="M608" i="17"/>
  <c r="AC605" i="17"/>
  <c r="J603" i="17"/>
  <c r="Y600" i="17"/>
  <c r="K598" i="17"/>
  <c r="K595" i="17"/>
  <c r="G593" i="17"/>
  <c r="O590" i="17"/>
  <c r="A588" i="17"/>
  <c r="AB584" i="17"/>
  <c r="AE582" i="17"/>
  <c r="B580" i="17"/>
  <c r="P577" i="17"/>
  <c r="V574" i="17"/>
  <c r="I572" i="17"/>
  <c r="H570" i="17"/>
  <c r="F567" i="17"/>
  <c r="X564" i="17"/>
  <c r="A562" i="17"/>
  <c r="O559" i="17"/>
  <c r="O556" i="17"/>
  <c r="J554" i="17"/>
  <c r="M551" i="17"/>
  <c r="G549" i="17"/>
  <c r="D546" i="17"/>
  <c r="AC543" i="17"/>
  <c r="S541" i="17"/>
  <c r="Y538" i="17"/>
  <c r="G536" i="17"/>
  <c r="I533" i="17"/>
  <c r="E531" i="17"/>
  <c r="I528" i="17"/>
  <c r="AB525" i="17"/>
  <c r="H523" i="17"/>
  <c r="AD520" i="17"/>
  <c r="Y518" i="17"/>
  <c r="G516" i="17"/>
  <c r="B514" i="17"/>
  <c r="W511" i="17"/>
  <c r="J509" i="17"/>
  <c r="M507" i="17"/>
  <c r="N505" i="17"/>
  <c r="N503" i="17"/>
  <c r="W501" i="17"/>
  <c r="F500" i="17"/>
  <c r="O498" i="17"/>
  <c r="U496" i="17"/>
  <c r="D495" i="17"/>
  <c r="X493" i="17"/>
  <c r="AA491" i="17"/>
  <c r="M490" i="17"/>
  <c r="O488" i="17"/>
  <c r="W486" i="17"/>
  <c r="F485" i="17"/>
  <c r="AB483" i="17"/>
  <c r="E482" i="17"/>
  <c r="P480" i="17"/>
  <c r="A479" i="17"/>
  <c r="L477" i="17"/>
  <c r="AA475" i="17"/>
  <c r="I474" i="17"/>
  <c r="AC472" i="17"/>
  <c r="I471" i="17"/>
  <c r="AC469" i="17"/>
  <c r="I468" i="17"/>
  <c r="AE466" i="17"/>
  <c r="P465" i="17"/>
  <c r="D464" i="17"/>
  <c r="Q462" i="17"/>
  <c r="E461" i="17"/>
  <c r="Y459" i="17"/>
  <c r="M458" i="17"/>
  <c r="W456" i="17"/>
  <c r="J455" i="17"/>
  <c r="AB453" i="17"/>
  <c r="S452" i="17"/>
  <c r="D451" i="17"/>
  <c r="V449" i="17"/>
  <c r="F448" i="17"/>
  <c r="AB446" i="17"/>
  <c r="K445" i="17"/>
  <c r="S443" i="17"/>
  <c r="L442" i="17"/>
  <c r="AE440" i="17"/>
  <c r="P439" i="17"/>
  <c r="Z437" i="17"/>
  <c r="U436" i="17"/>
  <c r="D435" i="17"/>
  <c r="Y433" i="17"/>
  <c r="P432" i="17"/>
  <c r="AD430" i="17"/>
  <c r="Q429" i="17"/>
  <c r="M428" i="17"/>
  <c r="AE426" i="17"/>
  <c r="R425" i="17"/>
  <c r="F424" i="17"/>
  <c r="AE422" i="17"/>
  <c r="T421" i="17"/>
  <c r="G420" i="17"/>
  <c r="Y418" i="17"/>
  <c r="U417" i="17"/>
  <c r="I416" i="17"/>
  <c r="D415" i="17"/>
  <c r="U413" i="17"/>
  <c r="R412" i="17"/>
  <c r="J411" i="17"/>
  <c r="C410" i="17"/>
  <c r="W408" i="17"/>
  <c r="T407" i="17"/>
  <c r="I406" i="17"/>
  <c r="F405" i="17"/>
  <c r="W403" i="17"/>
  <c r="S402" i="17"/>
  <c r="H401" i="17"/>
  <c r="F400" i="17"/>
  <c r="AC398" i="17"/>
  <c r="N397" i="17"/>
  <c r="I396" i="17"/>
  <c r="H395" i="17"/>
  <c r="AC393" i="17"/>
  <c r="Q392" i="17"/>
  <c r="N391" i="17"/>
  <c r="J390" i="17"/>
  <c r="G389" i="17"/>
  <c r="Z387" i="17"/>
  <c r="W386" i="17"/>
  <c r="T385" i="17"/>
  <c r="Q384" i="17"/>
  <c r="H383" i="17"/>
  <c r="B382" i="17"/>
  <c r="AE380" i="17"/>
  <c r="AD379" i="17"/>
  <c r="AD378" i="17"/>
  <c r="W377" i="17"/>
  <c r="V376" i="17"/>
  <c r="T375" i="17"/>
  <c r="O374" i="17"/>
  <c r="L373" i="17"/>
  <c r="I372" i="17"/>
  <c r="G371" i="17"/>
  <c r="E370" i="17"/>
  <c r="D369" i="17"/>
  <c r="A368" i="17"/>
  <c r="AB366" i="17"/>
  <c r="Z365" i="17"/>
  <c r="Y364" i="17"/>
  <c r="Q363" i="17"/>
  <c r="Q362" i="17"/>
  <c r="N361" i="17"/>
  <c r="L360" i="17"/>
  <c r="H359" i="17"/>
  <c r="I358" i="17"/>
  <c r="J357" i="17"/>
  <c r="H356" i="17"/>
  <c r="J355" i="17"/>
  <c r="E354" i="17"/>
  <c r="G353" i="17"/>
  <c r="G352" i="17"/>
  <c r="G351" i="17"/>
  <c r="D350" i="17"/>
  <c r="C349" i="17"/>
  <c r="D348" i="17"/>
  <c r="H347" i="17"/>
  <c r="AE345" i="17"/>
  <c r="B345" i="17"/>
  <c r="AE343" i="17"/>
  <c r="E343" i="17"/>
  <c r="F342" i="17"/>
  <c r="AC340" i="17"/>
  <c r="B340" i="17"/>
  <c r="A339" i="17"/>
  <c r="B338" i="17"/>
  <c r="AC336" i="17"/>
  <c r="AC335" i="17"/>
  <c r="AE334" i="17"/>
  <c r="AE333" i="17"/>
  <c r="AE332" i="17"/>
  <c r="AE331" i="17"/>
  <c r="C331" i="17"/>
  <c r="H330" i="17"/>
  <c r="I329" i="17"/>
  <c r="H328" i="17"/>
  <c r="I327" i="17"/>
  <c r="K326" i="17"/>
  <c r="N325" i="17"/>
  <c r="K324" i="17"/>
  <c r="Q323" i="17"/>
  <c r="Q322" i="17"/>
  <c r="T321" i="17"/>
  <c r="Q320" i="17"/>
  <c r="T319" i="17"/>
  <c r="V318" i="17"/>
  <c r="Z317" i="17"/>
  <c r="AB316" i="17"/>
  <c r="Z315" i="17"/>
  <c r="AB314" i="17"/>
  <c r="AE313" i="17"/>
  <c r="AE312" i="17"/>
  <c r="AE311" i="17"/>
  <c r="AE310" i="17"/>
  <c r="F310" i="17"/>
  <c r="H309" i="17"/>
  <c r="F308" i="17"/>
  <c r="H307" i="17"/>
  <c r="I306" i="17"/>
  <c r="N305" i="17"/>
  <c r="Q304" i="17"/>
  <c r="N303" i="17"/>
  <c r="Q302" i="17"/>
  <c r="Q301" i="17"/>
  <c r="T300" i="17"/>
  <c r="Q299" i="17"/>
  <c r="W298" i="17"/>
  <c r="Y297" i="17"/>
  <c r="Z296" i="17"/>
  <c r="Y295" i="17"/>
  <c r="Z294" i="17"/>
  <c r="AB293" i="17"/>
  <c r="C293" i="17"/>
  <c r="C292" i="17"/>
  <c r="C291" i="17"/>
  <c r="C290" i="17"/>
  <c r="F289" i="17"/>
  <c r="H288" i="17"/>
  <c r="F287" i="17"/>
  <c r="K286" i="17"/>
  <c r="L285" i="17"/>
  <c r="N284" i="17"/>
  <c r="N283" i="17"/>
  <c r="N282" i="17"/>
  <c r="Q281" i="17"/>
  <c r="Q280" i="17"/>
  <c r="W279" i="17"/>
  <c r="X278" i="17"/>
  <c r="AA277" i="17"/>
  <c r="B277" i="17"/>
  <c r="E276" i="17"/>
  <c r="F275" i="17"/>
  <c r="O274" i="17"/>
  <c r="U273" i="17"/>
  <c r="AD272" i="17"/>
  <c r="B272" i="17"/>
  <c r="K271" i="17"/>
  <c r="S270" i="17"/>
  <c r="Z269" i="17"/>
  <c r="C269" i="17"/>
  <c r="G268" i="17"/>
  <c r="O267" i="17"/>
  <c r="X266" i="17"/>
  <c r="AD265" i="17"/>
  <c r="E265" i="17"/>
  <c r="K264" i="17"/>
  <c r="T263" i="17"/>
  <c r="AB262" i="17"/>
  <c r="A262" i="17"/>
  <c r="I261" i="17"/>
  <c r="P260" i="17"/>
  <c r="X259" i="17"/>
  <c r="B259" i="17"/>
  <c r="E258" i="17"/>
  <c r="N257" i="17"/>
  <c r="T256" i="17"/>
  <c r="AC255" i="17"/>
  <c r="F783" i="17"/>
  <c r="U758" i="17"/>
  <c r="J740" i="17"/>
  <c r="V728" i="17"/>
  <c r="L716" i="17"/>
  <c r="AB706" i="17"/>
  <c r="V694" i="17"/>
  <c r="Q686" i="17"/>
  <c r="S679" i="17"/>
  <c r="S674" i="17"/>
  <c r="R669" i="17"/>
  <c r="AE663" i="17"/>
  <c r="R659" i="17"/>
  <c r="O654" i="17"/>
  <c r="L650" i="17"/>
  <c r="D645" i="17"/>
  <c r="U640" i="17"/>
  <c r="V635" i="17"/>
  <c r="AC632" i="17"/>
  <c r="J629" i="17"/>
  <c r="W625" i="17"/>
  <c r="N622" i="17"/>
  <c r="H619" i="17"/>
  <c r="V616" i="17"/>
  <c r="S613" i="17"/>
  <c r="G611" i="17"/>
  <c r="B608" i="17"/>
  <c r="AB605" i="17"/>
  <c r="AE602" i="17"/>
  <c r="X600" i="17"/>
  <c r="X597" i="17"/>
  <c r="I595" i="17"/>
  <c r="F593" i="17"/>
  <c r="N590" i="17"/>
  <c r="Y587" i="17"/>
  <c r="AA584" i="17"/>
  <c r="Q582" i="17"/>
  <c r="W579" i="17"/>
  <c r="O577" i="17"/>
  <c r="Q574" i="17"/>
  <c r="E572" i="17"/>
  <c r="J569" i="17"/>
  <c r="E567" i="17"/>
  <c r="W564" i="17"/>
  <c r="AE561" i="17"/>
  <c r="J559" i="17"/>
  <c r="M556" i="17"/>
  <c r="I554" i="17"/>
  <c r="L551" i="17"/>
  <c r="AE548" i="17"/>
  <c r="C546" i="17"/>
  <c r="AB543" i="17"/>
  <c r="B541" i="17"/>
  <c r="X538" i="17"/>
  <c r="F536" i="17"/>
  <c r="H533" i="17"/>
  <c r="B531" i="17"/>
  <c r="H528" i="17"/>
  <c r="Z525" i="17"/>
  <c r="F523" i="17"/>
  <c r="AC520" i="17"/>
  <c r="X518" i="17"/>
  <c r="AA515" i="17"/>
  <c r="A514" i="17"/>
  <c r="U511" i="17"/>
  <c r="AD508" i="17"/>
  <c r="L507" i="17"/>
  <c r="M505" i="17"/>
  <c r="E503" i="17"/>
  <c r="V501" i="17"/>
  <c r="E500" i="17"/>
  <c r="L498" i="17"/>
  <c r="S496" i="17"/>
  <c r="AD494" i="17"/>
  <c r="I493" i="17"/>
  <c r="Z491" i="17"/>
  <c r="AA489" i="17"/>
  <c r="N488" i="17"/>
  <c r="V486" i="17"/>
  <c r="E485" i="17"/>
  <c r="R483" i="17"/>
  <c r="AB481" i="17"/>
  <c r="L480" i="17"/>
  <c r="AE478" i="17"/>
  <c r="K477" i="17"/>
  <c r="Z475" i="17"/>
  <c r="H474" i="17"/>
  <c r="AA472" i="17"/>
  <c r="H471" i="17"/>
  <c r="W469" i="17"/>
  <c r="G468" i="17"/>
  <c r="Z466" i="17"/>
  <c r="J465" i="17"/>
  <c r="C464" i="17"/>
  <c r="P462" i="17"/>
  <c r="D461" i="17"/>
  <c r="X459" i="17"/>
  <c r="L458" i="17"/>
  <c r="U456" i="17"/>
  <c r="I455" i="17"/>
  <c r="AA453" i="17"/>
  <c r="R452" i="17"/>
  <c r="AA450" i="17"/>
  <c r="J449" i="17"/>
  <c r="E448" i="17"/>
  <c r="AA446" i="17"/>
  <c r="J445" i="17"/>
  <c r="R443" i="17"/>
  <c r="K442" i="17"/>
  <c r="AA440" i="17"/>
  <c r="N439" i="17"/>
  <c r="Y437" i="17"/>
  <c r="R436" i="17"/>
  <c r="A435" i="17"/>
  <c r="T433" i="17"/>
  <c r="C432" i="17"/>
  <c r="AC430" i="17"/>
  <c r="P429" i="17"/>
  <c r="L428" i="17"/>
  <c r="AD426" i="17"/>
  <c r="O425" i="17"/>
  <c r="E424" i="17"/>
  <c r="AC422" i="17"/>
  <c r="S421" i="17"/>
  <c r="F420" i="17"/>
  <c r="W418" i="17"/>
  <c r="S417" i="17"/>
  <c r="H416" i="17"/>
  <c r="AE414" i="17"/>
  <c r="T413" i="17"/>
  <c r="Q412" i="17"/>
  <c r="I411" i="17"/>
  <c r="B410" i="17"/>
  <c r="V408" i="17"/>
  <c r="P407" i="17"/>
  <c r="H406" i="17"/>
  <c r="C405" i="17"/>
  <c r="T403" i="17"/>
  <c r="K402" i="17"/>
  <c r="G401" i="17"/>
  <c r="E400" i="17"/>
  <c r="U398" i="17"/>
  <c r="M397" i="17"/>
  <c r="E396" i="17"/>
  <c r="AB394" i="17"/>
  <c r="AB393" i="17"/>
  <c r="P392" i="17"/>
  <c r="M391" i="17"/>
  <c r="G390" i="17"/>
  <c r="F389" i="17"/>
  <c r="Y387" i="17"/>
  <c r="V386" i="17"/>
  <c r="S385" i="17"/>
  <c r="P384" i="17"/>
  <c r="D383" i="17"/>
  <c r="A382" i="17"/>
  <c r="AD380" i="17"/>
  <c r="AC379" i="17"/>
  <c r="AC378" i="17"/>
  <c r="V377" i="17"/>
  <c r="Q376" i="17"/>
  <c r="P375" i="17"/>
  <c r="N374" i="17"/>
  <c r="G373" i="17"/>
  <c r="H372" i="17"/>
  <c r="F371" i="17"/>
  <c r="D370" i="17"/>
  <c r="AD368" i="17"/>
  <c r="X367" i="17"/>
  <c r="AA366" i="17"/>
  <c r="I781" i="17"/>
  <c r="I757" i="17"/>
  <c r="I740" i="17"/>
  <c r="F728" i="17"/>
  <c r="U714" i="17"/>
  <c r="AA706" i="17"/>
  <c r="O694" i="17"/>
  <c r="AB685" i="17"/>
  <c r="F679" i="17"/>
  <c r="R674" i="17"/>
  <c r="T668" i="17"/>
  <c r="V663" i="17"/>
  <c r="I659" i="17"/>
  <c r="E654" i="17"/>
  <c r="K650" i="17"/>
  <c r="V644" i="17"/>
  <c r="R640" i="17"/>
  <c r="U635" i="17"/>
  <c r="T632" i="17"/>
  <c r="Z628" i="17"/>
  <c r="Q625" i="17"/>
  <c r="A622" i="17"/>
  <c r="F619" i="17"/>
  <c r="U616" i="17"/>
  <c r="R613" i="17"/>
  <c r="AC610" i="17"/>
  <c r="A608" i="17"/>
  <c r="V605" i="17"/>
  <c r="Y602" i="17"/>
  <c r="W600" i="17"/>
  <c r="U597" i="17"/>
  <c r="H595" i="17"/>
  <c r="P592" i="17"/>
  <c r="K590" i="17"/>
  <c r="X587" i="17"/>
  <c r="Z584" i="17"/>
  <c r="L582" i="17"/>
  <c r="V579" i="17"/>
  <c r="L577" i="17"/>
  <c r="M574" i="17"/>
  <c r="D572" i="17"/>
  <c r="I569" i="17"/>
  <c r="D567" i="17"/>
  <c r="F564" i="17"/>
  <c r="T561" i="17"/>
  <c r="X779" i="17"/>
  <c r="H748" i="17"/>
  <c r="A724" i="17"/>
  <c r="AC707" i="17"/>
  <c r="N691" i="17"/>
  <c r="X678" i="17"/>
  <c r="Y671" i="17"/>
  <c r="O663" i="17"/>
  <c r="N656" i="17"/>
  <c r="F648" i="17"/>
  <c r="Q640" i="17"/>
  <c r="V634" i="17"/>
  <c r="H628" i="17"/>
  <c r="S623" i="17"/>
  <c r="S618" i="17"/>
  <c r="F613" i="17"/>
  <c r="Q609" i="17"/>
  <c r="AA604" i="17"/>
  <c r="H601" i="17"/>
  <c r="C597" i="17"/>
  <c r="O592" i="17"/>
  <c r="AC588" i="17"/>
  <c r="S584" i="17"/>
  <c r="AE580" i="17"/>
  <c r="E576" i="17"/>
  <c r="Z571" i="17"/>
  <c r="P568" i="17"/>
  <c r="S563" i="17"/>
  <c r="C560" i="17"/>
  <c r="G556" i="17"/>
  <c r="X552" i="17"/>
  <c r="S548" i="17"/>
  <c r="Q545" i="17"/>
  <c r="Q540" i="17"/>
  <c r="J537" i="17"/>
  <c r="E533" i="17"/>
  <c r="U529" i="17"/>
  <c r="B526" i="17"/>
  <c r="W522" i="17"/>
  <c r="L519" i="17"/>
  <c r="S515" i="17"/>
  <c r="N512" i="17"/>
  <c r="AA508" i="17"/>
  <c r="G506" i="17"/>
  <c r="C503" i="17"/>
  <c r="A501" i="17"/>
  <c r="K498" i="17"/>
  <c r="B496" i="17"/>
  <c r="AB493" i="17"/>
  <c r="D491" i="17"/>
  <c r="K489" i="17"/>
  <c r="M486" i="17"/>
  <c r="G484" i="17"/>
  <c r="X481" i="17"/>
  <c r="Q479" i="17"/>
  <c r="C477" i="17"/>
  <c r="F475" i="17"/>
  <c r="Z472" i="17"/>
  <c r="W470" i="17"/>
  <c r="AA468" i="17"/>
  <c r="Q466" i="17"/>
  <c r="P464" i="17"/>
  <c r="F462" i="17"/>
  <c r="E460" i="17"/>
  <c r="Y457" i="17"/>
  <c r="AC455" i="17"/>
  <c r="W453" i="17"/>
  <c r="X451" i="17"/>
  <c r="I449" i="17"/>
  <c r="U447" i="17"/>
  <c r="S445" i="17"/>
  <c r="J443" i="17"/>
  <c r="N441" i="17"/>
  <c r="AC438" i="17"/>
  <c r="K437" i="17"/>
  <c r="Z434" i="17"/>
  <c r="Y432" i="17"/>
  <c r="AA430" i="17"/>
  <c r="AC428" i="17"/>
  <c r="S426" i="17"/>
  <c r="AE424" i="17"/>
  <c r="H423" i="17"/>
  <c r="E421" i="17"/>
  <c r="L419" i="17"/>
  <c r="E417" i="17"/>
  <c r="Q415" i="17"/>
  <c r="Q413" i="17"/>
  <c r="AA411" i="17"/>
  <c r="X409" i="17"/>
  <c r="G408" i="17"/>
  <c r="G406" i="17"/>
  <c r="Q404" i="17"/>
  <c r="AA402" i="17"/>
  <c r="A401" i="17"/>
  <c r="G399" i="17"/>
  <c r="D397" i="17"/>
  <c r="N395" i="17"/>
  <c r="P393" i="17"/>
  <c r="E392" i="17"/>
  <c r="E390" i="17"/>
  <c r="R388" i="17"/>
  <c r="U386" i="17"/>
  <c r="D385" i="17"/>
  <c r="U383" i="17"/>
  <c r="V381" i="17"/>
  <c r="I380" i="17"/>
  <c r="N378" i="17"/>
  <c r="B377" i="17"/>
  <c r="M375" i="17"/>
  <c r="Z373" i="17"/>
  <c r="E372" i="17"/>
  <c r="U370" i="17"/>
  <c r="AC368" i="17"/>
  <c r="Q367" i="17"/>
  <c r="B366" i="17"/>
  <c r="L364" i="17"/>
  <c r="A363" i="17"/>
  <c r="R361" i="17"/>
  <c r="AD359" i="17"/>
  <c r="AA358" i="17"/>
  <c r="N357" i="17"/>
  <c r="A356" i="17"/>
  <c r="W354" i="17"/>
  <c r="N353" i="17"/>
  <c r="A352" i="17"/>
  <c r="T350" i="17"/>
  <c r="M349" i="17"/>
  <c r="AD347" i="17"/>
  <c r="R346" i="17"/>
  <c r="L345" i="17"/>
  <c r="AA343" i="17"/>
  <c r="O342" i="17"/>
  <c r="I341" i="17"/>
  <c r="W339" i="17"/>
  <c r="K338" i="17"/>
  <c r="H337" i="17"/>
  <c r="V335" i="17"/>
  <c r="N334" i="17"/>
  <c r="J333" i="17"/>
  <c r="AA331" i="17"/>
  <c r="Q330" i="17"/>
  <c r="O329" i="17"/>
  <c r="AD327" i="17"/>
  <c r="Y326" i="17"/>
  <c r="U325" i="17"/>
  <c r="G324" i="17"/>
  <c r="C323" i="17"/>
  <c r="X321" i="17"/>
  <c r="M320" i="17"/>
  <c r="F319" i="17"/>
  <c r="A318" i="17"/>
  <c r="P316" i="17"/>
  <c r="N315" i="17"/>
  <c r="G314" i="17"/>
  <c r="X312" i="17"/>
  <c r="T311" i="17"/>
  <c r="J310" i="17"/>
  <c r="AA308" i="17"/>
  <c r="Y307" i="17"/>
  <c r="R306" i="17"/>
  <c r="D305" i="17"/>
  <c r="AE303" i="17"/>
  <c r="U302" i="17"/>
  <c r="M301" i="17"/>
  <c r="C300" i="17"/>
  <c r="AA298" i="17"/>
  <c r="P297" i="17"/>
  <c r="K296" i="17"/>
  <c r="G295" i="17"/>
  <c r="X293" i="17"/>
  <c r="Q292" i="17"/>
  <c r="J291" i="17"/>
  <c r="AD289" i="17"/>
  <c r="T288" i="17"/>
  <c r="R287" i="17"/>
  <c r="D286" i="17"/>
  <c r="AB284" i="17"/>
  <c r="X283" i="17"/>
  <c r="J282" i="17"/>
  <c r="AE280" i="17"/>
  <c r="AA279" i="17"/>
  <c r="P278" i="17"/>
  <c r="K277" i="17"/>
  <c r="K276" i="17"/>
  <c r="B275" i="17"/>
  <c r="D274" i="17"/>
  <c r="C273" i="17"/>
  <c r="AC271" i="17"/>
  <c r="AE270" i="17"/>
  <c r="AD269" i="17"/>
  <c r="Y268" i="17"/>
  <c r="AC267" i="17"/>
  <c r="AB266" i="17"/>
  <c r="W265" i="17"/>
  <c r="Y264" i="17"/>
  <c r="X263" i="17"/>
  <c r="S262" i="17"/>
  <c r="U261" i="17"/>
  <c r="V260" i="17"/>
  <c r="O259" i="17"/>
  <c r="S258" i="17"/>
  <c r="R257" i="17"/>
  <c r="P256" i="17"/>
  <c r="O255" i="17"/>
  <c r="T254" i="17"/>
  <c r="Q253" i="17"/>
  <c r="Q252" i="17"/>
  <c r="U251" i="17"/>
  <c r="U250" i="17"/>
  <c r="W249" i="17"/>
  <c r="W248" i="17"/>
  <c r="Z247" i="17"/>
  <c r="Z246" i="17"/>
  <c r="A246" i="17"/>
  <c r="AC244" i="17"/>
  <c r="A244" i="17"/>
  <c r="C243" i="17"/>
  <c r="F242" i="17"/>
  <c r="C241" i="17"/>
  <c r="F240" i="17"/>
  <c r="I239" i="17"/>
  <c r="L238" i="17"/>
  <c r="I237" i="17"/>
  <c r="L236" i="17"/>
  <c r="N235" i="17"/>
  <c r="R234" i="17"/>
  <c r="R233" i="17"/>
  <c r="T232" i="17"/>
  <c r="T231" i="17"/>
  <c r="W230" i="17"/>
  <c r="W229" i="17"/>
  <c r="T228" i="17"/>
  <c r="Y227" i="17"/>
  <c r="AC226" i="17"/>
  <c r="AC225" i="17"/>
  <c r="Z224" i="17"/>
  <c r="AE223" i="17"/>
  <c r="AE222" i="17"/>
  <c r="F222" i="17"/>
  <c r="I221" i="17"/>
  <c r="F220" i="17"/>
  <c r="F219" i="17"/>
  <c r="K218" i="17"/>
  <c r="K217" i="17"/>
  <c r="K216" i="17"/>
  <c r="K215" i="17"/>
  <c r="Q214" i="17"/>
  <c r="Q213" i="17"/>
  <c r="Q212" i="17"/>
  <c r="Q211" i="17"/>
  <c r="V210" i="17"/>
  <c r="V209" i="17"/>
  <c r="AA208" i="17"/>
  <c r="Z207" i="17"/>
  <c r="B207" i="17"/>
  <c r="D206" i="17"/>
  <c r="I205" i="17"/>
  <c r="H204" i="17"/>
  <c r="O203" i="17"/>
  <c r="Q202" i="17"/>
  <c r="X201" i="17"/>
  <c r="W200" i="17"/>
  <c r="AB199" i="17"/>
  <c r="AD198" i="17"/>
  <c r="F198" i="17"/>
  <c r="H197" i="17"/>
  <c r="G196" i="17"/>
  <c r="L195" i="17"/>
  <c r="S194" i="17"/>
  <c r="U193" i="17"/>
  <c r="T192" i="17"/>
  <c r="Y191" i="17"/>
  <c r="AC190" i="17"/>
  <c r="C190" i="17"/>
  <c r="B189" i="17"/>
  <c r="G188" i="17"/>
  <c r="K187" i="17"/>
  <c r="P186" i="17"/>
  <c r="R185" i="17"/>
  <c r="T184" i="17"/>
  <c r="X183" i="17"/>
  <c r="AC182" i="17"/>
  <c r="AE181" i="17"/>
  <c r="D181" i="17"/>
  <c r="F180" i="17"/>
  <c r="K179" i="17"/>
  <c r="M178" i="17"/>
  <c r="Q177" i="17"/>
  <c r="S176" i="17"/>
  <c r="X175" i="17"/>
  <c r="Z174" i="17"/>
  <c r="B174" i="17"/>
  <c r="A173" i="17"/>
  <c r="F172" i="17"/>
  <c r="J171" i="17"/>
  <c r="O170" i="17"/>
  <c r="N169" i="17"/>
  <c r="S168" i="17"/>
  <c r="W167" i="17"/>
  <c r="AB166" i="17"/>
  <c r="AA165" i="17"/>
  <c r="AC164" i="17"/>
  <c r="E164" i="17"/>
  <c r="J163" i="17"/>
  <c r="L162" i="17"/>
  <c r="K161" i="17"/>
  <c r="R160" i="17"/>
  <c r="T159" i="17"/>
  <c r="Y158" i="17"/>
  <c r="X157" i="17"/>
  <c r="AE156" i="17"/>
  <c r="B156" i="17"/>
  <c r="G155" i="17"/>
  <c r="F154" i="17"/>
  <c r="M153" i="17"/>
  <c r="O152" i="17"/>
  <c r="V151" i="17"/>
  <c r="X150" i="17"/>
  <c r="Z149" i="17"/>
  <c r="AB148" i="17"/>
  <c r="D148" i="17"/>
  <c r="F147" i="17"/>
  <c r="H146" i="17"/>
  <c r="J145" i="17"/>
  <c r="Q144" i="17"/>
  <c r="S143" i="17"/>
  <c r="U142" i="17"/>
  <c r="W141" i="17"/>
  <c r="AD140" i="17"/>
  <c r="A140" i="17"/>
  <c r="F139" i="17"/>
  <c r="E138" i="17"/>
  <c r="L137" i="17"/>
  <c r="N136" i="17"/>
  <c r="S135" i="17"/>
  <c r="R134" i="17"/>
  <c r="V133" i="17"/>
  <c r="AA132" i="17"/>
  <c r="C132" i="17"/>
  <c r="B131" i="17"/>
  <c r="D130" i="17"/>
  <c r="I129" i="17"/>
  <c r="K128" i="17"/>
  <c r="S127" i="17"/>
  <c r="T126" i="17"/>
  <c r="AB125" i="17"/>
  <c r="A125" i="17"/>
  <c r="H124" i="17"/>
  <c r="J123" i="17"/>
  <c r="Q122" i="17"/>
  <c r="U121" i="17"/>
  <c r="AC120" i="17"/>
  <c r="AD119" i="17"/>
  <c r="G119" i="17"/>
  <c r="K118" i="17"/>
  <c r="S117" i="17"/>
  <c r="Y116" i="17"/>
  <c r="AE115" i="17"/>
  <c r="F115" i="17"/>
  <c r="O114" i="17"/>
  <c r="U113" i="17"/>
  <c r="AA112" i="17"/>
  <c r="B112" i="17"/>
  <c r="K111" i="17"/>
  <c r="Q110" i="17"/>
  <c r="T109" i="17"/>
  <c r="AC108" i="17"/>
  <c r="G108" i="17"/>
  <c r="M107" i="17"/>
  <c r="V106" i="17"/>
  <c r="Y105" i="17"/>
  <c r="AE104" i="17"/>
  <c r="I104" i="17"/>
  <c r="R103" i="17"/>
  <c r="U102" i="17"/>
  <c r="AA101" i="17"/>
  <c r="E101" i="17"/>
  <c r="K100" i="17"/>
  <c r="Q99" i="17"/>
  <c r="W98" i="17"/>
  <c r="A98" i="17"/>
  <c r="G97" i="17"/>
  <c r="P96" i="17"/>
  <c r="S95" i="17"/>
  <c r="AB94" i="17"/>
  <c r="C94" i="17"/>
  <c r="L93" i="17"/>
  <c r="O92" i="17"/>
  <c r="X91" i="17"/>
  <c r="AD90" i="17"/>
  <c r="H90" i="17"/>
  <c r="K89" i="17"/>
  <c r="T88" i="17"/>
  <c r="Z87" i="17"/>
  <c r="D87" i="17"/>
  <c r="J86" i="17"/>
  <c r="P85" i="17"/>
  <c r="V84" i="17"/>
  <c r="AE83" i="17"/>
  <c r="F83" i="17"/>
  <c r="I82" i="17"/>
  <c r="R81" i="17"/>
  <c r="AA80" i="17"/>
  <c r="B80" i="17"/>
  <c r="E79" i="17"/>
  <c r="N78" i="17"/>
  <c r="T77" i="17"/>
  <c r="AC76" i="17"/>
  <c r="G76" i="17"/>
  <c r="J75" i="17"/>
  <c r="P74" i="17"/>
  <c r="Y73" i="17"/>
  <c r="AE72" i="17"/>
  <c r="F72" i="17"/>
  <c r="L71" i="17"/>
  <c r="U70" i="17"/>
  <c r="AA69" i="17"/>
  <c r="B69" i="17"/>
  <c r="H68" i="17"/>
  <c r="Q67" i="17"/>
  <c r="W66" i="17"/>
  <c r="A66" i="17"/>
  <c r="D65" i="17"/>
  <c r="M64" i="17"/>
  <c r="S63" i="17"/>
  <c r="AB62" i="17"/>
  <c r="AE61" i="17"/>
  <c r="I61" i="17"/>
  <c r="O60" i="17"/>
  <c r="X59" i="17"/>
  <c r="AA58" i="17"/>
  <c r="E58" i="17"/>
  <c r="K57" i="17"/>
  <c r="T56" i="17"/>
  <c r="Z55" i="17"/>
  <c r="AC54" i="17"/>
  <c r="G54" i="17"/>
  <c r="P53" i="17"/>
  <c r="V52" i="17"/>
  <c r="Y51" i="17"/>
  <c r="C51" i="17"/>
  <c r="I50" i="17"/>
  <c r="R49" i="17"/>
  <c r="U48" i="17"/>
  <c r="AD47" i="17"/>
  <c r="E47" i="17"/>
  <c r="N46" i="17"/>
  <c r="T45" i="17"/>
  <c r="Z44" i="17"/>
  <c r="A44" i="17"/>
  <c r="J43" i="17"/>
  <c r="P42" i="17"/>
  <c r="V41" i="17"/>
  <c r="AB40" i="17"/>
  <c r="F40" i="17"/>
  <c r="L39" i="17"/>
  <c r="R38" i="17"/>
  <c r="X37" i="17"/>
  <c r="B37" i="17"/>
  <c r="H36" i="17"/>
  <c r="Q35" i="17"/>
  <c r="T34" i="17"/>
  <c r="AC33" i="17"/>
  <c r="D33" i="17"/>
  <c r="M32" i="17"/>
  <c r="P31" i="17"/>
  <c r="Y30" i="17"/>
  <c r="AE29" i="17"/>
  <c r="I29" i="17"/>
  <c r="L28" i="17"/>
  <c r="R27" i="17"/>
  <c r="AA26" i="17"/>
  <c r="E26" i="17"/>
  <c r="K25" i="17"/>
  <c r="N24" i="17"/>
  <c r="W23" i="17"/>
  <c r="AC22" i="17"/>
  <c r="G22" i="17"/>
  <c r="J21" i="17"/>
  <c r="S20" i="17"/>
  <c r="Y19" i="17"/>
  <c r="C19" i="17"/>
  <c r="F18" i="17"/>
  <c r="O17" i="17"/>
  <c r="U16" i="17"/>
  <c r="AD15" i="17"/>
  <c r="E15" i="17"/>
  <c r="K14" i="17"/>
  <c r="Q13" i="17"/>
  <c r="Z12" i="17"/>
  <c r="A12" i="17"/>
  <c r="G11" i="17"/>
  <c r="M10" i="17"/>
  <c r="V9" i="17"/>
  <c r="AB8" i="17"/>
  <c r="C8" i="17"/>
  <c r="I7" i="17"/>
  <c r="R6" i="17"/>
  <c r="X5" i="17"/>
  <c r="B5" i="17"/>
  <c r="E4" i="17"/>
  <c r="N3" i="17"/>
  <c r="T2" i="17"/>
  <c r="AD778" i="17"/>
  <c r="W747" i="17"/>
  <c r="Y723" i="17"/>
  <c r="U707" i="17"/>
  <c r="G691" i="17"/>
  <c r="O678" i="17"/>
  <c r="L671" i="17"/>
  <c r="F663" i="17"/>
  <c r="I656" i="17"/>
  <c r="A648" i="17"/>
  <c r="O640" i="17"/>
  <c r="T634" i="17"/>
  <c r="AE627" i="17"/>
  <c r="O623" i="17"/>
  <c r="X617" i="17"/>
  <c r="D613" i="17"/>
  <c r="P609" i="17"/>
  <c r="Z604" i="17"/>
  <c r="D601" i="17"/>
  <c r="AC596" i="17"/>
  <c r="D592" i="17"/>
  <c r="AA588" i="17"/>
  <c r="Q584" i="17"/>
  <c r="AC580" i="17"/>
  <c r="D576" i="17"/>
  <c r="Y571" i="17"/>
  <c r="N568" i="17"/>
  <c r="R563" i="17"/>
  <c r="B560" i="17"/>
  <c r="E556" i="17"/>
  <c r="W552" i="17"/>
  <c r="AB547" i="17"/>
  <c r="AC544" i="17"/>
  <c r="M540" i="17"/>
  <c r="I537" i="17"/>
  <c r="D533" i="17"/>
  <c r="T529" i="17"/>
  <c r="X525" i="17"/>
  <c r="U522" i="17"/>
  <c r="I519" i="17"/>
  <c r="Q515" i="17"/>
  <c r="K512" i="17"/>
  <c r="Z508" i="17"/>
  <c r="AD505" i="17"/>
  <c r="AB502" i="17"/>
  <c r="V500" i="17"/>
  <c r="G498" i="17"/>
  <c r="A496" i="17"/>
  <c r="H493" i="17"/>
  <c r="C491" i="17"/>
  <c r="AA488" i="17"/>
  <c r="H486" i="17"/>
  <c r="C484" i="17"/>
  <c r="S481" i="17"/>
  <c r="P479" i="17"/>
  <c r="B477" i="17"/>
  <c r="E475" i="17"/>
  <c r="Y472" i="17"/>
  <c r="V470" i="17"/>
  <c r="F468" i="17"/>
  <c r="P466" i="17"/>
  <c r="O464" i="17"/>
  <c r="E462" i="17"/>
  <c r="D460" i="17"/>
  <c r="X457" i="17"/>
  <c r="AB455" i="17"/>
  <c r="V453" i="17"/>
  <c r="W451" i="17"/>
  <c r="G449" i="17"/>
  <c r="L447" i="17"/>
  <c r="A445" i="17"/>
  <c r="I443" i="17"/>
  <c r="L441" i="17"/>
  <c r="AB438" i="17"/>
  <c r="J437" i="17"/>
  <c r="Y434" i="17"/>
  <c r="X432" i="17"/>
  <c r="W430" i="17"/>
  <c r="Y428" i="17"/>
  <c r="R426" i="17"/>
  <c r="AD424" i="17"/>
  <c r="AB422" i="17"/>
  <c r="C421" i="17"/>
  <c r="K419" i="17"/>
  <c r="D417" i="17"/>
  <c r="P415" i="17"/>
  <c r="P413" i="17"/>
  <c r="Z411" i="17"/>
  <c r="W409" i="17"/>
  <c r="F408" i="17"/>
  <c r="F406" i="17"/>
  <c r="M404" i="17"/>
  <c r="J402" i="17"/>
  <c r="S400" i="17"/>
  <c r="B399" i="17"/>
  <c r="B397" i="17"/>
  <c r="M395" i="17"/>
  <c r="L393" i="17"/>
  <c r="A392" i="17"/>
  <c r="D390" i="17"/>
  <c r="Q388" i="17"/>
  <c r="T386" i="17"/>
  <c r="C385" i="17"/>
  <c r="C383" i="17"/>
  <c r="T381" i="17"/>
  <c r="E380" i="17"/>
  <c r="M378" i="17"/>
  <c r="A377" i="17"/>
  <c r="I375" i="17"/>
  <c r="Y373" i="17"/>
  <c r="D372" i="17"/>
  <c r="R370" i="17"/>
  <c r="Y368" i="17"/>
  <c r="P367" i="17"/>
  <c r="V365" i="17"/>
  <c r="K364" i="17"/>
  <c r="AE362" i="17"/>
  <c r="M361" i="17"/>
  <c r="AC359" i="17"/>
  <c r="Y358" i="17"/>
  <c r="G357" i="17"/>
  <c r="AB355" i="17"/>
  <c r="V354" i="17"/>
  <c r="F353" i="17"/>
  <c r="X351" i="17"/>
  <c r="S350" i="17"/>
  <c r="B349" i="17"/>
  <c r="AC347" i="17"/>
  <c r="Q346" i="17"/>
  <c r="A345" i="17"/>
  <c r="Z343" i="17"/>
  <c r="N342" i="17"/>
  <c r="AB340" i="17"/>
  <c r="V339" i="17"/>
  <c r="J338" i="17"/>
  <c r="Y336" i="17"/>
  <c r="U335" i="17"/>
  <c r="M334" i="17"/>
  <c r="AD332" i="17"/>
  <c r="Z331" i="17"/>
  <c r="P330" i="17"/>
  <c r="B329" i="17"/>
  <c r="AC327" i="17"/>
  <c r="V326" i="17"/>
  <c r="M325" i="17"/>
  <c r="F324" i="17"/>
  <c r="AA322" i="17"/>
  <c r="S321" i="17"/>
  <c r="I320" i="17"/>
  <c r="E319" i="17"/>
  <c r="V317" i="17"/>
  <c r="O316" i="17"/>
  <c r="M315" i="17"/>
  <c r="AD313" i="17"/>
  <c r="W312" i="17"/>
  <c r="P311" i="17"/>
  <c r="E310" i="17"/>
  <c r="Z308" i="17"/>
  <c r="V307" i="17"/>
  <c r="H306" i="17"/>
  <c r="A305" i="17"/>
  <c r="AD303" i="17"/>
  <c r="P302" i="17"/>
  <c r="F301" i="17"/>
  <c r="B300" i="17"/>
  <c r="S298" i="17"/>
  <c r="O297" i="17"/>
  <c r="J296" i="17"/>
  <c r="Y294" i="17"/>
  <c r="W293" i="17"/>
  <c r="M292" i="17"/>
  <c r="B291" i="17"/>
  <c r="Z289" i="17"/>
  <c r="S288" i="17"/>
  <c r="E287" i="17"/>
  <c r="A286" i="17"/>
  <c r="AA284" i="17"/>
  <c r="K283" i="17"/>
  <c r="I282" i="17"/>
  <c r="AD280" i="17"/>
  <c r="Q279" i="17"/>
  <c r="O278" i="17"/>
  <c r="J277" i="17"/>
  <c r="D276" i="17"/>
  <c r="A275" i="17"/>
  <c r="AE273" i="17"/>
  <c r="AC272" i="17"/>
  <c r="AB271" i="17"/>
  <c r="AD270" i="17"/>
  <c r="Y269" i="17"/>
  <c r="X268" i="17"/>
  <c r="AB267" i="17"/>
  <c r="U266" i="17"/>
  <c r="V265" i="17"/>
  <c r="X264" i="17"/>
  <c r="S263" i="17"/>
  <c r="R262" i="17"/>
  <c r="T261" i="17"/>
  <c r="O260" i="17"/>
  <c r="N259" i="17"/>
  <c r="R258" i="17"/>
  <c r="M257" i="17"/>
  <c r="L256" i="17"/>
  <c r="N255" i="17"/>
  <c r="N254" i="17"/>
  <c r="N253" i="17"/>
  <c r="P252" i="17"/>
  <c r="T251" i="17"/>
  <c r="T250" i="17"/>
  <c r="V249" i="17"/>
  <c r="V248" i="17"/>
  <c r="Y247" i="17"/>
  <c r="Y246" i="17"/>
  <c r="AA245" i="17"/>
  <c r="AB244" i="17"/>
  <c r="AE243" i="17"/>
  <c r="AE242" i="17"/>
  <c r="E242" i="17"/>
  <c r="B241" i="17"/>
  <c r="E240" i="17"/>
  <c r="H239" i="17"/>
  <c r="K238" i="17"/>
  <c r="H237" i="17"/>
  <c r="K236" i="17"/>
  <c r="M235" i="17"/>
  <c r="P234" i="17"/>
  <c r="M233" i="17"/>
  <c r="M232" i="17"/>
  <c r="S231" i="17"/>
  <c r="V230" i="17"/>
  <c r="V229" i="17"/>
  <c r="S228" i="17"/>
  <c r="X227" i="17"/>
  <c r="X226" i="17"/>
  <c r="AB225" i="17"/>
  <c r="Y224" i="17"/>
  <c r="AD223" i="17"/>
  <c r="AD222" i="17"/>
  <c r="B222" i="17"/>
  <c r="AD220" i="17"/>
  <c r="E220" i="17"/>
  <c r="E219" i="17"/>
  <c r="J218" i="17"/>
  <c r="J217" i="17"/>
  <c r="J216" i="17"/>
  <c r="J215" i="17"/>
  <c r="P214" i="17"/>
  <c r="P213" i="17"/>
  <c r="P212" i="17"/>
  <c r="P211" i="17"/>
  <c r="U210" i="17"/>
  <c r="U209" i="17"/>
  <c r="W208" i="17"/>
  <c r="Y207" i="17"/>
  <c r="A207" i="17"/>
  <c r="C206" i="17"/>
  <c r="H205" i="17"/>
  <c r="G204" i="17"/>
  <c r="N203" i="17"/>
  <c r="P202" i="17"/>
  <c r="U201" i="17"/>
  <c r="T200" i="17"/>
  <c r="X199" i="17"/>
  <c r="AC198" i="17"/>
  <c r="E198" i="17"/>
  <c r="D197" i="17"/>
  <c r="F196" i="17"/>
  <c r="K195" i="17"/>
  <c r="M194" i="17"/>
  <c r="T193" i="17"/>
  <c r="S192" i="17"/>
  <c r="X191" i="17"/>
  <c r="Z190" i="17"/>
  <c r="B190" i="17"/>
  <c r="A189" i="17"/>
  <c r="F188" i="17"/>
  <c r="J187" i="17"/>
  <c r="O186" i="17"/>
  <c r="N185" i="17"/>
  <c r="S184" i="17"/>
  <c r="W183" i="17"/>
  <c r="AB182" i="17"/>
  <c r="AD181" i="17"/>
  <c r="A181" i="17"/>
  <c r="E180" i="17"/>
  <c r="J179" i="17"/>
  <c r="L178" i="17"/>
  <c r="P177" i="17"/>
  <c r="R176" i="17"/>
  <c r="W175" i="17"/>
  <c r="Y174" i="17"/>
  <c r="X173" i="17"/>
  <c r="AE172" i="17"/>
  <c r="E172" i="17"/>
  <c r="G171" i="17"/>
  <c r="N170" i="17"/>
  <c r="M169" i="17"/>
  <c r="O168" i="17"/>
  <c r="V167" i="17"/>
  <c r="AA166" i="17"/>
  <c r="Z165" i="17"/>
  <c r="AB164" i="17"/>
  <c r="D164" i="17"/>
  <c r="F163" i="17"/>
  <c r="H162" i="17"/>
  <c r="J161" i="17"/>
  <c r="Q160" i="17"/>
  <c r="S159" i="17"/>
  <c r="X158" i="17"/>
  <c r="W157" i="17"/>
  <c r="AD156" i="17"/>
  <c r="A156" i="17"/>
  <c r="F155" i="17"/>
  <c r="E154" i="17"/>
  <c r="L153" i="17"/>
  <c r="N152" i="17"/>
  <c r="S151" i="17"/>
  <c r="R150" i="17"/>
  <c r="Y149" i="17"/>
  <c r="AA148" i="17"/>
  <c r="C148" i="17"/>
  <c r="E147" i="17"/>
  <c r="G146" i="17"/>
  <c r="I145" i="17"/>
  <c r="P144" i="17"/>
  <c r="R143" i="17"/>
  <c r="Q142" i="17"/>
  <c r="V141" i="17"/>
  <c r="AC140" i="17"/>
  <c r="AE139" i="17"/>
  <c r="AD138" i="17"/>
  <c r="D138" i="17"/>
  <c r="H137" i="17"/>
  <c r="M136" i="17"/>
  <c r="R135" i="17"/>
  <c r="Q134" i="17"/>
  <c r="U133" i="17"/>
  <c r="Z132" i="17"/>
  <c r="AB131" i="17"/>
  <c r="AD130" i="17"/>
  <c r="C130" i="17"/>
  <c r="H129" i="17"/>
  <c r="J128" i="17"/>
  <c r="O127" i="17"/>
  <c r="S126" i="17"/>
  <c r="Z125" i="17"/>
  <c r="AE124" i="17"/>
  <c r="G124" i="17"/>
  <c r="H123" i="17"/>
  <c r="P122" i="17"/>
  <c r="T121" i="17"/>
  <c r="AB120" i="17"/>
  <c r="AC119" i="17"/>
  <c r="F119" i="17"/>
  <c r="J118" i="17"/>
  <c r="R117" i="17"/>
  <c r="U116" i="17"/>
  <c r="AD115" i="17"/>
  <c r="E115" i="17"/>
  <c r="N114" i="17"/>
  <c r="T113" i="17"/>
  <c r="W112" i="17"/>
  <c r="A112" i="17"/>
  <c r="J111" i="17"/>
  <c r="P110" i="17"/>
  <c r="S109" i="17"/>
  <c r="AB108" i="17"/>
  <c r="C108" i="17"/>
  <c r="L107" i="17"/>
  <c r="O106" i="17"/>
  <c r="X105" i="17"/>
  <c r="AD104" i="17"/>
  <c r="H104" i="17"/>
  <c r="N103" i="17"/>
  <c r="T102" i="17"/>
  <c r="Z101" i="17"/>
  <c r="D101" i="17"/>
  <c r="J100" i="17"/>
  <c r="P99" i="17"/>
  <c r="V98" i="17"/>
  <c r="AE97" i="17"/>
  <c r="F97" i="17"/>
  <c r="L96" i="17"/>
  <c r="R95" i="17"/>
  <c r="AA94" i="17"/>
  <c r="B94" i="17"/>
  <c r="K93" i="17"/>
  <c r="N92" i="17"/>
  <c r="W91" i="17"/>
  <c r="AC90" i="17"/>
  <c r="G90" i="17"/>
  <c r="J89" i="17"/>
  <c r="S88" i="17"/>
  <c r="Y87" i="17"/>
  <c r="C87" i="17"/>
  <c r="F86" i="17"/>
  <c r="L85" i="17"/>
  <c r="U84" i="17"/>
  <c r="AD83" i="17"/>
  <c r="E83" i="17"/>
  <c r="H82" i="17"/>
  <c r="Q81" i="17"/>
  <c r="W80" i="17"/>
  <c r="A80" i="17"/>
  <c r="D79" i="17"/>
  <c r="M78" i="17"/>
  <c r="S77" i="17"/>
  <c r="AB76" i="17"/>
  <c r="AE75" i="17"/>
  <c r="I75" i="17"/>
  <c r="O74" i="17"/>
  <c r="X73" i="17"/>
  <c r="AD72" i="17"/>
  <c r="E72" i="17"/>
  <c r="K71" i="17"/>
  <c r="T70" i="17"/>
  <c r="Z69" i="17"/>
  <c r="A69" i="17"/>
  <c r="G68" i="17"/>
  <c r="P67" i="17"/>
  <c r="V66" i="17"/>
  <c r="AB65" i="17"/>
  <c r="C65" i="17"/>
  <c r="L64" i="17"/>
  <c r="R63" i="17"/>
  <c r="AA62" i="17"/>
  <c r="AD61" i="17"/>
  <c r="H61" i="17"/>
  <c r="N60" i="17"/>
  <c r="W59" i="17"/>
  <c r="Z58" i="17"/>
  <c r="A58" i="17"/>
  <c r="J57" i="17"/>
  <c r="S56" i="17"/>
  <c r="V55" i="17"/>
  <c r="AB54" i="17"/>
  <c r="F54" i="17"/>
  <c r="L53" i="17"/>
  <c r="U52" i="17"/>
  <c r="X51" i="17"/>
  <c r="B51" i="17"/>
  <c r="H50" i="17"/>
  <c r="Q49" i="17"/>
  <c r="T48" i="17"/>
  <c r="AC47" i="17"/>
  <c r="D47" i="17"/>
  <c r="M46" i="17"/>
  <c r="P45" i="17"/>
  <c r="Y44" i="17"/>
  <c r="AE43" i="17"/>
  <c r="I43" i="17"/>
  <c r="O42" i="17"/>
  <c r="U41" i="17"/>
  <c r="AA40" i="17"/>
  <c r="E40" i="17"/>
  <c r="K39" i="17"/>
  <c r="Q38" i="17"/>
  <c r="W37" i="17"/>
  <c r="A37" i="17"/>
  <c r="G36" i="17"/>
  <c r="J35" i="17"/>
  <c r="S34" i="17"/>
  <c r="AB33" i="17"/>
  <c r="C33" i="17"/>
  <c r="L32" i="17"/>
  <c r="O31" i="17"/>
  <c r="U30" i="17"/>
  <c r="AD29" i="17"/>
  <c r="H29" i="17"/>
  <c r="K28" i="17"/>
  <c r="Q27" i="17"/>
  <c r="Z26" i="17"/>
  <c r="A26" i="17"/>
  <c r="G25" i="17"/>
  <c r="M24" i="17"/>
  <c r="V23" i="17"/>
  <c r="AB22" i="17"/>
  <c r="F22" i="17"/>
  <c r="I21" i="17"/>
  <c r="R20" i="17"/>
  <c r="X19" i="17"/>
  <c r="B19" i="17"/>
  <c r="E18" i="17"/>
  <c r="N17" i="17"/>
  <c r="T16" i="17"/>
  <c r="AC15" i="17"/>
  <c r="A15" i="17"/>
  <c r="J14" i="17"/>
  <c r="P13" i="17"/>
  <c r="Y12" i="17"/>
  <c r="AE11" i="17"/>
  <c r="F11" i="17"/>
  <c r="L10" i="17"/>
  <c r="U9" i="17"/>
  <c r="AA8" i="17"/>
  <c r="AD7" i="17"/>
  <c r="H7" i="17"/>
  <c r="Q6" i="17"/>
  <c r="W5" i="17"/>
  <c r="Z4" i="17"/>
  <c r="D4" i="17"/>
  <c r="J3" i="17"/>
  <c r="S2" i="17"/>
  <c r="O775" i="17"/>
  <c r="B747" i="17"/>
  <c r="W722" i="17"/>
  <c r="D705" i="17"/>
  <c r="F691" i="17"/>
  <c r="I678" i="17"/>
  <c r="B671" i="17"/>
  <c r="E663" i="17"/>
  <c r="D654" i="17"/>
  <c r="AC647" i="17"/>
  <c r="M639" i="17"/>
  <c r="P633" i="17"/>
  <c r="AD627" i="17"/>
  <c r="AC621" i="17"/>
  <c r="W617" i="17"/>
  <c r="Z612" i="17"/>
  <c r="L609" i="17"/>
  <c r="Y604" i="17"/>
  <c r="V600" i="17"/>
  <c r="X596" i="17"/>
  <c r="B592" i="17"/>
  <c r="W588" i="17"/>
  <c r="P584" i="17"/>
  <c r="Q579" i="17"/>
  <c r="C576" i="17"/>
  <c r="X571" i="17"/>
  <c r="A568" i="17"/>
  <c r="Q563" i="17"/>
  <c r="D559" i="17"/>
  <c r="D556" i="17"/>
  <c r="S552" i="17"/>
  <c r="W547" i="17"/>
  <c r="Q544" i="17"/>
  <c r="L540" i="17"/>
  <c r="AC536" i="17"/>
  <c r="C533" i="17"/>
  <c r="S529" i="17"/>
  <c r="V525" i="17"/>
  <c r="O522" i="17"/>
  <c r="W518" i="17"/>
  <c r="P515" i="17"/>
  <c r="I512" i="17"/>
  <c r="Y508" i="17"/>
  <c r="Z505" i="17"/>
  <c r="AA502" i="17"/>
  <c r="R500" i="17"/>
  <c r="E498" i="17"/>
  <c r="AE495" i="17"/>
  <c r="G493" i="17"/>
  <c r="B491" i="17"/>
  <c r="M488" i="17"/>
  <c r="F486" i="17"/>
  <c r="B484" i="17"/>
  <c r="O481" i="17"/>
  <c r="N479" i="17"/>
  <c r="AE476" i="17"/>
  <c r="D475" i="17"/>
  <c r="U472" i="17"/>
  <c r="J470" i="17"/>
  <c r="E468" i="17"/>
  <c r="C466" i="17"/>
  <c r="S463" i="17"/>
  <c r="A462" i="17"/>
  <c r="B460" i="17"/>
  <c r="W457" i="17"/>
  <c r="AA455" i="17"/>
  <c r="U453" i="17"/>
  <c r="V451" i="17"/>
  <c r="F449" i="17"/>
  <c r="H447" i="17"/>
  <c r="AE444" i="17"/>
  <c r="H443" i="17"/>
  <c r="Z440" i="17"/>
  <c r="Z438" i="17"/>
  <c r="AB436" i="17"/>
  <c r="X434" i="17"/>
  <c r="W432" i="17"/>
  <c r="O430" i="17"/>
  <c r="T428" i="17"/>
  <c r="Q426" i="17"/>
  <c r="AC424" i="17"/>
  <c r="X422" i="17"/>
  <c r="AC420" i="17"/>
  <c r="V418" i="17"/>
  <c r="AE416" i="17"/>
  <c r="O415" i="17"/>
  <c r="N413" i="17"/>
  <c r="Y411" i="17"/>
  <c r="R409" i="17"/>
  <c r="E408" i="17"/>
  <c r="E406" i="17"/>
  <c r="J404" i="17"/>
  <c r="I402" i="17"/>
  <c r="R400" i="17"/>
  <c r="R398" i="17"/>
  <c r="A397" i="17"/>
  <c r="L395" i="17"/>
  <c r="K393" i="17"/>
  <c r="AE391" i="17"/>
  <c r="C390" i="17"/>
  <c r="M388" i="17"/>
  <c r="S386" i="17"/>
  <c r="AD384" i="17"/>
  <c r="B383" i="17"/>
  <c r="S381" i="17"/>
  <c r="AB379" i="17"/>
  <c r="L378" i="17"/>
  <c r="AB376" i="17"/>
  <c r="E375" i="17"/>
  <c r="X373" i="17"/>
  <c r="C372" i="17"/>
  <c r="Q370" i="17"/>
  <c r="X368" i="17"/>
  <c r="O367" i="17"/>
  <c r="U365" i="17"/>
  <c r="J364" i="17"/>
  <c r="AD362" i="17"/>
  <c r="K361" i="17"/>
  <c r="AB359" i="17"/>
  <c r="X358" i="17"/>
  <c r="F357" i="17"/>
  <c r="AA355" i="17"/>
  <c r="U354" i="17"/>
  <c r="E353" i="17"/>
  <c r="W351" i="17"/>
  <c r="Q350" i="17"/>
  <c r="A349" i="17"/>
  <c r="T347" i="17"/>
  <c r="P346" i="17"/>
  <c r="AC344" i="17"/>
  <c r="Y343" i="17"/>
  <c r="M342" i="17"/>
  <c r="AA340" i="17"/>
  <c r="U339" i="17"/>
  <c r="I338" i="17"/>
  <c r="X336" i="17"/>
  <c r="T335" i="17"/>
  <c r="L334" i="17"/>
  <c r="AC332" i="17"/>
  <c r="Y331" i="17"/>
  <c r="O330" i="17"/>
  <c r="A329" i="17"/>
  <c r="AB327" i="17"/>
  <c r="U326" i="17"/>
  <c r="G325" i="17"/>
  <c r="E324" i="17"/>
  <c r="Z322" i="17"/>
  <c r="R321" i="17"/>
  <c r="H320" i="17"/>
  <c r="A319" i="17"/>
  <c r="U317" i="17"/>
  <c r="N316" i="17"/>
  <c r="L315" i="17"/>
  <c r="AC313" i="17"/>
  <c r="V312" i="17"/>
  <c r="O311" i="17"/>
  <c r="D310" i="17"/>
  <c r="Y308" i="17"/>
  <c r="U307" i="17"/>
  <c r="G306" i="17"/>
  <c r="AE304" i="17"/>
  <c r="AC303" i="17"/>
  <c r="O302" i="17"/>
  <c r="E301" i="17"/>
  <c r="A300" i="17"/>
  <c r="R298" i="17"/>
  <c r="K297" i="17"/>
  <c r="G296" i="17"/>
  <c r="X294" i="17"/>
  <c r="V293" i="17"/>
  <c r="L292" i="17"/>
  <c r="A291" i="17"/>
  <c r="Y289" i="17"/>
  <c r="R288" i="17"/>
  <c r="D287" i="17"/>
  <c r="AE285" i="17"/>
  <c r="Z284" i="17"/>
  <c r="J283" i="17"/>
  <c r="H282" i="17"/>
  <c r="AC280" i="17"/>
  <c r="P279" i="17"/>
  <c r="N278" i="17"/>
  <c r="I277" i="17"/>
  <c r="AC275" i="17"/>
  <c r="AC274" i="17"/>
  <c r="AD273" i="17"/>
  <c r="AB272" i="17"/>
  <c r="AA271" i="17"/>
  <c r="Z270" i="17"/>
  <c r="X269" i="17"/>
  <c r="W268" i="17"/>
  <c r="AA267" i="17"/>
  <c r="T266" i="17"/>
  <c r="U265" i="17"/>
  <c r="W264" i="17"/>
  <c r="R263" i="17"/>
  <c r="Q262" i="17"/>
  <c r="S261" i="17"/>
  <c r="N260" i="17"/>
  <c r="M259" i="17"/>
  <c r="Q258" i="17"/>
  <c r="J257" i="17"/>
  <c r="K256" i="17"/>
  <c r="M255" i="17"/>
  <c r="J254" i="17"/>
  <c r="M253" i="17"/>
  <c r="O252" i="17"/>
  <c r="S251" i="17"/>
  <c r="S250" i="17"/>
  <c r="S249" i="17"/>
  <c r="U248" i="17"/>
  <c r="X247" i="17"/>
  <c r="X246" i="17"/>
  <c r="Z245" i="17"/>
  <c r="Z244" i="17"/>
  <c r="AD243" i="17"/>
  <c r="AD242" i="17"/>
  <c r="AA241" i="17"/>
  <c r="A241" i="17"/>
  <c r="D240" i="17"/>
  <c r="D239" i="17"/>
  <c r="J238" i="17"/>
  <c r="G237" i="17"/>
  <c r="G236" i="17"/>
  <c r="L235" i="17"/>
  <c r="O234" i="17"/>
  <c r="L233" i="17"/>
  <c r="L232" i="17"/>
  <c r="R231" i="17"/>
  <c r="R230" i="17"/>
  <c r="R229" i="17"/>
  <c r="R228" i="17"/>
  <c r="W227" i="17"/>
  <c r="W226" i="17"/>
  <c r="AA225" i="17"/>
  <c r="X224" i="17"/>
  <c r="AC223" i="17"/>
  <c r="AC222" i="17"/>
  <c r="A222" i="17"/>
  <c r="AC220" i="17"/>
  <c r="D220" i="17"/>
  <c r="D219" i="17"/>
  <c r="G218" i="17"/>
  <c r="D217" i="17"/>
  <c r="I216" i="17"/>
  <c r="I215" i="17"/>
  <c r="O214" i="17"/>
  <c r="O213" i="17"/>
  <c r="O212" i="17"/>
  <c r="O211" i="17"/>
  <c r="T210" i="17"/>
  <c r="T209" i="17"/>
  <c r="S208" i="17"/>
  <c r="X207" i="17"/>
  <c r="AE206" i="17"/>
  <c r="B206" i="17"/>
  <c r="A205" i="17"/>
  <c r="F204" i="17"/>
  <c r="J203" i="17"/>
  <c r="O202" i="17"/>
  <c r="T201" i="17"/>
  <c r="S200" i="17"/>
  <c r="W199" i="17"/>
  <c r="AB198" i="17"/>
  <c r="AD197" i="17"/>
  <c r="A197" i="17"/>
  <c r="E196" i="17"/>
  <c r="J195" i="17"/>
  <c r="L194" i="17"/>
  <c r="P193" i="17"/>
  <c r="R192" i="17"/>
  <c r="W191" i="17"/>
  <c r="Y190" i="17"/>
  <c r="A190" i="17"/>
  <c r="AE188" i="17"/>
  <c r="E188" i="17"/>
  <c r="G187" i="17"/>
  <c r="N186" i="17"/>
  <c r="M185" i="17"/>
  <c r="R184" i="17"/>
  <c r="V183" i="17"/>
  <c r="AA182" i="17"/>
  <c r="Z181" i="17"/>
  <c r="AE180" i="17"/>
  <c r="D180" i="17"/>
  <c r="I179" i="17"/>
  <c r="K178" i="17"/>
  <c r="J177" i="17"/>
  <c r="Q176" i="17"/>
  <c r="V175" i="17"/>
  <c r="X174" i="17"/>
  <c r="W173" i="17"/>
  <c r="AD172" i="17"/>
  <c r="A172" i="17"/>
  <c r="F171" i="17"/>
  <c r="E170" i="17"/>
  <c r="L169" i="17"/>
  <c r="N168" i="17"/>
  <c r="S167" i="17"/>
  <c r="W166" i="17"/>
  <c r="Y165" i="17"/>
  <c r="AA164" i="17"/>
  <c r="C164" i="17"/>
  <c r="E163" i="17"/>
  <c r="G162" i="17"/>
  <c r="I161" i="17"/>
  <c r="P160" i="17"/>
  <c r="R159" i="17"/>
  <c r="T158" i="17"/>
  <c r="V157" i="17"/>
  <c r="AC156" i="17"/>
  <c r="AE155" i="17"/>
  <c r="E155" i="17"/>
  <c r="D154" i="17"/>
  <c r="K153" i="17"/>
  <c r="M152" i="17"/>
  <c r="R151" i="17"/>
  <c r="Q150" i="17"/>
  <c r="X149" i="17"/>
  <c r="Z148" i="17"/>
  <c r="AE147" i="17"/>
  <c r="AD146" i="17"/>
  <c r="C146" i="17"/>
  <c r="H145" i="17"/>
  <c r="O144" i="17"/>
  <c r="Q143" i="17"/>
  <c r="P142" i="17"/>
  <c r="U141" i="17"/>
  <c r="W140" i="17"/>
  <c r="AD139" i="17"/>
  <c r="AC138" i="17"/>
  <c r="C138" i="17"/>
  <c r="E137" i="17"/>
  <c r="L136" i="17"/>
  <c r="K135" i="17"/>
  <c r="P134" i="17"/>
  <c r="T133" i="17"/>
  <c r="Y132" i="17"/>
  <c r="AA131" i="17"/>
  <c r="AC130" i="17"/>
  <c r="B130" i="17"/>
  <c r="G129" i="17"/>
  <c r="I128" i="17"/>
  <c r="N127" i="17"/>
  <c r="R126" i="17"/>
  <c r="Y125" i="17"/>
  <c r="AD124" i="17"/>
  <c r="C124" i="17"/>
  <c r="G123" i="17"/>
  <c r="O122" i="17"/>
  <c r="S121" i="17"/>
  <c r="AA120" i="17"/>
  <c r="AB119" i="17"/>
  <c r="D119" i="17"/>
  <c r="I118" i="17"/>
  <c r="Q117" i="17"/>
  <c r="T116" i="17"/>
  <c r="Z115" i="17"/>
  <c r="D115" i="17"/>
  <c r="M114" i="17"/>
  <c r="P113" i="17"/>
  <c r="V112" i="17"/>
  <c r="AE111" i="17"/>
  <c r="F111" i="17"/>
  <c r="O110" i="17"/>
  <c r="R109" i="17"/>
  <c r="AA108" i="17"/>
  <c r="B108" i="17"/>
  <c r="K107" i="17"/>
  <c r="N106" i="17"/>
  <c r="W105" i="17"/>
  <c r="AC104" i="17"/>
  <c r="G104" i="17"/>
  <c r="J103" i="17"/>
  <c r="S102" i="17"/>
  <c r="Y101" i="17"/>
  <c r="C101" i="17"/>
  <c r="I100" i="17"/>
  <c r="O99" i="17"/>
  <c r="U98" i="17"/>
  <c r="AD97" i="17"/>
  <c r="E97" i="17"/>
  <c r="K96" i="17"/>
  <c r="Q95" i="17"/>
  <c r="Z94" i="17"/>
  <c r="A94" i="17"/>
  <c r="D93" i="17"/>
  <c r="M92" i="17"/>
  <c r="V91" i="17"/>
  <c r="AB90" i="17"/>
  <c r="F90" i="17"/>
  <c r="I89" i="17"/>
  <c r="O88" i="17"/>
  <c r="X87" i="17"/>
  <c r="B87" i="17"/>
  <c r="E86" i="17"/>
  <c r="K85" i="17"/>
  <c r="T84" i="17"/>
  <c r="Z83" i="17"/>
  <c r="A83" i="17"/>
  <c r="G82" i="17"/>
  <c r="P81" i="17"/>
  <c r="V80" i="17"/>
  <c r="AE79" i="17"/>
  <c r="C79" i="17"/>
  <c r="L78" i="17"/>
  <c r="R77" i="17"/>
  <c r="AA76" i="17"/>
  <c r="AD75" i="17"/>
  <c r="H75" i="17"/>
  <c r="N74" i="17"/>
  <c r="W73" i="17"/>
  <c r="Z72" i="17"/>
  <c r="D72" i="17"/>
  <c r="J71" i="17"/>
  <c r="S70" i="17"/>
  <c r="Y69" i="17"/>
  <c r="AE68" i="17"/>
  <c r="F68" i="17"/>
  <c r="O67" i="17"/>
  <c r="U66" i="17"/>
  <c r="X65" i="17"/>
  <c r="B65" i="17"/>
  <c r="K64" i="17"/>
  <c r="Q63" i="17"/>
  <c r="T62" i="17"/>
  <c r="AC61" i="17"/>
  <c r="D61" i="17"/>
  <c r="M60" i="17"/>
  <c r="V59" i="17"/>
  <c r="Y58" i="17"/>
  <c r="AE57" i="17"/>
  <c r="I57" i="17"/>
  <c r="O56" i="17"/>
  <c r="U55" i="17"/>
  <c r="AA54" i="17"/>
  <c r="E54" i="17"/>
  <c r="K53" i="17"/>
  <c r="Q52" i="17"/>
  <c r="W51" i="17"/>
  <c r="A51" i="17"/>
  <c r="G50" i="17"/>
  <c r="P49" i="17"/>
  <c r="S48" i="17"/>
  <c r="AB47" i="17"/>
  <c r="C47" i="17"/>
  <c r="L46" i="17"/>
  <c r="O45" i="17"/>
  <c r="X44" i="17"/>
  <c r="AD43" i="17"/>
  <c r="H43" i="17"/>
  <c r="K42" i="17"/>
  <c r="T41" i="17"/>
  <c r="Z40" i="17"/>
  <c r="D40" i="17"/>
  <c r="J39" i="17"/>
  <c r="M38" i="17"/>
  <c r="V37" i="17"/>
  <c r="AE36" i="17"/>
  <c r="F36" i="17"/>
  <c r="I35" i="17"/>
  <c r="R34" i="17"/>
  <c r="X33" i="17"/>
  <c r="B33" i="17"/>
  <c r="E32" i="17"/>
  <c r="N31" i="17"/>
  <c r="T30" i="17"/>
  <c r="AC29" i="17"/>
  <c r="D29" i="17"/>
  <c r="J28" i="17"/>
  <c r="P27" i="17"/>
  <c r="Y26" i="17"/>
  <c r="AE25" i="17"/>
  <c r="F25" i="17"/>
  <c r="L24" i="17"/>
  <c r="U23" i="17"/>
  <c r="AA22" i="17"/>
  <c r="B22" i="17"/>
  <c r="H21" i="17"/>
  <c r="Q20" i="17"/>
  <c r="W19" i="17"/>
  <c r="A19" i="17"/>
  <c r="D18" i="17"/>
  <c r="M17" i="17"/>
  <c r="S16" i="17"/>
  <c r="AB15" i="17"/>
  <c r="AE14" i="17"/>
  <c r="I14" i="17"/>
  <c r="O13" i="17"/>
  <c r="X12" i="17"/>
  <c r="AA11" i="17"/>
  <c r="B11" i="17"/>
  <c r="K10" i="17"/>
  <c r="T9" i="17"/>
  <c r="Z8" i="17"/>
  <c r="AC7" i="17"/>
  <c r="G7" i="17"/>
  <c r="M6" i="17"/>
  <c r="V5" i="17"/>
  <c r="Y4" i="17"/>
  <c r="C4" i="17"/>
  <c r="I3" i="17"/>
  <c r="R2" i="17"/>
  <c r="V773" i="17"/>
  <c r="X746" i="17"/>
  <c r="G722" i="17"/>
  <c r="Z704" i="17"/>
  <c r="E691" i="17"/>
  <c r="H678" i="17"/>
  <c r="S670" i="17"/>
  <c r="M661" i="17"/>
  <c r="S653" i="17"/>
  <c r="AB647" i="17"/>
  <c r="A639" i="17"/>
  <c r="N633" i="17"/>
  <c r="AC627" i="17"/>
  <c r="Z621" i="17"/>
  <c r="V617" i="17"/>
  <c r="Y612" i="17"/>
  <c r="J609" i="17"/>
  <c r="W604" i="17"/>
  <c r="L600" i="17"/>
  <c r="U596" i="17"/>
  <c r="AC591" i="17"/>
  <c r="J588" i="17"/>
  <c r="N584" i="17"/>
  <c r="P579" i="17"/>
  <c r="B576" i="17"/>
  <c r="AB570" i="17"/>
  <c r="M567" i="17"/>
  <c r="K563" i="17"/>
  <c r="W558" i="17"/>
  <c r="Z555" i="17"/>
  <c r="K551" i="17"/>
  <c r="V547" i="17"/>
  <c r="P544" i="17"/>
  <c r="J540" i="17"/>
  <c r="AA536" i="17"/>
  <c r="B533" i="17"/>
  <c r="R529" i="17"/>
  <c r="C525" i="17"/>
  <c r="J522" i="17"/>
  <c r="O518" i="17"/>
  <c r="K515" i="17"/>
  <c r="R511" i="17"/>
  <c r="W508" i="17"/>
  <c r="Y505" i="17"/>
  <c r="Y502" i="17"/>
  <c r="P500" i="17"/>
  <c r="AD497" i="17"/>
  <c r="AD495" i="17"/>
  <c r="F493" i="17"/>
  <c r="Y490" i="17"/>
  <c r="J488" i="17"/>
  <c r="A486" i="17"/>
  <c r="K483" i="17"/>
  <c r="M481" i="17"/>
  <c r="H479" i="17"/>
  <c r="AB476" i="17"/>
  <c r="C475" i="17"/>
  <c r="M472" i="17"/>
  <c r="H470" i="17"/>
  <c r="C468" i="17"/>
  <c r="B466" i="17"/>
  <c r="R463" i="17"/>
  <c r="AE461" i="17"/>
  <c r="P459" i="17"/>
  <c r="V457" i="17"/>
  <c r="Z455" i="17"/>
  <c r="T453" i="17"/>
  <c r="U451" i="17"/>
  <c r="E449" i="17"/>
  <c r="F447" i="17"/>
  <c r="AD444" i="17"/>
  <c r="C443" i="17"/>
  <c r="X440" i="17"/>
  <c r="W438" i="17"/>
  <c r="Q436" i="17"/>
  <c r="P434" i="17"/>
  <c r="V432" i="17"/>
  <c r="N430" i="17"/>
  <c r="S428" i="17"/>
  <c r="P426" i="17"/>
  <c r="Z424" i="17"/>
  <c r="W422" i="17"/>
  <c r="X420" i="17"/>
  <c r="U418" i="17"/>
  <c r="AD416" i="17"/>
  <c r="AA414" i="17"/>
  <c r="M413" i="17"/>
  <c r="X411" i="17"/>
  <c r="Q409" i="17"/>
  <c r="AD407" i="17"/>
  <c r="D406" i="17"/>
  <c r="I404" i="17"/>
  <c r="F402" i="17"/>
  <c r="Q400" i="17"/>
  <c r="Q398" i="17"/>
  <c r="AE396" i="17"/>
  <c r="AA394" i="17"/>
  <c r="J393" i="17"/>
  <c r="W391" i="17"/>
  <c r="Z389" i="17"/>
  <c r="L388" i="17"/>
  <c r="O386" i="17"/>
  <c r="W384" i="17"/>
  <c r="A383" i="17"/>
  <c r="R381" i="17"/>
  <c r="AA379" i="17"/>
  <c r="K378" i="17"/>
  <c r="P376" i="17"/>
  <c r="D375" i="17"/>
  <c r="W373" i="17"/>
  <c r="B372" i="17"/>
  <c r="P370" i="17"/>
  <c r="W368" i="17"/>
  <c r="N367" i="17"/>
  <c r="T365" i="17"/>
  <c r="I364" i="17"/>
  <c r="AC362" i="17"/>
  <c r="J361" i="17"/>
  <c r="AA359" i="17"/>
  <c r="U358" i="17"/>
  <c r="E357" i="17"/>
  <c r="X355" i="17"/>
  <c r="T354" i="17"/>
  <c r="C353" i="17"/>
  <c r="V351" i="17"/>
  <c r="P350" i="17"/>
  <c r="AE348" i="17"/>
  <c r="S347" i="17"/>
  <c r="O346" i="17"/>
  <c r="AB344" i="17"/>
  <c r="U343" i="17"/>
  <c r="L342" i="17"/>
  <c r="Z340" i="17"/>
  <c r="T339" i="17"/>
  <c r="H338" i="17"/>
  <c r="W336" i="17"/>
  <c r="Q335" i="17"/>
  <c r="K334" i="17"/>
  <c r="Y332" i="17"/>
  <c r="X331" i="17"/>
  <c r="N330" i="17"/>
  <c r="AE328" i="17"/>
  <c r="AA327" i="17"/>
  <c r="T326" i="17"/>
  <c r="E325" i="17"/>
  <c r="D324" i="17"/>
  <c r="Y322" i="17"/>
  <c r="N321" i="17"/>
  <c r="G320" i="17"/>
  <c r="AE318" i="17"/>
  <c r="T317" i="17"/>
  <c r="M316" i="17"/>
  <c r="C315" i="17"/>
  <c r="Z313" i="17"/>
  <c r="U312" i="17"/>
  <c r="N311" i="17"/>
  <c r="C310" i="17"/>
  <c r="X308" i="17"/>
  <c r="T307" i="17"/>
  <c r="F306" i="17"/>
  <c r="AD304" i="17"/>
  <c r="AB303" i="17"/>
  <c r="N302" i="17"/>
  <c r="D301" i="17"/>
  <c r="AE299" i="17"/>
  <c r="Q298" i="17"/>
  <c r="J297" i="17"/>
  <c r="F296" i="17"/>
  <c r="W294" i="17"/>
  <c r="M293" i="17"/>
  <c r="K292" i="17"/>
  <c r="AE290" i="17"/>
  <c r="X289" i="17"/>
  <c r="Q288" i="17"/>
  <c r="C287" i="17"/>
  <c r="AD285" i="17"/>
  <c r="T284" i="17"/>
  <c r="H283" i="17"/>
  <c r="G282" i="17"/>
  <c r="AB280" i="17"/>
  <c r="O279" i="17"/>
  <c r="M278" i="17"/>
  <c r="H277" i="17"/>
  <c r="AA275" i="17"/>
  <c r="AB274" i="17"/>
  <c r="AC273" i="17"/>
  <c r="U272" i="17"/>
  <c r="Z271" i="17"/>
  <c r="Y270" i="17"/>
  <c r="W269" i="17"/>
  <c r="V268" i="17"/>
  <c r="U267" i="17"/>
  <c r="S266" i="17"/>
  <c r="R265" i="17"/>
  <c r="V264" i="17"/>
  <c r="Q263" i="17"/>
  <c r="P262" i="17"/>
  <c r="R261" i="17"/>
  <c r="M260" i="17"/>
  <c r="L259" i="17"/>
  <c r="P258" i="17"/>
  <c r="I257" i="17"/>
  <c r="J256" i="17"/>
  <c r="L255" i="17"/>
  <c r="I254" i="17"/>
  <c r="L253" i="17"/>
  <c r="N252" i="17"/>
  <c r="Q251" i="17"/>
  <c r="N250" i="17"/>
  <c r="R249" i="17"/>
  <c r="T248" i="17"/>
  <c r="W247" i="17"/>
  <c r="W246" i="17"/>
  <c r="T245" i="17"/>
  <c r="Y244" i="17"/>
  <c r="AC243" i="17"/>
  <c r="AC242" i="17"/>
  <c r="Z241" i="17"/>
  <c r="AE240" i="17"/>
  <c r="AE239" i="17"/>
  <c r="C239" i="17"/>
  <c r="AE237" i="17"/>
  <c r="F237" i="17"/>
  <c r="F236" i="17"/>
  <c r="I235" i="17"/>
  <c r="K234" i="17"/>
  <c r="K233" i="17"/>
  <c r="K232" i="17"/>
  <c r="Q231" i="17"/>
  <c r="Q230" i="17"/>
  <c r="Q229" i="17"/>
  <c r="Q228" i="17"/>
  <c r="V227" i="17"/>
  <c r="V226" i="17"/>
  <c r="V225" i="17"/>
  <c r="V224" i="17"/>
  <c r="AB223" i="17"/>
  <c r="AB222" i="17"/>
  <c r="AE221" i="17"/>
  <c r="AB220" i="17"/>
  <c r="B220" i="17"/>
  <c r="C219" i="17"/>
  <c r="F218" i="17"/>
  <c r="C217" i="17"/>
  <c r="H216" i="17"/>
  <c r="H215" i="17"/>
  <c r="K214" i="17"/>
  <c r="H213" i="17"/>
  <c r="J212" i="17"/>
  <c r="N211" i="17"/>
  <c r="S210" i="17"/>
  <c r="S209" i="17"/>
  <c r="R208" i="17"/>
  <c r="W207" i="17"/>
  <c r="Y206" i="17"/>
  <c r="A206" i="17"/>
  <c r="AE204" i="17"/>
  <c r="E204" i="17"/>
  <c r="G203" i="17"/>
  <c r="N202" i="17"/>
  <c r="M201" i="17"/>
  <c r="R200" i="17"/>
  <c r="V199" i="17"/>
  <c r="AA198" i="17"/>
  <c r="AC197" i="17"/>
  <c r="AE196" i="17"/>
  <c r="D196" i="17"/>
  <c r="I195" i="17"/>
  <c r="K194" i="17"/>
  <c r="M193" i="17"/>
  <c r="Q192" i="17"/>
  <c r="V191" i="17"/>
  <c r="X190" i="17"/>
  <c r="AB189" i="17"/>
  <c r="AD188" i="17"/>
  <c r="D188" i="17"/>
  <c r="F187" i="17"/>
  <c r="M186" i="17"/>
  <c r="L185" i="17"/>
  <c r="Q184" i="17"/>
  <c r="S183" i="17"/>
  <c r="Z182" i="17"/>
  <c r="Y181" i="17"/>
  <c r="AA180" i="17"/>
  <c r="C180" i="17"/>
  <c r="H179" i="17"/>
  <c r="G178" i="17"/>
  <c r="I177" i="17"/>
  <c r="P176" i="17"/>
  <c r="R175" i="17"/>
  <c r="W174" i="17"/>
  <c r="V173" i="17"/>
  <c r="AC172" i="17"/>
  <c r="AE171" i="17"/>
  <c r="E171" i="17"/>
  <c r="D170" i="17"/>
  <c r="K169" i="17"/>
  <c r="M168" i="17"/>
  <c r="R167" i="17"/>
  <c r="Q166" i="17"/>
  <c r="X165" i="17"/>
  <c r="Z164" i="17"/>
  <c r="AE163" i="17"/>
  <c r="D163" i="17"/>
  <c r="F162" i="17"/>
  <c r="H161" i="17"/>
  <c r="O160" i="17"/>
  <c r="Q159" i="17"/>
  <c r="S158" i="17"/>
  <c r="U157" i="17"/>
  <c r="AB156" i="17"/>
  <c r="AD155" i="17"/>
  <c r="AC154" i="17"/>
  <c r="C154" i="17"/>
  <c r="J153" i="17"/>
  <c r="L152" i="17"/>
  <c r="Q151" i="17"/>
  <c r="P150" i="17"/>
  <c r="T149" i="17"/>
  <c r="Y148" i="17"/>
  <c r="AD147" i="17"/>
  <c r="AC146" i="17"/>
  <c r="B146" i="17"/>
  <c r="G145" i="17"/>
  <c r="I144" i="17"/>
  <c r="K143" i="17"/>
  <c r="O142" i="17"/>
  <c r="T141" i="17"/>
  <c r="V140" i="17"/>
  <c r="AC139" i="17"/>
  <c r="AB138" i="17"/>
  <c r="B138" i="17"/>
  <c r="D137" i="17"/>
  <c r="K136" i="17"/>
  <c r="J135" i="17"/>
  <c r="O134" i="17"/>
  <c r="Q133" i="17"/>
  <c r="X132" i="17"/>
  <c r="W131" i="17"/>
  <c r="AB130" i="17"/>
  <c r="A130" i="17"/>
  <c r="Y772" i="17"/>
  <c r="Q737" i="17"/>
  <c r="O712" i="17"/>
  <c r="AC688" i="17"/>
  <c r="H677" i="17"/>
  <c r="N666" i="17"/>
  <c r="N653" i="17"/>
  <c r="S644" i="17"/>
  <c r="Q635" i="17"/>
  <c r="AB627" i="17"/>
  <c r="AA620" i="17"/>
  <c r="E615" i="17"/>
  <c r="AD607" i="17"/>
  <c r="U602" i="17"/>
  <c r="T597" i="17"/>
  <c r="AB591" i="17"/>
  <c r="X586" i="17"/>
  <c r="R581" i="17"/>
  <c r="A576" i="17"/>
  <c r="R570" i="17"/>
  <c r="F565" i="17"/>
  <c r="V558" i="17"/>
  <c r="H554" i="17"/>
  <c r="U549" i="17"/>
  <c r="Q543" i="17"/>
  <c r="AA539" i="17"/>
  <c r="U534" i="17"/>
  <c r="Q529" i="17"/>
  <c r="P524" i="17"/>
  <c r="E520" i="17"/>
  <c r="F515" i="17"/>
  <c r="T510" i="17"/>
  <c r="AD506" i="17"/>
  <c r="W502" i="17"/>
  <c r="R499" i="17"/>
  <c r="O496" i="17"/>
  <c r="B493" i="17"/>
  <c r="U489" i="17"/>
  <c r="G487" i="17"/>
  <c r="I483" i="17"/>
  <c r="AA480" i="17"/>
  <c r="AE477" i="17"/>
  <c r="B475" i="17"/>
  <c r="Z471" i="17"/>
  <c r="F469" i="17"/>
  <c r="A466" i="17"/>
  <c r="L463" i="17"/>
  <c r="T460" i="17"/>
  <c r="P457" i="17"/>
  <c r="AC454" i="17"/>
  <c r="AB451" i="17"/>
  <c r="D449" i="17"/>
  <c r="N446" i="17"/>
  <c r="Q443" i="17"/>
  <c r="W440" i="17"/>
  <c r="W437" i="17"/>
  <c r="S435" i="17"/>
  <c r="B432" i="17"/>
  <c r="B430" i="17"/>
  <c r="Q427" i="17"/>
  <c r="Y424" i="17"/>
  <c r="G422" i="17"/>
  <c r="T419" i="17"/>
  <c r="AC416" i="17"/>
  <c r="O414" i="17"/>
  <c r="D412" i="17"/>
  <c r="P409" i="17"/>
  <c r="F407" i="17"/>
  <c r="W404" i="17"/>
  <c r="E402" i="17"/>
  <c r="AB399" i="17"/>
  <c r="AE397" i="17"/>
  <c r="Z394" i="17"/>
  <c r="A393" i="17"/>
  <c r="W390" i="17"/>
  <c r="K388" i="17"/>
  <c r="A386" i="17"/>
  <c r="AB383" i="17"/>
  <c r="Q381" i="17"/>
  <c r="K379" i="17"/>
  <c r="N377" i="17"/>
  <c r="AE374" i="17"/>
  <c r="B373" i="17"/>
  <c r="C371" i="17"/>
  <c r="T368" i="17"/>
  <c r="U366" i="17"/>
  <c r="AE364" i="17"/>
  <c r="Y362" i="17"/>
  <c r="Z360" i="17"/>
  <c r="AE358" i="17"/>
  <c r="D357" i="17"/>
  <c r="Q355" i="17"/>
  <c r="Y353" i="17"/>
  <c r="U351" i="17"/>
  <c r="AB349" i="17"/>
  <c r="L348" i="17"/>
  <c r="L346" i="17"/>
  <c r="U344" i="17"/>
  <c r="V342" i="17"/>
  <c r="Y340" i="17"/>
  <c r="H339" i="17"/>
  <c r="P337" i="17"/>
  <c r="P335" i="17"/>
  <c r="U333" i="17"/>
  <c r="M332" i="17"/>
  <c r="M330" i="17"/>
  <c r="W328" i="17"/>
  <c r="E327" i="17"/>
  <c r="D325" i="17"/>
  <c r="U323" i="17"/>
  <c r="C322" i="17"/>
  <c r="F320" i="17"/>
  <c r="P318" i="17"/>
  <c r="B317" i="17"/>
  <c r="B315" i="17"/>
  <c r="N313" i="17"/>
  <c r="X311" i="17"/>
  <c r="AD309" i="17"/>
  <c r="R308" i="17"/>
  <c r="Z306" i="17"/>
  <c r="AC304" i="17"/>
  <c r="G303" i="17"/>
  <c r="AA301" i="17"/>
  <c r="AD299" i="17"/>
  <c r="K298" i="17"/>
  <c r="O296" i="17"/>
  <c r="U294" i="17"/>
  <c r="G293" i="17"/>
  <c r="T291" i="17"/>
  <c r="T289" i="17"/>
  <c r="AD287" i="17"/>
  <c r="P286" i="17"/>
  <c r="S284" i="17"/>
  <c r="AE282" i="17"/>
  <c r="M281" i="17"/>
  <c r="M279" i="17"/>
  <c r="AE277" i="17"/>
  <c r="R276" i="17"/>
  <c r="AA274" i="17"/>
  <c r="Q273" i="17"/>
  <c r="L272" i="17"/>
  <c r="X270" i="17"/>
  <c r="L269" i="17"/>
  <c r="B268" i="17"/>
  <c r="R266" i="17"/>
  <c r="L265" i="17"/>
  <c r="C264" i="17"/>
  <c r="O262" i="17"/>
  <c r="C261" i="17"/>
  <c r="AC259" i="17"/>
  <c r="M258" i="17"/>
  <c r="AE256" i="17"/>
  <c r="S255" i="17"/>
  <c r="H254" i="17"/>
  <c r="C253" i="17"/>
  <c r="Y251" i="17"/>
  <c r="M250" i="17"/>
  <c r="I249" i="17"/>
  <c r="B248" i="17"/>
  <c r="S246" i="17"/>
  <c r="O245" i="17"/>
  <c r="G244" i="17"/>
  <c r="AB242" i="17"/>
  <c r="T241" i="17"/>
  <c r="M240" i="17"/>
  <c r="B239" i="17"/>
  <c r="Z237" i="17"/>
  <c r="V236" i="17"/>
  <c r="H235" i="17"/>
  <c r="AE233" i="17"/>
  <c r="AA232" i="17"/>
  <c r="M231" i="17"/>
  <c r="F230" i="17"/>
  <c r="B229" i="17"/>
  <c r="U227" i="17"/>
  <c r="L226" i="17"/>
  <c r="G225" i="17"/>
  <c r="AA223" i="17"/>
  <c r="Q222" i="17"/>
  <c r="M221" i="17"/>
  <c r="A220" i="17"/>
  <c r="W218" i="17"/>
  <c r="S217" i="17"/>
  <c r="D216" i="17"/>
  <c r="C215" i="17"/>
  <c r="X213" i="17"/>
  <c r="I212" i="17"/>
  <c r="H211" i="17"/>
  <c r="AD209" i="17"/>
  <c r="Q208" i="17"/>
  <c r="R207" i="17"/>
  <c r="M206" i="17"/>
  <c r="AD204" i="17"/>
  <c r="AB203" i="17"/>
  <c r="U202" i="17"/>
  <c r="L201" i="17"/>
  <c r="J200" i="17"/>
  <c r="C199" i="17"/>
  <c r="Y197" i="17"/>
  <c r="W196" i="17"/>
  <c r="R195" i="17"/>
  <c r="J194" i="17"/>
  <c r="E193" i="17"/>
  <c r="AE191" i="17"/>
  <c r="W190" i="17"/>
  <c r="R189" i="17"/>
  <c r="P188" i="17"/>
  <c r="E187" i="17"/>
  <c r="AE185" i="17"/>
  <c r="AC184" i="17"/>
  <c r="R183" i="17"/>
  <c r="M182" i="17"/>
  <c r="K181" i="17"/>
  <c r="AE179" i="17"/>
  <c r="Z178" i="17"/>
  <c r="X177" i="17"/>
  <c r="O176" i="17"/>
  <c r="H175" i="17"/>
  <c r="F174" i="17"/>
  <c r="AB172" i="17"/>
  <c r="U171" i="17"/>
  <c r="S170" i="17"/>
  <c r="J169" i="17"/>
  <c r="H168" i="17"/>
  <c r="A167" i="17"/>
  <c r="W165" i="17"/>
  <c r="U164" i="17"/>
  <c r="N163" i="17"/>
  <c r="E162" i="17"/>
  <c r="C161" i="17"/>
  <c r="AA159" i="17"/>
  <c r="O158" i="17"/>
  <c r="P157" i="17"/>
  <c r="K156" i="17"/>
  <c r="AB154" i="17"/>
  <c r="AC153" i="17"/>
  <c r="X152" i="17"/>
  <c r="J151" i="17"/>
  <c r="K150" i="17"/>
  <c r="F149" i="17"/>
  <c r="Z147" i="17"/>
  <c r="U146" i="17"/>
  <c r="P145" i="17"/>
  <c r="H144" i="17"/>
  <c r="C143" i="17"/>
  <c r="D142" i="17"/>
  <c r="U140" i="17"/>
  <c r="P139" i="17"/>
  <c r="Q138" i="17"/>
  <c r="C137" i="17"/>
  <c r="AC135" i="17"/>
  <c r="AA134" i="17"/>
  <c r="P133" i="17"/>
  <c r="K132" i="17"/>
  <c r="I131" i="17"/>
  <c r="AC129" i="17"/>
  <c r="Y128" i="17"/>
  <c r="Y127" i="17"/>
  <c r="AD126" i="17"/>
  <c r="X125" i="17"/>
  <c r="V124" i="17"/>
  <c r="W123" i="17"/>
  <c r="U122" i="17"/>
  <c r="V121" i="17"/>
  <c r="Q120" i="17"/>
  <c r="V119" i="17"/>
  <c r="S118" i="17"/>
  <c r="U117" i="17"/>
  <c r="R116" i="17"/>
  <c r="U115" i="17"/>
  <c r="U114" i="17"/>
  <c r="X113" i="17"/>
  <c r="U112" i="17"/>
  <c r="AA111" i="17"/>
  <c r="AA110" i="17"/>
  <c r="AD109" i="17"/>
  <c r="AD108" i="17"/>
  <c r="AD107" i="17"/>
  <c r="AD106" i="17"/>
  <c r="E106" i="17"/>
  <c r="E105" i="17"/>
  <c r="E104" i="17"/>
  <c r="E103" i="17"/>
  <c r="H102" i="17"/>
  <c r="H101" i="17"/>
  <c r="E100" i="17"/>
  <c r="H99" i="17"/>
  <c r="N98" i="17"/>
  <c r="N97" i="17"/>
  <c r="Q96" i="17"/>
  <c r="N95" i="17"/>
  <c r="N94" i="17"/>
  <c r="Q93" i="17"/>
  <c r="W92" i="17"/>
  <c r="Q91" i="17"/>
  <c r="Q90" i="17"/>
  <c r="W89" i="17"/>
  <c r="W88" i="17"/>
  <c r="W87" i="17"/>
  <c r="W86" i="17"/>
  <c r="Z85" i="17"/>
  <c r="Z84" i="17"/>
  <c r="A84" i="17"/>
  <c r="AC82" i="17"/>
  <c r="A82" i="17"/>
  <c r="A81" i="17"/>
  <c r="D80" i="17"/>
  <c r="A79" i="17"/>
  <c r="D78" i="17"/>
  <c r="D77" i="17"/>
  <c r="J76" i="17"/>
  <c r="G75" i="17"/>
  <c r="J74" i="17"/>
  <c r="J73" i="17"/>
  <c r="M72" i="17"/>
  <c r="M71" i="17"/>
  <c r="M70" i="17"/>
  <c r="P69" i="17"/>
  <c r="S68" i="17"/>
  <c r="S67" i="17"/>
  <c r="P66" i="17"/>
  <c r="S65" i="17"/>
  <c r="V64" i="17"/>
  <c r="V63" i="17"/>
  <c r="S62" i="17"/>
  <c r="Y61" i="17"/>
  <c r="Y60" i="17"/>
  <c r="AB59" i="17"/>
  <c r="AE58" i="17"/>
  <c r="AB57" i="17"/>
  <c r="AB56" i="17"/>
  <c r="C56" i="17"/>
  <c r="C55" i="17"/>
  <c r="C54" i="17"/>
  <c r="C53" i="17"/>
  <c r="F52" i="17"/>
  <c r="F51" i="17"/>
  <c r="F50" i="17"/>
  <c r="F49" i="17"/>
  <c r="L48" i="17"/>
  <c r="L47" i="17"/>
  <c r="O46" i="17"/>
  <c r="L45" i="17"/>
  <c r="O44" i="17"/>
  <c r="O43" i="17"/>
  <c r="U42" i="17"/>
  <c r="O41" i="17"/>
  <c r="U40" i="17"/>
  <c r="U39" i="17"/>
  <c r="X38" i="17"/>
  <c r="U37" i="17"/>
  <c r="X36" i="17"/>
  <c r="X35" i="17"/>
  <c r="AD34" i="17"/>
  <c r="AD33" i="17"/>
  <c r="AA32" i="17"/>
  <c r="AD31" i="17"/>
  <c r="B31" i="17"/>
  <c r="B30" i="17"/>
  <c r="AD28" i="17"/>
  <c r="B28" i="17"/>
  <c r="B27" i="17"/>
  <c r="H26" i="17"/>
  <c r="E25" i="17"/>
  <c r="H24" i="17"/>
  <c r="H23" i="17"/>
  <c r="K22" i="17"/>
  <c r="K21" i="17"/>
  <c r="K20" i="17"/>
  <c r="N19" i="17"/>
  <c r="Q18" i="17"/>
  <c r="Q17" i="17"/>
  <c r="Q16" i="17"/>
  <c r="Q15" i="17"/>
  <c r="T14" i="17"/>
  <c r="T13" i="17"/>
  <c r="W12" i="17"/>
  <c r="W11" i="17"/>
  <c r="Z10" i="17"/>
  <c r="Z9" i="17"/>
  <c r="AC8" i="17"/>
  <c r="Z7" i="17"/>
  <c r="AC6" i="17"/>
  <c r="A6" i="17"/>
  <c r="D5" i="17"/>
  <c r="A4" i="17"/>
  <c r="D3" i="17"/>
  <c r="D2" i="17"/>
  <c r="I767" i="17"/>
  <c r="D737" i="17"/>
  <c r="L712" i="17"/>
  <c r="AB688" i="17"/>
  <c r="V675" i="17"/>
  <c r="X665" i="17"/>
  <c r="L653" i="17"/>
  <c r="B644" i="17"/>
  <c r="C635" i="17"/>
  <c r="P627" i="17"/>
  <c r="Z620" i="17"/>
  <c r="D615" i="17"/>
  <c r="AB607" i="17"/>
  <c r="S602" i="17"/>
  <c r="S597" i="17"/>
  <c r="Z591" i="17"/>
  <c r="W586" i="17"/>
  <c r="M581" i="17"/>
  <c r="U575" i="17"/>
  <c r="L570" i="17"/>
  <c r="B565" i="17"/>
  <c r="P558" i="17"/>
  <c r="C554" i="17"/>
  <c r="T549" i="17"/>
  <c r="P543" i="17"/>
  <c r="AE538" i="17"/>
  <c r="Q534" i="17"/>
  <c r="G529" i="17"/>
  <c r="O524" i="17"/>
  <c r="AB519" i="17"/>
  <c r="E515" i="17"/>
  <c r="S510" i="17"/>
  <c r="W506" i="17"/>
  <c r="V502" i="17"/>
  <c r="N499" i="17"/>
  <c r="J496" i="17"/>
  <c r="AE492" i="17"/>
  <c r="T489" i="17"/>
  <c r="U486" i="17"/>
  <c r="D483" i="17"/>
  <c r="J480" i="17"/>
  <c r="AD477" i="17"/>
  <c r="G474" i="17"/>
  <c r="Y471" i="17"/>
  <c r="C469" i="17"/>
  <c r="AE465" i="17"/>
  <c r="H463" i="17"/>
  <c r="S460" i="17"/>
  <c r="O457" i="17"/>
  <c r="Z454" i="17"/>
  <c r="AA451" i="17"/>
  <c r="C449" i="17"/>
  <c r="E446" i="17"/>
  <c r="P443" i="17"/>
  <c r="Q440" i="17"/>
  <c r="V437" i="17"/>
  <c r="R435" i="17"/>
  <c r="A432" i="17"/>
  <c r="A430" i="17"/>
  <c r="M427" i="17"/>
  <c r="U424" i="17"/>
  <c r="E422" i="17"/>
  <c r="S419" i="17"/>
  <c r="Y416" i="17"/>
  <c r="N414" i="17"/>
  <c r="C412" i="17"/>
  <c r="M409" i="17"/>
  <c r="D407" i="17"/>
  <c r="V404" i="17"/>
  <c r="D402" i="17"/>
  <c r="T399" i="17"/>
  <c r="L397" i="17"/>
  <c r="Y394" i="17"/>
  <c r="N392" i="17"/>
  <c r="V390" i="17"/>
  <c r="X387" i="17"/>
  <c r="AE385" i="17"/>
  <c r="X383" i="17"/>
  <c r="K381" i="17"/>
  <c r="J379" i="17"/>
  <c r="K377" i="17"/>
  <c r="AD374" i="17"/>
  <c r="AC372" i="17"/>
  <c r="AE370" i="17"/>
  <c r="Q368" i="17"/>
  <c r="T366" i="17"/>
  <c r="U364" i="17"/>
  <c r="L362" i="17"/>
  <c r="Y360" i="17"/>
  <c r="AD358" i="17"/>
  <c r="B357" i="17"/>
  <c r="F355" i="17"/>
  <c r="X353" i="17"/>
  <c r="T351" i="17"/>
  <c r="AA349" i="17"/>
  <c r="C348" i="17"/>
  <c r="AD345" i="17"/>
  <c r="Q344" i="17"/>
  <c r="U342" i="17"/>
  <c r="W340" i="17"/>
  <c r="AE338" i="17"/>
  <c r="O337" i="17"/>
  <c r="G335" i="17"/>
  <c r="T333" i="17"/>
  <c r="AD331" i="17"/>
  <c r="G330" i="17"/>
  <c r="V328" i="17"/>
  <c r="AE326" i="17"/>
  <c r="C325" i="17"/>
  <c r="P323" i="17"/>
  <c r="AD321" i="17"/>
  <c r="E320" i="17"/>
  <c r="O318" i="17"/>
  <c r="U316" i="17"/>
  <c r="AA314" i="17"/>
  <c r="M313" i="17"/>
  <c r="W311" i="17"/>
  <c r="AC309" i="17"/>
  <c r="E308" i="17"/>
  <c r="Y306" i="17"/>
  <c r="X304" i="17"/>
  <c r="F303" i="17"/>
  <c r="P301" i="17"/>
  <c r="P299" i="17"/>
  <c r="B298" i="17"/>
  <c r="N296" i="17"/>
  <c r="T294" i="17"/>
  <c r="B293" i="17"/>
  <c r="S291" i="17"/>
  <c r="R289" i="17"/>
  <c r="AC287" i="17"/>
  <c r="G286" i="17"/>
  <c r="M284" i="17"/>
  <c r="AD282" i="17"/>
  <c r="I281" i="17"/>
  <c r="L279" i="17"/>
  <c r="Z277" i="17"/>
  <c r="N276" i="17"/>
  <c r="Z274" i="17"/>
  <c r="P273" i="17"/>
  <c r="A272" i="17"/>
  <c r="P270" i="17"/>
  <c r="K269" i="17"/>
  <c r="A268" i="17"/>
  <c r="M266" i="17"/>
  <c r="D265" i="17"/>
  <c r="AA263" i="17"/>
  <c r="N262" i="17"/>
  <c r="B261" i="17"/>
  <c r="W259" i="17"/>
  <c r="D258" i="17"/>
  <c r="AD256" i="17"/>
  <c r="R255" i="17"/>
  <c r="G254" i="17"/>
  <c r="B253" i="17"/>
  <c r="X251" i="17"/>
  <c r="L250" i="17"/>
  <c r="H249" i="17"/>
  <c r="AC247" i="17"/>
  <c r="R246" i="17"/>
  <c r="N245" i="17"/>
  <c r="F244" i="17"/>
  <c r="W242" i="17"/>
  <c r="S241" i="17"/>
  <c r="L240" i="17"/>
  <c r="A239" i="17"/>
  <c r="Y237" i="17"/>
  <c r="Q236" i="17"/>
  <c r="G235" i="17"/>
  <c r="AD233" i="17"/>
  <c r="Z232" i="17"/>
  <c r="L231" i="17"/>
  <c r="E230" i="17"/>
  <c r="A229" i="17"/>
  <c r="R227" i="17"/>
  <c r="K226" i="17"/>
  <c r="F225" i="17"/>
  <c r="Z223" i="17"/>
  <c r="P222" i="17"/>
  <c r="L221" i="17"/>
  <c r="Z219" i="17"/>
  <c r="S218" i="17"/>
  <c r="R217" i="17"/>
  <c r="A216" i="17"/>
  <c r="X214" i="17"/>
  <c r="W213" i="17"/>
  <c r="H212" i="17"/>
  <c r="G211" i="17"/>
  <c r="AC209" i="17"/>
  <c r="P208" i="17"/>
  <c r="N207" i="17"/>
  <c r="G206" i="17"/>
  <c r="AC204" i="17"/>
  <c r="AA203" i="17"/>
  <c r="T202" i="17"/>
  <c r="K201" i="17"/>
  <c r="I200" i="17"/>
  <c r="B199" i="17"/>
  <c r="X197" i="17"/>
  <c r="V196" i="17"/>
  <c r="O195" i="17"/>
  <c r="F194" i="17"/>
  <c r="D193" i="17"/>
  <c r="AD191" i="17"/>
  <c r="V190" i="17"/>
  <c r="Q189" i="17"/>
  <c r="L188" i="17"/>
  <c r="D187" i="17"/>
  <c r="AD185" i="17"/>
  <c r="AB184" i="17"/>
  <c r="Q183" i="17"/>
  <c r="L182" i="17"/>
  <c r="J181" i="17"/>
  <c r="AD179" i="17"/>
  <c r="Y178" i="17"/>
  <c r="W177" i="17"/>
  <c r="L176" i="17"/>
  <c r="G175" i="17"/>
  <c r="E174" i="17"/>
  <c r="AA172" i="17"/>
  <c r="T171" i="17"/>
  <c r="R170" i="17"/>
  <c r="I169" i="17"/>
  <c r="B168" i="17"/>
  <c r="AE166" i="17"/>
  <c r="V165" i="17"/>
  <c r="T164" i="17"/>
  <c r="M163" i="17"/>
  <c r="A162" i="17"/>
  <c r="B161" i="17"/>
  <c r="Z159" i="17"/>
  <c r="N158" i="17"/>
  <c r="O157" i="17"/>
  <c r="H156" i="17"/>
  <c r="AA154" i="17"/>
  <c r="AB153" i="17"/>
  <c r="W152" i="17"/>
  <c r="I151" i="17"/>
  <c r="G150" i="17"/>
  <c r="AE148" i="17"/>
  <c r="V147" i="17"/>
  <c r="T146" i="17"/>
  <c r="M145" i="17"/>
  <c r="G144" i="17"/>
  <c r="B143" i="17"/>
  <c r="AB141" i="17"/>
  <c r="T140" i="17"/>
  <c r="O139" i="17"/>
  <c r="M138" i="17"/>
  <c r="B137" i="17"/>
  <c r="AB135" i="17"/>
  <c r="Z134" i="17"/>
  <c r="O133" i="17"/>
  <c r="J132" i="17"/>
  <c r="H131" i="17"/>
  <c r="AB129" i="17"/>
  <c r="X128" i="17"/>
  <c r="X127" i="17"/>
  <c r="V126" i="17"/>
  <c r="W125" i="17"/>
  <c r="U124" i="17"/>
  <c r="V123" i="17"/>
  <c r="T122" i="17"/>
  <c r="R121" i="17"/>
  <c r="P120" i="17"/>
  <c r="Q119" i="17"/>
  <c r="R118" i="17"/>
  <c r="T117" i="17"/>
  <c r="Q116" i="17"/>
  <c r="T115" i="17"/>
  <c r="T114" i="17"/>
  <c r="W113" i="17"/>
  <c r="T112" i="17"/>
  <c r="Z111" i="17"/>
  <c r="Z110" i="17"/>
  <c r="AC109" i="17"/>
  <c r="Z108" i="17"/>
  <c r="AC107" i="17"/>
  <c r="AC106" i="17"/>
  <c r="A106" i="17"/>
  <c r="D105" i="17"/>
  <c r="AC103" i="17"/>
  <c r="D103" i="17"/>
  <c r="G102" i="17"/>
  <c r="G101" i="17"/>
  <c r="D100" i="17"/>
  <c r="G99" i="17"/>
  <c r="G98" i="17"/>
  <c r="M97" i="17"/>
  <c r="G96" i="17"/>
  <c r="M95" i="17"/>
  <c r="M94" i="17"/>
  <c r="P93" i="17"/>
  <c r="P92" i="17"/>
  <c r="P91" i="17"/>
  <c r="P90" i="17"/>
  <c r="V89" i="17"/>
  <c r="V88" i="17"/>
  <c r="V87" i="17"/>
  <c r="V86" i="17"/>
  <c r="Y85" i="17"/>
  <c r="Y84" i="17"/>
  <c r="Y83" i="17"/>
  <c r="Y82" i="17"/>
  <c r="AE81" i="17"/>
  <c r="AE80" i="17"/>
  <c r="C80" i="17"/>
  <c r="AE78" i="17"/>
  <c r="C78" i="17"/>
  <c r="C77" i="17"/>
  <c r="I76" i="17"/>
  <c r="F75" i="17"/>
  <c r="I74" i="17"/>
  <c r="I73" i="17"/>
  <c r="L72" i="17"/>
  <c r="I71" i="17"/>
  <c r="I70" i="17"/>
  <c r="L69" i="17"/>
  <c r="R68" i="17"/>
  <c r="R67" i="17"/>
  <c r="O66" i="17"/>
  <c r="R65" i="17"/>
  <c r="R64" i="17"/>
  <c r="U63" i="17"/>
  <c r="R62" i="17"/>
  <c r="X61" i="17"/>
  <c r="X60" i="17"/>
  <c r="AA59" i="17"/>
  <c r="X58" i="17"/>
  <c r="AA57" i="17"/>
  <c r="AA56" i="17"/>
  <c r="AD55" i="17"/>
  <c r="B55" i="17"/>
  <c r="B54" i="17"/>
  <c r="B53" i="17"/>
  <c r="E52" i="17"/>
  <c r="E51" i="17"/>
  <c r="E50" i="17"/>
  <c r="E49" i="17"/>
  <c r="K48" i="17"/>
  <c r="K47" i="17"/>
  <c r="K46" i="17"/>
  <c r="K45" i="17"/>
  <c r="N44" i="17"/>
  <c r="N43" i="17"/>
  <c r="Q42" i="17"/>
  <c r="N41" i="17"/>
  <c r="T40" i="17"/>
  <c r="T39" i="17"/>
  <c r="W38" i="17"/>
  <c r="T37" i="17"/>
  <c r="T36" i="17"/>
  <c r="W35" i="17"/>
  <c r="AC34" i="17"/>
  <c r="W33" i="17"/>
  <c r="W32" i="17"/>
  <c r="AC31" i="17"/>
  <c r="AC30" i="17"/>
  <c r="A30" i="17"/>
  <c r="AC28" i="17"/>
  <c r="A28" i="17"/>
  <c r="A27" i="17"/>
  <c r="G26" i="17"/>
  <c r="D25" i="17"/>
  <c r="G24" i="17"/>
  <c r="G23" i="17"/>
  <c r="J22" i="17"/>
  <c r="G21" i="17"/>
  <c r="J20" i="17"/>
  <c r="J19" i="17"/>
  <c r="P18" i="17"/>
  <c r="P17" i="17"/>
  <c r="P16" i="17"/>
  <c r="P15" i="17"/>
  <c r="S14" i="17"/>
  <c r="S13" i="17"/>
  <c r="S12" i="17"/>
  <c r="V11" i="17"/>
  <c r="Y10" i="17"/>
  <c r="Y9" i="17"/>
  <c r="V8" i="17"/>
  <c r="Y7" i="17"/>
  <c r="AB6" i="17"/>
  <c r="AB5" i="17"/>
  <c r="C5" i="17"/>
  <c r="AE3" i="17"/>
  <c r="AE2" i="17"/>
  <c r="C2" i="17"/>
  <c r="H767" i="17"/>
  <c r="L733" i="17"/>
  <c r="K712" i="17"/>
  <c r="X685" i="17"/>
  <c r="P674" i="17"/>
  <c r="Q663" i="17"/>
  <c r="B653" i="17"/>
  <c r="AC643" i="17"/>
  <c r="Y634" i="17"/>
  <c r="O627" i="17"/>
  <c r="Y620" i="17"/>
  <c r="AE614" i="17"/>
  <c r="Z607" i="17"/>
  <c r="J602" i="17"/>
  <c r="P597" i="17"/>
  <c r="W591" i="17"/>
  <c r="S586" i="17"/>
  <c r="C581" i="17"/>
  <c r="L574" i="17"/>
  <c r="H569" i="17"/>
  <c r="W563" i="17"/>
  <c r="O558" i="17"/>
  <c r="I553" i="17"/>
  <c r="AC548" i="17"/>
  <c r="O543" i="17"/>
  <c r="S538" i="17"/>
  <c r="L534" i="17"/>
  <c r="F528" i="17"/>
  <c r="N524" i="17"/>
  <c r="Y519" i="17"/>
  <c r="D515" i="17"/>
  <c r="R510" i="17"/>
  <c r="R506" i="17"/>
  <c r="U502" i="17"/>
  <c r="K499" i="17"/>
  <c r="I496" i="17"/>
  <c r="X492" i="17"/>
  <c r="R489" i="17"/>
  <c r="T486" i="17"/>
  <c r="C483" i="17"/>
  <c r="I480" i="17"/>
  <c r="AC477" i="17"/>
  <c r="F474" i="17"/>
  <c r="X471" i="17"/>
  <c r="B469" i="17"/>
  <c r="AD465" i="17"/>
  <c r="G463" i="17"/>
  <c r="R460" i="17"/>
  <c r="N457" i="17"/>
  <c r="Y454" i="17"/>
  <c r="Z451" i="17"/>
  <c r="A449" i="17"/>
  <c r="D446" i="17"/>
  <c r="O443" i="17"/>
  <c r="J440" i="17"/>
  <c r="U437" i="17"/>
  <c r="AE434" i="17"/>
  <c r="AE431" i="17"/>
  <c r="O429" i="17"/>
  <c r="L427" i="17"/>
  <c r="A424" i="17"/>
  <c r="AD421" i="17"/>
  <c r="R419" i="17"/>
  <c r="X416" i="17"/>
  <c r="M414" i="17"/>
  <c r="B412" i="17"/>
  <c r="L409" i="17"/>
  <c r="AE406" i="17"/>
  <c r="U404" i="17"/>
  <c r="C402" i="17"/>
  <c r="S399" i="17"/>
  <c r="K397" i="17"/>
  <c r="R394" i="17"/>
  <c r="M392" i="17"/>
  <c r="U390" i="17"/>
  <c r="W387" i="17"/>
  <c r="AD385" i="17"/>
  <c r="W383" i="17"/>
  <c r="J381" i="17"/>
  <c r="I379" i="17"/>
  <c r="J377" i="17"/>
  <c r="AC374" i="17"/>
  <c r="AB372" i="17"/>
  <c r="Z370" i="17"/>
  <c r="P368" i="17"/>
  <c r="S366" i="17"/>
  <c r="N364" i="17"/>
  <c r="K362" i="17"/>
  <c r="W360" i="17"/>
  <c r="AC358" i="17"/>
  <c r="AC356" i="17"/>
  <c r="C355" i="17"/>
  <c r="V353" i="17"/>
  <c r="R351" i="17"/>
  <c r="Z349" i="17"/>
  <c r="B348" i="17"/>
  <c r="AC345" i="17"/>
  <c r="M344" i="17"/>
  <c r="T342" i="17"/>
  <c r="V340" i="17"/>
  <c r="AA338" i="17"/>
  <c r="J337" i="17"/>
  <c r="F335" i="17"/>
  <c r="S333" i="17"/>
  <c r="AC331" i="17"/>
  <c r="A330" i="17"/>
  <c r="U328" i="17"/>
  <c r="AD326" i="17"/>
  <c r="B325" i="17"/>
  <c r="L323" i="17"/>
  <c r="Z321" i="17"/>
  <c r="D320" i="17"/>
  <c r="N318" i="17"/>
  <c r="T316" i="17"/>
  <c r="Z314" i="17"/>
  <c r="L313" i="17"/>
  <c r="V311" i="17"/>
  <c r="V309" i="17"/>
  <c r="D308" i="17"/>
  <c r="T306" i="17"/>
  <c r="W304" i="17"/>
  <c r="E303" i="17"/>
  <c r="O301" i="17"/>
  <c r="O299" i="17"/>
  <c r="A298" i="17"/>
  <c r="M296" i="17"/>
  <c r="S294" i="17"/>
  <c r="AC292" i="17"/>
  <c r="L291" i="17"/>
  <c r="Q289" i="17"/>
  <c r="AB287" i="17"/>
  <c r="F286" i="17"/>
  <c r="L284" i="17"/>
  <c r="AC282" i="17"/>
  <c r="H281" i="17"/>
  <c r="I279" i="17"/>
  <c r="Y277" i="17"/>
  <c r="M276" i="17"/>
  <c r="X274" i="17"/>
  <c r="L273" i="17"/>
  <c r="AE271" i="17"/>
  <c r="O270" i="17"/>
  <c r="J269" i="17"/>
  <c r="AE267" i="17"/>
  <c r="L266" i="17"/>
  <c r="A265" i="17"/>
  <c r="Z263" i="17"/>
  <c r="L262" i="17"/>
  <c r="A261" i="17"/>
  <c r="V259" i="17"/>
  <c r="C258" i="17"/>
  <c r="AC256" i="17"/>
  <c r="Q255" i="17"/>
  <c r="F254" i="17"/>
  <c r="A253" i="17"/>
  <c r="W251" i="17"/>
  <c r="K250" i="17"/>
  <c r="G249" i="17"/>
  <c r="AB247" i="17"/>
  <c r="Q246" i="17"/>
  <c r="M245" i="17"/>
  <c r="C244" i="17"/>
  <c r="V242" i="17"/>
  <c r="R241" i="17"/>
  <c r="K240" i="17"/>
  <c r="AB238" i="17"/>
  <c r="X237" i="17"/>
  <c r="P236" i="17"/>
  <c r="F235" i="17"/>
  <c r="AC233" i="17"/>
  <c r="V232" i="17"/>
  <c r="K231" i="17"/>
  <c r="D230" i="17"/>
  <c r="AE228" i="17"/>
  <c r="Q227" i="17"/>
  <c r="J226" i="17"/>
  <c r="E225" i="17"/>
  <c r="S223" i="17"/>
  <c r="L222" i="17"/>
  <c r="K221" i="17"/>
  <c r="Y219" i="17"/>
  <c r="R218" i="17"/>
  <c r="Q217" i="17"/>
  <c r="AE215" i="17"/>
  <c r="W214" i="17"/>
  <c r="V213" i="17"/>
  <c r="E212" i="17"/>
  <c r="AC210" i="17"/>
  <c r="Y209" i="17"/>
  <c r="O208" i="17"/>
  <c r="K207" i="17"/>
  <c r="F206" i="17"/>
  <c r="AB204" i="17"/>
  <c r="Z203" i="17"/>
  <c r="S202" i="17"/>
  <c r="J201" i="17"/>
  <c r="H200" i="17"/>
  <c r="A199" i="17"/>
  <c r="W197" i="17"/>
  <c r="U196" i="17"/>
  <c r="N195" i="17"/>
  <c r="E194" i="17"/>
  <c r="C193" i="17"/>
  <c r="AA191" i="17"/>
  <c r="R190" i="17"/>
  <c r="P189" i="17"/>
  <c r="K188" i="17"/>
  <c r="C187" i="17"/>
  <c r="AC185" i="17"/>
  <c r="X184" i="17"/>
  <c r="P183" i="17"/>
  <c r="K182" i="17"/>
  <c r="I181" i="17"/>
  <c r="AC179" i="17"/>
  <c r="X178" i="17"/>
  <c r="V177" i="17"/>
  <c r="K176" i="17"/>
  <c r="F175" i="17"/>
  <c r="D174" i="17"/>
  <c r="X172" i="17"/>
  <c r="S171" i="17"/>
  <c r="Q170" i="17"/>
  <c r="H169" i="17"/>
  <c r="A168" i="17"/>
  <c r="AD166" i="17"/>
  <c r="P165" i="17"/>
  <c r="K164" i="17"/>
  <c r="L163" i="17"/>
  <c r="AC161" i="17"/>
  <c r="A161" i="17"/>
  <c r="Y159" i="17"/>
  <c r="M158" i="17"/>
  <c r="N157" i="17"/>
  <c r="G156" i="17"/>
  <c r="Z154" i="17"/>
  <c r="X153" i="17"/>
  <c r="Q152" i="17"/>
  <c r="H151" i="17"/>
  <c r="F150" i="17"/>
  <c r="AD148" i="17"/>
  <c r="U147" i="17"/>
  <c r="S146" i="17"/>
  <c r="L145" i="17"/>
  <c r="C144" i="17"/>
  <c r="A143" i="17"/>
  <c r="Y141" i="17"/>
  <c r="S140" i="17"/>
  <c r="N139" i="17"/>
  <c r="I138" i="17"/>
  <c r="A137" i="17"/>
  <c r="AA135" i="17"/>
  <c r="Y134" i="17"/>
  <c r="N133" i="17"/>
  <c r="I132" i="17"/>
  <c r="G131" i="17"/>
  <c r="AA129" i="17"/>
  <c r="W128" i="17"/>
  <c r="W127" i="17"/>
  <c r="U126" i="17"/>
  <c r="S125" i="17"/>
  <c r="T124" i="17"/>
  <c r="U123" i="17"/>
  <c r="S122" i="17"/>
  <c r="Q121" i="17"/>
  <c r="O120" i="17"/>
  <c r="P119" i="17"/>
  <c r="N118" i="17"/>
  <c r="P117" i="17"/>
  <c r="P116" i="17"/>
  <c r="S115" i="17"/>
  <c r="S114" i="17"/>
  <c r="V113" i="17"/>
  <c r="S112" i="17"/>
  <c r="V111" i="17"/>
  <c r="Y110" i="17"/>
  <c r="AB109" i="17"/>
  <c r="Y108" i="17"/>
  <c r="Y107" i="17"/>
  <c r="AB106" i="17"/>
  <c r="AE105" i="17"/>
  <c r="AB104" i="17"/>
  <c r="AB103" i="17"/>
  <c r="C103" i="17"/>
  <c r="C102" i="17"/>
  <c r="F101" i="17"/>
  <c r="C100" i="17"/>
  <c r="F99" i="17"/>
  <c r="F98" i="17"/>
  <c r="L97" i="17"/>
  <c r="F96" i="17"/>
  <c r="L95" i="17"/>
  <c r="L94" i="17"/>
  <c r="O93" i="17"/>
  <c r="L92" i="17"/>
  <c r="O91" i="17"/>
  <c r="O90" i="17"/>
  <c r="U89" i="17"/>
  <c r="U88" i="17"/>
  <c r="U87" i="17"/>
  <c r="U86" i="17"/>
  <c r="X85" i="17"/>
  <c r="X84" i="17"/>
  <c r="X83" i="17"/>
  <c r="X82" i="17"/>
  <c r="AD81" i="17"/>
  <c r="AD80" i="17"/>
  <c r="AA79" i="17"/>
  <c r="AD78" i="17"/>
  <c r="B78" i="17"/>
  <c r="B77" i="17"/>
  <c r="H76" i="17"/>
  <c r="B75" i="17"/>
  <c r="E74" i="17"/>
  <c r="H73" i="17"/>
  <c r="K72" i="17"/>
  <c r="H71" i="17"/>
  <c r="H70" i="17"/>
  <c r="K69" i="17"/>
  <c r="K68" i="17"/>
  <c r="N67" i="17"/>
  <c r="N66" i="17"/>
  <c r="Q65" i="17"/>
  <c r="Q64" i="17"/>
  <c r="T63" i="17"/>
  <c r="Q62" i="17"/>
  <c r="T61" i="17"/>
  <c r="W60" i="17"/>
  <c r="Z59" i="17"/>
  <c r="W58" i="17"/>
  <c r="Z57" i="17"/>
  <c r="Z56" i="17"/>
  <c r="AC55" i="17"/>
  <c r="Z54" i="17"/>
  <c r="A54" i="17"/>
  <c r="A53" i="17"/>
  <c r="D52" i="17"/>
  <c r="D51" i="17"/>
  <c r="D50" i="17"/>
  <c r="D49" i="17"/>
  <c r="G48" i="17"/>
  <c r="J47" i="17"/>
  <c r="D46" i="17"/>
  <c r="J45" i="17"/>
  <c r="M44" i="17"/>
  <c r="M43" i="17"/>
  <c r="J42" i="17"/>
  <c r="M41" i="17"/>
  <c r="M40" i="17"/>
  <c r="S39" i="17"/>
  <c r="V38" i="17"/>
  <c r="S37" i="17"/>
  <c r="S36" i="17"/>
  <c r="V35" i="17"/>
  <c r="V34" i="17"/>
  <c r="V33" i="17"/>
  <c r="V32" i="17"/>
  <c r="AB31" i="17"/>
  <c r="AB30" i="17"/>
  <c r="AB29" i="17"/>
  <c r="AB28" i="17"/>
  <c r="AE27" i="17"/>
  <c r="AE26" i="17"/>
  <c r="F26" i="17"/>
  <c r="AE24" i="17"/>
  <c r="F24" i="17"/>
  <c r="F23" i="17"/>
  <c r="I22" i="17"/>
  <c r="F21" i="17"/>
  <c r="I20" i="17"/>
  <c r="I19" i="17"/>
  <c r="O18" i="17"/>
  <c r="L17" i="17"/>
  <c r="O16" i="17"/>
  <c r="O15" i="17"/>
  <c r="R14" i="17"/>
  <c r="R13" i="17"/>
  <c r="O12" i="17"/>
  <c r="R11" i="17"/>
  <c r="X10" i="17"/>
  <c r="X9" i="17"/>
  <c r="U8" i="17"/>
  <c r="X7" i="17"/>
  <c r="X6" i="17"/>
  <c r="AA5" i="17"/>
  <c r="X4" i="17"/>
  <c r="AD3" i="17"/>
  <c r="AD2" i="17"/>
  <c r="B2" i="17"/>
  <c r="AD765" i="17"/>
  <c r="U732" i="17"/>
  <c r="AD707" i="17"/>
  <c r="W685" i="17"/>
  <c r="J673" i="17"/>
  <c r="P663" i="17"/>
  <c r="AD652" i="17"/>
  <c r="AB643" i="17"/>
  <c r="W634" i="17"/>
  <c r="N626" i="17"/>
  <c r="U620" i="17"/>
  <c r="AA614" i="17"/>
  <c r="X607" i="17"/>
  <c r="I602" i="17"/>
  <c r="N597" i="17"/>
  <c r="U591" i="17"/>
  <c r="J586" i="17"/>
  <c r="B581" i="17"/>
  <c r="K574" i="17"/>
  <c r="D569" i="17"/>
  <c r="T563" i="17"/>
  <c r="N558" i="17"/>
  <c r="H553" i="17"/>
  <c r="X548" i="17"/>
  <c r="H543" i="17"/>
  <c r="N538" i="17"/>
  <c r="K534" i="17"/>
  <c r="A528" i="17"/>
  <c r="E524" i="17"/>
  <c r="X519" i="17"/>
  <c r="J514" i="17"/>
  <c r="K510" i="17"/>
  <c r="J506" i="17"/>
  <c r="T502" i="17"/>
  <c r="J499" i="17"/>
  <c r="E496" i="17"/>
  <c r="T492" i="17"/>
  <c r="Q489" i="17"/>
  <c r="S486" i="17"/>
  <c r="B483" i="17"/>
  <c r="F480" i="17"/>
  <c r="J477" i="17"/>
  <c r="E474" i="17"/>
  <c r="E471" i="17"/>
  <c r="AC468" i="17"/>
  <c r="I465" i="17"/>
  <c r="F463" i="17"/>
  <c r="I460" i="17"/>
  <c r="L457" i="17"/>
  <c r="W454" i="17"/>
  <c r="Y451" i="17"/>
  <c r="AE448" i="17"/>
  <c r="A446" i="17"/>
  <c r="N443" i="17"/>
  <c r="I440" i="17"/>
  <c r="S437" i="17"/>
  <c r="AA434" i="17"/>
  <c r="AD431" i="17"/>
  <c r="N429" i="17"/>
  <c r="K427" i="17"/>
  <c r="AE423" i="17"/>
  <c r="AC421" i="17"/>
  <c r="Q419" i="17"/>
  <c r="S416" i="17"/>
  <c r="L414" i="17"/>
  <c r="AB411" i="17"/>
  <c r="K409" i="17"/>
  <c r="AD406" i="17"/>
  <c r="T404" i="17"/>
  <c r="A402" i="17"/>
  <c r="R399" i="17"/>
  <c r="J397" i="17"/>
  <c r="Q394" i="17"/>
  <c r="L392" i="17"/>
  <c r="F390" i="17"/>
  <c r="V387" i="17"/>
  <c r="O385" i="17"/>
  <c r="V383" i="17"/>
  <c r="AC380" i="17"/>
  <c r="H379" i="17"/>
  <c r="H377" i="17"/>
  <c r="Z374" i="17"/>
  <c r="AA372" i="17"/>
  <c r="V370" i="17"/>
  <c r="O368" i="17"/>
  <c r="P366" i="17"/>
  <c r="M364" i="17"/>
  <c r="J362" i="17"/>
  <c r="V360" i="17"/>
  <c r="AB358" i="17"/>
  <c r="X356" i="17"/>
  <c r="AE354" i="17"/>
  <c r="O353" i="17"/>
  <c r="Q351" i="17"/>
  <c r="V349" i="17"/>
  <c r="AE347" i="17"/>
  <c r="AB345" i="17"/>
  <c r="L344" i="17"/>
  <c r="S342" i="17"/>
  <c r="S340" i="17"/>
  <c r="Z338" i="17"/>
  <c r="I337" i="17"/>
  <c r="E335" i="17"/>
  <c r="R333" i="17"/>
  <c r="AB331" i="17"/>
  <c r="AE329" i="17"/>
  <c r="Q328" i="17"/>
  <c r="AC326" i="17"/>
  <c r="AC324" i="17"/>
  <c r="I323" i="17"/>
  <c r="Y321" i="17"/>
  <c r="B320" i="17"/>
  <c r="G318" i="17"/>
  <c r="S316" i="17"/>
  <c r="Y314" i="17"/>
  <c r="K313" i="17"/>
  <c r="U311" i="17"/>
  <c r="U309" i="17"/>
  <c r="C308" i="17"/>
  <c r="S306" i="17"/>
  <c r="V304" i="17"/>
  <c r="D303" i="17"/>
  <c r="N301" i="17"/>
  <c r="N299" i="17"/>
  <c r="AE297" i="17"/>
  <c r="L296" i="17"/>
  <c r="O294" i="17"/>
  <c r="AB292" i="17"/>
  <c r="K291" i="17"/>
  <c r="N289" i="17"/>
  <c r="X287" i="17"/>
  <c r="E286" i="17"/>
  <c r="E284" i="17"/>
  <c r="AB282" i="17"/>
  <c r="A281" i="17"/>
  <c r="H279" i="17"/>
  <c r="X277" i="17"/>
  <c r="L276" i="17"/>
  <c r="W274" i="17"/>
  <c r="I273" i="17"/>
  <c r="AD271" i="17"/>
  <c r="N270" i="17"/>
  <c r="I269" i="17"/>
  <c r="AD267" i="17"/>
  <c r="K266" i="17"/>
  <c r="AD264" i="17"/>
  <c r="Y263" i="17"/>
  <c r="K262" i="17"/>
  <c r="AE260" i="17"/>
  <c r="U259" i="17"/>
  <c r="B258" i="17"/>
  <c r="AB256" i="17"/>
  <c r="P255" i="17"/>
  <c r="D254" i="17"/>
  <c r="AE252" i="17"/>
  <c r="V251" i="17"/>
  <c r="J250" i="17"/>
  <c r="F249" i="17"/>
  <c r="AA247" i="17"/>
  <c r="P246" i="17"/>
  <c r="K245" i="17"/>
  <c r="B244" i="17"/>
  <c r="U242" i="17"/>
  <c r="Q241" i="17"/>
  <c r="H240" i="17"/>
  <c r="X238" i="17"/>
  <c r="W237" i="17"/>
  <c r="O236" i="17"/>
  <c r="AC234" i="17"/>
  <c r="AB233" i="17"/>
  <c r="U232" i="17"/>
  <c r="J231" i="17"/>
  <c r="C230" i="17"/>
  <c r="Z228" i="17"/>
  <c r="M227" i="17"/>
  <c r="E226" i="17"/>
  <c r="D225" i="17"/>
  <c r="R223" i="17"/>
  <c r="K222" i="17"/>
  <c r="J221" i="17"/>
  <c r="X219" i="17"/>
  <c r="P218" i="17"/>
  <c r="O217" i="17"/>
  <c r="AC215" i="17"/>
  <c r="V214" i="17"/>
  <c r="R213" i="17"/>
  <c r="D212" i="17"/>
  <c r="AB210" i="17"/>
  <c r="W209" i="17"/>
  <c r="L208" i="17"/>
  <c r="G207" i="17"/>
  <c r="E206" i="17"/>
  <c r="AA204" i="17"/>
  <c r="W203" i="17"/>
  <c r="R202" i="17"/>
  <c r="I201" i="17"/>
  <c r="G200" i="17"/>
  <c r="AE198" i="17"/>
  <c r="V197" i="17"/>
  <c r="T196" i="17"/>
  <c r="M195" i="17"/>
  <c r="D194" i="17"/>
  <c r="B193" i="17"/>
  <c r="Z191" i="17"/>
  <c r="Q190" i="17"/>
  <c r="O189" i="17"/>
  <c r="H188" i="17"/>
  <c r="AD186" i="17"/>
  <c r="AB185" i="17"/>
  <c r="W184" i="17"/>
  <c r="O183" i="17"/>
  <c r="J182" i="17"/>
  <c r="E181" i="17"/>
  <c r="AB179" i="17"/>
  <c r="W178" i="17"/>
  <c r="U177" i="17"/>
  <c r="J176" i="17"/>
  <c r="E175" i="17"/>
  <c r="C174" i="17"/>
  <c r="W172" i="17"/>
  <c r="R171" i="17"/>
  <c r="P170" i="17"/>
  <c r="B169" i="17"/>
  <c r="AB167" i="17"/>
  <c r="AC166" i="17"/>
  <c r="O165" i="17"/>
  <c r="J164" i="17"/>
  <c r="K163" i="17"/>
  <c r="AB161" i="17"/>
  <c r="W160" i="17"/>
  <c r="X159" i="17"/>
  <c r="J158" i="17"/>
  <c r="H157" i="17"/>
  <c r="C156" i="17"/>
  <c r="Y154" i="17"/>
  <c r="U153" i="17"/>
  <c r="P152" i="17"/>
  <c r="G151" i="17"/>
  <c r="E150" i="17"/>
  <c r="AC148" i="17"/>
  <c r="T147" i="17"/>
  <c r="R146" i="17"/>
  <c r="K145" i="17"/>
  <c r="B144" i="17"/>
  <c r="AE142" i="17"/>
  <c r="X141" i="17"/>
  <c r="O140" i="17"/>
  <c r="M139" i="17"/>
  <c r="F138" i="17"/>
  <c r="AE136" i="17"/>
  <c r="Z135" i="17"/>
  <c r="U134" i="17"/>
  <c r="M133" i="17"/>
  <c r="H132" i="17"/>
  <c r="F131" i="17"/>
  <c r="Z129" i="17"/>
  <c r="V128" i="17"/>
  <c r="V127" i="17"/>
  <c r="Q126" i="17"/>
  <c r="R125" i="17"/>
  <c r="P124" i="17"/>
  <c r="T123" i="17"/>
  <c r="R122" i="17"/>
  <c r="P121" i="17"/>
  <c r="N120" i="17"/>
  <c r="O119" i="17"/>
  <c r="M118" i="17"/>
  <c r="I117" i="17"/>
  <c r="O116" i="17"/>
  <c r="R115" i="17"/>
  <c r="R114" i="17"/>
  <c r="O113" i="17"/>
  <c r="R112" i="17"/>
  <c r="R111" i="17"/>
  <c r="U110" i="17"/>
  <c r="AA109" i="17"/>
  <c r="X108" i="17"/>
  <c r="X107" i="17"/>
  <c r="AA106" i="17"/>
  <c r="AA105" i="17"/>
  <c r="AA104" i="17"/>
  <c r="AA103" i="17"/>
  <c r="B103" i="17"/>
  <c r="B102" i="17"/>
  <c r="B101" i="17"/>
  <c r="B100" i="17"/>
  <c r="E99" i="17"/>
  <c r="E98" i="17"/>
  <c r="H97" i="17"/>
  <c r="E96" i="17"/>
  <c r="K95" i="17"/>
  <c r="K94" i="17"/>
  <c r="N93" i="17"/>
  <c r="K92" i="17"/>
  <c r="N91" i="17"/>
  <c r="N90" i="17"/>
  <c r="T89" i="17"/>
  <c r="N88" i="17"/>
  <c r="T87" i="17"/>
  <c r="T86" i="17"/>
  <c r="W85" i="17"/>
  <c r="W84" i="17"/>
  <c r="T83" i="17"/>
  <c r="W82" i="17"/>
  <c r="AC81" i="17"/>
  <c r="AC80" i="17"/>
  <c r="Z79" i="17"/>
  <c r="AC78" i="17"/>
  <c r="AC77" i="17"/>
  <c r="A77" i="17"/>
  <c r="AC75" i="17"/>
  <c r="A75" i="17"/>
  <c r="A74" i="17"/>
  <c r="G73" i="17"/>
  <c r="G72" i="17"/>
  <c r="G71" i="17"/>
  <c r="G70" i="17"/>
  <c r="J69" i="17"/>
  <c r="J68" i="17"/>
  <c r="J67" i="17"/>
  <c r="M66" i="17"/>
  <c r="P65" i="17"/>
  <c r="P64" i="17"/>
  <c r="P63" i="17"/>
  <c r="P62" i="17"/>
  <c r="S61" i="17"/>
  <c r="S60" i="17"/>
  <c r="Y59" i="17"/>
  <c r="V58" i="17"/>
  <c r="Y57" i="17"/>
  <c r="Y56" i="17"/>
  <c r="AB55" i="17"/>
  <c r="Y54" i="17"/>
  <c r="AB53" i="17"/>
  <c r="AE52" i="17"/>
  <c r="C52" i="17"/>
  <c r="AE50" i="17"/>
  <c r="AE49" i="17"/>
  <c r="C49" i="17"/>
  <c r="F48" i="17"/>
  <c r="F47" i="17"/>
  <c r="C46" i="17"/>
  <c r="I45" i="17"/>
  <c r="I44" i="17"/>
  <c r="L43" i="17"/>
  <c r="I42" i="17"/>
  <c r="L41" i="17"/>
  <c r="L40" i="17"/>
  <c r="R39" i="17"/>
  <c r="L38" i="17"/>
  <c r="R37" i="17"/>
  <c r="R36" i="17"/>
  <c r="U35" i="17"/>
  <c r="U34" i="17"/>
  <c r="U33" i="17"/>
  <c r="U32" i="17"/>
  <c r="AA31" i="17"/>
  <c r="AA30" i="17"/>
  <c r="AA29" i="17"/>
  <c r="AA28" i="17"/>
  <c r="AD27" i="17"/>
  <c r="AD26" i="17"/>
  <c r="AD25" i="17"/>
  <c r="AD24" i="17"/>
  <c r="E24" i="17"/>
  <c r="E23" i="17"/>
  <c r="H22" i="17"/>
  <c r="E21" i="17"/>
  <c r="H20" i="17"/>
  <c r="H19" i="17"/>
  <c r="N18" i="17"/>
  <c r="H17" i="17"/>
  <c r="K16" i="17"/>
  <c r="N15" i="17"/>
  <c r="Q14" i="17"/>
  <c r="N13" i="17"/>
  <c r="N12" i="17"/>
  <c r="Q11" i="17"/>
  <c r="Q10" i="17"/>
  <c r="W9" i="17"/>
  <c r="T8" i="17"/>
  <c r="W7" i="17"/>
  <c r="W6" i="17"/>
  <c r="Z5" i="17"/>
  <c r="W4" i="17"/>
  <c r="Z3" i="17"/>
  <c r="AC2" i="17"/>
  <c r="L764" i="17"/>
  <c r="O732" i="17"/>
  <c r="V701" i="17"/>
  <c r="V685" i="17"/>
  <c r="AE672" i="17"/>
  <c r="K661" i="17"/>
  <c r="Q651" i="17"/>
  <c r="U643" i="17"/>
  <c r="L632" i="17"/>
  <c r="N625" i="17"/>
  <c r="AD618" i="17"/>
  <c r="W612" i="17"/>
  <c r="W607" i="17"/>
  <c r="H602" i="17"/>
  <c r="Q596" i="17"/>
  <c r="R591" i="17"/>
  <c r="E586" i="17"/>
  <c r="H579" i="17"/>
  <c r="I574" i="17"/>
  <c r="AC568" i="17"/>
  <c r="I563" i="17"/>
  <c r="AB557" i="17"/>
  <c r="G553" i="17"/>
  <c r="S547" i="17"/>
  <c r="S542" i="17"/>
  <c r="M538" i="17"/>
  <c r="Z532" i="17"/>
  <c r="W527" i="17"/>
  <c r="AB522" i="17"/>
  <c r="A518" i="17"/>
  <c r="AE513" i="17"/>
  <c r="D510" i="17"/>
  <c r="L505" i="17"/>
  <c r="S502" i="17"/>
  <c r="I499" i="17"/>
  <c r="AC495" i="17"/>
  <c r="N492" i="17"/>
  <c r="P489" i="17"/>
  <c r="AB485" i="17"/>
  <c r="A483" i="17"/>
  <c r="C480" i="17"/>
  <c r="AA476" i="17"/>
  <c r="AD473" i="17"/>
  <c r="A471" i="17"/>
  <c r="B468" i="17"/>
  <c r="H465" i="17"/>
  <c r="E463" i="17"/>
  <c r="O459" i="17"/>
  <c r="K457" i="17"/>
  <c r="M454" i="17"/>
  <c r="T451" i="17"/>
  <c r="AD448" i="17"/>
  <c r="AE445" i="17"/>
  <c r="B443" i="17"/>
  <c r="H440" i="17"/>
  <c r="R437" i="17"/>
  <c r="K434" i="17"/>
  <c r="X431" i="17"/>
  <c r="M429" i="17"/>
  <c r="O426" i="17"/>
  <c r="AD423" i="17"/>
  <c r="R421" i="17"/>
  <c r="T418" i="17"/>
  <c r="G416" i="17"/>
  <c r="K414" i="17"/>
  <c r="H411" i="17"/>
  <c r="I409" i="17"/>
  <c r="Z406" i="17"/>
  <c r="H404" i="17"/>
  <c r="AE401" i="17"/>
  <c r="Q399" i="17"/>
  <c r="AC396" i="17"/>
  <c r="P394" i="17"/>
  <c r="K392" i="17"/>
  <c r="Y389" i="17"/>
  <c r="U387" i="17"/>
  <c r="N385" i="17"/>
  <c r="AD382" i="17"/>
  <c r="AB380" i="17"/>
  <c r="C379" i="17"/>
  <c r="O376" i="17"/>
  <c r="Y374" i="17"/>
  <c r="Z372" i="17"/>
  <c r="O370" i="17"/>
  <c r="N368" i="17"/>
  <c r="F366" i="17"/>
  <c r="E364" i="17"/>
  <c r="I362" i="17"/>
  <c r="U360" i="17"/>
  <c r="T358" i="17"/>
  <c r="W356" i="17"/>
  <c r="AA354" i="17"/>
  <c r="B353" i="17"/>
  <c r="N351" i="17"/>
  <c r="U349" i="17"/>
  <c r="R347" i="17"/>
  <c r="AA345" i="17"/>
  <c r="K344" i="17"/>
  <c r="K342" i="17"/>
  <c r="R340" i="17"/>
  <c r="Y338" i="17"/>
  <c r="U336" i="17"/>
  <c r="D335" i="17"/>
  <c r="O333" i="17"/>
  <c r="T331" i="17"/>
  <c r="AA329" i="17"/>
  <c r="P328" i="17"/>
  <c r="S326" i="17"/>
  <c r="AB324" i="17"/>
  <c r="G323" i="17"/>
  <c r="G321" i="17"/>
  <c r="A320" i="17"/>
  <c r="F318" i="17"/>
  <c r="L316" i="17"/>
  <c r="X314" i="17"/>
  <c r="J313" i="17"/>
  <c r="J311" i="17"/>
  <c r="T309" i="17"/>
  <c r="A308" i="17"/>
  <c r="E306" i="17"/>
  <c r="U304" i="17"/>
  <c r="C303" i="17"/>
  <c r="C301" i="17"/>
  <c r="M299" i="17"/>
  <c r="AD297" i="17"/>
  <c r="E296" i="17"/>
  <c r="N294" i="17"/>
  <c r="U292" i="17"/>
  <c r="AA290" i="17"/>
  <c r="J289" i="17"/>
  <c r="W287" i="17"/>
  <c r="AC285" i="17"/>
  <c r="D284" i="17"/>
  <c r="AA282" i="17"/>
  <c r="AA280" i="17"/>
  <c r="G279" i="17"/>
  <c r="W277" i="17"/>
  <c r="Z275" i="17"/>
  <c r="S274" i="17"/>
  <c r="G273" i="17"/>
  <c r="Y271" i="17"/>
  <c r="M270" i="17"/>
  <c r="H269" i="17"/>
  <c r="T267" i="17"/>
  <c r="J266" i="17"/>
  <c r="AC264" i="17"/>
  <c r="P263" i="17"/>
  <c r="H262" i="17"/>
  <c r="AD260" i="17"/>
  <c r="K259" i="17"/>
  <c r="A258" i="17"/>
  <c r="AA256" i="17"/>
  <c r="K255" i="17"/>
  <c r="C254" i="17"/>
  <c r="Y252" i="17"/>
  <c r="P251" i="17"/>
  <c r="I250" i="17"/>
  <c r="E249" i="17"/>
  <c r="V247" i="17"/>
  <c r="O246" i="17"/>
  <c r="J245" i="17"/>
  <c r="X243" i="17"/>
  <c r="Q242" i="17"/>
  <c r="P241" i="17"/>
  <c r="AD239" i="17"/>
  <c r="W238" i="17"/>
  <c r="V237" i="17"/>
  <c r="E236" i="17"/>
  <c r="AB234" i="17"/>
  <c r="AA233" i="17"/>
  <c r="J232" i="17"/>
  <c r="C231" i="17"/>
  <c r="AD229" i="17"/>
  <c r="P228" i="17"/>
  <c r="L227" i="17"/>
  <c r="D226" i="17"/>
  <c r="U224" i="17"/>
  <c r="Q223" i="17"/>
  <c r="J222" i="17"/>
  <c r="AA220" i="17"/>
  <c r="W219" i="17"/>
  <c r="O218" i="17"/>
  <c r="B217" i="17"/>
  <c r="AB215" i="17"/>
  <c r="U214" i="17"/>
  <c r="G213" i="17"/>
  <c r="C212" i="17"/>
  <c r="AA210" i="17"/>
  <c r="M209" i="17"/>
  <c r="K208" i="17"/>
  <c r="F207" i="17"/>
  <c r="AE205" i="17"/>
  <c r="X204" i="17"/>
  <c r="S203" i="17"/>
  <c r="M202" i="17"/>
  <c r="H201" i="17"/>
  <c r="D200" i="17"/>
  <c r="Z198" i="17"/>
  <c r="U197" i="17"/>
  <c r="S196" i="17"/>
  <c r="H195" i="17"/>
  <c r="C194" i="17"/>
  <c r="A193" i="17"/>
  <c r="U191" i="17"/>
  <c r="P190" i="17"/>
  <c r="N189" i="17"/>
  <c r="C188" i="17"/>
  <c r="AC186" i="17"/>
  <c r="AA185" i="17"/>
  <c r="M184" i="17"/>
  <c r="H183" i="17"/>
  <c r="I182" i="17"/>
  <c r="Z180" i="17"/>
  <c r="AA179" i="17"/>
  <c r="V178" i="17"/>
  <c r="H177" i="17"/>
  <c r="I176" i="17"/>
  <c r="D175" i="17"/>
  <c r="U173" i="17"/>
  <c r="S172" i="17"/>
  <c r="N171" i="17"/>
  <c r="C170" i="17"/>
  <c r="A169" i="17"/>
  <c r="AA167" i="17"/>
  <c r="P166" i="17"/>
  <c r="N165" i="17"/>
  <c r="I164" i="17"/>
  <c r="AC162" i="17"/>
  <c r="AA161" i="17"/>
  <c r="V160" i="17"/>
  <c r="P159" i="17"/>
  <c r="I158" i="17"/>
  <c r="D157" i="17"/>
  <c r="AC155" i="17"/>
  <c r="V154" i="17"/>
  <c r="T153" i="17"/>
  <c r="K152" i="17"/>
  <c r="F151" i="17"/>
  <c r="B150" i="17"/>
  <c r="X148" i="17"/>
  <c r="S147" i="17"/>
  <c r="Q146" i="17"/>
  <c r="F145" i="17"/>
  <c r="A144" i="17"/>
  <c r="AD142" i="17"/>
  <c r="S141" i="17"/>
  <c r="N140" i="17"/>
  <c r="L139" i="17"/>
  <c r="A138" i="17"/>
  <c r="AA136" i="17"/>
  <c r="Y135" i="17"/>
  <c r="N134" i="17"/>
  <c r="L133" i="17"/>
  <c r="G132" i="17"/>
  <c r="AA130" i="17"/>
  <c r="Y129" i="17"/>
  <c r="U128" i="17"/>
  <c r="U127" i="17"/>
  <c r="P126" i="17"/>
  <c r="Q125" i="17"/>
  <c r="O124" i="17"/>
  <c r="S123" i="17"/>
  <c r="N122" i="17"/>
  <c r="L121" i="17"/>
  <c r="M120" i="17"/>
  <c r="N119" i="17"/>
  <c r="L118" i="17"/>
  <c r="H117" i="17"/>
  <c r="K116" i="17"/>
  <c r="N115" i="17"/>
  <c r="Q114" i="17"/>
  <c r="N113" i="17"/>
  <c r="Q112" i="17"/>
  <c r="Q111" i="17"/>
  <c r="T110" i="17"/>
  <c r="Q109" i="17"/>
  <c r="W108" i="17"/>
  <c r="W107" i="17"/>
  <c r="Z106" i="17"/>
  <c r="Z105" i="17"/>
  <c r="Z104" i="17"/>
  <c r="Z103" i="17"/>
  <c r="AC102" i="17"/>
  <c r="A102" i="17"/>
  <c r="A101" i="17"/>
  <c r="A100" i="17"/>
  <c r="D99" i="17"/>
  <c r="D98" i="17"/>
  <c r="D97" i="17"/>
  <c r="D96" i="17"/>
  <c r="J95" i="17"/>
  <c r="J94" i="17"/>
  <c r="M93" i="17"/>
  <c r="J92" i="17"/>
  <c r="M91" i="17"/>
  <c r="M90" i="17"/>
  <c r="P89" i="17"/>
  <c r="M88" i="17"/>
  <c r="M87" i="17"/>
  <c r="S86" i="17"/>
  <c r="V85" i="17"/>
  <c r="S84" i="17"/>
  <c r="S83" i="17"/>
  <c r="V82" i="17"/>
  <c r="V81" i="17"/>
  <c r="AB80" i="17"/>
  <c r="V79" i="17"/>
  <c r="AB78" i="17"/>
  <c r="AB77" i="17"/>
  <c r="AE76" i="17"/>
  <c r="AB75" i="17"/>
  <c r="AE74" i="17"/>
  <c r="AE73" i="17"/>
  <c r="F73" i="17"/>
  <c r="C72" i="17"/>
  <c r="F71" i="17"/>
  <c r="F70" i="17"/>
  <c r="I69" i="17"/>
  <c r="I68" i="17"/>
  <c r="I67" i="17"/>
  <c r="I66" i="17"/>
  <c r="O65" i="17"/>
  <c r="O64" i="17"/>
  <c r="O63" i="17"/>
  <c r="O62" i="17"/>
  <c r="R61" i="17"/>
  <c r="R60" i="17"/>
  <c r="O59" i="17"/>
  <c r="U58" i="17"/>
  <c r="X57" i="17"/>
  <c r="X56" i="17"/>
  <c r="AA55" i="17"/>
  <c r="X54" i="17"/>
  <c r="X53" i="17"/>
  <c r="AA52" i="17"/>
  <c r="B52" i="17"/>
  <c r="AD50" i="17"/>
  <c r="AD49" i="17"/>
  <c r="B49" i="17"/>
  <c r="B48" i="17"/>
  <c r="B47" i="17"/>
  <c r="C764" i="17"/>
  <c r="AC720" i="17"/>
  <c r="G693" i="17"/>
  <c r="Z667" i="17"/>
  <c r="Z656" i="17"/>
  <c r="L638" i="17"/>
  <c r="C630" i="17"/>
  <c r="X618" i="17"/>
  <c r="A610" i="17"/>
  <c r="C602" i="17"/>
  <c r="B594" i="17"/>
  <c r="C586" i="17"/>
  <c r="A578" i="17"/>
  <c r="S570" i="17"/>
  <c r="N561" i="17"/>
  <c r="AD554" i="17"/>
  <c r="L547" i="17"/>
  <c r="B540" i="17"/>
  <c r="W531" i="17"/>
  <c r="Z524" i="17"/>
  <c r="T517" i="17"/>
  <c r="U512" i="17"/>
  <c r="A505" i="17"/>
  <c r="G501" i="17"/>
  <c r="R496" i="17"/>
  <c r="T491" i="17"/>
  <c r="P487" i="17"/>
  <c r="O482" i="17"/>
  <c r="E478" i="17"/>
  <c r="V473" i="17"/>
  <c r="J469" i="17"/>
  <c r="A465" i="17"/>
  <c r="N461" i="17"/>
  <c r="Q456" i="17"/>
  <c r="D453" i="17"/>
  <c r="B450" i="17"/>
  <c r="T444" i="17"/>
  <c r="P441" i="17"/>
  <c r="M436" i="17"/>
  <c r="C433" i="17"/>
  <c r="F429" i="17"/>
  <c r="M425" i="17"/>
  <c r="G421" i="17"/>
  <c r="Z417" i="17"/>
  <c r="G414" i="17"/>
  <c r="Q410" i="17"/>
  <c r="G407" i="17"/>
  <c r="P403" i="17"/>
  <c r="M400" i="17"/>
  <c r="D396" i="17"/>
  <c r="H393" i="17"/>
  <c r="N389" i="17"/>
  <c r="K386" i="17"/>
  <c r="AB382" i="17"/>
  <c r="L380" i="17"/>
  <c r="N376" i="17"/>
  <c r="AB373" i="17"/>
  <c r="D371" i="17"/>
  <c r="T367" i="17"/>
  <c r="B365" i="17"/>
  <c r="B362" i="17"/>
  <c r="G359" i="17"/>
  <c r="T356" i="17"/>
  <c r="A354" i="17"/>
  <c r="A351" i="17"/>
  <c r="Z348" i="17"/>
  <c r="Z345" i="17"/>
  <c r="K343" i="17"/>
  <c r="L341" i="17"/>
  <c r="A338" i="17"/>
  <c r="X335" i="17"/>
  <c r="U332" i="17"/>
  <c r="AC330" i="17"/>
  <c r="AE327" i="17"/>
  <c r="Z325" i="17"/>
  <c r="E323" i="17"/>
  <c r="AE320" i="17"/>
  <c r="D318" i="17"/>
  <c r="X315" i="17"/>
  <c r="O313" i="17"/>
  <c r="Z310" i="17"/>
  <c r="T308" i="17"/>
  <c r="Y305" i="17"/>
  <c r="M303" i="17"/>
  <c r="AE753" i="17"/>
  <c r="N719" i="17"/>
  <c r="O683" i="17"/>
  <c r="H667" i="17"/>
  <c r="Y656" i="17"/>
  <c r="H638" i="17"/>
  <c r="K628" i="17"/>
  <c r="U617" i="17"/>
  <c r="AE609" i="17"/>
  <c r="B602" i="17"/>
  <c r="A594" i="17"/>
  <c r="X584" i="17"/>
  <c r="AE577" i="17"/>
  <c r="AB568" i="17"/>
  <c r="L561" i="17"/>
  <c r="AC554" i="17"/>
  <c r="A546" i="17"/>
  <c r="A540" i="17"/>
  <c r="V531" i="17"/>
  <c r="T524" i="17"/>
  <c r="S517" i="17"/>
  <c r="Q511" i="17"/>
  <c r="X504" i="17"/>
  <c r="F501" i="17"/>
  <c r="Y495" i="17"/>
  <c r="J491" i="17"/>
  <c r="I487" i="17"/>
  <c r="N482" i="17"/>
  <c r="D478" i="17"/>
  <c r="U473" i="17"/>
  <c r="I469" i="17"/>
  <c r="AE464" i="17"/>
  <c r="B461" i="17"/>
  <c r="P456" i="17"/>
  <c r="C453" i="17"/>
  <c r="O448" i="17"/>
  <c r="O444" i="17"/>
  <c r="O441" i="17"/>
  <c r="K436" i="17"/>
  <c r="B433" i="17"/>
  <c r="R428" i="17"/>
  <c r="I425" i="17"/>
  <c r="F421" i="17"/>
  <c r="Y417" i="17"/>
  <c r="S413" i="17"/>
  <c r="P410" i="17"/>
  <c r="Y406" i="17"/>
  <c r="L403" i="17"/>
  <c r="AC399" i="17"/>
  <c r="C396" i="17"/>
  <c r="G393" i="17"/>
  <c r="M389" i="17"/>
  <c r="J386" i="17"/>
  <c r="V382" i="17"/>
  <c r="Y379" i="17"/>
  <c r="K376" i="17"/>
  <c r="AA373" i="17"/>
  <c r="C370" i="17"/>
  <c r="S367" i="17"/>
  <c r="A365" i="17"/>
  <c r="AB361" i="17"/>
  <c r="F359" i="17"/>
  <c r="Q356" i="17"/>
  <c r="AE353" i="17"/>
  <c r="AE350" i="17"/>
  <c r="Y348" i="17"/>
  <c r="Y345" i="17"/>
  <c r="J343" i="17"/>
  <c r="Q340" i="17"/>
  <c r="X337" i="17"/>
  <c r="W335" i="17"/>
  <c r="T332" i="17"/>
  <c r="AA330" i="17"/>
  <c r="Z327" i="17"/>
  <c r="X325" i="17"/>
  <c r="D323" i="17"/>
  <c r="AD320" i="17"/>
  <c r="C318" i="17"/>
  <c r="T315" i="17"/>
  <c r="AD312" i="17"/>
  <c r="Y310" i="17"/>
  <c r="S308" i="17"/>
  <c r="X305" i="17"/>
  <c r="L303" i="17"/>
  <c r="AA300" i="17"/>
  <c r="N298" i="17"/>
  <c r="AD753" i="17"/>
  <c r="F714" i="17"/>
  <c r="D683" i="17"/>
  <c r="G667" i="17"/>
  <c r="J651" i="17"/>
  <c r="G638" i="17"/>
  <c r="I628" i="17"/>
  <c r="G617" i="17"/>
  <c r="W609" i="17"/>
  <c r="F600" i="17"/>
  <c r="AB593" i="17"/>
  <c r="W584" i="17"/>
  <c r="J577" i="17"/>
  <c r="U568" i="17"/>
  <c r="J561" i="17"/>
  <c r="F553" i="17"/>
  <c r="AE545" i="17"/>
  <c r="AB539" i="17"/>
  <c r="T531" i="17"/>
  <c r="R524" i="17"/>
  <c r="M517" i="17"/>
  <c r="A511" i="17"/>
  <c r="W504" i="17"/>
  <c r="N500" i="17"/>
  <c r="AC494" i="17"/>
  <c r="E491" i="17"/>
  <c r="W485" i="17"/>
  <c r="AA481" i="17"/>
  <c r="A478" i="17"/>
  <c r="G473" i="17"/>
  <c r="H469" i="17"/>
  <c r="AC464" i="17"/>
  <c r="AA460" i="17"/>
  <c r="O456" i="17"/>
  <c r="AB452" i="17"/>
  <c r="M448" i="17"/>
  <c r="N444" i="17"/>
  <c r="G440" i="17"/>
  <c r="I436" i="17"/>
  <c r="AE432" i="17"/>
  <c r="E428" i="17"/>
  <c r="F425" i="17"/>
  <c r="W420" i="17"/>
  <c r="R417" i="17"/>
  <c r="R413" i="17"/>
  <c r="O410" i="17"/>
  <c r="X406" i="17"/>
  <c r="G403" i="17"/>
  <c r="O399" i="17"/>
  <c r="B396" i="17"/>
  <c r="B393" i="17"/>
  <c r="L389" i="17"/>
  <c r="I386" i="17"/>
  <c r="U382" i="17"/>
  <c r="R379" i="17"/>
  <c r="J376" i="17"/>
  <c r="F373" i="17"/>
  <c r="B370" i="17"/>
  <c r="R367" i="17"/>
  <c r="D364" i="17"/>
  <c r="AA361" i="17"/>
  <c r="E359" i="17"/>
  <c r="G356" i="17"/>
  <c r="AD353" i="17"/>
  <c r="AC350" i="17"/>
  <c r="O348" i="17"/>
  <c r="V345" i="17"/>
  <c r="I343" i="17"/>
  <c r="M340" i="17"/>
  <c r="U337" i="17"/>
  <c r="AD334" i="17"/>
  <c r="S332" i="17"/>
  <c r="R330" i="17"/>
  <c r="Y327" i="17"/>
  <c r="W325" i="17"/>
  <c r="X322" i="17"/>
  <c r="P320" i="17"/>
  <c r="B318" i="17"/>
  <c r="R315" i="17"/>
  <c r="Z312" i="17"/>
  <c r="X310" i="17"/>
  <c r="AB307" i="17"/>
  <c r="U305" i="17"/>
  <c r="H303" i="17"/>
  <c r="S300" i="17"/>
  <c r="M298" i="17"/>
  <c r="X752" i="17"/>
  <c r="A714" i="17"/>
  <c r="AE682" i="17"/>
  <c r="E667" i="17"/>
  <c r="I651" i="17"/>
  <c r="D638" i="17"/>
  <c r="M625" i="17"/>
  <c r="R615" i="17"/>
  <c r="R609" i="17"/>
  <c r="T599" i="17"/>
  <c r="Z593" i="17"/>
  <c r="U583" i="17"/>
  <c r="I577" i="17"/>
  <c r="Q568" i="17"/>
  <c r="G561" i="17"/>
  <c r="AD552" i="17"/>
  <c r="Z545" i="17"/>
  <c r="E538" i="17"/>
  <c r="S531" i="17"/>
  <c r="Q524" i="17"/>
  <c r="H517" i="17"/>
  <c r="AD510" i="17"/>
  <c r="S504" i="17"/>
  <c r="AD499" i="17"/>
  <c r="AB494" i="17"/>
  <c r="W490" i="17"/>
  <c r="V485" i="17"/>
  <c r="Y481" i="17"/>
  <c r="Z476" i="17"/>
  <c r="F473" i="17"/>
  <c r="G469" i="17"/>
  <c r="U464" i="17"/>
  <c r="Y460" i="17"/>
  <c r="N456" i="17"/>
  <c r="X452" i="17"/>
  <c r="B448" i="17"/>
  <c r="M444" i="17"/>
  <c r="E440" i="17"/>
  <c r="C436" i="17"/>
  <c r="W431" i="17"/>
  <c r="D428" i="17"/>
  <c r="A425" i="17"/>
  <c r="V420" i="17"/>
  <c r="Q417" i="17"/>
  <c r="K413" i="17"/>
  <c r="N410" i="17"/>
  <c r="M406" i="17"/>
  <c r="E403" i="17"/>
  <c r="N399" i="17"/>
  <c r="A396" i="17"/>
  <c r="H392" i="17"/>
  <c r="E389" i="17"/>
  <c r="H386" i="17"/>
  <c r="Q382" i="17"/>
  <c r="O379" i="17"/>
  <c r="I376" i="17"/>
  <c r="E373" i="17"/>
  <c r="X369" i="17"/>
  <c r="E367" i="17"/>
  <c r="C364" i="17"/>
  <c r="X361" i="17"/>
  <c r="H358" i="17"/>
  <c r="F356" i="17"/>
  <c r="Z353" i="17"/>
  <c r="AB350" i="17"/>
  <c r="N348" i="17"/>
  <c r="R345" i="17"/>
  <c r="D343" i="17"/>
  <c r="H340" i="17"/>
  <c r="T337" i="17"/>
  <c r="AA334" i="17"/>
  <c r="R332" i="17"/>
  <c r="Z329" i="17"/>
  <c r="X327" i="17"/>
  <c r="V325" i="17"/>
  <c r="P322" i="17"/>
  <c r="O320" i="17"/>
  <c r="O317" i="17"/>
  <c r="Q315" i="17"/>
  <c r="Y312" i="17"/>
  <c r="W310" i="17"/>
  <c r="AA307" i="17"/>
  <c r="T305" i="17"/>
  <c r="AE302" i="17"/>
  <c r="O300" i="17"/>
  <c r="L298" i="17"/>
  <c r="J750" i="17"/>
  <c r="AC713" i="17"/>
  <c r="AC682" i="17"/>
  <c r="D667" i="17"/>
  <c r="A651" i="17"/>
  <c r="AD637" i="17"/>
  <c r="L625" i="17"/>
  <c r="Q615" i="17"/>
  <c r="U607" i="17"/>
  <c r="M599" i="17"/>
  <c r="T593" i="17"/>
  <c r="O583" i="17"/>
  <c r="O576" i="17"/>
  <c r="U566" i="17"/>
  <c r="M560" i="17"/>
  <c r="Y552" i="17"/>
  <c r="U545" i="17"/>
  <c r="B538" i="17"/>
  <c r="AC530" i="17"/>
  <c r="Z522" i="17"/>
  <c r="G517" i="17"/>
  <c r="AB510" i="17"/>
  <c r="R504" i="17"/>
  <c r="AB499" i="17"/>
  <c r="Z494" i="17"/>
  <c r="T490" i="17"/>
  <c r="P485" i="17"/>
  <c r="L481" i="17"/>
  <c r="W476" i="17"/>
  <c r="E473" i="17"/>
  <c r="AA467" i="17"/>
  <c r="R464" i="17"/>
  <c r="U460" i="17"/>
  <c r="M456" i="17"/>
  <c r="Q452" i="17"/>
  <c r="A448" i="17"/>
  <c r="L444" i="17"/>
  <c r="AA439" i="17"/>
  <c r="B436" i="17"/>
  <c r="V431" i="17"/>
  <c r="C428" i="17"/>
  <c r="AC423" i="17"/>
  <c r="U420" i="17"/>
  <c r="F417" i="17"/>
  <c r="D413" i="17"/>
  <c r="M410" i="17"/>
  <c r="U405" i="17"/>
  <c r="D403" i="17"/>
  <c r="H399" i="17"/>
  <c r="AE395" i="17"/>
  <c r="G392" i="17"/>
  <c r="AC388" i="17"/>
  <c r="J385" i="17"/>
  <c r="P382" i="17"/>
  <c r="L379" i="17"/>
  <c r="H376" i="17"/>
  <c r="D373" i="17"/>
  <c r="W369" i="17"/>
  <c r="A367" i="17"/>
  <c r="AE363" i="17"/>
  <c r="I361" i="17"/>
  <c r="F358" i="17"/>
  <c r="E356" i="17"/>
  <c r="A353" i="17"/>
  <c r="AA350" i="17"/>
  <c r="M348" i="17"/>
  <c r="Q345" i="17"/>
  <c r="AE342" i="17"/>
  <c r="G340" i="17"/>
  <c r="S337" i="17"/>
  <c r="W334" i="17"/>
  <c r="Q332" i="17"/>
  <c r="Y329" i="17"/>
  <c r="P327" i="17"/>
  <c r="AA324" i="17"/>
  <c r="O322" i="17"/>
  <c r="N320" i="17"/>
  <c r="N317" i="17"/>
  <c r="P315" i="17"/>
  <c r="Q312" i="17"/>
  <c r="O310" i="17"/>
  <c r="Z307" i="17"/>
  <c r="S305" i="17"/>
  <c r="AC302" i="17"/>
  <c r="N300" i="17"/>
  <c r="X297" i="17"/>
  <c r="E749" i="17"/>
  <c r="K713" i="17"/>
  <c r="M682" i="17"/>
  <c r="Y666" i="17"/>
  <c r="I650" i="17"/>
  <c r="AA637" i="17"/>
  <c r="AE624" i="17"/>
  <c r="P615" i="17"/>
  <c r="M607" i="17"/>
  <c r="L599" i="17"/>
  <c r="J591" i="17"/>
  <c r="I583" i="17"/>
  <c r="K576" i="17"/>
  <c r="T566" i="17"/>
  <c r="E560" i="17"/>
  <c r="J551" i="17"/>
  <c r="T545" i="17"/>
  <c r="K537" i="17"/>
  <c r="J530" i="17"/>
  <c r="Y522" i="17"/>
  <c r="D517" i="17"/>
  <c r="C510" i="17"/>
  <c r="J504" i="17"/>
  <c r="T499" i="17"/>
  <c r="V494" i="17"/>
  <c r="S490" i="17"/>
  <c r="D485" i="17"/>
  <c r="K481" i="17"/>
  <c r="M476" i="17"/>
  <c r="K472" i="17"/>
  <c r="Z467" i="17"/>
  <c r="Q464" i="17"/>
  <c r="M459" i="17"/>
  <c r="L456" i="17"/>
  <c r="J452" i="17"/>
  <c r="AB447" i="17"/>
  <c r="K444" i="17"/>
  <c r="Z439" i="17"/>
  <c r="A436" i="17"/>
  <c r="U431" i="17"/>
  <c r="Y427" i="17"/>
  <c r="AB423" i="17"/>
  <c r="D420" i="17"/>
  <c r="F416" i="17"/>
  <c r="A413" i="17"/>
  <c r="Y409" i="17"/>
  <c r="T405" i="17"/>
  <c r="C403" i="17"/>
  <c r="P398" i="17"/>
  <c r="AA395" i="17"/>
  <c r="F392" i="17"/>
  <c r="W388" i="17"/>
  <c r="I385" i="17"/>
  <c r="O382" i="17"/>
  <c r="R378" i="17"/>
  <c r="AC375" i="17"/>
  <c r="C373" i="17"/>
  <c r="V369" i="17"/>
  <c r="W366" i="17"/>
  <c r="AD363" i="17"/>
  <c r="H361" i="17"/>
  <c r="E358" i="17"/>
  <c r="W355" i="17"/>
  <c r="Y352" i="17"/>
  <c r="U350" i="17"/>
  <c r="P347" i="17"/>
  <c r="N345" i="17"/>
  <c r="AD342" i="17"/>
  <c r="A340" i="17"/>
  <c r="R337" i="17"/>
  <c r="V334" i="17"/>
  <c r="P332" i="17"/>
  <c r="X329" i="17"/>
  <c r="O327" i="17"/>
  <c r="Z324" i="17"/>
  <c r="K322" i="17"/>
  <c r="S319" i="17"/>
  <c r="M317" i="17"/>
  <c r="O315" i="17"/>
  <c r="M312" i="17"/>
  <c r="L310" i="17"/>
  <c r="S307" i="17"/>
  <c r="J305" i="17"/>
  <c r="V302" i="17"/>
  <c r="L300" i="17"/>
  <c r="W297" i="17"/>
  <c r="D749" i="17"/>
  <c r="U701" i="17"/>
  <c r="I682" i="17"/>
  <c r="O666" i="17"/>
  <c r="O648" i="17"/>
  <c r="T635" i="17"/>
  <c r="AD623" i="17"/>
  <c r="O615" i="17"/>
  <c r="S606" i="17"/>
  <c r="F599" i="17"/>
  <c r="I590" i="17"/>
  <c r="H583" i="17"/>
  <c r="AD573" i="17"/>
  <c r="S566" i="17"/>
  <c r="D560" i="17"/>
  <c r="G551" i="17"/>
  <c r="S545" i="17"/>
  <c r="Z536" i="17"/>
  <c r="G530" i="17"/>
  <c r="X522" i="17"/>
  <c r="B517" i="17"/>
  <c r="AC508" i="17"/>
  <c r="F504" i="17"/>
  <c r="C499" i="17"/>
  <c r="U494" i="17"/>
  <c r="V489" i="17"/>
  <c r="C485" i="17"/>
  <c r="H481" i="17"/>
  <c r="L476" i="17"/>
  <c r="B472" i="17"/>
  <c r="Y467" i="17"/>
  <c r="Q463" i="17"/>
  <c r="L459" i="17"/>
  <c r="AD455" i="17"/>
  <c r="Z450" i="17"/>
  <c r="X447" i="17"/>
  <c r="J444" i="17"/>
  <c r="M439" i="17"/>
  <c r="Z435" i="17"/>
  <c r="S431" i="17"/>
  <c r="X427" i="17"/>
  <c r="AA423" i="17"/>
  <c r="AB419" i="17"/>
  <c r="AC415" i="17"/>
  <c r="AB412" i="17"/>
  <c r="H409" i="17"/>
  <c r="S405" i="17"/>
  <c r="B403" i="17"/>
  <c r="N398" i="17"/>
  <c r="P395" i="17"/>
  <c r="L391" i="17"/>
  <c r="U388" i="17"/>
  <c r="H385" i="17"/>
  <c r="AE381" i="17"/>
  <c r="Q378" i="17"/>
  <c r="AB375" i="17"/>
  <c r="X372" i="17"/>
  <c r="U369" i="17"/>
  <c r="V366" i="17"/>
  <c r="P363" i="17"/>
  <c r="AD360" i="17"/>
  <c r="D358" i="17"/>
  <c r="T355" i="17"/>
  <c r="X352" i="17"/>
  <c r="O350" i="17"/>
  <c r="O347" i="17"/>
  <c r="M345" i="17"/>
  <c r="AA341" i="17"/>
  <c r="Z339" i="17"/>
  <c r="Q337" i="17"/>
  <c r="T334" i="17"/>
  <c r="O332" i="17"/>
  <c r="W329" i="17"/>
  <c r="H327" i="17"/>
  <c r="Y324" i="17"/>
  <c r="J322" i="17"/>
  <c r="R319" i="17"/>
  <c r="L317" i="17"/>
  <c r="W314" i="17"/>
  <c r="L312" i="17"/>
  <c r="K310" i="17"/>
  <c r="G307" i="17"/>
  <c r="I305" i="17"/>
  <c r="G302" i="17"/>
  <c r="I300" i="17"/>
  <c r="X738" i="17"/>
  <c r="N693" i="17"/>
  <c r="D658" i="17"/>
  <c r="M631" i="17"/>
  <c r="G615" i="17"/>
  <c r="E602" i="17"/>
  <c r="AA586" i="17"/>
  <c r="AE572" i="17"/>
  <c r="X557" i="17"/>
  <c r="R545" i="17"/>
  <c r="Y532" i="17"/>
  <c r="I520" i="17"/>
  <c r="P508" i="17"/>
  <c r="Y498" i="17"/>
  <c r="W491" i="17"/>
  <c r="AE482" i="17"/>
  <c r="J475" i="17"/>
  <c r="I467" i="17"/>
  <c r="D459" i="17"/>
  <c r="F453" i="17"/>
  <c r="AD445" i="17"/>
  <c r="S438" i="17"/>
  <c r="L431" i="17"/>
  <c r="N425" i="17"/>
  <c r="O418" i="17"/>
  <c r="D411" i="17"/>
  <c r="M405" i="17"/>
  <c r="G398" i="17"/>
  <c r="Q393" i="17"/>
  <c r="K387" i="17"/>
  <c r="AA380" i="17"/>
  <c r="Z375" i="17"/>
  <c r="E371" i="17"/>
  <c r="K365" i="17"/>
  <c r="Z359" i="17"/>
  <c r="Z354" i="17"/>
  <c r="C350" i="17"/>
  <c r="W346" i="17"/>
  <c r="T341" i="17"/>
  <c r="P336" i="17"/>
  <c r="S331" i="17"/>
  <c r="F328" i="17"/>
  <c r="Z323" i="17"/>
  <c r="L319" i="17"/>
  <c r="K314" i="17"/>
  <c r="S309" i="17"/>
  <c r="B306" i="17"/>
  <c r="AC301" i="17"/>
  <c r="I297" i="17"/>
  <c r="K295" i="17"/>
  <c r="R292" i="17"/>
  <c r="J290" i="17"/>
  <c r="T287" i="17"/>
  <c r="F285" i="17"/>
  <c r="M282" i="17"/>
  <c r="H280" i="17"/>
  <c r="E278" i="17"/>
  <c r="U275" i="17"/>
  <c r="S273" i="17"/>
  <c r="R271" i="17"/>
  <c r="Q269" i="17"/>
  <c r="L267" i="17"/>
  <c r="Q265" i="17"/>
  <c r="H263" i="17"/>
  <c r="V261" i="17"/>
  <c r="I259" i="17"/>
  <c r="W257" i="17"/>
  <c r="T255" i="17"/>
  <c r="X253" i="17"/>
  <c r="AC251" i="17"/>
  <c r="AD249" i="17"/>
  <c r="K248" i="17"/>
  <c r="F246" i="17"/>
  <c r="R244" i="17"/>
  <c r="M242" i="17"/>
  <c r="Y240" i="17"/>
  <c r="V238" i="17"/>
  <c r="B237" i="17"/>
  <c r="O235" i="17"/>
  <c r="I233" i="17"/>
  <c r="V231" i="17"/>
  <c r="P229" i="17"/>
  <c r="AC227" i="17"/>
  <c r="A226" i="17"/>
  <c r="H224" i="17"/>
  <c r="H222" i="17"/>
  <c r="P220" i="17"/>
  <c r="N218" i="17"/>
  <c r="W216" i="17"/>
  <c r="D215" i="17"/>
  <c r="AD212" i="17"/>
  <c r="K211" i="17"/>
  <c r="F209" i="17"/>
  <c r="U207" i="17"/>
  <c r="T205" i="17"/>
  <c r="D204" i="17"/>
  <c r="C202" i="17"/>
  <c r="AA200" i="17"/>
  <c r="Y198" i="17"/>
  <c r="J197" i="17"/>
  <c r="S195" i="17"/>
  <c r="X193" i="17"/>
  <c r="H192" i="17"/>
  <c r="G190" i="17"/>
  <c r="V188" i="17"/>
  <c r="U186" i="17"/>
  <c r="E185" i="17"/>
  <c r="F183" i="17"/>
  <c r="U181" i="17"/>
  <c r="T179" i="17"/>
  <c r="D178" i="17"/>
  <c r="T176" i="17"/>
  <c r="R174" i="17"/>
  <c r="C173" i="17"/>
  <c r="D171" i="17"/>
  <c r="T169" i="17"/>
  <c r="X167" i="17"/>
  <c r="E166" i="17"/>
  <c r="G164" i="17"/>
  <c r="S162" i="17"/>
  <c r="U160" i="17"/>
  <c r="B159" i="17"/>
  <c r="Q157" i="17"/>
  <c r="P155" i="17"/>
  <c r="AE153" i="17"/>
  <c r="AD151" i="17"/>
  <c r="N150" i="17"/>
  <c r="U148" i="17"/>
  <c r="AB146" i="17"/>
  <c r="D145" i="17"/>
  <c r="T143" i="17"/>
  <c r="R141" i="17"/>
  <c r="C140" i="17"/>
  <c r="R138" i="17"/>
  <c r="Q136" i="17"/>
  <c r="A135" i="17"/>
  <c r="AE132" i="17"/>
  <c r="O131" i="17"/>
  <c r="P129" i="17"/>
  <c r="B128" i="17"/>
  <c r="N126" i="17"/>
  <c r="F125" i="17"/>
  <c r="R123" i="17"/>
  <c r="A122" i="17"/>
  <c r="R120" i="17"/>
  <c r="AD118" i="17"/>
  <c r="W117" i="17"/>
  <c r="G116" i="17"/>
  <c r="AD114" i="17"/>
  <c r="H113" i="17"/>
  <c r="C112" i="17"/>
  <c r="R110" i="17"/>
  <c r="J109" i="17"/>
  <c r="V107" i="17"/>
  <c r="K106" i="17"/>
  <c r="F105" i="17"/>
  <c r="U103" i="17"/>
  <c r="J102" i="17"/>
  <c r="V100" i="17"/>
  <c r="N99" i="17"/>
  <c r="AC97" i="17"/>
  <c r="U96" i="17"/>
  <c r="B95" i="17"/>
  <c r="Y93" i="17"/>
  <c r="I92" i="17"/>
  <c r="A91" i="17"/>
  <c r="X89" i="17"/>
  <c r="H88" i="17"/>
  <c r="Y86" i="17"/>
  <c r="I85" i="17"/>
  <c r="D84" i="17"/>
  <c r="T738" i="17"/>
  <c r="H693" i="17"/>
  <c r="R657" i="17"/>
  <c r="K631" i="17"/>
  <c r="V612" i="17"/>
  <c r="B599" i="17"/>
  <c r="Z586" i="17"/>
  <c r="AB572" i="17"/>
  <c r="S557" i="17"/>
  <c r="R542" i="17"/>
  <c r="X531" i="17"/>
  <c r="H520" i="17"/>
  <c r="K508" i="17"/>
  <c r="T497" i="17"/>
  <c r="O489" i="17"/>
  <c r="AB482" i="17"/>
  <c r="H475" i="17"/>
  <c r="H467" i="17"/>
  <c r="AE458" i="17"/>
  <c r="E453" i="17"/>
  <c r="AA445" i="17"/>
  <c r="O438" i="17"/>
  <c r="AB430" i="17"/>
  <c r="Z423" i="17"/>
  <c r="K418" i="17"/>
  <c r="C411" i="17"/>
  <c r="L405" i="17"/>
  <c r="E398" i="17"/>
  <c r="I393" i="17"/>
  <c r="J387" i="17"/>
  <c r="U380" i="17"/>
  <c r="O375" i="17"/>
  <c r="S369" i="17"/>
  <c r="J365" i="17"/>
  <c r="Y359" i="17"/>
  <c r="Y354" i="17"/>
  <c r="AE349" i="17"/>
  <c r="S346" i="17"/>
  <c r="S341" i="17"/>
  <c r="O336" i="17"/>
  <c r="L331" i="17"/>
  <c r="G327" i="17"/>
  <c r="Y323" i="17"/>
  <c r="AD318" i="17"/>
  <c r="J314" i="17"/>
  <c r="R309" i="17"/>
  <c r="Z305" i="17"/>
  <c r="AB301" i="17"/>
  <c r="G297" i="17"/>
  <c r="I295" i="17"/>
  <c r="J292" i="17"/>
  <c r="B290" i="17"/>
  <c r="S287" i="17"/>
  <c r="E285" i="17"/>
  <c r="L282" i="17"/>
  <c r="G280" i="17"/>
  <c r="U277" i="17"/>
  <c r="T275" i="17"/>
  <c r="R273" i="17"/>
  <c r="J271" i="17"/>
  <c r="P269" i="17"/>
  <c r="K267" i="17"/>
  <c r="O265" i="17"/>
  <c r="G263" i="17"/>
  <c r="Q261" i="17"/>
  <c r="H259" i="17"/>
  <c r="S257" i="17"/>
  <c r="A255" i="17"/>
  <c r="W253" i="17"/>
  <c r="AB251" i="17"/>
  <c r="AC249" i="17"/>
  <c r="D248" i="17"/>
  <c r="E246" i="17"/>
  <c r="Q244" i="17"/>
  <c r="L242" i="17"/>
  <c r="X240" i="17"/>
  <c r="R238" i="17"/>
  <c r="A237" i="17"/>
  <c r="AA234" i="17"/>
  <c r="H233" i="17"/>
  <c r="U231" i="17"/>
  <c r="O229" i="17"/>
  <c r="AB227" i="17"/>
  <c r="U225" i="17"/>
  <c r="C224" i="17"/>
  <c r="G222" i="17"/>
  <c r="M220" i="17"/>
  <c r="M218" i="17"/>
  <c r="V216" i="17"/>
  <c r="T214" i="17"/>
  <c r="AC212" i="17"/>
  <c r="I211" i="17"/>
  <c r="E209" i="17"/>
  <c r="T207" i="17"/>
  <c r="S205" i="17"/>
  <c r="C204" i="17"/>
  <c r="B202" i="17"/>
  <c r="Q200" i="17"/>
  <c r="X198" i="17"/>
  <c r="I197" i="17"/>
  <c r="G195" i="17"/>
  <c r="W193" i="17"/>
  <c r="G192" i="17"/>
  <c r="F190" i="17"/>
  <c r="U188" i="17"/>
  <c r="T186" i="17"/>
  <c r="D185" i="17"/>
  <c r="C183" i="17"/>
  <c r="T181" i="17"/>
  <c r="S179" i="17"/>
  <c r="C178" i="17"/>
  <c r="E176" i="17"/>
  <c r="Q174" i="17"/>
  <c r="B173" i="17"/>
  <c r="AE170" i="17"/>
  <c r="S169" i="17"/>
  <c r="Q167" i="17"/>
  <c r="B166" i="17"/>
  <c r="F164" i="17"/>
  <c r="R162" i="17"/>
  <c r="T160" i="17"/>
  <c r="A159" i="17"/>
  <c r="C157" i="17"/>
  <c r="O155" i="17"/>
  <c r="AD153" i="17"/>
  <c r="AC151" i="17"/>
  <c r="M150" i="17"/>
  <c r="L148" i="17"/>
  <c r="AA146" i="17"/>
  <c r="C145" i="17"/>
  <c r="J143" i="17"/>
  <c r="Q141" i="17"/>
  <c r="B140" i="17"/>
  <c r="AE137" i="17"/>
  <c r="P136" i="17"/>
  <c r="AE134" i="17"/>
  <c r="AD132" i="17"/>
  <c r="N131" i="17"/>
  <c r="M129" i="17"/>
  <c r="A128" i="17"/>
  <c r="M126" i="17"/>
  <c r="B125" i="17"/>
  <c r="K123" i="17"/>
  <c r="AE121" i="17"/>
  <c r="L120" i="17"/>
  <c r="AC118" i="17"/>
  <c r="V117" i="17"/>
  <c r="F116" i="17"/>
  <c r="W114" i="17"/>
  <c r="G113" i="17"/>
  <c r="AD111" i="17"/>
  <c r="K110" i="17"/>
  <c r="I109" i="17"/>
  <c r="R107" i="17"/>
  <c r="J106" i="17"/>
  <c r="Y104" i="17"/>
  <c r="T103" i="17"/>
  <c r="I102" i="17"/>
  <c r="U100" i="17"/>
  <c r="J99" i="17"/>
  <c r="AB97" i="17"/>
  <c r="T96" i="17"/>
  <c r="A95" i="17"/>
  <c r="X93" i="17"/>
  <c r="H92" i="17"/>
  <c r="AE90" i="17"/>
  <c r="O89" i="17"/>
  <c r="D88" i="17"/>
  <c r="X86" i="17"/>
  <c r="H85" i="17"/>
  <c r="C84" i="17"/>
  <c r="S738" i="17"/>
  <c r="A682" i="17"/>
  <c r="Q657" i="17"/>
  <c r="F631" i="17"/>
  <c r="B612" i="17"/>
  <c r="AE598" i="17"/>
  <c r="Y586" i="17"/>
  <c r="AA570" i="17"/>
  <c r="L556" i="17"/>
  <c r="Q542" i="17"/>
  <c r="AE529" i="17"/>
  <c r="F520" i="17"/>
  <c r="V507" i="17"/>
  <c r="S497" i="17"/>
  <c r="N489" i="17"/>
  <c r="Z482" i="17"/>
  <c r="G475" i="17"/>
  <c r="X466" i="17"/>
  <c r="AB458" i="17"/>
  <c r="W450" i="17"/>
  <c r="Z445" i="17"/>
  <c r="N438" i="17"/>
  <c r="M430" i="17"/>
  <c r="K423" i="17"/>
  <c r="AE417" i="17"/>
  <c r="AA410" i="17"/>
  <c r="B405" i="17"/>
  <c r="D398" i="17"/>
  <c r="K391" i="17"/>
  <c r="F387" i="17"/>
  <c r="T380" i="17"/>
  <c r="N375" i="17"/>
  <c r="R369" i="17"/>
  <c r="C365" i="17"/>
  <c r="W359" i="17"/>
  <c r="X354" i="17"/>
  <c r="AC349" i="17"/>
  <c r="Y344" i="17"/>
  <c r="R341" i="17"/>
  <c r="N336" i="17"/>
  <c r="K331" i="17"/>
  <c r="F327" i="17"/>
  <c r="F323" i="17"/>
  <c r="U318" i="17"/>
  <c r="I314" i="17"/>
  <c r="N309" i="17"/>
  <c r="H305" i="17"/>
  <c r="B301" i="17"/>
  <c r="F297" i="17"/>
  <c r="H295" i="17"/>
  <c r="AA291" i="17"/>
  <c r="A290" i="17"/>
  <c r="A287" i="17"/>
  <c r="C285" i="17"/>
  <c r="K282" i="17"/>
  <c r="F280" i="17"/>
  <c r="T277" i="17"/>
  <c r="Q275" i="17"/>
  <c r="F273" i="17"/>
  <c r="I271" i="17"/>
  <c r="M269" i="17"/>
  <c r="J267" i="17"/>
  <c r="N265" i="17"/>
  <c r="F263" i="17"/>
  <c r="H261" i="17"/>
  <c r="G259" i="17"/>
  <c r="G257" i="17"/>
  <c r="AE254" i="17"/>
  <c r="R253" i="17"/>
  <c r="O251" i="17"/>
  <c r="AB249" i="17"/>
  <c r="C248" i="17"/>
  <c r="D246" i="17"/>
  <c r="M244" i="17"/>
  <c r="K242" i="17"/>
  <c r="S240" i="17"/>
  <c r="Q238" i="17"/>
  <c r="Z236" i="17"/>
  <c r="Z234" i="17"/>
  <c r="B233" i="17"/>
  <c r="B231" i="17"/>
  <c r="J229" i="17"/>
  <c r="AA227" i="17"/>
  <c r="Q225" i="17"/>
  <c r="B224" i="17"/>
  <c r="X221" i="17"/>
  <c r="L220" i="17"/>
  <c r="L218" i="17"/>
  <c r="U216" i="17"/>
  <c r="S214" i="17"/>
  <c r="AB212" i="17"/>
  <c r="Z210" i="17"/>
  <c r="D209" i="17"/>
  <c r="S207" i="17"/>
  <c r="R205" i="17"/>
  <c r="B204" i="17"/>
  <c r="A202" i="17"/>
  <c r="P200" i="17"/>
  <c r="O198" i="17"/>
  <c r="AD196" i="17"/>
  <c r="F195" i="17"/>
  <c r="V193" i="17"/>
  <c r="T191" i="17"/>
  <c r="E190" i="17"/>
  <c r="Q188" i="17"/>
  <c r="S186" i="17"/>
  <c r="AE184" i="17"/>
  <c r="B183" i="17"/>
  <c r="N181" i="17"/>
  <c r="R179" i="17"/>
  <c r="AB177" i="17"/>
  <c r="A176" i="17"/>
  <c r="M174" i="17"/>
  <c r="R172" i="17"/>
  <c r="AA170" i="17"/>
  <c r="O169" i="17"/>
  <c r="P167" i="17"/>
  <c r="A166" i="17"/>
  <c r="AD163" i="17"/>
  <c r="Q162" i="17"/>
  <c r="S160" i="17"/>
  <c r="AE158" i="17"/>
  <c r="B157" i="17"/>
  <c r="N155" i="17"/>
  <c r="P153" i="17"/>
  <c r="AB151" i="17"/>
  <c r="L150" i="17"/>
  <c r="K148" i="17"/>
  <c r="Z146" i="17"/>
  <c r="B145" i="17"/>
  <c r="I143" i="17"/>
  <c r="P141" i="17"/>
  <c r="W139" i="17"/>
  <c r="AD137" i="17"/>
  <c r="O136" i="17"/>
  <c r="M134" i="17"/>
  <c r="AC132" i="17"/>
  <c r="J131" i="17"/>
  <c r="L129" i="17"/>
  <c r="AE127" i="17"/>
  <c r="K126" i="17"/>
  <c r="AC124" i="17"/>
  <c r="F123" i="17"/>
  <c r="AD121" i="17"/>
  <c r="K120" i="17"/>
  <c r="AB118" i="17"/>
  <c r="G117" i="17"/>
  <c r="B116" i="17"/>
  <c r="V114" i="17"/>
  <c r="F113" i="17"/>
  <c r="AC111" i="17"/>
  <c r="J110" i="17"/>
  <c r="H109" i="17"/>
  <c r="Q107" i="17"/>
  <c r="I106" i="17"/>
  <c r="X104" i="17"/>
  <c r="S103" i="17"/>
  <c r="AB101" i="17"/>
  <c r="T100" i="17"/>
  <c r="I99" i="17"/>
  <c r="X97" i="17"/>
  <c r="S96" i="17"/>
  <c r="AE94" i="17"/>
  <c r="T93" i="17"/>
  <c r="G92" i="17"/>
  <c r="AA90" i="17"/>
  <c r="H89" i="17"/>
  <c r="C88" i="17"/>
  <c r="R86" i="17"/>
  <c r="G85" i="17"/>
  <c r="B84" i="17"/>
  <c r="U737" i="17"/>
  <c r="F678" i="17"/>
  <c r="P657" i="17"/>
  <c r="AB630" i="17"/>
  <c r="AB611" i="17"/>
  <c r="AD598" i="17"/>
  <c r="K582" i="17"/>
  <c r="Y570" i="17"/>
  <c r="K556" i="17"/>
  <c r="P542" i="17"/>
  <c r="AB529" i="17"/>
  <c r="AA517" i="17"/>
  <c r="K507" i="17"/>
  <c r="R497" i="17"/>
  <c r="L489" i="17"/>
  <c r="G481" i="17"/>
  <c r="X473" i="17"/>
  <c r="W466" i="17"/>
  <c r="AA458" i="17"/>
  <c r="V450" i="17"/>
  <c r="AC444" i="17"/>
  <c r="N437" i="17"/>
  <c r="L430" i="17"/>
  <c r="J423" i="17"/>
  <c r="AB415" i="17"/>
  <c r="Z410" i="17"/>
  <c r="G404" i="17"/>
  <c r="C398" i="17"/>
  <c r="J391" i="17"/>
  <c r="E387" i="17"/>
  <c r="S380" i="17"/>
  <c r="M374" i="17"/>
  <c r="Q369" i="17"/>
  <c r="O363" i="17"/>
  <c r="V359" i="17"/>
  <c r="S354" i="17"/>
  <c r="T349" i="17"/>
  <c r="X344" i="17"/>
  <c r="N341" i="17"/>
  <c r="M336" i="17"/>
  <c r="J331" i="17"/>
  <c r="J326" i="17"/>
  <c r="I322" i="17"/>
  <c r="T318" i="17"/>
  <c r="H314" i="17"/>
  <c r="M309" i="17"/>
  <c r="H304" i="17"/>
  <c r="AC300" i="17"/>
  <c r="B297" i="17"/>
  <c r="M294" i="17"/>
  <c r="Z291" i="17"/>
  <c r="AE289" i="17"/>
  <c r="AE286" i="17"/>
  <c r="AD284" i="17"/>
  <c r="C282" i="17"/>
  <c r="E280" i="17"/>
  <c r="S277" i="17"/>
  <c r="P275" i="17"/>
  <c r="E273" i="17"/>
  <c r="H271" i="17"/>
  <c r="AD268" i="17"/>
  <c r="G267" i="17"/>
  <c r="M265" i="17"/>
  <c r="E263" i="17"/>
  <c r="E261" i="17"/>
  <c r="F259" i="17"/>
  <c r="F257" i="17"/>
  <c r="AD254" i="17"/>
  <c r="K253" i="17"/>
  <c r="F251" i="17"/>
  <c r="AA249" i="17"/>
  <c r="R247" i="17"/>
  <c r="C246" i="17"/>
  <c r="H244" i="17"/>
  <c r="J242" i="17"/>
  <c r="R240" i="17"/>
  <c r="P238" i="17"/>
  <c r="Y236" i="17"/>
  <c r="W234" i="17"/>
  <c r="A233" i="17"/>
  <c r="A231" i="17"/>
  <c r="G229" i="17"/>
  <c r="G227" i="17"/>
  <c r="P225" i="17"/>
  <c r="A224" i="17"/>
  <c r="W221" i="17"/>
  <c r="H220" i="17"/>
  <c r="E218" i="17"/>
  <c r="R216" i="17"/>
  <c r="R214" i="17"/>
  <c r="Z212" i="17"/>
  <c r="X210" i="17"/>
  <c r="C209" i="17"/>
  <c r="E207" i="17"/>
  <c r="Q205" i="17"/>
  <c r="A204" i="17"/>
  <c r="AE201" i="17"/>
  <c r="O200" i="17"/>
  <c r="N198" i="17"/>
  <c r="AC196" i="17"/>
  <c r="B195" i="17"/>
  <c r="L193" i="17"/>
  <c r="P191" i="17"/>
  <c r="D190" i="17"/>
  <c r="AD187" i="17"/>
  <c r="R186" i="17"/>
  <c r="AD184" i="17"/>
  <c r="A183" i="17"/>
  <c r="M181" i="17"/>
  <c r="O179" i="17"/>
  <c r="AA177" i="17"/>
  <c r="AE175" i="17"/>
  <c r="J174" i="17"/>
  <c r="Q172" i="17"/>
  <c r="Z170" i="17"/>
  <c r="AE168" i="17"/>
  <c r="I167" i="17"/>
  <c r="AE165" i="17"/>
  <c r="AC163" i="17"/>
  <c r="N162" i="17"/>
  <c r="L160" i="17"/>
  <c r="AD158" i="17"/>
  <c r="A157" i="17"/>
  <c r="M155" i="17"/>
  <c r="O153" i="17"/>
  <c r="AA151" i="17"/>
  <c r="A150" i="17"/>
  <c r="J148" i="17"/>
  <c r="Y146" i="17"/>
  <c r="X144" i="17"/>
  <c r="H143" i="17"/>
  <c r="L141" i="17"/>
  <c r="V139" i="17"/>
  <c r="Z137" i="17"/>
  <c r="J136" i="17"/>
  <c r="I134" i="17"/>
  <c r="AB132" i="17"/>
  <c r="W130" i="17"/>
  <c r="K129" i="17"/>
  <c r="AD127" i="17"/>
  <c r="J126" i="17"/>
  <c r="AB124" i="17"/>
  <c r="E123" i="17"/>
  <c r="AC121" i="17"/>
  <c r="J120" i="17"/>
  <c r="AA118" i="17"/>
  <c r="F117" i="17"/>
  <c r="A116" i="17"/>
  <c r="P114" i="17"/>
  <c r="E113" i="17"/>
  <c r="AB111" i="17"/>
  <c r="I110" i="17"/>
  <c r="A109" i="17"/>
  <c r="P107" i="17"/>
  <c r="H106" i="17"/>
  <c r="T104" i="17"/>
  <c r="I103" i="17"/>
  <c r="X101" i="17"/>
  <c r="S100" i="17"/>
  <c r="C99" i="17"/>
  <c r="W97" i="17"/>
  <c r="R96" i="17"/>
  <c r="AD94" i="17"/>
  <c r="S93" i="17"/>
  <c r="C92" i="17"/>
  <c r="Z90" i="17"/>
  <c r="G89" i="17"/>
  <c r="AD87" i="17"/>
  <c r="Q86" i="17"/>
  <c r="F85" i="17"/>
  <c r="R83" i="17"/>
  <c r="A732" i="17"/>
  <c r="S677" i="17"/>
  <c r="N648" i="17"/>
  <c r="AA630" i="17"/>
  <c r="W611" i="17"/>
  <c r="F596" i="17"/>
  <c r="Z581" i="17"/>
  <c r="X570" i="17"/>
  <c r="J556" i="17"/>
  <c r="A542" i="17"/>
  <c r="N527" i="17"/>
  <c r="X515" i="17"/>
  <c r="B507" i="17"/>
  <c r="N497" i="17"/>
  <c r="C488" i="17"/>
  <c r="B480" i="17"/>
  <c r="W473" i="17"/>
  <c r="S466" i="17"/>
  <c r="W458" i="17"/>
  <c r="U450" i="17"/>
  <c r="A443" i="17"/>
  <c r="M437" i="17"/>
  <c r="G430" i="17"/>
  <c r="I423" i="17"/>
  <c r="X415" i="17"/>
  <c r="R410" i="17"/>
  <c r="S403" i="17"/>
  <c r="B398" i="17"/>
  <c r="I391" i="17"/>
  <c r="V384" i="17"/>
  <c r="O380" i="17"/>
  <c r="I374" i="17"/>
  <c r="N369" i="17"/>
  <c r="N363" i="17"/>
  <c r="U359" i="17"/>
  <c r="D354" i="17"/>
  <c r="S349" i="17"/>
  <c r="W344" i="17"/>
  <c r="Y339" i="17"/>
  <c r="D336" i="17"/>
  <c r="B331" i="17"/>
  <c r="I326" i="17"/>
  <c r="E322" i="17"/>
  <c r="Q318" i="17"/>
  <c r="Y313" i="17"/>
  <c r="G309" i="17"/>
  <c r="G304" i="17"/>
  <c r="AB300" i="17"/>
  <c r="A297" i="17"/>
  <c r="I294" i="17"/>
  <c r="Y291" i="17"/>
  <c r="E289" i="17"/>
  <c r="AD286" i="17"/>
  <c r="AC284" i="17"/>
  <c r="B282" i="17"/>
  <c r="AE279" i="17"/>
  <c r="G277" i="17"/>
  <c r="E275" i="17"/>
  <c r="D273" i="17"/>
  <c r="G271" i="17"/>
  <c r="AA268" i="17"/>
  <c r="F267" i="17"/>
  <c r="AB264" i="17"/>
  <c r="D263" i="17"/>
  <c r="D261" i="17"/>
  <c r="AA258" i="17"/>
  <c r="E257" i="17"/>
  <c r="AC254" i="17"/>
  <c r="G253" i="17"/>
  <c r="E251" i="17"/>
  <c r="M249" i="17"/>
  <c r="Q247" i="17"/>
  <c r="B246" i="17"/>
  <c r="W243" i="17"/>
  <c r="H242" i="17"/>
  <c r="Q240" i="17"/>
  <c r="O238" i="17"/>
  <c r="X236" i="17"/>
  <c r="V234" i="17"/>
  <c r="AD232" i="17"/>
  <c r="AE230" i="17"/>
  <c r="F229" i="17"/>
  <c r="F227" i="17"/>
  <c r="O225" i="17"/>
  <c r="P223" i="17"/>
  <c r="V221" i="17"/>
  <c r="G220" i="17"/>
  <c r="AB217" i="17"/>
  <c r="Q216" i="17"/>
  <c r="J214" i="17"/>
  <c r="Y212" i="17"/>
  <c r="W210" i="17"/>
  <c r="B209" i="17"/>
  <c r="D207" i="17"/>
  <c r="P205" i="17"/>
  <c r="R203" i="17"/>
  <c r="AD201" i="17"/>
  <c r="K200" i="17"/>
  <c r="M198" i="17"/>
  <c r="Y196" i="17"/>
  <c r="AA194" i="17"/>
  <c r="H193" i="17"/>
  <c r="O191" i="17"/>
  <c r="V189" i="17"/>
  <c r="AC187" i="17"/>
  <c r="Q186" i="17"/>
  <c r="L184" i="17"/>
  <c r="AE182" i="17"/>
  <c r="L181" i="17"/>
  <c r="N179" i="17"/>
  <c r="Z177" i="17"/>
  <c r="AD175" i="17"/>
  <c r="I174" i="17"/>
  <c r="M172" i="17"/>
  <c r="Y170" i="17"/>
  <c r="AD168" i="17"/>
  <c r="H167" i="17"/>
  <c r="M165" i="17"/>
  <c r="AB163" i="17"/>
  <c r="M162" i="17"/>
  <c r="K160" i="17"/>
  <c r="AC158" i="17"/>
  <c r="AA156" i="17"/>
  <c r="L155" i="17"/>
  <c r="N153" i="17"/>
  <c r="Z151" i="17"/>
  <c r="AB149" i="17"/>
  <c r="I148" i="17"/>
  <c r="N146" i="17"/>
  <c r="W144" i="17"/>
  <c r="D143" i="17"/>
  <c r="I141" i="17"/>
  <c r="R139" i="17"/>
  <c r="Y137" i="17"/>
  <c r="A136" i="17"/>
  <c r="H134" i="17"/>
  <c r="W132" i="17"/>
  <c r="V130" i="17"/>
  <c r="J129" i="17"/>
  <c r="T127" i="17"/>
  <c r="I126" i="17"/>
  <c r="W124" i="17"/>
  <c r="D123" i="17"/>
  <c r="AB121" i="17"/>
  <c r="I120" i="17"/>
  <c r="Z118" i="17"/>
  <c r="E117" i="17"/>
  <c r="Y115" i="17"/>
  <c r="I114" i="17"/>
  <c r="D113" i="17"/>
  <c r="P111" i="17"/>
  <c r="E110" i="17"/>
  <c r="AE108" i="17"/>
  <c r="O107" i="17"/>
  <c r="G106" i="17"/>
  <c r="S104" i="17"/>
  <c r="H103" i="17"/>
  <c r="W101" i="17"/>
  <c r="R100" i="17"/>
  <c r="B99" i="17"/>
  <c r="S97" i="17"/>
  <c r="C96" i="17"/>
  <c r="AC94" i="17"/>
  <c r="R93" i="17"/>
  <c r="B92" i="17"/>
  <c r="Y90" i="17"/>
  <c r="F89" i="17"/>
  <c r="AC87" i="17"/>
  <c r="M86" i="17"/>
  <c r="E85" i="17"/>
  <c r="Q83" i="17"/>
  <c r="L727" i="17"/>
  <c r="R677" i="17"/>
  <c r="G648" i="17"/>
  <c r="J630" i="17"/>
  <c r="U611" i="17"/>
  <c r="G595" i="17"/>
  <c r="Y581" i="17"/>
  <c r="N566" i="17"/>
  <c r="A555" i="17"/>
  <c r="AE541" i="17"/>
  <c r="M527" i="17"/>
  <c r="U515" i="17"/>
  <c r="AE506" i="17"/>
  <c r="M497" i="17"/>
  <c r="A488" i="17"/>
  <c r="A480" i="17"/>
  <c r="A472" i="17"/>
  <c r="R466" i="17"/>
  <c r="S458" i="17"/>
  <c r="S450" i="17"/>
  <c r="Q442" i="17"/>
  <c r="L437" i="17"/>
  <c r="F430" i="17"/>
  <c r="S422" i="17"/>
  <c r="W415" i="17"/>
  <c r="Q408" i="17"/>
  <c r="R403" i="17"/>
  <c r="A398" i="17"/>
  <c r="D391" i="17"/>
  <c r="U384" i="17"/>
  <c r="M380" i="17"/>
  <c r="H374" i="17"/>
  <c r="J369" i="17"/>
  <c r="M363" i="17"/>
  <c r="C358" i="17"/>
  <c r="C354" i="17"/>
  <c r="Q349" i="17"/>
  <c r="V344" i="17"/>
  <c r="P339" i="17"/>
  <c r="AB335" i="17"/>
  <c r="A331" i="17"/>
  <c r="H326" i="17"/>
  <c r="D322" i="17"/>
  <c r="K317" i="17"/>
  <c r="Q313" i="17"/>
  <c r="F309" i="17"/>
  <c r="E304" i="17"/>
  <c r="E300" i="17"/>
  <c r="Y296" i="17"/>
  <c r="F294" i="17"/>
  <c r="X291" i="17"/>
  <c r="D289" i="17"/>
  <c r="AC286" i="17"/>
  <c r="C284" i="17"/>
  <c r="Z281" i="17"/>
  <c r="AB279" i="17"/>
  <c r="AD276" i="17"/>
  <c r="D275" i="17"/>
  <c r="T272" i="17"/>
  <c r="E271" i="17"/>
  <c r="Z268" i="17"/>
  <c r="A267" i="17"/>
  <c r="AA264" i="17"/>
  <c r="C263" i="17"/>
  <c r="AC260" i="17"/>
  <c r="Z258" i="17"/>
  <c r="D257" i="17"/>
  <c r="AB254" i="17"/>
  <c r="F253" i="17"/>
  <c r="D251" i="17"/>
  <c r="L249" i="17"/>
  <c r="J247" i="17"/>
  <c r="S245" i="17"/>
  <c r="V243" i="17"/>
  <c r="G242" i="17"/>
  <c r="AC239" i="17"/>
  <c r="N238" i="17"/>
  <c r="W236" i="17"/>
  <c r="U234" i="17"/>
  <c r="AC232" i="17"/>
  <c r="AA230" i="17"/>
  <c r="E229" i="17"/>
  <c r="E227" i="17"/>
  <c r="L225" i="17"/>
  <c r="L223" i="17"/>
  <c r="U221" i="17"/>
  <c r="V219" i="17"/>
  <c r="AA217" i="17"/>
  <c r="L216" i="17"/>
  <c r="F214" i="17"/>
  <c r="V212" i="17"/>
  <c r="M210" i="17"/>
  <c r="A209" i="17"/>
  <c r="C207" i="17"/>
  <c r="O205" i="17"/>
  <c r="Q203" i="17"/>
  <c r="AC201" i="17"/>
  <c r="AE199" i="17"/>
  <c r="L198" i="17"/>
  <c r="X196" i="17"/>
  <c r="Z194" i="17"/>
  <c r="G193" i="17"/>
  <c r="N191" i="17"/>
  <c r="U189" i="17"/>
  <c r="AB187" i="17"/>
  <c r="D186" i="17"/>
  <c r="K184" i="17"/>
  <c r="AD182" i="17"/>
  <c r="Y180" i="17"/>
  <c r="M179" i="17"/>
  <c r="Y177" i="17"/>
  <c r="AA175" i="17"/>
  <c r="H174" i="17"/>
  <c r="L172" i="17"/>
  <c r="V170" i="17"/>
  <c r="AC168" i="17"/>
  <c r="G167" i="17"/>
  <c r="L165" i="17"/>
  <c r="U163" i="17"/>
  <c r="Z161" i="17"/>
  <c r="G160" i="17"/>
  <c r="Z158" i="17"/>
  <c r="U156" i="17"/>
  <c r="K155" i="17"/>
  <c r="D153" i="17"/>
  <c r="Y151" i="17"/>
  <c r="AA149" i="17"/>
  <c r="H148" i="17"/>
  <c r="M146" i="17"/>
  <c r="V144" i="17"/>
  <c r="AC142" i="17"/>
  <c r="E141" i="17"/>
  <c r="Q139" i="17"/>
  <c r="X137" i="17"/>
  <c r="AE135" i="17"/>
  <c r="G134" i="17"/>
  <c r="V132" i="17"/>
  <c r="U130" i="17"/>
  <c r="F129" i="17"/>
  <c r="L127" i="17"/>
  <c r="B126" i="17"/>
  <c r="N124" i="17"/>
  <c r="C123" i="17"/>
  <c r="X121" i="17"/>
  <c r="H120" i="17"/>
  <c r="Y118" i="17"/>
  <c r="D117" i="17"/>
  <c r="X115" i="17"/>
  <c r="H114" i="17"/>
  <c r="C113" i="17"/>
  <c r="O111" i="17"/>
  <c r="D110" i="17"/>
  <c r="S108" i="17"/>
  <c r="N107" i="17"/>
  <c r="F106" i="17"/>
  <c r="O104" i="17"/>
  <c r="G103" i="17"/>
  <c r="V101" i="17"/>
  <c r="Q100" i="17"/>
  <c r="AC98" i="17"/>
  <c r="R97" i="17"/>
  <c r="B96" i="17"/>
  <c r="Y94" i="17"/>
  <c r="C93" i="17"/>
  <c r="A92" i="17"/>
  <c r="U90" i="17"/>
  <c r="E89" i="17"/>
  <c r="AB87" i="17"/>
  <c r="L86" i="17"/>
  <c r="D85" i="17"/>
  <c r="P83" i="17"/>
  <c r="G724" i="17"/>
  <c r="P677" i="17"/>
  <c r="K647" i="17"/>
  <c r="Z623" i="17"/>
  <c r="X610" i="17"/>
  <c r="C595" i="17"/>
  <c r="V581" i="17"/>
  <c r="Y565" i="17"/>
  <c r="AE554" i="17"/>
  <c r="AD541" i="17"/>
  <c r="L527" i="17"/>
  <c r="T515" i="17"/>
  <c r="A504" i="17"/>
  <c r="L497" i="17"/>
  <c r="AB487" i="17"/>
  <c r="AE479" i="17"/>
  <c r="AD471" i="17"/>
  <c r="G465" i="17"/>
  <c r="R458" i="17"/>
  <c r="J450" i="17"/>
  <c r="J442" i="17"/>
  <c r="T435" i="17"/>
  <c r="K429" i="17"/>
  <c r="J422" i="17"/>
  <c r="S415" i="17"/>
  <c r="P408" i="17"/>
  <c r="Q403" i="17"/>
  <c r="AB396" i="17"/>
  <c r="AE390" i="17"/>
  <c r="O384" i="17"/>
  <c r="O378" i="17"/>
  <c r="G374" i="17"/>
  <c r="I368" i="17"/>
  <c r="L363" i="17"/>
  <c r="AB357" i="17"/>
  <c r="B354" i="17"/>
  <c r="AD348" i="17"/>
  <c r="AD343" i="17"/>
  <c r="K339" i="17"/>
  <c r="P334" i="17"/>
  <c r="AE330" i="17"/>
  <c r="G326" i="17"/>
  <c r="F321" i="17"/>
  <c r="E317" i="17"/>
  <c r="P313" i="17"/>
  <c r="AB308" i="17"/>
  <c r="D304" i="17"/>
  <c r="D300" i="17"/>
  <c r="X296" i="17"/>
  <c r="E294" i="17"/>
  <c r="W291" i="17"/>
  <c r="C289" i="17"/>
  <c r="AB286" i="17"/>
  <c r="AE283" i="17"/>
  <c r="Y281" i="17"/>
  <c r="F279" i="17"/>
  <c r="AC276" i="17"/>
  <c r="C275" i="17"/>
  <c r="S272" i="17"/>
  <c r="B271" i="17"/>
  <c r="U268" i="17"/>
  <c r="AE266" i="17"/>
  <c r="Z264" i="17"/>
  <c r="B263" i="17"/>
  <c r="X260" i="17"/>
  <c r="X258" i="17"/>
  <c r="S256" i="17"/>
  <c r="AA254" i="17"/>
  <c r="E253" i="17"/>
  <c r="C251" i="17"/>
  <c r="K249" i="17"/>
  <c r="I247" i="17"/>
  <c r="R245" i="17"/>
  <c r="U243" i="17"/>
  <c r="Y241" i="17"/>
  <c r="AB239" i="17"/>
  <c r="M238" i="17"/>
  <c r="D236" i="17"/>
  <c r="T234" i="17"/>
  <c r="AB232" i="17"/>
  <c r="Z230" i="17"/>
  <c r="D229" i="17"/>
  <c r="D227" i="17"/>
  <c r="K225" i="17"/>
  <c r="K223" i="17"/>
  <c r="S221" i="17"/>
  <c r="U219" i="17"/>
  <c r="Z217" i="17"/>
  <c r="AA215" i="17"/>
  <c r="B214" i="17"/>
  <c r="U212" i="17"/>
  <c r="L210" i="17"/>
  <c r="AE208" i="17"/>
  <c r="X206" i="17"/>
  <c r="N205" i="17"/>
  <c r="P203" i="17"/>
  <c r="AB201" i="17"/>
  <c r="AD199" i="17"/>
  <c r="K198" i="17"/>
  <c r="P196" i="17"/>
  <c r="Y194" i="17"/>
  <c r="F193" i="17"/>
  <c r="H191" i="17"/>
  <c r="T189" i="17"/>
  <c r="AA187" i="17"/>
  <c r="C186" i="17"/>
  <c r="J184" i="17"/>
  <c r="Y182" i="17"/>
  <c r="X180" i="17"/>
  <c r="L179" i="17"/>
  <c r="G177" i="17"/>
  <c r="Z175" i="17"/>
  <c r="G174" i="17"/>
  <c r="K172" i="17"/>
  <c r="U170" i="17"/>
  <c r="Y168" i="17"/>
  <c r="F167" i="17"/>
  <c r="K165" i="17"/>
  <c r="T163" i="17"/>
  <c r="Y161" i="17"/>
  <c r="F160" i="17"/>
  <c r="H158" i="17"/>
  <c r="T156" i="17"/>
  <c r="J155" i="17"/>
  <c r="C153" i="17"/>
  <c r="X151" i="17"/>
  <c r="Q149" i="17"/>
  <c r="G148" i="17"/>
  <c r="I146" i="17"/>
  <c r="U144" i="17"/>
  <c r="Z142" i="17"/>
  <c r="D141" i="17"/>
  <c r="K139" i="17"/>
  <c r="U137" i="17"/>
  <c r="AD135" i="17"/>
  <c r="F134" i="17"/>
  <c r="M132" i="17"/>
  <c r="T130" i="17"/>
  <c r="E129" i="17"/>
  <c r="H127" i="17"/>
  <c r="A126" i="17"/>
  <c r="M124" i="17"/>
  <c r="B123" i="17"/>
  <c r="K121" i="17"/>
  <c r="C120" i="17"/>
  <c r="U118" i="17"/>
  <c r="C117" i="17"/>
  <c r="W115" i="17"/>
  <c r="D114" i="17"/>
  <c r="B113" i="17"/>
  <c r="N111" i="17"/>
  <c r="C110" i="17"/>
  <c r="R108" i="17"/>
  <c r="J107" i="17"/>
  <c r="V105" i="17"/>
  <c r="N104" i="17"/>
  <c r="F103" i="17"/>
  <c r="U101" i="17"/>
  <c r="P100" i="17"/>
  <c r="Y98" i="17"/>
  <c r="Q97" i="17"/>
  <c r="A96" i="17"/>
  <c r="U94" i="17"/>
  <c r="B93" i="17"/>
  <c r="AB91" i="17"/>
  <c r="L90" i="17"/>
  <c r="D89" i="17"/>
  <c r="AA87" i="17"/>
  <c r="K86" i="17"/>
  <c r="C85" i="17"/>
  <c r="F722" i="17"/>
  <c r="K658" i="17"/>
  <c r="AB620" i="17"/>
  <c r="S589" i="17"/>
  <c r="W565" i="17"/>
  <c r="N547" i="17"/>
  <c r="M521" i="17"/>
  <c r="U501" i="17"/>
  <c r="V487" i="17"/>
  <c r="AA470" i="17"/>
  <c r="Z461" i="17"/>
  <c r="E447" i="17"/>
  <c r="C434" i="17"/>
  <c r="H422" i="17"/>
  <c r="I412" i="17"/>
  <c r="B401" i="17"/>
  <c r="T388" i="17"/>
  <c r="H378" i="17"/>
  <c r="H368" i="17"/>
  <c r="J360" i="17"/>
  <c r="D352" i="17"/>
  <c r="L343" i="17"/>
  <c r="G334" i="17"/>
  <c r="G328" i="17"/>
  <c r="P319" i="17"/>
  <c r="AB311" i="17"/>
  <c r="A304" i="17"/>
  <c r="P296" i="17"/>
  <c r="T292" i="17"/>
  <c r="G288" i="17"/>
  <c r="Z283" i="17"/>
  <c r="D279" i="17"/>
  <c r="V275" i="17"/>
  <c r="X271" i="17"/>
  <c r="F268" i="17"/>
  <c r="I264" i="17"/>
  <c r="W260" i="17"/>
  <c r="Z257" i="17"/>
  <c r="AE253" i="17"/>
  <c r="AC250" i="17"/>
  <c r="G247" i="17"/>
  <c r="S244" i="17"/>
  <c r="AD240" i="17"/>
  <c r="U237" i="17"/>
  <c r="D234" i="17"/>
  <c r="Y230" i="17"/>
  <c r="H228" i="17"/>
  <c r="Q224" i="17"/>
  <c r="Z220" i="17"/>
  <c r="X217" i="17"/>
  <c r="E215" i="17"/>
  <c r="R211" i="17"/>
  <c r="G208" i="17"/>
  <c r="W204" i="17"/>
  <c r="AA201" i="17"/>
  <c r="J199" i="17"/>
  <c r="AC195" i="17"/>
  <c r="P192" i="17"/>
  <c r="M189" i="17"/>
  <c r="V186" i="17"/>
  <c r="Z183" i="17"/>
  <c r="S180" i="17"/>
  <c r="D177" i="17"/>
  <c r="T173" i="17"/>
  <c r="L171" i="17"/>
  <c r="J168" i="17"/>
  <c r="D165" i="17"/>
  <c r="W161" i="17"/>
  <c r="F159" i="17"/>
  <c r="V155" i="17"/>
  <c r="Z152" i="17"/>
  <c r="N149" i="17"/>
  <c r="A146" i="17"/>
  <c r="V143" i="17"/>
  <c r="L140" i="17"/>
  <c r="N137" i="17"/>
  <c r="B134" i="17"/>
  <c r="R131" i="17"/>
  <c r="H128" i="17"/>
  <c r="L125" i="17"/>
  <c r="AA122" i="17"/>
  <c r="AA119" i="17"/>
  <c r="Y117" i="17"/>
  <c r="C115" i="17"/>
  <c r="O112" i="17"/>
  <c r="A110" i="17"/>
  <c r="AE107" i="17"/>
  <c r="L105" i="17"/>
  <c r="R102" i="17"/>
  <c r="AD99" i="17"/>
  <c r="P97" i="17"/>
  <c r="O95" i="17"/>
  <c r="AA92" i="17"/>
  <c r="AD89" i="17"/>
  <c r="K87" i="17"/>
  <c r="J85" i="17"/>
  <c r="AE82" i="17"/>
  <c r="O81" i="17"/>
  <c r="G80" i="17"/>
  <c r="Y78" i="17"/>
  <c r="N77" i="17"/>
  <c r="Z75" i="17"/>
  <c r="U74" i="17"/>
  <c r="E73" i="17"/>
  <c r="Y71" i="17"/>
  <c r="Q70" i="17"/>
  <c r="Z68" i="17"/>
  <c r="U67" i="17"/>
  <c r="E66" i="17"/>
  <c r="AB64" i="17"/>
  <c r="F63" i="17"/>
  <c r="A62" i="17"/>
  <c r="P60" i="17"/>
  <c r="H59" i="17"/>
  <c r="T57" i="17"/>
  <c r="I56" i="17"/>
  <c r="G55" i="17"/>
  <c r="S53" i="17"/>
  <c r="H52" i="17"/>
  <c r="W50" i="17"/>
  <c r="L49" i="17"/>
  <c r="AA47" i="17"/>
  <c r="S46" i="17"/>
  <c r="H45" i="17"/>
  <c r="AC43" i="17"/>
  <c r="Y42" i="17"/>
  <c r="K41" i="17"/>
  <c r="G40" i="17"/>
  <c r="AB38" i="17"/>
  <c r="Q37" i="17"/>
  <c r="J36" i="17"/>
  <c r="C35" i="17"/>
  <c r="T33" i="17"/>
  <c r="P32" i="17"/>
  <c r="F31" i="17"/>
  <c r="Z29" i="17"/>
  <c r="S28" i="17"/>
  <c r="L27" i="17"/>
  <c r="Z25" i="17"/>
  <c r="Y24" i="17"/>
  <c r="R23" i="17"/>
  <c r="A22" i="17"/>
  <c r="AE20" i="17"/>
  <c r="U19" i="17"/>
  <c r="M18" i="17"/>
  <c r="C17" i="17"/>
  <c r="AA15" i="17"/>
  <c r="M14" i="17"/>
  <c r="C13" i="17"/>
  <c r="B12" i="17"/>
  <c r="P10" i="17"/>
  <c r="I9" i="17"/>
  <c r="H8" i="17"/>
  <c r="V6" i="17"/>
  <c r="L5" i="17"/>
  <c r="K4" i="17"/>
  <c r="Y2" i="17"/>
  <c r="Y721" i="17"/>
  <c r="I658" i="17"/>
  <c r="AC618" i="17"/>
  <c r="R589" i="17"/>
  <c r="V565" i="17"/>
  <c r="AB540" i="17"/>
  <c r="AB520" i="17"/>
  <c r="P501" i="17"/>
  <c r="B485" i="17"/>
  <c r="Y470" i="17"/>
  <c r="U461" i="17"/>
  <c r="A447" i="17"/>
  <c r="S433" i="17"/>
  <c r="H421" i="17"/>
  <c r="O408" i="17"/>
  <c r="O400" i="17"/>
  <c r="S388" i="17"/>
  <c r="G378" i="17"/>
  <c r="W367" i="17"/>
  <c r="AE359" i="17"/>
  <c r="C352" i="17"/>
  <c r="Z341" i="17"/>
  <c r="AD333" i="17"/>
  <c r="AC325" i="17"/>
  <c r="N319" i="17"/>
  <c r="AD310" i="17"/>
  <c r="X303" i="17"/>
  <c r="X295" i="17"/>
  <c r="S292" i="17"/>
  <c r="A288" i="17"/>
  <c r="Y283" i="17"/>
  <c r="A279" i="17"/>
  <c r="L274" i="17"/>
  <c r="W271" i="17"/>
  <c r="E268" i="17"/>
  <c r="H264" i="17"/>
  <c r="L260" i="17"/>
  <c r="Y257" i="17"/>
  <c r="AD253" i="17"/>
  <c r="AB250" i="17"/>
  <c r="F247" i="17"/>
  <c r="O243" i="17"/>
  <c r="AC240" i="17"/>
  <c r="N237" i="17"/>
  <c r="C234" i="17"/>
  <c r="X230" i="17"/>
  <c r="AD227" i="17"/>
  <c r="P224" i="17"/>
  <c r="Y220" i="17"/>
  <c r="U217" i="17"/>
  <c r="A214" i="17"/>
  <c r="M211" i="17"/>
  <c r="F208" i="17"/>
  <c r="V204" i="17"/>
  <c r="Z201" i="17"/>
  <c r="F199" i="17"/>
  <c r="AB195" i="17"/>
  <c r="O192" i="17"/>
  <c r="L189" i="17"/>
  <c r="B186" i="17"/>
  <c r="Y183" i="17"/>
  <c r="M180" i="17"/>
  <c r="C177" i="17"/>
  <c r="S173" i="17"/>
  <c r="K171" i="17"/>
  <c r="I168" i="17"/>
  <c r="Y164" i="17"/>
  <c r="V161" i="17"/>
  <c r="G158" i="17"/>
  <c r="U155" i="17"/>
  <c r="Y152" i="17"/>
  <c r="M149" i="17"/>
  <c r="AC145" i="17"/>
  <c r="U143" i="17"/>
  <c r="K140" i="17"/>
  <c r="M137" i="17"/>
  <c r="AC133" i="17"/>
  <c r="S130" i="17"/>
  <c r="D128" i="17"/>
  <c r="J125" i="17"/>
  <c r="Z122" i="17"/>
  <c r="Z119" i="17"/>
  <c r="X117" i="17"/>
  <c r="B115" i="17"/>
  <c r="N112" i="17"/>
  <c r="AE109" i="17"/>
  <c r="F107" i="17"/>
  <c r="H105" i="17"/>
  <c r="Q102" i="17"/>
  <c r="Z99" i="17"/>
  <c r="O97" i="17"/>
  <c r="F95" i="17"/>
  <c r="Z92" i="17"/>
  <c r="AC89" i="17"/>
  <c r="J87" i="17"/>
  <c r="AA84" i="17"/>
  <c r="AD82" i="17"/>
  <c r="N81" i="17"/>
  <c r="F80" i="17"/>
  <c r="U78" i="17"/>
  <c r="J77" i="17"/>
  <c r="Y75" i="17"/>
  <c r="Q74" i="17"/>
  <c r="D73" i="17"/>
  <c r="X71" i="17"/>
  <c r="E70" i="17"/>
  <c r="Y68" i="17"/>
  <c r="T67" i="17"/>
  <c r="D66" i="17"/>
  <c r="AA64" i="17"/>
  <c r="E63" i="17"/>
  <c r="AB61" i="17"/>
  <c r="L60" i="17"/>
  <c r="G59" i="17"/>
  <c r="P57" i="17"/>
  <c r="H56" i="17"/>
  <c r="W54" i="17"/>
  <c r="R53" i="17"/>
  <c r="G52" i="17"/>
  <c r="S50" i="17"/>
  <c r="H49" i="17"/>
  <c r="Z47" i="17"/>
  <c r="R46" i="17"/>
  <c r="D45" i="17"/>
  <c r="AB43" i="17"/>
  <c r="X42" i="17"/>
  <c r="J41" i="17"/>
  <c r="C40" i="17"/>
  <c r="AA38" i="17"/>
  <c r="P37" i="17"/>
  <c r="I36" i="17"/>
  <c r="B35" i="17"/>
  <c r="S33" i="17"/>
  <c r="O32" i="17"/>
  <c r="E31" i="17"/>
  <c r="S29" i="17"/>
  <c r="R28" i="17"/>
  <c r="K27" i="17"/>
  <c r="Y25" i="17"/>
  <c r="X24" i="17"/>
  <c r="N23" i="17"/>
  <c r="AB21" i="17"/>
  <c r="AA20" i="17"/>
  <c r="T19" i="17"/>
  <c r="C18" i="17"/>
  <c r="AD16" i="17"/>
  <c r="T15" i="17"/>
  <c r="L14" i="17"/>
  <c r="B13" i="17"/>
  <c r="Z11" i="17"/>
  <c r="O10" i="17"/>
  <c r="H9" i="17"/>
  <c r="G8" i="17"/>
  <c r="U6" i="17"/>
  <c r="K5" i="17"/>
  <c r="G4" i="17"/>
  <c r="X2" i="17"/>
  <c r="Q701" i="17"/>
  <c r="I647" i="17"/>
  <c r="Z618" i="17"/>
  <c r="Q589" i="17"/>
  <c r="E563" i="17"/>
  <c r="I540" i="17"/>
  <c r="AA520" i="17"/>
  <c r="N501" i="17"/>
  <c r="P484" i="17"/>
  <c r="X470" i="17"/>
  <c r="K458" i="17"/>
  <c r="Q446" i="17"/>
  <c r="R433" i="17"/>
  <c r="AA419" i="17"/>
  <c r="N408" i="17"/>
  <c r="N400" i="17"/>
  <c r="T387" i="17"/>
  <c r="R377" i="17"/>
  <c r="U367" i="17"/>
  <c r="AA357" i="17"/>
  <c r="B352" i="17"/>
  <c r="Y341" i="17"/>
  <c r="AC333" i="17"/>
  <c r="AB325" i="17"/>
  <c r="M319" i="17"/>
  <c r="AC310" i="17"/>
  <c r="F302" i="17"/>
  <c r="W295" i="17"/>
  <c r="V291" i="17"/>
  <c r="AE287" i="17"/>
  <c r="D283" i="17"/>
  <c r="U278" i="17"/>
  <c r="K274" i="17"/>
  <c r="S271" i="17"/>
  <c r="D268" i="17"/>
  <c r="G264" i="17"/>
  <c r="J260" i="17"/>
  <c r="R256" i="17"/>
  <c r="Z253" i="17"/>
  <c r="AA250" i="17"/>
  <c r="E247" i="17"/>
  <c r="N243" i="17"/>
  <c r="AB240" i="17"/>
  <c r="M237" i="17"/>
  <c r="B234" i="17"/>
  <c r="P230" i="17"/>
  <c r="A227" i="17"/>
  <c r="O224" i="17"/>
  <c r="X220" i="17"/>
  <c r="T217" i="17"/>
  <c r="AE213" i="17"/>
  <c r="L211" i="17"/>
  <c r="AD207" i="17"/>
  <c r="U204" i="17"/>
  <c r="Y201" i="17"/>
  <c r="J198" i="17"/>
  <c r="AA195" i="17"/>
  <c r="L192" i="17"/>
  <c r="I189" i="17"/>
  <c r="A186" i="17"/>
  <c r="G183" i="17"/>
  <c r="I180" i="17"/>
  <c r="B177" i="17"/>
  <c r="R173" i="17"/>
  <c r="T170" i="17"/>
  <c r="Z167" i="17"/>
  <c r="X164" i="17"/>
  <c r="R161" i="17"/>
  <c r="F158" i="17"/>
  <c r="T155" i="17"/>
  <c r="J152" i="17"/>
  <c r="L149" i="17"/>
  <c r="AB145" i="17"/>
  <c r="Y142" i="17"/>
  <c r="E140" i="17"/>
  <c r="Z136" i="17"/>
  <c r="AB133" i="17"/>
  <c r="R130" i="17"/>
  <c r="C128" i="17"/>
  <c r="I125" i="17"/>
  <c r="J122" i="17"/>
  <c r="Y119" i="17"/>
  <c r="B117" i="17"/>
  <c r="A115" i="17"/>
  <c r="M112" i="17"/>
  <c r="P109" i="17"/>
  <c r="B107" i="17"/>
  <c r="G105" i="17"/>
  <c r="M102" i="17"/>
  <c r="Y99" i="17"/>
  <c r="AE96" i="17"/>
  <c r="T94" i="17"/>
  <c r="Y92" i="17"/>
  <c r="AB89" i="17"/>
  <c r="I87" i="17"/>
  <c r="R84" i="17"/>
  <c r="U82" i="17"/>
  <c r="M81" i="17"/>
  <c r="E80" i="17"/>
  <c r="Q78" i="17"/>
  <c r="I77" i="17"/>
  <c r="X75" i="17"/>
  <c r="M74" i="17"/>
  <c r="Y72" i="17"/>
  <c r="W71" i="17"/>
  <c r="D70" i="17"/>
  <c r="X68" i="17"/>
  <c r="H67" i="17"/>
  <c r="C66" i="17"/>
  <c r="W64" i="17"/>
  <c r="D63" i="17"/>
  <c r="AA61" i="17"/>
  <c r="K60" i="17"/>
  <c r="F59" i="17"/>
  <c r="O57" i="17"/>
  <c r="G56" i="17"/>
  <c r="V54" i="17"/>
  <c r="Q53" i="17"/>
  <c r="Z51" i="17"/>
  <c r="R50" i="17"/>
  <c r="G49" i="17"/>
  <c r="V47" i="17"/>
  <c r="Q46" i="17"/>
  <c r="C45" i="17"/>
  <c r="AA43" i="17"/>
  <c r="W42" i="17"/>
  <c r="I41" i="17"/>
  <c r="AD39" i="17"/>
  <c r="Z38" i="17"/>
  <c r="L37" i="17"/>
  <c r="E36" i="17"/>
  <c r="A35" i="17"/>
  <c r="O33" i="17"/>
  <c r="N32" i="17"/>
  <c r="D31" i="17"/>
  <c r="R29" i="17"/>
  <c r="Q28" i="17"/>
  <c r="J27" i="17"/>
  <c r="X25" i="17"/>
  <c r="W24" i="17"/>
  <c r="M23" i="17"/>
  <c r="AA21" i="17"/>
  <c r="W20" i="17"/>
  <c r="P19" i="17"/>
  <c r="B18" i="17"/>
  <c r="AC16" i="17"/>
  <c r="S15" i="17"/>
  <c r="E14" i="17"/>
  <c r="A13" i="17"/>
  <c r="Y11" i="17"/>
  <c r="N10" i="17"/>
  <c r="G9" i="17"/>
  <c r="AB7" i="17"/>
  <c r="T6" i="17"/>
  <c r="J5" i="17"/>
  <c r="F4" i="17"/>
  <c r="W2" i="17"/>
  <c r="O700" i="17"/>
  <c r="U644" i="17"/>
  <c r="K615" i="17"/>
  <c r="P589" i="17"/>
  <c r="A563" i="17"/>
  <c r="O535" i="17"/>
  <c r="V513" i="17"/>
  <c r="H501" i="17"/>
  <c r="O484" i="17"/>
  <c r="G470" i="17"/>
  <c r="Z457" i="17"/>
  <c r="O446" i="17"/>
  <c r="H433" i="17"/>
  <c r="Z419" i="17"/>
  <c r="M408" i="17"/>
  <c r="R396" i="17"/>
  <c r="Q387" i="17"/>
  <c r="Q377" i="17"/>
  <c r="E366" i="17"/>
  <c r="Z357" i="17"/>
  <c r="E351" i="17"/>
  <c r="X341" i="17"/>
  <c r="V333" i="17"/>
  <c r="AA325" i="17"/>
  <c r="D317" i="17"/>
  <c r="AB310" i="17"/>
  <c r="E302" i="17"/>
  <c r="V295" i="17"/>
  <c r="U291" i="17"/>
  <c r="V287" i="17"/>
  <c r="C283" i="17"/>
  <c r="T278" i="17"/>
  <c r="J274" i="17"/>
  <c r="A271" i="17"/>
  <c r="N267" i="17"/>
  <c r="F264" i="17"/>
  <c r="I260" i="17"/>
  <c r="Q256" i="17"/>
  <c r="Y253" i="17"/>
  <c r="H250" i="17"/>
  <c r="D247" i="17"/>
  <c r="M243" i="17"/>
  <c r="AA239" i="17"/>
  <c r="E237" i="17"/>
  <c r="W233" i="17"/>
  <c r="I230" i="17"/>
  <c r="AE226" i="17"/>
  <c r="N224" i="17"/>
  <c r="W220" i="17"/>
  <c r="A217" i="17"/>
  <c r="AD213" i="17"/>
  <c r="K210" i="17"/>
  <c r="AA207" i="17"/>
  <c r="T204" i="17"/>
  <c r="E201" i="17"/>
  <c r="I198" i="17"/>
  <c r="Z195" i="17"/>
  <c r="K192" i="17"/>
  <c r="AC188" i="17"/>
  <c r="Z185" i="17"/>
  <c r="P182" i="17"/>
  <c r="H180" i="17"/>
  <c r="A177" i="17"/>
  <c r="Q173" i="17"/>
  <c r="B170" i="17"/>
  <c r="Y167" i="17"/>
  <c r="W164" i="17"/>
  <c r="L161" i="17"/>
  <c r="E158" i="17"/>
  <c r="U154" i="17"/>
  <c r="I152" i="17"/>
  <c r="K149" i="17"/>
  <c r="AA145" i="17"/>
  <c r="N142" i="17"/>
  <c r="D140" i="17"/>
  <c r="Y136" i="17"/>
  <c r="AA133" i="17"/>
  <c r="Q130" i="17"/>
  <c r="G127" i="17"/>
  <c r="H125" i="17"/>
  <c r="I122" i="17"/>
  <c r="X119" i="17"/>
  <c r="A117" i="17"/>
  <c r="AE114" i="17"/>
  <c r="F112" i="17"/>
  <c r="O109" i="17"/>
  <c r="A107" i="17"/>
  <c r="M104" i="17"/>
  <c r="L102" i="17"/>
  <c r="X99" i="17"/>
  <c r="AD96" i="17"/>
  <c r="S94" i="17"/>
  <c r="X92" i="17"/>
  <c r="AA89" i="17"/>
  <c r="H87" i="17"/>
  <c r="Q84" i="17"/>
  <c r="T82" i="17"/>
  <c r="L81" i="17"/>
  <c r="U79" i="17"/>
  <c r="P78" i="17"/>
  <c r="H77" i="17"/>
  <c r="W75" i="17"/>
  <c r="L74" i="17"/>
  <c r="X72" i="17"/>
  <c r="S71" i="17"/>
  <c r="C70" i="17"/>
  <c r="W68" i="17"/>
  <c r="D67" i="17"/>
  <c r="B66" i="17"/>
  <c r="N64" i="17"/>
  <c r="C63" i="17"/>
  <c r="Z61" i="17"/>
  <c r="J60" i="17"/>
  <c r="B59" i="17"/>
  <c r="N57" i="17"/>
  <c r="F56" i="17"/>
  <c r="U54" i="17"/>
  <c r="J53" i="17"/>
  <c r="V51" i="17"/>
  <c r="Q50" i="17"/>
  <c r="A49" i="17"/>
  <c r="U47" i="17"/>
  <c r="P46" i="17"/>
  <c r="B45" i="17"/>
  <c r="Z43" i="17"/>
  <c r="V42" i="17"/>
  <c r="H41" i="17"/>
  <c r="AC39" i="17"/>
  <c r="Y38" i="17"/>
  <c r="H37" i="17"/>
  <c r="A36" i="17"/>
  <c r="AE34" i="17"/>
  <c r="N33" i="17"/>
  <c r="D32" i="17"/>
  <c r="C31" i="17"/>
  <c r="Q29" i="17"/>
  <c r="P28" i="17"/>
  <c r="I27" i="17"/>
  <c r="W25" i="17"/>
  <c r="S24" i="17"/>
  <c r="I23" i="17"/>
  <c r="Z21" i="17"/>
  <c r="V20" i="17"/>
  <c r="O19" i="17"/>
  <c r="A18" i="17"/>
  <c r="AB16" i="17"/>
  <c r="R15" i="17"/>
  <c r="D14" i="17"/>
  <c r="AE12" i="17"/>
  <c r="X11" i="17"/>
  <c r="J10" i="17"/>
  <c r="F9" i="17"/>
  <c r="AA7" i="17"/>
  <c r="S6" i="17"/>
  <c r="I5" i="17"/>
  <c r="B4" i="17"/>
  <c r="V2" i="17"/>
  <c r="S699" i="17"/>
  <c r="T642" i="17"/>
  <c r="R606" i="17"/>
  <c r="A587" i="17"/>
  <c r="R561" i="17"/>
  <c r="K535" i="17"/>
  <c r="I513" i="17"/>
  <c r="K497" i="17"/>
  <c r="M484" i="17"/>
  <c r="V469" i="17"/>
  <c r="D455" i="17"/>
  <c r="H442" i="17"/>
  <c r="O431" i="17"/>
  <c r="S418" i="17"/>
  <c r="Y407" i="17"/>
  <c r="O395" i="17"/>
  <c r="N384" i="17"/>
  <c r="O377" i="17"/>
  <c r="C366" i="17"/>
  <c r="T357" i="17"/>
  <c r="AA348" i="17"/>
  <c r="U341" i="17"/>
  <c r="L333" i="17"/>
  <c r="J324" i="17"/>
  <c r="K316" i="17"/>
  <c r="W308" i="17"/>
  <c r="AE301" i="17"/>
  <c r="O295" i="17"/>
  <c r="V290" i="17"/>
  <c r="U286" i="17"/>
  <c r="A283" i="17"/>
  <c r="L278" i="17"/>
  <c r="G274" i="17"/>
  <c r="K270" i="17"/>
  <c r="AD266" i="17"/>
  <c r="D264" i="17"/>
  <c r="B260" i="17"/>
  <c r="E256" i="17"/>
  <c r="W252" i="17"/>
  <c r="AE249" i="17"/>
  <c r="AD246" i="17"/>
  <c r="K243" i="17"/>
  <c r="S239" i="17"/>
  <c r="B236" i="17"/>
  <c r="S233" i="17"/>
  <c r="G230" i="17"/>
  <c r="U226" i="17"/>
  <c r="I223" i="17"/>
  <c r="U220" i="17"/>
  <c r="AC216" i="17"/>
  <c r="Y213" i="17"/>
  <c r="E210" i="17"/>
  <c r="W206" i="17"/>
  <c r="O204" i="17"/>
  <c r="C201" i="17"/>
  <c r="G198" i="17"/>
  <c r="W194" i="17"/>
  <c r="I192" i="17"/>
  <c r="AA188" i="17"/>
  <c r="X185" i="17"/>
  <c r="N182" i="17"/>
  <c r="D179" i="17"/>
  <c r="V176" i="17"/>
  <c r="O173" i="17"/>
  <c r="AE169" i="17"/>
  <c r="B167" i="17"/>
  <c r="H164" i="17"/>
  <c r="F161" i="17"/>
  <c r="C158" i="17"/>
  <c r="S154" i="17"/>
  <c r="W151" i="17"/>
  <c r="W148" i="17"/>
  <c r="Y145" i="17"/>
  <c r="J142" i="17"/>
  <c r="G139" i="17"/>
  <c r="R136" i="17"/>
  <c r="H133" i="17"/>
  <c r="J130" i="17"/>
  <c r="E127" i="17"/>
  <c r="L124" i="17"/>
  <c r="F122" i="17"/>
  <c r="J119" i="17"/>
  <c r="AA116" i="17"/>
  <c r="B114" i="17"/>
  <c r="D112" i="17"/>
  <c r="M109" i="17"/>
  <c r="Y106" i="17"/>
  <c r="K104" i="17"/>
  <c r="T101" i="17"/>
  <c r="V99" i="17"/>
  <c r="AB96" i="17"/>
  <c r="I94" i="17"/>
  <c r="Z91" i="17"/>
  <c r="Y89" i="17"/>
  <c r="F87" i="17"/>
  <c r="O84" i="17"/>
  <c r="R82" i="17"/>
  <c r="G81" i="17"/>
  <c r="S79" i="17"/>
  <c r="K78" i="17"/>
  <c r="Z76" i="17"/>
  <c r="R75" i="17"/>
  <c r="AD73" i="17"/>
  <c r="V72" i="17"/>
  <c r="N71" i="17"/>
  <c r="A70" i="17"/>
  <c r="U68" i="17"/>
  <c r="B67" i="17"/>
  <c r="V65" i="17"/>
  <c r="F64" i="17"/>
  <c r="A63" i="17"/>
  <c r="M61" i="17"/>
  <c r="B60" i="17"/>
  <c r="Q58" i="17"/>
  <c r="L57" i="17"/>
  <c r="D56" i="17"/>
  <c r="S54" i="17"/>
  <c r="E53" i="17"/>
  <c r="T51" i="17"/>
  <c r="O50" i="17"/>
  <c r="AD48" i="17"/>
  <c r="S47" i="17"/>
  <c r="A46" i="17"/>
  <c r="AB44" i="17"/>
  <c r="R43" i="17"/>
  <c r="G42" i="17"/>
  <c r="AE40" i="17"/>
  <c r="X39" i="17"/>
  <c r="J38" i="17"/>
  <c r="F37" i="17"/>
  <c r="AD35" i="17"/>
  <c r="P34" i="17"/>
  <c r="L33" i="17"/>
  <c r="B32" i="17"/>
  <c r="S30" i="17"/>
  <c r="O29" i="17"/>
  <c r="H28" i="17"/>
  <c r="AB26" i="17"/>
  <c r="U25" i="17"/>
  <c r="K24" i="17"/>
  <c r="C23" i="17"/>
  <c r="X21" i="17"/>
  <c r="T20" i="17"/>
  <c r="F19" i="17"/>
  <c r="AD17" i="17"/>
  <c r="W16" i="17"/>
  <c r="L15" i="17"/>
  <c r="B14" i="17"/>
  <c r="AC12" i="17"/>
  <c r="O11" i="17"/>
  <c r="H10" i="17"/>
  <c r="D9" i="17"/>
  <c r="U7" i="17"/>
  <c r="K6" i="17"/>
  <c r="G5" i="17"/>
  <c r="X3" i="17"/>
  <c r="Q2" i="17"/>
  <c r="M699" i="17"/>
  <c r="R642" i="17"/>
  <c r="Q606" i="17"/>
  <c r="C579" i="17"/>
  <c r="AA557" i="17"/>
  <c r="J535" i="17"/>
  <c r="G513" i="17"/>
  <c r="N494" i="17"/>
  <c r="L484" i="17"/>
  <c r="L469" i="17"/>
  <c r="AE454" i="17"/>
  <c r="B442" i="17"/>
  <c r="J429" i="17"/>
  <c r="Q418" i="17"/>
  <c r="L407" i="17"/>
  <c r="O394" i="17"/>
  <c r="A384" i="17"/>
  <c r="AA375" i="17"/>
  <c r="S365" i="17"/>
  <c r="R357" i="17"/>
  <c r="N347" i="17"/>
  <c r="J339" i="17"/>
  <c r="K333" i="17"/>
  <c r="I324" i="17"/>
  <c r="I316" i="17"/>
  <c r="V308" i="17"/>
  <c r="AD301" i="17"/>
  <c r="N295" i="17"/>
  <c r="U290" i="17"/>
  <c r="T286" i="17"/>
  <c r="X281" i="17"/>
  <c r="K278" i="17"/>
  <c r="F274" i="17"/>
  <c r="G270" i="17"/>
  <c r="AC266" i="17"/>
  <c r="O263" i="17"/>
  <c r="A260" i="17"/>
  <c r="D256" i="17"/>
  <c r="R252" i="17"/>
  <c r="J249" i="17"/>
  <c r="H246" i="17"/>
  <c r="I243" i="17"/>
  <c r="R239" i="17"/>
  <c r="A236" i="17"/>
  <c r="J233" i="17"/>
  <c r="AC229" i="17"/>
  <c r="T226" i="17"/>
  <c r="E223" i="17"/>
  <c r="P219" i="17"/>
  <c r="AB216" i="17"/>
  <c r="F213" i="17"/>
  <c r="D210" i="17"/>
  <c r="V206" i="17"/>
  <c r="K204" i="17"/>
  <c r="B201" i="17"/>
  <c r="T197" i="17"/>
  <c r="V194" i="17"/>
  <c r="G191" i="17"/>
  <c r="X188" i="17"/>
  <c r="K185" i="17"/>
  <c r="H182" i="17"/>
  <c r="C179" i="17"/>
  <c r="U176" i="17"/>
  <c r="N173" i="17"/>
  <c r="AD169" i="17"/>
  <c r="O166" i="17"/>
  <c r="S163" i="17"/>
  <c r="E161" i="17"/>
  <c r="Y157" i="17"/>
  <c r="R154" i="17"/>
  <c r="C151" i="17"/>
  <c r="V148" i="17"/>
  <c r="X145" i="17"/>
  <c r="I142" i="17"/>
  <c r="AA138" i="17"/>
  <c r="X135" i="17"/>
  <c r="D133" i="17"/>
  <c r="I130" i="17"/>
  <c r="D127" i="17"/>
  <c r="K124" i="17"/>
  <c r="E122" i="17"/>
  <c r="I119" i="17"/>
  <c r="Z116" i="17"/>
  <c r="A114" i="17"/>
  <c r="M111" i="17"/>
  <c r="L109" i="17"/>
  <c r="X106" i="17"/>
  <c r="J104" i="17"/>
  <c r="S101" i="17"/>
  <c r="U99" i="17"/>
  <c r="AA96" i="17"/>
  <c r="E94" i="17"/>
  <c r="Y91" i="17"/>
  <c r="AE88" i="17"/>
  <c r="E87" i="17"/>
  <c r="H84" i="17"/>
  <c r="Q82" i="17"/>
  <c r="C81" i="17"/>
  <c r="R79" i="17"/>
  <c r="J78" i="17"/>
  <c r="S76" i="17"/>
  <c r="Q75" i="17"/>
  <c r="AC73" i="17"/>
  <c r="U72" i="17"/>
  <c r="E71" i="17"/>
  <c r="AB69" i="17"/>
  <c r="T68" i="17"/>
  <c r="A67" i="17"/>
  <c r="U65" i="17"/>
  <c r="E64" i="17"/>
  <c r="AE62" i="17"/>
  <c r="L61" i="17"/>
  <c r="A60" i="17"/>
  <c r="P58" i="17"/>
  <c r="H57" i="17"/>
  <c r="T55" i="17"/>
  <c r="L54" i="17"/>
  <c r="D53" i="17"/>
  <c r="S51" i="17"/>
  <c r="N50" i="17"/>
  <c r="AC48" i="17"/>
  <c r="R47" i="17"/>
  <c r="AE45" i="17"/>
  <c r="AA44" i="17"/>
  <c r="Q43" i="17"/>
  <c r="F42" i="17"/>
  <c r="AD40" i="17"/>
  <c r="W39" i="17"/>
  <c r="I38" i="17"/>
  <c r="E37" i="17"/>
  <c r="Z35" i="17"/>
  <c r="O34" i="17"/>
  <c r="H33" i="17"/>
  <c r="A32" i="17"/>
  <c r="R30" i="17"/>
  <c r="N29" i="17"/>
  <c r="G28" i="17"/>
  <c r="X26" i="17"/>
  <c r="T25" i="17"/>
  <c r="J24" i="17"/>
  <c r="B23" i="17"/>
  <c r="W21" i="17"/>
  <c r="P20" i="17"/>
  <c r="E19" i="17"/>
  <c r="AC17" i="17"/>
  <c r="V16" i="17"/>
  <c r="K15" i="17"/>
  <c r="A14" i="17"/>
  <c r="AB12" i="17"/>
  <c r="N11" i="17"/>
  <c r="G10" i="17"/>
  <c r="AE8" i="17"/>
  <c r="T7" i="17"/>
  <c r="J6" i="17"/>
  <c r="F5" i="17"/>
  <c r="W3" i="17"/>
  <c r="P2" i="17"/>
  <c r="W699" i="17"/>
  <c r="W623" i="17"/>
  <c r="A579" i="17"/>
  <c r="Q547" i="17"/>
  <c r="U508" i="17"/>
  <c r="N484" i="17"/>
  <c r="O462" i="17"/>
  <c r="X441" i="17"/>
  <c r="AE425" i="17"/>
  <c r="W401" i="17"/>
  <c r="P387" i="17"/>
  <c r="Y371" i="17"/>
  <c r="U356" i="17"/>
  <c r="AB343" i="17"/>
  <c r="Q329" i="17"/>
  <c r="C317" i="17"/>
  <c r="AA306" i="17"/>
  <c r="L295" i="17"/>
  <c r="U288" i="17"/>
  <c r="P280" i="17"/>
  <c r="H274" i="17"/>
  <c r="T268" i="17"/>
  <c r="X262" i="17"/>
  <c r="AD257" i="17"/>
  <c r="H252" i="17"/>
  <c r="C247" i="17"/>
  <c r="U241" i="17"/>
  <c r="AD235" i="17"/>
  <c r="X231" i="17"/>
  <c r="B226" i="17"/>
  <c r="V220" i="17"/>
  <c r="M215" i="17"/>
  <c r="B210" i="17"/>
  <c r="M205" i="17"/>
  <c r="S199" i="17"/>
  <c r="X194" i="17"/>
  <c r="O190" i="17"/>
  <c r="I185" i="17"/>
  <c r="U180" i="17"/>
  <c r="O175" i="17"/>
  <c r="A170" i="17"/>
  <c r="I166" i="17"/>
  <c r="B160" i="17"/>
  <c r="L156" i="17"/>
  <c r="AD150" i="17"/>
  <c r="Z145" i="17"/>
  <c r="B141" i="17"/>
  <c r="V135" i="17"/>
  <c r="T131" i="17"/>
  <c r="AE126" i="17"/>
  <c r="G122" i="17"/>
  <c r="E118" i="17"/>
  <c r="AD113" i="17"/>
  <c r="S110" i="17"/>
  <c r="U105" i="17"/>
  <c r="K102" i="17"/>
  <c r="P98" i="17"/>
  <c r="AE93" i="17"/>
  <c r="J90" i="17"/>
  <c r="B86" i="17"/>
  <c r="S82" i="17"/>
  <c r="N80" i="17"/>
  <c r="E78" i="17"/>
  <c r="K76" i="17"/>
  <c r="V73" i="17"/>
  <c r="R71" i="17"/>
  <c r="H69" i="17"/>
  <c r="AD66" i="17"/>
  <c r="AD64" i="17"/>
  <c r="M62" i="17"/>
  <c r="C60" i="17"/>
  <c r="G58" i="17"/>
  <c r="R55" i="17"/>
  <c r="U53" i="17"/>
  <c r="O51" i="17"/>
  <c r="AE48" i="17"/>
  <c r="Z46" i="17"/>
  <c r="S44" i="17"/>
  <c r="AA42" i="17"/>
  <c r="W40" i="17"/>
  <c r="K38" i="17"/>
  <c r="Q36" i="17"/>
  <c r="M34" i="17"/>
  <c r="R32" i="17"/>
  <c r="N30" i="17"/>
  <c r="I28" i="17"/>
  <c r="L26" i="17"/>
  <c r="D24" i="17"/>
  <c r="M22" i="17"/>
  <c r="B20" i="17"/>
  <c r="AE17" i="17"/>
  <c r="C16" i="17"/>
  <c r="AD13" i="17"/>
  <c r="G12" i="17"/>
  <c r="AB9" i="17"/>
  <c r="V7" i="17"/>
  <c r="Y5" i="17"/>
  <c r="R3" i="17"/>
  <c r="T698" i="17"/>
  <c r="Y621" i="17"/>
  <c r="AA578" i="17"/>
  <c r="P547" i="17"/>
  <c r="T508" i="17"/>
  <c r="AC478" i="17"/>
  <c r="N462" i="17"/>
  <c r="W441" i="17"/>
  <c r="I422" i="17"/>
  <c r="S401" i="17"/>
  <c r="AE383" i="17"/>
  <c r="S371" i="17"/>
  <c r="S355" i="17"/>
  <c r="M343" i="17"/>
  <c r="P329" i="17"/>
  <c r="E316" i="17"/>
  <c r="C306" i="17"/>
  <c r="AA293" i="17"/>
  <c r="P288" i="17"/>
  <c r="O280" i="17"/>
  <c r="E274" i="17"/>
  <c r="R268" i="17"/>
  <c r="T262" i="17"/>
  <c r="AA257" i="17"/>
  <c r="G252" i="17"/>
  <c r="G246" i="17"/>
  <c r="O241" i="17"/>
  <c r="X235" i="17"/>
  <c r="W231" i="17"/>
  <c r="J225" i="17"/>
  <c r="O219" i="17"/>
  <c r="L215" i="17"/>
  <c r="L209" i="17"/>
  <c r="L205" i="17"/>
  <c r="R199" i="17"/>
  <c r="U194" i="17"/>
  <c r="I190" i="17"/>
  <c r="H185" i="17"/>
  <c r="T180" i="17"/>
  <c r="I175" i="17"/>
  <c r="AC169" i="17"/>
  <c r="J165" i="17"/>
  <c r="A160" i="17"/>
  <c r="AB155" i="17"/>
  <c r="AC150" i="17"/>
  <c r="W145" i="17"/>
  <c r="A141" i="17"/>
  <c r="I135" i="17"/>
  <c r="S131" i="17"/>
  <c r="O126" i="17"/>
  <c r="F121" i="17"/>
  <c r="AB117" i="17"/>
  <c r="AC113" i="17"/>
  <c r="B110" i="17"/>
  <c r="T105" i="17"/>
  <c r="L101" i="17"/>
  <c r="O98" i="17"/>
  <c r="AD93" i="17"/>
  <c r="I90" i="17"/>
  <c r="A86" i="17"/>
  <c r="M82" i="17"/>
  <c r="M80" i="17"/>
  <c r="AA77" i="17"/>
  <c r="AA75" i="17"/>
  <c r="U73" i="17"/>
  <c r="D71" i="17"/>
  <c r="G69" i="17"/>
  <c r="AC66" i="17"/>
  <c r="AC64" i="17"/>
  <c r="L62" i="17"/>
  <c r="AE59" i="17"/>
  <c r="F58" i="17"/>
  <c r="N55" i="17"/>
  <c r="T53" i="17"/>
  <c r="N51" i="17"/>
  <c r="AB48" i="17"/>
  <c r="Y46" i="17"/>
  <c r="R44" i="17"/>
  <c r="Z42" i="17"/>
  <c r="V40" i="17"/>
  <c r="H38" i="17"/>
  <c r="P36" i="17"/>
  <c r="I34" i="17"/>
  <c r="Q32" i="17"/>
  <c r="J30" i="17"/>
  <c r="C28" i="17"/>
  <c r="K26" i="17"/>
  <c r="AB23" i="17"/>
  <c r="L22" i="17"/>
  <c r="A20" i="17"/>
  <c r="AB17" i="17"/>
  <c r="B16" i="17"/>
  <c r="AC13" i="17"/>
  <c r="C12" i="17"/>
  <c r="AA9" i="17"/>
  <c r="S7" i="17"/>
  <c r="U5" i="17"/>
  <c r="Q3" i="17"/>
  <c r="F694" i="17"/>
  <c r="W621" i="17"/>
  <c r="C578" i="17"/>
  <c r="L535" i="17"/>
  <c r="AE503" i="17"/>
  <c r="AB478" i="17"/>
  <c r="G462" i="17"/>
  <c r="G439" i="17"/>
  <c r="V419" i="17"/>
  <c r="P401" i="17"/>
  <c r="AD383" i="17"/>
  <c r="Q371" i="17"/>
  <c r="R355" i="17"/>
  <c r="W341" i="17"/>
  <c r="AC328" i="17"/>
  <c r="D316" i="17"/>
  <c r="C304" i="17"/>
  <c r="Z293" i="17"/>
  <c r="AA286" i="17"/>
  <c r="N280" i="17"/>
  <c r="Z273" i="17"/>
  <c r="Q268" i="17"/>
  <c r="AE261" i="17"/>
  <c r="F256" i="17"/>
  <c r="AD251" i="17"/>
  <c r="Q245" i="17"/>
  <c r="N241" i="17"/>
  <c r="W235" i="17"/>
  <c r="H230" i="17"/>
  <c r="I225" i="17"/>
  <c r="N219" i="17"/>
  <c r="G215" i="17"/>
  <c r="K209" i="17"/>
  <c r="S204" i="17"/>
  <c r="Q199" i="17"/>
  <c r="T194" i="17"/>
  <c r="H190" i="17"/>
  <c r="I184" i="17"/>
  <c r="G180" i="17"/>
  <c r="AE174" i="17"/>
  <c r="AB169" i="17"/>
  <c r="F165" i="17"/>
  <c r="AE159" i="17"/>
  <c r="T154" i="17"/>
  <c r="Y150" i="17"/>
  <c r="E145" i="17"/>
  <c r="AE140" i="17"/>
  <c r="H135" i="17"/>
  <c r="N130" i="17"/>
  <c r="AE125" i="17"/>
  <c r="E121" i="17"/>
  <c r="AA117" i="17"/>
  <c r="AB113" i="17"/>
  <c r="N109" i="17"/>
  <c r="P105" i="17"/>
  <c r="K101" i="17"/>
  <c r="C98" i="17"/>
  <c r="Z93" i="17"/>
  <c r="Z89" i="17"/>
  <c r="AB85" i="17"/>
  <c r="F82" i="17"/>
  <c r="L80" i="17"/>
  <c r="Z77" i="17"/>
  <c r="V75" i="17"/>
  <c r="N73" i="17"/>
  <c r="AB70" i="17"/>
  <c r="F69" i="17"/>
  <c r="Y66" i="17"/>
  <c r="G64" i="17"/>
  <c r="K62" i="17"/>
  <c r="AD59" i="17"/>
  <c r="AD57" i="17"/>
  <c r="M55" i="17"/>
  <c r="I53" i="17"/>
  <c r="G51" i="17"/>
  <c r="R48" i="17"/>
  <c r="U46" i="17"/>
  <c r="Q44" i="17"/>
  <c r="H42" i="17"/>
  <c r="K40" i="17"/>
  <c r="G38" i="17"/>
  <c r="O36" i="17"/>
  <c r="H34" i="17"/>
  <c r="C32" i="17"/>
  <c r="I30" i="17"/>
  <c r="AC27" i="17"/>
  <c r="J26" i="17"/>
  <c r="AA23" i="17"/>
  <c r="Y21" i="17"/>
  <c r="AE19" i="17"/>
  <c r="X17" i="17"/>
  <c r="A16" i="17"/>
  <c r="Y13" i="17"/>
  <c r="P11" i="17"/>
  <c r="P9" i="17"/>
  <c r="L7" i="17"/>
  <c r="Q5" i="17"/>
  <c r="P3" i="17"/>
  <c r="AB672" i="17"/>
  <c r="L621" i="17"/>
  <c r="X573" i="17"/>
  <c r="I535" i="17"/>
  <c r="AD503" i="17"/>
  <c r="AA478" i="17"/>
  <c r="AA461" i="17"/>
  <c r="F439" i="17"/>
  <c r="P418" i="17"/>
  <c r="F401" i="17"/>
  <c r="AC383" i="17"/>
  <c r="P371" i="17"/>
  <c r="T352" i="17"/>
  <c r="I339" i="17"/>
  <c r="AB328" i="17"/>
  <c r="Y315" i="17"/>
  <c r="B304" i="17"/>
  <c r="Y293" i="17"/>
  <c r="U285" i="17"/>
  <c r="J280" i="17"/>
  <c r="T273" i="17"/>
  <c r="P268" i="17"/>
  <c r="AD261" i="17"/>
  <c r="C256" i="17"/>
  <c r="A251" i="17"/>
  <c r="P245" i="17"/>
  <c r="D241" i="17"/>
  <c r="S235" i="17"/>
  <c r="AA229" i="17"/>
  <c r="T224" i="17"/>
  <c r="M219" i="17"/>
  <c r="F215" i="17"/>
  <c r="J209" i="17"/>
  <c r="F203" i="17"/>
  <c r="P199" i="17"/>
  <c r="B194" i="17"/>
  <c r="S189" i="17"/>
  <c r="H184" i="17"/>
  <c r="AB178" i="17"/>
  <c r="AD174" i="17"/>
  <c r="AA169" i="17"/>
  <c r="E165" i="17"/>
  <c r="AD159" i="17"/>
  <c r="Q154" i="17"/>
  <c r="O150" i="17"/>
  <c r="T144" i="17"/>
  <c r="M140" i="17"/>
  <c r="G135" i="17"/>
  <c r="E130" i="17"/>
  <c r="AD125" i="17"/>
  <c r="D121" i="17"/>
  <c r="Z117" i="17"/>
  <c r="M113" i="17"/>
  <c r="K109" i="17"/>
  <c r="O105" i="17"/>
  <c r="J101" i="17"/>
  <c r="B98" i="17"/>
  <c r="A93" i="17"/>
  <c r="AD88" i="17"/>
  <c r="AA85" i="17"/>
  <c r="E82" i="17"/>
  <c r="K80" i="17"/>
  <c r="Y77" i="17"/>
  <c r="P75" i="17"/>
  <c r="M73" i="17"/>
  <c r="AA70" i="17"/>
  <c r="AA68" i="17"/>
  <c r="X66" i="17"/>
  <c r="D64" i="17"/>
  <c r="J62" i="17"/>
  <c r="AC59" i="17"/>
  <c r="AC57" i="17"/>
  <c r="L55" i="17"/>
  <c r="Z52" i="17"/>
  <c r="AC50" i="17"/>
  <c r="Q48" i="17"/>
  <c r="T46" i="17"/>
  <c r="P44" i="17"/>
  <c r="E42" i="17"/>
  <c r="J40" i="17"/>
  <c r="F38" i="17"/>
  <c r="K36" i="17"/>
  <c r="G34" i="17"/>
  <c r="AE31" i="17"/>
  <c r="E30" i="17"/>
  <c r="AB27" i="17"/>
  <c r="I26" i="17"/>
  <c r="Z23" i="17"/>
  <c r="V21" i="17"/>
  <c r="AD19" i="17"/>
  <c r="W17" i="17"/>
  <c r="AE15" i="17"/>
  <c r="X13" i="17"/>
  <c r="M11" i="17"/>
  <c r="O9" i="17"/>
  <c r="K7" i="17"/>
  <c r="P5" i="17"/>
  <c r="O3" i="17"/>
  <c r="N672" i="17"/>
  <c r="J610" i="17"/>
  <c r="V573" i="17"/>
  <c r="B535" i="17"/>
  <c r="D503" i="17"/>
  <c r="V478" i="17"/>
  <c r="E455" i="17"/>
  <c r="V438" i="17"/>
  <c r="R415" i="17"/>
  <c r="D401" i="17"/>
  <c r="AC382" i="17"/>
  <c r="D366" i="17"/>
  <c r="S352" i="17"/>
  <c r="T338" i="17"/>
  <c r="AA328" i="17"/>
  <c r="S314" i="17"/>
  <c r="D302" i="17"/>
  <c r="K293" i="17"/>
  <c r="T285" i="17"/>
  <c r="I280" i="17"/>
  <c r="R272" i="17"/>
  <c r="M267" i="17"/>
  <c r="AC261" i="17"/>
  <c r="B256" i="17"/>
  <c r="AE250" i="17"/>
  <c r="I245" i="17"/>
  <c r="Z239" i="17"/>
  <c r="Q235" i="17"/>
  <c r="X229" i="17"/>
  <c r="S224" i="17"/>
  <c r="G219" i="17"/>
  <c r="AC213" i="17"/>
  <c r="AB208" i="17"/>
  <c r="E203" i="17"/>
  <c r="O199" i="17"/>
  <c r="A194" i="17"/>
  <c r="AB188" i="17"/>
  <c r="G184" i="17"/>
  <c r="AA178" i="17"/>
  <c r="AC174" i="17"/>
  <c r="Z169" i="17"/>
  <c r="V164" i="17"/>
  <c r="J159" i="17"/>
  <c r="P154" i="17"/>
  <c r="P149" i="17"/>
  <c r="S144" i="17"/>
  <c r="J139" i="17"/>
  <c r="F135" i="17"/>
  <c r="X129" i="17"/>
  <c r="AC125" i="17"/>
  <c r="C121" i="17"/>
  <c r="AE116" i="17"/>
  <c r="L113" i="17"/>
  <c r="Q108" i="17"/>
  <c r="N105" i="17"/>
  <c r="I101" i="17"/>
  <c r="AC96" i="17"/>
  <c r="AE92" i="17"/>
  <c r="AC88" i="17"/>
  <c r="R85" i="17"/>
  <c r="D82" i="17"/>
  <c r="T79" i="17"/>
  <c r="X77" i="17"/>
  <c r="L75" i="17"/>
  <c r="L73" i="17"/>
  <c r="Z70" i="17"/>
  <c r="V68" i="17"/>
  <c r="T66" i="17"/>
  <c r="C64" i="17"/>
  <c r="I62" i="17"/>
  <c r="N59" i="17"/>
  <c r="M57" i="17"/>
  <c r="K55" i="17"/>
  <c r="Y52" i="17"/>
  <c r="Y50" i="17"/>
  <c r="P48" i="17"/>
  <c r="B46" i="17"/>
  <c r="H44" i="17"/>
  <c r="A42" i="17"/>
  <c r="I40" i="17"/>
  <c r="E38" i="17"/>
  <c r="AE35" i="17"/>
  <c r="C34" i="17"/>
  <c r="Z31" i="17"/>
  <c r="D30" i="17"/>
  <c r="X27" i="17"/>
  <c r="V25" i="17"/>
  <c r="Y23" i="17"/>
  <c r="U21" i="17"/>
  <c r="Z19" i="17"/>
  <c r="V17" i="17"/>
  <c r="M15" i="17"/>
  <c r="M13" i="17"/>
  <c r="L11" i="17"/>
  <c r="N9" i="17"/>
  <c r="J7" i="17"/>
  <c r="H5" i="17"/>
  <c r="H3" i="17"/>
  <c r="M672" i="17"/>
  <c r="U605" i="17"/>
  <c r="U573" i="17"/>
  <c r="AE534" i="17"/>
  <c r="A502" i="17"/>
  <c r="J478" i="17"/>
  <c r="AD454" i="17"/>
  <c r="I434" i="17"/>
  <c r="W414" i="17"/>
  <c r="C401" i="17"/>
  <c r="AD381" i="17"/>
  <c r="M365" i="17"/>
  <c r="R352" i="17"/>
  <c r="S338" i="17"/>
  <c r="Z328" i="17"/>
  <c r="R314" i="17"/>
  <c r="L299" i="17"/>
  <c r="J293" i="17"/>
  <c r="S285" i="17"/>
  <c r="E279" i="17"/>
  <c r="Q272" i="17"/>
  <c r="I266" i="17"/>
  <c r="AA261" i="17"/>
  <c r="AB255" i="17"/>
  <c r="AD250" i="17"/>
  <c r="AE244" i="17"/>
  <c r="Q239" i="17"/>
  <c r="P235" i="17"/>
  <c r="C229" i="17"/>
  <c r="R224" i="17"/>
  <c r="A219" i="17"/>
  <c r="E213" i="17"/>
  <c r="J208" i="17"/>
  <c r="D203" i="17"/>
  <c r="N199" i="17"/>
  <c r="Z193" i="17"/>
  <c r="W188" i="17"/>
  <c r="A184" i="17"/>
  <c r="U178" i="17"/>
  <c r="S174" i="17"/>
  <c r="X168" i="17"/>
  <c r="R163" i="17"/>
  <c r="I159" i="17"/>
  <c r="O154" i="17"/>
  <c r="O149" i="17"/>
  <c r="R144" i="17"/>
  <c r="Z138" i="17"/>
  <c r="C135" i="17"/>
  <c r="Q129" i="17"/>
  <c r="M125" i="17"/>
  <c r="B121" i="17"/>
  <c r="S116" i="17"/>
  <c r="A113" i="17"/>
  <c r="M108" i="17"/>
  <c r="M105" i="17"/>
  <c r="AE100" i="17"/>
  <c r="W96" i="17"/>
  <c r="AD92" i="17"/>
  <c r="AB88" i="17"/>
  <c r="Q85" i="17"/>
  <c r="C82" i="17"/>
  <c r="Q79" i="17"/>
  <c r="Q77" i="17"/>
  <c r="K75" i="17"/>
  <c r="K73" i="17"/>
  <c r="Y70" i="17"/>
  <c r="E68" i="17"/>
  <c r="H66" i="17"/>
  <c r="AD63" i="17"/>
  <c r="E62" i="17"/>
  <c r="M59" i="17"/>
  <c r="G57" i="17"/>
  <c r="J55" i="17"/>
  <c r="X52" i="17"/>
  <c r="X50" i="17"/>
  <c r="O48" i="17"/>
  <c r="AD45" i="17"/>
  <c r="G44" i="17"/>
  <c r="AE41" i="17"/>
  <c r="H40" i="17"/>
  <c r="D38" i="17"/>
  <c r="Y35" i="17"/>
  <c r="B34" i="17"/>
  <c r="V31" i="17"/>
  <c r="C30" i="17"/>
  <c r="W27" i="17"/>
  <c r="P25" i="17"/>
  <c r="X23" i="17"/>
  <c r="T21" i="17"/>
  <c r="V19" i="17"/>
  <c r="R17" i="17"/>
  <c r="J15" i="17"/>
  <c r="L13" i="17"/>
  <c r="H11" i="17"/>
  <c r="J9" i="17"/>
  <c r="F7" i="17"/>
  <c r="E5" i="17"/>
  <c r="G3" i="17"/>
  <c r="Q668" i="17"/>
  <c r="A595" i="17"/>
  <c r="V526" i="17"/>
  <c r="X487" i="17"/>
  <c r="G450" i="17"/>
  <c r="T414" i="17"/>
  <c r="AD390" i="17"/>
  <c r="B363" i="17"/>
  <c r="X346" i="17"/>
  <c r="E321" i="17"/>
  <c r="K299" i="17"/>
  <c r="K290" i="17"/>
  <c r="AB276" i="17"/>
  <c r="B270" i="17"/>
  <c r="AD259" i="17"/>
  <c r="B250" i="17"/>
  <c r="D243" i="17"/>
  <c r="T233" i="17"/>
  <c r="M226" i="17"/>
  <c r="AD216" i="17"/>
  <c r="I208" i="17"/>
  <c r="D201" i="17"/>
  <c r="AB192" i="17"/>
  <c r="Y185" i="17"/>
  <c r="F177" i="17"/>
  <c r="W168" i="17"/>
  <c r="W162" i="17"/>
  <c r="B153" i="17"/>
  <c r="H147" i="17"/>
  <c r="S138" i="17"/>
  <c r="D129" i="17"/>
  <c r="Z123" i="17"/>
  <c r="H116" i="17"/>
  <c r="AC110" i="17"/>
  <c r="W103" i="17"/>
  <c r="V96" i="17"/>
  <c r="G91" i="17"/>
  <c r="F84" i="17"/>
  <c r="S80" i="17"/>
  <c r="Q76" i="17"/>
  <c r="W72" i="17"/>
  <c r="T69" i="17"/>
  <c r="W65" i="17"/>
  <c r="AC62" i="17"/>
  <c r="A59" i="17"/>
  <c r="I55" i="17"/>
  <c r="U51" i="17"/>
  <c r="A48" i="17"/>
  <c r="A45" i="17"/>
  <c r="W41" i="17"/>
  <c r="C38" i="17"/>
  <c r="E35" i="17"/>
  <c r="M31" i="17"/>
  <c r="X28" i="17"/>
  <c r="AC24" i="17"/>
  <c r="S21" i="17"/>
  <c r="U18" i="17"/>
  <c r="AC14" i="17"/>
  <c r="I12" i="17"/>
  <c r="N8" i="17"/>
  <c r="V4" i="17"/>
  <c r="F2" i="17"/>
  <c r="H661" i="17"/>
  <c r="C594" i="17"/>
  <c r="S526" i="17"/>
  <c r="W487" i="17"/>
  <c r="F450" i="17"/>
  <c r="S414" i="17"/>
  <c r="X390" i="17"/>
  <c r="H362" i="17"/>
  <c r="AC343" i="17"/>
  <c r="D321" i="17"/>
  <c r="J299" i="17"/>
  <c r="B289" i="17"/>
  <c r="AA276" i="17"/>
  <c r="R269" i="17"/>
  <c r="W258" i="17"/>
  <c r="AC248" i="17"/>
  <c r="N242" i="17"/>
  <c r="I232" i="17"/>
  <c r="C226" i="17"/>
  <c r="AA216" i="17"/>
  <c r="H208" i="17"/>
  <c r="AC200" i="17"/>
  <c r="U192" i="17"/>
  <c r="J185" i="17"/>
  <c r="E177" i="17"/>
  <c r="T168" i="17"/>
  <c r="X161" i="17"/>
  <c r="A153" i="17"/>
  <c r="G147" i="17"/>
  <c r="Q137" i="17"/>
  <c r="AE128" i="17"/>
  <c r="X123" i="17"/>
  <c r="V115" i="17"/>
  <c r="AB110" i="17"/>
  <c r="V103" i="17"/>
  <c r="AE95" i="17"/>
  <c r="F91" i="17"/>
  <c r="E84" i="17"/>
  <c r="O80" i="17"/>
  <c r="P76" i="17"/>
  <c r="T72" i="17"/>
  <c r="S69" i="17"/>
  <c r="T65" i="17"/>
  <c r="N62" i="17"/>
  <c r="O58" i="17"/>
  <c r="H55" i="17"/>
  <c r="R51" i="17"/>
  <c r="AE47" i="17"/>
  <c r="W44" i="17"/>
  <c r="P41" i="17"/>
  <c r="AA37" i="17"/>
  <c r="D35" i="17"/>
  <c r="L31" i="17"/>
  <c r="W28" i="17"/>
  <c r="AB24" i="17"/>
  <c r="R21" i="17"/>
  <c r="T18" i="17"/>
  <c r="AB14" i="17"/>
  <c r="H12" i="17"/>
  <c r="M8" i="17"/>
  <c r="U4" i="17"/>
  <c r="E2" i="17"/>
  <c r="B661" i="17"/>
  <c r="AD588" i="17"/>
  <c r="I522" i="17"/>
  <c r="K476" i="17"/>
  <c r="C450" i="17"/>
  <c r="R414" i="17"/>
  <c r="X389" i="17"/>
  <c r="G362" i="17"/>
  <c r="R338" i="17"/>
  <c r="C321" i="17"/>
  <c r="I299" i="17"/>
  <c r="Y288" i="17"/>
  <c r="U276" i="17"/>
  <c r="H266" i="17"/>
  <c r="V258" i="17"/>
  <c r="Y248" i="17"/>
  <c r="W241" i="17"/>
  <c r="H232" i="17"/>
  <c r="J223" i="17"/>
  <c r="Z215" i="17"/>
  <c r="V207" i="17"/>
  <c r="AB200" i="17"/>
  <c r="J192" i="17"/>
  <c r="AE183" i="17"/>
  <c r="AE176" i="17"/>
  <c r="L168" i="17"/>
  <c r="G161" i="17"/>
  <c r="AE152" i="17"/>
  <c r="AE143" i="17"/>
  <c r="P137" i="17"/>
  <c r="T128" i="17"/>
  <c r="A123" i="17"/>
  <c r="J115" i="17"/>
  <c r="L108" i="17"/>
  <c r="AB102" i="17"/>
  <c r="AD95" i="17"/>
  <c r="B91" i="17"/>
  <c r="O83" i="17"/>
  <c r="P79" i="17"/>
  <c r="O76" i="17"/>
  <c r="S72" i="17"/>
  <c r="R69" i="17"/>
  <c r="N65" i="17"/>
  <c r="Q61" i="17"/>
  <c r="N58" i="17"/>
  <c r="T54" i="17"/>
  <c r="Q51" i="17"/>
  <c r="T47" i="17"/>
  <c r="C44" i="17"/>
  <c r="D41" i="17"/>
  <c r="Z37" i="17"/>
  <c r="Q34" i="17"/>
  <c r="K31" i="17"/>
  <c r="V27" i="17"/>
  <c r="AA24" i="17"/>
  <c r="D21" i="17"/>
  <c r="S18" i="17"/>
  <c r="AA14" i="17"/>
  <c r="A11" i="17"/>
  <c r="L8" i="17"/>
  <c r="T4" i="17"/>
  <c r="A2" i="17"/>
  <c r="AD660" i="17"/>
  <c r="B579" i="17"/>
  <c r="AE521" i="17"/>
  <c r="W475" i="17"/>
  <c r="V447" i="17"/>
  <c r="Z412" i="17"/>
  <c r="W389" i="17"/>
  <c r="C362" i="17"/>
  <c r="G338" i="17"/>
  <c r="B321" i="17"/>
  <c r="H299" i="17"/>
  <c r="V288" i="17"/>
  <c r="T276" i="17"/>
  <c r="G266" i="17"/>
  <c r="U258" i="17"/>
  <c r="X248" i="17"/>
  <c r="V241" i="17"/>
  <c r="G232" i="17"/>
  <c r="D223" i="17"/>
  <c r="Y215" i="17"/>
  <c r="U206" i="17"/>
  <c r="AC199" i="17"/>
  <c r="F191" i="17"/>
  <c r="AD183" i="17"/>
  <c r="Y175" i="17"/>
  <c r="K168" i="17"/>
  <c r="D161" i="17"/>
  <c r="AD152" i="17"/>
  <c r="AD143" i="17"/>
  <c r="O137" i="17"/>
  <c r="S128" i="17"/>
  <c r="AE122" i="17"/>
  <c r="I115" i="17"/>
  <c r="K108" i="17"/>
  <c r="AA102" i="17"/>
  <c r="AC95" i="17"/>
  <c r="K90" i="17"/>
  <c r="N83" i="17"/>
  <c r="O79" i="17"/>
  <c r="N76" i="17"/>
  <c r="O72" i="17"/>
  <c r="Q69" i="17"/>
  <c r="M65" i="17"/>
  <c r="K61" i="17"/>
  <c r="M58" i="17"/>
  <c r="K54" i="17"/>
  <c r="P51" i="17"/>
  <c r="N47" i="17"/>
  <c r="B44" i="17"/>
  <c r="AC40" i="17"/>
  <c r="Y37" i="17"/>
  <c r="N34" i="17"/>
  <c r="J31" i="17"/>
  <c r="O27" i="17"/>
  <c r="Z24" i="17"/>
  <c r="C21" i="17"/>
  <c r="R18" i="17"/>
  <c r="Z14" i="17"/>
  <c r="AE10" i="17"/>
  <c r="K8" i="17"/>
  <c r="S4" i="17"/>
  <c r="T644" i="17"/>
  <c r="R573" i="17"/>
  <c r="R513" i="17"/>
  <c r="V475" i="17"/>
  <c r="I442" i="17"/>
  <c r="P412" i="17"/>
  <c r="AC381" i="17"/>
  <c r="AA360" i="17"/>
  <c r="T336" i="17"/>
  <c r="A321" i="17"/>
  <c r="D299" i="17"/>
  <c r="R285" i="17"/>
  <c r="S276" i="17"/>
  <c r="D266" i="17"/>
  <c r="T258" i="17"/>
  <c r="S248" i="17"/>
  <c r="P239" i="17"/>
  <c r="F232" i="17"/>
  <c r="AA222" i="17"/>
  <c r="U215" i="17"/>
  <c r="Q206" i="17"/>
  <c r="H198" i="17"/>
  <c r="E191" i="17"/>
  <c r="O182" i="17"/>
  <c r="Q175" i="17"/>
  <c r="C167" i="17"/>
  <c r="H159" i="17"/>
  <c r="C152" i="17"/>
  <c r="AA143" i="17"/>
  <c r="S136" i="17"/>
  <c r="R128" i="17"/>
  <c r="A121" i="17"/>
  <c r="H115" i="17"/>
  <c r="J108" i="17"/>
  <c r="Z102" i="17"/>
  <c r="AB95" i="17"/>
  <c r="AA88" i="17"/>
  <c r="J83" i="17"/>
  <c r="N79" i="17"/>
  <c r="M76" i="17"/>
  <c r="N72" i="17"/>
  <c r="D68" i="17"/>
  <c r="F65" i="17"/>
  <c r="J61" i="17"/>
  <c r="L58" i="17"/>
  <c r="J54" i="17"/>
  <c r="P50" i="17"/>
  <c r="M47" i="17"/>
  <c r="Y43" i="17"/>
  <c r="Y40" i="17"/>
  <c r="G37" i="17"/>
  <c r="A34" i="17"/>
  <c r="Z30" i="17"/>
  <c r="N27" i="17"/>
  <c r="O24" i="17"/>
  <c r="B21" i="17"/>
  <c r="G17" i="17"/>
  <c r="Y14" i="17"/>
  <c r="AD10" i="17"/>
  <c r="J8" i="17"/>
  <c r="R4" i="17"/>
  <c r="H642" i="17"/>
  <c r="X565" i="17"/>
  <c r="C513" i="17"/>
  <c r="L475" i="17"/>
  <c r="AC441" i="17"/>
  <c r="J412" i="17"/>
  <c r="Z381" i="17"/>
  <c r="K360" i="17"/>
  <c r="R336" i="17"/>
  <c r="Q319" i="17"/>
  <c r="B299" i="17"/>
  <c r="K285" i="17"/>
  <c r="Y275" i="17"/>
  <c r="AC265" i="17"/>
  <c r="AE257" i="17"/>
  <c r="P248" i="17"/>
  <c r="L239" i="17"/>
  <c r="E232" i="17"/>
  <c r="Z222" i="17"/>
  <c r="T215" i="17"/>
  <c r="P206" i="17"/>
  <c r="Q197" i="17"/>
  <c r="D191" i="17"/>
  <c r="G182" i="17"/>
  <c r="P175" i="17"/>
  <c r="N166" i="17"/>
  <c r="G159" i="17"/>
  <c r="B151" i="17"/>
  <c r="Z143" i="17"/>
  <c r="W135" i="17"/>
  <c r="Q128" i="17"/>
  <c r="AE120" i="17"/>
  <c r="G115" i="17"/>
  <c r="I108" i="17"/>
  <c r="V102" i="17"/>
  <c r="U95" i="17"/>
  <c r="L88" i="17"/>
  <c r="I83" i="17"/>
  <c r="M79" i="17"/>
  <c r="L76" i="17"/>
  <c r="AD71" i="17"/>
  <c r="C68" i="17"/>
  <c r="E65" i="17"/>
  <c r="C61" i="17"/>
  <c r="H58" i="17"/>
  <c r="I54" i="17"/>
  <c r="M50" i="17"/>
  <c r="A47" i="17"/>
  <c r="P43" i="17"/>
  <c r="X40" i="17"/>
  <c r="D37" i="17"/>
  <c r="AE33" i="17"/>
  <c r="Q30" i="17"/>
  <c r="M27" i="17"/>
  <c r="I24" i="17"/>
  <c r="A21" i="17"/>
  <c r="F17" i="17"/>
  <c r="U14" i="17"/>
  <c r="AC10" i="17"/>
  <c r="I8" i="17"/>
  <c r="Q4" i="17"/>
  <c r="R635" i="17"/>
  <c r="AE562" i="17"/>
  <c r="X512" i="17"/>
  <c r="F470" i="17"/>
  <c r="E434" i="17"/>
  <c r="K408" i="17"/>
  <c r="J378" i="17"/>
  <c r="Y357" i="17"/>
  <c r="Q336" i="17"/>
  <c r="K312" i="17"/>
  <c r="P298" i="17"/>
  <c r="J285" i="17"/>
  <c r="X275" i="17"/>
  <c r="Y265" i="17"/>
  <c r="X255" i="17"/>
  <c r="N248" i="17"/>
  <c r="K239" i="17"/>
  <c r="D232" i="17"/>
  <c r="Y222" i="17"/>
  <c r="D213" i="17"/>
  <c r="O206" i="17"/>
  <c r="P197" i="17"/>
  <c r="C191" i="17"/>
  <c r="A182" i="17"/>
  <c r="P173" i="17"/>
  <c r="M166" i="17"/>
  <c r="D158" i="17"/>
  <c r="A151" i="17"/>
  <c r="M142" i="17"/>
  <c r="B135" i="17"/>
  <c r="F127" i="17"/>
  <c r="AD120" i="17"/>
  <c r="C114" i="17"/>
  <c r="H108" i="17"/>
  <c r="X100" i="17"/>
  <c r="T95" i="17"/>
  <c r="K88" i="17"/>
  <c r="H83" i="17"/>
  <c r="L79" i="17"/>
  <c r="AD74" i="17"/>
  <c r="AC71" i="17"/>
  <c r="B68" i="17"/>
  <c r="A65" i="17"/>
  <c r="B61" i="17"/>
  <c r="F57" i="17"/>
  <c r="H54" i="17"/>
  <c r="AC49" i="17"/>
  <c r="AE46" i="17"/>
  <c r="K43" i="17"/>
  <c r="Y39" i="17"/>
  <c r="C37" i="17"/>
  <c r="M33" i="17"/>
  <c r="P30" i="17"/>
  <c r="AC26" i="17"/>
  <c r="T23" i="17"/>
  <c r="U20" i="17"/>
  <c r="E17" i="17"/>
  <c r="C14" i="17"/>
  <c r="AB10" i="17"/>
  <c r="E7" i="17"/>
  <c r="P4" i="17"/>
  <c r="H632" i="17"/>
  <c r="Z557" i="17"/>
  <c r="AB508" i="17"/>
  <c r="V467" i="17"/>
  <c r="D434" i="17"/>
  <c r="H407" i="17"/>
  <c r="I378" i="17"/>
  <c r="V356" i="17"/>
  <c r="O334" i="17"/>
  <c r="J312" i="17"/>
  <c r="V297" i="17"/>
  <c r="AD283" i="17"/>
  <c r="W275" i="17"/>
  <c r="X265" i="17"/>
  <c r="Z254" i="17"/>
  <c r="M248" i="17"/>
  <c r="J239" i="17"/>
  <c r="Y231" i="17"/>
  <c r="R222" i="17"/>
  <c r="C213" i="17"/>
  <c r="N206" i="17"/>
  <c r="L197" i="17"/>
  <c r="B191" i="17"/>
  <c r="X181" i="17"/>
  <c r="M173" i="17"/>
  <c r="L166" i="17"/>
  <c r="T157" i="17"/>
  <c r="AE150" i="17"/>
  <c r="H142" i="17"/>
  <c r="E134" i="17"/>
  <c r="C127" i="17"/>
  <c r="S120" i="17"/>
  <c r="AE113" i="17"/>
  <c r="A108" i="17"/>
  <c r="W100" i="17"/>
  <c r="P95" i="17"/>
  <c r="J88" i="17"/>
  <c r="G83" i="17"/>
  <c r="B79" i="17"/>
  <c r="AC74" i="17"/>
  <c r="AB71" i="17"/>
  <c r="A68" i="17"/>
  <c r="AE64" i="17"/>
  <c r="A61" i="17"/>
  <c r="E57" i="17"/>
  <c r="D54" i="17"/>
  <c r="AB49" i="17"/>
  <c r="AD46" i="17"/>
  <c r="G43" i="17"/>
  <c r="V39" i="17"/>
  <c r="AA36" i="17"/>
  <c r="G33" i="17"/>
  <c r="O30" i="17"/>
  <c r="W26" i="17"/>
  <c r="S23" i="17"/>
  <c r="O20" i="17"/>
  <c r="D17" i="17"/>
  <c r="AE13" i="17"/>
  <c r="AA10" i="17"/>
  <c r="D7" i="17"/>
  <c r="O4" i="17"/>
  <c r="AA631" i="17"/>
  <c r="A499" i="17"/>
  <c r="D433" i="17"/>
  <c r="P377" i="17"/>
  <c r="M333" i="17"/>
  <c r="U295" i="17"/>
  <c r="P272" i="17"/>
  <c r="Y254" i="17"/>
  <c r="AD237" i="17"/>
  <c r="I222" i="17"/>
  <c r="Y205" i="17"/>
  <c r="Z187" i="17"/>
  <c r="L173" i="17"/>
  <c r="S157" i="17"/>
  <c r="G142" i="17"/>
  <c r="B127" i="17"/>
  <c r="AB112" i="17"/>
  <c r="O100" i="17"/>
  <c r="I88" i="17"/>
  <c r="AA78" i="17"/>
  <c r="AA71" i="17"/>
  <c r="AC63" i="17"/>
  <c r="AC56" i="17"/>
  <c r="X49" i="17"/>
  <c r="F43" i="17"/>
  <c r="Z36" i="17"/>
  <c r="P29" i="17"/>
  <c r="D23" i="17"/>
  <c r="AA16" i="17"/>
  <c r="I10" i="17"/>
  <c r="Y3" i="17"/>
  <c r="Y623" i="17"/>
  <c r="I494" i="17"/>
  <c r="T427" i="17"/>
  <c r="C374" i="17"/>
  <c r="N332" i="17"/>
  <c r="M295" i="17"/>
  <c r="O272" i="17"/>
  <c r="X254" i="17"/>
  <c r="AC237" i="17"/>
  <c r="P221" i="17"/>
  <c r="X205" i="17"/>
  <c r="T187" i="17"/>
  <c r="H172" i="17"/>
  <c r="R157" i="17"/>
  <c r="F142" i="17"/>
  <c r="A127" i="17"/>
  <c r="P112" i="17"/>
  <c r="AE99" i="17"/>
  <c r="L87" i="17"/>
  <c r="Z78" i="17"/>
  <c r="Z71" i="17"/>
  <c r="AB63" i="17"/>
  <c r="W56" i="17"/>
  <c r="W49" i="17"/>
  <c r="AD42" i="17"/>
  <c r="Y36" i="17"/>
  <c r="M29" i="17"/>
  <c r="Z22" i="17"/>
  <c r="R16" i="17"/>
  <c r="F10" i="17"/>
  <c r="S3" i="17"/>
  <c r="Q605" i="17"/>
  <c r="E494" i="17"/>
  <c r="S427" i="17"/>
  <c r="W372" i="17"/>
  <c r="AD330" i="17"/>
  <c r="I293" i="17"/>
  <c r="N272" i="17"/>
  <c r="W254" i="17"/>
  <c r="AB237" i="17"/>
  <c r="O221" i="17"/>
  <c r="C203" i="17"/>
  <c r="S187" i="17"/>
  <c r="G172" i="17"/>
  <c r="S156" i="17"/>
  <c r="E142" i="17"/>
  <c r="G125" i="17"/>
  <c r="E112" i="17"/>
  <c r="W99" i="17"/>
  <c r="G87" i="17"/>
  <c r="O78" i="17"/>
  <c r="X70" i="17"/>
  <c r="AA63" i="17"/>
  <c r="V56" i="17"/>
  <c r="V49" i="17"/>
  <c r="AC42" i="17"/>
  <c r="T35" i="17"/>
  <c r="L29" i="17"/>
  <c r="Y22" i="17"/>
  <c r="G16" i="17"/>
  <c r="E10" i="17"/>
  <c r="F3" i="17"/>
  <c r="U604" i="17"/>
  <c r="AD493" i="17"/>
  <c r="M426" i="17"/>
  <c r="G372" i="17"/>
  <c r="V329" i="17"/>
  <c r="H293" i="17"/>
  <c r="M272" i="17"/>
  <c r="V254" i="17"/>
  <c r="AA237" i="17"/>
  <c r="N221" i="17"/>
  <c r="B203" i="17"/>
  <c r="R187" i="17"/>
  <c r="AD171" i="17"/>
  <c r="R156" i="17"/>
  <c r="C141" i="17"/>
  <c r="I124" i="17"/>
  <c r="L111" i="17"/>
  <c r="X98" i="17"/>
  <c r="AC86" i="17"/>
  <c r="I78" i="17"/>
  <c r="W70" i="17"/>
  <c r="Z63" i="17"/>
  <c r="U56" i="17"/>
  <c r="U49" i="17"/>
  <c r="AB42" i="17"/>
  <c r="S35" i="17"/>
  <c r="K29" i="17"/>
  <c r="U22" i="17"/>
  <c r="F16" i="17"/>
  <c r="AC9" i="17"/>
  <c r="E3" i="17"/>
  <c r="G604" i="17"/>
  <c r="AC493" i="17"/>
  <c r="L426" i="17"/>
  <c r="AA371" i="17"/>
  <c r="X324" i="17"/>
  <c r="W290" i="17"/>
  <c r="L270" i="17"/>
  <c r="X252" i="17"/>
  <c r="C237" i="17"/>
  <c r="AE218" i="17"/>
  <c r="AC202" i="17"/>
  <c r="Q187" i="17"/>
  <c r="AC171" i="17"/>
  <c r="N156" i="17"/>
  <c r="Y138" i="17"/>
  <c r="AD123" i="17"/>
  <c r="E111" i="17"/>
  <c r="T98" i="17"/>
  <c r="D86" i="17"/>
  <c r="P77" i="17"/>
  <c r="V70" i="17"/>
  <c r="K63" i="17"/>
  <c r="N56" i="17"/>
  <c r="T49" i="17"/>
  <c r="AD41" i="17"/>
  <c r="R35" i="17"/>
  <c r="J29" i="17"/>
  <c r="T22" i="17"/>
  <c r="E16" i="17"/>
  <c r="E9" i="17"/>
  <c r="U2" i="17"/>
  <c r="E604" i="17"/>
  <c r="M492" i="17"/>
  <c r="K426" i="17"/>
  <c r="Z371" i="17"/>
  <c r="H324" i="17"/>
  <c r="T290" i="17"/>
  <c r="F270" i="17"/>
  <c r="K252" i="17"/>
  <c r="AE235" i="17"/>
  <c r="AD218" i="17"/>
  <c r="AB202" i="17"/>
  <c r="P187" i="17"/>
  <c r="AB171" i="17"/>
  <c r="M156" i="17"/>
  <c r="V138" i="17"/>
  <c r="AC123" i="17"/>
  <c r="D111" i="17"/>
  <c r="S98" i="17"/>
  <c r="C86" i="17"/>
  <c r="O77" i="17"/>
  <c r="R70" i="17"/>
  <c r="J63" i="17"/>
  <c r="J56" i="17"/>
  <c r="S49" i="17"/>
  <c r="AC41" i="17"/>
  <c r="H35" i="17"/>
  <c r="AE28" i="17"/>
  <c r="S22" i="17"/>
  <c r="D16" i="17"/>
  <c r="AD8" i="17"/>
  <c r="I2" i="17"/>
  <c r="B604" i="17"/>
  <c r="H492" i="17"/>
  <c r="B426" i="17"/>
  <c r="L365" i="17"/>
  <c r="A324" i="17"/>
  <c r="S290" i="17"/>
  <c r="D270" i="17"/>
  <c r="J252" i="17"/>
  <c r="S234" i="17"/>
  <c r="AC218" i="17"/>
  <c r="AA202" i="17"/>
  <c r="L187" i="17"/>
  <c r="AA171" i="17"/>
  <c r="B154" i="17"/>
  <c r="U138" i="17"/>
  <c r="AB123" i="17"/>
  <c r="C111" i="17"/>
  <c r="R98" i="17"/>
  <c r="P84" i="17"/>
  <c r="AD76" i="17"/>
  <c r="B70" i="17"/>
  <c r="B63" i="17"/>
  <c r="E56" i="17"/>
  <c r="N48" i="17"/>
  <c r="AB41" i="17"/>
  <c r="G35" i="17"/>
  <c r="Z28" i="17"/>
  <c r="R22" i="17"/>
  <c r="F15" i="17"/>
  <c r="S8" i="17"/>
  <c r="H2" i="17"/>
  <c r="B595" i="17"/>
  <c r="G492" i="17"/>
  <c r="A426" i="17"/>
  <c r="H363" i="17"/>
  <c r="AB323" i="17"/>
  <c r="R290" i="17"/>
  <c r="C270" i="17"/>
  <c r="I252" i="17"/>
  <c r="E234" i="17"/>
  <c r="Y217" i="17"/>
  <c r="L202" i="17"/>
  <c r="Y186" i="17"/>
  <c r="M171" i="17"/>
  <c r="A154" i="17"/>
  <c r="T138" i="17"/>
  <c r="AA123" i="17"/>
  <c r="AD110" i="17"/>
  <c r="Q98" i="17"/>
  <c r="G84" i="17"/>
  <c r="R76" i="17"/>
  <c r="U69" i="17"/>
  <c r="AD62" i="17"/>
  <c r="S55" i="17"/>
  <c r="M48" i="17"/>
  <c r="AA41" i="17"/>
  <c r="F35" i="17"/>
  <c r="Y28" i="17"/>
  <c r="Q22" i="17"/>
  <c r="AD14" i="17"/>
  <c r="O8" i="17"/>
  <c r="G2" i="17"/>
  <c r="U550" i="17"/>
  <c r="Q467" i="17"/>
  <c r="R405" i="17"/>
  <c r="Q352" i="17"/>
  <c r="AD311" i="17"/>
  <c r="AC283" i="17"/>
  <c r="R264" i="17"/>
  <c r="L248" i="17"/>
  <c r="O228" i="17"/>
  <c r="B212" i="17"/>
  <c r="K197" i="17"/>
  <c r="W181" i="17"/>
  <c r="K166" i="17"/>
  <c r="G149" i="17"/>
  <c r="Z133" i="17"/>
  <c r="W119" i="17"/>
  <c r="AE106" i="17"/>
  <c r="R94" i="17"/>
  <c r="B82" i="17"/>
  <c r="AB74" i="17"/>
  <c r="AE67" i="17"/>
  <c r="AE60" i="17"/>
  <c r="W53" i="17"/>
  <c r="AC45" i="17"/>
  <c r="N39" i="17"/>
  <c r="F33" i="17"/>
  <c r="V26" i="17"/>
  <c r="D20" i="17"/>
  <c r="K13" i="17"/>
  <c r="C7" i="17"/>
  <c r="T550" i="17"/>
  <c r="O463" i="17"/>
  <c r="N405" i="17"/>
  <c r="O352" i="17"/>
  <c r="AC311" i="17"/>
  <c r="AA283" i="17"/>
  <c r="J264" i="17"/>
  <c r="H247" i="17"/>
  <c r="N228" i="17"/>
  <c r="A212" i="17"/>
  <c r="L196" i="17"/>
  <c r="V181" i="17"/>
  <c r="J166" i="17"/>
  <c r="F148" i="17"/>
  <c r="A133" i="17"/>
  <c r="H119" i="17"/>
  <c r="W106" i="17"/>
  <c r="D94" i="17"/>
  <c r="U81" i="17"/>
  <c r="X74" i="17"/>
  <c r="AD67" i="17"/>
  <c r="AD60" i="17"/>
  <c r="V53" i="17"/>
  <c r="AB45" i="17"/>
  <c r="M39" i="17"/>
  <c r="E33" i="17"/>
  <c r="U26" i="17"/>
  <c r="C20" i="17"/>
  <c r="J13" i="17"/>
  <c r="B7" i="17"/>
  <c r="S550" i="17"/>
  <c r="B394" i="17"/>
  <c r="O281" i="17"/>
  <c r="M228" i="17"/>
  <c r="Y193" i="17"/>
  <c r="O147" i="17"/>
  <c r="M106" i="17"/>
  <c r="U80" i="17"/>
  <c r="L59" i="17"/>
  <c r="F39" i="17"/>
  <c r="M25" i="17"/>
  <c r="E6" i="17"/>
  <c r="Q550" i="17"/>
  <c r="W393" i="17"/>
  <c r="N281" i="17"/>
  <c r="L228" i="17"/>
  <c r="AE192" i="17"/>
  <c r="N147" i="17"/>
  <c r="L106" i="17"/>
  <c r="T80" i="17"/>
  <c r="K59" i="17"/>
  <c r="E39" i="17"/>
  <c r="L25" i="17"/>
  <c r="D6" i="17"/>
  <c r="O550" i="17"/>
  <c r="AB348" i="17"/>
  <c r="S278" i="17"/>
  <c r="J228" i="17"/>
  <c r="W180" i="17"/>
  <c r="M147" i="17"/>
  <c r="L104" i="17"/>
  <c r="W74" i="17"/>
  <c r="J59" i="17"/>
  <c r="D39" i="17"/>
  <c r="G19" i="17"/>
  <c r="C6" i="17"/>
  <c r="X549" i="17"/>
  <c r="L347" i="17"/>
  <c r="J278" i="17"/>
  <c r="I228" i="17"/>
  <c r="V180" i="17"/>
  <c r="L147" i="17"/>
  <c r="F104" i="17"/>
  <c r="V74" i="17"/>
  <c r="I59" i="17"/>
  <c r="C39" i="17"/>
  <c r="D19" i="17"/>
  <c r="B6" i="17"/>
  <c r="W526" i="17"/>
  <c r="A347" i="17"/>
  <c r="Y262" i="17"/>
  <c r="N226" i="17"/>
  <c r="N178" i="17"/>
  <c r="F132" i="17"/>
  <c r="X103" i="17"/>
  <c r="AB73" i="17"/>
  <c r="P52" i="17"/>
  <c r="AC38" i="17"/>
  <c r="X18" i="17"/>
  <c r="N463" i="17"/>
  <c r="AA346" i="17"/>
  <c r="Z261" i="17"/>
  <c r="AE211" i="17"/>
  <c r="F178" i="17"/>
  <c r="E132" i="17"/>
  <c r="AC92" i="17"/>
  <c r="AA73" i="17"/>
  <c r="O52" i="17"/>
  <c r="A33" i="17"/>
  <c r="W18" i="17"/>
  <c r="J527" i="17"/>
  <c r="A307" i="17"/>
  <c r="V211" i="17"/>
  <c r="E148" i="17"/>
  <c r="I91" i="17"/>
  <c r="W52" i="17"/>
  <c r="N26" i="17"/>
  <c r="M463" i="17"/>
  <c r="AE306" i="17"/>
  <c r="S211" i="17"/>
  <c r="R147" i="17"/>
  <c r="H91" i="17"/>
  <c r="K52" i="17"/>
  <c r="M26" i="17"/>
  <c r="L454" i="17"/>
  <c r="B283" i="17"/>
  <c r="F210" i="17"/>
  <c r="L132" i="17"/>
  <c r="T81" i="17"/>
  <c r="J52" i="17"/>
  <c r="O25" i="17"/>
  <c r="F454" i="17"/>
  <c r="P281" i="17"/>
  <c r="C210" i="17"/>
  <c r="D132" i="17"/>
  <c r="S81" i="17"/>
  <c r="I52" i="17"/>
  <c r="N25" i="17"/>
  <c r="Z453" i="17"/>
  <c r="E264" i="17"/>
  <c r="K196" i="17"/>
  <c r="V131" i="17"/>
  <c r="H81" i="17"/>
  <c r="AA45" i="17"/>
  <c r="Y18" i="17"/>
  <c r="H450" i="17"/>
  <c r="Y261" i="17"/>
  <c r="C196" i="17"/>
  <c r="U131" i="17"/>
  <c r="B81" i="17"/>
  <c r="Z45" i="17"/>
  <c r="V18" i="17"/>
  <c r="Q396" i="17"/>
  <c r="L243" i="17"/>
  <c r="G118" i="17"/>
  <c r="AC60" i="17"/>
  <c r="K12" i="17"/>
  <c r="N394" i="17"/>
  <c r="E243" i="17"/>
  <c r="F118" i="17"/>
  <c r="Q60" i="17"/>
  <c r="J12" i="17"/>
  <c r="L394" i="17"/>
  <c r="AD226" i="17"/>
  <c r="J116" i="17"/>
  <c r="Y45" i="17"/>
  <c r="L6" i="17"/>
  <c r="C394" i="17"/>
  <c r="AD211" i="17"/>
  <c r="I116" i="17"/>
  <c r="X45" i="17"/>
  <c r="I6" i="17"/>
  <c r="B347" i="17"/>
  <c r="AE195" i="17"/>
  <c r="Y103" i="17"/>
  <c r="N45" i="17"/>
  <c r="Z346" i="17"/>
  <c r="AD195" i="17"/>
  <c r="AB92" i="17"/>
  <c r="M45" i="17"/>
  <c r="AA310" i="17"/>
  <c r="Q178" i="17"/>
  <c r="AA91" i="17"/>
  <c r="B39" i="17"/>
  <c r="F307" i="17"/>
  <c r="AE118" i="17"/>
  <c r="AD12" i="17"/>
  <c r="E307" i="17"/>
  <c r="H118" i="17"/>
  <c r="AA12" i="17"/>
  <c r="B307" i="17"/>
  <c r="R91" i="17"/>
  <c r="M12" i="17"/>
  <c r="E260" i="17"/>
  <c r="K74" i="17"/>
  <c r="L12" i="17"/>
  <c r="AE259" i="17"/>
  <c r="Z73" i="17"/>
  <c r="AD244" i="17"/>
  <c r="W67" i="17"/>
  <c r="X244" i="17"/>
  <c r="V67" i="17"/>
  <c r="W244" i="17"/>
  <c r="U31" i="17"/>
  <c r="T244" i="17"/>
  <c r="Q31" i="17"/>
  <c r="E178" i="17"/>
  <c r="O163" i="17"/>
  <c r="AB162" i="17"/>
  <c r="AA162" i="17"/>
  <c r="Z162" i="17"/>
  <c r="Y162" i="17"/>
  <c r="X162" i="17"/>
  <c r="C67" i="17"/>
  <c r="AE66" i="17"/>
  <c r="G66" i="17"/>
  <c r="F66" i="17"/>
  <c r="AE32" i="17"/>
  <c r="T32" i="17"/>
  <c r="S32" i="17"/>
  <c r="D1" i="10"/>
  <c r="E7" i="2" s="1"/>
</calcChain>
</file>

<file path=xl/sharedStrings.xml><?xml version="1.0" encoding="utf-8"?>
<sst xmlns="http://schemas.openxmlformats.org/spreadsheetml/2006/main" count="27532" uniqueCount="7782">
  <si>
    <t>ID SOBAT</t>
  </si>
  <si>
    <t>Nama Mitra</t>
  </si>
  <si>
    <t>Kecamatan Domisili</t>
  </si>
  <si>
    <t>ID Kegiatan</t>
  </si>
  <si>
    <t>Nama Kegiatan</t>
  </si>
  <si>
    <t>Tanggal Mulai Kegiatan</t>
  </si>
  <si>
    <t>Tanggal Akhir Kegiatan</t>
  </si>
  <si>
    <t>Satuan Honor</t>
  </si>
  <si>
    <t>Honor per Satuan Honor</t>
  </si>
  <si>
    <t>Target per Satuan Honor</t>
  </si>
  <si>
    <t>Target Honor</t>
  </si>
  <si>
    <t>Tanggal Pembayaran</t>
  </si>
  <si>
    <t>Bisa Ikut</t>
  </si>
  <si>
    <t>Catatan</t>
  </si>
  <si>
    <t>Bulan Pembayaran</t>
  </si>
  <si>
    <t>Tahun Pembayaran</t>
  </si>
  <si>
    <t>Pilih Mitra</t>
  </si>
  <si>
    <t>Jabatan</t>
  </si>
  <si>
    <t>ID Waktu Alokasi</t>
  </si>
  <si>
    <t>ID OB</t>
  </si>
  <si>
    <t>Jumlah OB Dijalankan</t>
  </si>
  <si>
    <t>Total Honor Non OB</t>
  </si>
  <si>
    <t>Ada Alokasi</t>
  </si>
  <si>
    <t>SAKERNAS24-LAPANGAN-SEMESTER1</t>
  </si>
  <si>
    <t>PML</t>
  </si>
  <si>
    <t>PPL</t>
  </si>
  <si>
    <t>SUSENAS24-LAPANGAN-SEMESTER1</t>
  </si>
  <si>
    <t>Petugas Entri</t>
  </si>
  <si>
    <t>KSA24-LAPANGAN-FEBRUARI</t>
  </si>
  <si>
    <t>KSA24-LAPANGAN-JANUARI</t>
  </si>
  <si>
    <t>KSA24-LAPANGAN-MARET</t>
  </si>
  <si>
    <t>KSA24-LAPANGAN-APRIL</t>
  </si>
  <si>
    <t>KSA24-LAPANGAN-MEI</t>
  </si>
  <si>
    <t>KSA24-LAPANGAN-JULI</t>
  </si>
  <si>
    <t>KSA24-LAPANGAN-AGUSTUS</t>
  </si>
  <si>
    <t>KSA24-LAPANGAN-SEPTEMBER</t>
  </si>
  <si>
    <t>KSA24-LAPANGAN-OKTOBER</t>
  </si>
  <si>
    <t>KSA24-LAPANGAN-NOVEMBER</t>
  </si>
  <si>
    <t>KSA24-LAPANGAN-DESEMBER</t>
  </si>
  <si>
    <t>Waktu</t>
  </si>
  <si>
    <t>Jumlah Mitra Tidak Bisa Mengikuti Kegiatan</t>
  </si>
  <si>
    <t>Jumlah Kegiatan yang Sedang Berjalan</t>
  </si>
  <si>
    <t>Mitra 2024 yang Mendapat Pekerjaan</t>
  </si>
  <si>
    <t>Rekapitulasi per</t>
  </si>
  <si>
    <t>Jumlah Kegiatan dengan Alokasi Bermasalah</t>
  </si>
  <si>
    <t>Jumlah Alokasi Bermasalah</t>
  </si>
  <si>
    <t>Total Honor Teralokasikan</t>
  </si>
  <si>
    <t>Kegiatan yang Segera Berakhir</t>
  </si>
  <si>
    <t>Kegiatan mendatang yang perlu pencairan honor:</t>
  </si>
  <si>
    <t>Kegiatan yang Sedang Berjalan</t>
  </si>
  <si>
    <t>Nama Honor</t>
  </si>
  <si>
    <t>Jumlah Mitra</t>
  </si>
  <si>
    <t>Sisa Hari Hingga Batas Pencairan</t>
  </si>
  <si>
    <t>Tanggal Mulai</t>
  </si>
  <si>
    <t>Tanggal Selesai</t>
  </si>
  <si>
    <t>Rentang Waktu</t>
  </si>
  <si>
    <t>Sisa Hari</t>
  </si>
  <si>
    <t>ID Sobat</t>
  </si>
  <si>
    <t>Belum Ada</t>
  </si>
  <si>
    <t>Nama Petugas</t>
  </si>
  <si>
    <t>NIK</t>
  </si>
  <si>
    <t>Jenis Honor</t>
  </si>
  <si>
    <t>ID Honor</t>
  </si>
  <si>
    <t>Honor Bersih</t>
  </si>
  <si>
    <t>ID Batasan Honor</t>
  </si>
  <si>
    <t>Desa Domisili</t>
  </si>
  <si>
    <t>SHPB24-LAPANGAN-JANUARI</t>
  </si>
  <si>
    <t>PENDATAAN</t>
  </si>
  <si>
    <t>SHPB24-LAPANGAN-JANUARI-PPL-PENDATAAN</t>
  </si>
  <si>
    <t>HPG24-LAPANGAN-JANUARI</t>
  </si>
  <si>
    <t>HPG24-LAPANGAN-JANUARI-PPL-PENDATAAN</t>
  </si>
  <si>
    <t>SHPED24-LAPANGAN-JANUARI</t>
  </si>
  <si>
    <t>PENDATAAN KONSUMEN</t>
  </si>
  <si>
    <t>SHPED24-LAPANGAN-JANUARI-PPL-PENDATAAN KONSUMEN</t>
  </si>
  <si>
    <t>PENDATAAN PRODUSEN</t>
  </si>
  <si>
    <t>SHPED24-LAPANGAN-JANUARI-PPL-PENDATAAN PRODUSEN</t>
  </si>
  <si>
    <t>HPBG24-LAPANGAN-JANUARI</t>
  </si>
  <si>
    <t>HPBG24-LAPANGAN-JANUARI-PPL-PENDATAAN</t>
  </si>
  <si>
    <t>HPJ24-LAPANGAN-JANUARI</t>
  </si>
  <si>
    <t>HPJ24-LAPANGAN-JANUARI-PPL-PENDATAAN</t>
  </si>
  <si>
    <t>VHTS24-LAPANGAN-JANUARI</t>
  </si>
  <si>
    <t>VHTS24-LAPANGAN-JANUARI-PPL-PENDATAAN</t>
  </si>
  <si>
    <t>SHKK24-LAPANGAN-JANUARI</t>
  </si>
  <si>
    <t>SHKK24-LAPANGAN-JANUARI-PPL-PENDATAAN</t>
  </si>
  <si>
    <t>KSA PADI</t>
  </si>
  <si>
    <t>KSA JAGUNG</t>
  </si>
  <si>
    <t>HPSJT-UPDATING</t>
  </si>
  <si>
    <t>PAKET UPDATING LISTING</t>
  </si>
  <si>
    <t>HPSJT-UPDATING-PPL-PAKET UPDATING LISTING</t>
  </si>
  <si>
    <t>UPDATING LISTING</t>
  </si>
  <si>
    <t>PETUGAS ENTRI</t>
  </si>
  <si>
    <t>PENGOLAHAN LISTING</t>
  </si>
  <si>
    <t>SHPB24-LAPANGAN-FEBRUARI</t>
  </si>
  <si>
    <t>SHPB24-LAPANGAN-FEBRUARI-PPL-PENDATAAN</t>
  </si>
  <si>
    <t>HPG24-LAPANGAN-FEBRUARI</t>
  </si>
  <si>
    <t>HPG24-LAPANGAN-FEBRUARI-PPL-PENDATAAN</t>
  </si>
  <si>
    <t>SHPED24-LAPANGAN-FEBRUARI</t>
  </si>
  <si>
    <t>SHPED24-LAPANGAN-FEBRUARI-PPL-PENDATAAN KONSUMEN</t>
  </si>
  <si>
    <t>SHPED24-LAPANGAN-FEBRUARI-PPL-PENDATAAN PRODUSEN</t>
  </si>
  <si>
    <t>HPBG24-LAPANGAN-FEBRUARI</t>
  </si>
  <si>
    <t>HPBG24-LAPANGAN-FEBRUARI-PPL-PENDATAAN</t>
  </si>
  <si>
    <t>HPJ24-LAPANGAN-FEBRUARI</t>
  </si>
  <si>
    <t>HPJ24-LAPANGAN-FEBRUARI-PPL-PENDATAAN</t>
  </si>
  <si>
    <t>VHTS24-LAPANGAN-FEBRUARI</t>
  </si>
  <si>
    <t>VHTS24-LAPANGAN-FEBRUARI-PPL-PENDATAAN</t>
  </si>
  <si>
    <t>SERUTI24-LAPANGAN-TRI1</t>
  </si>
  <si>
    <t>SERUTI24-LAPANGAN-TRI1-PPL-PENDATAAN</t>
  </si>
  <si>
    <t>SERUTI24-PENGOLAHAN-TRI1</t>
  </si>
  <si>
    <t>PENGOLAHAN</t>
  </si>
  <si>
    <t>SERUTI24-PENGOLAHAN-TRI1-PETUGAS ENTRI-PENGOLAHAN</t>
  </si>
  <si>
    <t>SHPB24-LAPANGAN-MARET</t>
  </si>
  <si>
    <t>SHPB24-LAPANGAN-MARET-PPL-PENDATAAN</t>
  </si>
  <si>
    <t>HPG24-LAPANGAN-MARET</t>
  </si>
  <si>
    <t>HPG24-LAPANGAN-MARET-PPL-PENDATAAN</t>
  </si>
  <si>
    <t>SHPED24-LAPANGAN-MARET</t>
  </si>
  <si>
    <t>SHPED24-LAPANGAN-MARET-PPL-PENDATAAN KONSUMEN</t>
  </si>
  <si>
    <t>SHPED24-LAPANGAN-MARET-PPL-PENDATAAN PRODUSEN</t>
  </si>
  <si>
    <t>HPBG24-LAPANGAN-MARET</t>
  </si>
  <si>
    <t>HPBG24-LAPANGAN-MARET-PPL-PENDATAAN</t>
  </si>
  <si>
    <t>HPJ24-LAPANGAN-MARET</t>
  </si>
  <si>
    <t>HPJ24-LAPANGAN-MARET-PPL-PENDATAAN</t>
  </si>
  <si>
    <t>VHTS24-LAPANGAN-MARET</t>
  </si>
  <si>
    <t>VHTS24-LAPANGAN-MARET-PPL-PENDATAAN</t>
  </si>
  <si>
    <t>SKTH24-LAPANGAN-TAHUNAN</t>
  </si>
  <si>
    <t>SKTH24-LAPANGAN-TAHUNAN-PPL-PENDATAAN</t>
  </si>
  <si>
    <t>PENGOLAHAN PENDATAAN</t>
  </si>
  <si>
    <t>SKTR24-LAPANGAN-TRI1</t>
  </si>
  <si>
    <t>SKTR24-LAPANGAN-TRI1-PPL-PENDATAAN</t>
  </si>
  <si>
    <t>SHPB24-LAPANGAN-APRIL</t>
  </si>
  <si>
    <t>SHPB24-LAPANGAN-APRIL-PPL-PENDATAAN</t>
  </si>
  <si>
    <t>HPG24-LAPANGAN-APRIL</t>
  </si>
  <si>
    <t>HPG24-LAPANGAN-APRIL-PPL-PENDATAAN</t>
  </si>
  <si>
    <t>SHKK24-LAPANGAN-APRIL</t>
  </si>
  <si>
    <t>SHKK24-LAPANGAN-APRIL-PPL-PENDATAAN</t>
  </si>
  <si>
    <t>SHPED24-LAPANGAN-APRIL</t>
  </si>
  <si>
    <t>SHPED24-LAPANGAN-APRIL-PPL-PENDATAAN KONSUMEN</t>
  </si>
  <si>
    <t>SHPED24-LAPANGAN-APRIL-PPL-PENDATAAN PRODUSEN</t>
  </si>
  <si>
    <t>HPBG24-LAPANGAN-APRIL</t>
  </si>
  <si>
    <t>HPBG24-LAPANGAN-APRIL-PPL-PENDATAAN</t>
  </si>
  <si>
    <t>HPJ24-LAPANGAN-APRIL</t>
  </si>
  <si>
    <t>HPJ24-LAPANGAN-APRIL-PPL-PENDATAAN</t>
  </si>
  <si>
    <t>VHTS24-LAPANGAN-APRIL</t>
  </si>
  <si>
    <t>VHTS24-LAPANGAN-APRIL-PPL-PENDATAAN</t>
  </si>
  <si>
    <t>SPAK24-LAPANGAN</t>
  </si>
  <si>
    <t>SPAK24-LAPANGAN-PPL-PENDATAAN</t>
  </si>
  <si>
    <t>SKLNPT24-LAPANGAN-TRI1</t>
  </si>
  <si>
    <t>SKLNPT24-LAPANGAN-TRI1-PPL-PENDATAAN</t>
  </si>
  <si>
    <t>SKTNP24-LAPANGAN-TRI1</t>
  </si>
  <si>
    <t>SKTNP24-LAPANGAN-TRI1-PPL-PENDATAAN BARANG</t>
  </si>
  <si>
    <t>SKTNP24-LAPANGAN-TRI1-PPL-PENDATAAN JASA</t>
  </si>
  <si>
    <t>SHPB24-LAPANGAN-MEI</t>
  </si>
  <si>
    <t>SHPB24-LAPANGAN-MEI-PPL-PENDATAAN</t>
  </si>
  <si>
    <t>HPG24-LAPANGAN-MEI</t>
  </si>
  <si>
    <t>HPG24-LAPANGAN-MEI-PPL-PENDATAAN</t>
  </si>
  <si>
    <t>SHPED24-LAPANGAN-MEI</t>
  </si>
  <si>
    <t>SHPED24-LAPANGAN-MEI-PPL-PENDATAAN KONSUMEN</t>
  </si>
  <si>
    <t>SHPED24-LAPANGAN-MEI-PPL-PENDATAAN PRODUSEN</t>
  </si>
  <si>
    <t>HPBG24-LAPANGAN-MEI</t>
  </si>
  <si>
    <t>HPBG24-LAPANGAN-MEI-PPL-PENDATAAN</t>
  </si>
  <si>
    <t>HPJ24-LAPANGAN-MEI</t>
  </si>
  <si>
    <t>HPJ24-LAPANGAN-MEI-PPL-PENDATAAN</t>
  </si>
  <si>
    <t>VHTS24-LAPANGAN-MEI</t>
  </si>
  <si>
    <t>VHTS24-LAPANGAN-MEI-PPL-PENDATAAN</t>
  </si>
  <si>
    <t>UBINAN24-LAPANGAN-SR1-2</t>
  </si>
  <si>
    <t>Dokumen</t>
  </si>
  <si>
    <t>UBINAN24-LAPANGAN-SR1-2-PPL-PALAWIJA</t>
  </si>
  <si>
    <t>UBINAN24-LAPANGAN-SR1-2-PPL-PADI</t>
  </si>
  <si>
    <t>SHPB24-LAPANGAN-JUNI</t>
  </si>
  <si>
    <t>SHPB24-LAPANGAN-JUNI-PPL-PENDATAAN</t>
  </si>
  <si>
    <t>HPG24-LAPANGAN-JUNI</t>
  </si>
  <si>
    <t>HPG24-LAPANGAN-JUNI-PPL-PENDATAAN</t>
  </si>
  <si>
    <t>SHPED24-LAPANGAN-JUNI</t>
  </si>
  <si>
    <t>SHPED24-LAPANGAN-JUNI-PPL-PENDATAAN KONSUMEN</t>
  </si>
  <si>
    <t>SHPED24-LAPANGAN-JUNI-PPL-PENDATAAN PRODUSEN</t>
  </si>
  <si>
    <t>HPBG24-LAPANGAN-JUNI</t>
  </si>
  <si>
    <t>HPBG24-LAPANGAN-JUNI-PPL-PENDATAAN</t>
  </si>
  <si>
    <t>HPJ24-LAPANGAN-JUNI</t>
  </si>
  <si>
    <t>HPJ24-LAPANGAN-JUNI-PPL-PENDATAAN</t>
  </si>
  <si>
    <t>VHTS24-LAPANGAN-JUNI</t>
  </si>
  <si>
    <t>VHTS24-LAPANGAN-JUNI-PPL-PENDATAAN</t>
  </si>
  <si>
    <t>KSA24-LAPANGAN-JUNI</t>
  </si>
  <si>
    <t>SEP24-LAPANGAN</t>
  </si>
  <si>
    <t>OB</t>
  </si>
  <si>
    <t>SEP24-LAPANGAN-PPL-PENDATAAN</t>
  </si>
  <si>
    <t>SEP24-PENGOLAHAN</t>
  </si>
  <si>
    <t>SEP24-PENGOLAHAN-PETUGAS ENTRI-PENDATAAN</t>
  </si>
  <si>
    <t>SERUTI24-LAPANGAN-TRI2</t>
  </si>
  <si>
    <t>SERUTI24-LAPANGAN-TRI2-PPL-PENDATAAN</t>
  </si>
  <si>
    <t>SERUTI24-PENGOLAHAN-TRI2</t>
  </si>
  <si>
    <t>SERUTI24-PENGOLAHAN-TRI2-PETUGAS ENTRI-PENGOLAHAN</t>
  </si>
  <si>
    <t>SHPB24-LAPANGAN-JULI</t>
  </si>
  <si>
    <t>SHPB24-LAPANGAN-JULI-PPL-PENDATAAN</t>
  </si>
  <si>
    <t>HPG24-LAPANGAN-JULI</t>
  </si>
  <si>
    <t>HPG24-LAPANGAN-JULI-PPL-PENDATAAN</t>
  </si>
  <si>
    <t>SHKK24-LAPANGAN-JULI</t>
  </si>
  <si>
    <t>SHKK24-LAPANGAN-JULI-PPL-PENDATAAN</t>
  </si>
  <si>
    <t>SHPED24-LAPANGAN-JULI</t>
  </si>
  <si>
    <t>SHPED24-LAPANGAN-JULI-PPL-PENDATAAN KONSUMEN</t>
  </si>
  <si>
    <t>SHPED24-LAPANGAN-JULI-PPL-PENDATAAN PRODUSEN</t>
  </si>
  <si>
    <t>HPBG24-LAPANGAN-JULI</t>
  </si>
  <si>
    <t>HPBG24-LAPANGAN-JULI-PPL-PENDATAAN</t>
  </si>
  <si>
    <t>HPJ24-LAPANGAN-JULI</t>
  </si>
  <si>
    <t>HPJ24-LAPANGAN-JULI-PPL-PENDATAAN</t>
  </si>
  <si>
    <t>VHTS24-LAPANGAN-JULI</t>
  </si>
  <si>
    <t>VHTS24-LAPANGAN-JULI-PPL-PENDATAAN</t>
  </si>
  <si>
    <t>SKLNPT24-LAPANGAN-TRI2</t>
  </si>
  <si>
    <t>SKLNPT24-LAPANGAN-TRI2-PPL-PENDATAAN</t>
  </si>
  <si>
    <t>SKTNP24-LAPANGAN-TRI2</t>
  </si>
  <si>
    <t>SKTNP24-LAPANGAN-TRI2-PPL-PENDATAAN BARANG</t>
  </si>
  <si>
    <t>SKTNP24-LAPANGAN-TRI2-PPL-PENDATAAN JASA</t>
  </si>
  <si>
    <t>GALIANBH24-LAPANGAN-TRI2</t>
  </si>
  <si>
    <t>GALIANBH24-LAPANGAN-TRI2-PPL-PENDATAAN</t>
  </si>
  <si>
    <t>LPTB24-LAPANGAN-AGUSTUS</t>
  </si>
  <si>
    <t>LPTB24-LAPANGAN-AGUSTUS-PPL-PENDATAAN</t>
  </si>
  <si>
    <t>SHPB24-LAPANGAN-AGUSTUS</t>
  </si>
  <si>
    <t>SHPB24-LAPANGAN-AGUSTUS-PPL-PENDATAAN</t>
  </si>
  <si>
    <t>HPG24-LAPANGAN-AGUSTUS</t>
  </si>
  <si>
    <t>HPG24-LAPANGAN-AGUSTUS-PPL-PENDATAAN</t>
  </si>
  <si>
    <t>SHPED24-LAPANGAN-AGUSTUS</t>
  </si>
  <si>
    <t>SHPED24-LAPANGAN-AGUSTUS-PPL-PENDATAAN KONSUMEN</t>
  </si>
  <si>
    <t>SHPED24-LAPANGAN-AGUSTUS-PPL-PENDATAAN PRODUSEN</t>
  </si>
  <si>
    <t>HPBG24-LAPANGAN-AGUSTUS</t>
  </si>
  <si>
    <t>HPBG24-LAPANGAN-AGUSTUS-PPL-PENDATAAN</t>
  </si>
  <si>
    <t>HPJ24-LAPANGAN-AGUSTUS</t>
  </si>
  <si>
    <t>HPJ24-LAPANGAN-AGUSTUS-PPL-PENDATAAN</t>
  </si>
  <si>
    <t>VHTS24-LAPANGAN-AGUSTUS</t>
  </si>
  <si>
    <t>VHTS24-LAPANGAN-AGUSTUS-PPL-PENDATAAN</t>
  </si>
  <si>
    <t>SAKERNAS24-LAPANGAN-SEMESTER2</t>
  </si>
  <si>
    <t>SAKERNAS24-LAPANGAN-SEMESTER2-PPL-PENDATAAN</t>
  </si>
  <si>
    <t>UBINAN24-LAPANGAN-SR2</t>
  </si>
  <si>
    <t>PALAWIJA</t>
  </si>
  <si>
    <t>UBINAN24-LAPANGAN-SR2-PPL-PALAWIJA</t>
  </si>
  <si>
    <t>PADI</t>
  </si>
  <si>
    <t>UBINAN24-LAPANGAN-SR2-PPL-PADI</t>
  </si>
  <si>
    <t>IMK24-LAPANGAN-TAHUNAN</t>
  </si>
  <si>
    <t>IMK24-LAPANGAN-TAHUNAN-PPL-PENDATAAN</t>
  </si>
  <si>
    <t>STPIM24-LAPANGAN-TAHUNAN</t>
  </si>
  <si>
    <t>STPIM24-LAPANGAN-TAHUNAN-PPL-PENDATAAN</t>
  </si>
  <si>
    <t>GALIANBH24-LAPANGAN</t>
  </si>
  <si>
    <t>GALIANBH24-LAPANGAN-PPL-PENDATAAN</t>
  </si>
  <si>
    <t>SKSPPI24-LAPANGAN-TAHUNAN</t>
  </si>
  <si>
    <t>SKSPPI24-LAPANGAN-TAHUNAN-PPL-PENDATAAN</t>
  </si>
  <si>
    <t>SAKERNAS24-LAPANGAN-SEMESTER2-PPL-UPDATING LISTING</t>
  </si>
  <si>
    <t>LPTB24-LAPANGAN-SEPTEMBER</t>
  </si>
  <si>
    <t>LPTB24-LAPANGAN-SEPTEMBER-PPL-PENDATAAN</t>
  </si>
  <si>
    <t>VPEK24-LAPANGAN</t>
  </si>
  <si>
    <t>VPEK24-LAPANGAN-PPL-PERGUDANGAN</t>
  </si>
  <si>
    <t>VPEK24-LAPANGAN-PPL-JASA PENUNJANG ANGKUTAN</t>
  </si>
  <si>
    <t>SUSENAS24-LAPANGAN-SEMESTER2</t>
  </si>
  <si>
    <t>SUSENAS24-LAPANGAN-SEMESTER2-PPL-UPDATING LISTING</t>
  </si>
  <si>
    <t>SUSENAS24-LAPANGAN-SEMESTER2-PETUGAS ENTRI-PENGOLAHAN LISTING</t>
  </si>
  <si>
    <t>SHPB24-LAPANGAN-SEPTEMBER</t>
  </si>
  <si>
    <t>SHPB24-LAPANGAN-SEPTEMBER-PPL-PENDATAAN</t>
  </si>
  <si>
    <t>HPG24-LAPANGAN-SEPTEMBER</t>
  </si>
  <si>
    <t>HPG24-LAPANGAN-SEPTEMBER-PPL-PENDATAAN</t>
  </si>
  <si>
    <t>SHPED24-LAPANGAN-SEPTEMBER</t>
  </si>
  <si>
    <t>SHPED24-LAPANGAN-SEPTEMBER-PPL-PENDATAAN KONSUMEN</t>
  </si>
  <si>
    <t>SHPED24-LAPANGAN-SEPTEMBER-PPL-PENDATAAN PRODUSEN</t>
  </si>
  <si>
    <t>HPBG24-LAPANGAN-SEPTEMBER</t>
  </si>
  <si>
    <t>HPBG24-LAPANGAN-SEPTEMBER-PPL-PENDATAAN</t>
  </si>
  <si>
    <t>HPJ24-LAPANGAN-SEPTEMBER</t>
  </si>
  <si>
    <t>HPJ24-LAPANGAN-SEPTEMBER-PPL-PENDATAAN</t>
  </si>
  <si>
    <t>VHTS24-LAPANGAN-SEPTEMBER</t>
  </si>
  <si>
    <t>VHTS24-LAPANGAN-SEPTEMBER-PPL-PENDATAAN</t>
  </si>
  <si>
    <t>SEEA24-LAPANGAN-TAHUNAN</t>
  </si>
  <si>
    <t>SEEA24-LAPANGAN-TAHUNAN-PPL-PENDATAAN</t>
  </si>
  <si>
    <t>SERUTI24-LAPANGAN-TRI3</t>
  </si>
  <si>
    <t>SERUTI24-LAPANGAN-TRI3-PPL-PENDATAAN</t>
  </si>
  <si>
    <t>UBINAN24-LAPANGAN-SR3</t>
  </si>
  <si>
    <t>UBINAN24-LAPANGAN-SR3-PPL-PADI</t>
  </si>
  <si>
    <t>UBINAN24-LAPANGAN-SR3-PPL-PALAWIJA</t>
  </si>
  <si>
    <t>SUSENAS24-LAPANGAN-SEMESTER2-PPL-PENDATAAN</t>
  </si>
  <si>
    <t>SUSENAS24-LAPANGAN-SEMESTER2-PETUGAS ENTRI-PENGOLAHAN PENDATAAN</t>
  </si>
  <si>
    <t>SERUTI24-PENGOLAHAN-TRI3</t>
  </si>
  <si>
    <t>SERUTI24-PENGOLAHAN-TRI3-PETUGAS ENTRI-PENGOLAHAN</t>
  </si>
  <si>
    <t>SHPB24-LAPANGAN-OKTOBER</t>
  </si>
  <si>
    <t>SHPB24-LAPANGAN-OKTOBER-PPL-PENDATAAN</t>
  </si>
  <si>
    <t>HPG24-LAPANGAN-OKTOBER</t>
  </si>
  <si>
    <t>HPG24-LAPANGAN-OKTOBER-PPL-PENDATAAN</t>
  </si>
  <si>
    <t>SHKK24-LAPANGAN-OKTOBER</t>
  </si>
  <si>
    <t>SHKK24-LAPANGAN-OKTOBER-PPL-PENDATAAN</t>
  </si>
  <si>
    <t>SHPED24-LAPANGAN-OKTOBER</t>
  </si>
  <si>
    <t>SHPED24-LAPANGAN-OKTOBER-PPL-PENDATAAN KONSUMEN</t>
  </si>
  <si>
    <t>SHPED24-LAPANGAN-OKTOBER-PPL-PENDATAAN PRODUSEN</t>
  </si>
  <si>
    <t>HPBG24-LAPANGAN-OKTOBER</t>
  </si>
  <si>
    <t>HPBG24-LAPANGAN-OKTOBER-PPL-PENDATAAN</t>
  </si>
  <si>
    <t>HPJ24-LAPANGAN-OKTOBER</t>
  </si>
  <si>
    <t>HPJ24-LAPANGAN-OKTOBER-PPL-PENDATAAN</t>
  </si>
  <si>
    <t>VHTS24-LAPANGAN-OKTOBER</t>
  </si>
  <si>
    <t>VHTS24-LAPANGAN-OKTOBER-PPL-PENDATAAN</t>
  </si>
  <si>
    <t>SKLNPT24-LAPANGAN-TRI3</t>
  </si>
  <si>
    <t>SKLNPT24-LAPANGAN-TRI3-PPL-PENDATAAN</t>
  </si>
  <si>
    <t>SKTNP24-LAPANGAN-TRI3</t>
  </si>
  <si>
    <t>SKTNP24-LAPANGAN-TRI3-PPL-PENDATAAN BARANG</t>
  </si>
  <si>
    <t>SKTNP24-LAPANGAN-TRI3-PPL-PENDATAAN JASA</t>
  </si>
  <si>
    <t>SHPB24-LAPANGAN-NOVEMBER</t>
  </si>
  <si>
    <t>SHPB24-LAPANGAN-NOVEMBER-PPL-PENDATAAN</t>
  </si>
  <si>
    <t>HPG24-LAPANGAN-NOVEMBER</t>
  </si>
  <si>
    <t>HPG24-LAPANGAN-NOVEMBER-PPL-PENDATAAN</t>
  </si>
  <si>
    <t>SHPED24-LAPANGAN-NOVEMBER</t>
  </si>
  <si>
    <t>SHPED24-LAPANGAN-NOVEMBER-PPL-PENDATAAN KONSUMEN</t>
  </si>
  <si>
    <t>SHPED24-LAPANGAN-NOVEMBER-PPL-PENDATAAN PRODUSEN</t>
  </si>
  <si>
    <t>HPBG24-LAPANGAN-NOVEMBER</t>
  </si>
  <si>
    <t>HPBG24-LAPANGAN-NOVEMBER-PPL-PENDATAAN</t>
  </si>
  <si>
    <t>HPJ24-LAPANGAN-NOVEMBER</t>
  </si>
  <si>
    <t>HPJ24-LAPANGAN-NOVEMBER-PPL-PENDATAAN</t>
  </si>
  <si>
    <t>VHTS24-LAPANGAN-NOVEMBER</t>
  </si>
  <si>
    <t>VHTS24-LAPANGAN-NOVEMBER-PPL-PENDATAAN</t>
  </si>
  <si>
    <t>SERUTI24-LAPANGAN-TRI4</t>
  </si>
  <si>
    <t>SERUTI24-LAPANGAN-TRI4-PPL-PENDATAAN</t>
  </si>
  <si>
    <t>SHPB24-LAPANGAN-DESEMBER</t>
  </si>
  <si>
    <t>SHPB24-LAPANGAN-DESEMBER-PPL-PENDATAAN</t>
  </si>
  <si>
    <t>HPG24-LAPANGAN-DESEMBER</t>
  </si>
  <si>
    <t>HPG24-LAPANGAN-DESEMBER-PPL-PENDATAAN</t>
  </si>
  <si>
    <t>SHPED24-LAPANGAN-DESEMBER</t>
  </si>
  <si>
    <t>SHPED24-LAPANGAN-DESEMBER-PPL-PENDATAAN KONSUMEN</t>
  </si>
  <si>
    <t>SHPED24-LAPANGAN-DESEMBER-PPL-PENDATAAN PRODUSEN</t>
  </si>
  <si>
    <t>HPBG24-LAPANGAN-DESEMBER</t>
  </si>
  <si>
    <t>HPBG24-LAPANGAN-DESEMBER-PPL-PENDATAAN</t>
  </si>
  <si>
    <t>HPJ24-LAPANGAN-DESEMBER</t>
  </si>
  <si>
    <t>HPJ24-LAPANGAN-DESEMBER-PPL-PENDATAAN</t>
  </si>
  <si>
    <t>VHTS24-LAPANGAN-DESEMBER</t>
  </si>
  <si>
    <t>VHTS24-LAPANGAN-DESEMBER-PPL-PENDATAAN</t>
  </si>
  <si>
    <t>SERUTI24-PENGOLAHAN-TRI4</t>
  </si>
  <si>
    <t>SERUTI24-PENGOLAHAN-TRI4-PETUGAS ENTRI-PENGOLAHAN</t>
  </si>
  <si>
    <t>SKLNPT24-LAPANGAN-TRI4</t>
  </si>
  <si>
    <t>SKLNPT24-LAPANGAN-TRI4-PPL-PENDATAAN</t>
  </si>
  <si>
    <t>SKTNP24-LAPANGAN-TRI4</t>
  </si>
  <si>
    <t>SKTNP24-LAPANGAN-TRI4-PPL-PENDATAAN BARANG</t>
  </si>
  <si>
    <t>SKTNP24-LAPANGAN-TRI4-PPL-PENDATAAN JASA</t>
  </si>
  <si>
    <t>Nama</t>
  </si>
  <si>
    <t>Nama_1</t>
  </si>
  <si>
    <t>Kabupaten Domisili</t>
  </si>
  <si>
    <t>Nama_2</t>
  </si>
  <si>
    <t>Posisi</t>
  </si>
  <si>
    <t>Status Seleksi (1=Terpilih, 2=Tidak Terpilih)</t>
  </si>
  <si>
    <t>Email</t>
  </si>
  <si>
    <t>Alamat Prov</t>
  </si>
  <si>
    <t>Alamat Kab</t>
  </si>
  <si>
    <t>Alamat Kec</t>
  </si>
  <si>
    <t>Alamat Desa</t>
  </si>
  <si>
    <t>Alamat Detail</t>
  </si>
  <si>
    <t>Domisili Sama</t>
  </si>
  <si>
    <t>Tanggal Lahir (dd/mm/yyyy)</t>
  </si>
  <si>
    <t>NPWP</t>
  </si>
  <si>
    <t>Jenis Kelamin</t>
  </si>
  <si>
    <t>Agama</t>
  </si>
  <si>
    <t>Status Perkawinan</t>
  </si>
  <si>
    <t>Pendidikan</t>
  </si>
  <si>
    <t>Pekerjaan</t>
  </si>
  <si>
    <t>Deskripsi Pekerjaan Lain</t>
  </si>
  <si>
    <t>No Telp</t>
  </si>
  <si>
    <t>Mengikuti Pendataan BPS</t>
  </si>
  <si>
    <t>SP</t>
  </si>
  <si>
    <t>ST</t>
  </si>
  <si>
    <t>SE</t>
  </si>
  <si>
    <t>Susenas</t>
  </si>
  <si>
    <t>Sakernas</t>
  </si>
  <si>
    <t>SBH</t>
  </si>
  <si>
    <t>Posisi Daftar</t>
  </si>
  <si>
    <t>Username</t>
  </si>
  <si>
    <t>SOBAT ID</t>
  </si>
  <si>
    <t>ID Desa</t>
  </si>
  <si>
    <t>KABUPATEN MEMPAWAH</t>
  </si>
  <si>
    <t>6102072211780002</t>
  </si>
  <si>
    <t>Abang Handri</t>
  </si>
  <si>
    <t>Mitra Pendataan</t>
  </si>
  <si>
    <t>abanghandri2211@gmail.com</t>
  </si>
  <si>
    <t>Jl.al falah 3 komplek Bhanyangkara Asri blok F no 2</t>
  </si>
  <si>
    <t>-</t>
  </si>
  <si>
    <t>Abang_Handri</t>
  </si>
  <si>
    <t>6112031905890001</t>
  </si>
  <si>
    <t>abd syakur</t>
  </si>
  <si>
    <t>abdussyakur89@gmail.com</t>
  </si>
  <si>
    <t>bakau besar darat dusun hulu sungai</t>
  </si>
  <si>
    <t>75.131.747.0-704.000</t>
  </si>
  <si>
    <t>Tidak ada</t>
  </si>
  <si>
    <t>Pengalaman survey kumkm 2023</t>
  </si>
  <si>
    <t>syakurr</t>
  </si>
  <si>
    <t>6102061507950006</t>
  </si>
  <si>
    <t>Abdul Aziz</t>
  </si>
  <si>
    <t>aziz.bsi47@gmail.com</t>
  </si>
  <si>
    <t>Jalan Sumber Agung, Desa Sambora RT. 009 / RW. 003 Kode Pos 78361 Kec. Toho Kab. Mempawah</t>
  </si>
  <si>
    <t>91.197.213.1-704.000</t>
  </si>
  <si>
    <t>Semoga dimudahkan rezekinya...</t>
  </si>
  <si>
    <t>aziz.toho</t>
  </si>
  <si>
    <t>6102010308960003</t>
  </si>
  <si>
    <t>Abdul Gani</t>
  </si>
  <si>
    <t>Mitra (Pendataan dan Pengolahan)</t>
  </si>
  <si>
    <t>abdulgani210596@gmail.com</t>
  </si>
  <si>
    <t>Dusun parit senin Rt 015/007</t>
  </si>
  <si>
    <t>95.747.629.4-704.000</t>
  </si>
  <si>
    <t>Sesuai</t>
  </si>
  <si>
    <t>AbdulGani21</t>
  </si>
  <si>
    <t>6102080903850006</t>
  </si>
  <si>
    <t>ABDUL HARIS</t>
  </si>
  <si>
    <t>daeng9385@gmail.com</t>
  </si>
  <si>
    <t>Jalan Raya Wajok Hulu Parit Simpang Empat RT 03/RW 11</t>
  </si>
  <si>
    <t>15.020.997.1-704.000</t>
  </si>
  <si>
    <t>Aktif dikegiatan sosial masyarakat</t>
  </si>
  <si>
    <t>bpskayla</t>
  </si>
  <si>
    <t>6102071101810001</t>
  </si>
  <si>
    <t>Abdul latif</t>
  </si>
  <si>
    <t>abdullatif64924@gmail.com</t>
  </si>
  <si>
    <t>Dusun III Desa Nusapati Rt 001 Rw 006</t>
  </si>
  <si>
    <t>Semoga dalam pelatihan dn perkerjaan yg dipercayakan berjalan dgn lancar dan baik</t>
  </si>
  <si>
    <t>Latif81</t>
  </si>
  <si>
    <t>6102062711910001</t>
  </si>
  <si>
    <t>Abdul rokhim</t>
  </si>
  <si>
    <t>Abdulrohimjannah20@gmail.com</t>
  </si>
  <si>
    <t>Jl.Sambora Rt.011 Rw.004 desa Sambora kecamatan toho</t>
  </si>
  <si>
    <t>Bps</t>
  </si>
  <si>
    <t>Rohim123</t>
  </si>
  <si>
    <t>6102120212970002</t>
  </si>
  <si>
    <t>Abdullah</t>
  </si>
  <si>
    <t>abdullahgpenk@gmail.com</t>
  </si>
  <si>
    <t>Dusun sekip II</t>
  </si>
  <si>
    <t>Pendataan sebagai instrumen terwujudnya kesejahteraan</t>
  </si>
  <si>
    <t>Gpenk123</t>
  </si>
  <si>
    <t>6102180611930001</t>
  </si>
  <si>
    <t>Abdurahman</t>
  </si>
  <si>
    <t>Abdurahmanmpw@gmail.com</t>
  </si>
  <si>
    <t>Jalan Bemban</t>
  </si>
  <si>
    <t>84.462.769.5-704.000</t>
  </si>
  <si>
    <t>PPL REGSOSEK
 PCL KUMKM</t>
  </si>
  <si>
    <t>Abdurahman93</t>
  </si>
  <si>
    <t>6102120302040004</t>
  </si>
  <si>
    <t>Achmad Fikri Alfarisy</t>
  </si>
  <si>
    <t>apungg7@gmail.com</t>
  </si>
  <si>
    <t>Jl. sui kunyit laut</t>
  </si>
  <si>
    <t>40.153.305.4-704.000</t>
  </si>
  <si>
    <t>apunbpsmempawah</t>
  </si>
  <si>
    <t>6171020505890008</t>
  </si>
  <si>
    <t>Ade Suhardiono</t>
  </si>
  <si>
    <t>adesuhardiono289@gmail.com</t>
  </si>
  <si>
    <t>Jalan Pangsuma BTN Bumi Mas Resident No B9 Rt 026 Rw 008</t>
  </si>
  <si>
    <t>82.812.530.2-704.000</t>
  </si>
  <si>
    <t>karyawan koprasi</t>
  </si>
  <si>
    <t>Ade_Suhardiono289</t>
  </si>
  <si>
    <t>6102066310010001</t>
  </si>
  <si>
    <t>Adetia Indarti</t>
  </si>
  <si>
    <t>adetiaindartii@gmail.com</t>
  </si>
  <si>
    <t>Jl. Raya Sadaninag, Dusun Kuala Toho Rt 007 Rw 002</t>
  </si>
  <si>
    <t>Bidan</t>
  </si>
  <si>
    <t>ADETIA_INDARTI</t>
  </si>
  <si>
    <t>6102011810930001</t>
  </si>
  <si>
    <t>Adriansyah</t>
  </si>
  <si>
    <t>adriankhalid111@gmail.com</t>
  </si>
  <si>
    <t>Jl.M.Thaha</t>
  </si>
  <si>
    <t>96.879.147.5-704.000</t>
  </si>
  <si>
    <t>Adriansyah193</t>
  </si>
  <si>
    <t>6102015211000009</t>
  </si>
  <si>
    <t>Afifah setiawati</t>
  </si>
  <si>
    <t>Afifahsetiawati1211@gmail.com</t>
  </si>
  <si>
    <t>Dusun Suka Damai RT/RW 006/003 Desa Sengkubang Kec. Mempawah Hilir</t>
  </si>
  <si>
    <t>53.766.604.2-704.000</t>
  </si>
  <si>
    <t>belum berkerja</t>
  </si>
  <si>
    <t>besar harapan saya dan bergabung dan berkontribusi pada bps mempawah</t>
  </si>
  <si>
    <t>Afifahsetiawati</t>
  </si>
  <si>
    <t>6102082504990001</t>
  </si>
  <si>
    <t>AGIL DWI IRAWAN</t>
  </si>
  <si>
    <t>agildwi46@gmail.com</t>
  </si>
  <si>
    <t>Jalan Raya Peniti Luar</t>
  </si>
  <si>
    <t>Kerja Serabutan</t>
  </si>
  <si>
    <t>agildwi99</t>
  </si>
  <si>
    <t>6102175010830001</t>
  </si>
  <si>
    <t>Agnes</t>
  </si>
  <si>
    <t>Mamatian494@gmail.com</t>
  </si>
  <si>
    <t>Dusun Amawang Rt.002 Rw.001 Desa Amawang</t>
  </si>
  <si>
    <t>94.822.273.9-704.000</t>
  </si>
  <si>
    <t>Tidak ada catatan</t>
  </si>
  <si>
    <t>Titan123</t>
  </si>
  <si>
    <t>6102076002980002</t>
  </si>
  <si>
    <t>Agnes Sudiro</t>
  </si>
  <si>
    <t>Mitra Pengolahan</t>
  </si>
  <si>
    <t>agnes.sudiro20@gmail.com</t>
  </si>
  <si>
    <t>Jl. Raya , sungai purun kecil Rt 017, Rw 009</t>
  </si>
  <si>
    <t>AgnesSudiro</t>
  </si>
  <si>
    <t>6102070903930002</t>
  </si>
  <si>
    <t>Agus</t>
  </si>
  <si>
    <t>Almaagus607@gmail.com</t>
  </si>
  <si>
    <t>Desa sungai batang</t>
  </si>
  <si>
    <t>Alma_agus607</t>
  </si>
  <si>
    <t>6102011308010004</t>
  </si>
  <si>
    <t>Agus Maulana</t>
  </si>
  <si>
    <t>agusmaulana13082001@gmail.com</t>
  </si>
  <si>
    <t>Jalan Raden Patih Gumantar rt11 rw04</t>
  </si>
  <si>
    <t>50.953.023.4-704.000</t>
  </si>
  <si>
    <t>Hanya ikhtiar</t>
  </si>
  <si>
    <t>Agusmaulana13</t>
  </si>
  <si>
    <t>6102181408910004</t>
  </si>
  <si>
    <t>AGUS MAYADI</t>
  </si>
  <si>
    <t>mayadiagus989@gmail.com</t>
  </si>
  <si>
    <t>Jalan daeng manambon RT 05 RW 03</t>
  </si>
  <si>
    <t>92.048.056.3-704.000</t>
  </si>
  <si>
    <t>Yth, Bapak/Ibu Pimpinan, Perkenalkan saya Agus Mayadi , Saya berminat untuk menjadi bagian dari Mitra BPS. Atas kesempatan dan perhatiannya saya ucapkan terimakasih ????</t>
  </si>
  <si>
    <t>Agusmayadi1408</t>
  </si>
  <si>
    <t>6102071811790001</t>
  </si>
  <si>
    <t>Agus Supriyanto</t>
  </si>
  <si>
    <t>dimaskanjeng1679@gmail.com</t>
  </si>
  <si>
    <t>Dusun 2</t>
  </si>
  <si>
    <t>04.396.115.0-704.000</t>
  </si>
  <si>
    <t>Dhimas16</t>
  </si>
  <si>
    <t>6102071206960003</t>
  </si>
  <si>
    <t>Agus yahya</t>
  </si>
  <si>
    <t>ahyaar2107@gmail.com</t>
  </si>
  <si>
    <t>Sungai purun kecil</t>
  </si>
  <si>
    <t>39.279.309.7-704.000</t>
  </si>
  <si>
    <t>Mengajar</t>
  </si>
  <si>
    <t>Agus_yahya</t>
  </si>
  <si>
    <t>6102156708930002</t>
  </si>
  <si>
    <t>Agustia Handayani</t>
  </si>
  <si>
    <t>agustiahandayani027@gmail.com</t>
  </si>
  <si>
    <t>Sungai Burung Gang Keluarga RT 01 RW 02</t>
  </si>
  <si>
    <t>Agustia_27</t>
  </si>
  <si>
    <t>6102181006930002</t>
  </si>
  <si>
    <t>Ahmad</t>
  </si>
  <si>
    <t>ahmadnandarrq@gmail.com</t>
  </si>
  <si>
    <t>Jl.padat karya pasir panjang</t>
  </si>
  <si>
    <t>Siap bergabung kembali menjadi bagian dari sobat bps</t>
  </si>
  <si>
    <t>Ahmadi3567</t>
  </si>
  <si>
    <t>6102071208970001</t>
  </si>
  <si>
    <t>Ahmad Rokip</t>
  </si>
  <si>
    <t>ahmadrokipalmuni@gmail.com</t>
  </si>
  <si>
    <t>Batas Desa Peniraman, RT/RW 022/010, Desa Peniraman</t>
  </si>
  <si>
    <t>42.985.597.5-704.000</t>
  </si>
  <si>
    <t>Driver Grab Pontianak</t>
  </si>
  <si>
    <t>Pengalaman adalah guru terbaik, maka saya ingin mendapatkan pengalaman dalam bekerja dan menjadi mitra BPS ini.</t>
  </si>
  <si>
    <t>Ahmadrokip</t>
  </si>
  <si>
    <t>6102121505850001</t>
  </si>
  <si>
    <t>Akhmad Amiruddin</t>
  </si>
  <si>
    <t>tunasmudaclubsk2018@gmail.com</t>
  </si>
  <si>
    <t>Jl. Pendidikan RT. 008/RW.004 Desa Sungai Kunyit Laut</t>
  </si>
  <si>
    <t>80.660.625.7-704.000</t>
  </si>
  <si>
    <t>Pengalaman Kerja: Sekretaris BPD Desa, Pendamping Lokal Desa, Sekretaris Forum Komunikasi Pemuda Kecamatan Sungai Kunyit</t>
  </si>
  <si>
    <t>nusantara1985</t>
  </si>
  <si>
    <t>6102014612040001</t>
  </si>
  <si>
    <t>Alip Damayanti</t>
  </si>
  <si>
    <t>alipdmyanti116@gmail.com</t>
  </si>
  <si>
    <t>JL. Parit Serikat Dusun Paris</t>
  </si>
  <si>
    <t>Mahir dalam menggunakan gadget dan mempunyai kendaraan pribadi.</t>
  </si>
  <si>
    <t>Alip_damayanti</t>
  </si>
  <si>
    <t>6102172001980001</t>
  </si>
  <si>
    <t>Alip Susanto</t>
  </si>
  <si>
    <t>alip98susanto@gmail.com</t>
  </si>
  <si>
    <t>Dusun Nangka RT 010 RW 004</t>
  </si>
  <si>
    <t>43.129.290.3-704.000</t>
  </si>
  <si>
    <t>Menjadi mitra BPS adalah hal menyenangkan dan membanggakan karena dapat terlibat langsung mengumpulkan data bagi pemerintah dan negara melalui sensus</t>
  </si>
  <si>
    <t>Alip_Susanto</t>
  </si>
  <si>
    <t>6102124210010005</t>
  </si>
  <si>
    <t>Amalia Faisya</t>
  </si>
  <si>
    <t>amliafysss@gmail.com</t>
  </si>
  <si>
    <t>Dusun Mufakat RT 011 / RW 005 Desa Sungai Kunyit Laut</t>
  </si>
  <si>
    <t>Belum bekerja</t>
  </si>
  <si>
    <t>amaliafaisya</t>
  </si>
  <si>
    <t>6102124405010003</t>
  </si>
  <si>
    <t>Amelia Fradia</t>
  </si>
  <si>
    <t>amelia.fradia@gmail.com</t>
  </si>
  <si>
    <t>Dusun Nelayan RT/RW 006/003</t>
  </si>
  <si>
    <t>ameliafradia</t>
  </si>
  <si>
    <t>KOTA PONTIANAK</t>
  </si>
  <si>
    <t>PONTIANAK UTARA</t>
  </si>
  <si>
    <t>BATU LAYANG</t>
  </si>
  <si>
    <t>6171044807010008</t>
  </si>
  <si>
    <t>Amelia Nur Astuti</t>
  </si>
  <si>
    <t>amel.nurastuti@gmail.com</t>
  </si>
  <si>
    <t>Jl. Khatulistiwa Gg. Beringin 3 Dalam RT 02 RW 14</t>
  </si>
  <si>
    <t>Belum Bekerja</t>
  </si>
  <si>
    <t>Saya biasa dipanggil Amel, umur 22 tahun. Fresh graduate dari jurusan akuntansi di Politeknik Negeri Pontianak. Saya memiliki kemampuan yang dapat berkontribusi sebagai calon mitra statistik.</t>
  </si>
  <si>
    <t>amelianurastuti</t>
  </si>
  <si>
    <t>6102015302980003</t>
  </si>
  <si>
    <t>Amirah</t>
  </si>
  <si>
    <t>amirah130298@gmail.com</t>
  </si>
  <si>
    <t>Jalan Gusti Muhammad Taufik RT 020/ RW 006</t>
  </si>
  <si>
    <t>93.572.198.5-704.000</t>
  </si>
  <si>
    <t>Freelance</t>
  </si>
  <si>
    <t>AmirahS</t>
  </si>
  <si>
    <t>6102152510940001</t>
  </si>
  <si>
    <t>Amrullah</t>
  </si>
  <si>
    <t>Agemunai@gmail.com</t>
  </si>
  <si>
    <t>Gedung intan</t>
  </si>
  <si>
    <t>Amrullah2</t>
  </si>
  <si>
    <t>6102066908020001</t>
  </si>
  <si>
    <t>ANA SUWARNTA</t>
  </si>
  <si>
    <t>anafatrisia91@gmail.com</t>
  </si>
  <si>
    <t>PAK KADU, RT/RW 001,DESA TERAP, KECAMATAN TOHO</t>
  </si>
  <si>
    <t>Membantu orang tua</t>
  </si>
  <si>
    <t>Kiranya dapat diberikan kesempatan kembali untuk mengikuti kegiatan sensu selanjutnya diBPS. Pada sebelumnya pernah mengikuti sensus Regsosek dan Sensus pertanian.</t>
  </si>
  <si>
    <t>ANASUWARNTA</t>
  </si>
  <si>
    <t>PONTIANAK BARAT</t>
  </si>
  <si>
    <t>SUNGAI BELIUNG</t>
  </si>
  <si>
    <t>6171034312980004</t>
  </si>
  <si>
    <t>Ande wulan gemala</t>
  </si>
  <si>
    <t>Andewulan98@gmail.com</t>
  </si>
  <si>
    <t>Jalan jeruju permai blok e nomor 7</t>
  </si>
  <si>
    <t>94.239.009.7-701.000</t>
  </si>
  <si>
    <t>Marketing</t>
  </si>
  <si>
    <t>Lulusan sarjana hukum s1 di universitas panca bhakti pontianak dengan lulusan baru 2023. 
 Pernah bekerja di PT. Interpan Pasifik futures selama 3 bulan sebagai marketing.</t>
  </si>
  <si>
    <t>Andewulan98</t>
  </si>
  <si>
    <t>6102162110950001</t>
  </si>
  <si>
    <t>ANDRE</t>
  </si>
  <si>
    <t>andrewahyudista46@gmail.com</t>
  </si>
  <si>
    <t>Peladis rt/013,rw/003,desa kepayang,kecamatan anjongan,kabupaten mempawah,kalimantan barat</t>
  </si>
  <si>
    <t>61.021.621.1-095.000</t>
  </si>
  <si>
    <t>Paruh waktu</t>
  </si>
  <si>
    <t>Andrewahyudi</t>
  </si>
  <si>
    <t>6102121606980001</t>
  </si>
  <si>
    <t>Andre</t>
  </si>
  <si>
    <t>yorsandre798@gmail.com</t>
  </si>
  <si>
    <t>Desa mendalok.kecamatan sungai kunyit</t>
  </si>
  <si>
    <t>yorsandre798</t>
  </si>
  <si>
    <t>6112014608910015</t>
  </si>
  <si>
    <t>Anggraini Moryana</t>
  </si>
  <si>
    <t>kemaliadahayu@gmail.com</t>
  </si>
  <si>
    <t>Jalan Raya Jungkat No 10</t>
  </si>
  <si>
    <t>80.505.380.8-704.000</t>
  </si>
  <si>
    <t>Anggraini_Moryana</t>
  </si>
  <si>
    <t>6102125510990001</t>
  </si>
  <si>
    <t>ANGGYE RAMADANA</t>
  </si>
  <si>
    <t>anggyeramadana22@gmail.com</t>
  </si>
  <si>
    <t>DUSUN TENANG RT 005 / RW 003</t>
  </si>
  <si>
    <t>KTP saya msh berstatus belum menikah dikarenakan masih dalam proses perubahan di capil</t>
  </si>
  <si>
    <t>anggyeramadana</t>
  </si>
  <si>
    <t>6102184310990001</t>
  </si>
  <si>
    <t>Anisatunnabilah</t>
  </si>
  <si>
    <t>anisanabilla40@yahoo.com</t>
  </si>
  <si>
    <t>Jl Bemban rt 006 rw 003</t>
  </si>
  <si>
    <t>Pernah mengikuti program pengolahan ST 2023</t>
  </si>
  <si>
    <t>Anisaabill</t>
  </si>
  <si>
    <t>6102155203990002</t>
  </si>
  <si>
    <t>Annisa</t>
  </si>
  <si>
    <t>annisa03nisa@gmail.com</t>
  </si>
  <si>
    <t>Desa Parit Bugis RT 07 RW 03, Kecamatan segedong,</t>
  </si>
  <si>
    <t>Annisa120399</t>
  </si>
  <si>
    <t>6102017010980004</t>
  </si>
  <si>
    <t>Annisa Maharani Alfarasi</t>
  </si>
  <si>
    <t>annisamaharanialfarasi@gmail.com</t>
  </si>
  <si>
    <t>Jalan Gusti Muhamammad Taufik RT019/RW006, Kelurahan Terusan, Kecamatan Mempawah Hilir</t>
  </si>
  <si>
    <t>63.906.719.8-704.000</t>
  </si>
  <si>
    <t>AnnisaMA</t>
  </si>
  <si>
    <t>PONTIANAK TIMUR</t>
  </si>
  <si>
    <t>SAIGON</t>
  </si>
  <si>
    <t>6171020705020003</t>
  </si>
  <si>
    <t>Apriyansyah</t>
  </si>
  <si>
    <t>apriyansyahhh07@gmail.com</t>
  </si>
  <si>
    <t>Jalan Tanjung raya 2 gang93 dalam</t>
  </si>
  <si>
    <t>41.525.585.0-707.000</t>
  </si>
  <si>
    <t>Tidak bekerja</t>
  </si>
  <si>
    <t>Memiliki pengalaman kerja di bidang jasa keuangan, retail dan restaurant</t>
  </si>
  <si>
    <t>dyrine</t>
  </si>
  <si>
    <t>6102184612010001</t>
  </si>
  <si>
    <t>Arfi arfaqiyah</t>
  </si>
  <si>
    <t>arfiarfakia@gmail.com</t>
  </si>
  <si>
    <t>Jl. Konsasi</t>
  </si>
  <si>
    <t>95.739.202.0-704.000</t>
  </si>
  <si>
    <t>Butuh harian lepas</t>
  </si>
  <si>
    <t>Regsosek 2022
 Sensus pertanian 2023
 Pl-kumkm 2023</t>
  </si>
  <si>
    <t>Arfiarfaqiyah</t>
  </si>
  <si>
    <t>6102170704910002</t>
  </si>
  <si>
    <t>ARI ALKADRI</t>
  </si>
  <si>
    <t>ari91alkadri@gmail.com</t>
  </si>
  <si>
    <t>Jalan Raya Sekabuk</t>
  </si>
  <si>
    <t>Alkadriari</t>
  </si>
  <si>
    <t>6102171407920003</t>
  </si>
  <si>
    <t>Arianto</t>
  </si>
  <si>
    <t>ariantoadet8@gmail.com</t>
  </si>
  <si>
    <t>Dusun Nangka Desa Bumbun Kec. Sadaniang</t>
  </si>
  <si>
    <t>Belum ada pekerjaan tetap</t>
  </si>
  <si>
    <t>Aders</t>
  </si>
  <si>
    <t>6102070412820002</t>
  </si>
  <si>
    <t>Arie maulana</t>
  </si>
  <si>
    <t>ariemaulana041282@gmail.com</t>
  </si>
  <si>
    <t>Jl. Siliwangi Galang Rt. 005 Rw. 002</t>
  </si>
  <si>
    <t>91.877.148.6-704.000</t>
  </si>
  <si>
    <t>Suka menjadi mitra BPS bnyak pengalaman dr tahun 2020 sampai 2023,pernqh ikut survey anggaran desa juga, jadi dr BPS banyak dikenal org. Pokoknya BPS is the best</t>
  </si>
  <si>
    <t>Arie3</t>
  </si>
  <si>
    <t>6102150809920003</t>
  </si>
  <si>
    <t>Arif Maulana</t>
  </si>
  <si>
    <t>arif.maulana.080992@gmail.com</t>
  </si>
  <si>
    <t>Jalan Parit Timur RT 023 RW 006 Dusun Parit Ambo Pinang</t>
  </si>
  <si>
    <t>Siap mengikuti segala arahan dan kegiatan dari bps kabupaten mempawah dan siap di tempatkan di mana pun wilayah kerja bps kabupaten mempawah</t>
  </si>
  <si>
    <t>aktif2022</t>
  </si>
  <si>
    <t>6102070911870001</t>
  </si>
  <si>
    <t>Arifin</t>
  </si>
  <si>
    <t>arifinsbbd87@gmail.com</t>
  </si>
  <si>
    <t>Jalan Ulu Sungai RT 009 / RW 005</t>
  </si>
  <si>
    <t>85.517.667.3-704.000</t>
  </si>
  <si>
    <t>Demikian Saya sampaikan semoga menjadi pertimbangan Bapak / Ibu.</t>
  </si>
  <si>
    <t>rifinn</t>
  </si>
  <si>
    <t>6171032905050009</t>
  </si>
  <si>
    <t>Arya Daffa Dawansyah</t>
  </si>
  <si>
    <t>aryadj93046@gmail.com</t>
  </si>
  <si>
    <t>Jl. A Djelani GG. Borneo No. 14</t>
  </si>
  <si>
    <t>Foto kartu Tanda penduduk</t>
  </si>
  <si>
    <t>aryadj93046</t>
  </si>
  <si>
    <t>6102185410980002</t>
  </si>
  <si>
    <t>ASMINI</t>
  </si>
  <si>
    <t>asminimini04@gmail.com</t>
  </si>
  <si>
    <t>Jl bardannadi pasir panjang RT/RW 002/001</t>
  </si>
  <si>
    <t>Ingin bergabung menjadi tim densus</t>
  </si>
  <si>
    <t>Asmini01</t>
  </si>
  <si>
    <t>6102074511960003</t>
  </si>
  <si>
    <t>Astuti</t>
  </si>
  <si>
    <t>astutivivo61@gmail.com</t>
  </si>
  <si>
    <t>Ulu Sungai</t>
  </si>
  <si>
    <t>Astuti0511</t>
  </si>
  <si>
    <t>6102082903960001</t>
  </si>
  <si>
    <t>Aswandi</t>
  </si>
  <si>
    <t>wandiputera713@gmail.com</t>
  </si>
  <si>
    <t>Jalan ampera gang satu rt.004 rw.007</t>
  </si>
  <si>
    <t>61.318.877.0-704.000</t>
  </si>
  <si>
    <t>Tenaga honorer kecamatan</t>
  </si>
  <si>
    <t>As_wandi</t>
  </si>
  <si>
    <t>6102185502860003</t>
  </si>
  <si>
    <t>Aswati Ningsih,Se</t>
  </si>
  <si>
    <t>dedekrastauye@gmail.com</t>
  </si>
  <si>
    <t>Jl.Daeng Menambon Rt 11 Rw 06,Kel.Pasir wan salim kec.mempawah timur</t>
  </si>
  <si>
    <t>16.306.758.0-704.000</t>
  </si>
  <si>
    <t>Selalu semangat ikut bps, walapun sering gagal.</t>
  </si>
  <si>
    <t>Aswatiningsih86</t>
  </si>
  <si>
    <t>6102015905000001</t>
  </si>
  <si>
    <t>Athalia Meifira</t>
  </si>
  <si>
    <t>athaliameifira@gmail.com</t>
  </si>
  <si>
    <t>Jalan A Djealani</t>
  </si>
  <si>
    <t>athaliameifira</t>
  </si>
  <si>
    <t>6102075303030001</t>
  </si>
  <si>
    <t>Aura abidah</t>
  </si>
  <si>
    <t>auraabdh03@gmail.com</t>
  </si>
  <si>
    <t>Jl. Raya rt 017 rw 009 sungai purun kecil</t>
  </si>
  <si>
    <t>Auraabdh</t>
  </si>
  <si>
    <t>6111025008930002</t>
  </si>
  <si>
    <t>Ayu Agustin</t>
  </si>
  <si>
    <t>Ayu.hellmy@gmail.com</t>
  </si>
  <si>
    <t>Peladis</t>
  </si>
  <si>
    <t>Semangat memberikan data yang terbaik untuk bangsa</t>
  </si>
  <si>
    <t>Ayuhellmy</t>
  </si>
  <si>
    <t>6102164411970001</t>
  </si>
  <si>
    <t>Ayu Safitri</t>
  </si>
  <si>
    <t>safitriputra44@gmail.com</t>
  </si>
  <si>
    <t>Jalan Kampung Pramuka 1 Anjungan</t>
  </si>
  <si>
    <t>Asisten Dokter Gigi</t>
  </si>
  <si>
    <t>Siayu</t>
  </si>
  <si>
    <t>6102081211790004</t>
  </si>
  <si>
    <t>azhar</t>
  </si>
  <si>
    <t>azharredmis2@gmail.com</t>
  </si>
  <si>
    <t>Jl.Parit Haji Hasan Desa Sungai Nipah Kec. Jongkat Kab .Mempawah</t>
  </si>
  <si>
    <t>Petani</t>
  </si>
  <si>
    <t>azharredmis</t>
  </si>
  <si>
    <t>6102011407940001</t>
  </si>
  <si>
    <t>Azwar Anas</t>
  </si>
  <si>
    <t>azwar88ucu@gmail.com</t>
  </si>
  <si>
    <t>Jl Raya Penibung Rt 05 Rw 02 Desa Penibung</t>
  </si>
  <si>
    <t>Operator Sekolah</t>
  </si>
  <si>
    <t>Menjadi mitra BPS adalah suatu pekerjaan mulia dimana pekerjaan ini akan menentukan data penduduk yg benar" real dilapangan supaya dapat membantu pemerintah untuk mudah menyalurkan program" pemerintah yg d rencanakan</t>
  </si>
  <si>
    <t>UchuwarUmar</t>
  </si>
  <si>
    <t>6102010103980002</t>
  </si>
  <si>
    <t>Bagjawan Bagaswara</t>
  </si>
  <si>
    <t>ayo.apaayo93@gmail.com</t>
  </si>
  <si>
    <t>Jl. Aneka</t>
  </si>
  <si>
    <t>60.918.405.6-704.000</t>
  </si>
  <si>
    <t>Admin paruh waktu</t>
  </si>
  <si>
    <t>mengerti dalam bidang konputer</t>
  </si>
  <si>
    <t>bagaswara</t>
  </si>
  <si>
    <t>6102122308870001</t>
  </si>
  <si>
    <t>Basirin</t>
  </si>
  <si>
    <t>ierynboys@gmail.com</t>
  </si>
  <si>
    <t>Jl. Pendidikan Dsn. Permai RT. 07 RW. 04</t>
  </si>
  <si>
    <t>73.685.636.0-704.000</t>
  </si>
  <si>
    <t>Saya Pernah Melaksanakan Sensus Penduduk di Tahun 2020</t>
  </si>
  <si>
    <t>Ieryn</t>
  </si>
  <si>
    <t>6102067009940001</t>
  </si>
  <si>
    <t>Bella</t>
  </si>
  <si>
    <t>renitaisabella156@gmail.com</t>
  </si>
  <si>
    <t>Jalan raya sui.pinggan.Rt 002/RW 001 Dusun Toho Ilir</t>
  </si>
  <si>
    <t>60.569.165.8-704.000</t>
  </si>
  <si>
    <t>Saya sudah berpengalaman dalam bidang pendataan, dan sudah menjadi Mitra BPS dari tahun 2021.</t>
  </si>
  <si>
    <t>Bella94</t>
  </si>
  <si>
    <t>6102184301970003</t>
  </si>
  <si>
    <t>Bella Amalia</t>
  </si>
  <si>
    <t>bellaamalia03@gmail.com</t>
  </si>
  <si>
    <t>Jl. Adiwijaya Desa Antibar RT 004 RW 002</t>
  </si>
  <si>
    <t>39.825.388.0-704.000</t>
  </si>
  <si>
    <t>Ibu Rumah Tangga</t>
  </si>
  <si>
    <t>Yth, Bapak/Ibu Pimpinan, Perkenalkan nama saya Bella Amalia, Saya pernah menjadi petugas untuk kegiatan Regsosek 2022 di BPS Mempawah, Saya berminat untuk menjadi bagian anggota Mitra BPS, Atas kesempatan dan perhatiannya saya ucapkan terimakasih.</t>
  </si>
  <si>
    <t>Bella_Amalia</t>
  </si>
  <si>
    <t>6102162005960001</t>
  </si>
  <si>
    <t>Bernadus Supranoto</t>
  </si>
  <si>
    <t>bernadussupranoto@gmail.com</t>
  </si>
  <si>
    <t>Jl.Kp Baru Dusun ll, Rt/Rw 007/002, Desa Pak Bulu, kec Anjongan</t>
  </si>
  <si>
    <t>Wirasuasta</t>
  </si>
  <si>
    <t>Anggota</t>
  </si>
  <si>
    <t>bernadus1</t>
  </si>
  <si>
    <t>6102184108020005</t>
  </si>
  <si>
    <t>Bintang Az-zahra</t>
  </si>
  <si>
    <t>bintangazzahra60@gmail.com</t>
  </si>
  <si>
    <t>Jalan Bardannadi Desa Antibar</t>
  </si>
  <si>
    <t>53.442.496.5-704.000</t>
  </si>
  <si>
    <t>Bntg.</t>
  </si>
  <si>
    <t>6171041609990005</t>
  </si>
  <si>
    <t>Chairul Ikbal</t>
  </si>
  <si>
    <t>chairulikbal3kece@gmail.com</t>
  </si>
  <si>
    <t>Jalan Khatulistiwa. Gang Karya Bakti 7</t>
  </si>
  <si>
    <t>90.315.973.9-707.000</t>
  </si>
  <si>
    <t>Saya adalah anak ketiga dari tiga bersaudara dan saat ini berumur 24 tahun. Perkenalkan saya Chairul Ikbal, lulusan SMA Negri 5 Pontianak Tahun 2017. Saya memiliki pengalaman kerja di toko buku, gudang, dan logistik. Saya mempunyai skill dasar Microsoft</t>
  </si>
  <si>
    <t>Chairulikbal</t>
  </si>
  <si>
    <t>6102085307020001</t>
  </si>
  <si>
    <t>Charlie Jul Ervina</t>
  </si>
  <si>
    <t>charlie.jul.ervina@gmail.com</t>
  </si>
  <si>
    <t>Jalan Darma Usaha</t>
  </si>
  <si>
    <t>charlie_vina7</t>
  </si>
  <si>
    <t>6171050512830009</t>
  </si>
  <si>
    <t>Christian ramli</t>
  </si>
  <si>
    <t>Christianramli1983@gmail.com</t>
  </si>
  <si>
    <t>Dusun v desa nusapati rt 002 re 009</t>
  </si>
  <si>
    <t>Kurir</t>
  </si>
  <si>
    <t>Saya punya pengalaman menjadi pengawas operator produksi di PT Kalimantan Kelapa Jaya</t>
  </si>
  <si>
    <t>Christianramli</t>
  </si>
  <si>
    <t>6102086001990002</t>
  </si>
  <si>
    <t>Cici</t>
  </si>
  <si>
    <t>cessaandani@gmail.com</t>
  </si>
  <si>
    <t>jalan raya wajok hulu, Gang. sungai durian</t>
  </si>
  <si>
    <t>tidak ada</t>
  </si>
  <si>
    <t>Saya siap mengikuti seluruh kegiatan yg akan di laksanakan</t>
  </si>
  <si>
    <t>Cicisafitri99</t>
  </si>
  <si>
    <t>6102074203010007</t>
  </si>
  <si>
    <t>CICI PURNAMASARI</t>
  </si>
  <si>
    <t>Cicipurnamasari7771@gmail.com</t>
  </si>
  <si>
    <t>Jj pendidikan gg alibaba Rt 006 Rw 003</t>
  </si>
  <si>
    <t>Mengumpulkan data statistik yang akurat dan berkualitas sesuai dengan target waktu yg ditentukan</t>
  </si>
  <si>
    <t>Cicipurnamasari</t>
  </si>
  <si>
    <t>6102075502010001</t>
  </si>
  <si>
    <t>Cici WAHYUNI</t>
  </si>
  <si>
    <t>ciciw530@gmail.com</t>
  </si>
  <si>
    <t>Jalan Gunung</t>
  </si>
  <si>
    <t>Cici_wahyuni</t>
  </si>
  <si>
    <t>6102124802040002</t>
  </si>
  <si>
    <t>Cindy Alya</t>
  </si>
  <si>
    <t>alyacindy87@gmail.com</t>
  </si>
  <si>
    <t>sungai limau,dusun pembangunan</t>
  </si>
  <si>
    <t>cindyalya</t>
  </si>
  <si>
    <t>6102186804800002</t>
  </si>
  <si>
    <t>Citra Eka Sari</t>
  </si>
  <si>
    <t>citraekasari28@gmail.com</t>
  </si>
  <si>
    <t>Jalan Bardannadi RT.011 RW 003</t>
  </si>
  <si>
    <t>65.759.211.9-704.000</t>
  </si>
  <si>
    <t>Anjungan28</t>
  </si>
  <si>
    <t>6102125212990005</t>
  </si>
  <si>
    <t>Dandini Damayanti</t>
  </si>
  <si>
    <t>dandini1212.99@gmail.com</t>
  </si>
  <si>
    <t>Jl. Nelayan RT 02 RW 01 Dusun Mandala Desa Mendalok</t>
  </si>
  <si>
    <t>96.065.350.9-704.000</t>
  </si>
  <si>
    <t>Saling membantu dalam tim dan bekerja dengan sungguh-sungguh</t>
  </si>
  <si>
    <t>dandiyanti12</t>
  </si>
  <si>
    <t>6102082010980003</t>
  </si>
  <si>
    <t>Dandy</t>
  </si>
  <si>
    <t>dandyrvl20@gmail.com</t>
  </si>
  <si>
    <t>Jln raya peniti luar</t>
  </si>
  <si>
    <t>41.068.063.1-704.000</t>
  </si>
  <si>
    <t>Dandyy</t>
  </si>
  <si>
    <t>6102180101900003</t>
  </si>
  <si>
    <t>Darul muslim</t>
  </si>
  <si>
    <t>muslimfaqih23@gmail.com</t>
  </si>
  <si>
    <t>Jl. Parit banjar</t>
  </si>
  <si>
    <t>Muslimfaqih</t>
  </si>
  <si>
    <t>6171046603970015</t>
  </si>
  <si>
    <t>DAYDA MARETA</t>
  </si>
  <si>
    <t>daydamareta29@gmail.com</t>
  </si>
  <si>
    <t>Jl. SMPN 04</t>
  </si>
  <si>
    <t>95.497.373.1-704.000</t>
  </si>
  <si>
    <t>Saya dulu pernah menjadi petugas sensus ekonomi di Tahun 2016</t>
  </si>
  <si>
    <t>dayda26</t>
  </si>
  <si>
    <t>6108024905980003</t>
  </si>
  <si>
    <t>Dea Maiya Astari</t>
  </si>
  <si>
    <t>deamaiyaastari@gmail.com</t>
  </si>
  <si>
    <t>Jalan A Rani</t>
  </si>
  <si>
    <t>62.479.989.6-704.000</t>
  </si>
  <si>
    <t>Saya ingin berkerja sama dengan tim yang lain dan ingin memanfaatkan ilmu saya.</t>
  </si>
  <si>
    <t>Maiya0905</t>
  </si>
  <si>
    <t>6102010412920004</t>
  </si>
  <si>
    <t>Deby Yuliansyah</t>
  </si>
  <si>
    <t>debyy32@gmail.com</t>
  </si>
  <si>
    <t>Jl. Raden Kusno RT 26 RW 03</t>
  </si>
  <si>
    <t>90.619.015.2-704.000</t>
  </si>
  <si>
    <t>Honorer</t>
  </si>
  <si>
    <t>Bersedia ditempatkan di shift pagi/malam (diutamakan malam) dan siap untuk bekerjasama dengan tim dalam mengolah data, entri data maupun Receiving Batching</t>
  </si>
  <si>
    <t>deby4</t>
  </si>
  <si>
    <t>6102156611010002</t>
  </si>
  <si>
    <t>Dede sri delvey</t>
  </si>
  <si>
    <t>dedesridelvi009@gmail.com</t>
  </si>
  <si>
    <t>Jalan raya sungai purun besar</t>
  </si>
  <si>
    <t>Delvi009_</t>
  </si>
  <si>
    <t>6102184605990002</t>
  </si>
  <si>
    <t>Dela Anggraini</t>
  </si>
  <si>
    <t>delaanggr28@gmail.com</t>
  </si>
  <si>
    <t>Jl. Bardannadi, RT/RW 008/003, Desa Antibar, Mempawah Timur</t>
  </si>
  <si>
    <t>belum bekerja</t>
  </si>
  <si>
    <t>delaanggr</t>
  </si>
  <si>
    <t>5206021612950001</t>
  </si>
  <si>
    <t>Deri fadli</t>
  </si>
  <si>
    <t>dhery.fhadly@gmail.com</t>
  </si>
  <si>
    <t>Dusun Mufakat Desa Sungai Kunyit Laut rt 11 rw 05</t>
  </si>
  <si>
    <t>Tenaga honorer</t>
  </si>
  <si>
    <t>Deri.f</t>
  </si>
  <si>
    <t>6102012912020001</t>
  </si>
  <si>
    <t>Dermawansyah</t>
  </si>
  <si>
    <t>ikanbawals12@gmail.com</t>
  </si>
  <si>
    <t>Jalan Bawal 1</t>
  </si>
  <si>
    <t>Waiters Cafe</t>
  </si>
  <si>
    <t>Siap menjadi anggota BPS Mempawah</t>
  </si>
  <si>
    <t>Wann12</t>
  </si>
  <si>
    <t>6102085112010002</t>
  </si>
  <si>
    <t>Desi</t>
  </si>
  <si>
    <t>Desii5737@gmail.com</t>
  </si>
  <si>
    <t>Jl teluk dalam</t>
  </si>
  <si>
    <t>Pernah bekerja sebagai admin lapangan</t>
  </si>
  <si>
    <t>Saya pernah bekerja di pt. Ramayan lestari senotosa sebagai spg pada tahun 2020-2021, dan saya juga pernah bekerja di pt.steadfast marine sebagai admin lapangan pada tahun 2021-2023</t>
  </si>
  <si>
    <t>I5737</t>
  </si>
  <si>
    <t>6102066912860001</t>
  </si>
  <si>
    <t>Desi Natalia</t>
  </si>
  <si>
    <t>realmedesi8@gmail.com</t>
  </si>
  <si>
    <t>Pak kadu, RT/RW:011/001</t>
  </si>
  <si>
    <t>Desi_Natalia</t>
  </si>
  <si>
    <t>6102065012950003</t>
  </si>
  <si>
    <t>DESTA DARA AYU LESTARI, S.Pd</t>
  </si>
  <si>
    <t>tdes907@gmail.com</t>
  </si>
  <si>
    <t>Desa Sepang, RT 002/ RW 001, Kecamatan Toho, Kabupaten Mempawah</t>
  </si>
  <si>
    <t>63.908.789.9-704.000</t>
  </si>
  <si>
    <t>Nothing</t>
  </si>
  <si>
    <t>Destadara</t>
  </si>
  <si>
    <t>6102016712860001</t>
  </si>
  <si>
    <t>Deti erni widiastuti</t>
  </si>
  <si>
    <t>detierniwidiastuti27@gmail.com</t>
  </si>
  <si>
    <t>Parit wak paik rt012 rw 003</t>
  </si>
  <si>
    <t>15.264.441.5-704.000</t>
  </si>
  <si>
    <t>Nihil</t>
  </si>
  <si>
    <t>detierniwidiastuti27@gmail.cm</t>
  </si>
  <si>
    <t>6102014411000002</t>
  </si>
  <si>
    <t>Devi Permatasari</t>
  </si>
  <si>
    <t>deviprmtsari54@gmail.com</t>
  </si>
  <si>
    <t>Jln M Thaha Mengkacak Rt 029 Rw 001</t>
  </si>
  <si>
    <t>lainnya</t>
  </si>
  <si>
    <t>Devipermatasari04</t>
  </si>
  <si>
    <t>6102066608980002</t>
  </si>
  <si>
    <t>Dewi Krisdayanti</t>
  </si>
  <si>
    <t>dewi.krisdayanti08@gmail.com</t>
  </si>
  <si>
    <t>Desa Toho Ilir RT 011/ RW 004</t>
  </si>
  <si>
    <t>95.556.071.9-704.000</t>
  </si>
  <si>
    <t>Dewikrisdayantibps</t>
  </si>
  <si>
    <t>6102014412060001</t>
  </si>
  <si>
    <t>Dhea Nurul Hidayah</t>
  </si>
  <si>
    <t>dheanrlhdyh@gmail.com</t>
  </si>
  <si>
    <t>Jalan Gusti Sulung Lelanang</t>
  </si>
  <si>
    <t>Saya merupakan mahasiswa dari sekolah tinggi agama islam mempawah jurusan pendidikan agama islam. Meski jurusan saya tidak terlalu linear dengan posisi yang saya lamar tapi saya punya minat besar dalam bekerjasama membangun kemajuan pemerintah setempat.</t>
  </si>
  <si>
    <t>Dheanh</t>
  </si>
  <si>
    <t>6102150511020002</t>
  </si>
  <si>
    <t>Dicky Rahman</t>
  </si>
  <si>
    <t>dickyrahman.ppdt@gmail.com</t>
  </si>
  <si>
    <t>Jl. Pelita RT 21 RW 08</t>
  </si>
  <si>
    <t>Dicky_Rahman</t>
  </si>
  <si>
    <t>6102084903040001</t>
  </si>
  <si>
    <t>Difa faradifa</t>
  </si>
  <si>
    <t>difaptkk12@gmail.com</t>
  </si>
  <si>
    <t>jalan manunggal x RT 04 RW 05 Wajok hilir</t>
  </si>
  <si>
    <t>PENGALAMAN KERJA DI BADAN PUSAT STATISTIK KABUPATEN MEMPAWAH MENJADI PETUGAS PENDATAAN LAPANGAN REGSOSEK, ST2023, SAKERNAS AGUSTUS, DAN PL-KUMKM</t>
  </si>
  <si>
    <t>Difafaradifa_</t>
  </si>
  <si>
    <t>6102126705000001</t>
  </si>
  <si>
    <t>Dina Fitri Wahyuni</t>
  </si>
  <si>
    <t>dinafitri00@gmail.com</t>
  </si>
  <si>
    <t>Dusun Hidayah Desa Semparong Parit Raden</t>
  </si>
  <si>
    <t>Pernah menjadi petugas lapangan pendataan awal sensus pertanian 2023 dan sensus PL-KUMKM 2023</t>
  </si>
  <si>
    <t>Dinafitri_wahyuni</t>
  </si>
  <si>
    <t>6102184908980001</t>
  </si>
  <si>
    <t>DINDA AGUS TRIANA</t>
  </si>
  <si>
    <t>dindaagustriana362@gmail.com</t>
  </si>
  <si>
    <t>Jl Umar kiting RT 008 RW 003</t>
  </si>
  <si>
    <t>dindaagustriana</t>
  </si>
  <si>
    <t>6102162901020001</t>
  </si>
  <si>
    <t>Dodi Kurniawan</t>
  </si>
  <si>
    <t>dodikurnia2901@gmail.com</t>
  </si>
  <si>
    <t>Jalan anjongan desa kepayang</t>
  </si>
  <si>
    <t>50.325.120.9-704.000</t>
  </si>
  <si>
    <t>Pelihara ikan</t>
  </si>
  <si>
    <t>Pernah ikut serta dalam sensus ekonomi di tahun 2022 dan ingin melanjutkan kegiatan yang jika di berikan kesempatan di tahun 2024 ini.</t>
  </si>
  <si>
    <t>Dodi_kurniawan</t>
  </si>
  <si>
    <t>6102064804980002</t>
  </si>
  <si>
    <t>Domina Apriwinda</t>
  </si>
  <si>
    <t>Dominaapri@gmail.com</t>
  </si>
  <si>
    <t>Desa sepang RT 002 RW 001</t>
  </si>
  <si>
    <t>Semoga diberi kesempatan untuk bergabung</t>
  </si>
  <si>
    <t>Dominaapriwinda</t>
  </si>
  <si>
    <t>6112021112860001</t>
  </si>
  <si>
    <t>Donatus Alin</t>
  </si>
  <si>
    <t>donatusalin976@gmail.com</t>
  </si>
  <si>
    <t>Dusun untang desa pentek kecamatan sadaniang</t>
  </si>
  <si>
    <t>Alin1234</t>
  </si>
  <si>
    <t>6102013007970003</t>
  </si>
  <si>
    <t>DUSSALAM</t>
  </si>
  <si>
    <t>dussalam1000@gmail.com</t>
  </si>
  <si>
    <t>PARIT SENIN RT.012 RW.006</t>
  </si>
  <si>
    <t>43.622.602.2-704.000</t>
  </si>
  <si>
    <t>Sudah Sesuai</t>
  </si>
  <si>
    <t>6102016904000002</t>
  </si>
  <si>
    <t>Dwi Afrianti</t>
  </si>
  <si>
    <t>vinadwia0400@gmail.com</t>
  </si>
  <si>
    <t>Dusun Suka Damai,Sengkubang,Mempawah Hilir</t>
  </si>
  <si>
    <t>Fresh Graduations</t>
  </si>
  <si>
    <t>vhinaa</t>
  </si>
  <si>
    <t>6102161010910002</t>
  </si>
  <si>
    <t>Dwi oktavianto</t>
  </si>
  <si>
    <t>dwioktavianto1010@gmail.com</t>
  </si>
  <si>
    <t>Jl habib husin RT 01 RW 01</t>
  </si>
  <si>
    <t>Bisa berbaur dengan lingkungan masyarakat serta bisa bekerja dalam team</t>
  </si>
  <si>
    <t>dwioktavianto</t>
  </si>
  <si>
    <t>6102181506910005</t>
  </si>
  <si>
    <t>Edi purnomo</t>
  </si>
  <si>
    <t>putri.edy1509@gmail.com</t>
  </si>
  <si>
    <t>Jalan Bina Karya Rt 004 Rw 002</t>
  </si>
  <si>
    <t>Buruh harian lepas</t>
  </si>
  <si>
    <t>Edi.purnomo</t>
  </si>
  <si>
    <t>6102085901990004</t>
  </si>
  <si>
    <t>Ela Hamdari</t>
  </si>
  <si>
    <t>elahamdari@student.untan.ac.id</t>
  </si>
  <si>
    <t>Jl Parit H.Usman Jungkat</t>
  </si>
  <si>
    <t>Mengikuti kegiatan bps mulai dari survey pemuktahiran pertanian sampai pl-kumkm</t>
  </si>
  <si>
    <t>elahamdari19</t>
  </si>
  <si>
    <t>6102165612000001</t>
  </si>
  <si>
    <t>eligia giok</t>
  </si>
  <si>
    <t>eligiagiok2000@gmail.com</t>
  </si>
  <si>
    <t>Dusun Pinyuh Kersik, RT/RW 006/003 Desa Dema , Kec. Anjongan , Kab. mempawah</t>
  </si>
  <si>
    <t>Saya Eligia giok, mahasiswa lulusan universitas bina sarana informatika pontianak, diploma Tiga jurusan sistem informasi. Semoga saya bisa diterima untuk bergabung bersama mitra bps. atas waktu dan kesempatannya saya ucapkan terimakasih.</t>
  </si>
  <si>
    <t>6102075902030002</t>
  </si>
  <si>
    <t>Ella febriyanti</t>
  </si>
  <si>
    <t>febriyantiella1@gmail.com</t>
  </si>
  <si>
    <t>Sungai Pinyuh</t>
  </si>
  <si>
    <t>ellafebri</t>
  </si>
  <si>
    <t>6102065701940003</t>
  </si>
  <si>
    <t>ELMA</t>
  </si>
  <si>
    <t>elma180320@gmail.com</t>
  </si>
  <si>
    <t>Desa kecurit</t>
  </si>
  <si>
    <t>Saya Elma, saya aktif di kegiatan sosial seperti posyandu dan kpm desa kecurit. Saya banyak mengikuti kegiatan yang di ada di kabupaten mempawah saya pernah menjadi kader TBC menjadi anggota pantarlih, kpps dll. Dan saya mampu menjadi bagian dari BPS.</t>
  </si>
  <si>
    <t>elma_natalia1799</t>
  </si>
  <si>
    <t>6102120510950002</t>
  </si>
  <si>
    <t>Elman</t>
  </si>
  <si>
    <t>elmanlubis10@gmail.com</t>
  </si>
  <si>
    <t>RT 10 RW 03 Dusun Sekip 1 Desa Sungai Kunyit Hulu</t>
  </si>
  <si>
    <t>elmanlubis</t>
  </si>
  <si>
    <t>6102184404930001</t>
  </si>
  <si>
    <t>Endang hidayah</t>
  </si>
  <si>
    <t>Hidayahendang9@gmail.com</t>
  </si>
  <si>
    <t>Dusun benteng timur rt 018 rw 003 desa sungai bakau kecil</t>
  </si>
  <si>
    <t>70.986.924.2-704.000</t>
  </si>
  <si>
    <t>Pengisian data sobat bps</t>
  </si>
  <si>
    <t>Aiszya</t>
  </si>
  <si>
    <t>6106016106890001</t>
  </si>
  <si>
    <t>Eni Endah hayati</t>
  </si>
  <si>
    <t>endahhayati1989@gmail.com</t>
  </si>
  <si>
    <t>Jalan daeng manambon komplek Kana resident no.b1</t>
  </si>
  <si>
    <t>96.181.457.1-704.000</t>
  </si>
  <si>
    <t>Sebelumnya pernah mengikuti survei kesehatan Indonesia tahun 2023</t>
  </si>
  <si>
    <t>Eniendahhayati</t>
  </si>
  <si>
    <t>6102185310970005</t>
  </si>
  <si>
    <t>Eni Putri</t>
  </si>
  <si>
    <t>eniputri792@gmail.com</t>
  </si>
  <si>
    <t>Jalan Parit Banjar Rt 005 Rw 003</t>
  </si>
  <si>
    <t>Swasta ( Administrasi di Perusahaan )</t>
  </si>
  <si>
    <t>Pengalaman Kerja :
 Administrasi mampu menggunakan 
 1. microsoft excel
 2 microsoft word
 3. microsoft power point</t>
  </si>
  <si>
    <t>eniputri13</t>
  </si>
  <si>
    <t>6102074110020002</t>
  </si>
  <si>
    <t>ENJEL HARINI OKTOBERIYANY</t>
  </si>
  <si>
    <t>enjelharini@gmail.com</t>
  </si>
  <si>
    <t>GG KARYA BAKTI RT-RW 017/009</t>
  </si>
  <si>
    <t>Mahasiswa</t>
  </si>
  <si>
    <t>Enjel011</t>
  </si>
  <si>
    <t>6102164911970002</t>
  </si>
  <si>
    <t>eny rohyati</t>
  </si>
  <si>
    <t>rohyatieny@gmail.com</t>
  </si>
  <si>
    <t>SURYA BINA JAYA / BARAK MOTON TINGGI</t>
  </si>
  <si>
    <t>39.782.328.7-704.000</t>
  </si>
  <si>
    <t>ADMIN</t>
  </si>
  <si>
    <t>Saya merupakan lulusan s1 Sarjana Sains Universitas Tanjungpura, pengelaman kerja saya sebagai admin di perusahaan swasta. Selama 2 tahun saya pernah menjadi Pendamping Desa yaitu sebagai akses Pemberdayaan masyarakat Desa Sungai deras kubu Raya</t>
  </si>
  <si>
    <t>eny12345</t>
  </si>
  <si>
    <t>3318026011950001</t>
  </si>
  <si>
    <t>Erlina Rivonni Kristiyanti</t>
  </si>
  <si>
    <t>erlinarivonni@gmail.com</t>
  </si>
  <si>
    <t>BTN BHAYANGKARA ASRI BLOK K NO 2</t>
  </si>
  <si>
    <t>75.176.518.1-516.000</t>
  </si>
  <si>
    <t>saya sudah pernah mengikuti sensus penduduk tahun 2020 di BPS Salatiga dan Long Form SP2020 di BPS Salatiga saya juga pernah mengikut ST2023 di BPS Jepara</t>
  </si>
  <si>
    <t>erlina_rivonni</t>
  </si>
  <si>
    <t>6102016512980004</t>
  </si>
  <si>
    <t>Ermi Tiyarni</t>
  </si>
  <si>
    <t>ermitiyarni089@gmail.com</t>
  </si>
  <si>
    <t>Jalan merpati BTN Sebukit indah Blok A17</t>
  </si>
  <si>
    <t>Jualan online</t>
  </si>
  <si>
    <t>Ermi_Tiyarni</t>
  </si>
  <si>
    <t>6102075407950004</t>
  </si>
  <si>
    <t>Erna</t>
  </si>
  <si>
    <t>ernaer753@gmail.com</t>
  </si>
  <si>
    <t>Jln.aswar sui bakau besar laut kec.sui pinyuh kab.mempawah</t>
  </si>
  <si>
    <t>Pernah ikut sensus Pertanian , Regsosek , Sakernas</t>
  </si>
  <si>
    <t>Ernaer</t>
  </si>
  <si>
    <t>6108016306920002</t>
  </si>
  <si>
    <t>Erni rahayu</t>
  </si>
  <si>
    <t>Ernir2007@gmail.com</t>
  </si>
  <si>
    <t>RT.09 RW.02 Dusun Taruna Desa Sungai Duri Il</t>
  </si>
  <si>
    <t>Pengalaman:
 SITASI
 SP LF2020
 REGSOSEK
 ST 2023
 PLKUMKM</t>
  </si>
  <si>
    <t>Ayu_230692</t>
  </si>
  <si>
    <t>6102155405820004</t>
  </si>
  <si>
    <t>Erwita</t>
  </si>
  <si>
    <t>erwitawita36@gmail.com</t>
  </si>
  <si>
    <t>Tepi Kapuas RT.011/RW.008</t>
  </si>
  <si>
    <t>85.898.947.8-704.000</t>
  </si>
  <si>
    <t>Sensus pertanian 2023 BPS Kabupaten Mempawah</t>
  </si>
  <si>
    <t>Erwita123</t>
  </si>
  <si>
    <t>6171034405870507</t>
  </si>
  <si>
    <t>Etri warniyah, A.Md.KG</t>
  </si>
  <si>
    <t>etri.azharie@gmail.com</t>
  </si>
  <si>
    <t>Jl.Raya sungai nipah no. 44 RT.017 RW.004</t>
  </si>
  <si>
    <t>61.663.191.7-704.000</t>
  </si>
  <si>
    <t>Saya siap di tempatkan kerja dimana saja</t>
  </si>
  <si>
    <t>etri87</t>
  </si>
  <si>
    <t>6102065506980001</t>
  </si>
  <si>
    <t>Eva Fitria</t>
  </si>
  <si>
    <t>evafitria285@gmail.com</t>
  </si>
  <si>
    <t>Kecurit, RT/RW 001/001 KECAMATAN TOHO, KABUPATEN MEMPAWAH</t>
  </si>
  <si>
    <t>Belum berkerja</t>
  </si>
  <si>
    <t>Saya pernah ikut mendata SDGS program desa</t>
  </si>
  <si>
    <t>Evafitria2332</t>
  </si>
  <si>
    <t>6102165101840001</t>
  </si>
  <si>
    <t>EVI JUNIARTY</t>
  </si>
  <si>
    <t>evikelurahan@gmail.com</t>
  </si>
  <si>
    <t>Jl.Anjungan Melancar Rt.011 Rw.004</t>
  </si>
  <si>
    <t>83.947.210.7-704.000</t>
  </si>
  <si>
    <t>Pendaftaran Perekrutan Mitra BPS 2024</t>
  </si>
  <si>
    <t>EVIJUNIARTY</t>
  </si>
  <si>
    <t>6102074208960002</t>
  </si>
  <si>
    <t>EVI NURJANAH</t>
  </si>
  <si>
    <t>evinurjanah0829@gmail.com</t>
  </si>
  <si>
    <t>NUSAPATI DUSUN II</t>
  </si>
  <si>
    <t>92.322.732.6-704.000</t>
  </si>
  <si>
    <t>Evinurjanah</t>
  </si>
  <si>
    <t>6102156504000001</t>
  </si>
  <si>
    <t>Evi setiana</t>
  </si>
  <si>
    <t>evisetianaoke@gmail.com</t>
  </si>
  <si>
    <t>Jl parit ambo pinang peniti dalam 1</t>
  </si>
  <si>
    <t>Evi2504</t>
  </si>
  <si>
    <t>6102064501020003</t>
  </si>
  <si>
    <t>Evinta</t>
  </si>
  <si>
    <t>efintapolteqtp@gmail.com</t>
  </si>
  <si>
    <t>Jl. Orek</t>
  </si>
  <si>
    <t>6102011604930002</t>
  </si>
  <si>
    <t>Fachrur Rozi</t>
  </si>
  <si>
    <t>fachrurrozyganteng@gmail.com</t>
  </si>
  <si>
    <t>Jl. Handayani 1 BTN Korpri Permai Blok B. 11 RT 015/ RW 006</t>
  </si>
  <si>
    <t>95.383.258.1-704.000</t>
  </si>
  <si>
    <t>Guru honorer di Pondok Pesantren</t>
  </si>
  <si>
    <t>Bismillah</t>
  </si>
  <si>
    <t>rozy1604</t>
  </si>
  <si>
    <t>6102016709010003</t>
  </si>
  <si>
    <t>Fairuztia Atiqah Putri</t>
  </si>
  <si>
    <t>fairuztia72@gmail.com</t>
  </si>
  <si>
    <t>Jl. Kutilang BTN Sebukit Indah Mempawah</t>
  </si>
  <si>
    <t>Pengalaman Kerja :
 1. Pernah Mengikuti Pengolahan Regsosek
 2. Pernah Mengikuti Pengolahan Susenas
 3. Pernah Mengikuti Pengolahan ST2023
 4. PL-KUMKM</t>
  </si>
  <si>
    <t>fairuztiaatiqah</t>
  </si>
  <si>
    <t>6112022704940002</t>
  </si>
  <si>
    <t>Fatihudin</t>
  </si>
  <si>
    <t>fatihuddinal123@gmail.com</t>
  </si>
  <si>
    <t>Desa sungai rasau</t>
  </si>
  <si>
    <t>Semoga bise bergabung menjadi anggota bps</t>
  </si>
  <si>
    <t>Fatihudinn</t>
  </si>
  <si>
    <t>6102126004970005</t>
  </si>
  <si>
    <t>Fatimah adeliya</t>
  </si>
  <si>
    <t>edhoadeliya@gmail.com</t>
  </si>
  <si>
    <t>Jln.sungai duri 1 kec sungai kunyit kab mempawah RT/RW/001/001</t>
  </si>
  <si>
    <t>41.078.506.7-704.000</t>
  </si>
  <si>
    <t>mohon maaf kak saya sementara pakai SKL soalnya ijazah asli belum keluar</t>
  </si>
  <si>
    <t>Adeliyaa</t>
  </si>
  <si>
    <t>6102075007830003</t>
  </si>
  <si>
    <t>Fatmawati,S.Hut</t>
  </si>
  <si>
    <t>fatmawatibahar3@gmail.com</t>
  </si>
  <si>
    <t>Jl. Mahad RT.06/RW.02 Desa Sungai Bakau Besar Laut</t>
  </si>
  <si>
    <t>67.515.020.5-701.000</t>
  </si>
  <si>
    <t>Selain ikut kegiatan ST dan Susenas,, saya juga pernah ikut kegiatan Regsosek, Seruti Triwulan dan kegiatan SKP.</t>
  </si>
  <si>
    <t>Fatmawati83</t>
  </si>
  <si>
    <t>6102185209990003</t>
  </si>
  <si>
    <t>fenti indria febrianti</t>
  </si>
  <si>
    <t>fentiindriafebrianti@gmail.com</t>
  </si>
  <si>
    <t>Jalan Bardannadi</t>
  </si>
  <si>
    <t>63.939.098.8-704.000</t>
  </si>
  <si>
    <t>Indria_febrianti</t>
  </si>
  <si>
    <t>6102150412880001</t>
  </si>
  <si>
    <t>Feri Firdaus</t>
  </si>
  <si>
    <t>maulaalkafi48992@gmail.com</t>
  </si>
  <si>
    <t>Jln Raya sungai burung</t>
  </si>
  <si>
    <t>60.430.752.0-704.000</t>
  </si>
  <si>
    <t>PKL</t>
  </si>
  <si>
    <t>Maulaalkafi</t>
  </si>
  <si>
    <t>6102010101000002</t>
  </si>
  <si>
    <t>Fikri Ardiansyah</t>
  </si>
  <si>
    <t>fikriard.official@gmail.com</t>
  </si>
  <si>
    <t>Jalan Raya Sengkubang, Dusun Suka Damai</t>
  </si>
  <si>
    <t>62.196.131.7-704.000</t>
  </si>
  <si>
    <t>Freelance dan Homecare</t>
  </si>
  <si>
    <t>Pengalaman saya untuk survei yaitu pernah mengikuti Survei Kesehatan Indonesia (SKI) yang bekerjasama dengan BPS</t>
  </si>
  <si>
    <t>Fikriardiansyah</t>
  </si>
  <si>
    <t>6102072002020002</t>
  </si>
  <si>
    <t>FIKRI NABIL</t>
  </si>
  <si>
    <t>fikrinabil6789@gmail.com</t>
  </si>
  <si>
    <t>JL RAYA SUI BATANG RT 001 RW 002</t>
  </si>
  <si>
    <t>FIKRI-NABIL</t>
  </si>
  <si>
    <t>6102124206950002</t>
  </si>
  <si>
    <t>Fitria</t>
  </si>
  <si>
    <t>Bunddaasty12@gmail.com</t>
  </si>
  <si>
    <t>Dusun Sekip II RT 006 RW 002 Desa Sungai Kunyit Hulu</t>
  </si>
  <si>
    <t>39.074.065.2-704.000</t>
  </si>
  <si>
    <t>pedagang online</t>
  </si>
  <si>
    <t>Fitriamanaf</t>
  </si>
  <si>
    <t>6102126206950001</t>
  </si>
  <si>
    <t>Fitrianis</t>
  </si>
  <si>
    <t>fitrianis695@gmail.com</t>
  </si>
  <si>
    <t>dusun tenang desa sungai kunyit laut Rt/Rw : 004/002 Desa sungai kunyit laut kecamatan sungai kunyit</t>
  </si>
  <si>
    <t>fitrianis695</t>
  </si>
  <si>
    <t>6102066811990001</t>
  </si>
  <si>
    <t>Fitrisia Yessi</t>
  </si>
  <si>
    <t>fitrisiayessi913@gmail.com</t>
  </si>
  <si>
    <t>Jl.benuang, desa benuang, RT 05 RW 02</t>
  </si>
  <si>
    <t>Fitrisia-yessi</t>
  </si>
  <si>
    <t>6102185903020004</t>
  </si>
  <si>
    <t>Fladila Saswita</t>
  </si>
  <si>
    <t>fladilasaswitaa@gmail.com</t>
  </si>
  <si>
    <t>Jl. Adwijaya Pulau Pedalaman</t>
  </si>
  <si>
    <t>Mampu bekerja dalam team</t>
  </si>
  <si>
    <t>Fladilasaswita</t>
  </si>
  <si>
    <t>6107036103910001</t>
  </si>
  <si>
    <t>Fransiska romana</t>
  </si>
  <si>
    <t>romanafransiska81@gmail.com</t>
  </si>
  <si>
    <t>Toho ilir</t>
  </si>
  <si>
    <t>mikael1987</t>
  </si>
  <si>
    <t>6102165809930001</t>
  </si>
  <si>
    <t>Geosef Triyana</t>
  </si>
  <si>
    <t>geoseftryanawawa@gmail.com</t>
  </si>
  <si>
    <t>Jalan anjungan melancar</t>
  </si>
  <si>
    <t>00.000.000.0-000.000</t>
  </si>
  <si>
    <t>Geosef</t>
  </si>
  <si>
    <t>6102166112020001</t>
  </si>
  <si>
    <t>Gini Aulia</t>
  </si>
  <si>
    <t>giniaulia37@gmail.com</t>
  </si>
  <si>
    <t>Jalan raya Anjongan, Bilado samping GM</t>
  </si>
  <si>
    <t>saya memiliki kesehatan jasmani dan rohani , mampu bekerja sama dalam tim mau pun individu , dan semog saya bisa bergabung dan di terima disini.</t>
  </si>
  <si>
    <t>Giniaulia</t>
  </si>
  <si>
    <t>6102121609990001</t>
  </si>
  <si>
    <t>Gunawan</t>
  </si>
  <si>
    <t>agun7766@gmail.com</t>
  </si>
  <si>
    <t>Jl. Poros rt.02/rw.01</t>
  </si>
  <si>
    <t>menjadi mitra di sungai kunyit menjadi petugas lapangan</t>
  </si>
  <si>
    <t>Gunawan16</t>
  </si>
  <si>
    <t>6102183008770001</t>
  </si>
  <si>
    <t>Gusti effendi</t>
  </si>
  <si>
    <t>gustiefendi77@gmail.com</t>
  </si>
  <si>
    <t>Jln.Habib husin</t>
  </si>
  <si>
    <t>75.933.651.4-704.000</t>
  </si>
  <si>
    <t>Gusti_effendi</t>
  </si>
  <si>
    <t>6102085507770004</t>
  </si>
  <si>
    <t>Gustiani</t>
  </si>
  <si>
    <t>agusguatiani048@gmail.com</t>
  </si>
  <si>
    <t>Jalan parit Haji Usman Gg Harapan</t>
  </si>
  <si>
    <t>Kegiatan BPS Mempawah yang pernah saya ikuti yaitu Sensus penduduk lanjutan dan regsosek</t>
  </si>
  <si>
    <t>GUSTIANI</t>
  </si>
  <si>
    <t>6102074606010002</t>
  </si>
  <si>
    <t>Hafizah</t>
  </si>
  <si>
    <t>hafidzhaaa06@gmail.com</t>
  </si>
  <si>
    <t>Gang Family 2 RT 004/RW 02</t>
  </si>
  <si>
    <t>Semoga saya bisa mengikuti program selanjutnya yang ada di BPS kabupaten mempawah dan bekerja dengan sebaik-baiknya</t>
  </si>
  <si>
    <t>_Hafizah_</t>
  </si>
  <si>
    <t>6102184304950003</t>
  </si>
  <si>
    <t>Hafizh</t>
  </si>
  <si>
    <t>fizahh842@gmail.com</t>
  </si>
  <si>
    <t>Jalan Terajumas Rt 009 Rw 005</t>
  </si>
  <si>
    <t>82.580.556.7-704.000</t>
  </si>
  <si>
    <t>PERNAH IKUT SERUTI DAN UMKM</t>
  </si>
  <si>
    <t>fizah842</t>
  </si>
  <si>
    <t>6102072905940001</t>
  </si>
  <si>
    <t>Hairul Anwar</t>
  </si>
  <si>
    <t>hairulanwar639@gmail.com</t>
  </si>
  <si>
    <t>Dusun Mufakat RT 012 RW 006</t>
  </si>
  <si>
    <t>92.612.725.9-704.000</t>
  </si>
  <si>
    <t>Berpengalaman dalam pengentri regsosek BPS Kubu Raya dan pemetaan wilkerstat BPS Pontianak</t>
  </si>
  <si>
    <t>hairulanwar</t>
  </si>
  <si>
    <t>6102181201970001</t>
  </si>
  <si>
    <t>HAIRUSSOLEH</t>
  </si>
  <si>
    <t>choirussho77@gmail.com</t>
  </si>
  <si>
    <t>Jl. A. Hamid HS RT. 013 RW. 006</t>
  </si>
  <si>
    <t>60.703.633.2-704.000</t>
  </si>
  <si>
    <t>Bismillah di permudah oleh allah</t>
  </si>
  <si>
    <t>Hairussoleh</t>
  </si>
  <si>
    <t>6102155710840001</t>
  </si>
  <si>
    <t>Haminah</t>
  </si>
  <si>
    <t>Haminahsamsung@gmail.com</t>
  </si>
  <si>
    <t>Jln Amri HR RT 004 RW 002 SUNGAI BURUNG</t>
  </si>
  <si>
    <t>73.232.706.9-704.000</t>
  </si>
  <si>
    <t>Regsosek</t>
  </si>
  <si>
    <t>1212092309880001</t>
  </si>
  <si>
    <t>Handoko Tuah Sabarman Sipayung</t>
  </si>
  <si>
    <t>hans021216@gmail.com</t>
  </si>
  <si>
    <t>Pak Nogang</t>
  </si>
  <si>
    <t>Pekerjaan sensus atau survey sangat cocok bagi saya karena dapat bertemu dengan lebih banyak orang baru, bisa mengenal mereka lebih baik serta dapat berbagi pandangan yang baik tentang data statistik</t>
  </si>
  <si>
    <t>Hansipayung</t>
  </si>
  <si>
    <t>6102071410750004</t>
  </si>
  <si>
    <t>HARRY PURWANTO</t>
  </si>
  <si>
    <t>stefi.harry.1408@gmail.com</t>
  </si>
  <si>
    <t>Jalan Jurusan Anjungan Gang Tanjung No 03 Rt 02 Rw 02 Sungai Pinyuh</t>
  </si>
  <si>
    <t>58.821.302.5-701.000</t>
  </si>
  <si>
    <t>Terima Kasih masih dipercayakan bergabung menjadi Mitra Statistik.</t>
  </si>
  <si>
    <t>putri.harry</t>
  </si>
  <si>
    <t>6102073012990002</t>
  </si>
  <si>
    <t>Hasanuddin</t>
  </si>
  <si>
    <t>hasanalba909@gmail.com</t>
  </si>
  <si>
    <t>Jalan raya peniraman gg anyar</t>
  </si>
  <si>
    <t>Apa yang harus saya tingkatkan sehingga pihak terkait tidak menjadikan keputusan yang salah setelah merekrut saya sebagai bagian dari BPS Saya siap bekerja sama dan siap bekerja di bawah tekanan</t>
  </si>
  <si>
    <t>Hasan_alba</t>
  </si>
  <si>
    <t>6102072108990001</t>
  </si>
  <si>
    <t>Hasanul Bukhari</t>
  </si>
  <si>
    <t>hasanulbukhari10@gmail.com</t>
  </si>
  <si>
    <t>Jln Raya Nusapati, RT 001, RW 003</t>
  </si>
  <si>
    <t>39.800.300.4-704.000</t>
  </si>
  <si>
    <t>Tidak berkerja</t>
  </si>
  <si>
    <t>hasanulbukhari</t>
  </si>
  <si>
    <t>6101051303860001</t>
  </si>
  <si>
    <t>Hawasi</t>
  </si>
  <si>
    <t>hawasischatzi@gmail.com</t>
  </si>
  <si>
    <t>Jalan raya Jungkat RT 2 RW 1 no 20</t>
  </si>
  <si>
    <t>70.497.129.0-702.000</t>
  </si>
  <si>
    <t>siap bergabung</t>
  </si>
  <si>
    <t>6102011410940005</t>
  </si>
  <si>
    <t>Hendra</t>
  </si>
  <si>
    <t>hendraserekat@gmail.com</t>
  </si>
  <si>
    <t>Jl. Parit serikat, Desa Malikian</t>
  </si>
  <si>
    <t>96.282.417.3-707.000</t>
  </si>
  <si>
    <t>Karyawan swasta</t>
  </si>
  <si>
    <t>Saya pernah mengikuti sensus kesehatan lingkungan yang di adakan puskesmas, selama 1 program yaitu sekitar 1 bulan</t>
  </si>
  <si>
    <t>Hendra_13</t>
  </si>
  <si>
    <t>6102064505990003</t>
  </si>
  <si>
    <t>Henita</t>
  </si>
  <si>
    <t>henitaleniptk12@gmail.com</t>
  </si>
  <si>
    <t>Desa Terap, Dusun Dua Balah, RT 005 RW 003</t>
  </si>
  <si>
    <t>henita99</t>
  </si>
  <si>
    <t>6102074806970003</t>
  </si>
  <si>
    <t>HENY RAHAYU</t>
  </si>
  <si>
    <t>henyrahayu8697@gmail.com</t>
  </si>
  <si>
    <t>Sungai Pinyuh, Gang beringin RT 07 RW 02</t>
  </si>
  <si>
    <t>Freshgraduate</t>
  </si>
  <si>
    <t>Heny.Rahayu</t>
  </si>
  <si>
    <t>6107086009930002</t>
  </si>
  <si>
    <t>Herdinatara Febria</t>
  </si>
  <si>
    <t>Tara.ptcml@gmail.com</t>
  </si>
  <si>
    <t>Jalan Raya Jongkat Rt. 02 Rw.01 No.20</t>
  </si>
  <si>
    <t>90.231.998.7-702.000</t>
  </si>
  <si>
    <t>Siap menerima tugas dan menyelesaikan tugas.</t>
  </si>
  <si>
    <t>Tara_Febria20</t>
  </si>
  <si>
    <t>6102072503800001</t>
  </si>
  <si>
    <t>Herri Gustaman</t>
  </si>
  <si>
    <t>herigustamanmpw@gmail.coM</t>
  </si>
  <si>
    <t>Jl.Habib Husin rt 01 / rw 01</t>
  </si>
  <si>
    <t>Herrigustaman</t>
  </si>
  <si>
    <t>6102011910010001</t>
  </si>
  <si>
    <t>Heru Wiradinata</t>
  </si>
  <si>
    <t>heruhp8989@gmail.com</t>
  </si>
  <si>
    <t>JL. DR RUBINI, Komplek Khasanah NO.1 B, RT 021/ RW 007</t>
  </si>
  <si>
    <t>Freelance Desain</t>
  </si>
  <si>
    <t>Heru_Wiradinata</t>
  </si>
  <si>
    <t>6102074606020006</t>
  </si>
  <si>
    <t>Hesty Yuniarti</t>
  </si>
  <si>
    <t>hesty.yuniarti06@gmail.com</t>
  </si>
  <si>
    <t>Sungai Bakau Besar Laut RT 009 RW 004</t>
  </si>
  <si>
    <t>Saya adalah mahasiswa lulusan dari Politeknik Negeri Pontianak Jurusan Administrasi Bisnis. Saat ini Ijazah D3 saya belum keluar. Dalam kesempatan ini saya mendaftar menjadi petugas BPS karena ingin belajar dan mencari pengalaman kerja.</t>
  </si>
  <si>
    <t>hesyun06</t>
  </si>
  <si>
    <t>6102012902040001</t>
  </si>
  <si>
    <t>Hidayat</t>
  </si>
  <si>
    <t>ctrlhidayat88@gmail.com</t>
  </si>
  <si>
    <t>Jalan pematang sukun</t>
  </si>
  <si>
    <t>Hidayat_2924</t>
  </si>
  <si>
    <t>6102012611000001</t>
  </si>
  <si>
    <t>Hidayatus Shalihin</t>
  </si>
  <si>
    <t>hidayatmpw9@gmail.com</t>
  </si>
  <si>
    <t>Jalan karya tani desa penibung RT 001/RW 001</t>
  </si>
  <si>
    <t>40.330.473.6-704.000</t>
  </si>
  <si>
    <t>Saya bisa menggunakan word Excel dan powerpoint dengan baik,dan saya baik dalam berkomunikasi dengan masyarakat terimakasih ??</t>
  </si>
  <si>
    <t>Hidayat261</t>
  </si>
  <si>
    <t>6102082011000001</t>
  </si>
  <si>
    <t>HOIROL ABROR ROHMAN</t>
  </si>
  <si>
    <t>Khoirulabror2017@gmail.com</t>
  </si>
  <si>
    <t>Jalan Parit Baru Wajok Hulu RT 002 RW 002</t>
  </si>
  <si>
    <t>Saya bersungguh-sungguh ingin mengikuti kegiatan ini dalam rangka untuk menambah pengalaman dan relasi. Terimakasih</t>
  </si>
  <si>
    <t>Abror2023</t>
  </si>
  <si>
    <t>6102070502000004</t>
  </si>
  <si>
    <t>Holil</t>
  </si>
  <si>
    <t>holil81301@gmail.com</t>
  </si>
  <si>
    <t>Sungai batang</t>
  </si>
  <si>
    <t>Guru</t>
  </si>
  <si>
    <t>Semoga terpilih bagian mitra BPS</t>
  </si>
  <si>
    <t>Holil000</t>
  </si>
  <si>
    <t>6102185109990004</t>
  </si>
  <si>
    <t>Hotideh</t>
  </si>
  <si>
    <t>muhadtijeh@gmail.com</t>
  </si>
  <si>
    <t>Dusun Bemban RT 015 RW 004</t>
  </si>
  <si>
    <t>53.740.850.2-704.000</t>
  </si>
  <si>
    <t>Saya pernah mengikuti survei/sensus KUMKM</t>
  </si>
  <si>
    <t>6102015909020002</t>
  </si>
  <si>
    <t>Husnul Fadillah</t>
  </si>
  <si>
    <t>husnulfadillah19@gmail.com</t>
  </si>
  <si>
    <t>Jalan A.Djelani RT 18 RW 07</t>
  </si>
  <si>
    <t>Husnulfadillah</t>
  </si>
  <si>
    <t>6102071808880002</t>
  </si>
  <si>
    <t>IBRAHIM,S Pd.i</t>
  </si>
  <si>
    <t>Ibrahimelbarca950@gmail.com</t>
  </si>
  <si>
    <t>jalan Usaha Tani RT 02/RW 04</t>
  </si>
  <si>
    <t>BURUH HARIAN</t>
  </si>
  <si>
    <t>IbrahimElbarca</t>
  </si>
  <si>
    <t>6102161008990004</t>
  </si>
  <si>
    <t>IKHSAN</t>
  </si>
  <si>
    <t>mhdikhsann46@gmail.com</t>
  </si>
  <si>
    <t>RT013/RW003 peladis, desa kepayang</t>
  </si>
  <si>
    <t>61.021.610.0-899.000</t>
  </si>
  <si>
    <t>mhdikhsan</t>
  </si>
  <si>
    <t>6102125203970003</t>
  </si>
  <si>
    <t>Ilfi Nur Diana</t>
  </si>
  <si>
    <t>ilfinurdiana93@gmail.com</t>
  </si>
  <si>
    <t>Dusun Muafakat Rt 011 Rw 005</t>
  </si>
  <si>
    <t>53.882.325.3-704.000</t>
  </si>
  <si>
    <t>ilfind</t>
  </si>
  <si>
    <t>6102012006970002</t>
  </si>
  <si>
    <t>ILHAM SUBAGIO</t>
  </si>
  <si>
    <t>ilhamsubagio223@gmail.com</t>
  </si>
  <si>
    <t>jalan daeng menmbon gang purwosari</t>
  </si>
  <si>
    <t>ILHAM_SUBAGIO</t>
  </si>
  <si>
    <t>6102161208010001</t>
  </si>
  <si>
    <t>IMAM FAJRI MUSLIM</t>
  </si>
  <si>
    <t>fajmuslim1@gmail.com</t>
  </si>
  <si>
    <t>JALAN RADEN SUJARWO BTN BALI PERMAI</t>
  </si>
  <si>
    <t>Fajmuslim12</t>
  </si>
  <si>
    <t>6102182910750002</t>
  </si>
  <si>
    <t>Imam Supriyadi</t>
  </si>
  <si>
    <t>imamsup002@gmail.com</t>
  </si>
  <si>
    <t>Jl. Adjlenai GG A Krim</t>
  </si>
  <si>
    <t>Mitra Dari Dinas Pertanian Bidang Perikanan</t>
  </si>
  <si>
    <t>ImamS002</t>
  </si>
  <si>
    <t>6102012211930002</t>
  </si>
  <si>
    <t>Imamul akhyar</t>
  </si>
  <si>
    <t>Imamulakhyar22@gmail.com</t>
  </si>
  <si>
    <t>Jalan natuna</t>
  </si>
  <si>
    <t>Pernah mengikuti sensus registrasi sosial ekonomi 2022, sensus pertanian 2023, survei angkatan kerja nasional 2023, sensus PL-KUMKM 2023</t>
  </si>
  <si>
    <t>Imamulakhyar</t>
  </si>
  <si>
    <t>6102170203040003</t>
  </si>
  <si>
    <t>Imanuel ribut</t>
  </si>
  <si>
    <t>deri.mpw12@gmail.com</t>
  </si>
  <si>
    <t>Jl. Sekabuk</t>
  </si>
  <si>
    <t>Berkebun</t>
  </si>
  <si>
    <t>Derry_02</t>
  </si>
  <si>
    <t>6102124202750004</t>
  </si>
  <si>
    <t>IMMI</t>
  </si>
  <si>
    <t>immiumak@gmail.com</t>
  </si>
  <si>
    <t>Dusun mawar RT/RW 005/003 Desa sungai kunyit dalam</t>
  </si>
  <si>
    <t>Pernah menjadi petugas lapangan sensus Registrasi sosial ekonomi (regsosek) tahun 2022</t>
  </si>
  <si>
    <t>Immi134679</t>
  </si>
  <si>
    <t>6171016711850001</t>
  </si>
  <si>
    <t>Ina Keni Miliyanti</t>
  </si>
  <si>
    <t>kenni2711@gmail.com</t>
  </si>
  <si>
    <t>Jalan Simpang Empat Rt 03/Rw 11 Dusun Brahima</t>
  </si>
  <si>
    <t>54.415.817.3-704.000</t>
  </si>
  <si>
    <t>Berpengalaman dalam mendata anak stunting dan selalu semangat dalam menyelesaikan tugas</t>
  </si>
  <si>
    <t>bpsina</t>
  </si>
  <si>
    <t>6102164805930002</t>
  </si>
  <si>
    <t>Indah Gigih Rintiani</t>
  </si>
  <si>
    <t>indahkinanti07@gmail.com</t>
  </si>
  <si>
    <t>Kp Jagu, RT 07/ RW 03</t>
  </si>
  <si>
    <t>91.788.522.0-704.000</t>
  </si>
  <si>
    <t>Indahg</t>
  </si>
  <si>
    <t>6102125307010001</t>
  </si>
  <si>
    <t>Indah Sukma Yulia Ningrum</t>
  </si>
  <si>
    <t>indahsukma35398@gmail.com</t>
  </si>
  <si>
    <t>Sungai Bundung Laut, Jl.Long Ikif Gg. M.Ali Usman RT 04 RW 01</t>
  </si>
  <si>
    <t>Indahsyn</t>
  </si>
  <si>
    <t>6102010506950003</t>
  </si>
  <si>
    <t>indra</t>
  </si>
  <si>
    <t>indratambrin95@gmail.com</t>
  </si>
  <si>
    <t>Jl Gusti Asmaun Dusun Pinang. RT 010 RW 004. No 35</t>
  </si>
  <si>
    <t>53.736.449.9-704.000</t>
  </si>
  <si>
    <t>PT Sari Pati Semudun Jaya</t>
  </si>
  <si>
    <t>indra995</t>
  </si>
  <si>
    <t>6102170408970001</t>
  </si>
  <si>
    <t>indra wijaya</t>
  </si>
  <si>
    <t>indrapaknungkat97@gmail.com</t>
  </si>
  <si>
    <t>Mempawah</t>
  </si>
  <si>
    <t>Bissmillah.</t>
  </si>
  <si>
    <t>indra040897</t>
  </si>
  <si>
    <t>6102064301030001</t>
  </si>
  <si>
    <t>Intan Kartika Sari</t>
  </si>
  <si>
    <t>intan.vivo83@gmail.com</t>
  </si>
  <si>
    <t>JL. SUMBER AGUNG RT 011 RW 002</t>
  </si>
  <si>
    <t>Pernah membantu suami dalam beberapa survey BPS</t>
  </si>
  <si>
    <t>intan.sambora</t>
  </si>
  <si>
    <t>6102017101920002</t>
  </si>
  <si>
    <t>IRA DWIHAPSARI</t>
  </si>
  <si>
    <t>ira.dwihapsari@gmail.com</t>
  </si>
  <si>
    <t>Jln.Gusti Saleh Aliuddin ,RT.032 /RW.016</t>
  </si>
  <si>
    <t>81.549.359.8-704.000</t>
  </si>
  <si>
    <t>Iradwi31</t>
  </si>
  <si>
    <t>6112071511000001</t>
  </si>
  <si>
    <t>Irfan</t>
  </si>
  <si>
    <t>irfanpratama0853@gmail.com</t>
  </si>
  <si>
    <t>Jalan sepakat desa sungai rasau</t>
  </si>
  <si>
    <t>50.304.131.1-704.000</t>
  </si>
  <si>
    <t>Mudah mudahan lulus karna saat lagi pengangguran dan sangat butuh biaya??</t>
  </si>
  <si>
    <t>Irfan_09</t>
  </si>
  <si>
    <t>6102122710990001</t>
  </si>
  <si>
    <t>Irfan faozi sunaryo</t>
  </si>
  <si>
    <t>Irfanmpw@gmail.com</t>
  </si>
  <si>
    <t>Jalan tanjung pura gang mufakat sungai duri 1</t>
  </si>
  <si>
    <t>Saya siap jadi petugas bps dan saya pernah mengikuti kegiatan regsosek 2022</t>
  </si>
  <si>
    <t>Irfanfaozi</t>
  </si>
  <si>
    <t>6102074502980004</t>
  </si>
  <si>
    <t>ISMA DEWI</t>
  </si>
  <si>
    <t>ismadewi684@gmail.com</t>
  </si>
  <si>
    <t>Jalan Raya Galang RT 004 RW 002</t>
  </si>
  <si>
    <t>Ismadewi</t>
  </si>
  <si>
    <t>6102071005880001</t>
  </si>
  <si>
    <t>ismail</t>
  </si>
  <si>
    <t>im1906193@gmail.com</t>
  </si>
  <si>
    <t>Nusapati</t>
  </si>
  <si>
    <t>Dzakiri</t>
  </si>
  <si>
    <t>6102187108000001</t>
  </si>
  <si>
    <t>ISNA DYAHWATI</t>
  </si>
  <si>
    <t>dheaananda899@gmail.com</t>
  </si>
  <si>
    <t>Jln Daeng Manambon</t>
  </si>
  <si>
    <t>Pernah ikut regsosek dan pendataan UMKM</t>
  </si>
  <si>
    <t>Isnadyahwati</t>
  </si>
  <si>
    <t>6102176206860001</t>
  </si>
  <si>
    <t>ISUL</t>
  </si>
  <si>
    <t>atepsuhedi@gmail.com</t>
  </si>
  <si>
    <t>Jalan Raya Dusun Nangka RT 10 RW 04</t>
  </si>
  <si>
    <t>Tidak Ada catatan</t>
  </si>
  <si>
    <t>isulsadaniang</t>
  </si>
  <si>
    <t>6112032011900001</t>
  </si>
  <si>
    <t>JAIPAN JONATAN</t>
  </si>
  <si>
    <t>Jaipanjonatan@yahoo.com</t>
  </si>
  <si>
    <t>Dusun Sekabuk</t>
  </si>
  <si>
    <t>Dokumen/ Data pendukung</t>
  </si>
  <si>
    <t>Jaipan</t>
  </si>
  <si>
    <t>6102152607940002</t>
  </si>
  <si>
    <t>Jamaluddin, SP</t>
  </si>
  <si>
    <t>jamaludddin88@gmail.com</t>
  </si>
  <si>
    <t>Parit Ambo Pinang</t>
  </si>
  <si>
    <t>Terimakasih BPS atas kepercayaannya.</t>
  </si>
  <si>
    <t>Jamaluddinmy</t>
  </si>
  <si>
    <t>6102071708770002</t>
  </si>
  <si>
    <t>Jamaludin</t>
  </si>
  <si>
    <t>jamal678999@gmail.com</t>
  </si>
  <si>
    <t>11.975.169.1-704.000</t>
  </si>
  <si>
    <t>Jamaludin.</t>
  </si>
  <si>
    <t>6102166002810001</t>
  </si>
  <si>
    <t>Juliati</t>
  </si>
  <si>
    <t>atiekj@gmail.com</t>
  </si>
  <si>
    <t>Jl.Bilado RT.003/RW.001 desa kepayang</t>
  </si>
  <si>
    <t>15.998.767.6-704.000</t>
  </si>
  <si>
    <t>Pernah mengikuti pemetaan 2019 dan resosek sensus ekonomi tahun 2022.</t>
  </si>
  <si>
    <t>Ceylow</t>
  </si>
  <si>
    <t>6102015007890002</t>
  </si>
  <si>
    <t>Juliawati</t>
  </si>
  <si>
    <t>Juliamempawah123@gmail.com</t>
  </si>
  <si>
    <t>Jalan Mane Pakaseh No 29 Rt 023 Rw 004</t>
  </si>
  <si>
    <t>Bilalumar</t>
  </si>
  <si>
    <t>6102150101890002</t>
  </si>
  <si>
    <t>Junaidi</t>
  </si>
  <si>
    <t>junaidim010189@gmail.com</t>
  </si>
  <si>
    <t>Desa Peniti Dalam II, Sungai ruan Rt 001 Rw 001 Kecamatan Segedong Kabupaten Mempawah</t>
  </si>
  <si>
    <t>83.648.917.9-704.000</t>
  </si>
  <si>
    <t>Segedong</t>
  </si>
  <si>
    <t>6102013001970002</t>
  </si>
  <si>
    <t>Kemal Akbar</t>
  </si>
  <si>
    <t>kemalakbar97@gmail.com</t>
  </si>
  <si>
    <t>Jalan Gusti M. Taufik</t>
  </si>
  <si>
    <t>kemalmitra</t>
  </si>
  <si>
    <t>PONTIANAK SELATAN</t>
  </si>
  <si>
    <t>KOTA BARU</t>
  </si>
  <si>
    <t>6171015207010012</t>
  </si>
  <si>
    <t>Khairun Rahmah Wati</t>
  </si>
  <si>
    <t>kharaghan8@gmail.com</t>
  </si>
  <si>
    <t>Jl. Harapan Jaya No. 16</t>
  </si>
  <si>
    <t>Mahasiswa semester akhir</t>
  </si>
  <si>
    <t>Khairunrhmh</t>
  </si>
  <si>
    <t>6102156605960002</t>
  </si>
  <si>
    <t>Khairunnisa</t>
  </si>
  <si>
    <t>Khairunnisa260596@gmail.com</t>
  </si>
  <si>
    <t>Parit makmur RT 016 /005</t>
  </si>
  <si>
    <t>Siap mengikuti segala macam kegiatan BPS mempawah dan siap ditempatkan di lokasi manapun</t>
  </si>
  <si>
    <t>Aktif1996</t>
  </si>
  <si>
    <t>6102074402970005</t>
  </si>
  <si>
    <t>Kharim marufah</t>
  </si>
  <si>
    <t>Kharim04marufah@gmail.com</t>
  </si>
  <si>
    <t>Jl swadaya Rt/Rw 006/003</t>
  </si>
  <si>
    <t>61.160.801.9-704.000</t>
  </si>
  <si>
    <t>Pemberdayaan masyarakat</t>
  </si>
  <si>
    <t>Kharim_marufah</t>
  </si>
  <si>
    <t>6102060701970001</t>
  </si>
  <si>
    <t>KRISTIANTO ERWAN</t>
  </si>
  <si>
    <t>Kristiantoerwan21@gmail.com</t>
  </si>
  <si>
    <t>PAK LAHENG RT.004 RW.002 DESA PAK LAHENG</t>
  </si>
  <si>
    <t>41.481.931.8-704.000</t>
  </si>
  <si>
    <t>Memiliki basic pekerjaan lapangan, loyalitas yang tinggi terhadap pekerjaan</t>
  </si>
  <si>
    <t>kristiantoerwan</t>
  </si>
  <si>
    <t>6102186108940001</t>
  </si>
  <si>
    <t>Kudratika indayani</t>
  </si>
  <si>
    <t>kudratikaindayani@gmail.com</t>
  </si>
  <si>
    <t>Jl. Adiwijaya RT 004 RW 002</t>
  </si>
  <si>
    <t>86.562.089.2-704.000</t>
  </si>
  <si>
    <t>Yth, Bapak/Ibu Pimpinan, Perkenalkan saya Kudratika Indayani, Saya pernah menjadi petugas lapangan pada saat kegiatan Regsosek tahun 2022, Saya berminat untuk menjadi bagian dari Mitra BPS. Atas kesempatan dan perhatiannya saya ucapkan terimakasih ????</t>
  </si>
  <si>
    <t>Ayya21</t>
  </si>
  <si>
    <t>6102185711940003</t>
  </si>
  <si>
    <t>kurnia sari</t>
  </si>
  <si>
    <t>longsarilong@gmail.com</t>
  </si>
  <si>
    <t>Jalan Parit kedaung</t>
  </si>
  <si>
    <t>sarikurnia</t>
  </si>
  <si>
    <t>6102011110970002</t>
  </si>
  <si>
    <t>Kurniadi</t>
  </si>
  <si>
    <t>adikur889@gmail.com</t>
  </si>
  <si>
    <t>JL. A.Djelani GG. Borneo No. 10</t>
  </si>
  <si>
    <t>Kurniadi889</t>
  </si>
  <si>
    <t>6102074407000003</t>
  </si>
  <si>
    <t>Laras Nanda Julita</t>
  </si>
  <si>
    <t>larasnandajlt@gmail.com</t>
  </si>
  <si>
    <t>Jalan Siliwangi RT.005/RW.002</t>
  </si>
  <si>
    <t>50.168.880.8-704.000</t>
  </si>
  <si>
    <t>Nama saya Laras Nanda Julita. Biasa dipanggil Nanda, saat ini saya berumur 23 Tahun. Saya sudah berpengalaman menjadi mitra Pendataan BPS.</t>
  </si>
  <si>
    <t>lnlarasnanda</t>
  </si>
  <si>
    <t>6102125304000001</t>
  </si>
  <si>
    <t>Lili Rahmahwati</t>
  </si>
  <si>
    <t>rahmawatilili13@gmail.com</t>
  </si>
  <si>
    <t>Dusun Melati RT 03 RW 01</t>
  </si>
  <si>
    <t>Fresh Graduate Chemical Engineering Tanjungpura University, baru mendaftar sebagai mitra pengolahan di BPS dan ingin menambah pengalaman sekaligus menyalurkan skill entri data</t>
  </si>
  <si>
    <t>liliirahmawatii</t>
  </si>
  <si>
    <t>6102185102880001</t>
  </si>
  <si>
    <t>Lilis Suryani</t>
  </si>
  <si>
    <t>Dhilie02@gmail.com</t>
  </si>
  <si>
    <t>Jalan Raya Parit Banjar Rt. 004 Rw. 002</t>
  </si>
  <si>
    <t>76.545.969.8-704.000</t>
  </si>
  <si>
    <t>Selama menjadi mitra BPS sudah beberapa kegiatan yang sudah pernah ikuti dan terakhir kali baru saja menyelesaikan tugas lapangan di kegiatan Sensus LKUMKM 2023</t>
  </si>
  <si>
    <t>Lhilis</t>
  </si>
  <si>
    <t>3301225608850001</t>
  </si>
  <si>
    <t>LINA AGUSTIN WIDYA SIWI</t>
  </si>
  <si>
    <t>agustinwidyas@gmail.com</t>
  </si>
  <si>
    <t>Nusapati Rt 002 Rw. 004</t>
  </si>
  <si>
    <t>26.498.364.4-432.000</t>
  </si>
  <si>
    <t>Lina_Agustin</t>
  </si>
  <si>
    <t>6102017007040001</t>
  </si>
  <si>
    <t>Lula Dasilva</t>
  </si>
  <si>
    <t>luladasilvabula@gmail.com</t>
  </si>
  <si>
    <t>Jalan Daeng Menambon, RT001/RW001</t>
  </si>
  <si>
    <t>luladslva_</t>
  </si>
  <si>
    <t>3314066101000001</t>
  </si>
  <si>
    <t>Lulu Gesti Gunawati</t>
  </si>
  <si>
    <t>lulugesti001@gmail.com</t>
  </si>
  <si>
    <t>Jalan Raya Mendalok Gang Nelayan RT 002 RW 001</t>
  </si>
  <si>
    <t>lulugestigunawati</t>
  </si>
  <si>
    <t>6102010707000002</t>
  </si>
  <si>
    <t>M IDRIS AFANDI</t>
  </si>
  <si>
    <t>idrisafandi3333@gmail.com</t>
  </si>
  <si>
    <t>Jl. Raden Patih Gumentar, Rt. 011 RW. 004</t>
  </si>
  <si>
    <t>83.907.718.7-704.000</t>
  </si>
  <si>
    <t>pernah mengikuti Program Pejuang Muda dari Kemensos RI untuk melakukan Verifikasi dan Validasi data terkait penerima bantuan BPNT dan PKH pada tahun 2021.</t>
  </si>
  <si>
    <t>aanaffandi36</t>
  </si>
  <si>
    <t>6102072101810002</t>
  </si>
  <si>
    <t>M. Tohir</t>
  </si>
  <si>
    <t>bapakthohir77@gmail.com</t>
  </si>
  <si>
    <t>Jl. Raya Peniraman Rt.Rt.008/Rw.004 Desa Peniraman kecamatan sungai pinyuh</t>
  </si>
  <si>
    <t>53.231.547.0-704.000</t>
  </si>
  <si>
    <t>Berharap bisa bekerjasama dengan baik dan lancar</t>
  </si>
  <si>
    <t>toing</t>
  </si>
  <si>
    <t>6102182203050001</t>
  </si>
  <si>
    <t>MARDIANSYAH</t>
  </si>
  <si>
    <t>mrdnsyahh05@gmail.com</t>
  </si>
  <si>
    <t>JL. Taruna Sungai Bakau Kecil RT/RW 005/002</t>
  </si>
  <si>
    <t>belum punya</t>
  </si>
  <si>
    <t>mrdnsyahh</t>
  </si>
  <si>
    <t>6102151103980003</t>
  </si>
  <si>
    <t>MARIO ANDIKA TRI PUTRA</t>
  </si>
  <si>
    <t>marioandikatriputra110398@gmail.com</t>
  </si>
  <si>
    <t>Jl. Nelayan Sungai Purun Besar Rt:001 Rw:001</t>
  </si>
  <si>
    <t>53.762.386.0-704.000</t>
  </si>
  <si>
    <t>Konsultan</t>
  </si>
  <si>
    <t>MARIOANDIKATRIPUTRA</t>
  </si>
  <si>
    <t>6107086104970001</t>
  </si>
  <si>
    <t>Marni</t>
  </si>
  <si>
    <t>marnii2104@gmail.com</t>
  </si>
  <si>
    <t>Terap RT 009 / RW 004</t>
  </si>
  <si>
    <t>karena bps sangat di perlukan di dalam kependudukan</t>
  </si>
  <si>
    <t>Marnii</t>
  </si>
  <si>
    <t>6102066905950001</t>
  </si>
  <si>
    <t>Marselina</t>
  </si>
  <si>
    <t>daramarselina29@gmail.com</t>
  </si>
  <si>
    <t>Pangkalan Manggis RT/RW 006/003</t>
  </si>
  <si>
    <t>DaraMarsel</t>
  </si>
  <si>
    <t>6102075312990001</t>
  </si>
  <si>
    <t>Marvira Tuwarahma</t>
  </si>
  <si>
    <t>marviratuwarahma497@gmail.com</t>
  </si>
  <si>
    <t>Nusapati, Jalan Parit Lintang</t>
  </si>
  <si>
    <t>Pengangguran</t>
  </si>
  <si>
    <t>Mitra pengolahan</t>
  </si>
  <si>
    <t>Marvira_Tuwarahma</t>
  </si>
  <si>
    <t>6102074906020001</t>
  </si>
  <si>
    <t>Maryuni</t>
  </si>
  <si>
    <t>maryuniyuni833@gmail.com</t>
  </si>
  <si>
    <t>Jl. Jawa</t>
  </si>
  <si>
    <t>61.907.759.7-704.000</t>
  </si>
  <si>
    <t>Mar09ni</t>
  </si>
  <si>
    <t>6102010103780001</t>
  </si>
  <si>
    <t>Mashuri</t>
  </si>
  <si>
    <t>mash03rypaloh@gmail.com</t>
  </si>
  <si>
    <t>Jln. Gusti M Saleh Aliudin GG Nusantara 3 Terusan Mempawah Hilir</t>
  </si>
  <si>
    <t>PNS</t>
  </si>
  <si>
    <t>M45H03RY</t>
  </si>
  <si>
    <t>6102060709870002</t>
  </si>
  <si>
    <t>MASTURI</t>
  </si>
  <si>
    <t>masturi598@gmail.com</t>
  </si>
  <si>
    <t>JL. TENGAH RT/RW 004/002 DESA SAMBORA</t>
  </si>
  <si>
    <t>82.398.432.3-704.000</t>
  </si>
  <si>
    <t>PERNAH MENGIKUTI PENDATAAN ATAU MENJADI MITRA BPS</t>
  </si>
  <si>
    <t>Masturi_sambora</t>
  </si>
  <si>
    <t>6102182108290004</t>
  </si>
  <si>
    <t>MASYUDI</t>
  </si>
  <si>
    <t>raisamuhammadazriel@gmail.com</t>
  </si>
  <si>
    <t>Jalan pelita RT 021 RW 008 desa sungai purun besar</t>
  </si>
  <si>
    <t>83.489.729.0-704.000</t>
  </si>
  <si>
    <t>Pendamping PKH kecamatan segedong</t>
  </si>
  <si>
    <t>Sudah pernah di regsosek dan siap bekerja menjadi mitra BPS dengan baik dan siap melaksanakan tugas dengan baik dan tanggung jawab</t>
  </si>
  <si>
    <t>DimazY</t>
  </si>
  <si>
    <t>6102185309950005</t>
  </si>
  <si>
    <t>Maya Iryani</t>
  </si>
  <si>
    <t>mayairyani.1995@gmail.com</t>
  </si>
  <si>
    <t>Jl Habib Husin RT 001 RW 001 Desa Sejegi</t>
  </si>
  <si>
    <t>Bisa bekerja sama team</t>
  </si>
  <si>
    <t>mayairyani.1995</t>
  </si>
  <si>
    <t>6102015907950004</t>
  </si>
  <si>
    <t>MAYA JULIA TRINISA</t>
  </si>
  <si>
    <t>mayajulia19@gmail.com</t>
  </si>
  <si>
    <t>Jalan Gst. M. Saleh Aliudin No. 55</t>
  </si>
  <si>
    <t>61.236.589.0-704.000</t>
  </si>
  <si>
    <t>Saya Maya Julia Trinisa, Saya pernah bekerja di salah satu perusahaan konsultan di CV. Azztech Consultant sebagai staf tenaga ahli selama 2 tahun yang bertugas mengerjakan dokumen perencanaan di wilayah antar kota.</t>
  </si>
  <si>
    <t>mayanisa</t>
  </si>
  <si>
    <t>6102185805990001</t>
  </si>
  <si>
    <t>Meilani Sukma Putri</t>
  </si>
  <si>
    <t>meilanisp18@gmail.com</t>
  </si>
  <si>
    <t>Jl. Raya Parit Banjar Rt.04 Rw 02</t>
  </si>
  <si>
    <t>95.341.447.1-704.000</t>
  </si>
  <si>
    <t>Dado123</t>
  </si>
  <si>
    <t>6102156305010001</t>
  </si>
  <si>
    <t>MEISYE SULASTRI</t>
  </si>
  <si>
    <t>ptk.meisi2001@gmail.com</t>
  </si>
  <si>
    <t>jalan padat karya peniti dalam dua, segedong</t>
  </si>
  <si>
    <t>kader</t>
  </si>
  <si>
    <t>ingin menambah wawasan dan pengalaman baru, semoga diterima , aminn</t>
  </si>
  <si>
    <t>MeisyeSulastri23</t>
  </si>
  <si>
    <t>6102176401860001</t>
  </si>
  <si>
    <t>Meliana sunari</t>
  </si>
  <si>
    <t>lia.128283@gmail.com</t>
  </si>
  <si>
    <t>Jln sadaniang, dusun untang rt 08 rw 03</t>
  </si>
  <si>
    <t>melianasunari1</t>
  </si>
  <si>
    <t>6102185909970002</t>
  </si>
  <si>
    <t>Mellysa</t>
  </si>
  <si>
    <t>Mellysalysa1234@gmail.com</t>
  </si>
  <si>
    <t>Jalan A. Hamid HS desa pasir palembang RT 007 RW 004 dusun tengah</t>
  </si>
  <si>
    <t>62.808.494.9-704.000</t>
  </si>
  <si>
    <t>Mellysa19</t>
  </si>
  <si>
    <t>6102065009940001</t>
  </si>
  <si>
    <t>Mesri Jasianti</t>
  </si>
  <si>
    <t>mesri.jasianti26@gmail.com</t>
  </si>
  <si>
    <t>Jalan Dusun Bobor RT 007 RW 003</t>
  </si>
  <si>
    <t>Pernah menjadi petugas lapangan dan Operator Data di BKKBN</t>
  </si>
  <si>
    <t>Mesri_Jasianti</t>
  </si>
  <si>
    <t>6102174505970001</t>
  </si>
  <si>
    <t>Meta</t>
  </si>
  <si>
    <t>Zibi3975@gmail.com</t>
  </si>
  <si>
    <t>Jalan raya Sungai pinggan, dusun muru</t>
  </si>
  <si>
    <t>petani</t>
  </si>
  <si>
    <t>Vieri1</t>
  </si>
  <si>
    <t>6102070804890002</t>
  </si>
  <si>
    <t>Mezekki</t>
  </si>
  <si>
    <t>zeckoakbar73@gmail.com</t>
  </si>
  <si>
    <t>JL. Raya Peniraman Rt. 05/ Rw. 03 Dusun Babussalam</t>
  </si>
  <si>
    <t>84.797.102.5-704.000</t>
  </si>
  <si>
    <t>Semuga bisa bermitra di BPS Mempawah</t>
  </si>
  <si>
    <t>Zecck</t>
  </si>
  <si>
    <t>6102011602950001</t>
  </si>
  <si>
    <t>Mickodemus khelvins</t>
  </si>
  <si>
    <t>mickodemuskhel@gmail.com</t>
  </si>
  <si>
    <t>Jl.Raden Iskandar rt 008 rw 012 kelurahan Terusan kecamatan mempawah Hilir kabupaten mempawah</t>
  </si>
  <si>
    <t>Semoga dapat bekerja sama bersama sobat BPS</t>
  </si>
  <si>
    <t>Khelvins</t>
  </si>
  <si>
    <t>6112094605870002</t>
  </si>
  <si>
    <t>Mika Lasni Roha Saragih</t>
  </si>
  <si>
    <t>mikalasni06@gmail.com</t>
  </si>
  <si>
    <t>Bilado</t>
  </si>
  <si>
    <t>Mika_sobatbps</t>
  </si>
  <si>
    <t>6102015001040004</t>
  </si>
  <si>
    <t>Minda Anarista</t>
  </si>
  <si>
    <t>anaristaminda@gmail.com</t>
  </si>
  <si>
    <t>Jl. Raden Kusno, Rt022/Rw005, Kel.Terusan, Kec.Mempawah Hilir, Kab.Mempawah</t>
  </si>
  <si>
    <t>Minda_Anarista</t>
  </si>
  <si>
    <t>6172016003980001</t>
  </si>
  <si>
    <t>Misbahul hasanah</t>
  </si>
  <si>
    <t>misbahulhasanah16@gmail.com</t>
  </si>
  <si>
    <t>Jl. karya RT.004 RW.001 Sungai Duri II</t>
  </si>
  <si>
    <t>Sensus regitrasi sosial ekonomi
 Sensus pertanian
 Sensus umkm
 Pengolahan data registrasi sosial ekonomi
 Pengolahan data sensus pertanian</t>
  </si>
  <si>
    <t>Misbahul_hasanah</t>
  </si>
  <si>
    <t>6102070706940001</t>
  </si>
  <si>
    <t>Misdi</t>
  </si>
  <si>
    <t>misdimempawah123456789@gmail.com</t>
  </si>
  <si>
    <t>Jln. Aswar ulu sungai rt009/rw005 sungai bakau besar darat kecamatan sungai pinyuh</t>
  </si>
  <si>
    <t>Mencari pengalaman kerja agar bisa jadi mitra bps mempawah</t>
  </si>
  <si>
    <t>Misdi050998</t>
  </si>
  <si>
    <t>6102016708970002</t>
  </si>
  <si>
    <t>Mita Kurniasari</t>
  </si>
  <si>
    <t>kurniasarim81@gmail.com</t>
  </si>
  <si>
    <t>Jln M thaha Rt 029 Rw 001</t>
  </si>
  <si>
    <t>Lainnya</t>
  </si>
  <si>
    <t>MitaKurniasari</t>
  </si>
  <si>
    <t>6102185705000003</t>
  </si>
  <si>
    <t>MITASYA FITRI NAINGGOLAN</t>
  </si>
  <si>
    <t>mitasya8989@gmail.com</t>
  </si>
  <si>
    <t>JALAN DJOHANSYAH BAKRI RT 016 RW 005</t>
  </si>
  <si>
    <t>mitasyafn</t>
  </si>
  <si>
    <t>6102071110000001</t>
  </si>
  <si>
    <t>Muhamad ibnu</t>
  </si>
  <si>
    <t>Muhammaddibnuu123@gmail.com</t>
  </si>
  <si>
    <t>Jalan jurusan mempawah, desa sungai bakau besar laut rt 9 rw 4</t>
  </si>
  <si>
    <t>40.409.706.5-704.000</t>
  </si>
  <si>
    <t>Admin ekspedisi</t>
  </si>
  <si>
    <t>Ibnu111000</t>
  </si>
  <si>
    <t>6102181605970002</t>
  </si>
  <si>
    <t>Muhamad Siradjuddin</t>
  </si>
  <si>
    <t>muhamadsiradjuddin@gmail.com</t>
  </si>
  <si>
    <t>Sejegi</t>
  </si>
  <si>
    <t>50.159.083.0-704.000</t>
  </si>
  <si>
    <t>Pernah ikut PL-KUMKM</t>
  </si>
  <si>
    <t>Msiradjuddin</t>
  </si>
  <si>
    <t>6102080305880003</t>
  </si>
  <si>
    <t>Muhammad Abdullah</t>
  </si>
  <si>
    <t>xxxarka@gmail.com</t>
  </si>
  <si>
    <t>Jl. Simpang Empat Wajok Hilir</t>
  </si>
  <si>
    <t>Menjadi mitra BPS sejak 2019</t>
  </si>
  <si>
    <t>Abdullah99</t>
  </si>
  <si>
    <t>BENUA MELAYU LAUT</t>
  </si>
  <si>
    <t>6171010409020002</t>
  </si>
  <si>
    <t>Muhammad Akbar Putra Riyani</t>
  </si>
  <si>
    <t>akbarputera10@gmail.com</t>
  </si>
  <si>
    <t>Pontianak Selatan Jl. Tanjungpura Gg. Aden 2 No.64</t>
  </si>
  <si>
    <t>Bismillah semoga saya diterima, dan menambah pengalaman saya di bidang ini</t>
  </si>
  <si>
    <t>akbarputr</t>
  </si>
  <si>
    <t>6102070812950001</t>
  </si>
  <si>
    <t>Muhammad Anies Safawi</t>
  </si>
  <si>
    <t>awiekaja08@gmail.com</t>
  </si>
  <si>
    <t>JL. bahagia Rt.018 Rw.009</t>
  </si>
  <si>
    <t>Tata Usaha Puskesmas honnorer</t>
  </si>
  <si>
    <t>AniesSafawi</t>
  </si>
  <si>
    <t>6102181206000005</t>
  </si>
  <si>
    <t>Muhammad Ariel dafa Alvaro</t>
  </si>
  <si>
    <t>dafaalvaro09@gmail.com</t>
  </si>
  <si>
    <t>Jl Adiwijaya Gg Dg Abbas</t>
  </si>
  <si>
    <t>alvaro12</t>
  </si>
  <si>
    <t>6102010410970003</t>
  </si>
  <si>
    <t>Muhammad Darwis</t>
  </si>
  <si>
    <t>darwisalmisnati97@gmail.com</t>
  </si>
  <si>
    <t>Dusun Parit Senin</t>
  </si>
  <si>
    <t>Saya merupakan warga asli Dusun Parit Senin Desa Sengkubang yang saat ini menjadi guru honorer di Smp Negeri 3 Mempawah Hilir. Besar harapan saya agar bisa diterima menjadi anggota Survei tahun 2024 sehingga bisa ikut serta dalam kegiatan survei tersebut.</t>
  </si>
  <si>
    <t>Muhammad1997</t>
  </si>
  <si>
    <t>6102181908990001</t>
  </si>
  <si>
    <t>Muhammad Deny Hafizzul Muttaqin</t>
  </si>
  <si>
    <t>mdenyhafizzulm@student.untan.ac.id</t>
  </si>
  <si>
    <t>Jl. Raya Sungai Bakau Kecil</t>
  </si>
  <si>
    <t>Nyhaqin</t>
  </si>
  <si>
    <t>6102073007020003</t>
  </si>
  <si>
    <t>Muhammad Fahlefi</t>
  </si>
  <si>
    <t>muhammadfahlefi02@gmail.com</t>
  </si>
  <si>
    <t>Jalan Habib Husein, desa sejegi, kecamatan mempawah timur, kabupaten mempawah</t>
  </si>
  <si>
    <t>mhmmdfhlfi_</t>
  </si>
  <si>
    <t>6102012209000003</t>
  </si>
  <si>
    <t>Muhammad fajar</t>
  </si>
  <si>
    <t>fajar.cui99@gmail.com</t>
  </si>
  <si>
    <t>Jl.Daeng menambon rt01 rw01</t>
  </si>
  <si>
    <t>50.187.838.3-704.000</t>
  </si>
  <si>
    <t>Mhmdfajar22</t>
  </si>
  <si>
    <t>PAL LIMA</t>
  </si>
  <si>
    <t>6171050502980012</t>
  </si>
  <si>
    <t>Muhammad Farhan Ashari</t>
  </si>
  <si>
    <t>mfarhanashari@gmail.com</t>
  </si>
  <si>
    <t>Jalan Tabrani Ahmad Komplek Delima Permai No. B 11</t>
  </si>
  <si>
    <t>61.032.139.0-701.000</t>
  </si>
  <si>
    <t>.</t>
  </si>
  <si>
    <t>mfarhanashari</t>
  </si>
  <si>
    <t>6102161209040001</t>
  </si>
  <si>
    <t>Muhammad Habibie</t>
  </si>
  <si>
    <t>mhabibie130@gmail.com</t>
  </si>
  <si>
    <t>Jalan Bawal 2</t>
  </si>
  <si>
    <t>mhbibie</t>
  </si>
  <si>
    <t>PONTIANAK TENGGARA</t>
  </si>
  <si>
    <t>BANSIR DARAT</t>
  </si>
  <si>
    <t>6171062212930001</t>
  </si>
  <si>
    <t>Muhammad haditio</t>
  </si>
  <si>
    <t>mohhaditio@gmail.com</t>
  </si>
  <si>
    <t>Jalan sepakat 2 blok G no 105</t>
  </si>
  <si>
    <t>83.630.603.5-701.000</t>
  </si>
  <si>
    <t>Haditio</t>
  </si>
  <si>
    <t>6102150102980001</t>
  </si>
  <si>
    <t>Muhammad Hori</t>
  </si>
  <si>
    <t>khorimuhammad5@gmail.com</t>
  </si>
  <si>
    <t>Jalan pelita sungai purun besar kecamatan segedong kabupaten mempawah Kalimantan barat</t>
  </si>
  <si>
    <t>Keabsahan data tolak ukur untuk membuat kebijakan tepat sasaran untuk pembangunan. Masuk lah ke sistem agar mampu memgawal pembangunan yang sesuai dengan janji kemerdekaan. 
 Dedikasi of life</t>
  </si>
  <si>
    <t>MhbR010220</t>
  </si>
  <si>
    <t>6102082110010002</t>
  </si>
  <si>
    <t>Muhammad Ihsanul arif</t>
  </si>
  <si>
    <t>arifidsy@gmail.com</t>
  </si>
  <si>
    <t>JL NELAYAN RT 014, RW 003</t>
  </si>
  <si>
    <t>Ihsanul210110</t>
  </si>
  <si>
    <t>PONTIANAK KOTA</t>
  </si>
  <si>
    <t>SUNGAI JAWI</t>
  </si>
  <si>
    <t>6171050206000002</t>
  </si>
  <si>
    <t>Muhammad Luthfi</t>
  </si>
  <si>
    <t>muhammad.luthfi.chani@gmail.com</t>
  </si>
  <si>
    <t>Jl. Dr. Wahidin S. Komp. Batara Indah 1 Blok LL No. 4</t>
  </si>
  <si>
    <t>phileory</t>
  </si>
  <si>
    <t>6102152303930001</t>
  </si>
  <si>
    <t>Muhammad Ramadan</t>
  </si>
  <si>
    <t>adanologi@gmail.com</t>
  </si>
  <si>
    <t>Sungai Burung RT003/RW001</t>
  </si>
  <si>
    <t>85.049.617.5-704.000</t>
  </si>
  <si>
    <t>Saya memiliki pengalaman sensus SDGS dari desa.</t>
  </si>
  <si>
    <t>adanologi</t>
  </si>
  <si>
    <t>6102012210990001</t>
  </si>
  <si>
    <t>Muhammad Rendi Fakhrian</t>
  </si>
  <si>
    <t>Rendi.fakhrian2210@gmail.com</t>
  </si>
  <si>
    <t>Jalan Dr Rubini RT 019 RW 007 Kelurahan Tengah Kecamatan Mempawah Hilir</t>
  </si>
  <si>
    <t>Pernah menjadi Petugas Pendataan Lapangan Regsosek 2022 dan PL-KUMKM 2023.
 Pernah menjadi Petugas Pengolahan Regsosek 2022 dan Sensus Pertanian 2023</t>
  </si>
  <si>
    <t>Rendifakh</t>
  </si>
  <si>
    <t>6102011810970004</t>
  </si>
  <si>
    <t>Muhammad Rizki Pratomo</t>
  </si>
  <si>
    <t>riskimoo1810@gmail.com</t>
  </si>
  <si>
    <t>Jalan Al-falah 2 No 24 RT 016 RW 008</t>
  </si>
  <si>
    <t>43.479.143.0-704.000</t>
  </si>
  <si>
    <t>Pekerja Lepas</t>
  </si>
  <si>
    <t>riskimoo</t>
  </si>
  <si>
    <t>6102070212060001</t>
  </si>
  <si>
    <t>Muhammad septiadi</t>
  </si>
  <si>
    <t>didimuhammadseptiadi@gmail.com</t>
  </si>
  <si>
    <t>Jl. PANCASILA RT 004/RW 006</t>
  </si>
  <si>
    <t>semoga dengan saya mendaftar ini, saya lolos mitra bps 2024</t>
  </si>
  <si>
    <t>mseptiadi</t>
  </si>
  <si>
    <t>6102011109040001</t>
  </si>
  <si>
    <t>Muhammad Siera Reza</t>
  </si>
  <si>
    <t>muhammadsierareza@gmail.com</t>
  </si>
  <si>
    <t>Jalan daeng menambon.</t>
  </si>
  <si>
    <t>Reza32</t>
  </si>
  <si>
    <t>Muhammad Soleh</t>
  </si>
  <si>
    <t>solehmuhammad280@gmail.com</t>
  </si>
  <si>
    <t>Jalan Teluk Dalam Wajok Hulu</t>
  </si>
  <si>
    <t>Siap</t>
  </si>
  <si>
    <t>Madsol98</t>
  </si>
  <si>
    <t>6102072302850005</t>
  </si>
  <si>
    <t>Muhammad Tajuddin,A.Ma.PD</t>
  </si>
  <si>
    <t>mtajudin084@gmail.com</t>
  </si>
  <si>
    <t>Jl.Bardannadi,RT 002 Rw 001</t>
  </si>
  <si>
    <t>73.218.231.6-704.000</t>
  </si>
  <si>
    <t>Swasta</t>
  </si>
  <si>
    <t>Ingin mendata di tempat domisili</t>
  </si>
  <si>
    <t>M.Tajuddin</t>
  </si>
  <si>
    <t>6171042006790017</t>
  </si>
  <si>
    <t>Muhammad yani</t>
  </si>
  <si>
    <t>muhammad.yani2622@gmail.com</t>
  </si>
  <si>
    <t>Jalan panca bakti gg panca karya no 7 Rt006 Rw012</t>
  </si>
  <si>
    <t>siap melaksanakan tugas dgn penuh tanggung jawab</t>
  </si>
  <si>
    <t>myrabita</t>
  </si>
  <si>
    <t>6102070906990002</t>
  </si>
  <si>
    <t>Muhammad zainal arifin</t>
  </si>
  <si>
    <t>arifzainal128@gmail.com</t>
  </si>
  <si>
    <t>Jl. Panca usaha peniraman</t>
  </si>
  <si>
    <t>Sensus Regsosek</t>
  </si>
  <si>
    <t>Muzazeen</t>
  </si>
  <si>
    <t>6106011002050001</t>
  </si>
  <si>
    <t>Muhaneb Febriansyah</t>
  </si>
  <si>
    <t>rianmuhaneb@gmail.com</t>
  </si>
  <si>
    <t>Jalan Raya Nusapati Gg Family 3</t>
  </si>
  <si>
    <t>MuhanebFebriansyah</t>
  </si>
  <si>
    <t>6102121002950001</t>
  </si>
  <si>
    <t>Muhlisin</t>
  </si>
  <si>
    <t>isinazam2@gmail.com</t>
  </si>
  <si>
    <t>Dusun Sekip 2 Desa Sungai Kunyit Hulu</t>
  </si>
  <si>
    <t>60.359.309.6-704.000</t>
  </si>
  <si>
    <t>Jika saya lulus jadi petugas BPS pada regsosek saya akan menjalani dengan sukses</t>
  </si>
  <si>
    <t>Isin123</t>
  </si>
  <si>
    <t>6102887765654455</t>
  </si>
  <si>
    <t>Mujito</t>
  </si>
  <si>
    <t>mujito.mempawah@gmail.com</t>
  </si>
  <si>
    <t>JL. A.Djelani gg. A Karim</t>
  </si>
  <si>
    <t>Orang Dinas membantu survei PIT, mohon diluluskan</t>
  </si>
  <si>
    <t>mujito.mempawah</t>
  </si>
  <si>
    <t>6102152503850002</t>
  </si>
  <si>
    <t>Mulyadi</t>
  </si>
  <si>
    <t>my639107@gmail.com</t>
  </si>
  <si>
    <t>Jalan Penepat Kanan RT 021 RW 005</t>
  </si>
  <si>
    <t>80.847.179.1-704.000</t>
  </si>
  <si>
    <t>mulyadi85</t>
  </si>
  <si>
    <t>6102182009910001</t>
  </si>
  <si>
    <t>MULYADIANSYAH</t>
  </si>
  <si>
    <t>mulyadiansyahzero@gmail.com</t>
  </si>
  <si>
    <t>Gg. Darussalam Rt.011 Rw.006 Kelurahan Pasir Wan Salim</t>
  </si>
  <si>
    <t>73.212.638.8-704.000</t>
  </si>
  <si>
    <t>Semua Data diri dan berkas sudah di isi dengan benar dan lengkap</t>
  </si>
  <si>
    <t>Mulyadiansyah</t>
  </si>
  <si>
    <t>6102152908990001</t>
  </si>
  <si>
    <t>Munandar</t>
  </si>
  <si>
    <t>munandarsevenfold74@gmail.com</t>
  </si>
  <si>
    <t>Parit Kelapa Tinggi,Peniti Besar</t>
  </si>
  <si>
    <t>Munandar74</t>
  </si>
  <si>
    <t>6102185203970006</t>
  </si>
  <si>
    <t>Munawarah</t>
  </si>
  <si>
    <t>munawarahunak97@gmail.com</t>
  </si>
  <si>
    <t>Jalan Raya Komplek Pasar Sungai Bakau Kecil</t>
  </si>
  <si>
    <t>65.382.051.4-704.000</t>
  </si>
  <si>
    <t>Freelancer</t>
  </si>
  <si>
    <t>Bps sangat Bagus dan mantap</t>
  </si>
  <si>
    <t>Unak1997</t>
  </si>
  <si>
    <t>6102015906980001</t>
  </si>
  <si>
    <t>Musdalifah</t>
  </si>
  <si>
    <t>musda051098@gmail.com</t>
  </si>
  <si>
    <t>Jl. Harapan Dusun Mekar RT 022 RW 008</t>
  </si>
  <si>
    <t>53.702.886.2-704.000</t>
  </si>
  <si>
    <t>Petugas sensus UMKM</t>
  </si>
  <si>
    <t>Musdalifah580</t>
  </si>
  <si>
    <t>3507100908951002</t>
  </si>
  <si>
    <t>Muslimat</t>
  </si>
  <si>
    <t>ando01076@gmail.com</t>
  </si>
  <si>
    <t>Sungai kunyit hulu</t>
  </si>
  <si>
    <t>41.454.524.4-704.000</t>
  </si>
  <si>
    <t>Pedagang</t>
  </si>
  <si>
    <t>Sudah sesuai</t>
  </si>
  <si>
    <t>6102071408830003</t>
  </si>
  <si>
    <t>Muslimin</t>
  </si>
  <si>
    <t>Amienfatiem@gmail.com</t>
  </si>
  <si>
    <t>Jl.H.nawewi. peniraman komplek pontren darut tolibin</t>
  </si>
  <si>
    <t>44.449.179.9-704.000</t>
  </si>
  <si>
    <t>AmienMuslimin</t>
  </si>
  <si>
    <t>6102081903970002</t>
  </si>
  <si>
    <t>Mustakim</t>
  </si>
  <si>
    <t>Mustakim190397@gmail.com</t>
  </si>
  <si>
    <t>Jl. Simpang Empat Desa Wajok Hilir</t>
  </si>
  <si>
    <t>95.426.676.3-704.000</t>
  </si>
  <si>
    <t>Pengalaman Survei menjadi Tim Survei dari PT Sigma Research Indonesia terkait kepuasan dan pemahaman konsumen terkait BPJS Kesehatan di Kota Pontianak (2022) &amp; TIM Survei Lembagai Ilmiah Penelitian Indonesia (terkait keberagaman di SINGKAWANG (2018)</t>
  </si>
  <si>
    <t>Lespatih</t>
  </si>
  <si>
    <t>6102121106020001</t>
  </si>
  <si>
    <t>mustakimart6@gmail.com</t>
  </si>
  <si>
    <t>DUSUN SEMAYAR DESA SUNGAI KUNYIT HULU</t>
  </si>
  <si>
    <t>99.104.764.8-704.000</t>
  </si>
  <si>
    <t>Mustakim.art</t>
  </si>
  <si>
    <t>6102010301970002</t>
  </si>
  <si>
    <t>Mustami'in</t>
  </si>
  <si>
    <t>www.mustamiin@gmail.com</t>
  </si>
  <si>
    <t>Dusun Parit Senin Desa Sengkubang RT14 RW 001</t>
  </si>
  <si>
    <t>53.779.177.4-704.000</t>
  </si>
  <si>
    <t>saya siap bekerja maksimal untuk BPS</t>
  </si>
  <si>
    <t>mustamiin123</t>
  </si>
  <si>
    <t>6102011411000001</t>
  </si>
  <si>
    <t>MUTASIM BILLAH</t>
  </si>
  <si>
    <t>denaziem3@gmail.com</t>
  </si>
  <si>
    <t>Dusun Semayar</t>
  </si>
  <si>
    <t>94.359.192.5-704.000</t>
  </si>
  <si>
    <t>Awe123</t>
  </si>
  <si>
    <t>6102124703020002</t>
  </si>
  <si>
    <t>Mutiara Faralaksa</t>
  </si>
  <si>
    <t>mfaralaksa@gmail.com</t>
  </si>
  <si>
    <t>Dusun Sabar Desa Sungai Kunyit Laut</t>
  </si>
  <si>
    <t>Lulusan Jurusan Administrasi Bisnis Politeknik Negeri Pontianak, lulus dengan nilai baik pernah memiliki pengalaman magang di salah satu perusahaan dimana hal tersebut bisa mengasah keterampilan yang dibutuhkan seperti komunikasi bisnis, dll.</t>
  </si>
  <si>
    <t>Mutiara_Faralaksa</t>
  </si>
  <si>
    <t>6102185912010002</t>
  </si>
  <si>
    <t>NADILLAH</t>
  </si>
  <si>
    <t>scarletsoo19@gmail.com</t>
  </si>
  <si>
    <t>Jl. Raya Senggiring RT01/RW01 Sungai Bakau Kecil</t>
  </si>
  <si>
    <t>39.918.062.9-704.000</t>
  </si>
  <si>
    <t>Ndllah</t>
  </si>
  <si>
    <t>6102186812000004</t>
  </si>
  <si>
    <t>NANDA ARISKA</t>
  </si>
  <si>
    <t>nndaarsk28@gmail.com</t>
  </si>
  <si>
    <t>JALAN RADEN ADINATA, NO.10, RT.002/RW.001</t>
  </si>
  <si>
    <t>Status sudah menikah , tetapi di ktp belum berubah status karena masih di urus di kantor capil</t>
  </si>
  <si>
    <t>Nndaarsk</t>
  </si>
  <si>
    <t>6171035209990003</t>
  </si>
  <si>
    <t>Nanda Septia</t>
  </si>
  <si>
    <t>nandaseptia1299@gmail.com</t>
  </si>
  <si>
    <t>jl adiwijaya</t>
  </si>
  <si>
    <t>freelancer</t>
  </si>
  <si>
    <t>nseptia</t>
  </si>
  <si>
    <t>6102011011970003</t>
  </si>
  <si>
    <t>Nasrullah</t>
  </si>
  <si>
    <t>nasrullahmahrab5@gmail.com</t>
  </si>
  <si>
    <t>jalan gusti asmaun gg al mukminin rt 007 rw 003</t>
  </si>
  <si>
    <t>53.778.355.7-704.000</t>
  </si>
  <si>
    <t>6102014404990003</t>
  </si>
  <si>
    <t>Natasha Syafa'ati Almirzannah</t>
  </si>
  <si>
    <t>Natshasyafaati@gmail.com</t>
  </si>
  <si>
    <t>Jln. Handayani II BTN Korpri Permai Blok C.5</t>
  </si>
  <si>
    <t>53.916.659.5-704.000</t>
  </si>
  <si>
    <t>Bismillah semoga keterima bekerja di BPS dan bisa berkarir di BPS...
 Saya tidak pernah mengikuti sensus tapi saya pernah melakukan survei...</t>
  </si>
  <si>
    <t>NatashaSyafaati</t>
  </si>
  <si>
    <t>6102014712890004</t>
  </si>
  <si>
    <t>Nelly Nalita</t>
  </si>
  <si>
    <t>azizidanelly@gmail.com</t>
  </si>
  <si>
    <t>Jalan Nagor RT 009 RW 004 Dusun Simpang Tiga</t>
  </si>
  <si>
    <t>65.824.424.9-704.000</t>
  </si>
  <si>
    <t>Tidak ada catatan khusus</t>
  </si>
  <si>
    <t>nellynalita12</t>
  </si>
  <si>
    <t>6102175204830002</t>
  </si>
  <si>
    <t>NENGSIH</t>
  </si>
  <si>
    <t>nengsihsadaniang06@gmail.com</t>
  </si>
  <si>
    <t>Desa amawang</t>
  </si>
  <si>
    <t>Nengsihsadaniang06</t>
  </si>
  <si>
    <t>6172015807930002</t>
  </si>
  <si>
    <t>Nisa Istiqomah Harahap</t>
  </si>
  <si>
    <t>nisaituisti@gmail.com</t>
  </si>
  <si>
    <t>Jl. Dr. Rubini, komplek khalish residance 2</t>
  </si>
  <si>
    <t>Bismilliah lulus aamiin</t>
  </si>
  <si>
    <t>Nisaistiqomah</t>
  </si>
  <si>
    <t>6102186404970002</t>
  </si>
  <si>
    <t>Nita Mursyida</t>
  </si>
  <si>
    <t>nitamursyida244@gmail.com</t>
  </si>
  <si>
    <t>Jl. Raya sungai bakau kecil Rt.031 Rw.002</t>
  </si>
  <si>
    <t>90.228.750.7-704.000</t>
  </si>
  <si>
    <t>Jualan kue online</t>
  </si>
  <si>
    <t>Nita244</t>
  </si>
  <si>
    <t>6102124804970001</t>
  </si>
  <si>
    <t>NORMA ASPRI YANI</t>
  </si>
  <si>
    <t>nrmaspyni@gmail.com</t>
  </si>
  <si>
    <t>Jl. Sungai Limau Rt/Rw 005/002</t>
  </si>
  <si>
    <t>Nama Saya Norma Aspri Yang saya bergabung menjadi mitra BPS pada kegiatan Regsosek 2022 dan sensus pertanian tahun 2023</t>
  </si>
  <si>
    <t>nrmaspyni</t>
  </si>
  <si>
    <t>SUNGAI BANGKONG</t>
  </si>
  <si>
    <t>6171055411880008</t>
  </si>
  <si>
    <t>Novi Sri Wulandari</t>
  </si>
  <si>
    <t>novi14wulan@gmail.com</t>
  </si>
  <si>
    <t>Jalan Putri Candra Midi Gg. wakdalek No 26</t>
  </si>
  <si>
    <t>16.101.626.6-701.000</t>
  </si>
  <si>
    <t>Pernah mengikuti IMK tahunan, menjadi PML kegiatan REGSOSEK, Menjadi PCL kegiatan Sensus Pertanian 2023, menjadi PCL PL-KUMKM</t>
  </si>
  <si>
    <t>Novijuragan</t>
  </si>
  <si>
    <t>6102186411920002</t>
  </si>
  <si>
    <t>Novita diana lestari</t>
  </si>
  <si>
    <t>Novytadiana7@gmail.com</t>
  </si>
  <si>
    <t>Jln bardannadi rt 05 rw 03 pasir panjang mempawah timur</t>
  </si>
  <si>
    <t>95.099.488.9-704.000</t>
  </si>
  <si>
    <t>Novyta_24</t>
  </si>
  <si>
    <t>6102085906990001</t>
  </si>
  <si>
    <t>NOVITA SARI</t>
  </si>
  <si>
    <t>novitasari.ctc@gmail.com</t>
  </si>
  <si>
    <t>Jln. Pendidikan jungkat RT/005 RW/005</t>
  </si>
  <si>
    <t>novita.sari</t>
  </si>
  <si>
    <t>6102124403990003</t>
  </si>
  <si>
    <t>NUR AI'MAH</t>
  </si>
  <si>
    <t>nuraimah97@gmail.com</t>
  </si>
  <si>
    <t>Dusun Mawar Desa Sungai Kunyit Dalam Rt006 Rw002, Desa Sungai Kunyit Dalam, Kecamatan Sungai Kunyit, Kabupaten Mempawah</t>
  </si>
  <si>
    <t>Saya NUR AI'MAH, saat ini saya berusia 24 tahun, yang berdomisili di Sungai Kunyit , Kabupaten Mempawah, Kalimantan Barat. saya seorang pribadi pekerja keras, ulet, rajin, dan tekun dalam menyelesaikan pekerjaan.</t>
  </si>
  <si>
    <t>AIM_99</t>
  </si>
  <si>
    <t>6102016112010003</t>
  </si>
  <si>
    <t>Nur Azizah Fizqy</t>
  </si>
  <si>
    <t>Nurazizah.samsung123@gmail.com</t>
  </si>
  <si>
    <t>Jl M.Thaha</t>
  </si>
  <si>
    <t>93.116.755.5-704.000</t>
  </si>
  <si>
    <t>Jualan Online</t>
  </si>
  <si>
    <t>nfizqy</t>
  </si>
  <si>
    <t>6102014707000001</t>
  </si>
  <si>
    <t>Nur Khalifah</t>
  </si>
  <si>
    <t>khalifahn902@gmail.com</t>
  </si>
  <si>
    <t>Jl.Raden Kusno BTN Bhayangkara Blok F No.16 RT 003/RW 014</t>
  </si>
  <si>
    <t>Kontrak Lepas</t>
  </si>
  <si>
    <t>nrkhalifah</t>
  </si>
  <si>
    <t>6102015506040001</t>
  </si>
  <si>
    <t>Nur Wanda Ismaulia</t>
  </si>
  <si>
    <t>nurwandaismaulia19@gmail.com</t>
  </si>
  <si>
    <t>Jalan G.M.Taufik</t>
  </si>
  <si>
    <t>Isma.04</t>
  </si>
  <si>
    <t>6102016407910001</t>
  </si>
  <si>
    <t>Nurhapiza</t>
  </si>
  <si>
    <t>hapiza423@gmail.com</t>
  </si>
  <si>
    <t>Jl.Raya Senggiring</t>
  </si>
  <si>
    <t>80.845.599.2-704.000</t>
  </si>
  <si>
    <t>6102126510020001</t>
  </si>
  <si>
    <t>Nuriza</t>
  </si>
  <si>
    <t>nurlizaa25@gmail.com</t>
  </si>
  <si>
    <t>Dusun mandala Desa mendalok Rt002/Rw001</t>
  </si>
  <si>
    <t>96.840.383.2-704.000</t>
  </si>
  <si>
    <t>Pernah ikut serta menjadi petugas Lapangan Regsosek dan petugas Pengolah, Petugas Lapangan Sensus Pertanian 2023 dan petugas Pengolahan, dan Petugas PL-KUMKM</t>
  </si>
  <si>
    <t>nurizaa</t>
  </si>
  <si>
    <t>6102085104960002</t>
  </si>
  <si>
    <t>NURLIAN</t>
  </si>
  <si>
    <t>nurlian.neng@gmail.com</t>
  </si>
  <si>
    <t>Jl. Pendidikan jungkat. Rt.005/Rw005</t>
  </si>
  <si>
    <t>nurlian.neng</t>
  </si>
  <si>
    <t>6102074811990003</t>
  </si>
  <si>
    <t>Nurmala</t>
  </si>
  <si>
    <t>nurmalaturrohmah@gmail.com</t>
  </si>
  <si>
    <t>Jl. Madurasa, Desa Sungai Rasau Kecamatan Sungai Pinyuh</t>
  </si>
  <si>
    <t>Semoga saya lolos</t>
  </si>
  <si>
    <t>Mala1</t>
  </si>
  <si>
    <t>6102156308970001</t>
  </si>
  <si>
    <t>Nursia</t>
  </si>
  <si>
    <t>nursiacgr@gmail.com</t>
  </si>
  <si>
    <t>Gedung Intan, RT.015 RW.003</t>
  </si>
  <si>
    <t>Memiliki pengalaman dalam kegiatan bps, sensus Pertanian 2023 dan Sensus UMKM 2023</t>
  </si>
  <si>
    <t>anriinur</t>
  </si>
  <si>
    <t>6102014511840003</t>
  </si>
  <si>
    <t>Nurul Huda</t>
  </si>
  <si>
    <t>kaknurul.mpwh1@gmail.com</t>
  </si>
  <si>
    <t>Jl. A. Rani Kuala Secapah</t>
  </si>
  <si>
    <t>kuala</t>
  </si>
  <si>
    <t>6102075411950003</t>
  </si>
  <si>
    <t>Nurul Ismayunda</t>
  </si>
  <si>
    <t>nurul.ismayunda@gmail.com</t>
  </si>
  <si>
    <t>53.325.239.1-704.000</t>
  </si>
  <si>
    <t>Pada kesempatan ini saya mendaftar menjadi petugas BPS karena ingin belajar dan menambah wawasan serta pengalaman. Sekarang ini saya bekerja di salah satu satuan pendidikan (SD) sebagai Operator Sekolah dan Tenaga Administrasi (Honorer).</t>
  </si>
  <si>
    <t>ismayunda14</t>
  </si>
  <si>
    <t>6102185112020001</t>
  </si>
  <si>
    <t>NURUL SYAFITRI</t>
  </si>
  <si>
    <t>nurulsafitri1012@gmail.com</t>
  </si>
  <si>
    <t>GG. DARUSSALAM RT 011 RW 006</t>
  </si>
  <si>
    <t>62.698.726.7-704.000</t>
  </si>
  <si>
    <t>Semua berkas dan persyaratan sudah dipenuhi.</t>
  </si>
  <si>
    <t>nurulsyafitri</t>
  </si>
  <si>
    <t>6102010808800006</t>
  </si>
  <si>
    <t>Pitra,SP</t>
  </si>
  <si>
    <t>pitra.najla@yahoo.com</t>
  </si>
  <si>
    <t>Parit wak paik rt 012 rw 003</t>
  </si>
  <si>
    <t>15.460.968.9-704.000</t>
  </si>
  <si>
    <t>pitra</t>
  </si>
  <si>
    <t>6171010108790015</t>
  </si>
  <si>
    <t>Prabowo</t>
  </si>
  <si>
    <t>prabowosiradj@gmail.com</t>
  </si>
  <si>
    <t>Jalan Putri Candramidi GG.Wak Dalek No.26</t>
  </si>
  <si>
    <t>57.159.545.3-701.000</t>
  </si>
  <si>
    <t>Pernah mengikuti Survey IMK Tri Wulan, IMK Tahunan</t>
  </si>
  <si>
    <t>Prabowoaj</t>
  </si>
  <si>
    <t>6102184707000001</t>
  </si>
  <si>
    <t>Puja Indryani</t>
  </si>
  <si>
    <t>pujainggriani94@gmail.com</t>
  </si>
  <si>
    <t>Jalan Raya Senggiring, Rt 001/Rw 001</t>
  </si>
  <si>
    <t>Pernah menjadi petugas sensus regsosek dan sensus pertanian sebagai ppl</t>
  </si>
  <si>
    <t>pujaindryani</t>
  </si>
  <si>
    <t>6102084511020001</t>
  </si>
  <si>
    <t>Putri Indah Sari</t>
  </si>
  <si>
    <t>putrie0511@gmail.com</t>
  </si>
  <si>
    <t>Jl. raya wajok hilir</t>
  </si>
  <si>
    <t>swasta</t>
  </si>
  <si>
    <t>putriindahh</t>
  </si>
  <si>
    <t>6102185908990005</t>
  </si>
  <si>
    <t>Putri Wulanda Sari</t>
  </si>
  <si>
    <t>putriwulandasari1999@gmail.com</t>
  </si>
  <si>
    <t>Jl. Mufakat RT 013 RW 007</t>
  </si>
  <si>
    <t>60.482.573.7-704.000</t>
  </si>
  <si>
    <t>Saya berminat dan tertarik untuk bergabung menjadi Mitra Statistik Kab. Mempawah</t>
  </si>
  <si>
    <t>Putriwulandasari999</t>
  </si>
  <si>
    <t>6102015503010001</t>
  </si>
  <si>
    <t>putri wulandari</t>
  </si>
  <si>
    <t>ptriwlandari900@gmail.com</t>
  </si>
  <si>
    <t>Jl. Raya Sengkubang, Gg. Natuna 1</t>
  </si>
  <si>
    <t>p.wulandari15</t>
  </si>
  <si>
    <t>6102070611990004</t>
  </si>
  <si>
    <t>Rafli haikal</t>
  </si>
  <si>
    <t>ikaldedec@gmail.com</t>
  </si>
  <si>
    <t>Jalan parit akop sungai bakau besar darat</t>
  </si>
  <si>
    <t>Semoga segala urusnya bisa berjalan dengan sesuian prosedur nya</t>
  </si>
  <si>
    <t>rafli_haikal</t>
  </si>
  <si>
    <t>6102010805980004</t>
  </si>
  <si>
    <t>Ragil Pangestu</t>
  </si>
  <si>
    <t>ragilpangestu080598@gmail.com</t>
  </si>
  <si>
    <t>Jl Melati</t>
  </si>
  <si>
    <t>Abang kos, gocar, travel</t>
  </si>
  <si>
    <t>Fresh Graduates</t>
  </si>
  <si>
    <t>ragilbau</t>
  </si>
  <si>
    <t>6102186404970003</t>
  </si>
  <si>
    <t>Rahmayani</t>
  </si>
  <si>
    <t>rahmayani.199700@gmail.com</t>
  </si>
  <si>
    <t>Jl Habib Husin RT 001 RW 001</t>
  </si>
  <si>
    <t>Bisa bekerja dalam team</t>
  </si>
  <si>
    <t>rahmayani.199700</t>
  </si>
  <si>
    <t>6102162805870003</t>
  </si>
  <si>
    <t>ranto</t>
  </si>
  <si>
    <t>Rantotalino1987@gmail.com</t>
  </si>
  <si>
    <t>Anjungan Melancar Rt 012 / 004,kecamatan Anjongan Kabupaten Mempawah</t>
  </si>
  <si>
    <t>90.850.449.1-704.000</t>
  </si>
  <si>
    <t>karyawan swasta</t>
  </si>
  <si>
    <t>Membantu BPS dalam mensukseskan program kerja tahun 2024</t>
  </si>
  <si>
    <t>anjongan2024</t>
  </si>
  <si>
    <t>6102066507980001</t>
  </si>
  <si>
    <t>Rara Shati</t>
  </si>
  <si>
    <t>rarashati406@gmail.com</t>
  </si>
  <si>
    <t>Dusun Sepang RT RW 004/001 desa Sepang Kecamatan Toho</t>
  </si>
  <si>
    <t>94.341.763.4-704.000</t>
  </si>
  <si>
    <t>Tidak bisa upload ijazah</t>
  </si>
  <si>
    <t>rara1998</t>
  </si>
  <si>
    <t>6171016910980007</t>
  </si>
  <si>
    <t>Reka Oktavina</t>
  </si>
  <si>
    <t>Rekaoktavina89@gmail.com</t>
  </si>
  <si>
    <t>Jl. Gusti M. Taufik, Terusan, Kec. Mempawah Hilir, Kab. Mempawah, Kalimantan Barat 78912</t>
  </si>
  <si>
    <t>Reka_Oktavina</t>
  </si>
  <si>
    <t>6102161812950005</t>
  </si>
  <si>
    <t>RENDY KURNIAWAN CHIA</t>
  </si>
  <si>
    <t>rendichiaaa8@gmail.com</t>
  </si>
  <si>
    <t>Jalan Anjungan Melancar RT 004/ RW 002</t>
  </si>
  <si>
    <t>Rendichia</t>
  </si>
  <si>
    <t>6102154810010003</t>
  </si>
  <si>
    <t>Resti Okviasari</t>
  </si>
  <si>
    <t>okviasariresti@gmail.com</t>
  </si>
  <si>
    <t>Parit Wa Paik</t>
  </si>
  <si>
    <t>Belum bekerja (Fresh Graduated)</t>
  </si>
  <si>
    <t>Pengalaman pendataan yaitu kegiatan REGSOSEK dan PL-KUMKM</t>
  </si>
  <si>
    <t>Restiokv_</t>
  </si>
  <si>
    <t>6102085007000001</t>
  </si>
  <si>
    <t>Reza Apriyani</t>
  </si>
  <si>
    <t>rezaapriyani1604@gmail.com</t>
  </si>
  <si>
    <t>Jalan Dharma Karya Gang Karya Baru Nomor 21 RT 001 / RW 014</t>
  </si>
  <si>
    <t>rezaapriyani</t>
  </si>
  <si>
    <t>6102162512940001</t>
  </si>
  <si>
    <t>RIAN NATALIUS</t>
  </si>
  <si>
    <t>riannatalius49@gmail.com</t>
  </si>
  <si>
    <t>Loeng, Rt :002/ Rw:001</t>
  </si>
  <si>
    <t>62.886.458.9-704.000</t>
  </si>
  <si>
    <t>Besar harapan saya untuk bisa menjadi mitra BPS. Walaupun belum pernah berpengalaman bekerja sebagai petugas BPS, saya yakin bahwa saya bisa mengemban tugas yang diberikan. Saya merupakan pengurus sebuah kelembagaan di Desa Kepayang.</t>
  </si>
  <si>
    <t>riannat25</t>
  </si>
  <si>
    <t>6102186803020002</t>
  </si>
  <si>
    <t>RIDHA NUR MITHA</t>
  </si>
  <si>
    <t>ridhanurmitha@gmail.com</t>
  </si>
  <si>
    <t>Jl. Pangsuma RT 028/RW 008 Desa Antibar Kecamatan Mempawah Timur</t>
  </si>
  <si>
    <t>Dapat bekerja dengan team</t>
  </si>
  <si>
    <t>ridhanurmitha</t>
  </si>
  <si>
    <t>6102184108910001</t>
  </si>
  <si>
    <t>Ridhawati</t>
  </si>
  <si>
    <t>ridhawati01@gmail.com</t>
  </si>
  <si>
    <t>Jl. Adiwijaya, Pulau Pedalaman RT 004/RW 002 Mempawah Timur</t>
  </si>
  <si>
    <t>85.585.117.4-704.000</t>
  </si>
  <si>
    <t>Yth, Bapak/Ibu Pimpinan, Perkenalkan saya Ridhawati, Saya pernah menjadi PML pada saat kegiatan Regsosek tahun 2022, Saya berminat untuk menjadi bagian dari Mitra BPS. Atas kesempatan dan perhatiannya saya ucapkan Terimakasih ????</t>
  </si>
  <si>
    <t>Ridha_01</t>
  </si>
  <si>
    <t>6102012401000002</t>
  </si>
  <si>
    <t>RIFALDI</t>
  </si>
  <si>
    <t>rifaldi.obem24@gmail.com</t>
  </si>
  <si>
    <t>Dusun Mandala RT 001/RW 001</t>
  </si>
  <si>
    <t>53.322.545.4-704.000</t>
  </si>
  <si>
    <t>Karyawan Honorer</t>
  </si>
  <si>
    <t>rifaldi.obem</t>
  </si>
  <si>
    <t>6102085809970002</t>
  </si>
  <si>
    <t>Rima Melati</t>
  </si>
  <si>
    <t>rimamelati120@gmail.com</t>
  </si>
  <si>
    <t>Jln. Raya sui nipah</t>
  </si>
  <si>
    <t>Ikut mitra BPS dari bln 10 tahun 2022 Regsoseg, sampai UMKM 2023</t>
  </si>
  <si>
    <t>Rimaa</t>
  </si>
  <si>
    <t>6102186307000002</t>
  </si>
  <si>
    <t>Rina Purwanti</t>
  </si>
  <si>
    <t>rinapurwanti235@gmail.com</t>
  </si>
  <si>
    <t>Jalan Habib Husien, Rt 001/ Rw 001</t>
  </si>
  <si>
    <t>62.820.206.1-704.000</t>
  </si>
  <si>
    <t>Pernah menjadi petugas lapangan REGSOSEK dan petugas lapangan UMKM</t>
  </si>
  <si>
    <t>Rina07</t>
  </si>
  <si>
    <t>6102015802940002</t>
  </si>
  <si>
    <t>Risa Yolani</t>
  </si>
  <si>
    <t>risayolani02@gmail.com</t>
  </si>
  <si>
    <t>Jalan Chandramidi</t>
  </si>
  <si>
    <t>risayolani</t>
  </si>
  <si>
    <t>6102086610040002</t>
  </si>
  <si>
    <t>Riska Rahmadani</t>
  </si>
  <si>
    <t>riskarahmadani212@gmail.com</t>
  </si>
  <si>
    <t>Jl. Manunggal X</t>
  </si>
  <si>
    <t>Kaaaaa</t>
  </si>
  <si>
    <t>6102076512000007</t>
  </si>
  <si>
    <t>RISKATURROHMAH</t>
  </si>
  <si>
    <t>riskaredmi03@gmail.com</t>
  </si>
  <si>
    <t>Jl.Gg urut RT003/002</t>
  </si>
  <si>
    <t>Saya siap melaksanakan tugas di mitra bps mempawah pengalaman kemaren di sensus pertanian apa pelajaran saya supaya lbih baik kdpannya dalam menjalankan tugas ini.</t>
  </si>
  <si>
    <t>6102016404020002</t>
  </si>
  <si>
    <t>Risma Aprianti</t>
  </si>
  <si>
    <t>rismaapriantii24@gmail.com</t>
  </si>
  <si>
    <t>Jl. Gusti Asmaun RT 011 RW 004 Desa Malikian Kec. Mempawah Hilir Kab. Mempawah</t>
  </si>
  <si>
    <t>Rismaaprianti_</t>
  </si>
  <si>
    <t>6102070305000002</t>
  </si>
  <si>
    <t>RISZKI_SUHENRA_AMIN</t>
  </si>
  <si>
    <t>aminsuhendra55@gmail.com</t>
  </si>
  <si>
    <t>JL. RAYA SUNGAI BAKAU BESAR LAUT</t>
  </si>
  <si>
    <t>39.403.358.3-704.000</t>
  </si>
  <si>
    <t>semngat bekerja dalam tim. siap bekerja dalam kondisi apapun. dan komunikasi lancar dalam kelompok dalam mencapai tujuan yang di inginkan. dan mudah berkomonikasi kepada kelompok. dan siap bekerja dengan kompeten.</t>
  </si>
  <si>
    <t>RISZKI0305</t>
  </si>
  <si>
    <t>6102015404010004</t>
  </si>
  <si>
    <t>Rita Apriliyanti</t>
  </si>
  <si>
    <t>ritaapriliyanti78@gmail.com</t>
  </si>
  <si>
    <t>Jl. Daeng Menambon, RT 003/RW 002</t>
  </si>
  <si>
    <t>Ritaa14</t>
  </si>
  <si>
    <t>6102071205980001</t>
  </si>
  <si>
    <t>RIZA ALDILLA</t>
  </si>
  <si>
    <t>rizaaldila22@gmail.com</t>
  </si>
  <si>
    <t>GANG KARYATAMA RT 007 RW 006</t>
  </si>
  <si>
    <t>RIZA_ALDILLA</t>
  </si>
  <si>
    <t>6102125605980001</t>
  </si>
  <si>
    <t>Rizka Muliyani</t>
  </si>
  <si>
    <t>riskampw@gmail.com</t>
  </si>
  <si>
    <t>Dusun Suka Tani, Desa Sungai Bundung Laut, RT 006/RW 002, Kec. Sungai Kunyit, Kab. Mempawah, Kalbar</t>
  </si>
  <si>
    <t>52.771.931.2-704.000</t>
  </si>
  <si>
    <t>tida ada</t>
  </si>
  <si>
    <t>Rizman123</t>
  </si>
  <si>
    <t>6102154703000001</t>
  </si>
  <si>
    <t>Rohmi</t>
  </si>
  <si>
    <t>rohmirahma123@gmail.com</t>
  </si>
  <si>
    <t>Jalan Dr.rubini</t>
  </si>
  <si>
    <t>Semua file asli</t>
  </si>
  <si>
    <t>Regrosek2022</t>
  </si>
  <si>
    <t>6102081005960002</t>
  </si>
  <si>
    <t>Rojali</t>
  </si>
  <si>
    <t>rozalizali446@gmail.com</t>
  </si>
  <si>
    <t>Jalan Dharma Karya Gg Karya Baru</t>
  </si>
  <si>
    <t>Bagaimana sistem pendukung penilaian dan pemilihan mitra bps?
 Untuk pelamar mitra baru wajib di beri kesempatan untuk menambah ilmu dan pengetahuan</t>
  </si>
  <si>
    <t>Rojalii</t>
  </si>
  <si>
    <t>6102076009990003</t>
  </si>
  <si>
    <t>Romia</t>
  </si>
  <si>
    <t>dieafahra@gmail.com</t>
  </si>
  <si>
    <t>Dusun Sebukit Rama RT020 RW 008</t>
  </si>
  <si>
    <t>40.329.794.8-704.000</t>
  </si>
  <si>
    <t>kerja cepat, tepat, dapat</t>
  </si>
  <si>
    <t>Dieafahra</t>
  </si>
  <si>
    <t>6102151606920003</t>
  </si>
  <si>
    <t>RUSDIANTO</t>
  </si>
  <si>
    <t>dederusdianto16spd@gmail.com</t>
  </si>
  <si>
    <t>Jalan Pelita RT 20 RW 08</t>
  </si>
  <si>
    <t>95.295.096.2-704.000</t>
  </si>
  <si>
    <t>Saya sudah pernah mengikuti berbagai kegiatan sensus di BPS, mulai dari Sensus Penduduk, Registrasi Sosial Ekonomi, hingga Sensus Pertanian. 
 Secara pribadi saya merasa senang bisa berpartisipasi dalam mensukseskan berbagai kegiatan sensus di BPS.</t>
  </si>
  <si>
    <t>Dede_Rusdianto</t>
  </si>
  <si>
    <t>6102072105960004</t>
  </si>
  <si>
    <t>Ryan Mahendra</t>
  </si>
  <si>
    <t>ryan21hendra@gmail.com</t>
  </si>
  <si>
    <t>Jalan Raya Sungai Bakau Besar Laut RT 08 RW 04</t>
  </si>
  <si>
    <t>Semoga saya bisa melaksanakan tugas dan bekerjasama dengan baik .</t>
  </si>
  <si>
    <t>Ryan_mahendra</t>
  </si>
  <si>
    <t>6102153112860003</t>
  </si>
  <si>
    <t>Sabani</t>
  </si>
  <si>
    <t>Sahbanisulaiman@gmail.com</t>
  </si>
  <si>
    <t>Sungai serok RT005 RW 014</t>
  </si>
  <si>
    <t>83.088.271.8-704.000</t>
  </si>
  <si>
    <t>Tidak punya kerja tetap</t>
  </si>
  <si>
    <t>Benny86</t>
  </si>
  <si>
    <t>6102184204050001</t>
  </si>
  <si>
    <t>Safitri handayani</t>
  </si>
  <si>
    <t>safitrihandayani946@gmail.com</t>
  </si>
  <si>
    <t>Jalan pancha bhaktik rt3 rw2</t>
  </si>
  <si>
    <t>Tidak kerja</t>
  </si>
  <si>
    <t>Semoga ada cinta</t>
  </si>
  <si>
    <t>Safitt</t>
  </si>
  <si>
    <t>6102076007930003</t>
  </si>
  <si>
    <t>Saidah</t>
  </si>
  <si>
    <t>Saidasyakur@gmail.com</t>
  </si>
  <si>
    <t>Sungai bakau besar darat</t>
  </si>
  <si>
    <t>Saya atas nama saidah, ingin bergabung menjadi mitra bps karna saya merasa mampu. Bermodalkan pengalaman pernah menjadi tim penelitian dalam suatu masyarakat, baik mengenai kebudayaan dan kondisi kehidupan masyarakat itu sendiri pada umumnya.</t>
  </si>
  <si>
    <t>Airazara12</t>
  </si>
  <si>
    <t>6102010101880017</t>
  </si>
  <si>
    <t>Saipul anwar</t>
  </si>
  <si>
    <t>ish4k1986@gmail.com</t>
  </si>
  <si>
    <t>Gg al mukminin</t>
  </si>
  <si>
    <t>Saipul_anwar</t>
  </si>
  <si>
    <t>6102014507990007</t>
  </si>
  <si>
    <t>Samsiah</t>
  </si>
  <si>
    <t>Samsiahsyah9@gmail.com</t>
  </si>
  <si>
    <t>Desa Sengkubang RT/RW 016/005 Kecamatan Mempawah Hilir Kabupaten Mempawah Kalimantan Barat</t>
  </si>
  <si>
    <t>Guru Les</t>
  </si>
  <si>
    <t>Saya berminat berminat untuk bergabung sebagai mitra statistik Kab. Mempawah</t>
  </si>
  <si>
    <t>Samsiahsyah</t>
  </si>
  <si>
    <t>6102153103970001</t>
  </si>
  <si>
    <t>SAMSUL BAHRI</t>
  </si>
  <si>
    <t>solehansamsir@gmail.com</t>
  </si>
  <si>
    <t>Parit Pelita</t>
  </si>
  <si>
    <t>Mitra BPS</t>
  </si>
  <si>
    <t>Siap melaksakan tugas dngn tanggung jawab</t>
  </si>
  <si>
    <t>Samsulll</t>
  </si>
  <si>
    <t>6102016507970002</t>
  </si>
  <si>
    <t>Sari Rahmawati</t>
  </si>
  <si>
    <t>sarirahmawati815@gmail.com</t>
  </si>
  <si>
    <t>saya berharap besar dapat bergabung dengan bps mempawah</t>
  </si>
  <si>
    <t>sarirahmawati815</t>
  </si>
  <si>
    <t>6102122105073591</t>
  </si>
  <si>
    <t>Sartika Turrahmi</t>
  </si>
  <si>
    <t>Ika31777@gmail.com</t>
  </si>
  <si>
    <t>Jalan Raya Sungai Limau Rt/04 Rw/02</t>
  </si>
  <si>
    <t>SartikaTurrahmi</t>
  </si>
  <si>
    <t>6102080505980004</t>
  </si>
  <si>
    <t>Satriya</t>
  </si>
  <si>
    <t>satriyatali98@gmail.com</t>
  </si>
  <si>
    <t>Jl.parit suka maju</t>
  </si>
  <si>
    <t>Satriya.</t>
  </si>
  <si>
    <t>6207015109940001</t>
  </si>
  <si>
    <t>SEFTIN DWI YULIANI</t>
  </si>
  <si>
    <t>seftin.dwiyuliani11@gmail.com</t>
  </si>
  <si>
    <t>Asmil Yonkav 12BC/Jalan Peniti Luar KM 29 RT. 008 RW. 002</t>
  </si>
  <si>
    <t>94.655.247.8-018.000</t>
  </si>
  <si>
    <t>seftin</t>
  </si>
  <si>
    <t>6102165309030001</t>
  </si>
  <si>
    <t>SEFTY ECA PUTRI</t>
  </si>
  <si>
    <t>seftyeca59@gmail.com</t>
  </si>
  <si>
    <t>Jalan beringin 2</t>
  </si>
  <si>
    <t>Seftyeca</t>
  </si>
  <si>
    <t>6102176606880001</t>
  </si>
  <si>
    <t>Seliana</t>
  </si>
  <si>
    <t>seliana54@gmail.com</t>
  </si>
  <si>
    <t>Dsn.Tikalong RT/RW:02/01</t>
  </si>
  <si>
    <t>Selalu mengutamakan tanggung jawab</t>
  </si>
  <si>
    <t>Ansiap</t>
  </si>
  <si>
    <t>6102154404010001</t>
  </si>
  <si>
    <t>SELLA ANRIA</t>
  </si>
  <si>
    <t>sella.anria28@gmail.com</t>
  </si>
  <si>
    <t>Gang Nelayan, Sungai Purun Besar</t>
  </si>
  <si>
    <t>Honor</t>
  </si>
  <si>
    <t>Sella_anria</t>
  </si>
  <si>
    <t>6102125606040001</t>
  </si>
  <si>
    <t>SELVIRA HENDINI</t>
  </si>
  <si>
    <t>selvirahendinii@gmail.com</t>
  </si>
  <si>
    <t>Sungai Kunyit, Dusun Tenang</t>
  </si>
  <si>
    <t>Selviracantik06</t>
  </si>
  <si>
    <t>6101134109000002</t>
  </si>
  <si>
    <t>Sepri Nanda</t>
  </si>
  <si>
    <t>septrinnd019@gmail.com</t>
  </si>
  <si>
    <t>Parit Tayan Peniti Luar</t>
  </si>
  <si>
    <t>Septri_nanda</t>
  </si>
  <si>
    <t>6102125302010002</t>
  </si>
  <si>
    <t>sevhia aprindu</t>
  </si>
  <si>
    <t>sevhiaaprindu144@gmail.com</t>
  </si>
  <si>
    <t>Sungai Bundung Laut RT 05 RW 02</t>
  </si>
  <si>
    <t>fia13</t>
  </si>
  <si>
    <t>6102161703760001</t>
  </si>
  <si>
    <t>Shofyansyah</t>
  </si>
  <si>
    <t>syan29531@gmail.com</t>
  </si>
  <si>
    <t>Jalan beringin 2 pu rt 09 rw 02</t>
  </si>
  <si>
    <t>15.585.557.0-704.000</t>
  </si>
  <si>
    <t>Shofyan</t>
  </si>
  <si>
    <t>6102070505960005</t>
  </si>
  <si>
    <t>Shohibul anam</t>
  </si>
  <si>
    <t>Shohibulanam480@gmail.com</t>
  </si>
  <si>
    <t>Sungai rasau</t>
  </si>
  <si>
    <t>Semoga bise menjadi bagian dari BPS</t>
  </si>
  <si>
    <t>Shohibul_anam</t>
  </si>
  <si>
    <t>6102074204960006</t>
  </si>
  <si>
    <t>Sifatul jannah</t>
  </si>
  <si>
    <t>Ahmadnanda34@gmail.com</t>
  </si>
  <si>
    <t>Jl padat karya</t>
  </si>
  <si>
    <t>Belum ada</t>
  </si>
  <si>
    <t>Bahagia bisa bergabung</t>
  </si>
  <si>
    <t>Sifatul</t>
  </si>
  <si>
    <t>6102125602980001</t>
  </si>
  <si>
    <t>SINTIA FEBIOLA</t>
  </si>
  <si>
    <t>febiolasintia92@gmail.com</t>
  </si>
  <si>
    <t>Dusun cempaka RT/RW 007/003 Desa sungai kunyit dalam</t>
  </si>
  <si>
    <t>Pernah menjadi petugas lapangan pendataan awal registrasi sosial ekonomi (regsosek) th 2022,sensus pertanian dan sensus PL-KUMKM th 2023</t>
  </si>
  <si>
    <t>sintiafebiola</t>
  </si>
  <si>
    <t>6112096709960005</t>
  </si>
  <si>
    <t>sintia miramis</t>
  </si>
  <si>
    <t>keycimomo@gmail.com</t>
  </si>
  <si>
    <t>Jl. padat karya</t>
  </si>
  <si>
    <t>tidak</t>
  </si>
  <si>
    <t>semoga rezeki bisa lolos, kalau belum lolos berarti bukan rezeki, yang penting sudah usaha.</t>
  </si>
  <si>
    <t>Tya27</t>
  </si>
  <si>
    <t>6102165105980002</t>
  </si>
  <si>
    <t>Siti Daniastiti</t>
  </si>
  <si>
    <t>dhaniastiti@gmail.com</t>
  </si>
  <si>
    <t>Jl Pramuka Rt 10 Rw 02</t>
  </si>
  <si>
    <t>61.121.528.4-704.000</t>
  </si>
  <si>
    <t>Siti_Daniastiti</t>
  </si>
  <si>
    <t>6102126906030001</t>
  </si>
  <si>
    <t>Siti Nursyella</t>
  </si>
  <si>
    <t>sitinursyella29@gmail.com</t>
  </si>
  <si>
    <t>Dusun pembangunan desa sungai limau RT 003/RW 001</t>
  </si>
  <si>
    <t>Nama saya Siti Nursyella saya perna bergabung menjadi mitra BPS kegiatan Regsosek 2022</t>
  </si>
  <si>
    <t>sitinursyella29</t>
  </si>
  <si>
    <t>6102124905000001</t>
  </si>
  <si>
    <t>Siti Rahmah</t>
  </si>
  <si>
    <t>rahma.mpw@gmail.com</t>
  </si>
  <si>
    <t>Sungai Bundung Laut, Jl.Long Ikif Gg.M.Ali Usman RT 04 RW 01</t>
  </si>
  <si>
    <t>rahmasiti</t>
  </si>
  <si>
    <t>6102125405980003</t>
  </si>
  <si>
    <t>Siti Rohmah</t>
  </si>
  <si>
    <t>sitirohmahrsmei14@gmail.com</t>
  </si>
  <si>
    <t>Jalan Sungai Duri I, Kec. Sungai Kunyit, Kab. Mempawah, Kalimantan Barat</t>
  </si>
  <si>
    <t>Pengalaman Kerja Di BPS : 
 - Ikut serta dalam kegiatan Regsosek tahun 2022 sebagai PPL</t>
  </si>
  <si>
    <t>sitirohmahrs</t>
  </si>
  <si>
    <t>3522135603910008</t>
  </si>
  <si>
    <t>Siti Rohmawati</t>
  </si>
  <si>
    <t>rahmawati.1627@gmail.com</t>
  </si>
  <si>
    <t>Jl. Saliung rt 09 rw 05</t>
  </si>
  <si>
    <t>82.575.898.0-704.000</t>
  </si>
  <si>
    <t>Nengrahma</t>
  </si>
  <si>
    <t>6102125701000001</t>
  </si>
  <si>
    <t>SITI SAIYIDATI ATQIYA'I</t>
  </si>
  <si>
    <t>sitisaiyidati@gmail.com</t>
  </si>
  <si>
    <t>DUSUN DUTA DESA SUNGAI DUNGUN</t>
  </si>
  <si>
    <t>Dati-17</t>
  </si>
  <si>
    <t>6102124603980004</t>
  </si>
  <si>
    <t>Siti Utari Fitriani</t>
  </si>
  <si>
    <t>sufitriani63@gmail.com</t>
  </si>
  <si>
    <t>Jalan manunggal Xll Dusun Melati Rt 001 / Rw 001 Desa Sungai Kunyit Dalam</t>
  </si>
  <si>
    <t>Tari_63</t>
  </si>
  <si>
    <t>6102125704030001</t>
  </si>
  <si>
    <t>Siti Yunita</t>
  </si>
  <si>
    <t>sitiyunita204@gmail.com</t>
  </si>
  <si>
    <t>Jl. Raya Desa Sungai Limau RT 03 RW 01</t>
  </si>
  <si>
    <t>sitiyunita204</t>
  </si>
  <si>
    <t>6102175404970001</t>
  </si>
  <si>
    <t>SOVIANA AYUNI</t>
  </si>
  <si>
    <t>sovianaayuni568@gmail.com</t>
  </si>
  <si>
    <t>Dusun Satak RT/RW 004/002</t>
  </si>
  <si>
    <t>Semoga saya bisa diterima di bps kabupaten mempawah</t>
  </si>
  <si>
    <t>Soviana</t>
  </si>
  <si>
    <t>6102076011830001</t>
  </si>
  <si>
    <t>Sri ratna dewi</t>
  </si>
  <si>
    <t>dewioelzim313@gmail.com</t>
  </si>
  <si>
    <t>Jalan siliwangi Rt 005 Rw 002</t>
  </si>
  <si>
    <t>55.341.077.0-704.000</t>
  </si>
  <si>
    <t>Menjadi mitra BPS dr tahun 2016</t>
  </si>
  <si>
    <t>Sriratna</t>
  </si>
  <si>
    <t>6102124712990001</t>
  </si>
  <si>
    <t>Suci Awalia</t>
  </si>
  <si>
    <t>suciawalia07@gmail.com</t>
  </si>
  <si>
    <t>Jalan Raya Sungai Kunyit Laut RT 007 RW 004</t>
  </si>
  <si>
    <t>Suciawalia07.</t>
  </si>
  <si>
    <t>6102016610010005</t>
  </si>
  <si>
    <t>Suci indah pratiwi</t>
  </si>
  <si>
    <t>sucitiwi2626@gmail.com</t>
  </si>
  <si>
    <t>Jl. Raden kusno No.17</t>
  </si>
  <si>
    <t>99.216.380.8-704.000</t>
  </si>
  <si>
    <t>Meskipun saya belum pernah memiliki pengalaman kerja di BPS , tetapi saya yakin dengan usaha dan semangat yang saya miliki saya mampu menjalankan pekerjaan dengan baik dan tekun. Terimakasih</t>
  </si>
  <si>
    <t>Suciindahpratiwi</t>
  </si>
  <si>
    <t>6102171003900002</t>
  </si>
  <si>
    <t>Sugianto</t>
  </si>
  <si>
    <t>sugiantosadaniang@gmail.com</t>
  </si>
  <si>
    <t>Jln raya dusun Nangka</t>
  </si>
  <si>
    <t>86.142.897.7-704.000</t>
  </si>
  <si>
    <t>Sugiantosinaga</t>
  </si>
  <si>
    <t>6104123003950001</t>
  </si>
  <si>
    <t>SUHAIMI</t>
  </si>
  <si>
    <t>suhaimi13dofer@gmail.com</t>
  </si>
  <si>
    <t>Peladis Rt/Rw 013/003</t>
  </si>
  <si>
    <t>Pernah ikut Sensus PLUMKM</t>
  </si>
  <si>
    <t>Suhaimi13</t>
  </si>
  <si>
    <t>3402135601880001</t>
  </si>
  <si>
    <t>SUKMAWATI,S.SI</t>
  </si>
  <si>
    <t>denok8881@gmail.com</t>
  </si>
  <si>
    <t>Jl. Unggas ambalau btn primadaya blok c2</t>
  </si>
  <si>
    <t>Denok_sukma88</t>
  </si>
  <si>
    <t>6102074307840004</t>
  </si>
  <si>
    <t>Sulis tri handayani</t>
  </si>
  <si>
    <t>sulisoppoa15s@gmail.com</t>
  </si>
  <si>
    <t>Gang tani RT 013 RW 006</t>
  </si>
  <si>
    <t>-sulisoppo</t>
  </si>
  <si>
    <t>6102150903900004</t>
  </si>
  <si>
    <t>Supianto</t>
  </si>
  <si>
    <t>supiantoiyan90@gmail.com</t>
  </si>
  <si>
    <t>Jalan Kebun Jeruk, Parit Makmur, Desa Purun Besar</t>
  </si>
  <si>
    <t>Supiantoiyan</t>
  </si>
  <si>
    <t>6102122510950002</t>
  </si>
  <si>
    <t>Suryansah</t>
  </si>
  <si>
    <t>Suryansah.untan@gmail.com</t>
  </si>
  <si>
    <t>Jalan Dusun Maya Sari Desa Sei Bundung RT. 04 RW. 01</t>
  </si>
  <si>
    <t>95.815.293.6-704.000</t>
  </si>
  <si>
    <t>Suryansah123</t>
  </si>
  <si>
    <t>6102126204000002</t>
  </si>
  <si>
    <t>Sutty Ahsanunnadia</t>
  </si>
  <si>
    <t>nadiasutiahsanun@gmail.com</t>
  </si>
  <si>
    <t>Dusun Suka Tani Rt 005 Rw 002 Desa Sungai Bundung Laut</t>
  </si>
  <si>
    <t>Nadiasutty</t>
  </si>
  <si>
    <t>6102011907910002</t>
  </si>
  <si>
    <t>Suyehdi</t>
  </si>
  <si>
    <t>suyehdi91@gmail.com</t>
  </si>
  <si>
    <t>Jalan Raden Patih Gumentar Desa Pasir Rt.14 Rw.05</t>
  </si>
  <si>
    <t>63.724.947.5-704.000</t>
  </si>
  <si>
    <t>Yahdi_Haseeb</t>
  </si>
  <si>
    <t>6109012205070001</t>
  </si>
  <si>
    <t>SYAIPUL</t>
  </si>
  <si>
    <t>yourbaeesyaipul@gmail.com</t>
  </si>
  <si>
    <t>Dusun Bemban</t>
  </si>
  <si>
    <t>BARISTA</t>
  </si>
  <si>
    <t>SAYA HARAP LAMARAN SAYA DIBACA,DAN DAPAT DITERIMA, TERIMA KASIH</t>
  </si>
  <si>
    <t>SYAIPULL</t>
  </si>
  <si>
    <t>6102150907860003</t>
  </si>
  <si>
    <t>SYAMSUL</t>
  </si>
  <si>
    <t>syamsulumar86@gmail.com</t>
  </si>
  <si>
    <t>Sungai kunyit laut</t>
  </si>
  <si>
    <t>41.634.897.7-704.000</t>
  </si>
  <si>
    <t>syamsulumar86</t>
  </si>
  <si>
    <t>6102072308880003</t>
  </si>
  <si>
    <t>Syamsul Arifin</t>
  </si>
  <si>
    <t>djsyamsularifin5@gmail.com</t>
  </si>
  <si>
    <t>Jalan haji baiduri RT 01 RW 01 peniraman</t>
  </si>
  <si>
    <t>85.829.863.1-704.000</t>
  </si>
  <si>
    <t>Bersama BPS mulai dari 2010 sensus penduduk lanjut 2013 sensus pertanian, sensus penduduk 2020, regsosek 2022 sampai sekarang PL-KUMKM 2023</t>
  </si>
  <si>
    <t>Luthfi6128</t>
  </si>
  <si>
    <t>6102084512950002</t>
  </si>
  <si>
    <t>Syarifah Desti Pratiwi</t>
  </si>
  <si>
    <t>syarifahdestipratiwi@gmail.com</t>
  </si>
  <si>
    <t>Jl. Pendidikan Jungkat Rt 004/005</t>
  </si>
  <si>
    <t>60.878.820.4-704.000</t>
  </si>
  <si>
    <t>Syarifahdestipratiwi</t>
  </si>
  <si>
    <t>6102014502040001</t>
  </si>
  <si>
    <t>SYARIFAH FEBRIYANA</t>
  </si>
  <si>
    <t>h1091221023@student.untan.ac.id</t>
  </si>
  <si>
    <t>JL. M. THAHA RT 029 / RW 001</t>
  </si>
  <si>
    <t>Mahasiswa Program Studi Statistika Universitas Tanjungpura</t>
  </si>
  <si>
    <t>syf.feby</t>
  </si>
  <si>
    <t>6102127108980003</t>
  </si>
  <si>
    <t>syarifah meri wardiani</t>
  </si>
  <si>
    <t>syarifahmerry310898@gmail.com</t>
  </si>
  <si>
    <t>dusun tenang desa sungai kunyit laut RT 004/ RW 002 Desa Sungai Kunyit Laut Kecamatan Sungai Kunyit</t>
  </si>
  <si>
    <t>kasir</t>
  </si>
  <si>
    <t>merry31</t>
  </si>
  <si>
    <t>6102184406020004</t>
  </si>
  <si>
    <t>syarifah utari dewi</t>
  </si>
  <si>
    <t>syarifahutari123@gmail.com</t>
  </si>
  <si>
    <t>jalan boyan</t>
  </si>
  <si>
    <t>syarifahutaridewi</t>
  </si>
  <si>
    <t>6102010501050001</t>
  </si>
  <si>
    <t>Tegar Kurniawan</t>
  </si>
  <si>
    <t>krwntegar@gmail.com</t>
  </si>
  <si>
    <t>Dusun Suka Damai, RT.005/RW.002 Desa Sengkubang</t>
  </si>
  <si>
    <t>Besar harapan saya untuk dapat bergabung sebagai calon mitra BPS Kabupaten Mempawah tahun 2024</t>
  </si>
  <si>
    <t>krwntegar</t>
  </si>
  <si>
    <t>6102174604010003</t>
  </si>
  <si>
    <t>Tesa</t>
  </si>
  <si>
    <t>tesacristy@gmail.com</t>
  </si>
  <si>
    <t>Dusun muru RT 005 RW 002 desa pentek</t>
  </si>
  <si>
    <t>Tesaa</t>
  </si>
  <si>
    <t>6102016603990004</t>
  </si>
  <si>
    <t>Thama Riewanty Oesman</t>
  </si>
  <si>
    <t>thamariewanty26@gmail.com</t>
  </si>
  <si>
    <t>Jalan Raden Sujarwo, Komp Bali permai B5</t>
  </si>
  <si>
    <t>Pernah mengikuti PL-KUMKM 2023</t>
  </si>
  <si>
    <t>thamariewanty</t>
  </si>
  <si>
    <t>2103054211960001</t>
  </si>
  <si>
    <t>Titi Khairunnisa</t>
  </si>
  <si>
    <t>Titikhairunnisa.02@gmail.com</t>
  </si>
  <si>
    <t>Jalan Kebun Jeruk, Parit Makmur, Desa Purun Besar, Kecamatan Segedong, Kabupaten Mempawah.</t>
  </si>
  <si>
    <t>Titi_Khairunnisa</t>
  </si>
  <si>
    <t>6102182403950001</t>
  </si>
  <si>
    <t>TOHIR</t>
  </si>
  <si>
    <t>toinkalapola@gmail.com</t>
  </si>
  <si>
    <t>Jl.raya sungai bakau kecil</t>
  </si>
  <si>
    <t>42.568.940.3-704.000</t>
  </si>
  <si>
    <t>Tidak terikat kerja</t>
  </si>
  <si>
    <t>6102070508850002</t>
  </si>
  <si>
    <t>TOHIR AZIS</t>
  </si>
  <si>
    <t>thohirsasongko@gmail.com</t>
  </si>
  <si>
    <t>jalan siliwangi sungai rasau RT 007 RW 003</t>
  </si>
  <si>
    <t>73.246.861.6-701.000</t>
  </si>
  <si>
    <t>kepada yg terhormat tim seleksi mitra BPS dengan ini saya mendaftar kan diri sebagai calon petugas mitra BPS dengan berkas yg sudah di isi dan berkometmen bekerja dengan sungguh sungguh dan profesional sesuai dengan ketentuan yg ada oleh pihak BPS...</t>
  </si>
  <si>
    <t>tohirsasongko</t>
  </si>
  <si>
    <t>6102061112840001</t>
  </si>
  <si>
    <t>Toniatus</t>
  </si>
  <si>
    <t>tonietos@gmail.com</t>
  </si>
  <si>
    <t>Jalan Raya Desa Benuang</t>
  </si>
  <si>
    <t>Anggota BPD</t>
  </si>
  <si>
    <t>6102010907900002</t>
  </si>
  <si>
    <t>Umar syahidin</t>
  </si>
  <si>
    <t>umarsyahidin@gmail.com</t>
  </si>
  <si>
    <t>Jalan Adjelani BTN Mempawah Permai</t>
  </si>
  <si>
    <t>Umarsyahidin</t>
  </si>
  <si>
    <t>6102074806020005</t>
  </si>
  <si>
    <t>Uswatun hasanah</t>
  </si>
  <si>
    <t>uswah73.spy189@gmail.com</t>
  </si>
  <si>
    <t>Jl raya peniraman rt06/rw03</t>
  </si>
  <si>
    <t>Uswa08</t>
  </si>
  <si>
    <t>6102086810980002</t>
  </si>
  <si>
    <t>Utami Angraini</t>
  </si>
  <si>
    <t>anggraini.utami28@gmail.com</t>
  </si>
  <si>
    <t>Jalan Raya Jungkat</t>
  </si>
  <si>
    <t>utamian</t>
  </si>
  <si>
    <t>6102184107860001</t>
  </si>
  <si>
    <t>Utin Apridayani</t>
  </si>
  <si>
    <t>utinapridayani.mempawah@gmail.com</t>
  </si>
  <si>
    <t>Jl. A. Djelani</t>
  </si>
  <si>
    <t>Orang dinas, mohon untuk diluluskan karena membantu kegiatan PIT yang rutin</t>
  </si>
  <si>
    <t>utinapridayani.mempawah</t>
  </si>
  <si>
    <t>6102125604010002</t>
  </si>
  <si>
    <t>Veti Ningsi</t>
  </si>
  <si>
    <t>vetiningsi01@gmail.com</t>
  </si>
  <si>
    <t>Desa Sungai Bundung Laut, RT 003 RW 01 Dusun Maya Sari</t>
  </si>
  <si>
    <t>vetiningsi</t>
  </si>
  <si>
    <t>6102075701000003</t>
  </si>
  <si>
    <t>Vicky Maulaya Warsi</t>
  </si>
  <si>
    <t>vickimaulayaw@gmail.com</t>
  </si>
  <si>
    <t>Tidak Pekerja</t>
  </si>
  <si>
    <t>Vickymaulayawarsi</t>
  </si>
  <si>
    <t>6102084207980006</t>
  </si>
  <si>
    <t>Vika Rizkiani</t>
  </si>
  <si>
    <t>vikarizkiani3@gmail.com</t>
  </si>
  <si>
    <t>Jln parit bilal gg pangkalan mas</t>
  </si>
  <si>
    <t>Vikarizkiani3</t>
  </si>
  <si>
    <t>6102062610970001</t>
  </si>
  <si>
    <t>Vikram Aris Munandar</t>
  </si>
  <si>
    <t>fikramaris1@gmail.com</t>
  </si>
  <si>
    <t>Desa Sambora kecamatan toho kabupaten mempawah</t>
  </si>
  <si>
    <t>63.228.346.1-704.000</t>
  </si>
  <si>
    <t>Desa Sambora Kecamatan Toho</t>
  </si>
  <si>
    <t>Vikram_Aris_munandar</t>
  </si>
  <si>
    <t>6102080403990002</t>
  </si>
  <si>
    <t>Vikri Manggala</t>
  </si>
  <si>
    <t>vmanggala97@gmail.com</t>
  </si>
  <si>
    <t>Jalan Parit Brahima</t>
  </si>
  <si>
    <t>vikri0403</t>
  </si>
  <si>
    <t>6102185206990002</t>
  </si>
  <si>
    <t>VIVI AYU LESTARI</t>
  </si>
  <si>
    <t>viviayya50@gmail.com</t>
  </si>
  <si>
    <t>Jalan Raden Adinata, Rt 002/Rw 001</t>
  </si>
  <si>
    <t>viviayulestari_</t>
  </si>
  <si>
    <t>6102082610000001</t>
  </si>
  <si>
    <t>Wafa</t>
  </si>
  <si>
    <t>wafa10jax@gmail.com</t>
  </si>
  <si>
    <t>Jalan Ampera, Gg Empat</t>
  </si>
  <si>
    <t>wafaazharie</t>
  </si>
  <si>
    <t>6102016709820002</t>
  </si>
  <si>
    <t>Wahida</t>
  </si>
  <si>
    <t>Idasandra26@yahoo.com</t>
  </si>
  <si>
    <t>Jalan bawal rt 12 rw 10 kel. Terusan</t>
  </si>
  <si>
    <t>94.027.497.0-704.000</t>
  </si>
  <si>
    <t>Saya juga kader dri BKKBN dan sering ikut dalam pendataan untuk pemilu semoga x ni bisa ikut berpatisipasi di BPS</t>
  </si>
  <si>
    <t>IdaSandra26</t>
  </si>
  <si>
    <t>6102010802760001</t>
  </si>
  <si>
    <t>Wandi Syafari</t>
  </si>
  <si>
    <t>wandisyafari@gmail.com</t>
  </si>
  <si>
    <t>WandiSyafari</t>
  </si>
  <si>
    <t>6171016806780011</t>
  </si>
  <si>
    <t>Wenny Jenmery</t>
  </si>
  <si>
    <t>jenmeryw@gmail.com</t>
  </si>
  <si>
    <t>Jl. Alfalah 1</t>
  </si>
  <si>
    <t>Aller123</t>
  </si>
  <si>
    <t>6112010401940005</t>
  </si>
  <si>
    <t>WIDY RIFHALDI</t>
  </si>
  <si>
    <t>widyrifhaldi@gmail.com</t>
  </si>
  <si>
    <t>Jl. Raya Peniraman Rt 010 Rw 005</t>
  </si>
  <si>
    <t>76.314.611.5-704.000</t>
  </si>
  <si>
    <t>Tenaga Kontrak</t>
  </si>
  <si>
    <t>izin untuk bergabung menjadi mitra BPS</t>
  </si>
  <si>
    <t>widy.rifhaldi</t>
  </si>
  <si>
    <t>6102016812990001</t>
  </si>
  <si>
    <t>Winda Dwi Ananda</t>
  </si>
  <si>
    <t>anandawnd99@gmail.com</t>
  </si>
  <si>
    <t>Jl. Raya Penibung Dusun Dewa Rt 007 Rw 003</t>
  </si>
  <si>
    <t>Kegiatan di BPS Mempawah yang pernah saya ikuti adalah, SUSENAS, SERUTI, REGSOSEK, FKP REGSOSEK, PENGOLAHAN SENSUS PERTANIAN, PL-KUMKM</t>
  </si>
  <si>
    <t>Windadwiananda</t>
  </si>
  <si>
    <t>6102185010990003</t>
  </si>
  <si>
    <t>Winten</t>
  </si>
  <si>
    <t>wintensh71@gmail.com</t>
  </si>
  <si>
    <t>Jl.padat karya, rt.008/rw.004, Desa Pasir Panjang kec.Mempawah timur</t>
  </si>
  <si>
    <t>Les privat</t>
  </si>
  <si>
    <t>Saya berminat untuk bergabung sebagai mitra statistik kab.mempawah</t>
  </si>
  <si>
    <t>winten</t>
  </si>
  <si>
    <t>6102074803980002</t>
  </si>
  <si>
    <t>Yanti</t>
  </si>
  <si>
    <t>Kusumabelvaniay@gmail.com</t>
  </si>
  <si>
    <t>Gang keluarga</t>
  </si>
  <si>
    <t>65.750.145.8-702.000</t>
  </si>
  <si>
    <t>Saya yanti mampu bekerjasama dan koordinasi dalam tim serta bekomunikasi dengan baik siap bekerja dibawah tekanan dan menyelesaikan tangungjawab target yang ditentukan , sudah berpengalaman di BPS</t>
  </si>
  <si>
    <t>Yantikusuma</t>
  </si>
  <si>
    <t>6102185604990001</t>
  </si>
  <si>
    <t>Yeni Lestari</t>
  </si>
  <si>
    <t>lestariyeni806@gmail.com</t>
  </si>
  <si>
    <t>Jln Djohansyah Bakri RT 19/RW 006</t>
  </si>
  <si>
    <t>62.808.668.8-704.000</t>
  </si>
  <si>
    <t>Semoga Sukses</t>
  </si>
  <si>
    <t>Yenilestari</t>
  </si>
  <si>
    <t>6102065611950003</t>
  </si>
  <si>
    <t>Yeni rianti</t>
  </si>
  <si>
    <t>Yenirianti2021@gmail.com</t>
  </si>
  <si>
    <t>Kecurit, RT 001/RW 001 desa kecurit kecamatan toho</t>
  </si>
  <si>
    <t>Pelayan</t>
  </si>
  <si>
    <t>Pernah menjadi mitra bps.</t>
  </si>
  <si>
    <t>Yenirianti</t>
  </si>
  <si>
    <t>6102076009960001</t>
  </si>
  <si>
    <t>YENNI</t>
  </si>
  <si>
    <t>YENNI071218@GMAIL.COM</t>
  </si>
  <si>
    <t>Sungai Pinyuh Kampung Api-Api</t>
  </si>
  <si>
    <t>Semoga diterima dan terima kasih</t>
  </si>
  <si>
    <t>Yenni09</t>
  </si>
  <si>
    <t>6102166606970001</t>
  </si>
  <si>
    <t>YESHIKA RACHELYA RIANI</t>
  </si>
  <si>
    <t>jeshikariani@gmail.com</t>
  </si>
  <si>
    <t>JALAN HARAPAN ANJUNGAN DALAM</t>
  </si>
  <si>
    <t>60.277.492.9-704.000</t>
  </si>
  <si>
    <t>yeshika</t>
  </si>
  <si>
    <t>6102165701980001</t>
  </si>
  <si>
    <t>Yona Thessia</t>
  </si>
  <si>
    <t>yonathessia1998@gmail.com</t>
  </si>
  <si>
    <t>Gg. Loweng, RT 002/RW 001, Desa Kepayang</t>
  </si>
  <si>
    <t>Yona98</t>
  </si>
  <si>
    <t>6102010508920002</t>
  </si>
  <si>
    <t>Yotta Lutfi Yanta</t>
  </si>
  <si>
    <t>lutfy199294@gmail.com</t>
  </si>
  <si>
    <t>Jl.Raden Kusno BTN Bhayangkara Asri Blok K4</t>
  </si>
  <si>
    <t>SEMOGA SAYA BISA BERGABUNG DI BPS...AMIN</t>
  </si>
  <si>
    <t>lutfyjrs</t>
  </si>
  <si>
    <t>6108011805800004</t>
  </si>
  <si>
    <t>Yudi Wahyudi</t>
  </si>
  <si>
    <t>yudiwahyudiafrizal@gmail.com</t>
  </si>
  <si>
    <t>Jl.Mahad RT.006/RW.002 Sungai Bakau Besar Laut</t>
  </si>
  <si>
    <t>15.463.512.2-705.000</t>
  </si>
  <si>
    <t>saya sudah bergabung sebagai mitra BPS kabupaten Mempawah sejak Tahun 2018</t>
  </si>
  <si>
    <t>Yudi442010</t>
  </si>
  <si>
    <t>6102084907000001</t>
  </si>
  <si>
    <t>Yuli Amelia</t>
  </si>
  <si>
    <t>yuliamel0907@gmail.com</t>
  </si>
  <si>
    <t>Jalan raya Wajok hulu</t>
  </si>
  <si>
    <t>Saya siap untuk bekerja dalam bidang apa pun, dengan kemauan yang besar, bertanggung jawab dengan pekerjaan saya, dan cepat dalam beradaptasi.</t>
  </si>
  <si>
    <t>Amelia970</t>
  </si>
  <si>
    <t>6102184507970001</t>
  </si>
  <si>
    <t>Yulia Novita</t>
  </si>
  <si>
    <t>Novitayulia072@gmail.com</t>
  </si>
  <si>
    <t>Jl. Bemban Rt 015 Rw 004</t>
  </si>
  <si>
    <t>Saya Pernah Mendaftar Sensus Pertanian, Namun Karena Kebutuhan Terbatas dan Saya Tidak Memiliki Pengalaman di BPS Maka saya tidak mengikuti Tahapan Selanjutnya.</t>
  </si>
  <si>
    <t>NovitaYulia</t>
  </si>
  <si>
    <t>6102075812980003</t>
  </si>
  <si>
    <t>Yuliana</t>
  </si>
  <si>
    <t>yuliana.spy11@gmail.com</t>
  </si>
  <si>
    <t>Jalan swadaya I dusun II Rt 002 Rw 04</t>
  </si>
  <si>
    <t>40.481.426.1-704.000</t>
  </si>
  <si>
    <t>Yuliana13</t>
  </si>
  <si>
    <t>6102156207000001</t>
  </si>
  <si>
    <t>Yuly wacaningtias</t>
  </si>
  <si>
    <t>Yuly.yy23@gmail.com</t>
  </si>
  <si>
    <t>Parit bujur Rt 001/ Rw 003</t>
  </si>
  <si>
    <t>Yulyw</t>
  </si>
  <si>
    <t>6101134806960003</t>
  </si>
  <si>
    <t>Yuni Astuti</t>
  </si>
  <si>
    <t>yuniastuti0896@gmail.com</t>
  </si>
  <si>
    <t>Parit Tayan, Peniti Luar</t>
  </si>
  <si>
    <t>Jualan kue</t>
  </si>
  <si>
    <t>Yuni_Astuti</t>
  </si>
  <si>
    <t>6102124208010003</t>
  </si>
  <si>
    <t>Yuni Miranda</t>
  </si>
  <si>
    <t>yunimiranda.id@gmail.com</t>
  </si>
  <si>
    <t>yunimirandaa</t>
  </si>
  <si>
    <t>6102186010000005</t>
  </si>
  <si>
    <t>Yunita</t>
  </si>
  <si>
    <t>yunnyunita8@gmail.com</t>
  </si>
  <si>
    <t>Jalan Lubuk Batang</t>
  </si>
  <si>
    <t>40.315.141.8-704.000</t>
  </si>
  <si>
    <t>Berdasarkan latar pendidikan saya yaitu jurusan Hukum Ekonomi Syariah lulusan Sekolah Tinggi Agama Islam Mempawah. Saya ingin untuk terus mengembangkan kemampuan diri saya dengan tanggung jawab dan integritas sehingga mewujudkan visi misi perusahaan</t>
  </si>
  <si>
    <t>Yunitayun_</t>
  </si>
  <si>
    <t>6102071410780003</t>
  </si>
  <si>
    <t>YUSFACHRUDDIN</t>
  </si>
  <si>
    <t>yusfachruddin88@gmail.com</t>
  </si>
  <si>
    <t>Jalan Raya Desa Nusapati RT 01/RW 03</t>
  </si>
  <si>
    <t>43.482.456.1-704.000</t>
  </si>
  <si>
    <t>yusnsp</t>
  </si>
  <si>
    <t>6102160603790001</t>
  </si>
  <si>
    <t>Yusimianto</t>
  </si>
  <si>
    <t>yusimiantoanto@gmail.com</t>
  </si>
  <si>
    <t>Jl kampung baru RT 06 RW 02</t>
  </si>
  <si>
    <t>62.811.005.8-704.000</t>
  </si>
  <si>
    <t>6102152011890001</t>
  </si>
  <si>
    <t>Yusra, SE</t>
  </si>
  <si>
    <t>yusrapeniti2017@gmail.com</t>
  </si>
  <si>
    <t>SUNGAI BEMBAN RT 026 / RW 006</t>
  </si>
  <si>
    <t>76.322.430.0-704.000</t>
  </si>
  <si>
    <t>OPERATOR MADRASAH</t>
  </si>
  <si>
    <t>Nama di rekening masih YUSRA soalnya belum memperbaharui buku rekening semenjak memperbaharui KTP</t>
  </si>
  <si>
    <t>SGD_YUSRA</t>
  </si>
  <si>
    <t>6102075212000003</t>
  </si>
  <si>
    <t>YUSROL HANA</t>
  </si>
  <si>
    <t>yusrolhana645@gmail.com</t>
  </si>
  <si>
    <t>Jl.Aswar Rt.15 Rw.003 Sungai Bakau Besar Laut</t>
  </si>
  <si>
    <t>Pps</t>
  </si>
  <si>
    <t>Bangga menjadi mitra BPS Mempawah</t>
  </si>
  <si>
    <t>YUSROL_Hana</t>
  </si>
  <si>
    <t>6102180305000002</t>
  </si>
  <si>
    <t>YUSRON</t>
  </si>
  <si>
    <t>yusronbarcelo@gmail.com</t>
  </si>
  <si>
    <t>Jln.djohansyah bakri rt 024/rw 007 desa antibar kec.mempawah timur kab.mempawah</t>
  </si>
  <si>
    <t>mengumpulkan data statistik yang akurat dan berkualitas untuk Indonesia Maju mengabdi untuk masyarakat turun langsung dan memberikan win solution.</t>
  </si>
  <si>
    <t>Yusron030520</t>
  </si>
  <si>
    <t>6102171605780002</t>
  </si>
  <si>
    <t>Yustian</t>
  </si>
  <si>
    <t>martonomanen@gmail.com</t>
  </si>
  <si>
    <t>Desa Amawang</t>
  </si>
  <si>
    <t>6102062705970001</t>
  </si>
  <si>
    <t>Yusuf abdurrahman</t>
  </si>
  <si>
    <t>Yusufabdurrahman97@gmail.com</t>
  </si>
  <si>
    <t>Sumber Agung Rt/Rw 11/004</t>
  </si>
  <si>
    <t>41.322.264.7-646.000</t>
  </si>
  <si>
    <t>YusufAbdurrahman</t>
  </si>
  <si>
    <t>6102122106750003</t>
  </si>
  <si>
    <t>YUYUN ANTONI, S.E.</t>
  </si>
  <si>
    <t>yuyunantoni@gmail.com</t>
  </si>
  <si>
    <t>Jl. Raya Desa Sungai Limau RT 04 RW 02 No. 12</t>
  </si>
  <si>
    <t>Petugas Sensus/ Survey BPS</t>
  </si>
  <si>
    <t>yuantoni21</t>
  </si>
  <si>
    <t>6102082510800002</t>
  </si>
  <si>
    <t>Zailani</t>
  </si>
  <si>
    <t>zailani.se@gmail.com</t>
  </si>
  <si>
    <t>BTN Gang Tanjung RT 9 RW 2</t>
  </si>
  <si>
    <t>25.525.862.7-702.000</t>
  </si>
  <si>
    <t>Zailani2510</t>
  </si>
  <si>
    <t>6102010607870002</t>
  </si>
  <si>
    <t>Zaini</t>
  </si>
  <si>
    <t>zainimpw@gmail.com</t>
  </si>
  <si>
    <t>Jalan Pematang sukun Rt022 Rw008</t>
  </si>
  <si>
    <t>Buruh Harian lepas</t>
  </si>
  <si>
    <t>Zaini.87</t>
  </si>
  <si>
    <t>6102074404970002</t>
  </si>
  <si>
    <t>Zakiah</t>
  </si>
  <si>
    <t>acikkia4@gmail.com</t>
  </si>
  <si>
    <t>Jl sungai bakau besar laut GG. Keluarga</t>
  </si>
  <si>
    <t>Mengajar ngaji</t>
  </si>
  <si>
    <t>Bismillahirrahmanirrahim</t>
  </si>
  <si>
    <t>Kiazakiah</t>
  </si>
  <si>
    <t>6102150802010001</t>
  </si>
  <si>
    <t>Zuliansyah</t>
  </si>
  <si>
    <t>afandialghazali@gmail.com</t>
  </si>
  <si>
    <t>Sungai burung</t>
  </si>
  <si>
    <t>Ijul009_</t>
  </si>
  <si>
    <t>6102011608840003</t>
  </si>
  <si>
    <t>Zulistian Ariffandy</t>
  </si>
  <si>
    <t>ariffandyz@gmail.com</t>
  </si>
  <si>
    <t>Dusun Suka Damai</t>
  </si>
  <si>
    <t>72.554.037.1-704.000</t>
  </si>
  <si>
    <t>Tidak Bekerja</t>
  </si>
  <si>
    <t>bisa maintenance genset, paham kelistrikan 3 phasa, ats, telekomunikasi, komputer dan microsoft windows</t>
  </si>
  <si>
    <t>Ariffandyz</t>
  </si>
  <si>
    <t>Tanggal Lahir</t>
  </si>
  <si>
    <t>Umur</t>
  </si>
  <si>
    <t>Jumlah Honor Mitra Dialokasikan</t>
  </si>
  <si>
    <t>Jumlah Mitra Terbayarkan</t>
  </si>
  <si>
    <t>Selesai Terbayarkan</t>
  </si>
  <si>
    <t>Belum Dibayarkan</t>
  </si>
  <si>
    <t>Harga per Satuan Honor</t>
  </si>
  <si>
    <t>ID Alokasi</t>
  </si>
  <si>
    <t>Jenis Kegiatan</t>
  </si>
  <si>
    <t>Rumah Tangga</t>
  </si>
  <si>
    <t>Blok Sensus</t>
  </si>
  <si>
    <t>Segmen</t>
  </si>
  <si>
    <t>PENDATAAN BARANG</t>
  </si>
  <si>
    <t>PENDATAAN JASA</t>
  </si>
  <si>
    <t>PERGUDANGAN</t>
  </si>
  <si>
    <t>JASA PENUNJANG ANGKUTAN</t>
  </si>
  <si>
    <t>BS</t>
  </si>
  <si>
    <t>SURVEI</t>
  </si>
  <si>
    <t>SURVEI-PPL</t>
  </si>
  <si>
    <t>Frekuensi Kegiatan</t>
  </si>
  <si>
    <t>Sudah Mulai</t>
  </si>
  <si>
    <t>Sudah Selesai</t>
  </si>
  <si>
    <t>Sakernas Februari 2024</t>
  </si>
  <si>
    <t>SEMESTERAN</t>
  </si>
  <si>
    <t>Susenas Maret 2024</t>
  </si>
  <si>
    <t>Kerangka Sampel Area (KSA) 2024 Februari</t>
  </si>
  <si>
    <t>BULANAN</t>
  </si>
  <si>
    <t>Kerangka Sampel Area (KSA) 2024 Januari</t>
  </si>
  <si>
    <t>Kerangka Sampel Area (KSA) 2024 Maret</t>
  </si>
  <si>
    <t>Kerangka Sampel Area (KSA) 2024 April</t>
  </si>
  <si>
    <t>Kerangka Sampel Area (KSA) 2024 Mei</t>
  </si>
  <si>
    <t>Kerangka Sampel Area (KSA) 2024 Juni</t>
  </si>
  <si>
    <t>Kerangka Sampel Area (KSA) 2024 Juli</t>
  </si>
  <si>
    <t>Kerangka Sampel Area (KSA) 2024 Agustus</t>
  </si>
  <si>
    <t>Januari</t>
  </si>
  <si>
    <t>Kerangka Sampel Area (KSA) 2024 September</t>
  </si>
  <si>
    <t>Februari</t>
  </si>
  <si>
    <t>Kerangka Sampel Area (KSA) 2024 Oktober</t>
  </si>
  <si>
    <t>Maret</t>
  </si>
  <si>
    <t>Kerangka Sampel Area (KSA) 2024 November</t>
  </si>
  <si>
    <t>April</t>
  </si>
  <si>
    <t>Kerangka Sampel Area (KSA) 2024 Desember</t>
  </si>
  <si>
    <t>Mei</t>
  </si>
  <si>
    <t>Survei Harga Produsen Gabah (HPG24) Januari</t>
  </si>
  <si>
    <t>Juni</t>
  </si>
  <si>
    <t>Survei Harga Produsen Gabah (HPG24) Februari</t>
  </si>
  <si>
    <t>Juli</t>
  </si>
  <si>
    <t>Survei Harga Produsen Gabah (HPG24) Maret</t>
  </si>
  <si>
    <t>Agustus</t>
  </si>
  <si>
    <t>Survei Harga Produsen Gabah (HPG24) April</t>
  </si>
  <si>
    <t>September</t>
  </si>
  <si>
    <t>Survei Harga Produsen Gabah (HPG24) Mei</t>
  </si>
  <si>
    <t>Oktober</t>
  </si>
  <si>
    <t>Survei Harga Produsen Gabah (HPG24) Juni</t>
  </si>
  <si>
    <t>November</t>
  </si>
  <si>
    <t>Survei Harga Produsen Gabah (HPG24) Juli</t>
  </si>
  <si>
    <t>Desember</t>
  </si>
  <si>
    <t>Survei Harga Produsen Gabah (HPG24) Agustus</t>
  </si>
  <si>
    <t>Survei Harga Produsen Gabah (HPG24) September</t>
  </si>
  <si>
    <t>Survei Harga Produsen Gabah (HPG24) Oktober</t>
  </si>
  <si>
    <t>Survei Harga Produsen Gabah (HPG24) November</t>
  </si>
  <si>
    <t>Survei Harga Produsen Gabah (HPG24) Desember</t>
  </si>
  <si>
    <t>Survei Harga Perdagangan Besar (SHPB24) Januari</t>
  </si>
  <si>
    <t>Survei Harga Perdagangan Besar (SHPB24) Februari</t>
  </si>
  <si>
    <t>Survei Harga Perdagangan Besar (SHPB24) Maret</t>
  </si>
  <si>
    <t>Survei Harga Perdagangan Besar (SHPB24) April</t>
  </si>
  <si>
    <t>Survei Harga Perdagangan Besar (SHPB24) Mei</t>
  </si>
  <si>
    <t>Survei Harga Perdagangan Besar (SHPB24) Juni</t>
  </si>
  <si>
    <t>Survei Harga Perdagangan Besar (SHPB24) Juli</t>
  </si>
  <si>
    <t>Survei Harga Perdagangan Besar (SHPB24) Agustus</t>
  </si>
  <si>
    <t>Survei Harga Perdagangan Besar (SHPB24) September</t>
  </si>
  <si>
    <t>Survei Harga Perdagangan Besar (SHPB24) Oktober</t>
  </si>
  <si>
    <t>Survei Harga Perdagangan Besar (SHPB24) November</t>
  </si>
  <si>
    <t>Survei Harga Perdagangan Besar (SHPB24) Desember</t>
  </si>
  <si>
    <t>Survei Harga Kemahalan Konstruksi (SHKK24) Januari</t>
  </si>
  <si>
    <t>TRIWULANAN</t>
  </si>
  <si>
    <t>Survei Harga Kemahalan Konstruksi (SHKK24) April</t>
  </si>
  <si>
    <t>Survei Harga Kemahalan Konstruksi (SHKK24) Juli</t>
  </si>
  <si>
    <t>Survei Harga Kemahalan Konstruksi (SHKK24) Oktober</t>
  </si>
  <si>
    <t>Survei Harga Perdesaan (SHPED24) Januari</t>
  </si>
  <si>
    <t>Survei Harga Perdesaan (SHPED24) Februari</t>
  </si>
  <si>
    <t>Survei Harga Perdesaan (SHPED24) Maret</t>
  </si>
  <si>
    <t>Survei Harga Perdesaan (SHPED24) April</t>
  </si>
  <si>
    <t>Survei Harga Perdesaan (SHPED24) Mei</t>
  </si>
  <si>
    <t>Survei Harga Perdesaan (SHPED24) Juni</t>
  </si>
  <si>
    <t>Survei Harga Perdesaan (SHPED24) Juli</t>
  </si>
  <si>
    <t>Survei Harga Perdesaan (SHPED24) Agustus</t>
  </si>
  <si>
    <t>Survei Harga Perdesaan (SHPED24) September</t>
  </si>
  <si>
    <t>Survei Harga Perdesaan (SHPED24) Oktober</t>
  </si>
  <si>
    <t>Survei Harga Perdesaan (SHPED24) November</t>
  </si>
  <si>
    <t>Survei Harga Perdesaan (SHPED24) Desember</t>
  </si>
  <si>
    <t>Survei Harga Produsen Beras di Penggilingan 2024 (HPBG24) Januari</t>
  </si>
  <si>
    <t>Survei Harga Produsen Beras di Penggilingan 2024 (HPBG24) Februari</t>
  </si>
  <si>
    <t>Survei Harga Produsen Beras di Penggilingan 2024 (HPBG24) Maret</t>
  </si>
  <si>
    <t>Survei Harga Produsen Beras di Penggilingan 2024 (HPBG24) April</t>
  </si>
  <si>
    <t>Survei Harga Produsen Beras di Penggilingan 2024 (HPBG24) Mei</t>
  </si>
  <si>
    <t>Survei Harga Produsen Beras di Penggilingan 2024 (HPBG24) Juni</t>
  </si>
  <si>
    <t>Survei Harga Produsen Beras di Penggilingan 2024 (HPBG24) Juli</t>
  </si>
  <si>
    <t>Survei Harga Produsen Beras di Penggilingan 2024 (HPBG24) Agustus</t>
  </si>
  <si>
    <t>Survei Harga Produsen Beras di Penggilingan 2024 (HPBG24) September</t>
  </si>
  <si>
    <t>Survei Harga Produsen Beras di Penggilingan 2024 (HPBG24) Oktober</t>
  </si>
  <si>
    <t>Survei Harga Produsen Beras di Penggilingan 2024 (HPBG24) November</t>
  </si>
  <si>
    <t>Survei Harga Produsen Beras di Penggilingan 2024 (HPBG24) Desember</t>
  </si>
  <si>
    <t>Survei Harga Produsen Jasa (HPJ24) Januari</t>
  </si>
  <si>
    <t>Survei Harga Produsen Jasa (HPJ24) Februari</t>
  </si>
  <si>
    <t>Survei Harga Produsen Jasa (HPJ24) Maret</t>
  </si>
  <si>
    <t>Survei Harga Produsen Jasa (HPJ24) April</t>
  </si>
  <si>
    <t>Survei Harga Produsen Jasa (HPJ24) Mei</t>
  </si>
  <si>
    <t>Survei Harga Produsen Jasa (HPJ24) Juni</t>
  </si>
  <si>
    <t>Survei Harga Produsen Jasa (HPJ24) Juli</t>
  </si>
  <si>
    <t>Survei Harga Produsen Jasa (HPJ24) Agustus</t>
  </si>
  <si>
    <t>Survei Harga Produsen Jasa (HPJ24) September</t>
  </si>
  <si>
    <t>Survei Harga Produsen Jasa (HPJ24) Oktober</t>
  </si>
  <si>
    <t>Survei Harga Produsen Jasa (HPJ24) November</t>
  </si>
  <si>
    <t>Survei Harga Produsen Jasa (HPJ24) Desember</t>
  </si>
  <si>
    <t>Updating Paket HPS, HPJ, dan HPT Kabupaten</t>
  </si>
  <si>
    <t>TAHUNAN</t>
  </si>
  <si>
    <t>Survei Ekonomi Rumah Tangga Triwulanan (SERUTI24) Triwulan I Kegiatan Lapangan</t>
  </si>
  <si>
    <t>Survei Ekonomi Rumah Tangga Triwulanan (SERUTI24) Triwulan II Kegiatan Lapangan</t>
  </si>
  <si>
    <t>Survei Ekonomi Rumah Tangga Triwulanan (SERUTI24) Triwulan III Kegiatan Lapangan</t>
  </si>
  <si>
    <t>Survei Ekonomi Rumah Tangga Triwulanan (SERUTI24) Triwulan IV Kegiatan Lapangan</t>
  </si>
  <si>
    <t>Survei Ekonomi Rumah Tangga Triwulanan (SERUTI24) Triwulan I Kegiatan Pengolahan</t>
  </si>
  <si>
    <t>Survei Ekonomi Rumah Tangga Triwulanan (SERUTI24) Triwulan II Kegiatan Pengolahan</t>
  </si>
  <si>
    <t>Survei Ekonomi Rumah Tangga Triwulanan (SERUTI24) Triwulan III Kegiatan Pengolahan</t>
  </si>
  <si>
    <t>Survei Ekonomi Rumah Tangga Triwulanan (SERUTI24) Triwulan IV Kegiatan Pengolahan</t>
  </si>
  <si>
    <t>Survei Hotel dan Jasa Akomodasi Bulanan (VHTS) 2024 Januari</t>
  </si>
  <si>
    <t>Survei Hotel dan Jasa Akomodasi Bulanan (VHTS) 2024 Februari</t>
  </si>
  <si>
    <t>Survei Hotel dan Jasa Akomodasi Bulanan (VHTS) 2024 Maret</t>
  </si>
  <si>
    <t>Survei Hotel dan Jasa Akomodasi Bulanan (VHTS) 2024 April</t>
  </si>
  <si>
    <t>Survei Hotel dan Jasa Akomodasi Bulanan (VHTS) 2024 Mei</t>
  </si>
  <si>
    <t>Survei Hotel dan Jasa Akomodasi Bulanan (VHTS) 2024 Juni</t>
  </si>
  <si>
    <t>Survei Hotel dan Jasa Akomodasi Bulanan (VHTS) 2024 Juli</t>
  </si>
  <si>
    <t>Survei Hotel dan Jasa Akomodasi Bulanan (VHTS) 2024 Agustus</t>
  </si>
  <si>
    <t>Survei Hotel dan Jasa Akomodasi Bulanan (VHTS) 2024 September</t>
  </si>
  <si>
    <t>Survei Hotel dan Jasa Akomodasi Bulanan (VHTS) 2024 Oktober</t>
  </si>
  <si>
    <t>Survei Hotel dan Jasa Akomodasi Bulanan (VHTS) 2024 November</t>
  </si>
  <si>
    <t>Survei Hotel dan Jasa Akomodasi Bulanan (VHTS) 2024 Desember</t>
  </si>
  <si>
    <t>Survei Khusus Lembaga Nonprofit yang Melayani Rumah Tangga 2024 (SKLNPT24) Triwulan I</t>
  </si>
  <si>
    <t>Survei Khusus Lembaga Nonprofit yang Melayani Rumah Tangga 2024 (SKLNPT24) Triwulan II</t>
  </si>
  <si>
    <t>Survei Khusus Lembaga Nonprofit yang Melayani Rumah Tangga 2024 (SKLNPT24) Triwulan III</t>
  </si>
  <si>
    <t>Survei Khusus Lembaga Nonprofit yang Melayani Rumah Tangga 2024 (SKLNPT24) Triwulan IV</t>
  </si>
  <si>
    <t>Survei Khusus Triwulan Neraca Produksi Barang Jasa (SKTNP) 2024 Triwulan I</t>
  </si>
  <si>
    <t>Survei Khusus Triwulan Neraca Produksi Barang Jasa (SKTNP) 2024 Triwulan II</t>
  </si>
  <si>
    <t>Survei Khusus Triwulan Neraca Produksi Barang Jasa (SKTNP) 2024 Triwulan III</t>
  </si>
  <si>
    <t>Survei Khusus Triwulan Neraca Produksi Barang Jasa (SKTNP) 2024 Triwulan IV</t>
  </si>
  <si>
    <t>PODES24-LAPANGAN-DESA</t>
  </si>
  <si>
    <t>Potensi Desa 2024</t>
  </si>
  <si>
    <t>(SPAK24) Survei Perilaku Anti Korupsi 2024</t>
  </si>
  <si>
    <t>(SKTH24) Survei Perusahaan Konstruksi Tahunan 2024</t>
  </si>
  <si>
    <t>Survei Perusahaan Konstruksi Triwulan (SKTR) 2024</t>
  </si>
  <si>
    <t>Survei Ekonomi Pertanian 2024</t>
  </si>
  <si>
    <t>SENSUS</t>
  </si>
  <si>
    <t>PERIODIK</t>
  </si>
  <si>
    <t>Survei Ubinan 2024 Subround 1 dan 2</t>
  </si>
  <si>
    <t>SUBROUND</t>
  </si>
  <si>
    <t>AGUSTUS</t>
  </si>
  <si>
    <t>SEPTEMBER</t>
  </si>
  <si>
    <t>OKTOBER</t>
  </si>
  <si>
    <t>NOVEMBER</t>
  </si>
  <si>
    <t>DESEMBER</t>
  </si>
  <si>
    <t>Sakernas Agustus 2024</t>
  </si>
  <si>
    <t>(VPEK24) Survei Pergudangan, Ekspedisi, dan Kurir 2024</t>
  </si>
  <si>
    <t>Survei Ubinan 2024 Subround 2</t>
  </si>
  <si>
    <t>Survei Industri Mikro dan Kecil (IMK) Tahunan 2024</t>
  </si>
  <si>
    <t>Susenas September 2024</t>
  </si>
  <si>
    <t>(STPIM24) SURVEI IBS TAHUNAN (STPIM) 2024</t>
  </si>
  <si>
    <t>(SKSPPI24) SURVEI KHUSUS STUDI PENYUSUNAN PERUBAHAN INVENTORI 2024</t>
  </si>
  <si>
    <t>2024-09-31</t>
  </si>
  <si>
    <t>Survei Ubinan 2024 Subround 3</t>
  </si>
  <si>
    <t>(SEEA24) IN-DEPTH STUDY SYSTEM OF ENVIRONMENTAL ECONOMIC ACCOUNTING (SEEA) 2024</t>
  </si>
  <si>
    <t>(GALIAN-BH24-TW) SURVEI PENGGALIAN BERBADAN HUKUM TRIWULANAN 2024 TRIWULAN 2</t>
  </si>
  <si>
    <t>(GALIAN-BH24) SURVEI TAHUNAN PERUSAHAAN PENGGALIAN BERBADAN HUKUM 2024</t>
  </si>
  <si>
    <t>Variabel</t>
  </si>
  <si>
    <t>Nilai</t>
  </si>
  <si>
    <t>Kode Jabatan</t>
  </si>
  <si>
    <t>Tipe Kegiatan</t>
  </si>
  <si>
    <t>Periode</t>
  </si>
  <si>
    <t>Batas Honor Survey Bulanan</t>
  </si>
  <si>
    <t>PENCACAH</t>
  </si>
  <si>
    <t>Batas Honor Sensus Bulanan</t>
  </si>
  <si>
    <t>PEMERIKSA</t>
  </si>
  <si>
    <t>Batas Honor Survei Bulanan</t>
  </si>
  <si>
    <t>PENGOLAH</t>
  </si>
  <si>
    <t>PENGAWAS PENGOLAHAN</t>
  </si>
  <si>
    <t>PENGAWAS ENTRI</t>
  </si>
  <si>
    <t>Mitra 2024 Tercakup</t>
  </si>
  <si>
    <t>Rencana Belanja Honor Mitra</t>
  </si>
  <si>
    <t>Total Tahunan</t>
  </si>
  <si>
    <t>ID Waktu Alokasi Batasan Honor</t>
  </si>
  <si>
    <t>ID Waktu Alokasi Honor</t>
  </si>
  <si>
    <t>Tahun</t>
  </si>
  <si>
    <t>Bulan</t>
  </si>
  <si>
    <t>Total Honor</t>
  </si>
  <si>
    <t>Ada OB</t>
  </si>
  <si>
    <t>Jumlah Kegiatan</t>
  </si>
  <si>
    <t>Batasan Honor</t>
  </si>
  <si>
    <t>Ada Isian</t>
  </si>
  <si>
    <t>Aturan</t>
  </si>
  <si>
    <t>Deskripsi</t>
  </si>
  <si>
    <t>Mitra tidak dapat mengikuti 2 atau lebih kegiatan honor OB yang tanggal mulai kegiatan hingga tanggal BAST-nya ada yang beririsan</t>
  </si>
  <si>
    <t>Jika honor yang bisa didapat oleh mitra melebihi batas honor per bulan, maka kegiatan tambahan yang diikuti mitra tersebut dan selesai di bulan yang sama tidak akan mendapat honor</t>
  </si>
  <si>
    <t>ID SLS</t>
  </si>
  <si>
    <t>Non SLS</t>
  </si>
  <si>
    <t>Kode Provinsi</t>
  </si>
  <si>
    <t>Kode Kabkot</t>
  </si>
  <si>
    <t>Kode Kecamatan</t>
  </si>
  <si>
    <t>Kode Desa</t>
  </si>
  <si>
    <t>Kode SLS</t>
  </si>
  <si>
    <t>Kecamatan</t>
  </si>
  <si>
    <t>Desa</t>
  </si>
  <si>
    <t>Nama SLS</t>
  </si>
  <si>
    <t>IS RT</t>
  </si>
  <si>
    <t>RT</t>
  </si>
  <si>
    <t>RW</t>
  </si>
  <si>
    <t>DUSUN</t>
  </si>
  <si>
    <t>6104080001000100</t>
  </si>
  <si>
    <t>JONGKAT</t>
  </si>
  <si>
    <t>SUNGAI NIPAH</t>
  </si>
  <si>
    <t>RT 001 RW 01 DUSUN MAWAR</t>
  </si>
  <si>
    <t>6104080001000200</t>
  </si>
  <si>
    <t>RT 002 RW 01 DUSUN MAWAR</t>
  </si>
  <si>
    <t>6104080001000300</t>
  </si>
  <si>
    <t>RT 003 RW 01 DUSUN MAWAR</t>
  </si>
  <si>
    <t>6104080001000400</t>
  </si>
  <si>
    <t>RT 004 RW 01 DUSUN MAWAR</t>
  </si>
  <si>
    <t>6104080001000500</t>
  </si>
  <si>
    <t>RT 020 RW 01 DUSUN MAWAR</t>
  </si>
  <si>
    <t>6104080001000600</t>
  </si>
  <si>
    <t>RT 021 RW 01 DUSUN MAWAR</t>
  </si>
  <si>
    <t>6104080001000700</t>
  </si>
  <si>
    <t>RT 005 RW 02 DUSUN MAWAR</t>
  </si>
  <si>
    <t>6104080001000800</t>
  </si>
  <si>
    <t>RT 006 RW 02 DUSUN MAWAR</t>
  </si>
  <si>
    <t>6104080001000900</t>
  </si>
  <si>
    <t>RT 007 RW 02 DUSUN MAWAR</t>
  </si>
  <si>
    <t>6104080001001000</t>
  </si>
  <si>
    <t>RT 008 RW 02 DUSUN MAWAR</t>
  </si>
  <si>
    <t>6104080001001100</t>
  </si>
  <si>
    <t>RT 009 RW 02 DUSUN MAWAR</t>
  </si>
  <si>
    <t>6104080001001200</t>
  </si>
  <si>
    <t>RT 010 RW 03 DUSUN MELATI</t>
  </si>
  <si>
    <t>6104080001001300</t>
  </si>
  <si>
    <t>RT 011 RW 03 DUSUN MELATI</t>
  </si>
  <si>
    <t>6104080001001400</t>
  </si>
  <si>
    <t>RT 012 RW 03 DUSUN MELATI</t>
  </si>
  <si>
    <t>6104080001001500</t>
  </si>
  <si>
    <t>RT 013 RW 03 DUSUN MELATI</t>
  </si>
  <si>
    <t>6104080001001600</t>
  </si>
  <si>
    <t>RT 014 RW 03 DUSUN MELATI</t>
  </si>
  <si>
    <t>6104080001001700</t>
  </si>
  <si>
    <t>RT 022 RW 03 DUSUN MELATI</t>
  </si>
  <si>
    <t>6104080001001800</t>
  </si>
  <si>
    <t>RT 015 RW 04 DUSUN MELATI</t>
  </si>
  <si>
    <t>6104080001001900</t>
  </si>
  <si>
    <t>RT 016 RW 04 DUSUN MELATI</t>
  </si>
  <si>
    <t>6104080001002000</t>
  </si>
  <si>
    <t>RT 017 RW 04 DUSUN MELATI</t>
  </si>
  <si>
    <t>6104080001002100</t>
  </si>
  <si>
    <t>RT 018 RW 04 DUSUN MELATI</t>
  </si>
  <si>
    <t>6104080001002200</t>
  </si>
  <si>
    <t>RT 019 RW 04 DUSUN MELATI</t>
  </si>
  <si>
    <t>6104080001900100</t>
  </si>
  <si>
    <t>RT 23 RW 03 DUSUN MELATI</t>
  </si>
  <si>
    <t>6104080002000100</t>
  </si>
  <si>
    <t>JUNGKAT</t>
  </si>
  <si>
    <t>RT 001 RW 016 DUSUN DAENG MANAMBON</t>
  </si>
  <si>
    <t>6104080002000200</t>
  </si>
  <si>
    <t>RT 002 RW 016 DUSUN DAENG MANAMBON</t>
  </si>
  <si>
    <t>6104080002000300</t>
  </si>
  <si>
    <t>RT 003 RW 016 DUSUN DAENG MANAMBON</t>
  </si>
  <si>
    <t>6104080002000400</t>
  </si>
  <si>
    <t>RT 001 RW 019 DUSUN DAENG MANAMBON</t>
  </si>
  <si>
    <t>6104080002000500</t>
  </si>
  <si>
    <t>RT 003 RW 019 DUSUN DAENG MANAMBON</t>
  </si>
  <si>
    <t>6104080002000600</t>
  </si>
  <si>
    <t>RT 001 RW 002 DUSUN URAI BAWADI</t>
  </si>
  <si>
    <t>6104080002000700</t>
  </si>
  <si>
    <t>RT 002 RW 002 DUSUN URAI BAWADI</t>
  </si>
  <si>
    <t>6104080002000800</t>
  </si>
  <si>
    <t>RT 003 RW 002 DUSUN URAI BAWADI</t>
  </si>
  <si>
    <t>6104080002000900</t>
  </si>
  <si>
    <t>RT 001 RW 014 DUSUN URAI BAWADI</t>
  </si>
  <si>
    <t>6104080002001000</t>
  </si>
  <si>
    <t>RT 002 RW 014 DUSUN URAI BAWADI</t>
  </si>
  <si>
    <t>6104080002001100</t>
  </si>
  <si>
    <t>RT 003 RW 014 DUSUN URAI BAWADI</t>
  </si>
  <si>
    <t>6104080002001200</t>
  </si>
  <si>
    <t>RT 001 RW 006 DUSUN PANGERAN ADIPATI</t>
  </si>
  <si>
    <t>6104080002001300</t>
  </si>
  <si>
    <t>RT 002 RW 006 DUSUN PANGERAN ADIPATI</t>
  </si>
  <si>
    <t>6104080002001400</t>
  </si>
  <si>
    <t>RT 003 RW 006 DUSUN PANGERAN ADIPATI</t>
  </si>
  <si>
    <t>6104080002001500</t>
  </si>
  <si>
    <t>RT 001 RW 012 DUSUN PANGERAN ADIPATI</t>
  </si>
  <si>
    <t>6104080002001600</t>
  </si>
  <si>
    <t>RT 002 RW 012 DUSUN PANGERAN ADIPATI</t>
  </si>
  <si>
    <t>6104080002001700</t>
  </si>
  <si>
    <t>RT 003 RW 012 DUSUN PANGERAN ADIPATI</t>
  </si>
  <si>
    <t>6104080002001800</t>
  </si>
  <si>
    <t>RT 004 RW 012 DUSUN PANGERAN ADIPATI</t>
  </si>
  <si>
    <t>6104080002001900</t>
  </si>
  <si>
    <t>RT 005 RW 012 DUSUN PANGERAN ADIPATI</t>
  </si>
  <si>
    <t>6104080002002000</t>
  </si>
  <si>
    <t>RT 001 RW 003 DUSUN SULTAN ABDURRAHMAN</t>
  </si>
  <si>
    <t>6104080002002100</t>
  </si>
  <si>
    <t>RT 002 RW 003 DUSUN SULTAN ABDURRAHMAN</t>
  </si>
  <si>
    <t>6104080002002200</t>
  </si>
  <si>
    <t>RT 003 RW 003 DUSUN SULTAN ABDURRAHMAN</t>
  </si>
  <si>
    <t>6104080002002300</t>
  </si>
  <si>
    <t>RT 001 RW 013 DUSUN SULTAN ABDURRAHMAN</t>
  </si>
  <si>
    <t>6104080002002400</t>
  </si>
  <si>
    <t>RT 002 RW 013 DUSUN SULTAN ABDURRAHMAN</t>
  </si>
  <si>
    <t>6104080002002500</t>
  </si>
  <si>
    <t>RT 003 RW 013 DUSUN SULTAN ABDURRAHMAN</t>
  </si>
  <si>
    <t>6104080002002600</t>
  </si>
  <si>
    <t>RT 004 RW 013 DUSUN SULTAN ABDURRAHMAN</t>
  </si>
  <si>
    <t>6104080002002700</t>
  </si>
  <si>
    <t>RT 005 RW 013 DUSUN SULTAN ABDURRAHMAN</t>
  </si>
  <si>
    <t>6104080002002800</t>
  </si>
  <si>
    <t>RT 001 RW 005 DUSUN PANGSUMA</t>
  </si>
  <si>
    <t>6104080002002900</t>
  </si>
  <si>
    <t>RT 002 RW 005 DUSUN PANGSUMA</t>
  </si>
  <si>
    <t>6104080002003000</t>
  </si>
  <si>
    <t>RT 003 RW 005 DUSUN PANGSUMA</t>
  </si>
  <si>
    <t>6104080002003100</t>
  </si>
  <si>
    <t>RT 004 RW 005 DUSUN PANGSUMA</t>
  </si>
  <si>
    <t>6104080002003200</t>
  </si>
  <si>
    <t>RT 005 RW 005 DUSUN PANGSUMA</t>
  </si>
  <si>
    <t>6104080002003300</t>
  </si>
  <si>
    <t>RT 001 RW 007 DUSUN PANGSUMA</t>
  </si>
  <si>
    <t>6104080002003400</t>
  </si>
  <si>
    <t>RT 002 RW 007 DUSUN PANGSUMA</t>
  </si>
  <si>
    <t>6104080002003500</t>
  </si>
  <si>
    <t>RT 003 RW 007 DUSUN PANGSUMA</t>
  </si>
  <si>
    <t>6104080002003600</t>
  </si>
  <si>
    <t>RT 004 RW 007 DUSUN PANGSUMA</t>
  </si>
  <si>
    <t>6104080002003700</t>
  </si>
  <si>
    <t>RT 005 RW 007 DUSUN PANGSUMA</t>
  </si>
  <si>
    <t>6104080002003800</t>
  </si>
  <si>
    <t>RT 001 RW 008 DUSUN ALIANYANG</t>
  </si>
  <si>
    <t>6104080002003900</t>
  </si>
  <si>
    <t>RT 002 RW 008 DUSUN ALIANYANG</t>
  </si>
  <si>
    <t>6104080002004000</t>
  </si>
  <si>
    <t>RT 003 RW 008 DUSUN ALIANYANG</t>
  </si>
  <si>
    <t>6104080002004100</t>
  </si>
  <si>
    <t>RT 001 RW 009 DUSUN ALIANYANG</t>
  </si>
  <si>
    <t>6104080002004200</t>
  </si>
  <si>
    <t>RT 002 RW 009 DUSUN ALIANYANG</t>
  </si>
  <si>
    <t>6104080002004300</t>
  </si>
  <si>
    <t>RT 003 RW 009 DUSUN ALIANYANG</t>
  </si>
  <si>
    <t>6104080002004400</t>
  </si>
  <si>
    <t>RT 001 RW 017 DUSUN SULTAN MUHAMMAD</t>
  </si>
  <si>
    <t>6104080002004500</t>
  </si>
  <si>
    <t>RT 002 RW 017 DUSUN SULTAN MUHAMMAD</t>
  </si>
  <si>
    <t>6104080002004600</t>
  </si>
  <si>
    <t>RT 001 RW 018 DUSUN SULTAN MUHAMMAD</t>
  </si>
  <si>
    <t>6104080002004700</t>
  </si>
  <si>
    <t>RT 002 RW 018 DUSUN SULTAN MUHAMMAD</t>
  </si>
  <si>
    <t>6104080002004800</t>
  </si>
  <si>
    <t>RT 001 RW 010 DUSUN RADEN TAUFIK</t>
  </si>
  <si>
    <t>6104080002004900</t>
  </si>
  <si>
    <t>RT 002 RW 010 DUSUN RADEN TAUFIK</t>
  </si>
  <si>
    <t>6104080002005000</t>
  </si>
  <si>
    <t>RT 003 RW 010 DUSUN RADEN TAUFIK</t>
  </si>
  <si>
    <t>6104080002005100</t>
  </si>
  <si>
    <t>RT 004 RW 010 DUSUN RADEN TAUFIK</t>
  </si>
  <si>
    <t>6104080002005200</t>
  </si>
  <si>
    <t>RT 005 RW 010 DUSUN RADEN TAUFIK</t>
  </si>
  <si>
    <t>6104080002005300</t>
  </si>
  <si>
    <t>RT 001 RW 011 DUSUN RADEN TAUFIK</t>
  </si>
  <si>
    <t>6104080002005400</t>
  </si>
  <si>
    <t>RT 002 RW 11 DUSUN RADEN TAUFIK</t>
  </si>
  <si>
    <t>6104080002005500</t>
  </si>
  <si>
    <t>RT 001 RW 01 DUSUN RAHADI USMAN</t>
  </si>
  <si>
    <t>6104080002005600</t>
  </si>
  <si>
    <t>RT 002 RW 01 DUSUN RAHADI USMAN</t>
  </si>
  <si>
    <t>6104080002005700</t>
  </si>
  <si>
    <t>RT 003 RW 01 DUSUN RAHADI USMAN</t>
  </si>
  <si>
    <t>6104080002005800</t>
  </si>
  <si>
    <t>RT 001 RW 15 DUSUN RAHADI USMAN</t>
  </si>
  <si>
    <t>6104080002005900</t>
  </si>
  <si>
    <t>RT 002 RW 15 DUSUN RAHADI USMAN</t>
  </si>
  <si>
    <t>6104080002006000</t>
  </si>
  <si>
    <t>RT 003 RW 15 DUSUN RAHADI USMAN</t>
  </si>
  <si>
    <t>6104080002006100</t>
  </si>
  <si>
    <t>RT 004 RW 15 DUSUN RAHADI USMAN</t>
  </si>
  <si>
    <t>6104080002006200</t>
  </si>
  <si>
    <t>RT 005 RW 15 DUSUN RAHADI USMAN</t>
  </si>
  <si>
    <t>6104080002006300</t>
  </si>
  <si>
    <t>RT 001 RW 20 DUSUN RADEN WIJAYA</t>
  </si>
  <si>
    <t>6104080002006400</t>
  </si>
  <si>
    <t>RT 002 RW 20 DUSUN RADEN WIJAYA</t>
  </si>
  <si>
    <t>6104080002006500</t>
  </si>
  <si>
    <t>RT 001 RW 21 DUSUN RADEN WIJAYA</t>
  </si>
  <si>
    <t>6104080002006600</t>
  </si>
  <si>
    <t>RT 002 RW 21 DUSUN RADEN WIJAYA</t>
  </si>
  <si>
    <t>6104080002006700</t>
  </si>
  <si>
    <t>RT 001 RW 22 DUSUN RADEN WIJAYA</t>
  </si>
  <si>
    <t>6104080002006800</t>
  </si>
  <si>
    <t>RT 002 RW 22 DUSUN RADEN WIJAYA</t>
  </si>
  <si>
    <t>6104080002006900</t>
  </si>
  <si>
    <t>RT 006 RW 12 DUSUN PANGERAN ADIPATI</t>
  </si>
  <si>
    <t>6104080002007000</t>
  </si>
  <si>
    <t>RT 006 RW 10 DUSUN RADEN TAUFIK</t>
  </si>
  <si>
    <t>6104080003000100</t>
  </si>
  <si>
    <t>WAJOK HILIR</t>
  </si>
  <si>
    <t>RT 001 RW 01 DUSUN JERUK</t>
  </si>
  <si>
    <t>6104080003000200</t>
  </si>
  <si>
    <t>RT 002 RW 01 DUSUN JERUK</t>
  </si>
  <si>
    <t>6104080003000300</t>
  </si>
  <si>
    <t>RT 003 RW 01 DUSUN JERUK</t>
  </si>
  <si>
    <t>6104080003000400</t>
  </si>
  <si>
    <t>RT 004 RW 01 DUSUN JERUK</t>
  </si>
  <si>
    <t>6104080003000500</t>
  </si>
  <si>
    <t>RT 005 RW 01 DUSUN JERUK</t>
  </si>
  <si>
    <t>6104080003000600</t>
  </si>
  <si>
    <t>RT 001 RW 13 DUSUN JERUK</t>
  </si>
  <si>
    <t>6104080003000700</t>
  </si>
  <si>
    <t>RT 002 RW 13 DUSUN JERUK</t>
  </si>
  <si>
    <t>6104080003000800</t>
  </si>
  <si>
    <t>RT 003 RW 13 DUSUN JERUK</t>
  </si>
  <si>
    <t>6104080003000900</t>
  </si>
  <si>
    <t>RT 004 RW 13 DUSUN JERUK</t>
  </si>
  <si>
    <t>6104080003001000</t>
  </si>
  <si>
    <t>RT 001 RW 06 DUSUN NANAS</t>
  </si>
  <si>
    <t>6104080003001100</t>
  </si>
  <si>
    <t>RT 002 RW 06 DUSUN NANAS</t>
  </si>
  <si>
    <t>6104080003001200</t>
  </si>
  <si>
    <t>RT 001 RW 11 DUSUN NANAS</t>
  </si>
  <si>
    <t>6104080003001300</t>
  </si>
  <si>
    <t>RT 002 RW 11 DUSUN NANAS</t>
  </si>
  <si>
    <t>6104080003001400</t>
  </si>
  <si>
    <t>RT 001 RW 02 DUSUN PADI</t>
  </si>
  <si>
    <t>6104080003001500</t>
  </si>
  <si>
    <t>RT 002 RW 02 DUSUN PADI</t>
  </si>
  <si>
    <t>6104080003001600</t>
  </si>
  <si>
    <t>RT 001 RW 12 DUSUN PADI</t>
  </si>
  <si>
    <t>6104080003001700</t>
  </si>
  <si>
    <t>RT 002 RW 12 DUSUN PADI</t>
  </si>
  <si>
    <t>6104080003001800</t>
  </si>
  <si>
    <t>RT 001 RW 05 DUSUN KOPI</t>
  </si>
  <si>
    <t>6104080003001900</t>
  </si>
  <si>
    <t>RT 002 RW 05 DUSUN KOPI</t>
  </si>
  <si>
    <t>6104080003002000</t>
  </si>
  <si>
    <t>RT 003 RW 05 DUSUN KOPI</t>
  </si>
  <si>
    <t>6104080003002100</t>
  </si>
  <si>
    <t>RT 004 RW 05 DUSUN KOPI</t>
  </si>
  <si>
    <t>6104080003002200</t>
  </si>
  <si>
    <t>RT 005 RW 05 DUSUN KOPI</t>
  </si>
  <si>
    <t>6104080003002300</t>
  </si>
  <si>
    <t>RT 006 RW 05 DUSUN KOPI</t>
  </si>
  <si>
    <t>6104080003002400</t>
  </si>
  <si>
    <t>RT 001 RW 07 DUSUN KELAPA</t>
  </si>
  <si>
    <t>6104080003002500</t>
  </si>
  <si>
    <t>RT 002 RW 07 DUSUN KELAPA</t>
  </si>
  <si>
    <t>6104080003002600</t>
  </si>
  <si>
    <t>RT 001 RW 08 DUSUN KELAPA</t>
  </si>
  <si>
    <t>6104080003002700</t>
  </si>
  <si>
    <t>RT 002 RW 08 DUSUN KELAPA</t>
  </si>
  <si>
    <t>6104080003002800</t>
  </si>
  <si>
    <t>RT 001 RW 03 DUSUN</t>
  </si>
  <si>
    <t>6104080003002900</t>
  </si>
  <si>
    <t>RT 002 RW 03 DUSUN</t>
  </si>
  <si>
    <t>6104080003003000</t>
  </si>
  <si>
    <t>RT 003 RW 03 DUSUN</t>
  </si>
  <si>
    <t>6104080003003100</t>
  </si>
  <si>
    <t>RT 001 RW 04 DUSUN</t>
  </si>
  <si>
    <t>6104080003003200</t>
  </si>
  <si>
    <t>RT 002 RW 04 DUSUN</t>
  </si>
  <si>
    <t>6104080003003300</t>
  </si>
  <si>
    <t>RT 003 RW 04 DUSUN</t>
  </si>
  <si>
    <t>6104080003003400</t>
  </si>
  <si>
    <t>RT 001 RW 09 DUSUN PALAWIJA</t>
  </si>
  <si>
    <t>6104080003003500</t>
  </si>
  <si>
    <t>RT 002 RW 09 DUSUN PALAWIJA</t>
  </si>
  <si>
    <t>6104080003003600</t>
  </si>
  <si>
    <t>RT 003 RW 09 DUSUN PALAWIJA</t>
  </si>
  <si>
    <t>6104080003003700</t>
  </si>
  <si>
    <t>RT 004 RW 09 DUSUN PALAWIJA</t>
  </si>
  <si>
    <t>6104080003003800</t>
  </si>
  <si>
    <t>RT 001 RW 10 DUSUN PALAWIJA</t>
  </si>
  <si>
    <t>6104080003003900</t>
  </si>
  <si>
    <t>RT 002 RW 10 DUSUN PALAWIJA</t>
  </si>
  <si>
    <t>6104080003004000</t>
  </si>
  <si>
    <t>RT 003 RW 10 DUSUN PALAWIJA</t>
  </si>
  <si>
    <t>6104080003004100</t>
  </si>
  <si>
    <t>RT 004 RW 003 DUSUN COKLAT</t>
  </si>
  <si>
    <t>6104080003100600</t>
  </si>
  <si>
    <t>KEBUN SAWIT</t>
  </si>
  <si>
    <t>6104080003100700</t>
  </si>
  <si>
    <t>PERKEBUNAN SAWIT</t>
  </si>
  <si>
    <t>6104080003200100</t>
  </si>
  <si>
    <t>HUTAN</t>
  </si>
  <si>
    <t>6104080003200200</t>
  </si>
  <si>
    <t>PULAU PANJANG</t>
  </si>
  <si>
    <t>6104080003200300</t>
  </si>
  <si>
    <t>PULAU BABI</t>
  </si>
  <si>
    <t>6104080003200400</t>
  </si>
  <si>
    <t>PULAU BUMIN</t>
  </si>
  <si>
    <t>6104080003200500</t>
  </si>
  <si>
    <t>PULAU BARU</t>
  </si>
  <si>
    <t>6104080004000100</t>
  </si>
  <si>
    <t>WAJOK HULU</t>
  </si>
  <si>
    <t>RT 002 RW 12 DUSUN BRAHIMA</t>
  </si>
  <si>
    <t>6104080004000200</t>
  </si>
  <si>
    <t>RT 003 RW 04 DUSUN BRAHIMA</t>
  </si>
  <si>
    <t>6104080004000300</t>
  </si>
  <si>
    <t>RT 001 RW 04 DUSUN BRAHIMA</t>
  </si>
  <si>
    <t>6104080004000400</t>
  </si>
  <si>
    <t>RT 001 RW 11 DUSUN BRAHIMA</t>
  </si>
  <si>
    <t>6104080004000500</t>
  </si>
  <si>
    <t>RT 002 RW 11 DUSUN BRAHIMA</t>
  </si>
  <si>
    <t>6104080004000600</t>
  </si>
  <si>
    <t>RT 003 RW 11 DUSUN BRAHIMA</t>
  </si>
  <si>
    <t>6104080004000700</t>
  </si>
  <si>
    <t>RT 001 RW 07 DUSUN DURIAN</t>
  </si>
  <si>
    <t>6104080004000800</t>
  </si>
  <si>
    <t>RT 002 RW 07 DUSUN DURIAN</t>
  </si>
  <si>
    <t>6104080004000900</t>
  </si>
  <si>
    <t>RT 003 RW 07 DUSUN DURIAN</t>
  </si>
  <si>
    <t>6104080004001000</t>
  </si>
  <si>
    <t>RT 003 RW 09 DUSUN DURIAN</t>
  </si>
  <si>
    <t>6104080004001100</t>
  </si>
  <si>
    <t>RT 004 RW 09 DUSUN DURIAN</t>
  </si>
  <si>
    <t>6104080004001200</t>
  </si>
  <si>
    <t>RT 005 RW 09 DUSUN DURIAN</t>
  </si>
  <si>
    <t>6104080004001300</t>
  </si>
  <si>
    <t>RT 006 RW 09 DUSUN DURIAN</t>
  </si>
  <si>
    <t>6104080004001400</t>
  </si>
  <si>
    <t>RT 009 RW 09 DUSUN DURIAN</t>
  </si>
  <si>
    <t>6104080004001500</t>
  </si>
  <si>
    <t>RT 001 RW 01 DUSUN MAMBO</t>
  </si>
  <si>
    <t>6104080004001600</t>
  </si>
  <si>
    <t>RT 008 RW 01 DUSUN MAMBO</t>
  </si>
  <si>
    <t>6104080004001700</t>
  </si>
  <si>
    <t>RT 002 RW 06 DUSUN KUNYIT</t>
  </si>
  <si>
    <t>6104080004001800</t>
  </si>
  <si>
    <t>RT 003 RW 06 DUSUN KUNYIT</t>
  </si>
  <si>
    <t>6104080004001900</t>
  </si>
  <si>
    <t>RT 004 RW 06 DUSUN KUNYIT</t>
  </si>
  <si>
    <t>6104080004002000</t>
  </si>
  <si>
    <t>RT 005 RW 06 DUSUN KUNYIT</t>
  </si>
  <si>
    <t>6104080004002100</t>
  </si>
  <si>
    <t>RT 006 RW 06 DUSUN KUNYIT</t>
  </si>
  <si>
    <t>6104080004002200</t>
  </si>
  <si>
    <t>RT 007 RW 06 DUSUN KUNYIT</t>
  </si>
  <si>
    <t>6104080004002300</t>
  </si>
  <si>
    <t>RT 009 RW 06 DUSUN PANDAN</t>
  </si>
  <si>
    <t>6104080004002400</t>
  </si>
  <si>
    <t>RT 010 RW 06 DUSUN KUNYIT</t>
  </si>
  <si>
    <t>6104080004002500</t>
  </si>
  <si>
    <t>RT 011 RW 06 DUSUN KUNYIT</t>
  </si>
  <si>
    <t>6104080004002600</t>
  </si>
  <si>
    <t>RT 012 RW 06 DUSUN KUNYIT</t>
  </si>
  <si>
    <t>6104080004002700</t>
  </si>
  <si>
    <t>RT 002 RW 14 DUSUN LAPAN</t>
  </si>
  <si>
    <t>6104080004002800</t>
  </si>
  <si>
    <t>RT 003 RW 14 DUSUN LAPAN</t>
  </si>
  <si>
    <t>6104080004002900</t>
  </si>
  <si>
    <t>RT 006 RW 14 DUSUN LAPAN</t>
  </si>
  <si>
    <t>6104080004003000</t>
  </si>
  <si>
    <t>RT 001 RW 02 DUSUN LAPAN</t>
  </si>
  <si>
    <t>6104080004003100</t>
  </si>
  <si>
    <t>RT 002 RW 02 DUSUN LAPAN</t>
  </si>
  <si>
    <t>6104080004003200</t>
  </si>
  <si>
    <t>RT 003 RW 02 DUSUN LAPAN</t>
  </si>
  <si>
    <t>6104080004003300</t>
  </si>
  <si>
    <t>RT 004 RW 02 DUSUN LAPAN</t>
  </si>
  <si>
    <t>6104080004003400</t>
  </si>
  <si>
    <t>RT 005 RW 02 DUSUN LAPAN</t>
  </si>
  <si>
    <t>6104080004003500</t>
  </si>
  <si>
    <t>RT 007 RW 02 DUSUN LAPAN</t>
  </si>
  <si>
    <t>6104080004003600</t>
  </si>
  <si>
    <t>RT KH RW KH DUSUN LAPAN</t>
  </si>
  <si>
    <t>6104080004003700</t>
  </si>
  <si>
    <t>RT 001 RW 08 DUSUN MAMBO</t>
  </si>
  <si>
    <t>6104080004003800</t>
  </si>
  <si>
    <t>RT 002 RW 08 DUSUN MAMBO</t>
  </si>
  <si>
    <t>6104080004003900</t>
  </si>
  <si>
    <t>RT 003 RW 08 DUSUN MAMBO</t>
  </si>
  <si>
    <t>6104080004004000</t>
  </si>
  <si>
    <t>RT 001 RW 05 DUSUN PANDAN</t>
  </si>
  <si>
    <t>6104080004004100</t>
  </si>
  <si>
    <t>RT 002 RW 05 DUSUN PANDAN</t>
  </si>
  <si>
    <t>6104080004004200</t>
  </si>
  <si>
    <t>RT 003 RW 05 DUSUN PANDAN</t>
  </si>
  <si>
    <t>6104080004004300</t>
  </si>
  <si>
    <t>RT 004 RW 05 DUSUN PANDAN</t>
  </si>
  <si>
    <t>6104080004004400</t>
  </si>
  <si>
    <t>RT 005 RW 05 DUSUN PANDAN</t>
  </si>
  <si>
    <t>6104080004004500</t>
  </si>
  <si>
    <t>RT 006 RW 05 DUSUN PANDAN</t>
  </si>
  <si>
    <t>6104080004004600</t>
  </si>
  <si>
    <t>RT 007 RW 05 DUSUN PANDAN</t>
  </si>
  <si>
    <t>6104080004004700</t>
  </si>
  <si>
    <t>RT 008 RW 05 DUSUN PANDAN</t>
  </si>
  <si>
    <t>6104080004004800</t>
  </si>
  <si>
    <t>RT 009 RW 05 DUSUN PANDAN</t>
  </si>
  <si>
    <t>6104080004004900</t>
  </si>
  <si>
    <t>RT 010 RW 05 DUSUN PANDAN</t>
  </si>
  <si>
    <t>6104080004005000</t>
  </si>
  <si>
    <t>RT 001 RW 06 DUSUN PANDAN</t>
  </si>
  <si>
    <t>6104080004005100</t>
  </si>
  <si>
    <t>RT 008 RW 06 DUSUN PANDAN</t>
  </si>
  <si>
    <t>6104080004005200</t>
  </si>
  <si>
    <t>RT 001 RW 03 DUSUN TELUK DALAM</t>
  </si>
  <si>
    <t>6104080004005300</t>
  </si>
  <si>
    <t>RT 002 RW 03 DUSUN TELUK DALAM</t>
  </si>
  <si>
    <t>6104080004005400</t>
  </si>
  <si>
    <t>RT 004 RW 03 DUSUN TELUK DALAM</t>
  </si>
  <si>
    <t>6104080004005500</t>
  </si>
  <si>
    <t>RT 001 RW 09 DUSUN TELUK DALAM</t>
  </si>
  <si>
    <t>6104080004005600</t>
  </si>
  <si>
    <t>RT 002 RW 09 DUSUN TELUK DALAM</t>
  </si>
  <si>
    <t>6104080004005700</t>
  </si>
  <si>
    <t>RT 007 RW 09 DUSUN TELUK DALAM</t>
  </si>
  <si>
    <t>6104080004005800</t>
  </si>
  <si>
    <t>RT 008 RW 09 DUSUN TELUK DALAM</t>
  </si>
  <si>
    <t>6104080004005900</t>
  </si>
  <si>
    <t>RT 001 RW 10 DUSUN TELUK DALAM</t>
  </si>
  <si>
    <t>6104080004006000</t>
  </si>
  <si>
    <t>RT 002 RW 10 DUSUN TELUK DALAM</t>
  </si>
  <si>
    <t>6104080004006100</t>
  </si>
  <si>
    <t>RT 003 RW 10 DUSUN TELUK DALAM</t>
  </si>
  <si>
    <t>6104080004006200</t>
  </si>
  <si>
    <t>RT 003 RW 03 DUSUN TELUK DALAM</t>
  </si>
  <si>
    <t>6104080004006300</t>
  </si>
  <si>
    <t>RT 001 RW 12 DUSUN BRAHIMA</t>
  </si>
  <si>
    <t>6104080004006400</t>
  </si>
  <si>
    <t>RT 003 RW 12 DUSUN BRAHIMA</t>
  </si>
  <si>
    <t>6104080004006500</t>
  </si>
  <si>
    <t>RT 004 RW 04 DUSUN BRAHIMA</t>
  </si>
  <si>
    <t>6104080004006600</t>
  </si>
  <si>
    <t>RT 002 RW 04 DUSUN BRAHIMA</t>
  </si>
  <si>
    <t>6104080004006700</t>
  </si>
  <si>
    <t>RT 004 RW 12 DUSUN BRAHIMA</t>
  </si>
  <si>
    <t>6104080004006800</t>
  </si>
  <si>
    <t>RT 006 RW 02 DUSUN LAPAN</t>
  </si>
  <si>
    <t>6104080004006900</t>
  </si>
  <si>
    <t>RT 004 RW 11 DUSUN BRAHIMA</t>
  </si>
  <si>
    <t>6104080004007000</t>
  </si>
  <si>
    <t>RT 001 RW 13 DUSUN DURIAN</t>
  </si>
  <si>
    <t>6104080004007100</t>
  </si>
  <si>
    <t>RT 002 RW 13 DUSUN DURIAN</t>
  </si>
  <si>
    <t>6104080004007200</t>
  </si>
  <si>
    <t>RT 003 RW 13 DUSUN DURIAN</t>
  </si>
  <si>
    <t>6104080004100100</t>
  </si>
  <si>
    <t>6104080004100300</t>
  </si>
  <si>
    <t>KEBUN DI 025P</t>
  </si>
  <si>
    <t>6104080004200200</t>
  </si>
  <si>
    <t>6104080006000100</t>
  </si>
  <si>
    <t>PENITI LUAR</t>
  </si>
  <si>
    <t>RT 001 RW 01 DUSUN KARYA BHAKTI</t>
  </si>
  <si>
    <t>6104080006000200</t>
  </si>
  <si>
    <t>RT 002 RW 01 DUSUN KARYA BHAKTI</t>
  </si>
  <si>
    <t>6104080006000300</t>
  </si>
  <si>
    <t>RT 003 RW 01 DUSUN KARYA BHAKTI</t>
  </si>
  <si>
    <t>6104080006000400</t>
  </si>
  <si>
    <t>RT 004 RW 01 DUSUN KARYA BHAKTI</t>
  </si>
  <si>
    <t>6104080006000500</t>
  </si>
  <si>
    <t>RT 001 RW 02 DUSUN KARYA BHAKTI</t>
  </si>
  <si>
    <t>6104080006000600</t>
  </si>
  <si>
    <t>RT 002 RW 02 DUSUN KARYA BHAKTI</t>
  </si>
  <si>
    <t>6104080006000700</t>
  </si>
  <si>
    <t>RT 003 RW 02 DUSUN KARYA BHAKTI</t>
  </si>
  <si>
    <t>6104080006000800</t>
  </si>
  <si>
    <t>RT 004 RW 02 DUSUN KARYA BHAKTI</t>
  </si>
  <si>
    <t>6104080006000900</t>
  </si>
  <si>
    <t>RT 005 RW 02 DUSUN KARYA BHAKTI</t>
  </si>
  <si>
    <t>6104080006001000</t>
  </si>
  <si>
    <t>RT 001 RW 03 DUSUN PANCA BHAKTI</t>
  </si>
  <si>
    <t>6104080006001100</t>
  </si>
  <si>
    <t>RT 002 RW 03 DUSUN PANCA BHAKTI</t>
  </si>
  <si>
    <t>6104080006001200</t>
  </si>
  <si>
    <t>RT 003 RW 03 DUSUN PANCA BHAKTI</t>
  </si>
  <si>
    <t>6104080006001300</t>
  </si>
  <si>
    <t>RT 004 RW 03 DUSUN PANCA BHAKTI</t>
  </si>
  <si>
    <t>6104080006001400</t>
  </si>
  <si>
    <t>RT 001 RW 04 DUSUN TARUNA BHAKTI</t>
  </si>
  <si>
    <t>6104080006001500</t>
  </si>
  <si>
    <t>RT 002 RW 04 DUSUN TARUNA BHAKTI</t>
  </si>
  <si>
    <t>6104080006001600</t>
  </si>
  <si>
    <t>RT 001 RW 05 DUSUN TARUNA BHAKTI</t>
  </si>
  <si>
    <t>6104080006001700</t>
  </si>
  <si>
    <t>RT 002 RW 05 DUSUN TARUNA BHAKTI</t>
  </si>
  <si>
    <t>6104080006001800</t>
  </si>
  <si>
    <t>RT 006 RW 02 DUSUN KARYA BHAKTI</t>
  </si>
  <si>
    <t>6104080006001900</t>
  </si>
  <si>
    <t>RT 007 RW 02 DUSUN KARYA BHAKTI</t>
  </si>
  <si>
    <t>6104081001000100</t>
  </si>
  <si>
    <t>SEGEDONG</t>
  </si>
  <si>
    <t>PENITI DALAM I</t>
  </si>
  <si>
    <t>RT 001 RW 001 DUSUN SY. ABU BAKAR</t>
  </si>
  <si>
    <t>6104081001000200</t>
  </si>
  <si>
    <t>RT 002 RW 001 DUSUN SY. ABU BAKAR</t>
  </si>
  <si>
    <t>6104081001000300</t>
  </si>
  <si>
    <t>RT 003 RW 001 DUSUN SY. ABU BAKAR</t>
  </si>
  <si>
    <t>6104081001000400</t>
  </si>
  <si>
    <t>RT 004 RW 001 DUSUN SY. ABU BAKAR</t>
  </si>
  <si>
    <t>6104081001000500</t>
  </si>
  <si>
    <t>RT 005 RW 002 DUSUN SY. ABU BAKAR</t>
  </si>
  <si>
    <t>6104081001000600</t>
  </si>
  <si>
    <t>RT 006 RW 002 DUSUN SY. ABU BAKAR</t>
  </si>
  <si>
    <t>6104081001000700</t>
  </si>
  <si>
    <t>RT 007 RW 002 DUSUN SY. ABU BAKAR</t>
  </si>
  <si>
    <t>6104081001000800</t>
  </si>
  <si>
    <t>RT 008 RW 002 DUSUN SY. ABU BAKAR</t>
  </si>
  <si>
    <t>6104081001000900</t>
  </si>
  <si>
    <t>RT 009 RW 003 DUSUN WAK PAIK</t>
  </si>
  <si>
    <t>6104081001001000</t>
  </si>
  <si>
    <t>RT 010 RW 003 DUSUN WAK PAIK</t>
  </si>
  <si>
    <t>6104081001001100</t>
  </si>
  <si>
    <t>RT 011 RW 003 DUSUN WAK PAIK</t>
  </si>
  <si>
    <t>6104081001001200</t>
  </si>
  <si>
    <t>RT 012 RW 003 DUSUN WAK PAIK</t>
  </si>
  <si>
    <t>6104081001001300</t>
  </si>
  <si>
    <t>RT 013 RW 004 DUSUN WAK PAIK</t>
  </si>
  <si>
    <t>6104081001001400</t>
  </si>
  <si>
    <t>RT 014 RW 004 DUSUN WAK PAIK</t>
  </si>
  <si>
    <t>6104081001001500</t>
  </si>
  <si>
    <t>RT 015 RW 004 DUSUN WAK PAIK</t>
  </si>
  <si>
    <t>6104081001001600</t>
  </si>
  <si>
    <t>RT 016 RW 004 DUSUN WAK PAIK</t>
  </si>
  <si>
    <t>6104081001001700</t>
  </si>
  <si>
    <t>RT 017 RW 005 DUSUN AMBO PINANG</t>
  </si>
  <si>
    <t>6104081001001800</t>
  </si>
  <si>
    <t>RT 018 RW 005 DUSUN AMBO PINANG</t>
  </si>
  <si>
    <t>6104081001001900</t>
  </si>
  <si>
    <t>RT 019 RW 005 DUSUN AMBO PINANG</t>
  </si>
  <si>
    <t>6104081001002000</t>
  </si>
  <si>
    <t>RT 020 RW 005 DUSUN AMBO PINANG</t>
  </si>
  <si>
    <t>6104081001002100</t>
  </si>
  <si>
    <t>RT 021 RW 006 DUSUN AMBO PINANG</t>
  </si>
  <si>
    <t>6104081001002200</t>
  </si>
  <si>
    <t>RT 022 RW 006 DUSUN AMBO PINANG</t>
  </si>
  <si>
    <t>6104081001002300</t>
  </si>
  <si>
    <t>RT 023 RW 006 DUSUN AMBO PINANG</t>
  </si>
  <si>
    <t>6104081001002400</t>
  </si>
  <si>
    <t>RT 024 RW 006 DUSUN AMBO PINANG</t>
  </si>
  <si>
    <t>6104081002000100</t>
  </si>
  <si>
    <t>SUNGAI BURUNG</t>
  </si>
  <si>
    <t>RT 001 RW 001 DUSUN SUBUR 1</t>
  </si>
  <si>
    <t>6104081002000200</t>
  </si>
  <si>
    <t>RT 002 RW 001 DUSUN SUBUR 1</t>
  </si>
  <si>
    <t>6104081002000300</t>
  </si>
  <si>
    <t>RT 003 RW 001 DUSUN SUBUR 1</t>
  </si>
  <si>
    <t>6104081002000400</t>
  </si>
  <si>
    <t>RT 004 RW 001 DUSUN SUBUR 1</t>
  </si>
  <si>
    <t>6104081002000500</t>
  </si>
  <si>
    <t>RT 005 RW 001 DUSUN SUBUR 1</t>
  </si>
  <si>
    <t>6104081002000600</t>
  </si>
  <si>
    <t>RT 001 RW 002 DUSUN SUBUR 2</t>
  </si>
  <si>
    <t>6104081002000700</t>
  </si>
  <si>
    <t>RT 002 RW 002 DUSUN SUBUR 2</t>
  </si>
  <si>
    <t>6104081002000800</t>
  </si>
  <si>
    <t>RT 003 RW 002 DUSUN SUBUR 2</t>
  </si>
  <si>
    <t>6104081002000900</t>
  </si>
  <si>
    <t>RT 004 RW 002 DUSUN SUBUR 2</t>
  </si>
  <si>
    <t>6104081002100100</t>
  </si>
  <si>
    <t>KEBUN SAWIT DI 012P</t>
  </si>
  <si>
    <t>6104081002100300</t>
  </si>
  <si>
    <t>SAWAH DI 007P</t>
  </si>
  <si>
    <t>6104081002100400</t>
  </si>
  <si>
    <t>SAWAH DI 008P</t>
  </si>
  <si>
    <t>6104081002200200</t>
  </si>
  <si>
    <t>HUTAN DI 001P</t>
  </si>
  <si>
    <t>6104081002200500</t>
  </si>
  <si>
    <t>SEMAK BELUKAR DI 006P</t>
  </si>
  <si>
    <t>6104081003000100</t>
  </si>
  <si>
    <t>SUNGAI PURUN BESAR</t>
  </si>
  <si>
    <t>RT 001 RW 01 DUSUN NELAYAN</t>
  </si>
  <si>
    <t>6104081003000200</t>
  </si>
  <si>
    <t>RT 002 RW 01 DUSUN NELAYAN</t>
  </si>
  <si>
    <t>6104081003000300</t>
  </si>
  <si>
    <t>RT 003 RW 01 DUSUN NELAYAN</t>
  </si>
  <si>
    <t>6104081003000400</t>
  </si>
  <si>
    <t>RT 004 RW 02 DUSUN NELAYAN</t>
  </si>
  <si>
    <t>6104081003000500</t>
  </si>
  <si>
    <t>RT 005 RW 02 DUSUN NELAYAN</t>
  </si>
  <si>
    <t>6104081003000600</t>
  </si>
  <si>
    <t>RT 006 RW 02 DUSUN NELAYAN</t>
  </si>
  <si>
    <t>6104081003000700</t>
  </si>
  <si>
    <t>RT 007 RW 03 DUSUN KEMUNING</t>
  </si>
  <si>
    <t>6104081003000800</t>
  </si>
  <si>
    <t>RT 008 RW 03 DUSUN KEMUNING</t>
  </si>
  <si>
    <t>6104081003000900</t>
  </si>
  <si>
    <t>RT 009 RW 03 DUSUN KEMUNING</t>
  </si>
  <si>
    <t>6104081003001000</t>
  </si>
  <si>
    <t>RT 010 RW 04 DUSUN KEMUNING</t>
  </si>
  <si>
    <t>6104081003001100</t>
  </si>
  <si>
    <t>RT 011 RW 04 DUSUN KEMUNING</t>
  </si>
  <si>
    <t>6104081003001200</t>
  </si>
  <si>
    <t>RT 012 RW 05 DUSUN MAKMUR</t>
  </si>
  <si>
    <t>6104081003001300</t>
  </si>
  <si>
    <t>RT 013 RW 05 DUSUN MAKMUR</t>
  </si>
  <si>
    <t>6104081003001400</t>
  </si>
  <si>
    <t>RT 014 RW 05 DUSUN MAKMUR</t>
  </si>
  <si>
    <t>6104081003001500</t>
  </si>
  <si>
    <t>RT 015 RW 06 DUSUN MAKMUR</t>
  </si>
  <si>
    <t>6104081003001600</t>
  </si>
  <si>
    <t>RT 016 RW 06 DUSUN MAKMUR</t>
  </si>
  <si>
    <t>6104081003001700</t>
  </si>
  <si>
    <t>RT 017 RW 07 DUSUN MAKMUR</t>
  </si>
  <si>
    <t>6104081003001800</t>
  </si>
  <si>
    <t>RT 018 RW 07 DUSUN PELITA</t>
  </si>
  <si>
    <t>6104081003001900</t>
  </si>
  <si>
    <t>RT 019 RW 08 DUSUN PELITA</t>
  </si>
  <si>
    <t>6104081003002000</t>
  </si>
  <si>
    <t>RT 020 RW 08 DUSUN PELITA</t>
  </si>
  <si>
    <t>6104081003002100</t>
  </si>
  <si>
    <t>RT 021 RW 08 DUSUN PELITA</t>
  </si>
  <si>
    <t>6104081003100100</t>
  </si>
  <si>
    <t>SAWAH DI 005P</t>
  </si>
  <si>
    <t>6104081003100200</t>
  </si>
  <si>
    <t>KEBUN KELAPA DI 008P</t>
  </si>
  <si>
    <t>6104081004000100</t>
  </si>
  <si>
    <t>PARIT BUGIS</t>
  </si>
  <si>
    <t>RT 001 RW 001 DUSUN KERANJI</t>
  </si>
  <si>
    <t>6104081004000200</t>
  </si>
  <si>
    <t>RT 002 RW 001 DUSUN KERANJI</t>
  </si>
  <si>
    <t>6104081004000300</t>
  </si>
  <si>
    <t>RT 003 RW 001 DUSUN KERANJI</t>
  </si>
  <si>
    <t>6104081004000400</t>
  </si>
  <si>
    <t>RT 004 RW 002 DUSUN KERANJI</t>
  </si>
  <si>
    <t>6104081004000500</t>
  </si>
  <si>
    <t>RT 005 RW 002 DUSUN KERANJI</t>
  </si>
  <si>
    <t>6104081004000600</t>
  </si>
  <si>
    <t>RT 006 RW 003 DUSUN ASAM</t>
  </si>
  <si>
    <t>6104081004000700</t>
  </si>
  <si>
    <t>RT 007 RW 003 DUSUN ASAM</t>
  </si>
  <si>
    <t>6104081004000800</t>
  </si>
  <si>
    <t>RT 008 RW 004 DUSUN ASAM</t>
  </si>
  <si>
    <t>6104081004000900</t>
  </si>
  <si>
    <t>RT 009 RW 004 DUSUN ASAM</t>
  </si>
  <si>
    <t>6104081004001000</t>
  </si>
  <si>
    <t>RT 010 RW 004 DUSUN ASAM</t>
  </si>
  <si>
    <t>6104081005000100</t>
  </si>
  <si>
    <t>PENITI BESAR</t>
  </si>
  <si>
    <t>RT 001 RW 001 DUSUN SUKA DAMAI</t>
  </si>
  <si>
    <t>6104081005000200</t>
  </si>
  <si>
    <t>RT 002 RW 001 DUSUN SUKA DAMAI</t>
  </si>
  <si>
    <t>6104081005000300</t>
  </si>
  <si>
    <t>RT 003 RW 002 DUSUN SUKA DAMAI</t>
  </si>
  <si>
    <t>6104081005000400</t>
  </si>
  <si>
    <t>RT 004 RW 002 DUSUN SUKA DAMAI</t>
  </si>
  <si>
    <t>6104081005000500</t>
  </si>
  <si>
    <t>RT 005 RW 002 DUSUN SUKA DAMAI</t>
  </si>
  <si>
    <t>6104081005000600</t>
  </si>
  <si>
    <t>RT 006 RW 002 DUSUN SUKA DAMAI</t>
  </si>
  <si>
    <t>6104081005000700</t>
  </si>
  <si>
    <t>RT 007 RW 015 DUSUN SUKA DAMAI</t>
  </si>
  <si>
    <t>6104081005000800</t>
  </si>
  <si>
    <t>RT 008 RW 015 DUSUN SUKA DAMAI</t>
  </si>
  <si>
    <t>6104081005000900</t>
  </si>
  <si>
    <t>RT 009 RW 015 DUSUN SUKA DAMAI</t>
  </si>
  <si>
    <t>6104081005001000</t>
  </si>
  <si>
    <t>RT 001 RW 003 DUSUN KARYA BAKTI</t>
  </si>
  <si>
    <t>6104081005001100</t>
  </si>
  <si>
    <t>RT 002 RW 003 DUSUN KARYA BAKTI</t>
  </si>
  <si>
    <t>6104081005001200</t>
  </si>
  <si>
    <t>RT 003 RW 004 DUSUN KARYA BAKTI</t>
  </si>
  <si>
    <t>6104081005001300</t>
  </si>
  <si>
    <t>RT 004 RW 004 DUSUN KARYA BAKTI</t>
  </si>
  <si>
    <t>6104081005001400</t>
  </si>
  <si>
    <t>RT 005 RW 004 DUSUN KARYA BAKTI</t>
  </si>
  <si>
    <t>6104081005001500</t>
  </si>
  <si>
    <t>RT 001 RW 005 DUSUN SUKA MAJU</t>
  </si>
  <si>
    <t>6104081005001600</t>
  </si>
  <si>
    <t>RT 002 RW 005 DUSUN SUKA MAJU</t>
  </si>
  <si>
    <t>6104081005001700</t>
  </si>
  <si>
    <t>RT 003 RW 006 DUSUN SUKA MAJU</t>
  </si>
  <si>
    <t>6104081005001800</t>
  </si>
  <si>
    <t>RT 004 RW 006 DUSUN SUKA MAJU</t>
  </si>
  <si>
    <t>6104081005001900</t>
  </si>
  <si>
    <t>RT 001 RW 007 DUSUN KARYA BERSAMA</t>
  </si>
  <si>
    <t>6104081005002000</t>
  </si>
  <si>
    <t>RT 002 RW 007 DUSUN KARYA BERSAMA</t>
  </si>
  <si>
    <t>6104081005002100</t>
  </si>
  <si>
    <t>RT 003 RW 007 DUSUN KARYA BERSAMA</t>
  </si>
  <si>
    <t>6104081005002200</t>
  </si>
  <si>
    <t>RT 004 RW 008 DUSUN KARYA BERSAMA</t>
  </si>
  <si>
    <t>6104081005002300</t>
  </si>
  <si>
    <t>RT 005 RW 008 DUSUN KARYA BERSAMA</t>
  </si>
  <si>
    <t>6104081005002400</t>
  </si>
  <si>
    <t>RT 001 RW 009 DUSUN TANI MAKMUR</t>
  </si>
  <si>
    <t>6104081005002500</t>
  </si>
  <si>
    <t>RT 002 RW 009 DUSUN TANI MAKMUR</t>
  </si>
  <si>
    <t>6104081005002600</t>
  </si>
  <si>
    <t>RT 003 RW 010 DUSUN TANI MAKMUR</t>
  </si>
  <si>
    <t>6104081005002700</t>
  </si>
  <si>
    <t>RT 004 RW 010 DUSUN TANI MAKMUR</t>
  </si>
  <si>
    <t>6104081005002800</t>
  </si>
  <si>
    <t>RT 001 RW 011 DUSUN KARYA UTAMA</t>
  </si>
  <si>
    <t>6104081005002900</t>
  </si>
  <si>
    <t>RT 002 RW 011 DUSUN KARYA UTAMA</t>
  </si>
  <si>
    <t>6104081005003000</t>
  </si>
  <si>
    <t>RT 003 RW 012 DUSUN KARYA UTAMA</t>
  </si>
  <si>
    <t>6104081005003100</t>
  </si>
  <si>
    <t>RT 004 RW 012 DUSUN KARYA UTAMA</t>
  </si>
  <si>
    <t>6104081005003200</t>
  </si>
  <si>
    <t>RT 001 RW 013 DUSUN SABAR MENANTI</t>
  </si>
  <si>
    <t>6104081005003300</t>
  </si>
  <si>
    <t>RT 002 RW 013 DUSUN SABAR MENANTI</t>
  </si>
  <si>
    <t>6104081005003400</t>
  </si>
  <si>
    <t>RT 003 RW 013 DUSUN SABAR MENANTI</t>
  </si>
  <si>
    <t>6104081005003500</t>
  </si>
  <si>
    <t>RT 004 RW 014 DUSUN SABAR MENANTI</t>
  </si>
  <si>
    <t>6104081005003600</t>
  </si>
  <si>
    <t>RT 005 RW 014 DUSUN SABAR MENANTI</t>
  </si>
  <si>
    <t>6104081005200100</t>
  </si>
  <si>
    <t>HUTAN / SEMAK BELUKAR</t>
  </si>
  <si>
    <t>6104081006000200</t>
  </si>
  <si>
    <t>PENITI DALAM II</t>
  </si>
  <si>
    <t>RT 003 RW 001 DUSUN KARYA UTAMA</t>
  </si>
  <si>
    <t>6104081006000300</t>
  </si>
  <si>
    <t>RT 002 RW 001 DUSUN KARYA UTAMA</t>
  </si>
  <si>
    <t>6104081006000500</t>
  </si>
  <si>
    <t>RT 004 RW 001 DUSUN KARYA UTAMA</t>
  </si>
  <si>
    <t>6104081006000800</t>
  </si>
  <si>
    <t>RT 005 RW 002 DUSUN KARYA UTAMA</t>
  </si>
  <si>
    <t>6104081006000900</t>
  </si>
  <si>
    <t>RT 006 RW 002 DUSUN KARYA UTAMA</t>
  </si>
  <si>
    <t>6104081006001000</t>
  </si>
  <si>
    <t>RT 007 RW 002 DUSUN KARYA UTAMA</t>
  </si>
  <si>
    <t>6104081006001100</t>
  </si>
  <si>
    <t>RT 008 RW 002 DUSUN KARYA UTAMA</t>
  </si>
  <si>
    <t>6104081006001200</t>
  </si>
  <si>
    <t>RT 009 RW 008 DUSUN CAHAYA INTAN</t>
  </si>
  <si>
    <t>6104081006001500</t>
  </si>
  <si>
    <t>RT 011 RW 003 DUSUN CAHAYA INTAN</t>
  </si>
  <si>
    <t>6104081006001600</t>
  </si>
  <si>
    <t>RT 012 RW 003 DUSUN CAHAYA INTAN</t>
  </si>
  <si>
    <t>6104081006001700</t>
  </si>
  <si>
    <t>RT 013 RW 003 DUSUN CAHAYA INTAN</t>
  </si>
  <si>
    <t>6104081006001800</t>
  </si>
  <si>
    <t>RT 014 RW 003 DUSUN CAHAYA INTAN</t>
  </si>
  <si>
    <t>6104081006002000</t>
  </si>
  <si>
    <t>RT 015 RW 004 DUSUN LEMBAH HIJAU</t>
  </si>
  <si>
    <t>6104081006002200</t>
  </si>
  <si>
    <t>RT 017 RW 005 DUSUN LEMBAH HIJAU</t>
  </si>
  <si>
    <t>6104081006002300</t>
  </si>
  <si>
    <t>RT 018 RW 005 DUSUN LEMBAH HIJAU</t>
  </si>
  <si>
    <t>6104081006002800</t>
  </si>
  <si>
    <t>RT 021 RW 006 DUSUN TUNAS BARU</t>
  </si>
  <si>
    <t>6104081006002900</t>
  </si>
  <si>
    <t>RT 022 RW 006 DUSUN TUNAS BARU</t>
  </si>
  <si>
    <t>6104081006003100</t>
  </si>
  <si>
    <t>RT 024 RW 007 DUSUN TUNAS BARU</t>
  </si>
  <si>
    <t>6104081006003500</t>
  </si>
  <si>
    <t>RT 010 RW 008 DUSUN CAHAYA</t>
  </si>
  <si>
    <t>6104081006003600</t>
  </si>
  <si>
    <t>RT 016 RW 004 DUSUN LEMBAH HIJAU</t>
  </si>
  <si>
    <t>6104081006003700</t>
  </si>
  <si>
    <t>RT 019 RW 005 DUSUN LEMBAH HIJAU</t>
  </si>
  <si>
    <t>6104081006003800</t>
  </si>
  <si>
    <t>RT 023 RW 007 DUSUN TUNAS BARU</t>
  </si>
  <si>
    <t>6104081006003900</t>
  </si>
  <si>
    <t>RT 025 RW 007 DUSUN TUNAS BARU</t>
  </si>
  <si>
    <t>6104081006004000</t>
  </si>
  <si>
    <t>RT 020 RW 006 DUSUN LEMBAH HIJAU</t>
  </si>
  <si>
    <t>6104081006004100</t>
  </si>
  <si>
    <t>RT 001 RW 001 DUSUN KARYA UTAMA</t>
  </si>
  <si>
    <t>6104081006200100</t>
  </si>
  <si>
    <t>BLOK PERSIAPAN</t>
  </si>
  <si>
    <t>6104090001000100</t>
  </si>
  <si>
    <t>SUNGAI PINYUH</t>
  </si>
  <si>
    <t>SUNGAI PURUN KECIL</t>
  </si>
  <si>
    <t>RT 001 RW 01 DUSUN NIKMAT</t>
  </si>
  <si>
    <t>6104090001000200</t>
  </si>
  <si>
    <t>RT 002 RW 01 DUSUN NIKMAT</t>
  </si>
  <si>
    <t>6104090001000300</t>
  </si>
  <si>
    <t>RT 003 RW 02 DUSUN NIKMAT</t>
  </si>
  <si>
    <t>6104090001000400</t>
  </si>
  <si>
    <t>RT 004 RW 02 DUSUN NIKMAT</t>
  </si>
  <si>
    <t>6104090001000500</t>
  </si>
  <si>
    <t>RT 005 RW 03 DUSUN KARYA</t>
  </si>
  <si>
    <t>6104090001000600</t>
  </si>
  <si>
    <t>RT 006 RW 03 DUSUN KARYA</t>
  </si>
  <si>
    <t>6104090001000700</t>
  </si>
  <si>
    <t>RT 007 RW 04 DUSUN KARYA</t>
  </si>
  <si>
    <t>6104090001000800</t>
  </si>
  <si>
    <t>RT 008 RW 04 DUSUN KARYA</t>
  </si>
  <si>
    <t>6104090001000900</t>
  </si>
  <si>
    <t>RT 009 RW 05 DUSUN SWADAYA</t>
  </si>
  <si>
    <t>6104090001001000</t>
  </si>
  <si>
    <t>RT 010 RW 05 DUSUN SWADAYA</t>
  </si>
  <si>
    <t>6104090001001100</t>
  </si>
  <si>
    <t>RT 011 RW 06 DUSUN SWADAYA</t>
  </si>
  <si>
    <t>6104090001001200</t>
  </si>
  <si>
    <t>RT 012 RW 06 DUSUN SWADAYA</t>
  </si>
  <si>
    <t>6104090001001300</t>
  </si>
  <si>
    <t>RT 013 RW 07 DUSUN SWADAYA</t>
  </si>
  <si>
    <t>6104090001001400</t>
  </si>
  <si>
    <t>RT 014 RW 07 DUSUN SEJAHTERA</t>
  </si>
  <si>
    <t>6104090001001500</t>
  </si>
  <si>
    <t>RT 015 RW 08 DUSUN SEJAHTERA</t>
  </si>
  <si>
    <t>6104090001001600</t>
  </si>
  <si>
    <t>RT 016 RW 08 DUSUN SEJAHTERA</t>
  </si>
  <si>
    <t>6104090001001700</t>
  </si>
  <si>
    <t>RT 017 RW 09 DUSUN BAHAGIAH</t>
  </si>
  <si>
    <t>6104090001001800</t>
  </si>
  <si>
    <t>RT 018 RW 09 DUSUN BAHAGIAH</t>
  </si>
  <si>
    <t>6104090001001900</t>
  </si>
  <si>
    <t>RT 019 RW 010 DUSUN BAHAGIAH</t>
  </si>
  <si>
    <t>6104090001002000</t>
  </si>
  <si>
    <t>RT 020 RW 010 DUSUN BAHAGIAH</t>
  </si>
  <si>
    <t>6104090001002100</t>
  </si>
  <si>
    <t>RT 021 RW 010 DUSUN BAHAGIAH</t>
  </si>
  <si>
    <t>6104090001100100</t>
  </si>
  <si>
    <t>6104090001100300</t>
  </si>
  <si>
    <t>6104090001200200</t>
  </si>
  <si>
    <t>HUTAN DI 007P</t>
  </si>
  <si>
    <t>6104090003000100</t>
  </si>
  <si>
    <t>PENIRAMAN</t>
  </si>
  <si>
    <t>RT 001 RW 01 DUSUN TERATAI</t>
  </si>
  <si>
    <t>6104090003000200</t>
  </si>
  <si>
    <t>RT 002 RW 01 DUSUN TERATAI</t>
  </si>
  <si>
    <t>6104090003000300</t>
  </si>
  <si>
    <t>RT 003 RW 02 DUSUN TERATAI</t>
  </si>
  <si>
    <t>6104090003000400</t>
  </si>
  <si>
    <t>RT 004 RW 02 DUSUN TERATAI</t>
  </si>
  <si>
    <t>6104090003000500</t>
  </si>
  <si>
    <t>RT 005 RW 03 DUSUN BABUSSALAM</t>
  </si>
  <si>
    <t>6104090003000600</t>
  </si>
  <si>
    <t>RT 006 RW 03 DUSUN BABUSSALAM</t>
  </si>
  <si>
    <t>6104090003000700</t>
  </si>
  <si>
    <t>RT 007 RW 04 DUSUN BABUSSALAM</t>
  </si>
  <si>
    <t>6104090003000800</t>
  </si>
  <si>
    <t>RT 008 RW 04 DUSUN BABUSSALAM</t>
  </si>
  <si>
    <t>6104090003000900</t>
  </si>
  <si>
    <t>RT 009 RW 05 DUSUN BABUSSALAM</t>
  </si>
  <si>
    <t>6104090003001000</t>
  </si>
  <si>
    <t>RT 010 RW 05 DUSUN SUI DAYAK</t>
  </si>
  <si>
    <t>6104090003001100</t>
  </si>
  <si>
    <t>RT 011 RW 06 DUSUN SUI DAYAK</t>
  </si>
  <si>
    <t>6104090003001200</t>
  </si>
  <si>
    <t>RT 012 RW 06 DUSUN SUI DAYAK</t>
  </si>
  <si>
    <t>6104090003001300</t>
  </si>
  <si>
    <t>RT 013 RW 06 DUSUN SUI DAYAK</t>
  </si>
  <si>
    <t>6104090003001400</t>
  </si>
  <si>
    <t>RT 014 RW 07 DUSUN PENIRAMAN DALAM</t>
  </si>
  <si>
    <t>6104090003001500</t>
  </si>
  <si>
    <t>RT 015 RW 07 DUSUN PENIRAMAN DALAM</t>
  </si>
  <si>
    <t>6104090003001600</t>
  </si>
  <si>
    <t>RT 016 RW 08 DUSUN PENIRAMAN DALAM</t>
  </si>
  <si>
    <t>6104090003001700</t>
  </si>
  <si>
    <t>RT 017 RW 08 DUSUN PENIRAMAN DALAM</t>
  </si>
  <si>
    <t>6104090003001800</t>
  </si>
  <si>
    <t>RT 018 RW 09 DUSUN DANAU</t>
  </si>
  <si>
    <t>6104090003001900</t>
  </si>
  <si>
    <t>RT 019 RW 09 DUSUN DANAU</t>
  </si>
  <si>
    <t>6104090003002000</t>
  </si>
  <si>
    <t>RT 020 RW 010 DUSUN DANAU</t>
  </si>
  <si>
    <t>6104090003002100</t>
  </si>
  <si>
    <t>RT 021 RW 010 DUSUN DANAU</t>
  </si>
  <si>
    <t>6104090003002200</t>
  </si>
  <si>
    <t>RT 022 RW 010 DUSUN DANAU</t>
  </si>
  <si>
    <t>6104090003200100</t>
  </si>
  <si>
    <t>PADANG RUMPUT 013P</t>
  </si>
  <si>
    <t>6104090003200200</t>
  </si>
  <si>
    <t>HUTAN DI 002P</t>
  </si>
  <si>
    <t>6104090004000100</t>
  </si>
  <si>
    <t>NUSAPATI</t>
  </si>
  <si>
    <t>RT 001 RW 01 DUSUN 01</t>
  </si>
  <si>
    <t>6104090004000200</t>
  </si>
  <si>
    <t>RT 002 RW 01 DUSUN 01</t>
  </si>
  <si>
    <t>6104090004000300</t>
  </si>
  <si>
    <t>RT 003 RW 01 DUSUN 01</t>
  </si>
  <si>
    <t>6104090004000400</t>
  </si>
  <si>
    <t>RT 001 RW 02 DUSUN 01</t>
  </si>
  <si>
    <t>6104090004000500</t>
  </si>
  <si>
    <t>RT 002 RW 02 DUSUN 01</t>
  </si>
  <si>
    <t>6104090004000600</t>
  </si>
  <si>
    <t>RT 003 RW 02 DUSUN 01</t>
  </si>
  <si>
    <t>6104090004000700</t>
  </si>
  <si>
    <t>RT 001 RW 03 DUSUN 02</t>
  </si>
  <si>
    <t>6104090004000800</t>
  </si>
  <si>
    <t>RT 002 RW 03 DUSUN 02</t>
  </si>
  <si>
    <t>6104090004000900</t>
  </si>
  <si>
    <t>RT 001 RW 04 DUSUN 02</t>
  </si>
  <si>
    <t>6104090004001000</t>
  </si>
  <si>
    <t>RT 002 RW 04 DUSUN 02</t>
  </si>
  <si>
    <t>6104090004001100</t>
  </si>
  <si>
    <t>RT 001 RW 05 DUSUN 03</t>
  </si>
  <si>
    <t>6104090004001200</t>
  </si>
  <si>
    <t>RT 001 RW 06 DUSUN 03</t>
  </si>
  <si>
    <t>6104090004001300</t>
  </si>
  <si>
    <t>RT 002 RW 06 DUSUN 03</t>
  </si>
  <si>
    <t>6104090004001400</t>
  </si>
  <si>
    <t>RT 001 RW 07 DUSUN 04</t>
  </si>
  <si>
    <t>6104090004001500</t>
  </si>
  <si>
    <t>RT 002 RW 07 DUSUN 04</t>
  </si>
  <si>
    <t>6104090004001600</t>
  </si>
  <si>
    <t>RT 003 RW 07 DUSUN 04</t>
  </si>
  <si>
    <t>6104090004001700</t>
  </si>
  <si>
    <t>RT 001 RW 08 DUSUN 04</t>
  </si>
  <si>
    <t>6104090004001800</t>
  </si>
  <si>
    <t>RT 002 RW 08 DUSUN 04</t>
  </si>
  <si>
    <t>6104090004001900</t>
  </si>
  <si>
    <t>RT 003 RW 08 DUSUN 04</t>
  </si>
  <si>
    <t>6104090004002000</t>
  </si>
  <si>
    <t>RT 001 RW 09 DUSUN 05</t>
  </si>
  <si>
    <t>6104090004002100</t>
  </si>
  <si>
    <t>RT 002 RW 09 DUSUN 05</t>
  </si>
  <si>
    <t>6104090004002200</t>
  </si>
  <si>
    <t>RT 001 RW 10 DUSUN 05</t>
  </si>
  <si>
    <t>6104090004002300</t>
  </si>
  <si>
    <t>RT 002 RW 10 DUSUN 05</t>
  </si>
  <si>
    <t>6104090004002400</t>
  </si>
  <si>
    <t>RT 004 RW 02 DUSUN 01</t>
  </si>
  <si>
    <t>6104090004100100</t>
  </si>
  <si>
    <t>6104090004100300</t>
  </si>
  <si>
    <t>KEBUN KELAPA</t>
  </si>
  <si>
    <t>6104090004200200</t>
  </si>
  <si>
    <t>HUTAN DI BS 002P</t>
  </si>
  <si>
    <t>6104090004200400</t>
  </si>
  <si>
    <t>HUTAN DI BS 010P</t>
  </si>
  <si>
    <t>6104090005000100</t>
  </si>
  <si>
    <t>GALANG</t>
  </si>
  <si>
    <t>RT 001 RW 01 DUSUN UTARA</t>
  </si>
  <si>
    <t>6104090005000200</t>
  </si>
  <si>
    <t>RT 002 RW 01 DUSUN UTARA</t>
  </si>
  <si>
    <t>6104090005000300</t>
  </si>
  <si>
    <t>RT 003 RW 01 DUSUN UTARA</t>
  </si>
  <si>
    <t>6104090005000400</t>
  </si>
  <si>
    <t>RT 004 RW 02 DUSUN HILIR</t>
  </si>
  <si>
    <t>6104090005000500</t>
  </si>
  <si>
    <t>RT 005 RW 02 DUSUN HILIR</t>
  </si>
  <si>
    <t>6104090005000600</t>
  </si>
  <si>
    <t>RT 006 RW 03 DUSUN TENGAH</t>
  </si>
  <si>
    <t>6104090005000700</t>
  </si>
  <si>
    <t>RT 007 RW 03 DUSUN TENGAH</t>
  </si>
  <si>
    <t>6104090005000800</t>
  </si>
  <si>
    <t>RT 008 RW 03 DUSUN TENGAH</t>
  </si>
  <si>
    <t>6104090005000900</t>
  </si>
  <si>
    <t>RT 009 RW 04 DUSUN SELATAN</t>
  </si>
  <si>
    <t>6104090005001000</t>
  </si>
  <si>
    <t>RT 010 RW 04 DUSUN SELATAN</t>
  </si>
  <si>
    <t>6104090005001100</t>
  </si>
  <si>
    <t>RT 011 RW 04 DUSUN SELATAN</t>
  </si>
  <si>
    <t>6104090005001200</t>
  </si>
  <si>
    <t>RT 012 RW 04 DUSUN SELATAN</t>
  </si>
  <si>
    <t>6104090005001300</t>
  </si>
  <si>
    <t>RT 013 RW 03 DUSUN TENGAH</t>
  </si>
  <si>
    <t>6104090005001400</t>
  </si>
  <si>
    <t>RT 014 RW 03 DUSUN TENGAH</t>
  </si>
  <si>
    <t>6104090005001500</t>
  </si>
  <si>
    <t>RT 015 RW 02 DUSUN HILIR</t>
  </si>
  <si>
    <t>6104090005001600</t>
  </si>
  <si>
    <t>RT 016 RW 01 DUSUN UTARA</t>
  </si>
  <si>
    <t>6104090005100100</t>
  </si>
  <si>
    <t>KEBUN SAWIT DI BS 010P</t>
  </si>
  <si>
    <t>6104090008000100</t>
  </si>
  <si>
    <t>SUNGAI RASAU</t>
  </si>
  <si>
    <t>RT 001 RW 01 DUSUN TIMUR</t>
  </si>
  <si>
    <t>6104090008000200</t>
  </si>
  <si>
    <t>RT 002 RW 01 DUSUN TIMUR</t>
  </si>
  <si>
    <t>6104090008000300</t>
  </si>
  <si>
    <t>RT 003 RW 02 DUSUN TIMUR</t>
  </si>
  <si>
    <t>6104090008000400</t>
  </si>
  <si>
    <t>RT 004 RW 02 DUSUN TIMUR</t>
  </si>
  <si>
    <t>6104090008000500</t>
  </si>
  <si>
    <t>RT 005 RW 02 DUSUN BARAT</t>
  </si>
  <si>
    <t>6104090008000600</t>
  </si>
  <si>
    <t>RT 006 RW 03 DUSUN BARAT</t>
  </si>
  <si>
    <t>6104090008000700</t>
  </si>
  <si>
    <t>RT 007 RW 03 DUSUN BARAT</t>
  </si>
  <si>
    <t>6104090008000800</t>
  </si>
  <si>
    <t>RT 008 RW 04 DUSUN BARAT</t>
  </si>
  <si>
    <t>6104090008000900</t>
  </si>
  <si>
    <t>RT 009 RW 04 DUSUN BARAT</t>
  </si>
  <si>
    <t>6104090008100100</t>
  </si>
  <si>
    <t>6104090009000100</t>
  </si>
  <si>
    <t>RT 001 RW 001</t>
  </si>
  <si>
    <t>6104090009000200</t>
  </si>
  <si>
    <t>RT 002 RW 001</t>
  </si>
  <si>
    <t>6104090009000300</t>
  </si>
  <si>
    <t>RT 003 RW 001</t>
  </si>
  <si>
    <t>6104090009000400</t>
  </si>
  <si>
    <t>RT 004 RW 001</t>
  </si>
  <si>
    <t>6104090009000500</t>
  </si>
  <si>
    <t>RT 005 RW 001</t>
  </si>
  <si>
    <t>6104090009000600</t>
  </si>
  <si>
    <t>RT 006 RW 001</t>
  </si>
  <si>
    <t>6104090009000700</t>
  </si>
  <si>
    <t>RT 001 RW 002</t>
  </si>
  <si>
    <t>6104090009000800</t>
  </si>
  <si>
    <t>RT 002 RW 002</t>
  </si>
  <si>
    <t>6104090009000900</t>
  </si>
  <si>
    <t>RT 003 RW 002</t>
  </si>
  <si>
    <t>6104090009001000</t>
  </si>
  <si>
    <t>RT 004 RW 002</t>
  </si>
  <si>
    <t>6104090009001100</t>
  </si>
  <si>
    <t>RT 005 RW 002</t>
  </si>
  <si>
    <t>6104090009001200</t>
  </si>
  <si>
    <t>RT 006 RW 002</t>
  </si>
  <si>
    <t>6104090009001300</t>
  </si>
  <si>
    <t>RT 007 RW 002</t>
  </si>
  <si>
    <t>6104090009001400</t>
  </si>
  <si>
    <t>RT 008 RW 002</t>
  </si>
  <si>
    <t>6104090009001500</t>
  </si>
  <si>
    <t>RT 009 RW 002</t>
  </si>
  <si>
    <t>6104090009001600</t>
  </si>
  <si>
    <t>RT 010 RW 002</t>
  </si>
  <si>
    <t>6104090009001700</t>
  </si>
  <si>
    <t>RT 011 RW 002</t>
  </si>
  <si>
    <t>6104090009001800</t>
  </si>
  <si>
    <t>RT 001 RW 003</t>
  </si>
  <si>
    <t>6104090009001900</t>
  </si>
  <si>
    <t>RT 002 RW 003</t>
  </si>
  <si>
    <t>6104090009002000</t>
  </si>
  <si>
    <t>RT 003 RW 003</t>
  </si>
  <si>
    <t>6104090009002100</t>
  </si>
  <si>
    <t>RT 004 RW 003</t>
  </si>
  <si>
    <t>6104090009002200</t>
  </si>
  <si>
    <t>RT 005 RW 003</t>
  </si>
  <si>
    <t>6104090009002300</t>
  </si>
  <si>
    <t>RT 006 RW 003</t>
  </si>
  <si>
    <t>6104090009002400</t>
  </si>
  <si>
    <t>RT 007 RW 003</t>
  </si>
  <si>
    <t>6104090009002500</t>
  </si>
  <si>
    <t>RT 008 RW 003</t>
  </si>
  <si>
    <t>6104090009002600</t>
  </si>
  <si>
    <t>RT 001 RW 004</t>
  </si>
  <si>
    <t>6104090009002700</t>
  </si>
  <si>
    <t>RT 002 RW 04</t>
  </si>
  <si>
    <t>6104090009002800</t>
  </si>
  <si>
    <t>RT 003 RW 004</t>
  </si>
  <si>
    <t>6104090009002900</t>
  </si>
  <si>
    <t>RT 004 RW 004</t>
  </si>
  <si>
    <t>6104090009003000</t>
  </si>
  <si>
    <t>RT 005 RW 004</t>
  </si>
  <si>
    <t>6104090009003100</t>
  </si>
  <si>
    <t>RT 006 RW 004</t>
  </si>
  <si>
    <t>6104090009003200</t>
  </si>
  <si>
    <t>RT 007 RW 004</t>
  </si>
  <si>
    <t>6104090009003300</t>
  </si>
  <si>
    <t>RT 008 RW 004</t>
  </si>
  <si>
    <t>6104090009003400</t>
  </si>
  <si>
    <t>RT 001 RW 005</t>
  </si>
  <si>
    <t>6104090009003500</t>
  </si>
  <si>
    <t>RT 002 RW 005</t>
  </si>
  <si>
    <t>6104090009003600</t>
  </si>
  <si>
    <t>RT 003 RW 005</t>
  </si>
  <si>
    <t>6104090009003700</t>
  </si>
  <si>
    <t>RT 004 RW 005</t>
  </si>
  <si>
    <t>6104090009003800</t>
  </si>
  <si>
    <t>RT 005 RW 005</t>
  </si>
  <si>
    <t>6104090009003900</t>
  </si>
  <si>
    <t>RT 006 RW 005</t>
  </si>
  <si>
    <t>6104090009004000</t>
  </si>
  <si>
    <t>RT 007 RW 005</t>
  </si>
  <si>
    <t>6104090009004100</t>
  </si>
  <si>
    <t>RT 008 RW 005</t>
  </si>
  <si>
    <t>6104090009004200</t>
  </si>
  <si>
    <t>RT 009 RW 005</t>
  </si>
  <si>
    <t>6104090009004300</t>
  </si>
  <si>
    <t>RT 001 RW 006</t>
  </si>
  <si>
    <t>6104090009004400</t>
  </si>
  <si>
    <t>RT 002 RW 006</t>
  </si>
  <si>
    <t>6104090009004500</t>
  </si>
  <si>
    <t>RT 003 RW 006</t>
  </si>
  <si>
    <t>6104090009004600</t>
  </si>
  <si>
    <t>RT 004 RW 006</t>
  </si>
  <si>
    <t>6104090009004700</t>
  </si>
  <si>
    <t>RT 005 RW 006</t>
  </si>
  <si>
    <t>6104090009004800</t>
  </si>
  <si>
    <t>RT 006 RW 006</t>
  </si>
  <si>
    <t>6104090009004900</t>
  </si>
  <si>
    <t>RT 007 RW 006</t>
  </si>
  <si>
    <t>6104090009005000</t>
  </si>
  <si>
    <t>RT 008 RW 006</t>
  </si>
  <si>
    <t>6104090009005100</t>
  </si>
  <si>
    <t>RT 009 RW 006</t>
  </si>
  <si>
    <t>6104090009005200</t>
  </si>
  <si>
    <t>RT 010 RW 006</t>
  </si>
  <si>
    <t>6104090009005300</t>
  </si>
  <si>
    <t>RT 011 RW 006</t>
  </si>
  <si>
    <t>6104090009005400</t>
  </si>
  <si>
    <t>RT 012 RW 006</t>
  </si>
  <si>
    <t>6104090009005500</t>
  </si>
  <si>
    <t>RT 013 RW 006</t>
  </si>
  <si>
    <t>6104090009005600</t>
  </si>
  <si>
    <t>RT 014 RW 006</t>
  </si>
  <si>
    <t>6104090009005700</t>
  </si>
  <si>
    <t>RT 015 RW 006</t>
  </si>
  <si>
    <t>6104090009005800</t>
  </si>
  <si>
    <t>RT 016 RW 006</t>
  </si>
  <si>
    <t>6104090010000100</t>
  </si>
  <si>
    <t>SUNGAI BATANG</t>
  </si>
  <si>
    <t>6104090010000200</t>
  </si>
  <si>
    <t>6104090010000300</t>
  </si>
  <si>
    <t>RT 003 RW 01 DUSUN TIMUR</t>
  </si>
  <si>
    <t>6104090010000400</t>
  </si>
  <si>
    <t>RT 004 RW 01 DUSUN TIMUR</t>
  </si>
  <si>
    <t>6104090010000500</t>
  </si>
  <si>
    <t>RT 001 RW 02 DUSUN BARAT</t>
  </si>
  <si>
    <t>6104090010000600</t>
  </si>
  <si>
    <t>RT 002 RW 02 DUSUN BARAT</t>
  </si>
  <si>
    <t>6104090010000700</t>
  </si>
  <si>
    <t>RT 003 RW 02 DUSUN BARAT</t>
  </si>
  <si>
    <t>6104090010000800</t>
  </si>
  <si>
    <t>RT 004 RW 02 DUSUN BARAT</t>
  </si>
  <si>
    <t>6104090010000900</t>
  </si>
  <si>
    <t>6104090010100100</t>
  </si>
  <si>
    <t>KEBUN KELAPA DI 006P</t>
  </si>
  <si>
    <t>6104090011000100</t>
  </si>
  <si>
    <t>SUNGAI BAKAU BESAR LAUT</t>
  </si>
  <si>
    <t>RT 001 RW 01 DUSUN BARAT</t>
  </si>
  <si>
    <t>6104090011000200</t>
  </si>
  <si>
    <t>RT 002 RW 01 DUSUN BARAT</t>
  </si>
  <si>
    <t>6104090011000300</t>
  </si>
  <si>
    <t>RT 003 RW 01 DUSUN BARAT</t>
  </si>
  <si>
    <t>6104090011000400</t>
  </si>
  <si>
    <t>RT 012 RW 01 DUSUN BARAT</t>
  </si>
  <si>
    <t>6104090011000500</t>
  </si>
  <si>
    <t>6104090011000600</t>
  </si>
  <si>
    <t>6104090011000700</t>
  </si>
  <si>
    <t>RT 006 RW 02 DUSUN BARAT</t>
  </si>
  <si>
    <t>6104090011000800</t>
  </si>
  <si>
    <t>RT 013 RW 02 DUSUN BARAT</t>
  </si>
  <si>
    <t>6104090011000900</t>
  </si>
  <si>
    <t>RT 007 RW 03 DUSUN TIMUR</t>
  </si>
  <si>
    <t>6104090011001000</t>
  </si>
  <si>
    <t>RT 011 RW 03 DUSUN TIMUR</t>
  </si>
  <si>
    <t>6104090011001100</t>
  </si>
  <si>
    <t>RT 015 RW 03 DUSUN TIMUR</t>
  </si>
  <si>
    <t>6104090011001200</t>
  </si>
  <si>
    <t>RT 016 RW 03 DUSUN TIMUR</t>
  </si>
  <si>
    <t>6104090011001300</t>
  </si>
  <si>
    <t>RT 008 RW 04 DUSUN TIMUR</t>
  </si>
  <si>
    <t>6104090011001400</t>
  </si>
  <si>
    <t>RT 009 RW 04 DUSUN TIMUR</t>
  </si>
  <si>
    <t>6104090011001500</t>
  </si>
  <si>
    <t>RT 010 RW 04 DUSUN TIMUR</t>
  </si>
  <si>
    <t>6104090011001600</t>
  </si>
  <si>
    <t>RT 014 RW 04 DUSUN TIMUR</t>
  </si>
  <si>
    <t>6104090011200100</t>
  </si>
  <si>
    <t>6104090011200200</t>
  </si>
  <si>
    <t>6104090012000100</t>
  </si>
  <si>
    <t>SUNGAI BAKAU BESAR DARAT</t>
  </si>
  <si>
    <t>RT 001 RW 01 DUSUN PARIT KURUS</t>
  </si>
  <si>
    <t>6104090012000200</t>
  </si>
  <si>
    <t>RT 002 RW 01 DUSUN PARIT KURUS</t>
  </si>
  <si>
    <t>6104090012000300</t>
  </si>
  <si>
    <t>RT 003 RW 02 DUSUN PARIT KURUS</t>
  </si>
  <si>
    <t>6104090012000400</t>
  </si>
  <si>
    <t>RT 004 RW 02 DUSUN PARIT KURUS</t>
  </si>
  <si>
    <t>6104090012000500</t>
  </si>
  <si>
    <t>RT 005 RW 03 DUSUN PARIT KURUS</t>
  </si>
  <si>
    <t>6104090012000600</t>
  </si>
  <si>
    <t>RT 006 RW 03 DUSUN HULU SUNGAI</t>
  </si>
  <si>
    <t>6104090012000700</t>
  </si>
  <si>
    <t>RT 007 RW 04 DUSUN HULU SUNGAI</t>
  </si>
  <si>
    <t>6104090012000800</t>
  </si>
  <si>
    <t>RT 008 RW 04 DUSUN HULU SUNGAI</t>
  </si>
  <si>
    <t>6104090012000900</t>
  </si>
  <si>
    <t>RT 009 RW 05 DUSUN HULU SUNGAI</t>
  </si>
  <si>
    <t>6104090012001000</t>
  </si>
  <si>
    <t>RT 010 RW 05 DUSUN SIMPANG EMPAT</t>
  </si>
  <si>
    <t>6104090012001100</t>
  </si>
  <si>
    <t>RT 011 RW 06 DUSUN SIMPANG EMPAT</t>
  </si>
  <si>
    <t>6104090012001200</t>
  </si>
  <si>
    <t>RT 012 RW 06 DUSUN SIMPANG EMPAT</t>
  </si>
  <si>
    <t>6104090012001300</t>
  </si>
  <si>
    <t>RT 013 RW 07 DUSUN PARIT H. AMIN</t>
  </si>
  <si>
    <t>6104090012001400</t>
  </si>
  <si>
    <t>RT 014 RW 07 DUSUN PARIT H. AMIN</t>
  </si>
  <si>
    <t>6104090012001500</t>
  </si>
  <si>
    <t>RT 015 RW 08 DUSUN PARIT H. AMIN</t>
  </si>
  <si>
    <t>6104090012001600</t>
  </si>
  <si>
    <t>RT 016 RW 08 DUSUN PARIT H. AMIN</t>
  </si>
  <si>
    <t>6104090012001700</t>
  </si>
  <si>
    <t>RT 017 RW 09 DUSUN PARIT AKOP</t>
  </si>
  <si>
    <t>6104090012001800</t>
  </si>
  <si>
    <t>RT 018 RW 09 DUSUN PARIT AKOP</t>
  </si>
  <si>
    <t>6104090012001900</t>
  </si>
  <si>
    <t>RT 019 RW 010 DUSUN PARIT AKOP</t>
  </si>
  <si>
    <t>6104090012002000</t>
  </si>
  <si>
    <t>RT 020 RW 010 DUSUN PARIT AKOP</t>
  </si>
  <si>
    <t>6104090012200100</t>
  </si>
  <si>
    <t>HUTAN DI ATAS RT TERAKHIR</t>
  </si>
  <si>
    <t>6104091002000100</t>
  </si>
  <si>
    <t>ANJONGAN</t>
  </si>
  <si>
    <t>ANJUNGAN MELANCAR</t>
  </si>
  <si>
    <t>RT 001 RW 01</t>
  </si>
  <si>
    <t>6104091002000200</t>
  </si>
  <si>
    <t>RT 002 RW 01</t>
  </si>
  <si>
    <t>6104091002000300</t>
  </si>
  <si>
    <t>RT 015 RW 01</t>
  </si>
  <si>
    <t>6104091002000400</t>
  </si>
  <si>
    <t>RT 017 RW 01</t>
  </si>
  <si>
    <t>6104091002000500</t>
  </si>
  <si>
    <t>RT 018 RW 01</t>
  </si>
  <si>
    <t>6104091002000600</t>
  </si>
  <si>
    <t>RT 019 RW 01</t>
  </si>
  <si>
    <t>6104091002000700</t>
  </si>
  <si>
    <t>RT 020 RW 01</t>
  </si>
  <si>
    <t>6104091002000800</t>
  </si>
  <si>
    <t>RT 021 RW 01</t>
  </si>
  <si>
    <t>6104091002000900</t>
  </si>
  <si>
    <t>RT 022 RW 01</t>
  </si>
  <si>
    <t>6104091002001000</t>
  </si>
  <si>
    <t>RT 023 RW 01</t>
  </si>
  <si>
    <t>6104091002001100</t>
  </si>
  <si>
    <t>RT 003 RW 02</t>
  </si>
  <si>
    <t>6104091002001200</t>
  </si>
  <si>
    <t>RT 004 RW 02</t>
  </si>
  <si>
    <t>6104091002001300</t>
  </si>
  <si>
    <t>RT 005 RW 02</t>
  </si>
  <si>
    <t>6104091002001400</t>
  </si>
  <si>
    <t>RT 006 RW 03</t>
  </si>
  <si>
    <t>6104091002001500</t>
  </si>
  <si>
    <t>RT 007 RW 03</t>
  </si>
  <si>
    <t>6104091002001600</t>
  </si>
  <si>
    <t>RT 008 RW 03</t>
  </si>
  <si>
    <t>6104091002001700</t>
  </si>
  <si>
    <t>RT 009 RW 04</t>
  </si>
  <si>
    <t>6104091002001800</t>
  </si>
  <si>
    <t>RT 010 RW 04</t>
  </si>
  <si>
    <t>6104091002001900</t>
  </si>
  <si>
    <t>RT 011 RW 04</t>
  </si>
  <si>
    <t>6104091002002000</t>
  </si>
  <si>
    <t>RT 012 RW 04</t>
  </si>
  <si>
    <t>6104091002002100</t>
  </si>
  <si>
    <t>RT 013 RW 04</t>
  </si>
  <si>
    <t>6104091002002200</t>
  </si>
  <si>
    <t>RT 014 RW 04</t>
  </si>
  <si>
    <t>6104091002002300</t>
  </si>
  <si>
    <t>RT 016 RW 04</t>
  </si>
  <si>
    <t>6104091002100200</t>
  </si>
  <si>
    <t>KEBUN SAWIT DI 004P</t>
  </si>
  <si>
    <t>6104091002100300</t>
  </si>
  <si>
    <t>KEBUN SAWIT DI 005P</t>
  </si>
  <si>
    <t>6104091002100400</t>
  </si>
  <si>
    <t>KEBUN SAWIT DI 006P</t>
  </si>
  <si>
    <t>6104091002200100</t>
  </si>
  <si>
    <t>6104091003000100</t>
  </si>
  <si>
    <t>ANJUNGAN DALAM</t>
  </si>
  <si>
    <t>RT 001 RW 01 DUSUN TERDU</t>
  </si>
  <si>
    <t>6104091003000200</t>
  </si>
  <si>
    <t>RT 002 RW 01 DUSUN TERDU</t>
  </si>
  <si>
    <t>6104091003000300</t>
  </si>
  <si>
    <t>RT 003 RW 01 DUSUN TERDU</t>
  </si>
  <si>
    <t>6104091003000400</t>
  </si>
  <si>
    <t>RT 004 RW 01 DUSUN TERDU</t>
  </si>
  <si>
    <t>6104091003000500</t>
  </si>
  <si>
    <t>RT 005 RW 01 DUSUN TERDU</t>
  </si>
  <si>
    <t>6104091003000600</t>
  </si>
  <si>
    <t>RT 011 RW 01 DUSUN TERDU</t>
  </si>
  <si>
    <t>6104091003000700</t>
  </si>
  <si>
    <t>RT 006 RW 01 DUSUN TERDU</t>
  </si>
  <si>
    <t>6104091003000800</t>
  </si>
  <si>
    <t>RT 007 RW 02 DUSUN PRAMUKA</t>
  </si>
  <si>
    <t>6104091003000900</t>
  </si>
  <si>
    <t>RT 008 RW 02 DUSUN PRAMUKA</t>
  </si>
  <si>
    <t>6104091003001000</t>
  </si>
  <si>
    <t>RT 009 RW 02 DUSUN PRAMUKA</t>
  </si>
  <si>
    <t>6104091003001100</t>
  </si>
  <si>
    <t>RT 010 RW 02 DUSUN PRAMUKA</t>
  </si>
  <si>
    <t>6104091003200100</t>
  </si>
  <si>
    <t>6104091004000100</t>
  </si>
  <si>
    <t>PAK BULU</t>
  </si>
  <si>
    <t>RT 001 RW 01 DUSUN PERIKANAN</t>
  </si>
  <si>
    <t>6104091004000200</t>
  </si>
  <si>
    <t>RT 002 RW 01 DUSUN PERIKANAN</t>
  </si>
  <si>
    <t>6104091004000300</t>
  </si>
  <si>
    <t>RT 003 RW 01 DUSUN PERIKANAN</t>
  </si>
  <si>
    <t>6104091004000400</t>
  </si>
  <si>
    <t>RT 004 RW 02 DUSUN PAK BULU</t>
  </si>
  <si>
    <t>6104091004000500</t>
  </si>
  <si>
    <t>RT 005 RW 02 DUSUN PAK BULU</t>
  </si>
  <si>
    <t>6104091004000600</t>
  </si>
  <si>
    <t>RT 006 RW 02 DUSUN PAK BULU</t>
  </si>
  <si>
    <t>6104091004000700</t>
  </si>
  <si>
    <t>RT 007 RW 02 DUSUN PAK BULU</t>
  </si>
  <si>
    <t>6104091004000800</t>
  </si>
  <si>
    <t>RT 008 RW 02 DUSUN PAK BULU</t>
  </si>
  <si>
    <t>6104091004200100</t>
  </si>
  <si>
    <t>NON SLS PAK BULU</t>
  </si>
  <si>
    <t>6104091005000100</t>
  </si>
  <si>
    <t>DEMA</t>
  </si>
  <si>
    <t>RT 001 RW 01 DUSUN BAGURUH</t>
  </si>
  <si>
    <t>6104091005000200</t>
  </si>
  <si>
    <t>RT 002 RW 01 DUSUN BAGURUH</t>
  </si>
  <si>
    <t>6104091005000300</t>
  </si>
  <si>
    <t>RT 010 RW 01 DUSUN BAGURUH</t>
  </si>
  <si>
    <t>6104091005000400</t>
  </si>
  <si>
    <t>RT 011 RW 01 DUSUN BAGURUH</t>
  </si>
  <si>
    <t>6104091005000500</t>
  </si>
  <si>
    <t>RT 003 RW 02 DUSUN DEMA</t>
  </si>
  <si>
    <t>6104091005000600</t>
  </si>
  <si>
    <t>RT 004 RW 02 DUSUN DEMA</t>
  </si>
  <si>
    <t>6104091005000700</t>
  </si>
  <si>
    <t>RT 005 RW 02 DUSUN DEMA</t>
  </si>
  <si>
    <t>6104091005000800</t>
  </si>
  <si>
    <t>RT 012 RW 02 DUSUN DEMA</t>
  </si>
  <si>
    <t>6104091005000900</t>
  </si>
  <si>
    <t>RT 006 RW 03 DUSUN PINYUH KERSIK</t>
  </si>
  <si>
    <t>6104091005001000</t>
  </si>
  <si>
    <t>RT 007 RW 03 DUSUN PINYUH KERSIK</t>
  </si>
  <si>
    <t>6104091005001100</t>
  </si>
  <si>
    <t>RT 008 RW 03 DUSUN PINYUH KERSIK</t>
  </si>
  <si>
    <t>6104091005001200</t>
  </si>
  <si>
    <t>RT 009 RW 03 DUSUN PINYUH KERSIK</t>
  </si>
  <si>
    <t>6104091006000100</t>
  </si>
  <si>
    <t>KEPAYANG</t>
  </si>
  <si>
    <t>RT 001 RW 01 DUSUN BILADO</t>
  </si>
  <si>
    <t>6104091006000200</t>
  </si>
  <si>
    <t>RT 002 RW 01 DUSUN BILADO</t>
  </si>
  <si>
    <t>6104091006000300</t>
  </si>
  <si>
    <t>RT 003 RW 01 DUSUN BILADO</t>
  </si>
  <si>
    <t>6104091006000400</t>
  </si>
  <si>
    <t>RT 004 RW 01 DUSUN BILADO</t>
  </si>
  <si>
    <t>6104091006000500</t>
  </si>
  <si>
    <t>RT 005 RW 01 DUSUN BILADO</t>
  </si>
  <si>
    <t>6104091006000600</t>
  </si>
  <si>
    <t>RT 006 RW 02 DUSUN LAHUAK</t>
  </si>
  <si>
    <t>6104091006000700</t>
  </si>
  <si>
    <t>RT 007 RW 02 DUSUN LAHUAK</t>
  </si>
  <si>
    <t>6104091006000800</t>
  </si>
  <si>
    <t>RT 008 RW 02 DUSUN LAHUAK</t>
  </si>
  <si>
    <t>6104091006000900</t>
  </si>
  <si>
    <t>RT 009 RW 02 DUSUN LAHUAK</t>
  </si>
  <si>
    <t>6104091006001000</t>
  </si>
  <si>
    <t>RT 010 RW 03 DUSUN PELADIS</t>
  </si>
  <si>
    <t>6104091006001100</t>
  </si>
  <si>
    <t>RT 011 RW 03 DUSUN PELADIS</t>
  </si>
  <si>
    <t>6104091006001200</t>
  </si>
  <si>
    <t>RT 012 RW 03 DUSUN PELADIS</t>
  </si>
  <si>
    <t>6104091006001300</t>
  </si>
  <si>
    <t>RT 013 RW 03 DUSUN PELADIS</t>
  </si>
  <si>
    <t>6104091006001400</t>
  </si>
  <si>
    <t>RT 014 RW 04 DUSUN KEPAYANG</t>
  </si>
  <si>
    <t>6104091006001500</t>
  </si>
  <si>
    <t>RT 015 RW 04 DUSUN KEPAYANG</t>
  </si>
  <si>
    <t>6104091006001600</t>
  </si>
  <si>
    <t>RT 016 RW 04 DUSUN KEPAYANG</t>
  </si>
  <si>
    <t>6104091006001700</t>
  </si>
  <si>
    <t>RT 017 RW 04 DUSUN KEPAYANG</t>
  </si>
  <si>
    <t>6104091006001800</t>
  </si>
  <si>
    <t>RT 018 RW 04 DUSUN KEPAYANG</t>
  </si>
  <si>
    <t>6104091006200100</t>
  </si>
  <si>
    <t>NON SLS KEPAYANG</t>
  </si>
  <si>
    <t>6104091006200200</t>
  </si>
  <si>
    <t>HUTAN DI BS 009P</t>
  </si>
  <si>
    <t>6104100001000100</t>
  </si>
  <si>
    <t>MEMPAWAH HILIR</t>
  </si>
  <si>
    <t>TANJUNG</t>
  </si>
  <si>
    <t>RT 01 RW 01</t>
  </si>
  <si>
    <t>6104100001000200</t>
  </si>
  <si>
    <t>RT 02 RW 01</t>
  </si>
  <si>
    <t>6104100001000300</t>
  </si>
  <si>
    <t>RT 03 RW 02</t>
  </si>
  <si>
    <t>6104100001000400</t>
  </si>
  <si>
    <t>RT 04 RW 02</t>
  </si>
  <si>
    <t>6104100001000500</t>
  </si>
  <si>
    <t>RT 05 RW 03</t>
  </si>
  <si>
    <t>6104100001000600</t>
  </si>
  <si>
    <t>RT 06 RW 03</t>
  </si>
  <si>
    <t>6104100002000100</t>
  </si>
  <si>
    <t>KUALA SECAPAH</t>
  </si>
  <si>
    <t>RT 001 RW 01 DUSUN ABADI</t>
  </si>
  <si>
    <t>6104100002000200</t>
  </si>
  <si>
    <t>RT 002 RW 01 DUSUN ABADI</t>
  </si>
  <si>
    <t>6104100002000300</t>
  </si>
  <si>
    <t>RT 003 RW 02 DUSUN ABADI</t>
  </si>
  <si>
    <t>6104100002000400</t>
  </si>
  <si>
    <t>RT 004 RW 02 DUSUN ABADI</t>
  </si>
  <si>
    <t>6104100002000500</t>
  </si>
  <si>
    <t>RT 005 RW 03 DUSUN KABO</t>
  </si>
  <si>
    <t>6104100002000600</t>
  </si>
  <si>
    <t>RT 006 RW 03 DUSUN KABO</t>
  </si>
  <si>
    <t>6104100002000700</t>
  </si>
  <si>
    <t>RT 007 RW 04 DUSUN KABO</t>
  </si>
  <si>
    <t>6104100002000800</t>
  </si>
  <si>
    <t>RT 008 RW 04 DUSUN KABO</t>
  </si>
  <si>
    <t>6104100002000900</t>
  </si>
  <si>
    <t>RT 009 RW 05 DUSUN KARYA</t>
  </si>
  <si>
    <t>6104100002001000</t>
  </si>
  <si>
    <t>RT 010 RW 05 DUSUN KARYA</t>
  </si>
  <si>
    <t>6104100002001100</t>
  </si>
  <si>
    <t>RT 011 RW 06 DUSUN KARYA</t>
  </si>
  <si>
    <t>6104100002001200</t>
  </si>
  <si>
    <t>RT 012 RW 06 DUSUN KARYA</t>
  </si>
  <si>
    <t>6104100002001300</t>
  </si>
  <si>
    <t>RT 013 RW 07 DUSUN HARAPAN</t>
  </si>
  <si>
    <t>6104100002001400</t>
  </si>
  <si>
    <t>RT 014 RW 07 DUSUN HARAPAN</t>
  </si>
  <si>
    <t>6104100002001500</t>
  </si>
  <si>
    <t>RT 015 RW 08 DUSUN HARAPAN</t>
  </si>
  <si>
    <t>6104100002200100</t>
  </si>
  <si>
    <t>PULAU DATUK</t>
  </si>
  <si>
    <t>6104100007000100</t>
  </si>
  <si>
    <t>TENGAH</t>
  </si>
  <si>
    <t>6104100007000200</t>
  </si>
  <si>
    <t>6104100007000300</t>
  </si>
  <si>
    <t>6104100007000400</t>
  </si>
  <si>
    <t>6104100007000500</t>
  </si>
  <si>
    <t>6104100007000600</t>
  </si>
  <si>
    <t>6104100007000700</t>
  </si>
  <si>
    <t>6104100007000800</t>
  </si>
  <si>
    <t>6104100007000900</t>
  </si>
  <si>
    <t>6104100007001000</t>
  </si>
  <si>
    <t>6104100007001100</t>
  </si>
  <si>
    <t>6104100007001200</t>
  </si>
  <si>
    <t>6104100007001300</t>
  </si>
  <si>
    <t>RT 013 RW 05</t>
  </si>
  <si>
    <t>6104100007001400</t>
  </si>
  <si>
    <t>RT 014 RW 05</t>
  </si>
  <si>
    <t>6104100007001500</t>
  </si>
  <si>
    <t>RT 015 RW 06</t>
  </si>
  <si>
    <t>6104100007001600</t>
  </si>
  <si>
    <t>RT 016 RW 06</t>
  </si>
  <si>
    <t>6104100007001700</t>
  </si>
  <si>
    <t>RT 017 RW 06</t>
  </si>
  <si>
    <t>6104100007001800</t>
  </si>
  <si>
    <t>RT 018 RW 06</t>
  </si>
  <si>
    <t>6104100007001900</t>
  </si>
  <si>
    <t>RT 019 RW 07</t>
  </si>
  <si>
    <t>6104100007002000</t>
  </si>
  <si>
    <t>RT 024 RW 07</t>
  </si>
  <si>
    <t>6104100007002100</t>
  </si>
  <si>
    <t>RT 020 RW 07</t>
  </si>
  <si>
    <t>6104100007002200</t>
  </si>
  <si>
    <t>RT 021 RW 07</t>
  </si>
  <si>
    <t>6104100007002300</t>
  </si>
  <si>
    <t>RT 022 RW 08</t>
  </si>
  <si>
    <t>6104100007002400</t>
  </si>
  <si>
    <t>RT 023 RW 08</t>
  </si>
  <si>
    <t>6104100008000100</t>
  </si>
  <si>
    <t>TERUSAN</t>
  </si>
  <si>
    <t>RT 037 RW 01</t>
  </si>
  <si>
    <t>6104100008000200</t>
  </si>
  <si>
    <t>RT 036 RW 01</t>
  </si>
  <si>
    <t>6104100008000300</t>
  </si>
  <si>
    <t>RT 030 RW 01</t>
  </si>
  <si>
    <t>6104100008000400</t>
  </si>
  <si>
    <t>RT 029 RW 01</t>
  </si>
  <si>
    <t>6104100008000500</t>
  </si>
  <si>
    <t>RT 028 RW 02</t>
  </si>
  <si>
    <t>6104100008000600</t>
  </si>
  <si>
    <t>RT 027 RW 02</t>
  </si>
  <si>
    <t>6104100008000700</t>
  </si>
  <si>
    <t>RT 026 RW 03</t>
  </si>
  <si>
    <t>6104100008000800</t>
  </si>
  <si>
    <t>RT 025 RW 03</t>
  </si>
  <si>
    <t>6104100008000900</t>
  </si>
  <si>
    <t>RT 023 RW 04</t>
  </si>
  <si>
    <t>6104100008001000</t>
  </si>
  <si>
    <t>RT 022 RW 05</t>
  </si>
  <si>
    <t>6104100008001100</t>
  </si>
  <si>
    <t>RT 033 RW 05</t>
  </si>
  <si>
    <t>6104100008001200</t>
  </si>
  <si>
    <t>RT 019 RW 06</t>
  </si>
  <si>
    <t>6104100008001300</t>
  </si>
  <si>
    <t>RT 020 RW 06</t>
  </si>
  <si>
    <t>6104100008001400</t>
  </si>
  <si>
    <t>RT 017 RW 07</t>
  </si>
  <si>
    <t>6104100008001500</t>
  </si>
  <si>
    <t>RT 018 RW 07</t>
  </si>
  <si>
    <t>6104100008001600</t>
  </si>
  <si>
    <t>RT 034 RW 07</t>
  </si>
  <si>
    <t>6104100008001700</t>
  </si>
  <si>
    <t>RT 035 RW 07</t>
  </si>
  <si>
    <t>6104100008001800</t>
  </si>
  <si>
    <t>RT 041 RW 08</t>
  </si>
  <si>
    <t>6104100008001900</t>
  </si>
  <si>
    <t>RT 016 RW 08</t>
  </si>
  <si>
    <t>6104100008002000</t>
  </si>
  <si>
    <t>RT 015 RW 08</t>
  </si>
  <si>
    <t>6104100008002100</t>
  </si>
  <si>
    <t>RT 014 RW 09</t>
  </si>
  <si>
    <t>6104100008002200</t>
  </si>
  <si>
    <t>RT 013 RW 16</t>
  </si>
  <si>
    <t>6104100008002300</t>
  </si>
  <si>
    <t>RT 012 RW 10</t>
  </si>
  <si>
    <t>6104100008002400</t>
  </si>
  <si>
    <t>RT 011 RW 10</t>
  </si>
  <si>
    <t>6104100008002500</t>
  </si>
  <si>
    <t>RT 010 RW 11</t>
  </si>
  <si>
    <t>6104100008002600</t>
  </si>
  <si>
    <t>RT 009 RW 11</t>
  </si>
  <si>
    <t>6104100008002700</t>
  </si>
  <si>
    <t>RT 008 RW 12</t>
  </si>
  <si>
    <t>6104100008002800</t>
  </si>
  <si>
    <t>RT 007 RW 12</t>
  </si>
  <si>
    <t>6104100008002900</t>
  </si>
  <si>
    <t>RT 006 RW 13</t>
  </si>
  <si>
    <t>6104100008003000</t>
  </si>
  <si>
    <t>RT 005 RW 13</t>
  </si>
  <si>
    <t>6104100008003100</t>
  </si>
  <si>
    <t>RT 004 RW 14</t>
  </si>
  <si>
    <t>6104100008003200</t>
  </si>
  <si>
    <t>RT 003 RW 14</t>
  </si>
  <si>
    <t>6104100008003300</t>
  </si>
  <si>
    <t>RT 002 RW 15</t>
  </si>
  <si>
    <t>6104100008003400</t>
  </si>
  <si>
    <t>RT 001 RW 15</t>
  </si>
  <si>
    <t>6104100008003500</t>
  </si>
  <si>
    <t>RT 021 RW 16</t>
  </si>
  <si>
    <t>6104100008003600</t>
  </si>
  <si>
    <t>RT 031 RW 16</t>
  </si>
  <si>
    <t>6104100008003700</t>
  </si>
  <si>
    <t>RT 032 RW 16</t>
  </si>
  <si>
    <t>6104100008003800</t>
  </si>
  <si>
    <t>RT 024 RW 17</t>
  </si>
  <si>
    <t>6104100008003900</t>
  </si>
  <si>
    <t>RT 038 RW 17</t>
  </si>
  <si>
    <t>6104100008004000</t>
  </si>
  <si>
    <t>RT 039 RW 17</t>
  </si>
  <si>
    <t>6104100008004100</t>
  </si>
  <si>
    <t>RT 040 RW 17</t>
  </si>
  <si>
    <t>6104100012000100</t>
  </si>
  <si>
    <t>PASIR</t>
  </si>
  <si>
    <t>RT 001 RW 01 DUSUN LESTARI</t>
  </si>
  <si>
    <t>6104100012000200</t>
  </si>
  <si>
    <t>RT 002 RW 01 DUSUN LESTARI</t>
  </si>
  <si>
    <t>6104100012000300</t>
  </si>
  <si>
    <t>RT 003 RW 01 DUSUN LESTARI</t>
  </si>
  <si>
    <t>6104100012000400</t>
  </si>
  <si>
    <t>RT 004 RW 01 DUSUN LESTARI</t>
  </si>
  <si>
    <t>6104100012000500</t>
  </si>
  <si>
    <t>RT 005 RW 02 DUSUN PASIR LAUT</t>
  </si>
  <si>
    <t>6104100012000600</t>
  </si>
  <si>
    <t>RT 006 RW 02 DUSUN PASIR LAUT</t>
  </si>
  <si>
    <t>6104100012000700</t>
  </si>
  <si>
    <t>RT 007 RW 02 DUSUN PASIR LAUT</t>
  </si>
  <si>
    <t>6104100012000800</t>
  </si>
  <si>
    <t>RT 008 RW 02 DUSUN PASIR LAUT</t>
  </si>
  <si>
    <t>6104100012000900</t>
  </si>
  <si>
    <t>RT 029 RW 02 DUSUN PASIR LAUT</t>
  </si>
  <si>
    <t>6104100012001000</t>
  </si>
  <si>
    <t>RT 034 RW 02 DUSUN PASIR LAUT</t>
  </si>
  <si>
    <t>6104100012001100</t>
  </si>
  <si>
    <t>RT 009 RW 03 DUSUN PASIR TENGAH</t>
  </si>
  <si>
    <t>6104100012001200</t>
  </si>
  <si>
    <t>RT 010 RW 03 DUSUN PASIR TENGAH</t>
  </si>
  <si>
    <t>6104100012001300</t>
  </si>
  <si>
    <t>RT 030 RW 03 DUSUN PASIR TENGAH</t>
  </si>
  <si>
    <t>6104100012001400</t>
  </si>
  <si>
    <t>RT 011 RW 04 DUSUN PASIR TENGAH</t>
  </si>
  <si>
    <t>6104100012001500</t>
  </si>
  <si>
    <t>RT 012 RW 04 DUSUN PASIR TENGAH</t>
  </si>
  <si>
    <t>6104100012001600</t>
  </si>
  <si>
    <t>RT 013 RW 05 DUSUN SUAP</t>
  </si>
  <si>
    <t>6104100012001700</t>
  </si>
  <si>
    <t>RT 014 RW 05 DUSUN SUAP</t>
  </si>
  <si>
    <t>6104100012001800</t>
  </si>
  <si>
    <t>RT 015 RW 06 DUSUN SUAP</t>
  </si>
  <si>
    <t>6104100012001900</t>
  </si>
  <si>
    <t>RT 016 RW 06 DUSUN SUAP</t>
  </si>
  <si>
    <t>6104100012002000</t>
  </si>
  <si>
    <t>RT 017 RW 07 DUSUN SEBUKIT RAMA</t>
  </si>
  <si>
    <t>6104100012002100</t>
  </si>
  <si>
    <t>RT 018 RW 07 DUSUN SEBUKIT RAMA</t>
  </si>
  <si>
    <t>6104100012002200</t>
  </si>
  <si>
    <t>RT 031 RW 07 DUSUN SEBUKIT RAMA</t>
  </si>
  <si>
    <t>6104100012002300</t>
  </si>
  <si>
    <t>RT 019 RW 08 DUSUN SEBUKIT RAMA</t>
  </si>
  <si>
    <t>6104100012002400</t>
  </si>
  <si>
    <t>RT 032 RW 08 DUSUN SEBUKIT RAMA</t>
  </si>
  <si>
    <t>6104100012002500</t>
  </si>
  <si>
    <t>RT 020 RW 08 DUSUN SEBUKIT RAMA</t>
  </si>
  <si>
    <t>6104100012002600</t>
  </si>
  <si>
    <t>RT 033 RW 08 DUSUN SEBUKIT RAMA</t>
  </si>
  <si>
    <t>6104100012002700</t>
  </si>
  <si>
    <t>RT 021 RW 09 DUSUN PARIT AMANKU</t>
  </si>
  <si>
    <t>6104100012002800</t>
  </si>
  <si>
    <t>RT 022 RW 09 DUSUN PARIT AMANKU</t>
  </si>
  <si>
    <t>6104100012002900</t>
  </si>
  <si>
    <t>RT 023 RW 09 DUSUN PARIT AMANKU</t>
  </si>
  <si>
    <t>6104100012003000</t>
  </si>
  <si>
    <t>RT 024 RW 09 DUSUN PARIT AMANKU</t>
  </si>
  <si>
    <t>6104100012003100</t>
  </si>
  <si>
    <t>RT 025 RW 10 DUSUN PARIT SERIBU</t>
  </si>
  <si>
    <t>6104100012003200</t>
  </si>
  <si>
    <t>RT 026 RW 10 DUSUN PARIT SERIBU</t>
  </si>
  <si>
    <t>6104100012003300</t>
  </si>
  <si>
    <t>RT 027 RW 10 DUSUN PARIT SERIBU</t>
  </si>
  <si>
    <t>6104100012003400</t>
  </si>
  <si>
    <t>RT 028 RW 10 DUSUN PARIT SERIBU</t>
  </si>
  <si>
    <t>6104100012200100</t>
  </si>
  <si>
    <t>HUTAN (KIRI JALAN)</t>
  </si>
  <si>
    <t>6104100012200200</t>
  </si>
  <si>
    <t>HUTAN(KANAN JALAN</t>
  </si>
  <si>
    <t>6104100012200300</t>
  </si>
  <si>
    <t>PULAU PENIBUNG</t>
  </si>
  <si>
    <t>6104100013000100</t>
  </si>
  <si>
    <t>PENIBUNG</t>
  </si>
  <si>
    <t>RT 01 RW 01 DUSUN MELAYU</t>
  </si>
  <si>
    <t>6104100013000200</t>
  </si>
  <si>
    <t>RT 02 RW 01 DUSUN MELAYU</t>
  </si>
  <si>
    <t>6104100013000300</t>
  </si>
  <si>
    <t>RT 03 RW 01 DUSUN MELAYU</t>
  </si>
  <si>
    <t>6104100013000400</t>
  </si>
  <si>
    <t>RT 04 RW 02 DUSUN RENJUANG</t>
  </si>
  <si>
    <t>6104100013000500</t>
  </si>
  <si>
    <t>RT 05 RW 02 DUSUN RENJUANG</t>
  </si>
  <si>
    <t>6104100013000600</t>
  </si>
  <si>
    <t>RT 06 RW 03 DUSUN DEWA</t>
  </si>
  <si>
    <t>6104100013000700</t>
  </si>
  <si>
    <t>RT 07 RW 03 DUSUN DEWA</t>
  </si>
  <si>
    <t>6104100013000800</t>
  </si>
  <si>
    <t>RT 08 RW 03 DUSUN DEWA</t>
  </si>
  <si>
    <t>6104100013000900</t>
  </si>
  <si>
    <t>RT 09 RW 04 DUSUN DEWA</t>
  </si>
  <si>
    <t>6104100013001000</t>
  </si>
  <si>
    <t>RT 10 RW 04 DUSUN DEWA</t>
  </si>
  <si>
    <t>6104100013001100</t>
  </si>
  <si>
    <t>RT 11 RW 05 DUSUN DEWA</t>
  </si>
  <si>
    <t>6104100013001200</t>
  </si>
  <si>
    <t>RT 12 RW 05 DUSUN DEWA</t>
  </si>
  <si>
    <t>6104100013100100</t>
  </si>
  <si>
    <t>KEBUN DI 006P</t>
  </si>
  <si>
    <t>6104100014000100</t>
  </si>
  <si>
    <t>SENGKUBANG</t>
  </si>
  <si>
    <t>RT 001 RW 001 DUSUN BUGIS</t>
  </si>
  <si>
    <t>6104100014000200</t>
  </si>
  <si>
    <t>RT 002 RW 001 DUSUN BUGIS</t>
  </si>
  <si>
    <t>6104100014000300</t>
  </si>
  <si>
    <t>RT 003 RW 001 DUSUN BUGIS</t>
  </si>
  <si>
    <t>6104100014000400</t>
  </si>
  <si>
    <t>6104100014000500</t>
  </si>
  <si>
    <t>6104100014000600</t>
  </si>
  <si>
    <t>RT 006 RW 003 DUSUN SUKA DAMAI</t>
  </si>
  <si>
    <t>6104100014000700</t>
  </si>
  <si>
    <t>RT 007 RW 003 DUSUN SUKA DAMAI</t>
  </si>
  <si>
    <t>6104100014000800</t>
  </si>
  <si>
    <t>RT 008 RW 004 DUSUN SIMPANG TIGA</t>
  </si>
  <si>
    <t>6104100014000900</t>
  </si>
  <si>
    <t>RT 009 RW 004 DUSUN SIMPANG TIGA</t>
  </si>
  <si>
    <t>6104100014001000</t>
  </si>
  <si>
    <t>RT 010 RW 005 DUSUN SIMPANG TIGA</t>
  </si>
  <si>
    <t>6104100014001100</t>
  </si>
  <si>
    <t>RT 011 RW 005 DUSUN SIMPANG TIGA</t>
  </si>
  <si>
    <t>6104100014001200</t>
  </si>
  <si>
    <t>RT 012 RW 006 DUSUN PARIT SENIN</t>
  </si>
  <si>
    <t>6104100014001300</t>
  </si>
  <si>
    <t>RT 013 RW 006 DUSUN PARIT SENIN</t>
  </si>
  <si>
    <t>6104100014001400</t>
  </si>
  <si>
    <t>RT 014 RW 007 DUSUN PARIT SENIN</t>
  </si>
  <si>
    <t>6104100014001500</t>
  </si>
  <si>
    <t>RT 015 RW 007 DUSUN PARIT SENIN</t>
  </si>
  <si>
    <t>6104100014001600</t>
  </si>
  <si>
    <t>RT 016 RW 007 DUSUN PARIT SENIN</t>
  </si>
  <si>
    <t>6104100014200100</t>
  </si>
  <si>
    <t>HUTAN  DIBELAKANG RT TERAKHIR SENGKUBANG</t>
  </si>
  <si>
    <t>6104100015000100</t>
  </si>
  <si>
    <t>MALIKIAN</t>
  </si>
  <si>
    <t>RT 01 RW 01 DUSUN KURNIA</t>
  </si>
  <si>
    <t>6104100015000200</t>
  </si>
  <si>
    <t>RT 02 RW 01 DUSUN KURNIA</t>
  </si>
  <si>
    <t>6104100015000300</t>
  </si>
  <si>
    <t>RT 03 RW 01 DUSUN KURNIA</t>
  </si>
  <si>
    <t>6104100015000400</t>
  </si>
  <si>
    <t>RT 04 RW 02 DUSUN MENTARI</t>
  </si>
  <si>
    <t>6104100015000500</t>
  </si>
  <si>
    <t>RT 05 RW 02 DUSUN MENTARI</t>
  </si>
  <si>
    <t>6104100015000600</t>
  </si>
  <si>
    <t>RT 06 RW 02 DUSUN MENTARI</t>
  </si>
  <si>
    <t>6104100015000700</t>
  </si>
  <si>
    <t>RT 07 RW 03 DUSUN ABRASI</t>
  </si>
  <si>
    <t>6104100015000800</t>
  </si>
  <si>
    <t>RT 08 RW 03 DUSUN ABRASI</t>
  </si>
  <si>
    <t>6104100015000900</t>
  </si>
  <si>
    <t>RT 09 RW 03 DUSUN ABRASI</t>
  </si>
  <si>
    <t>6104100015001000</t>
  </si>
  <si>
    <t>RT 10 RW 04 DUSUN PINANG</t>
  </si>
  <si>
    <t>6104100015001100</t>
  </si>
  <si>
    <t>RT 11 RW 04 DUSUN PINANG</t>
  </si>
  <si>
    <t>6104100015001200</t>
  </si>
  <si>
    <t>RT 12 RW 05 DUSUN PINANG</t>
  </si>
  <si>
    <t>6104100015001300</t>
  </si>
  <si>
    <t>RT 13 RW 05 DUSUN PINANG</t>
  </si>
  <si>
    <t>6104100015001400</t>
  </si>
  <si>
    <t>RT 14 RW 06 DUSUN BAMBU</t>
  </si>
  <si>
    <t>6104100015001500</t>
  </si>
  <si>
    <t>RT 15 RW 06 DUSUN BAMBU</t>
  </si>
  <si>
    <t>6104100015001600</t>
  </si>
  <si>
    <t>RT 16 RW 06 DUSUN BAMBU</t>
  </si>
  <si>
    <t>6104100015001700</t>
  </si>
  <si>
    <t>RT 17 RW 07 DUSUN FAJAR</t>
  </si>
  <si>
    <t>6104100015001800</t>
  </si>
  <si>
    <t>RT 18 RW 07 DUSUN FAJAR</t>
  </si>
  <si>
    <t>6104100015001900</t>
  </si>
  <si>
    <t>RT 19 RW 07 DUSUN FAJAR</t>
  </si>
  <si>
    <t>6104100015002000</t>
  </si>
  <si>
    <t>RT 20 RW 08 DUSUN MEKAR</t>
  </si>
  <si>
    <t>6104100015002100</t>
  </si>
  <si>
    <t>RT 21 RW 08 DUSUN MEKAR</t>
  </si>
  <si>
    <t>6104100015002200</t>
  </si>
  <si>
    <t>RT 22 RW 08 DUSUN MEKAR</t>
  </si>
  <si>
    <t>6104100015002300</t>
  </si>
  <si>
    <t>RT 23 RW 09 DUSUN PARIS</t>
  </si>
  <si>
    <t>6104100015002400</t>
  </si>
  <si>
    <t>RT 24 RW 09 DUSUN PARIS</t>
  </si>
  <si>
    <t>6104100015002500</t>
  </si>
  <si>
    <t>RT 25 RW 09 DUSUN PARIS</t>
  </si>
  <si>
    <t>6104100015002600</t>
  </si>
  <si>
    <t>RT 26 RW 10 DUSUN PARIS</t>
  </si>
  <si>
    <t>6104100015002700</t>
  </si>
  <si>
    <t>RT 27 RW 10 DUSUN PARIS</t>
  </si>
  <si>
    <t>6104100015100100</t>
  </si>
  <si>
    <t>KEBUN SAWIT DI BS 004P</t>
  </si>
  <si>
    <t>6104101001000100</t>
  </si>
  <si>
    <t>MEMPAWAH TIMUR</t>
  </si>
  <si>
    <t>PASIR WAN SALIM</t>
  </si>
  <si>
    <t>6104101001000200</t>
  </si>
  <si>
    <t>6104101001000300</t>
  </si>
  <si>
    <t>6104101001000400</t>
  </si>
  <si>
    <t>6104101001000500</t>
  </si>
  <si>
    <t>RT 005 RW 03</t>
  </si>
  <si>
    <t>6104101001000600</t>
  </si>
  <si>
    <t>6104101001000700</t>
  </si>
  <si>
    <t>RT 007 RW 04</t>
  </si>
  <si>
    <t>6104101001000800</t>
  </si>
  <si>
    <t>RT 008 RW 04</t>
  </si>
  <si>
    <t>6104101001000900</t>
  </si>
  <si>
    <t>RT 009 RW 05</t>
  </si>
  <si>
    <t>6104101001001000</t>
  </si>
  <si>
    <t>RT 010 RW 05</t>
  </si>
  <si>
    <t>6104101001001100</t>
  </si>
  <si>
    <t>RT 011 RW 06</t>
  </si>
  <si>
    <t>6104101001001200</t>
  </si>
  <si>
    <t>RT 012 RW 06</t>
  </si>
  <si>
    <t>6104101001001300</t>
  </si>
  <si>
    <t>RT 013 RW 06</t>
  </si>
  <si>
    <t>6104101001001400</t>
  </si>
  <si>
    <t>RT 014 RW 07</t>
  </si>
  <si>
    <t>6104101001001500</t>
  </si>
  <si>
    <t>6104101001001600</t>
  </si>
  <si>
    <t>6104101001001700</t>
  </si>
  <si>
    <t>RT 017 RW 08</t>
  </si>
  <si>
    <t>6104101002000100</t>
  </si>
  <si>
    <t>SUNGAI BAKAU KECIL</t>
  </si>
  <si>
    <t>RT 020 RW 01 DUSUN SENGGIRING</t>
  </si>
  <si>
    <t>6104101002000200</t>
  </si>
  <si>
    <t>RT 001 RW 01 DUSUN SENGGIRING</t>
  </si>
  <si>
    <t>6104101002000300</t>
  </si>
  <si>
    <t>RT 002 RW 01 DUSUN SENGGIIRING</t>
  </si>
  <si>
    <t>6104101002000400</t>
  </si>
  <si>
    <t>RT 003 RW 01 DUSUN SENGGIRING</t>
  </si>
  <si>
    <t>6104101002000500</t>
  </si>
  <si>
    <t>RT 004 RW 02 DUSUN BENTENG RAYA</t>
  </si>
  <si>
    <t>6104101002000600</t>
  </si>
  <si>
    <t>RT 031 RW 02 DUSUN BENTENG RAYA</t>
  </si>
  <si>
    <t>6104101002000700</t>
  </si>
  <si>
    <t>RT 005 RW 02 DUSUN BENTENG RAYA</t>
  </si>
  <si>
    <t>6104101002000800</t>
  </si>
  <si>
    <t>RT 006 RW 02 DUSUN BENTENG RAYA</t>
  </si>
  <si>
    <t>6104101002000900</t>
  </si>
  <si>
    <t>RT 007 RW 03 DUSUN BENTENG TIMUR</t>
  </si>
  <si>
    <t>6104101002001000</t>
  </si>
  <si>
    <t>RT 018 RW 03 DUSUN BENTENG TIMUR</t>
  </si>
  <si>
    <t>6104101002001100</t>
  </si>
  <si>
    <t>RT 008 RW 03 DUSUN BENTENG TIMUR</t>
  </si>
  <si>
    <t>6104101002001200</t>
  </si>
  <si>
    <t>RT 009 RW 03 DUSUN BENTENG TIMUR</t>
  </si>
  <si>
    <t>6104101002001300</t>
  </si>
  <si>
    <t>RT 010 RW 03 DUSUN SEPAKAT TENGAH</t>
  </si>
  <si>
    <t>6104101002001400</t>
  </si>
  <si>
    <t>RT 011 RW 03 DUSUN SEPAKAT TENGAH</t>
  </si>
  <si>
    <t>6104101002001500</t>
  </si>
  <si>
    <t>RT 035 RW 04 DUSUN SEPAKAT TENGAH</t>
  </si>
  <si>
    <t>6104101002001600</t>
  </si>
  <si>
    <t>RT 012 RW 04 DUSUN SEPAKAT TENGAH</t>
  </si>
  <si>
    <t>6104101002001700</t>
  </si>
  <si>
    <t>RT 013 RW 04 DUSUN SEPAKAT TENGAH</t>
  </si>
  <si>
    <t>6104101002001800</t>
  </si>
  <si>
    <t>RT 014 RW 04 DUSUN SEPAKAT TENGAH</t>
  </si>
  <si>
    <t>6104101002001900</t>
  </si>
  <si>
    <t>RT 033 RW 04 DUSUN SEPAKAT TENGAH</t>
  </si>
  <si>
    <t>6104101002002000</t>
  </si>
  <si>
    <t>RT 019 RW 04 DUSUN SEPAKAT TENGAH</t>
  </si>
  <si>
    <t>6104101002002100</t>
  </si>
  <si>
    <t>RT 015 RW 05 DUSUN SEPAKAT DARAT</t>
  </si>
  <si>
    <t>6104101002002200</t>
  </si>
  <si>
    <t>RT 034 RW 05 DUSUN SEPAKAT DARAT</t>
  </si>
  <si>
    <t>6104101002002300</t>
  </si>
  <si>
    <t>RT 016 RW 05 DUSUN SEPAKAT DARAT</t>
  </si>
  <si>
    <t>6104101002002400</t>
  </si>
  <si>
    <t>RT 017 RW 05 DUSUN SEPAKAT DARAT</t>
  </si>
  <si>
    <t>6104101002002500</t>
  </si>
  <si>
    <t>RT 030 RW 05 DUSUN SEPAKAT DARAT</t>
  </si>
  <si>
    <t>6104101002002600</t>
  </si>
  <si>
    <t>RT 021 RW 06 DUSUN KEDAUNG</t>
  </si>
  <si>
    <t>6104101002002700</t>
  </si>
  <si>
    <t>RT 022 RW 06 DUSUN KEDAUNG</t>
  </si>
  <si>
    <t>6104101002002800</t>
  </si>
  <si>
    <t>RT 023 RW 06 DUSUN KEDAUNG</t>
  </si>
  <si>
    <t>6104101002002900</t>
  </si>
  <si>
    <t>RT 024 RW 07 DUSUN SENAMBANG</t>
  </si>
  <si>
    <t>6104101002003000</t>
  </si>
  <si>
    <t>RT 025 RW 07 DUSUN SENAMBANG</t>
  </si>
  <si>
    <t>6104101002003100</t>
  </si>
  <si>
    <t>RT 026 RW 07 DUSUN SENAMBANG</t>
  </si>
  <si>
    <t>6104101002003200</t>
  </si>
  <si>
    <t>RT 032 RW 07 DUSUN SENAMBANG</t>
  </si>
  <si>
    <t>6104101002003300</t>
  </si>
  <si>
    <t>RT 027 RW 08 DUSUN KONSASI</t>
  </si>
  <si>
    <t>6104101002003400</t>
  </si>
  <si>
    <t>RT 028 RW 08 DUSUN KONSASI</t>
  </si>
  <si>
    <t>6104101002003500</t>
  </si>
  <si>
    <t>RT 029 RW 08 DUSUN KONSASI</t>
  </si>
  <si>
    <t>6104101002003600</t>
  </si>
  <si>
    <t>RT 036 RW 03 DUSUN BENTENG TIMUR</t>
  </si>
  <si>
    <t>6104101002003700</t>
  </si>
  <si>
    <t>RT 037 RW 05 DUSUN SEPAKAT DARAT</t>
  </si>
  <si>
    <t>6104101002200100</t>
  </si>
  <si>
    <t>6104101003000100</t>
  </si>
  <si>
    <t>PASIR PANJANG</t>
  </si>
  <si>
    <t>RT 001 RW 01 DUSUN PASIR MANDAR</t>
  </si>
  <si>
    <t>6104101003000200</t>
  </si>
  <si>
    <t>RT 002 RW 01 DUSUN PASIR MANDAR</t>
  </si>
  <si>
    <t>6104101003000300</t>
  </si>
  <si>
    <t>RT 003 RW 02 DUSUN PASIR MANDAR</t>
  </si>
  <si>
    <t>6104101003000400</t>
  </si>
  <si>
    <t>RT 004 RW 02 DUSUN PASIR MANDAR</t>
  </si>
  <si>
    <t>6104101003000500</t>
  </si>
  <si>
    <t>RT 005 RW 03 DUSUN PEMATANG PASIR</t>
  </si>
  <si>
    <t>6104101003000600</t>
  </si>
  <si>
    <t>RT 006 RW 03 DUSUN PEMATANG PASIR</t>
  </si>
  <si>
    <t>6104101003000700</t>
  </si>
  <si>
    <t>RT 007 RW 04 DUSUN PEMATANG PASIR</t>
  </si>
  <si>
    <t>6104101003000800</t>
  </si>
  <si>
    <t>RT 008 RW 04 DUSUN PEMATANG PASIR</t>
  </si>
  <si>
    <t>6104101003000900</t>
  </si>
  <si>
    <t>RT 009 RW 05 DUSUN TERAJU MAS</t>
  </si>
  <si>
    <t>6104101003001000</t>
  </si>
  <si>
    <t>RT 010 RW 05 DUSUN TERAJU MAS</t>
  </si>
  <si>
    <t>6104101003001100</t>
  </si>
  <si>
    <t>RT 011 RW 06 DUSUN TERAJU MAS</t>
  </si>
  <si>
    <t>6104101003001200</t>
  </si>
  <si>
    <t>RT 012 RW 06 DUSUN SENAMBUNG</t>
  </si>
  <si>
    <t>6104101003001300</t>
  </si>
  <si>
    <t>RT 013 RW 07 DUSUN SENAMBUNG</t>
  </si>
  <si>
    <t>6104101003001400</t>
  </si>
  <si>
    <t>RT 014 RW 07 DUSUN SENAMBUNG</t>
  </si>
  <si>
    <t>6104101003200100</t>
  </si>
  <si>
    <t>6104101004000100</t>
  </si>
  <si>
    <t>PASIR PALEMBANG</t>
  </si>
  <si>
    <t>RT 001 RW 01 DUSUN PELAIK</t>
  </si>
  <si>
    <t>6104101004000200</t>
  </si>
  <si>
    <t>RT 002 RW 01 DUSUN PELAIK</t>
  </si>
  <si>
    <t>6104101004000300</t>
  </si>
  <si>
    <t>RT 003 RW 02 DUSUN PELAIK</t>
  </si>
  <si>
    <t>6104101004000400</t>
  </si>
  <si>
    <t>RT 004 RW 02 DUSUN PELAIK</t>
  </si>
  <si>
    <t>6104101004000500</t>
  </si>
  <si>
    <t>RT 005 RW 03 DUSUN TENGAH</t>
  </si>
  <si>
    <t>6104101004000600</t>
  </si>
  <si>
    <t>6104101004000700</t>
  </si>
  <si>
    <t>RT 007 RW 04 DUSUN TENGAH</t>
  </si>
  <si>
    <t>6104101004000800</t>
  </si>
  <si>
    <t>RT 008 RW 04 DUSUN TENGAH</t>
  </si>
  <si>
    <t>6104101004000900</t>
  </si>
  <si>
    <t>RT 009 RW 04 DUSUN TENGAH</t>
  </si>
  <si>
    <t>6104101004001000</t>
  </si>
  <si>
    <t>RT 010 RW 05 DUSUN TEKAM BARU</t>
  </si>
  <si>
    <t>6104101004001100</t>
  </si>
  <si>
    <t>RT 011 RW 05 DUSUN TEKAM BARU</t>
  </si>
  <si>
    <t>6104101004001200</t>
  </si>
  <si>
    <t>RT 012 RW 06 DUSUN TEKAM BARU</t>
  </si>
  <si>
    <t>6104101004001300</t>
  </si>
  <si>
    <t>RT 013 RW 06 DUSUN TEKAM BARU</t>
  </si>
  <si>
    <t>6104101004001400</t>
  </si>
  <si>
    <t>RT 014 RW 06 DUSUN TEKAM BARU</t>
  </si>
  <si>
    <t>6104101004100200</t>
  </si>
  <si>
    <t>PERKEBUNAN DI 001P</t>
  </si>
  <si>
    <t>6104101004100300</t>
  </si>
  <si>
    <t>PERKEBUNAN DI 004P</t>
  </si>
  <si>
    <t>6104101004200100</t>
  </si>
  <si>
    <t>6104101005000100</t>
  </si>
  <si>
    <t>PULAU PEDALAMAN</t>
  </si>
  <si>
    <t>6104101005000200</t>
  </si>
  <si>
    <t>6104101005000300</t>
  </si>
  <si>
    <t>6104101005000400</t>
  </si>
  <si>
    <t>6104101006000100</t>
  </si>
  <si>
    <t>ANTIBAR</t>
  </si>
  <si>
    <t>RT 001 RW 01 DUSUN MAKMUR</t>
  </si>
  <si>
    <t>6104101006000200</t>
  </si>
  <si>
    <t>RT 002 RW 01 DUSUN MAKMUR</t>
  </si>
  <si>
    <t>6104101006000300</t>
  </si>
  <si>
    <t>RT 003 RW 01 DUSUN MAKMUR</t>
  </si>
  <si>
    <t>6104101006000400</t>
  </si>
  <si>
    <t>RT 004 RW 02 DUSUN PENDIDIKAN</t>
  </si>
  <si>
    <t>6104101006000500</t>
  </si>
  <si>
    <t>RT 005 RW 02 DUSUN PENDIDIKAN</t>
  </si>
  <si>
    <t>6104101006000600</t>
  </si>
  <si>
    <t>RT 006 RW 02 DUSUN PENDIDIKAN</t>
  </si>
  <si>
    <t>6104101006000700</t>
  </si>
  <si>
    <t>RT 007 RW 02 DUSUN PENDIDIKAN</t>
  </si>
  <si>
    <t>6104101006000800</t>
  </si>
  <si>
    <t>RT 008 RW 03 DUSUN HARAPAN</t>
  </si>
  <si>
    <t>6104101006000900</t>
  </si>
  <si>
    <t>RT 009 RW 03 DUSUN HARAPAN</t>
  </si>
  <si>
    <t>6104101006001000</t>
  </si>
  <si>
    <t>RT 010 RW 03 DUSUN HARAPAN</t>
  </si>
  <si>
    <t>6104101006001100</t>
  </si>
  <si>
    <t>RT 011 RW 03 DUSUN HARAPAN</t>
  </si>
  <si>
    <t>6104101006001200</t>
  </si>
  <si>
    <t>RT 012 RW 04 DUSUN PERMAI</t>
  </si>
  <si>
    <t>6104101006001300</t>
  </si>
  <si>
    <t>RT 013 RW 04 DUSUN PERMAI</t>
  </si>
  <si>
    <t>6104101006001400</t>
  </si>
  <si>
    <t>RT 014 RW 04 DUSUN PERMAI</t>
  </si>
  <si>
    <t>6104101006001500</t>
  </si>
  <si>
    <t>RT 015 RW 05 DUSUN SATRIA</t>
  </si>
  <si>
    <t>6104101006001600</t>
  </si>
  <si>
    <t>RT 016 RW 05 DUSUN SATRIA</t>
  </si>
  <si>
    <t>6104101006001700</t>
  </si>
  <si>
    <t>RT 017 RW 05 DUSUN SATRIA</t>
  </si>
  <si>
    <t>6104101006001800</t>
  </si>
  <si>
    <t>RT 018 RW 05 DUSUN SATRIA</t>
  </si>
  <si>
    <t>6104101006001900</t>
  </si>
  <si>
    <t>RT 019 RW 06 DUSUN MOTON JAYA</t>
  </si>
  <si>
    <t>6104101006002000</t>
  </si>
  <si>
    <t>RT 020 RW 06 DUSUN MOTON JAYA</t>
  </si>
  <si>
    <t>6104101006002100</t>
  </si>
  <si>
    <t>RT 021 RW 06 DUSUN MOTON JAYA</t>
  </si>
  <si>
    <t>6104101006002200</t>
  </si>
  <si>
    <t>RT 022 RW 06 DUSUN MOTON JAYA</t>
  </si>
  <si>
    <t>6104101006002300</t>
  </si>
  <si>
    <t>RT 023 RW 07 DUSUN MEKAR JAYA</t>
  </si>
  <si>
    <t>6104101006002400</t>
  </si>
  <si>
    <t>RT 024 RW 07 DUSUN MEKAR JAYA</t>
  </si>
  <si>
    <t>6104101006002500</t>
  </si>
  <si>
    <t>RT 025 RW 07 DUSUN MEKAR JAYA</t>
  </si>
  <si>
    <t>6104101006002600</t>
  </si>
  <si>
    <t>RT 026 RW 08 DUSUN TARUNA OPU</t>
  </si>
  <si>
    <t>6104101006002700</t>
  </si>
  <si>
    <t>RT 027 RW 08 DUSUN TARUNA OPU</t>
  </si>
  <si>
    <t>6104101006002800</t>
  </si>
  <si>
    <t>RT 028 RW 08 DUSUN TARUNA OPU</t>
  </si>
  <si>
    <t>6104101006002900</t>
  </si>
  <si>
    <t>RT 029 RW 09 DUSUN BUKIT ASAM</t>
  </si>
  <si>
    <t>6104101006003000</t>
  </si>
  <si>
    <t>RT 030 RW 09 DUSUN BUKIT ASAM</t>
  </si>
  <si>
    <t>6104101006003100</t>
  </si>
  <si>
    <t>RT 031 RW 09 DUSUN BUKIT ASAM</t>
  </si>
  <si>
    <t>6104101006003200</t>
  </si>
  <si>
    <t>RT 032 RW 09 DUSUN BUKIT ASAM</t>
  </si>
  <si>
    <t>6104101006100100</t>
  </si>
  <si>
    <t>PERKEBUNAN SAWIT DI 005P</t>
  </si>
  <si>
    <t>6104101007000100</t>
  </si>
  <si>
    <t>SEJEGI</t>
  </si>
  <si>
    <t>RT 001 RW 01 DUSUN GALAHERANG</t>
  </si>
  <si>
    <t>6104101007000200</t>
  </si>
  <si>
    <t>RT 002 RW 01 DUSUN GALAHERANG</t>
  </si>
  <si>
    <t>6104101007000300</t>
  </si>
  <si>
    <t>RT 016 RW 01 DUSUN GALAHERANG</t>
  </si>
  <si>
    <t>6104101007000400</t>
  </si>
  <si>
    <t>RT 003 RW 02 DUSUN GALAHERANG</t>
  </si>
  <si>
    <t>6104101007000500</t>
  </si>
  <si>
    <t>RT 018 RW 02 DUSUN GALAHERANG</t>
  </si>
  <si>
    <t>6104101007000600</t>
  </si>
  <si>
    <t>RT 004 RW 03 DUSUN GALAHERANG</t>
  </si>
  <si>
    <t>6104101007000700</t>
  </si>
  <si>
    <t>RT 005 RW 03 DUSUN GALAHERANG</t>
  </si>
  <si>
    <t>6104101007000800</t>
  </si>
  <si>
    <t>RT 017 RW 03 DUSUN GALAHERANG</t>
  </si>
  <si>
    <t>6104101007000900</t>
  </si>
  <si>
    <t>RT 006 RW 03 DUSUN BEMBAN</t>
  </si>
  <si>
    <t>6104101007001000</t>
  </si>
  <si>
    <t>RT 014 RW 03 DUSUN BEMBAN</t>
  </si>
  <si>
    <t>6104101007001100</t>
  </si>
  <si>
    <t>RT 007 RW 04 DUSUN BEMBAN</t>
  </si>
  <si>
    <t>6104101007001200</t>
  </si>
  <si>
    <t>RT 008 RW 04 DUSUN BEMBAN</t>
  </si>
  <si>
    <t>6104101007001300</t>
  </si>
  <si>
    <t>RT 015 RW 04 DUSUN BEMBAN</t>
  </si>
  <si>
    <t>6104101007001400</t>
  </si>
  <si>
    <t>RT 009 RW 05 DUSUN TEKAM</t>
  </si>
  <si>
    <t>6104101007001500</t>
  </si>
  <si>
    <t>RT 010 RW 05 DUSUN TEKAM</t>
  </si>
  <si>
    <t>6104101007001600</t>
  </si>
  <si>
    <t>RT 011 RW 06 DUSUN TEKAM</t>
  </si>
  <si>
    <t>6104101007001700</t>
  </si>
  <si>
    <t>RT 012 RW 06 DUSUN TEKAM</t>
  </si>
  <si>
    <t>6104101007001800</t>
  </si>
  <si>
    <t>RT 013 RW 06 DUSUN TEKAM</t>
  </si>
  <si>
    <t>6104101007200100</t>
  </si>
  <si>
    <t>6104101008000100</t>
  </si>
  <si>
    <t>PARIT BANJAR</t>
  </si>
  <si>
    <t>RT 001 RW 01 DUSUN PARIT BANJAR LAUT</t>
  </si>
  <si>
    <t>6104101008000200</t>
  </si>
  <si>
    <t>RT 002 RW 01 DUSUN PARIT BANJAR LAUT</t>
  </si>
  <si>
    <t>6104101008000300</t>
  </si>
  <si>
    <t>RT 003 RW 02 DUSUN PARIT BANJAR LAUT</t>
  </si>
  <si>
    <t>6104101008000400</t>
  </si>
  <si>
    <t>RT 004 RW 02 DUSUN PARIT BANJAR LAUT</t>
  </si>
  <si>
    <t>6104101008000500</t>
  </si>
  <si>
    <t>RT 005 RW 03 DUSUN PARIT BANJAR LAUT</t>
  </si>
  <si>
    <t>6104101008000600</t>
  </si>
  <si>
    <t>RT 006 RW 03 DUSUN PARIT BANJAR LAUT</t>
  </si>
  <si>
    <t>6104101008000700</t>
  </si>
  <si>
    <t>RT 007 RW 04 DUSUN PARIT BANJAR LAUT</t>
  </si>
  <si>
    <t>6104101008000800</t>
  </si>
  <si>
    <t>RT 008 RW 05 DUSUN PARIT BANJAR TENGAH</t>
  </si>
  <si>
    <t>6104101008000900</t>
  </si>
  <si>
    <t>RT 009 RW 05 DUSUN PARIT BANJAR TENGAH</t>
  </si>
  <si>
    <t>6104101008001000</t>
  </si>
  <si>
    <t>RT 010 RW 06 DUSUN PARIT BANJAR TENGAH</t>
  </si>
  <si>
    <t>6104101008001100</t>
  </si>
  <si>
    <t>RT 011 RW 06 DUSUN PARIT BANJAR TENGAH</t>
  </si>
  <si>
    <t>6104101008001200</t>
  </si>
  <si>
    <t>RT 012 RW 06 DUSUN PARIT BANJAR TENGAH</t>
  </si>
  <si>
    <t>6104101008001300</t>
  </si>
  <si>
    <t>RT 013 RW 07 DUSUN PARIT BANJAR DARAT</t>
  </si>
  <si>
    <t>6104101008001400</t>
  </si>
  <si>
    <t>RT 014 RW 07 DUSUN PARIT BANJAR DARAT</t>
  </si>
  <si>
    <t>6104101008001500</t>
  </si>
  <si>
    <t>RT 015 RW 08 DUSUN PARIT BANJAR DARAT</t>
  </si>
  <si>
    <t>6104101008001600</t>
  </si>
  <si>
    <t>RT 016 RW 08 DUSUN PARIT BANJAR DARAT</t>
  </si>
  <si>
    <t>6104101008001700</t>
  </si>
  <si>
    <t>RT 017 RW 08 DUSUN PARIT BANJAR DARAT</t>
  </si>
  <si>
    <t>6104101008001800</t>
  </si>
  <si>
    <t>RT 018 RW 09 DUSUN AMPULOR</t>
  </si>
  <si>
    <t>6104101008001900</t>
  </si>
  <si>
    <t>RT 019 RW 09 DUSUN AMPULOR</t>
  </si>
  <si>
    <t>6104101008002000</t>
  </si>
  <si>
    <t>RT 020 RW 09 DUSUN AMPULOR</t>
  </si>
  <si>
    <t>6104110001000100</t>
  </si>
  <si>
    <t>SUNGAI KUNYIT</t>
  </si>
  <si>
    <t>SEMUDUN</t>
  </si>
  <si>
    <t>RT 001 RW 01 DUSUN INDAH</t>
  </si>
  <si>
    <t>6104110001000200</t>
  </si>
  <si>
    <t>RT 002 RW 01 DUSUN INDAH</t>
  </si>
  <si>
    <t>6104110001000300</t>
  </si>
  <si>
    <t>RT 003 RW 02 DUSUN INDAH</t>
  </si>
  <si>
    <t>6104110001000400</t>
  </si>
  <si>
    <t>RT 004 RW 02 DUSUN INDAH</t>
  </si>
  <si>
    <t>6104110001000500</t>
  </si>
  <si>
    <t>RT 005 RW 03 DUSUN PERMAI</t>
  </si>
  <si>
    <t>6104110001000600</t>
  </si>
  <si>
    <t>RT 006 RW 03 DUSUN PERMAI</t>
  </si>
  <si>
    <t>6104110001000700</t>
  </si>
  <si>
    <t>RT 007 RW 04 DUSUN PERMAI</t>
  </si>
  <si>
    <t>6104110001000800</t>
  </si>
  <si>
    <t>RT 008 RW 04 DUSUN PERMAI</t>
  </si>
  <si>
    <t>6104110001000900</t>
  </si>
  <si>
    <t>RT 009 RW 05 DUSUN SEJAHTERA</t>
  </si>
  <si>
    <t>6104110001001000</t>
  </si>
  <si>
    <t>RT 010 RW 05 DUSUN SEJAHTERA</t>
  </si>
  <si>
    <t>6104110001001100</t>
  </si>
  <si>
    <t>RT 011 RW 06 DUSUN SEJAHTERA</t>
  </si>
  <si>
    <t>6104110001001200</t>
  </si>
  <si>
    <t>RT 012 RW 06 DUSUN SEJAHTERA</t>
  </si>
  <si>
    <t>6104110001001300</t>
  </si>
  <si>
    <t>RT 013 RW 07 DUSUN LESTARI</t>
  </si>
  <si>
    <t>6104110001001400</t>
  </si>
  <si>
    <t>RT 014 RW 07 DUSUN LESTARI</t>
  </si>
  <si>
    <t>6104110001001500</t>
  </si>
  <si>
    <t>RT 015 RW 08 DUSUN LESTARI</t>
  </si>
  <si>
    <t>6104110001001600</t>
  </si>
  <si>
    <t>RT 016 RW 08 DUSUN LESTARI</t>
  </si>
  <si>
    <t>6104110002000100</t>
  </si>
  <si>
    <t>SEMPARONG PARIT RADEN</t>
  </si>
  <si>
    <t>RT 001 RW 01 DUSUN TAUFIK</t>
  </si>
  <si>
    <t>6104110002000200</t>
  </si>
  <si>
    <t>RT 002 RW 01 DUSUN TAUFIK</t>
  </si>
  <si>
    <t>6104110002000300</t>
  </si>
  <si>
    <t>RT 009 RW 01 DUSUN TAUFIK</t>
  </si>
  <si>
    <t>6104110002000400</t>
  </si>
  <si>
    <t>RT 003 RW 02 DUSUN HIDAYAH</t>
  </si>
  <si>
    <t>6104110002000500</t>
  </si>
  <si>
    <t>RT 004 RW 02 DUSUN HIDAYAH</t>
  </si>
  <si>
    <t>6104110002000600</t>
  </si>
  <si>
    <t>RT 005 RW 03 DUSUN PELANGKIRAN</t>
  </si>
  <si>
    <t>6104110002000700</t>
  </si>
  <si>
    <t>RT 006 RW 03 DUSUN PELANGKIRAN</t>
  </si>
  <si>
    <t>6104110002000800</t>
  </si>
  <si>
    <t>RT 007 RW 03 DUSUN PELANGKIRAN</t>
  </si>
  <si>
    <t>6104110002000900</t>
  </si>
  <si>
    <t>RT 008 RW 03 DUSUN PELANGKIRAN</t>
  </si>
  <si>
    <t>6104110002200100</t>
  </si>
  <si>
    <t>6104110003000100</t>
  </si>
  <si>
    <t>MENDALOK</t>
  </si>
  <si>
    <t>RT 001 RW 01 DUSUN MANDALA</t>
  </si>
  <si>
    <t>6104110003000200</t>
  </si>
  <si>
    <t>RT 002 RW 01 DUSUN MANDALA</t>
  </si>
  <si>
    <t>6104110003000300</t>
  </si>
  <si>
    <t>RT 003 RW 01 DUSUN MANDALA</t>
  </si>
  <si>
    <t>6104110003000400</t>
  </si>
  <si>
    <t>RT 004 RW 01 DUSUN MANDALA</t>
  </si>
  <si>
    <t>6104110003000500</t>
  </si>
  <si>
    <t>RT 005 RW 02 DUSUN DURIAN</t>
  </si>
  <si>
    <t>6104110003000600</t>
  </si>
  <si>
    <t>RT 006 RW 02 DUSUN DURIAN</t>
  </si>
  <si>
    <t>6104110003000700</t>
  </si>
  <si>
    <t>RT 007 RW 02 DUSUN DURIAN</t>
  </si>
  <si>
    <t>6104110003000800</t>
  </si>
  <si>
    <t>RT 008 RW 02 DUSUN DURIAN</t>
  </si>
  <si>
    <t>6104110003000900</t>
  </si>
  <si>
    <t>RT 009 RW 03 DUSUN TELAGA PUTIH</t>
  </si>
  <si>
    <t>6104110003001000</t>
  </si>
  <si>
    <t>RT 010 RW 03 DUSUN TELAGA PUTIH</t>
  </si>
  <si>
    <t>6104110003001100</t>
  </si>
  <si>
    <t>RT 011 RW 03 DUSUN TELAGA PUTIH</t>
  </si>
  <si>
    <t>6104110004000100</t>
  </si>
  <si>
    <t>SUNGAI DUNGUN</t>
  </si>
  <si>
    <t>RT 001 RW 01 DUSUN BERINGIN</t>
  </si>
  <si>
    <t>6104110004000200</t>
  </si>
  <si>
    <t>RT 002 RW 02 DUSUN BERINGIN</t>
  </si>
  <si>
    <t>6104110004000300</t>
  </si>
  <si>
    <t>RT 003 RW 02 DUSUN DUTA</t>
  </si>
  <si>
    <t>6104110004000400</t>
  </si>
  <si>
    <t>RT 004 RW 02 DUSUN DUTA</t>
  </si>
  <si>
    <t>6104110004000500</t>
  </si>
  <si>
    <t>RT 005 RW 02 DUSUN DUTA</t>
  </si>
  <si>
    <t>6104110004000600</t>
  </si>
  <si>
    <t>RT 006 RW 03 DUSUN SATRYA</t>
  </si>
  <si>
    <t>6104110004000700</t>
  </si>
  <si>
    <t>RT 007 RW 03 DUSUN SATRYA</t>
  </si>
  <si>
    <t>6104110004000800</t>
  </si>
  <si>
    <t>RT 008 RW 03 DUSUN SATRYA</t>
  </si>
  <si>
    <t>6104110004000900</t>
  </si>
  <si>
    <t>RT 009 RW 03 DUSUN SATRYA</t>
  </si>
  <si>
    <t>6104110005000100</t>
  </si>
  <si>
    <t>SUNGAI LIMAU</t>
  </si>
  <si>
    <t>RT 001 RW 01 DUSUN PEMBANGUNAN</t>
  </si>
  <si>
    <t>6104110005000200</t>
  </si>
  <si>
    <t>RT 002 RW 01 DUSUN PEMBANGUNAN</t>
  </si>
  <si>
    <t>6104110005000300</t>
  </si>
  <si>
    <t>RT 003 RW 01 DUSUN PEMBANGUNAN</t>
  </si>
  <si>
    <t>6104110005000400</t>
  </si>
  <si>
    <t>RT 004 RW 02 DUSUN TANI</t>
  </si>
  <si>
    <t>6104110005000500</t>
  </si>
  <si>
    <t>RT 005 RW 02 DUSUN TANI</t>
  </si>
  <si>
    <t>6104110005000600</t>
  </si>
  <si>
    <t>RT 009 RW 02 DUSUN TANI</t>
  </si>
  <si>
    <t>6104110005000700</t>
  </si>
  <si>
    <t>RT 006 RW 03 DUSUN NELAYAN</t>
  </si>
  <si>
    <t>6104110005000800</t>
  </si>
  <si>
    <t>RT 007 RW 03 DUSUN NELAYAN</t>
  </si>
  <si>
    <t>6104110005000900</t>
  </si>
  <si>
    <t>RT 008 RW 03 DUSUN NELAYAN</t>
  </si>
  <si>
    <t>6104110006000100</t>
  </si>
  <si>
    <t>SUNGAI KUNYIT LAUT</t>
  </si>
  <si>
    <t>RT 001 RW 01 DUSUN SABAR</t>
  </si>
  <si>
    <t>6104110006000200</t>
  </si>
  <si>
    <t>RT 002 RW 01 DUSUN SABAR</t>
  </si>
  <si>
    <t>6104110006000300</t>
  </si>
  <si>
    <t>RT 007 RW 04 DUSUN SABAR</t>
  </si>
  <si>
    <t>6104110006000400</t>
  </si>
  <si>
    <t>RT 008 RW 04 DUSUN SABAR</t>
  </si>
  <si>
    <t>6104110006000500</t>
  </si>
  <si>
    <t>RT 009 RW 04 DUSUN SABAR</t>
  </si>
  <si>
    <t>6104110006000600</t>
  </si>
  <si>
    <t>RT 003 RW 02 DUSUN TENANG</t>
  </si>
  <si>
    <t>6104110006000700</t>
  </si>
  <si>
    <t>RT 004 RW 02 DUSUN TENANG</t>
  </si>
  <si>
    <t>6104110006000800</t>
  </si>
  <si>
    <t>RT 005 RW 03 DUSUN TENANG</t>
  </si>
  <si>
    <t>6104110006000900</t>
  </si>
  <si>
    <t>RT 006 RW 03 DUSUN TENANG</t>
  </si>
  <si>
    <t>6104110006001100</t>
  </si>
  <si>
    <t>RT 011 RW 05 DUSUN MUFAKAT</t>
  </si>
  <si>
    <t>6104110006001200</t>
  </si>
  <si>
    <t>RT 012 RW 06 DUSUN MUFAKAT</t>
  </si>
  <si>
    <t>6104110006001300</t>
  </si>
  <si>
    <t>RT 013 RW 06 DUSUN MUFAKAT</t>
  </si>
  <si>
    <t>6104110006200100</t>
  </si>
  <si>
    <t>PULAU TEMAJO</t>
  </si>
  <si>
    <t>6104110006200200</t>
  </si>
  <si>
    <t>PULAU DAMAR</t>
  </si>
  <si>
    <t>6104110006200300</t>
  </si>
  <si>
    <t>PULAU SETINJAN</t>
  </si>
  <si>
    <t>6104110006500400</t>
  </si>
  <si>
    <t>PELABUHAN KIJING</t>
  </si>
  <si>
    <t>6104110007000100</t>
  </si>
  <si>
    <t>SUNGAI KUNYIT DALAM</t>
  </si>
  <si>
    <t>RT 001 RW 01 DUSUN MELATI</t>
  </si>
  <si>
    <t>6104110007000200</t>
  </si>
  <si>
    <t>RT 002 RW 01 DUSUN MELATI</t>
  </si>
  <si>
    <t>6104110007000300</t>
  </si>
  <si>
    <t>RT 003 RW 01 DUSUN MELATI</t>
  </si>
  <si>
    <t>6104110007000400</t>
  </si>
  <si>
    <t>RT 004 RW 02 DUSUN MAWAR</t>
  </si>
  <si>
    <t>6104110007000500</t>
  </si>
  <si>
    <t>6104110007000600</t>
  </si>
  <si>
    <t>6104110007000700</t>
  </si>
  <si>
    <t>RT 007 RW 03 DUSUN CEMPAKA</t>
  </si>
  <si>
    <t>6104110007000800</t>
  </si>
  <si>
    <t>RT 008 RW 03 DUSUN CEMPAKA</t>
  </si>
  <si>
    <t>6104110007000900</t>
  </si>
  <si>
    <t>RT 009 RW 03 DUSUN CEMPAKA</t>
  </si>
  <si>
    <t>6104110008000100</t>
  </si>
  <si>
    <t>SUNGAI KUNYIT HULU</t>
  </si>
  <si>
    <t>RT 001 RW 01 DUSUN SEMAYAR</t>
  </si>
  <si>
    <t>6104110008000200</t>
  </si>
  <si>
    <t>RT 002 RW 01 DUSUN SEMAYAR</t>
  </si>
  <si>
    <t>6104110008000300</t>
  </si>
  <si>
    <t>RT 003 RW 01 DUSUN SEMAYAR</t>
  </si>
  <si>
    <t>6104110008000400</t>
  </si>
  <si>
    <t>RT 004 RW 02 DUSUN SEMAYAR</t>
  </si>
  <si>
    <t>6104110008000500</t>
  </si>
  <si>
    <t>RT 005 RW 02 DUSUN SEKIP II</t>
  </si>
  <si>
    <t>6104110008000600</t>
  </si>
  <si>
    <t>RT 006 RW 02 DUSUN SEKIP II</t>
  </si>
  <si>
    <t>6104110008000700</t>
  </si>
  <si>
    <t>RT 007 RW 02 DUSUN SEKIP II</t>
  </si>
  <si>
    <t>6104110008000800</t>
  </si>
  <si>
    <t>RT 008 RW 03 DUSUN SEKIP I</t>
  </si>
  <si>
    <t>6104110008000900</t>
  </si>
  <si>
    <t>RT 009 RW 03 DUSUN SEKIP I</t>
  </si>
  <si>
    <t>6104110008001000</t>
  </si>
  <si>
    <t>RT 010 RW 03 DUSUN SEKIP I</t>
  </si>
  <si>
    <t>6104110008100200</t>
  </si>
  <si>
    <t>PERKEBUNAN DI 005P</t>
  </si>
  <si>
    <t>6104110008200100</t>
  </si>
  <si>
    <t>6104110009000100</t>
  </si>
  <si>
    <t>BUKIT BATU</t>
  </si>
  <si>
    <t>RT 001 RW 01 DUSUN KARYA UTAMA</t>
  </si>
  <si>
    <t>6104110009000200</t>
  </si>
  <si>
    <t>RT 002 RW 01 DUSUN KARYA UTAMA</t>
  </si>
  <si>
    <t>6104110009000300</t>
  </si>
  <si>
    <t>RT 003 RW 01 DUSUN KARYA UTAMA</t>
  </si>
  <si>
    <t>6104110009000400</t>
  </si>
  <si>
    <t>RT 004 RW 01 DUSUN KARYA UTAMA</t>
  </si>
  <si>
    <t>6104110009000500</t>
  </si>
  <si>
    <t>RT 005 RW 02 DUSUN SERAI WANGI</t>
  </si>
  <si>
    <t>6104110009000600</t>
  </si>
  <si>
    <t>RT 006 RW 02 DUSUN SERAI WANGI</t>
  </si>
  <si>
    <t>6104110009000700</t>
  </si>
  <si>
    <t>RT 007 RW 03 DUSUN KEMBANG LADA</t>
  </si>
  <si>
    <t>6104110009000800</t>
  </si>
  <si>
    <t>RT 008 RW 03 DUSUN KEMBANG LADA</t>
  </si>
  <si>
    <t>6104110009000900</t>
  </si>
  <si>
    <t>RT 009 RW 03 DUSUN KEMBANG LADA</t>
  </si>
  <si>
    <t>6104110009001000</t>
  </si>
  <si>
    <t>RT 010 RW 03 DUSUN KEMBANG LADA</t>
  </si>
  <si>
    <t>6104110009200100</t>
  </si>
  <si>
    <t>HUTAN (005P)</t>
  </si>
  <si>
    <t>6104110009200200</t>
  </si>
  <si>
    <t>HUTAN (007P)</t>
  </si>
  <si>
    <t>6104110010000100</t>
  </si>
  <si>
    <t>SUNGAI BUNDUNG LAUT</t>
  </si>
  <si>
    <t>RT 001 RW 01 DUSUN MAYASARI</t>
  </si>
  <si>
    <t>6104110010000200</t>
  </si>
  <si>
    <t>RT 002 RW 01 DUSUN MAYASARI</t>
  </si>
  <si>
    <t>6104110010000300</t>
  </si>
  <si>
    <t>RT 003 RW 01 DUSUN MAYASARI</t>
  </si>
  <si>
    <t>6104110010000400</t>
  </si>
  <si>
    <t>RT 004 RW 01 DUSUN MAYASARI</t>
  </si>
  <si>
    <t>6104110010000900</t>
  </si>
  <si>
    <t>RT 009 RW 03 DUSUN TUJUH RATUS</t>
  </si>
  <si>
    <t>6104110010001000</t>
  </si>
  <si>
    <t>RT 010 RW 03 DUSUN TUJUH RATUS</t>
  </si>
  <si>
    <t>6104110010001100</t>
  </si>
  <si>
    <t>RT 011 RW 03 DUSUN TUJUH RATUS</t>
  </si>
  <si>
    <t>6104110010001200</t>
  </si>
  <si>
    <t>RT 012 RW 03 DUSUN TUJUH RATUS</t>
  </si>
  <si>
    <t>6104110010001500</t>
  </si>
  <si>
    <t>RT 005 RW 02 DUSUN SUKA TANI</t>
  </si>
  <si>
    <t>6104110010001600</t>
  </si>
  <si>
    <t>RT 006 RW 02 DUSUN SUKA TANI</t>
  </si>
  <si>
    <t>6104110010001700</t>
  </si>
  <si>
    <t>RT 007 RW 02 DUSUN SUKA TANI</t>
  </si>
  <si>
    <t>6104110010500100</t>
  </si>
  <si>
    <t>6104110011000100</t>
  </si>
  <si>
    <t>SUNGAI DURI I</t>
  </si>
  <si>
    <t>6104110011000200</t>
  </si>
  <si>
    <t>6104110011000300</t>
  </si>
  <si>
    <t>RT 012 RW 01 DUSUN SABAR</t>
  </si>
  <si>
    <t>6104110011000400</t>
  </si>
  <si>
    <t>RT 003 RW 02 DUSUN SUBUR</t>
  </si>
  <si>
    <t>6104110011000500</t>
  </si>
  <si>
    <t>RT 004 RW 02 DUSUN SUBUR</t>
  </si>
  <si>
    <t>6104110011000600</t>
  </si>
  <si>
    <t>RT 005 RW 02 DUSUN SUBUR</t>
  </si>
  <si>
    <t>6104110011000700</t>
  </si>
  <si>
    <t>RT 006 RW 02 DUSUN SUBUR</t>
  </si>
  <si>
    <t>6104110011000800</t>
  </si>
  <si>
    <t>RT 011 RW 02 DUSUN SUBUR</t>
  </si>
  <si>
    <t>6104110011000900</t>
  </si>
  <si>
    <t>RT 007 RW 03 DUSUN SUTRA</t>
  </si>
  <si>
    <t>6104110011001000</t>
  </si>
  <si>
    <t>RT 008 RW 03 DUSUN SUTRA</t>
  </si>
  <si>
    <t>6104110011001100</t>
  </si>
  <si>
    <t>RT 009 RW 03 DUSUN SUTRA</t>
  </si>
  <si>
    <t>6104110011001200</t>
  </si>
  <si>
    <t>RT 010 RW 03 DUSUN SUTRA</t>
  </si>
  <si>
    <t>6104110012000100</t>
  </si>
  <si>
    <t>SUNGAI DURI II</t>
  </si>
  <si>
    <t>RT 001 RW 01 DUSUN KARYA</t>
  </si>
  <si>
    <t>6104110012000200</t>
  </si>
  <si>
    <t>RT 002 RW 01 DUSUN KARYA</t>
  </si>
  <si>
    <t>6104110012000300</t>
  </si>
  <si>
    <t>RT 003 RW 01 DUSUN KARYA</t>
  </si>
  <si>
    <t>6104110012000400</t>
  </si>
  <si>
    <t>RT 004 RW 01 DUSUN KARYA</t>
  </si>
  <si>
    <t>6104110012000500</t>
  </si>
  <si>
    <t>RT 005 RW 01 DUSUN KARYA</t>
  </si>
  <si>
    <t>6104110012000600</t>
  </si>
  <si>
    <t>RT 006 RW 02 DUSUN TARUNA</t>
  </si>
  <si>
    <t>6104110012000700</t>
  </si>
  <si>
    <t>RT 007 RW 02 DUSUN TARUNA</t>
  </si>
  <si>
    <t>6104110012000800</t>
  </si>
  <si>
    <t>RT 008 RW 02 DUSUN TARUNA</t>
  </si>
  <si>
    <t>6104110012000900</t>
  </si>
  <si>
    <t>RT 009 RW 02 DUSUN TARUNA</t>
  </si>
  <si>
    <t>6104110012001000</t>
  </si>
  <si>
    <t>RT 010 RW 03 DUSUN DAMAI</t>
  </si>
  <si>
    <t>6104110012001100</t>
  </si>
  <si>
    <t>RT 011 RW 03 DUSUN DAMAI</t>
  </si>
  <si>
    <t>6104120002000100</t>
  </si>
  <si>
    <t>TOHO</t>
  </si>
  <si>
    <t>SAMBORA</t>
  </si>
  <si>
    <t>RT 001 RW 01 DUSUN MEKAR JAYA</t>
  </si>
  <si>
    <t>6104120002000200</t>
  </si>
  <si>
    <t>RT 002 RW 01 DUSUN MEKAR JAYA</t>
  </si>
  <si>
    <t>6104120002000300</t>
  </si>
  <si>
    <t>RT 003 RW 01 DUSUN MEKAR JAYA</t>
  </si>
  <si>
    <t>6104120002000400</t>
  </si>
  <si>
    <t>RT 013 RW 01 DUSUN MEKAR JAYA</t>
  </si>
  <si>
    <t>6104120002000500</t>
  </si>
  <si>
    <t>RT 014 RW 01 DUSUN MEKAR JAYA</t>
  </si>
  <si>
    <t>6104120002000600</t>
  </si>
  <si>
    <t>RT 004 RW 02 DUSUN MEKAR JAYA</t>
  </si>
  <si>
    <t>6104120002000700</t>
  </si>
  <si>
    <t>RT 005 RW 02 DUSUN MEKAR JAYA</t>
  </si>
  <si>
    <t>6104120002000800</t>
  </si>
  <si>
    <t>RT 015 RW 02 DUSUN MEKAR JAYA</t>
  </si>
  <si>
    <t>6104120002000900</t>
  </si>
  <si>
    <t>RT 006 RW 03 DUSUN TUNAS JAYA</t>
  </si>
  <si>
    <t>6104120002001000</t>
  </si>
  <si>
    <t>RT 007 RW 03 DUSUN TUNAS JAYA</t>
  </si>
  <si>
    <t>6104120002001100</t>
  </si>
  <si>
    <t>RT 008 RW 03 DUSUN TUNAS JAYA</t>
  </si>
  <si>
    <t>6104120002001200</t>
  </si>
  <si>
    <t>RT 009 RW 03 DUSUN TUNAS JAYA</t>
  </si>
  <si>
    <t>6104120002001300</t>
  </si>
  <si>
    <t>RT 010 RW 04 DUSUN TUNAS JAYA</t>
  </si>
  <si>
    <t>6104120002001400</t>
  </si>
  <si>
    <t>RT 011 RW 04 DUSUN TUNAS JAYA</t>
  </si>
  <si>
    <t>6104120002001500</t>
  </si>
  <si>
    <t>RT 012 RW 04 DUSUN TUNAS JAYA</t>
  </si>
  <si>
    <t>6104120002200100</t>
  </si>
  <si>
    <t>6104120002200200</t>
  </si>
  <si>
    <t>6104120003000100</t>
  </si>
  <si>
    <t>BENUANG</t>
  </si>
  <si>
    <t>RT 001 RW 01 DUSUN BENUANG</t>
  </si>
  <si>
    <t>6104120003000200</t>
  </si>
  <si>
    <t>RT 002 RW 01 DUSUN BENUANG</t>
  </si>
  <si>
    <t>6104120003000300</t>
  </si>
  <si>
    <t>RT 003 RW 01 DUSUN BENUANG</t>
  </si>
  <si>
    <t>6104120003000400</t>
  </si>
  <si>
    <t>RT 004 RW 02 DUSUN BENUANG</t>
  </si>
  <si>
    <t>6104120003000500</t>
  </si>
  <si>
    <t>RT 005 RW 02 DUSUN BENUANG</t>
  </si>
  <si>
    <t>6104120003000600</t>
  </si>
  <si>
    <t>RT 006 RW 02 DUSUN BENUANG</t>
  </si>
  <si>
    <t>6104120003000700</t>
  </si>
  <si>
    <t>RT 007 RW 03 DUSUN BOBOR</t>
  </si>
  <si>
    <t>6104120003000800</t>
  </si>
  <si>
    <t>RT 008 RW 03 DUSUN BOBOR</t>
  </si>
  <si>
    <t>6104120003000900</t>
  </si>
  <si>
    <t>RT 009 RW 03 DUSUN BOBOR</t>
  </si>
  <si>
    <t>6104120003200100</t>
  </si>
  <si>
    <t>NON SLS BENUANG (HUTAN)</t>
  </si>
  <si>
    <t>6104120004000100</t>
  </si>
  <si>
    <t>PAK UTAN</t>
  </si>
  <si>
    <t>RT 001 RW 01 DUSUN 001 PAK UTAN</t>
  </si>
  <si>
    <t>6104120004000200</t>
  </si>
  <si>
    <t>RT 002 RW 01 DUSUN 001 PAK UTAN</t>
  </si>
  <si>
    <t>6104120004000300</t>
  </si>
  <si>
    <t>RT 003 RW 01 DUSUN 001 PAK UTAN</t>
  </si>
  <si>
    <t>6104120004000400</t>
  </si>
  <si>
    <t>RT 004 RW 02 DUSUN 001 PAK UTAN</t>
  </si>
  <si>
    <t>6104120004000500</t>
  </si>
  <si>
    <t>RT 005 RW 02 DUSUN 002 BAYUNG</t>
  </si>
  <si>
    <t>6104120004000600</t>
  </si>
  <si>
    <t>RT 006 RW 03 DUSUN 002 BAYUNG</t>
  </si>
  <si>
    <t>6104120004000700</t>
  </si>
  <si>
    <t>RT 007 RW 03 DUSUN 002 BAYUNG</t>
  </si>
  <si>
    <t>6104120004000800</t>
  </si>
  <si>
    <t>RT 008 RW 03 DUSUN 003 SIBO HILIR</t>
  </si>
  <si>
    <t>6104120004000900</t>
  </si>
  <si>
    <t>RT 009 RW 03 DUSUN 003 SIBO HILIR</t>
  </si>
  <si>
    <t>6104120004001000</t>
  </si>
  <si>
    <t>RT 013 RW 03 DUSUN 003 SIBO HILIR</t>
  </si>
  <si>
    <t>6104120004001100</t>
  </si>
  <si>
    <t>RT 010 RW 04 DUSUN 004 SIBU HULU</t>
  </si>
  <si>
    <t>6104120004001200</t>
  </si>
  <si>
    <t>RT 011 RW 04 DUSUN 004 SIBO HULU</t>
  </si>
  <si>
    <t>6104120004001300</t>
  </si>
  <si>
    <t>RT 012 RW 04 DUSUN 004 SIBO HULU</t>
  </si>
  <si>
    <t>6104120005000100</t>
  </si>
  <si>
    <t>SEPANG</t>
  </si>
  <si>
    <t>RT 001 RW 01 DUSUN SEPANG</t>
  </si>
  <si>
    <t>6104120005000200</t>
  </si>
  <si>
    <t>RT 002 RW 01 DUSUN SEPANG</t>
  </si>
  <si>
    <t>6104120005000300</t>
  </si>
  <si>
    <t>RT 003 RW 01 DUSUN SEPANG</t>
  </si>
  <si>
    <t>6104120005000400</t>
  </si>
  <si>
    <t>RT 004 RW 02 DUSUN SEPANG</t>
  </si>
  <si>
    <t>6104120005000500</t>
  </si>
  <si>
    <t>RT 005 RW 02 DUSUN SEPANG</t>
  </si>
  <si>
    <t>6104120005000600</t>
  </si>
  <si>
    <t>RT 006 RW 02 DUSUN SEPANG</t>
  </si>
  <si>
    <t>6104120005000700</t>
  </si>
  <si>
    <t>RT 007 RW 03 DUSUN SEPANG</t>
  </si>
  <si>
    <t>6104120005000800</t>
  </si>
  <si>
    <t>RT 008 RW 03 DUSUN SEPANG</t>
  </si>
  <si>
    <t>6104120005000900</t>
  </si>
  <si>
    <t>RT 013 RW 03 DUSUN SEPANG</t>
  </si>
  <si>
    <t>6104120005001000</t>
  </si>
  <si>
    <t>RT 014 RW 03 DUSUN SEPANG</t>
  </si>
  <si>
    <t>6104120005001100</t>
  </si>
  <si>
    <t>RT 009 RW 04 DUSUN KUMPANG</t>
  </si>
  <si>
    <t>6104120005001200</t>
  </si>
  <si>
    <t>RT 010 RW 04 DUSUN KUMPANG</t>
  </si>
  <si>
    <t>6104120005001300</t>
  </si>
  <si>
    <t>RT 011 RW 04 DUSUN KUMPANG</t>
  </si>
  <si>
    <t>6104120005001400</t>
  </si>
  <si>
    <t>RT 012 RW 04 DUSUN KUMPANG</t>
  </si>
  <si>
    <t>6104120005200100</t>
  </si>
  <si>
    <t>NONSLS SEPANG</t>
  </si>
  <si>
    <t>6104120006000100</t>
  </si>
  <si>
    <t>PAK LAHENG</t>
  </si>
  <si>
    <t>RT 001 RW 01 DUSUN PAK ONA</t>
  </si>
  <si>
    <t>6104120006000200</t>
  </si>
  <si>
    <t>RT 002 RW 01 DUSUN PAK ONA</t>
  </si>
  <si>
    <t>6104120006000300</t>
  </si>
  <si>
    <t>RT 003 RW 01 DUSUN PAK ONA</t>
  </si>
  <si>
    <t>6104120006000400</t>
  </si>
  <si>
    <t>RT 004 RW 02 DUSUN PAK LAHENG</t>
  </si>
  <si>
    <t>6104120006000500</t>
  </si>
  <si>
    <t>RT 005 RW 02 DUSUN PAK LAHENG</t>
  </si>
  <si>
    <t>6104120006000600</t>
  </si>
  <si>
    <t>RT 006 RW 02 DUSUN PAK LAHENG</t>
  </si>
  <si>
    <t>6104120006000700</t>
  </si>
  <si>
    <t>RT 009 RW 02 DUSUN PAK LAHENG</t>
  </si>
  <si>
    <t>6104120006000800</t>
  </si>
  <si>
    <t>RT 007 RW 03 DUSUN SEKEK</t>
  </si>
  <si>
    <t>6104120006000900</t>
  </si>
  <si>
    <t>RT 008 RW 03 DUSUN SEKEK</t>
  </si>
  <si>
    <t>6104120006200100</t>
  </si>
  <si>
    <t>HUTAN PAK LAHENG</t>
  </si>
  <si>
    <t>6104120006200200</t>
  </si>
  <si>
    <t>HUTAN DI BS 007P</t>
  </si>
  <si>
    <t>6104120007000100</t>
  </si>
  <si>
    <t>TERAP</t>
  </si>
  <si>
    <t>RT 001 RW 01 DUSUN TERAP</t>
  </si>
  <si>
    <t>6104120007000200</t>
  </si>
  <si>
    <t>RT 002 RW 01 DUSUN TERAP</t>
  </si>
  <si>
    <t>6104120007000300</t>
  </si>
  <si>
    <t>RT 011 RW 01 DUSUN TERAP</t>
  </si>
  <si>
    <t>6104120007000400</t>
  </si>
  <si>
    <t>RT 003 RW 02 DUSUN TERAP</t>
  </si>
  <si>
    <t>6104120007000500</t>
  </si>
  <si>
    <t>RT 004 RW 02 DUSUN TERAP</t>
  </si>
  <si>
    <t>6104120007000600</t>
  </si>
  <si>
    <t>RT 012 RW 02 DUSUN TERAP</t>
  </si>
  <si>
    <t>6104120007000700</t>
  </si>
  <si>
    <t>RT 005 RW 03 DUSUN BALAH</t>
  </si>
  <si>
    <t>6104120007000800</t>
  </si>
  <si>
    <t>RT 006 RW 03 DUSUN BALAH</t>
  </si>
  <si>
    <t>6104120007000900</t>
  </si>
  <si>
    <t>RT 009 RW 03 DUSUN BALAH</t>
  </si>
  <si>
    <t>6104120007001000</t>
  </si>
  <si>
    <t>RT 010 RW 03 DUSUN BALAH</t>
  </si>
  <si>
    <t>6104120007001100</t>
  </si>
  <si>
    <t>RT 007 RW 04 DUSUN BALAH</t>
  </si>
  <si>
    <t>6104120007001200</t>
  </si>
  <si>
    <t>RT 008 RW 04 DUSUN BALAH</t>
  </si>
  <si>
    <t>6104120007200100</t>
  </si>
  <si>
    <t>NON SLS TERAP (HUTAN)</t>
  </si>
  <si>
    <t>6104120008000100</t>
  </si>
  <si>
    <t>KECURIT</t>
  </si>
  <si>
    <t>RT 001 DUSUN PINANG</t>
  </si>
  <si>
    <t>6104120008000200</t>
  </si>
  <si>
    <t>RT 002 DUSUN PINANG</t>
  </si>
  <si>
    <t>6104120008000300</t>
  </si>
  <si>
    <t>RT 003 DUSUN PINANG</t>
  </si>
  <si>
    <t>6104120008000400</t>
  </si>
  <si>
    <t>RT 004 DUSUN PINANG</t>
  </si>
  <si>
    <t>6104120008000500</t>
  </si>
  <si>
    <t>RT 005 DUSUN DANDANG</t>
  </si>
  <si>
    <t>6104120008000600</t>
  </si>
  <si>
    <t>RT 006 DUSUN DANDANG</t>
  </si>
  <si>
    <t>6104120008200100</t>
  </si>
  <si>
    <t>6104120008200200</t>
  </si>
  <si>
    <t>HUTAN DI BS 005P</t>
  </si>
  <si>
    <t>6104120008200300</t>
  </si>
  <si>
    <t>6104120009000100</t>
  </si>
  <si>
    <t>TOHO ILIR</t>
  </si>
  <si>
    <t>RT 001 RW 01 DUSUN TOHO ILIR</t>
  </si>
  <si>
    <t>6104120009000200</t>
  </si>
  <si>
    <t>RT 002 RW 01 DUSUN TOHO ILIR</t>
  </si>
  <si>
    <t>6104120009000300</t>
  </si>
  <si>
    <t>RT 003 RW 01 DUSUN TOHO ILIR</t>
  </si>
  <si>
    <t>6104120009000400</t>
  </si>
  <si>
    <t>RT 004 RW 01 DUSUN TOHO ILIR</t>
  </si>
  <si>
    <t>6104120009000500</t>
  </si>
  <si>
    <t>RT 005 RW 01 DUSUN TOHO ILIR</t>
  </si>
  <si>
    <t>6104120009000600</t>
  </si>
  <si>
    <t>RT 006 RW 01 DUSUN TOHO ILIR</t>
  </si>
  <si>
    <t>6104120009000700</t>
  </si>
  <si>
    <t>RT 007 RW 02 DUSUN KUALA TOHO</t>
  </si>
  <si>
    <t>6104120009000800</t>
  </si>
  <si>
    <t>RT 008 RW 02 DUSUN KUALA TOHO</t>
  </si>
  <si>
    <t>6104120009000900</t>
  </si>
  <si>
    <t>RT 009 RW 03 DUSUN BONSORAN</t>
  </si>
  <si>
    <t>6104120009001000</t>
  </si>
  <si>
    <t>RT 010 RW 03 DUSUN BONSORAN</t>
  </si>
  <si>
    <t>6104120009001100</t>
  </si>
  <si>
    <t>RT 011 RW 04 DUSUN PROMPONG</t>
  </si>
  <si>
    <t>6104120009001200</t>
  </si>
  <si>
    <t>RT 012 RW 04 DUSUN PROMPONG</t>
  </si>
  <si>
    <t>6104120009001300</t>
  </si>
  <si>
    <t>RT 013 RW 04 DUSUN PROMPONG</t>
  </si>
  <si>
    <t>6104121001000100</t>
  </si>
  <si>
    <t>SADANIANG</t>
  </si>
  <si>
    <t>PENTEK</t>
  </si>
  <si>
    <t>RT 001 RW 01 DUSUN PENTEK</t>
  </si>
  <si>
    <t>6104121001000200</t>
  </si>
  <si>
    <t>RT 002 RW 01 DUSUN PENTEK</t>
  </si>
  <si>
    <t>6104121001000300</t>
  </si>
  <si>
    <t>RT 003 RW 06 DUSUN KUMPANG</t>
  </si>
  <si>
    <t>6104121001000400</t>
  </si>
  <si>
    <t>RT 004 RW 06 DUSUN KUMPANG</t>
  </si>
  <si>
    <t>6104121001000500</t>
  </si>
  <si>
    <t>RT 005 RW 02 DUSUN MURU</t>
  </si>
  <si>
    <t>6104121001000600</t>
  </si>
  <si>
    <t>RT 006 RW 02 DUSUN MURU</t>
  </si>
  <si>
    <t>6104121001000700</t>
  </si>
  <si>
    <t>RT 007 RW 03 DUSUN UNTANG</t>
  </si>
  <si>
    <t>6104121001000800</t>
  </si>
  <si>
    <t>RT 008 RW 03 DUSUN UNTANG</t>
  </si>
  <si>
    <t>6104121001000900</t>
  </si>
  <si>
    <t>RT 009 RW 03 DUSUN UNTANG</t>
  </si>
  <si>
    <t>6104121001001000</t>
  </si>
  <si>
    <t>RT 012 RW 03 DUSUN UNTANG</t>
  </si>
  <si>
    <t>6104121001001100</t>
  </si>
  <si>
    <t>RT 010 RW 04 DUSUN PENYUAK</t>
  </si>
  <si>
    <t>6104121001001200</t>
  </si>
  <si>
    <t>RT 011 RW 04 DUSUN PENYUAK</t>
  </si>
  <si>
    <t>6104121001200100</t>
  </si>
  <si>
    <t>6104121001200200</t>
  </si>
  <si>
    <t>HUTAN DI BS 004P</t>
  </si>
  <si>
    <t>6104121001200300</t>
  </si>
  <si>
    <t>6104121001200400</t>
  </si>
  <si>
    <t>HUTAN DI BS 008P</t>
  </si>
  <si>
    <t>6104121002000100</t>
  </si>
  <si>
    <t>SEKABUK</t>
  </si>
  <si>
    <t>RT 001 RW 01 DUSUN SEKABUK</t>
  </si>
  <si>
    <t>6104121002000200</t>
  </si>
  <si>
    <t>RT 002 RW 01 DUSUN SEKABUK</t>
  </si>
  <si>
    <t>6104121002000300</t>
  </si>
  <si>
    <t>RT 003 RW 02 DUSUN PAK NUNGKAT</t>
  </si>
  <si>
    <t>6104121002000400</t>
  </si>
  <si>
    <t>RT 004 RW 02 DUSUN PAK NUNGKAT</t>
  </si>
  <si>
    <t>6104121002000500</t>
  </si>
  <si>
    <t>RT 005 RW 03 DUSUN PAK NUNGKAT</t>
  </si>
  <si>
    <t>6104121002000600</t>
  </si>
  <si>
    <t>RT 006 RW 04 DUSUN TITI DAHAN</t>
  </si>
  <si>
    <t>6104121002000700</t>
  </si>
  <si>
    <t>RT 007 RW 05 DUSUN TITI DAHAN</t>
  </si>
  <si>
    <t>6104121002000800</t>
  </si>
  <si>
    <t>RT 008 RW 06 DUSUN GELOMBANG</t>
  </si>
  <si>
    <t>6104121002000900</t>
  </si>
  <si>
    <t>RT 009 RW 06 DUSUN GELOMBANG</t>
  </si>
  <si>
    <t>6104121002001000</t>
  </si>
  <si>
    <t>RT 010 RW 06 DUSUN GELOMBANG</t>
  </si>
  <si>
    <t>6104121002200100</t>
  </si>
  <si>
    <t>6104121002200200</t>
  </si>
  <si>
    <t>6104121003000100</t>
  </si>
  <si>
    <t>BUMBUN</t>
  </si>
  <si>
    <t>RT 001 RW 01 DUSUN BUMBUN</t>
  </si>
  <si>
    <t>6104121003000200</t>
  </si>
  <si>
    <t>RT 002 RW 01 DUSUN BUMBUN</t>
  </si>
  <si>
    <t>6104121003000300</t>
  </si>
  <si>
    <t>RT 003 RW 01 DUSUN BUMBUN</t>
  </si>
  <si>
    <t>6104121003000400</t>
  </si>
  <si>
    <t>RT 004 RW 02 DUSUN SATAK</t>
  </si>
  <si>
    <t>6104121003000500</t>
  </si>
  <si>
    <t>RT 005 RW 02 DUSUN SATAK</t>
  </si>
  <si>
    <t>6104121003000600</t>
  </si>
  <si>
    <t>RT 013 RW 02 DUSUN SATAK</t>
  </si>
  <si>
    <t>6104121003000700</t>
  </si>
  <si>
    <t>RT 006 RW 05 DUSUN SATAK</t>
  </si>
  <si>
    <t>6104121003000800</t>
  </si>
  <si>
    <t>RT 007 RW 05 DUSUN SATAK</t>
  </si>
  <si>
    <t>6104121003000900</t>
  </si>
  <si>
    <t>RT 008 RW 03 DUSUN BAWING</t>
  </si>
  <si>
    <t>6104121003001000</t>
  </si>
  <si>
    <t>RT 009 RW 03 DUSUN BAWING</t>
  </si>
  <si>
    <t>6104121003001100</t>
  </si>
  <si>
    <t>RT 012 RW 03 DUSUN BAWING</t>
  </si>
  <si>
    <t>6104121003001200</t>
  </si>
  <si>
    <t>RT 010 RW 04 DUSUN NANGKA</t>
  </si>
  <si>
    <t>6104121003001300</t>
  </si>
  <si>
    <t>RT 011 RW 04 DUSUN NANGKA</t>
  </si>
  <si>
    <t>6104121004000100</t>
  </si>
  <si>
    <t>AMAWANG</t>
  </si>
  <si>
    <t>RT 001 RW 01 DUSUN AMAWANG</t>
  </si>
  <si>
    <t>6104121004000200</t>
  </si>
  <si>
    <t>RT 002 RW 01 DUSUN AMAWANG</t>
  </si>
  <si>
    <t>6104121004000300</t>
  </si>
  <si>
    <t>RT 003 RW 01 DUSUN AMAWANG</t>
  </si>
  <si>
    <t>6104121004000400</t>
  </si>
  <si>
    <t>RT 007 RW 02 DUSUN PUDAK</t>
  </si>
  <si>
    <t>6104121004000500</t>
  </si>
  <si>
    <t>RT 008 RW 02 DUSUN PUDAK</t>
  </si>
  <si>
    <t>6104121004000600</t>
  </si>
  <si>
    <t>RT 009 RW 02 DUSUN PUDAK</t>
  </si>
  <si>
    <t>6104121004000700</t>
  </si>
  <si>
    <t>RT 010 RW 03 DUSUN PELANJAU</t>
  </si>
  <si>
    <t>6104121004000800</t>
  </si>
  <si>
    <t>RT 011 RW 03 DUSUN PELANJAU</t>
  </si>
  <si>
    <t>6104121004000900</t>
  </si>
  <si>
    <t>RT 014 RW 03 DUSUN PELANJAU</t>
  </si>
  <si>
    <t>6104121004001000</t>
  </si>
  <si>
    <t>RT 012 RW 04 DUSUN PENDENG</t>
  </si>
  <si>
    <t>6104121004001100</t>
  </si>
  <si>
    <t>RT 013 RW 04 DUSUN PENDENG</t>
  </si>
  <si>
    <t>6104121004001200</t>
  </si>
  <si>
    <t>RT 004 RW 05 DUSUN PARONG</t>
  </si>
  <si>
    <t>6104121004001300</t>
  </si>
  <si>
    <t>RT 005 RW 05 DUSUN PARONG</t>
  </si>
  <si>
    <t>6104121004001400</t>
  </si>
  <si>
    <t>RT 006 RW 05 DUSUN PARONG</t>
  </si>
  <si>
    <t>6104121004200100</t>
  </si>
  <si>
    <t>6104121004200200</t>
  </si>
  <si>
    <t>6104121004200300</t>
  </si>
  <si>
    <t>6104121005000100</t>
  </si>
  <si>
    <t>ANSIAP</t>
  </si>
  <si>
    <t>RT 001 DUSUN TIKALONG</t>
  </si>
  <si>
    <t>6104121005000200</t>
  </si>
  <si>
    <t>RT 002 DUSUN TIKALONG</t>
  </si>
  <si>
    <t>6104121005000300</t>
  </si>
  <si>
    <t>RT 003 DUSUN TIKALONG</t>
  </si>
  <si>
    <t>6104121005000400</t>
  </si>
  <si>
    <t>RT 004 DUSUN ANSIAP</t>
  </si>
  <si>
    <t>6104121005000500</t>
  </si>
  <si>
    <t>RT 006 DUSUN ANSIAP</t>
  </si>
  <si>
    <t>6104121005000600</t>
  </si>
  <si>
    <t>RT 005 DUSUN GUTOK</t>
  </si>
  <si>
    <t>6104121005000700</t>
  </si>
  <si>
    <t>RT 007 DUSUN GUTOK</t>
  </si>
  <si>
    <t>6104121005200100</t>
  </si>
  <si>
    <t>6104121005200200</t>
  </si>
  <si>
    <t>6104121005200300</t>
  </si>
  <si>
    <t>HUTAN DI BS 001P</t>
  </si>
  <si>
    <t>6104121006000100</t>
  </si>
  <si>
    <t>SUAK BARANGAN</t>
  </si>
  <si>
    <t>RT 001 RW 01 DUSUN BARANGAN</t>
  </si>
  <si>
    <t>6104121006000200</t>
  </si>
  <si>
    <t>RT 002 RW 01 DUSUN BARANGAN</t>
  </si>
  <si>
    <t>6104121006000300</t>
  </si>
  <si>
    <t>RT 003 RW 01 DUSUN BARANGAN</t>
  </si>
  <si>
    <t>6104121006000400</t>
  </si>
  <si>
    <t>RT 009 RW 01 DUSUN BARANGAN</t>
  </si>
  <si>
    <t>6104121006000500</t>
  </si>
  <si>
    <t>RT 010 RW 02 DUSUN SAMANTAKIN</t>
  </si>
  <si>
    <t>6104121006000600</t>
  </si>
  <si>
    <t>RT 004 RW 03 DUSUN SAMANTAKIN</t>
  </si>
  <si>
    <t>6104121006000700</t>
  </si>
  <si>
    <t>RT 005 RW 03 DUSUN GURO</t>
  </si>
  <si>
    <t>6104121006000800</t>
  </si>
  <si>
    <t>RT 006 RW 03 DUSUN GURO</t>
  </si>
  <si>
    <t>6104121006000900</t>
  </si>
  <si>
    <t>RT 008 RW 03 DUSUN GURO</t>
  </si>
  <si>
    <t>6104121006001000</t>
  </si>
  <si>
    <t>RT 007 RW 04 DUSUN PARASAN</t>
  </si>
  <si>
    <t>6104121006100300</t>
  </si>
  <si>
    <t>PERKEBUNAN SAWIT DI 007P</t>
  </si>
  <si>
    <t>6104121006100400</t>
  </si>
  <si>
    <t>PERKEBUNAN SAWIT DI 009P</t>
  </si>
  <si>
    <t>6104121006100500</t>
  </si>
  <si>
    <t>PERKEBUNAN KARET DI 0010P</t>
  </si>
  <si>
    <t>6104121006200100</t>
  </si>
  <si>
    <t>6104121006200200</t>
  </si>
  <si>
    <t>HUTAN DI 006P</t>
  </si>
  <si>
    <t>Jumlah Kegiatan Terbanyak</t>
  </si>
  <si>
    <t>Umur Tertua Terlibat di 2024</t>
  </si>
  <si>
    <t>Umur Termuda Terlibat 2024</t>
  </si>
  <si>
    <t>Jumlah Kegiatan yang Diikuti</t>
  </si>
  <si>
    <t>Rangking Jumlah Kegiatan</t>
  </si>
  <si>
    <t>Abd Syakur</t>
  </si>
  <si>
    <t>Abdul Haris</t>
  </si>
  <si>
    <t>Abdul Latif</t>
  </si>
  <si>
    <t>Abdul Rokhim</t>
  </si>
  <si>
    <t>Afifah Setiawati</t>
  </si>
  <si>
    <t>Agil Dwi Irawan</t>
  </si>
  <si>
    <t>Agus Mayadi</t>
  </si>
  <si>
    <t>Agus Yahya</t>
  </si>
  <si>
    <t>Ana Suwarnta</t>
  </si>
  <si>
    <t>Ande Wulan Gemala</t>
  </si>
  <si>
    <t>Anggye Ramadana</t>
  </si>
  <si>
    <t>Arfi Arfaqiyah</t>
  </si>
  <si>
    <t>Ari Alkadri</t>
  </si>
  <si>
    <t>Arie Maulana</t>
  </si>
  <si>
    <t>Asmini</t>
  </si>
  <si>
    <t>Aura Abidah</t>
  </si>
  <si>
    <t>Azhar</t>
  </si>
  <si>
    <t>Bintang Az-Zahra</t>
  </si>
  <si>
    <t>Christian Ramli</t>
  </si>
  <si>
    <t>Cici Purnamasari</t>
  </si>
  <si>
    <t>Cici Wahyuni</t>
  </si>
  <si>
    <t>Darul Muslim</t>
  </si>
  <si>
    <t>Dayda Mareta</t>
  </si>
  <si>
    <t>Dede Sri Delvey</t>
  </si>
  <si>
    <t>Deri Fadli</t>
  </si>
  <si>
    <t>Desta Dara Ayu Lestari, S.Pd</t>
  </si>
  <si>
    <t>Deti Erni Widiastuti</t>
  </si>
  <si>
    <t>Difa Faradifa</t>
  </si>
  <si>
    <t>Dinda Agus Triana</t>
  </si>
  <si>
    <t>Dussalam</t>
  </si>
  <si>
    <t>Dwi Oktavianto</t>
  </si>
  <si>
    <t>Edi Purnomo</t>
  </si>
  <si>
    <t>Eligia Giok</t>
  </si>
  <si>
    <t>Ella Febriyanti</t>
  </si>
  <si>
    <t>Elma</t>
  </si>
  <si>
    <t>Endang Hidayah</t>
  </si>
  <si>
    <t>Eni Endah Hayati</t>
  </si>
  <si>
    <t>Enjel Harini Oktoberiyany</t>
  </si>
  <si>
    <t>Eny Rohyati</t>
  </si>
  <si>
    <t>Erni Rahayu</t>
  </si>
  <si>
    <t>Etri Warniyah, A.Md.Kg</t>
  </si>
  <si>
    <t>Evi Juniarty</t>
  </si>
  <si>
    <t>Evi Nurjanah</t>
  </si>
  <si>
    <t>Evi Setiana</t>
  </si>
  <si>
    <t>Fatimah Adeliya</t>
  </si>
  <si>
    <t>Fenti Indria Febrianti</t>
  </si>
  <si>
    <t>Fikri Nabil</t>
  </si>
  <si>
    <t>Fransiska Romana</t>
  </si>
  <si>
    <t>Gusti Effendi</t>
  </si>
  <si>
    <t>Harry Purwanto</t>
  </si>
  <si>
    <t>Heny Rahayu</t>
  </si>
  <si>
    <t>Hoirol Abror Rohman</t>
  </si>
  <si>
    <t>Ibrahim,S Pd.I</t>
  </si>
  <si>
    <t>Ikhsan</t>
  </si>
  <si>
    <t>Ilham Subagio</t>
  </si>
  <si>
    <t>Imam Fajri Muslim</t>
  </si>
  <si>
    <t>Imamul Akhyar</t>
  </si>
  <si>
    <t>Imanuel Ribut</t>
  </si>
  <si>
    <t>Immi</t>
  </si>
  <si>
    <t>Indra</t>
  </si>
  <si>
    <t>Indra Wijaya</t>
  </si>
  <si>
    <t>Ira Dwihapsari</t>
  </si>
  <si>
    <t>Irfan Faozi Sunaryo</t>
  </si>
  <si>
    <t>Isma Dewi</t>
  </si>
  <si>
    <t>Ismail</t>
  </si>
  <si>
    <t>Isna Dyahwati</t>
  </si>
  <si>
    <t>Isul</t>
  </si>
  <si>
    <t>Jaipan Jonatan</t>
  </si>
  <si>
    <t>Jamaluddin, Sp</t>
  </si>
  <si>
    <t>Kharim Marufah</t>
  </si>
  <si>
    <t>Kristianto Erwan</t>
  </si>
  <si>
    <t>Kudratika Indayani</t>
  </si>
  <si>
    <t>Kurnia Sari</t>
  </si>
  <si>
    <t>Lina Agustin Widya Siwi</t>
  </si>
  <si>
    <t>M Idris Afandi</t>
  </si>
  <si>
    <t>Mardiansyah</t>
  </si>
  <si>
    <t>Mario Andika Tri Putra</t>
  </si>
  <si>
    <t>Masturi</t>
  </si>
  <si>
    <t>Masyudi</t>
  </si>
  <si>
    <t>Maya Julia Trinisa</t>
  </si>
  <si>
    <t>Meisye Sulastri</t>
  </si>
  <si>
    <t>Meliana Sunari</t>
  </si>
  <si>
    <t>Mickodemus Khelvins</t>
  </si>
  <si>
    <t>Misbahul Hasanah</t>
  </si>
  <si>
    <t>Mitasya Fitri Nainggolan</t>
  </si>
  <si>
    <t>Muhamad Ibnu</t>
  </si>
  <si>
    <t>Muhammad Ariel Dafa Alvaro</t>
  </si>
  <si>
    <t>Muhammad Fajar</t>
  </si>
  <si>
    <t>Muhammad Haditio</t>
  </si>
  <si>
    <t>Muhammad Ihsanul Arif</t>
  </si>
  <si>
    <t>Muhammad Septiadi</t>
  </si>
  <si>
    <t>Muhammad Tajuddin,A.Ma.Pd</t>
  </si>
  <si>
    <t>Muhammad Yani</t>
  </si>
  <si>
    <t>Muhammad Zainal Arifin</t>
  </si>
  <si>
    <t>Mustami'In</t>
  </si>
  <si>
    <t>Mutasim Billah</t>
  </si>
  <si>
    <t>Nadillah</t>
  </si>
  <si>
    <t>Nanda Ariska</t>
  </si>
  <si>
    <t>Natasha Syafa'Ati Almirzannah</t>
  </si>
  <si>
    <t>Nengsih</t>
  </si>
  <si>
    <t>Norma Aspri Yani</t>
  </si>
  <si>
    <t>Novita Diana Lestari</t>
  </si>
  <si>
    <t>Novita Sari</t>
  </si>
  <si>
    <t>Nur Ai'Mah</t>
  </si>
  <si>
    <t>Nurlian</t>
  </si>
  <si>
    <t>Nurul Syafitri</t>
  </si>
  <si>
    <t>Pitra,Sp</t>
  </si>
  <si>
    <t>Putri Wulandari</t>
  </si>
  <si>
    <t>Rafli Haikal</t>
  </si>
  <si>
    <t>Ranto</t>
  </si>
  <si>
    <t>Rendy Kurniawan Chia</t>
  </si>
  <si>
    <t>Rian Natalius</t>
  </si>
  <si>
    <t>Ridha Nur Mitha</t>
  </si>
  <si>
    <t>Rifaldi</t>
  </si>
  <si>
    <t>Riskaturrohmah</t>
  </si>
  <si>
    <t>Riszki_Suhenra_Amin</t>
  </si>
  <si>
    <t>Riza Aldilla</t>
  </si>
  <si>
    <t>Rusdianto</t>
  </si>
  <si>
    <t>Safitri Handayani</t>
  </si>
  <si>
    <t>Saipul Anwar</t>
  </si>
  <si>
    <t>Samsul Bahri</t>
  </si>
  <si>
    <t>Seftin Dwi Yuliani</t>
  </si>
  <si>
    <t>Sefty Eca Putri</t>
  </si>
  <si>
    <t>Sella Anria</t>
  </si>
  <si>
    <t>Selvira Hendini</t>
  </si>
  <si>
    <t>Sevhia Aprindu</t>
  </si>
  <si>
    <t>Shohibul Anam</t>
  </si>
  <si>
    <t>Sifatul Jannah</t>
  </si>
  <si>
    <t>Sintia Febiola</t>
  </si>
  <si>
    <t>Sintia Miramis</t>
  </si>
  <si>
    <t>Siti Saiyidati Atqiya'I</t>
  </si>
  <si>
    <t>Soviana Ayuni</t>
  </si>
  <si>
    <t>Sri Ratna Dewi</t>
  </si>
  <si>
    <t>Suci Indah Pratiwi</t>
  </si>
  <si>
    <t>Suhaimi</t>
  </si>
  <si>
    <t>Sukmawati,S.Si</t>
  </si>
  <si>
    <t>Sulis Tri Handayani</t>
  </si>
  <si>
    <t>Syaipul</t>
  </si>
  <si>
    <t>Syamsul</t>
  </si>
  <si>
    <t>Syarifah Febriyana</t>
  </si>
  <si>
    <t>Syarifah Meri Wardiani</t>
  </si>
  <si>
    <t>Syarifah Utari Dewi</t>
  </si>
  <si>
    <t>Tohir</t>
  </si>
  <si>
    <t>Tohir Azis</t>
  </si>
  <si>
    <t>Umar Syahidin</t>
  </si>
  <si>
    <t>Uswatun Hasanah</t>
  </si>
  <si>
    <t>Vivi Ayu Lestari</t>
  </si>
  <si>
    <t>Widy Rifhaldi</t>
  </si>
  <si>
    <t>Yeni Rianti</t>
  </si>
  <si>
    <t>Yenni</t>
  </si>
  <si>
    <t>Yeshika Rachelya Riani</t>
  </si>
  <si>
    <t>Yuly Wacaningtias</t>
  </si>
  <si>
    <t>Yusfachruddin</t>
  </si>
  <si>
    <t>Yusra, Se</t>
  </si>
  <si>
    <t>Yusrol Hana</t>
  </si>
  <si>
    <t>Yusron</t>
  </si>
  <si>
    <t>Yusuf Abdurrahman</t>
  </si>
  <si>
    <t>Yuyun Antoni, S.E.</t>
  </si>
  <si>
    <t>No</t>
  </si>
  <si>
    <t>Jenis Surat</t>
  </si>
  <si>
    <t>BAST Petugas</t>
  </si>
  <si>
    <t>610422030002-2024-1</t>
  </si>
  <si>
    <t>610422030002-2024-1-SURVEI-PPL</t>
  </si>
  <si>
    <t>610422100244-2024-1</t>
  </si>
  <si>
    <t>610422100244-2024-1-SURVEI-PPL</t>
  </si>
  <si>
    <t>610422100124-2024-1</t>
  </si>
  <si>
    <t>610422100124-2024-1-SURVEI-PPL</t>
  </si>
  <si>
    <t>610422020008-2024-1</t>
  </si>
  <si>
    <t>610422020008-2024-1-SURVEI-PPL</t>
  </si>
  <si>
    <t>610422050001-2024-1</t>
  </si>
  <si>
    <t>610422050001-2024-1-SURVEI-PPL</t>
  </si>
  <si>
    <t>610422040030-2024-1</t>
  </si>
  <si>
    <t>610422040030-2024-1-SURVEI-PPL</t>
  </si>
  <si>
    <t>610422020016-2024-1</t>
  </si>
  <si>
    <t>610422020016-2024-1-SURVEI-PPL</t>
  </si>
  <si>
    <t>610422020048-2024-1</t>
  </si>
  <si>
    <t>610422020048-2024-1-SURVEI-PPL</t>
  </si>
  <si>
    <t>610422040029-2024-1</t>
  </si>
  <si>
    <t>610422040029-2024-1-SURVEI-PPL</t>
  </si>
  <si>
    <t>610422100165-2024-1</t>
  </si>
  <si>
    <t>610422100165-2024-1-SURVEI-PPL</t>
  </si>
  <si>
    <t>610422040056-2024-1</t>
  </si>
  <si>
    <t>610422040056-2024-1-SURVEI-PPL</t>
  </si>
  <si>
    <t>610422020052-2024-1</t>
  </si>
  <si>
    <t>610422020052-2024-1-SURVEI-PPL</t>
  </si>
  <si>
    <t>KSA24-LAPANGAN-JANUARI-PPL-KSA PADI</t>
  </si>
  <si>
    <t>610422040012-2024-1</t>
  </si>
  <si>
    <t>610422040012-2024-1-SURVEI-PPL</t>
  </si>
  <si>
    <t>610422040059-2024-1</t>
  </si>
  <si>
    <t>610422040059-2024-1-SURVEI-PPL</t>
  </si>
  <si>
    <t>610422040061-2024-1</t>
  </si>
  <si>
    <t>610422040061-2024-1-SURVEI-PPL</t>
  </si>
  <si>
    <t>610422100131-2024-1</t>
  </si>
  <si>
    <t>610422100131-2024-1-SURVEI-PPL</t>
  </si>
  <si>
    <t>610422100176-2024-1</t>
  </si>
  <si>
    <t>610422100176-2024-1-SURVEI-PPL</t>
  </si>
  <si>
    <t>610423110183-2024-1</t>
  </si>
  <si>
    <t>610423110183-2024-1-SURVEI-PPL</t>
  </si>
  <si>
    <t>610423040018-2024-1</t>
  </si>
  <si>
    <t>610423040018-2024-1-SURVEI-PPL</t>
  </si>
  <si>
    <t>KSA24-LAPANGAN-JANUARI-PPL-KSA JAGUNG</t>
  </si>
  <si>
    <t>610422040058-2024-1</t>
  </si>
  <si>
    <t>610422040058-2024-1-SURVEI-PPL</t>
  </si>
  <si>
    <t>SAKERNAS24-LAPANGAN-SEMESTER1-PML-UPDATING LISTING</t>
  </si>
  <si>
    <t>SURVEI-PML</t>
  </si>
  <si>
    <t>610422030001-2024-2</t>
  </si>
  <si>
    <t>610422030001-2024-2-SURVEI-PML</t>
  </si>
  <si>
    <t>610422040056-2024-2</t>
  </si>
  <si>
    <t>610422040056-2024-2-SURVEI-PML</t>
  </si>
  <si>
    <t>610423030006-2024-2</t>
  </si>
  <si>
    <t>610423030006-2024-2-SURVEI-PML</t>
  </si>
  <si>
    <t>SAKERNAS24-LAPANGAN-SEMESTER1-PPL-UPDATING LISTING</t>
  </si>
  <si>
    <t>610423090001-2024-2</t>
  </si>
  <si>
    <t>610423090001-2024-2-SURVEI-PPL</t>
  </si>
  <si>
    <t>610422040059-2024-2</t>
  </si>
  <si>
    <t>610422040059-2024-2-SURVEI-PPL</t>
  </si>
  <si>
    <t>610422100008-2024-2</t>
  </si>
  <si>
    <t>610422100008-2024-2-SURVEI-PPL</t>
  </si>
  <si>
    <t>610422100043-2024-2</t>
  </si>
  <si>
    <t>610422100043-2024-2-SURVEI-PPL</t>
  </si>
  <si>
    <t>610422100086-2024-2</t>
  </si>
  <si>
    <t>610422100086-2024-2-SURVEI-PPL</t>
  </si>
  <si>
    <t>610422100111-2024-2</t>
  </si>
  <si>
    <t>610422100111-2024-2-SURVEI-PPL</t>
  </si>
  <si>
    <t>610422100175-2024-2</t>
  </si>
  <si>
    <t>610422100175-2024-2-SURVEI-PPL</t>
  </si>
  <si>
    <t>SUSENAS24-LAPANGAN-SEMESTER1-PML-UPDATING LISTING</t>
  </si>
  <si>
    <t>610422020029-2024-2</t>
  </si>
  <si>
    <t>610422020029-2024-2-SURVEI-PML</t>
  </si>
  <si>
    <t>610422020016-2024-2</t>
  </si>
  <si>
    <t>610422020016-2024-2-SURVEI-PML</t>
  </si>
  <si>
    <t>610422040031-2024-2</t>
  </si>
  <si>
    <t>610422040031-2024-2-SURVEI-PML</t>
  </si>
  <si>
    <t>610422040005-2024-2</t>
  </si>
  <si>
    <t>610422040005-2024-2-SURVEI-PML</t>
  </si>
  <si>
    <t>610422040038-2024-2</t>
  </si>
  <si>
    <t>610422040038-2024-2-SURVEI-PML</t>
  </si>
  <si>
    <t>610422040030-2024-2</t>
  </si>
  <si>
    <t>610422040030-2024-2-SURVEI-PML</t>
  </si>
  <si>
    <t>610422040062-2024-2</t>
  </si>
  <si>
    <t>610422040062-2024-2-SURVEI-PML</t>
  </si>
  <si>
    <t>610422100274-2024-2</t>
  </si>
  <si>
    <t>610422100274-2024-2-SURVEI-PML</t>
  </si>
  <si>
    <t>610422100108-2024-2</t>
  </si>
  <si>
    <t>610422100108-2024-2-SURVEI-PML</t>
  </si>
  <si>
    <t>610423040016-2024-2</t>
  </si>
  <si>
    <t>610423040016-2024-2-SURVEI-PML</t>
  </si>
  <si>
    <t>610422100032-2024-2</t>
  </si>
  <si>
    <t>610422100032-2024-2-SURVEI-PML</t>
  </si>
  <si>
    <t>610422100244-2024-2</t>
  </si>
  <si>
    <t>610422100244-2024-2-SURVEI-PML</t>
  </si>
  <si>
    <t>SUSENAS24-LAPANGAN-SEMESTER1-PPL-UPDATING LISTING</t>
  </si>
  <si>
    <t>610422100256-2024-2</t>
  </si>
  <si>
    <t>610422100256-2024-2-SURVEI-PPL</t>
  </si>
  <si>
    <t>610422100055-2024-2</t>
  </si>
  <si>
    <t>610422100055-2024-2-SURVEI-PPL</t>
  </si>
  <si>
    <t>610422020008-2024-2</t>
  </si>
  <si>
    <t>610422020008-2024-2-SURVEI-PPL</t>
  </si>
  <si>
    <t>610423040014-2024-2</t>
  </si>
  <si>
    <t>610423040014-2024-2-SURVEI-PPL</t>
  </si>
  <si>
    <t>610423040022-2024-2</t>
  </si>
  <si>
    <t>610423040022-2024-2-SURVEI-PPL</t>
  </si>
  <si>
    <t>610423030004-2024-2</t>
  </si>
  <si>
    <t>610423030004-2024-2-SURVEI-PPL</t>
  </si>
  <si>
    <t>610423040004-2024-2</t>
  </si>
  <si>
    <t>610423040004-2024-2-SURVEI-PPL</t>
  </si>
  <si>
    <t>610423040006-2024-2</t>
  </si>
  <si>
    <t>610423040006-2024-2-SURVEI-PPL</t>
  </si>
  <si>
    <t>610423040013-2024-2</t>
  </si>
  <si>
    <t>610423040013-2024-2-SURVEI-PPL</t>
  </si>
  <si>
    <t>610423090019-2024-2</t>
  </si>
  <si>
    <t>610423090019-2024-2-SURVEI-PPL</t>
  </si>
  <si>
    <t>610422100165-2024-2</t>
  </si>
  <si>
    <t>610422100165-2024-2-SURVEI-PPL</t>
  </si>
  <si>
    <t>610422100139-2024-2</t>
  </si>
  <si>
    <t>610422100139-2024-2-SURVEI-PPL</t>
  </si>
  <si>
    <t>610422100137-2024-2</t>
  </si>
  <si>
    <t>610422100137-2024-2-SURVEI-PPL</t>
  </si>
  <si>
    <t>610422100144-2024-2</t>
  </si>
  <si>
    <t>610422100144-2024-2-SURVEI-PPL</t>
  </si>
  <si>
    <t>610422100236-2024-2</t>
  </si>
  <si>
    <t>610422100236-2024-2-SURVEI-PPL</t>
  </si>
  <si>
    <t>610422100016-2024-2</t>
  </si>
  <si>
    <t>610422100016-2024-2-SURVEI-PPL</t>
  </si>
  <si>
    <t>610422100101-2024-2</t>
  </si>
  <si>
    <t>610422100101-2024-2-SURVEI-PPL</t>
  </si>
  <si>
    <t>610422100147-2024-2</t>
  </si>
  <si>
    <t>610422100147-2024-2-SURVEI-PPL</t>
  </si>
  <si>
    <t>610422050008-2024-2</t>
  </si>
  <si>
    <t>610422050008-2024-2-SURVEI-PPL</t>
  </si>
  <si>
    <t>610422100085-2024-2</t>
  </si>
  <si>
    <t>610422100085-2024-2-SURVEI-PPL</t>
  </si>
  <si>
    <t>610422060001-2024-2</t>
  </si>
  <si>
    <t>610422060001-2024-2-SURVEI-PPL</t>
  </si>
  <si>
    <t>610422100001-2024-2</t>
  </si>
  <si>
    <t>610422100001-2024-2-SURVEI-PPL</t>
  </si>
  <si>
    <t>610422040034-2024-2</t>
  </si>
  <si>
    <t>610422040034-2024-2-SURVEI-PPL</t>
  </si>
  <si>
    <t>610422040058-2024-2</t>
  </si>
  <si>
    <t>610422040058-2024-2-SURVEI-PPL</t>
  </si>
  <si>
    <t>610422040052-2024-2</t>
  </si>
  <si>
    <t>610422040052-2024-2-SURVEI-PPL</t>
  </si>
  <si>
    <t>610422040061-2024-2</t>
  </si>
  <si>
    <t>610422040061-2024-2-SURVEI-PPL</t>
  </si>
  <si>
    <t>610422040006-2024-2</t>
  </si>
  <si>
    <t>610422040006-2024-2-SURVEI-PPL</t>
  </si>
  <si>
    <t>610422040028-2024-2</t>
  </si>
  <si>
    <t>610422040028-2024-2-SURVEI-PPL</t>
  </si>
  <si>
    <t>610422040035-2024-2</t>
  </si>
  <si>
    <t>610422040035-2024-2-SURVEI-PPL</t>
  </si>
  <si>
    <t>610422040049-2024-2</t>
  </si>
  <si>
    <t>610422040049-2024-2-SURVEI-PPL</t>
  </si>
  <si>
    <t>610422040033-2024-2</t>
  </si>
  <si>
    <t>610422040033-2024-2-SURVEI-PPL</t>
  </si>
  <si>
    <t>610422040050-2024-2</t>
  </si>
  <si>
    <t>610422040050-2024-2-SURVEI-PPL</t>
  </si>
  <si>
    <t>610422030002-2024-2</t>
  </si>
  <si>
    <t>610422030002-2024-2-SURVEI-PPL</t>
  </si>
  <si>
    <t>610422040029-2024-2</t>
  </si>
  <si>
    <t>610422040029-2024-2-SURVEI-PPL</t>
  </si>
  <si>
    <t>610422040053-2024-2</t>
  </si>
  <si>
    <t>610422040053-2024-2-SURVEI-PPL</t>
  </si>
  <si>
    <t>610422040013-2024-2</t>
  </si>
  <si>
    <t>610422040013-2024-2-SURVEI-PPL</t>
  </si>
  <si>
    <t>610422020032-2024-2</t>
  </si>
  <si>
    <t>610422020032-2024-2-SURVEI-PPL</t>
  </si>
  <si>
    <t>610422020045-2024-2</t>
  </si>
  <si>
    <t>610422020045-2024-2-SURVEI-PPL</t>
  </si>
  <si>
    <t>SUSENAS24-LAPANGAN-SEMESTER1-PETUGAS ENTRI-PENGOLAHAN LISTING</t>
  </si>
  <si>
    <t>SURVEI-PETUGAS ENTRI</t>
  </si>
  <si>
    <t>610422020006-2024-2</t>
  </si>
  <si>
    <t>610422020006-2024-2-SURVEI-PETUGAS ENTRI</t>
  </si>
  <si>
    <t>610422100010-2024-2</t>
  </si>
  <si>
    <t>610422100010-2024-2-SURVEI-PETUGAS ENTRI</t>
  </si>
  <si>
    <t>610422100177-2024-2</t>
  </si>
  <si>
    <t>610422100177-2024-2-SURVEI-PETUGAS ENTRI</t>
  </si>
  <si>
    <t>610422100083-2024-2</t>
  </si>
  <si>
    <t>610422100083-2024-2-SURVEI-PETUGAS ENTRI</t>
  </si>
  <si>
    <t>610422100244-2024-2-SURVEI-PPL</t>
  </si>
  <si>
    <t>610422100124-2024-2</t>
  </si>
  <si>
    <t>610422100124-2024-2-SURVEI-PPL</t>
  </si>
  <si>
    <t>610422050001-2024-2</t>
  </si>
  <si>
    <t>610422050001-2024-2-SURVEI-PPL</t>
  </si>
  <si>
    <t>610422040030-2024-2-SURVEI-PPL</t>
  </si>
  <si>
    <t>610422020016-2024-2-SURVEI-PPL</t>
  </si>
  <si>
    <t>610422020048-2024-2</t>
  </si>
  <si>
    <t>610422020048-2024-2-SURVEI-PPL</t>
  </si>
  <si>
    <t>610422040056-2024-2-SURVEI-PPL</t>
  </si>
  <si>
    <t>KSA24-LAPANGAN-FEBRUARI-PPL-KSA PADI</t>
  </si>
  <si>
    <t>610422040012-2024-2</t>
  </si>
  <si>
    <t>610422040012-2024-2-SURVEI-PPL</t>
  </si>
  <si>
    <t>610422100131-2024-2</t>
  </si>
  <si>
    <t>610422100131-2024-2-SURVEI-PPL</t>
  </si>
  <si>
    <t>610422100176-2024-2</t>
  </si>
  <si>
    <t>610422100176-2024-2-SURVEI-PPL</t>
  </si>
  <si>
    <t>610423110183-2024-2</t>
  </si>
  <si>
    <t>610423110183-2024-2-SURVEI-PPL</t>
  </si>
  <si>
    <t>610423040018-2024-2</t>
  </si>
  <si>
    <t>610423040018-2024-2-SURVEI-PPL</t>
  </si>
  <si>
    <t>KSA24-LAPANGAN-FEBRUARI-PPL-KSA JAGUNG</t>
  </si>
  <si>
    <t>SAKERNAS24-LAPANGAN-SEMESTER1-PML-PENDATAAN</t>
  </si>
  <si>
    <t>610422030001-2024-3</t>
  </si>
  <si>
    <t>610422030001-2024-3-SURVEI-PML</t>
  </si>
  <si>
    <t>610422040056-2024-3</t>
  </si>
  <si>
    <t>610422040056-2024-3-SURVEI-PML</t>
  </si>
  <si>
    <t>610423030006-2024-3</t>
  </si>
  <si>
    <t>610423030006-2024-3-SURVEI-PML</t>
  </si>
  <si>
    <t>SAKERNAS24-LAPANGAN-SEMESTER1-PPL-PENDATAAN</t>
  </si>
  <si>
    <t>610423090001-2024-3</t>
  </si>
  <si>
    <t>610423090001-2024-3-SURVEI-PPL</t>
  </si>
  <si>
    <t>610422040059-2024-3</t>
  </si>
  <si>
    <t>610422040059-2024-3-SURVEI-PPL</t>
  </si>
  <si>
    <t>610422100008-2024-3</t>
  </si>
  <si>
    <t>610422100008-2024-3-SURVEI-PPL</t>
  </si>
  <si>
    <t>610422100043-2024-3</t>
  </si>
  <si>
    <t>610422100043-2024-3-SURVEI-PPL</t>
  </si>
  <si>
    <t>610422100086-2024-3</t>
  </si>
  <si>
    <t>610422100086-2024-3-SURVEI-PPL</t>
  </si>
  <si>
    <t>610422100111-2024-3</t>
  </si>
  <si>
    <t>610422100111-2024-3-SURVEI-PPL</t>
  </si>
  <si>
    <t>610422100175-2024-3</t>
  </si>
  <si>
    <t>610422100175-2024-3-SURVEI-PPL</t>
  </si>
  <si>
    <t>610422020006-2024-3</t>
  </si>
  <si>
    <t>610422020006-2024-3-SURVEI-PETUGAS ENTRI</t>
  </si>
  <si>
    <t>610423110150-2024-3</t>
  </si>
  <si>
    <t>610423110150-2024-3-SURVEI-PETUGAS ENTRI</t>
  </si>
  <si>
    <t>610423110129-2024-3</t>
  </si>
  <si>
    <t>610423110129-2024-3-SURVEI-PETUGAS ENTRI</t>
  </si>
  <si>
    <t>SUSENAS24-LAPANGAN-SEMESTER1-PML-PENDATAAN</t>
  </si>
  <si>
    <t>610422020029-2024-3</t>
  </si>
  <si>
    <t>610422020029-2024-3-SURVEI-PML</t>
  </si>
  <si>
    <t>610422020016-2024-3</t>
  </si>
  <si>
    <t>610422020016-2024-3-SURVEI-PML</t>
  </si>
  <si>
    <t>610422040031-2024-3</t>
  </si>
  <si>
    <t>610422040031-2024-3-SURVEI-PML</t>
  </si>
  <si>
    <t>610422040005-2024-3</t>
  </si>
  <si>
    <t>610422040005-2024-3-SURVEI-PML</t>
  </si>
  <si>
    <t>610422040038-2024-3</t>
  </si>
  <si>
    <t>610422040038-2024-3-SURVEI-PML</t>
  </si>
  <si>
    <t>610422040030-2024-3</t>
  </si>
  <si>
    <t>610422040030-2024-3-SURVEI-PML</t>
  </si>
  <si>
    <t>610422040062-2024-3</t>
  </si>
  <si>
    <t>610422040062-2024-3-SURVEI-PML</t>
  </si>
  <si>
    <t>610422100274-2024-3</t>
  </si>
  <si>
    <t>610422100274-2024-3-SURVEI-PML</t>
  </si>
  <si>
    <t>610422100108-2024-3</t>
  </si>
  <si>
    <t>610422100108-2024-3-SURVEI-PML</t>
  </si>
  <si>
    <t>610423040016-2024-3</t>
  </si>
  <si>
    <t>610423040016-2024-3-SURVEI-PML</t>
  </si>
  <si>
    <t>610422100032-2024-3</t>
  </si>
  <si>
    <t>610422100032-2024-3-SURVEI-PML</t>
  </si>
  <si>
    <t>610422100244-2024-3</t>
  </si>
  <si>
    <t>610422100244-2024-3-SURVEI-PML</t>
  </si>
  <si>
    <t>SUSENAS24-LAPANGAN-SEMESTER1-PPL-PENDATAAN</t>
  </si>
  <si>
    <t>610422100256-2024-3</t>
  </si>
  <si>
    <t>610422100256-2024-3-SURVEI-PPL</t>
  </si>
  <si>
    <t>610422100055-2024-3</t>
  </si>
  <si>
    <t>610422100055-2024-3-SURVEI-PPL</t>
  </si>
  <si>
    <t>610422020008-2024-3</t>
  </si>
  <si>
    <t>610422020008-2024-3-SURVEI-PPL</t>
  </si>
  <si>
    <t>610423040014-2024-3</t>
  </si>
  <si>
    <t>610423040014-2024-3-SURVEI-PPL</t>
  </si>
  <si>
    <t>610423040022-2024-3</t>
  </si>
  <si>
    <t>610423040022-2024-3-SURVEI-PPL</t>
  </si>
  <si>
    <t>610423030004-2024-3</t>
  </si>
  <si>
    <t>610423030004-2024-3-SURVEI-PPL</t>
  </si>
  <si>
    <t>610423040004-2024-3</t>
  </si>
  <si>
    <t>610423040004-2024-3-SURVEI-PPL</t>
  </si>
  <si>
    <t>610423040006-2024-3</t>
  </si>
  <si>
    <t>610423040006-2024-3-SURVEI-PPL</t>
  </si>
  <si>
    <t>610423040013-2024-3</t>
  </si>
  <si>
    <t>610423040013-2024-3-SURVEI-PPL</t>
  </si>
  <si>
    <t>610423090019-2024-3</t>
  </si>
  <si>
    <t>610423090019-2024-3-SURVEI-PPL</t>
  </si>
  <si>
    <t>610422100165-2024-3</t>
  </si>
  <si>
    <t>610422100165-2024-3-SURVEI-PPL</t>
  </si>
  <si>
    <t>610422100139-2024-3</t>
  </si>
  <si>
    <t>610422100139-2024-3-SURVEI-PPL</t>
  </si>
  <si>
    <t>610422100137-2024-3</t>
  </si>
  <si>
    <t>610422100137-2024-3-SURVEI-PPL</t>
  </si>
  <si>
    <t>610422100144-2024-3</t>
  </si>
  <si>
    <t>610422100144-2024-3-SURVEI-PPL</t>
  </si>
  <si>
    <t>610422100236-2024-3</t>
  </si>
  <si>
    <t>610422100236-2024-3-SURVEI-PPL</t>
  </si>
  <si>
    <t>610422100016-2024-3</t>
  </si>
  <si>
    <t>610422100016-2024-3-SURVEI-PPL</t>
  </si>
  <si>
    <t>610422100101-2024-3</t>
  </si>
  <si>
    <t>610422100101-2024-3-SURVEI-PPL</t>
  </si>
  <si>
    <t>610422100147-2024-3</t>
  </si>
  <si>
    <t>610422100147-2024-3-SURVEI-PPL</t>
  </si>
  <si>
    <t>610422050008-2024-3</t>
  </si>
  <si>
    <t>610422050008-2024-3-SURVEI-PPL</t>
  </si>
  <si>
    <t>610422100085-2024-3</t>
  </si>
  <si>
    <t>610422100085-2024-3-SURVEI-PPL</t>
  </si>
  <si>
    <t>610422060001-2024-3</t>
  </si>
  <si>
    <t>610422060001-2024-3-SURVEI-PPL</t>
  </si>
  <si>
    <t>610422100001-2024-3</t>
  </si>
  <si>
    <t>610422100001-2024-3-SURVEI-PPL</t>
  </si>
  <si>
    <t>610422040034-2024-3</t>
  </si>
  <si>
    <t>610422040034-2024-3-SURVEI-PPL</t>
  </si>
  <si>
    <t>610422040058-2024-3</t>
  </si>
  <si>
    <t>610422040058-2024-3-SURVEI-PPL</t>
  </si>
  <si>
    <t>610422040052-2024-3</t>
  </si>
  <si>
    <t>610422040052-2024-3-SURVEI-PPL</t>
  </si>
  <si>
    <t>610422040061-2024-3</t>
  </si>
  <si>
    <t>610422040061-2024-3-SURVEI-PPL</t>
  </si>
  <si>
    <t>610422040006-2024-3</t>
  </si>
  <si>
    <t>610422040006-2024-3-SURVEI-PPL</t>
  </si>
  <si>
    <t>610422040028-2024-3</t>
  </si>
  <si>
    <t>610422040028-2024-3-SURVEI-PPL</t>
  </si>
  <si>
    <t>610422040035-2024-3</t>
  </si>
  <si>
    <t>610422040035-2024-3-SURVEI-PPL</t>
  </si>
  <si>
    <t>610422040049-2024-3</t>
  </si>
  <si>
    <t>610422040049-2024-3-SURVEI-PPL</t>
  </si>
  <si>
    <t>610422040033-2024-3</t>
  </si>
  <si>
    <t>610422040033-2024-3-SURVEI-PPL</t>
  </si>
  <si>
    <t>610422040050-2024-3</t>
  </si>
  <si>
    <t>610422040050-2024-3-SURVEI-PPL</t>
  </si>
  <si>
    <t>610422030002-2024-3</t>
  </si>
  <si>
    <t>610422030002-2024-3-SURVEI-PPL</t>
  </si>
  <si>
    <t>610422040029-2024-3</t>
  </si>
  <si>
    <t>610422040029-2024-3-SURVEI-PPL</t>
  </si>
  <si>
    <t>610422040053-2024-3</t>
  </si>
  <si>
    <t>610422040053-2024-3-SURVEI-PPL</t>
  </si>
  <si>
    <t>610422040013-2024-3</t>
  </si>
  <si>
    <t>610422040013-2024-3-SURVEI-PPL</t>
  </si>
  <si>
    <t>610422020032-2024-3</t>
  </si>
  <si>
    <t>610422020032-2024-3-SURVEI-PPL</t>
  </si>
  <si>
    <t>610422020045-2024-3</t>
  </si>
  <si>
    <t>610422020045-2024-3-SURVEI-PPL</t>
  </si>
  <si>
    <t>610422100244-2024-3-SURVEI-PPL</t>
  </si>
  <si>
    <t>610422100124-2024-3</t>
  </si>
  <si>
    <t>610422100124-2024-3-SURVEI-PPL</t>
  </si>
  <si>
    <t>610422050001-2024-3</t>
  </si>
  <si>
    <t>610422050001-2024-3-SURVEI-PPL</t>
  </si>
  <si>
    <t>610422040030-2024-3-SURVEI-PPL</t>
  </si>
  <si>
    <t>610422020016-2024-3-SURVEI-PPL</t>
  </si>
  <si>
    <t>610422020048-2024-3</t>
  </si>
  <si>
    <t>610422020048-2024-3-SURVEI-PPL</t>
  </si>
  <si>
    <t>610422040056-2024-3-SURVEI-PPL</t>
  </si>
  <si>
    <t>610422100129-2024-3</t>
  </si>
  <si>
    <t>610422100129-2024-3-SURVEI-PPL</t>
  </si>
  <si>
    <t>SUSENAS24-LAPANGAN-SEMESTER1-PETUGAS ENTRI-PENGOLAHAN PENDATAAN</t>
  </si>
  <si>
    <t>617122110049-2024-3</t>
  </si>
  <si>
    <t>617122110049-2024-3-SURVEI-PETUGAS ENTRI</t>
  </si>
  <si>
    <t>610422100010-2024-3</t>
  </si>
  <si>
    <t>610422100010-2024-3-SURVEI-PETUGAS ENTRI</t>
  </si>
  <si>
    <t>610422100177-2024-3</t>
  </si>
  <si>
    <t>610422100177-2024-3-SURVEI-PETUGAS ENTRI</t>
  </si>
  <si>
    <t>610422100083-2024-3</t>
  </si>
  <si>
    <t>610422100083-2024-3-SURVEI-PETUGAS ENTRI</t>
  </si>
  <si>
    <t>610422110006-2024-3</t>
  </si>
  <si>
    <t>610422110006-2024-3-SURVEI-PETUGAS ENTRI</t>
  </si>
  <si>
    <t>610422110005-2024-3</t>
  </si>
  <si>
    <t>610422110005-2024-3-SURVEI-PETUGAS ENTRI</t>
  </si>
  <si>
    <t>610423090021-2024-3</t>
  </si>
  <si>
    <t>610423090021-2024-3-SURVEI-PETUGAS ENTRI</t>
  </si>
  <si>
    <t>KSA24-LAPANGAN-MARET-PPL-KSA PADI</t>
  </si>
  <si>
    <t>610422040012-2024-3</t>
  </si>
  <si>
    <t>610422040012-2024-3-SURVEI-PPL</t>
  </si>
  <si>
    <t>610422100131-2024-3</t>
  </si>
  <si>
    <t>610422100131-2024-3-SURVEI-PPL</t>
  </si>
  <si>
    <t>610422100176-2024-3</t>
  </si>
  <si>
    <t>610422100176-2024-3-SURVEI-PPL</t>
  </si>
  <si>
    <t>610423110183-2024-3</t>
  </si>
  <si>
    <t>610423110183-2024-3-SURVEI-PPL</t>
  </si>
  <si>
    <t>610423040018-2024-3</t>
  </si>
  <si>
    <t>610423040018-2024-3-SURVEI-PPL</t>
  </si>
  <si>
    <t>KSA24-LAPANGAN-MARET-PPL-KSA JAGUNG</t>
  </si>
  <si>
    <t>610422100129-2024-4</t>
  </si>
  <si>
    <t>610422100129-2024-4-SURVEI-PPL</t>
  </si>
  <si>
    <t>610422030002-2024-4</t>
  </si>
  <si>
    <t>610422030002-2024-4-SURVEI-PPL</t>
  </si>
  <si>
    <t>610422100244-2024-4</t>
  </si>
  <si>
    <t>610422100244-2024-4-SURVEI-PPL</t>
  </si>
  <si>
    <t>610422100124-2024-4</t>
  </si>
  <si>
    <t>610422100124-2024-4-SURVEI-PPL</t>
  </si>
  <si>
    <t>610422040029-2024-4</t>
  </si>
  <si>
    <t>610422040029-2024-4-SURVEI-PPL</t>
  </si>
  <si>
    <t>610422020048-2024-4</t>
  </si>
  <si>
    <t>610422020048-2024-4-SURVEI-PPL</t>
  </si>
  <si>
    <t>610422100165-2024-4</t>
  </si>
  <si>
    <t>610422100165-2024-4-SURVEI-PPL</t>
  </si>
  <si>
    <t>610422020052-2024-4</t>
  </si>
  <si>
    <t>610422020052-2024-4-SURVEI-PPL</t>
  </si>
  <si>
    <t>610422100016-2024-4</t>
  </si>
  <si>
    <t>610422100016-2024-4-SURVEI-PPL</t>
  </si>
  <si>
    <t>610422050001-2024-4</t>
  </si>
  <si>
    <t>610422050001-2024-4-SURVEI-PPL</t>
  </si>
  <si>
    <t>610422040030-2024-4</t>
  </si>
  <si>
    <t>610422040030-2024-4-SURVEI-PPL</t>
  </si>
  <si>
    <t>610422020016-2024-4</t>
  </si>
  <si>
    <t>610422020016-2024-4-SURVEI-PPL</t>
  </si>
  <si>
    <t>610422040056-2024-4</t>
  </si>
  <si>
    <t>610422040056-2024-4-SURVEI-PPL</t>
  </si>
  <si>
    <t>KSA24-LAPANGAN-APRIL-PPL-KSA PADI</t>
  </si>
  <si>
    <t>610422040012-2024-4</t>
  </si>
  <si>
    <t>610422040012-2024-4-SURVEI-PPL</t>
  </si>
  <si>
    <t>610422040059-2024-4</t>
  </si>
  <si>
    <t>610422040059-2024-4-SURVEI-PPL</t>
  </si>
  <si>
    <t>610422040061-2024-4</t>
  </si>
  <si>
    <t>610422040061-2024-4-SURVEI-PPL</t>
  </si>
  <si>
    <t>610422100131-2024-4</t>
  </si>
  <si>
    <t>610422100131-2024-4-SURVEI-PPL</t>
  </si>
  <si>
    <t>610422100176-2024-4</t>
  </si>
  <si>
    <t>610422100176-2024-4-SURVEI-PPL</t>
  </si>
  <si>
    <t>610423110183-2024-4</t>
  </si>
  <si>
    <t>610423110183-2024-4-SURVEI-PPL</t>
  </si>
  <si>
    <t>610423040018-2024-4</t>
  </si>
  <si>
    <t>610423040018-2024-4-SURVEI-PPL</t>
  </si>
  <si>
    <t>KSA24-LAPANGAN-APRIL-PPL-KSA JAGUNG</t>
  </si>
  <si>
    <t>610422040058-2024-4</t>
  </si>
  <si>
    <t>610422040058-2024-4-SURVEI-PPL</t>
  </si>
  <si>
    <t>610422030002-2024-5</t>
  </si>
  <si>
    <t>610422030002-2024-5-SURVEI-PPL</t>
  </si>
  <si>
    <t>610422100244-2024-5</t>
  </si>
  <si>
    <t>610422100244-2024-5-SURVEI-PPL</t>
  </si>
  <si>
    <t>610422100124-2024-5</t>
  </si>
  <si>
    <t>610422100124-2024-5-SURVEI-PPL</t>
  </si>
  <si>
    <t>610422100016-2024-5</t>
  </si>
  <si>
    <t>610422100016-2024-5-SURVEI-PPL</t>
  </si>
  <si>
    <t>610422050001-2024-5</t>
  </si>
  <si>
    <t>610422050001-2024-5-SURVEI-PPL</t>
  </si>
  <si>
    <t>610422040030-2024-5</t>
  </si>
  <si>
    <t>610422040030-2024-5-SURVEI-PPL</t>
  </si>
  <si>
    <t>610422020016-2024-5</t>
  </si>
  <si>
    <t>610422020016-2024-5-SURVEI-PPL</t>
  </si>
  <si>
    <t>610422020048-2024-5</t>
  </si>
  <si>
    <t>610422020048-2024-5-SURVEI-PPL</t>
  </si>
  <si>
    <t>610422040029-2024-5</t>
  </si>
  <si>
    <t>610422040029-2024-5-SURVEI-PPL</t>
  </si>
  <si>
    <t>610422100165-2024-5</t>
  </si>
  <si>
    <t>610422100165-2024-5-SURVEI-PPL</t>
  </si>
  <si>
    <t>610422040056-2024-5</t>
  </si>
  <si>
    <t>610422040056-2024-5-SURVEI-PPL</t>
  </si>
  <si>
    <t>KSA24-LAPANGAN-MEI-PPL-KSA PADI</t>
  </si>
  <si>
    <t>610422040012-2024-5</t>
  </si>
  <si>
    <t>610422040012-2024-5-SURVEI-PPL</t>
  </si>
  <si>
    <t>610422040059-2024-5</t>
  </si>
  <si>
    <t>610422040059-2024-5-SURVEI-PPL</t>
  </si>
  <si>
    <t>610422040061-2024-5</t>
  </si>
  <si>
    <t>610422040061-2024-5-SURVEI-PPL</t>
  </si>
  <si>
    <t>610422100131-2024-5</t>
  </si>
  <si>
    <t>610422100131-2024-5-SURVEI-PPL</t>
  </si>
  <si>
    <t>610422100176-2024-5</t>
  </si>
  <si>
    <t>610422100176-2024-5-SURVEI-PPL</t>
  </si>
  <si>
    <t>610423110183-2024-5</t>
  </si>
  <si>
    <t>610423110183-2024-5-SURVEI-PPL</t>
  </si>
  <si>
    <t>610423040018-2024-5</t>
  </si>
  <si>
    <t>610423040018-2024-5-SURVEI-PPL</t>
  </si>
  <si>
    <t>KSA24-LAPANGAN-MEI-PPL-KSA JAGUNG</t>
  </si>
  <si>
    <t>610422040058-2024-5</t>
  </si>
  <si>
    <t>610422040058-2024-5-SURVEI-PPL</t>
  </si>
  <si>
    <t>610422030002-2024-6</t>
  </si>
  <si>
    <t>610422030002-2024-6-SURVEI-PPL</t>
  </si>
  <si>
    <t>610422100244-2024-6</t>
  </si>
  <si>
    <t>610422100244-2024-6-SURVEI-PPL</t>
  </si>
  <si>
    <t>610422100124-2024-6</t>
  </si>
  <si>
    <t>610422100124-2024-6-SURVEI-PPL</t>
  </si>
  <si>
    <t>610422050001-2024-6</t>
  </si>
  <si>
    <t>610422020016-2024-6</t>
  </si>
  <si>
    <t>610422020016-2024-6-SURVEI-PPL</t>
  </si>
  <si>
    <t>610422040030-2024-6</t>
  </si>
  <si>
    <t>610422040030-2024-6-SURVEI-PPL</t>
  </si>
  <si>
    <t>610422020048-2024-6</t>
  </si>
  <si>
    <t>610422020048-2024-6-SURVEI-PPL</t>
  </si>
  <si>
    <t>610422040029-2024-6</t>
  </si>
  <si>
    <t>610422040029-2024-6-SURVEI-PPL</t>
  </si>
  <si>
    <t>610422100165-2024-6</t>
  </si>
  <si>
    <t>610422100165-2024-6-SURVEI-PPL</t>
  </si>
  <si>
    <t>610422040056-2024-6</t>
  </si>
  <si>
    <t>610422040056-2024-6-SURVEI-PPL</t>
  </si>
  <si>
    <t>KSA24-LAPANGAN-JUNI-PPL-KSA PADI</t>
  </si>
  <si>
    <t>610422040012-2024-6</t>
  </si>
  <si>
    <t>610422040012-2024-6-SURVEI-PPL</t>
  </si>
  <si>
    <t>610422040061-2024-6</t>
  </si>
  <si>
    <t>610422040061-2024-6-SURVEI-PPL</t>
  </si>
  <si>
    <t>610422100176-2024-6</t>
  </si>
  <si>
    <t>610422100176-2024-6-SURVEI-PPL</t>
  </si>
  <si>
    <t>610423110183-2024-6</t>
  </si>
  <si>
    <t>610423110183-2024-6-SURVEI-PPL</t>
  </si>
  <si>
    <t>KSA24-LAPANGAN-JUNI-PPL-KSA JAGUNG</t>
  </si>
  <si>
    <t>610422040058-2024-6</t>
  </si>
  <si>
    <t>610422040058-2024-6-SURVEI-PPL</t>
  </si>
  <si>
    <t>SENSUS-PPL</t>
  </si>
  <si>
    <t>610422020045-2024-6</t>
  </si>
  <si>
    <t>610422020045-2024-6-SENSUS-PPL</t>
  </si>
  <si>
    <t>610422020012-2024-6</t>
  </si>
  <si>
    <t>610422020012-2024-6-SENSUS-PPL</t>
  </si>
  <si>
    <t>610422020032-2024-6</t>
  </si>
  <si>
    <t>610422020032-2024-6-SENSUS-PPL</t>
  </si>
  <si>
    <t>610422030001-2024-6</t>
  </si>
  <si>
    <t>610422030001-2024-6-SENSUS-PPL</t>
  </si>
  <si>
    <t>610422040053-2024-6</t>
  </si>
  <si>
    <t>610422040053-2024-6-SENSUS-PPL</t>
  </si>
  <si>
    <t>610422040034-2024-6</t>
  </si>
  <si>
    <t>610422040034-2024-6-SENSUS-PPL</t>
  </si>
  <si>
    <t>610422040051-2024-6</t>
  </si>
  <si>
    <t>610422040051-2024-6-SENSUS-PPL</t>
  </si>
  <si>
    <t>610422040052-2024-6</t>
  </si>
  <si>
    <t>610422040052-2024-6-SENSUS-PPL</t>
  </si>
  <si>
    <t>610422040059-2024-6</t>
  </si>
  <si>
    <t>610422040059-2024-6-SENSUS-PPL</t>
  </si>
  <si>
    <t>610422050001-2024-6-SENSUS-PPL</t>
  </si>
  <si>
    <t>610422100006-2024-6</t>
  </si>
  <si>
    <t>610422100006-2024-6-SENSUS-PPL</t>
  </si>
  <si>
    <t>610422100101-2024-6</t>
  </si>
  <si>
    <t>610422100101-2024-6-SENSUS-PPL</t>
  </si>
  <si>
    <t>610422100131-2024-6</t>
  </si>
  <si>
    <t>610422100131-2024-6-SENSUS-PPL</t>
  </si>
  <si>
    <t>610423040014-2024-6</t>
  </si>
  <si>
    <t>610423040014-2024-6-SENSUS-PPL</t>
  </si>
  <si>
    <t>610423040013-2024-6</t>
  </si>
  <si>
    <t>610423040013-2024-6-SENSUS-PPL</t>
  </si>
  <si>
    <t>610423040018-2024-6</t>
  </si>
  <si>
    <t>610423040018-2024-6-SENSUS-PPL</t>
  </si>
  <si>
    <t>610422100083-2024-7</t>
  </si>
  <si>
    <t>610422100016-2024-7</t>
  </si>
  <si>
    <t>610423040004-2024-7</t>
  </si>
  <si>
    <t>610423040004-2024-7-SURVEI-PPL</t>
  </si>
  <si>
    <t>610422100144-2024-7</t>
  </si>
  <si>
    <t>610422100144-2024-7-SURVEI-PPL</t>
  </si>
  <si>
    <t>610422020032-2024-7</t>
  </si>
  <si>
    <t>610422020032-2024-7-SURVEI-PPL</t>
  </si>
  <si>
    <t>610422100085-2024-7</t>
  </si>
  <si>
    <t>610422100085-2024-7-SURVEI-PPL</t>
  </si>
  <si>
    <t>610423040013-2024-7</t>
  </si>
  <si>
    <t>610423040013-2024-7-SURVEI-PPL</t>
  </si>
  <si>
    <t>610422100137-2024-7</t>
  </si>
  <si>
    <t>610422100137-2024-7-SURVEI-PPL</t>
  </si>
  <si>
    <t>610422100256-2024-7</t>
  </si>
  <si>
    <t>610422100256-2024-7-SURVEI-PPL</t>
  </si>
  <si>
    <t>610422040050-2024-7</t>
  </si>
  <si>
    <t>610422040050-2024-7-SURVEI-PPL</t>
  </si>
  <si>
    <t>610422040035-2024-7</t>
  </si>
  <si>
    <t>610422040035-2024-7-SURVEI-PPL</t>
  </si>
  <si>
    <t>610422040061-2024-7</t>
  </si>
  <si>
    <t>610422040061-2024-7-SURVEI-PPL</t>
  </si>
  <si>
    <t>610422040053-2024-7</t>
  </si>
  <si>
    <t>610422040053-2024-7-SURVEI-PPL</t>
  </si>
  <si>
    <t>610422100055-2024-7</t>
  </si>
  <si>
    <t>610422100055-2024-7-SURVEI-PPL</t>
  </si>
  <si>
    <t>610422100139-2024-7</t>
  </si>
  <si>
    <t>610422100139-2024-7-SURVEI-PPL</t>
  </si>
  <si>
    <t>610422040052-2024-7</t>
  </si>
  <si>
    <t>610422040052-2024-7-SURVEI-PPL</t>
  </si>
  <si>
    <t>610422030002-2024-7</t>
  </si>
  <si>
    <t>610422030002-2024-7-SURVEI-PPL</t>
  </si>
  <si>
    <t>610422100244-2024-7</t>
  </si>
  <si>
    <t>610422100244-2024-7-SURVEI-PPL</t>
  </si>
  <si>
    <t>610422100124-2024-7</t>
  </si>
  <si>
    <t>610422100124-2024-7-SURVEI-PPL</t>
  </si>
  <si>
    <t>610422040029-2024-7</t>
  </si>
  <si>
    <t>610422040029-2024-7-SURVEI-PPL</t>
  </si>
  <si>
    <t>610422020048-2024-7</t>
  </si>
  <si>
    <t>610422020048-2024-7-SURVEI-PPL</t>
  </si>
  <si>
    <t>610422100165-2024-7</t>
  </si>
  <si>
    <t>610422100165-2024-7-SURVEI-PPL</t>
  </si>
  <si>
    <t>610422020052-2024-7</t>
  </si>
  <si>
    <t>610422020052-2024-7-SURVEI-PPL</t>
  </si>
  <si>
    <t>610422100016-2024-7-SURVEI-PPL</t>
  </si>
  <si>
    <t>610422050001-2024-7</t>
  </si>
  <si>
    <t>610422050001-2024-7-SURVEI-PPL</t>
  </si>
  <si>
    <t>610422040030-2024-7</t>
  </si>
  <si>
    <t>610422040030-2024-7-SURVEI-PPL</t>
  </si>
  <si>
    <t>610422020016-2024-7</t>
  </si>
  <si>
    <t>610422020016-2024-7-SURVEI-PPL</t>
  </si>
  <si>
    <t>610422040056-2024-7</t>
  </si>
  <si>
    <t>610422040056-2024-7-SURVEI-PPL</t>
  </si>
  <si>
    <t>KSA24-LAPANGAN-JULI-PPL-KSA PADI</t>
  </si>
  <si>
    <t>610422040012-2024-7</t>
  </si>
  <si>
    <t>610422040012-2024-7-SURVEI-PPL</t>
  </si>
  <si>
    <t>610422100131-2024-7</t>
  </si>
  <si>
    <t>610422100131-2024-7-SURVEI-PPL</t>
  </si>
  <si>
    <t>610422100176-2024-7</t>
  </si>
  <si>
    <t>610422100176-2024-7-SURVEI-PPL</t>
  </si>
  <si>
    <t>610423110183-2024-7</t>
  </si>
  <si>
    <t>610423110183-2024-7-SURVEI-PPL</t>
  </si>
  <si>
    <t>610423040018-2024-7</t>
  </si>
  <si>
    <t>610423040018-2024-7-SURVEI-PPL</t>
  </si>
  <si>
    <t>KSA24-LAPANGAN-JULI-PPL-KSA JAGUNG</t>
  </si>
  <si>
    <t>610422040059-2024-7</t>
  </si>
  <si>
    <t>610422040059-2024-7-SURVEI-PPL</t>
  </si>
  <si>
    <t>610422040058-2024-7</t>
  </si>
  <si>
    <t>610422040058-2024-7-SURVEI-PPL</t>
  </si>
  <si>
    <t>610422020048-2024-8</t>
  </si>
  <si>
    <t>610422020048-2024-8-SURVEI-PPL</t>
  </si>
  <si>
    <t>610422030002-2024-8</t>
  </si>
  <si>
    <t>610422030002-2024-8-SURVEI-PPL</t>
  </si>
  <si>
    <t>610422100244-2024-8</t>
  </si>
  <si>
    <t>610422100244-2024-8-SURVEI-PPL</t>
  </si>
  <si>
    <t>610422100124-2024-8</t>
  </si>
  <si>
    <t>610422100124-2024-8-SURVEI-PPL</t>
  </si>
  <si>
    <t>610422100016-2024-8</t>
  </si>
  <si>
    <t>610422100016-2024-8-SURVEI-PPL</t>
  </si>
  <si>
    <t>610422050001-2024-8</t>
  </si>
  <si>
    <t>610422050001-2024-8-SURVEI-PPL</t>
  </si>
  <si>
    <t>610422040030-2024-8</t>
  </si>
  <si>
    <t>610422040030-2024-8-SURVEI-PPL</t>
  </si>
  <si>
    <t>610422020016-2024-8</t>
  </si>
  <si>
    <t>610422020016-2024-8-SURVEI-PPL</t>
  </si>
  <si>
    <t>610422040029-2024-8</t>
  </si>
  <si>
    <t>610422040029-2024-8-SURVEI-PPL</t>
  </si>
  <si>
    <t>610422100165-2024-8</t>
  </si>
  <si>
    <t>610422100165-2024-8-SURVEI-PPL</t>
  </si>
  <si>
    <t>610422040056-2024-8</t>
  </si>
  <si>
    <t>610422040056-2024-8-SURVEI-PPL</t>
  </si>
  <si>
    <t>KSA24-LAPANGAN-AGUSTUS-PPL-KSA PADI</t>
  </si>
  <si>
    <t>610422040012-2024-8</t>
  </si>
  <si>
    <t>610422040012-2024-8-SURVEI-PPL</t>
  </si>
  <si>
    <t>610422040059-2024-8</t>
  </si>
  <si>
    <t>610422040059-2024-8-SURVEI-PPL</t>
  </si>
  <si>
    <t>610422040061-2024-8</t>
  </si>
  <si>
    <t>610422040061-2024-8-SURVEI-PPL</t>
  </si>
  <si>
    <t>610422100131-2024-8</t>
  </si>
  <si>
    <t>610422100131-2024-8-SURVEI-PPL</t>
  </si>
  <si>
    <t>610422100176-2024-8</t>
  </si>
  <si>
    <t>610422100176-2024-8-SURVEI-PPL</t>
  </si>
  <si>
    <t>610423110183-2024-8</t>
  </si>
  <si>
    <t>610423110183-2024-8-SURVEI-PPL</t>
  </si>
  <si>
    <t>610423040018-2024-8</t>
  </si>
  <si>
    <t>610423040018-2024-8-SURVEI-PPL</t>
  </si>
  <si>
    <t>KSA24-LAPANGAN-AGUSTUS-PPL-KSA JAGUNG</t>
  </si>
  <si>
    <t>610422040058-2024-8</t>
  </si>
  <si>
    <t>610422040058-2024-8-SURVEI-PPL</t>
  </si>
  <si>
    <t>610422040029-2024-9</t>
  </si>
  <si>
    <t>610422040029-2024-9-SURVEI-PPL</t>
  </si>
  <si>
    <t>610422040035-2024-9</t>
  </si>
  <si>
    <t>610422040035-2024-9-SURVEI-PPL</t>
  </si>
  <si>
    <t>610422100055-2024-9</t>
  </si>
  <si>
    <t>610422100055-2024-9-SURVEI-PPL</t>
  </si>
  <si>
    <t>610422040052-2024-9</t>
  </si>
  <si>
    <t>610422040052-2024-9-SURVEI-PPL</t>
  </si>
  <si>
    <t>610422020016-2024-9</t>
  </si>
  <si>
    <t>610422020016-2024-9-SURVEI-PPL</t>
  </si>
  <si>
    <t>610422100244-2024-9</t>
  </si>
  <si>
    <t>610422100244-2024-9-SURVEI-PPL</t>
  </si>
  <si>
    <t>610422040056-2024-9</t>
  </si>
  <si>
    <t>610422040056-2024-9-SURVEI-PPL</t>
  </si>
  <si>
    <t>610422040058-2024-9</t>
  </si>
  <si>
    <t>610422040058-2024-9-SURVEI-PPL</t>
  </si>
  <si>
    <t>610422020032-2024-9</t>
  </si>
  <si>
    <t>610422020032-2024-9-SURVEI-PPL</t>
  </si>
  <si>
    <t>610423040013-2024-9</t>
  </si>
  <si>
    <t>610423040013-2024-9-SURVEI-PPL</t>
  </si>
  <si>
    <t>610422040053-2024-9</t>
  </si>
  <si>
    <t>610422040053-2024-9-SURVEI-PPL</t>
  </si>
  <si>
    <t>610422020048-2024-9</t>
  </si>
  <si>
    <t>610422020048-2024-9-SURVEI-PPL</t>
  </si>
  <si>
    <t>610422040030-2024-9</t>
  </si>
  <si>
    <t>610422040030-2024-9-SURVEI-PPL</t>
  </si>
  <si>
    <t>610422100165-2024-9</t>
  </si>
  <si>
    <t>610422100165-2024-9-SURVEI-PPL</t>
  </si>
  <si>
    <t>610422100085-2024-9</t>
  </si>
  <si>
    <t>610422100085-2024-9-SURVEI-PPL</t>
  </si>
  <si>
    <t>610422030002-2024-9</t>
  </si>
  <si>
    <t>610422030002-2024-9-SURVEI-PPL</t>
  </si>
  <si>
    <t>610422100124-2024-9</t>
  </si>
  <si>
    <t>610422100124-2024-9-SURVEI-PPL</t>
  </si>
  <si>
    <t>610422100016-2024-9</t>
  </si>
  <si>
    <t>610422100016-2024-9-SURVEI-PPL</t>
  </si>
  <si>
    <t>610422050001-2024-9</t>
  </si>
  <si>
    <t>610422050001-2024-9-SURVEI-PPL</t>
  </si>
  <si>
    <t>KSA24-LAPANGAN-SEPTEMBER-PPL-KSA PADI</t>
  </si>
  <si>
    <t>610422040012-2024-9</t>
  </si>
  <si>
    <t>610422040012-2024-9-SURVEI-PPL</t>
  </si>
  <si>
    <t>610422040059-2024-9</t>
  </si>
  <si>
    <t>610422040059-2024-9-SURVEI-PPL</t>
  </si>
  <si>
    <t>610422040061-2024-9</t>
  </si>
  <si>
    <t>610422040061-2024-9-SURVEI-PPL</t>
  </si>
  <si>
    <t>610422100131-2024-9</t>
  </si>
  <si>
    <t>610422100131-2024-9-SURVEI-PPL</t>
  </si>
  <si>
    <t>610422100176-2024-9</t>
  </si>
  <si>
    <t>610422100176-2024-9-SURVEI-PPL</t>
  </si>
  <si>
    <t>610423110183-2024-9</t>
  </si>
  <si>
    <t>610423110183-2024-9-SURVEI-PPL</t>
  </si>
  <si>
    <t>610423040018-2024-9</t>
  </si>
  <si>
    <t>610423040018-2024-9-SURVEI-PPL</t>
  </si>
  <si>
    <t>KSA24-LAPANGAN-SEPTEMBER-PPL-KSA JAGUNG</t>
  </si>
  <si>
    <t>610423040004-2024-9</t>
  </si>
  <si>
    <t>610423040004-2024-9-SURVEI-PPL</t>
  </si>
  <si>
    <t>610422100144-2024-9</t>
  </si>
  <si>
    <t>610422100144-2024-9-SURVEI-PPL</t>
  </si>
  <si>
    <t>610422100137-2024-9</t>
  </si>
  <si>
    <t>610422100137-2024-9-SURVEI-PPL</t>
  </si>
  <si>
    <t>610422100256-2024-9</t>
  </si>
  <si>
    <t>610422100256-2024-9-SURVEI-PPL</t>
  </si>
  <si>
    <t>610422040050-2024-9</t>
  </si>
  <si>
    <t>610422040050-2024-9-SURVEI-PPL</t>
  </si>
  <si>
    <t>610422100139-2024-9</t>
  </si>
  <si>
    <t>610422100139-2024-9-SURVEI-PPL</t>
  </si>
  <si>
    <t>610422100016-2024-10</t>
  </si>
  <si>
    <t>610422100016-2024-10-SURVEI-PPL</t>
  </si>
  <si>
    <t>610422030002-2024-10</t>
  </si>
  <si>
    <t>610422030002-2024-10-SURVEI-PPL</t>
  </si>
  <si>
    <t>610422100244-2024-10</t>
  </si>
  <si>
    <t>610422100244-2024-10-SURVEI-PPL</t>
  </si>
  <si>
    <t>610422100124-2024-10</t>
  </si>
  <si>
    <t>610422100124-2024-10-SURVEI-PPL</t>
  </si>
  <si>
    <t>610422040029-2024-10</t>
  </si>
  <si>
    <t>610422040029-2024-10-SURVEI-PPL</t>
  </si>
  <si>
    <t>610422020048-2024-10</t>
  </si>
  <si>
    <t>610422020048-2024-10-SURVEI-PPL</t>
  </si>
  <si>
    <t>610422100165-2024-10</t>
  </si>
  <si>
    <t>610422100165-2024-10-SURVEI-PPL</t>
  </si>
  <si>
    <t>610422020052-2024-10</t>
  </si>
  <si>
    <t>610422020052-2024-10-SURVEI-PPL</t>
  </si>
  <si>
    <t>610422050001-2024-10</t>
  </si>
  <si>
    <t>610422050001-2024-10-SURVEI-PPL</t>
  </si>
  <si>
    <t>610422040030-2024-10</t>
  </si>
  <si>
    <t>610422040030-2024-10-SURVEI-PPL</t>
  </si>
  <si>
    <t>610422020016-2024-10</t>
  </si>
  <si>
    <t>610422020016-2024-10-SURVEI-PPL</t>
  </si>
  <si>
    <t>610422040056-2024-10</t>
  </si>
  <si>
    <t>610422040056-2024-10-SURVEI-PPL</t>
  </si>
  <si>
    <t>KSA24-LAPANGAN-OKTOBER-PPL-KSA PADI</t>
  </si>
  <si>
    <t>610422040012-2024-10</t>
  </si>
  <si>
    <t>610422040012-2024-10-SURVEI-PPL</t>
  </si>
  <si>
    <t>610422040059-2024-10</t>
  </si>
  <si>
    <t>610422040059-2024-10-SURVEI-PPL</t>
  </si>
  <si>
    <t>610422040061-2024-10</t>
  </si>
  <si>
    <t>610422040061-2024-10-SURVEI-PPL</t>
  </si>
  <si>
    <t>610422100131-2024-10</t>
  </si>
  <si>
    <t>610422100131-2024-10-SURVEI-PPL</t>
  </si>
  <si>
    <t>610422100176-2024-10</t>
  </si>
  <si>
    <t>610422100176-2024-10-SURVEI-PPL</t>
  </si>
  <si>
    <t>610423110183-2024-10</t>
  </si>
  <si>
    <t>610423110183-2024-10-SURVEI-PPL</t>
  </si>
  <si>
    <t>610423040018-2024-10</t>
  </si>
  <si>
    <t>610423040018-2024-10-SURVEI-PPL</t>
  </si>
  <si>
    <t>KSA24-LAPANGAN-OKTOBER-PPL-KSA JAGUNG</t>
  </si>
  <si>
    <t>610422040058-2024-10</t>
  </si>
  <si>
    <t>610422040058-2024-10-SURVEI-PPL</t>
  </si>
  <si>
    <t>610422030002-2024-11</t>
  </si>
  <si>
    <t>610422030002-2024-11-SURVEI-PPL</t>
  </si>
  <si>
    <t>610422100244-2024-11</t>
  </si>
  <si>
    <t>610422100244-2024-11-SURVEI-PPL</t>
  </si>
  <si>
    <t>610422100124-2024-11</t>
  </si>
  <si>
    <t>610422100124-2024-11-SURVEI-PPL</t>
  </si>
  <si>
    <t>610422100016-2024-11</t>
  </si>
  <si>
    <t>610422100016-2024-11-SURVEI-PPL</t>
  </si>
  <si>
    <t>610422050001-2024-11</t>
  </si>
  <si>
    <t>610422050001-2024-11-SURVEI-PPL</t>
  </si>
  <si>
    <t>610422040030-2024-11</t>
  </si>
  <si>
    <t>610422040030-2024-11-SURVEI-PPL</t>
  </si>
  <si>
    <t>610422020016-2024-11</t>
  </si>
  <si>
    <t>610422020016-2024-11-SURVEI-PPL</t>
  </si>
  <si>
    <t>610422020048-2024-11</t>
  </si>
  <si>
    <t>610422020048-2024-11-SURVEI-PPL</t>
  </si>
  <si>
    <t>610422040029-2024-11</t>
  </si>
  <si>
    <t>610422040029-2024-11-SURVEI-PPL</t>
  </si>
  <si>
    <t>610422100165-2024-11</t>
  </si>
  <si>
    <t>610422100165-2024-11-SURVEI-PPL</t>
  </si>
  <si>
    <t>610422040056-2024-11</t>
  </si>
  <si>
    <t>610422040056-2024-11-SURVEI-PPL</t>
  </si>
  <si>
    <t>KSA24-LAPANGAN-NOVEMBER-PPL-KSA PADI</t>
  </si>
  <si>
    <t>610422040012-2024-11</t>
  </si>
  <si>
    <t>610422040012-2024-11-SURVEI-PPL</t>
  </si>
  <si>
    <t>610422040059-2024-11</t>
  </si>
  <si>
    <t>610422040059-2024-11-SURVEI-PPL</t>
  </si>
  <si>
    <t>610422040061-2024-11</t>
  </si>
  <si>
    <t>610422040061-2024-11-SURVEI-PPL</t>
  </si>
  <si>
    <t>610422100131-2024-11</t>
  </si>
  <si>
    <t>610422100131-2024-11-SURVEI-PPL</t>
  </si>
  <si>
    <t>610422100176-2024-11</t>
  </si>
  <si>
    <t>610422100176-2024-11-SURVEI-PPL</t>
  </si>
  <si>
    <t>610423110183-2024-11</t>
  </si>
  <si>
    <t>610423110183-2024-11-SURVEI-PPL</t>
  </si>
  <si>
    <t>610423040018-2024-11</t>
  </si>
  <si>
    <t>610423040018-2024-11-SURVEI-PPL</t>
  </si>
  <si>
    <t>KSA24-LAPANGAN-NOVEMBER-PPL-KSA JAGUNG</t>
  </si>
  <si>
    <t>610422040058-2024-11</t>
  </si>
  <si>
    <t>610422040058-2024-11-SURVEI-PPL</t>
  </si>
  <si>
    <t>610423040004-2024-11</t>
  </si>
  <si>
    <t>610423040004-2024-11-SURVEI-PPL</t>
  </si>
  <si>
    <t>610422100144-2024-11</t>
  </si>
  <si>
    <t>610422100144-2024-11-SURVEI-PPL</t>
  </si>
  <si>
    <t>610422020032-2024-11</t>
  </si>
  <si>
    <t>610422020032-2024-11-SURVEI-PPL</t>
  </si>
  <si>
    <t>610422100085-2024-11</t>
  </si>
  <si>
    <t>610422100085-2024-11-SURVEI-PPL</t>
  </si>
  <si>
    <t>610423040013-2024-11</t>
  </si>
  <si>
    <t>610423040013-2024-11-SURVEI-PPL</t>
  </si>
  <si>
    <t>610422100137-2024-11</t>
  </si>
  <si>
    <t>610422100137-2024-11-SURVEI-PPL</t>
  </si>
  <si>
    <t>610422100256-2024-11</t>
  </si>
  <si>
    <t>610422100256-2024-11-SURVEI-PPL</t>
  </si>
  <si>
    <t>610422040050-2024-11</t>
  </si>
  <si>
    <t>610422040050-2024-11-SURVEI-PPL</t>
  </si>
  <si>
    <t>610422040035-2024-11</t>
  </si>
  <si>
    <t>610422040035-2024-11-SURVEI-PPL</t>
  </si>
  <si>
    <t>610422040053-2024-11</t>
  </si>
  <si>
    <t>610422040053-2024-11-SURVEI-PPL</t>
  </si>
  <si>
    <t>610422100055-2024-11</t>
  </si>
  <si>
    <t>610422100055-2024-11-SURVEI-PPL</t>
  </si>
  <si>
    <t>610422100139-2024-11</t>
  </si>
  <si>
    <t>610422100139-2024-11-SURVEI-PPL</t>
  </si>
  <si>
    <t>610422040052-2024-11</t>
  </si>
  <si>
    <t>610422040052-2024-11-SURVEI-PPL</t>
  </si>
  <si>
    <t>610422030002-2024-12</t>
  </si>
  <si>
    <t>610422030002-2024-12-SURVEI-PPL</t>
  </si>
  <si>
    <t>610422100244-2024-12</t>
  </si>
  <si>
    <t>610422100244-2024-12-SURVEI-PPL</t>
  </si>
  <si>
    <t>610422100124-2024-12</t>
  </si>
  <si>
    <t>610422100124-2024-12-SURVEI-PPL</t>
  </si>
  <si>
    <t>610422100016-2024-12</t>
  </si>
  <si>
    <t>610422100016-2024-12-SURVEI-PPL</t>
  </si>
  <si>
    <t>610422050001-2024-12</t>
  </si>
  <si>
    <t>610422050001-2024-12-SURVEI-PPL</t>
  </si>
  <si>
    <t>610422040030-2024-12</t>
  </si>
  <si>
    <t>610422040030-2024-12-SURVEI-PPL</t>
  </si>
  <si>
    <t>610422020016-2024-12</t>
  </si>
  <si>
    <t>610422020016-2024-12-SURVEI-PPL</t>
  </si>
  <si>
    <t>610422020048-2024-12</t>
  </si>
  <si>
    <t>610422020048-2024-12-SURVEI-PPL</t>
  </si>
  <si>
    <t>610422040029-2024-12</t>
  </si>
  <si>
    <t>610422040029-2024-12-SURVEI-PPL</t>
  </si>
  <si>
    <t>610422100165-2024-12</t>
  </si>
  <si>
    <t>610422100165-2024-12-SURVEI-PPL</t>
  </si>
  <si>
    <t>610422040056-2024-12</t>
  </si>
  <si>
    <t>610422040056-2024-12-SURVEI-PPL</t>
  </si>
  <si>
    <t>610422020006-2024-12</t>
  </si>
  <si>
    <t>610422020006-2024-12-SURVEI-PETUGAS ENTRI</t>
  </si>
  <si>
    <t>617122110049-2024-12</t>
  </si>
  <si>
    <t>617122110049-2024-12-SURVEI-PETUGAS ENTRI</t>
  </si>
  <si>
    <t>610422100010-2024-12</t>
  </si>
  <si>
    <t>610422100010-2024-12-SURVEI-PETUGAS ENTRI</t>
  </si>
  <si>
    <t>610422100177-2024-12</t>
  </si>
  <si>
    <t>610422100177-2024-12-SURVEI-PETUGAS ENTRI</t>
  </si>
  <si>
    <t>610422100083-2024-12</t>
  </si>
  <si>
    <t>610422100083-2024-12-SURVEI-PETUGAS ENTRI</t>
  </si>
  <si>
    <t>610422110006-2024-12</t>
  </si>
  <si>
    <t>610422110006-2024-12-SURVEI-PETUGAS ENTRI</t>
  </si>
  <si>
    <t>610422110005-2024-12</t>
  </si>
  <si>
    <t>610422110005-2024-12-SURVEI-PETUGAS ENTRI</t>
  </si>
  <si>
    <t>610423090021-2024-12</t>
  </si>
  <si>
    <t>610423090021-2024-12-SURVEI-PETUGAS ENTRI</t>
  </si>
  <si>
    <t>610423110150-2024-12</t>
  </si>
  <si>
    <t>610423110150-2024-12-SURVEI-PETUGAS ENTRI</t>
  </si>
  <si>
    <t>610423110129-2024-12</t>
  </si>
  <si>
    <t>610423110129-2024-12-SURVEI-PETUGAS ENTRI</t>
  </si>
  <si>
    <t>KSA24-LAPANGAN-DESEMBER-PPL-KSA PADI</t>
  </si>
  <si>
    <t>610422040012-2024-12</t>
  </si>
  <si>
    <t>610422040012-2024-12-SURVEI-PPL</t>
  </si>
  <si>
    <t>610422040059-2024-12</t>
  </si>
  <si>
    <t>610422040059-2024-12-SURVEI-PPL</t>
  </si>
  <si>
    <t>610422040061-2024-12</t>
  </si>
  <si>
    <t>610422040061-2024-12-SURVEI-PPL</t>
  </si>
  <si>
    <t>610422100131-2024-12</t>
  </si>
  <si>
    <t>610422100131-2024-12-SURVEI-PPL</t>
  </si>
  <si>
    <t>610422100176-2024-12</t>
  </si>
  <si>
    <t>610422100176-2024-12-SURVEI-PPL</t>
  </si>
  <si>
    <t>610423110183-2024-12</t>
  </si>
  <si>
    <t>610423110183-2024-12-SURVEI-PPL</t>
  </si>
  <si>
    <t>610423040018-2024-12</t>
  </si>
  <si>
    <t>610423040018-2024-12-SURVEI-PPL</t>
  </si>
  <si>
    <t>KSA24-LAPANGAN-DESEMBER-PPL-KSA JAGUNG</t>
  </si>
  <si>
    <t>610422040058-2024-12</t>
  </si>
  <si>
    <t>610422040058-2024-12-SURVEI-PPL</t>
  </si>
  <si>
    <t>610422040029-2025-1</t>
  </si>
  <si>
    <t>610422040029-2025-1-SURVEI-PPL</t>
  </si>
  <si>
    <t>id_sobat</t>
  </si>
  <si>
    <t>id_kegiatan</t>
  </si>
  <si>
    <t>belum_ada</t>
  </si>
  <si>
    <t>bisa_ikut</t>
  </si>
  <si>
    <t>nama_petugas</t>
  </si>
  <si>
    <t>jabatan</t>
  </si>
  <si>
    <t>nik</t>
  </si>
  <si>
    <t>jenis_honor</t>
  </si>
  <si>
    <t>id_honor</t>
  </si>
  <si>
    <t>satuan_honor</t>
  </si>
  <si>
    <t>honor_per_satuan_honor</t>
  </si>
  <si>
    <t>target_per_satuan_honor</t>
  </si>
  <si>
    <t>target_honor</t>
  </si>
  <si>
    <t>honor_bersih</t>
  </si>
  <si>
    <t>tanggal_akhir_kegiatan</t>
  </si>
  <si>
    <t>tahun_akhir_kegiatan</t>
  </si>
  <si>
    <t>bulan_akhir_kegiatan</t>
  </si>
  <si>
    <t>id_batasan_honor</t>
  </si>
  <si>
    <t>id_alokasi_waktu_honor</t>
  </si>
  <si>
    <t>id_alokasi_waktu_batasan_honor</t>
  </si>
  <si>
    <t>sudah_dibayarkan</t>
  </si>
  <si>
    <t>sisa_hari_hingga_batas_pencairan</t>
  </si>
  <si>
    <t>tanggal_pencairan</t>
  </si>
  <si>
    <t>nama_kegiatan</t>
  </si>
  <si>
    <t>kecamatan_domisili</t>
  </si>
  <si>
    <t>desa_domisili</t>
  </si>
  <si>
    <t>tanggal_penanda_tanganan_spk_oleh_petugas</t>
  </si>
  <si>
    <t>tanggal_mulai_perjanjian</t>
  </si>
  <si>
    <t>tanggal_akhir_perjanjian</t>
  </si>
  <si>
    <t>tanggal_terima_hasil_pekerjaan_paling_lambat</t>
  </si>
  <si>
    <t>tambahan_waktu_tanggal_terima_hasil_pekerjaan_paling_lambat</t>
  </si>
  <si>
    <t>Survei Harga Produsen Gabah (HPBG24) Januari</t>
  </si>
  <si>
    <t>Survei Harga Produsen Gabah (HPBG24) Februari</t>
  </si>
  <si>
    <t>Survei Harga Produsen Gabah (HPBG24) Maret</t>
  </si>
  <si>
    <t>Survei Harga Produsen Gabah (HPBG24) April</t>
  </si>
  <si>
    <t>Survei Harga Produsen Gabah (HPBG24) Mei</t>
  </si>
  <si>
    <t>610422100016-2024-6</t>
  </si>
  <si>
    <t>610422100016-2024-6-SURVEI-PPL</t>
  </si>
  <si>
    <t>Survei Harga Produsen Gabah (HPBG24) Juni</t>
  </si>
  <si>
    <t>610422020006-2024-7</t>
  </si>
  <si>
    <t>610422020006-2024-7-SURVEI-PETUGAS ENTRI</t>
  </si>
  <si>
    <t>617122110049-2024-7</t>
  </si>
  <si>
    <t>617122110049-2024-7-SURVEI-PETUGAS ENTRI</t>
  </si>
  <si>
    <t>610422100010-2024-7</t>
  </si>
  <si>
    <t>610422100010-2024-7-SURVEI-PETUGAS ENTRI</t>
  </si>
  <si>
    <t>610422100177-2024-7</t>
  </si>
  <si>
    <t>610422100177-2024-7-SURVEI-PETUGAS ENTRI</t>
  </si>
  <si>
    <t>610422100083-2024-7-SURVEI-PETUGAS ENTRI</t>
  </si>
  <si>
    <t>610422110006-2024-7</t>
  </si>
  <si>
    <t>610422110006-2024-7-SURVEI-PETUGAS ENTRI</t>
  </si>
  <si>
    <t>610422110005-2024-7</t>
  </si>
  <si>
    <t>610422110005-2024-7-SURVEI-PETUGAS ENTRI</t>
  </si>
  <si>
    <t>610423090021-2024-7</t>
  </si>
  <si>
    <t>610423090021-2024-7-SURVEI-PETUGAS ENTRI</t>
  </si>
  <si>
    <t>610423110150-2024-7</t>
  </si>
  <si>
    <t>610423110150-2024-7-SURVEI-PETUGAS ENTRI</t>
  </si>
  <si>
    <t>610423110129-2024-7</t>
  </si>
  <si>
    <t>610423110129-2024-7-SURVEI-PETUGAS ENTRI</t>
  </si>
  <si>
    <t>Survei Harga Produsen Gabah (HPBG24) Juli</t>
  </si>
  <si>
    <t>Survei Harga Produsen Gabah (HPBG24) Agustus</t>
  </si>
  <si>
    <t>Survei Harga Produsen Gabah (HPBG24) September</t>
  </si>
  <si>
    <t>610422020006-2024-10</t>
  </si>
  <si>
    <t>610422020006-2024-10-SURVEI-PETUGAS ENTRI</t>
  </si>
  <si>
    <t>617122110049-2024-10</t>
  </si>
  <si>
    <t>617122110049-2024-10-SURVEI-PETUGAS ENTRI</t>
  </si>
  <si>
    <t>610422100010-2024-10</t>
  </si>
  <si>
    <t>610422100010-2024-10-SURVEI-PETUGAS ENTRI</t>
  </si>
  <si>
    <t>610422100177-2024-10</t>
  </si>
  <si>
    <t>610422100177-2024-10-SURVEI-PETUGAS ENTRI</t>
  </si>
  <si>
    <t>610422100083-2024-10</t>
  </si>
  <si>
    <t>610422100083-2024-10-SURVEI-PETUGAS ENTRI</t>
  </si>
  <si>
    <t>610422110006-2024-10</t>
  </si>
  <si>
    <t>610422110006-2024-10-SURVEI-PETUGAS ENTRI</t>
  </si>
  <si>
    <t>610422110005-2024-10</t>
  </si>
  <si>
    <t>610422110005-2024-10-SURVEI-PETUGAS ENTRI</t>
  </si>
  <si>
    <t>610423090021-2024-10</t>
  </si>
  <si>
    <t>610423090021-2024-10-SURVEI-PETUGAS ENTRI</t>
  </si>
  <si>
    <t>610423110150-2024-10</t>
  </si>
  <si>
    <t>610423110150-2024-10-SURVEI-PETUGAS ENTRI</t>
  </si>
  <si>
    <t>610423110129-2024-10</t>
  </si>
  <si>
    <t>610423110129-2024-10-SURVEI-PETUGAS ENTRI</t>
  </si>
  <si>
    <t>Survei Harga Produsen Gabah (HPBG24) Oktober</t>
  </si>
  <si>
    <t>Survei Harga Produsen Gabah (HPBG24) November</t>
  </si>
  <si>
    <t>Survei Harga Produsen Gabah (HPBG24) Desember</t>
  </si>
  <si>
    <t>Ambil</t>
  </si>
  <si>
    <t>054.01.GG</t>
  </si>
  <si>
    <t>Program Penyediaan dan Pelayanan Informasi Statistik</t>
  </si>
  <si>
    <t>Pengembangan dan Analisis Statistik</t>
  </si>
  <si>
    <t>2896.BMA</t>
  </si>
  <si>
    <t>Data dan Informasi Publik[Base Line]</t>
  </si>
  <si>
    <t>1.0 layanan, dokumen, publikasi, Wilayah, Peta, Data, Lokasi</t>
  </si>
  <si>
    <t>Lokasi : KAB. MEMPAWAH</t>
  </si>
  <si>
    <t>2896.BMA.004</t>
  </si>
  <si>
    <t>PUBLIKASI/LAPORAN ANALISIS DAN PENGEMBANGAN STATISTIK</t>
  </si>
  <si>
    <t>1.0 layanan</t>
  </si>
  <si>
    <t>Dukungan Penyelenggaraan Tugas dan Fungsi Unit</t>
  </si>
  <si>
    <t>U</t>
  </si>
  <si>
    <t>A</t>
  </si>
  <si>
    <t>TANPA SUB KOMPONEN</t>
  </si>
  <si>
    <t>Belanja Perjalanan Dinas Dalam Kota</t>
  </si>
  <si>
    <t>RM</t>
  </si>
  <si>
    <t>(KPPN.042-Pontianak )</t>
  </si>
  <si>
    <t>transport lokal</t>
  </si>
  <si>
    <t>2.0 O-K</t>
  </si>
  <si>
    <t>DISEMINASI DAN EVALUASI</t>
  </si>
  <si>
    <t>Belanja Barang Persediaan Barang Konsumsi</t>
  </si>
  <si>
    <t>Keterpaduan Anggaran</t>
  </si>
  <si>
    <t>1.0 Paket</t>
  </si>
  <si>
    <t>Pelayanan dan Pengembangan Diseminasi Informasi Statistik</t>
  </si>
  <si>
    <t>2897.BDB</t>
  </si>
  <si>
    <t>Fasilitasi dan Pembinaan Lembaga[Base Line]</t>
  </si>
  <si>
    <t>1.0 Lembaga, Unit Kerja, Tim</t>
  </si>
  <si>
    <t>2897.BDB.003</t>
  </si>
  <si>
    <t>LAPORAN PENYELENGGARAAN SISTEM STATISTIK NASIONAL (SSN)</t>
  </si>
  <si>
    <t>1.0 Lembaga</t>
  </si>
  <si>
    <t>PENGUMPULAN DATA</t>
  </si>
  <si>
    <t>Belanja Jasa Profesi</t>
  </si>
  <si>
    <t>honor narasumber eselon iii/ ke bawah</t>
  </si>
  <si>
    <t>2.0 O-J</t>
  </si>
  <si>
    <t>Belanja Perjalanan Dinas Paket Meeting Dalam Kota</t>
  </si>
  <si>
    <t>fullday penyelenggaraan statistik sektoral instansi daerah (Kab) (Transport  Uang Saku)</t>
  </si>
  <si>
    <t>20.0 O-P</t>
  </si>
  <si>
    <t>2897.BMA</t>
  </si>
  <si>
    <t>2897.BMA.004</t>
  </si>
  <si>
    <t>LAPORAN DISEMINASI DAN METADATA STATISTIK</t>
  </si>
  <si>
    <t>transpor pengumpulan skd (kab)</t>
  </si>
  <si>
    <t>3.0 O-K</t>
  </si>
  <si>
    <t>Belanja Bahan</t>
  </si>
  <si>
    <t>Perlengkapan FGD</t>
  </si>
  <si>
    <t>35.0 Set</t>
  </si>
  <si>
    <t>Konsumsi FGD</t>
  </si>
  <si>
    <t>56.0 OH</t>
  </si>
  <si>
    <t>pengawasan dalam rangka skd</t>
  </si>
  <si>
    <t>1.0 O-P</t>
  </si>
  <si>
    <t>fgd pembahasan data kabupaten/kota dalam angka (transportUH)</t>
  </si>
  <si>
    <t>35.0 O-P</t>
  </si>
  <si>
    <t>PENGOLAHAN DAN ANALISIS</t>
  </si>
  <si>
    <t>transpor lokal metadata statistik</t>
  </si>
  <si>
    <t>1.0 O-K</t>
  </si>
  <si>
    <t>Penyediaan dan Pengembangan Statistik Neraca Pengeluaran</t>
  </si>
  <si>
    <t>2898.BMA</t>
  </si>
  <si>
    <t>2898.BMA.007</t>
  </si>
  <si>
    <t>PUBLIKASI/LAPORAN STATISTIK NERACA PENGELUARAN</t>
  </si>
  <si>
    <t>Belanja Honor Output Kegiatan</t>
  </si>
  <si>
    <t>honor petugas pendataan lapangan indept study nta dan well-being accounts</t>
  </si>
  <si>
    <t>30.0 DOK</t>
  </si>
  <si>
    <t>honor petugas pendataan lapangan sklnp</t>
  </si>
  <si>
    <t>6.0 Dok</t>
  </si>
  <si>
    <t>honor petugas pendataan lapangan sklnpt</t>
  </si>
  <si>
    <t>40.0 DOK</t>
  </si>
  <si>
    <t>honor petugas pendataan lapangan skps</t>
  </si>
  <si>
    <t>2.0 DOK</t>
  </si>
  <si>
    <t>honor petugas pendataan lapangan sksppi</t>
  </si>
  <si>
    <t>20.0 DOK</t>
  </si>
  <si>
    <t>honor petugas pendataan lapangan updating direktori lnprt</t>
  </si>
  <si>
    <t>10.0 DOK</t>
  </si>
  <si>
    <t>28.0 O-K</t>
  </si>
  <si>
    <t>transport lokal petugas pemeriksaan lapangan indept study nta dan well-being accounts</t>
  </si>
  <si>
    <t>transport lokal petugas pemeriksaan lapangan sklnpt</t>
  </si>
  <si>
    <t>transport lokal petugas pemeriksaan lapangan sklnp</t>
  </si>
  <si>
    <t>1.0 OK</t>
  </si>
  <si>
    <t>transport lokal petugas pemeriksaan lapangan skps</t>
  </si>
  <si>
    <t>transport lokal petugas pemeriksaan lapangan sksppi</t>
  </si>
  <si>
    <t>PERSIAPAN</t>
  </si>
  <si>
    <t>perlengkapan pelatihan petugas pencacahan sksppi</t>
  </si>
  <si>
    <t>15.0 SET</t>
  </si>
  <si>
    <t>perlengkapan pelatihan petugas sklnp, sklpnt, nta, updating direktori lnprt</t>
  </si>
  <si>
    <t>10.0 SET</t>
  </si>
  <si>
    <t>paket data pelatihan petugas sklnp, sklpnt, nta, updating direktori lnprt</t>
  </si>
  <si>
    <t>15.0 Paket</t>
  </si>
  <si>
    <t>honor pengajar petugas pendataan lapangan sksppi</t>
  </si>
  <si>
    <t>9.0 OJP</t>
  </si>
  <si>
    <t>honor pengajar petugas sklnpt, sklnp, nta, updating direktori lnprt</t>
  </si>
  <si>
    <t>27.0 OJP</t>
  </si>
  <si>
    <t>transport lokal fullday paket meeting pelatihan petugas pendataan lapangan sksppi</t>
  </si>
  <si>
    <t>9.0 O-P</t>
  </si>
  <si>
    <t>transport lokal fullday pelatihan petugas sklnpt, sklnp, nta, updating direktori lnprt</t>
  </si>
  <si>
    <t>2.0 O-P</t>
  </si>
  <si>
    <t>honor narasumber pejabat eselon iii ke bawah/ yang disetarakan</t>
  </si>
  <si>
    <t>2898.QMA</t>
  </si>
  <si>
    <t>2898.QMA.008</t>
  </si>
  <si>
    <t>PUBLIKASI/LAPORAN PENYUSUNAN DISAGREGASI PMTB</t>
  </si>
  <si>
    <t>honor petugas pendataan lapangan survei penyusunan disagregasi pmtb di kab/kota</t>
  </si>
  <si>
    <t>6.0 DOK</t>
  </si>
  <si>
    <t>transport lokal petugas pemeriksaan lapangan survei penyusunan disagregasi pmtb di kab/kota</t>
  </si>
  <si>
    <t>Penyediaan dan Pengembangan Statistik Neraca Produksi</t>
  </si>
  <si>
    <t>2899.BMA</t>
  </si>
  <si>
    <t>2899.BMA.006</t>
  </si>
  <si>
    <t>PUBLIKASI/LAPORAN NERACA PRODUKSI</t>
  </si>
  <si>
    <t>honor petugas pendataan lapangan in-depth study seea</t>
  </si>
  <si>
    <t>4.0 Dok</t>
  </si>
  <si>
    <t>honor petugas pendataan lapangan sksj 2024</t>
  </si>
  <si>
    <t>honor petugas pendataan lapangan sktnp barang 2024</t>
  </si>
  <si>
    <t>4.0 DOK</t>
  </si>
  <si>
    <t>honor petugas pendataan lapangan sktnp jasa 2024</t>
  </si>
  <si>
    <t>8.0 DOK</t>
  </si>
  <si>
    <t>honor petugas pendataan lapangan survei khusus neraca produksi</t>
  </si>
  <si>
    <t>41.0 Dok</t>
  </si>
  <si>
    <t>8.0 O-K</t>
  </si>
  <si>
    <t>transport lokal petugas pemeriksaan lapangan in-depth study seea di provinsi</t>
  </si>
  <si>
    <t>transport lokal petugas pemeriksaan lapangan sksj 2024</t>
  </si>
  <si>
    <t>transport lokal petugas pemeriksaan lapangan sktnp barang 2024</t>
  </si>
  <si>
    <t>transport lokal petugas pemeriksaan lapangan sktnp jasa 2024</t>
  </si>
  <si>
    <t>transport lokal petugas pemeriksaan lapangan survei khusus neraca produksi</t>
  </si>
  <si>
    <t>honor narasumber eselon iii</t>
  </si>
  <si>
    <t>3.0 O-J</t>
  </si>
  <si>
    <t>pengawasan pengumpulan data survei khusus neraca produksi ke kecamatan (Transport Kabupaten ke Kecamatan )</t>
  </si>
  <si>
    <t>pengawasan pengumpulan data survei khusus neraca produksi ke kecamatan (Uang Harian Kabupaten ke Kecamatan )</t>
  </si>
  <si>
    <t>1.0 O-H</t>
  </si>
  <si>
    <t>Pengembangan Metodologi Sensus dan Survei</t>
  </si>
  <si>
    <t>2900.BMA</t>
  </si>
  <si>
    <t>2900.BMA.005</t>
  </si>
  <si>
    <t>DOKUMEN, LAPORAN, DAN PUBLIKASI PENGEMBANGAN METODOLOGI SENSUS DAN SURVEI</t>
  </si>
  <si>
    <t>Pengolahan Muatan Desa Updating Enumeration Area SLS Terintegrasi Podes</t>
  </si>
  <si>
    <t>7.0 Desa</t>
  </si>
  <si>
    <t>Pendataan Lapangan Updating Enumeration Area SLS Terintegrasi Podes</t>
  </si>
  <si>
    <t>2.0 SLS</t>
  </si>
  <si>
    <t>KONSUMSI pelatihan petugas pemutakhiran sls di kabupaten/kota</t>
  </si>
  <si>
    <t>12.0 O-K</t>
  </si>
  <si>
    <t>KONSUMSI pelatihan petugas pengolahan sls di kabupaten/kota</t>
  </si>
  <si>
    <t>TRANSLOK pelatihan petugas pemutakhiran sls di kabupaten/kota</t>
  </si>
  <si>
    <t>TRANSLOK pelatihan petugas pengolahan sls di kabupaten/kota</t>
  </si>
  <si>
    <t>pengawasan pemutakhiran mfd dan mbs (kabupaten/kota ke kecamatan)</t>
  </si>
  <si>
    <t>1.0 OP</t>
  </si>
  <si>
    <t>Penyediaan dan Pengembangan Statistik Distribusi</t>
  </si>
  <si>
    <t>2902.BMA</t>
  </si>
  <si>
    <t>2902.BMA.004</t>
  </si>
  <si>
    <t>PUBLIKASI/LAPORAN STATISTIK DISTRIBUSI</t>
  </si>
  <si>
    <t>Honor petugas pendataan lapangan updating profil pasar 2024</t>
  </si>
  <si>
    <t>9.0 Dok</t>
  </si>
  <si>
    <t>Honor petugas pendataan lapangan survei stku triwulan tahun 2024-terintegrasi</t>
  </si>
  <si>
    <t>27.0 Resp</t>
  </si>
  <si>
    <t>Honor petugas pendataan lapangan survei stku triwulan 4 tahun 2023</t>
  </si>
  <si>
    <t>9.0 Resp</t>
  </si>
  <si>
    <t>Honor petugas pendataan lapangan survei perdagangan antar wilayah</t>
  </si>
  <si>
    <t>50.0 Resp</t>
  </si>
  <si>
    <t>*</t>
  </si>
  <si>
    <t>Honor petugas pendataan lapangan survei pergudangan</t>
  </si>
  <si>
    <t>10.0 Resp</t>
  </si>
  <si>
    <t>Honor petugas pendataan lapangan survei jasa penunjang angkutan</t>
  </si>
  <si>
    <t>6.0 Resp</t>
  </si>
  <si>
    <t>Transport lokal petugas pemeriksaan lapangan survei pola distribusi</t>
  </si>
  <si>
    <t>Transport lokal petugas pemeriksaan lapangan updating profil pasar 2024</t>
  </si>
  <si>
    <t>Transport lokal petugas pemeriksaan lapangan survei stku triwulan tahun 2024-terintegrasi</t>
  </si>
  <si>
    <t>Transport lokal petugas pemeriksaan lapangan dokumen pj ii/5</t>
  </si>
  <si>
    <t>Transport lokal petugas pemeriksaan lapangan survei perdagangan antar wilayah</t>
  </si>
  <si>
    <t>4.0 O-K</t>
  </si>
  <si>
    <t>Transport lokal petugas pemeriksaan lapangan survei pergudangan</t>
  </si>
  <si>
    <t>Transport lokal petugas pemeriksaan lapangan jasa penunjang angkutan</t>
  </si>
  <si>
    <t>perlengkapan pelatihan petugas survei rutin distribusi</t>
  </si>
  <si>
    <t>11.0 SET</t>
  </si>
  <si>
    <t>konsumsi pelatihan petugas survei rutin distribusi</t>
  </si>
  <si>
    <t>9.0 O-K</t>
  </si>
  <si>
    <t>paket data pelatihan petugas survei rutin distribusi</t>
  </si>
  <si>
    <t>8.0 Paket</t>
  </si>
  <si>
    <t>honor pengajar pelatihan petugas survei rutin distribusi</t>
  </si>
  <si>
    <t>18.0 OJP</t>
  </si>
  <si>
    <t>Transport pelatihan petugas survei rutin distribusi</t>
  </si>
  <si>
    <t>2902.QMA</t>
  </si>
  <si>
    <t>2902.QMA.006</t>
  </si>
  <si>
    <t>PUBLIKASI/LAPORAN SENSUS EKONOMI 2026</t>
  </si>
  <si>
    <t>Honor petugas pendataan lapangan updating direktori usaha perusahaan ekonomi</t>
  </si>
  <si>
    <t>114.0 Dok</t>
  </si>
  <si>
    <t>Transport lokal petugas pemeriksaan lapangan updating direktori usaha perusahaan ekonomi</t>
  </si>
  <si>
    <t>transport lokal petugas pencaahan lapangan Updating Direktori Usaha/Perusahaan Ekonomi</t>
  </si>
  <si>
    <t>6.0 OK</t>
  </si>
  <si>
    <t>Updating Direktori Usaha/Perusahaan Ekonomi</t>
  </si>
  <si>
    <t>Paket pelatihan petugas lapangan updating direktori usaha/perusahaan ekonomi</t>
  </si>
  <si>
    <t>4.0 Paket</t>
  </si>
  <si>
    <t>Honor inda pelatihan updating direktori usaha/perusahaan ekonomi</t>
  </si>
  <si>
    <t>Pengawasan lapangan updating direktori usaha dari kab/kota ke kecamatan</t>
  </si>
  <si>
    <t>Transport pelatihan petugas lapangan</t>
  </si>
  <si>
    <t>Penyediaan dan Pengembangan Statistik Harga</t>
  </si>
  <si>
    <t>2903.BMA</t>
  </si>
  <si>
    <t>2903.BMA.009</t>
  </si>
  <si>
    <t>PUBLIKASI/LAPORAN STATISTIK HARGA</t>
  </si>
  <si>
    <t>honor petugas pendataan lapangan ikp 2024</t>
  </si>
  <si>
    <t>217.0 DOK</t>
  </si>
  <si>
    <t>honor petugas pendataan lapangan hpg</t>
  </si>
  <si>
    <t>48.0 DOK</t>
  </si>
  <si>
    <t>honor petugas pendataan lapangan paket komoditas shkk (non pns)</t>
  </si>
  <si>
    <t>156.0 DOK</t>
  </si>
  <si>
    <t>honor petugas pendataan lapangan survei harga perdagangan besar (non pns)</t>
  </si>
  <si>
    <t>180.0 DOK</t>
  </si>
  <si>
    <t>honor petugas pendataan lapangan survei harga konsumen perdesaan (hkd) non pns</t>
  </si>
  <si>
    <t>72.0 DOK</t>
  </si>
  <si>
    <t>honor petugas pendataan lapangan survei harga produsen perdesaan (hd) non pns</t>
  </si>
  <si>
    <t>216.0 DOK</t>
  </si>
  <si>
    <t>honor updating paket komoditas hps-hpj dan hpt kab</t>
  </si>
  <si>
    <t>1.0 DOK</t>
  </si>
  <si>
    <t>honor petugas pendataan lapangan hpbg</t>
  </si>
  <si>
    <t>honor petugas pendataan lapangan hpj kab</t>
  </si>
  <si>
    <t>transport lokal petugas pemeriksaan lapangan ikp 2024 (kabkot)</t>
  </si>
  <si>
    <t>25.0 O-K</t>
  </si>
  <si>
    <t>transport lokal petugas pemeriksaan lapangan hp (kabkot)</t>
  </si>
  <si>
    <t>transport lokal petugas pemeriksaan lapangan data hasil pencacahan shkk (kabkot)</t>
  </si>
  <si>
    <t>transport lokal petugas pemeriksaan lapangan dokumen hasil survei harga perdagangan besar (pns)</t>
  </si>
  <si>
    <t>transport lokal petugas pemeriksaan lapangan survei harga konsumen perdesaan (hkd)</t>
  </si>
  <si>
    <t>transport lokal petugas pemeriksaan lapangan survei harga produsen perdesaan (hd)</t>
  </si>
  <si>
    <t>transport lokal petugas pemeriksaan lapangan hpbg</t>
  </si>
  <si>
    <t>transport lokal petugas pemeriksaan lapangan hpj kab</t>
  </si>
  <si>
    <t>transport lokal petugas pencacahan shped hd hkd</t>
  </si>
  <si>
    <t>44.0 OK</t>
  </si>
  <si>
    <t>perlengkapan fullboard pelatihan petugas penyusunan ikp</t>
  </si>
  <si>
    <t>14.0 SET</t>
  </si>
  <si>
    <t>perlengkapan uji kualitas beras (gelas/piring plastik)</t>
  </si>
  <si>
    <t>4.0 PAKET</t>
  </si>
  <si>
    <t>pembelian alkohol untuk pembersihan gabah</t>
  </si>
  <si>
    <t>9.0 liter</t>
  </si>
  <si>
    <t>perlengkapan fullboard pelatihan petugas survei harga produsen</t>
  </si>
  <si>
    <t>5.0 Set</t>
  </si>
  <si>
    <t>paket data pelatihan petugas survei harga produsen</t>
  </si>
  <si>
    <t>5.0 Paket</t>
  </si>
  <si>
    <t>honor innas pelatihan petugas penyusunan ikp</t>
  </si>
  <si>
    <t>honor innas fullboard pelatihan petugas survei harga produsen</t>
  </si>
  <si>
    <t>Belanja Barang Non Operasional Lainnya</t>
  </si>
  <si>
    <t>penggantian contoh gabah untuk survei hpg</t>
  </si>
  <si>
    <t>84.0 PAKET</t>
  </si>
  <si>
    <t>paket meeting pelatihan petugas lapangan ikp (kabkot)</t>
  </si>
  <si>
    <t>14.0 O-P</t>
  </si>
  <si>
    <t>transpot dan uang harian paket meeting pelatihan petugas lapangan ikp (kabkot)</t>
  </si>
  <si>
    <t>fullboard pelatihan petugas survei harga produsen</t>
  </si>
  <si>
    <t>perjalanan dan uang harian paket meeting pelatihan petugas survei harga produsen</t>
  </si>
  <si>
    <t>6.0 O-P</t>
  </si>
  <si>
    <t>pengawasan lapangan hpg kabupaten ke kecamatan</t>
  </si>
  <si>
    <t>pengawasan pelaksanaan kegiatan bps kabupaten ke kecamatan (transport kabupaten ke kecamatan ) survei harga pedesaan</t>
  </si>
  <si>
    <t>transport daerah sulit kabupaten</t>
  </si>
  <si>
    <t>pengawasan lapangan hp, hpj, hpt kabupaten ke kecamatan</t>
  </si>
  <si>
    <t>pengawasan lapangan hpbg kabupaten ke kecamatan</t>
  </si>
  <si>
    <t>Penyediaan dan Pengembangan Statistik Industri, Pertambangan dan Penggalian, Energi, dan Konstruksi</t>
  </si>
  <si>
    <t>2904.BMA</t>
  </si>
  <si>
    <t>2904.BMA.006</t>
  </si>
  <si>
    <t>PUBLIKASI/LAPORAN STATISTIK INDUSTRI, PERTAMBANGAN DAN PENGGALIAN, ENERGI, DAN KONSTRUKSI</t>
  </si>
  <si>
    <t>honor petugas pendataan lapangan survei ibs bulanan</t>
  </si>
  <si>
    <t>48.0 Dok</t>
  </si>
  <si>
    <t>honor petugas pendataan lapangan pemutakhiran dpa 2024</t>
  </si>
  <si>
    <t>27.0 DOK</t>
  </si>
  <si>
    <t>honor petugas pendataan lapangan survei ibs tahunan (stpim) 2024</t>
  </si>
  <si>
    <t>23.0 DOK</t>
  </si>
  <si>
    <t>honor petugas pendataan lapangan listing vimk24 tahunan</t>
  </si>
  <si>
    <t>27.0 BS</t>
  </si>
  <si>
    <t>honor petugas pendataan lapangan vimk24 tahunan</t>
  </si>
  <si>
    <t>115.0 DOK</t>
  </si>
  <si>
    <t>honor petugas pendataan lapangan listing vimk 2024 triwulanan</t>
  </si>
  <si>
    <t>7.0 BS</t>
  </si>
  <si>
    <t>honor petugas pendataan lapangan vimk23 triwulanan triwulan 4</t>
  </si>
  <si>
    <t>29.0 DOK</t>
  </si>
  <si>
    <t>honor petugas pendataan lapangan vimk24 triwulanan</t>
  </si>
  <si>
    <t>84.0 DOK</t>
  </si>
  <si>
    <t>honor petugas pendataan lapangan updating direktori perusahaan konstruksi (udp)</t>
  </si>
  <si>
    <t>50.0 DOK</t>
  </si>
  <si>
    <t>honor petugas pendataan lapangan survei konstruksi tahunan (skth)</t>
  </si>
  <si>
    <t>15.0 DOK</t>
  </si>
  <si>
    <t>honor petugas pendataan lapangan survei konstruksi triwulanan (sktr)</t>
  </si>
  <si>
    <t>12.0 DOK</t>
  </si>
  <si>
    <t>honor petugas pendataan lapangan updating direktori perusahaan pertambangan dan energi</t>
  </si>
  <si>
    <t>honor petugas pendataan lapangan survei non migas</t>
  </si>
  <si>
    <t>honor petugas pendataan lapangan survei captive power</t>
  </si>
  <si>
    <t>honor petugas pendataan lapangan survei penggalian badan hukum</t>
  </si>
  <si>
    <t>3.0 DOK</t>
  </si>
  <si>
    <t>honor petugas pendataan lapangan survei triwulanan penggalian badan hukum</t>
  </si>
  <si>
    <t>32.0 DOK</t>
  </si>
  <si>
    <t>honor petugas pendataan lapangan survei usaha penggalian</t>
  </si>
  <si>
    <t>43.0 DOK</t>
  </si>
  <si>
    <t>honor petugas pendataan lapangan survei air bersih</t>
  </si>
  <si>
    <t>transport lokal petugas pemeriksaan survei ibs bulanan</t>
  </si>
  <si>
    <t>4.0 OK</t>
  </si>
  <si>
    <t>transport lokal petugas pemeriksaan dokumen direktori perusahaan awal (dpa) industri manufaktur 2024</t>
  </si>
  <si>
    <t>transport lokal petugas pemeriksaan survei ibs tahunan (stpim) 2024</t>
  </si>
  <si>
    <t>transport lokal petugas pemeriksaan listing vimk24 tahunan</t>
  </si>
  <si>
    <t>transport lokal petugas pemeriksaan vimk 24 tahunan</t>
  </si>
  <si>
    <t>transport lokal petugas pemeriksaan listing vimk24 triwulanan</t>
  </si>
  <si>
    <t>transport lokal petugas pemeriksaan vimk23 triwulanan triwulan 4</t>
  </si>
  <si>
    <t>transport lokal petugas pemeriksaan vimk24 triwulanan</t>
  </si>
  <si>
    <t>6.0 O-K</t>
  </si>
  <si>
    <t>transport lokal petugas pemeriksaan updating direktori perusahaan konstruksi di kabupaten/kota</t>
  </si>
  <si>
    <t>transport lokal petugas pemeriksaan survei konstruksi tahunan (skth) di kabupaten/kota</t>
  </si>
  <si>
    <t>transport lokal petugas pemeriksaan survei konstruksi triwulanan (sktr) di kabupaten/kota</t>
  </si>
  <si>
    <t>transport lokal petugas pemeriksaan updating direktori perusahaan pertambangan dan energi</t>
  </si>
  <si>
    <t>transport lokal petugas pemeriksaan survei non migas</t>
  </si>
  <si>
    <t>transport lokal petugas pemeriksaan survei captive power</t>
  </si>
  <si>
    <t>transport lokal petugas pemeriksaan survei penggalian badan hukum</t>
  </si>
  <si>
    <t>transport lokal petugas pemeriksaan survei triwulanan penggalian badan hukum</t>
  </si>
  <si>
    <t>transport lokal petugas pemeriksaan survei usaha penggalian</t>
  </si>
  <si>
    <t>transport lokal petugas pemeriksaan survei triwulanan air bersih</t>
  </si>
  <si>
    <t>transport lokal pengutipan direktori perusahaan konstruksi ke instansi/opd/asosiasi di kabupaten/kota</t>
  </si>
  <si>
    <t>pengawasan pengumpulan data statistik industri, pertambangan dan penggalian, energi, dan konstruksi dari kabupaten ke kecamatan</t>
  </si>
  <si>
    <t>pengawasan pengolahan dan analisis imk tahunan dari kabupaten ke kecamatan</t>
  </si>
  <si>
    <t>Penyediaan dan Pengembangan Statistik Kependudukan dan Ketenagakerjaan</t>
  </si>
  <si>
    <t>2905.BMA</t>
  </si>
  <si>
    <t>2905.BMA.004</t>
  </si>
  <si>
    <t>PUBLIKASI/LAPORAN SAKERNAS</t>
  </si>
  <si>
    <t>honor petugas pendataan lapangan updating/listing BS (sakernas februari)</t>
  </si>
  <si>
    <t>14.0 DOk</t>
  </si>
  <si>
    <t>honor petugas pendataan lapangan (sakernas februari)</t>
  </si>
  <si>
    <t>140.0 DOK</t>
  </si>
  <si>
    <t>honor petugas pendataan lapangan updating listing BS (sakernas agustus)</t>
  </si>
  <si>
    <t>56.0 DOK</t>
  </si>
  <si>
    <t>honor petugas pengolahan updating listing (sakernas agustus)</t>
  </si>
  <si>
    <t>honor petugas pendataan lapangan (sakernas agustus)</t>
  </si>
  <si>
    <t>560.0 DOK</t>
  </si>
  <si>
    <t>honor petugas pengolahan (sakernas agustus)</t>
  </si>
  <si>
    <t>476.0 DOK</t>
  </si>
  <si>
    <t>honor petugas pemeriksaan updating sakernas februari non organik</t>
  </si>
  <si>
    <t>14.0 Dok</t>
  </si>
  <si>
    <t>honor petugas pemeriksaan pencacahan sakernas februari non organik</t>
  </si>
  <si>
    <t>140.0 Dok</t>
  </si>
  <si>
    <t>transport lokal petugas pemeriksaan lapangan (sakernas februari)</t>
  </si>
  <si>
    <t>transport lokal petugas ke blok sensus (sakernas februari)</t>
  </si>
  <si>
    <t>transport lokal petugas pemeriksaan lapangan updating listing (sakernas agustus)</t>
  </si>
  <si>
    <t>transport lokal petugas pemeriksaan lapangan (sakernas agustus)</t>
  </si>
  <si>
    <t>transport lokal petugas ke blok sensus (sakernas agustus)</t>
  </si>
  <si>
    <t>36.0 O-K</t>
  </si>
  <si>
    <t>perlengkapan petugas pelatihan sakernas februari</t>
  </si>
  <si>
    <t>Biaya paket data dan komunikasi pendataan lapangan sakernas februari</t>
  </si>
  <si>
    <t>perlengkapan petugas pelatihan sakernas agustus</t>
  </si>
  <si>
    <t>31.0 SET</t>
  </si>
  <si>
    <t>Biaya paket data dan komunikasi pendataan lapangan sakernas agustus</t>
  </si>
  <si>
    <t>31.0 Paket</t>
  </si>
  <si>
    <t>honor pengajar pelatihan petugas sakernas februari</t>
  </si>
  <si>
    <t>24.0 OJP</t>
  </si>
  <si>
    <t>honor pengajar pelatihan petugas sakernas agustus</t>
  </si>
  <si>
    <t>36.0 OJP</t>
  </si>
  <si>
    <t>pelatihan petugas sakernas februari</t>
  </si>
  <si>
    <t>13.0 O-P</t>
  </si>
  <si>
    <t>perjalanan pelatihan petugas sakernas februari</t>
  </si>
  <si>
    <t>11.0 O-P</t>
  </si>
  <si>
    <t>pelatihan petugas sakernas agustus</t>
  </si>
  <si>
    <t>33.0 O-P</t>
  </si>
  <si>
    <t>perjalanan pelatihan petugas sakernas agustus</t>
  </si>
  <si>
    <t>pengawasan kab/kota ke kecamatan sakernas februari</t>
  </si>
  <si>
    <t>pengawasan kab/kota ke kecamatan sakernas agustus</t>
  </si>
  <si>
    <t>transport lokal daerah sulit</t>
  </si>
  <si>
    <t>Penyediaan dan Pengembangan Statistik Kesejahteraan Rakyat</t>
  </si>
  <si>
    <t>2906.BMA</t>
  </si>
  <si>
    <t>2906.BMA.006</t>
  </si>
  <si>
    <t>PUBLIKASI/LAPORAN SUSENAS</t>
  </si>
  <si>
    <t>honor petugas pendataan lapangan updating listing (susenas msbp 2024)</t>
  </si>
  <si>
    <t>14.0 BS</t>
  </si>
  <si>
    <t>honor petugas pengolahan updating listing (susenas msbp 2024)</t>
  </si>
  <si>
    <t>14.0 DOK</t>
  </si>
  <si>
    <t>honor petugas pendataan lapangan (susenas msbp 2024)</t>
  </si>
  <si>
    <t>honor petugas pengolahan (susenas msbp 2024)</t>
  </si>
  <si>
    <t>128.0 DOK</t>
  </si>
  <si>
    <t>honor petugas pendataan lapangan updating listing (susenas maret 2024)</t>
  </si>
  <si>
    <t>62.0 BS</t>
  </si>
  <si>
    <t>honor petugas pengolahan updating listing (susenas maret 2024)</t>
  </si>
  <si>
    <t>62.0 DOK</t>
  </si>
  <si>
    <t>honor petugas pendataan lapangan (susenas maret 2024)</t>
  </si>
  <si>
    <t>620.0 DOK</t>
  </si>
  <si>
    <t>honor petugas pengolahan (susenas maret 2024)</t>
  </si>
  <si>
    <t>honor petugas pendataan lapangan (seruti triwulan 1 dan 3)</t>
  </si>
  <si>
    <t>280.0 DOK</t>
  </si>
  <si>
    <t>honor petugas pendataan lapangan (seruti triwulan 2 dan 4)</t>
  </si>
  <si>
    <t>honor petugas pengolahan (seruti triwulan 1 dan 3)</t>
  </si>
  <si>
    <t>257.0 DOK</t>
  </si>
  <si>
    <t>honor petugas pengolahan (seruti triwulan 2 dan 4)</t>
  </si>
  <si>
    <t>Honor Pemeriksaan updating listing susenas maret 2024</t>
  </si>
  <si>
    <t>48.0 BS</t>
  </si>
  <si>
    <t>Honor Pemeriksaan pendataan lapangan susenas maret 2024</t>
  </si>
  <si>
    <t>480.0 Dok</t>
  </si>
  <si>
    <t>transport lokal petugas pemeriksaan lapangan updating listing (susenas msbp 2024 organik)</t>
  </si>
  <si>
    <t>transport lokal petugas pemeriksaan lapangan (susenas msbp 2024 organik)</t>
  </si>
  <si>
    <t>transport lokal petugas pengolahan (susenas msbp 2024 organik)</t>
  </si>
  <si>
    <t>transport lokal petugas pendataan susenas msbp 2024</t>
  </si>
  <si>
    <t>14.0 O-K</t>
  </si>
  <si>
    <t>transport lokal pencacahan rentang harga</t>
  </si>
  <si>
    <t>transport lokal petugas pemeriksaan lapangan updating listing (susenas maret 2024 organik)</t>
  </si>
  <si>
    <t>transport lokal petugas pemeriksaan lapangan (susenas maret 2024 organik)</t>
  </si>
  <si>
    <t>70.0 O-K</t>
  </si>
  <si>
    <t>transport lokal petugas pendataan lapangan (susenas maret 2024)</t>
  </si>
  <si>
    <t>62.0 O-K</t>
  </si>
  <si>
    <t>transport lokal pencacahan rentang harga (susenas maret 2024)</t>
  </si>
  <si>
    <t>transport lokal petugas pemeriksaan lapangan (seruti triwulan 1 dan 3)</t>
  </si>
  <si>
    <t>18.0 O-K</t>
  </si>
  <si>
    <t>transport lokal petugas pemeriksaan lapangan (seruti triwulan 2 dan 4)</t>
  </si>
  <si>
    <t>transport lokal petugas pengolahan (seruti triwulan 1 dan 3)</t>
  </si>
  <si>
    <t>transport lokal petugas pengolahan (seruti triwulan 2 dan 4)</t>
  </si>
  <si>
    <t>perlengkapan petugas pelatihan petugas susenas maret 2024</t>
  </si>
  <si>
    <t>57.0 SET</t>
  </si>
  <si>
    <t>Biaya Paket Data Pelatihan Petugas Susenas Maret</t>
  </si>
  <si>
    <t>50.0 Paket</t>
  </si>
  <si>
    <t>honor pengajar pelatihan petugas susenas maret 2024 honor pengajar petugas</t>
  </si>
  <si>
    <t>54.0 OJP</t>
  </si>
  <si>
    <t>pelatihan petugas susenas maret 2024</t>
  </si>
  <si>
    <t>60.0 O-P</t>
  </si>
  <si>
    <t>perjalanan petugas susenas maret 2024</t>
  </si>
  <si>
    <t>51.0 O-P</t>
  </si>
  <si>
    <t>pengawasan lapangan dari bps kabupaten/kota ke kecamatan susenas msbp 2024</t>
  </si>
  <si>
    <t>pengawasan kab/kota ke kecamatan dalam rangka susenas maret 2024</t>
  </si>
  <si>
    <t>32.0 O-P</t>
  </si>
  <si>
    <t>pengawasan kab/kota ke kecamatan dalam rangka seruti</t>
  </si>
  <si>
    <t>Penyediaan dan Pengembangan Statistik Ketahanan Sosial</t>
  </si>
  <si>
    <t>2907.BMA</t>
  </si>
  <si>
    <t>2.0 layanan, dokumen, publikasi, Wilayah, Peta, Data, Lokasi</t>
  </si>
  <si>
    <t>2907.BMA.006</t>
  </si>
  <si>
    <t>PUBLIKASI/LAPORAN STATISTIK KETAHANAN SOSIAL</t>
  </si>
  <si>
    <t>honor petugas pendataan lapangan (SPAK)</t>
  </si>
  <si>
    <t>transport lokal petugas pendataan lapangan bps kabupaten/kota</t>
  </si>
  <si>
    <t>transport lokal petugas pemeriksaan lapangan (SPAK)</t>
  </si>
  <si>
    <t>5.0 O-K</t>
  </si>
  <si>
    <t>transport lokal petugas (SPAK)</t>
  </si>
  <si>
    <t>Cetak Laporan</t>
  </si>
  <si>
    <t>1.0 Set</t>
  </si>
  <si>
    <t>2907.BMA.008</t>
  </si>
  <si>
    <t>PUBLIKASI/LAPORAN PENDATAAN PODES</t>
  </si>
  <si>
    <t>honor petugas pendataan lapangan</t>
  </si>
  <si>
    <t>46.0 DOK</t>
  </si>
  <si>
    <t>transport lokal petugas pemeriksaan lapangan</t>
  </si>
  <si>
    <t>transport lokal petugas pendataan lapangan podes kabupaten</t>
  </si>
  <si>
    <t>transport lokal petugas pendataan lapangan podes kecamatan</t>
  </si>
  <si>
    <t>10.0 O-K</t>
  </si>
  <si>
    <t>transport lokal petugas pendataan lapangan desa</t>
  </si>
  <si>
    <t>82.0 O-K</t>
  </si>
  <si>
    <t>transport lokal petugas pemeriksaan lapangan desa</t>
  </si>
  <si>
    <t>15.0 O-K</t>
  </si>
  <si>
    <t>transport lokal petugas Organik pendataan lapangan podes desa dan Kecamatan</t>
  </si>
  <si>
    <t>24.0 OK</t>
  </si>
  <si>
    <t>perlengkapan fullboard pelatihan petugas</t>
  </si>
  <si>
    <t>16.0 SET</t>
  </si>
  <si>
    <t>biaya pulsa pelatihan petugas</t>
  </si>
  <si>
    <t>7.0 Paket</t>
  </si>
  <si>
    <t>Konsumsi Pelatihan / briefing Petugas Podes 2024</t>
  </si>
  <si>
    <t>16.0 OH</t>
  </si>
  <si>
    <t>honor pengajar pelatihan petugas</t>
  </si>
  <si>
    <t>fullboard pelatihan petugas</t>
  </si>
  <si>
    <t>16.0 O-P</t>
  </si>
  <si>
    <t>perjalanan (Uang Harian dan Transport) pelatihan petugas</t>
  </si>
  <si>
    <t>pengawasan kabupaten/kota ke desa</t>
  </si>
  <si>
    <t>transport daerah sulit</t>
  </si>
  <si>
    <t>Perjalanan Pra Pendataan Podes</t>
  </si>
  <si>
    <t>17.0 OK</t>
  </si>
  <si>
    <t>Penyediaan dan Pengembangan Statistik Keuangan, Teknologi Informasi, dan Pariwisata</t>
  </si>
  <si>
    <t>2908.BMA</t>
  </si>
  <si>
    <t>2908.BMA.004</t>
  </si>
  <si>
    <t>PUBLIKASI/LAPORAN STATISTIK KEUANGAN, TEKNOLOGI INFORMASI, DAN PARIWISATA</t>
  </si>
  <si>
    <t>honor petugas pendataan lapangan slk koperasi simpan pinjam</t>
  </si>
  <si>
    <t>honor petugas pendataan lapangan vdtw</t>
  </si>
  <si>
    <t>honor petugas pendataan lapangan vhts</t>
  </si>
  <si>
    <t>168.0 DOK</t>
  </si>
  <si>
    <t>honor petugas pendataan lapangan updating direktori jasa pariwisata cek lapangan</t>
  </si>
  <si>
    <t>honor petugas pendataan lapangan vhtl</t>
  </si>
  <si>
    <t>11.0 DOK</t>
  </si>
  <si>
    <t>honor petugas pendataan lapangan vrest umk</t>
  </si>
  <si>
    <t>2.0 Dok</t>
  </si>
  <si>
    <t>honor petugas pendataan lapangan survei karakteristik usaha</t>
  </si>
  <si>
    <t>honor petugas pendataan lapangan keuangan desa</t>
  </si>
  <si>
    <t>transport lokal petugas pemeriksaan lapangan slk koperasi simpan pinjam</t>
  </si>
  <si>
    <t>transport lokal petugas pemeriksaan lapangan vdtw</t>
  </si>
  <si>
    <t>transport lokal petugas pemeriksaan lapangan vhts</t>
  </si>
  <si>
    <t>transport lokal petugas updating direktori jasa pariwisata ke dinas/instansi</t>
  </si>
  <si>
    <t>transport lokal petugas pemeriksaan updating direktori survei usaha penyedia jasa pariwisata</t>
  </si>
  <si>
    <t>transport lokal petugas pemeriksaan vhtl</t>
  </si>
  <si>
    <t>transport lokal petugas pemeriksaan vrest umk</t>
  </si>
  <si>
    <t>transport lokal petugas pemeriksaan survei karakteristik usaha</t>
  </si>
  <si>
    <t>transport lokal petugas updating direktori bumd kabupaten/kota</t>
  </si>
  <si>
    <t>transport lokal petugas pemeriksaan dokumen survei bumd kabupaten/kota</t>
  </si>
  <si>
    <t>transport lokal petugas pemeriksaan data keuangan desa</t>
  </si>
  <si>
    <t>Paket data/pulsa pelatihan petugas survei karakteristik usaha</t>
  </si>
  <si>
    <t>2.0 Paket</t>
  </si>
  <si>
    <t>Biaya Pulsa/paket data pelatihan petugas survei bidang jasa pariwisata</t>
  </si>
  <si>
    <t>pengawasan vdtw, vhts, vhtl, vrest umk, vrest umb kabupaten ke kecamatan</t>
  </si>
  <si>
    <t>transport pelatihan petugas kegiatan survei pariwisata</t>
  </si>
  <si>
    <t>3.0 OK</t>
  </si>
  <si>
    <t>Penyediaan dan Pengembangan Statistik Peternakan, Perikanan, dan Kehutanan</t>
  </si>
  <si>
    <t>2909.BMA</t>
  </si>
  <si>
    <t>2909.BMA.005</t>
  </si>
  <si>
    <t>PUBLIKASI/LAPORAN STATISTIK PETERNAKAN, PERIKANAN, DAN KEHUTANAN YANG TERBIT TEPAT WAKTU</t>
  </si>
  <si>
    <t>honor petugas pendataan lapangan survei perusahaan kehutanan</t>
  </si>
  <si>
    <t>honor petugas pendataan lapangan pendaratan ikan tradisional</t>
  </si>
  <si>
    <t>28.0 DOK</t>
  </si>
  <si>
    <t>honor petugas pendataan lapangan perusahaan budidaya ikan</t>
  </si>
  <si>
    <t>honor petugas pendataan lapangan perusahaan peternakan</t>
  </si>
  <si>
    <t>honor petugas pendataan lapangan bulanan pemotongan ternak rph/tph</t>
  </si>
  <si>
    <t>transport lokal petugas pemeriksaan survei perusahaan kehutanan</t>
  </si>
  <si>
    <t>transport lokal petugas pemeriksaan dokumen pendaratan ikan tradisional</t>
  </si>
  <si>
    <t>transport lokal petugas pemeriksaan laporan tahunan perusahaan peternakan</t>
  </si>
  <si>
    <t>pengawasan statistik peternakan, perikanan, dan kehutanan dari kabupaten ke kecamatan</t>
  </si>
  <si>
    <t>transport lokal matching direktori perikanan dengan instansi terkait di kabupaten</t>
  </si>
  <si>
    <t>Penyediaan dan Pengembangan Statistik Tanaman Pangan, Hortikultura, dan Perkebunan</t>
  </si>
  <si>
    <t>2910.BMA</t>
  </si>
  <si>
    <t>2910.BMA.008</t>
  </si>
  <si>
    <t>PUBLIKASI/LAPORAN STATISTIK HORTIKULTURA DAN PERKEBUNAN</t>
  </si>
  <si>
    <t>honor petugas pendataan lapangan listing komstrat karet</t>
  </si>
  <si>
    <t>4.0 BS</t>
  </si>
  <si>
    <t>honor petugas pendataan lapangan komstrat karet</t>
  </si>
  <si>
    <t>honor petugas pendataan lapangan komstrat kelapa sawit</t>
  </si>
  <si>
    <t>40.0 Dok</t>
  </si>
  <si>
    <t>honor petugas pendataan lapangan survei usaha non rumah tangga (vn-horti)</t>
  </si>
  <si>
    <t>honor petugas pendataan lapangan sedapp online selama 12 bulan</t>
  </si>
  <si>
    <t>honor petugas pendataan lapangan updating dpp dutl</t>
  </si>
  <si>
    <t>22.0 DOK</t>
  </si>
  <si>
    <t>transport lokal petugas pemeriksaan lapangan listing komstrat Kelapa Sawit</t>
  </si>
  <si>
    <t>transport lokal petugas pemeriksaan lapangan listing komstrat karet</t>
  </si>
  <si>
    <t>2.0 OK</t>
  </si>
  <si>
    <t>transport lokal petugas pemeriksaan lapangan komstrat kelapa sawit</t>
  </si>
  <si>
    <t>transport lokal petugas pemeriksaan lapangan survei usaha non rumah tangga (vn-horti)</t>
  </si>
  <si>
    <t>transport lokal petugas pemeriksaan lapangan komstrat karet</t>
  </si>
  <si>
    <t>transport lokal petugas pemeriksaan lapangan survei pertanian hortikultura bulanan, triwulanan, tahunan</t>
  </si>
  <si>
    <t>transport lokal petugas pemeriksaan lapangan skb tahunan</t>
  </si>
  <si>
    <t>transport lokal petugas pemeriksaan lapangan sedapp online selama 12 bulan</t>
  </si>
  <si>
    <t>transport lokal petugas pemeriksaan lapangan updating dpp dutl</t>
  </si>
  <si>
    <t>perlengkapan fullboard pelatihan petugas komstrat di kab kota</t>
  </si>
  <si>
    <t>13.0 SET</t>
  </si>
  <si>
    <t>honor pengajar pelatihan petugas komstrat di kab kota</t>
  </si>
  <si>
    <t>fullboard pelatihan petugas komstrat di kab kota</t>
  </si>
  <si>
    <t>28.0 O-P</t>
  </si>
  <si>
    <t>perjalanan fullboard pelatihan petugas komstrat di kab kota</t>
  </si>
  <si>
    <t>pengawasan statistik hortikultura dan perkebunan dari kabupaten ke kecamatan</t>
  </si>
  <si>
    <t>3.0 O-P</t>
  </si>
  <si>
    <t>Transport Daerah Sulit</t>
  </si>
  <si>
    <t>2910.QMA</t>
  </si>
  <si>
    <t>3.0 layanan, dokumen, publikasi, Wilayah, Peta, Data, Lokasi</t>
  </si>
  <si>
    <t>2910.QMA.006</t>
  </si>
  <si>
    <t>PUBLIKASI/LAPORAN SENSUS PERTANIAN</t>
  </si>
  <si>
    <t>honor petugas pendataan lapangan updating listing (survei proling)</t>
  </si>
  <si>
    <t>86.0 BS</t>
  </si>
  <si>
    <t>honor petugas pengolahan updating (survei proling)</t>
  </si>
  <si>
    <t>86.0 Dok</t>
  </si>
  <si>
    <t>honor petugas lapangan sensus papi (survei proling)</t>
  </si>
  <si>
    <t>18.0 O-B</t>
  </si>
  <si>
    <t>honor pemeriksa lapangan sensus papi (survei survei proling)</t>
  </si>
  <si>
    <t>6.0 O-B</t>
  </si>
  <si>
    <t>honor petugas pengolahan sensus (survei survei proling)</t>
  </si>
  <si>
    <t>5.0 O-B</t>
  </si>
  <si>
    <t>honor Petugas Lapangan Sensus PAPI  (survei ekonomi pertanian)</t>
  </si>
  <si>
    <t>16.0 O-B</t>
  </si>
  <si>
    <t>honor Pemeriksaan Lapangan Sensus PAPI  (survei ekonomi pertanian)</t>
  </si>
  <si>
    <t>honor pengolahan lapangan sensus (survei ekonomi pertanian)</t>
  </si>
  <si>
    <t>4.0 O-B</t>
  </si>
  <si>
    <t>transport lokal honor pemeriksaan daftar listing/pemutahiran sls (survei proling)</t>
  </si>
  <si>
    <t>17.0 O-K</t>
  </si>
  <si>
    <t>Transport lokal pencacahan UTL dan perusahaan Proling</t>
  </si>
  <si>
    <t>33.0 OK</t>
  </si>
  <si>
    <t>Transport lokal pencacahan UTL dan perusahaan SEP</t>
  </si>
  <si>
    <t>13.0 O-K</t>
  </si>
  <si>
    <t>SURVEI EKONOMI PERTANIAN</t>
  </si>
  <si>
    <t>biaya paket data pelatihan petugas survei ekonomi pertanian</t>
  </si>
  <si>
    <t>38.0 Paket</t>
  </si>
  <si>
    <t>Perlengkapan Pelatihan Petugas survei ekonomi</t>
  </si>
  <si>
    <t>38.0 Set</t>
  </si>
  <si>
    <t>honor pengajar petugas papi survei ekonomi pertanian</t>
  </si>
  <si>
    <t>Asuransi Petugas</t>
  </si>
  <si>
    <t>22.0 O-B</t>
  </si>
  <si>
    <t>Pengadaan ATK</t>
  </si>
  <si>
    <t>pengawasan kab/kota ke kecamatan</t>
  </si>
  <si>
    <t>transport daerah sulit survei ekonomi pertanian</t>
  </si>
  <si>
    <t>transport lokal responden role playing pelatihan petugas</t>
  </si>
  <si>
    <t>Pengawasan kab/kota ke kecamatan yang dirasionalisasi</t>
  </si>
  <si>
    <t>2.0 OP</t>
  </si>
  <si>
    <t>fullboard pelatihan petugas papi kab kota survei ekonomi pertanian</t>
  </si>
  <si>
    <t>50.0 O-P</t>
  </si>
  <si>
    <t>Perjalanan pelatihan petugas papi kab kota survei ekonomi pertanian</t>
  </si>
  <si>
    <t>25.0 O-P</t>
  </si>
  <si>
    <t>PENGOLAHAN SURVEI EKONOMI PERTANIAN</t>
  </si>
  <si>
    <t>Transport Lokal Pelatihan Petugas Pengolahan Survei Ekonomi Pertanian</t>
  </si>
  <si>
    <t>SURVEI PRODUKSI DAN LINGKUNGAN PERTANIAN</t>
  </si>
  <si>
    <t>honor pengajar petugas papi survei produksi dan lingkungan pertanian</t>
  </si>
  <si>
    <t>penggandaan laporan kab kota hasil survei produksi dan lingkungan pertanian</t>
  </si>
  <si>
    <t>700.0 LMBR</t>
  </si>
  <si>
    <t>5.0 O-P</t>
  </si>
  <si>
    <t>fullboard pelatihan petugas papi di kab/kota survei proling</t>
  </si>
  <si>
    <t>63.0 O-P</t>
  </si>
  <si>
    <t>perjalanan fullboard pelatihan petugas papi di kab/kota survei proling</t>
  </si>
  <si>
    <t>21.0 O-P</t>
  </si>
  <si>
    <t>PENGOLAHAN SURVEI PRODUKSI DAN LINGKUNGAN PERTANIAN</t>
  </si>
  <si>
    <t>konsumsi rapat dalam rangka pelatihan pengolahan survei proling</t>
  </si>
  <si>
    <t>20.0 O-K</t>
  </si>
  <si>
    <t>honor pengajar petugas pengolahan survei proling</t>
  </si>
  <si>
    <t>transport lokal pelatihan petugas pengolahan survei proling</t>
  </si>
  <si>
    <t>2910.QMA.007</t>
  </si>
  <si>
    <t>PUBLIKASI/ LAPORAN STATISTIK TANAMAN PANGAN</t>
  </si>
  <si>
    <t>honor petugas pendataan lapangan updating ubinan palawija</t>
  </si>
  <si>
    <t>56.0 BS</t>
  </si>
  <si>
    <t>honor petugas pendataan lapangan ubinan padi dan ubinan palawija</t>
  </si>
  <si>
    <t>360.0 DOK</t>
  </si>
  <si>
    <t>penggantian biaya responden</t>
  </si>
  <si>
    <t>360.0 RT</t>
  </si>
  <si>
    <t>transport lokal petugas pemeriksaan lapangan listing ubinan palawija</t>
  </si>
  <si>
    <t>7.0 O-K</t>
  </si>
  <si>
    <t>transport lokal petugas pemeriksaan lapangan ubinan padi dan ubinan palawija</t>
  </si>
  <si>
    <t>transport lokal petugas (Rasionalisasi)</t>
  </si>
  <si>
    <t>pengawasan survei tanaman pangan/ubinan dari kabupaten ke kecamatan</t>
  </si>
  <si>
    <t>transport lokal evaluasi data tanaman pangan dengan diperta tk.ii</t>
  </si>
  <si>
    <t>transport daerah sulit kab/kota</t>
  </si>
  <si>
    <t>2910.QMA.010</t>
  </si>
  <si>
    <t>PUBLIKASI/ LAPORAN STATISTIK TANAMAN PANGAN TERINTEGRASI DENGAN KERANGKA SAMPEL AREA</t>
  </si>
  <si>
    <t>honor petugas pendataan lapangan updating ksa jagung</t>
  </si>
  <si>
    <t>432.0 DOK</t>
  </si>
  <si>
    <t>honor petugas pendataan lapangan updating ksa padi</t>
  </si>
  <si>
    <t>384.0 DOK</t>
  </si>
  <si>
    <t>transport lokal petugas pemeriksaan lapangan ksa padi</t>
  </si>
  <si>
    <t>21.0 O-K</t>
  </si>
  <si>
    <t>transport lokal petugas pemeriksaan lapangan ksa jagung</t>
  </si>
  <si>
    <t>perlengkapan pelatihan petugas ksa padi dan jagung</t>
  </si>
  <si>
    <t>konsumsi pelatihan petugas ksa padi dan jagung</t>
  </si>
  <si>
    <t>31.0 O-K</t>
  </si>
  <si>
    <t>honor pengajar petugas pelatihan ksa padi dan jagung</t>
  </si>
  <si>
    <t>Transport pelatihan petugas ksa padi dan jagung</t>
  </si>
  <si>
    <t>pengawasan pendataan ksa dari kabupaten ke kecamatan</t>
  </si>
  <si>
    <t>054.01.WA</t>
  </si>
  <si>
    <t>Program Dukungan Manajemen</t>
  </si>
  <si>
    <t>Dukungan Manajemen dan Pelaksanaan Tugas Teknis Lainnya BPS Provinsi</t>
  </si>
  <si>
    <t>2886.EBA</t>
  </si>
  <si>
    <t>Layanan Dukungan Manajemen Internal[Base Line]</t>
  </si>
  <si>
    <t>4.0 Layanan, Laporan, Dokumen, Rekomendasi, Unit</t>
  </si>
  <si>
    <t>2886.EBA.956</t>
  </si>
  <si>
    <t>Layanan BMN</t>
  </si>
  <si>
    <t>1.0 Layanan</t>
  </si>
  <si>
    <t>Tanpa Komponen</t>
  </si>
  <si>
    <t>Belanja Perjalanan Dinas Biasa</t>
  </si>
  <si>
    <t>Perjalanan  dalam rangka administrasi BMN</t>
  </si>
  <si>
    <t>2886.EBA.962</t>
  </si>
  <si>
    <t>Layanan Umum</t>
  </si>
  <si>
    <t>Konsumsi Rapat</t>
  </si>
  <si>
    <t>175.0 OK</t>
  </si>
  <si>
    <t>2886.EBA.994</t>
  </si>
  <si>
    <t>Layanan Perkantoran</t>
  </si>
  <si>
    <t>2.0 Layanan</t>
  </si>
  <si>
    <t>Gaji dan Tunjangan</t>
  </si>
  <si>
    <t>Belanja Gaji Pokok PNS</t>
  </si>
  <si>
    <t>belanja gaji pokok pns</t>
  </si>
  <si>
    <t>1.0 THN</t>
  </si>
  <si>
    <t>belanja gaji pokok pns (gaji ke 13)</t>
  </si>
  <si>
    <t>1.0 BLN</t>
  </si>
  <si>
    <t>belanja gaji pokok pns (gaji ke 14)</t>
  </si>
  <si>
    <t>Belanja Pembulatan Gaji PNS</t>
  </si>
  <si>
    <t>belanja pembulatan gaji pns</t>
  </si>
  <si>
    <t>belanja pembulatan gaji pns (gaji ke 13)</t>
  </si>
  <si>
    <t>belanja pembulatan gaji pns (gaji ke 14)</t>
  </si>
  <si>
    <t>Belanja Tunj. Suami/Istri PNS</t>
  </si>
  <si>
    <t>tunj.suami/istri pns</t>
  </si>
  <si>
    <t>tunj.suami/istri pns (gaji ke 13)</t>
  </si>
  <si>
    <t>tunj.suami/istri pns (gaji ke 14)</t>
  </si>
  <si>
    <t>Belanja Tunj. Anak PNS</t>
  </si>
  <si>
    <t>tunj. anak pns</t>
  </si>
  <si>
    <t>tunj. anak pns (gaji ke 13)</t>
  </si>
  <si>
    <t>tunj. anak pns (gaji ke 14)</t>
  </si>
  <si>
    <t>Belanja Tunj. Struktural PNS</t>
  </si>
  <si>
    <t>tunj. struktural pns</t>
  </si>
  <si>
    <t>tunj. struktural pns (gaji ke 13)</t>
  </si>
  <si>
    <t>tunj. struktural pns (gaji ke 14)</t>
  </si>
  <si>
    <t>Belanja Tunj. Fungsional PNS</t>
  </si>
  <si>
    <t>tunj. fungsional pns</t>
  </si>
  <si>
    <t>tunj. fungsional pns (gaji ke 13)</t>
  </si>
  <si>
    <t>tunj. fungsional pns (gaji ke 14)</t>
  </si>
  <si>
    <t>Belanja Tunj. PPh PNS</t>
  </si>
  <si>
    <t>tunj. pph pns</t>
  </si>
  <si>
    <t>tunj. pph pns (gaji ke 13)</t>
  </si>
  <si>
    <t>tunj. pph pns (gaji ke 14)</t>
  </si>
  <si>
    <t>Belanja Tunj. Beras PNS</t>
  </si>
  <si>
    <t>tunj. beras pns</t>
  </si>
  <si>
    <t>Belanja Uang Makan PNS</t>
  </si>
  <si>
    <t>uang makan pns</t>
  </si>
  <si>
    <t>Belanja Tunjangan Umum PNS</t>
  </si>
  <si>
    <t>tunj. umum pns</t>
  </si>
  <si>
    <t>tunj. umum pns (gaji ke 13)</t>
  </si>
  <si>
    <t>tunj. umum pns (gaji ke 14)</t>
  </si>
  <si>
    <t>Belanja Uang Lembur</t>
  </si>
  <si>
    <t>belanja uang lembur</t>
  </si>
  <si>
    <t>Belanja Pegawai (Tunjangan Khusus/Kegiatan/Kinerja)</t>
  </si>
  <si>
    <t>belanja pegawai (tunjangan khusus/kegiatan/kinerja)</t>
  </si>
  <si>
    <t>Operasional dan Pemeliharaan Kantor</t>
  </si>
  <si>
    <t>Belanja Keperluan Perkantoran</t>
  </si>
  <si>
    <t>biaya pengurusan surat kendaraaan eselon iii</t>
  </si>
  <si>
    <t>1.0 U/THN</t>
  </si>
  <si>
    <t>biaya pengurusan surat kendaraan roda 2</t>
  </si>
  <si>
    <t>keperluan sehari-hari perkantoran</t>
  </si>
  <si>
    <t>1.0 TAHUN</t>
  </si>
  <si>
    <t>pengiriman dokumen</t>
  </si>
  <si>
    <t>Belanja Honor Operasional Satuan Kerja</t>
  </si>
  <si>
    <t>bendahara</t>
  </si>
  <si>
    <t>12.0 O-B</t>
  </si>
  <si>
    <t>Kuasa Pengguna Anggaran</t>
  </si>
  <si>
    <t>Pejabat Pembuat Komitmen</t>
  </si>
  <si>
    <t>Pejabat Penandatanganan SPM</t>
  </si>
  <si>
    <t>Pejabat Pengelola Anggaran Belanja Pegawai (PPABP)</t>
  </si>
  <si>
    <t>Staf Pengelola Keuangan (Operator)</t>
  </si>
  <si>
    <t>Pejabat Pengadaan</t>
  </si>
  <si>
    <t>pengurus/penyimpan bmn</t>
  </si>
  <si>
    <t>Belanja Barang Operasional Lainnya</t>
  </si>
  <si>
    <t>Pakaian Seragam Pegawai (2 stel x 21 pegawai)</t>
  </si>
  <si>
    <t>42.0 Stel</t>
  </si>
  <si>
    <t>Honor Rohaniawan</t>
  </si>
  <si>
    <t>Belanja Peralatan dan Mesin - Ekstrakomptabel</t>
  </si>
  <si>
    <t>Pengadaan Meja-Kursi</t>
  </si>
  <si>
    <t>6.0 Buah</t>
  </si>
  <si>
    <t>Pengadaan Kipas Angin/Air Cooler/ dll</t>
  </si>
  <si>
    <t>2.0 Buah</t>
  </si>
  <si>
    <t>Alat Tulis Kantor (ATK)</t>
  </si>
  <si>
    <t>Computer Supplies</t>
  </si>
  <si>
    <t>Alat Rumah Tangga Kantor (ARK)</t>
  </si>
  <si>
    <t>Belanja Langganan Listrik</t>
  </si>
  <si>
    <t>biaya langganan listrik</t>
  </si>
  <si>
    <t>Belanja Langganan Telepon</t>
  </si>
  <si>
    <t>biaya langganan telepon</t>
  </si>
  <si>
    <t>Belanja Langganan Air</t>
  </si>
  <si>
    <t>Biaya Langganan Air</t>
  </si>
  <si>
    <t>Belanja Langganan Daya dan Jasa Lainnya</t>
  </si>
  <si>
    <t>koneksi internet</t>
  </si>
  <si>
    <t>Belanja Jasa Lainnya</t>
  </si>
  <si>
    <t>biaya jasa manajemen building</t>
  </si>
  <si>
    <t>Belanja Pemeliharaan Gedung dan Bangunan</t>
  </si>
  <si>
    <t>pemeliharaan halaman kantor</t>
  </si>
  <si>
    <t>1139.0 M2/TH</t>
  </si>
  <si>
    <t>pemeliharaan gedung kantor</t>
  </si>
  <si>
    <t>410.0 M2/TH</t>
  </si>
  <si>
    <t>Belanja Pemeliharaan Peralatan dan Mesin</t>
  </si>
  <si>
    <t>pemeliharaan air conditioner/AC</t>
  </si>
  <si>
    <t>7.0 U/THN</t>
  </si>
  <si>
    <t>pemeliharaan kendaraan operasional eselon III</t>
  </si>
  <si>
    <t>Pemeliharaan Kendaraan Dinas Roda-4 (Operasional)</t>
  </si>
  <si>
    <t>pemeliharaan kendaraan operasional roda 2</t>
  </si>
  <si>
    <t>pemeliharaan pc/laptop/notebook</t>
  </si>
  <si>
    <t>16.0 U/THN</t>
  </si>
  <si>
    <t>pemeliharaan printer</t>
  </si>
  <si>
    <t>11.0 U/THN</t>
  </si>
  <si>
    <t>pemeliharaan jaringan listrik, telepon dan komputer, cctv</t>
  </si>
  <si>
    <t>konsultasi kab/kota ke provinsi (transport perjalanan)</t>
  </si>
  <si>
    <t>2886.EBB</t>
  </si>
  <si>
    <t>Layanan Sarana dan Prasarana Internal[Base Line]</t>
  </si>
  <si>
    <t>1.0 Unit, m2, Paket</t>
  </si>
  <si>
    <t>2886.EBB.951</t>
  </si>
  <si>
    <t>Layanan Sarana Internal</t>
  </si>
  <si>
    <t>Pengadaan kendaraan bermotor</t>
  </si>
  <si>
    <t>Belanja Modal Peralatan dan Mesin</t>
  </si>
  <si>
    <t>Station Wagon</t>
  </si>
  <si>
    <t>1.0 UNIT</t>
  </si>
  <si>
    <t>SBM</t>
  </si>
  <si>
    <t>2886.EBD</t>
  </si>
  <si>
    <t>Layanan Manajemen Kinerja Internal[Base Line]</t>
  </si>
  <si>
    <t>4.0 Dokumen, Layanan, Laporan, Rekomendasi</t>
  </si>
  <si>
    <t>2886.EBD.952</t>
  </si>
  <si>
    <t>Layanan Perencanaan dan Penganggaran</t>
  </si>
  <si>
    <t>1.0 Dokumen</t>
  </si>
  <si>
    <t>Honor Narasumber Eselon III</t>
  </si>
  <si>
    <t>Perjalanan ke DJPB</t>
  </si>
  <si>
    <t>2886.EBD.955</t>
  </si>
  <si>
    <t>Layanan Manajemen Keuangan</t>
  </si>
  <si>
    <t>3.0 Dokumen</t>
  </si>
  <si>
    <t>Pengelola SAI tingkat satuan: koordinator</t>
  </si>
  <si>
    <t>Pengelola SAI tingkat satuan kerja: ketua</t>
  </si>
  <si>
    <t>Pengelola SAI tingkat satuan kerja: anggota</t>
  </si>
  <si>
    <t>24.0 O-B</t>
  </si>
  <si>
    <t>Perjalanan Pengelola Keuangan Ke KPPN</t>
  </si>
  <si>
    <t>12.0 OK</t>
  </si>
  <si>
    <t>Transport  Lokal</t>
  </si>
  <si>
    <t>null, 27 Mei 2024</t>
  </si>
  <si>
    <t>Catatan :</t>
  </si>
  <si>
    <t>1. U = Komponen Utama</t>
  </si>
  <si>
    <t>2. P = Komponen Penunjang</t>
  </si>
  <si>
    <t>3. * = Blokir</t>
  </si>
  <si>
    <t>null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</si>
</sst>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7">
    <numFmt numFmtId="164" formatCode="d/m/yyyy"/>
    <numFmt numFmtId="165" formatCode="m/d/yyyy\ h:mm:ss"/>
    <numFmt numFmtId="166" formatCode="&quot;Per &quot;dddd&quot;, &quot;d&quot; &quot;mmmm&quot; &quot;yyyy&quot;, &quot;hh&quot;:&quot;mm&quot;:&quot;ss"/>
    <numFmt numFmtId="167" formatCode="[$Rp]#,##0"/>
    <numFmt numFmtId="168" formatCode="yyyy\-mm\-dd"/>
    <numFmt numFmtId="169" formatCode="yyyy&quot;-&quot;mm&quot;-&quot;dd"/>
    <numFmt numFmtId="170" formatCode="dd/mm/yyyy"/>
  </numFmts>
  <fonts count="20">
    <font>
      <sz val="10"/>
      <color rgb="FF000000"/>
      <name val="Arial"/>
      <scheme val="minor"/>
    </font>
    <font>
      <b/>
      <sz val="10"/>
      <color theme="1"/>
      <name val="Arial"/>
      <scheme val="minor"/>
    </font>
    <font>
      <sz val="10"/>
      <color theme="1"/>
      <name val="Arial"/>
      <scheme val="minor"/>
    </font>
    <font>
      <sz val="10"/>
      <color theme="1"/>
      <name val="Arial"/>
    </font>
    <font>
      <sz val="9"/>
      <color rgb="FF000000"/>
      <name val="&quot;Google Sans Mono&quot;"/>
    </font>
    <font>
      <b/>
      <sz val="10"/>
      <color theme="1"/>
      <name val="Arial"/>
    </font>
    <font>
      <sz val="9"/>
      <color theme="1"/>
      <name val="Google Sans Mono"/>
    </font>
    <font>
      <sz val="10"/>
      <color theme="1"/>
      <name val="Roboto"/>
    </font>
    <font>
      <sz val="10"/>
      <color rgb="FFFFFFFF"/>
      <name val="Arial"/>
      <scheme val="minor"/>
    </font>
    <font>
      <b/>
      <sz val="11"/>
      <color theme="1"/>
      <name val="Arial"/>
      <scheme val="minor"/>
    </font>
    <font>
      <b/>
      <sz val="17"/>
      <color theme="1"/>
      <name val="Arial"/>
      <scheme val="minor"/>
    </font>
    <font>
      <b/>
      <sz val="15"/>
      <color theme="1"/>
      <name val="Roboto"/>
    </font>
    <font>
      <b/>
      <sz val="11"/>
      <color theme="1"/>
      <name val="Roboto"/>
    </font>
    <font>
      <b/>
      <sz val="10"/>
      <color theme="1"/>
      <name val="Roboto"/>
    </font>
    <font>
      <sz val="9"/>
      <color theme="1"/>
      <name val="&quot;Google Sans Mono&quot;"/>
    </font>
    <font>
      <sz val="8"/>
      <color theme="1"/>
      <name val="Arial"/>
      <scheme val="minor"/>
    </font>
    <font>
      <sz val="10"/>
      <color rgb="FFFFFFFF"/>
      <name val="Roboto"/>
    </font>
    <font>
      <sz val="8"/>
      <color theme="1"/>
      <name val="Roboto"/>
    </font>
    <font>
      <sz val="10"/>
      <color theme="0"/>
      <name val="Arial"/>
      <scheme val="minor"/>
    </font>
    <font>
      <u/>
      <sz val="10"/>
      <color rgb="FF0000FF"/>
      <name val="Arial"/>
    </font>
  </fonts>
  <fills count="13">
    <fill>
      <patternFill patternType="none"/>
    </fill>
    <fill>
      <patternFill patternType="gray125"/>
    </fill>
    <fill>
      <patternFill patternType="solid">
        <fgColor rgb="FFD9EAD3"/>
        <bgColor rgb="FFD9EAD3"/>
      </patternFill>
    </fill>
    <fill>
      <patternFill patternType="solid">
        <fgColor rgb="FFFFF2CC"/>
        <bgColor rgb="FFFFF2CC"/>
      </patternFill>
    </fill>
    <fill>
      <patternFill patternType="solid">
        <fgColor rgb="FFFFFFFF"/>
        <bgColor rgb="FFFFFFFF"/>
      </patternFill>
    </fill>
    <fill>
      <patternFill patternType="solid">
        <fgColor rgb="FFB6D7A8"/>
        <bgColor rgb="FFB6D7A8"/>
      </patternFill>
    </fill>
    <fill>
      <patternFill patternType="solid">
        <fgColor rgb="FFFCE5CD"/>
        <bgColor rgb="FFFCE5CD"/>
      </patternFill>
    </fill>
    <fill>
      <patternFill patternType="solid">
        <fgColor rgb="FFFFFF00"/>
        <bgColor rgb="FFFFFF00"/>
      </patternFill>
    </fill>
    <fill>
      <patternFill patternType="solid">
        <fgColor theme="6"/>
        <bgColor theme="6"/>
      </patternFill>
    </fill>
    <fill>
      <patternFill patternType="solid">
        <fgColor theme="7"/>
        <bgColor theme="7"/>
      </patternFill>
    </fill>
    <fill>
      <patternFill patternType="solid">
        <fgColor theme="9"/>
        <bgColor theme="9"/>
      </patternFill>
    </fill>
    <fill>
      <patternFill patternType="solid">
        <fgColor rgb="FF073763"/>
        <bgColor rgb="FF073763"/>
      </patternFill>
    </fill>
    <fill>
      <patternFill patternType="solid">
        <fgColor rgb="FFF6B26B"/>
        <bgColor rgb="FFF6B26B"/>
      </patternFill>
    </fill>
  </fills>
  <borders count="5">
    <border>
      <left/>
      <right/>
      <top/>
      <bottom/>
      <diagonal/>
    </border>
    <border>
      <left style="thin">
        <color rgb="FF000000"/>
      </left>
      <right style="thin">
        <color rgb="FF000000"/>
      </right>
      <top style="thin">
        <color rgb="FF000000"/>
      </top>
      <bottom/>
      <diagonal/>
    </border>
    <border>
      <left style="thin">
        <color rgb="FF000000"/>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bottom style="thin">
        <color rgb="FF000000"/>
      </bottom>
      <diagonal/>
    </border>
  </borders>
  <cellStyleXfs count="1">
    <xf numFmtId="0" fontId="0" fillId="0" borderId="0"/>
  </cellStyleXfs>
  <cellXfs count="128">
    <xf numFmtId="0" fontId="0" fillId="0" borderId="0" xfId="0" applyFont="1" applyAlignment="1"/>
    <xf numFmtId="0" fontId="1" fillId="2" borderId="0" xfId="0" applyFont="1" applyFill="1" applyAlignment="1"/>
    <xf numFmtId="0" fontId="1" fillId="0" borderId="0" xfId="0" applyFont="1" applyAlignment="1"/>
    <xf numFmtId="0" fontId="1" fillId="3" borderId="0" xfId="0" applyFont="1" applyFill="1" applyAlignment="1"/>
    <xf numFmtId="0" fontId="2" fillId="2" borderId="0" xfId="0" applyFont="1" applyFill="1" applyAlignment="1"/>
    <xf numFmtId="0" fontId="2" fillId="0" borderId="0" xfId="0" applyFont="1" applyAlignment="1"/>
    <xf numFmtId="0" fontId="3" fillId="2" borderId="0" xfId="0" applyFont="1" applyFill="1" applyAlignment="1"/>
    <xf numFmtId="164" fontId="2" fillId="0" borderId="0" xfId="0" applyNumberFormat="1" applyFont="1" applyAlignment="1"/>
    <xf numFmtId="0" fontId="4" fillId="4" borderId="0" xfId="0" applyFont="1" applyFill="1"/>
    <xf numFmtId="0" fontId="2" fillId="3" borderId="0" xfId="0" applyFont="1" applyFill="1" applyAlignment="1"/>
    <xf numFmtId="0" fontId="2" fillId="0" borderId="0" xfId="0" applyFont="1"/>
    <xf numFmtId="164" fontId="2" fillId="0" borderId="0" xfId="0" applyNumberFormat="1" applyFont="1"/>
    <xf numFmtId="14" fontId="2" fillId="0" borderId="0" xfId="0" applyNumberFormat="1" applyFont="1" applyAlignment="1"/>
    <xf numFmtId="14" fontId="2" fillId="0" borderId="0" xfId="0" applyNumberFormat="1" applyFont="1"/>
    <xf numFmtId="0" fontId="3" fillId="2" borderId="0" xfId="0" applyFont="1" applyFill="1" applyAlignment="1">
      <alignment horizontal="right"/>
    </xf>
    <xf numFmtId="0" fontId="5" fillId="0" borderId="0" xfId="0" applyFont="1" applyAlignment="1"/>
    <xf numFmtId="0" fontId="3" fillId="0" borderId="0" xfId="0" applyFont="1" applyAlignment="1"/>
    <xf numFmtId="164" fontId="3" fillId="0" borderId="0" xfId="0" applyNumberFormat="1" applyFont="1" applyAlignment="1">
      <alignment horizontal="right"/>
    </xf>
    <xf numFmtId="0" fontId="6" fillId="4" borderId="0" xfId="0" applyFont="1" applyFill="1" applyAlignment="1">
      <alignment horizontal="right"/>
    </xf>
    <xf numFmtId="0" fontId="3" fillId="3" borderId="0" xfId="0" applyFont="1" applyFill="1" applyAlignment="1">
      <alignment horizontal="right"/>
    </xf>
    <xf numFmtId="0" fontId="3" fillId="0" borderId="0" xfId="0" applyFont="1" applyAlignment="1">
      <alignment horizontal="right"/>
    </xf>
    <xf numFmtId="0" fontId="3" fillId="0" borderId="0" xfId="0" applyFont="1" applyAlignment="1"/>
    <xf numFmtId="0" fontId="3" fillId="2" borderId="0" xfId="0" applyFont="1" applyFill="1" applyAlignment="1"/>
    <xf numFmtId="0" fontId="2" fillId="2" borderId="0" xfId="0" applyFont="1" applyFill="1"/>
    <xf numFmtId="165" fontId="7" fillId="0" borderId="0" xfId="0" applyNumberFormat="1" applyFont="1"/>
    <xf numFmtId="0" fontId="7" fillId="0" borderId="0" xfId="0" applyFont="1"/>
    <xf numFmtId="0" fontId="7" fillId="2" borderId="0" xfId="0" applyFont="1" applyFill="1"/>
    <xf numFmtId="0" fontId="8" fillId="0" borderId="0" xfId="0" applyFont="1" applyAlignment="1"/>
    <xf numFmtId="0" fontId="1" fillId="2" borderId="1" xfId="0" applyFont="1" applyFill="1" applyBorder="1" applyAlignment="1">
      <alignment horizontal="center" vertical="center" wrapText="1"/>
    </xf>
    <xf numFmtId="0" fontId="1" fillId="2" borderId="2" xfId="0" applyFont="1" applyFill="1" applyBorder="1" applyAlignment="1">
      <alignment horizontal="center" vertical="center"/>
    </xf>
    <xf numFmtId="166" fontId="9" fillId="0" borderId="3" xfId="0" applyNumberFormat="1" applyFont="1" applyBorder="1" applyAlignment="1">
      <alignment horizontal="center" vertical="center" wrapText="1"/>
    </xf>
    <xf numFmtId="0" fontId="10" fillId="0" borderId="4" xfId="0" applyFont="1" applyBorder="1" applyAlignment="1">
      <alignment horizontal="center" vertical="center"/>
    </xf>
    <xf numFmtId="0" fontId="7" fillId="0" borderId="0" xfId="0" applyFont="1" applyAlignment="1">
      <alignment horizontal="center"/>
    </xf>
    <xf numFmtId="167" fontId="10" fillId="0" borderId="4" xfId="0" applyNumberFormat="1" applyFont="1" applyBorder="1" applyAlignment="1">
      <alignment horizontal="center" vertical="center"/>
    </xf>
    <xf numFmtId="0" fontId="9" fillId="0" borderId="4" xfId="0" applyFont="1" applyBorder="1" applyAlignment="1">
      <alignment horizontal="center" vertical="center" wrapText="1"/>
    </xf>
    <xf numFmtId="0" fontId="7" fillId="0" borderId="0" xfId="0" applyFont="1" applyAlignment="1">
      <alignment horizontal="center"/>
    </xf>
    <xf numFmtId="0" fontId="11" fillId="0" borderId="0" xfId="0" applyFont="1" applyAlignment="1">
      <alignment vertical="center"/>
    </xf>
    <xf numFmtId="0" fontId="7" fillId="0" borderId="0" xfId="0" applyFont="1" applyAlignment="1">
      <alignment vertical="center"/>
    </xf>
    <xf numFmtId="0" fontId="11" fillId="0" borderId="0" xfId="0" applyFont="1" applyAlignment="1">
      <alignment horizontal="center" vertical="center" wrapText="1"/>
    </xf>
    <xf numFmtId="0" fontId="4" fillId="4" borderId="0" xfId="0" applyFont="1" applyFill="1" applyAlignment="1"/>
    <xf numFmtId="0" fontId="2" fillId="2" borderId="0" xfId="0" applyFont="1" applyFill="1" applyAlignment="1">
      <alignment horizontal="center" vertical="center"/>
    </xf>
    <xf numFmtId="0" fontId="2" fillId="0" borderId="0" xfId="0" applyFont="1" applyAlignment="1">
      <alignment horizontal="center" vertical="center"/>
    </xf>
    <xf numFmtId="0" fontId="1" fillId="5" borderId="0" xfId="0" applyFont="1" applyFill="1" applyAlignment="1">
      <alignment horizontal="center" vertical="center" wrapText="1"/>
    </xf>
    <xf numFmtId="0" fontId="12" fillId="5" borderId="0" xfId="0" applyFont="1" applyFill="1" applyAlignment="1">
      <alignment horizontal="center" vertical="center" wrapText="1"/>
    </xf>
    <xf numFmtId="0" fontId="7" fillId="0" borderId="0" xfId="0" applyFont="1" applyAlignment="1">
      <alignment horizontal="center" vertical="center" wrapText="1"/>
    </xf>
    <xf numFmtId="0" fontId="13" fillId="5" borderId="0" xfId="0" applyFont="1" applyFill="1" applyAlignment="1">
      <alignment horizontal="center" vertical="center" wrapText="1"/>
    </xf>
    <xf numFmtId="0" fontId="7" fillId="0" borderId="0" xfId="0" applyFont="1" applyAlignment="1">
      <alignment horizontal="center" vertical="center"/>
    </xf>
    <xf numFmtId="0" fontId="7" fillId="2" borderId="0" xfId="0" applyFont="1" applyFill="1" applyAlignment="1">
      <alignment horizontal="center" vertical="center"/>
    </xf>
    <xf numFmtId="0" fontId="14" fillId="4" borderId="0" xfId="0" applyFont="1" applyFill="1"/>
    <xf numFmtId="0" fontId="15" fillId="0" borderId="0" xfId="0" applyFont="1" applyAlignment="1">
      <alignment horizontal="left" wrapText="1"/>
    </xf>
    <xf numFmtId="14" fontId="7" fillId="0" borderId="0" xfId="0" applyNumberFormat="1" applyFont="1" applyAlignment="1">
      <alignment horizontal="center" vertical="center"/>
    </xf>
    <xf numFmtId="0" fontId="15" fillId="0" borderId="0" xfId="0" applyFont="1" applyAlignment="1">
      <alignment horizontal="left"/>
    </xf>
    <xf numFmtId="164" fontId="7" fillId="0" borderId="0" xfId="0" applyNumberFormat="1" applyFont="1" applyAlignment="1">
      <alignment horizontal="center" vertical="center"/>
    </xf>
    <xf numFmtId="168" fontId="7" fillId="0" borderId="0" xfId="0" applyNumberFormat="1" applyFont="1" applyAlignment="1">
      <alignment horizontal="center" vertical="center"/>
    </xf>
    <xf numFmtId="0" fontId="15" fillId="0" borderId="0" xfId="0" applyFont="1"/>
    <xf numFmtId="0" fontId="8" fillId="0" borderId="0" xfId="0" applyFont="1"/>
    <xf numFmtId="0" fontId="16" fillId="0" borderId="0" xfId="0" applyFont="1"/>
    <xf numFmtId="0" fontId="17" fillId="0" borderId="0" xfId="0" applyFont="1"/>
    <xf numFmtId="0" fontId="1" fillId="6" borderId="0" xfId="0" applyFont="1" applyFill="1" applyAlignment="1">
      <alignment wrapText="1"/>
    </xf>
    <xf numFmtId="0" fontId="1" fillId="0" borderId="0" xfId="0" applyFont="1" applyAlignment="1">
      <alignment wrapText="1"/>
    </xf>
    <xf numFmtId="1" fontId="1" fillId="0" borderId="0" xfId="0" applyNumberFormat="1" applyFont="1" applyAlignment="1">
      <alignment wrapText="1"/>
    </xf>
    <xf numFmtId="167" fontId="1" fillId="0" borderId="0" xfId="0" applyNumberFormat="1" applyFont="1" applyAlignment="1">
      <alignment wrapText="1"/>
    </xf>
    <xf numFmtId="169" fontId="1" fillId="0" borderId="0" xfId="0" applyNumberFormat="1" applyFont="1" applyAlignment="1">
      <alignment wrapText="1"/>
    </xf>
    <xf numFmtId="0" fontId="2" fillId="0" borderId="0" xfId="0" applyFont="1" applyAlignment="1">
      <alignment wrapText="1"/>
    </xf>
    <xf numFmtId="0" fontId="2" fillId="6" borderId="0" xfId="0" applyFont="1" applyFill="1" applyAlignment="1"/>
    <xf numFmtId="0" fontId="2" fillId="6" borderId="0" xfId="0" applyFont="1" applyFill="1"/>
    <xf numFmtId="1" fontId="2" fillId="0" borderId="0" xfId="0" applyNumberFormat="1" applyFont="1"/>
    <xf numFmtId="169" fontId="2" fillId="0" borderId="0" xfId="0" applyNumberFormat="1" applyFont="1"/>
    <xf numFmtId="169" fontId="2" fillId="0" borderId="0" xfId="0" applyNumberFormat="1" applyFont="1" applyAlignment="1"/>
    <xf numFmtId="0" fontId="2" fillId="6" borderId="0" xfId="0" applyFont="1" applyFill="1"/>
    <xf numFmtId="167" fontId="2" fillId="0" borderId="0" xfId="0" applyNumberFormat="1" applyFont="1"/>
    <xf numFmtId="167" fontId="2" fillId="0" borderId="0" xfId="0" applyNumberFormat="1" applyFont="1" applyAlignment="1"/>
    <xf numFmtId="1" fontId="2" fillId="0" borderId="0" xfId="0" applyNumberFormat="1" applyFont="1" applyAlignment="1"/>
    <xf numFmtId="0" fontId="3" fillId="0" borderId="0" xfId="0" applyFont="1" applyAlignment="1"/>
    <xf numFmtId="170" fontId="2" fillId="0" borderId="0" xfId="0" applyNumberFormat="1" applyFont="1" applyAlignment="1"/>
    <xf numFmtId="0" fontId="2" fillId="0" borderId="0" xfId="0" quotePrefix="1" applyFont="1" applyAlignment="1"/>
    <xf numFmtId="11" fontId="2" fillId="0" borderId="0" xfId="0" applyNumberFormat="1" applyFont="1" applyAlignment="1"/>
    <xf numFmtId="49" fontId="1" fillId="0" borderId="0" xfId="0" applyNumberFormat="1" applyFont="1"/>
    <xf numFmtId="0" fontId="1" fillId="0" borderId="0" xfId="0" applyFont="1"/>
    <xf numFmtId="1" fontId="1" fillId="0" borderId="0" xfId="0" applyNumberFormat="1" applyFont="1"/>
    <xf numFmtId="167" fontId="1" fillId="0" borderId="0" xfId="0" applyNumberFormat="1" applyFont="1"/>
    <xf numFmtId="169" fontId="1" fillId="0" borderId="0" xfId="0" applyNumberFormat="1" applyFont="1"/>
    <xf numFmtId="170" fontId="2" fillId="0" borderId="0" xfId="0" applyNumberFormat="1" applyFont="1"/>
    <xf numFmtId="49" fontId="2" fillId="0" borderId="0" xfId="0" applyNumberFormat="1" applyFont="1"/>
    <xf numFmtId="167" fontId="1" fillId="3" borderId="0" xfId="0" applyNumberFormat="1" applyFont="1" applyFill="1" applyAlignment="1"/>
    <xf numFmtId="167" fontId="2" fillId="3" borderId="0" xfId="0" applyNumberFormat="1" applyFont="1" applyFill="1" applyAlignment="1"/>
    <xf numFmtId="164" fontId="2" fillId="3" borderId="0" xfId="0" applyNumberFormat="1" applyFont="1" applyFill="1" applyAlignment="1"/>
    <xf numFmtId="164" fontId="2" fillId="3" borderId="0" xfId="0" applyNumberFormat="1" applyFont="1" applyFill="1"/>
    <xf numFmtId="167" fontId="2" fillId="7" borderId="0" xfId="0" applyNumberFormat="1" applyFont="1" applyFill="1" applyAlignment="1"/>
    <xf numFmtId="167" fontId="2" fillId="8" borderId="0" xfId="0" applyNumberFormat="1" applyFont="1" applyFill="1" applyAlignment="1"/>
    <xf numFmtId="167" fontId="2" fillId="9" borderId="0" xfId="0" applyNumberFormat="1" applyFont="1" applyFill="1" applyAlignment="1"/>
    <xf numFmtId="167" fontId="2" fillId="10" borderId="0" xfId="0" applyNumberFormat="1" applyFont="1" applyFill="1" applyAlignment="1"/>
    <xf numFmtId="167" fontId="18" fillId="11" borderId="0" xfId="0" applyNumberFormat="1" applyFont="1" applyFill="1" applyAlignment="1"/>
    <xf numFmtId="14" fontId="2" fillId="3" borderId="0" xfId="0" applyNumberFormat="1" applyFont="1" applyFill="1"/>
    <xf numFmtId="167" fontId="2" fillId="12" borderId="0" xfId="0" applyNumberFormat="1" applyFont="1" applyFill="1" applyAlignment="1"/>
    <xf numFmtId="14" fontId="2" fillId="3" borderId="0" xfId="0" applyNumberFormat="1" applyFont="1" applyFill="1" applyAlignment="1"/>
    <xf numFmtId="0" fontId="2" fillId="3" borderId="0" xfId="0" applyFont="1" applyFill="1"/>
    <xf numFmtId="170" fontId="2" fillId="3" borderId="0" xfId="0" applyNumberFormat="1" applyFont="1" applyFill="1" applyAlignment="1"/>
    <xf numFmtId="170" fontId="2" fillId="3" borderId="0" xfId="0" applyNumberFormat="1" applyFont="1" applyFill="1"/>
    <xf numFmtId="0" fontId="2" fillId="3" borderId="0" xfId="0" applyFont="1" applyFill="1"/>
    <xf numFmtId="168" fontId="2" fillId="3" borderId="0" xfId="0" applyNumberFormat="1" applyFont="1" applyFill="1" applyAlignment="1"/>
    <xf numFmtId="168" fontId="2" fillId="3" borderId="0" xfId="0" applyNumberFormat="1" applyFont="1" applyFill="1"/>
    <xf numFmtId="167" fontId="2" fillId="3" borderId="0" xfId="0" applyNumberFormat="1" applyFont="1" applyFill="1"/>
    <xf numFmtId="0" fontId="4" fillId="4" borderId="0" xfId="0" applyFont="1" applyFill="1"/>
    <xf numFmtId="0" fontId="2" fillId="0" borderId="0" xfId="0" applyFont="1"/>
    <xf numFmtId="168" fontId="2" fillId="0" borderId="0" xfId="0" applyNumberFormat="1" applyFont="1" applyAlignment="1"/>
    <xf numFmtId="0" fontId="1" fillId="2" borderId="0" xfId="0" applyFont="1" applyFill="1" applyAlignment="1">
      <alignment horizontal="center" vertical="center" wrapText="1"/>
    </xf>
    <xf numFmtId="10" fontId="10" fillId="2" borderId="0" xfId="0" applyNumberFormat="1" applyFont="1" applyFill="1" applyAlignment="1">
      <alignment horizontal="center" vertical="center"/>
    </xf>
    <xf numFmtId="167" fontId="1" fillId="2" borderId="0" xfId="0" applyNumberFormat="1" applyFont="1" applyFill="1" applyAlignment="1">
      <alignment horizontal="center" vertical="center"/>
    </xf>
    <xf numFmtId="0" fontId="1" fillId="2" borderId="0" xfId="0" applyFont="1" applyFill="1" applyAlignment="1">
      <alignment horizontal="center" vertical="center"/>
    </xf>
    <xf numFmtId="3" fontId="2" fillId="0" borderId="0" xfId="0" applyNumberFormat="1" applyFont="1"/>
    <xf numFmtId="167" fontId="1" fillId="2" borderId="0" xfId="0" applyNumberFormat="1" applyFont="1" applyFill="1" applyAlignment="1"/>
    <xf numFmtId="0" fontId="2" fillId="0" borderId="0" xfId="0" applyFont="1" applyAlignment="1">
      <alignment horizontal="center"/>
    </xf>
    <xf numFmtId="0" fontId="2" fillId="0" borderId="0" xfId="0" applyFont="1" applyAlignment="1">
      <alignment horizontal="center"/>
    </xf>
    <xf numFmtId="49" fontId="1" fillId="0" borderId="0" xfId="0" applyNumberFormat="1" applyFont="1" applyAlignment="1"/>
    <xf numFmtId="49" fontId="2" fillId="0" borderId="0" xfId="0" applyNumberFormat="1" applyFont="1" applyAlignment="1"/>
    <xf numFmtId="1" fontId="1" fillId="0" borderId="0" xfId="0" applyNumberFormat="1" applyFont="1" applyAlignment="1">
      <alignment vertical="center"/>
    </xf>
    <xf numFmtId="0" fontId="1" fillId="0" borderId="0" xfId="0" applyFont="1" applyAlignment="1">
      <alignment vertical="center"/>
    </xf>
    <xf numFmtId="0" fontId="2" fillId="0" borderId="0" xfId="0" applyFont="1" applyAlignment="1">
      <alignment vertical="center"/>
    </xf>
    <xf numFmtId="0" fontId="2" fillId="0" borderId="0" xfId="0" applyFont="1" applyAlignment="1">
      <alignment vertical="center"/>
    </xf>
    <xf numFmtId="1" fontId="1" fillId="0" borderId="0" xfId="0" applyNumberFormat="1" applyFont="1" applyAlignment="1"/>
    <xf numFmtId="1" fontId="2" fillId="0" borderId="0" xfId="0" applyNumberFormat="1" applyFont="1"/>
    <xf numFmtId="0" fontId="19" fillId="0" borderId="0" xfId="0" applyFont="1" applyAlignment="1"/>
    <xf numFmtId="3" fontId="2" fillId="0" borderId="0" xfId="0" applyNumberFormat="1" applyFont="1" applyAlignment="1"/>
    <xf numFmtId="1" fontId="1" fillId="6" borderId="0" xfId="0" applyNumberFormat="1" applyFont="1" applyFill="1" applyAlignment="1">
      <alignment wrapText="1"/>
    </xf>
    <xf numFmtId="1" fontId="2" fillId="6" borderId="0" xfId="0" applyNumberFormat="1" applyFont="1" applyFill="1" applyAlignment="1"/>
    <xf numFmtId="1" fontId="2" fillId="6" borderId="0" xfId="0" applyNumberFormat="1" applyFont="1" applyFill="1"/>
    <xf numFmtId="1" fontId="0" fillId="0" borderId="0" xfId="0" applyNumberFormat="1" applyFont="1" applyAlignment="1"/>
  </cellXfs>
  <cellStyles count="1">
    <cellStyle name="Normal" xfId="0" builtinId="0"/>
  </cellStyles>
  <dxfs count="2">
    <dxf>
      <fill>
        <patternFill patternType="solid">
          <fgColor rgb="FFD9EAD3"/>
          <bgColor rgb="FFD9EAD3"/>
        </patternFill>
      </fill>
    </dxf>
    <dxf>
      <fill>
        <patternFill patternType="solid">
          <fgColor rgb="FFEA9999"/>
          <bgColor rgb="FFEA9999"/>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aredStrings" Target="sharedStrings.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19.xml.rels><?xml version="1.0" encoding="UTF-8" standalone="yes"?>
<Relationships xmlns="http://schemas.openxmlformats.org/package/2006/relationships"><Relationship Id="rId1" Type="http://schemas.openxmlformats.org/officeDocument/2006/relationships/hyperlink" Target="http://054.01.gg/"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W905"/>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ColWidth="12.6328125" defaultRowHeight="15.75" customHeight="1"/>
  <cols>
    <col min="3" max="3" width="18.26953125" customWidth="1"/>
    <col min="4" max="4" width="40.36328125" customWidth="1"/>
    <col min="5" max="5" width="29.7265625" customWidth="1"/>
    <col min="6" max="6" width="21.36328125" customWidth="1"/>
    <col min="7" max="7" width="19.6328125" customWidth="1"/>
    <col min="8" max="8" width="12.6328125" hidden="1"/>
    <col min="9" max="9" width="19.453125" hidden="1" customWidth="1"/>
    <col min="10" max="10" width="20.7265625" hidden="1" customWidth="1"/>
    <col min="11" max="11" width="12.6328125" hidden="1"/>
    <col min="12" max="12" width="21.453125" hidden="1" customWidth="1"/>
    <col min="13" max="14" width="12.6328125" hidden="1"/>
    <col min="15" max="15" width="17.90625" hidden="1" customWidth="1"/>
    <col min="16" max="16" width="18.08984375" hidden="1" customWidth="1"/>
    <col min="17" max="18" width="12.6328125" hidden="1"/>
    <col min="19" max="19" width="18.7265625" hidden="1" customWidth="1"/>
    <col min="20" max="20" width="12.6328125" hidden="1"/>
    <col min="21" max="21" width="18.7265625" hidden="1" customWidth="1"/>
    <col min="22" max="22" width="17.453125" hidden="1" customWidth="1"/>
    <col min="23" max="23" width="12.6328125" hidden="1"/>
  </cols>
  <sheetData>
    <row r="1" spans="1:23">
      <c r="A1" s="1" t="s">
        <v>0</v>
      </c>
      <c r="B1" s="2" t="s">
        <v>1</v>
      </c>
      <c r="C1" s="2" t="s">
        <v>2</v>
      </c>
      <c r="D1" s="1" t="s">
        <v>3</v>
      </c>
      <c r="E1" s="2" t="s">
        <v>4</v>
      </c>
      <c r="F1" s="2" t="s">
        <v>5</v>
      </c>
      <c r="G1" s="2" t="s">
        <v>6</v>
      </c>
      <c r="H1" s="2" t="s">
        <v>7</v>
      </c>
      <c r="I1" s="2" t="s">
        <v>8</v>
      </c>
      <c r="J1" s="3" t="s">
        <v>9</v>
      </c>
      <c r="K1" s="2" t="s">
        <v>10</v>
      </c>
      <c r="L1" s="2" t="s">
        <v>11</v>
      </c>
      <c r="M1" s="2" t="s">
        <v>12</v>
      </c>
      <c r="N1" s="2" t="s">
        <v>13</v>
      </c>
      <c r="O1" s="2" t="s">
        <v>14</v>
      </c>
      <c r="P1" s="2" t="s">
        <v>15</v>
      </c>
      <c r="Q1" s="2" t="s">
        <v>16</v>
      </c>
      <c r="R1" s="1" t="s">
        <v>17</v>
      </c>
      <c r="S1" s="2" t="s">
        <v>18</v>
      </c>
      <c r="T1" s="2" t="s">
        <v>19</v>
      </c>
      <c r="U1" s="2" t="s">
        <v>20</v>
      </c>
      <c r="V1" s="2" t="s">
        <v>21</v>
      </c>
      <c r="W1" s="2" t="s">
        <v>22</v>
      </c>
    </row>
    <row r="2" spans="1:23" ht="15.75" customHeight="1">
      <c r="A2" s="4">
        <v>610422030001</v>
      </c>
      <c r="B2" s="5" t="str">
        <f t="array" ref="B2">IF(W2=1,INDEX('Database Mitra'!$H$2:$H905,MATCH(A2,'Database Mitra'!AK$2:AK905,0)),"")</f>
        <v>Pitra,SP</v>
      </c>
      <c r="C2" s="5" t="e">
        <f t="array" ref="C2">IF(W2=1,INDEX('Database Mitra'!$E$2:$E905,MATCH(A2,'Database Mitra'!AK$2:AK905,0)),"")</f>
        <v>#VALUE!</v>
      </c>
      <c r="D2" s="6" t="s">
        <v>23</v>
      </c>
      <c r="E2" s="5" t="str">
        <f t="array" ref="E2">IF(W2=1,INDEX('Input Kegiatan'!B$2:B905,MATCH($D2,'Input Kegiatan'!$A$2:$A905,0)),"")</f>
        <v>Sakernas Februari 2024</v>
      </c>
      <c r="F2" s="7">
        <f t="array" ref="F2">IF(W2=1,INDEX('Input Kegiatan'!D$2:D905,MATCH($D2,'Input Kegiatan'!$A$2:$A905,0)),"")</f>
        <v>45316</v>
      </c>
      <c r="G2" s="7">
        <f t="array" ref="G2">IF(W2=1,INDEX('Input Kegiatan'!E$2:E905,MATCH($D2,'Input Kegiatan'!$A$2:$A905,0)),"")</f>
        <v>45359</v>
      </c>
      <c r="H2" s="5" t="str">
        <f t="array" ref="H2">IF(W2=1,INDEX(Honor!$H$2:$H905,MATCH($D2&amp;"-"&amp;R2,Honor!$K$2:$K905,0)),"")</f>
        <v>Dokumen</v>
      </c>
      <c r="I2" s="8">
        <f>IF(W2=1,SUMIFS(Honor!$I$2:$I905,Honor!$K$2:$K905,$D2&amp;"-"&amp;R2),"")</f>
        <v>78000</v>
      </c>
      <c r="J2" s="9">
        <v>40</v>
      </c>
      <c r="K2" s="10">
        <f t="shared" ref="K2:K905" si="0">IF(W2=1,J2*I2,"")</f>
        <v>3120000</v>
      </c>
      <c r="L2" s="11">
        <f t="shared" ref="L2:L905" si="1">IF(W2=1,G2,"")</f>
        <v>45359</v>
      </c>
      <c r="M2" s="10">
        <f ca="1">IF(W2=1,IF(AND(U2&lt;2,INT(V2)&lt;='Batasan Honor'!$B$2),1,0),"")</f>
        <v>1</v>
      </c>
      <c r="O2" s="10">
        <f t="shared" ref="O2:O905" si="2">IF(W2=1,MONTH(L2),"")</f>
        <v>3</v>
      </c>
      <c r="P2" s="10">
        <f t="shared" ref="P2:P905" si="3">IF(W2=1,YEAR(L2),"")</f>
        <v>2024</v>
      </c>
      <c r="R2" s="4" t="s">
        <v>24</v>
      </c>
      <c r="S2" s="10" t="str">
        <f t="shared" ref="S2:S905" si="4">IF(W2=1,CONCATENATE(A2,",",YEAR(G2),",",MONTH(G2)),"")</f>
        <v>610422030001,2024,3</v>
      </c>
      <c r="U2" s="10">
        <f ca="1">IFERROR(__xludf.DUMMYFUNCTION("if(W2=1,COUNTIFS(FILTER($H$2:$H905,$H$2:$H905=""OB"",$S$2:$S905=S2),""OB""),"""")"),0)</f>
        <v>0</v>
      </c>
      <c r="V2" s="10">
        <f ca="1">IFERROR(__xludf.DUMMYFUNCTION("IF(OR(ISNA(SUM(FILTER($K$2:$K905,$A$2:$A905=A2,$S$2:$S905=S2,$H$2:$H905&lt;&gt;""OB""))),W2&lt;&gt;1),"""",SUM(FILTER($K$2:$K905,$A$2:$A905=A2,$S$2:$S905=S2,$H$2:$H905&lt;&gt;""OB"")))"),3120000)</f>
        <v>3120000</v>
      </c>
      <c r="W2" s="10">
        <f t="shared" ref="W2:W905" si="5">IF(A2="","",1)</f>
        <v>1</v>
      </c>
    </row>
    <row r="3" spans="1:23" ht="15.75" customHeight="1">
      <c r="A3" s="4">
        <v>610422040056</v>
      </c>
      <c r="B3" s="5" t="str">
        <f t="array" ref="B3">IF(W3=1,INDEX('Database Mitra'!$H$2:$H905,MATCH(A3,'Database Mitra'!AK$2:AK905,0)),"")</f>
        <v>Wandi Syafari</v>
      </c>
      <c r="C3" s="5" t="e">
        <f t="array" ref="C3">IF(W3=1,INDEX('Database Mitra'!$E$2:$E905,MATCH(A3,'Database Mitra'!AK$2:AK905,0)),"")</f>
        <v>#VALUE!</v>
      </c>
      <c r="D3" s="4" t="s">
        <v>23</v>
      </c>
      <c r="E3" s="5" t="str">
        <f t="array" ref="E3">IF(W3=1,INDEX('Input Kegiatan'!B$2:B905,MATCH($D3,'Input Kegiatan'!$A$2:$A905,0)),"")</f>
        <v>Sakernas Februari 2024</v>
      </c>
      <c r="F3" s="7">
        <f t="array" ref="F3">IF(W3=1,INDEX('Input Kegiatan'!D$2:D905,MATCH($D3,'Input Kegiatan'!$A$2:$A905,0)),"")</f>
        <v>45316</v>
      </c>
      <c r="G3" s="7">
        <f t="array" ref="G3">IF(W3=1,INDEX('Input Kegiatan'!E$2:E905,MATCH($D3,'Input Kegiatan'!$A$2:$A905,0)),"")</f>
        <v>45359</v>
      </c>
      <c r="H3" s="5" t="str">
        <f t="array" ref="H3">IF(W3=1,INDEX(Honor!$H$2:$H905,MATCH($D3&amp;"-"&amp;R3,Honor!$K$2:$K905,0)),"")</f>
        <v>Dokumen</v>
      </c>
      <c r="I3" s="8">
        <f>IF(W3=1,SUMIFS(Honor!$I$2:$I905,Honor!$K$2:$K905,$D3&amp;"-"&amp;R3),"")</f>
        <v>78000</v>
      </c>
      <c r="J3" s="9">
        <v>60</v>
      </c>
      <c r="K3" s="10">
        <f t="shared" si="0"/>
        <v>4680000</v>
      </c>
      <c r="L3" s="11">
        <f t="shared" si="1"/>
        <v>45359</v>
      </c>
      <c r="M3" s="10">
        <f ca="1">IF(W3=1,IF(AND(U3&lt;2,INT(V3)&lt;='Batasan Honor'!$B$2),1,0),"")</f>
        <v>1</v>
      </c>
      <c r="O3" s="10">
        <f t="shared" si="2"/>
        <v>3</v>
      </c>
      <c r="P3" s="10">
        <f t="shared" si="3"/>
        <v>2024</v>
      </c>
      <c r="R3" s="4" t="s">
        <v>24</v>
      </c>
      <c r="S3" s="10" t="str">
        <f t="shared" si="4"/>
        <v>610422040056,2024,3</v>
      </c>
      <c r="U3" s="10">
        <f ca="1">IFERROR(__xludf.DUMMYFUNCTION("if(W3=1,COUNTIFS(FILTER($H$2:$H905,$H$2:$H905=""OB"",$S$2:$S905=S3),""OB""),"""")"),0)</f>
        <v>0</v>
      </c>
      <c r="V3" s="10">
        <f ca="1">IFERROR(__xludf.DUMMYFUNCTION("IF(OR(ISNA(SUM(FILTER($K$2:$K905,$A$2:$A905=A3,$S$2:$S905=S3,$H$2:$H905&lt;&gt;""OB""))),W3&lt;&gt;1),"""",SUM(FILTER($K$2:$K905,$A$2:$A905=A3,$S$2:$S905=S3,$H$2:$H905&lt;&gt;""OB"")))"),4680000)</f>
        <v>4680000</v>
      </c>
      <c r="W3" s="10">
        <f t="shared" si="5"/>
        <v>1</v>
      </c>
    </row>
    <row r="4" spans="1:23" ht="15.75" customHeight="1">
      <c r="A4" s="4">
        <v>610423030006</v>
      </c>
      <c r="B4" s="5" t="str">
        <f t="array" ref="B4">IF(W4=1,INDEX('Database Mitra'!$H$2:$H905,MATCH(A4,'Database Mitra'!AK$2:AK905,0)),"")</f>
        <v>DESTA DARA AYU LESTARI, S.Pd</v>
      </c>
      <c r="C4" s="5" t="e">
        <f t="array" ref="C4">IF(W4=1,INDEX('Database Mitra'!$E$2:$E905,MATCH(A4,'Database Mitra'!AK$2:AK905,0)),"")</f>
        <v>#VALUE!</v>
      </c>
      <c r="D4" s="4" t="s">
        <v>23</v>
      </c>
      <c r="E4" s="5" t="str">
        <f t="array" ref="E4">IF(W4=1,INDEX('Input Kegiatan'!B$2:B905,MATCH($D4,'Input Kegiatan'!$A$2:$A905,0)),"")</f>
        <v>Sakernas Februari 2024</v>
      </c>
      <c r="F4" s="7">
        <f t="array" ref="F4">IF(W4=1,INDEX('Input Kegiatan'!D$2:D905,MATCH($D4,'Input Kegiatan'!$A$2:$A905,0)),"")</f>
        <v>45316</v>
      </c>
      <c r="G4" s="7">
        <f t="array" ref="G4">IF(W4=1,INDEX('Input Kegiatan'!E$2:E905,MATCH($D4,'Input Kegiatan'!$A$2:$A905,0)),"")</f>
        <v>45359</v>
      </c>
      <c r="H4" s="5" t="str">
        <f t="array" ref="H4">IF(W4=1,INDEX(Honor!$H$2:$H905,MATCH($D4&amp;"-"&amp;R4,Honor!$K$2:$K905,0)),"")</f>
        <v>Dokumen</v>
      </c>
      <c r="I4" s="8">
        <f>IF(W4=1,SUMIFS(Honor!$I$2:$I905,Honor!$K$2:$K905,$D4&amp;"-"&amp;R4),"")</f>
        <v>78000</v>
      </c>
      <c r="J4" s="9">
        <v>40</v>
      </c>
      <c r="K4" s="10">
        <f t="shared" si="0"/>
        <v>3120000</v>
      </c>
      <c r="L4" s="11">
        <f t="shared" si="1"/>
        <v>45359</v>
      </c>
      <c r="M4" s="10">
        <f ca="1">IF(W4=1,IF(AND(U4&lt;2,INT(V4)&lt;='Batasan Honor'!$B$2),1,0),"")</f>
        <v>1</v>
      </c>
      <c r="O4" s="10">
        <f t="shared" si="2"/>
        <v>3</v>
      </c>
      <c r="P4" s="10">
        <f t="shared" si="3"/>
        <v>2024</v>
      </c>
      <c r="R4" s="4" t="s">
        <v>24</v>
      </c>
      <c r="S4" s="10" t="str">
        <f t="shared" si="4"/>
        <v>610423030006,2024,3</v>
      </c>
      <c r="U4" s="10">
        <f ca="1">IFERROR(__xludf.DUMMYFUNCTION("if(W4=1,COUNTIFS(FILTER($H$2:$H905,$H$2:$H905=""OB"",$S$2:$S905=S4),""OB""),"""")"),0)</f>
        <v>0</v>
      </c>
      <c r="V4" s="10">
        <f ca="1">IFERROR(__xludf.DUMMYFUNCTION("IF(OR(ISNA(SUM(FILTER($K$2:$K905,$A$2:$A905=A4,$S$2:$S905=S4,$H$2:$H905&lt;&gt;""OB""))),W4&lt;&gt;1),"""",SUM(FILTER($K$2:$K905,$A$2:$A905=A4,$S$2:$S905=S4,$H$2:$H905&lt;&gt;""OB"")))"),3120000)</f>
        <v>3120000</v>
      </c>
      <c r="W4" s="10">
        <f t="shared" si="5"/>
        <v>1</v>
      </c>
    </row>
    <row r="5" spans="1:23" ht="15.75" customHeight="1">
      <c r="A5" s="4">
        <v>610423090001</v>
      </c>
      <c r="B5" s="5" t="str">
        <f t="array" ref="B5">IF(W5=1,INDEX('Database Mitra'!$H$2:$H905,MATCH(A5,'Database Mitra'!AK$2:AK905,0)),"")</f>
        <v>Utami Angraini</v>
      </c>
      <c r="C5" s="5" t="e">
        <f t="array" ref="C5">IF(W5=1,INDEX('Database Mitra'!$E$2:$E905,MATCH(A5,'Database Mitra'!AK$2:AK905,0)),"")</f>
        <v>#VALUE!</v>
      </c>
      <c r="D5" s="4" t="s">
        <v>23</v>
      </c>
      <c r="E5" s="5" t="str">
        <f t="array" ref="E5">IF(W5=1,INDEX('Input Kegiatan'!B$2:B905,MATCH($D5,'Input Kegiatan'!$A$2:$A905,0)),"")</f>
        <v>Sakernas Februari 2024</v>
      </c>
      <c r="F5" s="7">
        <f t="array" ref="F5">IF(W5=1,INDEX('Input Kegiatan'!D$2:D905,MATCH($D5,'Input Kegiatan'!$A$2:$A905,0)),"")</f>
        <v>45316</v>
      </c>
      <c r="G5" s="7">
        <f t="array" ref="G5">IF(W5=1,INDEX('Input Kegiatan'!E$2:E905,MATCH($D5,'Input Kegiatan'!$A$2:$A905,0)),"")</f>
        <v>45359</v>
      </c>
      <c r="H5" s="5" t="str">
        <f t="array" ref="H5">IF(W5=1,INDEX(Honor!$H$2:$H905,MATCH($D5&amp;"-"&amp;R5,Honor!$K$2:$K905,0)),"")</f>
        <v>Rumah Tangga</v>
      </c>
      <c r="I5" s="8">
        <f>IF(W5=1,SUMIFS(Honor!$I$2:$I905,Honor!$K$2:$K905,$D5&amp;"-"&amp;R5),"")</f>
        <v>234000</v>
      </c>
      <c r="J5" s="9">
        <v>20</v>
      </c>
      <c r="K5" s="10">
        <f t="shared" si="0"/>
        <v>4680000</v>
      </c>
      <c r="L5" s="11">
        <f t="shared" si="1"/>
        <v>45359</v>
      </c>
      <c r="M5" s="10">
        <f ca="1">IF(W5=1,IF(AND(U5&lt;2,INT(V5)&lt;='Batasan Honor'!$B$2),1,0),"")</f>
        <v>1</v>
      </c>
      <c r="O5" s="10">
        <f t="shared" si="2"/>
        <v>3</v>
      </c>
      <c r="P5" s="10">
        <f t="shared" si="3"/>
        <v>2024</v>
      </c>
      <c r="R5" s="4" t="s">
        <v>25</v>
      </c>
      <c r="S5" s="10" t="str">
        <f t="shared" si="4"/>
        <v>610423090001,2024,3</v>
      </c>
      <c r="U5" s="10">
        <f ca="1">IFERROR(__xludf.DUMMYFUNCTION("if(W5=1,COUNTIFS(FILTER($H$2:$H905,$H$2:$H905=""OB"",$S$2:$S905=S5),""OB""),"""")"),0)</f>
        <v>0</v>
      </c>
      <c r="V5" s="10">
        <f ca="1">IFERROR(__xludf.DUMMYFUNCTION("IF(OR(ISNA(SUM(FILTER($K$2:$K905,$A$2:$A905=A5,$S$2:$S905=S5,$H$2:$H905&lt;&gt;""OB""))),W5&lt;&gt;1),"""",SUM(FILTER($K$2:$K905,$A$2:$A905=A5,$S$2:$S905=S5,$H$2:$H905&lt;&gt;""OB"")))"),4680000)</f>
        <v>4680000</v>
      </c>
      <c r="W5" s="10">
        <f t="shared" si="5"/>
        <v>1</v>
      </c>
    </row>
    <row r="6" spans="1:23" ht="15.75" customHeight="1">
      <c r="A6" s="4">
        <v>610422040059</v>
      </c>
      <c r="B6" s="5" t="str">
        <f t="array" ref="B6">IF(W6=1,INDEX('Database Mitra'!$H$2:$H905,MATCH(A6,'Database Mitra'!AK$2:AK905,0)),"")</f>
        <v>Abang Handri</v>
      </c>
      <c r="C6" s="5" t="e">
        <f t="array" ref="C6">IF(W6=1,INDEX('Database Mitra'!$E$2:$E905,MATCH(A6,'Database Mitra'!AK$2:AK905,0)),"")</f>
        <v>#VALUE!</v>
      </c>
      <c r="D6" s="4" t="s">
        <v>23</v>
      </c>
      <c r="E6" s="5" t="str">
        <f t="array" ref="E6">IF(W6=1,INDEX('Input Kegiatan'!B$2:B905,MATCH($D6,'Input Kegiatan'!$A$2:$A905,0)),"")</f>
        <v>Sakernas Februari 2024</v>
      </c>
      <c r="F6" s="7">
        <f t="array" ref="F6">IF(W6=1,INDEX('Input Kegiatan'!D$2:D905,MATCH($D6,'Input Kegiatan'!$A$2:$A905,0)),"")</f>
        <v>45316</v>
      </c>
      <c r="G6" s="7">
        <f t="array" ref="G6">IF(W6=1,INDEX('Input Kegiatan'!E$2:E905,MATCH($D6,'Input Kegiatan'!$A$2:$A905,0)),"")</f>
        <v>45359</v>
      </c>
      <c r="H6" s="5" t="str">
        <f t="array" ref="H6">IF(W6=1,INDEX(Honor!$H$2:$H905,MATCH($D6&amp;"-"&amp;R6,Honor!$K$2:$K905,0)),"")</f>
        <v>Rumah Tangga</v>
      </c>
      <c r="I6" s="8">
        <f>IF(W6=1,SUMIFS(Honor!$I$2:$I905,Honor!$K$2:$K905,$D6&amp;"-"&amp;R6),"")</f>
        <v>234000</v>
      </c>
      <c r="J6" s="9">
        <v>20</v>
      </c>
      <c r="K6" s="10">
        <f t="shared" si="0"/>
        <v>4680000</v>
      </c>
      <c r="L6" s="11">
        <f t="shared" si="1"/>
        <v>45359</v>
      </c>
      <c r="M6" s="10">
        <f ca="1">IF(W6=1,IF(AND(U6&lt;2,INT(V6)&lt;='Batasan Honor'!$B$2),1,0),"")</f>
        <v>1</v>
      </c>
      <c r="O6" s="10">
        <f t="shared" si="2"/>
        <v>3</v>
      </c>
      <c r="P6" s="10">
        <f t="shared" si="3"/>
        <v>2024</v>
      </c>
      <c r="R6" s="4" t="s">
        <v>25</v>
      </c>
      <c r="S6" s="10" t="str">
        <f t="shared" si="4"/>
        <v>610422040059,2024,3</v>
      </c>
      <c r="U6" s="10">
        <f ca="1">IFERROR(__xludf.DUMMYFUNCTION("if(W6=1,COUNTIFS(FILTER($H$2:$H905,$H$2:$H905=""OB"",$S$2:$S905=S6),""OB""),"""")"),0)</f>
        <v>0</v>
      </c>
      <c r="V6" s="10">
        <f ca="1">IFERROR(__xludf.DUMMYFUNCTION("IF(OR(ISNA(SUM(FILTER($K$2:$K905,$A$2:$A905=A6,$S$2:$S905=S6,$H$2:$H905&lt;&gt;""OB""))),W6&lt;&gt;1),"""",SUM(FILTER($K$2:$K905,$A$2:$A905=A6,$S$2:$S905=S6,$H$2:$H905&lt;&gt;""OB"")))"),4855000)</f>
        <v>4855000</v>
      </c>
      <c r="W6" s="10">
        <f t="shared" si="5"/>
        <v>1</v>
      </c>
    </row>
    <row r="7" spans="1:23" ht="15.75" customHeight="1">
      <c r="A7" s="4">
        <v>610422100008</v>
      </c>
      <c r="B7" s="5" t="str">
        <f t="array" ref="B7">IF(W7=1,INDEX('Database Mitra'!$H$2:$H905,MATCH(A7,'Database Mitra'!AK$2:AK905,0)),"")</f>
        <v>Novi Sri Wulandari</v>
      </c>
      <c r="C7" s="5" t="str">
        <f t="array" ref="C7">IF(W7=1,INDEX('Database Mitra'!$E$2:$E905,MATCH(A7,'Database Mitra'!AK$2:AK905,0)),"")</f>
        <v>PONTIANAK KOTA</v>
      </c>
      <c r="D7" s="4" t="s">
        <v>23</v>
      </c>
      <c r="E7" s="5" t="str">
        <f t="array" ref="E7">IF(W7=1,INDEX('Input Kegiatan'!B$2:B905,MATCH($D7,'Input Kegiatan'!$A$2:$A905,0)),"")</f>
        <v>Sakernas Februari 2024</v>
      </c>
      <c r="F7" s="7">
        <f t="array" ref="F7">IF(W7=1,INDEX('Input Kegiatan'!D$2:D905,MATCH($D7,'Input Kegiatan'!$A$2:$A905,0)),"")</f>
        <v>45316</v>
      </c>
      <c r="G7" s="7">
        <f t="array" ref="G7">IF(W7=1,INDEX('Input Kegiatan'!E$2:E905,MATCH($D7,'Input Kegiatan'!$A$2:$A905,0)),"")</f>
        <v>45359</v>
      </c>
      <c r="H7" s="5" t="str">
        <f t="array" ref="H7">IF(W7=1,INDEX(Honor!$H$2:$H905,MATCH($D7&amp;"-"&amp;R7,Honor!$K$2:$K905,0)),"")</f>
        <v>Rumah Tangga</v>
      </c>
      <c r="I7" s="8">
        <f>IF(W7=1,SUMIFS(Honor!$I$2:$I905,Honor!$K$2:$K905,$D7&amp;"-"&amp;R7),"")</f>
        <v>234000</v>
      </c>
      <c r="J7" s="9">
        <v>20</v>
      </c>
      <c r="K7" s="10">
        <f t="shared" si="0"/>
        <v>4680000</v>
      </c>
      <c r="L7" s="11">
        <f t="shared" si="1"/>
        <v>45359</v>
      </c>
      <c r="M7" s="10">
        <f ca="1">IF(W7=1,IF(AND(U7&lt;2,INT(V7)&lt;='Batasan Honor'!$B$2),1,0),"")</f>
        <v>1</v>
      </c>
      <c r="O7" s="10">
        <f t="shared" si="2"/>
        <v>3</v>
      </c>
      <c r="P7" s="10">
        <f t="shared" si="3"/>
        <v>2024</v>
      </c>
      <c r="R7" s="4" t="s">
        <v>25</v>
      </c>
      <c r="S7" s="10" t="str">
        <f t="shared" si="4"/>
        <v>610422100008,2024,3</v>
      </c>
      <c r="U7" s="10">
        <f ca="1">IFERROR(__xludf.DUMMYFUNCTION("if(W7=1,COUNTIFS(FILTER($H$2:$H905,$H$2:$H905=""OB"",$S$2:$S905=S7),""OB""),"""")"),0)</f>
        <v>0</v>
      </c>
      <c r="V7" s="10">
        <f ca="1">IFERROR(__xludf.DUMMYFUNCTION("IF(OR(ISNA(SUM(FILTER($K$2:$K905,$A$2:$A905=A7,$S$2:$S905=S7,$H$2:$H905&lt;&gt;""OB""))),W7&lt;&gt;1),"""",SUM(FILTER($K$2:$K905,$A$2:$A905=A7,$S$2:$S905=S7,$H$2:$H905&lt;&gt;""OB"")))"),4680000)</f>
        <v>4680000</v>
      </c>
      <c r="W7" s="10">
        <f t="shared" si="5"/>
        <v>1</v>
      </c>
    </row>
    <row r="8" spans="1:23" ht="15.75" customHeight="1">
      <c r="A8" s="4">
        <v>610422100043</v>
      </c>
      <c r="B8" s="5" t="str">
        <f t="array" ref="B8">IF(W8=1,INDEX('Database Mitra'!$H$2:$H905,MATCH(A8,'Database Mitra'!AK$2:AK905,0)),"")</f>
        <v>eligia giok</v>
      </c>
      <c r="C8" s="5" t="e">
        <f t="array" ref="C8">IF(W8=1,INDEX('Database Mitra'!$E$2:$E905,MATCH(A8,'Database Mitra'!AK$2:AK905,0)),"")</f>
        <v>#VALUE!</v>
      </c>
      <c r="D8" s="4" t="s">
        <v>23</v>
      </c>
      <c r="E8" s="5" t="str">
        <f t="array" ref="E8">IF(W8=1,INDEX('Input Kegiatan'!B$2:B905,MATCH($D8,'Input Kegiatan'!$A$2:$A905,0)),"")</f>
        <v>Sakernas Februari 2024</v>
      </c>
      <c r="F8" s="7">
        <f t="array" ref="F8">IF(W8=1,INDEX('Input Kegiatan'!D$2:D905,MATCH($D8,'Input Kegiatan'!$A$2:$A905,0)),"")</f>
        <v>45316</v>
      </c>
      <c r="G8" s="7">
        <f t="array" ref="G8">IF(W8=1,INDEX('Input Kegiatan'!E$2:E905,MATCH($D8,'Input Kegiatan'!$A$2:$A905,0)),"")</f>
        <v>45359</v>
      </c>
      <c r="H8" s="5" t="str">
        <f t="array" ref="H8">IF(W8=1,INDEX(Honor!$H$2:$H905,MATCH($D8&amp;"-"&amp;R8,Honor!$K$2:$K905,0)),"")</f>
        <v>Rumah Tangga</v>
      </c>
      <c r="I8" s="8">
        <f>IF(W8=1,SUMIFS(Honor!$I$2:$I905,Honor!$K$2:$K905,$D8&amp;"-"&amp;R8),"")</f>
        <v>234000</v>
      </c>
      <c r="J8" s="9">
        <v>20</v>
      </c>
      <c r="K8" s="10">
        <f t="shared" si="0"/>
        <v>4680000</v>
      </c>
      <c r="L8" s="11">
        <f t="shared" si="1"/>
        <v>45359</v>
      </c>
      <c r="M8" s="10">
        <f ca="1">IF(W8=1,IF(AND(U8&lt;2,INT(V8)&lt;='Batasan Honor'!$B$2),1,0),"")</f>
        <v>1</v>
      </c>
      <c r="O8" s="10">
        <f t="shared" si="2"/>
        <v>3</v>
      </c>
      <c r="P8" s="10">
        <f t="shared" si="3"/>
        <v>2024</v>
      </c>
      <c r="R8" s="4" t="s">
        <v>25</v>
      </c>
      <c r="S8" s="10" t="str">
        <f t="shared" si="4"/>
        <v>610422100043,2024,3</v>
      </c>
      <c r="U8" s="10">
        <f ca="1">IFERROR(__xludf.DUMMYFUNCTION("if(W8=1,COUNTIFS(FILTER($H$2:$H905,$H$2:$H905=""OB"",$S$2:$S905=S8),""OB""),"""")"),0)</f>
        <v>0</v>
      </c>
      <c r="V8" s="10">
        <f ca="1">IFERROR(__xludf.DUMMYFUNCTION("IF(OR(ISNA(SUM(FILTER($K$2:$K905,$A$2:$A905=A8,$S$2:$S905=S8,$H$2:$H905&lt;&gt;""OB""))),W8&lt;&gt;1),"""",SUM(FILTER($K$2:$K905,$A$2:$A905=A8,$S$2:$S905=S8,$H$2:$H905&lt;&gt;""OB"")))"),4680000)</f>
        <v>4680000</v>
      </c>
      <c r="W8" s="10">
        <f t="shared" si="5"/>
        <v>1</v>
      </c>
    </row>
    <row r="9" spans="1:23" ht="15.75" customHeight="1">
      <c r="A9" s="4">
        <v>610422100086</v>
      </c>
      <c r="B9" s="5" t="str">
        <f t="array" ref="B9">IF(W9=1,INDEX('Database Mitra'!$H$2:$H905,MATCH(A9,'Database Mitra'!AK$2:AK905,0)),"")</f>
        <v>Imamul akhyar</v>
      </c>
      <c r="C9" s="5" t="e">
        <f t="array" ref="C9">IF(W9=1,INDEX('Database Mitra'!$E$2:$E905,MATCH(A9,'Database Mitra'!AK$2:AK905,0)),"")</f>
        <v>#VALUE!</v>
      </c>
      <c r="D9" s="4" t="s">
        <v>23</v>
      </c>
      <c r="E9" s="5" t="str">
        <f t="array" ref="E9">IF(W9=1,INDEX('Input Kegiatan'!B$2:B905,MATCH($D9,'Input Kegiatan'!$A$2:$A905,0)),"")</f>
        <v>Sakernas Februari 2024</v>
      </c>
      <c r="F9" s="7">
        <f t="array" ref="F9">IF(W9=1,INDEX('Input Kegiatan'!D$2:D905,MATCH($D9,'Input Kegiatan'!$A$2:$A905,0)),"")</f>
        <v>45316</v>
      </c>
      <c r="G9" s="7">
        <f t="array" ref="G9">IF(W9=1,INDEX('Input Kegiatan'!E$2:E905,MATCH($D9,'Input Kegiatan'!$A$2:$A905,0)),"")</f>
        <v>45359</v>
      </c>
      <c r="H9" s="5" t="str">
        <f t="array" ref="H9">IF(W9=1,INDEX(Honor!$H$2:$H905,MATCH($D9&amp;"-"&amp;R9,Honor!$K$2:$K905,0)),"")</f>
        <v>Rumah Tangga</v>
      </c>
      <c r="I9" s="8">
        <f>IF(W9=1,SUMIFS(Honor!$I$2:$I905,Honor!$K$2:$K905,$D9&amp;"-"&amp;R9),"")</f>
        <v>234000</v>
      </c>
      <c r="J9" s="9">
        <v>20</v>
      </c>
      <c r="K9" s="10">
        <f t="shared" si="0"/>
        <v>4680000</v>
      </c>
      <c r="L9" s="11">
        <f t="shared" si="1"/>
        <v>45359</v>
      </c>
      <c r="M9" s="10">
        <f ca="1">IF(W9=1,IF(AND(U9&lt;2,INT(V9)&lt;='Batasan Honor'!$B$2),1,0),"")</f>
        <v>1</v>
      </c>
      <c r="O9" s="10">
        <f t="shared" si="2"/>
        <v>3</v>
      </c>
      <c r="P9" s="10">
        <f t="shared" si="3"/>
        <v>2024</v>
      </c>
      <c r="R9" s="4" t="s">
        <v>25</v>
      </c>
      <c r="S9" s="10" t="str">
        <f t="shared" si="4"/>
        <v>610422100086,2024,3</v>
      </c>
      <c r="U9" s="10">
        <f ca="1">IFERROR(__xludf.DUMMYFUNCTION("if(W9=1,COUNTIFS(FILTER($H$2:$H905,$H$2:$H905=""OB"",$S$2:$S905=S9),""OB""),"""")"),0)</f>
        <v>0</v>
      </c>
      <c r="V9" s="10">
        <f ca="1">IFERROR(__xludf.DUMMYFUNCTION("IF(OR(ISNA(SUM(FILTER($K$2:$K905,$A$2:$A905=A9,$S$2:$S905=S9,$H$2:$H905&lt;&gt;""OB""))),W9&lt;&gt;1),"""",SUM(FILTER($K$2:$K905,$A$2:$A905=A9,$S$2:$S905=S9,$H$2:$H905&lt;&gt;""OB"")))"),4680000)</f>
        <v>4680000</v>
      </c>
      <c r="W9" s="10">
        <f t="shared" si="5"/>
        <v>1</v>
      </c>
    </row>
    <row r="10" spans="1:23" ht="15.75" customHeight="1">
      <c r="A10" s="4">
        <v>610422100111</v>
      </c>
      <c r="B10" s="5" t="str">
        <f t="array" ref="B10">IF(W10=1,INDEX('Database Mitra'!$H$2:$H905,MATCH(A10,'Database Mitra'!AK$2:AK905,0)),"")</f>
        <v>CICI PURNAMASARI</v>
      </c>
      <c r="C10" s="5" t="e">
        <f t="array" ref="C10">IF(W10=1,INDEX('Database Mitra'!$E$2:$E905,MATCH(A10,'Database Mitra'!AK$2:AK905,0)),"")</f>
        <v>#VALUE!</v>
      </c>
      <c r="D10" s="4" t="s">
        <v>23</v>
      </c>
      <c r="E10" s="5" t="str">
        <f t="array" ref="E10">IF(W10=1,INDEX('Input Kegiatan'!B$2:B905,MATCH($D10,'Input Kegiatan'!$A$2:$A905,0)),"")</f>
        <v>Sakernas Februari 2024</v>
      </c>
      <c r="F10" s="7">
        <f t="array" ref="F10">IF(W10=1,INDEX('Input Kegiatan'!D$2:D905,MATCH($D10,'Input Kegiatan'!$A$2:$A905,0)),"")</f>
        <v>45316</v>
      </c>
      <c r="G10" s="7">
        <f t="array" ref="G10">IF(W10=1,INDEX('Input Kegiatan'!E$2:E905,MATCH($D10,'Input Kegiatan'!$A$2:$A905,0)),"")</f>
        <v>45359</v>
      </c>
      <c r="H10" s="5" t="str">
        <f t="array" ref="H10">IF(W10=1,INDEX(Honor!$H$2:$H905,MATCH($D10&amp;"-"&amp;R10,Honor!$K$2:$K905,0)),"")</f>
        <v>Rumah Tangga</v>
      </c>
      <c r="I10" s="8">
        <f>IF(W10=1,SUMIFS(Honor!$I$2:$I905,Honor!$K$2:$K905,$D10&amp;"-"&amp;R10),"")</f>
        <v>234000</v>
      </c>
      <c r="J10" s="9">
        <v>20</v>
      </c>
      <c r="K10" s="10">
        <f t="shared" si="0"/>
        <v>4680000</v>
      </c>
      <c r="L10" s="11">
        <f t="shared" si="1"/>
        <v>45359</v>
      </c>
      <c r="M10" s="10">
        <f ca="1">IF(W10=1,IF(AND(U10&lt;2,INT(V10)&lt;='Batasan Honor'!$B$2),1,0),"")</f>
        <v>1</v>
      </c>
      <c r="O10" s="10">
        <f t="shared" si="2"/>
        <v>3</v>
      </c>
      <c r="P10" s="10">
        <f t="shared" si="3"/>
        <v>2024</v>
      </c>
      <c r="R10" s="4" t="s">
        <v>25</v>
      </c>
      <c r="S10" s="10" t="str">
        <f t="shared" si="4"/>
        <v>610422100111,2024,3</v>
      </c>
      <c r="U10" s="10">
        <f ca="1">IFERROR(__xludf.DUMMYFUNCTION("if(W10=1,COUNTIFS(FILTER($H$2:$H905,$H$2:$H905=""OB"",$S$2:$S905=S10),""OB""),"""")"),0)</f>
        <v>0</v>
      </c>
      <c r="V10" s="10">
        <f ca="1">IFERROR(__xludf.DUMMYFUNCTION("IF(OR(ISNA(SUM(FILTER($K$2:$K905,$A$2:$A905=A10,$S$2:$S905=S10,$H$2:$H905&lt;&gt;""OB""))),W10&lt;&gt;1),"""",SUM(FILTER($K$2:$K905,$A$2:$A905=A10,$S$2:$S905=S10,$H$2:$H905&lt;&gt;""OB"")))"),4680000)</f>
        <v>4680000</v>
      </c>
      <c r="W10" s="10">
        <f t="shared" si="5"/>
        <v>1</v>
      </c>
    </row>
    <row r="11" spans="1:23" ht="15.75" customHeight="1">
      <c r="A11" s="4">
        <v>610422100175</v>
      </c>
      <c r="B11" s="5" t="str">
        <f t="array" ref="B11">IF(W11=1,INDEX('Database Mitra'!$H$2:$H905,MATCH(A11,'Database Mitra'!AK$2:AK905,0)),"")</f>
        <v>Rara Shati</v>
      </c>
      <c r="C11" s="5" t="e">
        <f t="array" ref="C11">IF(W11=1,INDEX('Database Mitra'!$E$2:$E905,MATCH(A11,'Database Mitra'!AK$2:AK905,0)),"")</f>
        <v>#VALUE!</v>
      </c>
      <c r="D11" s="4" t="s">
        <v>23</v>
      </c>
      <c r="E11" s="5" t="str">
        <f t="array" ref="E11">IF(W11=1,INDEX('Input Kegiatan'!B$2:B905,MATCH($D11,'Input Kegiatan'!$A$2:$A905,0)),"")</f>
        <v>Sakernas Februari 2024</v>
      </c>
      <c r="F11" s="7">
        <f t="array" ref="F11">IF(W11=1,INDEX('Input Kegiatan'!D$2:D905,MATCH($D11,'Input Kegiatan'!$A$2:$A905,0)),"")</f>
        <v>45316</v>
      </c>
      <c r="G11" s="7">
        <f t="array" ref="G11">IF(W11=1,INDEX('Input Kegiatan'!E$2:E905,MATCH($D11,'Input Kegiatan'!$A$2:$A905,0)),"")</f>
        <v>45359</v>
      </c>
      <c r="H11" s="5" t="str">
        <f t="array" ref="H11">IF(W11=1,INDEX(Honor!$H$2:$H905,MATCH($D11&amp;"-"&amp;R11,Honor!$K$2:$K905,0)),"")</f>
        <v>Rumah Tangga</v>
      </c>
      <c r="I11" s="8">
        <f>IF(W11=1,SUMIFS(Honor!$I$2:$I905,Honor!$K$2:$K905,$D11&amp;"-"&amp;R11),"")</f>
        <v>234000</v>
      </c>
      <c r="J11" s="9">
        <v>20</v>
      </c>
      <c r="K11" s="10">
        <f t="shared" si="0"/>
        <v>4680000</v>
      </c>
      <c r="L11" s="11">
        <f t="shared" si="1"/>
        <v>45359</v>
      </c>
      <c r="M11" s="10">
        <f ca="1">IF(W11=1,IF(AND(U11&lt;2,INT(V11)&lt;='Batasan Honor'!$B$2),1,0),"")</f>
        <v>1</v>
      </c>
      <c r="O11" s="10">
        <f t="shared" si="2"/>
        <v>3</v>
      </c>
      <c r="P11" s="10">
        <f t="shared" si="3"/>
        <v>2024</v>
      </c>
      <c r="R11" s="4" t="s">
        <v>25</v>
      </c>
      <c r="S11" s="10" t="str">
        <f t="shared" si="4"/>
        <v>610422100175,2024,3</v>
      </c>
      <c r="U11" s="10">
        <f ca="1">IFERROR(__xludf.DUMMYFUNCTION("if(W11=1,COUNTIFS(FILTER($H$2:$H905,$H$2:$H905=""OB"",$S$2:$S905=S11),""OB""),"""")"),0)</f>
        <v>0</v>
      </c>
      <c r="V11" s="10">
        <f ca="1">IFERROR(__xludf.DUMMYFUNCTION("IF(OR(ISNA(SUM(FILTER($K$2:$K905,$A$2:$A905=A11,$S$2:$S905=S11,$H$2:$H905&lt;&gt;""OB""))),W11&lt;&gt;1),"""",SUM(FILTER($K$2:$K905,$A$2:$A905=A11,$S$2:$S905=S11,$H$2:$H905&lt;&gt;""OB"")))"),4680000)</f>
        <v>4680000</v>
      </c>
      <c r="W11" s="10">
        <f t="shared" si="5"/>
        <v>1</v>
      </c>
    </row>
    <row r="12" spans="1:23" ht="15.75" customHeight="1">
      <c r="A12" s="4">
        <v>610422020029</v>
      </c>
      <c r="B12" s="5" t="str">
        <f t="array" ref="B12">IF(W12=1,INDEX('Database Mitra'!$H$2:$H905,MATCH(A12,'Database Mitra'!AK$2:AK905,0)),"")</f>
        <v>Kurniadi</v>
      </c>
      <c r="C12" s="5" t="e">
        <f t="array" ref="C12">IF(W12=1,INDEX('Database Mitra'!$E$2:$E905,MATCH(A12,'Database Mitra'!AK$2:AK905,0)),"")</f>
        <v>#VALUE!</v>
      </c>
      <c r="D12" s="4" t="s">
        <v>26</v>
      </c>
      <c r="E12" s="5" t="str">
        <f t="array" ref="E12">IF(W12=1,INDEX('Input Kegiatan'!B$2:B905,MATCH($D12,'Input Kegiatan'!$A$2:$A905,0)),"")</f>
        <v>Susenas Maret 2024</v>
      </c>
      <c r="F12" s="7">
        <f t="array" ref="F12">IF(W12=1,INDEX('Input Kegiatan'!D$2:D905,MATCH($D12,'Input Kegiatan'!$A$2:$A905,0)),"")</f>
        <v>45334</v>
      </c>
      <c r="G12" s="7">
        <f t="array" ref="G12">IF(W12=1,INDEX('Input Kegiatan'!E$2:E905,MATCH($D12,'Input Kegiatan'!$A$2:$A905,0)),"")</f>
        <v>45367</v>
      </c>
      <c r="H12" s="5" t="str">
        <f t="array" ref="H12">IF(W12=1,INDEX(Honor!$H$2:$H905,MATCH($D12&amp;"-"&amp;R12,Honor!$K$2:$K905,0)),"")</f>
        <v>Rumah Tangga</v>
      </c>
      <c r="I12" s="8">
        <f>IF(W12=1,SUMIFS(Honor!$I$2:$I905,Honor!$K$2:$K905,$D12&amp;"-"&amp;R12),"")</f>
        <v>117000</v>
      </c>
      <c r="J12" s="9">
        <f t="shared" ref="J12:J905" si="6">IF(W12=1,1,"")</f>
        <v>1</v>
      </c>
      <c r="K12" s="10">
        <f t="shared" si="0"/>
        <v>117000</v>
      </c>
      <c r="L12" s="11">
        <f t="shared" si="1"/>
        <v>45367</v>
      </c>
      <c r="M12" s="10">
        <f ca="1">IF(W12=1,IF(AND(U12&lt;2,INT(V12)&lt;='Batasan Honor'!$B$2),1,0),"")</f>
        <v>1</v>
      </c>
      <c r="O12" s="10">
        <f t="shared" si="2"/>
        <v>3</v>
      </c>
      <c r="P12" s="10">
        <f t="shared" si="3"/>
        <v>2024</v>
      </c>
      <c r="R12" s="4" t="s">
        <v>24</v>
      </c>
      <c r="S12" s="10" t="str">
        <f t="shared" si="4"/>
        <v>610422020029,2024,3</v>
      </c>
      <c r="U12" s="10">
        <f ca="1">IFERROR(__xludf.DUMMYFUNCTION("if(W12=1,COUNTIFS(FILTER($H$2:$H905,$H$2:$H905=""OB"",$S$2:$S905=S12),""OB""),"""")"),0)</f>
        <v>0</v>
      </c>
      <c r="V12" s="10">
        <f ca="1">IFERROR(__xludf.DUMMYFUNCTION("IF(OR(ISNA(SUM(FILTER($K$2:$K905,$A$2:$A905=A12,$S$2:$S905=S12,$H$2:$H905&lt;&gt;""OB""))),W12&lt;&gt;1),"""",SUM(FILTER($K$2:$K905,$A$2:$A905=A12,$S$2:$S905=S12,$H$2:$H905&lt;&gt;""OB"")))"),117000)</f>
        <v>117000</v>
      </c>
      <c r="W12" s="10">
        <f t="shared" si="5"/>
        <v>1</v>
      </c>
    </row>
    <row r="13" spans="1:23" ht="15.75" customHeight="1">
      <c r="A13" s="4">
        <v>610422020016</v>
      </c>
      <c r="B13" s="5" t="str">
        <f t="array" ref="B13">IF(W13=1,INDEX('Database Mitra'!$H$2:$H905,MATCH(A13,'Database Mitra'!AK$2:AK905,0)),"")</f>
        <v>Abdul Aziz</v>
      </c>
      <c r="C13" s="5" t="e">
        <f t="array" ref="C13">IF(W13=1,INDEX('Database Mitra'!$E$2:$E905,MATCH(A13,'Database Mitra'!AK$2:AK905,0)),"")</f>
        <v>#VALUE!</v>
      </c>
      <c r="D13" s="4" t="s">
        <v>26</v>
      </c>
      <c r="E13" s="5" t="str">
        <f t="array" ref="E13">IF(W13=1,INDEX('Input Kegiatan'!B$2:B905,MATCH($D13,'Input Kegiatan'!$A$2:$A905,0)),"")</f>
        <v>Susenas Maret 2024</v>
      </c>
      <c r="F13" s="7">
        <f t="array" ref="F13">IF(W13=1,INDEX('Input Kegiatan'!D$2:D905,MATCH($D13,'Input Kegiatan'!$A$2:$A905,0)),"")</f>
        <v>45334</v>
      </c>
      <c r="G13" s="7">
        <f t="array" ref="G13">IF(W13=1,INDEX('Input Kegiatan'!E$2:E905,MATCH($D13,'Input Kegiatan'!$A$2:$A905,0)),"")</f>
        <v>45367</v>
      </c>
      <c r="H13" s="5" t="str">
        <f t="array" ref="H13">IF(W13=1,INDEX(Honor!$H$2:$H905,MATCH($D13&amp;"-"&amp;R13,Honor!$K$2:$K905,0)),"")</f>
        <v>Rumah Tangga</v>
      </c>
      <c r="I13" s="8">
        <f>IF(W13=1,SUMIFS(Honor!$I$2:$I905,Honor!$K$2:$K905,$D13&amp;"-"&amp;R13),"")</f>
        <v>117000</v>
      </c>
      <c r="J13" s="9">
        <f t="shared" si="6"/>
        <v>1</v>
      </c>
      <c r="K13" s="10">
        <f t="shared" si="0"/>
        <v>117000</v>
      </c>
      <c r="L13" s="11">
        <f t="shared" si="1"/>
        <v>45367</v>
      </c>
      <c r="M13" s="10">
        <f ca="1">IF(W13=1,IF(AND(U13&lt;2,INT(V13)&lt;='Batasan Honor'!$B$2),1,0),"")</f>
        <v>1</v>
      </c>
      <c r="O13" s="10">
        <f t="shared" si="2"/>
        <v>3</v>
      </c>
      <c r="P13" s="10">
        <f t="shared" si="3"/>
        <v>2024</v>
      </c>
      <c r="R13" s="4" t="s">
        <v>24</v>
      </c>
      <c r="S13" s="10" t="str">
        <f t="shared" si="4"/>
        <v>610422020016,2024,3</v>
      </c>
      <c r="U13" s="10">
        <f ca="1">IFERROR(__xludf.DUMMYFUNCTION("if(W13=1,COUNTIFS(FILTER($H$2:$H905,$H$2:$H905=""OB"",$S$2:$S905=S13),""OB""),"""")"),0)</f>
        <v>0</v>
      </c>
      <c r="V13" s="10">
        <f ca="1">IFERROR(__xludf.DUMMYFUNCTION("IF(OR(ISNA(SUM(FILTER($K$2:$K905,$A$2:$A905=A13,$S$2:$S905=S13,$H$2:$H905&lt;&gt;""OB""))),W13&lt;&gt;1),"""",SUM(FILTER($K$2:$K905,$A$2:$A905=A13,$S$2:$S905=S13,$H$2:$H905&lt;&gt;""OB"")))"),292000)</f>
        <v>292000</v>
      </c>
      <c r="W13" s="10">
        <f t="shared" si="5"/>
        <v>1</v>
      </c>
    </row>
    <row r="14" spans="1:23" ht="15.75" customHeight="1">
      <c r="A14" s="4">
        <v>610422040031</v>
      </c>
      <c r="B14" s="5" t="str">
        <f t="array" ref="B14">IF(W14=1,INDEX('Database Mitra'!$H$2:$H905,MATCH(A14,'Database Mitra'!AK$2:AK905,0)),"")</f>
        <v>IMAM FAJRI MUSLIM</v>
      </c>
      <c r="C14" s="5" t="e">
        <f t="array" ref="C14">IF(W14=1,INDEX('Database Mitra'!$E$2:$E905,MATCH(A14,'Database Mitra'!AK$2:AK905,0)),"")</f>
        <v>#VALUE!</v>
      </c>
      <c r="D14" s="4" t="s">
        <v>26</v>
      </c>
      <c r="E14" s="5" t="str">
        <f t="array" ref="E14">IF(W14=1,INDEX('Input Kegiatan'!B$2:B905,MATCH($D14,'Input Kegiatan'!$A$2:$A905,0)),"")</f>
        <v>Susenas Maret 2024</v>
      </c>
      <c r="F14" s="7">
        <f t="array" ref="F14">IF(W14=1,INDEX('Input Kegiatan'!D$2:D905,MATCH($D14,'Input Kegiatan'!$A$2:$A905,0)),"")</f>
        <v>45334</v>
      </c>
      <c r="G14" s="7">
        <f t="array" ref="G14">IF(W14=1,INDEX('Input Kegiatan'!E$2:E905,MATCH($D14,'Input Kegiatan'!$A$2:$A905,0)),"")</f>
        <v>45367</v>
      </c>
      <c r="H14" s="5" t="str">
        <f t="array" ref="H14">IF(W14=1,INDEX(Honor!$H$2:$H905,MATCH($D14&amp;"-"&amp;R14,Honor!$K$2:$K905,0)),"")</f>
        <v>Rumah Tangga</v>
      </c>
      <c r="I14" s="8">
        <f>IF(W14=1,SUMIFS(Honor!$I$2:$I905,Honor!$K$2:$K905,$D14&amp;"-"&amp;R14),"")</f>
        <v>117000</v>
      </c>
      <c r="J14" s="9">
        <f t="shared" si="6"/>
        <v>1</v>
      </c>
      <c r="K14" s="10">
        <f t="shared" si="0"/>
        <v>117000</v>
      </c>
      <c r="L14" s="11">
        <f t="shared" si="1"/>
        <v>45367</v>
      </c>
      <c r="M14" s="10">
        <f ca="1">IF(W14=1,IF(AND(U14&lt;2,INT(V14)&lt;='Batasan Honor'!$B$2),1,0),"")</f>
        <v>1</v>
      </c>
      <c r="O14" s="10">
        <f t="shared" si="2"/>
        <v>3</v>
      </c>
      <c r="P14" s="10">
        <f t="shared" si="3"/>
        <v>2024</v>
      </c>
      <c r="R14" s="4" t="s">
        <v>24</v>
      </c>
      <c r="S14" s="10" t="str">
        <f t="shared" si="4"/>
        <v>610422040031,2024,3</v>
      </c>
      <c r="U14" s="10">
        <f ca="1">IFERROR(__xludf.DUMMYFUNCTION("if(W14=1,COUNTIFS(FILTER($H$2:$H905,$H$2:$H905=""OB"",$S$2:$S905=S14),""OB""),"""")"),0)</f>
        <v>0</v>
      </c>
      <c r="V14" s="10">
        <f ca="1">IFERROR(__xludf.DUMMYFUNCTION("IF(OR(ISNA(SUM(FILTER($K$2:$K905,$A$2:$A905=A14,$S$2:$S905=S14,$H$2:$H905&lt;&gt;""OB""))),W14&lt;&gt;1),"""",SUM(FILTER($K$2:$K905,$A$2:$A905=A14,$S$2:$S905=S14,$H$2:$H905&lt;&gt;""OB"")))"),117000)</f>
        <v>117000</v>
      </c>
      <c r="W14" s="10">
        <f t="shared" si="5"/>
        <v>1</v>
      </c>
    </row>
    <row r="15" spans="1:23" ht="15.75" customHeight="1">
      <c r="A15" s="4">
        <v>610422040005</v>
      </c>
      <c r="B15" s="5" t="str">
        <f t="array" ref="B15">IF(W15=1,INDEX('Database Mitra'!$H$2:$H905,MATCH(A15,'Database Mitra'!AK$2:AK905,0)),"")</f>
        <v>NANDA ARISKA</v>
      </c>
      <c r="C15" s="5" t="e">
        <f t="array" ref="C15">IF(W15=1,INDEX('Database Mitra'!$E$2:$E905,MATCH(A15,'Database Mitra'!AK$2:AK905,0)),"")</f>
        <v>#VALUE!</v>
      </c>
      <c r="D15" s="4" t="s">
        <v>26</v>
      </c>
      <c r="E15" s="5" t="str">
        <f t="array" ref="E15">IF(W15=1,INDEX('Input Kegiatan'!B$2:B905,MATCH($D15,'Input Kegiatan'!$A$2:$A905,0)),"")</f>
        <v>Susenas Maret 2024</v>
      </c>
      <c r="F15" s="7">
        <f t="array" ref="F15">IF(W15=1,INDEX('Input Kegiatan'!D$2:D905,MATCH($D15,'Input Kegiatan'!$A$2:$A905,0)),"")</f>
        <v>45334</v>
      </c>
      <c r="G15" s="7">
        <f t="array" ref="G15">IF(W15=1,INDEX('Input Kegiatan'!E$2:E905,MATCH($D15,'Input Kegiatan'!$A$2:$A905,0)),"")</f>
        <v>45367</v>
      </c>
      <c r="H15" s="5" t="str">
        <f t="array" ref="H15">IF(W15=1,INDEX(Honor!$H$2:$H905,MATCH($D15&amp;"-"&amp;R15,Honor!$K$2:$K905,0)),"")</f>
        <v>Rumah Tangga</v>
      </c>
      <c r="I15" s="8">
        <f>IF(W15=1,SUMIFS(Honor!$I$2:$I905,Honor!$K$2:$K905,$D15&amp;"-"&amp;R15),"")</f>
        <v>117000</v>
      </c>
      <c r="J15" s="9">
        <f t="shared" si="6"/>
        <v>1</v>
      </c>
      <c r="K15" s="10">
        <f t="shared" si="0"/>
        <v>117000</v>
      </c>
      <c r="L15" s="11">
        <f t="shared" si="1"/>
        <v>45367</v>
      </c>
      <c r="M15" s="10">
        <f ca="1">IF(W15=1,IF(AND(U15&lt;2,INT(V15)&lt;='Batasan Honor'!$B$2),1,0),"")</f>
        <v>1</v>
      </c>
      <c r="O15" s="10">
        <f t="shared" si="2"/>
        <v>3</v>
      </c>
      <c r="P15" s="10">
        <f t="shared" si="3"/>
        <v>2024</v>
      </c>
      <c r="R15" s="4" t="s">
        <v>24</v>
      </c>
      <c r="S15" s="10" t="str">
        <f t="shared" si="4"/>
        <v>610422040005,2024,3</v>
      </c>
      <c r="U15" s="10">
        <f ca="1">IFERROR(__xludf.DUMMYFUNCTION("if(W15=1,COUNTIFS(FILTER($H$2:$H905,$H$2:$H905=""OB"",$S$2:$S905=S15),""OB""),"""")"),0)</f>
        <v>0</v>
      </c>
      <c r="V15" s="10">
        <f ca="1">IFERROR(__xludf.DUMMYFUNCTION("IF(OR(ISNA(SUM(FILTER($K$2:$K905,$A$2:$A905=A15,$S$2:$S905=S15,$H$2:$H905&lt;&gt;""OB""))),W15&lt;&gt;1),"""",SUM(FILTER($K$2:$K905,$A$2:$A905=A15,$S$2:$S905=S15,$H$2:$H905&lt;&gt;""OB"")))"),117000)</f>
        <v>117000</v>
      </c>
      <c r="W15" s="10">
        <f t="shared" si="5"/>
        <v>1</v>
      </c>
    </row>
    <row r="16" spans="1:23" ht="15.75" customHeight="1">
      <c r="A16" s="4">
        <v>610422040038</v>
      </c>
      <c r="B16" s="5" t="str">
        <f t="array" ref="B16">IF(W16=1,INDEX('Database Mitra'!$H$2:$H905,MATCH(A16,'Database Mitra'!AK$2:AK905,0)),"")</f>
        <v>YUYUN ANTONI, S.E.</v>
      </c>
      <c r="C16" s="5" t="e">
        <f t="array" ref="C16">IF(W16=1,INDEX('Database Mitra'!$E$2:$E905,MATCH(A16,'Database Mitra'!AK$2:AK905,0)),"")</f>
        <v>#VALUE!</v>
      </c>
      <c r="D16" s="4" t="s">
        <v>26</v>
      </c>
      <c r="E16" s="5" t="str">
        <f t="array" ref="E16">IF(W16=1,INDEX('Input Kegiatan'!B$2:B905,MATCH($D16,'Input Kegiatan'!$A$2:$A905,0)),"")</f>
        <v>Susenas Maret 2024</v>
      </c>
      <c r="F16" s="7">
        <f t="array" ref="F16">IF(W16=1,INDEX('Input Kegiatan'!D$2:D905,MATCH($D16,'Input Kegiatan'!$A$2:$A905,0)),"")</f>
        <v>45334</v>
      </c>
      <c r="G16" s="7">
        <f t="array" ref="G16">IF(W16=1,INDEX('Input Kegiatan'!E$2:E905,MATCH($D16,'Input Kegiatan'!$A$2:$A905,0)),"")</f>
        <v>45367</v>
      </c>
      <c r="H16" s="5" t="str">
        <f t="array" ref="H16">IF(W16=1,INDEX(Honor!$H$2:$H905,MATCH($D16&amp;"-"&amp;R16,Honor!$K$2:$K905,0)),"")</f>
        <v>Rumah Tangga</v>
      </c>
      <c r="I16" s="8">
        <f>IF(W16=1,SUMIFS(Honor!$I$2:$I905,Honor!$K$2:$K905,$D16&amp;"-"&amp;R16),"")</f>
        <v>117000</v>
      </c>
      <c r="J16" s="9">
        <f t="shared" si="6"/>
        <v>1</v>
      </c>
      <c r="K16" s="10">
        <f t="shared" si="0"/>
        <v>117000</v>
      </c>
      <c r="L16" s="11">
        <f t="shared" si="1"/>
        <v>45367</v>
      </c>
      <c r="M16" s="10">
        <f ca="1">IF(W16=1,IF(AND(U16&lt;2,INT(V16)&lt;='Batasan Honor'!$B$2),1,0),"")</f>
        <v>1</v>
      </c>
      <c r="O16" s="10">
        <f t="shared" si="2"/>
        <v>3</v>
      </c>
      <c r="P16" s="10">
        <f t="shared" si="3"/>
        <v>2024</v>
      </c>
      <c r="R16" s="4" t="s">
        <v>24</v>
      </c>
      <c r="S16" s="10" t="str">
        <f t="shared" si="4"/>
        <v>610422040038,2024,3</v>
      </c>
      <c r="U16" s="10">
        <f ca="1">IFERROR(__xludf.DUMMYFUNCTION("if(W16=1,COUNTIFS(FILTER($H$2:$H905,$H$2:$H905=""OB"",$S$2:$S905=S16),""OB""),"""")"),0)</f>
        <v>0</v>
      </c>
      <c r="V16" s="10">
        <f ca="1">IFERROR(__xludf.DUMMYFUNCTION("IF(OR(ISNA(SUM(FILTER($K$2:$K905,$A$2:$A905=A16,$S$2:$S905=S16,$H$2:$H905&lt;&gt;""OB""))),W16&lt;&gt;1),"""",SUM(FILTER($K$2:$K905,$A$2:$A905=A16,$S$2:$S905=S16,$H$2:$H905&lt;&gt;""OB"")))"),117000)</f>
        <v>117000</v>
      </c>
      <c r="W16" s="10">
        <f t="shared" si="5"/>
        <v>1</v>
      </c>
    </row>
    <row r="17" spans="1:23" ht="15.75" customHeight="1">
      <c r="A17" s="4">
        <v>610422040030</v>
      </c>
      <c r="B17" s="5" t="str">
        <f t="array" ref="B17">IF(W17=1,INDEX('Database Mitra'!$H$2:$H905,MATCH(A17,'Database Mitra'!AK$2:AK905,0)),"")</f>
        <v>Syarifah Desti Pratiwi</v>
      </c>
      <c r="C17" s="5" t="e">
        <f t="array" ref="C17">IF(W17=1,INDEX('Database Mitra'!$E$2:$E905,MATCH(A17,'Database Mitra'!AK$2:AK905,0)),"")</f>
        <v>#VALUE!</v>
      </c>
      <c r="D17" s="4" t="s">
        <v>26</v>
      </c>
      <c r="E17" s="5" t="str">
        <f t="array" ref="E17">IF(W17=1,INDEX('Input Kegiatan'!B$2:B905,MATCH($D17,'Input Kegiatan'!$A$2:$A905,0)),"")</f>
        <v>Susenas Maret 2024</v>
      </c>
      <c r="F17" s="7">
        <f t="array" ref="F17">IF(W17=1,INDEX('Input Kegiatan'!D$2:D905,MATCH($D17,'Input Kegiatan'!$A$2:$A905,0)),"")</f>
        <v>45334</v>
      </c>
      <c r="G17" s="7">
        <f t="array" ref="G17">IF(W17=1,INDEX('Input Kegiatan'!E$2:E905,MATCH($D17,'Input Kegiatan'!$A$2:$A905,0)),"")</f>
        <v>45367</v>
      </c>
      <c r="H17" s="5" t="str">
        <f t="array" ref="H17">IF(W17=1,INDEX(Honor!$H$2:$H905,MATCH($D17&amp;"-"&amp;R17,Honor!$K$2:$K905,0)),"")</f>
        <v>Rumah Tangga</v>
      </c>
      <c r="I17" s="8">
        <f>IF(W17=1,SUMIFS(Honor!$I$2:$I905,Honor!$K$2:$K905,$D17&amp;"-"&amp;R17),"")</f>
        <v>117000</v>
      </c>
      <c r="J17" s="9">
        <f t="shared" si="6"/>
        <v>1</v>
      </c>
      <c r="K17" s="10">
        <f t="shared" si="0"/>
        <v>117000</v>
      </c>
      <c r="L17" s="11">
        <f t="shared" si="1"/>
        <v>45367</v>
      </c>
      <c r="M17" s="10">
        <f ca="1">IF(W17=1,IF(AND(U17&lt;2,INT(V17)&lt;='Batasan Honor'!$B$2),1,0),"")</f>
        <v>1</v>
      </c>
      <c r="O17" s="10">
        <f t="shared" si="2"/>
        <v>3</v>
      </c>
      <c r="P17" s="10">
        <f t="shared" si="3"/>
        <v>2024</v>
      </c>
      <c r="R17" s="4" t="s">
        <v>24</v>
      </c>
      <c r="S17" s="10" t="str">
        <f t="shared" si="4"/>
        <v>610422040030,2024,3</v>
      </c>
      <c r="U17" s="10">
        <f ca="1">IFERROR(__xludf.DUMMYFUNCTION("if(W17=1,COUNTIFS(FILTER($H$2:$H905,$H$2:$H905=""OB"",$S$2:$S905=S17),""OB""),"""")"),0)</f>
        <v>0</v>
      </c>
      <c r="V17" s="10">
        <f ca="1">IFERROR(__xludf.DUMMYFUNCTION("IF(OR(ISNA(SUM(FILTER($K$2:$K905,$A$2:$A905=A17,$S$2:$S905=S17,$H$2:$H905&lt;&gt;""OB""))),W17&lt;&gt;1),"""",SUM(FILTER($K$2:$K905,$A$2:$A905=A17,$S$2:$S905=S17,$H$2:$H905&lt;&gt;""OB"")))"),117000)</f>
        <v>117000</v>
      </c>
      <c r="W17" s="10">
        <f t="shared" si="5"/>
        <v>1</v>
      </c>
    </row>
    <row r="18" spans="1:23" ht="15.75" customHeight="1">
      <c r="A18" s="4">
        <v>610422040062</v>
      </c>
      <c r="B18" s="5" t="str">
        <f t="array" ref="B18">IF(W18=1,INDEX('Database Mitra'!$H$2:$H905,MATCH(A18,'Database Mitra'!AK$2:AK905,0)),"")</f>
        <v>Yudi Wahyudi</v>
      </c>
      <c r="C18" s="5" t="e">
        <f t="array" ref="C18">IF(W18=1,INDEX('Database Mitra'!$E$2:$E905,MATCH(A18,'Database Mitra'!AK$2:AK905,0)),"")</f>
        <v>#VALUE!</v>
      </c>
      <c r="D18" s="4" t="s">
        <v>26</v>
      </c>
      <c r="E18" s="5" t="str">
        <f t="array" ref="E18">IF(W18=1,INDEX('Input Kegiatan'!B$2:B905,MATCH($D18,'Input Kegiatan'!$A$2:$A905,0)),"")</f>
        <v>Susenas Maret 2024</v>
      </c>
      <c r="F18" s="7">
        <f t="array" ref="F18">IF(W18=1,INDEX('Input Kegiatan'!D$2:D905,MATCH($D18,'Input Kegiatan'!$A$2:$A905,0)),"")</f>
        <v>45334</v>
      </c>
      <c r="G18" s="7">
        <f t="array" ref="G18">IF(W18=1,INDEX('Input Kegiatan'!E$2:E905,MATCH($D18,'Input Kegiatan'!$A$2:$A905,0)),"")</f>
        <v>45367</v>
      </c>
      <c r="H18" s="5" t="str">
        <f t="array" ref="H18">IF(W18=1,INDEX(Honor!$H$2:$H905,MATCH($D18&amp;"-"&amp;R18,Honor!$K$2:$K905,0)),"")</f>
        <v>Rumah Tangga</v>
      </c>
      <c r="I18" s="8">
        <f>IF(W18=1,SUMIFS(Honor!$I$2:$I905,Honor!$K$2:$K905,$D18&amp;"-"&amp;R18),"")</f>
        <v>117000</v>
      </c>
      <c r="J18" s="9">
        <f t="shared" si="6"/>
        <v>1</v>
      </c>
      <c r="K18" s="10">
        <f t="shared" si="0"/>
        <v>117000</v>
      </c>
      <c r="L18" s="11">
        <f t="shared" si="1"/>
        <v>45367</v>
      </c>
      <c r="M18" s="10">
        <f ca="1">IF(W18=1,IF(AND(U18&lt;2,INT(V18)&lt;='Batasan Honor'!$B$2),1,0),"")</f>
        <v>1</v>
      </c>
      <c r="O18" s="10">
        <f t="shared" si="2"/>
        <v>3</v>
      </c>
      <c r="P18" s="10">
        <f t="shared" si="3"/>
        <v>2024</v>
      </c>
      <c r="R18" s="4" t="s">
        <v>24</v>
      </c>
      <c r="S18" s="10" t="str">
        <f t="shared" si="4"/>
        <v>610422040062,2024,3</v>
      </c>
      <c r="U18" s="10">
        <f ca="1">IFERROR(__xludf.DUMMYFUNCTION("if(W18=1,COUNTIFS(FILTER($H$2:$H905,$H$2:$H905=""OB"",$S$2:$S905=S18),""OB""),"""")"),0)</f>
        <v>0</v>
      </c>
      <c r="V18" s="10">
        <f ca="1">IFERROR(__xludf.DUMMYFUNCTION("IF(OR(ISNA(SUM(FILTER($K$2:$K905,$A$2:$A905=A18,$S$2:$S905=S18,$H$2:$H905&lt;&gt;""OB""))),W18&lt;&gt;1),"""",SUM(FILTER($K$2:$K905,$A$2:$A905=A18,$S$2:$S905=S18,$H$2:$H905&lt;&gt;""OB"")))"),117000)</f>
        <v>117000</v>
      </c>
      <c r="W18" s="10">
        <f t="shared" si="5"/>
        <v>1</v>
      </c>
    </row>
    <row r="19" spans="1:23" ht="15.75" customHeight="1">
      <c r="A19" s="4">
        <v>610422100274</v>
      </c>
      <c r="B19" s="5" t="str">
        <f t="array" ref="B19">IF(W19=1,INDEX('Database Mitra'!$H$2:$H905,MATCH(A19,'Database Mitra'!AK$2:AK905,0)),"")</f>
        <v>Anisatunnabilah</v>
      </c>
      <c r="C19" s="5" t="e">
        <f t="array" ref="C19">IF(W19=1,INDEX('Database Mitra'!$E$2:$E905,MATCH(A19,'Database Mitra'!AK$2:AK905,0)),"")</f>
        <v>#VALUE!</v>
      </c>
      <c r="D19" s="4" t="s">
        <v>26</v>
      </c>
      <c r="E19" s="5" t="str">
        <f t="array" ref="E19">IF(W19=1,INDEX('Input Kegiatan'!B$2:B905,MATCH($D19,'Input Kegiatan'!$A$2:$A905,0)),"")</f>
        <v>Susenas Maret 2024</v>
      </c>
      <c r="F19" s="7">
        <f t="array" ref="F19">IF(W19=1,INDEX('Input Kegiatan'!D$2:D905,MATCH($D19,'Input Kegiatan'!$A$2:$A905,0)),"")</f>
        <v>45334</v>
      </c>
      <c r="G19" s="7">
        <f t="array" ref="G19">IF(W19=1,INDEX('Input Kegiatan'!E$2:E905,MATCH($D19,'Input Kegiatan'!$A$2:$A905,0)),"")</f>
        <v>45367</v>
      </c>
      <c r="H19" s="5" t="str">
        <f t="array" ref="H19">IF(W19=1,INDEX(Honor!$H$2:$H905,MATCH($D19&amp;"-"&amp;R19,Honor!$K$2:$K905,0)),"")</f>
        <v>Rumah Tangga</v>
      </c>
      <c r="I19" s="8">
        <f>IF(W19=1,SUMIFS(Honor!$I$2:$I905,Honor!$K$2:$K905,$D19&amp;"-"&amp;R19),"")</f>
        <v>117000</v>
      </c>
      <c r="J19" s="9">
        <f t="shared" si="6"/>
        <v>1</v>
      </c>
      <c r="K19" s="10">
        <f t="shared" si="0"/>
        <v>117000</v>
      </c>
      <c r="L19" s="11">
        <f t="shared" si="1"/>
        <v>45367</v>
      </c>
      <c r="M19" s="10">
        <f ca="1">IF(W19=1,IF(AND(U19&lt;2,INT(V19)&lt;='Batasan Honor'!$B$2),1,0),"")</f>
        <v>1</v>
      </c>
      <c r="O19" s="10">
        <f t="shared" si="2"/>
        <v>3</v>
      </c>
      <c r="P19" s="10">
        <f t="shared" si="3"/>
        <v>2024</v>
      </c>
      <c r="R19" s="4" t="s">
        <v>24</v>
      </c>
      <c r="S19" s="10" t="str">
        <f t="shared" si="4"/>
        <v>610422100274,2024,3</v>
      </c>
      <c r="U19" s="10">
        <f ca="1">IFERROR(__xludf.DUMMYFUNCTION("if(W19=1,COUNTIFS(FILTER($H$2:$H905,$H$2:$H905=""OB"",$S$2:$S905=S19),""OB""),"""")"),0)</f>
        <v>0</v>
      </c>
      <c r="V19" s="10">
        <f ca="1">IFERROR(__xludf.DUMMYFUNCTION("IF(OR(ISNA(SUM(FILTER($K$2:$K905,$A$2:$A905=A19,$S$2:$S905=S19,$H$2:$H905&lt;&gt;""OB""))),W19&lt;&gt;1),"""",SUM(FILTER($K$2:$K905,$A$2:$A905=A19,$S$2:$S905=S19,$H$2:$H905&lt;&gt;""OB"")))"),117000)</f>
        <v>117000</v>
      </c>
      <c r="W19" s="10">
        <f t="shared" si="5"/>
        <v>1</v>
      </c>
    </row>
    <row r="20" spans="1:23" ht="15.75" customHeight="1">
      <c r="A20" s="4">
        <v>610422100108</v>
      </c>
      <c r="B20" s="5" t="str">
        <f t="array" ref="B20">IF(W20=1,INDEX('Database Mitra'!$H$2:$H905,MATCH(A20,'Database Mitra'!AK$2:AK905,0)),"")</f>
        <v>Ermi Tiyarni</v>
      </c>
      <c r="C20" s="5" t="e">
        <f t="array" ref="C20">IF(W20=1,INDEX('Database Mitra'!$E$2:$E905,MATCH(A20,'Database Mitra'!AK$2:AK905,0)),"")</f>
        <v>#VALUE!</v>
      </c>
      <c r="D20" s="4" t="s">
        <v>26</v>
      </c>
      <c r="E20" s="5" t="str">
        <f t="array" ref="E20">IF(W20=1,INDEX('Input Kegiatan'!B$2:B905,MATCH($D20,'Input Kegiatan'!$A$2:$A905,0)),"")</f>
        <v>Susenas Maret 2024</v>
      </c>
      <c r="F20" s="7">
        <f t="array" ref="F20">IF(W20=1,INDEX('Input Kegiatan'!D$2:D905,MATCH($D20,'Input Kegiatan'!$A$2:$A905,0)),"")</f>
        <v>45334</v>
      </c>
      <c r="G20" s="7">
        <f t="array" ref="G20">IF(W20=1,INDEX('Input Kegiatan'!E$2:E905,MATCH($D20,'Input Kegiatan'!$A$2:$A905,0)),"")</f>
        <v>45367</v>
      </c>
      <c r="H20" s="5" t="str">
        <f t="array" ref="H20">IF(W20=1,INDEX(Honor!$H$2:$H905,MATCH($D20&amp;"-"&amp;R20,Honor!$K$2:$K905,0)),"")</f>
        <v>Rumah Tangga</v>
      </c>
      <c r="I20" s="8">
        <f>IF(W20=1,SUMIFS(Honor!$I$2:$I905,Honor!$K$2:$K905,$D20&amp;"-"&amp;R20),"")</f>
        <v>117000</v>
      </c>
      <c r="J20" s="9">
        <f t="shared" si="6"/>
        <v>1</v>
      </c>
      <c r="K20" s="10">
        <f t="shared" si="0"/>
        <v>117000</v>
      </c>
      <c r="L20" s="11">
        <f t="shared" si="1"/>
        <v>45367</v>
      </c>
      <c r="M20" s="10">
        <f ca="1">IF(W20=1,IF(AND(U20&lt;2,INT(V20)&lt;='Batasan Honor'!$B$2),1,0),"")</f>
        <v>1</v>
      </c>
      <c r="O20" s="10">
        <f t="shared" si="2"/>
        <v>3</v>
      </c>
      <c r="P20" s="10">
        <f t="shared" si="3"/>
        <v>2024</v>
      </c>
      <c r="R20" s="4" t="s">
        <v>24</v>
      </c>
      <c r="S20" s="10" t="str">
        <f t="shared" si="4"/>
        <v>610422100108,2024,3</v>
      </c>
      <c r="U20" s="10">
        <f ca="1">IFERROR(__xludf.DUMMYFUNCTION("if(W20=1,COUNTIFS(FILTER($H$2:$H905,$H$2:$H905=""OB"",$S$2:$S905=S20),""OB""),"""")"),0)</f>
        <v>0</v>
      </c>
      <c r="V20" s="10">
        <f ca="1">IFERROR(__xludf.DUMMYFUNCTION("IF(OR(ISNA(SUM(FILTER($K$2:$K905,$A$2:$A905=A20,$S$2:$S905=S20,$H$2:$H905&lt;&gt;""OB""))),W20&lt;&gt;1),"""",SUM(FILTER($K$2:$K905,$A$2:$A905=A20,$S$2:$S905=S20,$H$2:$H905&lt;&gt;""OB"")))"),117000)</f>
        <v>117000</v>
      </c>
      <c r="W20" s="10">
        <f t="shared" si="5"/>
        <v>1</v>
      </c>
    </row>
    <row r="21" spans="1:23" ht="15.75" customHeight="1">
      <c r="A21" s="4">
        <v>610423040016</v>
      </c>
      <c r="B21" s="5" t="str">
        <f t="array" ref="B21">IF(W21=1,INDEX('Database Mitra'!$H$2:$H905,MATCH(A21,'Database Mitra'!AK$2:AK905,0)),"")</f>
        <v>Fairuztia Atiqah Putri</v>
      </c>
      <c r="C21" s="5" t="e">
        <f t="array" ref="C21">IF(W21=1,INDEX('Database Mitra'!$E$2:$E905,MATCH(A21,'Database Mitra'!AK$2:AK905,0)),"")</f>
        <v>#VALUE!</v>
      </c>
      <c r="D21" s="4" t="s">
        <v>26</v>
      </c>
      <c r="E21" s="5" t="str">
        <f t="array" ref="E21">IF(W21=1,INDEX('Input Kegiatan'!B$2:B905,MATCH($D21,'Input Kegiatan'!$A$2:$A905,0)),"")</f>
        <v>Susenas Maret 2024</v>
      </c>
      <c r="F21" s="7">
        <f t="array" ref="F21">IF(W21=1,INDEX('Input Kegiatan'!D$2:D905,MATCH($D21,'Input Kegiatan'!$A$2:$A905,0)),"")</f>
        <v>45334</v>
      </c>
      <c r="G21" s="7">
        <f t="array" ref="G21">IF(W21=1,INDEX('Input Kegiatan'!E$2:E905,MATCH($D21,'Input Kegiatan'!$A$2:$A905,0)),"")</f>
        <v>45367</v>
      </c>
      <c r="H21" s="5" t="str">
        <f t="array" ref="H21">IF(W21=1,INDEX(Honor!$H$2:$H905,MATCH($D21&amp;"-"&amp;R21,Honor!$K$2:$K905,0)),"")</f>
        <v>Rumah Tangga</v>
      </c>
      <c r="I21" s="8">
        <f>IF(W21=1,SUMIFS(Honor!$I$2:$I905,Honor!$K$2:$K905,$D21&amp;"-"&amp;R21),"")</f>
        <v>117000</v>
      </c>
      <c r="J21" s="9">
        <f t="shared" si="6"/>
        <v>1</v>
      </c>
      <c r="K21" s="10">
        <f t="shared" si="0"/>
        <v>117000</v>
      </c>
      <c r="L21" s="11">
        <f t="shared" si="1"/>
        <v>45367</v>
      </c>
      <c r="M21" s="10">
        <f ca="1">IF(W21=1,IF(AND(U21&lt;2,INT(V21)&lt;='Batasan Honor'!$B$2),1,0),"")</f>
        <v>1</v>
      </c>
      <c r="O21" s="10">
        <f t="shared" si="2"/>
        <v>3</v>
      </c>
      <c r="P21" s="10">
        <f t="shared" si="3"/>
        <v>2024</v>
      </c>
      <c r="R21" s="4" t="s">
        <v>24</v>
      </c>
      <c r="S21" s="10" t="str">
        <f t="shared" si="4"/>
        <v>610423040016,2024,3</v>
      </c>
      <c r="U21" s="10">
        <f ca="1">IFERROR(__xludf.DUMMYFUNCTION("if(W21=1,COUNTIFS(FILTER($H$2:$H905,$H$2:$H905=""OB"",$S$2:$S905=S21),""OB""),"""")"),0)</f>
        <v>0</v>
      </c>
      <c r="V21" s="10">
        <f ca="1">IFERROR(__xludf.DUMMYFUNCTION("IF(OR(ISNA(SUM(FILTER($K$2:$K905,$A$2:$A905=A21,$S$2:$S905=S21,$H$2:$H905&lt;&gt;""OB""))),W21&lt;&gt;1),"""",SUM(FILTER($K$2:$K905,$A$2:$A905=A21,$S$2:$S905=S21,$H$2:$H905&lt;&gt;""OB"")))"),117000)</f>
        <v>117000</v>
      </c>
      <c r="W21" s="10">
        <f t="shared" si="5"/>
        <v>1</v>
      </c>
    </row>
    <row r="22" spans="1:23" ht="15.75" customHeight="1">
      <c r="A22" s="4">
        <v>610422100032</v>
      </c>
      <c r="B22" s="5" t="str">
        <f t="array" ref="B22">IF(W22=1,INDEX('Database Mitra'!$H$2:$H905,MATCH(A22,'Database Mitra'!AK$2:AK905,0)),"")</f>
        <v>Muhammad Rizki Pratomo</v>
      </c>
      <c r="C22" s="5" t="e">
        <f t="array" ref="C22">IF(W22=1,INDEX('Database Mitra'!$E$2:$E905,MATCH(A22,'Database Mitra'!AK$2:AK905,0)),"")</f>
        <v>#VALUE!</v>
      </c>
      <c r="D22" s="4" t="s">
        <v>26</v>
      </c>
      <c r="E22" s="5" t="str">
        <f t="array" ref="E22">IF(W22=1,INDEX('Input Kegiatan'!B$2:B905,MATCH($D22,'Input Kegiatan'!$A$2:$A905,0)),"")</f>
        <v>Susenas Maret 2024</v>
      </c>
      <c r="F22" s="7">
        <f t="array" ref="F22">IF(W22=1,INDEX('Input Kegiatan'!D$2:D905,MATCH($D22,'Input Kegiatan'!$A$2:$A905,0)),"")</f>
        <v>45334</v>
      </c>
      <c r="G22" s="7">
        <f t="array" ref="G22">IF(W22=1,INDEX('Input Kegiatan'!E$2:E905,MATCH($D22,'Input Kegiatan'!$A$2:$A905,0)),"")</f>
        <v>45367</v>
      </c>
      <c r="H22" s="5" t="str">
        <f t="array" ref="H22">IF(W22=1,INDEX(Honor!$H$2:$H905,MATCH($D22&amp;"-"&amp;R22,Honor!$K$2:$K905,0)),"")</f>
        <v>Rumah Tangga</v>
      </c>
      <c r="I22" s="8">
        <f>IF(W22=1,SUMIFS(Honor!$I$2:$I905,Honor!$K$2:$K905,$D22&amp;"-"&amp;R22),"")</f>
        <v>117000</v>
      </c>
      <c r="J22" s="9">
        <f t="shared" si="6"/>
        <v>1</v>
      </c>
      <c r="K22" s="10">
        <f t="shared" si="0"/>
        <v>117000</v>
      </c>
      <c r="L22" s="11">
        <f t="shared" si="1"/>
        <v>45367</v>
      </c>
      <c r="M22" s="10">
        <f ca="1">IF(W22=1,IF(AND(U22&lt;2,INT(V22)&lt;='Batasan Honor'!$B$2),1,0),"")</f>
        <v>1</v>
      </c>
      <c r="O22" s="10">
        <f t="shared" si="2"/>
        <v>3</v>
      </c>
      <c r="P22" s="10">
        <f t="shared" si="3"/>
        <v>2024</v>
      </c>
      <c r="R22" s="4" t="s">
        <v>24</v>
      </c>
      <c r="S22" s="10" t="str">
        <f t="shared" si="4"/>
        <v>610422100032,2024,3</v>
      </c>
      <c r="U22" s="10">
        <f ca="1">IFERROR(__xludf.DUMMYFUNCTION("if(W22=1,COUNTIFS(FILTER($H$2:$H905,$H$2:$H905=""OB"",$S$2:$S905=S22),""OB""),"""")"),0)</f>
        <v>0</v>
      </c>
      <c r="V22" s="10">
        <f ca="1">IFERROR(__xludf.DUMMYFUNCTION("IF(OR(ISNA(SUM(FILTER($K$2:$K905,$A$2:$A905=A22,$S$2:$S905=S22,$H$2:$H905&lt;&gt;""OB""))),W22&lt;&gt;1),"""",SUM(FILTER($K$2:$K905,$A$2:$A905=A22,$S$2:$S905=S22,$H$2:$H905&lt;&gt;""OB"")))"),117000)</f>
        <v>117000</v>
      </c>
      <c r="W22" s="10">
        <f t="shared" si="5"/>
        <v>1</v>
      </c>
    </row>
    <row r="23" spans="1:23" ht="15.75" customHeight="1">
      <c r="A23" s="4">
        <v>610422100244</v>
      </c>
      <c r="B23" s="5" t="str">
        <f t="array" ref="B23">IF(W23=1,INDEX('Database Mitra'!$H$2:$H905,MATCH(A23,'Database Mitra'!AK$2:AK905,0)),"")</f>
        <v>Sugianto</v>
      </c>
      <c r="C23" s="5" t="e">
        <f t="array" ref="C23">IF(W23=1,INDEX('Database Mitra'!$E$2:$E905,MATCH(A23,'Database Mitra'!AK$2:AK905,0)),"")</f>
        <v>#VALUE!</v>
      </c>
      <c r="D23" s="4" t="s">
        <v>26</v>
      </c>
      <c r="E23" s="5" t="str">
        <f t="array" ref="E23">IF(W23=1,INDEX('Input Kegiatan'!B$2:B905,MATCH($D23,'Input Kegiatan'!$A$2:$A905,0)),"")</f>
        <v>Susenas Maret 2024</v>
      </c>
      <c r="F23" s="7">
        <f t="array" ref="F23">IF(W23=1,INDEX('Input Kegiatan'!D$2:D905,MATCH($D23,'Input Kegiatan'!$A$2:$A905,0)),"")</f>
        <v>45334</v>
      </c>
      <c r="G23" s="7">
        <f t="array" ref="G23">IF(W23=1,INDEX('Input Kegiatan'!E$2:E905,MATCH($D23,'Input Kegiatan'!$A$2:$A905,0)),"")</f>
        <v>45367</v>
      </c>
      <c r="H23" s="5" t="str">
        <f t="array" ref="H23">IF(W23=1,INDEX(Honor!$H$2:$H905,MATCH($D23&amp;"-"&amp;R23,Honor!$K$2:$K905,0)),"")</f>
        <v>Rumah Tangga</v>
      </c>
      <c r="I23" s="8">
        <f>IF(W23=1,SUMIFS(Honor!$I$2:$I905,Honor!$K$2:$K905,$D23&amp;"-"&amp;R23),"")</f>
        <v>117000</v>
      </c>
      <c r="J23" s="9">
        <f t="shared" si="6"/>
        <v>1</v>
      </c>
      <c r="K23" s="10">
        <f t="shared" si="0"/>
        <v>117000</v>
      </c>
      <c r="L23" s="11">
        <f t="shared" si="1"/>
        <v>45367</v>
      </c>
      <c r="M23" s="10">
        <f ca="1">IF(W23=1,IF(AND(U23&lt;2,INT(V23)&lt;='Batasan Honor'!$B$2),1,0),"")</f>
        <v>1</v>
      </c>
      <c r="O23" s="10">
        <f t="shared" si="2"/>
        <v>3</v>
      </c>
      <c r="P23" s="10">
        <f t="shared" si="3"/>
        <v>2024</v>
      </c>
      <c r="R23" s="4" t="s">
        <v>24</v>
      </c>
      <c r="S23" s="10" t="str">
        <f t="shared" si="4"/>
        <v>610422100244,2024,3</v>
      </c>
      <c r="U23" s="10">
        <f ca="1">IFERROR(__xludf.DUMMYFUNCTION("if(W23=1,COUNTIFS(FILTER($H$2:$H905,$H$2:$H905=""OB"",$S$2:$S905=S23),""OB""),"""")"),0)</f>
        <v>0</v>
      </c>
      <c r="V23" s="10">
        <f ca="1">IFERROR(__xludf.DUMMYFUNCTION("IF(OR(ISNA(SUM(FILTER($K$2:$K905,$A$2:$A905=A23,$S$2:$S905=S23,$H$2:$H905&lt;&gt;""OB""))),W23&lt;&gt;1),"""",SUM(FILTER($K$2:$K905,$A$2:$A905=A23,$S$2:$S905=S23,$H$2:$H905&lt;&gt;""OB"")))"),292000)</f>
        <v>292000</v>
      </c>
      <c r="W23" s="10">
        <f t="shared" si="5"/>
        <v>1</v>
      </c>
    </row>
    <row r="24" spans="1:23" ht="15.75" customHeight="1">
      <c r="A24" s="4">
        <v>610422100256</v>
      </c>
      <c r="B24" s="5" t="str">
        <f t="array" ref="B24">IF(W24=1,INDEX('Database Mitra'!$H$2:$H905,MATCH(A24,'Database Mitra'!AK$2:AK905,0)),"")</f>
        <v>Meta</v>
      </c>
      <c r="C24" s="5" t="e">
        <f t="array" ref="C24">IF(W24=1,INDEX('Database Mitra'!$E$2:$E905,MATCH(A24,'Database Mitra'!AK$2:AK905,0)),"")</f>
        <v>#VALUE!</v>
      </c>
      <c r="D24" s="4" t="s">
        <v>26</v>
      </c>
      <c r="E24" s="5" t="str">
        <f t="array" ref="E24">IF(W24=1,INDEX('Input Kegiatan'!B$2:B905,MATCH($D24,'Input Kegiatan'!$A$2:$A905,0)),"")</f>
        <v>Susenas Maret 2024</v>
      </c>
      <c r="F24" s="7">
        <f t="array" ref="F24">IF(W24=1,INDEX('Input Kegiatan'!D$2:D905,MATCH($D24,'Input Kegiatan'!$A$2:$A905,0)),"")</f>
        <v>45334</v>
      </c>
      <c r="G24" s="7">
        <f t="array" ref="G24">IF(W24=1,INDEX('Input Kegiatan'!E$2:E905,MATCH($D24,'Input Kegiatan'!$A$2:$A905,0)),"")</f>
        <v>45367</v>
      </c>
      <c r="H24" s="5" t="str">
        <f t="array" ref="H24">IF(W24=1,INDEX(Honor!$H$2:$H905,MATCH($D24&amp;"-"&amp;R24,Honor!$K$2:$K905,0)),"")</f>
        <v>Rumah Tangga</v>
      </c>
      <c r="I24" s="8">
        <f>IF(W24=1,SUMIFS(Honor!$I$2:$I905,Honor!$K$2:$K905,$D24&amp;"-"&amp;R24),"")</f>
        <v>287000</v>
      </c>
      <c r="J24" s="9">
        <f t="shared" si="6"/>
        <v>1</v>
      </c>
      <c r="K24" s="10">
        <f t="shared" si="0"/>
        <v>287000</v>
      </c>
      <c r="L24" s="11">
        <f t="shared" si="1"/>
        <v>45367</v>
      </c>
      <c r="M24" s="10">
        <f ca="1">IF(W24=1,IF(AND(U24&lt;2,INT(V24)&lt;='Batasan Honor'!$B$2),1,0),"")</f>
        <v>1</v>
      </c>
      <c r="O24" s="10">
        <f t="shared" si="2"/>
        <v>3</v>
      </c>
      <c r="P24" s="10">
        <f t="shared" si="3"/>
        <v>2024</v>
      </c>
      <c r="R24" s="4" t="s">
        <v>25</v>
      </c>
      <c r="S24" s="10" t="str">
        <f t="shared" si="4"/>
        <v>610422100256,2024,3</v>
      </c>
      <c r="U24" s="10">
        <f ca="1">IFERROR(__xludf.DUMMYFUNCTION("if(W24=1,COUNTIFS(FILTER($H$2:$H905,$H$2:$H905=""OB"",$S$2:$S905=S24),""OB""),"""")"),0)</f>
        <v>0</v>
      </c>
      <c r="V24" s="10">
        <f ca="1">IFERROR(__xludf.DUMMYFUNCTION("IF(OR(ISNA(SUM(FILTER($K$2:$K905,$A$2:$A905=A24,$S$2:$S905=S24,$H$2:$H905&lt;&gt;""OB""))),W24&lt;&gt;1),"""",SUM(FILTER($K$2:$K905,$A$2:$A905=A24,$S$2:$S905=S24,$H$2:$H905&lt;&gt;""OB"")))"),287000)</f>
        <v>287000</v>
      </c>
      <c r="W24" s="10">
        <f t="shared" si="5"/>
        <v>1</v>
      </c>
    </row>
    <row r="25" spans="1:23" ht="15.75" customHeight="1">
      <c r="A25" s="4">
        <v>610422100055</v>
      </c>
      <c r="B25" s="5" t="str">
        <f t="array" ref="B25">IF(W25=1,INDEX('Database Mitra'!$H$2:$H905,MATCH(A25,'Database Mitra'!AK$2:AK905,0)),"")</f>
        <v>Vika Rizkiani</v>
      </c>
      <c r="C25" s="5" t="e">
        <f t="array" ref="C25">IF(W25=1,INDEX('Database Mitra'!$E$2:$E905,MATCH(A25,'Database Mitra'!AK$2:AK905,0)),"")</f>
        <v>#VALUE!</v>
      </c>
      <c r="D25" s="4" t="s">
        <v>26</v>
      </c>
      <c r="E25" s="5" t="str">
        <f t="array" ref="E25">IF(W25=1,INDEX('Input Kegiatan'!B$2:B905,MATCH($D25,'Input Kegiatan'!$A$2:$A905,0)),"")</f>
        <v>Susenas Maret 2024</v>
      </c>
      <c r="F25" s="7">
        <f t="array" ref="F25">IF(W25=1,INDEX('Input Kegiatan'!D$2:D905,MATCH($D25,'Input Kegiatan'!$A$2:$A905,0)),"")</f>
        <v>45334</v>
      </c>
      <c r="G25" s="7">
        <f t="array" ref="G25">IF(W25=1,INDEX('Input Kegiatan'!E$2:E905,MATCH($D25,'Input Kegiatan'!$A$2:$A905,0)),"")</f>
        <v>45367</v>
      </c>
      <c r="H25" s="5" t="str">
        <f t="array" ref="H25">IF(W25=1,INDEX(Honor!$H$2:$H905,MATCH($D25&amp;"-"&amp;R25,Honor!$K$2:$K905,0)),"")</f>
        <v>Rumah Tangga</v>
      </c>
      <c r="I25" s="8">
        <f>IF(W25=1,SUMIFS(Honor!$I$2:$I905,Honor!$K$2:$K905,$D25&amp;"-"&amp;R25),"")</f>
        <v>287000</v>
      </c>
      <c r="J25" s="9">
        <f t="shared" si="6"/>
        <v>1</v>
      </c>
      <c r="K25" s="10">
        <f t="shared" si="0"/>
        <v>287000</v>
      </c>
      <c r="L25" s="11">
        <f t="shared" si="1"/>
        <v>45367</v>
      </c>
      <c r="M25" s="10">
        <f ca="1">IF(W25=1,IF(AND(U25&lt;2,INT(V25)&lt;='Batasan Honor'!$B$2),1,0),"")</f>
        <v>1</v>
      </c>
      <c r="O25" s="10">
        <f t="shared" si="2"/>
        <v>3</v>
      </c>
      <c r="P25" s="10">
        <f t="shared" si="3"/>
        <v>2024</v>
      </c>
      <c r="R25" s="4" t="s">
        <v>25</v>
      </c>
      <c r="S25" s="10" t="str">
        <f t="shared" si="4"/>
        <v>610422100055,2024,3</v>
      </c>
      <c r="U25" s="10">
        <f ca="1">IFERROR(__xludf.DUMMYFUNCTION("if(W25=1,COUNTIFS(FILTER($H$2:$H905,$H$2:$H905=""OB"",$S$2:$S905=S25),""OB""),"""")"),0)</f>
        <v>0</v>
      </c>
      <c r="V25" s="10">
        <f ca="1">IFERROR(__xludf.DUMMYFUNCTION("IF(OR(ISNA(SUM(FILTER($K$2:$K905,$A$2:$A905=A25,$S$2:$S905=S25,$H$2:$H905&lt;&gt;""OB""))),W25&lt;&gt;1),"""",SUM(FILTER($K$2:$K905,$A$2:$A905=A25,$S$2:$S905=S25,$H$2:$H905&lt;&gt;""OB"")))"),287000)</f>
        <v>287000</v>
      </c>
      <c r="W25" s="10">
        <f t="shared" si="5"/>
        <v>1</v>
      </c>
    </row>
    <row r="26" spans="1:23" ht="15.75" customHeight="1">
      <c r="A26" s="4">
        <v>610422020008</v>
      </c>
      <c r="B26" s="5" t="str">
        <f t="array" ref="B26">IF(W26=1,INDEX('Database Mitra'!$H$2:$H905,MATCH(A26,'Database Mitra'!AK$2:AK905,0)),"")</f>
        <v>Ilfi Nur Diana</v>
      </c>
      <c r="C26" s="5" t="e">
        <f t="array" ref="C26">IF(W26=1,INDEX('Database Mitra'!$E$2:$E905,MATCH(A26,'Database Mitra'!AK$2:AK905,0)),"")</f>
        <v>#VALUE!</v>
      </c>
      <c r="D26" s="4" t="s">
        <v>26</v>
      </c>
      <c r="E26" s="5" t="str">
        <f t="array" ref="E26">IF(W26=1,INDEX('Input Kegiatan'!B$2:B905,MATCH($D26,'Input Kegiatan'!$A$2:$A905,0)),"")</f>
        <v>Susenas Maret 2024</v>
      </c>
      <c r="F26" s="7">
        <f t="array" ref="F26">IF(W26=1,INDEX('Input Kegiatan'!D$2:D905,MATCH($D26,'Input Kegiatan'!$A$2:$A905,0)),"")</f>
        <v>45334</v>
      </c>
      <c r="G26" s="7">
        <f t="array" ref="G26">IF(W26=1,INDEX('Input Kegiatan'!E$2:E905,MATCH($D26,'Input Kegiatan'!$A$2:$A905,0)),"")</f>
        <v>45367</v>
      </c>
      <c r="H26" s="5" t="str">
        <f t="array" ref="H26">IF(W26=1,INDEX(Honor!$H$2:$H905,MATCH($D26&amp;"-"&amp;R26,Honor!$K$2:$K905,0)),"")</f>
        <v>Rumah Tangga</v>
      </c>
      <c r="I26" s="8">
        <f>IF(W26=1,SUMIFS(Honor!$I$2:$I905,Honor!$K$2:$K905,$D26&amp;"-"&amp;R26),"")</f>
        <v>287000</v>
      </c>
      <c r="J26" s="9">
        <f t="shared" si="6"/>
        <v>1</v>
      </c>
      <c r="K26" s="10">
        <f t="shared" si="0"/>
        <v>287000</v>
      </c>
      <c r="L26" s="11">
        <f t="shared" si="1"/>
        <v>45367</v>
      </c>
      <c r="M26" s="10">
        <f ca="1">IF(W26=1,IF(AND(U26&lt;2,INT(V26)&lt;='Batasan Honor'!$B$2),1,0),"")</f>
        <v>1</v>
      </c>
      <c r="O26" s="10">
        <f t="shared" si="2"/>
        <v>3</v>
      </c>
      <c r="P26" s="10">
        <f t="shared" si="3"/>
        <v>2024</v>
      </c>
      <c r="R26" s="4" t="s">
        <v>25</v>
      </c>
      <c r="S26" s="10" t="str">
        <f t="shared" si="4"/>
        <v>610422020008,2024,3</v>
      </c>
      <c r="U26" s="10">
        <f ca="1">IFERROR(__xludf.DUMMYFUNCTION("if(W26=1,COUNTIFS(FILTER($H$2:$H905,$H$2:$H905=""OB"",$S$2:$S905=S26),""OB""),"""")"),0)</f>
        <v>0</v>
      </c>
      <c r="V26" s="10">
        <f ca="1">IFERROR(__xludf.DUMMYFUNCTION("IF(OR(ISNA(SUM(FILTER($K$2:$K905,$A$2:$A905=A26,$S$2:$S905=S26,$H$2:$H905&lt;&gt;""OB""))),W26&lt;&gt;1),"""",SUM(FILTER($K$2:$K905,$A$2:$A905=A26,$S$2:$S905=S26,$H$2:$H905&lt;&gt;""OB"")))"),287000)</f>
        <v>287000</v>
      </c>
      <c r="W26" s="10">
        <f t="shared" si="5"/>
        <v>1</v>
      </c>
    </row>
    <row r="27" spans="1:23" ht="15.75" customHeight="1">
      <c r="A27" s="4">
        <v>610423040014</v>
      </c>
      <c r="B27" s="5" t="str">
        <f t="array" ref="B27">IF(W27=1,INDEX('Database Mitra'!$H$2:$H905,MATCH(A27,'Database Mitra'!AK$2:AK905,0)),"")</f>
        <v>Fransiska romana</v>
      </c>
      <c r="C27" s="5" t="e">
        <f t="array" ref="C27">IF(W27=1,INDEX('Database Mitra'!$E$2:$E905,MATCH(A27,'Database Mitra'!AK$2:AK905,0)),"")</f>
        <v>#VALUE!</v>
      </c>
      <c r="D27" s="4" t="s">
        <v>26</v>
      </c>
      <c r="E27" s="5" t="str">
        <f t="array" ref="E27">IF(W27=1,INDEX('Input Kegiatan'!B$2:B905,MATCH($D27,'Input Kegiatan'!$A$2:$A905,0)),"")</f>
        <v>Susenas Maret 2024</v>
      </c>
      <c r="F27" s="7">
        <f t="array" ref="F27">IF(W27=1,INDEX('Input Kegiatan'!D$2:D905,MATCH($D27,'Input Kegiatan'!$A$2:$A905,0)),"")</f>
        <v>45334</v>
      </c>
      <c r="G27" s="7">
        <f t="array" ref="G27">IF(W27=1,INDEX('Input Kegiatan'!E$2:E905,MATCH($D27,'Input Kegiatan'!$A$2:$A905,0)),"")</f>
        <v>45367</v>
      </c>
      <c r="H27" s="5" t="str">
        <f t="array" ref="H27">IF(W27=1,INDEX(Honor!$H$2:$H905,MATCH($D27&amp;"-"&amp;R27,Honor!$K$2:$K905,0)),"")</f>
        <v>Rumah Tangga</v>
      </c>
      <c r="I27" s="8">
        <f>IF(W27=1,SUMIFS(Honor!$I$2:$I905,Honor!$K$2:$K905,$D27&amp;"-"&amp;R27),"")</f>
        <v>287000</v>
      </c>
      <c r="J27" s="9">
        <f t="shared" si="6"/>
        <v>1</v>
      </c>
      <c r="K27" s="10">
        <f t="shared" si="0"/>
        <v>287000</v>
      </c>
      <c r="L27" s="11">
        <f t="shared" si="1"/>
        <v>45367</v>
      </c>
      <c r="M27" s="10">
        <f ca="1">IF(W27=1,IF(AND(U27&lt;2,INT(V27)&lt;='Batasan Honor'!$B$2),1,0),"")</f>
        <v>1</v>
      </c>
      <c r="O27" s="10">
        <f t="shared" si="2"/>
        <v>3</v>
      </c>
      <c r="P27" s="10">
        <f t="shared" si="3"/>
        <v>2024</v>
      </c>
      <c r="R27" s="4" t="s">
        <v>25</v>
      </c>
      <c r="S27" s="10" t="str">
        <f t="shared" si="4"/>
        <v>610423040014,2024,3</v>
      </c>
      <c r="U27" s="10">
        <f ca="1">IFERROR(__xludf.DUMMYFUNCTION("if(W27=1,COUNTIFS(FILTER($H$2:$H905,$H$2:$H905=""OB"",$S$2:$S905=S27),""OB""),"""")"),0)</f>
        <v>0</v>
      </c>
      <c r="V27" s="10">
        <f ca="1">IFERROR(__xludf.DUMMYFUNCTION("IF(OR(ISNA(SUM(FILTER($K$2:$K905,$A$2:$A905=A27,$S$2:$S905=S27,$H$2:$H905&lt;&gt;""OB""))),W27&lt;&gt;1),"""",SUM(FILTER($K$2:$K905,$A$2:$A905=A27,$S$2:$S905=S27,$H$2:$H905&lt;&gt;""OB"")))"),287000)</f>
        <v>287000</v>
      </c>
      <c r="W27" s="10">
        <f t="shared" si="5"/>
        <v>1</v>
      </c>
    </row>
    <row r="28" spans="1:23" ht="15.75" customHeight="1">
      <c r="A28" s="4">
        <v>610423040022</v>
      </c>
      <c r="B28" s="5" t="str">
        <f t="array" ref="B28">IF(W28=1,INDEX('Database Mitra'!$H$2:$H905,MATCH(A28,'Database Mitra'!AK$2:AK905,0)),"")</f>
        <v>Alip Susanto</v>
      </c>
      <c r="C28" s="5" t="e">
        <f t="array" ref="C28">IF(W28=1,INDEX('Database Mitra'!$E$2:$E905,MATCH(A28,'Database Mitra'!AK$2:AK905,0)),"")</f>
        <v>#VALUE!</v>
      </c>
      <c r="D28" s="4" t="s">
        <v>26</v>
      </c>
      <c r="E28" s="5" t="str">
        <f t="array" ref="E28">IF(W28=1,INDEX('Input Kegiatan'!B$2:B905,MATCH($D28,'Input Kegiatan'!$A$2:$A905,0)),"")</f>
        <v>Susenas Maret 2024</v>
      </c>
      <c r="F28" s="7">
        <f t="array" ref="F28">IF(W28=1,INDEX('Input Kegiatan'!D$2:D905,MATCH($D28,'Input Kegiatan'!$A$2:$A905,0)),"")</f>
        <v>45334</v>
      </c>
      <c r="G28" s="7">
        <f t="array" ref="G28">IF(W28=1,INDEX('Input Kegiatan'!E$2:E905,MATCH($D28,'Input Kegiatan'!$A$2:$A905,0)),"")</f>
        <v>45367</v>
      </c>
      <c r="H28" s="5" t="str">
        <f t="array" ref="H28">IF(W28=1,INDEX(Honor!$H$2:$H905,MATCH($D28&amp;"-"&amp;R28,Honor!$K$2:$K905,0)),"")</f>
        <v>Rumah Tangga</v>
      </c>
      <c r="I28" s="8">
        <f>IF(W28=1,SUMIFS(Honor!$I$2:$I905,Honor!$K$2:$K905,$D28&amp;"-"&amp;R28),"")</f>
        <v>287000</v>
      </c>
      <c r="J28" s="9">
        <f t="shared" si="6"/>
        <v>1</v>
      </c>
      <c r="K28" s="10">
        <f t="shared" si="0"/>
        <v>287000</v>
      </c>
      <c r="L28" s="11">
        <f t="shared" si="1"/>
        <v>45367</v>
      </c>
      <c r="M28" s="10">
        <f ca="1">IF(W28=1,IF(AND(U28&lt;2,INT(V28)&lt;='Batasan Honor'!$B$2),1,0),"")</f>
        <v>1</v>
      </c>
      <c r="O28" s="10">
        <f t="shared" si="2"/>
        <v>3</v>
      </c>
      <c r="P28" s="10">
        <f t="shared" si="3"/>
        <v>2024</v>
      </c>
      <c r="R28" s="4" t="s">
        <v>25</v>
      </c>
      <c r="S28" s="10" t="str">
        <f t="shared" si="4"/>
        <v>610423040022,2024,3</v>
      </c>
      <c r="U28" s="10">
        <f ca="1">IFERROR(__xludf.DUMMYFUNCTION("if(W28=1,COUNTIFS(FILTER($H$2:$H905,$H$2:$H905=""OB"",$S$2:$S905=S28),""OB""),"""")"),0)</f>
        <v>0</v>
      </c>
      <c r="V28" s="10">
        <f ca="1">IFERROR(__xludf.DUMMYFUNCTION("IF(OR(ISNA(SUM(FILTER($K$2:$K905,$A$2:$A905=A28,$S$2:$S905=S28,$H$2:$H905&lt;&gt;""OB""))),W28&lt;&gt;1),"""",SUM(FILTER($K$2:$K905,$A$2:$A905=A28,$S$2:$S905=S28,$H$2:$H905&lt;&gt;""OB"")))"),287000)</f>
        <v>287000</v>
      </c>
      <c r="W28" s="10">
        <f t="shared" si="5"/>
        <v>1</v>
      </c>
    </row>
    <row r="29" spans="1:23" ht="15.75" customHeight="1">
      <c r="A29" s="4">
        <v>610423030004</v>
      </c>
      <c r="B29" s="5" t="str">
        <f t="array" ref="B29">IF(W29=1,INDEX('Database Mitra'!$H$2:$H905,MATCH(A29,'Database Mitra'!AK$2:AK905,0)),"")</f>
        <v>Laras Nanda Julita</v>
      </c>
      <c r="C29" s="5" t="e">
        <f t="array" ref="C29">IF(W29=1,INDEX('Database Mitra'!$E$2:$E905,MATCH(A29,'Database Mitra'!AK$2:AK905,0)),"")</f>
        <v>#VALUE!</v>
      </c>
      <c r="D29" s="4" t="s">
        <v>26</v>
      </c>
      <c r="E29" s="5" t="str">
        <f t="array" ref="E29">IF(W29=1,INDEX('Input Kegiatan'!B$2:B905,MATCH($D29,'Input Kegiatan'!$A$2:$A905,0)),"")</f>
        <v>Susenas Maret 2024</v>
      </c>
      <c r="F29" s="7">
        <f t="array" ref="F29">IF(W29=1,INDEX('Input Kegiatan'!D$2:D905,MATCH($D29,'Input Kegiatan'!$A$2:$A905,0)),"")</f>
        <v>45334</v>
      </c>
      <c r="G29" s="7">
        <f t="array" ref="G29">IF(W29=1,INDEX('Input Kegiatan'!E$2:E905,MATCH($D29,'Input Kegiatan'!$A$2:$A905,0)),"")</f>
        <v>45367</v>
      </c>
      <c r="H29" s="5" t="str">
        <f t="array" ref="H29">IF(W29=1,INDEX(Honor!$H$2:$H905,MATCH($D29&amp;"-"&amp;R29,Honor!$K$2:$K905,0)),"")</f>
        <v>Rumah Tangga</v>
      </c>
      <c r="I29" s="8">
        <f>IF(W29=1,SUMIFS(Honor!$I$2:$I905,Honor!$K$2:$K905,$D29&amp;"-"&amp;R29),"")</f>
        <v>287000</v>
      </c>
      <c r="J29" s="9">
        <f t="shared" si="6"/>
        <v>1</v>
      </c>
      <c r="K29" s="10">
        <f t="shared" si="0"/>
        <v>287000</v>
      </c>
      <c r="L29" s="11">
        <f t="shared" si="1"/>
        <v>45367</v>
      </c>
      <c r="M29" s="10">
        <f ca="1">IF(W29=1,IF(AND(U29&lt;2,INT(V29)&lt;='Batasan Honor'!$B$2),1,0),"")</f>
        <v>1</v>
      </c>
      <c r="O29" s="10">
        <f t="shared" si="2"/>
        <v>3</v>
      </c>
      <c r="P29" s="10">
        <f t="shared" si="3"/>
        <v>2024</v>
      </c>
      <c r="R29" s="4" t="s">
        <v>25</v>
      </c>
      <c r="S29" s="10" t="str">
        <f t="shared" si="4"/>
        <v>610423030004,2024,3</v>
      </c>
      <c r="U29" s="10">
        <f ca="1">IFERROR(__xludf.DUMMYFUNCTION("if(W29=1,COUNTIFS(FILTER($H$2:$H905,$H$2:$H905=""OB"",$S$2:$S905=S29),""OB""),"""")"),0)</f>
        <v>0</v>
      </c>
      <c r="V29" s="10">
        <f ca="1">IFERROR(__xludf.DUMMYFUNCTION("IF(OR(ISNA(SUM(FILTER($K$2:$K905,$A$2:$A905=A29,$S$2:$S905=S29,$H$2:$H905&lt;&gt;""OB""))),W29&lt;&gt;1),"""",SUM(FILTER($K$2:$K905,$A$2:$A905=A29,$S$2:$S905=S29,$H$2:$H905&lt;&gt;""OB"")))"),287000)</f>
        <v>287000</v>
      </c>
      <c r="W29" s="10">
        <f t="shared" si="5"/>
        <v>1</v>
      </c>
    </row>
    <row r="30" spans="1:23" ht="15.75" customHeight="1">
      <c r="A30" s="4">
        <v>610423040004</v>
      </c>
      <c r="B30" s="5" t="str">
        <f t="array" ref="B30">IF(W30=1,INDEX('Database Mitra'!$H$2:$H905,MATCH(A30,'Database Mitra'!AK$2:AK905,0)),"")</f>
        <v>Ayu Agustin</v>
      </c>
      <c r="C30" s="5" t="e">
        <f t="array" ref="C30">IF(W30=1,INDEX('Database Mitra'!$E$2:$E905,MATCH(A30,'Database Mitra'!AK$2:AK905,0)),"")</f>
        <v>#VALUE!</v>
      </c>
      <c r="D30" s="4" t="s">
        <v>26</v>
      </c>
      <c r="E30" s="5" t="str">
        <f t="array" ref="E30">IF(W30=1,INDEX('Input Kegiatan'!B$2:B905,MATCH($D30,'Input Kegiatan'!$A$2:$A905,0)),"")</f>
        <v>Susenas Maret 2024</v>
      </c>
      <c r="F30" s="7">
        <f t="array" ref="F30">IF(W30=1,INDEX('Input Kegiatan'!D$2:D905,MATCH($D30,'Input Kegiatan'!$A$2:$A905,0)),"")</f>
        <v>45334</v>
      </c>
      <c r="G30" s="7">
        <f t="array" ref="G30">IF(W30=1,INDEX('Input Kegiatan'!E$2:E905,MATCH($D30,'Input Kegiatan'!$A$2:$A905,0)),"")</f>
        <v>45367</v>
      </c>
      <c r="H30" s="5" t="str">
        <f t="array" ref="H30">IF(W30=1,INDEX(Honor!$H$2:$H905,MATCH($D30&amp;"-"&amp;R30,Honor!$K$2:$K905,0)),"")</f>
        <v>Rumah Tangga</v>
      </c>
      <c r="I30" s="8">
        <f>IF(W30=1,SUMIFS(Honor!$I$2:$I905,Honor!$K$2:$K905,$D30&amp;"-"&amp;R30),"")</f>
        <v>287000</v>
      </c>
      <c r="J30" s="9">
        <f t="shared" si="6"/>
        <v>1</v>
      </c>
      <c r="K30" s="10">
        <f t="shared" si="0"/>
        <v>287000</v>
      </c>
      <c r="L30" s="11">
        <f t="shared" si="1"/>
        <v>45367</v>
      </c>
      <c r="M30" s="10">
        <f ca="1">IF(W30=1,IF(AND(U30&lt;2,INT(V30)&lt;='Batasan Honor'!$B$2),1,0),"")</f>
        <v>1</v>
      </c>
      <c r="O30" s="10">
        <f t="shared" si="2"/>
        <v>3</v>
      </c>
      <c r="P30" s="10">
        <f t="shared" si="3"/>
        <v>2024</v>
      </c>
      <c r="R30" s="4" t="s">
        <v>25</v>
      </c>
      <c r="S30" s="10" t="str">
        <f t="shared" si="4"/>
        <v>610423040004,2024,3</v>
      </c>
      <c r="U30" s="10">
        <f ca="1">IFERROR(__xludf.DUMMYFUNCTION("if(W30=1,COUNTIFS(FILTER($H$2:$H905,$H$2:$H905=""OB"",$S$2:$S905=S30),""OB""),"""")"),0)</f>
        <v>0</v>
      </c>
      <c r="V30" s="10">
        <f ca="1">IFERROR(__xludf.DUMMYFUNCTION("IF(OR(ISNA(SUM(FILTER($K$2:$K905,$A$2:$A905=A30,$S$2:$S905=S30,$H$2:$H905&lt;&gt;""OB""))),W30&lt;&gt;1),"""",SUM(FILTER($K$2:$K905,$A$2:$A905=A30,$S$2:$S905=S30,$H$2:$H905&lt;&gt;""OB"")))"),287000)</f>
        <v>287000</v>
      </c>
      <c r="W30" s="10">
        <f t="shared" si="5"/>
        <v>1</v>
      </c>
    </row>
    <row r="31" spans="1:23" ht="12.5">
      <c r="A31" s="4">
        <v>610423040006</v>
      </c>
      <c r="B31" s="5" t="str">
        <f t="array" ref="B31">IF(W31=1,INDEX('Database Mitra'!$H$2:$H905,MATCH(A31,'Database Mitra'!AK$2:AK905,0)),"")</f>
        <v>MITASYA FITRI NAINGGOLAN</v>
      </c>
      <c r="C31" s="5" t="e">
        <f t="array" ref="C31">IF(W31=1,INDEX('Database Mitra'!$E$2:$E905,MATCH(A31,'Database Mitra'!AK$2:AK905,0)),"")</f>
        <v>#VALUE!</v>
      </c>
      <c r="D31" s="4" t="s">
        <v>26</v>
      </c>
      <c r="E31" s="5" t="str">
        <f t="array" ref="E31">IF(W31=1,INDEX('Input Kegiatan'!B$2:B905,MATCH($D31,'Input Kegiatan'!$A$2:$A905,0)),"")</f>
        <v>Susenas Maret 2024</v>
      </c>
      <c r="F31" s="7">
        <f t="array" ref="F31">IF(W31=1,INDEX('Input Kegiatan'!D$2:D905,MATCH($D31,'Input Kegiatan'!$A$2:$A905,0)),"")</f>
        <v>45334</v>
      </c>
      <c r="G31" s="7">
        <f t="array" ref="G31">IF(W31=1,INDEX('Input Kegiatan'!E$2:E905,MATCH($D31,'Input Kegiatan'!$A$2:$A905,0)),"")</f>
        <v>45367</v>
      </c>
      <c r="H31" s="5" t="str">
        <f t="array" ref="H31">IF(W31=1,INDEX(Honor!$H$2:$H905,MATCH($D31&amp;"-"&amp;R31,Honor!$K$2:$K905,0)),"")</f>
        <v>Rumah Tangga</v>
      </c>
      <c r="I31" s="8">
        <f>IF(W31=1,SUMIFS(Honor!$I$2:$I905,Honor!$K$2:$K905,$D31&amp;"-"&amp;R31),"")</f>
        <v>287000</v>
      </c>
      <c r="J31" s="9">
        <f t="shared" si="6"/>
        <v>1</v>
      </c>
      <c r="K31" s="10">
        <f t="shared" si="0"/>
        <v>287000</v>
      </c>
      <c r="L31" s="11">
        <f t="shared" si="1"/>
        <v>45367</v>
      </c>
      <c r="M31" s="10">
        <f ca="1">IF(W31=1,IF(AND(U31&lt;2,INT(V31)&lt;='Batasan Honor'!$B$2),1,0),"")</f>
        <v>1</v>
      </c>
      <c r="O31" s="10">
        <f t="shared" si="2"/>
        <v>3</v>
      </c>
      <c r="P31" s="10">
        <f t="shared" si="3"/>
        <v>2024</v>
      </c>
      <c r="R31" s="4" t="s">
        <v>25</v>
      </c>
      <c r="S31" s="10" t="str">
        <f t="shared" si="4"/>
        <v>610423040006,2024,3</v>
      </c>
      <c r="U31" s="10">
        <f ca="1">IFERROR(__xludf.DUMMYFUNCTION("if(W31=1,COUNTIFS(FILTER($H$2:$H905,$H$2:$H905=""OB"",$S$2:$S905=S31),""OB""),"""")"),0)</f>
        <v>0</v>
      </c>
      <c r="V31" s="10">
        <f ca="1">IFERROR(__xludf.DUMMYFUNCTION("IF(OR(ISNA(SUM(FILTER($K$2:$K905,$A$2:$A905=A31,$S$2:$S905=S31,$H$2:$H905&lt;&gt;""OB""))),W31&lt;&gt;1),"""",SUM(FILTER($K$2:$K905,$A$2:$A905=A31,$S$2:$S905=S31,$H$2:$H905&lt;&gt;""OB"")))"),287000)</f>
        <v>287000</v>
      </c>
      <c r="W31" s="10">
        <f t="shared" si="5"/>
        <v>1</v>
      </c>
    </row>
    <row r="32" spans="1:23" ht="12.5">
      <c r="A32" s="4">
        <v>610423040013</v>
      </c>
      <c r="B32" s="5" t="str">
        <f t="array" ref="B32">IF(W32=1,INDEX('Database Mitra'!$H$2:$H905,MATCH(A32,'Database Mitra'!AK$2:AK905,0)),"")</f>
        <v>Lulu Gesti Gunawati</v>
      </c>
      <c r="C32" s="5" t="e">
        <f t="array" ref="C32">IF(W32=1,INDEX('Database Mitra'!$E$2:$E905,MATCH(A32,'Database Mitra'!AK$2:AK905,0)),"")</f>
        <v>#VALUE!</v>
      </c>
      <c r="D32" s="4" t="s">
        <v>26</v>
      </c>
      <c r="E32" s="5" t="str">
        <f t="array" ref="E32">IF(W32=1,INDEX('Input Kegiatan'!B$2:B905,MATCH($D32,'Input Kegiatan'!$A$2:$A905,0)),"")</f>
        <v>Susenas Maret 2024</v>
      </c>
      <c r="F32" s="7">
        <f t="array" ref="F32">IF(W32=1,INDEX('Input Kegiatan'!D$2:D905,MATCH($D32,'Input Kegiatan'!$A$2:$A905,0)),"")</f>
        <v>45334</v>
      </c>
      <c r="G32" s="7">
        <f t="array" ref="G32">IF(W32=1,INDEX('Input Kegiatan'!E$2:E905,MATCH($D32,'Input Kegiatan'!$A$2:$A905,0)),"")</f>
        <v>45367</v>
      </c>
      <c r="H32" s="5" t="str">
        <f t="array" ref="H32">IF(W32=1,INDEX(Honor!$H$2:$H905,MATCH($D32&amp;"-"&amp;R32,Honor!$K$2:$K905,0)),"")</f>
        <v>Rumah Tangga</v>
      </c>
      <c r="I32" s="8">
        <f>IF(W32=1,SUMIFS(Honor!$I$2:$I905,Honor!$K$2:$K905,$D32&amp;"-"&amp;R32),"")</f>
        <v>287000</v>
      </c>
      <c r="J32" s="9">
        <f t="shared" si="6"/>
        <v>1</v>
      </c>
      <c r="K32" s="10">
        <f t="shared" si="0"/>
        <v>287000</v>
      </c>
      <c r="L32" s="11">
        <f t="shared" si="1"/>
        <v>45367</v>
      </c>
      <c r="M32" s="10">
        <f ca="1">IF(W32=1,IF(AND(U32&lt;2,INT(V32)&lt;='Batasan Honor'!$B$2),1,0),"")</f>
        <v>1</v>
      </c>
      <c r="O32" s="10">
        <f t="shared" si="2"/>
        <v>3</v>
      </c>
      <c r="P32" s="10">
        <f t="shared" si="3"/>
        <v>2024</v>
      </c>
      <c r="R32" s="4" t="s">
        <v>25</v>
      </c>
      <c r="S32" s="10" t="str">
        <f t="shared" si="4"/>
        <v>610423040013,2024,3</v>
      </c>
      <c r="U32" s="10">
        <f ca="1">IFERROR(__xludf.DUMMYFUNCTION("if(W32=1,COUNTIFS(FILTER($H$2:$H905,$H$2:$H905=""OB"",$S$2:$S905=S32),""OB""),"""")"),0)</f>
        <v>0</v>
      </c>
      <c r="V32" s="10">
        <f ca="1">IFERROR(__xludf.DUMMYFUNCTION("IF(OR(ISNA(SUM(FILTER($K$2:$K905,$A$2:$A905=A32,$S$2:$S905=S32,$H$2:$H905&lt;&gt;""OB""))),W32&lt;&gt;1),"""",SUM(FILTER($K$2:$K905,$A$2:$A905=A32,$S$2:$S905=S32,$H$2:$H905&lt;&gt;""OB"")))"),287000)</f>
        <v>287000</v>
      </c>
      <c r="W32" s="10">
        <f t="shared" si="5"/>
        <v>1</v>
      </c>
    </row>
    <row r="33" spans="1:23" ht="12.5">
      <c r="A33" s="4">
        <v>610423090019</v>
      </c>
      <c r="B33" s="5" t="str">
        <f t="array" ref="B33">IF(W33=1,INDEX('Database Mitra'!$H$2:$H905,MATCH(A33,'Database Mitra'!AK$2:AK905,0)),"")</f>
        <v>Nurul Huda</v>
      </c>
      <c r="C33" s="5" t="e">
        <f t="array" ref="C33">IF(W33=1,INDEX('Database Mitra'!$E$2:$E905,MATCH(A33,'Database Mitra'!AK$2:AK905,0)),"")</f>
        <v>#VALUE!</v>
      </c>
      <c r="D33" s="4" t="s">
        <v>26</v>
      </c>
      <c r="E33" s="5" t="str">
        <f t="array" ref="E33">IF(W33=1,INDEX('Input Kegiatan'!B$2:B905,MATCH($D33,'Input Kegiatan'!$A$2:$A905,0)),"")</f>
        <v>Susenas Maret 2024</v>
      </c>
      <c r="F33" s="7">
        <f t="array" ref="F33">IF(W33=1,INDEX('Input Kegiatan'!D$2:D905,MATCH($D33,'Input Kegiatan'!$A$2:$A905,0)),"")</f>
        <v>45334</v>
      </c>
      <c r="G33" s="7">
        <f t="array" ref="G33">IF(W33=1,INDEX('Input Kegiatan'!E$2:E905,MATCH($D33,'Input Kegiatan'!$A$2:$A905,0)),"")</f>
        <v>45367</v>
      </c>
      <c r="H33" s="5" t="str">
        <f t="array" ref="H33">IF(W33=1,INDEX(Honor!$H$2:$H905,MATCH($D33&amp;"-"&amp;R33,Honor!$K$2:$K905,0)),"")</f>
        <v>Rumah Tangga</v>
      </c>
      <c r="I33" s="8">
        <f>IF(W33=1,SUMIFS(Honor!$I$2:$I905,Honor!$K$2:$K905,$D33&amp;"-"&amp;R33),"")</f>
        <v>287000</v>
      </c>
      <c r="J33" s="9">
        <f t="shared" si="6"/>
        <v>1</v>
      </c>
      <c r="K33" s="10">
        <f t="shared" si="0"/>
        <v>287000</v>
      </c>
      <c r="L33" s="11">
        <f t="shared" si="1"/>
        <v>45367</v>
      </c>
      <c r="M33" s="10">
        <f ca="1">IF(W33=1,IF(AND(U33&lt;2,INT(V33)&lt;='Batasan Honor'!$B$2),1,0),"")</f>
        <v>1</v>
      </c>
      <c r="O33" s="10">
        <f t="shared" si="2"/>
        <v>3</v>
      </c>
      <c r="P33" s="10">
        <f t="shared" si="3"/>
        <v>2024</v>
      </c>
      <c r="R33" s="4" t="s">
        <v>25</v>
      </c>
      <c r="S33" s="10" t="str">
        <f t="shared" si="4"/>
        <v>610423090019,2024,3</v>
      </c>
      <c r="U33" s="10">
        <f ca="1">IFERROR(__xludf.DUMMYFUNCTION("if(W33=1,COUNTIFS(FILTER($H$2:$H905,$H$2:$H905=""OB"",$S$2:$S905=S33),""OB""),"""")"),0)</f>
        <v>0</v>
      </c>
      <c r="V33" s="10">
        <f ca="1">IFERROR(__xludf.DUMMYFUNCTION("IF(OR(ISNA(SUM(FILTER($K$2:$K905,$A$2:$A905=A33,$S$2:$S905=S33,$H$2:$H905&lt;&gt;""OB""))),W33&lt;&gt;1),"""",SUM(FILTER($K$2:$K905,$A$2:$A905=A33,$S$2:$S905=S33,$H$2:$H905&lt;&gt;""OB"")))"),287000)</f>
        <v>287000</v>
      </c>
      <c r="W33" s="10">
        <f t="shared" si="5"/>
        <v>1</v>
      </c>
    </row>
    <row r="34" spans="1:23" ht="12.5">
      <c r="A34" s="4">
        <v>610422100165</v>
      </c>
      <c r="B34" s="5" t="str">
        <f t="array" ref="B34">IF(W34=1,INDEX('Database Mitra'!$H$2:$H905,MATCH(A34,'Database Mitra'!AK$2:AK905,0)),"")</f>
        <v>Yanti</v>
      </c>
      <c r="C34" s="5" t="e">
        <f t="array" ref="C34">IF(W34=1,INDEX('Database Mitra'!$E$2:$E905,MATCH(A34,'Database Mitra'!AK$2:AK905,0)),"")</f>
        <v>#VALUE!</v>
      </c>
      <c r="D34" s="4" t="s">
        <v>26</v>
      </c>
      <c r="E34" s="5" t="str">
        <f t="array" ref="E34">IF(W34=1,INDEX('Input Kegiatan'!B$2:B905,MATCH($D34,'Input Kegiatan'!$A$2:$A905,0)),"")</f>
        <v>Susenas Maret 2024</v>
      </c>
      <c r="F34" s="7">
        <f t="array" ref="F34">IF(W34=1,INDEX('Input Kegiatan'!D$2:D905,MATCH($D34,'Input Kegiatan'!$A$2:$A905,0)),"")</f>
        <v>45334</v>
      </c>
      <c r="G34" s="7">
        <f t="array" ref="G34">IF(W34=1,INDEX('Input Kegiatan'!E$2:E905,MATCH($D34,'Input Kegiatan'!$A$2:$A905,0)),"")</f>
        <v>45367</v>
      </c>
      <c r="H34" s="5" t="str">
        <f t="array" ref="H34">IF(W34=1,INDEX(Honor!$H$2:$H905,MATCH($D34&amp;"-"&amp;R34,Honor!$K$2:$K905,0)),"")</f>
        <v>Rumah Tangga</v>
      </c>
      <c r="I34" s="8">
        <f>IF(W34=1,SUMIFS(Honor!$I$2:$I905,Honor!$K$2:$K905,$D34&amp;"-"&amp;R34),"")</f>
        <v>287000</v>
      </c>
      <c r="J34" s="9">
        <f t="shared" si="6"/>
        <v>1</v>
      </c>
      <c r="K34" s="10">
        <f t="shared" si="0"/>
        <v>287000</v>
      </c>
      <c r="L34" s="11">
        <f t="shared" si="1"/>
        <v>45367</v>
      </c>
      <c r="M34" s="10">
        <f ca="1">IF(W34=1,IF(AND(U34&lt;2,INT(V34)&lt;='Batasan Honor'!$B$2),1,0),"")</f>
        <v>1</v>
      </c>
      <c r="O34" s="10">
        <f t="shared" si="2"/>
        <v>3</v>
      </c>
      <c r="P34" s="10">
        <f t="shared" si="3"/>
        <v>2024</v>
      </c>
      <c r="R34" s="4" t="s">
        <v>25</v>
      </c>
      <c r="S34" s="10" t="str">
        <f t="shared" si="4"/>
        <v>610422100165,2024,3</v>
      </c>
      <c r="U34" s="10">
        <f ca="1">IFERROR(__xludf.DUMMYFUNCTION("if(W34=1,COUNTIFS(FILTER($H$2:$H905,$H$2:$H905=""OB"",$S$2:$S905=S34),""OB""),"""")"),0)</f>
        <v>0</v>
      </c>
      <c r="V34" s="10">
        <f ca="1">IFERROR(__xludf.DUMMYFUNCTION("IF(OR(ISNA(SUM(FILTER($K$2:$K905,$A$2:$A905=A34,$S$2:$S905=S34,$H$2:$H905&lt;&gt;""OB""))),W34&lt;&gt;1),"""",SUM(FILTER($K$2:$K905,$A$2:$A905=A34,$S$2:$S905=S34,$H$2:$H905&lt;&gt;""OB"")))"),287000)</f>
        <v>287000</v>
      </c>
      <c r="W34" s="10">
        <f t="shared" si="5"/>
        <v>1</v>
      </c>
    </row>
    <row r="35" spans="1:23" ht="12.5">
      <c r="A35" s="4">
        <v>610422100139</v>
      </c>
      <c r="B35" s="5" t="str">
        <f t="array" ref="B35">IF(W35=1,INDEX('Database Mitra'!$H$2:$H905,MATCH(A35,'Database Mitra'!AK$2:AK905,0)),"")</f>
        <v>Winda Dwi Ananda</v>
      </c>
      <c r="C35" s="5" t="e">
        <f t="array" ref="C35">IF(W35=1,INDEX('Database Mitra'!$E$2:$E905,MATCH(A35,'Database Mitra'!AK$2:AK905,0)),"")</f>
        <v>#VALUE!</v>
      </c>
      <c r="D35" s="4" t="s">
        <v>26</v>
      </c>
      <c r="E35" s="5" t="str">
        <f t="array" ref="E35">IF(W35=1,INDEX('Input Kegiatan'!B$2:B905,MATCH($D35,'Input Kegiatan'!$A$2:$A905,0)),"")</f>
        <v>Susenas Maret 2024</v>
      </c>
      <c r="F35" s="7">
        <f t="array" ref="F35">IF(W35=1,INDEX('Input Kegiatan'!D$2:D905,MATCH($D35,'Input Kegiatan'!$A$2:$A905,0)),"")</f>
        <v>45334</v>
      </c>
      <c r="G35" s="7">
        <f t="array" ref="G35">IF(W35=1,INDEX('Input Kegiatan'!E$2:E905,MATCH($D35,'Input Kegiatan'!$A$2:$A905,0)),"")</f>
        <v>45367</v>
      </c>
      <c r="H35" s="5" t="str">
        <f t="array" ref="H35">IF(W35=1,INDEX(Honor!$H$2:$H905,MATCH($D35&amp;"-"&amp;R35,Honor!$K$2:$K905,0)),"")</f>
        <v>Rumah Tangga</v>
      </c>
      <c r="I35" s="8">
        <f>IF(W35=1,SUMIFS(Honor!$I$2:$I905,Honor!$K$2:$K905,$D35&amp;"-"&amp;R35),"")</f>
        <v>287000</v>
      </c>
      <c r="J35" s="9">
        <f t="shared" si="6"/>
        <v>1</v>
      </c>
      <c r="K35" s="10">
        <f t="shared" si="0"/>
        <v>287000</v>
      </c>
      <c r="L35" s="11">
        <f t="shared" si="1"/>
        <v>45367</v>
      </c>
      <c r="M35" s="10">
        <f ca="1">IF(W35=1,IF(AND(U35&lt;2,INT(V35)&lt;='Batasan Honor'!$B$2),1,0),"")</f>
        <v>1</v>
      </c>
      <c r="O35" s="10">
        <f t="shared" si="2"/>
        <v>3</v>
      </c>
      <c r="P35" s="10">
        <f t="shared" si="3"/>
        <v>2024</v>
      </c>
      <c r="R35" s="4" t="s">
        <v>25</v>
      </c>
      <c r="S35" s="10" t="str">
        <f t="shared" si="4"/>
        <v>610422100139,2024,3</v>
      </c>
      <c r="U35" s="10">
        <f ca="1">IFERROR(__xludf.DUMMYFUNCTION("if(W35=1,COUNTIFS(FILTER($H$2:$H905,$H$2:$H905=""OB"",$S$2:$S905=S35),""OB""),"""")"),0)</f>
        <v>0</v>
      </c>
      <c r="V35" s="10">
        <f ca="1">IFERROR(__xludf.DUMMYFUNCTION("IF(OR(ISNA(SUM(FILTER($K$2:$K905,$A$2:$A905=A35,$S$2:$S905=S35,$H$2:$H905&lt;&gt;""OB""))),W35&lt;&gt;1),"""",SUM(FILTER($K$2:$K905,$A$2:$A905=A35,$S$2:$S905=S35,$H$2:$H905&lt;&gt;""OB"")))"),287000)</f>
        <v>287000</v>
      </c>
      <c r="W35" s="10">
        <f t="shared" si="5"/>
        <v>1</v>
      </c>
    </row>
    <row r="36" spans="1:23" ht="12.5">
      <c r="A36" s="4">
        <v>610422100137</v>
      </c>
      <c r="B36" s="5" t="str">
        <f t="array" ref="B36">IF(W36=1,INDEX('Database Mitra'!$H$2:$H905,MATCH(A36,'Database Mitra'!AK$2:AK905,0)),"")</f>
        <v>MASTURI</v>
      </c>
      <c r="C36" s="5" t="e">
        <f t="array" ref="C36">IF(W36=1,INDEX('Database Mitra'!$E$2:$E905,MATCH(A36,'Database Mitra'!AK$2:AK905,0)),"")</f>
        <v>#VALUE!</v>
      </c>
      <c r="D36" s="4" t="s">
        <v>26</v>
      </c>
      <c r="E36" s="5" t="str">
        <f t="array" ref="E36">IF(W36=1,INDEX('Input Kegiatan'!B$2:B905,MATCH($D36,'Input Kegiatan'!$A$2:$A905,0)),"")</f>
        <v>Susenas Maret 2024</v>
      </c>
      <c r="F36" s="7">
        <f t="array" ref="F36">IF(W36=1,INDEX('Input Kegiatan'!D$2:D905,MATCH($D36,'Input Kegiatan'!$A$2:$A905,0)),"")</f>
        <v>45334</v>
      </c>
      <c r="G36" s="7">
        <f t="array" ref="G36">IF(W36=1,INDEX('Input Kegiatan'!E$2:E905,MATCH($D36,'Input Kegiatan'!$A$2:$A905,0)),"")</f>
        <v>45367</v>
      </c>
      <c r="H36" s="5" t="str">
        <f t="array" ref="H36">IF(W36=1,INDEX(Honor!$H$2:$H905,MATCH($D36&amp;"-"&amp;R36,Honor!$K$2:$K905,0)),"")</f>
        <v>Rumah Tangga</v>
      </c>
      <c r="I36" s="8">
        <f>IF(W36=1,SUMIFS(Honor!$I$2:$I905,Honor!$K$2:$K905,$D36&amp;"-"&amp;R36),"")</f>
        <v>287000</v>
      </c>
      <c r="J36" s="9">
        <f t="shared" si="6"/>
        <v>1</v>
      </c>
      <c r="K36" s="10">
        <f t="shared" si="0"/>
        <v>287000</v>
      </c>
      <c r="L36" s="11">
        <f t="shared" si="1"/>
        <v>45367</v>
      </c>
      <c r="M36" s="10">
        <f ca="1">IF(W36=1,IF(AND(U36&lt;2,INT(V36)&lt;='Batasan Honor'!$B$2),1,0),"")</f>
        <v>1</v>
      </c>
      <c r="O36" s="10">
        <f t="shared" si="2"/>
        <v>3</v>
      </c>
      <c r="P36" s="10">
        <f t="shared" si="3"/>
        <v>2024</v>
      </c>
      <c r="R36" s="4" t="s">
        <v>25</v>
      </c>
      <c r="S36" s="10" t="str">
        <f t="shared" si="4"/>
        <v>610422100137,2024,3</v>
      </c>
      <c r="U36" s="10">
        <f ca="1">IFERROR(__xludf.DUMMYFUNCTION("if(W36=1,COUNTIFS(FILTER($H$2:$H905,$H$2:$H905=""OB"",$S$2:$S905=S36),""OB""),"""")"),0)</f>
        <v>0</v>
      </c>
      <c r="V36" s="10">
        <f ca="1">IFERROR(__xludf.DUMMYFUNCTION("IF(OR(ISNA(SUM(FILTER($K$2:$K905,$A$2:$A905=A36,$S$2:$S905=S36,$H$2:$H905&lt;&gt;""OB""))),W36&lt;&gt;1),"""",SUM(FILTER($K$2:$K905,$A$2:$A905=A36,$S$2:$S905=S36,$H$2:$H905&lt;&gt;""OB"")))"),287000)</f>
        <v>287000</v>
      </c>
      <c r="W36" s="10">
        <f t="shared" si="5"/>
        <v>1</v>
      </c>
    </row>
    <row r="37" spans="1:23" ht="12.5">
      <c r="A37" s="4">
        <v>610422100144</v>
      </c>
      <c r="B37" s="5" t="str">
        <f t="array" ref="B37">IF(W37=1,INDEX('Database Mitra'!$H$2:$H905,MATCH(A37,'Database Mitra'!AK$2:AK905,0)),"")</f>
        <v>Irfan faozi sunaryo</v>
      </c>
      <c r="C37" s="5" t="e">
        <f t="array" ref="C37">IF(W37=1,INDEX('Database Mitra'!$E$2:$E905,MATCH(A37,'Database Mitra'!AK$2:AK905,0)),"")</f>
        <v>#VALUE!</v>
      </c>
      <c r="D37" s="4" t="s">
        <v>26</v>
      </c>
      <c r="E37" s="5" t="str">
        <f t="array" ref="E37">IF(W37=1,INDEX('Input Kegiatan'!B$2:B905,MATCH($D37,'Input Kegiatan'!$A$2:$A905,0)),"")</f>
        <v>Susenas Maret 2024</v>
      </c>
      <c r="F37" s="7">
        <f t="array" ref="F37">IF(W37=1,INDEX('Input Kegiatan'!D$2:D905,MATCH($D37,'Input Kegiatan'!$A$2:$A905,0)),"")</f>
        <v>45334</v>
      </c>
      <c r="G37" s="7">
        <f t="array" ref="G37">IF(W37=1,INDEX('Input Kegiatan'!E$2:E905,MATCH($D37,'Input Kegiatan'!$A$2:$A905,0)),"")</f>
        <v>45367</v>
      </c>
      <c r="H37" s="5" t="str">
        <f t="array" ref="H37">IF(W37=1,INDEX(Honor!$H$2:$H905,MATCH($D37&amp;"-"&amp;R37,Honor!$K$2:$K905,0)),"")</f>
        <v>Rumah Tangga</v>
      </c>
      <c r="I37" s="8">
        <f>IF(W37=1,SUMIFS(Honor!$I$2:$I905,Honor!$K$2:$K905,$D37&amp;"-"&amp;R37),"")</f>
        <v>287000</v>
      </c>
      <c r="J37" s="9">
        <f t="shared" si="6"/>
        <v>1</v>
      </c>
      <c r="K37" s="10">
        <f t="shared" si="0"/>
        <v>287000</v>
      </c>
      <c r="L37" s="11">
        <f t="shared" si="1"/>
        <v>45367</v>
      </c>
      <c r="M37" s="10">
        <f ca="1">IF(W37=1,IF(AND(U37&lt;2,INT(V37)&lt;='Batasan Honor'!$B$2),1,0),"")</f>
        <v>1</v>
      </c>
      <c r="O37" s="10">
        <f t="shared" si="2"/>
        <v>3</v>
      </c>
      <c r="P37" s="10">
        <f t="shared" si="3"/>
        <v>2024</v>
      </c>
      <c r="R37" s="4" t="s">
        <v>25</v>
      </c>
      <c r="S37" s="10" t="str">
        <f t="shared" si="4"/>
        <v>610422100144,2024,3</v>
      </c>
      <c r="U37" s="10">
        <f ca="1">IFERROR(__xludf.DUMMYFUNCTION("if(W37=1,COUNTIFS(FILTER($H$2:$H905,$H$2:$H905=""OB"",$S$2:$S905=S37),""OB""),"""")"),0)</f>
        <v>0</v>
      </c>
      <c r="V37" s="10">
        <f ca="1">IFERROR(__xludf.DUMMYFUNCTION("IF(OR(ISNA(SUM(FILTER($K$2:$K905,$A$2:$A905=A37,$S$2:$S905=S37,$H$2:$H905&lt;&gt;""OB""))),W37&lt;&gt;1),"""",SUM(FILTER($K$2:$K905,$A$2:$A905=A37,$S$2:$S905=S37,$H$2:$H905&lt;&gt;""OB"")))"),287000)</f>
        <v>287000</v>
      </c>
      <c r="W37" s="10">
        <f t="shared" si="5"/>
        <v>1</v>
      </c>
    </row>
    <row r="38" spans="1:23" ht="12.5">
      <c r="A38" s="4">
        <v>610422100236</v>
      </c>
      <c r="B38" s="5" t="str">
        <f t="array" ref="B38">IF(W38=1,INDEX('Database Mitra'!$H$2:$H905,MATCH(A38,'Database Mitra'!AK$2:AK905,0)),"")</f>
        <v>Tesa</v>
      </c>
      <c r="C38" s="5" t="e">
        <f t="array" ref="C38">IF(W38=1,INDEX('Database Mitra'!$E$2:$E905,MATCH(A38,'Database Mitra'!AK$2:AK905,0)),"")</f>
        <v>#VALUE!</v>
      </c>
      <c r="D38" s="4" t="s">
        <v>26</v>
      </c>
      <c r="E38" s="5" t="str">
        <f t="array" ref="E38">IF(W38=1,INDEX('Input Kegiatan'!B$2:B905,MATCH($D38,'Input Kegiatan'!$A$2:$A905,0)),"")</f>
        <v>Susenas Maret 2024</v>
      </c>
      <c r="F38" s="7">
        <f t="array" ref="F38">IF(W38=1,INDEX('Input Kegiatan'!D$2:D905,MATCH($D38,'Input Kegiatan'!$A$2:$A905,0)),"")</f>
        <v>45334</v>
      </c>
      <c r="G38" s="7">
        <f t="array" ref="G38">IF(W38=1,INDEX('Input Kegiatan'!E$2:E905,MATCH($D38,'Input Kegiatan'!$A$2:$A905,0)),"")</f>
        <v>45367</v>
      </c>
      <c r="H38" s="5" t="str">
        <f t="array" ref="H38">IF(W38=1,INDEX(Honor!$H$2:$H905,MATCH($D38&amp;"-"&amp;R38,Honor!$K$2:$K905,0)),"")</f>
        <v>Rumah Tangga</v>
      </c>
      <c r="I38" s="8">
        <f>IF(W38=1,SUMIFS(Honor!$I$2:$I905,Honor!$K$2:$K905,$D38&amp;"-"&amp;R38),"")</f>
        <v>287000</v>
      </c>
      <c r="J38" s="9">
        <f t="shared" si="6"/>
        <v>1</v>
      </c>
      <c r="K38" s="10">
        <f t="shared" si="0"/>
        <v>287000</v>
      </c>
      <c r="L38" s="11">
        <f t="shared" si="1"/>
        <v>45367</v>
      </c>
      <c r="M38" s="10">
        <f ca="1">IF(W38=1,IF(AND(U38&lt;2,INT(V38)&lt;='Batasan Honor'!$B$2),1,0),"")</f>
        <v>1</v>
      </c>
      <c r="O38" s="10">
        <f t="shared" si="2"/>
        <v>3</v>
      </c>
      <c r="P38" s="10">
        <f t="shared" si="3"/>
        <v>2024</v>
      </c>
      <c r="R38" s="4" t="s">
        <v>25</v>
      </c>
      <c r="S38" s="10" t="str">
        <f t="shared" si="4"/>
        <v>610422100236,2024,3</v>
      </c>
      <c r="U38" s="10">
        <f ca="1">IFERROR(__xludf.DUMMYFUNCTION("if(W38=1,COUNTIFS(FILTER($H$2:$H905,$H$2:$H905=""OB"",$S$2:$S905=S38),""OB""),"""")"),0)</f>
        <v>0</v>
      </c>
      <c r="V38" s="10">
        <f ca="1">IFERROR(__xludf.DUMMYFUNCTION("IF(OR(ISNA(SUM(FILTER($K$2:$K905,$A$2:$A905=A38,$S$2:$S905=S38,$H$2:$H905&lt;&gt;""OB""))),W38&lt;&gt;1),"""",SUM(FILTER($K$2:$K905,$A$2:$A905=A38,$S$2:$S905=S38,$H$2:$H905&lt;&gt;""OB"")))"),287000)</f>
        <v>287000</v>
      </c>
      <c r="W38" s="10">
        <f t="shared" si="5"/>
        <v>1</v>
      </c>
    </row>
    <row r="39" spans="1:23" ht="12.5">
      <c r="A39" s="4">
        <v>610422100016</v>
      </c>
      <c r="B39" s="5" t="str">
        <f t="array" ref="B39">IF(W39=1,INDEX('Database Mitra'!$H$2:$H905,MATCH(A39,'Database Mitra'!AK$2:AK905,0)),"")</f>
        <v>Amalia Faisya</v>
      </c>
      <c r="C39" s="5" t="e">
        <f t="array" ref="C39">IF(W39=1,INDEX('Database Mitra'!$E$2:$E905,MATCH(A39,'Database Mitra'!AK$2:AK905,0)),"")</f>
        <v>#VALUE!</v>
      </c>
      <c r="D39" s="4" t="s">
        <v>26</v>
      </c>
      <c r="E39" s="5" t="str">
        <f t="array" ref="E39">IF(W39=1,INDEX('Input Kegiatan'!B$2:B905,MATCH($D39,'Input Kegiatan'!$A$2:$A905,0)),"")</f>
        <v>Susenas Maret 2024</v>
      </c>
      <c r="F39" s="7">
        <f t="array" ref="F39">IF(W39=1,INDEX('Input Kegiatan'!D$2:D905,MATCH($D39,'Input Kegiatan'!$A$2:$A905,0)),"")</f>
        <v>45334</v>
      </c>
      <c r="G39" s="7">
        <f t="array" ref="G39">IF(W39=1,INDEX('Input Kegiatan'!E$2:E905,MATCH($D39,'Input Kegiatan'!$A$2:$A905,0)),"")</f>
        <v>45367</v>
      </c>
      <c r="H39" s="5" t="str">
        <f t="array" ref="H39">IF(W39=1,INDEX(Honor!$H$2:$H905,MATCH($D39&amp;"-"&amp;R39,Honor!$K$2:$K905,0)),"")</f>
        <v>Rumah Tangga</v>
      </c>
      <c r="I39" s="8">
        <f>IF(W39=1,SUMIFS(Honor!$I$2:$I905,Honor!$K$2:$K905,$D39&amp;"-"&amp;R39),"")</f>
        <v>287000</v>
      </c>
      <c r="J39" s="9">
        <f t="shared" si="6"/>
        <v>1</v>
      </c>
      <c r="K39" s="10">
        <f t="shared" si="0"/>
        <v>287000</v>
      </c>
      <c r="L39" s="11">
        <f t="shared" si="1"/>
        <v>45367</v>
      </c>
      <c r="M39" s="10">
        <f ca="1">IF(W39=1,IF(AND(U39&lt;2,INT(V39)&lt;='Batasan Honor'!$B$2),1,0),"")</f>
        <v>1</v>
      </c>
      <c r="O39" s="10">
        <f t="shared" si="2"/>
        <v>3</v>
      </c>
      <c r="P39" s="10">
        <f t="shared" si="3"/>
        <v>2024</v>
      </c>
      <c r="R39" s="4" t="s">
        <v>25</v>
      </c>
      <c r="S39" s="10" t="str">
        <f t="shared" si="4"/>
        <v>610422100016,2024,3</v>
      </c>
      <c r="U39" s="10">
        <f ca="1">IFERROR(__xludf.DUMMYFUNCTION("if(W39=1,COUNTIFS(FILTER($H$2:$H905,$H$2:$H905=""OB"",$S$2:$S905=S39),""OB""),"""")"),0)</f>
        <v>0</v>
      </c>
      <c r="V39" s="10">
        <f ca="1">IFERROR(__xludf.DUMMYFUNCTION("IF(OR(ISNA(SUM(FILTER($K$2:$K905,$A$2:$A905=A39,$S$2:$S905=S39,$H$2:$H905&lt;&gt;""OB""))),W39&lt;&gt;1),"""",SUM(FILTER($K$2:$K905,$A$2:$A905=A39,$S$2:$S905=S39,$H$2:$H905&lt;&gt;""OB"")))"),287000)</f>
        <v>287000</v>
      </c>
      <c r="W39" s="10">
        <f t="shared" si="5"/>
        <v>1</v>
      </c>
    </row>
    <row r="40" spans="1:23" ht="12.5">
      <c r="A40" s="4">
        <v>610422100101</v>
      </c>
      <c r="B40" s="5" t="str">
        <f t="array" ref="B40">IF(W40=1,INDEX('Database Mitra'!$H$2:$H905,MATCH(A40,'Database Mitra'!AK$2:AK905,0)),"")</f>
        <v>SUKMAWATI,S.SI</v>
      </c>
      <c r="C40" s="5" t="e">
        <f t="array" ref="C40">IF(W40=1,INDEX('Database Mitra'!$E$2:$E905,MATCH(A40,'Database Mitra'!AK$2:AK905,0)),"")</f>
        <v>#VALUE!</v>
      </c>
      <c r="D40" s="4" t="s">
        <v>26</v>
      </c>
      <c r="E40" s="5" t="str">
        <f t="array" ref="E40">IF(W40=1,INDEX('Input Kegiatan'!B$2:B905,MATCH($D40,'Input Kegiatan'!$A$2:$A905,0)),"")</f>
        <v>Susenas Maret 2024</v>
      </c>
      <c r="F40" s="7">
        <f t="array" ref="F40">IF(W40=1,INDEX('Input Kegiatan'!D$2:D905,MATCH($D40,'Input Kegiatan'!$A$2:$A905,0)),"")</f>
        <v>45334</v>
      </c>
      <c r="G40" s="7">
        <f t="array" ref="G40">IF(W40=1,INDEX('Input Kegiatan'!E$2:E905,MATCH($D40,'Input Kegiatan'!$A$2:$A905,0)),"")</f>
        <v>45367</v>
      </c>
      <c r="H40" s="5" t="str">
        <f t="array" ref="H40">IF(W40=1,INDEX(Honor!$H$2:$H905,MATCH($D40&amp;"-"&amp;R40,Honor!$K$2:$K905,0)),"")</f>
        <v>Rumah Tangga</v>
      </c>
      <c r="I40" s="8">
        <f>IF(W40=1,SUMIFS(Honor!$I$2:$I905,Honor!$K$2:$K905,$D40&amp;"-"&amp;R40),"")</f>
        <v>287000</v>
      </c>
      <c r="J40" s="9">
        <f t="shared" si="6"/>
        <v>1</v>
      </c>
      <c r="K40" s="10">
        <f t="shared" si="0"/>
        <v>287000</v>
      </c>
      <c r="L40" s="11">
        <f t="shared" si="1"/>
        <v>45367</v>
      </c>
      <c r="M40" s="10">
        <f ca="1">IF(W40=1,IF(AND(U40&lt;2,INT(V40)&lt;='Batasan Honor'!$B$2),1,0),"")</f>
        <v>1</v>
      </c>
      <c r="O40" s="10">
        <f t="shared" si="2"/>
        <v>3</v>
      </c>
      <c r="P40" s="10">
        <f t="shared" si="3"/>
        <v>2024</v>
      </c>
      <c r="R40" s="4" t="s">
        <v>25</v>
      </c>
      <c r="S40" s="10" t="str">
        <f t="shared" si="4"/>
        <v>610422100101,2024,3</v>
      </c>
      <c r="U40" s="10">
        <f ca="1">IFERROR(__xludf.DUMMYFUNCTION("if(W40=1,COUNTIFS(FILTER($H$2:$H905,$H$2:$H905=""OB"",$S$2:$S905=S40),""OB""),"""")"),0)</f>
        <v>0</v>
      </c>
      <c r="V40" s="10">
        <f ca="1">IFERROR(__xludf.DUMMYFUNCTION("IF(OR(ISNA(SUM(FILTER($K$2:$K905,$A$2:$A905=A40,$S$2:$S905=S40,$H$2:$H905&lt;&gt;""OB""))),W40&lt;&gt;1),"""",SUM(FILTER($K$2:$K905,$A$2:$A905=A40,$S$2:$S905=S40,$H$2:$H905&lt;&gt;""OB"")))"),287000)</f>
        <v>287000</v>
      </c>
      <c r="W40" s="10">
        <f t="shared" si="5"/>
        <v>1</v>
      </c>
    </row>
    <row r="41" spans="1:23" ht="12.5">
      <c r="A41" s="4">
        <v>610422100022</v>
      </c>
      <c r="B41" s="5" t="str">
        <f t="array" ref="B41">IF(W41=1,INDEX('Database Mitra'!$H$2:$H905,MATCH(A41,'Database Mitra'!AK$2:AK905,0)),"")</f>
        <v>Bella Amalia</v>
      </c>
      <c r="C41" s="5" t="e">
        <f t="array" ref="C41">IF(W41=1,INDEX('Database Mitra'!$E$2:$E905,MATCH(A41,'Database Mitra'!AK$2:AK905,0)),"")</f>
        <v>#VALUE!</v>
      </c>
      <c r="D41" s="4" t="s">
        <v>26</v>
      </c>
      <c r="E41" s="5" t="str">
        <f t="array" ref="E41">IF(W41=1,INDEX('Input Kegiatan'!B$2:B905,MATCH($D41,'Input Kegiatan'!$A$2:$A905,0)),"")</f>
        <v>Susenas Maret 2024</v>
      </c>
      <c r="F41" s="7">
        <f t="array" ref="F41">IF(W41=1,INDEX('Input Kegiatan'!D$2:D905,MATCH($D41,'Input Kegiatan'!$A$2:$A905,0)),"")</f>
        <v>45334</v>
      </c>
      <c r="G41" s="7">
        <f t="array" ref="G41">IF(W41=1,INDEX('Input Kegiatan'!E$2:E905,MATCH($D41,'Input Kegiatan'!$A$2:$A905,0)),"")</f>
        <v>45367</v>
      </c>
      <c r="H41" s="5" t="str">
        <f t="array" ref="H41">IF(W41=1,INDEX(Honor!$H$2:$H905,MATCH($D41&amp;"-"&amp;R41,Honor!$K$2:$K905,0)),"")</f>
        <v>Rumah Tangga</v>
      </c>
      <c r="I41" s="8">
        <f>IF(W41=1,SUMIFS(Honor!$I$2:$I905,Honor!$K$2:$K905,$D41&amp;"-"&amp;R41),"")</f>
        <v>287000</v>
      </c>
      <c r="J41" s="9">
        <f t="shared" si="6"/>
        <v>1</v>
      </c>
      <c r="K41" s="10">
        <f t="shared" si="0"/>
        <v>287000</v>
      </c>
      <c r="L41" s="11">
        <f t="shared" si="1"/>
        <v>45367</v>
      </c>
      <c r="M41" s="10">
        <f ca="1">IF(W41=1,IF(AND(U41&lt;2,INT(V41)&lt;='Batasan Honor'!$B$2),1,0),"")</f>
        <v>1</v>
      </c>
      <c r="O41" s="10">
        <f t="shared" si="2"/>
        <v>3</v>
      </c>
      <c r="P41" s="10">
        <f t="shared" si="3"/>
        <v>2024</v>
      </c>
      <c r="R41" s="4" t="s">
        <v>25</v>
      </c>
      <c r="S41" s="10" t="str">
        <f t="shared" si="4"/>
        <v>610422100022,2024,3</v>
      </c>
      <c r="U41" s="10">
        <f ca="1">IFERROR(__xludf.DUMMYFUNCTION("if(W41=1,COUNTIFS(FILTER($H$2:$H905,$H$2:$H905=""OB"",$S$2:$S905=S41),""OB""),"""")"),0)</f>
        <v>0</v>
      </c>
      <c r="V41" s="10">
        <f ca="1">IFERROR(__xludf.DUMMYFUNCTION("IF(OR(ISNA(SUM(FILTER($K$2:$K905,$A$2:$A905=A41,$S$2:$S905=S41,$H$2:$H905&lt;&gt;""OB""))),W41&lt;&gt;1),"""",SUM(FILTER($K$2:$K905,$A$2:$A905=A41,$S$2:$S905=S41,$H$2:$H905&lt;&gt;""OB"")))"),287000)</f>
        <v>287000</v>
      </c>
      <c r="W41" s="10">
        <f t="shared" si="5"/>
        <v>1</v>
      </c>
    </row>
    <row r="42" spans="1:23" ht="12.5">
      <c r="A42" s="4">
        <v>610422050008</v>
      </c>
      <c r="B42" s="5" t="str">
        <f t="array" ref="B42">IF(W42=1,INDEX('Database Mitra'!$H$2:$H905,MATCH(A42,'Database Mitra'!AK$2:AK905,0)),"")</f>
        <v>Desi Natalia</v>
      </c>
      <c r="C42" s="5" t="e">
        <f t="array" ref="C42">IF(W42=1,INDEX('Database Mitra'!$E$2:$E905,MATCH(A42,'Database Mitra'!AK$2:AK905,0)),"")</f>
        <v>#VALUE!</v>
      </c>
      <c r="D42" s="4" t="s">
        <v>26</v>
      </c>
      <c r="E42" s="5" t="str">
        <f t="array" ref="E42">IF(W42=1,INDEX('Input Kegiatan'!B$2:B905,MATCH($D42,'Input Kegiatan'!$A$2:$A905,0)),"")</f>
        <v>Susenas Maret 2024</v>
      </c>
      <c r="F42" s="7">
        <f t="array" ref="F42">IF(W42=1,INDEX('Input Kegiatan'!D$2:D905,MATCH($D42,'Input Kegiatan'!$A$2:$A905,0)),"")</f>
        <v>45334</v>
      </c>
      <c r="G42" s="7">
        <f t="array" ref="G42">IF(W42=1,INDEX('Input Kegiatan'!E$2:E905,MATCH($D42,'Input Kegiatan'!$A$2:$A905,0)),"")</f>
        <v>45367</v>
      </c>
      <c r="H42" s="5" t="str">
        <f t="array" ref="H42">IF(W42=1,INDEX(Honor!$H$2:$H905,MATCH($D42&amp;"-"&amp;R42,Honor!$K$2:$K905,0)),"")</f>
        <v>Rumah Tangga</v>
      </c>
      <c r="I42" s="8">
        <f>IF(W42=1,SUMIFS(Honor!$I$2:$I905,Honor!$K$2:$K905,$D42&amp;"-"&amp;R42),"")</f>
        <v>287000</v>
      </c>
      <c r="J42" s="9">
        <f t="shared" si="6"/>
        <v>1</v>
      </c>
      <c r="K42" s="10">
        <f t="shared" si="0"/>
        <v>287000</v>
      </c>
      <c r="L42" s="11">
        <f t="shared" si="1"/>
        <v>45367</v>
      </c>
      <c r="M42" s="10">
        <f ca="1">IF(W42=1,IF(AND(U42&lt;2,INT(V42)&lt;='Batasan Honor'!$B$2),1,0),"")</f>
        <v>1</v>
      </c>
      <c r="O42" s="10">
        <f t="shared" si="2"/>
        <v>3</v>
      </c>
      <c r="P42" s="10">
        <f t="shared" si="3"/>
        <v>2024</v>
      </c>
      <c r="R42" s="4" t="s">
        <v>25</v>
      </c>
      <c r="S42" s="10" t="str">
        <f t="shared" si="4"/>
        <v>610422050008,2024,3</v>
      </c>
      <c r="U42" s="10">
        <f ca="1">IFERROR(__xludf.DUMMYFUNCTION("if(W42=1,COUNTIFS(FILTER($H$2:$H905,$H$2:$H905=""OB"",$S$2:$S905=S42),""OB""),"""")"),0)</f>
        <v>0</v>
      </c>
      <c r="V42" s="10">
        <f ca="1">IFERROR(__xludf.DUMMYFUNCTION("IF(OR(ISNA(SUM(FILTER($K$2:$K905,$A$2:$A905=A42,$S$2:$S905=S42,$H$2:$H905&lt;&gt;""OB""))),W42&lt;&gt;1),"""",SUM(FILTER($K$2:$K905,$A$2:$A905=A42,$S$2:$S905=S42,$H$2:$H905&lt;&gt;""OB"")))"),287000)</f>
        <v>287000</v>
      </c>
      <c r="W42" s="10">
        <f t="shared" si="5"/>
        <v>1</v>
      </c>
    </row>
    <row r="43" spans="1:23" ht="12.5">
      <c r="A43" s="4">
        <v>610422100085</v>
      </c>
      <c r="B43" s="5" t="str">
        <f t="array" ref="B43">IF(W43=1,INDEX('Database Mitra'!$H$2:$H905,MATCH(A43,'Database Mitra'!AK$2:AK905,0)),"")</f>
        <v>LINA AGUSTIN WIDYA SIWI</v>
      </c>
      <c r="C43" s="5" t="e">
        <f t="array" ref="C43">IF(W43=1,INDEX('Database Mitra'!$E$2:$E905,MATCH(A43,'Database Mitra'!AK$2:AK905,0)),"")</f>
        <v>#VALUE!</v>
      </c>
      <c r="D43" s="4" t="s">
        <v>26</v>
      </c>
      <c r="E43" s="5" t="str">
        <f t="array" ref="E43">IF(W43=1,INDEX('Input Kegiatan'!B$2:B905,MATCH($D43,'Input Kegiatan'!$A$2:$A905,0)),"")</f>
        <v>Susenas Maret 2024</v>
      </c>
      <c r="F43" s="7">
        <f t="array" ref="F43">IF(W43=1,INDEX('Input Kegiatan'!D$2:D905,MATCH($D43,'Input Kegiatan'!$A$2:$A905,0)),"")</f>
        <v>45334</v>
      </c>
      <c r="G43" s="7">
        <f t="array" ref="G43">IF(W43=1,INDEX('Input Kegiatan'!E$2:E905,MATCH($D43,'Input Kegiatan'!$A$2:$A905,0)),"")</f>
        <v>45367</v>
      </c>
      <c r="H43" s="5" t="str">
        <f t="array" ref="H43">IF(W43=1,INDEX(Honor!$H$2:$H905,MATCH($D43&amp;"-"&amp;R43,Honor!$K$2:$K905,0)),"")</f>
        <v>Rumah Tangga</v>
      </c>
      <c r="I43" s="8">
        <f>IF(W43=1,SUMIFS(Honor!$I$2:$I905,Honor!$K$2:$K905,$D43&amp;"-"&amp;R43),"")</f>
        <v>287000</v>
      </c>
      <c r="J43" s="9">
        <f t="shared" si="6"/>
        <v>1</v>
      </c>
      <c r="K43" s="10">
        <f t="shared" si="0"/>
        <v>287000</v>
      </c>
      <c r="L43" s="11">
        <f t="shared" si="1"/>
        <v>45367</v>
      </c>
      <c r="M43" s="10">
        <f ca="1">IF(W43=1,IF(AND(U43&lt;2,INT(V43)&lt;='Batasan Honor'!$B$2),1,0),"")</f>
        <v>1</v>
      </c>
      <c r="O43" s="10">
        <f t="shared" si="2"/>
        <v>3</v>
      </c>
      <c r="P43" s="10">
        <f t="shared" si="3"/>
        <v>2024</v>
      </c>
      <c r="R43" s="4" t="s">
        <v>25</v>
      </c>
      <c r="S43" s="10" t="str">
        <f t="shared" si="4"/>
        <v>610422100085,2024,3</v>
      </c>
      <c r="U43" s="10">
        <f ca="1">IFERROR(__xludf.DUMMYFUNCTION("if(W43=1,COUNTIFS(FILTER($H$2:$H905,$H$2:$H905=""OB"",$S$2:$S905=S43),""OB""),"""")"),0)</f>
        <v>0</v>
      </c>
      <c r="V43" s="10">
        <f ca="1">IFERROR(__xludf.DUMMYFUNCTION("IF(OR(ISNA(SUM(FILTER($K$2:$K905,$A$2:$A905=A43,$S$2:$S905=S43,$H$2:$H905&lt;&gt;""OB""))),W43&lt;&gt;1),"""",SUM(FILTER($K$2:$K905,$A$2:$A905=A43,$S$2:$S905=S43,$H$2:$H905&lt;&gt;""OB"")))"),287000)</f>
        <v>287000</v>
      </c>
      <c r="W43" s="10">
        <f t="shared" si="5"/>
        <v>1</v>
      </c>
    </row>
    <row r="44" spans="1:23" ht="12.5">
      <c r="A44" s="4">
        <v>610422060001</v>
      </c>
      <c r="B44" s="5" t="str">
        <f t="array" ref="B44">IF(W44=1,INDEX('Database Mitra'!$H$2:$H905,MATCH(A44,'Database Mitra'!AK$2:AK905,0)),"")</f>
        <v>Elman</v>
      </c>
      <c r="C44" s="5" t="e">
        <f t="array" ref="C44">IF(W44=1,INDEX('Database Mitra'!$E$2:$E905,MATCH(A44,'Database Mitra'!AK$2:AK905,0)),"")</f>
        <v>#VALUE!</v>
      </c>
      <c r="D44" s="4" t="s">
        <v>26</v>
      </c>
      <c r="E44" s="5" t="str">
        <f t="array" ref="E44">IF(W44=1,INDEX('Input Kegiatan'!B$2:B905,MATCH($D44,'Input Kegiatan'!$A$2:$A905,0)),"")</f>
        <v>Susenas Maret 2024</v>
      </c>
      <c r="F44" s="7">
        <f t="array" ref="F44">IF(W44=1,INDEX('Input Kegiatan'!D$2:D905,MATCH($D44,'Input Kegiatan'!$A$2:$A905,0)),"")</f>
        <v>45334</v>
      </c>
      <c r="G44" s="7">
        <f t="array" ref="G44">IF(W44=1,INDEX('Input Kegiatan'!E$2:E905,MATCH($D44,'Input Kegiatan'!$A$2:$A905,0)),"")</f>
        <v>45367</v>
      </c>
      <c r="H44" s="5" t="str">
        <f t="array" ref="H44">IF(W44=1,INDEX(Honor!$H$2:$H905,MATCH($D44&amp;"-"&amp;R44,Honor!$K$2:$K905,0)),"")</f>
        <v>Rumah Tangga</v>
      </c>
      <c r="I44" s="8">
        <f>IF(W44=1,SUMIFS(Honor!$I$2:$I905,Honor!$K$2:$K905,$D44&amp;"-"&amp;R44),"")</f>
        <v>287000</v>
      </c>
      <c r="J44" s="9">
        <f t="shared" si="6"/>
        <v>1</v>
      </c>
      <c r="K44" s="10">
        <f t="shared" si="0"/>
        <v>287000</v>
      </c>
      <c r="L44" s="11">
        <f t="shared" si="1"/>
        <v>45367</v>
      </c>
      <c r="M44" s="10">
        <f ca="1">IF(W44=1,IF(AND(U44&lt;2,INT(V44)&lt;='Batasan Honor'!$B$2),1,0),"")</f>
        <v>1</v>
      </c>
      <c r="O44" s="10">
        <f t="shared" si="2"/>
        <v>3</v>
      </c>
      <c r="P44" s="10">
        <f t="shared" si="3"/>
        <v>2024</v>
      </c>
      <c r="R44" s="4" t="s">
        <v>25</v>
      </c>
      <c r="S44" s="10" t="str">
        <f t="shared" si="4"/>
        <v>610422060001,2024,3</v>
      </c>
      <c r="U44" s="10">
        <f ca="1">IFERROR(__xludf.DUMMYFUNCTION("if(W44=1,COUNTIFS(FILTER($H$2:$H905,$H$2:$H905=""OB"",$S$2:$S905=S44),""OB""),"""")"),0)</f>
        <v>0</v>
      </c>
      <c r="V44" s="10">
        <f ca="1">IFERROR(__xludf.DUMMYFUNCTION("IF(OR(ISNA(SUM(FILTER($K$2:$K905,$A$2:$A905=A44,$S$2:$S905=S44,$H$2:$H905&lt;&gt;""OB""))),W44&lt;&gt;1),"""",SUM(FILTER($K$2:$K905,$A$2:$A905=A44,$S$2:$S905=S44,$H$2:$H905&lt;&gt;""OB"")))"),287000)</f>
        <v>287000</v>
      </c>
      <c r="W44" s="10">
        <f t="shared" si="5"/>
        <v>1</v>
      </c>
    </row>
    <row r="45" spans="1:23" ht="12.5">
      <c r="A45" s="4">
        <v>610422100001</v>
      </c>
      <c r="B45" s="5" t="str">
        <f t="array" ref="B45">IF(W45=1,INDEX('Database Mitra'!$H$2:$H905,MATCH(A45,'Database Mitra'!AK$2:AK905,0)),"")</f>
        <v>Fatmawati,S.Hut</v>
      </c>
      <c r="C45" s="5" t="e">
        <f t="array" ref="C45">IF(W45=1,INDEX('Database Mitra'!$E$2:$E905,MATCH(A45,'Database Mitra'!AK$2:AK905,0)),"")</f>
        <v>#VALUE!</v>
      </c>
      <c r="D45" s="4" t="s">
        <v>26</v>
      </c>
      <c r="E45" s="5" t="str">
        <f t="array" ref="E45">IF(W45=1,INDEX('Input Kegiatan'!B$2:B905,MATCH($D45,'Input Kegiatan'!$A$2:$A905,0)),"")</f>
        <v>Susenas Maret 2024</v>
      </c>
      <c r="F45" s="7">
        <f t="array" ref="F45">IF(W45=1,INDEX('Input Kegiatan'!D$2:D905,MATCH($D45,'Input Kegiatan'!$A$2:$A905,0)),"")</f>
        <v>45334</v>
      </c>
      <c r="G45" s="7">
        <f t="array" ref="G45">IF(W45=1,INDEX('Input Kegiatan'!E$2:E905,MATCH($D45,'Input Kegiatan'!$A$2:$A905,0)),"")</f>
        <v>45367</v>
      </c>
      <c r="H45" s="5" t="str">
        <f t="array" ref="H45">IF(W45=1,INDEX(Honor!$H$2:$H905,MATCH($D45&amp;"-"&amp;R45,Honor!$K$2:$K905,0)),"")</f>
        <v>Rumah Tangga</v>
      </c>
      <c r="I45" s="8">
        <f>IF(W45=1,SUMIFS(Honor!$I$2:$I905,Honor!$K$2:$K905,$D45&amp;"-"&amp;R45),"")</f>
        <v>287000</v>
      </c>
      <c r="J45" s="9">
        <f t="shared" si="6"/>
        <v>1</v>
      </c>
      <c r="K45" s="10">
        <f t="shared" si="0"/>
        <v>287000</v>
      </c>
      <c r="L45" s="11">
        <f t="shared" si="1"/>
        <v>45367</v>
      </c>
      <c r="M45" s="10">
        <f ca="1">IF(W45=1,IF(AND(U45&lt;2,INT(V45)&lt;='Batasan Honor'!$B$2),1,0),"")</f>
        <v>1</v>
      </c>
      <c r="O45" s="10">
        <f t="shared" si="2"/>
        <v>3</v>
      </c>
      <c r="P45" s="10">
        <f t="shared" si="3"/>
        <v>2024</v>
      </c>
      <c r="R45" s="4" t="s">
        <v>25</v>
      </c>
      <c r="S45" s="10" t="str">
        <f t="shared" si="4"/>
        <v>610422100001,2024,3</v>
      </c>
      <c r="U45" s="10">
        <f ca="1">IFERROR(__xludf.DUMMYFUNCTION("if(W45=1,COUNTIFS(FILTER($H$2:$H905,$H$2:$H905=""OB"",$S$2:$S905=S45),""OB""),"""")"),0)</f>
        <v>0</v>
      </c>
      <c r="V45" s="10">
        <f ca="1">IFERROR(__xludf.DUMMYFUNCTION("IF(OR(ISNA(SUM(FILTER($K$2:$K905,$A$2:$A905=A45,$S$2:$S905=S45,$H$2:$H905&lt;&gt;""OB""))),W45&lt;&gt;1),"""",SUM(FILTER($K$2:$K905,$A$2:$A905=A45,$S$2:$S905=S45,$H$2:$H905&lt;&gt;""OB"")))"),287000)</f>
        <v>287000</v>
      </c>
      <c r="W45" s="10">
        <f t="shared" si="5"/>
        <v>1</v>
      </c>
    </row>
    <row r="46" spans="1:23" ht="12.5">
      <c r="A46" s="4">
        <v>610422040034</v>
      </c>
      <c r="B46" s="5" t="str">
        <f t="array" ref="B46">IF(W46=1,INDEX('Database Mitra'!$H$2:$H905,MATCH(A46,'Database Mitra'!AK$2:AK905,0)),"")</f>
        <v>Nelly Nalita</v>
      </c>
      <c r="C46" s="5" t="e">
        <f t="array" ref="C46">IF(W46=1,INDEX('Database Mitra'!$E$2:$E905,MATCH(A46,'Database Mitra'!AK$2:AK905,0)),"")</f>
        <v>#VALUE!</v>
      </c>
      <c r="D46" s="4" t="s">
        <v>26</v>
      </c>
      <c r="E46" s="5" t="str">
        <f t="array" ref="E46">IF(W46=1,INDEX('Input Kegiatan'!B$2:B905,MATCH($D46,'Input Kegiatan'!$A$2:$A905,0)),"")</f>
        <v>Susenas Maret 2024</v>
      </c>
      <c r="F46" s="7">
        <f t="array" ref="F46">IF(W46=1,INDEX('Input Kegiatan'!D$2:D905,MATCH($D46,'Input Kegiatan'!$A$2:$A905,0)),"")</f>
        <v>45334</v>
      </c>
      <c r="G46" s="7">
        <f t="array" ref="G46">IF(W46=1,INDEX('Input Kegiatan'!E$2:E905,MATCH($D46,'Input Kegiatan'!$A$2:$A905,0)),"")</f>
        <v>45367</v>
      </c>
      <c r="H46" s="5" t="str">
        <f t="array" ref="H46">IF(W46=1,INDEX(Honor!$H$2:$H905,MATCH($D46&amp;"-"&amp;R46,Honor!$K$2:$K905,0)),"")</f>
        <v>Rumah Tangga</v>
      </c>
      <c r="I46" s="8">
        <f>IF(W46=1,SUMIFS(Honor!$I$2:$I905,Honor!$K$2:$K905,$D46&amp;"-"&amp;R46),"")</f>
        <v>287000</v>
      </c>
      <c r="J46" s="9">
        <f t="shared" si="6"/>
        <v>1</v>
      </c>
      <c r="K46" s="10">
        <f t="shared" si="0"/>
        <v>287000</v>
      </c>
      <c r="L46" s="11">
        <f t="shared" si="1"/>
        <v>45367</v>
      </c>
      <c r="M46" s="10">
        <f ca="1">IF(W46=1,IF(AND(U46&lt;2,INT(V46)&lt;='Batasan Honor'!$B$2),1,0),"")</f>
        <v>1</v>
      </c>
      <c r="O46" s="10">
        <f t="shared" si="2"/>
        <v>3</v>
      </c>
      <c r="P46" s="10">
        <f t="shared" si="3"/>
        <v>2024</v>
      </c>
      <c r="R46" s="4" t="s">
        <v>25</v>
      </c>
      <c r="S46" s="10" t="str">
        <f t="shared" si="4"/>
        <v>610422040034,2024,3</v>
      </c>
      <c r="U46" s="10">
        <f ca="1">IFERROR(__xludf.DUMMYFUNCTION("if(W46=1,COUNTIFS(FILTER($H$2:$H905,$H$2:$H905=""OB"",$S$2:$S905=S46),""OB""),"""")"),0)</f>
        <v>0</v>
      </c>
      <c r="V46" s="10">
        <f ca="1">IFERROR(__xludf.DUMMYFUNCTION("IF(OR(ISNA(SUM(FILTER($K$2:$K905,$A$2:$A905=A46,$S$2:$S905=S46,$H$2:$H905&lt;&gt;""OB""))),W46&lt;&gt;1),"""",SUM(FILTER($K$2:$K905,$A$2:$A905=A46,$S$2:$S905=S46,$H$2:$H905&lt;&gt;""OB"")))"),287000)</f>
        <v>287000</v>
      </c>
      <c r="W46" s="10">
        <f t="shared" si="5"/>
        <v>1</v>
      </c>
    </row>
    <row r="47" spans="1:23" ht="12.5">
      <c r="A47" s="4">
        <v>610422040058</v>
      </c>
      <c r="B47" s="5" t="str">
        <f t="array" ref="B47">IF(W47=1,INDEX('Database Mitra'!$H$2:$H905,MATCH(A47,'Database Mitra'!AK$2:AK905,0)),"")</f>
        <v>Jamaluddin, SP</v>
      </c>
      <c r="C47" s="5" t="e">
        <f t="array" ref="C47">IF(W47=1,INDEX('Database Mitra'!$E$2:$E905,MATCH(A47,'Database Mitra'!AK$2:AK905,0)),"")</f>
        <v>#VALUE!</v>
      </c>
      <c r="D47" s="4" t="s">
        <v>26</v>
      </c>
      <c r="E47" s="5" t="str">
        <f t="array" ref="E47">IF(W47=1,INDEX('Input Kegiatan'!B$2:B905,MATCH($D47,'Input Kegiatan'!$A$2:$A905,0)),"")</f>
        <v>Susenas Maret 2024</v>
      </c>
      <c r="F47" s="7">
        <f t="array" ref="F47">IF(W47=1,INDEX('Input Kegiatan'!D$2:D905,MATCH($D47,'Input Kegiatan'!$A$2:$A905,0)),"")</f>
        <v>45334</v>
      </c>
      <c r="G47" s="7">
        <f t="array" ref="G47">IF(W47=1,INDEX('Input Kegiatan'!E$2:E905,MATCH($D47,'Input Kegiatan'!$A$2:$A905,0)),"")</f>
        <v>45367</v>
      </c>
      <c r="H47" s="5" t="str">
        <f t="array" ref="H47">IF(W47=1,INDEX(Honor!$H$2:$H905,MATCH($D47&amp;"-"&amp;R47,Honor!$K$2:$K905,0)),"")</f>
        <v>Rumah Tangga</v>
      </c>
      <c r="I47" s="8">
        <f>IF(W47=1,SUMIFS(Honor!$I$2:$I905,Honor!$K$2:$K905,$D47&amp;"-"&amp;R47),"")</f>
        <v>287000</v>
      </c>
      <c r="J47" s="9">
        <f t="shared" si="6"/>
        <v>1</v>
      </c>
      <c r="K47" s="10">
        <f t="shared" si="0"/>
        <v>287000</v>
      </c>
      <c r="L47" s="11">
        <f t="shared" si="1"/>
        <v>45367</v>
      </c>
      <c r="M47" s="10">
        <f ca="1">IF(W47=1,IF(AND(U47&lt;2,INT(V47)&lt;='Batasan Honor'!$B$2),1,0),"")</f>
        <v>1</v>
      </c>
      <c r="O47" s="10">
        <f t="shared" si="2"/>
        <v>3</v>
      </c>
      <c r="P47" s="10">
        <f t="shared" si="3"/>
        <v>2024</v>
      </c>
      <c r="R47" s="4" t="s">
        <v>25</v>
      </c>
      <c r="S47" s="10" t="str">
        <f t="shared" si="4"/>
        <v>610422040058,2024,3</v>
      </c>
      <c r="U47" s="10">
        <f ca="1">IFERROR(__xludf.DUMMYFUNCTION("if(W47=1,COUNTIFS(FILTER($H$2:$H905,$H$2:$H905=""OB"",$S$2:$S905=S47),""OB""),"""")"),0)</f>
        <v>0</v>
      </c>
      <c r="V47" s="10">
        <f ca="1">IFERROR(__xludf.DUMMYFUNCTION("IF(OR(ISNA(SUM(FILTER($K$2:$K905,$A$2:$A905=A47,$S$2:$S905=S47,$H$2:$H905&lt;&gt;""OB""))),W47&lt;&gt;1),"""",SUM(FILTER($K$2:$K905,$A$2:$A905=A47,$S$2:$S905=S47,$H$2:$H905&lt;&gt;""OB"")))"),462000)</f>
        <v>462000</v>
      </c>
      <c r="W47" s="10">
        <f t="shared" si="5"/>
        <v>1</v>
      </c>
    </row>
    <row r="48" spans="1:23" ht="12.5">
      <c r="A48" s="4">
        <v>610422040052</v>
      </c>
      <c r="B48" s="5" t="str">
        <f t="array" ref="B48">IF(W48=1,INDEX('Database Mitra'!$H$2:$H905,MATCH(A48,'Database Mitra'!AK$2:AK905,0)),"")</f>
        <v>Yusimianto</v>
      </c>
      <c r="C48" s="5" t="e">
        <f t="array" ref="C48">IF(W48=1,INDEX('Database Mitra'!$E$2:$E905,MATCH(A48,'Database Mitra'!AK$2:AK905,0)),"")</f>
        <v>#VALUE!</v>
      </c>
      <c r="D48" s="4" t="s">
        <v>26</v>
      </c>
      <c r="E48" s="5" t="str">
        <f t="array" ref="E48">IF(W48=1,INDEX('Input Kegiatan'!B$2:B905,MATCH($D48,'Input Kegiatan'!$A$2:$A905,0)),"")</f>
        <v>Susenas Maret 2024</v>
      </c>
      <c r="F48" s="7">
        <f t="array" ref="F48">IF(W48=1,INDEX('Input Kegiatan'!D$2:D905,MATCH($D48,'Input Kegiatan'!$A$2:$A905,0)),"")</f>
        <v>45334</v>
      </c>
      <c r="G48" s="7">
        <f t="array" ref="G48">IF(W48=1,INDEX('Input Kegiatan'!E$2:E905,MATCH($D48,'Input Kegiatan'!$A$2:$A905,0)),"")</f>
        <v>45367</v>
      </c>
      <c r="H48" s="5" t="str">
        <f t="array" ref="H48">IF(W48=1,INDEX(Honor!$H$2:$H905,MATCH($D48&amp;"-"&amp;R48,Honor!$K$2:$K905,0)),"")</f>
        <v>Rumah Tangga</v>
      </c>
      <c r="I48" s="8">
        <f>IF(W48=1,SUMIFS(Honor!$I$2:$I905,Honor!$K$2:$K905,$D48&amp;"-"&amp;R48),"")</f>
        <v>287000</v>
      </c>
      <c r="J48" s="9">
        <f t="shared" si="6"/>
        <v>1</v>
      </c>
      <c r="K48" s="10">
        <f t="shared" si="0"/>
        <v>287000</v>
      </c>
      <c r="L48" s="11">
        <f t="shared" si="1"/>
        <v>45367</v>
      </c>
      <c r="M48" s="10">
        <f ca="1">IF(W48=1,IF(AND(U48&lt;2,INT(V48)&lt;='Batasan Honor'!$B$2),1,0),"")</f>
        <v>1</v>
      </c>
      <c r="O48" s="10">
        <f t="shared" si="2"/>
        <v>3</v>
      </c>
      <c r="P48" s="10">
        <f t="shared" si="3"/>
        <v>2024</v>
      </c>
      <c r="R48" s="4" t="s">
        <v>25</v>
      </c>
      <c r="S48" s="10" t="str">
        <f t="shared" si="4"/>
        <v>610422040052,2024,3</v>
      </c>
      <c r="U48" s="10">
        <f ca="1">IFERROR(__xludf.DUMMYFUNCTION("if(W48=1,COUNTIFS(FILTER($H$2:$H905,$H$2:$H905=""OB"",$S$2:$S905=S48),""OB""),"""")"),0)</f>
        <v>0</v>
      </c>
      <c r="V48" s="10">
        <f ca="1">IFERROR(__xludf.DUMMYFUNCTION("IF(OR(ISNA(SUM(FILTER($K$2:$K905,$A$2:$A905=A48,$S$2:$S905=S48,$H$2:$H905&lt;&gt;""OB""))),W48&lt;&gt;1),"""",SUM(FILTER($K$2:$K905,$A$2:$A905=A48,$S$2:$S905=S48,$H$2:$H905&lt;&gt;""OB"")))"),287000)</f>
        <v>287000</v>
      </c>
      <c r="W48" s="10">
        <f t="shared" si="5"/>
        <v>1</v>
      </c>
    </row>
    <row r="49" spans="1:23" ht="12.5">
      <c r="A49" s="4">
        <v>610422040061</v>
      </c>
      <c r="B49" s="5" t="str">
        <f t="array" ref="B49">IF(W49=1,INDEX('Database Mitra'!$H$2:$H905,MATCH(A49,'Database Mitra'!AK$2:AK905,0)),"")</f>
        <v>Sabani</v>
      </c>
      <c r="C49" s="5" t="e">
        <f t="array" ref="C49">IF(W49=1,INDEX('Database Mitra'!$E$2:$E905,MATCH(A49,'Database Mitra'!AK$2:AK905,0)),"")</f>
        <v>#VALUE!</v>
      </c>
      <c r="D49" s="4" t="s">
        <v>26</v>
      </c>
      <c r="E49" s="5" t="str">
        <f t="array" ref="E49">IF(W49=1,INDEX('Input Kegiatan'!B$2:B905,MATCH($D49,'Input Kegiatan'!$A$2:$A905,0)),"")</f>
        <v>Susenas Maret 2024</v>
      </c>
      <c r="F49" s="7">
        <f t="array" ref="F49">IF(W49=1,INDEX('Input Kegiatan'!D$2:D905,MATCH($D49,'Input Kegiatan'!$A$2:$A905,0)),"")</f>
        <v>45334</v>
      </c>
      <c r="G49" s="7">
        <f t="array" ref="G49">IF(W49=1,INDEX('Input Kegiatan'!E$2:E905,MATCH($D49,'Input Kegiatan'!$A$2:$A905,0)),"")</f>
        <v>45367</v>
      </c>
      <c r="H49" s="5" t="str">
        <f t="array" ref="H49">IF(W49=1,INDEX(Honor!$H$2:$H905,MATCH($D49&amp;"-"&amp;R49,Honor!$K$2:$K905,0)),"")</f>
        <v>Rumah Tangga</v>
      </c>
      <c r="I49" s="8">
        <f>IF(W49=1,SUMIFS(Honor!$I$2:$I905,Honor!$K$2:$K905,$D49&amp;"-"&amp;R49),"")</f>
        <v>287000</v>
      </c>
      <c r="J49" s="9">
        <f t="shared" si="6"/>
        <v>1</v>
      </c>
      <c r="K49" s="10">
        <f t="shared" si="0"/>
        <v>287000</v>
      </c>
      <c r="L49" s="11">
        <f t="shared" si="1"/>
        <v>45367</v>
      </c>
      <c r="M49" s="10">
        <f ca="1">IF(W49=1,IF(AND(U49&lt;2,INT(V49)&lt;='Batasan Honor'!$B$2),1,0),"")</f>
        <v>1</v>
      </c>
      <c r="O49" s="10">
        <f t="shared" si="2"/>
        <v>3</v>
      </c>
      <c r="P49" s="10">
        <f t="shared" si="3"/>
        <v>2024</v>
      </c>
      <c r="R49" s="4" t="s">
        <v>25</v>
      </c>
      <c r="S49" s="10" t="str">
        <f t="shared" si="4"/>
        <v>610422040061,2024,3</v>
      </c>
      <c r="U49" s="10">
        <f ca="1">IFERROR(__xludf.DUMMYFUNCTION("if(W49=1,COUNTIFS(FILTER($H$2:$H905,$H$2:$H905=""OB"",$S$2:$S905=S49),""OB""),"""")"),0)</f>
        <v>0</v>
      </c>
      <c r="V49" s="10">
        <f ca="1">IFERROR(__xludf.DUMMYFUNCTION("IF(OR(ISNA(SUM(FILTER($K$2:$K905,$A$2:$A905=A49,$S$2:$S905=S49,$H$2:$H905&lt;&gt;""OB""))),W49&lt;&gt;1),"""",SUM(FILTER($K$2:$K905,$A$2:$A905=A49,$S$2:$S905=S49,$H$2:$H905&lt;&gt;""OB"")))"),462000)</f>
        <v>462000</v>
      </c>
      <c r="W49" s="10">
        <f t="shared" si="5"/>
        <v>1</v>
      </c>
    </row>
    <row r="50" spans="1:23" ht="12.5">
      <c r="A50" s="4">
        <v>610422040006</v>
      </c>
      <c r="B50" s="5" t="str">
        <f t="array" ref="B50">IF(W50=1,INDEX('Database Mitra'!$H$2:$H905,MATCH(A50,'Database Mitra'!AK$2:AK905,0)),"")</f>
        <v>RIDHA NUR MITHA</v>
      </c>
      <c r="C50" s="5" t="e">
        <f t="array" ref="C50">IF(W50=1,INDEX('Database Mitra'!$E$2:$E905,MATCH(A50,'Database Mitra'!AK$2:AK905,0)),"")</f>
        <v>#VALUE!</v>
      </c>
      <c r="D50" s="4" t="s">
        <v>26</v>
      </c>
      <c r="E50" s="5" t="str">
        <f t="array" ref="E50">IF(W50=1,INDEX('Input Kegiatan'!B$2:B905,MATCH($D50,'Input Kegiatan'!$A$2:$A905,0)),"")</f>
        <v>Susenas Maret 2024</v>
      </c>
      <c r="F50" s="7">
        <f t="array" ref="F50">IF(W50=1,INDEX('Input Kegiatan'!D$2:D905,MATCH($D50,'Input Kegiatan'!$A$2:$A905,0)),"")</f>
        <v>45334</v>
      </c>
      <c r="G50" s="7">
        <f t="array" ref="G50">IF(W50=1,INDEX('Input Kegiatan'!E$2:E905,MATCH($D50,'Input Kegiatan'!$A$2:$A905,0)),"")</f>
        <v>45367</v>
      </c>
      <c r="H50" s="5" t="str">
        <f t="array" ref="H50">IF(W50=1,INDEX(Honor!$H$2:$H905,MATCH($D50&amp;"-"&amp;R50,Honor!$K$2:$K905,0)),"")</f>
        <v>Rumah Tangga</v>
      </c>
      <c r="I50" s="8">
        <f>IF(W50=1,SUMIFS(Honor!$I$2:$I905,Honor!$K$2:$K905,$D50&amp;"-"&amp;R50),"")</f>
        <v>287000</v>
      </c>
      <c r="J50" s="9">
        <f t="shared" si="6"/>
        <v>1</v>
      </c>
      <c r="K50" s="10">
        <f t="shared" si="0"/>
        <v>287000</v>
      </c>
      <c r="L50" s="11">
        <f t="shared" si="1"/>
        <v>45367</v>
      </c>
      <c r="M50" s="10">
        <f ca="1">IF(W50=1,IF(AND(U50&lt;2,INT(V50)&lt;='Batasan Honor'!$B$2),1,0),"")</f>
        <v>1</v>
      </c>
      <c r="O50" s="10">
        <f t="shared" si="2"/>
        <v>3</v>
      </c>
      <c r="P50" s="10">
        <f t="shared" si="3"/>
        <v>2024</v>
      </c>
      <c r="R50" s="4" t="s">
        <v>25</v>
      </c>
      <c r="S50" s="10" t="str">
        <f t="shared" si="4"/>
        <v>610422040006,2024,3</v>
      </c>
      <c r="U50" s="10">
        <f ca="1">IFERROR(__xludf.DUMMYFUNCTION("if(W50=1,COUNTIFS(FILTER($H$2:$H905,$H$2:$H905=""OB"",$S$2:$S905=S50),""OB""),"""")"),0)</f>
        <v>0</v>
      </c>
      <c r="V50" s="10">
        <f ca="1">IFERROR(__xludf.DUMMYFUNCTION("IF(OR(ISNA(SUM(FILTER($K$2:$K905,$A$2:$A905=A50,$S$2:$S905=S50,$H$2:$H905&lt;&gt;""OB""))),W50&lt;&gt;1),"""",SUM(FILTER($K$2:$K905,$A$2:$A905=A50,$S$2:$S905=S50,$H$2:$H905&lt;&gt;""OB"")))"),287000)</f>
        <v>287000</v>
      </c>
      <c r="W50" s="10">
        <f t="shared" si="5"/>
        <v>1</v>
      </c>
    </row>
    <row r="51" spans="1:23" ht="12.5">
      <c r="A51" s="4">
        <v>610422040028</v>
      </c>
      <c r="B51" s="5" t="str">
        <f t="array" ref="B51">IF(W51=1,INDEX('Database Mitra'!$H$2:$H905,MATCH(A51,'Database Mitra'!AK$2:AK905,0)),"")</f>
        <v>Hafizh</v>
      </c>
      <c r="C51" s="5" t="e">
        <f t="array" ref="C51">IF(W51=1,INDEX('Database Mitra'!$E$2:$E905,MATCH(A51,'Database Mitra'!AK$2:AK905,0)),"")</f>
        <v>#VALUE!</v>
      </c>
      <c r="D51" s="4" t="s">
        <v>26</v>
      </c>
      <c r="E51" s="5" t="str">
        <f t="array" ref="E51">IF(W51=1,INDEX('Input Kegiatan'!B$2:B905,MATCH($D51,'Input Kegiatan'!$A$2:$A905,0)),"")</f>
        <v>Susenas Maret 2024</v>
      </c>
      <c r="F51" s="7">
        <f t="array" ref="F51">IF(W51=1,INDEX('Input Kegiatan'!D$2:D905,MATCH($D51,'Input Kegiatan'!$A$2:$A905,0)),"")</f>
        <v>45334</v>
      </c>
      <c r="G51" s="7">
        <f t="array" ref="G51">IF(W51=1,INDEX('Input Kegiatan'!E$2:E905,MATCH($D51,'Input Kegiatan'!$A$2:$A905,0)),"")</f>
        <v>45367</v>
      </c>
      <c r="H51" s="5" t="str">
        <f t="array" ref="H51">IF(W51=1,INDEX(Honor!$H$2:$H905,MATCH($D51&amp;"-"&amp;R51,Honor!$K$2:$K905,0)),"")</f>
        <v>Rumah Tangga</v>
      </c>
      <c r="I51" s="8">
        <f>IF(W51=1,SUMIFS(Honor!$I$2:$I905,Honor!$K$2:$K905,$D51&amp;"-"&amp;R51),"")</f>
        <v>287000</v>
      </c>
      <c r="J51" s="9">
        <f t="shared" si="6"/>
        <v>1</v>
      </c>
      <c r="K51" s="10">
        <f t="shared" si="0"/>
        <v>287000</v>
      </c>
      <c r="L51" s="11">
        <f t="shared" si="1"/>
        <v>45367</v>
      </c>
      <c r="M51" s="10">
        <f ca="1">IF(W51=1,IF(AND(U51&lt;2,INT(V51)&lt;='Batasan Honor'!$B$2),1,0),"")</f>
        <v>1</v>
      </c>
      <c r="O51" s="10">
        <f t="shared" si="2"/>
        <v>3</v>
      </c>
      <c r="P51" s="10">
        <f t="shared" si="3"/>
        <v>2024</v>
      </c>
      <c r="R51" s="4" t="s">
        <v>25</v>
      </c>
      <c r="S51" s="10" t="str">
        <f t="shared" si="4"/>
        <v>610422040028,2024,3</v>
      </c>
      <c r="U51" s="10">
        <f ca="1">IFERROR(__xludf.DUMMYFUNCTION("if(W51=1,COUNTIFS(FILTER($H$2:$H905,$H$2:$H905=""OB"",$S$2:$S905=S51),""OB""),"""")"),0)</f>
        <v>0</v>
      </c>
      <c r="V51" s="10">
        <f ca="1">IFERROR(__xludf.DUMMYFUNCTION("IF(OR(ISNA(SUM(FILTER($K$2:$K905,$A$2:$A905=A51,$S$2:$S905=S51,$H$2:$H905&lt;&gt;""OB""))),W51&lt;&gt;1),"""",SUM(FILTER($K$2:$K905,$A$2:$A905=A51,$S$2:$S905=S51,$H$2:$H905&lt;&gt;""OB"")))"),287000)</f>
        <v>287000</v>
      </c>
      <c r="W51" s="10">
        <f t="shared" si="5"/>
        <v>1</v>
      </c>
    </row>
    <row r="52" spans="1:23" ht="12.5">
      <c r="A52" s="4">
        <v>610422040035</v>
      </c>
      <c r="B52" s="5" t="str">
        <f t="array" ref="B52">IF(W52=1,INDEX('Database Mitra'!$H$2:$H905,MATCH(A52,'Database Mitra'!AK$2:AK905,0)),"")</f>
        <v>Rahmayani</v>
      </c>
      <c r="C52" s="5" t="e">
        <f t="array" ref="C52">IF(W52=1,INDEX('Database Mitra'!$E$2:$E905,MATCH(A52,'Database Mitra'!AK$2:AK905,0)),"")</f>
        <v>#VALUE!</v>
      </c>
      <c r="D52" s="4" t="s">
        <v>26</v>
      </c>
      <c r="E52" s="5" t="str">
        <f t="array" ref="E52">IF(W52=1,INDEX('Input Kegiatan'!B$2:B905,MATCH($D52,'Input Kegiatan'!$A$2:$A905,0)),"")</f>
        <v>Susenas Maret 2024</v>
      </c>
      <c r="F52" s="7">
        <f t="array" ref="F52">IF(W52=1,INDEX('Input Kegiatan'!D$2:D905,MATCH($D52,'Input Kegiatan'!$A$2:$A905,0)),"")</f>
        <v>45334</v>
      </c>
      <c r="G52" s="7">
        <f t="array" ref="G52">IF(W52=1,INDEX('Input Kegiatan'!E$2:E905,MATCH($D52,'Input Kegiatan'!$A$2:$A905,0)),"")</f>
        <v>45367</v>
      </c>
      <c r="H52" s="5" t="str">
        <f t="array" ref="H52">IF(W52=1,INDEX(Honor!$H$2:$H905,MATCH($D52&amp;"-"&amp;R52,Honor!$K$2:$K905,0)),"")</f>
        <v>Rumah Tangga</v>
      </c>
      <c r="I52" s="8">
        <f>IF(W52=1,SUMIFS(Honor!$I$2:$I905,Honor!$K$2:$K905,$D52&amp;"-"&amp;R52),"")</f>
        <v>287000</v>
      </c>
      <c r="J52" s="9">
        <f t="shared" si="6"/>
        <v>1</v>
      </c>
      <c r="K52" s="10">
        <f t="shared" si="0"/>
        <v>287000</v>
      </c>
      <c r="L52" s="11">
        <f t="shared" si="1"/>
        <v>45367</v>
      </c>
      <c r="M52" s="10">
        <f ca="1">IF(W52=1,IF(AND(U52&lt;2,INT(V52)&lt;='Batasan Honor'!$B$2),1,0),"")</f>
        <v>1</v>
      </c>
      <c r="O52" s="10">
        <f t="shared" si="2"/>
        <v>3</v>
      </c>
      <c r="P52" s="10">
        <f t="shared" si="3"/>
        <v>2024</v>
      </c>
      <c r="R52" s="4" t="s">
        <v>25</v>
      </c>
      <c r="S52" s="10" t="str">
        <f t="shared" si="4"/>
        <v>610422040035,2024,3</v>
      </c>
      <c r="U52" s="10">
        <f ca="1">IFERROR(__xludf.DUMMYFUNCTION("if(W52=1,COUNTIFS(FILTER($H$2:$H905,$H$2:$H905=""OB"",$S$2:$S905=S52),""OB""),"""")"),0)</f>
        <v>0</v>
      </c>
      <c r="V52" s="10">
        <f ca="1">IFERROR(__xludf.DUMMYFUNCTION("IF(OR(ISNA(SUM(FILTER($K$2:$K905,$A$2:$A905=A52,$S$2:$S905=S52,$H$2:$H905&lt;&gt;""OB""))),W52&lt;&gt;1),"""",SUM(FILTER($K$2:$K905,$A$2:$A905=A52,$S$2:$S905=S52,$H$2:$H905&lt;&gt;""OB"")))"),287000)</f>
        <v>287000</v>
      </c>
      <c r="W52" s="10">
        <f t="shared" si="5"/>
        <v>1</v>
      </c>
    </row>
    <row r="53" spans="1:23" ht="12.5">
      <c r="A53" s="4">
        <v>610422040049</v>
      </c>
      <c r="B53" s="5" t="str">
        <f t="array" ref="B53">IF(W53=1,INDEX('Database Mitra'!$H$2:$H905,MATCH(A53,'Database Mitra'!AK$2:AK905,0)),"")</f>
        <v>Sulis tri handayani</v>
      </c>
      <c r="C53" s="5" t="e">
        <f t="array" ref="C53">IF(W53=1,INDEX('Database Mitra'!$E$2:$E905,MATCH(A53,'Database Mitra'!AK$2:AK905,0)),"")</f>
        <v>#VALUE!</v>
      </c>
      <c r="D53" s="4" t="s">
        <v>26</v>
      </c>
      <c r="E53" s="5" t="str">
        <f t="array" ref="E53">IF(W53=1,INDEX('Input Kegiatan'!B$2:B905,MATCH($D53,'Input Kegiatan'!$A$2:$A905,0)),"")</f>
        <v>Susenas Maret 2024</v>
      </c>
      <c r="F53" s="7">
        <f t="array" ref="F53">IF(W53=1,INDEX('Input Kegiatan'!D$2:D905,MATCH($D53,'Input Kegiatan'!$A$2:$A905,0)),"")</f>
        <v>45334</v>
      </c>
      <c r="G53" s="7">
        <f t="array" ref="G53">IF(W53=1,INDEX('Input Kegiatan'!E$2:E905,MATCH($D53,'Input Kegiatan'!$A$2:$A905,0)),"")</f>
        <v>45367</v>
      </c>
      <c r="H53" s="5" t="str">
        <f t="array" ref="H53">IF(W53=1,INDEX(Honor!$H$2:$H905,MATCH($D53&amp;"-"&amp;R53,Honor!$K$2:$K905,0)),"")</f>
        <v>Rumah Tangga</v>
      </c>
      <c r="I53" s="8">
        <f>IF(W53=1,SUMIFS(Honor!$I$2:$I905,Honor!$K$2:$K905,$D53&amp;"-"&amp;R53),"")</f>
        <v>287000</v>
      </c>
      <c r="J53" s="9">
        <f t="shared" si="6"/>
        <v>1</v>
      </c>
      <c r="K53" s="10">
        <f t="shared" si="0"/>
        <v>287000</v>
      </c>
      <c r="L53" s="11">
        <f t="shared" si="1"/>
        <v>45367</v>
      </c>
      <c r="M53" s="10">
        <f ca="1">IF(W53=1,IF(AND(U53&lt;2,INT(V53)&lt;='Batasan Honor'!$B$2),1,0),"")</f>
        <v>1</v>
      </c>
      <c r="O53" s="10">
        <f t="shared" si="2"/>
        <v>3</v>
      </c>
      <c r="P53" s="10">
        <f t="shared" si="3"/>
        <v>2024</v>
      </c>
      <c r="R53" s="4" t="s">
        <v>25</v>
      </c>
      <c r="S53" s="10" t="str">
        <f t="shared" si="4"/>
        <v>610422040049,2024,3</v>
      </c>
      <c r="U53" s="10">
        <f ca="1">IFERROR(__xludf.DUMMYFUNCTION("if(W53=1,COUNTIFS(FILTER($H$2:$H905,$H$2:$H905=""OB"",$S$2:$S905=S53),""OB""),"""")"),0)</f>
        <v>0</v>
      </c>
      <c r="V53" s="10">
        <f ca="1">IFERROR(__xludf.DUMMYFUNCTION("IF(OR(ISNA(SUM(FILTER($K$2:$K905,$A$2:$A905=A53,$S$2:$S905=S53,$H$2:$H905&lt;&gt;""OB""))),W53&lt;&gt;1),"""",SUM(FILTER($K$2:$K905,$A$2:$A905=A53,$S$2:$S905=S53,$H$2:$H905&lt;&gt;""OB"")))"),287000)</f>
        <v>287000</v>
      </c>
      <c r="W53" s="10">
        <f t="shared" si="5"/>
        <v>1</v>
      </c>
    </row>
    <row r="54" spans="1:23" ht="12.5">
      <c r="A54" s="4">
        <v>610422040033</v>
      </c>
      <c r="B54" s="5" t="str">
        <f t="array" ref="B54">IF(W54=1,INDEX('Database Mitra'!$H$2:$H905,MATCH(A54,'Database Mitra'!AK$2:AK905,0)),"")</f>
        <v>NURLIAN</v>
      </c>
      <c r="C54" s="5" t="e">
        <f t="array" ref="C54">IF(W54=1,INDEX('Database Mitra'!$E$2:$E905,MATCH(A54,'Database Mitra'!AK$2:AK905,0)),"")</f>
        <v>#VALUE!</v>
      </c>
      <c r="D54" s="4" t="s">
        <v>26</v>
      </c>
      <c r="E54" s="5" t="str">
        <f t="array" ref="E54">IF(W54=1,INDEX('Input Kegiatan'!B$2:B905,MATCH($D54,'Input Kegiatan'!$A$2:$A905,0)),"")</f>
        <v>Susenas Maret 2024</v>
      </c>
      <c r="F54" s="7">
        <f t="array" ref="F54">IF(W54=1,INDEX('Input Kegiatan'!D$2:D905,MATCH($D54,'Input Kegiatan'!$A$2:$A905,0)),"")</f>
        <v>45334</v>
      </c>
      <c r="G54" s="7">
        <f t="array" ref="G54">IF(W54=1,INDEX('Input Kegiatan'!E$2:E905,MATCH($D54,'Input Kegiatan'!$A$2:$A905,0)),"")</f>
        <v>45367</v>
      </c>
      <c r="H54" s="5" t="str">
        <f t="array" ref="H54">IF(W54=1,INDEX(Honor!$H$2:$H905,MATCH($D54&amp;"-"&amp;R54,Honor!$K$2:$K905,0)),"")</f>
        <v>Rumah Tangga</v>
      </c>
      <c r="I54" s="8">
        <f>IF(W54=1,SUMIFS(Honor!$I$2:$I905,Honor!$K$2:$K905,$D54&amp;"-"&amp;R54),"")</f>
        <v>287000</v>
      </c>
      <c r="J54" s="9">
        <f t="shared" si="6"/>
        <v>1</v>
      </c>
      <c r="K54" s="10">
        <f t="shared" si="0"/>
        <v>287000</v>
      </c>
      <c r="L54" s="11">
        <f t="shared" si="1"/>
        <v>45367</v>
      </c>
      <c r="M54" s="10">
        <f ca="1">IF(W54=1,IF(AND(U54&lt;2,INT(V54)&lt;='Batasan Honor'!$B$2),1,0),"")</f>
        <v>1</v>
      </c>
      <c r="O54" s="10">
        <f t="shared" si="2"/>
        <v>3</v>
      </c>
      <c r="P54" s="10">
        <f t="shared" si="3"/>
        <v>2024</v>
      </c>
      <c r="R54" s="4" t="s">
        <v>25</v>
      </c>
      <c r="S54" s="10" t="str">
        <f t="shared" si="4"/>
        <v>610422040033,2024,3</v>
      </c>
      <c r="U54" s="10">
        <f ca="1">IFERROR(__xludf.DUMMYFUNCTION("if(W54=1,COUNTIFS(FILTER($H$2:$H905,$H$2:$H905=""OB"",$S$2:$S905=S54),""OB""),"""")"),0)</f>
        <v>0</v>
      </c>
      <c r="V54" s="10">
        <f ca="1">IFERROR(__xludf.DUMMYFUNCTION("IF(OR(ISNA(SUM(FILTER($K$2:$K905,$A$2:$A905=A54,$S$2:$S905=S54,$H$2:$H905&lt;&gt;""OB""))),W54&lt;&gt;1),"""",SUM(FILTER($K$2:$K905,$A$2:$A905=A54,$S$2:$S905=S54,$H$2:$H905&lt;&gt;""OB"")))"),287000)</f>
        <v>287000</v>
      </c>
      <c r="W54" s="10">
        <f t="shared" si="5"/>
        <v>1</v>
      </c>
    </row>
    <row r="55" spans="1:23" ht="12.5">
      <c r="A55" s="4">
        <v>610422040050</v>
      </c>
      <c r="B55" s="5" t="str">
        <f t="array" ref="B55">IF(W55=1,INDEX('Database Mitra'!$H$2:$H905,MATCH(A55,'Database Mitra'!AK$2:AK905,0)),"")</f>
        <v>NOVITA SARI</v>
      </c>
      <c r="C55" s="5" t="e">
        <f t="array" ref="C55">IF(W55=1,INDEX('Database Mitra'!$E$2:$E905,MATCH(A55,'Database Mitra'!AK$2:AK905,0)),"")</f>
        <v>#VALUE!</v>
      </c>
      <c r="D55" s="4" t="s">
        <v>26</v>
      </c>
      <c r="E55" s="5" t="str">
        <f t="array" ref="E55">IF(W55=1,INDEX('Input Kegiatan'!B$2:B905,MATCH($D55,'Input Kegiatan'!$A$2:$A905,0)),"")</f>
        <v>Susenas Maret 2024</v>
      </c>
      <c r="F55" s="7">
        <f t="array" ref="F55">IF(W55=1,INDEX('Input Kegiatan'!D$2:D905,MATCH($D55,'Input Kegiatan'!$A$2:$A905,0)),"")</f>
        <v>45334</v>
      </c>
      <c r="G55" s="7">
        <f t="array" ref="G55">IF(W55=1,INDEX('Input Kegiatan'!E$2:E905,MATCH($D55,'Input Kegiatan'!$A$2:$A905,0)),"")</f>
        <v>45367</v>
      </c>
      <c r="H55" s="5" t="str">
        <f t="array" ref="H55">IF(W55=1,INDEX(Honor!$H$2:$H905,MATCH($D55&amp;"-"&amp;R55,Honor!$K$2:$K905,0)),"")</f>
        <v>Rumah Tangga</v>
      </c>
      <c r="I55" s="8">
        <f>IF(W55=1,SUMIFS(Honor!$I$2:$I905,Honor!$K$2:$K905,$D55&amp;"-"&amp;R55),"")</f>
        <v>287000</v>
      </c>
      <c r="J55" s="9">
        <f t="shared" si="6"/>
        <v>1</v>
      </c>
      <c r="K55" s="10">
        <f t="shared" si="0"/>
        <v>287000</v>
      </c>
      <c r="L55" s="11">
        <f t="shared" si="1"/>
        <v>45367</v>
      </c>
      <c r="M55" s="10">
        <f ca="1">IF(W55=1,IF(AND(U55&lt;2,INT(V55)&lt;='Batasan Honor'!$B$2),1,0),"")</f>
        <v>1</v>
      </c>
      <c r="O55" s="10">
        <f t="shared" si="2"/>
        <v>3</v>
      </c>
      <c r="P55" s="10">
        <f t="shared" si="3"/>
        <v>2024</v>
      </c>
      <c r="R55" s="4" t="s">
        <v>25</v>
      </c>
      <c r="S55" s="10" t="str">
        <f t="shared" si="4"/>
        <v>610422040050,2024,3</v>
      </c>
      <c r="U55" s="10">
        <f ca="1">IFERROR(__xludf.DUMMYFUNCTION("if(W55=1,COUNTIFS(FILTER($H$2:$H905,$H$2:$H905=""OB"",$S$2:$S905=S55),""OB""),"""")"),0)</f>
        <v>0</v>
      </c>
      <c r="V55" s="10">
        <f ca="1">IFERROR(__xludf.DUMMYFUNCTION("IF(OR(ISNA(SUM(FILTER($K$2:$K905,$A$2:$A905=A55,$S$2:$S905=S55,$H$2:$H905&lt;&gt;""OB""))),W55&lt;&gt;1),"""",SUM(FILTER($K$2:$K905,$A$2:$A905=A55,$S$2:$S905=S55,$H$2:$H905&lt;&gt;""OB"")))"),287000)</f>
        <v>287000</v>
      </c>
      <c r="W55" s="10">
        <f t="shared" si="5"/>
        <v>1</v>
      </c>
    </row>
    <row r="56" spans="1:23" ht="12.5">
      <c r="A56" s="4">
        <v>610422030002</v>
      </c>
      <c r="B56" s="5" t="str">
        <f t="array" ref="B56">IF(W56=1,INDEX('Database Mitra'!$H$2:$H905,MATCH(A56,'Database Mitra'!AK$2:AK905,0)),"")</f>
        <v>Deti erni widiastuti</v>
      </c>
      <c r="C56" s="5" t="e">
        <f t="array" ref="C56">IF(W56=1,INDEX('Database Mitra'!$E$2:$E905,MATCH(A56,'Database Mitra'!AK$2:AK905,0)),"")</f>
        <v>#VALUE!</v>
      </c>
      <c r="D56" s="4" t="s">
        <v>26</v>
      </c>
      <c r="E56" s="5" t="str">
        <f t="array" ref="E56">IF(W56=1,INDEX('Input Kegiatan'!B$2:B905,MATCH($D56,'Input Kegiatan'!$A$2:$A905,0)),"")</f>
        <v>Susenas Maret 2024</v>
      </c>
      <c r="F56" s="7">
        <f t="array" ref="F56">IF(W56=1,INDEX('Input Kegiatan'!D$2:D905,MATCH($D56,'Input Kegiatan'!$A$2:$A905,0)),"")</f>
        <v>45334</v>
      </c>
      <c r="G56" s="7">
        <f t="array" ref="G56">IF(W56=1,INDEX('Input Kegiatan'!E$2:E905,MATCH($D56,'Input Kegiatan'!$A$2:$A905,0)),"")</f>
        <v>45367</v>
      </c>
      <c r="H56" s="5" t="str">
        <f t="array" ref="H56">IF(W56=1,INDEX(Honor!$H$2:$H905,MATCH($D56&amp;"-"&amp;R56,Honor!$K$2:$K905,0)),"")</f>
        <v>Rumah Tangga</v>
      </c>
      <c r="I56" s="8">
        <f>IF(W56=1,SUMIFS(Honor!$I$2:$I905,Honor!$K$2:$K905,$D56&amp;"-"&amp;R56),"")</f>
        <v>287000</v>
      </c>
      <c r="J56" s="9">
        <f t="shared" si="6"/>
        <v>1</v>
      </c>
      <c r="K56" s="10">
        <f t="shared" si="0"/>
        <v>287000</v>
      </c>
      <c r="L56" s="11">
        <f t="shared" si="1"/>
        <v>45367</v>
      </c>
      <c r="M56" s="10">
        <f ca="1">IF(W56=1,IF(AND(U56&lt;2,INT(V56)&lt;='Batasan Honor'!$B$2),1,0),"")</f>
        <v>1</v>
      </c>
      <c r="O56" s="10">
        <f t="shared" si="2"/>
        <v>3</v>
      </c>
      <c r="P56" s="10">
        <f t="shared" si="3"/>
        <v>2024</v>
      </c>
      <c r="R56" s="4" t="s">
        <v>25</v>
      </c>
      <c r="S56" s="10" t="str">
        <f t="shared" si="4"/>
        <v>610422030002,2024,3</v>
      </c>
      <c r="U56" s="10">
        <f ca="1">IFERROR(__xludf.DUMMYFUNCTION("if(W56=1,COUNTIFS(FILTER($H$2:$H905,$H$2:$H905=""OB"",$S$2:$S905=S56),""OB""),"""")"),0)</f>
        <v>0</v>
      </c>
      <c r="V56" s="10">
        <f ca="1">IFERROR(__xludf.DUMMYFUNCTION("IF(OR(ISNA(SUM(FILTER($K$2:$K905,$A$2:$A905=A56,$S$2:$S905=S56,$H$2:$H905&lt;&gt;""OB""))),W56&lt;&gt;1),"""",SUM(FILTER($K$2:$K905,$A$2:$A905=A56,$S$2:$S905=S56,$H$2:$H905&lt;&gt;""OB"")))"),287000)</f>
        <v>287000</v>
      </c>
      <c r="W56" s="10">
        <f t="shared" si="5"/>
        <v>1</v>
      </c>
    </row>
    <row r="57" spans="1:23" ht="12.5">
      <c r="A57" s="4">
        <v>610422040029</v>
      </c>
      <c r="B57" s="5" t="str">
        <f t="array" ref="B57">IF(W57=1,INDEX('Database Mitra'!$H$2:$H905,MATCH(A57,'Database Mitra'!AK$2:AK905,0)),"")</f>
        <v>Zaini</v>
      </c>
      <c r="C57" s="5" t="e">
        <f t="array" ref="C57">IF(W57=1,INDEX('Database Mitra'!$E$2:$E905,MATCH(A57,'Database Mitra'!AK$2:AK905,0)),"")</f>
        <v>#VALUE!</v>
      </c>
      <c r="D57" s="4" t="s">
        <v>26</v>
      </c>
      <c r="E57" s="5" t="str">
        <f t="array" ref="E57">IF(W57=1,INDEX('Input Kegiatan'!B$2:B905,MATCH($D57,'Input Kegiatan'!$A$2:$A905,0)),"")</f>
        <v>Susenas Maret 2024</v>
      </c>
      <c r="F57" s="7">
        <f t="array" ref="F57">IF(W57=1,INDEX('Input Kegiatan'!D$2:D905,MATCH($D57,'Input Kegiatan'!$A$2:$A905,0)),"")</f>
        <v>45334</v>
      </c>
      <c r="G57" s="7">
        <f t="array" ref="G57">IF(W57=1,INDEX('Input Kegiatan'!E$2:E905,MATCH($D57,'Input Kegiatan'!$A$2:$A905,0)),"")</f>
        <v>45367</v>
      </c>
      <c r="H57" s="5" t="str">
        <f t="array" ref="H57">IF(W57=1,INDEX(Honor!$H$2:$H905,MATCH($D57&amp;"-"&amp;R57,Honor!$K$2:$K905,0)),"")</f>
        <v>Rumah Tangga</v>
      </c>
      <c r="I57" s="8">
        <f>IF(W57=1,SUMIFS(Honor!$I$2:$I905,Honor!$K$2:$K905,$D57&amp;"-"&amp;R57),"")</f>
        <v>287000</v>
      </c>
      <c r="J57" s="9">
        <f t="shared" si="6"/>
        <v>1</v>
      </c>
      <c r="K57" s="10">
        <f t="shared" si="0"/>
        <v>287000</v>
      </c>
      <c r="L57" s="11">
        <f t="shared" si="1"/>
        <v>45367</v>
      </c>
      <c r="M57" s="10">
        <f ca="1">IF(W57=1,IF(AND(U57&lt;2,INT(V57)&lt;='Batasan Honor'!$B$2),1,0),"")</f>
        <v>1</v>
      </c>
      <c r="O57" s="10">
        <f t="shared" si="2"/>
        <v>3</v>
      </c>
      <c r="P57" s="10">
        <f t="shared" si="3"/>
        <v>2024</v>
      </c>
      <c r="R57" s="4" t="s">
        <v>25</v>
      </c>
      <c r="S57" s="10" t="str">
        <f t="shared" si="4"/>
        <v>610422040029,2024,3</v>
      </c>
      <c r="U57" s="10">
        <f ca="1">IFERROR(__xludf.DUMMYFUNCTION("if(W57=1,COUNTIFS(FILTER($H$2:$H905,$H$2:$H905=""OB"",$S$2:$S905=S57),""OB""),"""")"),0)</f>
        <v>0</v>
      </c>
      <c r="V57" s="10">
        <f ca="1">IFERROR(__xludf.DUMMYFUNCTION("IF(OR(ISNA(SUM(FILTER($K$2:$K905,$A$2:$A905=A57,$S$2:$S905=S57,$H$2:$H905&lt;&gt;""OB""))),W57&lt;&gt;1),"""",SUM(FILTER($K$2:$K905,$A$2:$A905=A57,$S$2:$S905=S57,$H$2:$H905&lt;&gt;""OB"")))"),287000)</f>
        <v>287000</v>
      </c>
      <c r="W57" s="10">
        <f t="shared" si="5"/>
        <v>1</v>
      </c>
    </row>
    <row r="58" spans="1:23" ht="12.5">
      <c r="A58" s="4">
        <v>610422040053</v>
      </c>
      <c r="B58" s="5" t="str">
        <f t="array" ref="B58">IF(W58=1,INDEX('Database Mitra'!$H$2:$H905,MATCH(A58,'Database Mitra'!AK$2:AK905,0)),"")</f>
        <v>Veti Ningsi</v>
      </c>
      <c r="C58" s="5" t="e">
        <f t="array" ref="C58">IF(W58=1,INDEX('Database Mitra'!$E$2:$E905,MATCH(A58,'Database Mitra'!AK$2:AK905,0)),"")</f>
        <v>#VALUE!</v>
      </c>
      <c r="D58" s="4" t="s">
        <v>26</v>
      </c>
      <c r="E58" s="5" t="str">
        <f t="array" ref="E58">IF(W58=1,INDEX('Input Kegiatan'!B$2:B905,MATCH($D58,'Input Kegiatan'!$A$2:$A905,0)),"")</f>
        <v>Susenas Maret 2024</v>
      </c>
      <c r="F58" s="7">
        <f t="array" ref="F58">IF(W58=1,INDEX('Input Kegiatan'!D$2:D905,MATCH($D58,'Input Kegiatan'!$A$2:$A905,0)),"")</f>
        <v>45334</v>
      </c>
      <c r="G58" s="7">
        <f t="array" ref="G58">IF(W58=1,INDEX('Input Kegiatan'!E$2:E905,MATCH($D58,'Input Kegiatan'!$A$2:$A905,0)),"")</f>
        <v>45367</v>
      </c>
      <c r="H58" s="5" t="str">
        <f t="array" ref="H58">IF(W58=1,INDEX(Honor!$H$2:$H905,MATCH($D58&amp;"-"&amp;R58,Honor!$K$2:$K905,0)),"")</f>
        <v>Rumah Tangga</v>
      </c>
      <c r="I58" s="8">
        <f>IF(W58=1,SUMIFS(Honor!$I$2:$I905,Honor!$K$2:$K905,$D58&amp;"-"&amp;R58),"")</f>
        <v>287000</v>
      </c>
      <c r="J58" s="9">
        <f t="shared" si="6"/>
        <v>1</v>
      </c>
      <c r="K58" s="10">
        <f t="shared" si="0"/>
        <v>287000</v>
      </c>
      <c r="L58" s="11">
        <f t="shared" si="1"/>
        <v>45367</v>
      </c>
      <c r="M58" s="10">
        <f ca="1">IF(W58=1,IF(AND(U58&lt;2,INT(V58)&lt;='Batasan Honor'!$B$2),1,0),"")</f>
        <v>1</v>
      </c>
      <c r="O58" s="10">
        <f t="shared" si="2"/>
        <v>3</v>
      </c>
      <c r="P58" s="10">
        <f t="shared" si="3"/>
        <v>2024</v>
      </c>
      <c r="R58" s="4" t="s">
        <v>25</v>
      </c>
      <c r="S58" s="10" t="str">
        <f t="shared" si="4"/>
        <v>610422040053,2024,3</v>
      </c>
      <c r="U58" s="10">
        <f ca="1">IFERROR(__xludf.DUMMYFUNCTION("if(W58=1,COUNTIFS(FILTER($H$2:$H905,$H$2:$H905=""OB"",$S$2:$S905=S58),""OB""),"""")"),0)</f>
        <v>0</v>
      </c>
      <c r="V58" s="10">
        <f ca="1">IFERROR(__xludf.DUMMYFUNCTION("IF(OR(ISNA(SUM(FILTER($K$2:$K905,$A$2:$A905=A58,$S$2:$S905=S58,$H$2:$H905&lt;&gt;""OB""))),W58&lt;&gt;1),"""",SUM(FILTER($K$2:$K905,$A$2:$A905=A58,$S$2:$S905=S58,$H$2:$H905&lt;&gt;""OB"")))"),287000)</f>
        <v>287000</v>
      </c>
      <c r="W58" s="10">
        <f t="shared" si="5"/>
        <v>1</v>
      </c>
    </row>
    <row r="59" spans="1:23" ht="12.5">
      <c r="A59" s="4">
        <v>610422040013</v>
      </c>
      <c r="B59" s="5" t="str">
        <f t="array" ref="B59">IF(W59=1,INDEX('Database Mitra'!$H$2:$H905,MATCH(A59,'Database Mitra'!AK$2:AK905,0)),"")</f>
        <v>Yusra, SE</v>
      </c>
      <c r="C59" s="5" t="e">
        <f t="array" ref="C59">IF(W59=1,INDEX('Database Mitra'!$E$2:$E905,MATCH(A59,'Database Mitra'!AK$2:AK905,0)),"")</f>
        <v>#VALUE!</v>
      </c>
      <c r="D59" s="4" t="s">
        <v>26</v>
      </c>
      <c r="E59" s="5" t="str">
        <f t="array" ref="E59">IF(W59=1,INDEX('Input Kegiatan'!B$2:B905,MATCH($D59,'Input Kegiatan'!$A$2:$A905,0)),"")</f>
        <v>Susenas Maret 2024</v>
      </c>
      <c r="F59" s="7">
        <f t="array" ref="F59">IF(W59=1,INDEX('Input Kegiatan'!D$2:D905,MATCH($D59,'Input Kegiatan'!$A$2:$A905,0)),"")</f>
        <v>45334</v>
      </c>
      <c r="G59" s="7">
        <f t="array" ref="G59">IF(W59=1,INDEX('Input Kegiatan'!E$2:E905,MATCH($D59,'Input Kegiatan'!$A$2:$A905,0)),"")</f>
        <v>45367</v>
      </c>
      <c r="H59" s="5" t="str">
        <f t="array" ref="H59">IF(W59=1,INDEX(Honor!$H$2:$H905,MATCH($D59&amp;"-"&amp;R59,Honor!$K$2:$K905,0)),"")</f>
        <v>Rumah Tangga</v>
      </c>
      <c r="I59" s="8">
        <f>IF(W59=1,SUMIFS(Honor!$I$2:$I905,Honor!$K$2:$K905,$D59&amp;"-"&amp;R59),"")</f>
        <v>287000</v>
      </c>
      <c r="J59" s="9">
        <f t="shared" si="6"/>
        <v>1</v>
      </c>
      <c r="K59" s="10">
        <f t="shared" si="0"/>
        <v>287000</v>
      </c>
      <c r="L59" s="11">
        <f t="shared" si="1"/>
        <v>45367</v>
      </c>
      <c r="M59" s="10">
        <f ca="1">IF(W59=1,IF(AND(U59&lt;2,INT(V59)&lt;='Batasan Honor'!$B$2),1,0),"")</f>
        <v>1</v>
      </c>
      <c r="O59" s="10">
        <f t="shared" si="2"/>
        <v>3</v>
      </c>
      <c r="P59" s="10">
        <f t="shared" si="3"/>
        <v>2024</v>
      </c>
      <c r="R59" s="4" t="s">
        <v>25</v>
      </c>
      <c r="S59" s="10" t="str">
        <f t="shared" si="4"/>
        <v>610422040013,2024,3</v>
      </c>
      <c r="U59" s="10">
        <f ca="1">IFERROR(__xludf.DUMMYFUNCTION("if(W59=1,COUNTIFS(FILTER($H$2:$H905,$H$2:$H905=""OB"",$S$2:$S905=S59),""OB""),"""")"),0)</f>
        <v>0</v>
      </c>
      <c r="V59" s="10">
        <f ca="1">IFERROR(__xludf.DUMMYFUNCTION("IF(OR(ISNA(SUM(FILTER($K$2:$K905,$A$2:$A905=A59,$S$2:$S905=S59,$H$2:$H905&lt;&gt;""OB""))),W59&lt;&gt;1),"""",SUM(FILTER($K$2:$K905,$A$2:$A905=A59,$S$2:$S905=S59,$H$2:$H905&lt;&gt;""OB"")))"),287000)</f>
        <v>287000</v>
      </c>
      <c r="W59" s="10">
        <f t="shared" si="5"/>
        <v>1</v>
      </c>
    </row>
    <row r="60" spans="1:23" ht="12.5">
      <c r="A60" s="4">
        <v>610422020032</v>
      </c>
      <c r="B60" s="5" t="str">
        <f t="array" ref="B60">IF(W60=1,INDEX('Database Mitra'!$H$2:$H905,MATCH(A60,'Database Mitra'!AK$2:AK905,0)),"")</f>
        <v>Lilis Suryani</v>
      </c>
      <c r="C60" s="5" t="e">
        <f t="array" ref="C60">IF(W60=1,INDEX('Database Mitra'!$E$2:$E905,MATCH(A60,'Database Mitra'!AK$2:AK905,0)),"")</f>
        <v>#VALUE!</v>
      </c>
      <c r="D60" s="4" t="s">
        <v>26</v>
      </c>
      <c r="E60" s="5" t="str">
        <f t="array" ref="E60">IF(W60=1,INDEX('Input Kegiatan'!B$2:B905,MATCH($D60,'Input Kegiatan'!$A$2:$A905,0)),"")</f>
        <v>Susenas Maret 2024</v>
      </c>
      <c r="F60" s="7">
        <f t="array" ref="F60">IF(W60=1,INDEX('Input Kegiatan'!D$2:D905,MATCH($D60,'Input Kegiatan'!$A$2:$A905,0)),"")</f>
        <v>45334</v>
      </c>
      <c r="G60" s="7">
        <f t="array" ref="G60">IF(W60=1,INDEX('Input Kegiatan'!E$2:E905,MATCH($D60,'Input Kegiatan'!$A$2:$A905,0)),"")</f>
        <v>45367</v>
      </c>
      <c r="H60" s="5" t="str">
        <f t="array" ref="H60">IF(W60=1,INDEX(Honor!$H$2:$H905,MATCH($D60&amp;"-"&amp;R60,Honor!$K$2:$K905,0)),"")</f>
        <v>Rumah Tangga</v>
      </c>
      <c r="I60" s="8">
        <f>IF(W60=1,SUMIFS(Honor!$I$2:$I905,Honor!$K$2:$K905,$D60&amp;"-"&amp;R60),"")</f>
        <v>287000</v>
      </c>
      <c r="J60" s="9">
        <f t="shared" si="6"/>
        <v>1</v>
      </c>
      <c r="K60" s="10">
        <f t="shared" si="0"/>
        <v>287000</v>
      </c>
      <c r="L60" s="11">
        <f t="shared" si="1"/>
        <v>45367</v>
      </c>
      <c r="M60" s="10">
        <f ca="1">IF(W60=1,IF(AND(U60&lt;2,INT(V60)&lt;='Batasan Honor'!$B$2),1,0),"")</f>
        <v>1</v>
      </c>
      <c r="O60" s="10">
        <f t="shared" si="2"/>
        <v>3</v>
      </c>
      <c r="P60" s="10">
        <f t="shared" si="3"/>
        <v>2024</v>
      </c>
      <c r="R60" s="4" t="s">
        <v>25</v>
      </c>
      <c r="S60" s="10" t="str">
        <f t="shared" si="4"/>
        <v>610422020032,2024,3</v>
      </c>
      <c r="U60" s="10">
        <f ca="1">IFERROR(__xludf.DUMMYFUNCTION("if(W60=1,COUNTIFS(FILTER($H$2:$H905,$H$2:$H905=""OB"",$S$2:$S905=S60),""OB""),"""")"),0)</f>
        <v>0</v>
      </c>
      <c r="V60" s="10">
        <f ca="1">IFERROR(__xludf.DUMMYFUNCTION("IF(OR(ISNA(SUM(FILTER($K$2:$K905,$A$2:$A905=A60,$S$2:$S905=S60,$H$2:$H905&lt;&gt;""OB""))),W60&lt;&gt;1),"""",SUM(FILTER($K$2:$K905,$A$2:$A905=A60,$S$2:$S905=S60,$H$2:$H905&lt;&gt;""OB"")))"),287000)</f>
        <v>287000</v>
      </c>
      <c r="W60" s="10">
        <f t="shared" si="5"/>
        <v>1</v>
      </c>
    </row>
    <row r="61" spans="1:23" ht="12.5">
      <c r="A61" s="4">
        <v>610422020045</v>
      </c>
      <c r="B61" s="5" t="str">
        <f t="array" ref="B61">IF(W61=1,INDEX('Database Mitra'!$H$2:$H905,MATCH(A61,'Database Mitra'!AK$2:AK905,0)),"")</f>
        <v>Herdinatara Febria</v>
      </c>
      <c r="C61" s="5" t="e">
        <f t="array" ref="C61">IF(W61=1,INDEX('Database Mitra'!$E$2:$E905,MATCH(A61,'Database Mitra'!AK$2:AK905,0)),"")</f>
        <v>#VALUE!</v>
      </c>
      <c r="D61" s="4" t="s">
        <v>26</v>
      </c>
      <c r="E61" s="5" t="str">
        <f t="array" ref="E61">IF(W61=1,INDEX('Input Kegiatan'!B$2:B905,MATCH($D61,'Input Kegiatan'!$A$2:$A905,0)),"")</f>
        <v>Susenas Maret 2024</v>
      </c>
      <c r="F61" s="7">
        <f t="array" ref="F61">IF(W61=1,INDEX('Input Kegiatan'!D$2:D905,MATCH($D61,'Input Kegiatan'!$A$2:$A905,0)),"")</f>
        <v>45334</v>
      </c>
      <c r="G61" s="7">
        <f t="array" ref="G61">IF(W61=1,INDEX('Input Kegiatan'!E$2:E905,MATCH($D61,'Input Kegiatan'!$A$2:$A905,0)),"")</f>
        <v>45367</v>
      </c>
      <c r="H61" s="5" t="str">
        <f t="array" ref="H61">IF(W61=1,INDEX(Honor!$H$2:$H905,MATCH($D61&amp;"-"&amp;R61,Honor!$K$2:$K905,0)),"")</f>
        <v>Rumah Tangga</v>
      </c>
      <c r="I61" s="8">
        <f>IF(W61=1,SUMIFS(Honor!$I$2:$I905,Honor!$K$2:$K905,$D61&amp;"-"&amp;R61),"")</f>
        <v>287000</v>
      </c>
      <c r="J61" s="9">
        <f t="shared" si="6"/>
        <v>1</v>
      </c>
      <c r="K61" s="10">
        <f t="shared" si="0"/>
        <v>287000</v>
      </c>
      <c r="L61" s="11">
        <f t="shared" si="1"/>
        <v>45367</v>
      </c>
      <c r="M61" s="10">
        <f ca="1">IF(W61=1,IF(AND(U61&lt;2,INT(V61)&lt;='Batasan Honor'!$B$2),1,0),"")</f>
        <v>1</v>
      </c>
      <c r="O61" s="10">
        <f t="shared" si="2"/>
        <v>3</v>
      </c>
      <c r="P61" s="10">
        <f t="shared" si="3"/>
        <v>2024</v>
      </c>
      <c r="R61" s="4" t="s">
        <v>25</v>
      </c>
      <c r="S61" s="10" t="str">
        <f t="shared" si="4"/>
        <v>610422020045,2024,3</v>
      </c>
      <c r="U61" s="10">
        <f ca="1">IFERROR(__xludf.DUMMYFUNCTION("if(W61=1,COUNTIFS(FILTER($H$2:$H905,$H$2:$H905=""OB"",$S$2:$S905=S61),""OB""),"""")"),0)</f>
        <v>0</v>
      </c>
      <c r="V61" s="10">
        <f ca="1">IFERROR(__xludf.DUMMYFUNCTION("IF(OR(ISNA(SUM(FILTER($K$2:$K905,$A$2:$A905=A61,$S$2:$S905=S61,$H$2:$H905&lt;&gt;""OB""))),W61&lt;&gt;1),"""",SUM(FILTER($K$2:$K905,$A$2:$A905=A61,$S$2:$S905=S61,$H$2:$H905&lt;&gt;""OB"")))"),287000)</f>
        <v>287000</v>
      </c>
      <c r="W61" s="10">
        <f t="shared" si="5"/>
        <v>1</v>
      </c>
    </row>
    <row r="62" spans="1:23" ht="12.5">
      <c r="A62" s="4">
        <v>610422020006</v>
      </c>
      <c r="B62" s="5" t="str">
        <f t="array" ref="B62">IF(W62=1,INDEX('Database Mitra'!$H$2:$H905,MATCH(A62,'Database Mitra'!AK$2:AK905,0)),"")</f>
        <v>Nasrullah</v>
      </c>
      <c r="C62" s="5" t="e">
        <f t="array" ref="C62">IF(W62=1,INDEX('Database Mitra'!$E$2:$E905,MATCH(A62,'Database Mitra'!AK$2:AK905,0)),"")</f>
        <v>#VALUE!</v>
      </c>
      <c r="D62" s="4" t="s">
        <v>26</v>
      </c>
      <c r="E62" s="5" t="str">
        <f t="array" ref="E62">IF(W62=1,INDEX('Input Kegiatan'!B$2:B905,MATCH($D62,'Input Kegiatan'!$A$2:$A905,0)),"")</f>
        <v>Susenas Maret 2024</v>
      </c>
      <c r="F62" s="7">
        <f t="array" ref="F62">IF(W62=1,INDEX('Input Kegiatan'!D$2:D905,MATCH($D62,'Input Kegiatan'!$A$2:$A905,0)),"")</f>
        <v>45334</v>
      </c>
      <c r="G62" s="7">
        <f t="array" ref="G62">IF(W62=1,INDEX('Input Kegiatan'!E$2:E905,MATCH($D62,'Input Kegiatan'!$A$2:$A905,0)),"")</f>
        <v>45367</v>
      </c>
      <c r="H62" s="5" t="str">
        <f t="array" ref="H62">IF(W62=1,INDEX(Honor!$H$2:$H905,MATCH($D62&amp;"-"&amp;R62,Honor!$K$2:$K905,0)),"")</f>
        <v>Rumah Tangga</v>
      </c>
      <c r="I62" s="8">
        <f>IF(W62=1,SUMIFS(Honor!$I$2:$I905,Honor!$K$2:$K905,$D62&amp;"-"&amp;R62),"")</f>
        <v>61500</v>
      </c>
      <c r="J62" s="9">
        <f t="shared" si="6"/>
        <v>1</v>
      </c>
      <c r="K62" s="10">
        <f t="shared" si="0"/>
        <v>61500</v>
      </c>
      <c r="L62" s="11">
        <f t="shared" si="1"/>
        <v>45367</v>
      </c>
      <c r="M62" s="10">
        <f ca="1">IF(W62=1,IF(AND(U62&lt;2,INT(V62)&lt;='Batasan Honor'!$B$2),1,0),"")</f>
        <v>1</v>
      </c>
      <c r="O62" s="10">
        <f t="shared" si="2"/>
        <v>3</v>
      </c>
      <c r="P62" s="10">
        <f t="shared" si="3"/>
        <v>2024</v>
      </c>
      <c r="R62" s="4" t="s">
        <v>27</v>
      </c>
      <c r="S62" s="10" t="str">
        <f t="shared" si="4"/>
        <v>610422020006,2024,3</v>
      </c>
      <c r="U62" s="10">
        <f ca="1">IFERROR(__xludf.DUMMYFUNCTION("if(W62=1,COUNTIFS(FILTER($H$2:$H905,$H$2:$H905=""OB"",$S$2:$S905=S62),""OB""),"""")"),0)</f>
        <v>0</v>
      </c>
      <c r="V62" s="10">
        <f ca="1">IFERROR(__xludf.DUMMYFUNCTION("IF(OR(ISNA(SUM(FILTER($K$2:$K905,$A$2:$A905=A62,$S$2:$S905=S62,$H$2:$H905&lt;&gt;""OB""))),W62&lt;&gt;1),"""",SUM(FILTER($K$2:$K905,$A$2:$A905=A62,$S$2:$S905=S62,$H$2:$H905&lt;&gt;""OB"")))"),61500)</f>
        <v>61500</v>
      </c>
      <c r="W62" s="10">
        <f t="shared" si="5"/>
        <v>1</v>
      </c>
    </row>
    <row r="63" spans="1:23" ht="12.5">
      <c r="A63" s="4">
        <v>610422020039</v>
      </c>
      <c r="B63" s="5" t="str">
        <f t="array" ref="B63">IF(W63=1,INDEX('Database Mitra'!$H$2:$H905,MATCH(A63,'Database Mitra'!AK$2:AK905,0)),"")</f>
        <v>Suyehdi</v>
      </c>
      <c r="C63" s="5" t="e">
        <f t="array" ref="C63">IF(W63=1,INDEX('Database Mitra'!$E$2:$E905,MATCH(A63,'Database Mitra'!AK$2:AK905,0)),"")</f>
        <v>#VALUE!</v>
      </c>
      <c r="D63" s="4" t="s">
        <v>26</v>
      </c>
      <c r="E63" s="5" t="str">
        <f t="array" ref="E63">IF(W63=1,INDEX('Input Kegiatan'!B$2:B905,MATCH($D63,'Input Kegiatan'!$A$2:$A905,0)),"")</f>
        <v>Susenas Maret 2024</v>
      </c>
      <c r="F63" s="7">
        <f t="array" ref="F63">IF(W63=1,INDEX('Input Kegiatan'!D$2:D905,MATCH($D63,'Input Kegiatan'!$A$2:$A905,0)),"")</f>
        <v>45334</v>
      </c>
      <c r="G63" s="7">
        <f t="array" ref="G63">IF(W63=1,INDEX('Input Kegiatan'!E$2:E905,MATCH($D63,'Input Kegiatan'!$A$2:$A905,0)),"")</f>
        <v>45367</v>
      </c>
      <c r="H63" s="5" t="str">
        <f t="array" ref="H63">IF(W63=1,INDEX(Honor!$H$2:$H905,MATCH($D63&amp;"-"&amp;R63,Honor!$K$2:$K905,0)),"")</f>
        <v>Rumah Tangga</v>
      </c>
      <c r="I63" s="8">
        <f>IF(W63=1,SUMIFS(Honor!$I$2:$I905,Honor!$K$2:$K905,$D63&amp;"-"&amp;R63),"")</f>
        <v>61500</v>
      </c>
      <c r="J63" s="9">
        <f t="shared" si="6"/>
        <v>1</v>
      </c>
      <c r="K63" s="10">
        <f t="shared" si="0"/>
        <v>61500</v>
      </c>
      <c r="L63" s="11">
        <f t="shared" si="1"/>
        <v>45367</v>
      </c>
      <c r="M63" s="10">
        <f ca="1">IF(W63=1,IF(AND(U63&lt;2,INT(V63)&lt;='Batasan Honor'!$B$2),1,0),"")</f>
        <v>1</v>
      </c>
      <c r="O63" s="10">
        <f t="shared" si="2"/>
        <v>3</v>
      </c>
      <c r="P63" s="10">
        <f t="shared" si="3"/>
        <v>2024</v>
      </c>
      <c r="R63" s="4" t="s">
        <v>27</v>
      </c>
      <c r="S63" s="10" t="str">
        <f t="shared" si="4"/>
        <v>610422020039,2024,3</v>
      </c>
      <c r="U63" s="10">
        <f ca="1">IFERROR(__xludf.DUMMYFUNCTION("if(W63=1,COUNTIFS(FILTER($H$2:$H905,$H$2:$H905=""OB"",$S$2:$S905=S63),""OB""),"""")"),0)</f>
        <v>0</v>
      </c>
      <c r="V63" s="10">
        <f ca="1">IFERROR(__xludf.DUMMYFUNCTION("IF(OR(ISNA(SUM(FILTER($K$2:$K905,$A$2:$A905=A63,$S$2:$S905=S63,$H$2:$H905&lt;&gt;""OB""))),W63&lt;&gt;1),"""",SUM(FILTER($K$2:$K905,$A$2:$A905=A63,$S$2:$S905=S63,$H$2:$H905&lt;&gt;""OB"")))"),61500)</f>
        <v>61500</v>
      </c>
      <c r="W63" s="10">
        <f t="shared" si="5"/>
        <v>1</v>
      </c>
    </row>
    <row r="64" spans="1:23" ht="12.5">
      <c r="A64" s="4">
        <v>610422100010</v>
      </c>
      <c r="B64" s="5" t="str">
        <f t="array" ref="B64">IF(W64=1,INDEX('Database Mitra'!$H$2:$H905,MATCH(A64,'Database Mitra'!AK$2:AK905,0)),"")</f>
        <v>Muhammad Rendi Fakhrian</v>
      </c>
      <c r="C64" s="5" t="e">
        <f t="array" ref="C64">IF(W64=1,INDEX('Database Mitra'!$E$2:$E905,MATCH(A64,'Database Mitra'!AK$2:AK905,0)),"")</f>
        <v>#VALUE!</v>
      </c>
      <c r="D64" s="4" t="s">
        <v>26</v>
      </c>
      <c r="E64" s="5" t="str">
        <f t="array" ref="E64">IF(W64=1,INDEX('Input Kegiatan'!B$2:B905,MATCH($D64,'Input Kegiatan'!$A$2:$A905,0)),"")</f>
        <v>Susenas Maret 2024</v>
      </c>
      <c r="F64" s="7">
        <f t="array" ref="F64">IF(W64=1,INDEX('Input Kegiatan'!D$2:D905,MATCH($D64,'Input Kegiatan'!$A$2:$A905,0)),"")</f>
        <v>45334</v>
      </c>
      <c r="G64" s="7">
        <f t="array" ref="G64">IF(W64=1,INDEX('Input Kegiatan'!E$2:E905,MATCH($D64,'Input Kegiatan'!$A$2:$A905,0)),"")</f>
        <v>45367</v>
      </c>
      <c r="H64" s="5" t="str">
        <f t="array" ref="H64">IF(W64=1,INDEX(Honor!$H$2:$H905,MATCH($D64&amp;"-"&amp;R64,Honor!$K$2:$K905,0)),"")</f>
        <v>Rumah Tangga</v>
      </c>
      <c r="I64" s="8">
        <f>IF(W64=1,SUMIFS(Honor!$I$2:$I905,Honor!$K$2:$K905,$D64&amp;"-"&amp;R64),"")</f>
        <v>61500</v>
      </c>
      <c r="J64" s="9">
        <f t="shared" si="6"/>
        <v>1</v>
      </c>
      <c r="K64" s="10">
        <f t="shared" si="0"/>
        <v>61500</v>
      </c>
      <c r="L64" s="11">
        <f t="shared" si="1"/>
        <v>45367</v>
      </c>
      <c r="M64" s="10">
        <f ca="1">IF(W64=1,IF(AND(U64&lt;2,INT(V64)&lt;='Batasan Honor'!$B$2),1,0),"")</f>
        <v>1</v>
      </c>
      <c r="O64" s="10">
        <f t="shared" si="2"/>
        <v>3</v>
      </c>
      <c r="P64" s="10">
        <f t="shared" si="3"/>
        <v>2024</v>
      </c>
      <c r="R64" s="4" t="s">
        <v>27</v>
      </c>
      <c r="S64" s="10" t="str">
        <f t="shared" si="4"/>
        <v>610422100010,2024,3</v>
      </c>
      <c r="U64" s="10">
        <f ca="1">IFERROR(__xludf.DUMMYFUNCTION("if(W64=1,COUNTIFS(FILTER($H$2:$H905,$H$2:$H905=""OB"",$S$2:$S905=S64),""OB""),"""")"),0)</f>
        <v>0</v>
      </c>
      <c r="V64" s="10">
        <f ca="1">IFERROR(__xludf.DUMMYFUNCTION("IF(OR(ISNA(SUM(FILTER($K$2:$K905,$A$2:$A905=A64,$S$2:$S905=S64,$H$2:$H905&lt;&gt;""OB""))),W64&lt;&gt;1),"""",SUM(FILTER($K$2:$K905,$A$2:$A905=A64,$S$2:$S905=S64,$H$2:$H905&lt;&gt;""OB"")))"),61500)</f>
        <v>61500</v>
      </c>
      <c r="W64" s="10">
        <f t="shared" si="5"/>
        <v>1</v>
      </c>
    </row>
    <row r="65" spans="1:23" ht="12.5">
      <c r="A65" s="4">
        <v>610422100047</v>
      </c>
      <c r="B65" s="5" t="str">
        <f t="array" ref="B65">IF(W65=1,INDEX('Database Mitra'!$H$2:$H905,MATCH(A65,'Database Mitra'!AK$2:AK905,0)),"")</f>
        <v>Annisa Maharani Alfarasi</v>
      </c>
      <c r="C65" s="5" t="e">
        <f t="array" ref="C65">IF(W65=1,INDEX('Database Mitra'!$E$2:$E905,MATCH(A65,'Database Mitra'!AK$2:AK905,0)),"")</f>
        <v>#VALUE!</v>
      </c>
      <c r="D65" s="4" t="s">
        <v>26</v>
      </c>
      <c r="E65" s="5" t="str">
        <f t="array" ref="E65">IF(W65=1,INDEX('Input Kegiatan'!B$2:B905,MATCH($D65,'Input Kegiatan'!$A$2:$A905,0)),"")</f>
        <v>Susenas Maret 2024</v>
      </c>
      <c r="F65" s="7">
        <f t="array" ref="F65">IF(W65=1,INDEX('Input Kegiatan'!D$2:D905,MATCH($D65,'Input Kegiatan'!$A$2:$A905,0)),"")</f>
        <v>45334</v>
      </c>
      <c r="G65" s="7">
        <f t="array" ref="G65">IF(W65=1,INDEX('Input Kegiatan'!E$2:E905,MATCH($D65,'Input Kegiatan'!$A$2:$A905,0)),"")</f>
        <v>45367</v>
      </c>
      <c r="H65" s="5" t="str">
        <f t="array" ref="H65">IF(W65=1,INDEX(Honor!$H$2:$H905,MATCH($D65&amp;"-"&amp;R65,Honor!$K$2:$K905,0)),"")</f>
        <v>Rumah Tangga</v>
      </c>
      <c r="I65" s="8">
        <f>IF(W65=1,SUMIFS(Honor!$I$2:$I905,Honor!$K$2:$K905,$D65&amp;"-"&amp;R65),"")</f>
        <v>61500</v>
      </c>
      <c r="J65" s="9">
        <f t="shared" si="6"/>
        <v>1</v>
      </c>
      <c r="K65" s="10">
        <f t="shared" si="0"/>
        <v>61500</v>
      </c>
      <c r="L65" s="11">
        <f t="shared" si="1"/>
        <v>45367</v>
      </c>
      <c r="M65" s="10">
        <f ca="1">IF(W65=1,IF(AND(U65&lt;2,INT(V65)&lt;='Batasan Honor'!$B$2),1,0),"")</f>
        <v>1</v>
      </c>
      <c r="O65" s="10">
        <f t="shared" si="2"/>
        <v>3</v>
      </c>
      <c r="P65" s="10">
        <f t="shared" si="3"/>
        <v>2024</v>
      </c>
      <c r="R65" s="4" t="s">
        <v>27</v>
      </c>
      <c r="S65" s="10" t="str">
        <f t="shared" si="4"/>
        <v>610422100047,2024,3</v>
      </c>
      <c r="U65" s="10">
        <f ca="1">IFERROR(__xludf.DUMMYFUNCTION("if(W65=1,COUNTIFS(FILTER($H$2:$H905,$H$2:$H905=""OB"",$S$2:$S905=S65),""OB""),"""")"),0)</f>
        <v>0</v>
      </c>
      <c r="V65" s="10">
        <f ca="1">IFERROR(__xludf.DUMMYFUNCTION("IF(OR(ISNA(SUM(FILTER($K$2:$K905,$A$2:$A905=A65,$S$2:$S905=S65,$H$2:$H905&lt;&gt;""OB""))),W65&lt;&gt;1),"""",SUM(FILTER($K$2:$K905,$A$2:$A905=A65,$S$2:$S905=S65,$H$2:$H905&lt;&gt;""OB"")))"),61500)</f>
        <v>61500</v>
      </c>
      <c r="W65" s="10">
        <f t="shared" si="5"/>
        <v>1</v>
      </c>
    </row>
    <row r="66" spans="1:23" ht="12.5">
      <c r="A66" s="4">
        <v>610422100083</v>
      </c>
      <c r="B66" s="5" t="str">
        <f t="array" ref="B66">IF(W66=1,INDEX('Database Mitra'!$H$2:$H905,MATCH(A66,'Database Mitra'!AK$2:AK905,0)),"")</f>
        <v>ILHAM SUBAGIO</v>
      </c>
      <c r="C66" s="5" t="e">
        <f t="array" ref="C66">IF(W66=1,INDEX('Database Mitra'!$E$2:$E905,MATCH(A66,'Database Mitra'!AK$2:AK905,0)),"")</f>
        <v>#VALUE!</v>
      </c>
      <c r="D66" s="4" t="s">
        <v>26</v>
      </c>
      <c r="E66" s="5" t="str">
        <f t="array" ref="E66">IF(W66=1,INDEX('Input Kegiatan'!B$2:B905,MATCH($D66,'Input Kegiatan'!$A$2:$A905,0)),"")</f>
        <v>Susenas Maret 2024</v>
      </c>
      <c r="F66" s="7">
        <f t="array" ref="F66">IF(W66=1,INDEX('Input Kegiatan'!D$2:D905,MATCH($D66,'Input Kegiatan'!$A$2:$A905,0)),"")</f>
        <v>45334</v>
      </c>
      <c r="G66" s="7">
        <f t="array" ref="G66">IF(W66=1,INDEX('Input Kegiatan'!E$2:E905,MATCH($D66,'Input Kegiatan'!$A$2:$A905,0)),"")</f>
        <v>45367</v>
      </c>
      <c r="H66" s="5" t="str">
        <f t="array" ref="H66">IF(W66=1,INDEX(Honor!$H$2:$H905,MATCH($D66&amp;"-"&amp;R66,Honor!$K$2:$K905,0)),"")</f>
        <v>Rumah Tangga</v>
      </c>
      <c r="I66" s="8">
        <f>IF(W66=1,SUMIFS(Honor!$I$2:$I905,Honor!$K$2:$K905,$D66&amp;"-"&amp;R66),"")</f>
        <v>61500</v>
      </c>
      <c r="J66" s="9">
        <f t="shared" si="6"/>
        <v>1</v>
      </c>
      <c r="K66" s="10">
        <f t="shared" si="0"/>
        <v>61500</v>
      </c>
      <c r="L66" s="11">
        <f t="shared" si="1"/>
        <v>45367</v>
      </c>
      <c r="M66" s="10">
        <f ca="1">IF(W66=1,IF(AND(U66&lt;2,INT(V66)&lt;='Batasan Honor'!$B$2),1,0),"")</f>
        <v>1</v>
      </c>
      <c r="O66" s="10">
        <f t="shared" si="2"/>
        <v>3</v>
      </c>
      <c r="P66" s="10">
        <f t="shared" si="3"/>
        <v>2024</v>
      </c>
      <c r="R66" s="4" t="s">
        <v>27</v>
      </c>
      <c r="S66" s="10" t="str">
        <f t="shared" si="4"/>
        <v>610422100083,2024,3</v>
      </c>
      <c r="U66" s="10">
        <f ca="1">IFERROR(__xludf.DUMMYFUNCTION("if(W66=1,COUNTIFS(FILTER($H$2:$H905,$H$2:$H905=""OB"",$S$2:$S905=S66),""OB""),"""")"),0)</f>
        <v>0</v>
      </c>
      <c r="V66" s="10">
        <f ca="1">IFERROR(__xludf.DUMMYFUNCTION("IF(OR(ISNA(SUM(FILTER($K$2:$K905,$A$2:$A905=A66,$S$2:$S905=S66,$H$2:$H905&lt;&gt;""OB""))),W66&lt;&gt;1),"""",SUM(FILTER($K$2:$K905,$A$2:$A905=A66,$S$2:$S905=S66,$H$2:$H905&lt;&gt;""OB"")))"),61500)</f>
        <v>61500</v>
      </c>
      <c r="W66" s="10">
        <f t="shared" si="5"/>
        <v>1</v>
      </c>
    </row>
    <row r="67" spans="1:23" ht="12.5">
      <c r="A67" s="4">
        <v>610422110006</v>
      </c>
      <c r="B67" s="5" t="str">
        <f t="array" ref="B67">IF(W67=1,INDEX('Database Mitra'!$H$2:$H905,MATCH(A67,'Database Mitra'!AK$2:AK905,0)),"")</f>
        <v>Muhammad Habibie</v>
      </c>
      <c r="C67" s="5" t="e">
        <f t="array" ref="C67">IF(W67=1,INDEX('Database Mitra'!$E$2:$E905,MATCH(A67,'Database Mitra'!AK$2:AK905,0)),"")</f>
        <v>#VALUE!</v>
      </c>
      <c r="D67" s="4" t="s">
        <v>26</v>
      </c>
      <c r="E67" s="5" t="str">
        <f t="array" ref="E67">IF(W67=1,INDEX('Input Kegiatan'!B$2:B905,MATCH($D67,'Input Kegiatan'!$A$2:$A905,0)),"")</f>
        <v>Susenas Maret 2024</v>
      </c>
      <c r="F67" s="7">
        <f t="array" ref="F67">IF(W67=1,INDEX('Input Kegiatan'!D$2:D905,MATCH($D67,'Input Kegiatan'!$A$2:$A905,0)),"")</f>
        <v>45334</v>
      </c>
      <c r="G67" s="7">
        <f t="array" ref="G67">IF(W67=1,INDEX('Input Kegiatan'!E$2:E905,MATCH($D67,'Input Kegiatan'!$A$2:$A905,0)),"")</f>
        <v>45367</v>
      </c>
      <c r="H67" s="5" t="str">
        <f t="array" ref="H67">IF(W67=1,INDEX(Honor!$H$2:$H905,MATCH($D67&amp;"-"&amp;R67,Honor!$K$2:$K905,0)),"")</f>
        <v>Rumah Tangga</v>
      </c>
      <c r="I67" s="8">
        <f>IF(W67=1,SUMIFS(Honor!$I$2:$I905,Honor!$K$2:$K905,$D67&amp;"-"&amp;R67),"")</f>
        <v>61500</v>
      </c>
      <c r="J67" s="9">
        <f t="shared" si="6"/>
        <v>1</v>
      </c>
      <c r="K67" s="10">
        <f t="shared" si="0"/>
        <v>61500</v>
      </c>
      <c r="L67" s="11">
        <f t="shared" si="1"/>
        <v>45367</v>
      </c>
      <c r="M67" s="10">
        <f ca="1">IF(W67=1,IF(AND(U67&lt;2,INT(V67)&lt;='Batasan Honor'!$B$2),1,0),"")</f>
        <v>1</v>
      </c>
      <c r="O67" s="10">
        <f t="shared" si="2"/>
        <v>3</v>
      </c>
      <c r="P67" s="10">
        <f t="shared" si="3"/>
        <v>2024</v>
      </c>
      <c r="R67" s="4" t="s">
        <v>27</v>
      </c>
      <c r="S67" s="10" t="str">
        <f t="shared" si="4"/>
        <v>610422110006,2024,3</v>
      </c>
      <c r="U67" s="10">
        <f ca="1">IFERROR(__xludf.DUMMYFUNCTION("if(W67=1,COUNTIFS(FILTER($H$2:$H905,$H$2:$H905=""OB"",$S$2:$S905=S67),""OB""),"""")"),0)</f>
        <v>0</v>
      </c>
      <c r="V67" s="10">
        <f ca="1">IFERROR(__xludf.DUMMYFUNCTION("IF(OR(ISNA(SUM(FILTER($K$2:$K905,$A$2:$A905=A67,$S$2:$S905=S67,$H$2:$H905&lt;&gt;""OB""))),W67&lt;&gt;1),"""",SUM(FILTER($K$2:$K905,$A$2:$A905=A67,$S$2:$S905=S67,$H$2:$H905&lt;&gt;""OB"")))"),61500)</f>
        <v>61500</v>
      </c>
      <c r="W67" s="10">
        <f t="shared" si="5"/>
        <v>1</v>
      </c>
    </row>
    <row r="68" spans="1:23" ht="12.5">
      <c r="A68" s="4">
        <v>610422110005</v>
      </c>
      <c r="B68" s="5" t="str">
        <f t="array" ref="B68">IF(W68=1,INDEX('Database Mitra'!$H$2:$H905,MATCH(A68,'Database Mitra'!AK$2:AK905,0)),"")</f>
        <v>indra</v>
      </c>
      <c r="C68" s="5" t="e">
        <f t="array" ref="C68">IF(W68=1,INDEX('Database Mitra'!$E$2:$E905,MATCH(A68,'Database Mitra'!AK$2:AK905,0)),"")</f>
        <v>#VALUE!</v>
      </c>
      <c r="D68" s="4" t="s">
        <v>26</v>
      </c>
      <c r="E68" s="5" t="str">
        <f t="array" ref="E68">IF(W68=1,INDEX('Input Kegiatan'!B$2:B905,MATCH($D68,'Input Kegiatan'!$A$2:$A905,0)),"")</f>
        <v>Susenas Maret 2024</v>
      </c>
      <c r="F68" s="7">
        <f t="array" ref="F68">IF(W68=1,INDEX('Input Kegiatan'!D$2:D905,MATCH($D68,'Input Kegiatan'!$A$2:$A905,0)),"")</f>
        <v>45334</v>
      </c>
      <c r="G68" s="7">
        <f t="array" ref="G68">IF(W68=1,INDEX('Input Kegiatan'!E$2:E905,MATCH($D68,'Input Kegiatan'!$A$2:$A905,0)),"")</f>
        <v>45367</v>
      </c>
      <c r="H68" s="5" t="str">
        <f t="array" ref="H68">IF(W68=1,INDEX(Honor!$H$2:$H905,MATCH($D68&amp;"-"&amp;R68,Honor!$K$2:$K905,0)),"")</f>
        <v>Rumah Tangga</v>
      </c>
      <c r="I68" s="8">
        <f>IF(W68=1,SUMIFS(Honor!$I$2:$I905,Honor!$K$2:$K905,$D68&amp;"-"&amp;R68),"")</f>
        <v>61500</v>
      </c>
      <c r="J68" s="9">
        <f t="shared" si="6"/>
        <v>1</v>
      </c>
      <c r="K68" s="10">
        <f t="shared" si="0"/>
        <v>61500</v>
      </c>
      <c r="L68" s="11">
        <f t="shared" si="1"/>
        <v>45367</v>
      </c>
      <c r="M68" s="10">
        <f ca="1">IF(W68=1,IF(AND(U68&lt;2,INT(V68)&lt;='Batasan Honor'!$B$2),1,0),"")</f>
        <v>1</v>
      </c>
      <c r="O68" s="10">
        <f t="shared" si="2"/>
        <v>3</v>
      </c>
      <c r="P68" s="10">
        <f t="shared" si="3"/>
        <v>2024</v>
      </c>
      <c r="R68" s="4" t="s">
        <v>27</v>
      </c>
      <c r="S68" s="10" t="str">
        <f t="shared" si="4"/>
        <v>610422110005,2024,3</v>
      </c>
      <c r="U68" s="10">
        <f ca="1">IFERROR(__xludf.DUMMYFUNCTION("if(W68=1,COUNTIFS(FILTER($H$2:$H905,$H$2:$H905=""OB"",$S$2:$S905=S68),""OB""),"""")"),0)</f>
        <v>0</v>
      </c>
      <c r="V68" s="10">
        <f ca="1">IFERROR(__xludf.DUMMYFUNCTION("IF(OR(ISNA(SUM(FILTER($K$2:$K905,$A$2:$A905=A68,$S$2:$S905=S68,$H$2:$H905&lt;&gt;""OB""))),W68&lt;&gt;1),"""",SUM(FILTER($K$2:$K905,$A$2:$A905=A68,$S$2:$S905=S68,$H$2:$H905&lt;&gt;""OB"")))"),61500)</f>
        <v>61500</v>
      </c>
      <c r="W68" s="10">
        <f t="shared" si="5"/>
        <v>1</v>
      </c>
    </row>
    <row r="69" spans="1:23" ht="12.5">
      <c r="A69" s="4">
        <v>610423090021</v>
      </c>
      <c r="B69" s="5" t="str">
        <f t="array" ref="B69">IF(W69=1,INDEX('Database Mitra'!$H$2:$H905,MATCH(A69,'Database Mitra'!AK$2:AK905,0)),"")</f>
        <v>Thama Riewanty Oesman</v>
      </c>
      <c r="C69" s="5" t="e">
        <f t="array" ref="C69">IF(W69=1,INDEX('Database Mitra'!$E$2:$E905,MATCH(A69,'Database Mitra'!AK$2:AK905,0)),"")</f>
        <v>#VALUE!</v>
      </c>
      <c r="D69" s="4" t="s">
        <v>26</v>
      </c>
      <c r="E69" s="5" t="str">
        <f t="array" ref="E69">IF(W69=1,INDEX('Input Kegiatan'!B$2:B905,MATCH($D69,'Input Kegiatan'!$A$2:$A905,0)),"")</f>
        <v>Susenas Maret 2024</v>
      </c>
      <c r="F69" s="7">
        <f t="array" ref="F69">IF(W69=1,INDEX('Input Kegiatan'!D$2:D905,MATCH($D69,'Input Kegiatan'!$A$2:$A905,0)),"")</f>
        <v>45334</v>
      </c>
      <c r="G69" s="7">
        <f t="array" ref="G69">IF(W69=1,INDEX('Input Kegiatan'!E$2:E905,MATCH($D69,'Input Kegiatan'!$A$2:$A905,0)),"")</f>
        <v>45367</v>
      </c>
      <c r="H69" s="5" t="str">
        <f t="array" ref="H69">IF(W69=1,INDEX(Honor!$H$2:$H905,MATCH($D69&amp;"-"&amp;R69,Honor!$K$2:$K905,0)),"")</f>
        <v>Rumah Tangga</v>
      </c>
      <c r="I69" s="8">
        <f>IF(W69=1,SUMIFS(Honor!$I$2:$I905,Honor!$K$2:$K905,$D69&amp;"-"&amp;R69),"")</f>
        <v>61500</v>
      </c>
      <c r="J69" s="9">
        <f t="shared" si="6"/>
        <v>1</v>
      </c>
      <c r="K69" s="10">
        <f t="shared" si="0"/>
        <v>61500</v>
      </c>
      <c r="L69" s="11">
        <f t="shared" si="1"/>
        <v>45367</v>
      </c>
      <c r="M69" s="10">
        <f ca="1">IF(W69=1,IF(AND(U69&lt;2,INT(V69)&lt;='Batasan Honor'!$B$2),1,0),"")</f>
        <v>1</v>
      </c>
      <c r="O69" s="10">
        <f t="shared" si="2"/>
        <v>3</v>
      </c>
      <c r="P69" s="10">
        <f t="shared" si="3"/>
        <v>2024</v>
      </c>
      <c r="R69" s="4" t="s">
        <v>27</v>
      </c>
      <c r="S69" s="10" t="str">
        <f t="shared" si="4"/>
        <v>610423090021,2024,3</v>
      </c>
      <c r="U69" s="10">
        <f ca="1">IFERROR(__xludf.DUMMYFUNCTION("if(W69=1,COUNTIFS(FILTER($H$2:$H905,$H$2:$H905=""OB"",$S$2:$S905=S69),""OB""),"""")"),0)</f>
        <v>0</v>
      </c>
      <c r="V69" s="10">
        <f ca="1">IFERROR(__xludf.DUMMYFUNCTION("IF(OR(ISNA(SUM(FILTER($K$2:$K905,$A$2:$A905=A69,$S$2:$S905=S69,$H$2:$H905&lt;&gt;""OB""))),W69&lt;&gt;1),"""",SUM(FILTER($K$2:$K905,$A$2:$A905=A69,$S$2:$S905=S69,$H$2:$H905&lt;&gt;""OB"")))"),61500)</f>
        <v>61500</v>
      </c>
      <c r="W69" s="10">
        <f t="shared" si="5"/>
        <v>1</v>
      </c>
    </row>
    <row r="70" spans="1:23" ht="12.5">
      <c r="A70" s="4">
        <v>610423110150</v>
      </c>
      <c r="B70" s="5" t="str">
        <f t="array" ref="B70">IF(W70=1,INDEX('Database Mitra'!$H$2:$H905,MATCH(A70,'Database Mitra'!AK$2:AK905,0)),"")</f>
        <v>Risa Yolani</v>
      </c>
      <c r="C70" s="5" t="e">
        <f t="array" ref="C70">IF(W70=1,INDEX('Database Mitra'!$E$2:$E905,MATCH(A70,'Database Mitra'!AK$2:AK905,0)),"")</f>
        <v>#VALUE!</v>
      </c>
      <c r="D70" s="4" t="s">
        <v>26</v>
      </c>
      <c r="E70" s="5" t="str">
        <f t="array" ref="E70">IF(W70=1,INDEX('Input Kegiatan'!B$2:B905,MATCH($D70,'Input Kegiatan'!$A$2:$A905,0)),"")</f>
        <v>Susenas Maret 2024</v>
      </c>
      <c r="F70" s="7">
        <f t="array" ref="F70">IF(W70=1,INDEX('Input Kegiatan'!D$2:D905,MATCH($D70,'Input Kegiatan'!$A$2:$A905,0)),"")</f>
        <v>45334</v>
      </c>
      <c r="G70" s="7">
        <f t="array" ref="G70">IF(W70=1,INDEX('Input Kegiatan'!E$2:E905,MATCH($D70,'Input Kegiatan'!$A$2:$A905,0)),"")</f>
        <v>45367</v>
      </c>
      <c r="H70" s="5" t="str">
        <f t="array" ref="H70">IF(W70=1,INDEX(Honor!$H$2:$H905,MATCH($D70&amp;"-"&amp;R70,Honor!$K$2:$K905,0)),"")</f>
        <v>Rumah Tangga</v>
      </c>
      <c r="I70" s="8">
        <f>IF(W70=1,SUMIFS(Honor!$I$2:$I905,Honor!$K$2:$K905,$D70&amp;"-"&amp;R70),"")</f>
        <v>61500</v>
      </c>
      <c r="J70" s="9">
        <f t="shared" si="6"/>
        <v>1</v>
      </c>
      <c r="K70" s="10">
        <f t="shared" si="0"/>
        <v>61500</v>
      </c>
      <c r="L70" s="11">
        <f t="shared" si="1"/>
        <v>45367</v>
      </c>
      <c r="M70" s="10">
        <f ca="1">IF(W70=1,IF(AND(U70&lt;2,INT(V70)&lt;='Batasan Honor'!$B$2),1,0),"")</f>
        <v>1</v>
      </c>
      <c r="O70" s="10">
        <f t="shared" si="2"/>
        <v>3</v>
      </c>
      <c r="P70" s="10">
        <f t="shared" si="3"/>
        <v>2024</v>
      </c>
      <c r="R70" s="4" t="s">
        <v>27</v>
      </c>
      <c r="S70" s="10" t="str">
        <f t="shared" si="4"/>
        <v>610423110150,2024,3</v>
      </c>
      <c r="U70" s="10">
        <f ca="1">IFERROR(__xludf.DUMMYFUNCTION("if(W70=1,COUNTIFS(FILTER($H$2:$H905,$H$2:$H905=""OB"",$S$2:$S905=S70),""OB""),"""")"),0)</f>
        <v>0</v>
      </c>
      <c r="V70" s="10">
        <f ca="1">IFERROR(__xludf.DUMMYFUNCTION("IF(OR(ISNA(SUM(FILTER($K$2:$K905,$A$2:$A905=A70,$S$2:$S905=S70,$H$2:$H905&lt;&gt;""OB""))),W70&lt;&gt;1),"""",SUM(FILTER($K$2:$K905,$A$2:$A905=A70,$S$2:$S905=S70,$H$2:$H905&lt;&gt;""OB"")))"),61500)</f>
        <v>61500</v>
      </c>
      <c r="W70" s="10">
        <f t="shared" si="5"/>
        <v>1</v>
      </c>
    </row>
    <row r="71" spans="1:23" ht="12.5">
      <c r="A71" s="4">
        <v>610423110129</v>
      </c>
      <c r="B71" s="5" t="str">
        <f t="array" ref="B71">IF(W71=1,INDEX('Database Mitra'!$H$2:$H905,MATCH(A71,'Database Mitra'!AK$2:AK905,0)),"")</f>
        <v>Athalia Meifira</v>
      </c>
      <c r="C71" s="5" t="e">
        <f t="array" ref="C71">IF(W71=1,INDEX('Database Mitra'!$E$2:$E905,MATCH(A71,'Database Mitra'!AK$2:AK905,0)),"")</f>
        <v>#VALUE!</v>
      </c>
      <c r="D71" s="4" t="s">
        <v>26</v>
      </c>
      <c r="E71" s="5" t="str">
        <f t="array" ref="E71">IF(W71=1,INDEX('Input Kegiatan'!B$2:B905,MATCH($D71,'Input Kegiatan'!$A$2:$A905,0)),"")</f>
        <v>Susenas Maret 2024</v>
      </c>
      <c r="F71" s="7">
        <f t="array" ref="F71">IF(W71=1,INDEX('Input Kegiatan'!D$2:D905,MATCH($D71,'Input Kegiatan'!$A$2:$A905,0)),"")</f>
        <v>45334</v>
      </c>
      <c r="G71" s="7">
        <f t="array" ref="G71">IF(W71=1,INDEX('Input Kegiatan'!E$2:E905,MATCH($D71,'Input Kegiatan'!$A$2:$A905,0)),"")</f>
        <v>45367</v>
      </c>
      <c r="H71" s="5" t="str">
        <f t="array" ref="H71">IF(W71=1,INDEX(Honor!$H$2:$H905,MATCH($D71&amp;"-"&amp;R71,Honor!$K$2:$K905,0)),"")</f>
        <v>Rumah Tangga</v>
      </c>
      <c r="I71" s="8">
        <f>IF(W71=1,SUMIFS(Honor!$I$2:$I905,Honor!$K$2:$K905,$D71&amp;"-"&amp;R71),"")</f>
        <v>61500</v>
      </c>
      <c r="J71" s="9">
        <f t="shared" si="6"/>
        <v>1</v>
      </c>
      <c r="K71" s="10">
        <f t="shared" si="0"/>
        <v>61500</v>
      </c>
      <c r="L71" s="11">
        <f t="shared" si="1"/>
        <v>45367</v>
      </c>
      <c r="M71" s="10">
        <f ca="1">IF(W71=1,IF(AND(U71&lt;2,INT(V71)&lt;='Batasan Honor'!$B$2),1,0),"")</f>
        <v>1</v>
      </c>
      <c r="O71" s="10">
        <f t="shared" si="2"/>
        <v>3</v>
      </c>
      <c r="P71" s="10">
        <f t="shared" si="3"/>
        <v>2024</v>
      </c>
      <c r="R71" s="4" t="s">
        <v>27</v>
      </c>
      <c r="S71" s="10" t="str">
        <f t="shared" si="4"/>
        <v>610423110129,2024,3</v>
      </c>
      <c r="U71" s="10">
        <f ca="1">IFERROR(__xludf.DUMMYFUNCTION("if(W71=1,COUNTIFS(FILTER($H$2:$H905,$H$2:$H905=""OB"",$S$2:$S905=S71),""OB""),"""")"),0)</f>
        <v>0</v>
      </c>
      <c r="V71" s="10">
        <f ca="1">IFERROR(__xludf.DUMMYFUNCTION("IF(OR(ISNA(SUM(FILTER($K$2:$K905,$A$2:$A905=A71,$S$2:$S905=S71,$H$2:$H905&lt;&gt;""OB""))),W71&lt;&gt;1),"""",SUM(FILTER($K$2:$K905,$A$2:$A905=A71,$S$2:$S905=S71,$H$2:$H905&lt;&gt;""OB"")))"),61500)</f>
        <v>61500</v>
      </c>
      <c r="W71" s="10">
        <f t="shared" si="5"/>
        <v>1</v>
      </c>
    </row>
    <row r="72" spans="1:23" ht="13">
      <c r="A72" s="4">
        <v>610422020016</v>
      </c>
      <c r="B72" s="2" t="str">
        <f t="array" ref="B72">IF(W72=1,INDEX('Database Mitra'!$H$2:$H905,MATCH(A72,'Database Mitra'!AK$2:AK905,0)),"")</f>
        <v>Abdul Aziz</v>
      </c>
      <c r="C72" s="5" t="e">
        <f t="array" ref="C72">IF(W72=1,INDEX('Database Mitra'!$E$2:$E905,MATCH(A72,'Database Mitra'!AK$2:AK905,0)),"")</f>
        <v>#VALUE!</v>
      </c>
      <c r="D72" s="4" t="s">
        <v>28</v>
      </c>
      <c r="E72" s="5" t="str">
        <f t="array" ref="E72">IF(W72=1,INDEX('Input Kegiatan'!B$2:B905,MATCH($D72,'Input Kegiatan'!$A$2:$A905,0)),"")</f>
        <v>Kerangka Sampel Area (KSA) 2024 Februari</v>
      </c>
      <c r="F72" s="7">
        <f t="array" ref="F72">IF(W72=1,INDEX('Input Kegiatan'!D$2:D905,MATCH($D72,'Input Kegiatan'!$A$2:$A905,0)),"")</f>
        <v>45323</v>
      </c>
      <c r="G72" s="7">
        <f t="array" ref="G72">IF(W72=1,INDEX('Input Kegiatan'!E$2:E905,MATCH($D72,'Input Kegiatan'!$A$2:$A905,0)),"")</f>
        <v>45351</v>
      </c>
      <c r="H72" s="5" t="str">
        <f t="array" ref="H72">IF(W72=1,INDEX(Honor!$H$2:$H905,MATCH($D72&amp;"-"&amp;R72,Honor!$K$2:$K905,0)),"")</f>
        <v>Segmen</v>
      </c>
      <c r="I72" s="8">
        <f>IF(W72=1,SUMIFS(Honor!$I$2:$I905,Honor!$K$2:$K905,$D72&amp;"-"&amp;R72),"")</f>
        <v>175000</v>
      </c>
      <c r="J72" s="9">
        <f t="shared" si="6"/>
        <v>1</v>
      </c>
      <c r="K72" s="10">
        <f t="shared" si="0"/>
        <v>175000</v>
      </c>
      <c r="L72" s="11">
        <f t="shared" si="1"/>
        <v>45351</v>
      </c>
      <c r="M72" s="10">
        <f ca="1">IF(W72=1,IF(AND(U72&lt;2,INT(V72)&lt;='Batasan Honor'!$B$2),1,0),"")</f>
        <v>1</v>
      </c>
      <c r="O72" s="10">
        <f t="shared" si="2"/>
        <v>2</v>
      </c>
      <c r="P72" s="10">
        <f t="shared" si="3"/>
        <v>2024</v>
      </c>
      <c r="R72" s="4" t="s">
        <v>25</v>
      </c>
      <c r="S72" s="10" t="str">
        <f t="shared" si="4"/>
        <v>610422020016,2024,2</v>
      </c>
      <c r="U72" s="10">
        <f ca="1">IFERROR(__xludf.DUMMYFUNCTION("if(W72=1,COUNTIFS(FILTER($H$2:$H905,$H$2:$H905=""OB"",$S$2:$S905=S72),""OB""),"""")"),0)</f>
        <v>0</v>
      </c>
      <c r="V72" s="10">
        <f ca="1">IFERROR(__xludf.DUMMYFUNCTION("IF(OR(ISNA(SUM(FILTER($K$2:$K905,$A$2:$A905=A72,$S$2:$S905=S72,$H$2:$H905&lt;&gt;""OB""))),W72&lt;&gt;1),"""",SUM(FILTER($K$2:$K905,$A$2:$A905=A72,$S$2:$S905=S72,$H$2:$H905&lt;&gt;""OB"")))"),175000)</f>
        <v>175000</v>
      </c>
      <c r="W72" s="10">
        <f t="shared" si="5"/>
        <v>1</v>
      </c>
    </row>
    <row r="73" spans="1:23" ht="12.5">
      <c r="A73" s="4">
        <v>610422020048</v>
      </c>
      <c r="B73" s="5" t="str">
        <f t="array" ref="B73">IF(W73=1,INDEX('Database Mitra'!$H$2:$H905,MATCH(A73,'Database Mitra'!AK$2:AK905,0)),"")</f>
        <v>Herri Gustaman</v>
      </c>
      <c r="C73" s="5" t="e">
        <f t="array" ref="C73">IF(W73=1,INDEX('Database Mitra'!$E$2:$E905,MATCH(A73,'Database Mitra'!AK$2:AK905,0)),"")</f>
        <v>#VALUE!</v>
      </c>
      <c r="D73" s="4" t="s">
        <v>28</v>
      </c>
      <c r="E73" s="5" t="str">
        <f t="array" ref="E73">IF(W73=1,INDEX('Input Kegiatan'!B$2:B905,MATCH($D73,'Input Kegiatan'!$A$2:$A905,0)),"")</f>
        <v>Kerangka Sampel Area (KSA) 2024 Februari</v>
      </c>
      <c r="F73" s="7">
        <f t="array" ref="F73">IF(W73=1,INDEX('Input Kegiatan'!D$2:D905,MATCH($D73,'Input Kegiatan'!$A$2:$A905,0)),"")</f>
        <v>45323</v>
      </c>
      <c r="G73" s="7">
        <f t="array" ref="G73">IF(W73=1,INDEX('Input Kegiatan'!E$2:E905,MATCH($D73,'Input Kegiatan'!$A$2:$A905,0)),"")</f>
        <v>45351</v>
      </c>
      <c r="H73" s="5" t="str">
        <f t="array" ref="H73">IF(W73=1,INDEX(Honor!$H$2:$H905,MATCH($D73&amp;"-"&amp;R73,Honor!$K$2:$K905,0)),"")</f>
        <v>Segmen</v>
      </c>
      <c r="I73" s="8">
        <f>IF(W73=1,SUMIFS(Honor!$I$2:$I905,Honor!$K$2:$K905,$D73&amp;"-"&amp;R73),"")</f>
        <v>175000</v>
      </c>
      <c r="J73" s="9">
        <f t="shared" si="6"/>
        <v>1</v>
      </c>
      <c r="K73" s="10">
        <f t="shared" si="0"/>
        <v>175000</v>
      </c>
      <c r="L73" s="11">
        <f t="shared" si="1"/>
        <v>45351</v>
      </c>
      <c r="M73" s="10">
        <f ca="1">IF(W73=1,IF(AND(U73&lt;2,INT(V73)&lt;='Batasan Honor'!$B$2),1,0),"")</f>
        <v>1</v>
      </c>
      <c r="O73" s="10">
        <f t="shared" si="2"/>
        <v>2</v>
      </c>
      <c r="P73" s="10">
        <f t="shared" si="3"/>
        <v>2024</v>
      </c>
      <c r="R73" s="4" t="s">
        <v>25</v>
      </c>
      <c r="S73" s="10" t="str">
        <f t="shared" si="4"/>
        <v>610422020048,2024,2</v>
      </c>
      <c r="U73" s="10">
        <f ca="1">IFERROR(__xludf.DUMMYFUNCTION("if(W73=1,COUNTIFS(FILTER($H$2:$H905,$H$2:$H905=""OB"",$S$2:$S905=S73),""OB""),"""")"),0)</f>
        <v>0</v>
      </c>
      <c r="V73" s="10">
        <f ca="1">IFERROR(__xludf.DUMMYFUNCTION("IF(OR(ISNA(SUM(FILTER($K$2:$K905,$A$2:$A905=A73,$S$2:$S905=S73,$H$2:$H905&lt;&gt;""OB""))),W73&lt;&gt;1),"""",SUM(FILTER($K$2:$K905,$A$2:$A905=A73,$S$2:$S905=S73,$H$2:$H905&lt;&gt;""OB"")))"),175000)</f>
        <v>175000</v>
      </c>
      <c r="W73" s="10">
        <f t="shared" si="5"/>
        <v>1</v>
      </c>
    </row>
    <row r="74" spans="1:23" ht="13">
      <c r="A74" s="4">
        <v>610422040012</v>
      </c>
      <c r="B74" s="2" t="str">
        <f t="array" ref="B74">IF(W74=1,INDEX('Database Mitra'!$H$2:$H905,MATCH(A74,'Database Mitra'!AK$2:AK905,0)),"")</f>
        <v>Misdi</v>
      </c>
      <c r="C74" s="5" t="e">
        <f t="array" ref="C74">IF(W74=1,INDEX('Database Mitra'!$E$2:$E905,MATCH(A74,'Database Mitra'!AK$2:AK905,0)),"")</f>
        <v>#VALUE!</v>
      </c>
      <c r="D74" s="4" t="s">
        <v>28</v>
      </c>
      <c r="E74" s="5" t="str">
        <f t="array" ref="E74">IF(W74=1,INDEX('Input Kegiatan'!B$2:B905,MATCH($D74,'Input Kegiatan'!$A$2:$A905,0)),"")</f>
        <v>Kerangka Sampel Area (KSA) 2024 Februari</v>
      </c>
      <c r="F74" s="7">
        <f t="array" ref="F74">IF(W74=1,INDEX('Input Kegiatan'!D$2:D905,MATCH($D74,'Input Kegiatan'!$A$2:$A905,0)),"")</f>
        <v>45323</v>
      </c>
      <c r="G74" s="7">
        <f t="array" ref="G74">IF(W74=1,INDEX('Input Kegiatan'!E$2:E905,MATCH($D74,'Input Kegiatan'!$A$2:$A905,0)),"")</f>
        <v>45351</v>
      </c>
      <c r="H74" s="5" t="str">
        <f t="array" ref="H74">IF(W74=1,INDEX(Honor!$H$2:$H905,MATCH($D74&amp;"-"&amp;R74,Honor!$K$2:$K905,0)),"")</f>
        <v>Segmen</v>
      </c>
      <c r="I74" s="8">
        <f>IF(W74=1,SUMIFS(Honor!$I$2:$I905,Honor!$K$2:$K905,$D74&amp;"-"&amp;R74),"")</f>
        <v>175000</v>
      </c>
      <c r="J74" s="9">
        <f t="shared" si="6"/>
        <v>1</v>
      </c>
      <c r="K74" s="10">
        <f t="shared" si="0"/>
        <v>175000</v>
      </c>
      <c r="L74" s="11">
        <f t="shared" si="1"/>
        <v>45351</v>
      </c>
      <c r="M74" s="10">
        <f ca="1">IF(W74=1,IF(AND(U74&lt;2,INT(V74)&lt;='Batasan Honor'!$B$2),1,0),"")</f>
        <v>1</v>
      </c>
      <c r="O74" s="10">
        <f t="shared" si="2"/>
        <v>2</v>
      </c>
      <c r="P74" s="10">
        <f t="shared" si="3"/>
        <v>2024</v>
      </c>
      <c r="R74" s="4" t="s">
        <v>25</v>
      </c>
      <c r="S74" s="10" t="str">
        <f t="shared" si="4"/>
        <v>610422040012,2024,2</v>
      </c>
      <c r="U74" s="10">
        <f ca="1">IFERROR(__xludf.DUMMYFUNCTION("if(W74=1,COUNTIFS(FILTER($H$2:$H905,$H$2:$H905=""OB"",$S$2:$S905=S74),""OB""),"""")"),0)</f>
        <v>0</v>
      </c>
      <c r="V74" s="10">
        <f ca="1">IFERROR(__xludf.DUMMYFUNCTION("IF(OR(ISNA(SUM(FILTER($K$2:$K905,$A$2:$A905=A74,$S$2:$S905=S74,$H$2:$H905&lt;&gt;""OB""))),W74&lt;&gt;1),"""",SUM(FILTER($K$2:$K905,$A$2:$A905=A74,$S$2:$S905=S74,$H$2:$H905&lt;&gt;""OB"")))"),175000)</f>
        <v>175000</v>
      </c>
      <c r="W74" s="10">
        <f t="shared" si="5"/>
        <v>1</v>
      </c>
    </row>
    <row r="75" spans="1:23" ht="12.5">
      <c r="A75" s="4">
        <v>610422040058</v>
      </c>
      <c r="B75" s="5" t="str">
        <f t="array" ref="B75">IF(W75=1,INDEX('Database Mitra'!$H$2:$H905,MATCH(A75,'Database Mitra'!AK$2:AK905,0)),"")</f>
        <v>Jamaluddin, SP</v>
      </c>
      <c r="C75" s="5" t="e">
        <f t="array" ref="C75">IF(W75=1,INDEX('Database Mitra'!$E$2:$E905,MATCH(A75,'Database Mitra'!AK$2:AK905,0)),"")</f>
        <v>#VALUE!</v>
      </c>
      <c r="D75" s="4" t="s">
        <v>28</v>
      </c>
      <c r="E75" s="5" t="str">
        <f t="array" ref="E75">IF(W75=1,INDEX('Input Kegiatan'!B$2:B905,MATCH($D75,'Input Kegiatan'!$A$2:$A905,0)),"")</f>
        <v>Kerangka Sampel Area (KSA) 2024 Februari</v>
      </c>
      <c r="F75" s="7">
        <f t="array" ref="F75">IF(W75=1,INDEX('Input Kegiatan'!D$2:D905,MATCH($D75,'Input Kegiatan'!$A$2:$A905,0)),"")</f>
        <v>45323</v>
      </c>
      <c r="G75" s="7">
        <f t="array" ref="G75">IF(W75=1,INDEX('Input Kegiatan'!E$2:E905,MATCH($D75,'Input Kegiatan'!$A$2:$A905,0)),"")</f>
        <v>45351</v>
      </c>
      <c r="H75" s="5" t="str">
        <f t="array" ref="H75">IF(W75=1,INDEX(Honor!$H$2:$H905,MATCH($D75&amp;"-"&amp;R75,Honor!$K$2:$K905,0)),"")</f>
        <v>Segmen</v>
      </c>
      <c r="I75" s="8">
        <f>IF(W75=1,SUMIFS(Honor!$I$2:$I905,Honor!$K$2:$K905,$D75&amp;"-"&amp;R75),"")</f>
        <v>175000</v>
      </c>
      <c r="J75" s="9">
        <f t="shared" si="6"/>
        <v>1</v>
      </c>
      <c r="K75" s="10">
        <f t="shared" si="0"/>
        <v>175000</v>
      </c>
      <c r="L75" s="11">
        <f t="shared" si="1"/>
        <v>45351</v>
      </c>
      <c r="M75" s="10">
        <f ca="1">IF(W75=1,IF(AND(U75&lt;2,INT(V75)&lt;='Batasan Honor'!$B$2),1,0),"")</f>
        <v>1</v>
      </c>
      <c r="O75" s="10">
        <f t="shared" si="2"/>
        <v>2</v>
      </c>
      <c r="P75" s="10">
        <f t="shared" si="3"/>
        <v>2024</v>
      </c>
      <c r="R75" s="4" t="s">
        <v>25</v>
      </c>
      <c r="S75" s="10" t="str">
        <f t="shared" si="4"/>
        <v>610422040058,2024,2</v>
      </c>
      <c r="U75" s="10">
        <f ca="1">IFERROR(__xludf.DUMMYFUNCTION("if(W75=1,COUNTIFS(FILTER($H$2:$H905,$H$2:$H905=""OB"",$S$2:$S905=S75),""OB""),"""")"),0)</f>
        <v>0</v>
      </c>
      <c r="V75" s="10">
        <f ca="1">IFERROR(__xludf.DUMMYFUNCTION("IF(OR(ISNA(SUM(FILTER($K$2:$K905,$A$2:$A905=A75,$S$2:$S905=S75,$H$2:$H905&lt;&gt;""OB""))),W75&lt;&gt;1),"""",SUM(FILTER($K$2:$K905,$A$2:$A905=A75,$S$2:$S905=S75,$H$2:$H905&lt;&gt;""OB"")))"),175000)</f>
        <v>175000</v>
      </c>
      <c r="W75" s="10">
        <f t="shared" si="5"/>
        <v>1</v>
      </c>
    </row>
    <row r="76" spans="1:23" ht="13">
      <c r="A76" s="4">
        <v>610422040059</v>
      </c>
      <c r="B76" s="2" t="str">
        <f t="array" ref="B76">IF(W76=1,INDEX('Database Mitra'!$H$2:$H905,MATCH(A76,'Database Mitra'!AK$2:AK905,0)),"")</f>
        <v>Abang Handri</v>
      </c>
      <c r="C76" s="5" t="e">
        <f t="array" ref="C76">IF(W76=1,INDEX('Database Mitra'!$E$2:$E905,MATCH(A76,'Database Mitra'!AK$2:AK905,0)),"")</f>
        <v>#VALUE!</v>
      </c>
      <c r="D76" s="4" t="s">
        <v>28</v>
      </c>
      <c r="E76" s="5" t="str">
        <f t="array" ref="E76">IF(W76=1,INDEX('Input Kegiatan'!B$2:B905,MATCH($D76,'Input Kegiatan'!$A$2:$A905,0)),"")</f>
        <v>Kerangka Sampel Area (KSA) 2024 Februari</v>
      </c>
      <c r="F76" s="7">
        <f t="array" ref="F76">IF(W76=1,INDEX('Input Kegiatan'!D$2:D905,MATCH($D76,'Input Kegiatan'!$A$2:$A905,0)),"")</f>
        <v>45323</v>
      </c>
      <c r="G76" s="7">
        <f t="array" ref="G76">IF(W76=1,INDEX('Input Kegiatan'!E$2:E905,MATCH($D76,'Input Kegiatan'!$A$2:$A905,0)),"")</f>
        <v>45351</v>
      </c>
      <c r="H76" s="5" t="str">
        <f t="array" ref="H76">IF(W76=1,INDEX(Honor!$H$2:$H905,MATCH($D76&amp;"-"&amp;R76,Honor!$K$2:$K905,0)),"")</f>
        <v>Segmen</v>
      </c>
      <c r="I76" s="8">
        <f>IF(W76=1,SUMIFS(Honor!$I$2:$I905,Honor!$K$2:$K905,$D76&amp;"-"&amp;R76),"")</f>
        <v>175000</v>
      </c>
      <c r="J76" s="9">
        <f t="shared" si="6"/>
        <v>1</v>
      </c>
      <c r="K76" s="10">
        <f t="shared" si="0"/>
        <v>175000</v>
      </c>
      <c r="L76" s="11">
        <f t="shared" si="1"/>
        <v>45351</v>
      </c>
      <c r="M76" s="10">
        <f ca="1">IF(W76=1,IF(AND(U76&lt;2,INT(V76)&lt;='Batasan Honor'!$B$2),1,0),"")</f>
        <v>1</v>
      </c>
      <c r="O76" s="10">
        <f t="shared" si="2"/>
        <v>2</v>
      </c>
      <c r="P76" s="10">
        <f t="shared" si="3"/>
        <v>2024</v>
      </c>
      <c r="R76" s="4" t="s">
        <v>25</v>
      </c>
      <c r="S76" s="10" t="str">
        <f t="shared" si="4"/>
        <v>610422040059,2024,2</v>
      </c>
      <c r="U76" s="10">
        <f ca="1">IFERROR(__xludf.DUMMYFUNCTION("if(W76=1,COUNTIFS(FILTER($H$2:$H905,$H$2:$H905=""OB"",$S$2:$S905=S76),""OB""),"""")"),0)</f>
        <v>0</v>
      </c>
      <c r="V76" s="10">
        <f ca="1">IFERROR(__xludf.DUMMYFUNCTION("IF(OR(ISNA(SUM(FILTER($K$2:$K905,$A$2:$A905=A76,$S$2:$S905=S76,$H$2:$H905&lt;&gt;""OB""))),W76&lt;&gt;1),"""",SUM(FILTER($K$2:$K905,$A$2:$A905=A76,$S$2:$S905=S76,$H$2:$H905&lt;&gt;""OB"")))"),175000)</f>
        <v>175000</v>
      </c>
      <c r="W76" s="10">
        <f t="shared" si="5"/>
        <v>1</v>
      </c>
    </row>
    <row r="77" spans="1:23" ht="13">
      <c r="A77" s="4">
        <v>610422040061</v>
      </c>
      <c r="B77" s="2" t="str">
        <f t="array" ref="B77">IF(W77=1,INDEX('Database Mitra'!$H$2:$H905,MATCH(A77,'Database Mitra'!AK$2:AK905,0)),"")</f>
        <v>Sabani</v>
      </c>
      <c r="C77" s="5" t="e">
        <f t="array" ref="C77">IF(W77=1,INDEX('Database Mitra'!$E$2:$E905,MATCH(A77,'Database Mitra'!AK$2:AK905,0)),"")</f>
        <v>#VALUE!</v>
      </c>
      <c r="D77" s="4" t="s">
        <v>28</v>
      </c>
      <c r="E77" s="5" t="str">
        <f t="array" ref="E77">IF(W77=1,INDEX('Input Kegiatan'!B$2:B905,MATCH($D77,'Input Kegiatan'!$A$2:$A905,0)),"")</f>
        <v>Kerangka Sampel Area (KSA) 2024 Februari</v>
      </c>
      <c r="F77" s="7">
        <f t="array" ref="F77">IF(W77=1,INDEX('Input Kegiatan'!D$2:D905,MATCH($D77,'Input Kegiatan'!$A$2:$A905,0)),"")</f>
        <v>45323</v>
      </c>
      <c r="G77" s="7">
        <f t="array" ref="G77">IF(W77=1,INDEX('Input Kegiatan'!E$2:E905,MATCH($D77,'Input Kegiatan'!$A$2:$A905,0)),"")</f>
        <v>45351</v>
      </c>
      <c r="H77" s="5" t="str">
        <f t="array" ref="H77">IF(W77=1,INDEX(Honor!$H$2:$H905,MATCH($D77&amp;"-"&amp;R77,Honor!$K$2:$K905,0)),"")</f>
        <v>Segmen</v>
      </c>
      <c r="I77" s="8">
        <f>IF(W77=1,SUMIFS(Honor!$I$2:$I905,Honor!$K$2:$K905,$D77&amp;"-"&amp;R77),"")</f>
        <v>175000</v>
      </c>
      <c r="J77" s="9">
        <f t="shared" si="6"/>
        <v>1</v>
      </c>
      <c r="K77" s="10">
        <f t="shared" si="0"/>
        <v>175000</v>
      </c>
      <c r="L77" s="11">
        <f t="shared" si="1"/>
        <v>45351</v>
      </c>
      <c r="M77" s="10">
        <f ca="1">IF(W77=1,IF(AND(U77&lt;2,INT(V77)&lt;='Batasan Honor'!$B$2),1,0),"")</f>
        <v>1</v>
      </c>
      <c r="O77" s="10">
        <f t="shared" si="2"/>
        <v>2</v>
      </c>
      <c r="P77" s="10">
        <f t="shared" si="3"/>
        <v>2024</v>
      </c>
      <c r="R77" s="4" t="s">
        <v>25</v>
      </c>
      <c r="S77" s="10" t="str">
        <f t="shared" si="4"/>
        <v>610422040061,2024,2</v>
      </c>
      <c r="U77" s="10">
        <f ca="1">IFERROR(__xludf.DUMMYFUNCTION("if(W77=1,COUNTIFS(FILTER($H$2:$H905,$H$2:$H905=""OB"",$S$2:$S905=S77),""OB""),"""")"),0)</f>
        <v>0</v>
      </c>
      <c r="V77" s="10">
        <f ca="1">IFERROR(__xludf.DUMMYFUNCTION("IF(OR(ISNA(SUM(FILTER($K$2:$K905,$A$2:$A905=A77,$S$2:$S905=S77,$H$2:$H905&lt;&gt;""OB""))),W77&lt;&gt;1),"""",SUM(FILTER($K$2:$K905,$A$2:$A905=A77,$S$2:$S905=S77,$H$2:$H905&lt;&gt;""OB"")))"),175000)</f>
        <v>175000</v>
      </c>
      <c r="W77" s="10">
        <f t="shared" si="5"/>
        <v>1</v>
      </c>
    </row>
    <row r="78" spans="1:23" ht="13">
      <c r="A78" s="4">
        <v>610422100131</v>
      </c>
      <c r="B78" s="2" t="str">
        <f t="array" ref="B78">IF(W78=1,INDEX('Database Mitra'!$H$2:$H905,MATCH(A78,'Database Mitra'!AK$2:AK905,0)),"")</f>
        <v>SYAMSUL</v>
      </c>
      <c r="C78" s="5" t="e">
        <f t="array" ref="C78">IF(W78=1,INDEX('Database Mitra'!$E$2:$E905,MATCH(A78,'Database Mitra'!AK$2:AK905,0)),"")</f>
        <v>#VALUE!</v>
      </c>
      <c r="D78" s="4" t="s">
        <v>28</v>
      </c>
      <c r="E78" s="5" t="str">
        <f t="array" ref="E78">IF(W78=1,INDEX('Input Kegiatan'!B$2:B905,MATCH($D78,'Input Kegiatan'!$A$2:$A905,0)),"")</f>
        <v>Kerangka Sampel Area (KSA) 2024 Februari</v>
      </c>
      <c r="F78" s="7">
        <f t="array" ref="F78">IF(W78=1,INDEX('Input Kegiatan'!D$2:D905,MATCH($D78,'Input Kegiatan'!$A$2:$A905,0)),"")</f>
        <v>45323</v>
      </c>
      <c r="G78" s="7">
        <f t="array" ref="G78">IF(W78=1,INDEX('Input Kegiatan'!E$2:E905,MATCH($D78,'Input Kegiatan'!$A$2:$A905,0)),"")</f>
        <v>45351</v>
      </c>
      <c r="H78" s="5" t="str">
        <f t="array" ref="H78">IF(W78=1,INDEX(Honor!$H$2:$H905,MATCH($D78&amp;"-"&amp;R78,Honor!$K$2:$K905,0)),"")</f>
        <v>Segmen</v>
      </c>
      <c r="I78" s="8">
        <f>IF(W78=1,SUMIFS(Honor!$I$2:$I905,Honor!$K$2:$K905,$D78&amp;"-"&amp;R78),"")</f>
        <v>175000</v>
      </c>
      <c r="J78" s="9">
        <f t="shared" si="6"/>
        <v>1</v>
      </c>
      <c r="K78" s="10">
        <f t="shared" si="0"/>
        <v>175000</v>
      </c>
      <c r="L78" s="11">
        <f t="shared" si="1"/>
        <v>45351</v>
      </c>
      <c r="M78" s="10">
        <f ca="1">IF(W78=1,IF(AND(U78&lt;2,INT(V78)&lt;='Batasan Honor'!$B$2),1,0),"")</f>
        <v>1</v>
      </c>
      <c r="O78" s="10">
        <f t="shared" si="2"/>
        <v>2</v>
      </c>
      <c r="P78" s="10">
        <f t="shared" si="3"/>
        <v>2024</v>
      </c>
      <c r="R78" s="4" t="s">
        <v>25</v>
      </c>
      <c r="S78" s="10" t="str">
        <f t="shared" si="4"/>
        <v>610422100131,2024,2</v>
      </c>
      <c r="U78" s="10">
        <f ca="1">IFERROR(__xludf.DUMMYFUNCTION("if(W78=1,COUNTIFS(FILTER($H$2:$H905,$H$2:$H905=""OB"",$S$2:$S905=S78),""OB""),"""")"),0)</f>
        <v>0</v>
      </c>
      <c r="V78" s="10">
        <f ca="1">IFERROR(__xludf.DUMMYFUNCTION("IF(OR(ISNA(SUM(FILTER($K$2:$K905,$A$2:$A905=A78,$S$2:$S905=S78,$H$2:$H905&lt;&gt;""OB""))),W78&lt;&gt;1),"""",SUM(FILTER($K$2:$K905,$A$2:$A905=A78,$S$2:$S905=S78,$H$2:$H905&lt;&gt;""OB"")))"),175000)</f>
        <v>175000</v>
      </c>
      <c r="W78" s="10">
        <f t="shared" si="5"/>
        <v>1</v>
      </c>
    </row>
    <row r="79" spans="1:23" ht="13">
      <c r="A79" s="4">
        <v>610422100244</v>
      </c>
      <c r="B79" s="2" t="str">
        <f t="array" ref="B79">IF(W79=1,INDEX('Database Mitra'!$H$2:$H905,MATCH(A79,'Database Mitra'!AK$2:AK905,0)),"")</f>
        <v>Sugianto</v>
      </c>
      <c r="C79" s="5" t="e">
        <f t="array" ref="C79">IF(W79=1,INDEX('Database Mitra'!$E$2:$E905,MATCH(A79,'Database Mitra'!AK$2:AK905,0)),"")</f>
        <v>#VALUE!</v>
      </c>
      <c r="D79" s="4" t="s">
        <v>28</v>
      </c>
      <c r="E79" s="5" t="str">
        <f t="array" ref="E79">IF(W79=1,INDEX('Input Kegiatan'!B$2:B905,MATCH($D79,'Input Kegiatan'!$A$2:$A905,0)),"")</f>
        <v>Kerangka Sampel Area (KSA) 2024 Februari</v>
      </c>
      <c r="F79" s="7">
        <f t="array" ref="F79">IF(W79=1,INDEX('Input Kegiatan'!D$2:D905,MATCH($D79,'Input Kegiatan'!$A$2:$A905,0)),"")</f>
        <v>45323</v>
      </c>
      <c r="G79" s="7">
        <f t="array" ref="G79">IF(W79=1,INDEX('Input Kegiatan'!E$2:E905,MATCH($D79,'Input Kegiatan'!$A$2:$A905,0)),"")</f>
        <v>45351</v>
      </c>
      <c r="H79" s="5" t="str">
        <f t="array" ref="H79">IF(W79=1,INDEX(Honor!$H$2:$H905,MATCH($D79&amp;"-"&amp;R79,Honor!$K$2:$K905,0)),"")</f>
        <v>Segmen</v>
      </c>
      <c r="I79" s="8">
        <f>IF(W79=1,SUMIFS(Honor!$I$2:$I905,Honor!$K$2:$K905,$D79&amp;"-"&amp;R79),"")</f>
        <v>175000</v>
      </c>
      <c r="J79" s="9">
        <f t="shared" si="6"/>
        <v>1</v>
      </c>
      <c r="K79" s="10">
        <f t="shared" si="0"/>
        <v>175000</v>
      </c>
      <c r="L79" s="11">
        <f t="shared" si="1"/>
        <v>45351</v>
      </c>
      <c r="M79" s="10">
        <f ca="1">IF(W79=1,IF(AND(U79&lt;2,INT(V79)&lt;='Batasan Honor'!$B$2),1,0),"")</f>
        <v>1</v>
      </c>
      <c r="O79" s="10">
        <f t="shared" si="2"/>
        <v>2</v>
      </c>
      <c r="P79" s="10">
        <f t="shared" si="3"/>
        <v>2024</v>
      </c>
      <c r="R79" s="4" t="s">
        <v>25</v>
      </c>
      <c r="S79" s="10" t="str">
        <f t="shared" si="4"/>
        <v>610422100244,2024,2</v>
      </c>
      <c r="U79" s="10">
        <f ca="1">IFERROR(__xludf.DUMMYFUNCTION("if(W79=1,COUNTIFS(FILTER($H$2:$H905,$H$2:$H905=""OB"",$S$2:$S905=S79),""OB""),"""")"),0)</f>
        <v>0</v>
      </c>
      <c r="V79" s="10">
        <f ca="1">IFERROR(__xludf.DUMMYFUNCTION("IF(OR(ISNA(SUM(FILTER($K$2:$K905,$A$2:$A905=A79,$S$2:$S905=S79,$H$2:$H905&lt;&gt;""OB""))),W79&lt;&gt;1),"""",SUM(FILTER($K$2:$K905,$A$2:$A905=A79,$S$2:$S905=S79,$H$2:$H905&lt;&gt;""OB"")))"),175000)</f>
        <v>175000</v>
      </c>
      <c r="W79" s="10">
        <f t="shared" si="5"/>
        <v>1</v>
      </c>
    </row>
    <row r="80" spans="1:23" ht="13">
      <c r="A80" s="4">
        <v>610422100176</v>
      </c>
      <c r="B80" s="2" t="str">
        <f t="array" ref="B80">IF(W80=1,INDEX('Database Mitra'!$H$2:$H905,MATCH(A80,'Database Mitra'!AK$2:AK905,0)),"")</f>
        <v>Feri Firdaus</v>
      </c>
      <c r="C80" s="5" t="e">
        <f t="array" ref="C80">IF(W80=1,INDEX('Database Mitra'!$E$2:$E905,MATCH(A80,'Database Mitra'!AK$2:AK905,0)),"")</f>
        <v>#VALUE!</v>
      </c>
      <c r="D80" s="4" t="s">
        <v>28</v>
      </c>
      <c r="E80" s="5" t="str">
        <f t="array" ref="E80">IF(W80=1,INDEX('Input Kegiatan'!B$2:B905,MATCH($D80,'Input Kegiatan'!$A$2:$A905,0)),"")</f>
        <v>Kerangka Sampel Area (KSA) 2024 Februari</v>
      </c>
      <c r="F80" s="7">
        <f t="array" ref="F80">IF(W80=1,INDEX('Input Kegiatan'!D$2:D905,MATCH($D80,'Input Kegiatan'!$A$2:$A905,0)),"")</f>
        <v>45323</v>
      </c>
      <c r="G80" s="7">
        <f t="array" ref="G80">IF(W80=1,INDEX('Input Kegiatan'!E$2:E905,MATCH($D80,'Input Kegiatan'!$A$2:$A905,0)),"")</f>
        <v>45351</v>
      </c>
      <c r="H80" s="5" t="str">
        <f t="array" ref="H80">IF(W80=1,INDEX(Honor!$H$2:$H905,MATCH($D80&amp;"-"&amp;R80,Honor!$K$2:$K905,0)),"")</f>
        <v>Segmen</v>
      </c>
      <c r="I80" s="8">
        <f>IF(W80=1,SUMIFS(Honor!$I$2:$I905,Honor!$K$2:$K905,$D80&amp;"-"&amp;R80),"")</f>
        <v>175000</v>
      </c>
      <c r="J80" s="9">
        <f t="shared" si="6"/>
        <v>1</v>
      </c>
      <c r="K80" s="10">
        <f t="shared" si="0"/>
        <v>175000</v>
      </c>
      <c r="L80" s="11">
        <f t="shared" si="1"/>
        <v>45351</v>
      </c>
      <c r="M80" s="10">
        <f ca="1">IF(W80=1,IF(AND(U80&lt;2,INT(V80)&lt;='Batasan Honor'!$B$2),1,0),"")</f>
        <v>1</v>
      </c>
      <c r="O80" s="10">
        <f t="shared" si="2"/>
        <v>2</v>
      </c>
      <c r="P80" s="10">
        <f t="shared" si="3"/>
        <v>2024</v>
      </c>
      <c r="R80" s="4" t="s">
        <v>25</v>
      </c>
      <c r="S80" s="10" t="str">
        <f t="shared" si="4"/>
        <v>610422100176,2024,2</v>
      </c>
      <c r="U80" s="10">
        <f ca="1">IFERROR(__xludf.DUMMYFUNCTION("if(W80=1,COUNTIFS(FILTER($H$2:$H905,$H$2:$H905=""OB"",$S$2:$S905=S80),""OB""),"""")"),0)</f>
        <v>0</v>
      </c>
      <c r="V80" s="10">
        <f ca="1">IFERROR(__xludf.DUMMYFUNCTION("IF(OR(ISNA(SUM(FILTER($K$2:$K905,$A$2:$A905=A80,$S$2:$S905=S80,$H$2:$H905&lt;&gt;""OB""))),W80&lt;&gt;1),"""",SUM(FILTER($K$2:$K905,$A$2:$A905=A80,$S$2:$S905=S80,$H$2:$H905&lt;&gt;""OB"")))"),175000)</f>
        <v>175000</v>
      </c>
      <c r="W80" s="10">
        <f t="shared" si="5"/>
        <v>1</v>
      </c>
    </row>
    <row r="81" spans="1:23" ht="13">
      <c r="A81" s="4">
        <v>610423040018</v>
      </c>
      <c r="B81" s="2" t="str">
        <f t="array" ref="B81">IF(W81=1,INDEX('Database Mitra'!$H$2:$H905,MATCH(A81,'Database Mitra'!AK$2:AK905,0)),"")</f>
        <v>Handoko Tuah Sabarman Sipayung</v>
      </c>
      <c r="C81" s="5" t="e">
        <f t="array" ref="C81">IF(W81=1,INDEX('Database Mitra'!$E$2:$E905,MATCH(A81,'Database Mitra'!AK$2:AK905,0)),"")</f>
        <v>#VALUE!</v>
      </c>
      <c r="D81" s="4" t="s">
        <v>28</v>
      </c>
      <c r="E81" s="5" t="str">
        <f t="array" ref="E81">IF(W81=1,INDEX('Input Kegiatan'!B$2:B905,MATCH($D81,'Input Kegiatan'!$A$2:$A905,0)),"")</f>
        <v>Kerangka Sampel Area (KSA) 2024 Februari</v>
      </c>
      <c r="F81" s="7">
        <f t="array" ref="F81">IF(W81=1,INDEX('Input Kegiatan'!D$2:D905,MATCH($D81,'Input Kegiatan'!$A$2:$A905,0)),"")</f>
        <v>45323</v>
      </c>
      <c r="G81" s="7">
        <f t="array" ref="G81">IF(W81=1,INDEX('Input Kegiatan'!E$2:E905,MATCH($D81,'Input Kegiatan'!$A$2:$A905,0)),"")</f>
        <v>45351</v>
      </c>
      <c r="H81" s="5" t="str">
        <f t="array" ref="H81">IF(W81=1,INDEX(Honor!$H$2:$H905,MATCH($D81&amp;"-"&amp;R81,Honor!$K$2:$K905,0)),"")</f>
        <v>Segmen</v>
      </c>
      <c r="I81" s="8">
        <f>IF(W81=1,SUMIFS(Honor!$I$2:$I905,Honor!$K$2:$K905,$D81&amp;"-"&amp;R81),"")</f>
        <v>175000</v>
      </c>
      <c r="J81" s="9">
        <f t="shared" si="6"/>
        <v>1</v>
      </c>
      <c r="K81" s="10">
        <f t="shared" si="0"/>
        <v>175000</v>
      </c>
      <c r="L81" s="11">
        <f t="shared" si="1"/>
        <v>45351</v>
      </c>
      <c r="M81" s="10">
        <f ca="1">IF(W81=1,IF(AND(U81&lt;2,INT(V81)&lt;='Batasan Honor'!$B$2),1,0),"")</f>
        <v>1</v>
      </c>
      <c r="O81" s="10">
        <f t="shared" si="2"/>
        <v>2</v>
      </c>
      <c r="P81" s="10">
        <f t="shared" si="3"/>
        <v>2024</v>
      </c>
      <c r="R81" s="4" t="s">
        <v>25</v>
      </c>
      <c r="S81" s="10" t="str">
        <f t="shared" si="4"/>
        <v>610423040018,2024,2</v>
      </c>
      <c r="U81" s="10">
        <f ca="1">IFERROR(__xludf.DUMMYFUNCTION("if(W81=1,COUNTIFS(FILTER($H$2:$H905,$H$2:$H905=""OB"",$S$2:$S905=S81),""OB""),"""")"),0)</f>
        <v>0</v>
      </c>
      <c r="V81" s="10">
        <f ca="1">IFERROR(__xludf.DUMMYFUNCTION("IF(OR(ISNA(SUM(FILTER($K$2:$K905,$A$2:$A905=A81,$S$2:$S905=S81,$H$2:$H905&lt;&gt;""OB""))),W81&lt;&gt;1),"""",SUM(FILTER($K$2:$K905,$A$2:$A905=A81,$S$2:$S905=S81,$H$2:$H905&lt;&gt;""OB"")))"),175000)</f>
        <v>175000</v>
      </c>
      <c r="W81" s="10">
        <f t="shared" si="5"/>
        <v>1</v>
      </c>
    </row>
    <row r="82" spans="1:23" ht="13">
      <c r="A82" s="4">
        <v>610423110183</v>
      </c>
      <c r="B82" s="2" t="str">
        <f t="array" ref="B82">IF(W82=1,INDEX('Database Mitra'!$H$2:$H905,MATCH(A82,'Database Mitra'!AK$2:AK905,0)),"")</f>
        <v>azhar</v>
      </c>
      <c r="C82" s="5" t="e">
        <f t="array" ref="C82">IF(W82=1,INDEX('Database Mitra'!$E$2:$E905,MATCH(A82,'Database Mitra'!AK$2:AK905,0)),"")</f>
        <v>#VALUE!</v>
      </c>
      <c r="D82" s="4" t="s">
        <v>28</v>
      </c>
      <c r="E82" s="5" t="str">
        <f t="array" ref="E82">IF(W82=1,INDEX('Input Kegiatan'!B$2:B905,MATCH($D82,'Input Kegiatan'!$A$2:$A905,0)),"")</f>
        <v>Kerangka Sampel Area (KSA) 2024 Februari</v>
      </c>
      <c r="F82" s="7">
        <f t="array" ref="F82">IF(W82=1,INDEX('Input Kegiatan'!D$2:D905,MATCH($D82,'Input Kegiatan'!$A$2:$A905,0)),"")</f>
        <v>45323</v>
      </c>
      <c r="G82" s="7">
        <f t="array" ref="G82">IF(W82=1,INDEX('Input Kegiatan'!E$2:E905,MATCH($D82,'Input Kegiatan'!$A$2:$A905,0)),"")</f>
        <v>45351</v>
      </c>
      <c r="H82" s="5" t="str">
        <f t="array" ref="H82">IF(W82=1,INDEX(Honor!$H$2:$H905,MATCH($D82&amp;"-"&amp;R82,Honor!$K$2:$K905,0)),"")</f>
        <v>Segmen</v>
      </c>
      <c r="I82" s="8">
        <f>IF(W82=1,SUMIFS(Honor!$I$2:$I905,Honor!$K$2:$K905,$D82&amp;"-"&amp;R82),"")</f>
        <v>175000</v>
      </c>
      <c r="J82" s="9">
        <f t="shared" si="6"/>
        <v>1</v>
      </c>
      <c r="K82" s="10">
        <f t="shared" si="0"/>
        <v>175000</v>
      </c>
      <c r="L82" s="11">
        <f t="shared" si="1"/>
        <v>45351</v>
      </c>
      <c r="M82" s="10">
        <f ca="1">IF(W82=1,IF(AND(U82&lt;2,INT(V82)&lt;='Batasan Honor'!$B$2),1,0),"")</f>
        <v>1</v>
      </c>
      <c r="O82" s="10">
        <f t="shared" si="2"/>
        <v>2</v>
      </c>
      <c r="P82" s="10">
        <f t="shared" si="3"/>
        <v>2024</v>
      </c>
      <c r="R82" s="4" t="s">
        <v>25</v>
      </c>
      <c r="S82" s="10" t="str">
        <f t="shared" si="4"/>
        <v>610423110183,2024,2</v>
      </c>
      <c r="U82" s="10">
        <f ca="1">IFERROR(__xludf.DUMMYFUNCTION("if(W82=1,COUNTIFS(FILTER($H$2:$H905,$H$2:$H905=""OB"",$S$2:$S905=S82),""OB""),"""")"),0)</f>
        <v>0</v>
      </c>
      <c r="V82" s="10">
        <f ca="1">IFERROR(__xludf.DUMMYFUNCTION("IF(OR(ISNA(SUM(FILTER($K$2:$K905,$A$2:$A905=A82,$S$2:$S905=S82,$H$2:$H905&lt;&gt;""OB""))),W82&lt;&gt;1),"""",SUM(FILTER($K$2:$K905,$A$2:$A905=A82,$S$2:$S905=S82,$H$2:$H905&lt;&gt;""OB"")))"),175000)</f>
        <v>175000</v>
      </c>
      <c r="W82" s="10">
        <f t="shared" si="5"/>
        <v>1</v>
      </c>
    </row>
    <row r="83" spans="1:23" ht="13">
      <c r="A83" s="4">
        <v>610422020016</v>
      </c>
      <c r="B83" s="2" t="str">
        <f t="array" ref="B83">IF(W83=1,INDEX('Database Mitra'!$H$2:$H905,MATCH(A83,'Database Mitra'!AK$2:AK905,0)),"")</f>
        <v>Abdul Aziz</v>
      </c>
      <c r="C83" s="5" t="e">
        <f t="array" ref="C83">IF(W83=1,INDEX('Database Mitra'!$E$2:$E905,MATCH(A83,'Database Mitra'!AK$2:AK905,0)),"")</f>
        <v>#VALUE!</v>
      </c>
      <c r="D83" s="4" t="s">
        <v>29</v>
      </c>
      <c r="E83" s="5" t="str">
        <f t="array" ref="E83">IF(W83=1,INDEX('Input Kegiatan'!B$2:B905,MATCH($D83,'Input Kegiatan'!$A$2:$A905,0)),"")</f>
        <v>Kerangka Sampel Area (KSA) 2024 Januari</v>
      </c>
      <c r="F83" s="12">
        <f t="array" ref="F83">IF(W83=1,INDEX('Input Kegiatan'!D$2:D905,MATCH($D83,'Input Kegiatan'!$A$2:$A905,0)),"")</f>
        <v>45292</v>
      </c>
      <c r="G83" s="12">
        <f t="array" ref="G83">IF(W83=1,INDEX('Input Kegiatan'!E$2:E905,MATCH($D83,'Input Kegiatan'!$A$2:$A905,0)),"")</f>
        <v>45322</v>
      </c>
      <c r="H83" s="5" t="str">
        <f t="array" ref="H83">IF(W83=1,INDEX(Honor!$H$2:$H905,MATCH($D83&amp;"-"&amp;R83,Honor!$K$2:$K905,0)),"")</f>
        <v>Segmen</v>
      </c>
      <c r="I83" s="8">
        <f>IF(W83=1,SUMIFS(Honor!$I$2:$I905,Honor!$K$2:$K905,$D83&amp;"-"&amp;R83),"")</f>
        <v>175000</v>
      </c>
      <c r="J83" s="9">
        <f t="shared" si="6"/>
        <v>1</v>
      </c>
      <c r="K83" s="10">
        <f t="shared" si="0"/>
        <v>175000</v>
      </c>
      <c r="L83" s="13">
        <f t="shared" si="1"/>
        <v>45322</v>
      </c>
      <c r="M83" s="10">
        <f ca="1">IF(W83=1,IF(AND(U83&lt;2,INT(V83)&lt;='Batasan Honor'!$B$2),1,0),"")</f>
        <v>1</v>
      </c>
      <c r="O83" s="10">
        <f t="shared" si="2"/>
        <v>1</v>
      </c>
      <c r="P83" s="10">
        <f t="shared" si="3"/>
        <v>2024</v>
      </c>
      <c r="R83" s="4" t="s">
        <v>25</v>
      </c>
      <c r="S83" s="10" t="str">
        <f t="shared" si="4"/>
        <v>610422020016,2024,1</v>
      </c>
      <c r="U83" s="10">
        <f ca="1">IFERROR(__xludf.DUMMYFUNCTION("if(W83=1,COUNTIFS(FILTER($H$2:$H905,$H$2:$H905=""OB"",$S$2:$S905=S83),""OB""),"""")"),0)</f>
        <v>0</v>
      </c>
      <c r="V83" s="10">
        <f ca="1">IFERROR(__xludf.DUMMYFUNCTION("IF(OR(ISNA(SUM(FILTER($K$2:$K905,$A$2:$A905=A83,$S$2:$S905=S83,$H$2:$H905&lt;&gt;""OB""))),W83&lt;&gt;1),"""",SUM(FILTER($K$2:$K905,$A$2:$A905=A83,$S$2:$S905=S83,$H$2:$H905&lt;&gt;""OB"")))"),175000)</f>
        <v>175000</v>
      </c>
      <c r="W83" s="10">
        <f t="shared" si="5"/>
        <v>1</v>
      </c>
    </row>
    <row r="84" spans="1:23" ht="12.5">
      <c r="A84" s="4">
        <v>610422020048</v>
      </c>
      <c r="B84" s="5" t="str">
        <f t="array" ref="B84">IF(W84=1,INDEX('Database Mitra'!$H$2:$H905,MATCH(A84,'Database Mitra'!AK$2:AK905,0)),"")</f>
        <v>Herri Gustaman</v>
      </c>
      <c r="C84" s="5" t="e">
        <f t="array" ref="C84">IF(W84=1,INDEX('Database Mitra'!$E$2:$E905,MATCH(A84,'Database Mitra'!AK$2:AK905,0)),"")</f>
        <v>#VALUE!</v>
      </c>
      <c r="D84" s="4" t="s">
        <v>29</v>
      </c>
      <c r="E84" s="5" t="str">
        <f t="array" ref="E84">IF(W84=1,INDEX('Input Kegiatan'!B$2:B905,MATCH($D84,'Input Kegiatan'!$A$2:$A905,0)),"")</f>
        <v>Kerangka Sampel Area (KSA) 2024 Januari</v>
      </c>
      <c r="F84" s="12">
        <f t="array" ref="F84">IF(W84=1,INDEX('Input Kegiatan'!D$2:D905,MATCH($D84,'Input Kegiatan'!$A$2:$A905,0)),"")</f>
        <v>45292</v>
      </c>
      <c r="G84" s="12">
        <f t="array" ref="G84">IF(W84=1,INDEX('Input Kegiatan'!E$2:E905,MATCH($D84,'Input Kegiatan'!$A$2:$A905,0)),"")</f>
        <v>45322</v>
      </c>
      <c r="H84" s="5" t="str">
        <f t="array" ref="H84">IF(W84=1,INDEX(Honor!$H$2:$H905,MATCH($D84&amp;"-"&amp;R84,Honor!$K$2:$K905,0)),"")</f>
        <v>Segmen</v>
      </c>
      <c r="I84" s="8">
        <f>IF(W84=1,SUMIFS(Honor!$I$2:$I905,Honor!$K$2:$K905,$D84&amp;"-"&amp;R84),"")</f>
        <v>175000</v>
      </c>
      <c r="J84" s="9">
        <f t="shared" si="6"/>
        <v>1</v>
      </c>
      <c r="K84" s="10">
        <f t="shared" si="0"/>
        <v>175000</v>
      </c>
      <c r="L84" s="13">
        <f t="shared" si="1"/>
        <v>45322</v>
      </c>
      <c r="M84" s="10">
        <f ca="1">IF(W84=1,IF(AND(U84&lt;2,INT(V84)&lt;='Batasan Honor'!$B$2),1,0),"")</f>
        <v>1</v>
      </c>
      <c r="O84" s="10">
        <f t="shared" si="2"/>
        <v>1</v>
      </c>
      <c r="P84" s="10">
        <f t="shared" si="3"/>
        <v>2024</v>
      </c>
      <c r="R84" s="4" t="s">
        <v>25</v>
      </c>
      <c r="S84" s="10" t="str">
        <f t="shared" si="4"/>
        <v>610422020048,2024,1</v>
      </c>
      <c r="U84" s="10">
        <f ca="1">IFERROR(__xludf.DUMMYFUNCTION("if(W84=1,COUNTIFS(FILTER($H$2:$H905,$H$2:$H905=""OB"",$S$2:$S905=S84),""OB""),"""")"),0)</f>
        <v>0</v>
      </c>
      <c r="V84" s="10">
        <f ca="1">IFERROR(__xludf.DUMMYFUNCTION("IF(OR(ISNA(SUM(FILTER($K$2:$K905,$A$2:$A905=A84,$S$2:$S905=S84,$H$2:$H905&lt;&gt;""OB""))),W84&lt;&gt;1),"""",SUM(FILTER($K$2:$K905,$A$2:$A905=A84,$S$2:$S905=S84,$H$2:$H905&lt;&gt;""OB"")))"),175000)</f>
        <v>175000</v>
      </c>
      <c r="W84" s="10">
        <f t="shared" si="5"/>
        <v>1</v>
      </c>
    </row>
    <row r="85" spans="1:23" ht="13">
      <c r="A85" s="4">
        <v>610422040012</v>
      </c>
      <c r="B85" s="2" t="str">
        <f t="array" ref="B85">IF(W85=1,INDEX('Database Mitra'!$H$2:$H905,MATCH(A85,'Database Mitra'!AK$2:AK905,0)),"")</f>
        <v>Misdi</v>
      </c>
      <c r="C85" s="5" t="e">
        <f t="array" ref="C85">IF(W85=1,INDEX('Database Mitra'!$E$2:$E905,MATCH(A85,'Database Mitra'!AK$2:AK905,0)),"")</f>
        <v>#VALUE!</v>
      </c>
      <c r="D85" s="4" t="s">
        <v>29</v>
      </c>
      <c r="E85" s="5" t="str">
        <f t="array" ref="E85">IF(W85=1,INDEX('Input Kegiatan'!B$2:B905,MATCH($D85,'Input Kegiatan'!$A$2:$A905,0)),"")</f>
        <v>Kerangka Sampel Area (KSA) 2024 Januari</v>
      </c>
      <c r="F85" s="12">
        <f t="array" ref="F85">IF(W85=1,INDEX('Input Kegiatan'!D$2:D905,MATCH($D85,'Input Kegiatan'!$A$2:$A905,0)),"")</f>
        <v>45292</v>
      </c>
      <c r="G85" s="12">
        <f t="array" ref="G85">IF(W85=1,INDEX('Input Kegiatan'!E$2:E905,MATCH($D85,'Input Kegiatan'!$A$2:$A905,0)),"")</f>
        <v>45322</v>
      </c>
      <c r="H85" s="5" t="str">
        <f t="array" ref="H85">IF(W85=1,INDEX(Honor!$H$2:$H905,MATCH($D85&amp;"-"&amp;R85,Honor!$K$2:$K905,0)),"")</f>
        <v>Segmen</v>
      </c>
      <c r="I85" s="8">
        <f>IF(W85=1,SUMIFS(Honor!$I$2:$I905,Honor!$K$2:$K905,$D85&amp;"-"&amp;R85),"")</f>
        <v>175000</v>
      </c>
      <c r="J85" s="9">
        <f t="shared" si="6"/>
        <v>1</v>
      </c>
      <c r="K85" s="10">
        <f t="shared" si="0"/>
        <v>175000</v>
      </c>
      <c r="L85" s="13">
        <f t="shared" si="1"/>
        <v>45322</v>
      </c>
      <c r="M85" s="10">
        <f ca="1">IF(W85=1,IF(AND(U85&lt;2,INT(V85)&lt;='Batasan Honor'!$B$2),1,0),"")</f>
        <v>1</v>
      </c>
      <c r="O85" s="10">
        <f t="shared" si="2"/>
        <v>1</v>
      </c>
      <c r="P85" s="10">
        <f t="shared" si="3"/>
        <v>2024</v>
      </c>
      <c r="R85" s="4" t="s">
        <v>25</v>
      </c>
      <c r="S85" s="10" t="str">
        <f t="shared" si="4"/>
        <v>610422040012,2024,1</v>
      </c>
      <c r="U85" s="10">
        <f ca="1">IFERROR(__xludf.DUMMYFUNCTION("if(W85=1,COUNTIFS(FILTER($H$2:$H905,$H$2:$H905=""OB"",$S$2:$S905=S85),""OB""),"""")"),0)</f>
        <v>0</v>
      </c>
      <c r="V85" s="10">
        <f ca="1">IFERROR(__xludf.DUMMYFUNCTION("IF(OR(ISNA(SUM(FILTER($K$2:$K905,$A$2:$A905=A85,$S$2:$S905=S85,$H$2:$H905&lt;&gt;""OB""))),W85&lt;&gt;1),"""",SUM(FILTER($K$2:$K905,$A$2:$A905=A85,$S$2:$S905=S85,$H$2:$H905&lt;&gt;""OB"")))"),175000)</f>
        <v>175000</v>
      </c>
      <c r="W85" s="10">
        <f t="shared" si="5"/>
        <v>1</v>
      </c>
    </row>
    <row r="86" spans="1:23" ht="12.5">
      <c r="A86" s="4">
        <v>610422040058</v>
      </c>
      <c r="B86" s="5" t="str">
        <f t="array" ref="B86">IF(W86=1,INDEX('Database Mitra'!$H$2:$H905,MATCH(A86,'Database Mitra'!AK$2:AK905,0)),"")</f>
        <v>Jamaluddin, SP</v>
      </c>
      <c r="C86" s="5" t="e">
        <f t="array" ref="C86">IF(W86=1,INDEX('Database Mitra'!$E$2:$E905,MATCH(A86,'Database Mitra'!AK$2:AK905,0)),"")</f>
        <v>#VALUE!</v>
      </c>
      <c r="D86" s="4" t="s">
        <v>29</v>
      </c>
      <c r="E86" s="5" t="str">
        <f t="array" ref="E86">IF(W86=1,INDEX('Input Kegiatan'!B$2:B905,MATCH($D86,'Input Kegiatan'!$A$2:$A905,0)),"")</f>
        <v>Kerangka Sampel Area (KSA) 2024 Januari</v>
      </c>
      <c r="F86" s="12">
        <f t="array" ref="F86">IF(W86=1,INDEX('Input Kegiatan'!D$2:D905,MATCH($D86,'Input Kegiatan'!$A$2:$A905,0)),"")</f>
        <v>45292</v>
      </c>
      <c r="G86" s="12">
        <f t="array" ref="G86">IF(W86=1,INDEX('Input Kegiatan'!E$2:E905,MATCH($D86,'Input Kegiatan'!$A$2:$A905,0)),"")</f>
        <v>45322</v>
      </c>
      <c r="H86" s="5" t="str">
        <f t="array" ref="H86">IF(W86=1,INDEX(Honor!$H$2:$H905,MATCH($D86&amp;"-"&amp;R86,Honor!$K$2:$K905,0)),"")</f>
        <v>Segmen</v>
      </c>
      <c r="I86" s="8">
        <f>IF(W86=1,SUMIFS(Honor!$I$2:$I905,Honor!$K$2:$K905,$D86&amp;"-"&amp;R86),"")</f>
        <v>175000</v>
      </c>
      <c r="J86" s="9">
        <f t="shared" si="6"/>
        <v>1</v>
      </c>
      <c r="K86" s="10">
        <f t="shared" si="0"/>
        <v>175000</v>
      </c>
      <c r="L86" s="13">
        <f t="shared" si="1"/>
        <v>45322</v>
      </c>
      <c r="M86" s="10">
        <f ca="1">IF(W86=1,IF(AND(U86&lt;2,INT(V86)&lt;='Batasan Honor'!$B$2),1,0),"")</f>
        <v>1</v>
      </c>
      <c r="O86" s="10">
        <f t="shared" si="2"/>
        <v>1</v>
      </c>
      <c r="P86" s="10">
        <f t="shared" si="3"/>
        <v>2024</v>
      </c>
      <c r="R86" s="4" t="s">
        <v>25</v>
      </c>
      <c r="S86" s="10" t="str">
        <f t="shared" si="4"/>
        <v>610422040058,2024,1</v>
      </c>
      <c r="U86" s="10">
        <f ca="1">IFERROR(__xludf.DUMMYFUNCTION("if(W86=1,COUNTIFS(FILTER($H$2:$H905,$H$2:$H905=""OB"",$S$2:$S905=S86),""OB""),"""")"),0)</f>
        <v>0</v>
      </c>
      <c r="V86" s="10">
        <f ca="1">IFERROR(__xludf.DUMMYFUNCTION("IF(OR(ISNA(SUM(FILTER($K$2:$K905,$A$2:$A905=A86,$S$2:$S905=S86,$H$2:$H905&lt;&gt;""OB""))),W86&lt;&gt;1),"""",SUM(FILTER($K$2:$K905,$A$2:$A905=A86,$S$2:$S905=S86,$H$2:$H905&lt;&gt;""OB"")))"),175000)</f>
        <v>175000</v>
      </c>
      <c r="W86" s="10">
        <f t="shared" si="5"/>
        <v>1</v>
      </c>
    </row>
    <row r="87" spans="1:23" ht="13">
      <c r="A87" s="4">
        <v>610422040059</v>
      </c>
      <c r="B87" s="2" t="str">
        <f t="array" ref="B87">IF(W87=1,INDEX('Database Mitra'!$H$2:$H905,MATCH(A87,'Database Mitra'!AK$2:AK905,0)),"")</f>
        <v>Abang Handri</v>
      </c>
      <c r="C87" s="5" t="e">
        <f t="array" ref="C87">IF(W87=1,INDEX('Database Mitra'!$E$2:$E905,MATCH(A87,'Database Mitra'!AK$2:AK905,0)),"")</f>
        <v>#VALUE!</v>
      </c>
      <c r="D87" s="4" t="s">
        <v>29</v>
      </c>
      <c r="E87" s="5" t="str">
        <f t="array" ref="E87">IF(W87=1,INDEX('Input Kegiatan'!B$2:B905,MATCH($D87,'Input Kegiatan'!$A$2:$A905,0)),"")</f>
        <v>Kerangka Sampel Area (KSA) 2024 Januari</v>
      </c>
      <c r="F87" s="12">
        <f t="array" ref="F87">IF(W87=1,INDEX('Input Kegiatan'!D$2:D905,MATCH($D87,'Input Kegiatan'!$A$2:$A905,0)),"")</f>
        <v>45292</v>
      </c>
      <c r="G87" s="12">
        <f t="array" ref="G87">IF(W87=1,INDEX('Input Kegiatan'!E$2:E905,MATCH($D87,'Input Kegiatan'!$A$2:$A905,0)),"")</f>
        <v>45322</v>
      </c>
      <c r="H87" s="5" t="str">
        <f t="array" ref="H87">IF(W87=1,INDEX(Honor!$H$2:$H905,MATCH($D87&amp;"-"&amp;R87,Honor!$K$2:$K905,0)),"")</f>
        <v>Segmen</v>
      </c>
      <c r="I87" s="8">
        <f>IF(W87=1,SUMIFS(Honor!$I$2:$I905,Honor!$K$2:$K905,$D87&amp;"-"&amp;R87),"")</f>
        <v>175000</v>
      </c>
      <c r="J87" s="9">
        <f t="shared" si="6"/>
        <v>1</v>
      </c>
      <c r="K87" s="10">
        <f t="shared" si="0"/>
        <v>175000</v>
      </c>
      <c r="L87" s="13">
        <f t="shared" si="1"/>
        <v>45322</v>
      </c>
      <c r="M87" s="10">
        <f ca="1">IF(W87=1,IF(AND(U87&lt;2,INT(V87)&lt;='Batasan Honor'!$B$2),1,0),"")</f>
        <v>1</v>
      </c>
      <c r="O87" s="10">
        <f t="shared" si="2"/>
        <v>1</v>
      </c>
      <c r="P87" s="10">
        <f t="shared" si="3"/>
        <v>2024</v>
      </c>
      <c r="R87" s="4" t="s">
        <v>25</v>
      </c>
      <c r="S87" s="10" t="str">
        <f t="shared" si="4"/>
        <v>610422040059,2024,1</v>
      </c>
      <c r="U87" s="10">
        <f ca="1">IFERROR(__xludf.DUMMYFUNCTION("if(W87=1,COUNTIFS(FILTER($H$2:$H905,$H$2:$H905=""OB"",$S$2:$S905=S87),""OB""),"""")"),0)</f>
        <v>0</v>
      </c>
      <c r="V87" s="10">
        <f ca="1">IFERROR(__xludf.DUMMYFUNCTION("IF(OR(ISNA(SUM(FILTER($K$2:$K905,$A$2:$A905=A87,$S$2:$S905=S87,$H$2:$H905&lt;&gt;""OB""))),W87&lt;&gt;1),"""",SUM(FILTER($K$2:$K905,$A$2:$A905=A87,$S$2:$S905=S87,$H$2:$H905&lt;&gt;""OB"")))"),175000)</f>
        <v>175000</v>
      </c>
      <c r="W87" s="10">
        <f t="shared" si="5"/>
        <v>1</v>
      </c>
    </row>
    <row r="88" spans="1:23" ht="13">
      <c r="A88" s="4">
        <v>610422040061</v>
      </c>
      <c r="B88" s="2" t="str">
        <f t="array" ref="B88">IF(W88=1,INDEX('Database Mitra'!$H$2:$H905,MATCH(A88,'Database Mitra'!AK$2:AK905,0)),"")</f>
        <v>Sabani</v>
      </c>
      <c r="C88" s="5" t="e">
        <f t="array" ref="C88">IF(W88=1,INDEX('Database Mitra'!$E$2:$E905,MATCH(A88,'Database Mitra'!AK$2:AK905,0)),"")</f>
        <v>#VALUE!</v>
      </c>
      <c r="D88" s="4" t="s">
        <v>29</v>
      </c>
      <c r="E88" s="5" t="str">
        <f t="array" ref="E88">IF(W88=1,INDEX('Input Kegiatan'!B$2:B905,MATCH($D88,'Input Kegiatan'!$A$2:$A905,0)),"")</f>
        <v>Kerangka Sampel Area (KSA) 2024 Januari</v>
      </c>
      <c r="F88" s="12">
        <f t="array" ref="F88">IF(W88=1,INDEX('Input Kegiatan'!D$2:D905,MATCH($D88,'Input Kegiatan'!$A$2:$A905,0)),"")</f>
        <v>45292</v>
      </c>
      <c r="G88" s="12">
        <f t="array" ref="G88">IF(W88=1,INDEX('Input Kegiatan'!E$2:E905,MATCH($D88,'Input Kegiatan'!$A$2:$A905,0)),"")</f>
        <v>45322</v>
      </c>
      <c r="H88" s="5" t="str">
        <f t="array" ref="H88">IF(W88=1,INDEX(Honor!$H$2:$H905,MATCH($D88&amp;"-"&amp;R88,Honor!$K$2:$K905,0)),"")</f>
        <v>Segmen</v>
      </c>
      <c r="I88" s="8">
        <f>IF(W88=1,SUMIFS(Honor!$I$2:$I905,Honor!$K$2:$K905,$D88&amp;"-"&amp;R88),"")</f>
        <v>175000</v>
      </c>
      <c r="J88" s="9">
        <f t="shared" si="6"/>
        <v>1</v>
      </c>
      <c r="K88" s="10">
        <f t="shared" si="0"/>
        <v>175000</v>
      </c>
      <c r="L88" s="13">
        <f t="shared" si="1"/>
        <v>45322</v>
      </c>
      <c r="M88" s="10">
        <f ca="1">IF(W88=1,IF(AND(U88&lt;2,INT(V88)&lt;='Batasan Honor'!$B$2),1,0),"")</f>
        <v>1</v>
      </c>
      <c r="O88" s="10">
        <f t="shared" si="2"/>
        <v>1</v>
      </c>
      <c r="P88" s="10">
        <f t="shared" si="3"/>
        <v>2024</v>
      </c>
      <c r="R88" s="4" t="s">
        <v>25</v>
      </c>
      <c r="S88" s="10" t="str">
        <f t="shared" si="4"/>
        <v>610422040061,2024,1</v>
      </c>
      <c r="U88" s="10">
        <f ca="1">IFERROR(__xludf.DUMMYFUNCTION("if(W88=1,COUNTIFS(FILTER($H$2:$H905,$H$2:$H905=""OB"",$S$2:$S905=S88),""OB""),"""")"),0)</f>
        <v>0</v>
      </c>
      <c r="V88" s="10">
        <f ca="1">IFERROR(__xludf.DUMMYFUNCTION("IF(OR(ISNA(SUM(FILTER($K$2:$K905,$A$2:$A905=A88,$S$2:$S905=S88,$H$2:$H905&lt;&gt;""OB""))),W88&lt;&gt;1),"""",SUM(FILTER($K$2:$K905,$A$2:$A905=A88,$S$2:$S905=S88,$H$2:$H905&lt;&gt;""OB"")))"),175000)</f>
        <v>175000</v>
      </c>
      <c r="W88" s="10">
        <f t="shared" si="5"/>
        <v>1</v>
      </c>
    </row>
    <row r="89" spans="1:23" ht="13">
      <c r="A89" s="4">
        <v>610422100131</v>
      </c>
      <c r="B89" s="2" t="str">
        <f t="array" ref="B89">IF(W89=1,INDEX('Database Mitra'!$H$2:$H905,MATCH(A89,'Database Mitra'!AK$2:AK905,0)),"")</f>
        <v>SYAMSUL</v>
      </c>
      <c r="C89" s="5" t="e">
        <f t="array" ref="C89">IF(W89=1,INDEX('Database Mitra'!$E$2:$E905,MATCH(A89,'Database Mitra'!AK$2:AK905,0)),"")</f>
        <v>#VALUE!</v>
      </c>
      <c r="D89" s="4" t="s">
        <v>29</v>
      </c>
      <c r="E89" s="5" t="str">
        <f t="array" ref="E89">IF(W89=1,INDEX('Input Kegiatan'!B$2:B905,MATCH($D89,'Input Kegiatan'!$A$2:$A905,0)),"")</f>
        <v>Kerangka Sampel Area (KSA) 2024 Januari</v>
      </c>
      <c r="F89" s="12">
        <f t="array" ref="F89">IF(W89=1,INDEX('Input Kegiatan'!D$2:D905,MATCH($D89,'Input Kegiatan'!$A$2:$A905,0)),"")</f>
        <v>45292</v>
      </c>
      <c r="G89" s="12">
        <f t="array" ref="G89">IF(W89=1,INDEX('Input Kegiatan'!E$2:E905,MATCH($D89,'Input Kegiatan'!$A$2:$A905,0)),"")</f>
        <v>45322</v>
      </c>
      <c r="H89" s="5" t="str">
        <f t="array" ref="H89">IF(W89=1,INDEX(Honor!$H$2:$H905,MATCH($D89&amp;"-"&amp;R89,Honor!$K$2:$K905,0)),"")</f>
        <v>Segmen</v>
      </c>
      <c r="I89" s="8">
        <f>IF(W89=1,SUMIFS(Honor!$I$2:$I905,Honor!$K$2:$K905,$D89&amp;"-"&amp;R89),"")</f>
        <v>175000</v>
      </c>
      <c r="J89" s="9">
        <f t="shared" si="6"/>
        <v>1</v>
      </c>
      <c r="K89" s="10">
        <f t="shared" si="0"/>
        <v>175000</v>
      </c>
      <c r="L89" s="13">
        <f t="shared" si="1"/>
        <v>45322</v>
      </c>
      <c r="M89" s="10">
        <f ca="1">IF(W89=1,IF(AND(U89&lt;2,INT(V89)&lt;='Batasan Honor'!$B$2),1,0),"")</f>
        <v>1</v>
      </c>
      <c r="O89" s="10">
        <f t="shared" si="2"/>
        <v>1</v>
      </c>
      <c r="P89" s="10">
        <f t="shared" si="3"/>
        <v>2024</v>
      </c>
      <c r="R89" s="4" t="s">
        <v>25</v>
      </c>
      <c r="S89" s="10" t="str">
        <f t="shared" si="4"/>
        <v>610422100131,2024,1</v>
      </c>
      <c r="U89" s="10">
        <f ca="1">IFERROR(__xludf.DUMMYFUNCTION("if(W89=1,COUNTIFS(FILTER($H$2:$H905,$H$2:$H905=""OB"",$S$2:$S905=S89),""OB""),"""")"),0)</f>
        <v>0</v>
      </c>
      <c r="V89" s="10">
        <f ca="1">IFERROR(__xludf.DUMMYFUNCTION("IF(OR(ISNA(SUM(FILTER($K$2:$K905,$A$2:$A905=A89,$S$2:$S905=S89,$H$2:$H905&lt;&gt;""OB""))),W89&lt;&gt;1),"""",SUM(FILTER($K$2:$K905,$A$2:$A905=A89,$S$2:$S905=S89,$H$2:$H905&lt;&gt;""OB"")))"),175000)</f>
        <v>175000</v>
      </c>
      <c r="W89" s="10">
        <f t="shared" si="5"/>
        <v>1</v>
      </c>
    </row>
    <row r="90" spans="1:23" ht="13">
      <c r="A90" s="4">
        <v>610422100244</v>
      </c>
      <c r="B90" s="2" t="str">
        <f t="array" ref="B90">IF(W90=1,INDEX('Database Mitra'!$H$2:$H905,MATCH(A90,'Database Mitra'!AK$2:AK905,0)),"")</f>
        <v>Sugianto</v>
      </c>
      <c r="C90" s="5" t="e">
        <f t="array" ref="C90">IF(W90=1,INDEX('Database Mitra'!$E$2:$E905,MATCH(A90,'Database Mitra'!AK$2:AK905,0)),"")</f>
        <v>#VALUE!</v>
      </c>
      <c r="D90" s="4" t="s">
        <v>29</v>
      </c>
      <c r="E90" s="5" t="str">
        <f t="array" ref="E90">IF(W90=1,INDEX('Input Kegiatan'!B$2:B905,MATCH($D90,'Input Kegiatan'!$A$2:$A905,0)),"")</f>
        <v>Kerangka Sampel Area (KSA) 2024 Januari</v>
      </c>
      <c r="F90" s="12">
        <f t="array" ref="F90">IF(W90=1,INDEX('Input Kegiatan'!D$2:D905,MATCH($D90,'Input Kegiatan'!$A$2:$A905,0)),"")</f>
        <v>45292</v>
      </c>
      <c r="G90" s="12">
        <f t="array" ref="G90">IF(W90=1,INDEX('Input Kegiatan'!E$2:E905,MATCH($D90,'Input Kegiatan'!$A$2:$A905,0)),"")</f>
        <v>45322</v>
      </c>
      <c r="H90" s="5" t="str">
        <f t="array" ref="H90">IF(W90=1,INDEX(Honor!$H$2:$H905,MATCH($D90&amp;"-"&amp;R90,Honor!$K$2:$K905,0)),"")</f>
        <v>Segmen</v>
      </c>
      <c r="I90" s="8">
        <f>IF(W90=1,SUMIFS(Honor!$I$2:$I905,Honor!$K$2:$K905,$D90&amp;"-"&amp;R90),"")</f>
        <v>175000</v>
      </c>
      <c r="J90" s="9">
        <f t="shared" si="6"/>
        <v>1</v>
      </c>
      <c r="K90" s="10">
        <f t="shared" si="0"/>
        <v>175000</v>
      </c>
      <c r="L90" s="13">
        <f t="shared" si="1"/>
        <v>45322</v>
      </c>
      <c r="M90" s="10">
        <f ca="1">IF(W90=1,IF(AND(U90&lt;2,INT(V90)&lt;='Batasan Honor'!$B$2),1,0),"")</f>
        <v>1</v>
      </c>
      <c r="O90" s="10">
        <f t="shared" si="2"/>
        <v>1</v>
      </c>
      <c r="P90" s="10">
        <f t="shared" si="3"/>
        <v>2024</v>
      </c>
      <c r="R90" s="4" t="s">
        <v>25</v>
      </c>
      <c r="S90" s="10" t="str">
        <f t="shared" si="4"/>
        <v>610422100244,2024,1</v>
      </c>
      <c r="U90" s="10">
        <f ca="1">IFERROR(__xludf.DUMMYFUNCTION("if(W90=1,COUNTIFS(FILTER($H$2:$H905,$H$2:$H905=""OB"",$S$2:$S905=S90),""OB""),"""")"),0)</f>
        <v>0</v>
      </c>
      <c r="V90" s="10">
        <f ca="1">IFERROR(__xludf.DUMMYFUNCTION("IF(OR(ISNA(SUM(FILTER($K$2:$K905,$A$2:$A905=A90,$S$2:$S905=S90,$H$2:$H905&lt;&gt;""OB""))),W90&lt;&gt;1),"""",SUM(FILTER($K$2:$K905,$A$2:$A905=A90,$S$2:$S905=S90,$H$2:$H905&lt;&gt;""OB"")))"),175000)</f>
        <v>175000</v>
      </c>
      <c r="W90" s="10">
        <f t="shared" si="5"/>
        <v>1</v>
      </c>
    </row>
    <row r="91" spans="1:23" ht="13">
      <c r="A91" s="4">
        <v>610422100176</v>
      </c>
      <c r="B91" s="2" t="str">
        <f t="array" ref="B91">IF(W91=1,INDEX('Database Mitra'!$H$2:$H905,MATCH(A91,'Database Mitra'!AK$2:AK905,0)),"")</f>
        <v>Feri Firdaus</v>
      </c>
      <c r="C91" s="5" t="e">
        <f t="array" ref="C91">IF(W91=1,INDEX('Database Mitra'!$E$2:$E905,MATCH(A91,'Database Mitra'!AK$2:AK905,0)),"")</f>
        <v>#VALUE!</v>
      </c>
      <c r="D91" s="4" t="s">
        <v>29</v>
      </c>
      <c r="E91" s="5" t="str">
        <f t="array" ref="E91">IF(W91=1,INDEX('Input Kegiatan'!B$2:B905,MATCH($D91,'Input Kegiatan'!$A$2:$A905,0)),"")</f>
        <v>Kerangka Sampel Area (KSA) 2024 Januari</v>
      </c>
      <c r="F91" s="12">
        <f t="array" ref="F91">IF(W91=1,INDEX('Input Kegiatan'!D$2:D905,MATCH($D91,'Input Kegiatan'!$A$2:$A905,0)),"")</f>
        <v>45292</v>
      </c>
      <c r="G91" s="12">
        <f t="array" ref="G91">IF(W91=1,INDEX('Input Kegiatan'!E$2:E905,MATCH($D91,'Input Kegiatan'!$A$2:$A905,0)),"")</f>
        <v>45322</v>
      </c>
      <c r="H91" s="5" t="str">
        <f t="array" ref="H91">IF(W91=1,INDEX(Honor!$H$2:$H905,MATCH($D91&amp;"-"&amp;R91,Honor!$K$2:$K905,0)),"")</f>
        <v>Segmen</v>
      </c>
      <c r="I91" s="8">
        <f>IF(W91=1,SUMIFS(Honor!$I$2:$I905,Honor!$K$2:$K905,$D91&amp;"-"&amp;R91),"")</f>
        <v>175000</v>
      </c>
      <c r="J91" s="9">
        <f t="shared" si="6"/>
        <v>1</v>
      </c>
      <c r="K91" s="10">
        <f t="shared" si="0"/>
        <v>175000</v>
      </c>
      <c r="L91" s="13">
        <f t="shared" si="1"/>
        <v>45322</v>
      </c>
      <c r="M91" s="10">
        <f ca="1">IF(W91=1,IF(AND(U91&lt;2,INT(V91)&lt;='Batasan Honor'!$B$2),1,0),"")</f>
        <v>1</v>
      </c>
      <c r="O91" s="10">
        <f t="shared" si="2"/>
        <v>1</v>
      </c>
      <c r="P91" s="10">
        <f t="shared" si="3"/>
        <v>2024</v>
      </c>
      <c r="R91" s="4" t="s">
        <v>25</v>
      </c>
      <c r="S91" s="10" t="str">
        <f t="shared" si="4"/>
        <v>610422100176,2024,1</v>
      </c>
      <c r="U91" s="10">
        <f ca="1">IFERROR(__xludf.DUMMYFUNCTION("if(W91=1,COUNTIFS(FILTER($H$2:$H905,$H$2:$H905=""OB"",$S$2:$S905=S91),""OB""),"""")"),0)</f>
        <v>0</v>
      </c>
      <c r="V91" s="10">
        <f ca="1">IFERROR(__xludf.DUMMYFUNCTION("IF(OR(ISNA(SUM(FILTER($K$2:$K905,$A$2:$A905=A91,$S$2:$S905=S91,$H$2:$H905&lt;&gt;""OB""))),W91&lt;&gt;1),"""",SUM(FILTER($K$2:$K905,$A$2:$A905=A91,$S$2:$S905=S91,$H$2:$H905&lt;&gt;""OB"")))"),175000)</f>
        <v>175000</v>
      </c>
      <c r="W91" s="10">
        <f t="shared" si="5"/>
        <v>1</v>
      </c>
    </row>
    <row r="92" spans="1:23" ht="13">
      <c r="A92" s="4">
        <v>610423040018</v>
      </c>
      <c r="B92" s="2" t="str">
        <f t="array" ref="B92">IF(W92=1,INDEX('Database Mitra'!$H$2:$H905,MATCH(A92,'Database Mitra'!AK$2:AK905,0)),"")</f>
        <v>Handoko Tuah Sabarman Sipayung</v>
      </c>
      <c r="C92" s="5" t="e">
        <f t="array" ref="C92">IF(W92=1,INDEX('Database Mitra'!$E$2:$E905,MATCH(A92,'Database Mitra'!AK$2:AK905,0)),"")</f>
        <v>#VALUE!</v>
      </c>
      <c r="D92" s="4" t="s">
        <v>29</v>
      </c>
      <c r="E92" s="5" t="str">
        <f t="array" ref="E92">IF(W92=1,INDEX('Input Kegiatan'!B$2:B905,MATCH($D92,'Input Kegiatan'!$A$2:$A905,0)),"")</f>
        <v>Kerangka Sampel Area (KSA) 2024 Januari</v>
      </c>
      <c r="F92" s="12">
        <f t="array" ref="F92">IF(W92=1,INDEX('Input Kegiatan'!D$2:D905,MATCH($D92,'Input Kegiatan'!$A$2:$A905,0)),"")</f>
        <v>45292</v>
      </c>
      <c r="G92" s="12">
        <f t="array" ref="G92">IF(W92=1,INDEX('Input Kegiatan'!E$2:E905,MATCH($D92,'Input Kegiatan'!$A$2:$A905,0)),"")</f>
        <v>45322</v>
      </c>
      <c r="H92" s="5" t="str">
        <f t="array" ref="H92">IF(W92=1,INDEX(Honor!$H$2:$H905,MATCH($D92&amp;"-"&amp;R92,Honor!$K$2:$K905,0)),"")</f>
        <v>Segmen</v>
      </c>
      <c r="I92" s="8">
        <f>IF(W92=1,SUMIFS(Honor!$I$2:$I905,Honor!$K$2:$K905,$D92&amp;"-"&amp;R92),"")</f>
        <v>175000</v>
      </c>
      <c r="J92" s="9">
        <f t="shared" si="6"/>
        <v>1</v>
      </c>
      <c r="K92" s="10">
        <f t="shared" si="0"/>
        <v>175000</v>
      </c>
      <c r="L92" s="13">
        <f t="shared" si="1"/>
        <v>45322</v>
      </c>
      <c r="M92" s="10">
        <f ca="1">IF(W92=1,IF(AND(U92&lt;2,INT(V92)&lt;='Batasan Honor'!$B$2),1,0),"")</f>
        <v>1</v>
      </c>
      <c r="O92" s="10">
        <f t="shared" si="2"/>
        <v>1</v>
      </c>
      <c r="P92" s="10">
        <f t="shared" si="3"/>
        <v>2024</v>
      </c>
      <c r="R92" s="4" t="s">
        <v>25</v>
      </c>
      <c r="S92" s="10" t="str">
        <f t="shared" si="4"/>
        <v>610423040018,2024,1</v>
      </c>
      <c r="U92" s="10">
        <f ca="1">IFERROR(__xludf.DUMMYFUNCTION("if(W92=1,COUNTIFS(FILTER($H$2:$H905,$H$2:$H905=""OB"",$S$2:$S905=S92),""OB""),"""")"),0)</f>
        <v>0</v>
      </c>
      <c r="V92" s="10">
        <f ca="1">IFERROR(__xludf.DUMMYFUNCTION("IF(OR(ISNA(SUM(FILTER($K$2:$K905,$A$2:$A905=A92,$S$2:$S905=S92,$H$2:$H905&lt;&gt;""OB""))),W92&lt;&gt;1),"""",SUM(FILTER($K$2:$K905,$A$2:$A905=A92,$S$2:$S905=S92,$H$2:$H905&lt;&gt;""OB"")))"),175000)</f>
        <v>175000</v>
      </c>
      <c r="W92" s="10">
        <f t="shared" si="5"/>
        <v>1</v>
      </c>
    </row>
    <row r="93" spans="1:23" ht="13">
      <c r="A93" s="4">
        <v>610423110183</v>
      </c>
      <c r="B93" s="2" t="str">
        <f t="array" ref="B93">IF(W93=1,INDEX('Database Mitra'!$H$2:$H905,MATCH(A93,'Database Mitra'!AK$2:AK905,0)),"")</f>
        <v>azhar</v>
      </c>
      <c r="C93" s="5" t="e">
        <f t="array" ref="C93">IF(W93=1,INDEX('Database Mitra'!$E$2:$E905,MATCH(A93,'Database Mitra'!AK$2:AK905,0)),"")</f>
        <v>#VALUE!</v>
      </c>
      <c r="D93" s="4" t="s">
        <v>29</v>
      </c>
      <c r="E93" s="5" t="str">
        <f t="array" ref="E93">IF(W93=1,INDEX('Input Kegiatan'!B$2:B905,MATCH($D93,'Input Kegiatan'!$A$2:$A905,0)),"")</f>
        <v>Kerangka Sampel Area (KSA) 2024 Januari</v>
      </c>
      <c r="F93" s="12">
        <f t="array" ref="F93">IF(W93=1,INDEX('Input Kegiatan'!D$2:D905,MATCH($D93,'Input Kegiatan'!$A$2:$A905,0)),"")</f>
        <v>45292</v>
      </c>
      <c r="G93" s="12">
        <f t="array" ref="G93">IF(W93=1,INDEX('Input Kegiatan'!E$2:E905,MATCH($D93,'Input Kegiatan'!$A$2:$A905,0)),"")</f>
        <v>45322</v>
      </c>
      <c r="H93" s="5" t="str">
        <f t="array" ref="H93">IF(W93=1,INDEX(Honor!$H$2:$H905,MATCH($D93&amp;"-"&amp;R93,Honor!$K$2:$K905,0)),"")</f>
        <v>Segmen</v>
      </c>
      <c r="I93" s="8">
        <f>IF(W93=1,SUMIFS(Honor!$I$2:$I905,Honor!$K$2:$K905,$D93&amp;"-"&amp;R93),"")</f>
        <v>175000</v>
      </c>
      <c r="J93" s="9">
        <f t="shared" si="6"/>
        <v>1</v>
      </c>
      <c r="K93" s="10">
        <f t="shared" si="0"/>
        <v>175000</v>
      </c>
      <c r="L93" s="13">
        <f t="shared" si="1"/>
        <v>45322</v>
      </c>
      <c r="M93" s="10">
        <f ca="1">IF(W93=1,IF(AND(U93&lt;2,INT(V93)&lt;='Batasan Honor'!$B$2),1,0),"")</f>
        <v>1</v>
      </c>
      <c r="O93" s="10">
        <f t="shared" si="2"/>
        <v>1</v>
      </c>
      <c r="P93" s="10">
        <f t="shared" si="3"/>
        <v>2024</v>
      </c>
      <c r="R93" s="4" t="s">
        <v>25</v>
      </c>
      <c r="S93" s="10" t="str">
        <f t="shared" si="4"/>
        <v>610423110183,2024,1</v>
      </c>
      <c r="U93" s="10">
        <f ca="1">IFERROR(__xludf.DUMMYFUNCTION("if(W93=1,COUNTIFS(FILTER($H$2:$H905,$H$2:$H905=""OB"",$S$2:$S905=S93),""OB""),"""")"),0)</f>
        <v>0</v>
      </c>
      <c r="V93" s="10">
        <f ca="1">IFERROR(__xludf.DUMMYFUNCTION("IF(OR(ISNA(SUM(FILTER($K$2:$K905,$A$2:$A905=A93,$S$2:$S905=S93,$H$2:$H905&lt;&gt;""OB""))),W93&lt;&gt;1),"""",SUM(FILTER($K$2:$K905,$A$2:$A905=A93,$S$2:$S905=S93,$H$2:$H905&lt;&gt;""OB"")))"),175000)</f>
        <v>175000</v>
      </c>
      <c r="W93" s="10">
        <f t="shared" si="5"/>
        <v>1</v>
      </c>
    </row>
    <row r="94" spans="1:23" ht="13">
      <c r="A94" s="14">
        <v>610422020016</v>
      </c>
      <c r="B94" s="15" t="str">
        <f t="array" ref="B94">IF(W94=1,INDEX('Database Mitra'!$H$2:$H905,MATCH(A94,'Database Mitra'!AK$2:AK905,0)),"")</f>
        <v>Abdul Aziz</v>
      </c>
      <c r="C94" s="16" t="e">
        <f t="array" ref="C94">IF(W94=1,INDEX('Database Mitra'!$E$2:$E905,MATCH(A94,'Database Mitra'!AK$2:AK905,0)),"")</f>
        <v>#VALUE!</v>
      </c>
      <c r="D94" s="6" t="s">
        <v>30</v>
      </c>
      <c r="E94" s="16" t="str">
        <f t="array" ref="E94">IF(W94=1,INDEX('Input Kegiatan'!B$2:B905,MATCH($D94,'Input Kegiatan'!$A$2:$A905,0)),"")</f>
        <v>Kerangka Sampel Area (KSA) 2024 Maret</v>
      </c>
      <c r="F94" s="17">
        <f t="array" ref="F94">IF(W94=1,INDEX('Input Kegiatan'!D$2:D905,MATCH($D94,'Input Kegiatan'!$A$2:$A905,0)),"")</f>
        <v>45352</v>
      </c>
      <c r="G94" s="17">
        <f t="array" ref="G94">IF(W94=1,INDEX('Input Kegiatan'!E$2:E905,MATCH($D94,'Input Kegiatan'!$A$2:$A905,0)),"")</f>
        <v>45382</v>
      </c>
      <c r="H94" s="16" t="str">
        <f t="array" ref="H94">IF(W94=1,INDEX(Honor!$H$2:$H905,MATCH($D94&amp;"-"&amp;R94,Honor!$K$2:$K905,0)),"")</f>
        <v>Segmen</v>
      </c>
      <c r="I94" s="18">
        <f>IF(W94=1,SUMIFS(Honor!$I$2:$I905,Honor!$K$2:$K905,$D94&amp;"-"&amp;R94),"")</f>
        <v>175000</v>
      </c>
      <c r="J94" s="19">
        <f t="shared" si="6"/>
        <v>1</v>
      </c>
      <c r="K94" s="20">
        <f t="shared" si="0"/>
        <v>175000</v>
      </c>
      <c r="L94" s="17">
        <f t="shared" si="1"/>
        <v>45382</v>
      </c>
      <c r="M94" s="20">
        <f ca="1">IF(W94=1,IF(AND(U94&lt;2,INT(V94)&lt;='Batasan Honor'!$B$2),1,0),"")</f>
        <v>1</v>
      </c>
      <c r="N94" s="21"/>
      <c r="O94" s="20">
        <f t="shared" si="2"/>
        <v>3</v>
      </c>
      <c r="P94" s="20">
        <f t="shared" si="3"/>
        <v>2024</v>
      </c>
      <c r="Q94" s="21"/>
      <c r="R94" s="22" t="s">
        <v>25</v>
      </c>
      <c r="S94" s="21" t="str">
        <f t="shared" si="4"/>
        <v>610422020016,2024,3</v>
      </c>
      <c r="T94" s="21"/>
      <c r="U94" s="20">
        <f ca="1">IFERROR(__xludf.DUMMYFUNCTION("if(W94=1,COUNTIFS(FILTER($H$2:$H905,$H$2:$H905=""OB"",$S$2:$S905=S94),""OB""),"""")"),0)</f>
        <v>0</v>
      </c>
      <c r="V94" s="20">
        <f ca="1">IFERROR(__xludf.DUMMYFUNCTION("IF(OR(ISNA(SUM(FILTER($K$2:$K905,$A$2:$A905=A94,$S$2:$S905=S94,$H$2:$H905&lt;&gt;""OB""))),W94&lt;&gt;1),"""",SUM(FILTER($K$2:$K905,$A$2:$A905=A94,$S$2:$S905=S94,$H$2:$H905&lt;&gt;""OB"")))"),292000)</f>
        <v>292000</v>
      </c>
      <c r="W94" s="20">
        <f t="shared" si="5"/>
        <v>1</v>
      </c>
    </row>
    <row r="95" spans="1:23" ht="12.5">
      <c r="A95" s="14">
        <v>610422020048</v>
      </c>
      <c r="B95" s="16" t="str">
        <f t="array" ref="B95">IF(W95=1,INDEX('Database Mitra'!$H$2:$H905,MATCH(A95,'Database Mitra'!AK$2:AK905,0)),"")</f>
        <v>Herri Gustaman</v>
      </c>
      <c r="C95" s="16" t="e">
        <f t="array" ref="C95">IF(W95=1,INDEX('Database Mitra'!$E$2:$E905,MATCH(A95,'Database Mitra'!AK$2:AK905,0)),"")</f>
        <v>#VALUE!</v>
      </c>
      <c r="D95" s="6" t="s">
        <v>30</v>
      </c>
      <c r="E95" s="16" t="str">
        <f t="array" ref="E95">IF(W95=1,INDEX('Input Kegiatan'!B$2:B905,MATCH($D95,'Input Kegiatan'!$A$2:$A905,0)),"")</f>
        <v>Kerangka Sampel Area (KSA) 2024 Maret</v>
      </c>
      <c r="F95" s="17">
        <f t="array" ref="F95">IF(W95=1,INDEX('Input Kegiatan'!D$2:D905,MATCH($D95,'Input Kegiatan'!$A$2:$A905,0)),"")</f>
        <v>45352</v>
      </c>
      <c r="G95" s="17">
        <f t="array" ref="G95">IF(W95=1,INDEX('Input Kegiatan'!E$2:E905,MATCH($D95,'Input Kegiatan'!$A$2:$A905,0)),"")</f>
        <v>45382</v>
      </c>
      <c r="H95" s="16" t="str">
        <f t="array" ref="H95">IF(W95=1,INDEX(Honor!$H$2:$H905,MATCH($D95&amp;"-"&amp;R95,Honor!$K$2:$K905,0)),"")</f>
        <v>Segmen</v>
      </c>
      <c r="I95" s="18">
        <f>IF(W95=1,SUMIFS(Honor!$I$2:$I905,Honor!$K$2:$K905,$D95&amp;"-"&amp;R95),"")</f>
        <v>175000</v>
      </c>
      <c r="J95" s="19">
        <f t="shared" si="6"/>
        <v>1</v>
      </c>
      <c r="K95" s="20">
        <f t="shared" si="0"/>
        <v>175000</v>
      </c>
      <c r="L95" s="17">
        <f t="shared" si="1"/>
        <v>45382</v>
      </c>
      <c r="M95" s="20">
        <f ca="1">IF(W95=1,IF(AND(U95&lt;2,INT(V95)&lt;='Batasan Honor'!$B$2),1,0),"")</f>
        <v>1</v>
      </c>
      <c r="N95" s="21"/>
      <c r="O95" s="20">
        <f t="shared" si="2"/>
        <v>3</v>
      </c>
      <c r="P95" s="20">
        <f t="shared" si="3"/>
        <v>2024</v>
      </c>
      <c r="Q95" s="21"/>
      <c r="R95" s="22" t="s">
        <v>25</v>
      </c>
      <c r="S95" s="21" t="str">
        <f t="shared" si="4"/>
        <v>610422020048,2024,3</v>
      </c>
      <c r="T95" s="21"/>
      <c r="U95" s="20">
        <f ca="1">IFERROR(__xludf.DUMMYFUNCTION("if(W95=1,COUNTIFS(FILTER($H$2:$H905,$H$2:$H905=""OB"",$S$2:$S905=S95),""OB""),"""")"),0)</f>
        <v>0</v>
      </c>
      <c r="V95" s="20">
        <f ca="1">IFERROR(__xludf.DUMMYFUNCTION("IF(OR(ISNA(SUM(FILTER($K$2:$K905,$A$2:$A905=A95,$S$2:$S905=S95,$H$2:$H905&lt;&gt;""OB""))),W95&lt;&gt;1),"""",SUM(FILTER($K$2:$K905,$A$2:$A905=A95,$S$2:$S905=S95,$H$2:$H905&lt;&gt;""OB"")))"),175000)</f>
        <v>175000</v>
      </c>
      <c r="W95" s="20">
        <f t="shared" si="5"/>
        <v>1</v>
      </c>
    </row>
    <row r="96" spans="1:23" ht="13">
      <c r="A96" s="14">
        <v>610422040012</v>
      </c>
      <c r="B96" s="15" t="str">
        <f t="array" ref="B96">IF(W96=1,INDEX('Database Mitra'!$H$2:$H905,MATCH(A96,'Database Mitra'!AK$2:AK905,0)),"")</f>
        <v>Misdi</v>
      </c>
      <c r="C96" s="16" t="e">
        <f t="array" ref="C96">IF(W96=1,INDEX('Database Mitra'!$E$2:$E905,MATCH(A96,'Database Mitra'!AK$2:AK905,0)),"")</f>
        <v>#VALUE!</v>
      </c>
      <c r="D96" s="6" t="s">
        <v>30</v>
      </c>
      <c r="E96" s="16" t="str">
        <f t="array" ref="E96">IF(W96=1,INDEX('Input Kegiatan'!B$2:B905,MATCH($D96,'Input Kegiatan'!$A$2:$A905,0)),"")</f>
        <v>Kerangka Sampel Area (KSA) 2024 Maret</v>
      </c>
      <c r="F96" s="17">
        <f t="array" ref="F96">IF(W96=1,INDEX('Input Kegiatan'!D$2:D905,MATCH($D96,'Input Kegiatan'!$A$2:$A905,0)),"")</f>
        <v>45352</v>
      </c>
      <c r="G96" s="17">
        <f t="array" ref="G96">IF(W96=1,INDEX('Input Kegiatan'!E$2:E905,MATCH($D96,'Input Kegiatan'!$A$2:$A905,0)),"")</f>
        <v>45382</v>
      </c>
      <c r="H96" s="16" t="str">
        <f t="array" ref="H96">IF(W96=1,INDEX(Honor!$H$2:$H905,MATCH($D96&amp;"-"&amp;R96,Honor!$K$2:$K905,0)),"")</f>
        <v>Segmen</v>
      </c>
      <c r="I96" s="18">
        <f>IF(W96=1,SUMIFS(Honor!$I$2:$I905,Honor!$K$2:$K905,$D96&amp;"-"&amp;R96),"")</f>
        <v>175000</v>
      </c>
      <c r="J96" s="19">
        <f t="shared" si="6"/>
        <v>1</v>
      </c>
      <c r="K96" s="20">
        <f t="shared" si="0"/>
        <v>175000</v>
      </c>
      <c r="L96" s="17">
        <f t="shared" si="1"/>
        <v>45382</v>
      </c>
      <c r="M96" s="20">
        <f ca="1">IF(W96=1,IF(AND(U96&lt;2,INT(V96)&lt;='Batasan Honor'!$B$2),1,0),"")</f>
        <v>1</v>
      </c>
      <c r="N96" s="21"/>
      <c r="O96" s="20">
        <f t="shared" si="2"/>
        <v>3</v>
      </c>
      <c r="P96" s="20">
        <f t="shared" si="3"/>
        <v>2024</v>
      </c>
      <c r="Q96" s="21"/>
      <c r="R96" s="22" t="s">
        <v>25</v>
      </c>
      <c r="S96" s="21" t="str">
        <f t="shared" si="4"/>
        <v>610422040012,2024,3</v>
      </c>
      <c r="T96" s="21"/>
      <c r="U96" s="20">
        <f ca="1">IFERROR(__xludf.DUMMYFUNCTION("if(W96=1,COUNTIFS(FILTER($H$2:$H905,$H$2:$H905=""OB"",$S$2:$S905=S96),""OB""),"""")"),0)</f>
        <v>0</v>
      </c>
      <c r="V96" s="20">
        <f ca="1">IFERROR(__xludf.DUMMYFUNCTION("IF(OR(ISNA(SUM(FILTER($K$2:$K905,$A$2:$A905=A96,$S$2:$S905=S96,$H$2:$H905&lt;&gt;""OB""))),W96&lt;&gt;1),"""",SUM(FILTER($K$2:$K905,$A$2:$A905=A96,$S$2:$S905=S96,$H$2:$H905&lt;&gt;""OB"")))"),175000)</f>
        <v>175000</v>
      </c>
      <c r="W96" s="20">
        <f t="shared" si="5"/>
        <v>1</v>
      </c>
    </row>
    <row r="97" spans="1:23" ht="12.5">
      <c r="A97" s="14">
        <v>610422040058</v>
      </c>
      <c r="B97" s="16" t="str">
        <f t="array" ref="B97">IF(W97=1,INDEX('Database Mitra'!$H$2:$H905,MATCH(A97,'Database Mitra'!AK$2:AK905,0)),"")</f>
        <v>Jamaluddin, SP</v>
      </c>
      <c r="C97" s="16" t="e">
        <f t="array" ref="C97">IF(W97=1,INDEX('Database Mitra'!$E$2:$E905,MATCH(A97,'Database Mitra'!AK$2:AK905,0)),"")</f>
        <v>#VALUE!</v>
      </c>
      <c r="D97" s="6" t="s">
        <v>30</v>
      </c>
      <c r="E97" s="16" t="str">
        <f t="array" ref="E97">IF(W97=1,INDEX('Input Kegiatan'!B$2:B905,MATCH($D97,'Input Kegiatan'!$A$2:$A905,0)),"")</f>
        <v>Kerangka Sampel Area (KSA) 2024 Maret</v>
      </c>
      <c r="F97" s="17">
        <f t="array" ref="F97">IF(W97=1,INDEX('Input Kegiatan'!D$2:D905,MATCH($D97,'Input Kegiatan'!$A$2:$A905,0)),"")</f>
        <v>45352</v>
      </c>
      <c r="G97" s="17">
        <f t="array" ref="G97">IF(W97=1,INDEX('Input Kegiatan'!E$2:E905,MATCH($D97,'Input Kegiatan'!$A$2:$A905,0)),"")</f>
        <v>45382</v>
      </c>
      <c r="H97" s="16" t="str">
        <f t="array" ref="H97">IF(W97=1,INDEX(Honor!$H$2:$H905,MATCH($D97&amp;"-"&amp;R97,Honor!$K$2:$K905,0)),"")</f>
        <v>Segmen</v>
      </c>
      <c r="I97" s="18">
        <f>IF(W97=1,SUMIFS(Honor!$I$2:$I905,Honor!$K$2:$K905,$D97&amp;"-"&amp;R97),"")</f>
        <v>175000</v>
      </c>
      <c r="J97" s="19">
        <f t="shared" si="6"/>
        <v>1</v>
      </c>
      <c r="K97" s="20">
        <f t="shared" si="0"/>
        <v>175000</v>
      </c>
      <c r="L97" s="17">
        <f t="shared" si="1"/>
        <v>45382</v>
      </c>
      <c r="M97" s="20">
        <f ca="1">IF(W97=1,IF(AND(U97&lt;2,INT(V97)&lt;='Batasan Honor'!$B$2),1,0),"")</f>
        <v>1</v>
      </c>
      <c r="N97" s="21"/>
      <c r="O97" s="20">
        <f t="shared" si="2"/>
        <v>3</v>
      </c>
      <c r="P97" s="20">
        <f t="shared" si="3"/>
        <v>2024</v>
      </c>
      <c r="Q97" s="21"/>
      <c r="R97" s="22" t="s">
        <v>25</v>
      </c>
      <c r="S97" s="21" t="str">
        <f t="shared" si="4"/>
        <v>610422040058,2024,3</v>
      </c>
      <c r="T97" s="21"/>
      <c r="U97" s="20">
        <f ca="1">IFERROR(__xludf.DUMMYFUNCTION("if(W97=1,COUNTIFS(FILTER($H$2:$H905,$H$2:$H905=""OB"",$S$2:$S905=S97),""OB""),"""")"),0)</f>
        <v>0</v>
      </c>
      <c r="V97" s="20">
        <f ca="1">IFERROR(__xludf.DUMMYFUNCTION("IF(OR(ISNA(SUM(FILTER($K$2:$K905,$A$2:$A905=A97,$S$2:$S905=S97,$H$2:$H905&lt;&gt;""OB""))),W97&lt;&gt;1),"""",SUM(FILTER($K$2:$K905,$A$2:$A905=A97,$S$2:$S905=S97,$H$2:$H905&lt;&gt;""OB"")))"),462000)</f>
        <v>462000</v>
      </c>
      <c r="W97" s="20">
        <f t="shared" si="5"/>
        <v>1</v>
      </c>
    </row>
    <row r="98" spans="1:23" ht="13">
      <c r="A98" s="14">
        <v>610422040059</v>
      </c>
      <c r="B98" s="15" t="str">
        <f t="array" ref="B98">IF(W98=1,INDEX('Database Mitra'!$H$2:$H905,MATCH(A98,'Database Mitra'!AK$2:AK905,0)),"")</f>
        <v>Abang Handri</v>
      </c>
      <c r="C98" s="16" t="e">
        <f t="array" ref="C98">IF(W98=1,INDEX('Database Mitra'!$E$2:$E905,MATCH(A98,'Database Mitra'!AK$2:AK905,0)),"")</f>
        <v>#VALUE!</v>
      </c>
      <c r="D98" s="6" t="s">
        <v>30</v>
      </c>
      <c r="E98" s="16" t="str">
        <f t="array" ref="E98">IF(W98=1,INDEX('Input Kegiatan'!B$2:B905,MATCH($D98,'Input Kegiatan'!$A$2:$A905,0)),"")</f>
        <v>Kerangka Sampel Area (KSA) 2024 Maret</v>
      </c>
      <c r="F98" s="17">
        <f t="array" ref="F98">IF(W98=1,INDEX('Input Kegiatan'!D$2:D905,MATCH($D98,'Input Kegiatan'!$A$2:$A905,0)),"")</f>
        <v>45352</v>
      </c>
      <c r="G98" s="17">
        <f t="array" ref="G98">IF(W98=1,INDEX('Input Kegiatan'!E$2:E905,MATCH($D98,'Input Kegiatan'!$A$2:$A905,0)),"")</f>
        <v>45382</v>
      </c>
      <c r="H98" s="16" t="str">
        <f t="array" ref="H98">IF(W98=1,INDEX(Honor!$H$2:$H905,MATCH($D98&amp;"-"&amp;R98,Honor!$K$2:$K905,0)),"")</f>
        <v>Segmen</v>
      </c>
      <c r="I98" s="18">
        <f>IF(W98=1,SUMIFS(Honor!$I$2:$I905,Honor!$K$2:$K905,$D98&amp;"-"&amp;R98),"")</f>
        <v>175000</v>
      </c>
      <c r="J98" s="19">
        <f t="shared" si="6"/>
        <v>1</v>
      </c>
      <c r="K98" s="20">
        <f t="shared" si="0"/>
        <v>175000</v>
      </c>
      <c r="L98" s="17">
        <f t="shared" si="1"/>
        <v>45382</v>
      </c>
      <c r="M98" s="20">
        <f ca="1">IF(W98=1,IF(AND(U98&lt;2,INT(V98)&lt;='Batasan Honor'!$B$2),1,0),"")</f>
        <v>1</v>
      </c>
      <c r="N98" s="21"/>
      <c r="O98" s="20">
        <f t="shared" si="2"/>
        <v>3</v>
      </c>
      <c r="P98" s="20">
        <f t="shared" si="3"/>
        <v>2024</v>
      </c>
      <c r="Q98" s="21"/>
      <c r="R98" s="22" t="s">
        <v>25</v>
      </c>
      <c r="S98" s="21" t="str">
        <f t="shared" si="4"/>
        <v>610422040059,2024,3</v>
      </c>
      <c r="T98" s="21"/>
      <c r="U98" s="20">
        <f ca="1">IFERROR(__xludf.DUMMYFUNCTION("if(W98=1,COUNTIFS(FILTER($H$2:$H905,$H$2:$H905=""OB"",$S$2:$S905=S98),""OB""),"""")"),0)</f>
        <v>0</v>
      </c>
      <c r="V98" s="20">
        <f ca="1">IFERROR(__xludf.DUMMYFUNCTION("IF(OR(ISNA(SUM(FILTER($K$2:$K905,$A$2:$A905=A98,$S$2:$S905=S98,$H$2:$H905&lt;&gt;""OB""))),W98&lt;&gt;1),"""",SUM(FILTER($K$2:$K905,$A$2:$A905=A98,$S$2:$S905=S98,$H$2:$H905&lt;&gt;""OB"")))"),4855000)</f>
        <v>4855000</v>
      </c>
      <c r="W98" s="20">
        <f t="shared" si="5"/>
        <v>1</v>
      </c>
    </row>
    <row r="99" spans="1:23" ht="13">
      <c r="A99" s="14">
        <v>610422040061</v>
      </c>
      <c r="B99" s="15" t="str">
        <f t="array" ref="B99">IF(W99=1,INDEX('Database Mitra'!$H$2:$H905,MATCH(A99,'Database Mitra'!AK$2:AK905,0)),"")</f>
        <v>Sabani</v>
      </c>
      <c r="C99" s="16" t="e">
        <f t="array" ref="C99">IF(W99=1,INDEX('Database Mitra'!$E$2:$E905,MATCH(A99,'Database Mitra'!AK$2:AK905,0)),"")</f>
        <v>#VALUE!</v>
      </c>
      <c r="D99" s="6" t="s">
        <v>30</v>
      </c>
      <c r="E99" s="16" t="str">
        <f t="array" ref="E99">IF(W99=1,INDEX('Input Kegiatan'!B$2:B905,MATCH($D99,'Input Kegiatan'!$A$2:$A905,0)),"")</f>
        <v>Kerangka Sampel Area (KSA) 2024 Maret</v>
      </c>
      <c r="F99" s="17">
        <f t="array" ref="F99">IF(W99=1,INDEX('Input Kegiatan'!D$2:D905,MATCH($D99,'Input Kegiatan'!$A$2:$A905,0)),"")</f>
        <v>45352</v>
      </c>
      <c r="G99" s="17">
        <f t="array" ref="G99">IF(W99=1,INDEX('Input Kegiatan'!E$2:E905,MATCH($D99,'Input Kegiatan'!$A$2:$A905,0)),"")</f>
        <v>45382</v>
      </c>
      <c r="H99" s="16" t="str">
        <f t="array" ref="H99">IF(W99=1,INDEX(Honor!$H$2:$H905,MATCH($D99&amp;"-"&amp;R99,Honor!$K$2:$K905,0)),"")</f>
        <v>Segmen</v>
      </c>
      <c r="I99" s="18">
        <f>IF(W99=1,SUMIFS(Honor!$I$2:$I905,Honor!$K$2:$K905,$D99&amp;"-"&amp;R99),"")</f>
        <v>175000</v>
      </c>
      <c r="J99" s="19">
        <f t="shared" si="6"/>
        <v>1</v>
      </c>
      <c r="K99" s="20">
        <f t="shared" si="0"/>
        <v>175000</v>
      </c>
      <c r="L99" s="17">
        <f t="shared" si="1"/>
        <v>45382</v>
      </c>
      <c r="M99" s="20">
        <f ca="1">IF(W99=1,IF(AND(U99&lt;2,INT(V99)&lt;='Batasan Honor'!$B$2),1,0),"")</f>
        <v>1</v>
      </c>
      <c r="N99" s="21"/>
      <c r="O99" s="20">
        <f t="shared" si="2"/>
        <v>3</v>
      </c>
      <c r="P99" s="20">
        <f t="shared" si="3"/>
        <v>2024</v>
      </c>
      <c r="Q99" s="21"/>
      <c r="R99" s="22" t="s">
        <v>25</v>
      </c>
      <c r="S99" s="21" t="str">
        <f t="shared" si="4"/>
        <v>610422040061,2024,3</v>
      </c>
      <c r="T99" s="21"/>
      <c r="U99" s="20">
        <f ca="1">IFERROR(__xludf.DUMMYFUNCTION("if(W99=1,COUNTIFS(FILTER($H$2:$H905,$H$2:$H905=""OB"",$S$2:$S905=S99),""OB""),"""")"),0)</f>
        <v>0</v>
      </c>
      <c r="V99" s="20">
        <f ca="1">IFERROR(__xludf.DUMMYFUNCTION("IF(OR(ISNA(SUM(FILTER($K$2:$K905,$A$2:$A905=A99,$S$2:$S905=S99,$H$2:$H905&lt;&gt;""OB""))),W99&lt;&gt;1),"""",SUM(FILTER($K$2:$K905,$A$2:$A905=A99,$S$2:$S905=S99,$H$2:$H905&lt;&gt;""OB"")))"),462000)</f>
        <v>462000</v>
      </c>
      <c r="W99" s="20">
        <f t="shared" si="5"/>
        <v>1</v>
      </c>
    </row>
    <row r="100" spans="1:23" ht="13">
      <c r="A100" s="14">
        <v>610422100131</v>
      </c>
      <c r="B100" s="15" t="str">
        <f t="array" ref="B100">IF(W100=1,INDEX('Database Mitra'!$H$2:$H905,MATCH(A100,'Database Mitra'!AK$2:AK905,0)),"")</f>
        <v>SYAMSUL</v>
      </c>
      <c r="C100" s="16" t="e">
        <f t="array" ref="C100">IF(W100=1,INDEX('Database Mitra'!$E$2:$E905,MATCH(A100,'Database Mitra'!AK$2:AK905,0)),"")</f>
        <v>#VALUE!</v>
      </c>
      <c r="D100" s="6" t="s">
        <v>30</v>
      </c>
      <c r="E100" s="16" t="str">
        <f t="array" ref="E100">IF(W100=1,INDEX('Input Kegiatan'!B$2:B905,MATCH($D100,'Input Kegiatan'!$A$2:$A905,0)),"")</f>
        <v>Kerangka Sampel Area (KSA) 2024 Maret</v>
      </c>
      <c r="F100" s="17">
        <f t="array" ref="F100">IF(W100=1,INDEX('Input Kegiatan'!D$2:D905,MATCH($D100,'Input Kegiatan'!$A$2:$A905,0)),"")</f>
        <v>45352</v>
      </c>
      <c r="G100" s="17">
        <f t="array" ref="G100">IF(W100=1,INDEX('Input Kegiatan'!E$2:E905,MATCH($D100,'Input Kegiatan'!$A$2:$A905,0)),"")</f>
        <v>45382</v>
      </c>
      <c r="H100" s="16" t="str">
        <f t="array" ref="H100">IF(W100=1,INDEX(Honor!$H$2:$H905,MATCH($D100&amp;"-"&amp;R100,Honor!$K$2:$K905,0)),"")</f>
        <v>Segmen</v>
      </c>
      <c r="I100" s="18">
        <f>IF(W100=1,SUMIFS(Honor!$I$2:$I905,Honor!$K$2:$K905,$D100&amp;"-"&amp;R100),"")</f>
        <v>175000</v>
      </c>
      <c r="J100" s="19">
        <f t="shared" si="6"/>
        <v>1</v>
      </c>
      <c r="K100" s="20">
        <f t="shared" si="0"/>
        <v>175000</v>
      </c>
      <c r="L100" s="17">
        <f t="shared" si="1"/>
        <v>45382</v>
      </c>
      <c r="M100" s="20">
        <f ca="1">IF(W100=1,IF(AND(U100&lt;2,INT(V100)&lt;='Batasan Honor'!$B$2),1,0),"")</f>
        <v>1</v>
      </c>
      <c r="N100" s="21"/>
      <c r="O100" s="20">
        <f t="shared" si="2"/>
        <v>3</v>
      </c>
      <c r="P100" s="20">
        <f t="shared" si="3"/>
        <v>2024</v>
      </c>
      <c r="Q100" s="21"/>
      <c r="R100" s="22" t="s">
        <v>25</v>
      </c>
      <c r="S100" s="21" t="str">
        <f t="shared" si="4"/>
        <v>610422100131,2024,3</v>
      </c>
      <c r="T100" s="21"/>
      <c r="U100" s="20">
        <f ca="1">IFERROR(__xludf.DUMMYFUNCTION("if(W100=1,COUNTIFS(FILTER($H$2:$H905,$H$2:$H905=""OB"",$S$2:$S905=S100),""OB""),"""")"),0)</f>
        <v>0</v>
      </c>
      <c r="V100" s="20">
        <f ca="1">IFERROR(__xludf.DUMMYFUNCTION("IF(OR(ISNA(SUM(FILTER($K$2:$K905,$A$2:$A905=A100,$S$2:$S905=S100,$H$2:$H905&lt;&gt;""OB""))),W100&lt;&gt;1),"""",SUM(FILTER($K$2:$K905,$A$2:$A905=A100,$S$2:$S905=S100,$H$2:$H905&lt;&gt;""OB"")))"),175000)</f>
        <v>175000</v>
      </c>
      <c r="W100" s="20">
        <f t="shared" si="5"/>
        <v>1</v>
      </c>
    </row>
    <row r="101" spans="1:23" ht="13">
      <c r="A101" s="14">
        <v>610422100244</v>
      </c>
      <c r="B101" s="15" t="str">
        <f t="array" ref="B101">IF(W101=1,INDEX('Database Mitra'!$H$2:$H905,MATCH(A101,'Database Mitra'!AK$2:AK905,0)),"")</f>
        <v>Sugianto</v>
      </c>
      <c r="C101" s="16" t="e">
        <f t="array" ref="C101">IF(W101=1,INDEX('Database Mitra'!$E$2:$E905,MATCH(A101,'Database Mitra'!AK$2:AK905,0)),"")</f>
        <v>#VALUE!</v>
      </c>
      <c r="D101" s="6" t="s">
        <v>30</v>
      </c>
      <c r="E101" s="16" t="str">
        <f t="array" ref="E101">IF(W101=1,INDEX('Input Kegiatan'!B$2:B905,MATCH($D101,'Input Kegiatan'!$A$2:$A905,0)),"")</f>
        <v>Kerangka Sampel Area (KSA) 2024 Maret</v>
      </c>
      <c r="F101" s="17">
        <f t="array" ref="F101">IF(W101=1,INDEX('Input Kegiatan'!D$2:D905,MATCH($D101,'Input Kegiatan'!$A$2:$A905,0)),"")</f>
        <v>45352</v>
      </c>
      <c r="G101" s="17">
        <f t="array" ref="G101">IF(W101=1,INDEX('Input Kegiatan'!E$2:E905,MATCH($D101,'Input Kegiatan'!$A$2:$A905,0)),"")</f>
        <v>45382</v>
      </c>
      <c r="H101" s="16" t="str">
        <f t="array" ref="H101">IF(W101=1,INDEX(Honor!$H$2:$H905,MATCH($D101&amp;"-"&amp;R101,Honor!$K$2:$K905,0)),"")</f>
        <v>Segmen</v>
      </c>
      <c r="I101" s="18">
        <f>IF(W101=1,SUMIFS(Honor!$I$2:$I905,Honor!$K$2:$K905,$D101&amp;"-"&amp;R101),"")</f>
        <v>175000</v>
      </c>
      <c r="J101" s="19">
        <f t="shared" si="6"/>
        <v>1</v>
      </c>
      <c r="K101" s="20">
        <f t="shared" si="0"/>
        <v>175000</v>
      </c>
      <c r="L101" s="17">
        <f t="shared" si="1"/>
        <v>45382</v>
      </c>
      <c r="M101" s="20">
        <f ca="1">IF(W101=1,IF(AND(U101&lt;2,INT(V101)&lt;='Batasan Honor'!$B$2),1,0),"")</f>
        <v>1</v>
      </c>
      <c r="N101" s="21"/>
      <c r="O101" s="20">
        <f t="shared" si="2"/>
        <v>3</v>
      </c>
      <c r="P101" s="20">
        <f t="shared" si="3"/>
        <v>2024</v>
      </c>
      <c r="Q101" s="21"/>
      <c r="R101" s="22" t="s">
        <v>25</v>
      </c>
      <c r="S101" s="21" t="str">
        <f t="shared" si="4"/>
        <v>610422100244,2024,3</v>
      </c>
      <c r="T101" s="21"/>
      <c r="U101" s="20">
        <f ca="1">IFERROR(__xludf.DUMMYFUNCTION("if(W101=1,COUNTIFS(FILTER($H$2:$H905,$H$2:$H905=""OB"",$S$2:$S905=S101),""OB""),"""")"),0)</f>
        <v>0</v>
      </c>
      <c r="V101" s="20">
        <f ca="1">IFERROR(__xludf.DUMMYFUNCTION("IF(OR(ISNA(SUM(FILTER($K$2:$K905,$A$2:$A905=A101,$S$2:$S905=S101,$H$2:$H905&lt;&gt;""OB""))),W101&lt;&gt;1),"""",SUM(FILTER($K$2:$K905,$A$2:$A905=A101,$S$2:$S905=S101,$H$2:$H905&lt;&gt;""OB"")))"),292000)</f>
        <v>292000</v>
      </c>
      <c r="W101" s="20">
        <f t="shared" si="5"/>
        <v>1</v>
      </c>
    </row>
    <row r="102" spans="1:23" ht="13">
      <c r="A102" s="14">
        <v>610422100176</v>
      </c>
      <c r="B102" s="15" t="str">
        <f t="array" ref="B102">IF(W102=1,INDEX('Database Mitra'!$H$2:$H905,MATCH(A102,'Database Mitra'!AK$2:AK905,0)),"")</f>
        <v>Feri Firdaus</v>
      </c>
      <c r="C102" s="16" t="e">
        <f t="array" ref="C102">IF(W102=1,INDEX('Database Mitra'!$E$2:$E905,MATCH(A102,'Database Mitra'!AK$2:AK905,0)),"")</f>
        <v>#VALUE!</v>
      </c>
      <c r="D102" s="6" t="s">
        <v>30</v>
      </c>
      <c r="E102" s="16" t="str">
        <f t="array" ref="E102">IF(W102=1,INDEX('Input Kegiatan'!B$2:B905,MATCH($D102,'Input Kegiatan'!$A$2:$A905,0)),"")</f>
        <v>Kerangka Sampel Area (KSA) 2024 Maret</v>
      </c>
      <c r="F102" s="17">
        <f t="array" ref="F102">IF(W102=1,INDEX('Input Kegiatan'!D$2:D905,MATCH($D102,'Input Kegiatan'!$A$2:$A905,0)),"")</f>
        <v>45352</v>
      </c>
      <c r="G102" s="17">
        <f t="array" ref="G102">IF(W102=1,INDEX('Input Kegiatan'!E$2:E905,MATCH($D102,'Input Kegiatan'!$A$2:$A905,0)),"")</f>
        <v>45382</v>
      </c>
      <c r="H102" s="16" t="str">
        <f t="array" ref="H102">IF(W102=1,INDEX(Honor!$H$2:$H905,MATCH($D102&amp;"-"&amp;R102,Honor!$K$2:$K905,0)),"")</f>
        <v>Segmen</v>
      </c>
      <c r="I102" s="18">
        <f>IF(W102=1,SUMIFS(Honor!$I$2:$I905,Honor!$K$2:$K905,$D102&amp;"-"&amp;R102),"")</f>
        <v>175000</v>
      </c>
      <c r="J102" s="19">
        <f t="shared" si="6"/>
        <v>1</v>
      </c>
      <c r="K102" s="20">
        <f t="shared" si="0"/>
        <v>175000</v>
      </c>
      <c r="L102" s="17">
        <f t="shared" si="1"/>
        <v>45382</v>
      </c>
      <c r="M102" s="20">
        <f ca="1">IF(W102=1,IF(AND(U102&lt;2,INT(V102)&lt;='Batasan Honor'!$B$2),1,0),"")</f>
        <v>1</v>
      </c>
      <c r="N102" s="21"/>
      <c r="O102" s="20">
        <f t="shared" si="2"/>
        <v>3</v>
      </c>
      <c r="P102" s="20">
        <f t="shared" si="3"/>
        <v>2024</v>
      </c>
      <c r="Q102" s="21"/>
      <c r="R102" s="22" t="s">
        <v>25</v>
      </c>
      <c r="S102" s="21" t="str">
        <f t="shared" si="4"/>
        <v>610422100176,2024,3</v>
      </c>
      <c r="T102" s="21"/>
      <c r="U102" s="20">
        <f ca="1">IFERROR(__xludf.DUMMYFUNCTION("if(W102=1,COUNTIFS(FILTER($H$2:$H905,$H$2:$H905=""OB"",$S$2:$S905=S102),""OB""),"""")"),0)</f>
        <v>0</v>
      </c>
      <c r="V102" s="20">
        <f ca="1">IFERROR(__xludf.DUMMYFUNCTION("IF(OR(ISNA(SUM(FILTER($K$2:$K905,$A$2:$A905=A102,$S$2:$S905=S102,$H$2:$H905&lt;&gt;""OB""))),W102&lt;&gt;1),"""",SUM(FILTER($K$2:$K905,$A$2:$A905=A102,$S$2:$S905=S102,$H$2:$H905&lt;&gt;""OB"")))"),175000)</f>
        <v>175000</v>
      </c>
      <c r="W102" s="20">
        <f t="shared" si="5"/>
        <v>1</v>
      </c>
    </row>
    <row r="103" spans="1:23" ht="13">
      <c r="A103" s="14">
        <v>610423040018</v>
      </c>
      <c r="B103" s="15" t="str">
        <f t="array" ref="B103">IF(W103=1,INDEX('Database Mitra'!$H$2:$H905,MATCH(A103,'Database Mitra'!AK$2:AK905,0)),"")</f>
        <v>Handoko Tuah Sabarman Sipayung</v>
      </c>
      <c r="C103" s="16" t="e">
        <f t="array" ref="C103">IF(W103=1,INDEX('Database Mitra'!$E$2:$E905,MATCH(A103,'Database Mitra'!AK$2:AK905,0)),"")</f>
        <v>#VALUE!</v>
      </c>
      <c r="D103" s="6" t="s">
        <v>30</v>
      </c>
      <c r="E103" s="16" t="str">
        <f t="array" ref="E103">IF(W103=1,INDEX('Input Kegiatan'!B$2:B905,MATCH($D103,'Input Kegiatan'!$A$2:$A905,0)),"")</f>
        <v>Kerangka Sampel Area (KSA) 2024 Maret</v>
      </c>
      <c r="F103" s="17">
        <f t="array" ref="F103">IF(W103=1,INDEX('Input Kegiatan'!D$2:D905,MATCH($D103,'Input Kegiatan'!$A$2:$A905,0)),"")</f>
        <v>45352</v>
      </c>
      <c r="G103" s="17">
        <f t="array" ref="G103">IF(W103=1,INDEX('Input Kegiatan'!E$2:E905,MATCH($D103,'Input Kegiatan'!$A$2:$A905,0)),"")</f>
        <v>45382</v>
      </c>
      <c r="H103" s="16" t="str">
        <f t="array" ref="H103">IF(W103=1,INDEX(Honor!$H$2:$H905,MATCH($D103&amp;"-"&amp;R103,Honor!$K$2:$K905,0)),"")</f>
        <v>Segmen</v>
      </c>
      <c r="I103" s="18">
        <f>IF(W103=1,SUMIFS(Honor!$I$2:$I905,Honor!$K$2:$K905,$D103&amp;"-"&amp;R103),"")</f>
        <v>175000</v>
      </c>
      <c r="J103" s="19">
        <f t="shared" si="6"/>
        <v>1</v>
      </c>
      <c r="K103" s="20">
        <f t="shared" si="0"/>
        <v>175000</v>
      </c>
      <c r="L103" s="17">
        <f t="shared" si="1"/>
        <v>45382</v>
      </c>
      <c r="M103" s="20">
        <f ca="1">IF(W103=1,IF(AND(U103&lt;2,INT(V103)&lt;='Batasan Honor'!$B$2),1,0),"")</f>
        <v>1</v>
      </c>
      <c r="N103" s="21"/>
      <c r="O103" s="20">
        <f t="shared" si="2"/>
        <v>3</v>
      </c>
      <c r="P103" s="20">
        <f t="shared" si="3"/>
        <v>2024</v>
      </c>
      <c r="Q103" s="21"/>
      <c r="R103" s="22" t="s">
        <v>25</v>
      </c>
      <c r="S103" s="21" t="str">
        <f t="shared" si="4"/>
        <v>610423040018,2024,3</v>
      </c>
      <c r="T103" s="21"/>
      <c r="U103" s="20">
        <f ca="1">IFERROR(__xludf.DUMMYFUNCTION("if(W103=1,COUNTIFS(FILTER($H$2:$H905,$H$2:$H905=""OB"",$S$2:$S905=S103),""OB""),"""")"),0)</f>
        <v>0</v>
      </c>
      <c r="V103" s="20">
        <f ca="1">IFERROR(__xludf.DUMMYFUNCTION("IF(OR(ISNA(SUM(FILTER($K$2:$K905,$A$2:$A905=A103,$S$2:$S905=S103,$H$2:$H905&lt;&gt;""OB""))),W103&lt;&gt;1),"""",SUM(FILTER($K$2:$K905,$A$2:$A905=A103,$S$2:$S905=S103,$H$2:$H905&lt;&gt;""OB"")))"),175000)</f>
        <v>175000</v>
      </c>
      <c r="W103" s="20">
        <f t="shared" si="5"/>
        <v>1</v>
      </c>
    </row>
    <row r="104" spans="1:23" ht="13">
      <c r="A104" s="14">
        <v>610423110183</v>
      </c>
      <c r="B104" s="15" t="str">
        <f t="array" ref="B104">IF(W104=1,INDEX('Database Mitra'!$H$2:$H905,MATCH(A104,'Database Mitra'!AK$2:AK905,0)),"")</f>
        <v>azhar</v>
      </c>
      <c r="C104" s="16" t="e">
        <f t="array" ref="C104">IF(W104=1,INDEX('Database Mitra'!$E$2:$E905,MATCH(A104,'Database Mitra'!AK$2:AK905,0)),"")</f>
        <v>#VALUE!</v>
      </c>
      <c r="D104" s="6" t="s">
        <v>30</v>
      </c>
      <c r="E104" s="16" t="str">
        <f t="array" ref="E104">IF(W104=1,INDEX('Input Kegiatan'!B$2:B905,MATCH($D104,'Input Kegiatan'!$A$2:$A905,0)),"")</f>
        <v>Kerangka Sampel Area (KSA) 2024 Maret</v>
      </c>
      <c r="F104" s="17">
        <f t="array" ref="F104">IF(W104=1,INDEX('Input Kegiatan'!D$2:D905,MATCH($D104,'Input Kegiatan'!$A$2:$A905,0)),"")</f>
        <v>45352</v>
      </c>
      <c r="G104" s="17">
        <f t="array" ref="G104">IF(W104=1,INDEX('Input Kegiatan'!E$2:E905,MATCH($D104,'Input Kegiatan'!$A$2:$A905,0)),"")</f>
        <v>45382</v>
      </c>
      <c r="H104" s="16" t="str">
        <f t="array" ref="H104">IF(W104=1,INDEX(Honor!$H$2:$H905,MATCH($D104&amp;"-"&amp;R104,Honor!$K$2:$K905,0)),"")</f>
        <v>Segmen</v>
      </c>
      <c r="I104" s="18">
        <f>IF(W104=1,SUMIFS(Honor!$I$2:$I905,Honor!$K$2:$K905,$D104&amp;"-"&amp;R104),"")</f>
        <v>175000</v>
      </c>
      <c r="J104" s="19">
        <f t="shared" si="6"/>
        <v>1</v>
      </c>
      <c r="K104" s="20">
        <f t="shared" si="0"/>
        <v>175000</v>
      </c>
      <c r="L104" s="17">
        <f t="shared" si="1"/>
        <v>45382</v>
      </c>
      <c r="M104" s="20">
        <f ca="1">IF(W104=1,IF(AND(U104&lt;2,INT(V104)&lt;='Batasan Honor'!$B$2),1,0),"")</f>
        <v>1</v>
      </c>
      <c r="N104" s="21"/>
      <c r="O104" s="20">
        <f t="shared" si="2"/>
        <v>3</v>
      </c>
      <c r="P104" s="20">
        <f t="shared" si="3"/>
        <v>2024</v>
      </c>
      <c r="Q104" s="21"/>
      <c r="R104" s="22" t="s">
        <v>25</v>
      </c>
      <c r="S104" s="21" t="str">
        <f t="shared" si="4"/>
        <v>610423110183,2024,3</v>
      </c>
      <c r="T104" s="21"/>
      <c r="U104" s="20">
        <f ca="1">IFERROR(__xludf.DUMMYFUNCTION("if(W104=1,COUNTIFS(FILTER($H$2:$H905,$H$2:$H905=""OB"",$S$2:$S905=S104),""OB""),"""")"),0)</f>
        <v>0</v>
      </c>
      <c r="V104" s="20">
        <f ca="1">IFERROR(__xludf.DUMMYFUNCTION("IF(OR(ISNA(SUM(FILTER($K$2:$K905,$A$2:$A905=A104,$S$2:$S905=S104,$H$2:$H905&lt;&gt;""OB""))),W104&lt;&gt;1),"""",SUM(FILTER($K$2:$K905,$A$2:$A905=A104,$S$2:$S905=S104,$H$2:$H905&lt;&gt;""OB"")))"),175000)</f>
        <v>175000</v>
      </c>
      <c r="W104" s="20">
        <f t="shared" si="5"/>
        <v>1</v>
      </c>
    </row>
    <row r="105" spans="1:23" ht="13">
      <c r="A105" s="14">
        <v>610422020016</v>
      </c>
      <c r="B105" s="15" t="str">
        <f t="array" ref="B105">IF(W105=1,INDEX('Database Mitra'!$H$2:$H905,MATCH(A105,'Database Mitra'!AK$2:AK905,0)),"")</f>
        <v>Abdul Aziz</v>
      </c>
      <c r="C105" s="16" t="e">
        <f t="array" ref="C105">IF(W105=1,INDEX('Database Mitra'!$E$2:$E905,MATCH(A105,'Database Mitra'!AK$2:AK905,0)),"")</f>
        <v>#VALUE!</v>
      </c>
      <c r="D105" s="6" t="s">
        <v>31</v>
      </c>
      <c r="E105" s="16" t="str">
        <f t="array" ref="E105">IF(W105=1,INDEX('Input Kegiatan'!B$2:B905,MATCH($D105,'Input Kegiatan'!$A$2:$A905,0)),"")</f>
        <v>Kerangka Sampel Area (KSA) 2024 April</v>
      </c>
      <c r="F105" s="17">
        <f t="array" ref="F105">IF(W105=1,INDEX('Input Kegiatan'!D$2:D905,MATCH($D105,'Input Kegiatan'!$A$2:$A905,0)),"")</f>
        <v>45383</v>
      </c>
      <c r="G105" s="17">
        <f t="array" ref="G105">IF(W105=1,INDEX('Input Kegiatan'!E$2:E905,MATCH($D105,'Input Kegiatan'!$A$2:$A905,0)),"")</f>
        <v>45412</v>
      </c>
      <c r="H105" s="16" t="str">
        <f t="array" ref="H105">IF(W105=1,INDEX(Honor!$H$2:$H905,MATCH($D105&amp;"-"&amp;R105,Honor!$K$2:$K905,0)),"")</f>
        <v>Segmen</v>
      </c>
      <c r="I105" s="18">
        <f>IF(W105=1,SUMIFS(Honor!$I$2:$I905,Honor!$K$2:$K905,$D105&amp;"-"&amp;R105),"")</f>
        <v>175000</v>
      </c>
      <c r="J105" s="19">
        <f t="shared" si="6"/>
        <v>1</v>
      </c>
      <c r="K105" s="20">
        <f t="shared" si="0"/>
        <v>175000</v>
      </c>
      <c r="L105" s="17">
        <f t="shared" si="1"/>
        <v>45412</v>
      </c>
      <c r="M105" s="20">
        <f ca="1">IF(W105=1,IF(AND(U105&lt;2,INT(V105)&lt;='Batasan Honor'!$B$2),1,0),"")</f>
        <v>1</v>
      </c>
      <c r="N105" s="21"/>
      <c r="O105" s="20">
        <f t="shared" si="2"/>
        <v>4</v>
      </c>
      <c r="P105" s="20">
        <f t="shared" si="3"/>
        <v>2024</v>
      </c>
      <c r="Q105" s="21"/>
      <c r="R105" s="22" t="s">
        <v>25</v>
      </c>
      <c r="S105" s="21" t="str">
        <f t="shared" si="4"/>
        <v>610422020016,2024,4</v>
      </c>
      <c r="T105" s="21"/>
      <c r="U105" s="20">
        <f ca="1">IFERROR(__xludf.DUMMYFUNCTION("if(W105=1,COUNTIFS(FILTER($H$2:$H905,$H$2:$H905=""OB"",$S$2:$S905=S105),""OB""),"""")"),0)</f>
        <v>0</v>
      </c>
      <c r="V105" s="20">
        <f ca="1">IFERROR(__xludf.DUMMYFUNCTION("IF(OR(ISNA(SUM(FILTER($K$2:$K905,$A$2:$A905=A105,$S$2:$S905=S105,$H$2:$H905&lt;&gt;""OB""))),W105&lt;&gt;1),"""",SUM(FILTER($K$2:$K905,$A$2:$A905=A105,$S$2:$S905=S105,$H$2:$H905&lt;&gt;""OB"")))"),175000)</f>
        <v>175000</v>
      </c>
      <c r="W105" s="20">
        <f t="shared" si="5"/>
        <v>1</v>
      </c>
    </row>
    <row r="106" spans="1:23" ht="12.5">
      <c r="A106" s="14">
        <v>610422020048</v>
      </c>
      <c r="B106" s="16" t="str">
        <f t="array" ref="B106">IF(W106=1,INDEX('Database Mitra'!$H$2:$H905,MATCH(A106,'Database Mitra'!AK$2:AK905,0)),"")</f>
        <v>Herri Gustaman</v>
      </c>
      <c r="C106" s="16" t="e">
        <f t="array" ref="C106">IF(W106=1,INDEX('Database Mitra'!$E$2:$E905,MATCH(A106,'Database Mitra'!AK$2:AK905,0)),"")</f>
        <v>#VALUE!</v>
      </c>
      <c r="D106" s="6" t="s">
        <v>31</v>
      </c>
      <c r="E106" s="16" t="str">
        <f t="array" ref="E106">IF(W106=1,INDEX('Input Kegiatan'!B$2:B905,MATCH($D106,'Input Kegiatan'!$A$2:$A905,0)),"")</f>
        <v>Kerangka Sampel Area (KSA) 2024 April</v>
      </c>
      <c r="F106" s="17">
        <f t="array" ref="F106">IF(W106=1,INDEX('Input Kegiatan'!D$2:D905,MATCH($D106,'Input Kegiatan'!$A$2:$A905,0)),"")</f>
        <v>45383</v>
      </c>
      <c r="G106" s="17">
        <f t="array" ref="G106">IF(W106=1,INDEX('Input Kegiatan'!E$2:E905,MATCH($D106,'Input Kegiatan'!$A$2:$A905,0)),"")</f>
        <v>45412</v>
      </c>
      <c r="H106" s="16" t="str">
        <f t="array" ref="H106">IF(W106=1,INDEX(Honor!$H$2:$H905,MATCH($D106&amp;"-"&amp;R106,Honor!$K$2:$K905,0)),"")</f>
        <v>Segmen</v>
      </c>
      <c r="I106" s="18">
        <f>IF(W106=1,SUMIFS(Honor!$I$2:$I905,Honor!$K$2:$K905,$D106&amp;"-"&amp;R106),"")</f>
        <v>175000</v>
      </c>
      <c r="J106" s="19">
        <f t="shared" si="6"/>
        <v>1</v>
      </c>
      <c r="K106" s="20">
        <f t="shared" si="0"/>
        <v>175000</v>
      </c>
      <c r="L106" s="17">
        <f t="shared" si="1"/>
        <v>45412</v>
      </c>
      <c r="M106" s="20">
        <f ca="1">IF(W106=1,IF(AND(U106&lt;2,INT(V106)&lt;='Batasan Honor'!$B$2),1,0),"")</f>
        <v>1</v>
      </c>
      <c r="N106" s="21"/>
      <c r="O106" s="20">
        <f t="shared" si="2"/>
        <v>4</v>
      </c>
      <c r="P106" s="20">
        <f t="shared" si="3"/>
        <v>2024</v>
      </c>
      <c r="Q106" s="21"/>
      <c r="R106" s="22" t="s">
        <v>25</v>
      </c>
      <c r="S106" s="21" t="str">
        <f t="shared" si="4"/>
        <v>610422020048,2024,4</v>
      </c>
      <c r="T106" s="21"/>
      <c r="U106" s="20">
        <f ca="1">IFERROR(__xludf.DUMMYFUNCTION("if(W106=1,COUNTIFS(FILTER($H$2:$H905,$H$2:$H905=""OB"",$S$2:$S905=S106),""OB""),"""")"),0)</f>
        <v>0</v>
      </c>
      <c r="V106" s="20">
        <f ca="1">IFERROR(__xludf.DUMMYFUNCTION("IF(OR(ISNA(SUM(FILTER($K$2:$K905,$A$2:$A905=A106,$S$2:$S905=S106,$H$2:$H905&lt;&gt;""OB""))),W106&lt;&gt;1),"""",SUM(FILTER($K$2:$K905,$A$2:$A905=A106,$S$2:$S905=S106,$H$2:$H905&lt;&gt;""OB"")))"),175000)</f>
        <v>175000</v>
      </c>
      <c r="W106" s="20">
        <f t="shared" si="5"/>
        <v>1</v>
      </c>
    </row>
    <row r="107" spans="1:23" ht="13">
      <c r="A107" s="14">
        <v>610422040012</v>
      </c>
      <c r="B107" s="15" t="str">
        <f t="array" ref="B107">IF(W107=1,INDEX('Database Mitra'!$H$2:$H905,MATCH(A107,'Database Mitra'!AK$2:AK905,0)),"")</f>
        <v>Misdi</v>
      </c>
      <c r="C107" s="16" t="e">
        <f t="array" ref="C107">IF(W107=1,INDEX('Database Mitra'!$E$2:$E905,MATCH(A107,'Database Mitra'!AK$2:AK905,0)),"")</f>
        <v>#VALUE!</v>
      </c>
      <c r="D107" s="6" t="s">
        <v>31</v>
      </c>
      <c r="E107" s="16" t="str">
        <f t="array" ref="E107">IF(W107=1,INDEX('Input Kegiatan'!B$2:B905,MATCH($D107,'Input Kegiatan'!$A$2:$A905,0)),"")</f>
        <v>Kerangka Sampel Area (KSA) 2024 April</v>
      </c>
      <c r="F107" s="17">
        <f t="array" ref="F107">IF(W107=1,INDEX('Input Kegiatan'!D$2:D905,MATCH($D107,'Input Kegiatan'!$A$2:$A905,0)),"")</f>
        <v>45383</v>
      </c>
      <c r="G107" s="17">
        <f t="array" ref="G107">IF(W107=1,INDEX('Input Kegiatan'!E$2:E905,MATCH($D107,'Input Kegiatan'!$A$2:$A905,0)),"")</f>
        <v>45412</v>
      </c>
      <c r="H107" s="16" t="str">
        <f t="array" ref="H107">IF(W107=1,INDEX(Honor!$H$2:$H905,MATCH($D107&amp;"-"&amp;R107,Honor!$K$2:$K905,0)),"")</f>
        <v>Segmen</v>
      </c>
      <c r="I107" s="18">
        <f>IF(W107=1,SUMIFS(Honor!$I$2:$I905,Honor!$K$2:$K905,$D107&amp;"-"&amp;R107),"")</f>
        <v>175000</v>
      </c>
      <c r="J107" s="19">
        <f t="shared" si="6"/>
        <v>1</v>
      </c>
      <c r="K107" s="20">
        <f t="shared" si="0"/>
        <v>175000</v>
      </c>
      <c r="L107" s="17">
        <f t="shared" si="1"/>
        <v>45412</v>
      </c>
      <c r="M107" s="20">
        <f ca="1">IF(W107=1,IF(AND(U107&lt;2,INT(V107)&lt;='Batasan Honor'!$B$2),1,0),"")</f>
        <v>1</v>
      </c>
      <c r="N107" s="21"/>
      <c r="O107" s="20">
        <f t="shared" si="2"/>
        <v>4</v>
      </c>
      <c r="P107" s="20">
        <f t="shared" si="3"/>
        <v>2024</v>
      </c>
      <c r="Q107" s="21"/>
      <c r="R107" s="22" t="s">
        <v>25</v>
      </c>
      <c r="S107" s="21" t="str">
        <f t="shared" si="4"/>
        <v>610422040012,2024,4</v>
      </c>
      <c r="T107" s="21"/>
      <c r="U107" s="20">
        <f ca="1">IFERROR(__xludf.DUMMYFUNCTION("if(W107=1,COUNTIFS(FILTER($H$2:$H905,$H$2:$H905=""OB"",$S$2:$S905=S107),""OB""),"""")"),0)</f>
        <v>0</v>
      </c>
      <c r="V107" s="20">
        <f ca="1">IFERROR(__xludf.DUMMYFUNCTION("IF(OR(ISNA(SUM(FILTER($K$2:$K905,$A$2:$A905=A107,$S$2:$S905=S107,$H$2:$H905&lt;&gt;""OB""))),W107&lt;&gt;1),"""",SUM(FILTER($K$2:$K905,$A$2:$A905=A107,$S$2:$S905=S107,$H$2:$H905&lt;&gt;""OB"")))"),175000)</f>
        <v>175000</v>
      </c>
      <c r="W107" s="20">
        <f t="shared" si="5"/>
        <v>1</v>
      </c>
    </row>
    <row r="108" spans="1:23" ht="12.5">
      <c r="A108" s="14">
        <v>610422040058</v>
      </c>
      <c r="B108" s="16" t="str">
        <f t="array" ref="B108">IF(W108=1,INDEX('Database Mitra'!$H$2:$H905,MATCH(A108,'Database Mitra'!AK$2:AK905,0)),"")</f>
        <v>Jamaluddin, SP</v>
      </c>
      <c r="C108" s="16" t="e">
        <f t="array" ref="C108">IF(W108=1,INDEX('Database Mitra'!$E$2:$E905,MATCH(A108,'Database Mitra'!AK$2:AK905,0)),"")</f>
        <v>#VALUE!</v>
      </c>
      <c r="D108" s="6" t="s">
        <v>31</v>
      </c>
      <c r="E108" s="16" t="str">
        <f t="array" ref="E108">IF(W108=1,INDEX('Input Kegiatan'!B$2:B905,MATCH($D108,'Input Kegiatan'!$A$2:$A905,0)),"")</f>
        <v>Kerangka Sampel Area (KSA) 2024 April</v>
      </c>
      <c r="F108" s="17">
        <f t="array" ref="F108">IF(W108=1,INDEX('Input Kegiatan'!D$2:D905,MATCH($D108,'Input Kegiatan'!$A$2:$A905,0)),"")</f>
        <v>45383</v>
      </c>
      <c r="G108" s="17">
        <f t="array" ref="G108">IF(W108=1,INDEX('Input Kegiatan'!E$2:E905,MATCH($D108,'Input Kegiatan'!$A$2:$A905,0)),"")</f>
        <v>45412</v>
      </c>
      <c r="H108" s="16" t="str">
        <f t="array" ref="H108">IF(W108=1,INDEX(Honor!$H$2:$H905,MATCH($D108&amp;"-"&amp;R108,Honor!$K$2:$K905,0)),"")</f>
        <v>Segmen</v>
      </c>
      <c r="I108" s="18">
        <f>IF(W108=1,SUMIFS(Honor!$I$2:$I905,Honor!$K$2:$K905,$D108&amp;"-"&amp;R108),"")</f>
        <v>175000</v>
      </c>
      <c r="J108" s="19">
        <f t="shared" si="6"/>
        <v>1</v>
      </c>
      <c r="K108" s="20">
        <f t="shared" si="0"/>
        <v>175000</v>
      </c>
      <c r="L108" s="17">
        <f t="shared" si="1"/>
        <v>45412</v>
      </c>
      <c r="M108" s="20">
        <f ca="1">IF(W108=1,IF(AND(U108&lt;2,INT(V108)&lt;='Batasan Honor'!$B$2),1,0),"")</f>
        <v>1</v>
      </c>
      <c r="N108" s="21"/>
      <c r="O108" s="20">
        <f t="shared" si="2"/>
        <v>4</v>
      </c>
      <c r="P108" s="20">
        <f t="shared" si="3"/>
        <v>2024</v>
      </c>
      <c r="Q108" s="21"/>
      <c r="R108" s="22" t="s">
        <v>25</v>
      </c>
      <c r="S108" s="21" t="str">
        <f t="shared" si="4"/>
        <v>610422040058,2024,4</v>
      </c>
      <c r="T108" s="21"/>
      <c r="U108" s="20">
        <f ca="1">IFERROR(__xludf.DUMMYFUNCTION("if(W108=1,COUNTIFS(FILTER($H$2:$H905,$H$2:$H905=""OB"",$S$2:$S905=S108),""OB""),"""")"),0)</f>
        <v>0</v>
      </c>
      <c r="V108" s="20">
        <f ca="1">IFERROR(__xludf.DUMMYFUNCTION("IF(OR(ISNA(SUM(FILTER($K$2:$K905,$A$2:$A905=A108,$S$2:$S905=S108,$H$2:$H905&lt;&gt;""OB""))),W108&lt;&gt;1),"""",SUM(FILTER($K$2:$K905,$A$2:$A905=A108,$S$2:$S905=S108,$H$2:$H905&lt;&gt;""OB"")))"),175000)</f>
        <v>175000</v>
      </c>
      <c r="W108" s="20">
        <f t="shared" si="5"/>
        <v>1</v>
      </c>
    </row>
    <row r="109" spans="1:23" ht="13">
      <c r="A109" s="14">
        <v>610422040059</v>
      </c>
      <c r="B109" s="15" t="str">
        <f t="array" ref="B109">IF(W109=1,INDEX('Database Mitra'!$H$2:$H905,MATCH(A109,'Database Mitra'!AK$2:AK905,0)),"")</f>
        <v>Abang Handri</v>
      </c>
      <c r="C109" s="16" t="e">
        <f t="array" ref="C109">IF(W109=1,INDEX('Database Mitra'!$E$2:$E905,MATCH(A109,'Database Mitra'!AK$2:AK905,0)),"")</f>
        <v>#VALUE!</v>
      </c>
      <c r="D109" s="6" t="s">
        <v>31</v>
      </c>
      <c r="E109" s="16" t="str">
        <f t="array" ref="E109">IF(W109=1,INDEX('Input Kegiatan'!B$2:B905,MATCH($D109,'Input Kegiatan'!$A$2:$A905,0)),"")</f>
        <v>Kerangka Sampel Area (KSA) 2024 April</v>
      </c>
      <c r="F109" s="17">
        <f t="array" ref="F109">IF(W109=1,INDEX('Input Kegiatan'!D$2:D905,MATCH($D109,'Input Kegiatan'!$A$2:$A905,0)),"")</f>
        <v>45383</v>
      </c>
      <c r="G109" s="17">
        <f t="array" ref="G109">IF(W109=1,INDEX('Input Kegiatan'!E$2:E905,MATCH($D109,'Input Kegiatan'!$A$2:$A905,0)),"")</f>
        <v>45412</v>
      </c>
      <c r="H109" s="16" t="str">
        <f t="array" ref="H109">IF(W109=1,INDEX(Honor!$H$2:$H905,MATCH($D109&amp;"-"&amp;R109,Honor!$K$2:$K905,0)),"")</f>
        <v>Segmen</v>
      </c>
      <c r="I109" s="18">
        <f>IF(W109=1,SUMIFS(Honor!$I$2:$I905,Honor!$K$2:$K905,$D109&amp;"-"&amp;R109),"")</f>
        <v>175000</v>
      </c>
      <c r="J109" s="19">
        <f t="shared" si="6"/>
        <v>1</v>
      </c>
      <c r="K109" s="20">
        <f t="shared" si="0"/>
        <v>175000</v>
      </c>
      <c r="L109" s="17">
        <f t="shared" si="1"/>
        <v>45412</v>
      </c>
      <c r="M109" s="20">
        <f ca="1">IF(W109=1,IF(AND(U109&lt;2,INT(V109)&lt;='Batasan Honor'!$B$2),1,0),"")</f>
        <v>1</v>
      </c>
      <c r="N109" s="21"/>
      <c r="O109" s="20">
        <f t="shared" si="2"/>
        <v>4</v>
      </c>
      <c r="P109" s="20">
        <f t="shared" si="3"/>
        <v>2024</v>
      </c>
      <c r="Q109" s="21"/>
      <c r="R109" s="22" t="s">
        <v>25</v>
      </c>
      <c r="S109" s="21" t="str">
        <f t="shared" si="4"/>
        <v>610422040059,2024,4</v>
      </c>
      <c r="T109" s="21"/>
      <c r="U109" s="20">
        <f ca="1">IFERROR(__xludf.DUMMYFUNCTION("if(W109=1,COUNTIFS(FILTER($H$2:$H905,$H$2:$H905=""OB"",$S$2:$S905=S109),""OB""),"""")"),0)</f>
        <v>0</v>
      </c>
      <c r="V109" s="20">
        <f ca="1">IFERROR(__xludf.DUMMYFUNCTION("IF(OR(ISNA(SUM(FILTER($K$2:$K905,$A$2:$A905=A109,$S$2:$S905=S109,$H$2:$H905&lt;&gt;""OB""))),W109&lt;&gt;1),"""",SUM(FILTER($K$2:$K905,$A$2:$A905=A109,$S$2:$S905=S109,$H$2:$H905&lt;&gt;""OB"")))"),175000)</f>
        <v>175000</v>
      </c>
      <c r="W109" s="20">
        <f t="shared" si="5"/>
        <v>1</v>
      </c>
    </row>
    <row r="110" spans="1:23" ht="13">
      <c r="A110" s="14">
        <v>610422040061</v>
      </c>
      <c r="B110" s="15" t="str">
        <f t="array" ref="B110">IF(W110=1,INDEX('Database Mitra'!$H$2:$H905,MATCH(A110,'Database Mitra'!AK$2:AK905,0)),"")</f>
        <v>Sabani</v>
      </c>
      <c r="C110" s="16" t="e">
        <f t="array" ref="C110">IF(W110=1,INDEX('Database Mitra'!$E$2:$E905,MATCH(A110,'Database Mitra'!AK$2:AK905,0)),"")</f>
        <v>#VALUE!</v>
      </c>
      <c r="D110" s="6" t="s">
        <v>31</v>
      </c>
      <c r="E110" s="16" t="str">
        <f t="array" ref="E110">IF(W110=1,INDEX('Input Kegiatan'!B$2:B905,MATCH($D110,'Input Kegiatan'!$A$2:$A905,0)),"")</f>
        <v>Kerangka Sampel Area (KSA) 2024 April</v>
      </c>
      <c r="F110" s="17">
        <f t="array" ref="F110">IF(W110=1,INDEX('Input Kegiatan'!D$2:D905,MATCH($D110,'Input Kegiatan'!$A$2:$A905,0)),"")</f>
        <v>45383</v>
      </c>
      <c r="G110" s="17">
        <f t="array" ref="G110">IF(W110=1,INDEX('Input Kegiatan'!E$2:E905,MATCH($D110,'Input Kegiatan'!$A$2:$A905,0)),"")</f>
        <v>45412</v>
      </c>
      <c r="H110" s="16" t="str">
        <f t="array" ref="H110">IF(W110=1,INDEX(Honor!$H$2:$H905,MATCH($D110&amp;"-"&amp;R110,Honor!$K$2:$K905,0)),"")</f>
        <v>Segmen</v>
      </c>
      <c r="I110" s="18">
        <f>IF(W110=1,SUMIFS(Honor!$I$2:$I905,Honor!$K$2:$K905,$D110&amp;"-"&amp;R110),"")</f>
        <v>175000</v>
      </c>
      <c r="J110" s="19">
        <f t="shared" si="6"/>
        <v>1</v>
      </c>
      <c r="K110" s="20">
        <f t="shared" si="0"/>
        <v>175000</v>
      </c>
      <c r="L110" s="17">
        <f t="shared" si="1"/>
        <v>45412</v>
      </c>
      <c r="M110" s="20">
        <f ca="1">IF(W110=1,IF(AND(U110&lt;2,INT(V110)&lt;='Batasan Honor'!$B$2),1,0),"")</f>
        <v>1</v>
      </c>
      <c r="N110" s="21"/>
      <c r="O110" s="20">
        <f t="shared" si="2"/>
        <v>4</v>
      </c>
      <c r="P110" s="20">
        <f t="shared" si="3"/>
        <v>2024</v>
      </c>
      <c r="Q110" s="21"/>
      <c r="R110" s="22" t="s">
        <v>25</v>
      </c>
      <c r="S110" s="21" t="str">
        <f t="shared" si="4"/>
        <v>610422040061,2024,4</v>
      </c>
      <c r="T110" s="21"/>
      <c r="U110" s="20">
        <f ca="1">IFERROR(__xludf.DUMMYFUNCTION("if(W110=1,COUNTIFS(FILTER($H$2:$H905,$H$2:$H905=""OB"",$S$2:$S905=S110),""OB""),"""")"),0)</f>
        <v>0</v>
      </c>
      <c r="V110" s="20">
        <f ca="1">IFERROR(__xludf.DUMMYFUNCTION("IF(OR(ISNA(SUM(FILTER($K$2:$K905,$A$2:$A905=A110,$S$2:$S905=S110,$H$2:$H905&lt;&gt;""OB""))),W110&lt;&gt;1),"""",SUM(FILTER($K$2:$K905,$A$2:$A905=A110,$S$2:$S905=S110,$H$2:$H905&lt;&gt;""OB"")))"),175000)</f>
        <v>175000</v>
      </c>
      <c r="W110" s="20">
        <f t="shared" si="5"/>
        <v>1</v>
      </c>
    </row>
    <row r="111" spans="1:23" ht="13">
      <c r="A111" s="14">
        <v>610422100131</v>
      </c>
      <c r="B111" s="15" t="str">
        <f t="array" ref="B111">IF(W111=1,INDEX('Database Mitra'!$H$2:$H905,MATCH(A111,'Database Mitra'!AK$2:AK905,0)),"")</f>
        <v>SYAMSUL</v>
      </c>
      <c r="C111" s="16" t="e">
        <f t="array" ref="C111">IF(W111=1,INDEX('Database Mitra'!$E$2:$E905,MATCH(A111,'Database Mitra'!AK$2:AK905,0)),"")</f>
        <v>#VALUE!</v>
      </c>
      <c r="D111" s="6" t="s">
        <v>31</v>
      </c>
      <c r="E111" s="16" t="str">
        <f t="array" ref="E111">IF(W111=1,INDEX('Input Kegiatan'!B$2:B905,MATCH($D111,'Input Kegiatan'!$A$2:$A905,0)),"")</f>
        <v>Kerangka Sampel Area (KSA) 2024 April</v>
      </c>
      <c r="F111" s="17">
        <f t="array" ref="F111">IF(W111=1,INDEX('Input Kegiatan'!D$2:D905,MATCH($D111,'Input Kegiatan'!$A$2:$A905,0)),"")</f>
        <v>45383</v>
      </c>
      <c r="G111" s="17">
        <f t="array" ref="G111">IF(W111=1,INDEX('Input Kegiatan'!E$2:E905,MATCH($D111,'Input Kegiatan'!$A$2:$A905,0)),"")</f>
        <v>45412</v>
      </c>
      <c r="H111" s="16" t="str">
        <f t="array" ref="H111">IF(W111=1,INDEX(Honor!$H$2:$H905,MATCH($D111&amp;"-"&amp;R111,Honor!$K$2:$K905,0)),"")</f>
        <v>Segmen</v>
      </c>
      <c r="I111" s="18">
        <f>IF(W111=1,SUMIFS(Honor!$I$2:$I905,Honor!$K$2:$K905,$D111&amp;"-"&amp;R111),"")</f>
        <v>175000</v>
      </c>
      <c r="J111" s="19">
        <f t="shared" si="6"/>
        <v>1</v>
      </c>
      <c r="K111" s="20">
        <f t="shared" si="0"/>
        <v>175000</v>
      </c>
      <c r="L111" s="17">
        <f t="shared" si="1"/>
        <v>45412</v>
      </c>
      <c r="M111" s="20">
        <f ca="1">IF(W111=1,IF(AND(U111&lt;2,INT(V111)&lt;='Batasan Honor'!$B$2),1,0),"")</f>
        <v>1</v>
      </c>
      <c r="N111" s="21"/>
      <c r="O111" s="20">
        <f t="shared" si="2"/>
        <v>4</v>
      </c>
      <c r="P111" s="20">
        <f t="shared" si="3"/>
        <v>2024</v>
      </c>
      <c r="Q111" s="21"/>
      <c r="R111" s="22" t="s">
        <v>25</v>
      </c>
      <c r="S111" s="21" t="str">
        <f t="shared" si="4"/>
        <v>610422100131,2024,4</v>
      </c>
      <c r="T111" s="21"/>
      <c r="U111" s="20">
        <f ca="1">IFERROR(__xludf.DUMMYFUNCTION("if(W111=1,COUNTIFS(FILTER($H$2:$H905,$H$2:$H905=""OB"",$S$2:$S905=S111),""OB""),"""")"),0)</f>
        <v>0</v>
      </c>
      <c r="V111" s="20">
        <f ca="1">IFERROR(__xludf.DUMMYFUNCTION("IF(OR(ISNA(SUM(FILTER($K$2:$K905,$A$2:$A905=A111,$S$2:$S905=S111,$H$2:$H905&lt;&gt;""OB""))),W111&lt;&gt;1),"""",SUM(FILTER($K$2:$K905,$A$2:$A905=A111,$S$2:$S905=S111,$H$2:$H905&lt;&gt;""OB"")))"),175000)</f>
        <v>175000</v>
      </c>
      <c r="W111" s="20">
        <f t="shared" si="5"/>
        <v>1</v>
      </c>
    </row>
    <row r="112" spans="1:23" ht="13">
      <c r="A112" s="14">
        <v>610422100244</v>
      </c>
      <c r="B112" s="15" t="str">
        <f t="array" ref="B112">IF(W112=1,INDEX('Database Mitra'!$H$2:$H905,MATCH(A112,'Database Mitra'!AK$2:AK905,0)),"")</f>
        <v>Sugianto</v>
      </c>
      <c r="C112" s="16" t="e">
        <f t="array" ref="C112">IF(W112=1,INDEX('Database Mitra'!$E$2:$E905,MATCH(A112,'Database Mitra'!AK$2:AK905,0)),"")</f>
        <v>#VALUE!</v>
      </c>
      <c r="D112" s="6" t="s">
        <v>31</v>
      </c>
      <c r="E112" s="16" t="str">
        <f t="array" ref="E112">IF(W112=1,INDEX('Input Kegiatan'!B$2:B905,MATCH($D112,'Input Kegiatan'!$A$2:$A905,0)),"")</f>
        <v>Kerangka Sampel Area (KSA) 2024 April</v>
      </c>
      <c r="F112" s="17">
        <f t="array" ref="F112">IF(W112=1,INDEX('Input Kegiatan'!D$2:D905,MATCH($D112,'Input Kegiatan'!$A$2:$A905,0)),"")</f>
        <v>45383</v>
      </c>
      <c r="G112" s="17">
        <f t="array" ref="G112">IF(W112=1,INDEX('Input Kegiatan'!E$2:E905,MATCH($D112,'Input Kegiatan'!$A$2:$A905,0)),"")</f>
        <v>45412</v>
      </c>
      <c r="H112" s="16" t="str">
        <f t="array" ref="H112">IF(W112=1,INDEX(Honor!$H$2:$H905,MATCH($D112&amp;"-"&amp;R112,Honor!$K$2:$K905,0)),"")</f>
        <v>Segmen</v>
      </c>
      <c r="I112" s="18">
        <f>IF(W112=1,SUMIFS(Honor!$I$2:$I905,Honor!$K$2:$K905,$D112&amp;"-"&amp;R112),"")</f>
        <v>175000</v>
      </c>
      <c r="J112" s="19">
        <f t="shared" si="6"/>
        <v>1</v>
      </c>
      <c r="K112" s="20">
        <f t="shared" si="0"/>
        <v>175000</v>
      </c>
      <c r="L112" s="17">
        <f t="shared" si="1"/>
        <v>45412</v>
      </c>
      <c r="M112" s="20">
        <f ca="1">IF(W112=1,IF(AND(U112&lt;2,INT(V112)&lt;='Batasan Honor'!$B$2),1,0),"")</f>
        <v>1</v>
      </c>
      <c r="N112" s="21"/>
      <c r="O112" s="20">
        <f t="shared" si="2"/>
        <v>4</v>
      </c>
      <c r="P112" s="20">
        <f t="shared" si="3"/>
        <v>2024</v>
      </c>
      <c r="Q112" s="21"/>
      <c r="R112" s="22" t="s">
        <v>25</v>
      </c>
      <c r="S112" s="21" t="str">
        <f t="shared" si="4"/>
        <v>610422100244,2024,4</v>
      </c>
      <c r="T112" s="21"/>
      <c r="U112" s="20">
        <f ca="1">IFERROR(__xludf.DUMMYFUNCTION("if(W112=1,COUNTIFS(FILTER($H$2:$H905,$H$2:$H905=""OB"",$S$2:$S905=S112),""OB""),"""")"),0)</f>
        <v>0</v>
      </c>
      <c r="V112" s="20">
        <f ca="1">IFERROR(__xludf.DUMMYFUNCTION("IF(OR(ISNA(SUM(FILTER($K$2:$K905,$A$2:$A905=A112,$S$2:$S905=S112,$H$2:$H905&lt;&gt;""OB""))),W112&lt;&gt;1),"""",SUM(FILTER($K$2:$K905,$A$2:$A905=A112,$S$2:$S905=S112,$H$2:$H905&lt;&gt;""OB"")))"),175000)</f>
        <v>175000</v>
      </c>
      <c r="W112" s="20">
        <f t="shared" si="5"/>
        <v>1</v>
      </c>
    </row>
    <row r="113" spans="1:23" ht="13">
      <c r="A113" s="14">
        <v>610422100176</v>
      </c>
      <c r="B113" s="15" t="str">
        <f t="array" ref="B113">IF(W113=1,INDEX('Database Mitra'!$H$2:$H905,MATCH(A113,'Database Mitra'!AK$2:AK905,0)),"")</f>
        <v>Feri Firdaus</v>
      </c>
      <c r="C113" s="16" t="e">
        <f t="array" ref="C113">IF(W113=1,INDEX('Database Mitra'!$E$2:$E905,MATCH(A113,'Database Mitra'!AK$2:AK905,0)),"")</f>
        <v>#VALUE!</v>
      </c>
      <c r="D113" s="6" t="s">
        <v>31</v>
      </c>
      <c r="E113" s="16" t="str">
        <f t="array" ref="E113">IF(W113=1,INDEX('Input Kegiatan'!B$2:B905,MATCH($D113,'Input Kegiatan'!$A$2:$A905,0)),"")</f>
        <v>Kerangka Sampel Area (KSA) 2024 April</v>
      </c>
      <c r="F113" s="17">
        <f t="array" ref="F113">IF(W113=1,INDEX('Input Kegiatan'!D$2:D905,MATCH($D113,'Input Kegiatan'!$A$2:$A905,0)),"")</f>
        <v>45383</v>
      </c>
      <c r="G113" s="17">
        <f t="array" ref="G113">IF(W113=1,INDEX('Input Kegiatan'!E$2:E905,MATCH($D113,'Input Kegiatan'!$A$2:$A905,0)),"")</f>
        <v>45412</v>
      </c>
      <c r="H113" s="16" t="str">
        <f t="array" ref="H113">IF(W113=1,INDEX(Honor!$H$2:$H905,MATCH($D113&amp;"-"&amp;R113,Honor!$K$2:$K905,0)),"")</f>
        <v>Segmen</v>
      </c>
      <c r="I113" s="18">
        <f>IF(W113=1,SUMIFS(Honor!$I$2:$I905,Honor!$K$2:$K905,$D113&amp;"-"&amp;R113),"")</f>
        <v>175000</v>
      </c>
      <c r="J113" s="19">
        <f t="shared" si="6"/>
        <v>1</v>
      </c>
      <c r="K113" s="20">
        <f t="shared" si="0"/>
        <v>175000</v>
      </c>
      <c r="L113" s="17">
        <f t="shared" si="1"/>
        <v>45412</v>
      </c>
      <c r="M113" s="20">
        <f ca="1">IF(W113=1,IF(AND(U113&lt;2,INT(V113)&lt;='Batasan Honor'!$B$2),1,0),"")</f>
        <v>1</v>
      </c>
      <c r="N113" s="21"/>
      <c r="O113" s="20">
        <f t="shared" si="2"/>
        <v>4</v>
      </c>
      <c r="P113" s="20">
        <f t="shared" si="3"/>
        <v>2024</v>
      </c>
      <c r="Q113" s="21"/>
      <c r="R113" s="22" t="s">
        <v>25</v>
      </c>
      <c r="S113" s="21" t="str">
        <f t="shared" si="4"/>
        <v>610422100176,2024,4</v>
      </c>
      <c r="T113" s="21"/>
      <c r="U113" s="20">
        <f ca="1">IFERROR(__xludf.DUMMYFUNCTION("if(W113=1,COUNTIFS(FILTER($H$2:$H905,$H$2:$H905=""OB"",$S$2:$S905=S113),""OB""),"""")"),0)</f>
        <v>0</v>
      </c>
      <c r="V113" s="20">
        <f ca="1">IFERROR(__xludf.DUMMYFUNCTION("IF(OR(ISNA(SUM(FILTER($K$2:$K905,$A$2:$A905=A113,$S$2:$S905=S113,$H$2:$H905&lt;&gt;""OB""))),W113&lt;&gt;1),"""",SUM(FILTER($K$2:$K905,$A$2:$A905=A113,$S$2:$S905=S113,$H$2:$H905&lt;&gt;""OB"")))"),175000)</f>
        <v>175000</v>
      </c>
      <c r="W113" s="20">
        <f t="shared" si="5"/>
        <v>1</v>
      </c>
    </row>
    <row r="114" spans="1:23" ht="13">
      <c r="A114" s="14">
        <v>610423040018</v>
      </c>
      <c r="B114" s="15" t="str">
        <f t="array" ref="B114">IF(W114=1,INDEX('Database Mitra'!$H$2:$H905,MATCH(A114,'Database Mitra'!AK$2:AK905,0)),"")</f>
        <v>Handoko Tuah Sabarman Sipayung</v>
      </c>
      <c r="C114" s="16" t="e">
        <f t="array" ref="C114">IF(W114=1,INDEX('Database Mitra'!$E$2:$E905,MATCH(A114,'Database Mitra'!AK$2:AK905,0)),"")</f>
        <v>#VALUE!</v>
      </c>
      <c r="D114" s="6" t="s">
        <v>31</v>
      </c>
      <c r="E114" s="16" t="str">
        <f t="array" ref="E114">IF(W114=1,INDEX('Input Kegiatan'!B$2:B905,MATCH($D114,'Input Kegiatan'!$A$2:$A905,0)),"")</f>
        <v>Kerangka Sampel Area (KSA) 2024 April</v>
      </c>
      <c r="F114" s="17">
        <f t="array" ref="F114">IF(W114=1,INDEX('Input Kegiatan'!D$2:D905,MATCH($D114,'Input Kegiatan'!$A$2:$A905,0)),"")</f>
        <v>45383</v>
      </c>
      <c r="G114" s="17">
        <f t="array" ref="G114">IF(W114=1,INDEX('Input Kegiatan'!E$2:E905,MATCH($D114,'Input Kegiatan'!$A$2:$A905,0)),"")</f>
        <v>45412</v>
      </c>
      <c r="H114" s="16" t="str">
        <f t="array" ref="H114">IF(W114=1,INDEX(Honor!$H$2:$H905,MATCH($D114&amp;"-"&amp;R114,Honor!$K$2:$K905,0)),"")</f>
        <v>Segmen</v>
      </c>
      <c r="I114" s="18">
        <f>IF(W114=1,SUMIFS(Honor!$I$2:$I905,Honor!$K$2:$K905,$D114&amp;"-"&amp;R114),"")</f>
        <v>175000</v>
      </c>
      <c r="J114" s="19">
        <f t="shared" si="6"/>
        <v>1</v>
      </c>
      <c r="K114" s="20">
        <f t="shared" si="0"/>
        <v>175000</v>
      </c>
      <c r="L114" s="17">
        <f t="shared" si="1"/>
        <v>45412</v>
      </c>
      <c r="M114" s="20">
        <f ca="1">IF(W114=1,IF(AND(U114&lt;2,INT(V114)&lt;='Batasan Honor'!$B$2),1,0),"")</f>
        <v>1</v>
      </c>
      <c r="N114" s="21"/>
      <c r="O114" s="20">
        <f t="shared" si="2"/>
        <v>4</v>
      </c>
      <c r="P114" s="20">
        <f t="shared" si="3"/>
        <v>2024</v>
      </c>
      <c r="Q114" s="21"/>
      <c r="R114" s="22" t="s">
        <v>25</v>
      </c>
      <c r="S114" s="21" t="str">
        <f t="shared" si="4"/>
        <v>610423040018,2024,4</v>
      </c>
      <c r="T114" s="21"/>
      <c r="U114" s="20">
        <f ca="1">IFERROR(__xludf.DUMMYFUNCTION("if(W114=1,COUNTIFS(FILTER($H$2:$H905,$H$2:$H905=""OB"",$S$2:$S905=S114),""OB""),"""")"),0)</f>
        <v>0</v>
      </c>
      <c r="V114" s="20">
        <f ca="1">IFERROR(__xludf.DUMMYFUNCTION("IF(OR(ISNA(SUM(FILTER($K$2:$K905,$A$2:$A905=A114,$S$2:$S905=S114,$H$2:$H905&lt;&gt;""OB""))),W114&lt;&gt;1),"""",SUM(FILTER($K$2:$K905,$A$2:$A905=A114,$S$2:$S905=S114,$H$2:$H905&lt;&gt;""OB"")))"),175000)</f>
        <v>175000</v>
      </c>
      <c r="W114" s="20">
        <f t="shared" si="5"/>
        <v>1</v>
      </c>
    </row>
    <row r="115" spans="1:23" ht="13">
      <c r="A115" s="14">
        <v>610423110183</v>
      </c>
      <c r="B115" s="15" t="str">
        <f t="array" ref="B115">IF(W115=1,INDEX('Database Mitra'!$H$2:$H905,MATCH(A115,'Database Mitra'!AK$2:AK905,0)),"")</f>
        <v>azhar</v>
      </c>
      <c r="C115" s="16" t="e">
        <f t="array" ref="C115">IF(W115=1,INDEX('Database Mitra'!$E$2:$E905,MATCH(A115,'Database Mitra'!AK$2:AK905,0)),"")</f>
        <v>#VALUE!</v>
      </c>
      <c r="D115" s="6" t="s">
        <v>31</v>
      </c>
      <c r="E115" s="16" t="str">
        <f t="array" ref="E115">IF(W115=1,INDEX('Input Kegiatan'!B$2:B905,MATCH($D115,'Input Kegiatan'!$A$2:$A905,0)),"")</f>
        <v>Kerangka Sampel Area (KSA) 2024 April</v>
      </c>
      <c r="F115" s="17">
        <f t="array" ref="F115">IF(W115=1,INDEX('Input Kegiatan'!D$2:D905,MATCH($D115,'Input Kegiatan'!$A$2:$A905,0)),"")</f>
        <v>45383</v>
      </c>
      <c r="G115" s="17">
        <f t="array" ref="G115">IF(W115=1,INDEX('Input Kegiatan'!E$2:E905,MATCH($D115,'Input Kegiatan'!$A$2:$A905,0)),"")</f>
        <v>45412</v>
      </c>
      <c r="H115" s="16" t="str">
        <f t="array" ref="H115">IF(W115=1,INDEX(Honor!$H$2:$H905,MATCH($D115&amp;"-"&amp;R115,Honor!$K$2:$K905,0)),"")</f>
        <v>Segmen</v>
      </c>
      <c r="I115" s="18">
        <f>IF(W115=1,SUMIFS(Honor!$I$2:$I905,Honor!$K$2:$K905,$D115&amp;"-"&amp;R115),"")</f>
        <v>175000</v>
      </c>
      <c r="J115" s="19">
        <f t="shared" si="6"/>
        <v>1</v>
      </c>
      <c r="K115" s="20">
        <f t="shared" si="0"/>
        <v>175000</v>
      </c>
      <c r="L115" s="17">
        <f t="shared" si="1"/>
        <v>45412</v>
      </c>
      <c r="M115" s="20">
        <f ca="1">IF(W115=1,IF(AND(U115&lt;2,INT(V115)&lt;='Batasan Honor'!$B$2),1,0),"")</f>
        <v>1</v>
      </c>
      <c r="N115" s="21"/>
      <c r="O115" s="20">
        <f t="shared" si="2"/>
        <v>4</v>
      </c>
      <c r="P115" s="20">
        <f t="shared" si="3"/>
        <v>2024</v>
      </c>
      <c r="Q115" s="21"/>
      <c r="R115" s="22" t="s">
        <v>25</v>
      </c>
      <c r="S115" s="21" t="str">
        <f t="shared" si="4"/>
        <v>610423110183,2024,4</v>
      </c>
      <c r="T115" s="21"/>
      <c r="U115" s="20">
        <f ca="1">IFERROR(__xludf.DUMMYFUNCTION("if(W115=1,COUNTIFS(FILTER($H$2:$H905,$H$2:$H905=""OB"",$S$2:$S905=S115),""OB""),"""")"),0)</f>
        <v>0</v>
      </c>
      <c r="V115" s="20">
        <f ca="1">IFERROR(__xludf.DUMMYFUNCTION("IF(OR(ISNA(SUM(FILTER($K$2:$K905,$A$2:$A905=A115,$S$2:$S905=S115,$H$2:$H905&lt;&gt;""OB""))),W115&lt;&gt;1),"""",SUM(FILTER($K$2:$K905,$A$2:$A905=A115,$S$2:$S905=S115,$H$2:$H905&lt;&gt;""OB"")))"),175000)</f>
        <v>175000</v>
      </c>
      <c r="W115" s="20">
        <f t="shared" si="5"/>
        <v>1</v>
      </c>
    </row>
    <row r="116" spans="1:23" ht="13">
      <c r="A116" s="14">
        <v>610422020016</v>
      </c>
      <c r="B116" s="15" t="str">
        <f t="array" ref="B116">IF(W116=1,INDEX('Database Mitra'!$H$2:$H905,MATCH(A116,'Database Mitra'!AK$2:AK905,0)),"")</f>
        <v>Abdul Aziz</v>
      </c>
      <c r="C116" s="16" t="e">
        <f t="array" ref="C116">IF(W116=1,INDEX('Database Mitra'!$E$2:$E905,MATCH(A116,'Database Mitra'!AK$2:AK905,0)),"")</f>
        <v>#VALUE!</v>
      </c>
      <c r="D116" s="6" t="s">
        <v>32</v>
      </c>
      <c r="E116" s="16" t="str">
        <f t="array" ref="E116">IF(W116=1,INDEX('Input Kegiatan'!B$2:B905,MATCH($D116,'Input Kegiatan'!$A$2:$A905,0)),"")</f>
        <v>Kerangka Sampel Area (KSA) 2024 Mei</v>
      </c>
      <c r="F116" s="17">
        <f t="array" ref="F116">IF(W116=1,INDEX('Input Kegiatan'!D$2:D905,MATCH($D116,'Input Kegiatan'!$A$2:$A905,0)),"")</f>
        <v>45413</v>
      </c>
      <c r="G116" s="17">
        <f t="array" ref="G116">IF(W116=1,INDEX('Input Kegiatan'!E$2:E905,MATCH($D116,'Input Kegiatan'!$A$2:$A905,0)),"")</f>
        <v>45443</v>
      </c>
      <c r="H116" s="16" t="str">
        <f t="array" ref="H116">IF(W116=1,INDEX(Honor!$H$2:$H905,MATCH($D116&amp;"-"&amp;R116,Honor!$K$2:$K905,0)),"")</f>
        <v>Segmen</v>
      </c>
      <c r="I116" s="18">
        <f>IF(W116=1,SUMIFS(Honor!$I$2:$I905,Honor!$K$2:$K905,$D116&amp;"-"&amp;R116),"")</f>
        <v>175000</v>
      </c>
      <c r="J116" s="19">
        <f t="shared" si="6"/>
        <v>1</v>
      </c>
      <c r="K116" s="20">
        <f t="shared" si="0"/>
        <v>175000</v>
      </c>
      <c r="L116" s="17">
        <f t="shared" si="1"/>
        <v>45443</v>
      </c>
      <c r="M116" s="20">
        <f ca="1">IF(W116=1,IF(AND(U116&lt;2,INT(V116)&lt;='Batasan Honor'!$B$2),1,0),"")</f>
        <v>1</v>
      </c>
      <c r="N116" s="21"/>
      <c r="O116" s="20">
        <f t="shared" si="2"/>
        <v>5</v>
      </c>
      <c r="P116" s="20">
        <f t="shared" si="3"/>
        <v>2024</v>
      </c>
      <c r="Q116" s="21"/>
      <c r="R116" s="22" t="s">
        <v>25</v>
      </c>
      <c r="S116" s="21" t="str">
        <f t="shared" si="4"/>
        <v>610422020016,2024,5</v>
      </c>
      <c r="T116" s="21"/>
      <c r="U116" s="20">
        <f ca="1">IFERROR(__xludf.DUMMYFUNCTION("if(W116=1,COUNTIFS(FILTER($H$2:$H905,$H$2:$H905=""OB"",$S$2:$S905=S116),""OB""),"""")"),0)</f>
        <v>0</v>
      </c>
      <c r="V116" s="20">
        <f ca="1">IFERROR(__xludf.DUMMYFUNCTION("IF(OR(ISNA(SUM(FILTER($K$2:$K905,$A$2:$A905=A116,$S$2:$S905=S116,$H$2:$H905&lt;&gt;""OB""))),W116&lt;&gt;1),"""",SUM(FILTER($K$2:$K905,$A$2:$A905=A116,$S$2:$S905=S116,$H$2:$H905&lt;&gt;""OB"")))"),175000)</f>
        <v>175000</v>
      </c>
      <c r="W116" s="20">
        <f t="shared" si="5"/>
        <v>1</v>
      </c>
    </row>
    <row r="117" spans="1:23" ht="12.5">
      <c r="A117" s="14">
        <v>610422020048</v>
      </c>
      <c r="B117" s="16" t="str">
        <f t="array" ref="B117">IF(W117=1,INDEX('Database Mitra'!$H$2:$H905,MATCH(A117,'Database Mitra'!AK$2:AK905,0)),"")</f>
        <v>Herri Gustaman</v>
      </c>
      <c r="C117" s="16" t="e">
        <f t="array" ref="C117">IF(W117=1,INDEX('Database Mitra'!$E$2:$E905,MATCH(A117,'Database Mitra'!AK$2:AK905,0)),"")</f>
        <v>#VALUE!</v>
      </c>
      <c r="D117" s="6" t="s">
        <v>32</v>
      </c>
      <c r="E117" s="16" t="str">
        <f t="array" ref="E117">IF(W117=1,INDEX('Input Kegiatan'!B$2:B905,MATCH($D117,'Input Kegiatan'!$A$2:$A905,0)),"")</f>
        <v>Kerangka Sampel Area (KSA) 2024 Mei</v>
      </c>
      <c r="F117" s="17">
        <f t="array" ref="F117">IF(W117=1,INDEX('Input Kegiatan'!D$2:D905,MATCH($D117,'Input Kegiatan'!$A$2:$A905,0)),"")</f>
        <v>45413</v>
      </c>
      <c r="G117" s="17">
        <f t="array" ref="G117">IF(W117=1,INDEX('Input Kegiatan'!E$2:E905,MATCH($D117,'Input Kegiatan'!$A$2:$A905,0)),"")</f>
        <v>45443</v>
      </c>
      <c r="H117" s="16" t="str">
        <f t="array" ref="H117">IF(W117=1,INDEX(Honor!$H$2:$H905,MATCH($D117&amp;"-"&amp;R117,Honor!$K$2:$K905,0)),"")</f>
        <v>Segmen</v>
      </c>
      <c r="I117" s="18">
        <f>IF(W117=1,SUMIFS(Honor!$I$2:$I905,Honor!$K$2:$K905,$D117&amp;"-"&amp;R117),"")</f>
        <v>175000</v>
      </c>
      <c r="J117" s="19">
        <f t="shared" si="6"/>
        <v>1</v>
      </c>
      <c r="K117" s="20">
        <f t="shared" si="0"/>
        <v>175000</v>
      </c>
      <c r="L117" s="17">
        <f t="shared" si="1"/>
        <v>45443</v>
      </c>
      <c r="M117" s="20">
        <f ca="1">IF(W117=1,IF(AND(U117&lt;2,INT(V117)&lt;='Batasan Honor'!$B$2),1,0),"")</f>
        <v>1</v>
      </c>
      <c r="N117" s="21"/>
      <c r="O117" s="20">
        <f t="shared" si="2"/>
        <v>5</v>
      </c>
      <c r="P117" s="20">
        <f t="shared" si="3"/>
        <v>2024</v>
      </c>
      <c r="Q117" s="21"/>
      <c r="R117" s="22" t="s">
        <v>25</v>
      </c>
      <c r="S117" s="21" t="str">
        <f t="shared" si="4"/>
        <v>610422020048,2024,5</v>
      </c>
      <c r="T117" s="21"/>
      <c r="U117" s="20">
        <f ca="1">IFERROR(__xludf.DUMMYFUNCTION("if(W117=1,COUNTIFS(FILTER($H$2:$H905,$H$2:$H905=""OB"",$S$2:$S905=S117),""OB""),"""")"),0)</f>
        <v>0</v>
      </c>
      <c r="V117" s="20">
        <f ca="1">IFERROR(__xludf.DUMMYFUNCTION("IF(OR(ISNA(SUM(FILTER($K$2:$K905,$A$2:$A905=A117,$S$2:$S905=S117,$H$2:$H905&lt;&gt;""OB""))),W117&lt;&gt;1),"""",SUM(FILTER($K$2:$K905,$A$2:$A905=A117,$S$2:$S905=S117,$H$2:$H905&lt;&gt;""OB"")))"),175000)</f>
        <v>175000</v>
      </c>
      <c r="W117" s="20">
        <f t="shared" si="5"/>
        <v>1</v>
      </c>
    </row>
    <row r="118" spans="1:23" ht="13">
      <c r="A118" s="14">
        <v>610422040012</v>
      </c>
      <c r="B118" s="15" t="str">
        <f t="array" ref="B118">IF(W118=1,INDEX('Database Mitra'!$H$2:$H905,MATCH(A118,'Database Mitra'!AK$2:AK905,0)),"")</f>
        <v>Misdi</v>
      </c>
      <c r="C118" s="16" t="e">
        <f t="array" ref="C118">IF(W118=1,INDEX('Database Mitra'!$E$2:$E905,MATCH(A118,'Database Mitra'!AK$2:AK905,0)),"")</f>
        <v>#VALUE!</v>
      </c>
      <c r="D118" s="6" t="s">
        <v>32</v>
      </c>
      <c r="E118" s="16" t="str">
        <f t="array" ref="E118">IF(W118=1,INDEX('Input Kegiatan'!B$2:B905,MATCH($D118,'Input Kegiatan'!$A$2:$A905,0)),"")</f>
        <v>Kerangka Sampel Area (KSA) 2024 Mei</v>
      </c>
      <c r="F118" s="17">
        <f t="array" ref="F118">IF(W118=1,INDEX('Input Kegiatan'!D$2:D905,MATCH($D118,'Input Kegiatan'!$A$2:$A905,0)),"")</f>
        <v>45413</v>
      </c>
      <c r="G118" s="17">
        <f t="array" ref="G118">IF(W118=1,INDEX('Input Kegiatan'!E$2:E905,MATCH($D118,'Input Kegiatan'!$A$2:$A905,0)),"")</f>
        <v>45443</v>
      </c>
      <c r="H118" s="16" t="str">
        <f t="array" ref="H118">IF(W118=1,INDEX(Honor!$H$2:$H905,MATCH($D118&amp;"-"&amp;R118,Honor!$K$2:$K905,0)),"")</f>
        <v>Segmen</v>
      </c>
      <c r="I118" s="18">
        <f>IF(W118=1,SUMIFS(Honor!$I$2:$I905,Honor!$K$2:$K905,$D118&amp;"-"&amp;R118),"")</f>
        <v>175000</v>
      </c>
      <c r="J118" s="19">
        <f t="shared" si="6"/>
        <v>1</v>
      </c>
      <c r="K118" s="20">
        <f t="shared" si="0"/>
        <v>175000</v>
      </c>
      <c r="L118" s="17">
        <f t="shared" si="1"/>
        <v>45443</v>
      </c>
      <c r="M118" s="20">
        <f ca="1">IF(W118=1,IF(AND(U118&lt;2,INT(V118)&lt;='Batasan Honor'!$B$2),1,0),"")</f>
        <v>1</v>
      </c>
      <c r="N118" s="21"/>
      <c r="O118" s="20">
        <f t="shared" si="2"/>
        <v>5</v>
      </c>
      <c r="P118" s="20">
        <f t="shared" si="3"/>
        <v>2024</v>
      </c>
      <c r="Q118" s="21"/>
      <c r="R118" s="22" t="s">
        <v>25</v>
      </c>
      <c r="S118" s="21" t="str">
        <f t="shared" si="4"/>
        <v>610422040012,2024,5</v>
      </c>
      <c r="T118" s="21"/>
      <c r="U118" s="20">
        <f ca="1">IFERROR(__xludf.DUMMYFUNCTION("if(W118=1,COUNTIFS(FILTER($H$2:$H905,$H$2:$H905=""OB"",$S$2:$S905=S118),""OB""),"""")"),0)</f>
        <v>0</v>
      </c>
      <c r="V118" s="20">
        <f ca="1">IFERROR(__xludf.DUMMYFUNCTION("IF(OR(ISNA(SUM(FILTER($K$2:$K905,$A$2:$A905=A118,$S$2:$S905=S118,$H$2:$H905&lt;&gt;""OB""))),W118&lt;&gt;1),"""",SUM(FILTER($K$2:$K905,$A$2:$A905=A118,$S$2:$S905=S118,$H$2:$H905&lt;&gt;""OB"")))"),175000)</f>
        <v>175000</v>
      </c>
      <c r="W118" s="20">
        <f t="shared" si="5"/>
        <v>1</v>
      </c>
    </row>
    <row r="119" spans="1:23" ht="12.5">
      <c r="A119" s="14">
        <v>610422040058</v>
      </c>
      <c r="B119" s="16" t="str">
        <f t="array" ref="B119">IF(W119=1,INDEX('Database Mitra'!$H$2:$H905,MATCH(A119,'Database Mitra'!AK$2:AK905,0)),"")</f>
        <v>Jamaluddin, SP</v>
      </c>
      <c r="C119" s="16" t="e">
        <f t="array" ref="C119">IF(W119=1,INDEX('Database Mitra'!$E$2:$E905,MATCH(A119,'Database Mitra'!AK$2:AK905,0)),"")</f>
        <v>#VALUE!</v>
      </c>
      <c r="D119" s="6" t="s">
        <v>32</v>
      </c>
      <c r="E119" s="16" t="str">
        <f t="array" ref="E119">IF(W119=1,INDEX('Input Kegiatan'!B$2:B905,MATCH($D119,'Input Kegiatan'!$A$2:$A905,0)),"")</f>
        <v>Kerangka Sampel Area (KSA) 2024 Mei</v>
      </c>
      <c r="F119" s="17">
        <f t="array" ref="F119">IF(W119=1,INDEX('Input Kegiatan'!D$2:D905,MATCH($D119,'Input Kegiatan'!$A$2:$A905,0)),"")</f>
        <v>45413</v>
      </c>
      <c r="G119" s="17">
        <f t="array" ref="G119">IF(W119=1,INDEX('Input Kegiatan'!E$2:E905,MATCH($D119,'Input Kegiatan'!$A$2:$A905,0)),"")</f>
        <v>45443</v>
      </c>
      <c r="H119" s="16" t="str">
        <f t="array" ref="H119">IF(W119=1,INDEX(Honor!$H$2:$H905,MATCH($D119&amp;"-"&amp;R119,Honor!$K$2:$K905,0)),"")</f>
        <v>Segmen</v>
      </c>
      <c r="I119" s="18">
        <f>IF(W119=1,SUMIFS(Honor!$I$2:$I905,Honor!$K$2:$K905,$D119&amp;"-"&amp;R119),"")</f>
        <v>175000</v>
      </c>
      <c r="J119" s="19">
        <f t="shared" si="6"/>
        <v>1</v>
      </c>
      <c r="K119" s="20">
        <f t="shared" si="0"/>
        <v>175000</v>
      </c>
      <c r="L119" s="17">
        <f t="shared" si="1"/>
        <v>45443</v>
      </c>
      <c r="M119" s="20">
        <f ca="1">IF(W119=1,IF(AND(U119&lt;2,INT(V119)&lt;='Batasan Honor'!$B$2),1,0),"")</f>
        <v>1</v>
      </c>
      <c r="N119" s="21"/>
      <c r="O119" s="20">
        <f t="shared" si="2"/>
        <v>5</v>
      </c>
      <c r="P119" s="20">
        <f t="shared" si="3"/>
        <v>2024</v>
      </c>
      <c r="Q119" s="21"/>
      <c r="R119" s="22" t="s">
        <v>25</v>
      </c>
      <c r="S119" s="21" t="str">
        <f t="shared" si="4"/>
        <v>610422040058,2024,5</v>
      </c>
      <c r="T119" s="21"/>
      <c r="U119" s="20">
        <f ca="1">IFERROR(__xludf.DUMMYFUNCTION("if(W119=1,COUNTIFS(FILTER($H$2:$H905,$H$2:$H905=""OB"",$S$2:$S905=S119),""OB""),"""")"),0)</f>
        <v>0</v>
      </c>
      <c r="V119" s="20">
        <f ca="1">IFERROR(__xludf.DUMMYFUNCTION("IF(OR(ISNA(SUM(FILTER($K$2:$K905,$A$2:$A905=A119,$S$2:$S905=S119,$H$2:$H905&lt;&gt;""OB""))),W119&lt;&gt;1),"""",SUM(FILTER($K$2:$K905,$A$2:$A905=A119,$S$2:$S905=S119,$H$2:$H905&lt;&gt;""OB"")))"),175000)</f>
        <v>175000</v>
      </c>
      <c r="W119" s="20">
        <f t="shared" si="5"/>
        <v>1</v>
      </c>
    </row>
    <row r="120" spans="1:23" ht="13">
      <c r="A120" s="14">
        <v>610422040059</v>
      </c>
      <c r="B120" s="15" t="str">
        <f t="array" ref="B120">IF(W120=1,INDEX('Database Mitra'!$H$2:$H905,MATCH(A120,'Database Mitra'!AK$2:AK905,0)),"")</f>
        <v>Abang Handri</v>
      </c>
      <c r="C120" s="16" t="e">
        <f t="array" ref="C120">IF(W120=1,INDEX('Database Mitra'!$E$2:$E905,MATCH(A120,'Database Mitra'!AK$2:AK905,0)),"")</f>
        <v>#VALUE!</v>
      </c>
      <c r="D120" s="6" t="s">
        <v>32</v>
      </c>
      <c r="E120" s="16" t="str">
        <f t="array" ref="E120">IF(W120=1,INDEX('Input Kegiatan'!B$2:B905,MATCH($D120,'Input Kegiatan'!$A$2:$A905,0)),"")</f>
        <v>Kerangka Sampel Area (KSA) 2024 Mei</v>
      </c>
      <c r="F120" s="17">
        <f t="array" ref="F120">IF(W120=1,INDEX('Input Kegiatan'!D$2:D905,MATCH($D120,'Input Kegiatan'!$A$2:$A905,0)),"")</f>
        <v>45413</v>
      </c>
      <c r="G120" s="17">
        <f t="array" ref="G120">IF(W120=1,INDEX('Input Kegiatan'!E$2:E905,MATCH($D120,'Input Kegiatan'!$A$2:$A905,0)),"")</f>
        <v>45443</v>
      </c>
      <c r="H120" s="16" t="str">
        <f t="array" ref="H120">IF(W120=1,INDEX(Honor!$H$2:$H905,MATCH($D120&amp;"-"&amp;R120,Honor!$K$2:$K905,0)),"")</f>
        <v>Segmen</v>
      </c>
      <c r="I120" s="18">
        <f>IF(W120=1,SUMIFS(Honor!$I$2:$I905,Honor!$K$2:$K905,$D120&amp;"-"&amp;R120),"")</f>
        <v>175000</v>
      </c>
      <c r="J120" s="19">
        <f t="shared" si="6"/>
        <v>1</v>
      </c>
      <c r="K120" s="20">
        <f t="shared" si="0"/>
        <v>175000</v>
      </c>
      <c r="L120" s="17">
        <f t="shared" si="1"/>
        <v>45443</v>
      </c>
      <c r="M120" s="20">
        <f ca="1">IF(W120=1,IF(AND(U120&lt;2,INT(V120)&lt;='Batasan Honor'!$B$2),1,0),"")</f>
        <v>1</v>
      </c>
      <c r="N120" s="21"/>
      <c r="O120" s="20">
        <f t="shared" si="2"/>
        <v>5</v>
      </c>
      <c r="P120" s="20">
        <f t="shared" si="3"/>
        <v>2024</v>
      </c>
      <c r="Q120" s="21"/>
      <c r="R120" s="22" t="s">
        <v>25</v>
      </c>
      <c r="S120" s="21" t="str">
        <f t="shared" si="4"/>
        <v>610422040059,2024,5</v>
      </c>
      <c r="T120" s="21"/>
      <c r="U120" s="20">
        <f ca="1">IFERROR(__xludf.DUMMYFUNCTION("if(W120=1,COUNTIFS(FILTER($H$2:$H905,$H$2:$H905=""OB"",$S$2:$S905=S120),""OB""),"""")"),0)</f>
        <v>0</v>
      </c>
      <c r="V120" s="20">
        <f ca="1">IFERROR(__xludf.DUMMYFUNCTION("IF(OR(ISNA(SUM(FILTER($K$2:$K905,$A$2:$A905=A120,$S$2:$S905=S120,$H$2:$H905&lt;&gt;""OB""))),W120&lt;&gt;1),"""",SUM(FILTER($K$2:$K905,$A$2:$A905=A120,$S$2:$S905=S120,$H$2:$H905&lt;&gt;""OB"")))"),175000)</f>
        <v>175000</v>
      </c>
      <c r="W120" s="20">
        <f t="shared" si="5"/>
        <v>1</v>
      </c>
    </row>
    <row r="121" spans="1:23" ht="13">
      <c r="A121" s="14">
        <v>610422040061</v>
      </c>
      <c r="B121" s="15" t="str">
        <f t="array" ref="B121">IF(W121=1,INDEX('Database Mitra'!$H$2:$H905,MATCH(A121,'Database Mitra'!AK$2:AK905,0)),"")</f>
        <v>Sabani</v>
      </c>
      <c r="C121" s="16" t="e">
        <f t="array" ref="C121">IF(W121=1,INDEX('Database Mitra'!$E$2:$E905,MATCH(A121,'Database Mitra'!AK$2:AK905,0)),"")</f>
        <v>#VALUE!</v>
      </c>
      <c r="D121" s="6" t="s">
        <v>32</v>
      </c>
      <c r="E121" s="16" t="str">
        <f t="array" ref="E121">IF(W121=1,INDEX('Input Kegiatan'!B$2:B905,MATCH($D121,'Input Kegiatan'!$A$2:$A905,0)),"")</f>
        <v>Kerangka Sampel Area (KSA) 2024 Mei</v>
      </c>
      <c r="F121" s="17">
        <f t="array" ref="F121">IF(W121=1,INDEX('Input Kegiatan'!D$2:D905,MATCH($D121,'Input Kegiatan'!$A$2:$A905,0)),"")</f>
        <v>45413</v>
      </c>
      <c r="G121" s="17">
        <f t="array" ref="G121">IF(W121=1,INDEX('Input Kegiatan'!E$2:E905,MATCH($D121,'Input Kegiatan'!$A$2:$A905,0)),"")</f>
        <v>45443</v>
      </c>
      <c r="H121" s="16" t="str">
        <f t="array" ref="H121">IF(W121=1,INDEX(Honor!$H$2:$H905,MATCH($D121&amp;"-"&amp;R121,Honor!$K$2:$K905,0)),"")</f>
        <v>Segmen</v>
      </c>
      <c r="I121" s="18">
        <f>IF(W121=1,SUMIFS(Honor!$I$2:$I905,Honor!$K$2:$K905,$D121&amp;"-"&amp;R121),"")</f>
        <v>175000</v>
      </c>
      <c r="J121" s="19">
        <f t="shared" si="6"/>
        <v>1</v>
      </c>
      <c r="K121" s="20">
        <f t="shared" si="0"/>
        <v>175000</v>
      </c>
      <c r="L121" s="17">
        <f t="shared" si="1"/>
        <v>45443</v>
      </c>
      <c r="M121" s="20">
        <f ca="1">IF(W121=1,IF(AND(U121&lt;2,INT(V121)&lt;='Batasan Honor'!$B$2),1,0),"")</f>
        <v>1</v>
      </c>
      <c r="N121" s="21"/>
      <c r="O121" s="20">
        <f t="shared" si="2"/>
        <v>5</v>
      </c>
      <c r="P121" s="20">
        <f t="shared" si="3"/>
        <v>2024</v>
      </c>
      <c r="Q121" s="21"/>
      <c r="R121" s="22" t="s">
        <v>25</v>
      </c>
      <c r="S121" s="21" t="str">
        <f t="shared" si="4"/>
        <v>610422040061,2024,5</v>
      </c>
      <c r="T121" s="21"/>
      <c r="U121" s="20">
        <f ca="1">IFERROR(__xludf.DUMMYFUNCTION("if(W121=1,COUNTIFS(FILTER($H$2:$H905,$H$2:$H905=""OB"",$S$2:$S905=S121),""OB""),"""")"),0)</f>
        <v>0</v>
      </c>
      <c r="V121" s="20">
        <f ca="1">IFERROR(__xludf.DUMMYFUNCTION("IF(OR(ISNA(SUM(FILTER($K$2:$K905,$A$2:$A905=A121,$S$2:$S905=S121,$H$2:$H905&lt;&gt;""OB""))),W121&lt;&gt;1),"""",SUM(FILTER($K$2:$K905,$A$2:$A905=A121,$S$2:$S905=S121,$H$2:$H905&lt;&gt;""OB"")))"),175000)</f>
        <v>175000</v>
      </c>
      <c r="W121" s="20">
        <f t="shared" si="5"/>
        <v>1</v>
      </c>
    </row>
    <row r="122" spans="1:23" ht="13">
      <c r="A122" s="14">
        <v>610422100131</v>
      </c>
      <c r="B122" s="15" t="str">
        <f t="array" ref="B122">IF(W122=1,INDEX('Database Mitra'!$H$2:$H905,MATCH(A122,'Database Mitra'!AK$2:AK905,0)),"")</f>
        <v>SYAMSUL</v>
      </c>
      <c r="C122" s="16" t="e">
        <f t="array" ref="C122">IF(W122=1,INDEX('Database Mitra'!$E$2:$E905,MATCH(A122,'Database Mitra'!AK$2:AK905,0)),"")</f>
        <v>#VALUE!</v>
      </c>
      <c r="D122" s="6" t="s">
        <v>32</v>
      </c>
      <c r="E122" s="16" t="str">
        <f t="array" ref="E122">IF(W122=1,INDEX('Input Kegiatan'!B$2:B905,MATCH($D122,'Input Kegiatan'!$A$2:$A905,0)),"")</f>
        <v>Kerangka Sampel Area (KSA) 2024 Mei</v>
      </c>
      <c r="F122" s="17">
        <f t="array" ref="F122">IF(W122=1,INDEX('Input Kegiatan'!D$2:D905,MATCH($D122,'Input Kegiatan'!$A$2:$A905,0)),"")</f>
        <v>45413</v>
      </c>
      <c r="G122" s="17">
        <f t="array" ref="G122">IF(W122=1,INDEX('Input Kegiatan'!E$2:E905,MATCH($D122,'Input Kegiatan'!$A$2:$A905,0)),"")</f>
        <v>45443</v>
      </c>
      <c r="H122" s="16" t="str">
        <f t="array" ref="H122">IF(W122=1,INDEX(Honor!$H$2:$H905,MATCH($D122&amp;"-"&amp;R122,Honor!$K$2:$K905,0)),"")</f>
        <v>Segmen</v>
      </c>
      <c r="I122" s="18">
        <f>IF(W122=1,SUMIFS(Honor!$I$2:$I905,Honor!$K$2:$K905,$D122&amp;"-"&amp;R122),"")</f>
        <v>175000</v>
      </c>
      <c r="J122" s="19">
        <f t="shared" si="6"/>
        <v>1</v>
      </c>
      <c r="K122" s="20">
        <f t="shared" si="0"/>
        <v>175000</v>
      </c>
      <c r="L122" s="17">
        <f t="shared" si="1"/>
        <v>45443</v>
      </c>
      <c r="M122" s="20">
        <f ca="1">IF(W122=1,IF(AND(U122&lt;2,INT(V122)&lt;='Batasan Honor'!$B$2),1,0),"")</f>
        <v>1</v>
      </c>
      <c r="N122" s="21"/>
      <c r="O122" s="20">
        <f t="shared" si="2"/>
        <v>5</v>
      </c>
      <c r="P122" s="20">
        <f t="shared" si="3"/>
        <v>2024</v>
      </c>
      <c r="Q122" s="21"/>
      <c r="R122" s="22" t="s">
        <v>25</v>
      </c>
      <c r="S122" s="21" t="str">
        <f t="shared" si="4"/>
        <v>610422100131,2024,5</v>
      </c>
      <c r="T122" s="21"/>
      <c r="U122" s="20">
        <f ca="1">IFERROR(__xludf.DUMMYFUNCTION("if(W122=1,COUNTIFS(FILTER($H$2:$H905,$H$2:$H905=""OB"",$S$2:$S905=S122),""OB""),"""")"),0)</f>
        <v>0</v>
      </c>
      <c r="V122" s="20">
        <f ca="1">IFERROR(__xludf.DUMMYFUNCTION("IF(OR(ISNA(SUM(FILTER($K$2:$K905,$A$2:$A905=A122,$S$2:$S905=S122,$H$2:$H905&lt;&gt;""OB""))),W122&lt;&gt;1),"""",SUM(FILTER($K$2:$K905,$A$2:$A905=A122,$S$2:$S905=S122,$H$2:$H905&lt;&gt;""OB"")))"),175000)</f>
        <v>175000</v>
      </c>
      <c r="W122" s="20">
        <f t="shared" si="5"/>
        <v>1</v>
      </c>
    </row>
    <row r="123" spans="1:23" ht="13">
      <c r="A123" s="14">
        <v>610422100244</v>
      </c>
      <c r="B123" s="15" t="str">
        <f t="array" ref="B123">IF(W123=1,INDEX('Database Mitra'!$H$2:$H905,MATCH(A123,'Database Mitra'!AK$2:AK905,0)),"")</f>
        <v>Sugianto</v>
      </c>
      <c r="C123" s="16" t="e">
        <f t="array" ref="C123">IF(W123=1,INDEX('Database Mitra'!$E$2:$E905,MATCH(A123,'Database Mitra'!AK$2:AK905,0)),"")</f>
        <v>#VALUE!</v>
      </c>
      <c r="D123" s="6" t="s">
        <v>32</v>
      </c>
      <c r="E123" s="16" t="str">
        <f t="array" ref="E123">IF(W123=1,INDEX('Input Kegiatan'!B$2:B905,MATCH($D123,'Input Kegiatan'!$A$2:$A905,0)),"")</f>
        <v>Kerangka Sampel Area (KSA) 2024 Mei</v>
      </c>
      <c r="F123" s="17">
        <f t="array" ref="F123">IF(W123=1,INDEX('Input Kegiatan'!D$2:D905,MATCH($D123,'Input Kegiatan'!$A$2:$A905,0)),"")</f>
        <v>45413</v>
      </c>
      <c r="G123" s="17">
        <f t="array" ref="G123">IF(W123=1,INDEX('Input Kegiatan'!E$2:E905,MATCH($D123,'Input Kegiatan'!$A$2:$A905,0)),"")</f>
        <v>45443</v>
      </c>
      <c r="H123" s="16" t="str">
        <f t="array" ref="H123">IF(W123=1,INDEX(Honor!$H$2:$H905,MATCH($D123&amp;"-"&amp;R123,Honor!$K$2:$K905,0)),"")</f>
        <v>Segmen</v>
      </c>
      <c r="I123" s="18">
        <f>IF(W123=1,SUMIFS(Honor!$I$2:$I905,Honor!$K$2:$K905,$D123&amp;"-"&amp;R123),"")</f>
        <v>175000</v>
      </c>
      <c r="J123" s="19">
        <f t="shared" si="6"/>
        <v>1</v>
      </c>
      <c r="K123" s="20">
        <f t="shared" si="0"/>
        <v>175000</v>
      </c>
      <c r="L123" s="17">
        <f t="shared" si="1"/>
        <v>45443</v>
      </c>
      <c r="M123" s="20">
        <f ca="1">IF(W123=1,IF(AND(U123&lt;2,INT(V123)&lt;='Batasan Honor'!$B$2),1,0),"")</f>
        <v>1</v>
      </c>
      <c r="N123" s="21"/>
      <c r="O123" s="20">
        <f t="shared" si="2"/>
        <v>5</v>
      </c>
      <c r="P123" s="20">
        <f t="shared" si="3"/>
        <v>2024</v>
      </c>
      <c r="Q123" s="21"/>
      <c r="R123" s="22" t="s">
        <v>25</v>
      </c>
      <c r="S123" s="21" t="str">
        <f t="shared" si="4"/>
        <v>610422100244,2024,5</v>
      </c>
      <c r="T123" s="21"/>
      <c r="U123" s="20">
        <f ca="1">IFERROR(__xludf.DUMMYFUNCTION("if(W123=1,COUNTIFS(FILTER($H$2:$H905,$H$2:$H905=""OB"",$S$2:$S905=S123),""OB""),"""")"),0)</f>
        <v>0</v>
      </c>
      <c r="V123" s="20">
        <f ca="1">IFERROR(__xludf.DUMMYFUNCTION("IF(OR(ISNA(SUM(FILTER($K$2:$K905,$A$2:$A905=A123,$S$2:$S905=S123,$H$2:$H905&lt;&gt;""OB""))),W123&lt;&gt;1),"""",SUM(FILTER($K$2:$K905,$A$2:$A905=A123,$S$2:$S905=S123,$H$2:$H905&lt;&gt;""OB"")))"),175000)</f>
        <v>175000</v>
      </c>
      <c r="W123" s="20">
        <f t="shared" si="5"/>
        <v>1</v>
      </c>
    </row>
    <row r="124" spans="1:23" ht="13">
      <c r="A124" s="14">
        <v>610422100176</v>
      </c>
      <c r="B124" s="15" t="str">
        <f t="array" ref="B124">IF(W124=1,INDEX('Database Mitra'!$H$2:$H905,MATCH(A124,'Database Mitra'!AK$2:AK905,0)),"")</f>
        <v>Feri Firdaus</v>
      </c>
      <c r="C124" s="16" t="e">
        <f t="array" ref="C124">IF(W124=1,INDEX('Database Mitra'!$E$2:$E905,MATCH(A124,'Database Mitra'!AK$2:AK905,0)),"")</f>
        <v>#VALUE!</v>
      </c>
      <c r="D124" s="6" t="s">
        <v>32</v>
      </c>
      <c r="E124" s="16" t="str">
        <f t="array" ref="E124">IF(W124=1,INDEX('Input Kegiatan'!B$2:B905,MATCH($D124,'Input Kegiatan'!$A$2:$A905,0)),"")</f>
        <v>Kerangka Sampel Area (KSA) 2024 Mei</v>
      </c>
      <c r="F124" s="17">
        <f t="array" ref="F124">IF(W124=1,INDEX('Input Kegiatan'!D$2:D905,MATCH($D124,'Input Kegiatan'!$A$2:$A905,0)),"")</f>
        <v>45413</v>
      </c>
      <c r="G124" s="17">
        <f t="array" ref="G124">IF(W124=1,INDEX('Input Kegiatan'!E$2:E905,MATCH($D124,'Input Kegiatan'!$A$2:$A905,0)),"")</f>
        <v>45443</v>
      </c>
      <c r="H124" s="16" t="str">
        <f t="array" ref="H124">IF(W124=1,INDEX(Honor!$H$2:$H905,MATCH($D124&amp;"-"&amp;R124,Honor!$K$2:$K905,0)),"")</f>
        <v>Segmen</v>
      </c>
      <c r="I124" s="18">
        <f>IF(W124=1,SUMIFS(Honor!$I$2:$I905,Honor!$K$2:$K905,$D124&amp;"-"&amp;R124),"")</f>
        <v>175000</v>
      </c>
      <c r="J124" s="19">
        <f t="shared" si="6"/>
        <v>1</v>
      </c>
      <c r="K124" s="20">
        <f t="shared" si="0"/>
        <v>175000</v>
      </c>
      <c r="L124" s="17">
        <f t="shared" si="1"/>
        <v>45443</v>
      </c>
      <c r="M124" s="20">
        <f ca="1">IF(W124=1,IF(AND(U124&lt;2,INT(V124)&lt;='Batasan Honor'!$B$2),1,0),"")</f>
        <v>1</v>
      </c>
      <c r="N124" s="21"/>
      <c r="O124" s="20">
        <f t="shared" si="2"/>
        <v>5</v>
      </c>
      <c r="P124" s="20">
        <f t="shared" si="3"/>
        <v>2024</v>
      </c>
      <c r="Q124" s="21"/>
      <c r="R124" s="22" t="s">
        <v>25</v>
      </c>
      <c r="S124" s="21" t="str">
        <f t="shared" si="4"/>
        <v>610422100176,2024,5</v>
      </c>
      <c r="T124" s="21"/>
      <c r="U124" s="20">
        <f ca="1">IFERROR(__xludf.DUMMYFUNCTION("if(W124=1,COUNTIFS(FILTER($H$2:$H905,$H$2:$H905=""OB"",$S$2:$S905=S124),""OB""),"""")"),0)</f>
        <v>0</v>
      </c>
      <c r="V124" s="20">
        <f ca="1">IFERROR(__xludf.DUMMYFUNCTION("IF(OR(ISNA(SUM(FILTER($K$2:$K905,$A$2:$A905=A124,$S$2:$S905=S124,$H$2:$H905&lt;&gt;""OB""))),W124&lt;&gt;1),"""",SUM(FILTER($K$2:$K905,$A$2:$A905=A124,$S$2:$S905=S124,$H$2:$H905&lt;&gt;""OB"")))"),175000)</f>
        <v>175000</v>
      </c>
      <c r="W124" s="20">
        <f t="shared" si="5"/>
        <v>1</v>
      </c>
    </row>
    <row r="125" spans="1:23" ht="13">
      <c r="A125" s="14">
        <v>610423040018</v>
      </c>
      <c r="B125" s="15" t="str">
        <f t="array" ref="B125">IF(W125=1,INDEX('Database Mitra'!$H$2:$H905,MATCH(A125,'Database Mitra'!AK$2:AK905,0)),"")</f>
        <v>Handoko Tuah Sabarman Sipayung</v>
      </c>
      <c r="C125" s="16" t="e">
        <f t="array" ref="C125">IF(W125=1,INDEX('Database Mitra'!$E$2:$E905,MATCH(A125,'Database Mitra'!AK$2:AK905,0)),"")</f>
        <v>#VALUE!</v>
      </c>
      <c r="D125" s="6" t="s">
        <v>32</v>
      </c>
      <c r="E125" s="16" t="str">
        <f t="array" ref="E125">IF(W125=1,INDEX('Input Kegiatan'!B$2:B905,MATCH($D125,'Input Kegiatan'!$A$2:$A905,0)),"")</f>
        <v>Kerangka Sampel Area (KSA) 2024 Mei</v>
      </c>
      <c r="F125" s="17">
        <f t="array" ref="F125">IF(W125=1,INDEX('Input Kegiatan'!D$2:D905,MATCH($D125,'Input Kegiatan'!$A$2:$A905,0)),"")</f>
        <v>45413</v>
      </c>
      <c r="G125" s="17">
        <f t="array" ref="G125">IF(W125=1,INDEX('Input Kegiatan'!E$2:E905,MATCH($D125,'Input Kegiatan'!$A$2:$A905,0)),"")</f>
        <v>45443</v>
      </c>
      <c r="H125" s="16" t="str">
        <f t="array" ref="H125">IF(W125=1,INDEX(Honor!$H$2:$H905,MATCH($D125&amp;"-"&amp;R125,Honor!$K$2:$K905,0)),"")</f>
        <v>Segmen</v>
      </c>
      <c r="I125" s="18">
        <f>IF(W125=1,SUMIFS(Honor!$I$2:$I905,Honor!$K$2:$K905,$D125&amp;"-"&amp;R125),"")</f>
        <v>175000</v>
      </c>
      <c r="J125" s="19">
        <f t="shared" si="6"/>
        <v>1</v>
      </c>
      <c r="K125" s="20">
        <f t="shared" si="0"/>
        <v>175000</v>
      </c>
      <c r="L125" s="17">
        <f t="shared" si="1"/>
        <v>45443</v>
      </c>
      <c r="M125" s="20">
        <f ca="1">IF(W125=1,IF(AND(U125&lt;2,INT(V125)&lt;='Batasan Honor'!$B$2),1,0),"")</f>
        <v>1</v>
      </c>
      <c r="N125" s="21"/>
      <c r="O125" s="20">
        <f t="shared" si="2"/>
        <v>5</v>
      </c>
      <c r="P125" s="20">
        <f t="shared" si="3"/>
        <v>2024</v>
      </c>
      <c r="Q125" s="21"/>
      <c r="R125" s="22" t="s">
        <v>25</v>
      </c>
      <c r="S125" s="21" t="str">
        <f t="shared" si="4"/>
        <v>610423040018,2024,5</v>
      </c>
      <c r="T125" s="21"/>
      <c r="U125" s="20">
        <f ca="1">IFERROR(__xludf.DUMMYFUNCTION("if(W125=1,COUNTIFS(FILTER($H$2:$H905,$H$2:$H905=""OB"",$S$2:$S905=S125),""OB""),"""")"),0)</f>
        <v>0</v>
      </c>
      <c r="V125" s="20">
        <f ca="1">IFERROR(__xludf.DUMMYFUNCTION("IF(OR(ISNA(SUM(FILTER($K$2:$K905,$A$2:$A905=A125,$S$2:$S905=S125,$H$2:$H905&lt;&gt;""OB""))),W125&lt;&gt;1),"""",SUM(FILTER($K$2:$K905,$A$2:$A905=A125,$S$2:$S905=S125,$H$2:$H905&lt;&gt;""OB"")))"),175000)</f>
        <v>175000</v>
      </c>
      <c r="W125" s="20">
        <f t="shared" si="5"/>
        <v>1</v>
      </c>
    </row>
    <row r="126" spans="1:23" ht="13">
      <c r="A126" s="14">
        <v>610423110183</v>
      </c>
      <c r="B126" s="15" t="str">
        <f t="array" ref="B126">IF(W126=1,INDEX('Database Mitra'!$H$2:$H905,MATCH(A126,'Database Mitra'!AK$2:AK905,0)),"")</f>
        <v>azhar</v>
      </c>
      <c r="C126" s="16" t="e">
        <f t="array" ref="C126">IF(W126=1,INDEX('Database Mitra'!$E$2:$E905,MATCH(A126,'Database Mitra'!AK$2:AK905,0)),"")</f>
        <v>#VALUE!</v>
      </c>
      <c r="D126" s="6" t="s">
        <v>32</v>
      </c>
      <c r="E126" s="16" t="str">
        <f t="array" ref="E126">IF(W126=1,INDEX('Input Kegiatan'!B$2:B905,MATCH($D126,'Input Kegiatan'!$A$2:$A905,0)),"")</f>
        <v>Kerangka Sampel Area (KSA) 2024 Mei</v>
      </c>
      <c r="F126" s="17">
        <f t="array" ref="F126">IF(W126=1,INDEX('Input Kegiatan'!D$2:D905,MATCH($D126,'Input Kegiatan'!$A$2:$A905,0)),"")</f>
        <v>45413</v>
      </c>
      <c r="G126" s="17">
        <f t="array" ref="G126">IF(W126=1,INDEX('Input Kegiatan'!E$2:E905,MATCH($D126,'Input Kegiatan'!$A$2:$A905,0)),"")</f>
        <v>45443</v>
      </c>
      <c r="H126" s="16" t="str">
        <f t="array" ref="H126">IF(W126=1,INDEX(Honor!$H$2:$H905,MATCH($D126&amp;"-"&amp;R126,Honor!$K$2:$K905,0)),"")</f>
        <v>Segmen</v>
      </c>
      <c r="I126" s="18">
        <f>IF(W126=1,SUMIFS(Honor!$I$2:$I905,Honor!$K$2:$K905,$D126&amp;"-"&amp;R126),"")</f>
        <v>175000</v>
      </c>
      <c r="J126" s="19">
        <f t="shared" si="6"/>
        <v>1</v>
      </c>
      <c r="K126" s="20">
        <f t="shared" si="0"/>
        <v>175000</v>
      </c>
      <c r="L126" s="17">
        <f t="shared" si="1"/>
        <v>45443</v>
      </c>
      <c r="M126" s="20">
        <f ca="1">IF(W126=1,IF(AND(U126&lt;2,INT(V126)&lt;='Batasan Honor'!$B$2),1,0),"")</f>
        <v>1</v>
      </c>
      <c r="N126" s="21"/>
      <c r="O126" s="20">
        <f t="shared" si="2"/>
        <v>5</v>
      </c>
      <c r="P126" s="20">
        <f t="shared" si="3"/>
        <v>2024</v>
      </c>
      <c r="Q126" s="21"/>
      <c r="R126" s="22" t="s">
        <v>25</v>
      </c>
      <c r="S126" s="21" t="str">
        <f t="shared" si="4"/>
        <v>610423110183,2024,5</v>
      </c>
      <c r="T126" s="21"/>
      <c r="U126" s="20">
        <f ca="1">IFERROR(__xludf.DUMMYFUNCTION("if(W126=1,COUNTIFS(FILTER($H$2:$H905,$H$2:$H905=""OB"",$S$2:$S905=S126),""OB""),"""")"),0)</f>
        <v>0</v>
      </c>
      <c r="V126" s="20">
        <f ca="1">IFERROR(__xludf.DUMMYFUNCTION("IF(OR(ISNA(SUM(FILTER($K$2:$K905,$A$2:$A905=A126,$S$2:$S905=S126,$H$2:$H905&lt;&gt;""OB""))),W126&lt;&gt;1),"""",SUM(FILTER($K$2:$K905,$A$2:$A905=A126,$S$2:$S905=S126,$H$2:$H905&lt;&gt;""OB"")))"),175000)</f>
        <v>175000</v>
      </c>
      <c r="W126" s="20">
        <f t="shared" si="5"/>
        <v>1</v>
      </c>
    </row>
    <row r="127" spans="1:23" ht="13">
      <c r="A127" s="14">
        <v>610422020016</v>
      </c>
      <c r="B127" s="15" t="str">
        <f t="array" ref="B127">IF(W127=1,INDEX('Database Mitra'!$H$2:$H905,MATCH(A127,'Database Mitra'!AK$2:AK905,0)),"")</f>
        <v>Abdul Aziz</v>
      </c>
      <c r="C127" s="16" t="e">
        <f t="array" ref="C127">IF(W127=1,INDEX('Database Mitra'!$E$2:$E905,MATCH(A127,'Database Mitra'!AK$2:AK905,0)),"")</f>
        <v>#VALUE!</v>
      </c>
      <c r="D127" s="6" t="s">
        <v>33</v>
      </c>
      <c r="E127" s="16" t="str">
        <f t="array" ref="E127">IF(W127=1,INDEX('Input Kegiatan'!B$2:B905,MATCH($D127,'Input Kegiatan'!$A$2:$A905,0)),"")</f>
        <v>Kerangka Sampel Area (KSA) 2024 Juli</v>
      </c>
      <c r="F127" s="17">
        <f t="array" ref="F127">IF(W127=1,INDEX('Input Kegiatan'!D$2:D905,MATCH($D127,'Input Kegiatan'!$A$2:$A905,0)),"")</f>
        <v>45474</v>
      </c>
      <c r="G127" s="17">
        <f t="array" ref="G127">IF(W127=1,INDEX('Input Kegiatan'!E$2:E905,MATCH($D127,'Input Kegiatan'!$A$2:$A905,0)),"")</f>
        <v>45504</v>
      </c>
      <c r="H127" s="16" t="str">
        <f t="array" ref="H127">IF(W127=1,INDEX(Honor!$H$2:$H905,MATCH($D127&amp;"-"&amp;R127,Honor!$K$2:$K905,0)),"")</f>
        <v>Segmen</v>
      </c>
      <c r="I127" s="18">
        <f>IF(W127=1,SUMIFS(Honor!$I$2:$I905,Honor!$K$2:$K905,$D127&amp;"-"&amp;R127),"")</f>
        <v>175000</v>
      </c>
      <c r="J127" s="19">
        <f t="shared" si="6"/>
        <v>1</v>
      </c>
      <c r="K127" s="20">
        <f t="shared" si="0"/>
        <v>175000</v>
      </c>
      <c r="L127" s="17">
        <f t="shared" si="1"/>
        <v>45504</v>
      </c>
      <c r="M127" s="20">
        <f ca="1">IF(W127=1,IF(AND(U127&lt;2,INT(V127)&lt;='Batasan Honor'!$B$2),1,0),"")</f>
        <v>1</v>
      </c>
      <c r="N127" s="21"/>
      <c r="O127" s="20">
        <f t="shared" si="2"/>
        <v>7</v>
      </c>
      <c r="P127" s="20">
        <f t="shared" si="3"/>
        <v>2024</v>
      </c>
      <c r="Q127" s="21"/>
      <c r="R127" s="22" t="s">
        <v>25</v>
      </c>
      <c r="S127" s="21" t="str">
        <f t="shared" si="4"/>
        <v>610422020016,2024,7</v>
      </c>
      <c r="T127" s="21"/>
      <c r="U127" s="20">
        <f ca="1">IFERROR(__xludf.DUMMYFUNCTION("if(W127=1,COUNTIFS(FILTER($H$2:$H905,$H$2:$H905=""OB"",$S$2:$S905=S127),""OB""),"""")"),0)</f>
        <v>0</v>
      </c>
      <c r="V127" s="20">
        <f ca="1">IFERROR(__xludf.DUMMYFUNCTION("IF(OR(ISNA(SUM(FILTER($K$2:$K905,$A$2:$A905=A127,$S$2:$S905=S127,$H$2:$H905&lt;&gt;""OB""))),W127&lt;&gt;1),"""",SUM(FILTER($K$2:$K905,$A$2:$A905=A127,$S$2:$S905=S127,$H$2:$H905&lt;&gt;""OB"")))"),175000)</f>
        <v>175000</v>
      </c>
      <c r="W127" s="20">
        <f t="shared" si="5"/>
        <v>1</v>
      </c>
    </row>
    <row r="128" spans="1:23" ht="12.5">
      <c r="A128" s="14">
        <v>610422020048</v>
      </c>
      <c r="B128" s="16" t="str">
        <f t="array" ref="B128">IF(W128=1,INDEX('Database Mitra'!$H$2:$H905,MATCH(A128,'Database Mitra'!AK$2:AK905,0)),"")</f>
        <v>Herri Gustaman</v>
      </c>
      <c r="C128" s="16" t="e">
        <f t="array" ref="C128">IF(W128=1,INDEX('Database Mitra'!$E$2:$E905,MATCH(A128,'Database Mitra'!AK$2:AK905,0)),"")</f>
        <v>#VALUE!</v>
      </c>
      <c r="D128" s="6" t="s">
        <v>33</v>
      </c>
      <c r="E128" s="16" t="str">
        <f t="array" ref="E128">IF(W128=1,INDEX('Input Kegiatan'!B$2:B905,MATCH($D128,'Input Kegiatan'!$A$2:$A905,0)),"")</f>
        <v>Kerangka Sampel Area (KSA) 2024 Juli</v>
      </c>
      <c r="F128" s="17">
        <f t="array" ref="F128">IF(W128=1,INDEX('Input Kegiatan'!D$2:D905,MATCH($D128,'Input Kegiatan'!$A$2:$A905,0)),"")</f>
        <v>45474</v>
      </c>
      <c r="G128" s="17">
        <f t="array" ref="G128">IF(W128=1,INDEX('Input Kegiatan'!E$2:E905,MATCH($D128,'Input Kegiatan'!$A$2:$A905,0)),"")</f>
        <v>45504</v>
      </c>
      <c r="H128" s="16" t="str">
        <f t="array" ref="H128">IF(W128=1,INDEX(Honor!$H$2:$H905,MATCH($D128&amp;"-"&amp;R128,Honor!$K$2:$K905,0)),"")</f>
        <v>Segmen</v>
      </c>
      <c r="I128" s="18">
        <f>IF(W128=1,SUMIFS(Honor!$I$2:$I905,Honor!$K$2:$K905,$D128&amp;"-"&amp;R128),"")</f>
        <v>175000</v>
      </c>
      <c r="J128" s="19">
        <f t="shared" si="6"/>
        <v>1</v>
      </c>
      <c r="K128" s="20">
        <f t="shared" si="0"/>
        <v>175000</v>
      </c>
      <c r="L128" s="17">
        <f t="shared" si="1"/>
        <v>45504</v>
      </c>
      <c r="M128" s="20">
        <f ca="1">IF(W128=1,IF(AND(U128&lt;2,INT(V128)&lt;='Batasan Honor'!$B$2),1,0),"")</f>
        <v>1</v>
      </c>
      <c r="N128" s="21"/>
      <c r="O128" s="20">
        <f t="shared" si="2"/>
        <v>7</v>
      </c>
      <c r="P128" s="20">
        <f t="shared" si="3"/>
        <v>2024</v>
      </c>
      <c r="Q128" s="21"/>
      <c r="R128" s="22" t="s">
        <v>25</v>
      </c>
      <c r="S128" s="21" t="str">
        <f t="shared" si="4"/>
        <v>610422020048,2024,7</v>
      </c>
      <c r="T128" s="21"/>
      <c r="U128" s="20">
        <f ca="1">IFERROR(__xludf.DUMMYFUNCTION("if(W128=1,COUNTIFS(FILTER($H$2:$H905,$H$2:$H905=""OB"",$S$2:$S905=S128),""OB""),"""")"),0)</f>
        <v>0</v>
      </c>
      <c r="V128" s="20">
        <f ca="1">IFERROR(__xludf.DUMMYFUNCTION("IF(OR(ISNA(SUM(FILTER($K$2:$K905,$A$2:$A905=A128,$S$2:$S905=S128,$H$2:$H905&lt;&gt;""OB""))),W128&lt;&gt;1),"""",SUM(FILTER($K$2:$K905,$A$2:$A905=A128,$S$2:$S905=S128,$H$2:$H905&lt;&gt;""OB"")))"),175000)</f>
        <v>175000</v>
      </c>
      <c r="W128" s="20">
        <f t="shared" si="5"/>
        <v>1</v>
      </c>
    </row>
    <row r="129" spans="1:23" ht="13">
      <c r="A129" s="14">
        <v>610422040012</v>
      </c>
      <c r="B129" s="15" t="str">
        <f t="array" ref="B129">IF(W129=1,INDEX('Database Mitra'!$H$2:$H905,MATCH(A129,'Database Mitra'!AK$2:AK905,0)),"")</f>
        <v>Misdi</v>
      </c>
      <c r="C129" s="16" t="e">
        <f t="array" ref="C129">IF(W129=1,INDEX('Database Mitra'!$E$2:$E905,MATCH(A129,'Database Mitra'!AK$2:AK905,0)),"")</f>
        <v>#VALUE!</v>
      </c>
      <c r="D129" s="6" t="s">
        <v>33</v>
      </c>
      <c r="E129" s="16" t="str">
        <f t="array" ref="E129">IF(W129=1,INDEX('Input Kegiatan'!B$2:B905,MATCH($D129,'Input Kegiatan'!$A$2:$A905,0)),"")</f>
        <v>Kerangka Sampel Area (KSA) 2024 Juli</v>
      </c>
      <c r="F129" s="17">
        <f t="array" ref="F129">IF(W129=1,INDEX('Input Kegiatan'!D$2:D905,MATCH($D129,'Input Kegiatan'!$A$2:$A905,0)),"")</f>
        <v>45474</v>
      </c>
      <c r="G129" s="17">
        <f t="array" ref="G129">IF(W129=1,INDEX('Input Kegiatan'!E$2:E905,MATCH($D129,'Input Kegiatan'!$A$2:$A905,0)),"")</f>
        <v>45504</v>
      </c>
      <c r="H129" s="16" t="str">
        <f t="array" ref="H129">IF(W129=1,INDEX(Honor!$H$2:$H905,MATCH($D129&amp;"-"&amp;R129,Honor!$K$2:$K905,0)),"")</f>
        <v>Segmen</v>
      </c>
      <c r="I129" s="18">
        <f>IF(W129=1,SUMIFS(Honor!$I$2:$I905,Honor!$K$2:$K905,$D129&amp;"-"&amp;R129),"")</f>
        <v>175000</v>
      </c>
      <c r="J129" s="19">
        <f t="shared" si="6"/>
        <v>1</v>
      </c>
      <c r="K129" s="20">
        <f t="shared" si="0"/>
        <v>175000</v>
      </c>
      <c r="L129" s="17">
        <f t="shared" si="1"/>
        <v>45504</v>
      </c>
      <c r="M129" s="20">
        <f ca="1">IF(W129=1,IF(AND(U129&lt;2,INT(V129)&lt;='Batasan Honor'!$B$2),1,0),"")</f>
        <v>1</v>
      </c>
      <c r="N129" s="21"/>
      <c r="O129" s="20">
        <f t="shared" si="2"/>
        <v>7</v>
      </c>
      <c r="P129" s="20">
        <f t="shared" si="3"/>
        <v>2024</v>
      </c>
      <c r="Q129" s="21"/>
      <c r="R129" s="22" t="s">
        <v>25</v>
      </c>
      <c r="S129" s="21" t="str">
        <f t="shared" si="4"/>
        <v>610422040012,2024,7</v>
      </c>
      <c r="T129" s="21"/>
      <c r="U129" s="20">
        <f ca="1">IFERROR(__xludf.DUMMYFUNCTION("if(W129=1,COUNTIFS(FILTER($H$2:$H905,$H$2:$H905=""OB"",$S$2:$S905=S129),""OB""),"""")"),0)</f>
        <v>0</v>
      </c>
      <c r="V129" s="20">
        <f ca="1">IFERROR(__xludf.DUMMYFUNCTION("IF(OR(ISNA(SUM(FILTER($K$2:$K905,$A$2:$A905=A129,$S$2:$S905=S129,$H$2:$H905&lt;&gt;""OB""))),W129&lt;&gt;1),"""",SUM(FILTER($K$2:$K905,$A$2:$A905=A129,$S$2:$S905=S129,$H$2:$H905&lt;&gt;""OB"")))"),175000)</f>
        <v>175000</v>
      </c>
      <c r="W129" s="20">
        <f t="shared" si="5"/>
        <v>1</v>
      </c>
    </row>
    <row r="130" spans="1:23" ht="12.5">
      <c r="A130" s="14">
        <v>610422040058</v>
      </c>
      <c r="B130" s="16" t="str">
        <f t="array" ref="B130">IF(W130=1,INDEX('Database Mitra'!$H$2:$H905,MATCH(A130,'Database Mitra'!AK$2:AK905,0)),"")</f>
        <v>Jamaluddin, SP</v>
      </c>
      <c r="C130" s="16" t="e">
        <f t="array" ref="C130">IF(W130=1,INDEX('Database Mitra'!$E$2:$E905,MATCH(A130,'Database Mitra'!AK$2:AK905,0)),"")</f>
        <v>#VALUE!</v>
      </c>
      <c r="D130" s="6" t="s">
        <v>33</v>
      </c>
      <c r="E130" s="16" t="str">
        <f t="array" ref="E130">IF(W130=1,INDEX('Input Kegiatan'!B$2:B905,MATCH($D130,'Input Kegiatan'!$A$2:$A905,0)),"")</f>
        <v>Kerangka Sampel Area (KSA) 2024 Juli</v>
      </c>
      <c r="F130" s="17">
        <f t="array" ref="F130">IF(W130=1,INDEX('Input Kegiatan'!D$2:D905,MATCH($D130,'Input Kegiatan'!$A$2:$A905,0)),"")</f>
        <v>45474</v>
      </c>
      <c r="G130" s="17">
        <f t="array" ref="G130">IF(W130=1,INDEX('Input Kegiatan'!E$2:E905,MATCH($D130,'Input Kegiatan'!$A$2:$A905,0)),"")</f>
        <v>45504</v>
      </c>
      <c r="H130" s="16" t="str">
        <f t="array" ref="H130">IF(W130=1,INDEX(Honor!$H$2:$H905,MATCH($D130&amp;"-"&amp;R130,Honor!$K$2:$K905,0)),"")</f>
        <v>Segmen</v>
      </c>
      <c r="I130" s="18">
        <f>IF(W130=1,SUMIFS(Honor!$I$2:$I905,Honor!$K$2:$K905,$D130&amp;"-"&amp;R130),"")</f>
        <v>175000</v>
      </c>
      <c r="J130" s="19">
        <f t="shared" si="6"/>
        <v>1</v>
      </c>
      <c r="K130" s="20">
        <f t="shared" si="0"/>
        <v>175000</v>
      </c>
      <c r="L130" s="17">
        <f t="shared" si="1"/>
        <v>45504</v>
      </c>
      <c r="M130" s="20">
        <f ca="1">IF(W130=1,IF(AND(U130&lt;2,INT(V130)&lt;='Batasan Honor'!$B$2),1,0),"")</f>
        <v>1</v>
      </c>
      <c r="N130" s="21"/>
      <c r="O130" s="20">
        <f t="shared" si="2"/>
        <v>7</v>
      </c>
      <c r="P130" s="20">
        <f t="shared" si="3"/>
        <v>2024</v>
      </c>
      <c r="Q130" s="21"/>
      <c r="R130" s="22" t="s">
        <v>25</v>
      </c>
      <c r="S130" s="21" t="str">
        <f t="shared" si="4"/>
        <v>610422040058,2024,7</v>
      </c>
      <c r="T130" s="21"/>
      <c r="U130" s="20">
        <f ca="1">IFERROR(__xludf.DUMMYFUNCTION("if(W130=1,COUNTIFS(FILTER($H$2:$H905,$H$2:$H905=""OB"",$S$2:$S905=S130),""OB""),"""")"),0)</f>
        <v>0</v>
      </c>
      <c r="V130" s="20">
        <f ca="1">IFERROR(__xludf.DUMMYFUNCTION("IF(OR(ISNA(SUM(FILTER($K$2:$K905,$A$2:$A905=A130,$S$2:$S905=S130,$H$2:$H905&lt;&gt;""OB""))),W130&lt;&gt;1),"""",SUM(FILTER($K$2:$K905,$A$2:$A905=A130,$S$2:$S905=S130,$H$2:$H905&lt;&gt;""OB"")))"),175000)</f>
        <v>175000</v>
      </c>
      <c r="W130" s="20">
        <f t="shared" si="5"/>
        <v>1</v>
      </c>
    </row>
    <row r="131" spans="1:23" ht="13">
      <c r="A131" s="14">
        <v>610422040059</v>
      </c>
      <c r="B131" s="15" t="str">
        <f t="array" ref="B131">IF(W131=1,INDEX('Database Mitra'!$H$2:$H905,MATCH(A131,'Database Mitra'!AK$2:AK905,0)),"")</f>
        <v>Abang Handri</v>
      </c>
      <c r="C131" s="16" t="e">
        <f t="array" ref="C131">IF(W131=1,INDEX('Database Mitra'!$E$2:$E905,MATCH(A131,'Database Mitra'!AK$2:AK905,0)),"")</f>
        <v>#VALUE!</v>
      </c>
      <c r="D131" s="6" t="s">
        <v>33</v>
      </c>
      <c r="E131" s="16" t="str">
        <f t="array" ref="E131">IF(W131=1,INDEX('Input Kegiatan'!B$2:B905,MATCH($D131,'Input Kegiatan'!$A$2:$A905,0)),"")</f>
        <v>Kerangka Sampel Area (KSA) 2024 Juli</v>
      </c>
      <c r="F131" s="17">
        <f t="array" ref="F131">IF(W131=1,INDEX('Input Kegiatan'!D$2:D905,MATCH($D131,'Input Kegiatan'!$A$2:$A905,0)),"")</f>
        <v>45474</v>
      </c>
      <c r="G131" s="17">
        <f t="array" ref="G131">IF(W131=1,INDEX('Input Kegiatan'!E$2:E905,MATCH($D131,'Input Kegiatan'!$A$2:$A905,0)),"")</f>
        <v>45504</v>
      </c>
      <c r="H131" s="16" t="str">
        <f t="array" ref="H131">IF(W131=1,INDEX(Honor!$H$2:$H905,MATCH($D131&amp;"-"&amp;R131,Honor!$K$2:$K905,0)),"")</f>
        <v>Segmen</v>
      </c>
      <c r="I131" s="18">
        <f>IF(W131=1,SUMIFS(Honor!$I$2:$I905,Honor!$K$2:$K905,$D131&amp;"-"&amp;R131),"")</f>
        <v>175000</v>
      </c>
      <c r="J131" s="19">
        <f t="shared" si="6"/>
        <v>1</v>
      </c>
      <c r="K131" s="20">
        <f t="shared" si="0"/>
        <v>175000</v>
      </c>
      <c r="L131" s="17">
        <f t="shared" si="1"/>
        <v>45504</v>
      </c>
      <c r="M131" s="20">
        <f ca="1">IF(W131=1,IF(AND(U131&lt;2,INT(V131)&lt;='Batasan Honor'!$B$2),1,0),"")</f>
        <v>1</v>
      </c>
      <c r="N131" s="21"/>
      <c r="O131" s="20">
        <f t="shared" si="2"/>
        <v>7</v>
      </c>
      <c r="P131" s="20">
        <f t="shared" si="3"/>
        <v>2024</v>
      </c>
      <c r="Q131" s="21"/>
      <c r="R131" s="22" t="s">
        <v>25</v>
      </c>
      <c r="S131" s="21" t="str">
        <f t="shared" si="4"/>
        <v>610422040059,2024,7</v>
      </c>
      <c r="T131" s="21"/>
      <c r="U131" s="20">
        <f ca="1">IFERROR(__xludf.DUMMYFUNCTION("if(W131=1,COUNTIFS(FILTER($H$2:$H905,$H$2:$H905=""OB"",$S$2:$S905=S131),""OB""),"""")"),0)</f>
        <v>0</v>
      </c>
      <c r="V131" s="20">
        <f ca="1">IFERROR(__xludf.DUMMYFUNCTION("IF(OR(ISNA(SUM(FILTER($K$2:$K905,$A$2:$A905=A131,$S$2:$S905=S131,$H$2:$H905&lt;&gt;""OB""))),W131&lt;&gt;1),"""",SUM(FILTER($K$2:$K905,$A$2:$A905=A131,$S$2:$S905=S131,$H$2:$H905&lt;&gt;""OB"")))"),175000)</f>
        <v>175000</v>
      </c>
      <c r="W131" s="20">
        <f t="shared" si="5"/>
        <v>1</v>
      </c>
    </row>
    <row r="132" spans="1:23" ht="13">
      <c r="A132" s="14">
        <v>610422040061</v>
      </c>
      <c r="B132" s="15" t="str">
        <f t="array" ref="B132">IF(W132=1,INDEX('Database Mitra'!$H$2:$H905,MATCH(A132,'Database Mitra'!AK$2:AK905,0)),"")</f>
        <v>Sabani</v>
      </c>
      <c r="C132" s="16" t="e">
        <f t="array" ref="C132">IF(W132=1,INDEX('Database Mitra'!$E$2:$E905,MATCH(A132,'Database Mitra'!AK$2:AK905,0)),"")</f>
        <v>#VALUE!</v>
      </c>
      <c r="D132" s="6" t="s">
        <v>33</v>
      </c>
      <c r="E132" s="16" t="str">
        <f t="array" ref="E132">IF(W132=1,INDEX('Input Kegiatan'!B$2:B905,MATCH($D132,'Input Kegiatan'!$A$2:$A905,0)),"")</f>
        <v>Kerangka Sampel Area (KSA) 2024 Juli</v>
      </c>
      <c r="F132" s="17">
        <f t="array" ref="F132">IF(W132=1,INDEX('Input Kegiatan'!D$2:D905,MATCH($D132,'Input Kegiatan'!$A$2:$A905,0)),"")</f>
        <v>45474</v>
      </c>
      <c r="G132" s="17">
        <f t="array" ref="G132">IF(W132=1,INDEX('Input Kegiatan'!E$2:E905,MATCH($D132,'Input Kegiatan'!$A$2:$A905,0)),"")</f>
        <v>45504</v>
      </c>
      <c r="H132" s="16" t="str">
        <f t="array" ref="H132">IF(W132=1,INDEX(Honor!$H$2:$H905,MATCH($D132&amp;"-"&amp;R132,Honor!$K$2:$K905,0)),"")</f>
        <v>Segmen</v>
      </c>
      <c r="I132" s="18">
        <f>IF(W132=1,SUMIFS(Honor!$I$2:$I905,Honor!$K$2:$K905,$D132&amp;"-"&amp;R132),"")</f>
        <v>175000</v>
      </c>
      <c r="J132" s="19">
        <f t="shared" si="6"/>
        <v>1</v>
      </c>
      <c r="K132" s="20">
        <f t="shared" si="0"/>
        <v>175000</v>
      </c>
      <c r="L132" s="17">
        <f t="shared" si="1"/>
        <v>45504</v>
      </c>
      <c r="M132" s="20">
        <f ca="1">IF(W132=1,IF(AND(U132&lt;2,INT(V132)&lt;='Batasan Honor'!$B$2),1,0),"")</f>
        <v>1</v>
      </c>
      <c r="N132" s="21"/>
      <c r="O132" s="20">
        <f t="shared" si="2"/>
        <v>7</v>
      </c>
      <c r="P132" s="20">
        <f t="shared" si="3"/>
        <v>2024</v>
      </c>
      <c r="Q132" s="21"/>
      <c r="R132" s="22" t="s">
        <v>25</v>
      </c>
      <c r="S132" s="21" t="str">
        <f t="shared" si="4"/>
        <v>610422040061,2024,7</v>
      </c>
      <c r="T132" s="21"/>
      <c r="U132" s="20">
        <f ca="1">IFERROR(__xludf.DUMMYFUNCTION("if(W132=1,COUNTIFS(FILTER($H$2:$H905,$H$2:$H905=""OB"",$S$2:$S905=S132),""OB""),"""")"),0)</f>
        <v>0</v>
      </c>
      <c r="V132" s="20">
        <f ca="1">IFERROR(__xludf.DUMMYFUNCTION("IF(OR(ISNA(SUM(FILTER($K$2:$K905,$A$2:$A905=A132,$S$2:$S905=S132,$H$2:$H905&lt;&gt;""OB""))),W132&lt;&gt;1),"""",SUM(FILTER($K$2:$K905,$A$2:$A905=A132,$S$2:$S905=S132,$H$2:$H905&lt;&gt;""OB"")))"),175000)</f>
        <v>175000</v>
      </c>
      <c r="W132" s="20">
        <f t="shared" si="5"/>
        <v>1</v>
      </c>
    </row>
    <row r="133" spans="1:23" ht="13">
      <c r="A133" s="14">
        <v>610422100131</v>
      </c>
      <c r="B133" s="15" t="str">
        <f t="array" ref="B133">IF(W133=1,INDEX('Database Mitra'!$H$2:$H905,MATCH(A133,'Database Mitra'!AK$2:AK905,0)),"")</f>
        <v>SYAMSUL</v>
      </c>
      <c r="C133" s="16" t="e">
        <f t="array" ref="C133">IF(W133=1,INDEX('Database Mitra'!$E$2:$E905,MATCH(A133,'Database Mitra'!AK$2:AK905,0)),"")</f>
        <v>#VALUE!</v>
      </c>
      <c r="D133" s="6" t="s">
        <v>33</v>
      </c>
      <c r="E133" s="16" t="str">
        <f t="array" ref="E133">IF(W133=1,INDEX('Input Kegiatan'!B$2:B905,MATCH($D133,'Input Kegiatan'!$A$2:$A905,0)),"")</f>
        <v>Kerangka Sampel Area (KSA) 2024 Juli</v>
      </c>
      <c r="F133" s="17">
        <f t="array" ref="F133">IF(W133=1,INDEX('Input Kegiatan'!D$2:D905,MATCH($D133,'Input Kegiatan'!$A$2:$A905,0)),"")</f>
        <v>45474</v>
      </c>
      <c r="G133" s="17">
        <f t="array" ref="G133">IF(W133=1,INDEX('Input Kegiatan'!E$2:E905,MATCH($D133,'Input Kegiatan'!$A$2:$A905,0)),"")</f>
        <v>45504</v>
      </c>
      <c r="H133" s="16" t="str">
        <f t="array" ref="H133">IF(W133=1,INDEX(Honor!$H$2:$H905,MATCH($D133&amp;"-"&amp;R133,Honor!$K$2:$K905,0)),"")</f>
        <v>Segmen</v>
      </c>
      <c r="I133" s="18">
        <f>IF(W133=1,SUMIFS(Honor!$I$2:$I905,Honor!$K$2:$K905,$D133&amp;"-"&amp;R133),"")</f>
        <v>175000</v>
      </c>
      <c r="J133" s="19">
        <f t="shared" si="6"/>
        <v>1</v>
      </c>
      <c r="K133" s="20">
        <f t="shared" si="0"/>
        <v>175000</v>
      </c>
      <c r="L133" s="17">
        <f t="shared" si="1"/>
        <v>45504</v>
      </c>
      <c r="M133" s="20">
        <f ca="1">IF(W133=1,IF(AND(U133&lt;2,INT(V133)&lt;='Batasan Honor'!$B$2),1,0),"")</f>
        <v>1</v>
      </c>
      <c r="N133" s="21"/>
      <c r="O133" s="20">
        <f t="shared" si="2"/>
        <v>7</v>
      </c>
      <c r="P133" s="20">
        <f t="shared" si="3"/>
        <v>2024</v>
      </c>
      <c r="Q133" s="21"/>
      <c r="R133" s="22" t="s">
        <v>25</v>
      </c>
      <c r="S133" s="21" t="str">
        <f t="shared" si="4"/>
        <v>610422100131,2024,7</v>
      </c>
      <c r="T133" s="21"/>
      <c r="U133" s="20">
        <f ca="1">IFERROR(__xludf.DUMMYFUNCTION("if(W133=1,COUNTIFS(FILTER($H$2:$H905,$H$2:$H905=""OB"",$S$2:$S905=S133),""OB""),"""")"),0)</f>
        <v>0</v>
      </c>
      <c r="V133" s="20">
        <f ca="1">IFERROR(__xludf.DUMMYFUNCTION("IF(OR(ISNA(SUM(FILTER($K$2:$K905,$A$2:$A905=A133,$S$2:$S905=S133,$H$2:$H905&lt;&gt;""OB""))),W133&lt;&gt;1),"""",SUM(FILTER($K$2:$K905,$A$2:$A905=A133,$S$2:$S905=S133,$H$2:$H905&lt;&gt;""OB"")))"),175000)</f>
        <v>175000</v>
      </c>
      <c r="W133" s="20">
        <f t="shared" si="5"/>
        <v>1</v>
      </c>
    </row>
    <row r="134" spans="1:23" ht="13">
      <c r="A134" s="14">
        <v>610422100244</v>
      </c>
      <c r="B134" s="15" t="str">
        <f t="array" ref="B134">IF(W134=1,INDEX('Database Mitra'!$H$2:$H905,MATCH(A134,'Database Mitra'!AK$2:AK905,0)),"")</f>
        <v>Sugianto</v>
      </c>
      <c r="C134" s="16" t="e">
        <f t="array" ref="C134">IF(W134=1,INDEX('Database Mitra'!$E$2:$E905,MATCH(A134,'Database Mitra'!AK$2:AK905,0)),"")</f>
        <v>#VALUE!</v>
      </c>
      <c r="D134" s="6" t="s">
        <v>33</v>
      </c>
      <c r="E134" s="16" t="str">
        <f t="array" ref="E134">IF(W134=1,INDEX('Input Kegiatan'!B$2:B905,MATCH($D134,'Input Kegiatan'!$A$2:$A905,0)),"")</f>
        <v>Kerangka Sampel Area (KSA) 2024 Juli</v>
      </c>
      <c r="F134" s="17">
        <f t="array" ref="F134">IF(W134=1,INDEX('Input Kegiatan'!D$2:D905,MATCH($D134,'Input Kegiatan'!$A$2:$A905,0)),"")</f>
        <v>45474</v>
      </c>
      <c r="G134" s="17">
        <f t="array" ref="G134">IF(W134=1,INDEX('Input Kegiatan'!E$2:E905,MATCH($D134,'Input Kegiatan'!$A$2:$A905,0)),"")</f>
        <v>45504</v>
      </c>
      <c r="H134" s="16" t="str">
        <f t="array" ref="H134">IF(W134=1,INDEX(Honor!$H$2:$H905,MATCH($D134&amp;"-"&amp;R134,Honor!$K$2:$K905,0)),"")</f>
        <v>Segmen</v>
      </c>
      <c r="I134" s="18">
        <f>IF(W134=1,SUMIFS(Honor!$I$2:$I905,Honor!$K$2:$K905,$D134&amp;"-"&amp;R134),"")</f>
        <v>175000</v>
      </c>
      <c r="J134" s="19">
        <f t="shared" si="6"/>
        <v>1</v>
      </c>
      <c r="K134" s="20">
        <f t="shared" si="0"/>
        <v>175000</v>
      </c>
      <c r="L134" s="17">
        <f t="shared" si="1"/>
        <v>45504</v>
      </c>
      <c r="M134" s="20">
        <f ca="1">IF(W134=1,IF(AND(U134&lt;2,INT(V134)&lt;='Batasan Honor'!$B$2),1,0),"")</f>
        <v>1</v>
      </c>
      <c r="N134" s="21"/>
      <c r="O134" s="20">
        <f t="shared" si="2"/>
        <v>7</v>
      </c>
      <c r="P134" s="20">
        <f t="shared" si="3"/>
        <v>2024</v>
      </c>
      <c r="Q134" s="21"/>
      <c r="R134" s="22" t="s">
        <v>25</v>
      </c>
      <c r="S134" s="21" t="str">
        <f t="shared" si="4"/>
        <v>610422100244,2024,7</v>
      </c>
      <c r="T134" s="21"/>
      <c r="U134" s="20">
        <f ca="1">IFERROR(__xludf.DUMMYFUNCTION("if(W134=1,COUNTIFS(FILTER($H$2:$H905,$H$2:$H905=""OB"",$S$2:$S905=S134),""OB""),"""")"),0)</f>
        <v>0</v>
      </c>
      <c r="V134" s="20">
        <f ca="1">IFERROR(__xludf.DUMMYFUNCTION("IF(OR(ISNA(SUM(FILTER($K$2:$K905,$A$2:$A905=A134,$S$2:$S905=S134,$H$2:$H905&lt;&gt;""OB""))),W134&lt;&gt;1),"""",SUM(FILTER($K$2:$K905,$A$2:$A905=A134,$S$2:$S905=S134,$H$2:$H905&lt;&gt;""OB"")))"),175000)</f>
        <v>175000</v>
      </c>
      <c r="W134" s="20">
        <f t="shared" si="5"/>
        <v>1</v>
      </c>
    </row>
    <row r="135" spans="1:23" ht="13">
      <c r="A135" s="14">
        <v>610422100176</v>
      </c>
      <c r="B135" s="15" t="str">
        <f t="array" ref="B135">IF(W135=1,INDEX('Database Mitra'!$H$2:$H905,MATCH(A135,'Database Mitra'!AK$2:AK905,0)),"")</f>
        <v>Feri Firdaus</v>
      </c>
      <c r="C135" s="16" t="e">
        <f t="array" ref="C135">IF(W135=1,INDEX('Database Mitra'!$E$2:$E905,MATCH(A135,'Database Mitra'!AK$2:AK905,0)),"")</f>
        <v>#VALUE!</v>
      </c>
      <c r="D135" s="6" t="s">
        <v>33</v>
      </c>
      <c r="E135" s="16" t="str">
        <f t="array" ref="E135">IF(W135=1,INDEX('Input Kegiatan'!B$2:B905,MATCH($D135,'Input Kegiatan'!$A$2:$A905,0)),"")</f>
        <v>Kerangka Sampel Area (KSA) 2024 Juli</v>
      </c>
      <c r="F135" s="17">
        <f t="array" ref="F135">IF(W135=1,INDEX('Input Kegiatan'!D$2:D905,MATCH($D135,'Input Kegiatan'!$A$2:$A905,0)),"")</f>
        <v>45474</v>
      </c>
      <c r="G135" s="17">
        <f t="array" ref="G135">IF(W135=1,INDEX('Input Kegiatan'!E$2:E905,MATCH($D135,'Input Kegiatan'!$A$2:$A905,0)),"")</f>
        <v>45504</v>
      </c>
      <c r="H135" s="16" t="str">
        <f t="array" ref="H135">IF(W135=1,INDEX(Honor!$H$2:$H905,MATCH($D135&amp;"-"&amp;R135,Honor!$K$2:$K905,0)),"")</f>
        <v>Segmen</v>
      </c>
      <c r="I135" s="18">
        <f>IF(W135=1,SUMIFS(Honor!$I$2:$I905,Honor!$K$2:$K905,$D135&amp;"-"&amp;R135),"")</f>
        <v>175000</v>
      </c>
      <c r="J135" s="19">
        <f t="shared" si="6"/>
        <v>1</v>
      </c>
      <c r="K135" s="20">
        <f t="shared" si="0"/>
        <v>175000</v>
      </c>
      <c r="L135" s="17">
        <f t="shared" si="1"/>
        <v>45504</v>
      </c>
      <c r="M135" s="20">
        <f ca="1">IF(W135=1,IF(AND(U135&lt;2,INT(V135)&lt;='Batasan Honor'!$B$2),1,0),"")</f>
        <v>1</v>
      </c>
      <c r="N135" s="21"/>
      <c r="O135" s="20">
        <f t="shared" si="2"/>
        <v>7</v>
      </c>
      <c r="P135" s="20">
        <f t="shared" si="3"/>
        <v>2024</v>
      </c>
      <c r="Q135" s="21"/>
      <c r="R135" s="22" t="s">
        <v>25</v>
      </c>
      <c r="S135" s="21" t="str">
        <f t="shared" si="4"/>
        <v>610422100176,2024,7</v>
      </c>
      <c r="T135" s="21"/>
      <c r="U135" s="20">
        <f ca="1">IFERROR(__xludf.DUMMYFUNCTION("if(W135=1,COUNTIFS(FILTER($H$2:$H905,$H$2:$H905=""OB"",$S$2:$S905=S135),""OB""),"""")"),0)</f>
        <v>0</v>
      </c>
      <c r="V135" s="20">
        <f ca="1">IFERROR(__xludf.DUMMYFUNCTION("IF(OR(ISNA(SUM(FILTER($K$2:$K905,$A$2:$A905=A135,$S$2:$S905=S135,$H$2:$H905&lt;&gt;""OB""))),W135&lt;&gt;1),"""",SUM(FILTER($K$2:$K905,$A$2:$A905=A135,$S$2:$S905=S135,$H$2:$H905&lt;&gt;""OB"")))"),175000)</f>
        <v>175000</v>
      </c>
      <c r="W135" s="20">
        <f t="shared" si="5"/>
        <v>1</v>
      </c>
    </row>
    <row r="136" spans="1:23" ht="13">
      <c r="A136" s="14">
        <v>610423040018</v>
      </c>
      <c r="B136" s="15" t="str">
        <f t="array" ref="B136">IF(W136=1,INDEX('Database Mitra'!$H$2:$H905,MATCH(A136,'Database Mitra'!AK$2:AK905,0)),"")</f>
        <v>Handoko Tuah Sabarman Sipayung</v>
      </c>
      <c r="C136" s="16" t="e">
        <f t="array" ref="C136">IF(W136=1,INDEX('Database Mitra'!$E$2:$E905,MATCH(A136,'Database Mitra'!AK$2:AK905,0)),"")</f>
        <v>#VALUE!</v>
      </c>
      <c r="D136" s="6" t="s">
        <v>33</v>
      </c>
      <c r="E136" s="16" t="str">
        <f t="array" ref="E136">IF(W136=1,INDEX('Input Kegiatan'!B$2:B905,MATCH($D136,'Input Kegiatan'!$A$2:$A905,0)),"")</f>
        <v>Kerangka Sampel Area (KSA) 2024 Juli</v>
      </c>
      <c r="F136" s="17">
        <f t="array" ref="F136">IF(W136=1,INDEX('Input Kegiatan'!D$2:D905,MATCH($D136,'Input Kegiatan'!$A$2:$A905,0)),"")</f>
        <v>45474</v>
      </c>
      <c r="G136" s="17">
        <f t="array" ref="G136">IF(W136=1,INDEX('Input Kegiatan'!E$2:E905,MATCH($D136,'Input Kegiatan'!$A$2:$A905,0)),"")</f>
        <v>45504</v>
      </c>
      <c r="H136" s="16" t="str">
        <f t="array" ref="H136">IF(W136=1,INDEX(Honor!$H$2:$H905,MATCH($D136&amp;"-"&amp;R136,Honor!$K$2:$K905,0)),"")</f>
        <v>Segmen</v>
      </c>
      <c r="I136" s="18">
        <f>IF(W136=1,SUMIFS(Honor!$I$2:$I905,Honor!$K$2:$K905,$D136&amp;"-"&amp;R136),"")</f>
        <v>175000</v>
      </c>
      <c r="J136" s="19">
        <f t="shared" si="6"/>
        <v>1</v>
      </c>
      <c r="K136" s="20">
        <f t="shared" si="0"/>
        <v>175000</v>
      </c>
      <c r="L136" s="17">
        <f t="shared" si="1"/>
        <v>45504</v>
      </c>
      <c r="M136" s="20">
        <f ca="1">IF(W136=1,IF(AND(U136&lt;2,INT(V136)&lt;='Batasan Honor'!$B$2),1,0),"")</f>
        <v>1</v>
      </c>
      <c r="N136" s="21"/>
      <c r="O136" s="20">
        <f t="shared" si="2"/>
        <v>7</v>
      </c>
      <c r="P136" s="20">
        <f t="shared" si="3"/>
        <v>2024</v>
      </c>
      <c r="Q136" s="21"/>
      <c r="R136" s="22" t="s">
        <v>25</v>
      </c>
      <c r="S136" s="21" t="str">
        <f t="shared" si="4"/>
        <v>610423040018,2024,7</v>
      </c>
      <c r="T136" s="21"/>
      <c r="U136" s="20">
        <f ca="1">IFERROR(__xludf.DUMMYFUNCTION("if(W136=1,COUNTIFS(FILTER($H$2:$H905,$H$2:$H905=""OB"",$S$2:$S905=S136),""OB""),"""")"),0)</f>
        <v>0</v>
      </c>
      <c r="V136" s="20">
        <f ca="1">IFERROR(__xludf.DUMMYFUNCTION("IF(OR(ISNA(SUM(FILTER($K$2:$K905,$A$2:$A905=A136,$S$2:$S905=S136,$H$2:$H905&lt;&gt;""OB""))),W136&lt;&gt;1),"""",SUM(FILTER($K$2:$K905,$A$2:$A905=A136,$S$2:$S905=S136,$H$2:$H905&lt;&gt;""OB"")))"),175000)</f>
        <v>175000</v>
      </c>
      <c r="W136" s="20">
        <f t="shared" si="5"/>
        <v>1</v>
      </c>
    </row>
    <row r="137" spans="1:23" ht="13">
      <c r="A137" s="14">
        <v>610423110183</v>
      </c>
      <c r="B137" s="15" t="str">
        <f t="array" ref="B137">IF(W137=1,INDEX('Database Mitra'!$H$2:$H905,MATCH(A137,'Database Mitra'!AK$2:AK905,0)),"")</f>
        <v>azhar</v>
      </c>
      <c r="C137" s="16" t="e">
        <f t="array" ref="C137">IF(W137=1,INDEX('Database Mitra'!$E$2:$E905,MATCH(A137,'Database Mitra'!AK$2:AK905,0)),"")</f>
        <v>#VALUE!</v>
      </c>
      <c r="D137" s="6" t="s">
        <v>33</v>
      </c>
      <c r="E137" s="16" t="str">
        <f t="array" ref="E137">IF(W137=1,INDEX('Input Kegiatan'!B$2:B905,MATCH($D137,'Input Kegiatan'!$A$2:$A905,0)),"")</f>
        <v>Kerangka Sampel Area (KSA) 2024 Juli</v>
      </c>
      <c r="F137" s="17">
        <f t="array" ref="F137">IF(W137=1,INDEX('Input Kegiatan'!D$2:D905,MATCH($D137,'Input Kegiatan'!$A$2:$A905,0)),"")</f>
        <v>45474</v>
      </c>
      <c r="G137" s="17">
        <f t="array" ref="G137">IF(W137=1,INDEX('Input Kegiatan'!E$2:E905,MATCH($D137,'Input Kegiatan'!$A$2:$A905,0)),"")</f>
        <v>45504</v>
      </c>
      <c r="H137" s="16" t="str">
        <f t="array" ref="H137">IF(W137=1,INDEX(Honor!$H$2:$H905,MATCH($D137&amp;"-"&amp;R137,Honor!$K$2:$K905,0)),"")</f>
        <v>Segmen</v>
      </c>
      <c r="I137" s="18">
        <f>IF(W137=1,SUMIFS(Honor!$I$2:$I905,Honor!$K$2:$K905,$D137&amp;"-"&amp;R137),"")</f>
        <v>175000</v>
      </c>
      <c r="J137" s="19">
        <f t="shared" si="6"/>
        <v>1</v>
      </c>
      <c r="K137" s="20">
        <f t="shared" si="0"/>
        <v>175000</v>
      </c>
      <c r="L137" s="17">
        <f t="shared" si="1"/>
        <v>45504</v>
      </c>
      <c r="M137" s="20">
        <f ca="1">IF(W137=1,IF(AND(U137&lt;2,INT(V137)&lt;='Batasan Honor'!$B$2),1,0),"")</f>
        <v>1</v>
      </c>
      <c r="N137" s="21"/>
      <c r="O137" s="20">
        <f t="shared" si="2"/>
        <v>7</v>
      </c>
      <c r="P137" s="20">
        <f t="shared" si="3"/>
        <v>2024</v>
      </c>
      <c r="Q137" s="21"/>
      <c r="R137" s="22" t="s">
        <v>25</v>
      </c>
      <c r="S137" s="21" t="str">
        <f t="shared" si="4"/>
        <v>610423110183,2024,7</v>
      </c>
      <c r="T137" s="21"/>
      <c r="U137" s="20">
        <f ca="1">IFERROR(__xludf.DUMMYFUNCTION("if(W137=1,COUNTIFS(FILTER($H$2:$H905,$H$2:$H905=""OB"",$S$2:$S905=S137),""OB""),"""")"),0)</f>
        <v>0</v>
      </c>
      <c r="V137" s="20">
        <f ca="1">IFERROR(__xludf.DUMMYFUNCTION("IF(OR(ISNA(SUM(FILTER($K$2:$K905,$A$2:$A905=A137,$S$2:$S905=S137,$H$2:$H905&lt;&gt;""OB""))),W137&lt;&gt;1),"""",SUM(FILTER($K$2:$K905,$A$2:$A905=A137,$S$2:$S905=S137,$H$2:$H905&lt;&gt;""OB"")))"),175000)</f>
        <v>175000</v>
      </c>
      <c r="W137" s="20">
        <f t="shared" si="5"/>
        <v>1</v>
      </c>
    </row>
    <row r="138" spans="1:23" ht="13">
      <c r="A138" s="14">
        <v>610422020016</v>
      </c>
      <c r="B138" s="15" t="str">
        <f t="array" ref="B138">IF(W138=1,INDEX('Database Mitra'!$H$2:$H905,MATCH(A138,'Database Mitra'!AK$2:AK905,0)),"")</f>
        <v>Abdul Aziz</v>
      </c>
      <c r="C138" s="16" t="e">
        <f t="array" ref="C138">IF(W138=1,INDEX('Database Mitra'!$E$2:$E905,MATCH(A138,'Database Mitra'!AK$2:AK905,0)),"")</f>
        <v>#VALUE!</v>
      </c>
      <c r="D138" s="6" t="s">
        <v>34</v>
      </c>
      <c r="E138" s="16" t="str">
        <f t="array" ref="E138">IF(W138=1,INDEX('Input Kegiatan'!B$2:B905,MATCH($D138,'Input Kegiatan'!$A$2:$A905,0)),"")</f>
        <v>Kerangka Sampel Area (KSA) 2024 Agustus</v>
      </c>
      <c r="F138" s="17">
        <f t="array" ref="F138">IF(W138=1,INDEX('Input Kegiatan'!D$2:D905,MATCH($D138,'Input Kegiatan'!$A$2:$A905,0)),"")</f>
        <v>45505</v>
      </c>
      <c r="G138" s="17">
        <f t="array" ref="G138">IF(W138=1,INDEX('Input Kegiatan'!E$2:E905,MATCH($D138,'Input Kegiatan'!$A$2:$A905,0)),"")</f>
        <v>45535</v>
      </c>
      <c r="H138" s="16" t="str">
        <f t="array" ref="H138">IF(W138=1,INDEX(Honor!$H$2:$H905,MATCH($D138&amp;"-"&amp;R138,Honor!$K$2:$K905,0)),"")</f>
        <v>Segmen</v>
      </c>
      <c r="I138" s="18">
        <f>IF(W138=1,SUMIFS(Honor!$I$2:$I905,Honor!$K$2:$K905,$D138&amp;"-"&amp;R138),"")</f>
        <v>175000</v>
      </c>
      <c r="J138" s="19">
        <f t="shared" si="6"/>
        <v>1</v>
      </c>
      <c r="K138" s="20">
        <f t="shared" si="0"/>
        <v>175000</v>
      </c>
      <c r="L138" s="17">
        <f t="shared" si="1"/>
        <v>45535</v>
      </c>
      <c r="M138" s="20">
        <f ca="1">IF(W138=1,IF(AND(U138&lt;2,INT(V138)&lt;='Batasan Honor'!$B$2),1,0),"")</f>
        <v>1</v>
      </c>
      <c r="N138" s="21"/>
      <c r="O138" s="20">
        <f t="shared" si="2"/>
        <v>8</v>
      </c>
      <c r="P138" s="20">
        <f t="shared" si="3"/>
        <v>2024</v>
      </c>
      <c r="Q138" s="21"/>
      <c r="R138" s="22" t="s">
        <v>25</v>
      </c>
      <c r="S138" s="21" t="str">
        <f t="shared" si="4"/>
        <v>610422020016,2024,8</v>
      </c>
      <c r="T138" s="21"/>
      <c r="U138" s="20">
        <f ca="1">IFERROR(__xludf.DUMMYFUNCTION("if(W138=1,COUNTIFS(FILTER($H$2:$H905,$H$2:$H905=""OB"",$S$2:$S905=S138),""OB""),"""")"),0)</f>
        <v>0</v>
      </c>
      <c r="V138" s="20">
        <f ca="1">IFERROR(__xludf.DUMMYFUNCTION("IF(OR(ISNA(SUM(FILTER($K$2:$K905,$A$2:$A905=A138,$S$2:$S905=S138,$H$2:$H905&lt;&gt;""OB""))),W138&lt;&gt;1),"""",SUM(FILTER($K$2:$K905,$A$2:$A905=A138,$S$2:$S905=S138,$H$2:$H905&lt;&gt;""OB"")))"),175000)</f>
        <v>175000</v>
      </c>
      <c r="W138" s="20">
        <f t="shared" si="5"/>
        <v>1</v>
      </c>
    </row>
    <row r="139" spans="1:23" ht="12.5">
      <c r="A139" s="14">
        <v>610422020048</v>
      </c>
      <c r="B139" s="16" t="str">
        <f t="array" ref="B139">IF(W139=1,INDEX('Database Mitra'!$H$2:$H905,MATCH(A139,'Database Mitra'!AK$2:AK905,0)),"")</f>
        <v>Herri Gustaman</v>
      </c>
      <c r="C139" s="16" t="e">
        <f t="array" ref="C139">IF(W139=1,INDEX('Database Mitra'!$E$2:$E905,MATCH(A139,'Database Mitra'!AK$2:AK905,0)),"")</f>
        <v>#VALUE!</v>
      </c>
      <c r="D139" s="6" t="s">
        <v>34</v>
      </c>
      <c r="E139" s="16" t="str">
        <f t="array" ref="E139">IF(W139=1,INDEX('Input Kegiatan'!B$2:B905,MATCH($D139,'Input Kegiatan'!$A$2:$A905,0)),"")</f>
        <v>Kerangka Sampel Area (KSA) 2024 Agustus</v>
      </c>
      <c r="F139" s="17">
        <f t="array" ref="F139">IF(W139=1,INDEX('Input Kegiatan'!D$2:D905,MATCH($D139,'Input Kegiatan'!$A$2:$A905,0)),"")</f>
        <v>45505</v>
      </c>
      <c r="G139" s="17">
        <f t="array" ref="G139">IF(W139=1,INDEX('Input Kegiatan'!E$2:E905,MATCH($D139,'Input Kegiatan'!$A$2:$A905,0)),"")</f>
        <v>45535</v>
      </c>
      <c r="H139" s="16" t="str">
        <f t="array" ref="H139">IF(W139=1,INDEX(Honor!$H$2:$H905,MATCH($D139&amp;"-"&amp;R139,Honor!$K$2:$K905,0)),"")</f>
        <v>Segmen</v>
      </c>
      <c r="I139" s="18">
        <f>IF(W139=1,SUMIFS(Honor!$I$2:$I905,Honor!$K$2:$K905,$D139&amp;"-"&amp;R139),"")</f>
        <v>175000</v>
      </c>
      <c r="J139" s="19">
        <f t="shared" si="6"/>
        <v>1</v>
      </c>
      <c r="K139" s="20">
        <f t="shared" si="0"/>
        <v>175000</v>
      </c>
      <c r="L139" s="17">
        <f t="shared" si="1"/>
        <v>45535</v>
      </c>
      <c r="M139" s="20">
        <f ca="1">IF(W139=1,IF(AND(U139&lt;2,INT(V139)&lt;='Batasan Honor'!$B$2),1,0),"")</f>
        <v>1</v>
      </c>
      <c r="N139" s="21"/>
      <c r="O139" s="20">
        <f t="shared" si="2"/>
        <v>8</v>
      </c>
      <c r="P139" s="20">
        <f t="shared" si="3"/>
        <v>2024</v>
      </c>
      <c r="Q139" s="21"/>
      <c r="R139" s="22" t="s">
        <v>25</v>
      </c>
      <c r="S139" s="21" t="str">
        <f t="shared" si="4"/>
        <v>610422020048,2024,8</v>
      </c>
      <c r="T139" s="21"/>
      <c r="U139" s="20">
        <f ca="1">IFERROR(__xludf.DUMMYFUNCTION("if(W139=1,COUNTIFS(FILTER($H$2:$H905,$H$2:$H905=""OB"",$S$2:$S905=S139),""OB""),"""")"),0)</f>
        <v>0</v>
      </c>
      <c r="V139" s="20">
        <f ca="1">IFERROR(__xludf.DUMMYFUNCTION("IF(OR(ISNA(SUM(FILTER($K$2:$K905,$A$2:$A905=A139,$S$2:$S905=S139,$H$2:$H905&lt;&gt;""OB""))),W139&lt;&gt;1),"""",SUM(FILTER($K$2:$K905,$A$2:$A905=A139,$S$2:$S905=S139,$H$2:$H905&lt;&gt;""OB"")))"),175000)</f>
        <v>175000</v>
      </c>
      <c r="W139" s="20">
        <f t="shared" si="5"/>
        <v>1</v>
      </c>
    </row>
    <row r="140" spans="1:23" ht="13">
      <c r="A140" s="14">
        <v>610422040012</v>
      </c>
      <c r="B140" s="15" t="str">
        <f t="array" ref="B140">IF(W140=1,INDEX('Database Mitra'!$H$2:$H905,MATCH(A140,'Database Mitra'!AK$2:AK905,0)),"")</f>
        <v>Misdi</v>
      </c>
      <c r="C140" s="16" t="e">
        <f t="array" ref="C140">IF(W140=1,INDEX('Database Mitra'!$E$2:$E905,MATCH(A140,'Database Mitra'!AK$2:AK905,0)),"")</f>
        <v>#VALUE!</v>
      </c>
      <c r="D140" s="6" t="s">
        <v>34</v>
      </c>
      <c r="E140" s="16" t="str">
        <f t="array" ref="E140">IF(W140=1,INDEX('Input Kegiatan'!B$2:B905,MATCH($D140,'Input Kegiatan'!$A$2:$A905,0)),"")</f>
        <v>Kerangka Sampel Area (KSA) 2024 Agustus</v>
      </c>
      <c r="F140" s="17">
        <f t="array" ref="F140">IF(W140=1,INDEX('Input Kegiatan'!D$2:D905,MATCH($D140,'Input Kegiatan'!$A$2:$A905,0)),"")</f>
        <v>45505</v>
      </c>
      <c r="G140" s="17">
        <f t="array" ref="G140">IF(W140=1,INDEX('Input Kegiatan'!E$2:E905,MATCH($D140,'Input Kegiatan'!$A$2:$A905,0)),"")</f>
        <v>45535</v>
      </c>
      <c r="H140" s="16" t="str">
        <f t="array" ref="H140">IF(W140=1,INDEX(Honor!$H$2:$H905,MATCH($D140&amp;"-"&amp;R140,Honor!$K$2:$K905,0)),"")</f>
        <v>Segmen</v>
      </c>
      <c r="I140" s="18">
        <f>IF(W140=1,SUMIFS(Honor!$I$2:$I905,Honor!$K$2:$K905,$D140&amp;"-"&amp;R140),"")</f>
        <v>175000</v>
      </c>
      <c r="J140" s="19">
        <f t="shared" si="6"/>
        <v>1</v>
      </c>
      <c r="K140" s="20">
        <f t="shared" si="0"/>
        <v>175000</v>
      </c>
      <c r="L140" s="17">
        <f t="shared" si="1"/>
        <v>45535</v>
      </c>
      <c r="M140" s="20">
        <f ca="1">IF(W140=1,IF(AND(U140&lt;2,INT(V140)&lt;='Batasan Honor'!$B$2),1,0),"")</f>
        <v>1</v>
      </c>
      <c r="N140" s="21"/>
      <c r="O140" s="20">
        <f t="shared" si="2"/>
        <v>8</v>
      </c>
      <c r="P140" s="20">
        <f t="shared" si="3"/>
        <v>2024</v>
      </c>
      <c r="Q140" s="21"/>
      <c r="R140" s="22" t="s">
        <v>25</v>
      </c>
      <c r="S140" s="21" t="str">
        <f t="shared" si="4"/>
        <v>610422040012,2024,8</v>
      </c>
      <c r="T140" s="21"/>
      <c r="U140" s="20">
        <f ca="1">IFERROR(__xludf.DUMMYFUNCTION("if(W140=1,COUNTIFS(FILTER($H$2:$H905,$H$2:$H905=""OB"",$S$2:$S905=S140),""OB""),"""")"),0)</f>
        <v>0</v>
      </c>
      <c r="V140" s="20">
        <f ca="1">IFERROR(__xludf.DUMMYFUNCTION("IF(OR(ISNA(SUM(FILTER($K$2:$K905,$A$2:$A905=A140,$S$2:$S905=S140,$H$2:$H905&lt;&gt;""OB""))),W140&lt;&gt;1),"""",SUM(FILTER($K$2:$K905,$A$2:$A905=A140,$S$2:$S905=S140,$H$2:$H905&lt;&gt;""OB"")))"),175000)</f>
        <v>175000</v>
      </c>
      <c r="W140" s="20">
        <f t="shared" si="5"/>
        <v>1</v>
      </c>
    </row>
    <row r="141" spans="1:23" ht="12.5">
      <c r="A141" s="14">
        <v>610422040058</v>
      </c>
      <c r="B141" s="16" t="str">
        <f t="array" ref="B141">IF(W141=1,INDEX('Database Mitra'!$H$2:$H905,MATCH(A141,'Database Mitra'!AK$2:AK905,0)),"")</f>
        <v>Jamaluddin, SP</v>
      </c>
      <c r="C141" s="16" t="e">
        <f t="array" ref="C141">IF(W141=1,INDEX('Database Mitra'!$E$2:$E905,MATCH(A141,'Database Mitra'!AK$2:AK905,0)),"")</f>
        <v>#VALUE!</v>
      </c>
      <c r="D141" s="6" t="s">
        <v>34</v>
      </c>
      <c r="E141" s="16" t="str">
        <f t="array" ref="E141">IF(W141=1,INDEX('Input Kegiatan'!B$2:B905,MATCH($D141,'Input Kegiatan'!$A$2:$A905,0)),"")</f>
        <v>Kerangka Sampel Area (KSA) 2024 Agustus</v>
      </c>
      <c r="F141" s="17">
        <f t="array" ref="F141">IF(W141=1,INDEX('Input Kegiatan'!D$2:D905,MATCH($D141,'Input Kegiatan'!$A$2:$A905,0)),"")</f>
        <v>45505</v>
      </c>
      <c r="G141" s="17">
        <f t="array" ref="G141">IF(W141=1,INDEX('Input Kegiatan'!E$2:E905,MATCH($D141,'Input Kegiatan'!$A$2:$A905,0)),"")</f>
        <v>45535</v>
      </c>
      <c r="H141" s="16" t="str">
        <f t="array" ref="H141">IF(W141=1,INDEX(Honor!$H$2:$H905,MATCH($D141&amp;"-"&amp;R141,Honor!$K$2:$K905,0)),"")</f>
        <v>Segmen</v>
      </c>
      <c r="I141" s="18">
        <f>IF(W141=1,SUMIFS(Honor!$I$2:$I905,Honor!$K$2:$K905,$D141&amp;"-"&amp;R141),"")</f>
        <v>175000</v>
      </c>
      <c r="J141" s="19">
        <f t="shared" si="6"/>
        <v>1</v>
      </c>
      <c r="K141" s="20">
        <f t="shared" si="0"/>
        <v>175000</v>
      </c>
      <c r="L141" s="17">
        <f t="shared" si="1"/>
        <v>45535</v>
      </c>
      <c r="M141" s="20">
        <f ca="1">IF(W141=1,IF(AND(U141&lt;2,INT(V141)&lt;='Batasan Honor'!$B$2),1,0),"")</f>
        <v>1</v>
      </c>
      <c r="N141" s="21"/>
      <c r="O141" s="20">
        <f t="shared" si="2"/>
        <v>8</v>
      </c>
      <c r="P141" s="20">
        <f t="shared" si="3"/>
        <v>2024</v>
      </c>
      <c r="Q141" s="21"/>
      <c r="R141" s="22" t="s">
        <v>25</v>
      </c>
      <c r="S141" s="21" t="str">
        <f t="shared" si="4"/>
        <v>610422040058,2024,8</v>
      </c>
      <c r="T141" s="21"/>
      <c r="U141" s="20">
        <f ca="1">IFERROR(__xludf.DUMMYFUNCTION("if(W141=1,COUNTIFS(FILTER($H$2:$H905,$H$2:$H905=""OB"",$S$2:$S905=S141),""OB""),"""")"),0)</f>
        <v>0</v>
      </c>
      <c r="V141" s="20">
        <f ca="1">IFERROR(__xludf.DUMMYFUNCTION("IF(OR(ISNA(SUM(FILTER($K$2:$K905,$A$2:$A905=A141,$S$2:$S905=S141,$H$2:$H905&lt;&gt;""OB""))),W141&lt;&gt;1),"""",SUM(FILTER($K$2:$K905,$A$2:$A905=A141,$S$2:$S905=S141,$H$2:$H905&lt;&gt;""OB"")))"),175000)</f>
        <v>175000</v>
      </c>
      <c r="W141" s="20">
        <f t="shared" si="5"/>
        <v>1</v>
      </c>
    </row>
    <row r="142" spans="1:23" ht="13">
      <c r="A142" s="14">
        <v>610422040059</v>
      </c>
      <c r="B142" s="15" t="str">
        <f t="array" ref="B142">IF(W142=1,INDEX('Database Mitra'!$H$2:$H905,MATCH(A142,'Database Mitra'!AK$2:AK905,0)),"")</f>
        <v>Abang Handri</v>
      </c>
      <c r="C142" s="16" t="e">
        <f t="array" ref="C142">IF(W142=1,INDEX('Database Mitra'!$E$2:$E905,MATCH(A142,'Database Mitra'!AK$2:AK905,0)),"")</f>
        <v>#VALUE!</v>
      </c>
      <c r="D142" s="6" t="s">
        <v>34</v>
      </c>
      <c r="E142" s="16" t="str">
        <f t="array" ref="E142">IF(W142=1,INDEX('Input Kegiatan'!B$2:B905,MATCH($D142,'Input Kegiatan'!$A$2:$A905,0)),"")</f>
        <v>Kerangka Sampel Area (KSA) 2024 Agustus</v>
      </c>
      <c r="F142" s="17">
        <f t="array" ref="F142">IF(W142=1,INDEX('Input Kegiatan'!D$2:D905,MATCH($D142,'Input Kegiatan'!$A$2:$A905,0)),"")</f>
        <v>45505</v>
      </c>
      <c r="G142" s="17">
        <f t="array" ref="G142">IF(W142=1,INDEX('Input Kegiatan'!E$2:E905,MATCH($D142,'Input Kegiatan'!$A$2:$A905,0)),"")</f>
        <v>45535</v>
      </c>
      <c r="H142" s="16" t="str">
        <f t="array" ref="H142">IF(W142=1,INDEX(Honor!$H$2:$H905,MATCH($D142&amp;"-"&amp;R142,Honor!$K$2:$K905,0)),"")</f>
        <v>Segmen</v>
      </c>
      <c r="I142" s="18">
        <f>IF(W142=1,SUMIFS(Honor!$I$2:$I905,Honor!$K$2:$K905,$D142&amp;"-"&amp;R142),"")</f>
        <v>175000</v>
      </c>
      <c r="J142" s="19">
        <f t="shared" si="6"/>
        <v>1</v>
      </c>
      <c r="K142" s="20">
        <f t="shared" si="0"/>
        <v>175000</v>
      </c>
      <c r="L142" s="17">
        <f t="shared" si="1"/>
        <v>45535</v>
      </c>
      <c r="M142" s="20">
        <f ca="1">IF(W142=1,IF(AND(U142&lt;2,INT(V142)&lt;='Batasan Honor'!$B$2),1,0),"")</f>
        <v>1</v>
      </c>
      <c r="N142" s="21"/>
      <c r="O142" s="20">
        <f t="shared" si="2"/>
        <v>8</v>
      </c>
      <c r="P142" s="20">
        <f t="shared" si="3"/>
        <v>2024</v>
      </c>
      <c r="Q142" s="21"/>
      <c r="R142" s="22" t="s">
        <v>25</v>
      </c>
      <c r="S142" s="21" t="str">
        <f t="shared" si="4"/>
        <v>610422040059,2024,8</v>
      </c>
      <c r="T142" s="21"/>
      <c r="U142" s="20">
        <f ca="1">IFERROR(__xludf.DUMMYFUNCTION("if(W142=1,COUNTIFS(FILTER($H$2:$H905,$H$2:$H905=""OB"",$S$2:$S905=S142),""OB""),"""")"),0)</f>
        <v>0</v>
      </c>
      <c r="V142" s="20">
        <f ca="1">IFERROR(__xludf.DUMMYFUNCTION("IF(OR(ISNA(SUM(FILTER($K$2:$K905,$A$2:$A905=A142,$S$2:$S905=S142,$H$2:$H905&lt;&gt;""OB""))),W142&lt;&gt;1),"""",SUM(FILTER($K$2:$K905,$A$2:$A905=A142,$S$2:$S905=S142,$H$2:$H905&lt;&gt;""OB"")))"),175000)</f>
        <v>175000</v>
      </c>
      <c r="W142" s="20">
        <f t="shared" si="5"/>
        <v>1</v>
      </c>
    </row>
    <row r="143" spans="1:23" ht="13">
      <c r="A143" s="14">
        <v>610422040061</v>
      </c>
      <c r="B143" s="15" t="str">
        <f t="array" ref="B143">IF(W143=1,INDEX('Database Mitra'!$H$2:$H905,MATCH(A143,'Database Mitra'!AK$2:AK905,0)),"")</f>
        <v>Sabani</v>
      </c>
      <c r="C143" s="16" t="e">
        <f t="array" ref="C143">IF(W143=1,INDEX('Database Mitra'!$E$2:$E905,MATCH(A143,'Database Mitra'!AK$2:AK905,0)),"")</f>
        <v>#VALUE!</v>
      </c>
      <c r="D143" s="6" t="s">
        <v>34</v>
      </c>
      <c r="E143" s="16" t="str">
        <f t="array" ref="E143">IF(W143=1,INDEX('Input Kegiatan'!B$2:B905,MATCH($D143,'Input Kegiatan'!$A$2:$A905,0)),"")</f>
        <v>Kerangka Sampel Area (KSA) 2024 Agustus</v>
      </c>
      <c r="F143" s="17">
        <f t="array" ref="F143">IF(W143=1,INDEX('Input Kegiatan'!D$2:D905,MATCH($D143,'Input Kegiatan'!$A$2:$A905,0)),"")</f>
        <v>45505</v>
      </c>
      <c r="G143" s="17">
        <f t="array" ref="G143">IF(W143=1,INDEX('Input Kegiatan'!E$2:E905,MATCH($D143,'Input Kegiatan'!$A$2:$A905,0)),"")</f>
        <v>45535</v>
      </c>
      <c r="H143" s="16" t="str">
        <f t="array" ref="H143">IF(W143=1,INDEX(Honor!$H$2:$H905,MATCH($D143&amp;"-"&amp;R143,Honor!$K$2:$K905,0)),"")</f>
        <v>Segmen</v>
      </c>
      <c r="I143" s="18">
        <f>IF(W143=1,SUMIFS(Honor!$I$2:$I905,Honor!$K$2:$K905,$D143&amp;"-"&amp;R143),"")</f>
        <v>175000</v>
      </c>
      <c r="J143" s="19">
        <f t="shared" si="6"/>
        <v>1</v>
      </c>
      <c r="K143" s="20">
        <f t="shared" si="0"/>
        <v>175000</v>
      </c>
      <c r="L143" s="17">
        <f t="shared" si="1"/>
        <v>45535</v>
      </c>
      <c r="M143" s="20">
        <f ca="1">IF(W143=1,IF(AND(U143&lt;2,INT(V143)&lt;='Batasan Honor'!$B$2),1,0),"")</f>
        <v>1</v>
      </c>
      <c r="N143" s="21"/>
      <c r="O143" s="20">
        <f t="shared" si="2"/>
        <v>8</v>
      </c>
      <c r="P143" s="20">
        <f t="shared" si="3"/>
        <v>2024</v>
      </c>
      <c r="Q143" s="21"/>
      <c r="R143" s="22" t="s">
        <v>25</v>
      </c>
      <c r="S143" s="21" t="str">
        <f t="shared" si="4"/>
        <v>610422040061,2024,8</v>
      </c>
      <c r="T143" s="21"/>
      <c r="U143" s="20">
        <f ca="1">IFERROR(__xludf.DUMMYFUNCTION("if(W143=1,COUNTIFS(FILTER($H$2:$H905,$H$2:$H905=""OB"",$S$2:$S905=S143),""OB""),"""")"),0)</f>
        <v>0</v>
      </c>
      <c r="V143" s="20">
        <f ca="1">IFERROR(__xludf.DUMMYFUNCTION("IF(OR(ISNA(SUM(FILTER($K$2:$K905,$A$2:$A905=A143,$S$2:$S905=S143,$H$2:$H905&lt;&gt;""OB""))),W143&lt;&gt;1),"""",SUM(FILTER($K$2:$K905,$A$2:$A905=A143,$S$2:$S905=S143,$H$2:$H905&lt;&gt;""OB"")))"),175000)</f>
        <v>175000</v>
      </c>
      <c r="W143" s="20">
        <f t="shared" si="5"/>
        <v>1</v>
      </c>
    </row>
    <row r="144" spans="1:23" ht="13">
      <c r="A144" s="14">
        <v>610422100131</v>
      </c>
      <c r="B144" s="15" t="str">
        <f t="array" ref="B144">IF(W144=1,INDEX('Database Mitra'!$H$2:$H905,MATCH(A144,'Database Mitra'!AK$2:AK905,0)),"")</f>
        <v>SYAMSUL</v>
      </c>
      <c r="C144" s="16" t="e">
        <f t="array" ref="C144">IF(W144=1,INDEX('Database Mitra'!$E$2:$E905,MATCH(A144,'Database Mitra'!AK$2:AK905,0)),"")</f>
        <v>#VALUE!</v>
      </c>
      <c r="D144" s="6" t="s">
        <v>34</v>
      </c>
      <c r="E144" s="16" t="str">
        <f t="array" ref="E144">IF(W144=1,INDEX('Input Kegiatan'!B$2:B905,MATCH($D144,'Input Kegiatan'!$A$2:$A905,0)),"")</f>
        <v>Kerangka Sampel Area (KSA) 2024 Agustus</v>
      </c>
      <c r="F144" s="17">
        <f t="array" ref="F144">IF(W144=1,INDEX('Input Kegiatan'!D$2:D905,MATCH($D144,'Input Kegiatan'!$A$2:$A905,0)),"")</f>
        <v>45505</v>
      </c>
      <c r="G144" s="17">
        <f t="array" ref="G144">IF(W144=1,INDEX('Input Kegiatan'!E$2:E905,MATCH($D144,'Input Kegiatan'!$A$2:$A905,0)),"")</f>
        <v>45535</v>
      </c>
      <c r="H144" s="16" t="str">
        <f t="array" ref="H144">IF(W144=1,INDEX(Honor!$H$2:$H905,MATCH($D144&amp;"-"&amp;R144,Honor!$K$2:$K905,0)),"")</f>
        <v>Segmen</v>
      </c>
      <c r="I144" s="18">
        <f>IF(W144=1,SUMIFS(Honor!$I$2:$I905,Honor!$K$2:$K905,$D144&amp;"-"&amp;R144),"")</f>
        <v>175000</v>
      </c>
      <c r="J144" s="19">
        <f t="shared" si="6"/>
        <v>1</v>
      </c>
      <c r="K144" s="20">
        <f t="shared" si="0"/>
        <v>175000</v>
      </c>
      <c r="L144" s="17">
        <f t="shared" si="1"/>
        <v>45535</v>
      </c>
      <c r="M144" s="20">
        <f ca="1">IF(W144=1,IF(AND(U144&lt;2,INT(V144)&lt;='Batasan Honor'!$B$2),1,0),"")</f>
        <v>1</v>
      </c>
      <c r="N144" s="21"/>
      <c r="O144" s="20">
        <f t="shared" si="2"/>
        <v>8</v>
      </c>
      <c r="P144" s="20">
        <f t="shared" si="3"/>
        <v>2024</v>
      </c>
      <c r="Q144" s="21"/>
      <c r="R144" s="22" t="s">
        <v>25</v>
      </c>
      <c r="S144" s="21" t="str">
        <f t="shared" si="4"/>
        <v>610422100131,2024,8</v>
      </c>
      <c r="T144" s="21"/>
      <c r="U144" s="20">
        <f ca="1">IFERROR(__xludf.DUMMYFUNCTION("if(W144=1,COUNTIFS(FILTER($H$2:$H905,$H$2:$H905=""OB"",$S$2:$S905=S144),""OB""),"""")"),0)</f>
        <v>0</v>
      </c>
      <c r="V144" s="20">
        <f ca="1">IFERROR(__xludf.DUMMYFUNCTION("IF(OR(ISNA(SUM(FILTER($K$2:$K905,$A$2:$A905=A144,$S$2:$S905=S144,$H$2:$H905&lt;&gt;""OB""))),W144&lt;&gt;1),"""",SUM(FILTER($K$2:$K905,$A$2:$A905=A144,$S$2:$S905=S144,$H$2:$H905&lt;&gt;""OB"")))"),175000)</f>
        <v>175000</v>
      </c>
      <c r="W144" s="20">
        <f t="shared" si="5"/>
        <v>1</v>
      </c>
    </row>
    <row r="145" spans="1:23" ht="13">
      <c r="A145" s="14">
        <v>610422100244</v>
      </c>
      <c r="B145" s="15" t="str">
        <f t="array" ref="B145">IF(W145=1,INDEX('Database Mitra'!$H$2:$H905,MATCH(A145,'Database Mitra'!AK$2:AK905,0)),"")</f>
        <v>Sugianto</v>
      </c>
      <c r="C145" s="16" t="e">
        <f t="array" ref="C145">IF(W145=1,INDEX('Database Mitra'!$E$2:$E905,MATCH(A145,'Database Mitra'!AK$2:AK905,0)),"")</f>
        <v>#VALUE!</v>
      </c>
      <c r="D145" s="6" t="s">
        <v>34</v>
      </c>
      <c r="E145" s="16" t="str">
        <f t="array" ref="E145">IF(W145=1,INDEX('Input Kegiatan'!B$2:B905,MATCH($D145,'Input Kegiatan'!$A$2:$A905,0)),"")</f>
        <v>Kerangka Sampel Area (KSA) 2024 Agustus</v>
      </c>
      <c r="F145" s="17">
        <f t="array" ref="F145">IF(W145=1,INDEX('Input Kegiatan'!D$2:D905,MATCH($D145,'Input Kegiatan'!$A$2:$A905,0)),"")</f>
        <v>45505</v>
      </c>
      <c r="G145" s="17">
        <f t="array" ref="G145">IF(W145=1,INDEX('Input Kegiatan'!E$2:E905,MATCH($D145,'Input Kegiatan'!$A$2:$A905,0)),"")</f>
        <v>45535</v>
      </c>
      <c r="H145" s="16" t="str">
        <f t="array" ref="H145">IF(W145=1,INDEX(Honor!$H$2:$H905,MATCH($D145&amp;"-"&amp;R145,Honor!$K$2:$K905,0)),"")</f>
        <v>Segmen</v>
      </c>
      <c r="I145" s="18">
        <f>IF(W145=1,SUMIFS(Honor!$I$2:$I905,Honor!$K$2:$K905,$D145&amp;"-"&amp;R145),"")</f>
        <v>175000</v>
      </c>
      <c r="J145" s="19">
        <f t="shared" si="6"/>
        <v>1</v>
      </c>
      <c r="K145" s="20">
        <f t="shared" si="0"/>
        <v>175000</v>
      </c>
      <c r="L145" s="17">
        <f t="shared" si="1"/>
        <v>45535</v>
      </c>
      <c r="M145" s="20">
        <f ca="1">IF(W145=1,IF(AND(U145&lt;2,INT(V145)&lt;='Batasan Honor'!$B$2),1,0),"")</f>
        <v>1</v>
      </c>
      <c r="N145" s="21"/>
      <c r="O145" s="20">
        <f t="shared" si="2"/>
        <v>8</v>
      </c>
      <c r="P145" s="20">
        <f t="shared" si="3"/>
        <v>2024</v>
      </c>
      <c r="Q145" s="21"/>
      <c r="R145" s="22" t="s">
        <v>25</v>
      </c>
      <c r="S145" s="21" t="str">
        <f t="shared" si="4"/>
        <v>610422100244,2024,8</v>
      </c>
      <c r="T145" s="21"/>
      <c r="U145" s="20">
        <f ca="1">IFERROR(__xludf.DUMMYFUNCTION("if(W145=1,COUNTIFS(FILTER($H$2:$H905,$H$2:$H905=""OB"",$S$2:$S905=S145),""OB""),"""")"),0)</f>
        <v>0</v>
      </c>
      <c r="V145" s="20">
        <f ca="1">IFERROR(__xludf.DUMMYFUNCTION("IF(OR(ISNA(SUM(FILTER($K$2:$K905,$A$2:$A905=A145,$S$2:$S905=S145,$H$2:$H905&lt;&gt;""OB""))),W145&lt;&gt;1),"""",SUM(FILTER($K$2:$K905,$A$2:$A905=A145,$S$2:$S905=S145,$H$2:$H905&lt;&gt;""OB"")))"),175000)</f>
        <v>175000</v>
      </c>
      <c r="W145" s="20">
        <f t="shared" si="5"/>
        <v>1</v>
      </c>
    </row>
    <row r="146" spans="1:23" ht="13">
      <c r="A146" s="14">
        <v>610422100176</v>
      </c>
      <c r="B146" s="15" t="str">
        <f t="array" ref="B146">IF(W146=1,INDEX('Database Mitra'!$H$2:$H905,MATCH(A146,'Database Mitra'!AK$2:AK905,0)),"")</f>
        <v>Feri Firdaus</v>
      </c>
      <c r="C146" s="16" t="e">
        <f t="array" ref="C146">IF(W146=1,INDEX('Database Mitra'!$E$2:$E905,MATCH(A146,'Database Mitra'!AK$2:AK905,0)),"")</f>
        <v>#VALUE!</v>
      </c>
      <c r="D146" s="6" t="s">
        <v>34</v>
      </c>
      <c r="E146" s="16" t="str">
        <f t="array" ref="E146">IF(W146=1,INDEX('Input Kegiatan'!B$2:B905,MATCH($D146,'Input Kegiatan'!$A$2:$A905,0)),"")</f>
        <v>Kerangka Sampel Area (KSA) 2024 Agustus</v>
      </c>
      <c r="F146" s="17">
        <f t="array" ref="F146">IF(W146=1,INDEX('Input Kegiatan'!D$2:D905,MATCH($D146,'Input Kegiatan'!$A$2:$A905,0)),"")</f>
        <v>45505</v>
      </c>
      <c r="G146" s="17">
        <f t="array" ref="G146">IF(W146=1,INDEX('Input Kegiatan'!E$2:E905,MATCH($D146,'Input Kegiatan'!$A$2:$A905,0)),"")</f>
        <v>45535</v>
      </c>
      <c r="H146" s="16" t="str">
        <f t="array" ref="H146">IF(W146=1,INDEX(Honor!$H$2:$H905,MATCH($D146&amp;"-"&amp;R146,Honor!$K$2:$K905,0)),"")</f>
        <v>Segmen</v>
      </c>
      <c r="I146" s="18">
        <f>IF(W146=1,SUMIFS(Honor!$I$2:$I905,Honor!$K$2:$K905,$D146&amp;"-"&amp;R146),"")</f>
        <v>175000</v>
      </c>
      <c r="J146" s="19">
        <f t="shared" si="6"/>
        <v>1</v>
      </c>
      <c r="K146" s="20">
        <f t="shared" si="0"/>
        <v>175000</v>
      </c>
      <c r="L146" s="17">
        <f t="shared" si="1"/>
        <v>45535</v>
      </c>
      <c r="M146" s="20">
        <f ca="1">IF(W146=1,IF(AND(U146&lt;2,INT(V146)&lt;='Batasan Honor'!$B$2),1,0),"")</f>
        <v>1</v>
      </c>
      <c r="N146" s="21"/>
      <c r="O146" s="20">
        <f t="shared" si="2"/>
        <v>8</v>
      </c>
      <c r="P146" s="20">
        <f t="shared" si="3"/>
        <v>2024</v>
      </c>
      <c r="Q146" s="21"/>
      <c r="R146" s="22" t="s">
        <v>25</v>
      </c>
      <c r="S146" s="21" t="str">
        <f t="shared" si="4"/>
        <v>610422100176,2024,8</v>
      </c>
      <c r="T146" s="21"/>
      <c r="U146" s="20">
        <f ca="1">IFERROR(__xludf.DUMMYFUNCTION("if(W146=1,COUNTIFS(FILTER($H$2:$H905,$H$2:$H905=""OB"",$S$2:$S905=S146),""OB""),"""")"),0)</f>
        <v>0</v>
      </c>
      <c r="V146" s="20">
        <f ca="1">IFERROR(__xludf.DUMMYFUNCTION("IF(OR(ISNA(SUM(FILTER($K$2:$K905,$A$2:$A905=A146,$S$2:$S905=S146,$H$2:$H905&lt;&gt;""OB""))),W146&lt;&gt;1),"""",SUM(FILTER($K$2:$K905,$A$2:$A905=A146,$S$2:$S905=S146,$H$2:$H905&lt;&gt;""OB"")))"),175000)</f>
        <v>175000</v>
      </c>
      <c r="W146" s="20">
        <f t="shared" si="5"/>
        <v>1</v>
      </c>
    </row>
    <row r="147" spans="1:23" ht="13">
      <c r="A147" s="14">
        <v>610423040018</v>
      </c>
      <c r="B147" s="15" t="str">
        <f t="array" ref="B147">IF(W147=1,INDEX('Database Mitra'!$H$2:$H905,MATCH(A147,'Database Mitra'!AK$2:AK905,0)),"")</f>
        <v>Handoko Tuah Sabarman Sipayung</v>
      </c>
      <c r="C147" s="16" t="e">
        <f t="array" ref="C147">IF(W147=1,INDEX('Database Mitra'!$E$2:$E905,MATCH(A147,'Database Mitra'!AK$2:AK905,0)),"")</f>
        <v>#VALUE!</v>
      </c>
      <c r="D147" s="6" t="s">
        <v>34</v>
      </c>
      <c r="E147" s="16" t="str">
        <f t="array" ref="E147">IF(W147=1,INDEX('Input Kegiatan'!B$2:B905,MATCH($D147,'Input Kegiatan'!$A$2:$A905,0)),"")</f>
        <v>Kerangka Sampel Area (KSA) 2024 Agustus</v>
      </c>
      <c r="F147" s="17">
        <f t="array" ref="F147">IF(W147=1,INDEX('Input Kegiatan'!D$2:D905,MATCH($D147,'Input Kegiatan'!$A$2:$A905,0)),"")</f>
        <v>45505</v>
      </c>
      <c r="G147" s="17">
        <f t="array" ref="G147">IF(W147=1,INDEX('Input Kegiatan'!E$2:E905,MATCH($D147,'Input Kegiatan'!$A$2:$A905,0)),"")</f>
        <v>45535</v>
      </c>
      <c r="H147" s="16" t="str">
        <f t="array" ref="H147">IF(W147=1,INDEX(Honor!$H$2:$H905,MATCH($D147&amp;"-"&amp;R147,Honor!$K$2:$K905,0)),"")</f>
        <v>Segmen</v>
      </c>
      <c r="I147" s="18">
        <f>IF(W147=1,SUMIFS(Honor!$I$2:$I905,Honor!$K$2:$K905,$D147&amp;"-"&amp;R147),"")</f>
        <v>175000</v>
      </c>
      <c r="J147" s="19">
        <f t="shared" si="6"/>
        <v>1</v>
      </c>
      <c r="K147" s="20">
        <f t="shared" si="0"/>
        <v>175000</v>
      </c>
      <c r="L147" s="17">
        <f t="shared" si="1"/>
        <v>45535</v>
      </c>
      <c r="M147" s="20">
        <f ca="1">IF(W147=1,IF(AND(U147&lt;2,INT(V147)&lt;='Batasan Honor'!$B$2),1,0),"")</f>
        <v>1</v>
      </c>
      <c r="N147" s="21"/>
      <c r="O147" s="20">
        <f t="shared" si="2"/>
        <v>8</v>
      </c>
      <c r="P147" s="20">
        <f t="shared" si="3"/>
        <v>2024</v>
      </c>
      <c r="Q147" s="21"/>
      <c r="R147" s="22" t="s">
        <v>25</v>
      </c>
      <c r="S147" s="21" t="str">
        <f t="shared" si="4"/>
        <v>610423040018,2024,8</v>
      </c>
      <c r="T147" s="21"/>
      <c r="U147" s="20">
        <f ca="1">IFERROR(__xludf.DUMMYFUNCTION("if(W147=1,COUNTIFS(FILTER($H$2:$H905,$H$2:$H905=""OB"",$S$2:$S905=S147),""OB""),"""")"),0)</f>
        <v>0</v>
      </c>
      <c r="V147" s="20">
        <f ca="1">IFERROR(__xludf.DUMMYFUNCTION("IF(OR(ISNA(SUM(FILTER($K$2:$K905,$A$2:$A905=A147,$S$2:$S905=S147,$H$2:$H905&lt;&gt;""OB""))),W147&lt;&gt;1),"""",SUM(FILTER($K$2:$K905,$A$2:$A905=A147,$S$2:$S905=S147,$H$2:$H905&lt;&gt;""OB"")))"),175000)</f>
        <v>175000</v>
      </c>
      <c r="W147" s="20">
        <f t="shared" si="5"/>
        <v>1</v>
      </c>
    </row>
    <row r="148" spans="1:23" ht="13">
      <c r="A148" s="14">
        <v>610423110183</v>
      </c>
      <c r="B148" s="15" t="str">
        <f t="array" ref="B148">IF(W148=1,INDEX('Database Mitra'!$H$2:$H905,MATCH(A148,'Database Mitra'!AK$2:AK905,0)),"")</f>
        <v>azhar</v>
      </c>
      <c r="C148" s="16" t="e">
        <f t="array" ref="C148">IF(W148=1,INDEX('Database Mitra'!$E$2:$E905,MATCH(A148,'Database Mitra'!AK$2:AK905,0)),"")</f>
        <v>#VALUE!</v>
      </c>
      <c r="D148" s="6" t="s">
        <v>34</v>
      </c>
      <c r="E148" s="16" t="str">
        <f t="array" ref="E148">IF(W148=1,INDEX('Input Kegiatan'!B$2:B905,MATCH($D148,'Input Kegiatan'!$A$2:$A905,0)),"")</f>
        <v>Kerangka Sampel Area (KSA) 2024 Agustus</v>
      </c>
      <c r="F148" s="17">
        <f t="array" ref="F148">IF(W148=1,INDEX('Input Kegiatan'!D$2:D905,MATCH($D148,'Input Kegiatan'!$A$2:$A905,0)),"")</f>
        <v>45505</v>
      </c>
      <c r="G148" s="17">
        <f t="array" ref="G148">IF(W148=1,INDEX('Input Kegiatan'!E$2:E905,MATCH($D148,'Input Kegiatan'!$A$2:$A905,0)),"")</f>
        <v>45535</v>
      </c>
      <c r="H148" s="16" t="str">
        <f t="array" ref="H148">IF(W148=1,INDEX(Honor!$H$2:$H905,MATCH($D148&amp;"-"&amp;R148,Honor!$K$2:$K905,0)),"")</f>
        <v>Segmen</v>
      </c>
      <c r="I148" s="18">
        <f>IF(W148=1,SUMIFS(Honor!$I$2:$I905,Honor!$K$2:$K905,$D148&amp;"-"&amp;R148),"")</f>
        <v>175000</v>
      </c>
      <c r="J148" s="19">
        <f t="shared" si="6"/>
        <v>1</v>
      </c>
      <c r="K148" s="20">
        <f t="shared" si="0"/>
        <v>175000</v>
      </c>
      <c r="L148" s="17">
        <f t="shared" si="1"/>
        <v>45535</v>
      </c>
      <c r="M148" s="20">
        <f ca="1">IF(W148=1,IF(AND(U148&lt;2,INT(V148)&lt;='Batasan Honor'!$B$2),1,0),"")</f>
        <v>1</v>
      </c>
      <c r="N148" s="21"/>
      <c r="O148" s="20">
        <f t="shared" si="2"/>
        <v>8</v>
      </c>
      <c r="P148" s="20">
        <f t="shared" si="3"/>
        <v>2024</v>
      </c>
      <c r="Q148" s="21"/>
      <c r="R148" s="22" t="s">
        <v>25</v>
      </c>
      <c r="S148" s="21" t="str">
        <f t="shared" si="4"/>
        <v>610423110183,2024,8</v>
      </c>
      <c r="T148" s="21"/>
      <c r="U148" s="20">
        <f ca="1">IFERROR(__xludf.DUMMYFUNCTION("if(W148=1,COUNTIFS(FILTER($H$2:$H905,$H$2:$H905=""OB"",$S$2:$S905=S148),""OB""),"""")"),0)</f>
        <v>0</v>
      </c>
      <c r="V148" s="20">
        <f ca="1">IFERROR(__xludf.DUMMYFUNCTION("IF(OR(ISNA(SUM(FILTER($K$2:$K905,$A$2:$A905=A148,$S$2:$S905=S148,$H$2:$H905&lt;&gt;""OB""))),W148&lt;&gt;1),"""",SUM(FILTER($K$2:$K905,$A$2:$A905=A148,$S$2:$S905=S148,$H$2:$H905&lt;&gt;""OB"")))"),175000)</f>
        <v>175000</v>
      </c>
      <c r="W148" s="20">
        <f t="shared" si="5"/>
        <v>1</v>
      </c>
    </row>
    <row r="149" spans="1:23" ht="13">
      <c r="A149" s="14">
        <v>610422020016</v>
      </c>
      <c r="B149" s="15" t="str">
        <f t="array" ref="B149">IF(W149=1,INDEX('Database Mitra'!$H$2:$H905,MATCH(A149,'Database Mitra'!AK$2:AK905,0)),"")</f>
        <v>Abdul Aziz</v>
      </c>
      <c r="C149" s="16" t="e">
        <f t="array" ref="C149">IF(W149=1,INDEX('Database Mitra'!$E$2:$E905,MATCH(A149,'Database Mitra'!AK$2:AK905,0)),"")</f>
        <v>#VALUE!</v>
      </c>
      <c r="D149" s="6" t="s">
        <v>35</v>
      </c>
      <c r="E149" s="16" t="str">
        <f t="array" ref="E149">IF(W149=1,INDEX('Input Kegiatan'!B$2:B905,MATCH($D149,'Input Kegiatan'!$A$2:$A905,0)),"")</f>
        <v>Kerangka Sampel Area (KSA) 2024 September</v>
      </c>
      <c r="F149" s="17">
        <f t="array" ref="F149">IF(W149=1,INDEX('Input Kegiatan'!D$2:D905,MATCH($D149,'Input Kegiatan'!$A$2:$A905,0)),"")</f>
        <v>45536</v>
      </c>
      <c r="G149" s="17">
        <f t="array" ref="G149">IF(W149=1,INDEX('Input Kegiatan'!E$2:E905,MATCH($D149,'Input Kegiatan'!$A$2:$A905,0)),"")</f>
        <v>45565</v>
      </c>
      <c r="H149" s="16" t="str">
        <f t="array" ref="H149">IF(W149=1,INDEX(Honor!$H$2:$H905,MATCH($D149&amp;"-"&amp;R149,Honor!$K$2:$K905,0)),"")</f>
        <v>Segmen</v>
      </c>
      <c r="I149" s="18">
        <f>IF(W149=1,SUMIFS(Honor!$I$2:$I905,Honor!$K$2:$K905,$D149&amp;"-"&amp;R149),"")</f>
        <v>175000</v>
      </c>
      <c r="J149" s="19">
        <f t="shared" si="6"/>
        <v>1</v>
      </c>
      <c r="K149" s="20">
        <f t="shared" si="0"/>
        <v>175000</v>
      </c>
      <c r="L149" s="17">
        <f t="shared" si="1"/>
        <v>45565</v>
      </c>
      <c r="M149" s="20">
        <f ca="1">IF(W149=1,IF(AND(U149&lt;2,INT(V149)&lt;='Batasan Honor'!$B$2),1,0),"")</f>
        <v>1</v>
      </c>
      <c r="N149" s="21"/>
      <c r="O149" s="20">
        <f t="shared" si="2"/>
        <v>9</v>
      </c>
      <c r="P149" s="20">
        <f t="shared" si="3"/>
        <v>2024</v>
      </c>
      <c r="Q149" s="21"/>
      <c r="R149" s="22" t="s">
        <v>25</v>
      </c>
      <c r="S149" s="21" t="str">
        <f t="shared" si="4"/>
        <v>610422020016,2024,9</v>
      </c>
      <c r="T149" s="21"/>
      <c r="U149" s="20">
        <f ca="1">IFERROR(__xludf.DUMMYFUNCTION("if(W149=1,COUNTIFS(FILTER($H$2:$H905,$H$2:$H905=""OB"",$S$2:$S905=S149),""OB""),"""")"),0)</f>
        <v>0</v>
      </c>
      <c r="V149" s="20">
        <f ca="1">IFERROR(__xludf.DUMMYFUNCTION("IF(OR(ISNA(SUM(FILTER($K$2:$K905,$A$2:$A905=A149,$S$2:$S905=S149,$H$2:$H905&lt;&gt;""OB""))),W149&lt;&gt;1),"""",SUM(FILTER($K$2:$K905,$A$2:$A905=A149,$S$2:$S905=S149,$H$2:$H905&lt;&gt;""OB"")))"),175000)</f>
        <v>175000</v>
      </c>
      <c r="W149" s="20">
        <f t="shared" si="5"/>
        <v>1</v>
      </c>
    </row>
    <row r="150" spans="1:23" ht="12.5">
      <c r="A150" s="14">
        <v>610422020048</v>
      </c>
      <c r="B150" s="16" t="str">
        <f t="array" ref="B150">IF(W150=1,INDEX('Database Mitra'!$H$2:$H905,MATCH(A150,'Database Mitra'!AK$2:AK905,0)),"")</f>
        <v>Herri Gustaman</v>
      </c>
      <c r="C150" s="16" t="e">
        <f t="array" ref="C150">IF(W150=1,INDEX('Database Mitra'!$E$2:$E905,MATCH(A150,'Database Mitra'!AK$2:AK905,0)),"")</f>
        <v>#VALUE!</v>
      </c>
      <c r="D150" s="6" t="s">
        <v>35</v>
      </c>
      <c r="E150" s="16" t="str">
        <f t="array" ref="E150">IF(W150=1,INDEX('Input Kegiatan'!B$2:B905,MATCH($D150,'Input Kegiatan'!$A$2:$A905,0)),"")</f>
        <v>Kerangka Sampel Area (KSA) 2024 September</v>
      </c>
      <c r="F150" s="17">
        <f t="array" ref="F150">IF(W150=1,INDEX('Input Kegiatan'!D$2:D905,MATCH($D150,'Input Kegiatan'!$A$2:$A905,0)),"")</f>
        <v>45536</v>
      </c>
      <c r="G150" s="17">
        <f t="array" ref="G150">IF(W150=1,INDEX('Input Kegiatan'!E$2:E905,MATCH($D150,'Input Kegiatan'!$A$2:$A905,0)),"")</f>
        <v>45565</v>
      </c>
      <c r="H150" s="16" t="str">
        <f t="array" ref="H150">IF(W150=1,INDEX(Honor!$H$2:$H905,MATCH($D150&amp;"-"&amp;R150,Honor!$K$2:$K905,0)),"")</f>
        <v>Segmen</v>
      </c>
      <c r="I150" s="18">
        <f>IF(W150=1,SUMIFS(Honor!$I$2:$I905,Honor!$K$2:$K905,$D150&amp;"-"&amp;R150),"")</f>
        <v>175000</v>
      </c>
      <c r="J150" s="19">
        <f t="shared" si="6"/>
        <v>1</v>
      </c>
      <c r="K150" s="20">
        <f t="shared" si="0"/>
        <v>175000</v>
      </c>
      <c r="L150" s="17">
        <f t="shared" si="1"/>
        <v>45565</v>
      </c>
      <c r="M150" s="20">
        <f ca="1">IF(W150=1,IF(AND(U150&lt;2,INT(V150)&lt;='Batasan Honor'!$B$2),1,0),"")</f>
        <v>1</v>
      </c>
      <c r="N150" s="21"/>
      <c r="O150" s="20">
        <f t="shared" si="2"/>
        <v>9</v>
      </c>
      <c r="P150" s="20">
        <f t="shared" si="3"/>
        <v>2024</v>
      </c>
      <c r="Q150" s="21"/>
      <c r="R150" s="22" t="s">
        <v>25</v>
      </c>
      <c r="S150" s="21" t="str">
        <f t="shared" si="4"/>
        <v>610422020048,2024,9</v>
      </c>
      <c r="T150" s="21"/>
      <c r="U150" s="20">
        <f ca="1">IFERROR(__xludf.DUMMYFUNCTION("if(W150=1,COUNTIFS(FILTER($H$2:$H905,$H$2:$H905=""OB"",$S$2:$S905=S150),""OB""),"""")"),0)</f>
        <v>0</v>
      </c>
      <c r="V150" s="20">
        <f ca="1">IFERROR(__xludf.DUMMYFUNCTION("IF(OR(ISNA(SUM(FILTER($K$2:$K905,$A$2:$A905=A150,$S$2:$S905=S150,$H$2:$H905&lt;&gt;""OB""))),W150&lt;&gt;1),"""",SUM(FILTER($K$2:$K905,$A$2:$A905=A150,$S$2:$S905=S150,$H$2:$H905&lt;&gt;""OB"")))"),175000)</f>
        <v>175000</v>
      </c>
      <c r="W150" s="20">
        <f t="shared" si="5"/>
        <v>1</v>
      </c>
    </row>
    <row r="151" spans="1:23" ht="13">
      <c r="A151" s="14">
        <v>610422040012</v>
      </c>
      <c r="B151" s="15" t="str">
        <f t="array" ref="B151">IF(W151=1,INDEX('Database Mitra'!$H$2:$H905,MATCH(A151,'Database Mitra'!AK$2:AK905,0)),"")</f>
        <v>Misdi</v>
      </c>
      <c r="C151" s="16" t="e">
        <f t="array" ref="C151">IF(W151=1,INDEX('Database Mitra'!$E$2:$E905,MATCH(A151,'Database Mitra'!AK$2:AK905,0)),"")</f>
        <v>#VALUE!</v>
      </c>
      <c r="D151" s="6" t="s">
        <v>35</v>
      </c>
      <c r="E151" s="16" t="str">
        <f t="array" ref="E151">IF(W151=1,INDEX('Input Kegiatan'!B$2:B905,MATCH($D151,'Input Kegiatan'!$A$2:$A905,0)),"")</f>
        <v>Kerangka Sampel Area (KSA) 2024 September</v>
      </c>
      <c r="F151" s="17">
        <f t="array" ref="F151">IF(W151=1,INDEX('Input Kegiatan'!D$2:D905,MATCH($D151,'Input Kegiatan'!$A$2:$A905,0)),"")</f>
        <v>45536</v>
      </c>
      <c r="G151" s="17">
        <f t="array" ref="G151">IF(W151=1,INDEX('Input Kegiatan'!E$2:E905,MATCH($D151,'Input Kegiatan'!$A$2:$A905,0)),"")</f>
        <v>45565</v>
      </c>
      <c r="H151" s="16" t="str">
        <f t="array" ref="H151">IF(W151=1,INDEX(Honor!$H$2:$H905,MATCH($D151&amp;"-"&amp;R151,Honor!$K$2:$K905,0)),"")</f>
        <v>Segmen</v>
      </c>
      <c r="I151" s="18">
        <f>IF(W151=1,SUMIFS(Honor!$I$2:$I905,Honor!$K$2:$K905,$D151&amp;"-"&amp;R151),"")</f>
        <v>175000</v>
      </c>
      <c r="J151" s="19">
        <f t="shared" si="6"/>
        <v>1</v>
      </c>
      <c r="K151" s="20">
        <f t="shared" si="0"/>
        <v>175000</v>
      </c>
      <c r="L151" s="17">
        <f t="shared" si="1"/>
        <v>45565</v>
      </c>
      <c r="M151" s="20">
        <f ca="1">IF(W151=1,IF(AND(U151&lt;2,INT(V151)&lt;='Batasan Honor'!$B$2),1,0),"")</f>
        <v>1</v>
      </c>
      <c r="N151" s="21"/>
      <c r="O151" s="20">
        <f t="shared" si="2"/>
        <v>9</v>
      </c>
      <c r="P151" s="20">
        <f t="shared" si="3"/>
        <v>2024</v>
      </c>
      <c r="Q151" s="21"/>
      <c r="R151" s="22" t="s">
        <v>25</v>
      </c>
      <c r="S151" s="21" t="str">
        <f t="shared" si="4"/>
        <v>610422040012,2024,9</v>
      </c>
      <c r="T151" s="21"/>
      <c r="U151" s="20">
        <f ca="1">IFERROR(__xludf.DUMMYFUNCTION("if(W151=1,COUNTIFS(FILTER($H$2:$H905,$H$2:$H905=""OB"",$S$2:$S905=S151),""OB""),"""")"),0)</f>
        <v>0</v>
      </c>
      <c r="V151" s="20">
        <f ca="1">IFERROR(__xludf.DUMMYFUNCTION("IF(OR(ISNA(SUM(FILTER($K$2:$K905,$A$2:$A905=A151,$S$2:$S905=S151,$H$2:$H905&lt;&gt;""OB""))),W151&lt;&gt;1),"""",SUM(FILTER($K$2:$K905,$A$2:$A905=A151,$S$2:$S905=S151,$H$2:$H905&lt;&gt;""OB"")))"),175000)</f>
        <v>175000</v>
      </c>
      <c r="W151" s="20">
        <f t="shared" si="5"/>
        <v>1</v>
      </c>
    </row>
    <row r="152" spans="1:23" ht="12.5">
      <c r="A152" s="14">
        <v>610422040058</v>
      </c>
      <c r="B152" s="16" t="str">
        <f t="array" ref="B152">IF(W152=1,INDEX('Database Mitra'!$H$2:$H905,MATCH(A152,'Database Mitra'!AK$2:AK905,0)),"")</f>
        <v>Jamaluddin, SP</v>
      </c>
      <c r="C152" s="16" t="e">
        <f t="array" ref="C152">IF(W152=1,INDEX('Database Mitra'!$E$2:$E905,MATCH(A152,'Database Mitra'!AK$2:AK905,0)),"")</f>
        <v>#VALUE!</v>
      </c>
      <c r="D152" s="6" t="s">
        <v>35</v>
      </c>
      <c r="E152" s="16" t="str">
        <f t="array" ref="E152">IF(W152=1,INDEX('Input Kegiatan'!B$2:B905,MATCH($D152,'Input Kegiatan'!$A$2:$A905,0)),"")</f>
        <v>Kerangka Sampel Area (KSA) 2024 September</v>
      </c>
      <c r="F152" s="17">
        <f t="array" ref="F152">IF(W152=1,INDEX('Input Kegiatan'!D$2:D905,MATCH($D152,'Input Kegiatan'!$A$2:$A905,0)),"")</f>
        <v>45536</v>
      </c>
      <c r="G152" s="17">
        <f t="array" ref="G152">IF(W152=1,INDEX('Input Kegiatan'!E$2:E905,MATCH($D152,'Input Kegiatan'!$A$2:$A905,0)),"")</f>
        <v>45565</v>
      </c>
      <c r="H152" s="16" t="str">
        <f t="array" ref="H152">IF(W152=1,INDEX(Honor!$H$2:$H905,MATCH($D152&amp;"-"&amp;R152,Honor!$K$2:$K905,0)),"")</f>
        <v>Segmen</v>
      </c>
      <c r="I152" s="18">
        <f>IF(W152=1,SUMIFS(Honor!$I$2:$I905,Honor!$K$2:$K905,$D152&amp;"-"&amp;R152),"")</f>
        <v>175000</v>
      </c>
      <c r="J152" s="19">
        <f t="shared" si="6"/>
        <v>1</v>
      </c>
      <c r="K152" s="20">
        <f t="shared" si="0"/>
        <v>175000</v>
      </c>
      <c r="L152" s="17">
        <f t="shared" si="1"/>
        <v>45565</v>
      </c>
      <c r="M152" s="20">
        <f ca="1">IF(W152=1,IF(AND(U152&lt;2,INT(V152)&lt;='Batasan Honor'!$B$2),1,0),"")</f>
        <v>1</v>
      </c>
      <c r="N152" s="21"/>
      <c r="O152" s="20">
        <f t="shared" si="2"/>
        <v>9</v>
      </c>
      <c r="P152" s="20">
        <f t="shared" si="3"/>
        <v>2024</v>
      </c>
      <c r="Q152" s="21"/>
      <c r="R152" s="22" t="s">
        <v>25</v>
      </c>
      <c r="S152" s="21" t="str">
        <f t="shared" si="4"/>
        <v>610422040058,2024,9</v>
      </c>
      <c r="T152" s="21"/>
      <c r="U152" s="20">
        <f ca="1">IFERROR(__xludf.DUMMYFUNCTION("if(W152=1,COUNTIFS(FILTER($H$2:$H905,$H$2:$H905=""OB"",$S$2:$S905=S152),""OB""),"""")"),0)</f>
        <v>0</v>
      </c>
      <c r="V152" s="20">
        <f ca="1">IFERROR(__xludf.DUMMYFUNCTION("IF(OR(ISNA(SUM(FILTER($K$2:$K905,$A$2:$A905=A152,$S$2:$S905=S152,$H$2:$H905&lt;&gt;""OB""))),W152&lt;&gt;1),"""",SUM(FILTER($K$2:$K905,$A$2:$A905=A152,$S$2:$S905=S152,$H$2:$H905&lt;&gt;""OB"")))"),175000)</f>
        <v>175000</v>
      </c>
      <c r="W152" s="20">
        <f t="shared" si="5"/>
        <v>1</v>
      </c>
    </row>
    <row r="153" spans="1:23" ht="13">
      <c r="A153" s="14">
        <v>610422040059</v>
      </c>
      <c r="B153" s="15" t="str">
        <f t="array" ref="B153">IF(W153=1,INDEX('Database Mitra'!$H$2:$H905,MATCH(A153,'Database Mitra'!AK$2:AK905,0)),"")</f>
        <v>Abang Handri</v>
      </c>
      <c r="C153" s="16" t="e">
        <f t="array" ref="C153">IF(W153=1,INDEX('Database Mitra'!$E$2:$E905,MATCH(A153,'Database Mitra'!AK$2:AK905,0)),"")</f>
        <v>#VALUE!</v>
      </c>
      <c r="D153" s="6" t="s">
        <v>35</v>
      </c>
      <c r="E153" s="16" t="str">
        <f t="array" ref="E153">IF(W153=1,INDEX('Input Kegiatan'!B$2:B905,MATCH($D153,'Input Kegiatan'!$A$2:$A905,0)),"")</f>
        <v>Kerangka Sampel Area (KSA) 2024 September</v>
      </c>
      <c r="F153" s="17">
        <f t="array" ref="F153">IF(W153=1,INDEX('Input Kegiatan'!D$2:D905,MATCH($D153,'Input Kegiatan'!$A$2:$A905,0)),"")</f>
        <v>45536</v>
      </c>
      <c r="G153" s="17">
        <f t="array" ref="G153">IF(W153=1,INDEX('Input Kegiatan'!E$2:E905,MATCH($D153,'Input Kegiatan'!$A$2:$A905,0)),"")</f>
        <v>45565</v>
      </c>
      <c r="H153" s="16" t="str">
        <f t="array" ref="H153">IF(W153=1,INDEX(Honor!$H$2:$H905,MATCH($D153&amp;"-"&amp;R153,Honor!$K$2:$K905,0)),"")</f>
        <v>Segmen</v>
      </c>
      <c r="I153" s="18">
        <f>IF(W153=1,SUMIFS(Honor!$I$2:$I905,Honor!$K$2:$K905,$D153&amp;"-"&amp;R153),"")</f>
        <v>175000</v>
      </c>
      <c r="J153" s="19">
        <f t="shared" si="6"/>
        <v>1</v>
      </c>
      <c r="K153" s="20">
        <f t="shared" si="0"/>
        <v>175000</v>
      </c>
      <c r="L153" s="17">
        <f t="shared" si="1"/>
        <v>45565</v>
      </c>
      <c r="M153" s="20">
        <f ca="1">IF(W153=1,IF(AND(U153&lt;2,INT(V153)&lt;='Batasan Honor'!$B$2),1,0),"")</f>
        <v>1</v>
      </c>
      <c r="N153" s="21"/>
      <c r="O153" s="20">
        <f t="shared" si="2"/>
        <v>9</v>
      </c>
      <c r="P153" s="20">
        <f t="shared" si="3"/>
        <v>2024</v>
      </c>
      <c r="Q153" s="21"/>
      <c r="R153" s="22" t="s">
        <v>25</v>
      </c>
      <c r="S153" s="21" t="str">
        <f t="shared" si="4"/>
        <v>610422040059,2024,9</v>
      </c>
      <c r="T153" s="21"/>
      <c r="U153" s="20">
        <f ca="1">IFERROR(__xludf.DUMMYFUNCTION("if(W153=1,COUNTIFS(FILTER($H$2:$H905,$H$2:$H905=""OB"",$S$2:$S905=S153),""OB""),"""")"),0)</f>
        <v>0</v>
      </c>
      <c r="V153" s="20">
        <f ca="1">IFERROR(__xludf.DUMMYFUNCTION("IF(OR(ISNA(SUM(FILTER($K$2:$K905,$A$2:$A905=A153,$S$2:$S905=S153,$H$2:$H905&lt;&gt;""OB""))),W153&lt;&gt;1),"""",SUM(FILTER($K$2:$K905,$A$2:$A905=A153,$S$2:$S905=S153,$H$2:$H905&lt;&gt;""OB"")))"),175000)</f>
        <v>175000</v>
      </c>
      <c r="W153" s="20">
        <f t="shared" si="5"/>
        <v>1</v>
      </c>
    </row>
    <row r="154" spans="1:23" ht="13">
      <c r="A154" s="14">
        <v>610422040061</v>
      </c>
      <c r="B154" s="15" t="str">
        <f t="array" ref="B154">IF(W154=1,INDEX('Database Mitra'!$H$2:$H905,MATCH(A154,'Database Mitra'!AK$2:AK905,0)),"")</f>
        <v>Sabani</v>
      </c>
      <c r="C154" s="16" t="e">
        <f t="array" ref="C154">IF(W154=1,INDEX('Database Mitra'!$E$2:$E905,MATCH(A154,'Database Mitra'!AK$2:AK905,0)),"")</f>
        <v>#VALUE!</v>
      </c>
      <c r="D154" s="6" t="s">
        <v>35</v>
      </c>
      <c r="E154" s="16" t="str">
        <f t="array" ref="E154">IF(W154=1,INDEX('Input Kegiatan'!B$2:B905,MATCH($D154,'Input Kegiatan'!$A$2:$A905,0)),"")</f>
        <v>Kerangka Sampel Area (KSA) 2024 September</v>
      </c>
      <c r="F154" s="17">
        <f t="array" ref="F154">IF(W154=1,INDEX('Input Kegiatan'!D$2:D905,MATCH($D154,'Input Kegiatan'!$A$2:$A905,0)),"")</f>
        <v>45536</v>
      </c>
      <c r="G154" s="17">
        <f t="array" ref="G154">IF(W154=1,INDEX('Input Kegiatan'!E$2:E905,MATCH($D154,'Input Kegiatan'!$A$2:$A905,0)),"")</f>
        <v>45565</v>
      </c>
      <c r="H154" s="16" t="str">
        <f t="array" ref="H154">IF(W154=1,INDEX(Honor!$H$2:$H905,MATCH($D154&amp;"-"&amp;R154,Honor!$K$2:$K905,0)),"")</f>
        <v>Segmen</v>
      </c>
      <c r="I154" s="18">
        <f>IF(W154=1,SUMIFS(Honor!$I$2:$I905,Honor!$K$2:$K905,$D154&amp;"-"&amp;R154),"")</f>
        <v>175000</v>
      </c>
      <c r="J154" s="19">
        <f t="shared" si="6"/>
        <v>1</v>
      </c>
      <c r="K154" s="20">
        <f t="shared" si="0"/>
        <v>175000</v>
      </c>
      <c r="L154" s="17">
        <f t="shared" si="1"/>
        <v>45565</v>
      </c>
      <c r="M154" s="20">
        <f ca="1">IF(W154=1,IF(AND(U154&lt;2,INT(V154)&lt;='Batasan Honor'!$B$2),1,0),"")</f>
        <v>1</v>
      </c>
      <c r="N154" s="21"/>
      <c r="O154" s="20">
        <f t="shared" si="2"/>
        <v>9</v>
      </c>
      <c r="P154" s="20">
        <f t="shared" si="3"/>
        <v>2024</v>
      </c>
      <c r="Q154" s="21"/>
      <c r="R154" s="22" t="s">
        <v>25</v>
      </c>
      <c r="S154" s="21" t="str">
        <f t="shared" si="4"/>
        <v>610422040061,2024,9</v>
      </c>
      <c r="T154" s="21"/>
      <c r="U154" s="20">
        <f ca="1">IFERROR(__xludf.DUMMYFUNCTION("if(W154=1,COUNTIFS(FILTER($H$2:$H905,$H$2:$H905=""OB"",$S$2:$S905=S154),""OB""),"""")"),0)</f>
        <v>0</v>
      </c>
      <c r="V154" s="20">
        <f ca="1">IFERROR(__xludf.DUMMYFUNCTION("IF(OR(ISNA(SUM(FILTER($K$2:$K905,$A$2:$A905=A154,$S$2:$S905=S154,$H$2:$H905&lt;&gt;""OB""))),W154&lt;&gt;1),"""",SUM(FILTER($K$2:$K905,$A$2:$A905=A154,$S$2:$S905=S154,$H$2:$H905&lt;&gt;""OB"")))"),175000)</f>
        <v>175000</v>
      </c>
      <c r="W154" s="20">
        <f t="shared" si="5"/>
        <v>1</v>
      </c>
    </row>
    <row r="155" spans="1:23" ht="13">
      <c r="A155" s="14">
        <v>610422100131</v>
      </c>
      <c r="B155" s="15" t="str">
        <f t="array" ref="B155">IF(W155=1,INDEX('Database Mitra'!$H$2:$H905,MATCH(A155,'Database Mitra'!AK$2:AK905,0)),"")</f>
        <v>SYAMSUL</v>
      </c>
      <c r="C155" s="16" t="e">
        <f t="array" ref="C155">IF(W155=1,INDEX('Database Mitra'!$E$2:$E905,MATCH(A155,'Database Mitra'!AK$2:AK905,0)),"")</f>
        <v>#VALUE!</v>
      </c>
      <c r="D155" s="6" t="s">
        <v>35</v>
      </c>
      <c r="E155" s="16" t="str">
        <f t="array" ref="E155">IF(W155=1,INDEX('Input Kegiatan'!B$2:B905,MATCH($D155,'Input Kegiatan'!$A$2:$A905,0)),"")</f>
        <v>Kerangka Sampel Area (KSA) 2024 September</v>
      </c>
      <c r="F155" s="17">
        <f t="array" ref="F155">IF(W155=1,INDEX('Input Kegiatan'!D$2:D905,MATCH($D155,'Input Kegiatan'!$A$2:$A905,0)),"")</f>
        <v>45536</v>
      </c>
      <c r="G155" s="17">
        <f t="array" ref="G155">IF(W155=1,INDEX('Input Kegiatan'!E$2:E905,MATCH($D155,'Input Kegiatan'!$A$2:$A905,0)),"")</f>
        <v>45565</v>
      </c>
      <c r="H155" s="16" t="str">
        <f t="array" ref="H155">IF(W155=1,INDEX(Honor!$H$2:$H905,MATCH($D155&amp;"-"&amp;R155,Honor!$K$2:$K905,0)),"")</f>
        <v>Segmen</v>
      </c>
      <c r="I155" s="18">
        <f>IF(W155=1,SUMIFS(Honor!$I$2:$I905,Honor!$K$2:$K905,$D155&amp;"-"&amp;R155),"")</f>
        <v>175000</v>
      </c>
      <c r="J155" s="19">
        <f t="shared" si="6"/>
        <v>1</v>
      </c>
      <c r="K155" s="20">
        <f t="shared" si="0"/>
        <v>175000</v>
      </c>
      <c r="L155" s="17">
        <f t="shared" si="1"/>
        <v>45565</v>
      </c>
      <c r="M155" s="20">
        <f ca="1">IF(W155=1,IF(AND(U155&lt;2,INT(V155)&lt;='Batasan Honor'!$B$2),1,0),"")</f>
        <v>1</v>
      </c>
      <c r="N155" s="21"/>
      <c r="O155" s="20">
        <f t="shared" si="2"/>
        <v>9</v>
      </c>
      <c r="P155" s="20">
        <f t="shared" si="3"/>
        <v>2024</v>
      </c>
      <c r="Q155" s="21"/>
      <c r="R155" s="22" t="s">
        <v>25</v>
      </c>
      <c r="S155" s="21" t="str">
        <f t="shared" si="4"/>
        <v>610422100131,2024,9</v>
      </c>
      <c r="T155" s="21"/>
      <c r="U155" s="20">
        <f ca="1">IFERROR(__xludf.DUMMYFUNCTION("if(W155=1,COUNTIFS(FILTER($H$2:$H905,$H$2:$H905=""OB"",$S$2:$S905=S155),""OB""),"""")"),0)</f>
        <v>0</v>
      </c>
      <c r="V155" s="20">
        <f ca="1">IFERROR(__xludf.DUMMYFUNCTION("IF(OR(ISNA(SUM(FILTER($K$2:$K905,$A$2:$A905=A155,$S$2:$S905=S155,$H$2:$H905&lt;&gt;""OB""))),W155&lt;&gt;1),"""",SUM(FILTER($K$2:$K905,$A$2:$A905=A155,$S$2:$S905=S155,$H$2:$H905&lt;&gt;""OB"")))"),175000)</f>
        <v>175000</v>
      </c>
      <c r="W155" s="20">
        <f t="shared" si="5"/>
        <v>1</v>
      </c>
    </row>
    <row r="156" spans="1:23" ht="13">
      <c r="A156" s="14">
        <v>610422100244</v>
      </c>
      <c r="B156" s="15" t="str">
        <f t="array" ref="B156">IF(W156=1,INDEX('Database Mitra'!$H$2:$H905,MATCH(A156,'Database Mitra'!AK$2:AK905,0)),"")</f>
        <v>Sugianto</v>
      </c>
      <c r="C156" s="16" t="e">
        <f t="array" ref="C156">IF(W156=1,INDEX('Database Mitra'!$E$2:$E905,MATCH(A156,'Database Mitra'!AK$2:AK905,0)),"")</f>
        <v>#VALUE!</v>
      </c>
      <c r="D156" s="6" t="s">
        <v>35</v>
      </c>
      <c r="E156" s="16" t="str">
        <f t="array" ref="E156">IF(W156=1,INDEX('Input Kegiatan'!B$2:B905,MATCH($D156,'Input Kegiatan'!$A$2:$A905,0)),"")</f>
        <v>Kerangka Sampel Area (KSA) 2024 September</v>
      </c>
      <c r="F156" s="17">
        <f t="array" ref="F156">IF(W156=1,INDEX('Input Kegiatan'!D$2:D905,MATCH($D156,'Input Kegiatan'!$A$2:$A905,0)),"")</f>
        <v>45536</v>
      </c>
      <c r="G156" s="17">
        <f t="array" ref="G156">IF(W156=1,INDEX('Input Kegiatan'!E$2:E905,MATCH($D156,'Input Kegiatan'!$A$2:$A905,0)),"")</f>
        <v>45565</v>
      </c>
      <c r="H156" s="16" t="str">
        <f t="array" ref="H156">IF(W156=1,INDEX(Honor!$H$2:$H905,MATCH($D156&amp;"-"&amp;R156,Honor!$K$2:$K905,0)),"")</f>
        <v>Segmen</v>
      </c>
      <c r="I156" s="18">
        <f>IF(W156=1,SUMIFS(Honor!$I$2:$I905,Honor!$K$2:$K905,$D156&amp;"-"&amp;R156),"")</f>
        <v>175000</v>
      </c>
      <c r="J156" s="19">
        <f t="shared" si="6"/>
        <v>1</v>
      </c>
      <c r="K156" s="20">
        <f t="shared" si="0"/>
        <v>175000</v>
      </c>
      <c r="L156" s="17">
        <f t="shared" si="1"/>
        <v>45565</v>
      </c>
      <c r="M156" s="20">
        <f ca="1">IF(W156=1,IF(AND(U156&lt;2,INT(V156)&lt;='Batasan Honor'!$B$2),1,0),"")</f>
        <v>1</v>
      </c>
      <c r="N156" s="21"/>
      <c r="O156" s="20">
        <f t="shared" si="2"/>
        <v>9</v>
      </c>
      <c r="P156" s="20">
        <f t="shared" si="3"/>
        <v>2024</v>
      </c>
      <c r="Q156" s="21"/>
      <c r="R156" s="22" t="s">
        <v>25</v>
      </c>
      <c r="S156" s="21" t="str">
        <f t="shared" si="4"/>
        <v>610422100244,2024,9</v>
      </c>
      <c r="T156" s="21"/>
      <c r="U156" s="20">
        <f ca="1">IFERROR(__xludf.DUMMYFUNCTION("if(W156=1,COUNTIFS(FILTER($H$2:$H905,$H$2:$H905=""OB"",$S$2:$S905=S156),""OB""),"""")"),0)</f>
        <v>0</v>
      </c>
      <c r="V156" s="20">
        <f ca="1">IFERROR(__xludf.DUMMYFUNCTION("IF(OR(ISNA(SUM(FILTER($K$2:$K905,$A$2:$A905=A156,$S$2:$S905=S156,$H$2:$H905&lt;&gt;""OB""))),W156&lt;&gt;1),"""",SUM(FILTER($K$2:$K905,$A$2:$A905=A156,$S$2:$S905=S156,$H$2:$H905&lt;&gt;""OB"")))"),175000)</f>
        <v>175000</v>
      </c>
      <c r="W156" s="20">
        <f t="shared" si="5"/>
        <v>1</v>
      </c>
    </row>
    <row r="157" spans="1:23" ht="13">
      <c r="A157" s="14">
        <v>610422100176</v>
      </c>
      <c r="B157" s="15" t="str">
        <f t="array" ref="B157">IF(W157=1,INDEX('Database Mitra'!$H$2:$H905,MATCH(A157,'Database Mitra'!AK$2:AK905,0)),"")</f>
        <v>Feri Firdaus</v>
      </c>
      <c r="C157" s="16" t="e">
        <f t="array" ref="C157">IF(W157=1,INDEX('Database Mitra'!$E$2:$E905,MATCH(A157,'Database Mitra'!AK$2:AK905,0)),"")</f>
        <v>#VALUE!</v>
      </c>
      <c r="D157" s="6" t="s">
        <v>35</v>
      </c>
      <c r="E157" s="16" t="str">
        <f t="array" ref="E157">IF(W157=1,INDEX('Input Kegiatan'!B$2:B905,MATCH($D157,'Input Kegiatan'!$A$2:$A905,0)),"")</f>
        <v>Kerangka Sampel Area (KSA) 2024 September</v>
      </c>
      <c r="F157" s="17">
        <f t="array" ref="F157">IF(W157=1,INDEX('Input Kegiatan'!D$2:D905,MATCH($D157,'Input Kegiatan'!$A$2:$A905,0)),"")</f>
        <v>45536</v>
      </c>
      <c r="G157" s="17">
        <f t="array" ref="G157">IF(W157=1,INDEX('Input Kegiatan'!E$2:E905,MATCH($D157,'Input Kegiatan'!$A$2:$A905,0)),"")</f>
        <v>45565</v>
      </c>
      <c r="H157" s="16" t="str">
        <f t="array" ref="H157">IF(W157=1,INDEX(Honor!$H$2:$H905,MATCH($D157&amp;"-"&amp;R157,Honor!$K$2:$K905,0)),"")</f>
        <v>Segmen</v>
      </c>
      <c r="I157" s="18">
        <f>IF(W157=1,SUMIFS(Honor!$I$2:$I905,Honor!$K$2:$K905,$D157&amp;"-"&amp;R157),"")</f>
        <v>175000</v>
      </c>
      <c r="J157" s="19">
        <f t="shared" si="6"/>
        <v>1</v>
      </c>
      <c r="K157" s="20">
        <f t="shared" si="0"/>
        <v>175000</v>
      </c>
      <c r="L157" s="17">
        <f t="shared" si="1"/>
        <v>45565</v>
      </c>
      <c r="M157" s="20">
        <f ca="1">IF(W157=1,IF(AND(U157&lt;2,INT(V157)&lt;='Batasan Honor'!$B$2),1,0),"")</f>
        <v>1</v>
      </c>
      <c r="N157" s="21"/>
      <c r="O157" s="20">
        <f t="shared" si="2"/>
        <v>9</v>
      </c>
      <c r="P157" s="20">
        <f t="shared" si="3"/>
        <v>2024</v>
      </c>
      <c r="Q157" s="21"/>
      <c r="R157" s="22" t="s">
        <v>25</v>
      </c>
      <c r="S157" s="21" t="str">
        <f t="shared" si="4"/>
        <v>610422100176,2024,9</v>
      </c>
      <c r="T157" s="21"/>
      <c r="U157" s="20">
        <f ca="1">IFERROR(__xludf.DUMMYFUNCTION("if(W157=1,COUNTIFS(FILTER($H$2:$H905,$H$2:$H905=""OB"",$S$2:$S905=S157),""OB""),"""")"),0)</f>
        <v>0</v>
      </c>
      <c r="V157" s="20">
        <f ca="1">IFERROR(__xludf.DUMMYFUNCTION("IF(OR(ISNA(SUM(FILTER($K$2:$K905,$A$2:$A905=A157,$S$2:$S905=S157,$H$2:$H905&lt;&gt;""OB""))),W157&lt;&gt;1),"""",SUM(FILTER($K$2:$K905,$A$2:$A905=A157,$S$2:$S905=S157,$H$2:$H905&lt;&gt;""OB"")))"),175000)</f>
        <v>175000</v>
      </c>
      <c r="W157" s="20">
        <f t="shared" si="5"/>
        <v>1</v>
      </c>
    </row>
    <row r="158" spans="1:23" ht="13">
      <c r="A158" s="14">
        <v>610423040018</v>
      </c>
      <c r="B158" s="15" t="str">
        <f t="array" ref="B158">IF(W158=1,INDEX('Database Mitra'!$H$2:$H905,MATCH(A158,'Database Mitra'!AK$2:AK905,0)),"")</f>
        <v>Handoko Tuah Sabarman Sipayung</v>
      </c>
      <c r="C158" s="16" t="e">
        <f t="array" ref="C158">IF(W158=1,INDEX('Database Mitra'!$E$2:$E905,MATCH(A158,'Database Mitra'!AK$2:AK905,0)),"")</f>
        <v>#VALUE!</v>
      </c>
      <c r="D158" s="6" t="s">
        <v>35</v>
      </c>
      <c r="E158" s="16" t="str">
        <f t="array" ref="E158">IF(W158=1,INDEX('Input Kegiatan'!B$2:B905,MATCH($D158,'Input Kegiatan'!$A$2:$A905,0)),"")</f>
        <v>Kerangka Sampel Area (KSA) 2024 September</v>
      </c>
      <c r="F158" s="17">
        <f t="array" ref="F158">IF(W158=1,INDEX('Input Kegiatan'!D$2:D905,MATCH($D158,'Input Kegiatan'!$A$2:$A905,0)),"")</f>
        <v>45536</v>
      </c>
      <c r="G158" s="17">
        <f t="array" ref="G158">IF(W158=1,INDEX('Input Kegiatan'!E$2:E905,MATCH($D158,'Input Kegiatan'!$A$2:$A905,0)),"")</f>
        <v>45565</v>
      </c>
      <c r="H158" s="16" t="str">
        <f t="array" ref="H158">IF(W158=1,INDEX(Honor!$H$2:$H905,MATCH($D158&amp;"-"&amp;R158,Honor!$K$2:$K905,0)),"")</f>
        <v>Segmen</v>
      </c>
      <c r="I158" s="18">
        <f>IF(W158=1,SUMIFS(Honor!$I$2:$I905,Honor!$K$2:$K905,$D158&amp;"-"&amp;R158),"")</f>
        <v>175000</v>
      </c>
      <c r="J158" s="19">
        <f t="shared" si="6"/>
        <v>1</v>
      </c>
      <c r="K158" s="20">
        <f t="shared" si="0"/>
        <v>175000</v>
      </c>
      <c r="L158" s="17">
        <f t="shared" si="1"/>
        <v>45565</v>
      </c>
      <c r="M158" s="20">
        <f ca="1">IF(W158=1,IF(AND(U158&lt;2,INT(V158)&lt;='Batasan Honor'!$B$2),1,0),"")</f>
        <v>1</v>
      </c>
      <c r="N158" s="21"/>
      <c r="O158" s="20">
        <f t="shared" si="2"/>
        <v>9</v>
      </c>
      <c r="P158" s="20">
        <f t="shared" si="3"/>
        <v>2024</v>
      </c>
      <c r="Q158" s="21"/>
      <c r="R158" s="22" t="s">
        <v>25</v>
      </c>
      <c r="S158" s="21" t="str">
        <f t="shared" si="4"/>
        <v>610423040018,2024,9</v>
      </c>
      <c r="T158" s="21"/>
      <c r="U158" s="20">
        <f ca="1">IFERROR(__xludf.DUMMYFUNCTION("if(W158=1,COUNTIFS(FILTER($H$2:$H905,$H$2:$H905=""OB"",$S$2:$S905=S158),""OB""),"""")"),0)</f>
        <v>0</v>
      </c>
      <c r="V158" s="20">
        <f ca="1">IFERROR(__xludf.DUMMYFUNCTION("IF(OR(ISNA(SUM(FILTER($K$2:$K905,$A$2:$A905=A158,$S$2:$S905=S158,$H$2:$H905&lt;&gt;""OB""))),W158&lt;&gt;1),"""",SUM(FILTER($K$2:$K905,$A$2:$A905=A158,$S$2:$S905=S158,$H$2:$H905&lt;&gt;""OB"")))"),175000)</f>
        <v>175000</v>
      </c>
      <c r="W158" s="20">
        <f t="shared" si="5"/>
        <v>1</v>
      </c>
    </row>
    <row r="159" spans="1:23" ht="13">
      <c r="A159" s="14">
        <v>610423110183</v>
      </c>
      <c r="B159" s="15" t="str">
        <f t="array" ref="B159">IF(W159=1,INDEX('Database Mitra'!$H$2:$H905,MATCH(A159,'Database Mitra'!AK$2:AK905,0)),"")</f>
        <v>azhar</v>
      </c>
      <c r="C159" s="16" t="e">
        <f t="array" ref="C159">IF(W159=1,INDEX('Database Mitra'!$E$2:$E905,MATCH(A159,'Database Mitra'!AK$2:AK905,0)),"")</f>
        <v>#VALUE!</v>
      </c>
      <c r="D159" s="6" t="s">
        <v>35</v>
      </c>
      <c r="E159" s="16" t="str">
        <f t="array" ref="E159">IF(W159=1,INDEX('Input Kegiatan'!B$2:B905,MATCH($D159,'Input Kegiatan'!$A$2:$A905,0)),"")</f>
        <v>Kerangka Sampel Area (KSA) 2024 September</v>
      </c>
      <c r="F159" s="17">
        <f t="array" ref="F159">IF(W159=1,INDEX('Input Kegiatan'!D$2:D905,MATCH($D159,'Input Kegiatan'!$A$2:$A905,0)),"")</f>
        <v>45536</v>
      </c>
      <c r="G159" s="17">
        <f t="array" ref="G159">IF(W159=1,INDEX('Input Kegiatan'!E$2:E905,MATCH($D159,'Input Kegiatan'!$A$2:$A905,0)),"")</f>
        <v>45565</v>
      </c>
      <c r="H159" s="16" t="str">
        <f t="array" ref="H159">IF(W159=1,INDEX(Honor!$H$2:$H905,MATCH($D159&amp;"-"&amp;R159,Honor!$K$2:$K905,0)),"")</f>
        <v>Segmen</v>
      </c>
      <c r="I159" s="18">
        <f>IF(W159=1,SUMIFS(Honor!$I$2:$I905,Honor!$K$2:$K905,$D159&amp;"-"&amp;R159),"")</f>
        <v>175000</v>
      </c>
      <c r="J159" s="19">
        <f t="shared" si="6"/>
        <v>1</v>
      </c>
      <c r="K159" s="20">
        <f t="shared" si="0"/>
        <v>175000</v>
      </c>
      <c r="L159" s="17">
        <f t="shared" si="1"/>
        <v>45565</v>
      </c>
      <c r="M159" s="20">
        <f ca="1">IF(W159=1,IF(AND(U159&lt;2,INT(V159)&lt;='Batasan Honor'!$B$2),1,0),"")</f>
        <v>1</v>
      </c>
      <c r="N159" s="21"/>
      <c r="O159" s="20">
        <f t="shared" si="2"/>
        <v>9</v>
      </c>
      <c r="P159" s="20">
        <f t="shared" si="3"/>
        <v>2024</v>
      </c>
      <c r="Q159" s="21"/>
      <c r="R159" s="22" t="s">
        <v>25</v>
      </c>
      <c r="S159" s="21" t="str">
        <f t="shared" si="4"/>
        <v>610423110183,2024,9</v>
      </c>
      <c r="T159" s="21"/>
      <c r="U159" s="20">
        <f ca="1">IFERROR(__xludf.DUMMYFUNCTION("if(W159=1,COUNTIFS(FILTER($H$2:$H905,$H$2:$H905=""OB"",$S$2:$S905=S159),""OB""),"""")"),0)</f>
        <v>0</v>
      </c>
      <c r="V159" s="20">
        <f ca="1">IFERROR(__xludf.DUMMYFUNCTION("IF(OR(ISNA(SUM(FILTER($K$2:$K905,$A$2:$A905=A159,$S$2:$S905=S159,$H$2:$H905&lt;&gt;""OB""))),W159&lt;&gt;1),"""",SUM(FILTER($K$2:$K905,$A$2:$A905=A159,$S$2:$S905=S159,$H$2:$H905&lt;&gt;""OB"")))"),175000)</f>
        <v>175000</v>
      </c>
      <c r="W159" s="20">
        <f t="shared" si="5"/>
        <v>1</v>
      </c>
    </row>
    <row r="160" spans="1:23" ht="13">
      <c r="A160" s="14">
        <v>610422020016</v>
      </c>
      <c r="B160" s="15" t="str">
        <f t="array" ref="B160">IF(W160=1,INDEX('Database Mitra'!$H$2:$H905,MATCH(A160,'Database Mitra'!AK$2:AK905,0)),"")</f>
        <v>Abdul Aziz</v>
      </c>
      <c r="C160" s="16" t="e">
        <f t="array" ref="C160">IF(W160=1,INDEX('Database Mitra'!$E$2:$E905,MATCH(A160,'Database Mitra'!AK$2:AK905,0)),"")</f>
        <v>#VALUE!</v>
      </c>
      <c r="D160" s="6" t="s">
        <v>36</v>
      </c>
      <c r="E160" s="16" t="str">
        <f t="array" ref="E160">IF(W160=1,INDEX('Input Kegiatan'!B$2:B905,MATCH($D160,'Input Kegiatan'!$A$2:$A905,0)),"")</f>
        <v>Kerangka Sampel Area (KSA) 2024 Oktober</v>
      </c>
      <c r="F160" s="17">
        <f t="array" ref="F160">IF(W160=1,INDEX('Input Kegiatan'!D$2:D905,MATCH($D160,'Input Kegiatan'!$A$2:$A905,0)),"")</f>
        <v>45566</v>
      </c>
      <c r="G160" s="17">
        <f t="array" ref="G160">IF(W160=1,INDEX('Input Kegiatan'!E$2:E905,MATCH($D160,'Input Kegiatan'!$A$2:$A905,0)),"")</f>
        <v>45596</v>
      </c>
      <c r="H160" s="16" t="str">
        <f t="array" ref="H160">IF(W160=1,INDEX(Honor!$H$2:$H905,MATCH($D160&amp;"-"&amp;R160,Honor!$K$2:$K905,0)),"")</f>
        <v>Segmen</v>
      </c>
      <c r="I160" s="18">
        <f>IF(W160=1,SUMIFS(Honor!$I$2:$I905,Honor!$K$2:$K905,$D160&amp;"-"&amp;R160),"")</f>
        <v>175000</v>
      </c>
      <c r="J160" s="19">
        <f t="shared" si="6"/>
        <v>1</v>
      </c>
      <c r="K160" s="20">
        <f t="shared" si="0"/>
        <v>175000</v>
      </c>
      <c r="L160" s="17">
        <f t="shared" si="1"/>
        <v>45596</v>
      </c>
      <c r="M160" s="20">
        <f ca="1">IF(W160=1,IF(AND(U160&lt;2,INT(V160)&lt;='Batasan Honor'!$B$2),1,0),"")</f>
        <v>1</v>
      </c>
      <c r="N160" s="21"/>
      <c r="O160" s="20">
        <f t="shared" si="2"/>
        <v>10</v>
      </c>
      <c r="P160" s="20">
        <f t="shared" si="3"/>
        <v>2024</v>
      </c>
      <c r="Q160" s="21"/>
      <c r="R160" s="22" t="s">
        <v>25</v>
      </c>
      <c r="S160" s="21" t="str">
        <f t="shared" si="4"/>
        <v>610422020016,2024,10</v>
      </c>
      <c r="T160" s="21"/>
      <c r="U160" s="20">
        <f ca="1">IFERROR(__xludf.DUMMYFUNCTION("if(W160=1,COUNTIFS(FILTER($H$2:$H905,$H$2:$H905=""OB"",$S$2:$S905=S160),""OB""),"""")"),0)</f>
        <v>0</v>
      </c>
      <c r="V160" s="20">
        <f ca="1">IFERROR(__xludf.DUMMYFUNCTION("IF(OR(ISNA(SUM(FILTER($K$2:$K905,$A$2:$A905=A160,$S$2:$S905=S160,$H$2:$H905&lt;&gt;""OB""))),W160&lt;&gt;1),"""",SUM(FILTER($K$2:$K905,$A$2:$A905=A160,$S$2:$S905=S160,$H$2:$H905&lt;&gt;""OB"")))"),175000)</f>
        <v>175000</v>
      </c>
      <c r="W160" s="20">
        <f t="shared" si="5"/>
        <v>1</v>
      </c>
    </row>
    <row r="161" spans="1:23" ht="12.5">
      <c r="A161" s="14">
        <v>610422020048</v>
      </c>
      <c r="B161" s="16" t="str">
        <f t="array" ref="B161">IF(W161=1,INDEX('Database Mitra'!$H$2:$H905,MATCH(A161,'Database Mitra'!AK$2:AK905,0)),"")</f>
        <v>Herri Gustaman</v>
      </c>
      <c r="C161" s="16" t="e">
        <f t="array" ref="C161">IF(W161=1,INDEX('Database Mitra'!$E$2:$E905,MATCH(A161,'Database Mitra'!AK$2:AK905,0)),"")</f>
        <v>#VALUE!</v>
      </c>
      <c r="D161" s="6" t="s">
        <v>36</v>
      </c>
      <c r="E161" s="16" t="str">
        <f t="array" ref="E161">IF(W161=1,INDEX('Input Kegiatan'!B$2:B905,MATCH($D161,'Input Kegiatan'!$A$2:$A905,0)),"")</f>
        <v>Kerangka Sampel Area (KSA) 2024 Oktober</v>
      </c>
      <c r="F161" s="17">
        <f t="array" ref="F161">IF(W161=1,INDEX('Input Kegiatan'!D$2:D905,MATCH($D161,'Input Kegiatan'!$A$2:$A905,0)),"")</f>
        <v>45566</v>
      </c>
      <c r="G161" s="17">
        <f t="array" ref="G161">IF(W161=1,INDEX('Input Kegiatan'!E$2:E905,MATCH($D161,'Input Kegiatan'!$A$2:$A905,0)),"")</f>
        <v>45596</v>
      </c>
      <c r="H161" s="16" t="str">
        <f t="array" ref="H161">IF(W161=1,INDEX(Honor!$H$2:$H905,MATCH($D161&amp;"-"&amp;R161,Honor!$K$2:$K905,0)),"")</f>
        <v>Segmen</v>
      </c>
      <c r="I161" s="18">
        <f>IF(W161=1,SUMIFS(Honor!$I$2:$I905,Honor!$K$2:$K905,$D161&amp;"-"&amp;R161),"")</f>
        <v>175000</v>
      </c>
      <c r="J161" s="19">
        <f t="shared" si="6"/>
        <v>1</v>
      </c>
      <c r="K161" s="20">
        <f t="shared" si="0"/>
        <v>175000</v>
      </c>
      <c r="L161" s="17">
        <f t="shared" si="1"/>
        <v>45596</v>
      </c>
      <c r="M161" s="20">
        <f ca="1">IF(W161=1,IF(AND(U161&lt;2,INT(V161)&lt;='Batasan Honor'!$B$2),1,0),"")</f>
        <v>1</v>
      </c>
      <c r="N161" s="21"/>
      <c r="O161" s="20">
        <f t="shared" si="2"/>
        <v>10</v>
      </c>
      <c r="P161" s="20">
        <f t="shared" si="3"/>
        <v>2024</v>
      </c>
      <c r="Q161" s="21"/>
      <c r="R161" s="22" t="s">
        <v>25</v>
      </c>
      <c r="S161" s="21" t="str">
        <f t="shared" si="4"/>
        <v>610422020048,2024,10</v>
      </c>
      <c r="T161" s="21"/>
      <c r="U161" s="20">
        <f ca="1">IFERROR(__xludf.DUMMYFUNCTION("if(W161=1,COUNTIFS(FILTER($H$2:$H905,$H$2:$H905=""OB"",$S$2:$S905=S161),""OB""),"""")"),0)</f>
        <v>0</v>
      </c>
      <c r="V161" s="20">
        <f ca="1">IFERROR(__xludf.DUMMYFUNCTION("IF(OR(ISNA(SUM(FILTER($K$2:$K905,$A$2:$A905=A161,$S$2:$S905=S161,$H$2:$H905&lt;&gt;""OB""))),W161&lt;&gt;1),"""",SUM(FILTER($K$2:$K905,$A$2:$A905=A161,$S$2:$S905=S161,$H$2:$H905&lt;&gt;""OB"")))"),175000)</f>
        <v>175000</v>
      </c>
      <c r="W161" s="20">
        <f t="shared" si="5"/>
        <v>1</v>
      </c>
    </row>
    <row r="162" spans="1:23" ht="13">
      <c r="A162" s="14">
        <v>610422040012</v>
      </c>
      <c r="B162" s="15" t="str">
        <f t="array" ref="B162">IF(W162=1,INDEX('Database Mitra'!$H$2:$H905,MATCH(A162,'Database Mitra'!AK$2:AK905,0)),"")</f>
        <v>Misdi</v>
      </c>
      <c r="C162" s="16" t="e">
        <f t="array" ref="C162">IF(W162=1,INDEX('Database Mitra'!$E$2:$E905,MATCH(A162,'Database Mitra'!AK$2:AK905,0)),"")</f>
        <v>#VALUE!</v>
      </c>
      <c r="D162" s="6" t="s">
        <v>36</v>
      </c>
      <c r="E162" s="16" t="str">
        <f t="array" ref="E162">IF(W162=1,INDEX('Input Kegiatan'!B$2:B905,MATCH($D162,'Input Kegiatan'!$A$2:$A905,0)),"")</f>
        <v>Kerangka Sampel Area (KSA) 2024 Oktober</v>
      </c>
      <c r="F162" s="17">
        <f t="array" ref="F162">IF(W162=1,INDEX('Input Kegiatan'!D$2:D905,MATCH($D162,'Input Kegiatan'!$A$2:$A905,0)),"")</f>
        <v>45566</v>
      </c>
      <c r="G162" s="17">
        <f t="array" ref="G162">IF(W162=1,INDEX('Input Kegiatan'!E$2:E905,MATCH($D162,'Input Kegiatan'!$A$2:$A905,0)),"")</f>
        <v>45596</v>
      </c>
      <c r="H162" s="16" t="str">
        <f t="array" ref="H162">IF(W162=1,INDEX(Honor!$H$2:$H905,MATCH($D162&amp;"-"&amp;R162,Honor!$K$2:$K905,0)),"")</f>
        <v>Segmen</v>
      </c>
      <c r="I162" s="18">
        <f>IF(W162=1,SUMIFS(Honor!$I$2:$I905,Honor!$K$2:$K905,$D162&amp;"-"&amp;R162),"")</f>
        <v>175000</v>
      </c>
      <c r="J162" s="19">
        <f t="shared" si="6"/>
        <v>1</v>
      </c>
      <c r="K162" s="20">
        <f t="shared" si="0"/>
        <v>175000</v>
      </c>
      <c r="L162" s="17">
        <f t="shared" si="1"/>
        <v>45596</v>
      </c>
      <c r="M162" s="20">
        <f ca="1">IF(W162=1,IF(AND(U162&lt;2,INT(V162)&lt;='Batasan Honor'!$B$2),1,0),"")</f>
        <v>1</v>
      </c>
      <c r="N162" s="21"/>
      <c r="O162" s="20">
        <f t="shared" si="2"/>
        <v>10</v>
      </c>
      <c r="P162" s="20">
        <f t="shared" si="3"/>
        <v>2024</v>
      </c>
      <c r="Q162" s="21"/>
      <c r="R162" s="22" t="s">
        <v>25</v>
      </c>
      <c r="S162" s="21" t="str">
        <f t="shared" si="4"/>
        <v>610422040012,2024,10</v>
      </c>
      <c r="T162" s="21"/>
      <c r="U162" s="20">
        <f ca="1">IFERROR(__xludf.DUMMYFUNCTION("if(W162=1,COUNTIFS(FILTER($H$2:$H905,$H$2:$H905=""OB"",$S$2:$S905=S162),""OB""),"""")"),0)</f>
        <v>0</v>
      </c>
      <c r="V162" s="20">
        <f ca="1">IFERROR(__xludf.DUMMYFUNCTION("IF(OR(ISNA(SUM(FILTER($K$2:$K905,$A$2:$A905=A162,$S$2:$S905=S162,$H$2:$H905&lt;&gt;""OB""))),W162&lt;&gt;1),"""",SUM(FILTER($K$2:$K905,$A$2:$A905=A162,$S$2:$S905=S162,$H$2:$H905&lt;&gt;""OB"")))"),175000)</f>
        <v>175000</v>
      </c>
      <c r="W162" s="20">
        <f t="shared" si="5"/>
        <v>1</v>
      </c>
    </row>
    <row r="163" spans="1:23" ht="12.5">
      <c r="A163" s="14">
        <v>610422040058</v>
      </c>
      <c r="B163" s="16" t="str">
        <f t="array" ref="B163">IF(W163=1,INDEX('Database Mitra'!$H$2:$H905,MATCH(A163,'Database Mitra'!AK$2:AK905,0)),"")</f>
        <v>Jamaluddin, SP</v>
      </c>
      <c r="C163" s="16" t="e">
        <f t="array" ref="C163">IF(W163=1,INDEX('Database Mitra'!$E$2:$E905,MATCH(A163,'Database Mitra'!AK$2:AK905,0)),"")</f>
        <v>#VALUE!</v>
      </c>
      <c r="D163" s="6" t="s">
        <v>36</v>
      </c>
      <c r="E163" s="16" t="str">
        <f t="array" ref="E163">IF(W163=1,INDEX('Input Kegiatan'!B$2:B905,MATCH($D163,'Input Kegiatan'!$A$2:$A905,0)),"")</f>
        <v>Kerangka Sampel Area (KSA) 2024 Oktober</v>
      </c>
      <c r="F163" s="17">
        <f t="array" ref="F163">IF(W163=1,INDEX('Input Kegiatan'!D$2:D905,MATCH($D163,'Input Kegiatan'!$A$2:$A905,0)),"")</f>
        <v>45566</v>
      </c>
      <c r="G163" s="17">
        <f t="array" ref="G163">IF(W163=1,INDEX('Input Kegiatan'!E$2:E905,MATCH($D163,'Input Kegiatan'!$A$2:$A905,0)),"")</f>
        <v>45596</v>
      </c>
      <c r="H163" s="16" t="str">
        <f t="array" ref="H163">IF(W163=1,INDEX(Honor!$H$2:$H905,MATCH($D163&amp;"-"&amp;R163,Honor!$K$2:$K905,0)),"")</f>
        <v>Segmen</v>
      </c>
      <c r="I163" s="18">
        <f>IF(W163=1,SUMIFS(Honor!$I$2:$I905,Honor!$K$2:$K905,$D163&amp;"-"&amp;R163),"")</f>
        <v>175000</v>
      </c>
      <c r="J163" s="19">
        <f t="shared" si="6"/>
        <v>1</v>
      </c>
      <c r="K163" s="20">
        <f t="shared" si="0"/>
        <v>175000</v>
      </c>
      <c r="L163" s="17">
        <f t="shared" si="1"/>
        <v>45596</v>
      </c>
      <c r="M163" s="20">
        <f ca="1">IF(W163=1,IF(AND(U163&lt;2,INT(V163)&lt;='Batasan Honor'!$B$2),1,0),"")</f>
        <v>1</v>
      </c>
      <c r="N163" s="21"/>
      <c r="O163" s="20">
        <f t="shared" si="2"/>
        <v>10</v>
      </c>
      <c r="P163" s="20">
        <f t="shared" si="3"/>
        <v>2024</v>
      </c>
      <c r="Q163" s="21"/>
      <c r="R163" s="22" t="s">
        <v>25</v>
      </c>
      <c r="S163" s="21" t="str">
        <f t="shared" si="4"/>
        <v>610422040058,2024,10</v>
      </c>
      <c r="T163" s="21"/>
      <c r="U163" s="20">
        <f ca="1">IFERROR(__xludf.DUMMYFUNCTION("if(W163=1,COUNTIFS(FILTER($H$2:$H905,$H$2:$H905=""OB"",$S$2:$S905=S163),""OB""),"""")"),0)</f>
        <v>0</v>
      </c>
      <c r="V163" s="20">
        <f ca="1">IFERROR(__xludf.DUMMYFUNCTION("IF(OR(ISNA(SUM(FILTER($K$2:$K905,$A$2:$A905=A163,$S$2:$S905=S163,$H$2:$H905&lt;&gt;""OB""))),W163&lt;&gt;1),"""",SUM(FILTER($K$2:$K905,$A$2:$A905=A163,$S$2:$S905=S163,$H$2:$H905&lt;&gt;""OB"")))"),175000)</f>
        <v>175000</v>
      </c>
      <c r="W163" s="20">
        <f t="shared" si="5"/>
        <v>1</v>
      </c>
    </row>
    <row r="164" spans="1:23" ht="13">
      <c r="A164" s="14">
        <v>610422040059</v>
      </c>
      <c r="B164" s="15" t="str">
        <f t="array" ref="B164">IF(W164=1,INDEX('Database Mitra'!$H$2:$H905,MATCH(A164,'Database Mitra'!AK$2:AK905,0)),"")</f>
        <v>Abang Handri</v>
      </c>
      <c r="C164" s="16" t="e">
        <f t="array" ref="C164">IF(W164=1,INDEX('Database Mitra'!$E$2:$E905,MATCH(A164,'Database Mitra'!AK$2:AK905,0)),"")</f>
        <v>#VALUE!</v>
      </c>
      <c r="D164" s="6" t="s">
        <v>36</v>
      </c>
      <c r="E164" s="16" t="str">
        <f t="array" ref="E164">IF(W164=1,INDEX('Input Kegiatan'!B$2:B905,MATCH($D164,'Input Kegiatan'!$A$2:$A905,0)),"")</f>
        <v>Kerangka Sampel Area (KSA) 2024 Oktober</v>
      </c>
      <c r="F164" s="17">
        <f t="array" ref="F164">IF(W164=1,INDEX('Input Kegiatan'!D$2:D905,MATCH($D164,'Input Kegiatan'!$A$2:$A905,0)),"")</f>
        <v>45566</v>
      </c>
      <c r="G164" s="17">
        <f t="array" ref="G164">IF(W164=1,INDEX('Input Kegiatan'!E$2:E905,MATCH($D164,'Input Kegiatan'!$A$2:$A905,0)),"")</f>
        <v>45596</v>
      </c>
      <c r="H164" s="16" t="str">
        <f t="array" ref="H164">IF(W164=1,INDEX(Honor!$H$2:$H905,MATCH($D164&amp;"-"&amp;R164,Honor!$K$2:$K905,0)),"")</f>
        <v>Segmen</v>
      </c>
      <c r="I164" s="18">
        <f>IF(W164=1,SUMIFS(Honor!$I$2:$I905,Honor!$K$2:$K905,$D164&amp;"-"&amp;R164),"")</f>
        <v>175000</v>
      </c>
      <c r="J164" s="19">
        <f t="shared" si="6"/>
        <v>1</v>
      </c>
      <c r="K164" s="20">
        <f t="shared" si="0"/>
        <v>175000</v>
      </c>
      <c r="L164" s="17">
        <f t="shared" si="1"/>
        <v>45596</v>
      </c>
      <c r="M164" s="20">
        <f ca="1">IF(W164=1,IF(AND(U164&lt;2,INT(V164)&lt;='Batasan Honor'!$B$2),1,0),"")</f>
        <v>1</v>
      </c>
      <c r="N164" s="21"/>
      <c r="O164" s="20">
        <f t="shared" si="2"/>
        <v>10</v>
      </c>
      <c r="P164" s="20">
        <f t="shared" si="3"/>
        <v>2024</v>
      </c>
      <c r="Q164" s="21"/>
      <c r="R164" s="22" t="s">
        <v>25</v>
      </c>
      <c r="S164" s="21" t="str">
        <f t="shared" si="4"/>
        <v>610422040059,2024,10</v>
      </c>
      <c r="T164" s="21"/>
      <c r="U164" s="20">
        <f ca="1">IFERROR(__xludf.DUMMYFUNCTION("if(W164=1,COUNTIFS(FILTER($H$2:$H905,$H$2:$H905=""OB"",$S$2:$S905=S164),""OB""),"""")"),0)</f>
        <v>0</v>
      </c>
      <c r="V164" s="20">
        <f ca="1">IFERROR(__xludf.DUMMYFUNCTION("IF(OR(ISNA(SUM(FILTER($K$2:$K905,$A$2:$A905=A164,$S$2:$S905=S164,$H$2:$H905&lt;&gt;""OB""))),W164&lt;&gt;1),"""",SUM(FILTER($K$2:$K905,$A$2:$A905=A164,$S$2:$S905=S164,$H$2:$H905&lt;&gt;""OB"")))"),175000)</f>
        <v>175000</v>
      </c>
      <c r="W164" s="20">
        <f t="shared" si="5"/>
        <v>1</v>
      </c>
    </row>
    <row r="165" spans="1:23" ht="13">
      <c r="A165" s="14">
        <v>610422040061</v>
      </c>
      <c r="B165" s="15" t="str">
        <f t="array" ref="B165">IF(W165=1,INDEX('Database Mitra'!$H$2:$H905,MATCH(A165,'Database Mitra'!AK$2:AK905,0)),"")</f>
        <v>Sabani</v>
      </c>
      <c r="C165" s="16" t="e">
        <f t="array" ref="C165">IF(W165=1,INDEX('Database Mitra'!$E$2:$E905,MATCH(A165,'Database Mitra'!AK$2:AK905,0)),"")</f>
        <v>#VALUE!</v>
      </c>
      <c r="D165" s="6" t="s">
        <v>36</v>
      </c>
      <c r="E165" s="16" t="str">
        <f t="array" ref="E165">IF(W165=1,INDEX('Input Kegiatan'!B$2:B905,MATCH($D165,'Input Kegiatan'!$A$2:$A905,0)),"")</f>
        <v>Kerangka Sampel Area (KSA) 2024 Oktober</v>
      </c>
      <c r="F165" s="17">
        <f t="array" ref="F165">IF(W165=1,INDEX('Input Kegiatan'!D$2:D905,MATCH($D165,'Input Kegiatan'!$A$2:$A905,0)),"")</f>
        <v>45566</v>
      </c>
      <c r="G165" s="17">
        <f t="array" ref="G165">IF(W165=1,INDEX('Input Kegiatan'!E$2:E905,MATCH($D165,'Input Kegiatan'!$A$2:$A905,0)),"")</f>
        <v>45596</v>
      </c>
      <c r="H165" s="16" t="str">
        <f t="array" ref="H165">IF(W165=1,INDEX(Honor!$H$2:$H905,MATCH($D165&amp;"-"&amp;R165,Honor!$K$2:$K905,0)),"")</f>
        <v>Segmen</v>
      </c>
      <c r="I165" s="18">
        <f>IF(W165=1,SUMIFS(Honor!$I$2:$I905,Honor!$K$2:$K905,$D165&amp;"-"&amp;R165),"")</f>
        <v>175000</v>
      </c>
      <c r="J165" s="19">
        <f t="shared" si="6"/>
        <v>1</v>
      </c>
      <c r="K165" s="20">
        <f t="shared" si="0"/>
        <v>175000</v>
      </c>
      <c r="L165" s="17">
        <f t="shared" si="1"/>
        <v>45596</v>
      </c>
      <c r="M165" s="20">
        <f ca="1">IF(W165=1,IF(AND(U165&lt;2,INT(V165)&lt;='Batasan Honor'!$B$2),1,0),"")</f>
        <v>1</v>
      </c>
      <c r="N165" s="21"/>
      <c r="O165" s="20">
        <f t="shared" si="2"/>
        <v>10</v>
      </c>
      <c r="P165" s="20">
        <f t="shared" si="3"/>
        <v>2024</v>
      </c>
      <c r="Q165" s="21"/>
      <c r="R165" s="22" t="s">
        <v>25</v>
      </c>
      <c r="S165" s="21" t="str">
        <f t="shared" si="4"/>
        <v>610422040061,2024,10</v>
      </c>
      <c r="T165" s="21"/>
      <c r="U165" s="20">
        <f ca="1">IFERROR(__xludf.DUMMYFUNCTION("if(W165=1,COUNTIFS(FILTER($H$2:$H905,$H$2:$H905=""OB"",$S$2:$S905=S165),""OB""),"""")"),0)</f>
        <v>0</v>
      </c>
      <c r="V165" s="20">
        <f ca="1">IFERROR(__xludf.DUMMYFUNCTION("IF(OR(ISNA(SUM(FILTER($K$2:$K905,$A$2:$A905=A165,$S$2:$S905=S165,$H$2:$H905&lt;&gt;""OB""))),W165&lt;&gt;1),"""",SUM(FILTER($K$2:$K905,$A$2:$A905=A165,$S$2:$S905=S165,$H$2:$H905&lt;&gt;""OB"")))"),175000)</f>
        <v>175000</v>
      </c>
      <c r="W165" s="20">
        <f t="shared" si="5"/>
        <v>1</v>
      </c>
    </row>
    <row r="166" spans="1:23" ht="13">
      <c r="A166" s="14">
        <v>610422100131</v>
      </c>
      <c r="B166" s="15" t="str">
        <f t="array" ref="B166">IF(W166=1,INDEX('Database Mitra'!$H$2:$H905,MATCH(A166,'Database Mitra'!AK$2:AK905,0)),"")</f>
        <v>SYAMSUL</v>
      </c>
      <c r="C166" s="16" t="e">
        <f t="array" ref="C166">IF(W166=1,INDEX('Database Mitra'!$E$2:$E905,MATCH(A166,'Database Mitra'!AK$2:AK905,0)),"")</f>
        <v>#VALUE!</v>
      </c>
      <c r="D166" s="6" t="s">
        <v>36</v>
      </c>
      <c r="E166" s="16" t="str">
        <f t="array" ref="E166">IF(W166=1,INDEX('Input Kegiatan'!B$2:B905,MATCH($D166,'Input Kegiatan'!$A$2:$A905,0)),"")</f>
        <v>Kerangka Sampel Area (KSA) 2024 Oktober</v>
      </c>
      <c r="F166" s="17">
        <f t="array" ref="F166">IF(W166=1,INDEX('Input Kegiatan'!D$2:D905,MATCH($D166,'Input Kegiatan'!$A$2:$A905,0)),"")</f>
        <v>45566</v>
      </c>
      <c r="G166" s="17">
        <f t="array" ref="G166">IF(W166=1,INDEX('Input Kegiatan'!E$2:E905,MATCH($D166,'Input Kegiatan'!$A$2:$A905,0)),"")</f>
        <v>45596</v>
      </c>
      <c r="H166" s="16" t="str">
        <f t="array" ref="H166">IF(W166=1,INDEX(Honor!$H$2:$H905,MATCH($D166&amp;"-"&amp;R166,Honor!$K$2:$K905,0)),"")</f>
        <v>Segmen</v>
      </c>
      <c r="I166" s="18">
        <f>IF(W166=1,SUMIFS(Honor!$I$2:$I905,Honor!$K$2:$K905,$D166&amp;"-"&amp;R166),"")</f>
        <v>175000</v>
      </c>
      <c r="J166" s="19">
        <f t="shared" si="6"/>
        <v>1</v>
      </c>
      <c r="K166" s="20">
        <f t="shared" si="0"/>
        <v>175000</v>
      </c>
      <c r="L166" s="17">
        <f t="shared" si="1"/>
        <v>45596</v>
      </c>
      <c r="M166" s="20">
        <f ca="1">IF(W166=1,IF(AND(U166&lt;2,INT(V166)&lt;='Batasan Honor'!$B$2),1,0),"")</f>
        <v>1</v>
      </c>
      <c r="N166" s="21"/>
      <c r="O166" s="20">
        <f t="shared" si="2"/>
        <v>10</v>
      </c>
      <c r="P166" s="20">
        <f t="shared" si="3"/>
        <v>2024</v>
      </c>
      <c r="Q166" s="21"/>
      <c r="R166" s="22" t="s">
        <v>25</v>
      </c>
      <c r="S166" s="21" t="str">
        <f t="shared" si="4"/>
        <v>610422100131,2024,10</v>
      </c>
      <c r="T166" s="21"/>
      <c r="U166" s="20">
        <f ca="1">IFERROR(__xludf.DUMMYFUNCTION("if(W166=1,COUNTIFS(FILTER($H$2:$H905,$H$2:$H905=""OB"",$S$2:$S905=S166),""OB""),"""")"),0)</f>
        <v>0</v>
      </c>
      <c r="V166" s="20">
        <f ca="1">IFERROR(__xludf.DUMMYFUNCTION("IF(OR(ISNA(SUM(FILTER($K$2:$K905,$A$2:$A905=A166,$S$2:$S905=S166,$H$2:$H905&lt;&gt;""OB""))),W166&lt;&gt;1),"""",SUM(FILTER($K$2:$K905,$A$2:$A905=A166,$S$2:$S905=S166,$H$2:$H905&lt;&gt;""OB"")))"),175000)</f>
        <v>175000</v>
      </c>
      <c r="W166" s="20">
        <f t="shared" si="5"/>
        <v>1</v>
      </c>
    </row>
    <row r="167" spans="1:23" ht="13">
      <c r="A167" s="14">
        <v>610422100244</v>
      </c>
      <c r="B167" s="15" t="str">
        <f t="array" ref="B167">IF(W167=1,INDEX('Database Mitra'!$H$2:$H905,MATCH(A167,'Database Mitra'!AK$2:AK905,0)),"")</f>
        <v>Sugianto</v>
      </c>
      <c r="C167" s="16" t="e">
        <f t="array" ref="C167">IF(W167=1,INDEX('Database Mitra'!$E$2:$E905,MATCH(A167,'Database Mitra'!AK$2:AK905,0)),"")</f>
        <v>#VALUE!</v>
      </c>
      <c r="D167" s="6" t="s">
        <v>36</v>
      </c>
      <c r="E167" s="16" t="str">
        <f t="array" ref="E167">IF(W167=1,INDEX('Input Kegiatan'!B$2:B905,MATCH($D167,'Input Kegiatan'!$A$2:$A905,0)),"")</f>
        <v>Kerangka Sampel Area (KSA) 2024 Oktober</v>
      </c>
      <c r="F167" s="17">
        <f t="array" ref="F167">IF(W167=1,INDEX('Input Kegiatan'!D$2:D905,MATCH($D167,'Input Kegiatan'!$A$2:$A905,0)),"")</f>
        <v>45566</v>
      </c>
      <c r="G167" s="17">
        <f t="array" ref="G167">IF(W167=1,INDEX('Input Kegiatan'!E$2:E905,MATCH($D167,'Input Kegiatan'!$A$2:$A905,0)),"")</f>
        <v>45596</v>
      </c>
      <c r="H167" s="16" t="str">
        <f t="array" ref="H167">IF(W167=1,INDEX(Honor!$H$2:$H905,MATCH($D167&amp;"-"&amp;R167,Honor!$K$2:$K905,0)),"")</f>
        <v>Segmen</v>
      </c>
      <c r="I167" s="18">
        <f>IF(W167=1,SUMIFS(Honor!$I$2:$I905,Honor!$K$2:$K905,$D167&amp;"-"&amp;R167),"")</f>
        <v>175000</v>
      </c>
      <c r="J167" s="19">
        <f t="shared" si="6"/>
        <v>1</v>
      </c>
      <c r="K167" s="20">
        <f t="shared" si="0"/>
        <v>175000</v>
      </c>
      <c r="L167" s="17">
        <f t="shared" si="1"/>
        <v>45596</v>
      </c>
      <c r="M167" s="20">
        <f ca="1">IF(W167=1,IF(AND(U167&lt;2,INT(V167)&lt;='Batasan Honor'!$B$2),1,0),"")</f>
        <v>1</v>
      </c>
      <c r="N167" s="21"/>
      <c r="O167" s="20">
        <f t="shared" si="2"/>
        <v>10</v>
      </c>
      <c r="P167" s="20">
        <f t="shared" si="3"/>
        <v>2024</v>
      </c>
      <c r="Q167" s="21"/>
      <c r="R167" s="22" t="s">
        <v>25</v>
      </c>
      <c r="S167" s="21" t="str">
        <f t="shared" si="4"/>
        <v>610422100244,2024,10</v>
      </c>
      <c r="T167" s="21"/>
      <c r="U167" s="20">
        <f ca="1">IFERROR(__xludf.DUMMYFUNCTION("if(W167=1,COUNTIFS(FILTER($H$2:$H905,$H$2:$H905=""OB"",$S$2:$S905=S167),""OB""),"""")"),0)</f>
        <v>0</v>
      </c>
      <c r="V167" s="20">
        <f ca="1">IFERROR(__xludf.DUMMYFUNCTION("IF(OR(ISNA(SUM(FILTER($K$2:$K905,$A$2:$A905=A167,$S$2:$S905=S167,$H$2:$H905&lt;&gt;""OB""))),W167&lt;&gt;1),"""",SUM(FILTER($K$2:$K905,$A$2:$A905=A167,$S$2:$S905=S167,$H$2:$H905&lt;&gt;""OB"")))"),175000)</f>
        <v>175000</v>
      </c>
      <c r="W167" s="20">
        <f t="shared" si="5"/>
        <v>1</v>
      </c>
    </row>
    <row r="168" spans="1:23" ht="13">
      <c r="A168" s="14">
        <v>610422100176</v>
      </c>
      <c r="B168" s="15" t="str">
        <f t="array" ref="B168">IF(W168=1,INDEX('Database Mitra'!$H$2:$H905,MATCH(A168,'Database Mitra'!AK$2:AK905,0)),"")</f>
        <v>Feri Firdaus</v>
      </c>
      <c r="C168" s="16" t="e">
        <f t="array" ref="C168">IF(W168=1,INDEX('Database Mitra'!$E$2:$E905,MATCH(A168,'Database Mitra'!AK$2:AK905,0)),"")</f>
        <v>#VALUE!</v>
      </c>
      <c r="D168" s="6" t="s">
        <v>36</v>
      </c>
      <c r="E168" s="16" t="str">
        <f t="array" ref="E168">IF(W168=1,INDEX('Input Kegiatan'!B$2:B905,MATCH($D168,'Input Kegiatan'!$A$2:$A905,0)),"")</f>
        <v>Kerangka Sampel Area (KSA) 2024 Oktober</v>
      </c>
      <c r="F168" s="17">
        <f t="array" ref="F168">IF(W168=1,INDEX('Input Kegiatan'!D$2:D905,MATCH($D168,'Input Kegiatan'!$A$2:$A905,0)),"")</f>
        <v>45566</v>
      </c>
      <c r="G168" s="17">
        <f t="array" ref="G168">IF(W168=1,INDEX('Input Kegiatan'!E$2:E905,MATCH($D168,'Input Kegiatan'!$A$2:$A905,0)),"")</f>
        <v>45596</v>
      </c>
      <c r="H168" s="16" t="str">
        <f t="array" ref="H168">IF(W168=1,INDEX(Honor!$H$2:$H905,MATCH($D168&amp;"-"&amp;R168,Honor!$K$2:$K905,0)),"")</f>
        <v>Segmen</v>
      </c>
      <c r="I168" s="18">
        <f>IF(W168=1,SUMIFS(Honor!$I$2:$I905,Honor!$K$2:$K905,$D168&amp;"-"&amp;R168),"")</f>
        <v>175000</v>
      </c>
      <c r="J168" s="19">
        <f t="shared" si="6"/>
        <v>1</v>
      </c>
      <c r="K168" s="20">
        <f t="shared" si="0"/>
        <v>175000</v>
      </c>
      <c r="L168" s="17">
        <f t="shared" si="1"/>
        <v>45596</v>
      </c>
      <c r="M168" s="20">
        <f ca="1">IF(W168=1,IF(AND(U168&lt;2,INT(V168)&lt;='Batasan Honor'!$B$2),1,0),"")</f>
        <v>1</v>
      </c>
      <c r="N168" s="21"/>
      <c r="O168" s="20">
        <f t="shared" si="2"/>
        <v>10</v>
      </c>
      <c r="P168" s="20">
        <f t="shared" si="3"/>
        <v>2024</v>
      </c>
      <c r="Q168" s="21"/>
      <c r="R168" s="22" t="s">
        <v>25</v>
      </c>
      <c r="S168" s="21" t="str">
        <f t="shared" si="4"/>
        <v>610422100176,2024,10</v>
      </c>
      <c r="T168" s="21"/>
      <c r="U168" s="20">
        <f ca="1">IFERROR(__xludf.DUMMYFUNCTION("if(W168=1,COUNTIFS(FILTER($H$2:$H905,$H$2:$H905=""OB"",$S$2:$S905=S168),""OB""),"""")"),0)</f>
        <v>0</v>
      </c>
      <c r="V168" s="20">
        <f ca="1">IFERROR(__xludf.DUMMYFUNCTION("IF(OR(ISNA(SUM(FILTER($K$2:$K905,$A$2:$A905=A168,$S$2:$S905=S168,$H$2:$H905&lt;&gt;""OB""))),W168&lt;&gt;1),"""",SUM(FILTER($K$2:$K905,$A$2:$A905=A168,$S$2:$S905=S168,$H$2:$H905&lt;&gt;""OB"")))"),175000)</f>
        <v>175000</v>
      </c>
      <c r="W168" s="20">
        <f t="shared" si="5"/>
        <v>1</v>
      </c>
    </row>
    <row r="169" spans="1:23" ht="13">
      <c r="A169" s="14">
        <v>610423040018</v>
      </c>
      <c r="B169" s="15" t="str">
        <f t="array" ref="B169">IF(W169=1,INDEX('Database Mitra'!$H$2:$H905,MATCH(A169,'Database Mitra'!AK$2:AK905,0)),"")</f>
        <v>Handoko Tuah Sabarman Sipayung</v>
      </c>
      <c r="C169" s="16" t="e">
        <f t="array" ref="C169">IF(W169=1,INDEX('Database Mitra'!$E$2:$E905,MATCH(A169,'Database Mitra'!AK$2:AK905,0)),"")</f>
        <v>#VALUE!</v>
      </c>
      <c r="D169" s="6" t="s">
        <v>36</v>
      </c>
      <c r="E169" s="16" t="str">
        <f t="array" ref="E169">IF(W169=1,INDEX('Input Kegiatan'!B$2:B905,MATCH($D169,'Input Kegiatan'!$A$2:$A905,0)),"")</f>
        <v>Kerangka Sampel Area (KSA) 2024 Oktober</v>
      </c>
      <c r="F169" s="17">
        <f t="array" ref="F169">IF(W169=1,INDEX('Input Kegiatan'!D$2:D905,MATCH($D169,'Input Kegiatan'!$A$2:$A905,0)),"")</f>
        <v>45566</v>
      </c>
      <c r="G169" s="17">
        <f t="array" ref="G169">IF(W169=1,INDEX('Input Kegiatan'!E$2:E905,MATCH($D169,'Input Kegiatan'!$A$2:$A905,0)),"")</f>
        <v>45596</v>
      </c>
      <c r="H169" s="16" t="str">
        <f t="array" ref="H169">IF(W169=1,INDEX(Honor!$H$2:$H905,MATCH($D169&amp;"-"&amp;R169,Honor!$K$2:$K905,0)),"")</f>
        <v>Segmen</v>
      </c>
      <c r="I169" s="18">
        <f>IF(W169=1,SUMIFS(Honor!$I$2:$I905,Honor!$K$2:$K905,$D169&amp;"-"&amp;R169),"")</f>
        <v>175000</v>
      </c>
      <c r="J169" s="19">
        <f t="shared" si="6"/>
        <v>1</v>
      </c>
      <c r="K169" s="20">
        <f t="shared" si="0"/>
        <v>175000</v>
      </c>
      <c r="L169" s="17">
        <f t="shared" si="1"/>
        <v>45596</v>
      </c>
      <c r="M169" s="20">
        <f ca="1">IF(W169=1,IF(AND(U169&lt;2,INT(V169)&lt;='Batasan Honor'!$B$2),1,0),"")</f>
        <v>1</v>
      </c>
      <c r="N169" s="21"/>
      <c r="O169" s="20">
        <f t="shared" si="2"/>
        <v>10</v>
      </c>
      <c r="P169" s="20">
        <f t="shared" si="3"/>
        <v>2024</v>
      </c>
      <c r="Q169" s="21"/>
      <c r="R169" s="22" t="s">
        <v>25</v>
      </c>
      <c r="S169" s="21" t="str">
        <f t="shared" si="4"/>
        <v>610423040018,2024,10</v>
      </c>
      <c r="T169" s="21"/>
      <c r="U169" s="20">
        <f ca="1">IFERROR(__xludf.DUMMYFUNCTION("if(W169=1,COUNTIFS(FILTER($H$2:$H905,$H$2:$H905=""OB"",$S$2:$S905=S169),""OB""),"""")"),0)</f>
        <v>0</v>
      </c>
      <c r="V169" s="20">
        <f ca="1">IFERROR(__xludf.DUMMYFUNCTION("IF(OR(ISNA(SUM(FILTER($K$2:$K905,$A$2:$A905=A169,$S$2:$S905=S169,$H$2:$H905&lt;&gt;""OB""))),W169&lt;&gt;1),"""",SUM(FILTER($K$2:$K905,$A$2:$A905=A169,$S$2:$S905=S169,$H$2:$H905&lt;&gt;""OB"")))"),175000)</f>
        <v>175000</v>
      </c>
      <c r="W169" s="20">
        <f t="shared" si="5"/>
        <v>1</v>
      </c>
    </row>
    <row r="170" spans="1:23" ht="13">
      <c r="A170" s="14">
        <v>610423110183</v>
      </c>
      <c r="B170" s="15" t="str">
        <f t="array" ref="B170">IF(W170=1,INDEX('Database Mitra'!$H$2:$H905,MATCH(A170,'Database Mitra'!AK$2:AK905,0)),"")</f>
        <v>azhar</v>
      </c>
      <c r="C170" s="16" t="e">
        <f t="array" ref="C170">IF(W170=1,INDEX('Database Mitra'!$E$2:$E905,MATCH(A170,'Database Mitra'!AK$2:AK905,0)),"")</f>
        <v>#VALUE!</v>
      </c>
      <c r="D170" s="6" t="s">
        <v>36</v>
      </c>
      <c r="E170" s="16" t="str">
        <f t="array" ref="E170">IF(W170=1,INDEX('Input Kegiatan'!B$2:B905,MATCH($D170,'Input Kegiatan'!$A$2:$A905,0)),"")</f>
        <v>Kerangka Sampel Area (KSA) 2024 Oktober</v>
      </c>
      <c r="F170" s="17">
        <f t="array" ref="F170">IF(W170=1,INDEX('Input Kegiatan'!D$2:D905,MATCH($D170,'Input Kegiatan'!$A$2:$A905,0)),"")</f>
        <v>45566</v>
      </c>
      <c r="G170" s="17">
        <f t="array" ref="G170">IF(W170=1,INDEX('Input Kegiatan'!E$2:E905,MATCH($D170,'Input Kegiatan'!$A$2:$A905,0)),"")</f>
        <v>45596</v>
      </c>
      <c r="H170" s="16" t="str">
        <f t="array" ref="H170">IF(W170=1,INDEX(Honor!$H$2:$H905,MATCH($D170&amp;"-"&amp;R170,Honor!$K$2:$K905,0)),"")</f>
        <v>Segmen</v>
      </c>
      <c r="I170" s="18">
        <f>IF(W170=1,SUMIFS(Honor!$I$2:$I905,Honor!$K$2:$K905,$D170&amp;"-"&amp;R170),"")</f>
        <v>175000</v>
      </c>
      <c r="J170" s="19">
        <f t="shared" si="6"/>
        <v>1</v>
      </c>
      <c r="K170" s="20">
        <f t="shared" si="0"/>
        <v>175000</v>
      </c>
      <c r="L170" s="17">
        <f t="shared" si="1"/>
        <v>45596</v>
      </c>
      <c r="M170" s="20">
        <f ca="1">IF(W170=1,IF(AND(U170&lt;2,INT(V170)&lt;='Batasan Honor'!$B$2),1,0),"")</f>
        <v>1</v>
      </c>
      <c r="N170" s="21"/>
      <c r="O170" s="20">
        <f t="shared" si="2"/>
        <v>10</v>
      </c>
      <c r="P170" s="20">
        <f t="shared" si="3"/>
        <v>2024</v>
      </c>
      <c r="Q170" s="21"/>
      <c r="R170" s="22" t="s">
        <v>25</v>
      </c>
      <c r="S170" s="21" t="str">
        <f t="shared" si="4"/>
        <v>610423110183,2024,10</v>
      </c>
      <c r="T170" s="21"/>
      <c r="U170" s="20">
        <f ca="1">IFERROR(__xludf.DUMMYFUNCTION("if(W170=1,COUNTIFS(FILTER($H$2:$H905,$H$2:$H905=""OB"",$S$2:$S905=S170),""OB""),"""")"),0)</f>
        <v>0</v>
      </c>
      <c r="V170" s="20">
        <f ca="1">IFERROR(__xludf.DUMMYFUNCTION("IF(OR(ISNA(SUM(FILTER($K$2:$K905,$A$2:$A905=A170,$S$2:$S905=S170,$H$2:$H905&lt;&gt;""OB""))),W170&lt;&gt;1),"""",SUM(FILTER($K$2:$K905,$A$2:$A905=A170,$S$2:$S905=S170,$H$2:$H905&lt;&gt;""OB"")))"),175000)</f>
        <v>175000</v>
      </c>
      <c r="W170" s="20">
        <f t="shared" si="5"/>
        <v>1</v>
      </c>
    </row>
    <row r="171" spans="1:23" ht="13">
      <c r="A171" s="14">
        <v>610422020016</v>
      </c>
      <c r="B171" s="15" t="str">
        <f t="array" ref="B171">IF(W171=1,INDEX('Database Mitra'!$H$2:$H905,MATCH(A171,'Database Mitra'!AK$2:AK905,0)),"")</f>
        <v>Abdul Aziz</v>
      </c>
      <c r="C171" s="16" t="e">
        <f t="array" ref="C171">IF(W171=1,INDEX('Database Mitra'!$E$2:$E905,MATCH(A171,'Database Mitra'!AK$2:AK905,0)),"")</f>
        <v>#VALUE!</v>
      </c>
      <c r="D171" s="6" t="s">
        <v>37</v>
      </c>
      <c r="E171" s="16" t="str">
        <f t="array" ref="E171">IF(W171=1,INDEX('Input Kegiatan'!B$2:B905,MATCH($D171,'Input Kegiatan'!$A$2:$A905,0)),"")</f>
        <v>Kerangka Sampel Area (KSA) 2024 November</v>
      </c>
      <c r="F171" s="17">
        <f t="array" ref="F171">IF(W171=1,INDEX('Input Kegiatan'!D$2:D905,MATCH($D171,'Input Kegiatan'!$A$2:$A905,0)),"")</f>
        <v>45597</v>
      </c>
      <c r="G171" s="17">
        <f t="array" ref="G171">IF(W171=1,INDEX('Input Kegiatan'!E$2:E905,MATCH($D171,'Input Kegiatan'!$A$2:$A905,0)),"")</f>
        <v>45626</v>
      </c>
      <c r="H171" s="16" t="str">
        <f t="array" ref="H171">IF(W171=1,INDEX(Honor!$H$2:$H905,MATCH($D171&amp;"-"&amp;R171,Honor!$K$2:$K905,0)),"")</f>
        <v>Segmen</v>
      </c>
      <c r="I171" s="18">
        <f>IF(W171=1,SUMIFS(Honor!$I$2:$I905,Honor!$K$2:$K905,$D171&amp;"-"&amp;R171),"")</f>
        <v>175000</v>
      </c>
      <c r="J171" s="19">
        <f t="shared" si="6"/>
        <v>1</v>
      </c>
      <c r="K171" s="20">
        <f t="shared" si="0"/>
        <v>175000</v>
      </c>
      <c r="L171" s="17">
        <f t="shared" si="1"/>
        <v>45626</v>
      </c>
      <c r="M171" s="20">
        <f ca="1">IF(W171=1,IF(AND(U171&lt;2,INT(V171)&lt;='Batasan Honor'!$B$2),1,0),"")</f>
        <v>1</v>
      </c>
      <c r="N171" s="21"/>
      <c r="O171" s="20">
        <f t="shared" si="2"/>
        <v>11</v>
      </c>
      <c r="P171" s="20">
        <f t="shared" si="3"/>
        <v>2024</v>
      </c>
      <c r="Q171" s="21"/>
      <c r="R171" s="22" t="s">
        <v>25</v>
      </c>
      <c r="S171" s="21" t="str">
        <f t="shared" si="4"/>
        <v>610422020016,2024,11</v>
      </c>
      <c r="T171" s="21"/>
      <c r="U171" s="20">
        <f ca="1">IFERROR(__xludf.DUMMYFUNCTION("if(W171=1,COUNTIFS(FILTER($H$2:$H905,$H$2:$H905=""OB"",$S$2:$S905=S171),""OB""),"""")"),0)</f>
        <v>0</v>
      </c>
      <c r="V171" s="20">
        <f ca="1">IFERROR(__xludf.DUMMYFUNCTION("IF(OR(ISNA(SUM(FILTER($K$2:$K905,$A$2:$A905=A171,$S$2:$S905=S171,$H$2:$H905&lt;&gt;""OB""))),W171&lt;&gt;1),"""",SUM(FILTER($K$2:$K905,$A$2:$A905=A171,$S$2:$S905=S171,$H$2:$H905&lt;&gt;""OB"")))"),175000)</f>
        <v>175000</v>
      </c>
      <c r="W171" s="20">
        <f t="shared" si="5"/>
        <v>1</v>
      </c>
    </row>
    <row r="172" spans="1:23" ht="12.5">
      <c r="A172" s="14">
        <v>610422020048</v>
      </c>
      <c r="B172" s="16" t="str">
        <f t="array" ref="B172">IF(W172=1,INDEX('Database Mitra'!$H$2:$H905,MATCH(A172,'Database Mitra'!AK$2:AK905,0)),"")</f>
        <v>Herri Gustaman</v>
      </c>
      <c r="C172" s="16" t="e">
        <f t="array" ref="C172">IF(W172=1,INDEX('Database Mitra'!$E$2:$E905,MATCH(A172,'Database Mitra'!AK$2:AK905,0)),"")</f>
        <v>#VALUE!</v>
      </c>
      <c r="D172" s="6" t="s">
        <v>37</v>
      </c>
      <c r="E172" s="16" t="str">
        <f t="array" ref="E172">IF(W172=1,INDEX('Input Kegiatan'!B$2:B905,MATCH($D172,'Input Kegiatan'!$A$2:$A905,0)),"")</f>
        <v>Kerangka Sampel Area (KSA) 2024 November</v>
      </c>
      <c r="F172" s="17">
        <f t="array" ref="F172">IF(W172=1,INDEX('Input Kegiatan'!D$2:D905,MATCH($D172,'Input Kegiatan'!$A$2:$A905,0)),"")</f>
        <v>45597</v>
      </c>
      <c r="G172" s="17">
        <f t="array" ref="G172">IF(W172=1,INDEX('Input Kegiatan'!E$2:E905,MATCH($D172,'Input Kegiatan'!$A$2:$A905,0)),"")</f>
        <v>45626</v>
      </c>
      <c r="H172" s="16" t="str">
        <f t="array" ref="H172">IF(W172=1,INDEX(Honor!$H$2:$H905,MATCH($D172&amp;"-"&amp;R172,Honor!$K$2:$K905,0)),"")</f>
        <v>Segmen</v>
      </c>
      <c r="I172" s="18">
        <f>IF(W172=1,SUMIFS(Honor!$I$2:$I905,Honor!$K$2:$K905,$D172&amp;"-"&amp;R172),"")</f>
        <v>175000</v>
      </c>
      <c r="J172" s="19">
        <f t="shared" si="6"/>
        <v>1</v>
      </c>
      <c r="K172" s="20">
        <f t="shared" si="0"/>
        <v>175000</v>
      </c>
      <c r="L172" s="17">
        <f t="shared" si="1"/>
        <v>45626</v>
      </c>
      <c r="M172" s="20">
        <f ca="1">IF(W172=1,IF(AND(U172&lt;2,INT(V172)&lt;='Batasan Honor'!$B$2),1,0),"")</f>
        <v>1</v>
      </c>
      <c r="N172" s="21"/>
      <c r="O172" s="20">
        <f t="shared" si="2"/>
        <v>11</v>
      </c>
      <c r="P172" s="20">
        <f t="shared" si="3"/>
        <v>2024</v>
      </c>
      <c r="Q172" s="21"/>
      <c r="R172" s="22" t="s">
        <v>25</v>
      </c>
      <c r="S172" s="21" t="str">
        <f t="shared" si="4"/>
        <v>610422020048,2024,11</v>
      </c>
      <c r="T172" s="21"/>
      <c r="U172" s="20">
        <f ca="1">IFERROR(__xludf.DUMMYFUNCTION("if(W172=1,COUNTIFS(FILTER($H$2:$H905,$H$2:$H905=""OB"",$S$2:$S905=S172),""OB""),"""")"),0)</f>
        <v>0</v>
      </c>
      <c r="V172" s="20">
        <f ca="1">IFERROR(__xludf.DUMMYFUNCTION("IF(OR(ISNA(SUM(FILTER($K$2:$K905,$A$2:$A905=A172,$S$2:$S905=S172,$H$2:$H905&lt;&gt;""OB""))),W172&lt;&gt;1),"""",SUM(FILTER($K$2:$K905,$A$2:$A905=A172,$S$2:$S905=S172,$H$2:$H905&lt;&gt;""OB"")))"),175000)</f>
        <v>175000</v>
      </c>
      <c r="W172" s="20">
        <f t="shared" si="5"/>
        <v>1</v>
      </c>
    </row>
    <row r="173" spans="1:23" ht="13">
      <c r="A173" s="14">
        <v>610422040012</v>
      </c>
      <c r="B173" s="15" t="str">
        <f t="array" ref="B173">IF(W173=1,INDEX('Database Mitra'!$H$2:$H905,MATCH(A173,'Database Mitra'!AK$2:AK905,0)),"")</f>
        <v>Misdi</v>
      </c>
      <c r="C173" s="16" t="e">
        <f t="array" ref="C173">IF(W173=1,INDEX('Database Mitra'!$E$2:$E905,MATCH(A173,'Database Mitra'!AK$2:AK905,0)),"")</f>
        <v>#VALUE!</v>
      </c>
      <c r="D173" s="6" t="s">
        <v>37</v>
      </c>
      <c r="E173" s="16" t="str">
        <f t="array" ref="E173">IF(W173=1,INDEX('Input Kegiatan'!B$2:B905,MATCH($D173,'Input Kegiatan'!$A$2:$A905,0)),"")</f>
        <v>Kerangka Sampel Area (KSA) 2024 November</v>
      </c>
      <c r="F173" s="17">
        <f t="array" ref="F173">IF(W173=1,INDEX('Input Kegiatan'!D$2:D905,MATCH($D173,'Input Kegiatan'!$A$2:$A905,0)),"")</f>
        <v>45597</v>
      </c>
      <c r="G173" s="17">
        <f t="array" ref="G173">IF(W173=1,INDEX('Input Kegiatan'!E$2:E905,MATCH($D173,'Input Kegiatan'!$A$2:$A905,0)),"")</f>
        <v>45626</v>
      </c>
      <c r="H173" s="16" t="str">
        <f t="array" ref="H173">IF(W173=1,INDEX(Honor!$H$2:$H905,MATCH($D173&amp;"-"&amp;R173,Honor!$K$2:$K905,0)),"")</f>
        <v>Segmen</v>
      </c>
      <c r="I173" s="18">
        <f>IF(W173=1,SUMIFS(Honor!$I$2:$I905,Honor!$K$2:$K905,$D173&amp;"-"&amp;R173),"")</f>
        <v>175000</v>
      </c>
      <c r="J173" s="19">
        <f t="shared" si="6"/>
        <v>1</v>
      </c>
      <c r="K173" s="20">
        <f t="shared" si="0"/>
        <v>175000</v>
      </c>
      <c r="L173" s="17">
        <f t="shared" si="1"/>
        <v>45626</v>
      </c>
      <c r="M173" s="20">
        <f ca="1">IF(W173=1,IF(AND(U173&lt;2,INT(V173)&lt;='Batasan Honor'!$B$2),1,0),"")</f>
        <v>1</v>
      </c>
      <c r="N173" s="21"/>
      <c r="O173" s="20">
        <f t="shared" si="2"/>
        <v>11</v>
      </c>
      <c r="P173" s="20">
        <f t="shared" si="3"/>
        <v>2024</v>
      </c>
      <c r="Q173" s="21"/>
      <c r="R173" s="22" t="s">
        <v>25</v>
      </c>
      <c r="S173" s="21" t="str">
        <f t="shared" si="4"/>
        <v>610422040012,2024,11</v>
      </c>
      <c r="T173" s="21"/>
      <c r="U173" s="20">
        <f ca="1">IFERROR(__xludf.DUMMYFUNCTION("if(W173=1,COUNTIFS(FILTER($H$2:$H905,$H$2:$H905=""OB"",$S$2:$S905=S173),""OB""),"""")"),0)</f>
        <v>0</v>
      </c>
      <c r="V173" s="20">
        <f ca="1">IFERROR(__xludf.DUMMYFUNCTION("IF(OR(ISNA(SUM(FILTER($K$2:$K905,$A$2:$A905=A173,$S$2:$S905=S173,$H$2:$H905&lt;&gt;""OB""))),W173&lt;&gt;1),"""",SUM(FILTER($K$2:$K905,$A$2:$A905=A173,$S$2:$S905=S173,$H$2:$H905&lt;&gt;""OB"")))"),175000)</f>
        <v>175000</v>
      </c>
      <c r="W173" s="20">
        <f t="shared" si="5"/>
        <v>1</v>
      </c>
    </row>
    <row r="174" spans="1:23" ht="12.5">
      <c r="A174" s="14">
        <v>610422040058</v>
      </c>
      <c r="B174" s="16" t="str">
        <f t="array" ref="B174">IF(W174=1,INDEX('Database Mitra'!$H$2:$H905,MATCH(A174,'Database Mitra'!AK$2:AK905,0)),"")</f>
        <v>Jamaluddin, SP</v>
      </c>
      <c r="C174" s="16" t="e">
        <f t="array" ref="C174">IF(W174=1,INDEX('Database Mitra'!$E$2:$E905,MATCH(A174,'Database Mitra'!AK$2:AK905,0)),"")</f>
        <v>#VALUE!</v>
      </c>
      <c r="D174" s="6" t="s">
        <v>37</v>
      </c>
      <c r="E174" s="16" t="str">
        <f t="array" ref="E174">IF(W174=1,INDEX('Input Kegiatan'!B$2:B905,MATCH($D174,'Input Kegiatan'!$A$2:$A905,0)),"")</f>
        <v>Kerangka Sampel Area (KSA) 2024 November</v>
      </c>
      <c r="F174" s="17">
        <f t="array" ref="F174">IF(W174=1,INDEX('Input Kegiatan'!D$2:D905,MATCH($D174,'Input Kegiatan'!$A$2:$A905,0)),"")</f>
        <v>45597</v>
      </c>
      <c r="G174" s="17">
        <f t="array" ref="G174">IF(W174=1,INDEX('Input Kegiatan'!E$2:E905,MATCH($D174,'Input Kegiatan'!$A$2:$A905,0)),"")</f>
        <v>45626</v>
      </c>
      <c r="H174" s="16" t="str">
        <f t="array" ref="H174">IF(W174=1,INDEX(Honor!$H$2:$H905,MATCH($D174&amp;"-"&amp;R174,Honor!$K$2:$K905,0)),"")</f>
        <v>Segmen</v>
      </c>
      <c r="I174" s="18">
        <f>IF(W174=1,SUMIFS(Honor!$I$2:$I905,Honor!$K$2:$K905,$D174&amp;"-"&amp;R174),"")</f>
        <v>175000</v>
      </c>
      <c r="J174" s="19">
        <f t="shared" si="6"/>
        <v>1</v>
      </c>
      <c r="K174" s="20">
        <f t="shared" si="0"/>
        <v>175000</v>
      </c>
      <c r="L174" s="17">
        <f t="shared" si="1"/>
        <v>45626</v>
      </c>
      <c r="M174" s="20">
        <f ca="1">IF(W174=1,IF(AND(U174&lt;2,INT(V174)&lt;='Batasan Honor'!$B$2),1,0),"")</f>
        <v>1</v>
      </c>
      <c r="N174" s="21"/>
      <c r="O174" s="20">
        <f t="shared" si="2"/>
        <v>11</v>
      </c>
      <c r="P174" s="20">
        <f t="shared" si="3"/>
        <v>2024</v>
      </c>
      <c r="Q174" s="21"/>
      <c r="R174" s="22" t="s">
        <v>25</v>
      </c>
      <c r="S174" s="21" t="str">
        <f t="shared" si="4"/>
        <v>610422040058,2024,11</v>
      </c>
      <c r="T174" s="21"/>
      <c r="U174" s="20">
        <f ca="1">IFERROR(__xludf.DUMMYFUNCTION("if(W174=1,COUNTIFS(FILTER($H$2:$H905,$H$2:$H905=""OB"",$S$2:$S905=S174),""OB""),"""")"),0)</f>
        <v>0</v>
      </c>
      <c r="V174" s="20">
        <f ca="1">IFERROR(__xludf.DUMMYFUNCTION("IF(OR(ISNA(SUM(FILTER($K$2:$K905,$A$2:$A905=A174,$S$2:$S905=S174,$H$2:$H905&lt;&gt;""OB""))),W174&lt;&gt;1),"""",SUM(FILTER($K$2:$K905,$A$2:$A905=A174,$S$2:$S905=S174,$H$2:$H905&lt;&gt;""OB"")))"),175000)</f>
        <v>175000</v>
      </c>
      <c r="W174" s="20">
        <f t="shared" si="5"/>
        <v>1</v>
      </c>
    </row>
    <row r="175" spans="1:23" ht="13">
      <c r="A175" s="14">
        <v>610422040059</v>
      </c>
      <c r="B175" s="15" t="str">
        <f t="array" ref="B175">IF(W175=1,INDEX('Database Mitra'!$H$2:$H905,MATCH(A175,'Database Mitra'!AK$2:AK905,0)),"")</f>
        <v>Abang Handri</v>
      </c>
      <c r="C175" s="16" t="e">
        <f t="array" ref="C175">IF(W175=1,INDEX('Database Mitra'!$E$2:$E905,MATCH(A175,'Database Mitra'!AK$2:AK905,0)),"")</f>
        <v>#VALUE!</v>
      </c>
      <c r="D175" s="6" t="s">
        <v>37</v>
      </c>
      <c r="E175" s="16" t="str">
        <f t="array" ref="E175">IF(W175=1,INDEX('Input Kegiatan'!B$2:B905,MATCH($D175,'Input Kegiatan'!$A$2:$A905,0)),"")</f>
        <v>Kerangka Sampel Area (KSA) 2024 November</v>
      </c>
      <c r="F175" s="17">
        <f t="array" ref="F175">IF(W175=1,INDEX('Input Kegiatan'!D$2:D905,MATCH($D175,'Input Kegiatan'!$A$2:$A905,0)),"")</f>
        <v>45597</v>
      </c>
      <c r="G175" s="17">
        <f t="array" ref="G175">IF(W175=1,INDEX('Input Kegiatan'!E$2:E905,MATCH($D175,'Input Kegiatan'!$A$2:$A905,0)),"")</f>
        <v>45626</v>
      </c>
      <c r="H175" s="16" t="str">
        <f t="array" ref="H175">IF(W175=1,INDEX(Honor!$H$2:$H905,MATCH($D175&amp;"-"&amp;R175,Honor!$K$2:$K905,0)),"")</f>
        <v>Segmen</v>
      </c>
      <c r="I175" s="18">
        <f>IF(W175=1,SUMIFS(Honor!$I$2:$I905,Honor!$K$2:$K905,$D175&amp;"-"&amp;R175),"")</f>
        <v>175000</v>
      </c>
      <c r="J175" s="19">
        <f t="shared" si="6"/>
        <v>1</v>
      </c>
      <c r="K175" s="20">
        <f t="shared" si="0"/>
        <v>175000</v>
      </c>
      <c r="L175" s="17">
        <f t="shared" si="1"/>
        <v>45626</v>
      </c>
      <c r="M175" s="20">
        <f ca="1">IF(W175=1,IF(AND(U175&lt;2,INT(V175)&lt;='Batasan Honor'!$B$2),1,0),"")</f>
        <v>1</v>
      </c>
      <c r="N175" s="21"/>
      <c r="O175" s="20">
        <f t="shared" si="2"/>
        <v>11</v>
      </c>
      <c r="P175" s="20">
        <f t="shared" si="3"/>
        <v>2024</v>
      </c>
      <c r="Q175" s="21"/>
      <c r="R175" s="22" t="s">
        <v>25</v>
      </c>
      <c r="S175" s="21" t="str">
        <f t="shared" si="4"/>
        <v>610422040059,2024,11</v>
      </c>
      <c r="T175" s="21"/>
      <c r="U175" s="20">
        <f ca="1">IFERROR(__xludf.DUMMYFUNCTION("if(W175=1,COUNTIFS(FILTER($H$2:$H905,$H$2:$H905=""OB"",$S$2:$S905=S175),""OB""),"""")"),0)</f>
        <v>0</v>
      </c>
      <c r="V175" s="20">
        <f ca="1">IFERROR(__xludf.DUMMYFUNCTION("IF(OR(ISNA(SUM(FILTER($K$2:$K905,$A$2:$A905=A175,$S$2:$S905=S175,$H$2:$H905&lt;&gt;""OB""))),W175&lt;&gt;1),"""",SUM(FILTER($K$2:$K905,$A$2:$A905=A175,$S$2:$S905=S175,$H$2:$H905&lt;&gt;""OB"")))"),175000)</f>
        <v>175000</v>
      </c>
      <c r="W175" s="20">
        <f t="shared" si="5"/>
        <v>1</v>
      </c>
    </row>
    <row r="176" spans="1:23" ht="13">
      <c r="A176" s="14">
        <v>610422040061</v>
      </c>
      <c r="B176" s="15" t="str">
        <f t="array" ref="B176">IF(W176=1,INDEX('Database Mitra'!$H$2:$H905,MATCH(A176,'Database Mitra'!AK$2:AK905,0)),"")</f>
        <v>Sabani</v>
      </c>
      <c r="C176" s="16" t="e">
        <f t="array" ref="C176">IF(W176=1,INDEX('Database Mitra'!$E$2:$E905,MATCH(A176,'Database Mitra'!AK$2:AK905,0)),"")</f>
        <v>#VALUE!</v>
      </c>
      <c r="D176" s="6" t="s">
        <v>37</v>
      </c>
      <c r="E176" s="16" t="str">
        <f t="array" ref="E176">IF(W176=1,INDEX('Input Kegiatan'!B$2:B905,MATCH($D176,'Input Kegiatan'!$A$2:$A905,0)),"")</f>
        <v>Kerangka Sampel Area (KSA) 2024 November</v>
      </c>
      <c r="F176" s="17">
        <f t="array" ref="F176">IF(W176=1,INDEX('Input Kegiatan'!D$2:D905,MATCH($D176,'Input Kegiatan'!$A$2:$A905,0)),"")</f>
        <v>45597</v>
      </c>
      <c r="G176" s="17">
        <f t="array" ref="G176">IF(W176=1,INDEX('Input Kegiatan'!E$2:E905,MATCH($D176,'Input Kegiatan'!$A$2:$A905,0)),"")</f>
        <v>45626</v>
      </c>
      <c r="H176" s="16" t="str">
        <f t="array" ref="H176">IF(W176=1,INDEX(Honor!$H$2:$H905,MATCH($D176&amp;"-"&amp;R176,Honor!$K$2:$K905,0)),"")</f>
        <v>Segmen</v>
      </c>
      <c r="I176" s="18">
        <f>IF(W176=1,SUMIFS(Honor!$I$2:$I905,Honor!$K$2:$K905,$D176&amp;"-"&amp;R176),"")</f>
        <v>175000</v>
      </c>
      <c r="J176" s="19">
        <f t="shared" si="6"/>
        <v>1</v>
      </c>
      <c r="K176" s="20">
        <f t="shared" si="0"/>
        <v>175000</v>
      </c>
      <c r="L176" s="17">
        <f t="shared" si="1"/>
        <v>45626</v>
      </c>
      <c r="M176" s="20">
        <f ca="1">IF(W176=1,IF(AND(U176&lt;2,INT(V176)&lt;='Batasan Honor'!$B$2),1,0),"")</f>
        <v>1</v>
      </c>
      <c r="N176" s="21"/>
      <c r="O176" s="20">
        <f t="shared" si="2"/>
        <v>11</v>
      </c>
      <c r="P176" s="20">
        <f t="shared" si="3"/>
        <v>2024</v>
      </c>
      <c r="Q176" s="21"/>
      <c r="R176" s="22" t="s">
        <v>25</v>
      </c>
      <c r="S176" s="21" t="str">
        <f t="shared" si="4"/>
        <v>610422040061,2024,11</v>
      </c>
      <c r="T176" s="21"/>
      <c r="U176" s="20">
        <f ca="1">IFERROR(__xludf.DUMMYFUNCTION("if(W176=1,COUNTIFS(FILTER($H$2:$H905,$H$2:$H905=""OB"",$S$2:$S905=S176),""OB""),"""")"),0)</f>
        <v>0</v>
      </c>
      <c r="V176" s="20">
        <f ca="1">IFERROR(__xludf.DUMMYFUNCTION("IF(OR(ISNA(SUM(FILTER($K$2:$K905,$A$2:$A905=A176,$S$2:$S905=S176,$H$2:$H905&lt;&gt;""OB""))),W176&lt;&gt;1),"""",SUM(FILTER($K$2:$K905,$A$2:$A905=A176,$S$2:$S905=S176,$H$2:$H905&lt;&gt;""OB"")))"),175000)</f>
        <v>175000</v>
      </c>
      <c r="W176" s="20">
        <f t="shared" si="5"/>
        <v>1</v>
      </c>
    </row>
    <row r="177" spans="1:23" ht="13">
      <c r="A177" s="14">
        <v>610422100131</v>
      </c>
      <c r="B177" s="15" t="str">
        <f t="array" ref="B177">IF(W177=1,INDEX('Database Mitra'!$H$2:$H905,MATCH(A177,'Database Mitra'!AK$2:AK905,0)),"")</f>
        <v>SYAMSUL</v>
      </c>
      <c r="C177" s="16" t="e">
        <f t="array" ref="C177">IF(W177=1,INDEX('Database Mitra'!$E$2:$E905,MATCH(A177,'Database Mitra'!AK$2:AK905,0)),"")</f>
        <v>#VALUE!</v>
      </c>
      <c r="D177" s="6" t="s">
        <v>37</v>
      </c>
      <c r="E177" s="16" t="str">
        <f t="array" ref="E177">IF(W177=1,INDEX('Input Kegiatan'!B$2:B905,MATCH($D177,'Input Kegiatan'!$A$2:$A905,0)),"")</f>
        <v>Kerangka Sampel Area (KSA) 2024 November</v>
      </c>
      <c r="F177" s="17">
        <f t="array" ref="F177">IF(W177=1,INDEX('Input Kegiatan'!D$2:D905,MATCH($D177,'Input Kegiatan'!$A$2:$A905,0)),"")</f>
        <v>45597</v>
      </c>
      <c r="G177" s="17">
        <f t="array" ref="G177">IF(W177=1,INDEX('Input Kegiatan'!E$2:E905,MATCH($D177,'Input Kegiatan'!$A$2:$A905,0)),"")</f>
        <v>45626</v>
      </c>
      <c r="H177" s="16" t="str">
        <f t="array" ref="H177">IF(W177=1,INDEX(Honor!$H$2:$H905,MATCH($D177&amp;"-"&amp;R177,Honor!$K$2:$K905,0)),"")</f>
        <v>Segmen</v>
      </c>
      <c r="I177" s="18">
        <f>IF(W177=1,SUMIFS(Honor!$I$2:$I905,Honor!$K$2:$K905,$D177&amp;"-"&amp;R177),"")</f>
        <v>175000</v>
      </c>
      <c r="J177" s="19">
        <f t="shared" si="6"/>
        <v>1</v>
      </c>
      <c r="K177" s="20">
        <f t="shared" si="0"/>
        <v>175000</v>
      </c>
      <c r="L177" s="17">
        <f t="shared" si="1"/>
        <v>45626</v>
      </c>
      <c r="M177" s="20">
        <f ca="1">IF(W177=1,IF(AND(U177&lt;2,INT(V177)&lt;='Batasan Honor'!$B$2),1,0),"")</f>
        <v>1</v>
      </c>
      <c r="N177" s="21"/>
      <c r="O177" s="20">
        <f t="shared" si="2"/>
        <v>11</v>
      </c>
      <c r="P177" s="20">
        <f t="shared" si="3"/>
        <v>2024</v>
      </c>
      <c r="Q177" s="21"/>
      <c r="R177" s="22" t="s">
        <v>25</v>
      </c>
      <c r="S177" s="21" t="str">
        <f t="shared" si="4"/>
        <v>610422100131,2024,11</v>
      </c>
      <c r="T177" s="21"/>
      <c r="U177" s="20">
        <f ca="1">IFERROR(__xludf.DUMMYFUNCTION("if(W177=1,COUNTIFS(FILTER($H$2:$H905,$H$2:$H905=""OB"",$S$2:$S905=S177),""OB""),"""")"),0)</f>
        <v>0</v>
      </c>
      <c r="V177" s="20">
        <f ca="1">IFERROR(__xludf.DUMMYFUNCTION("IF(OR(ISNA(SUM(FILTER($K$2:$K905,$A$2:$A905=A177,$S$2:$S905=S177,$H$2:$H905&lt;&gt;""OB""))),W177&lt;&gt;1),"""",SUM(FILTER($K$2:$K905,$A$2:$A905=A177,$S$2:$S905=S177,$H$2:$H905&lt;&gt;""OB"")))"),175000)</f>
        <v>175000</v>
      </c>
      <c r="W177" s="20">
        <f t="shared" si="5"/>
        <v>1</v>
      </c>
    </row>
    <row r="178" spans="1:23" ht="13">
      <c r="A178" s="14">
        <v>610422100244</v>
      </c>
      <c r="B178" s="15" t="str">
        <f t="array" ref="B178">IF(W178=1,INDEX('Database Mitra'!$H$2:$H905,MATCH(A178,'Database Mitra'!AK$2:AK905,0)),"")</f>
        <v>Sugianto</v>
      </c>
      <c r="C178" s="16" t="e">
        <f t="array" ref="C178">IF(W178=1,INDEX('Database Mitra'!$E$2:$E905,MATCH(A178,'Database Mitra'!AK$2:AK905,0)),"")</f>
        <v>#VALUE!</v>
      </c>
      <c r="D178" s="6" t="s">
        <v>37</v>
      </c>
      <c r="E178" s="16" t="str">
        <f t="array" ref="E178">IF(W178=1,INDEX('Input Kegiatan'!B$2:B905,MATCH($D178,'Input Kegiatan'!$A$2:$A905,0)),"")</f>
        <v>Kerangka Sampel Area (KSA) 2024 November</v>
      </c>
      <c r="F178" s="17">
        <f t="array" ref="F178">IF(W178=1,INDEX('Input Kegiatan'!D$2:D905,MATCH($D178,'Input Kegiatan'!$A$2:$A905,0)),"")</f>
        <v>45597</v>
      </c>
      <c r="G178" s="17">
        <f t="array" ref="G178">IF(W178=1,INDEX('Input Kegiatan'!E$2:E905,MATCH($D178,'Input Kegiatan'!$A$2:$A905,0)),"")</f>
        <v>45626</v>
      </c>
      <c r="H178" s="16" t="str">
        <f t="array" ref="H178">IF(W178=1,INDEX(Honor!$H$2:$H905,MATCH($D178&amp;"-"&amp;R178,Honor!$K$2:$K905,0)),"")</f>
        <v>Segmen</v>
      </c>
      <c r="I178" s="18">
        <f>IF(W178=1,SUMIFS(Honor!$I$2:$I905,Honor!$K$2:$K905,$D178&amp;"-"&amp;R178),"")</f>
        <v>175000</v>
      </c>
      <c r="J178" s="19">
        <f t="shared" si="6"/>
        <v>1</v>
      </c>
      <c r="K178" s="20">
        <f t="shared" si="0"/>
        <v>175000</v>
      </c>
      <c r="L178" s="17">
        <f t="shared" si="1"/>
        <v>45626</v>
      </c>
      <c r="M178" s="20">
        <f ca="1">IF(W178=1,IF(AND(U178&lt;2,INT(V178)&lt;='Batasan Honor'!$B$2),1,0),"")</f>
        <v>1</v>
      </c>
      <c r="N178" s="21"/>
      <c r="O178" s="20">
        <f t="shared" si="2"/>
        <v>11</v>
      </c>
      <c r="P178" s="20">
        <f t="shared" si="3"/>
        <v>2024</v>
      </c>
      <c r="Q178" s="21"/>
      <c r="R178" s="22" t="s">
        <v>25</v>
      </c>
      <c r="S178" s="21" t="str">
        <f t="shared" si="4"/>
        <v>610422100244,2024,11</v>
      </c>
      <c r="T178" s="21"/>
      <c r="U178" s="20">
        <f ca="1">IFERROR(__xludf.DUMMYFUNCTION("if(W178=1,COUNTIFS(FILTER($H$2:$H905,$H$2:$H905=""OB"",$S$2:$S905=S178),""OB""),"""")"),0)</f>
        <v>0</v>
      </c>
      <c r="V178" s="20">
        <f ca="1">IFERROR(__xludf.DUMMYFUNCTION("IF(OR(ISNA(SUM(FILTER($K$2:$K905,$A$2:$A905=A178,$S$2:$S905=S178,$H$2:$H905&lt;&gt;""OB""))),W178&lt;&gt;1),"""",SUM(FILTER($K$2:$K905,$A$2:$A905=A178,$S$2:$S905=S178,$H$2:$H905&lt;&gt;""OB"")))"),175000)</f>
        <v>175000</v>
      </c>
      <c r="W178" s="20">
        <f t="shared" si="5"/>
        <v>1</v>
      </c>
    </row>
    <row r="179" spans="1:23" ht="13">
      <c r="A179" s="14">
        <v>610422100176</v>
      </c>
      <c r="B179" s="15" t="str">
        <f t="array" ref="B179">IF(W179=1,INDEX('Database Mitra'!$H$2:$H905,MATCH(A179,'Database Mitra'!AK$2:AK905,0)),"")</f>
        <v>Feri Firdaus</v>
      </c>
      <c r="C179" s="16" t="e">
        <f t="array" ref="C179">IF(W179=1,INDEX('Database Mitra'!$E$2:$E905,MATCH(A179,'Database Mitra'!AK$2:AK905,0)),"")</f>
        <v>#VALUE!</v>
      </c>
      <c r="D179" s="6" t="s">
        <v>37</v>
      </c>
      <c r="E179" s="16" t="str">
        <f t="array" ref="E179">IF(W179=1,INDEX('Input Kegiatan'!B$2:B905,MATCH($D179,'Input Kegiatan'!$A$2:$A905,0)),"")</f>
        <v>Kerangka Sampel Area (KSA) 2024 November</v>
      </c>
      <c r="F179" s="17">
        <f t="array" ref="F179">IF(W179=1,INDEX('Input Kegiatan'!D$2:D905,MATCH($D179,'Input Kegiatan'!$A$2:$A905,0)),"")</f>
        <v>45597</v>
      </c>
      <c r="G179" s="17">
        <f t="array" ref="G179">IF(W179=1,INDEX('Input Kegiatan'!E$2:E905,MATCH($D179,'Input Kegiatan'!$A$2:$A905,0)),"")</f>
        <v>45626</v>
      </c>
      <c r="H179" s="16" t="str">
        <f t="array" ref="H179">IF(W179=1,INDEX(Honor!$H$2:$H905,MATCH($D179&amp;"-"&amp;R179,Honor!$K$2:$K905,0)),"")</f>
        <v>Segmen</v>
      </c>
      <c r="I179" s="18">
        <f>IF(W179=1,SUMIFS(Honor!$I$2:$I905,Honor!$K$2:$K905,$D179&amp;"-"&amp;R179),"")</f>
        <v>175000</v>
      </c>
      <c r="J179" s="19">
        <f t="shared" si="6"/>
        <v>1</v>
      </c>
      <c r="K179" s="20">
        <f t="shared" si="0"/>
        <v>175000</v>
      </c>
      <c r="L179" s="17">
        <f t="shared" si="1"/>
        <v>45626</v>
      </c>
      <c r="M179" s="20">
        <f ca="1">IF(W179=1,IF(AND(U179&lt;2,INT(V179)&lt;='Batasan Honor'!$B$2),1,0),"")</f>
        <v>1</v>
      </c>
      <c r="N179" s="21"/>
      <c r="O179" s="20">
        <f t="shared" si="2"/>
        <v>11</v>
      </c>
      <c r="P179" s="20">
        <f t="shared" si="3"/>
        <v>2024</v>
      </c>
      <c r="Q179" s="21"/>
      <c r="R179" s="22" t="s">
        <v>25</v>
      </c>
      <c r="S179" s="21" t="str">
        <f t="shared" si="4"/>
        <v>610422100176,2024,11</v>
      </c>
      <c r="T179" s="21"/>
      <c r="U179" s="20">
        <f ca="1">IFERROR(__xludf.DUMMYFUNCTION("if(W179=1,COUNTIFS(FILTER($H$2:$H905,$H$2:$H905=""OB"",$S$2:$S905=S179),""OB""),"""")"),0)</f>
        <v>0</v>
      </c>
      <c r="V179" s="20">
        <f ca="1">IFERROR(__xludf.DUMMYFUNCTION("IF(OR(ISNA(SUM(FILTER($K$2:$K905,$A$2:$A905=A179,$S$2:$S905=S179,$H$2:$H905&lt;&gt;""OB""))),W179&lt;&gt;1),"""",SUM(FILTER($K$2:$K905,$A$2:$A905=A179,$S$2:$S905=S179,$H$2:$H905&lt;&gt;""OB"")))"),175000)</f>
        <v>175000</v>
      </c>
      <c r="W179" s="20">
        <f t="shared" si="5"/>
        <v>1</v>
      </c>
    </row>
    <row r="180" spans="1:23" ht="13">
      <c r="A180" s="14">
        <v>610423040018</v>
      </c>
      <c r="B180" s="15" t="str">
        <f t="array" ref="B180">IF(W180=1,INDEX('Database Mitra'!$H$2:$H905,MATCH(A180,'Database Mitra'!AK$2:AK905,0)),"")</f>
        <v>Handoko Tuah Sabarman Sipayung</v>
      </c>
      <c r="C180" s="16" t="e">
        <f t="array" ref="C180">IF(W180=1,INDEX('Database Mitra'!$E$2:$E905,MATCH(A180,'Database Mitra'!AK$2:AK905,0)),"")</f>
        <v>#VALUE!</v>
      </c>
      <c r="D180" s="6" t="s">
        <v>37</v>
      </c>
      <c r="E180" s="16" t="str">
        <f t="array" ref="E180">IF(W180=1,INDEX('Input Kegiatan'!B$2:B905,MATCH($D180,'Input Kegiatan'!$A$2:$A905,0)),"")</f>
        <v>Kerangka Sampel Area (KSA) 2024 November</v>
      </c>
      <c r="F180" s="17">
        <f t="array" ref="F180">IF(W180=1,INDEX('Input Kegiatan'!D$2:D905,MATCH($D180,'Input Kegiatan'!$A$2:$A905,0)),"")</f>
        <v>45597</v>
      </c>
      <c r="G180" s="17">
        <f t="array" ref="G180">IF(W180=1,INDEX('Input Kegiatan'!E$2:E905,MATCH($D180,'Input Kegiatan'!$A$2:$A905,0)),"")</f>
        <v>45626</v>
      </c>
      <c r="H180" s="16" t="str">
        <f t="array" ref="H180">IF(W180=1,INDEX(Honor!$H$2:$H905,MATCH($D180&amp;"-"&amp;R180,Honor!$K$2:$K905,0)),"")</f>
        <v>Segmen</v>
      </c>
      <c r="I180" s="18">
        <f>IF(W180=1,SUMIFS(Honor!$I$2:$I905,Honor!$K$2:$K905,$D180&amp;"-"&amp;R180),"")</f>
        <v>175000</v>
      </c>
      <c r="J180" s="19">
        <f t="shared" si="6"/>
        <v>1</v>
      </c>
      <c r="K180" s="20">
        <f t="shared" si="0"/>
        <v>175000</v>
      </c>
      <c r="L180" s="17">
        <f t="shared" si="1"/>
        <v>45626</v>
      </c>
      <c r="M180" s="20">
        <f ca="1">IF(W180=1,IF(AND(U180&lt;2,INT(V180)&lt;='Batasan Honor'!$B$2),1,0),"")</f>
        <v>1</v>
      </c>
      <c r="N180" s="21"/>
      <c r="O180" s="20">
        <f t="shared" si="2"/>
        <v>11</v>
      </c>
      <c r="P180" s="20">
        <f t="shared" si="3"/>
        <v>2024</v>
      </c>
      <c r="Q180" s="21"/>
      <c r="R180" s="22" t="s">
        <v>25</v>
      </c>
      <c r="S180" s="21" t="str">
        <f t="shared" si="4"/>
        <v>610423040018,2024,11</v>
      </c>
      <c r="T180" s="21"/>
      <c r="U180" s="20">
        <f ca="1">IFERROR(__xludf.DUMMYFUNCTION("if(W180=1,COUNTIFS(FILTER($H$2:$H905,$H$2:$H905=""OB"",$S$2:$S905=S180),""OB""),"""")"),0)</f>
        <v>0</v>
      </c>
      <c r="V180" s="20">
        <f ca="1">IFERROR(__xludf.DUMMYFUNCTION("IF(OR(ISNA(SUM(FILTER($K$2:$K905,$A$2:$A905=A180,$S$2:$S905=S180,$H$2:$H905&lt;&gt;""OB""))),W180&lt;&gt;1),"""",SUM(FILTER($K$2:$K905,$A$2:$A905=A180,$S$2:$S905=S180,$H$2:$H905&lt;&gt;""OB"")))"),175000)</f>
        <v>175000</v>
      </c>
      <c r="W180" s="20">
        <f t="shared" si="5"/>
        <v>1</v>
      </c>
    </row>
    <row r="181" spans="1:23" ht="13">
      <c r="A181" s="14">
        <v>610423110183</v>
      </c>
      <c r="B181" s="15" t="str">
        <f t="array" ref="B181">IF(W181=1,INDEX('Database Mitra'!$H$2:$H905,MATCH(A181,'Database Mitra'!AK$2:AK905,0)),"")</f>
        <v>azhar</v>
      </c>
      <c r="C181" s="16" t="e">
        <f t="array" ref="C181">IF(W181=1,INDEX('Database Mitra'!$E$2:$E905,MATCH(A181,'Database Mitra'!AK$2:AK905,0)),"")</f>
        <v>#VALUE!</v>
      </c>
      <c r="D181" s="6" t="s">
        <v>37</v>
      </c>
      <c r="E181" s="16" t="str">
        <f t="array" ref="E181">IF(W181=1,INDEX('Input Kegiatan'!B$2:B905,MATCH($D181,'Input Kegiatan'!$A$2:$A905,0)),"")</f>
        <v>Kerangka Sampel Area (KSA) 2024 November</v>
      </c>
      <c r="F181" s="17">
        <f t="array" ref="F181">IF(W181=1,INDEX('Input Kegiatan'!D$2:D905,MATCH($D181,'Input Kegiatan'!$A$2:$A905,0)),"")</f>
        <v>45597</v>
      </c>
      <c r="G181" s="17">
        <f t="array" ref="G181">IF(W181=1,INDEX('Input Kegiatan'!E$2:E905,MATCH($D181,'Input Kegiatan'!$A$2:$A905,0)),"")</f>
        <v>45626</v>
      </c>
      <c r="H181" s="16" t="str">
        <f t="array" ref="H181">IF(W181=1,INDEX(Honor!$H$2:$H905,MATCH($D181&amp;"-"&amp;R181,Honor!$K$2:$K905,0)),"")</f>
        <v>Segmen</v>
      </c>
      <c r="I181" s="18">
        <f>IF(W181=1,SUMIFS(Honor!$I$2:$I905,Honor!$K$2:$K905,$D181&amp;"-"&amp;R181),"")</f>
        <v>175000</v>
      </c>
      <c r="J181" s="19">
        <f t="shared" si="6"/>
        <v>1</v>
      </c>
      <c r="K181" s="20">
        <f t="shared" si="0"/>
        <v>175000</v>
      </c>
      <c r="L181" s="17">
        <f t="shared" si="1"/>
        <v>45626</v>
      </c>
      <c r="M181" s="20">
        <f ca="1">IF(W181=1,IF(AND(U181&lt;2,INT(V181)&lt;='Batasan Honor'!$B$2),1,0),"")</f>
        <v>1</v>
      </c>
      <c r="N181" s="21"/>
      <c r="O181" s="20">
        <f t="shared" si="2"/>
        <v>11</v>
      </c>
      <c r="P181" s="20">
        <f t="shared" si="3"/>
        <v>2024</v>
      </c>
      <c r="Q181" s="21"/>
      <c r="R181" s="22" t="s">
        <v>25</v>
      </c>
      <c r="S181" s="21" t="str">
        <f t="shared" si="4"/>
        <v>610423110183,2024,11</v>
      </c>
      <c r="T181" s="21"/>
      <c r="U181" s="20">
        <f ca="1">IFERROR(__xludf.DUMMYFUNCTION("if(W181=1,COUNTIFS(FILTER($H$2:$H905,$H$2:$H905=""OB"",$S$2:$S905=S181),""OB""),"""")"),0)</f>
        <v>0</v>
      </c>
      <c r="V181" s="20">
        <f ca="1">IFERROR(__xludf.DUMMYFUNCTION("IF(OR(ISNA(SUM(FILTER($K$2:$K905,$A$2:$A905=A181,$S$2:$S905=S181,$H$2:$H905&lt;&gt;""OB""))),W181&lt;&gt;1),"""",SUM(FILTER($K$2:$K905,$A$2:$A905=A181,$S$2:$S905=S181,$H$2:$H905&lt;&gt;""OB"")))"),175000)</f>
        <v>175000</v>
      </c>
      <c r="W181" s="20">
        <f t="shared" si="5"/>
        <v>1</v>
      </c>
    </row>
    <row r="182" spans="1:23" ht="13">
      <c r="A182" s="14">
        <v>610422020016</v>
      </c>
      <c r="B182" s="15" t="str">
        <f t="array" ref="B182">IF(W182=1,INDEX('Database Mitra'!$H$2:$H905,MATCH(A182,'Database Mitra'!AK$2:AK905,0)),"")</f>
        <v>Abdul Aziz</v>
      </c>
      <c r="C182" s="16" t="e">
        <f t="array" ref="C182">IF(W182=1,INDEX('Database Mitra'!$E$2:$E905,MATCH(A182,'Database Mitra'!AK$2:AK905,0)),"")</f>
        <v>#VALUE!</v>
      </c>
      <c r="D182" s="6" t="s">
        <v>38</v>
      </c>
      <c r="E182" s="16" t="str">
        <f t="array" ref="E182">IF(W182=1,INDEX('Input Kegiatan'!B$2:B905,MATCH($D182,'Input Kegiatan'!$A$2:$A905,0)),"")</f>
        <v>Kerangka Sampel Area (KSA) 2024 Desember</v>
      </c>
      <c r="F182" s="17">
        <f t="array" ref="F182">IF(W182=1,INDEX('Input Kegiatan'!D$2:D905,MATCH($D182,'Input Kegiatan'!$A$2:$A905,0)),"")</f>
        <v>45627</v>
      </c>
      <c r="G182" s="17">
        <f t="array" ref="G182">IF(W182=1,INDEX('Input Kegiatan'!E$2:E905,MATCH($D182,'Input Kegiatan'!$A$2:$A905,0)),"")</f>
        <v>45657</v>
      </c>
      <c r="H182" s="16" t="str">
        <f t="array" ref="H182">IF(W182=1,INDEX(Honor!$H$2:$H905,MATCH($D182&amp;"-"&amp;R182,Honor!$K$2:$K905,0)),"")</f>
        <v>Segmen</v>
      </c>
      <c r="I182" s="18">
        <f>IF(W182=1,SUMIFS(Honor!$I$2:$I905,Honor!$K$2:$K905,$D182&amp;"-"&amp;R182),"")</f>
        <v>175000</v>
      </c>
      <c r="J182" s="19">
        <f t="shared" si="6"/>
        <v>1</v>
      </c>
      <c r="K182" s="20">
        <f t="shared" si="0"/>
        <v>175000</v>
      </c>
      <c r="L182" s="17">
        <f t="shared" si="1"/>
        <v>45657</v>
      </c>
      <c r="M182" s="20">
        <f ca="1">IF(W182=1,IF(AND(U182&lt;2,INT(V182)&lt;='Batasan Honor'!$B$2),1,0),"")</f>
        <v>1</v>
      </c>
      <c r="N182" s="21"/>
      <c r="O182" s="20">
        <f t="shared" si="2"/>
        <v>12</v>
      </c>
      <c r="P182" s="20">
        <f t="shared" si="3"/>
        <v>2024</v>
      </c>
      <c r="Q182" s="21"/>
      <c r="R182" s="22" t="s">
        <v>25</v>
      </c>
      <c r="S182" s="21" t="str">
        <f t="shared" si="4"/>
        <v>610422020016,2024,12</v>
      </c>
      <c r="T182" s="21"/>
      <c r="U182" s="20">
        <f ca="1">IFERROR(__xludf.DUMMYFUNCTION("if(W182=1,COUNTIFS(FILTER($H$2:$H905,$H$2:$H905=""OB"",$S$2:$S905=S182),""OB""),"""")"),0)</f>
        <v>0</v>
      </c>
      <c r="V182" s="20">
        <f ca="1">IFERROR(__xludf.DUMMYFUNCTION("IF(OR(ISNA(SUM(FILTER($K$2:$K905,$A$2:$A905=A182,$S$2:$S905=S182,$H$2:$H905&lt;&gt;""OB""))),W182&lt;&gt;1),"""",SUM(FILTER($K$2:$K905,$A$2:$A905=A182,$S$2:$S905=S182,$H$2:$H905&lt;&gt;""OB"")))"),175000)</f>
        <v>175000</v>
      </c>
      <c r="W182" s="20">
        <f t="shared" si="5"/>
        <v>1</v>
      </c>
    </row>
    <row r="183" spans="1:23" ht="12.5">
      <c r="A183" s="14">
        <v>610422020048</v>
      </c>
      <c r="B183" s="16" t="str">
        <f t="array" ref="B183">IF(W183=1,INDEX('Database Mitra'!$H$2:$H905,MATCH(A183,'Database Mitra'!AK$2:AK905,0)),"")</f>
        <v>Herri Gustaman</v>
      </c>
      <c r="C183" s="16" t="e">
        <f t="array" ref="C183">IF(W183=1,INDEX('Database Mitra'!$E$2:$E905,MATCH(A183,'Database Mitra'!AK$2:AK905,0)),"")</f>
        <v>#VALUE!</v>
      </c>
      <c r="D183" s="6" t="s">
        <v>38</v>
      </c>
      <c r="E183" s="16" t="str">
        <f t="array" ref="E183">IF(W183=1,INDEX('Input Kegiatan'!B$2:B905,MATCH($D183,'Input Kegiatan'!$A$2:$A905,0)),"")</f>
        <v>Kerangka Sampel Area (KSA) 2024 Desember</v>
      </c>
      <c r="F183" s="17">
        <f t="array" ref="F183">IF(W183=1,INDEX('Input Kegiatan'!D$2:D905,MATCH($D183,'Input Kegiatan'!$A$2:$A905,0)),"")</f>
        <v>45627</v>
      </c>
      <c r="G183" s="17">
        <f t="array" ref="G183">IF(W183=1,INDEX('Input Kegiatan'!E$2:E905,MATCH($D183,'Input Kegiatan'!$A$2:$A905,0)),"")</f>
        <v>45657</v>
      </c>
      <c r="H183" s="16" t="str">
        <f t="array" ref="H183">IF(W183=1,INDEX(Honor!$H$2:$H905,MATCH($D183&amp;"-"&amp;R183,Honor!$K$2:$K905,0)),"")</f>
        <v>Segmen</v>
      </c>
      <c r="I183" s="18">
        <f>IF(W183=1,SUMIFS(Honor!$I$2:$I905,Honor!$K$2:$K905,$D183&amp;"-"&amp;R183),"")</f>
        <v>175000</v>
      </c>
      <c r="J183" s="19">
        <f t="shared" si="6"/>
        <v>1</v>
      </c>
      <c r="K183" s="20">
        <f t="shared" si="0"/>
        <v>175000</v>
      </c>
      <c r="L183" s="17">
        <f t="shared" si="1"/>
        <v>45657</v>
      </c>
      <c r="M183" s="20">
        <f ca="1">IF(W183=1,IF(AND(U183&lt;2,INT(V183)&lt;='Batasan Honor'!$B$2),1,0),"")</f>
        <v>1</v>
      </c>
      <c r="N183" s="21"/>
      <c r="O183" s="20">
        <f t="shared" si="2"/>
        <v>12</v>
      </c>
      <c r="P183" s="20">
        <f t="shared" si="3"/>
        <v>2024</v>
      </c>
      <c r="Q183" s="21"/>
      <c r="R183" s="22" t="s">
        <v>25</v>
      </c>
      <c r="S183" s="21" t="str">
        <f t="shared" si="4"/>
        <v>610422020048,2024,12</v>
      </c>
      <c r="T183" s="21"/>
      <c r="U183" s="20">
        <f ca="1">IFERROR(__xludf.DUMMYFUNCTION("if(W183=1,COUNTIFS(FILTER($H$2:$H905,$H$2:$H905=""OB"",$S$2:$S905=S183),""OB""),"""")"),0)</f>
        <v>0</v>
      </c>
      <c r="V183" s="20">
        <f ca="1">IFERROR(__xludf.DUMMYFUNCTION("IF(OR(ISNA(SUM(FILTER($K$2:$K905,$A$2:$A905=A183,$S$2:$S905=S183,$H$2:$H905&lt;&gt;""OB""))),W183&lt;&gt;1),"""",SUM(FILTER($K$2:$K905,$A$2:$A905=A183,$S$2:$S905=S183,$H$2:$H905&lt;&gt;""OB"")))"),175000)</f>
        <v>175000</v>
      </c>
      <c r="W183" s="20">
        <f t="shared" si="5"/>
        <v>1</v>
      </c>
    </row>
    <row r="184" spans="1:23" ht="13">
      <c r="A184" s="14">
        <v>610422040012</v>
      </c>
      <c r="B184" s="15" t="str">
        <f t="array" ref="B184">IF(W184=1,INDEX('Database Mitra'!$H$2:$H905,MATCH(A184,'Database Mitra'!AK$2:AK905,0)),"")</f>
        <v>Misdi</v>
      </c>
      <c r="C184" s="16" t="e">
        <f t="array" ref="C184">IF(W184=1,INDEX('Database Mitra'!$E$2:$E905,MATCH(A184,'Database Mitra'!AK$2:AK905,0)),"")</f>
        <v>#VALUE!</v>
      </c>
      <c r="D184" s="6" t="s">
        <v>38</v>
      </c>
      <c r="E184" s="16" t="str">
        <f t="array" ref="E184">IF(W184=1,INDEX('Input Kegiatan'!B$2:B905,MATCH($D184,'Input Kegiatan'!$A$2:$A905,0)),"")</f>
        <v>Kerangka Sampel Area (KSA) 2024 Desember</v>
      </c>
      <c r="F184" s="17">
        <f t="array" ref="F184">IF(W184=1,INDEX('Input Kegiatan'!D$2:D905,MATCH($D184,'Input Kegiatan'!$A$2:$A905,0)),"")</f>
        <v>45627</v>
      </c>
      <c r="G184" s="17">
        <f t="array" ref="G184">IF(W184=1,INDEX('Input Kegiatan'!E$2:E905,MATCH($D184,'Input Kegiatan'!$A$2:$A905,0)),"")</f>
        <v>45657</v>
      </c>
      <c r="H184" s="16" t="str">
        <f t="array" ref="H184">IF(W184=1,INDEX(Honor!$H$2:$H905,MATCH($D184&amp;"-"&amp;R184,Honor!$K$2:$K905,0)),"")</f>
        <v>Segmen</v>
      </c>
      <c r="I184" s="18">
        <f>IF(W184=1,SUMIFS(Honor!$I$2:$I905,Honor!$K$2:$K905,$D184&amp;"-"&amp;R184),"")</f>
        <v>175000</v>
      </c>
      <c r="J184" s="19">
        <f t="shared" si="6"/>
        <v>1</v>
      </c>
      <c r="K184" s="20">
        <f t="shared" si="0"/>
        <v>175000</v>
      </c>
      <c r="L184" s="17">
        <f t="shared" si="1"/>
        <v>45657</v>
      </c>
      <c r="M184" s="20">
        <f ca="1">IF(W184=1,IF(AND(U184&lt;2,INT(V184)&lt;='Batasan Honor'!$B$2),1,0),"")</f>
        <v>1</v>
      </c>
      <c r="N184" s="21"/>
      <c r="O184" s="20">
        <f t="shared" si="2"/>
        <v>12</v>
      </c>
      <c r="P184" s="20">
        <f t="shared" si="3"/>
        <v>2024</v>
      </c>
      <c r="Q184" s="21"/>
      <c r="R184" s="22" t="s">
        <v>25</v>
      </c>
      <c r="S184" s="21" t="str">
        <f t="shared" si="4"/>
        <v>610422040012,2024,12</v>
      </c>
      <c r="T184" s="21"/>
      <c r="U184" s="20">
        <f ca="1">IFERROR(__xludf.DUMMYFUNCTION("if(W184=1,COUNTIFS(FILTER($H$2:$H905,$H$2:$H905=""OB"",$S$2:$S905=S184),""OB""),"""")"),0)</f>
        <v>0</v>
      </c>
      <c r="V184" s="20">
        <f ca="1">IFERROR(__xludf.DUMMYFUNCTION("IF(OR(ISNA(SUM(FILTER($K$2:$K905,$A$2:$A905=A184,$S$2:$S905=S184,$H$2:$H905&lt;&gt;""OB""))),W184&lt;&gt;1),"""",SUM(FILTER($K$2:$K905,$A$2:$A905=A184,$S$2:$S905=S184,$H$2:$H905&lt;&gt;""OB"")))"),175000)</f>
        <v>175000</v>
      </c>
      <c r="W184" s="20">
        <f t="shared" si="5"/>
        <v>1</v>
      </c>
    </row>
    <row r="185" spans="1:23" ht="12.5">
      <c r="A185" s="14">
        <v>610422040058</v>
      </c>
      <c r="B185" s="16" t="str">
        <f t="array" ref="B185">IF(W185=1,INDEX('Database Mitra'!$H$2:$H905,MATCH(A185,'Database Mitra'!AK$2:AK905,0)),"")</f>
        <v>Jamaluddin, SP</v>
      </c>
      <c r="C185" s="16" t="e">
        <f t="array" ref="C185">IF(W185=1,INDEX('Database Mitra'!$E$2:$E905,MATCH(A185,'Database Mitra'!AK$2:AK905,0)),"")</f>
        <v>#VALUE!</v>
      </c>
      <c r="D185" s="6" t="s">
        <v>38</v>
      </c>
      <c r="E185" s="16" t="str">
        <f t="array" ref="E185">IF(W185=1,INDEX('Input Kegiatan'!B$2:B905,MATCH($D185,'Input Kegiatan'!$A$2:$A905,0)),"")</f>
        <v>Kerangka Sampel Area (KSA) 2024 Desember</v>
      </c>
      <c r="F185" s="17">
        <f t="array" ref="F185">IF(W185=1,INDEX('Input Kegiatan'!D$2:D905,MATCH($D185,'Input Kegiatan'!$A$2:$A905,0)),"")</f>
        <v>45627</v>
      </c>
      <c r="G185" s="17">
        <f t="array" ref="G185">IF(W185=1,INDEX('Input Kegiatan'!E$2:E905,MATCH($D185,'Input Kegiatan'!$A$2:$A905,0)),"")</f>
        <v>45657</v>
      </c>
      <c r="H185" s="16" t="str">
        <f t="array" ref="H185">IF(W185=1,INDEX(Honor!$H$2:$H905,MATCH($D185&amp;"-"&amp;R185,Honor!$K$2:$K905,0)),"")</f>
        <v>Segmen</v>
      </c>
      <c r="I185" s="18">
        <f>IF(W185=1,SUMIFS(Honor!$I$2:$I905,Honor!$K$2:$K905,$D185&amp;"-"&amp;R185),"")</f>
        <v>175000</v>
      </c>
      <c r="J185" s="19">
        <f t="shared" si="6"/>
        <v>1</v>
      </c>
      <c r="K185" s="20">
        <f t="shared" si="0"/>
        <v>175000</v>
      </c>
      <c r="L185" s="17">
        <f t="shared" si="1"/>
        <v>45657</v>
      </c>
      <c r="M185" s="20">
        <f ca="1">IF(W185=1,IF(AND(U185&lt;2,INT(V185)&lt;='Batasan Honor'!$B$2),1,0),"")</f>
        <v>1</v>
      </c>
      <c r="N185" s="21"/>
      <c r="O185" s="20">
        <f t="shared" si="2"/>
        <v>12</v>
      </c>
      <c r="P185" s="20">
        <f t="shared" si="3"/>
        <v>2024</v>
      </c>
      <c r="Q185" s="21"/>
      <c r="R185" s="22" t="s">
        <v>25</v>
      </c>
      <c r="S185" s="21" t="str">
        <f t="shared" si="4"/>
        <v>610422040058,2024,12</v>
      </c>
      <c r="T185" s="21"/>
      <c r="U185" s="20">
        <f ca="1">IFERROR(__xludf.DUMMYFUNCTION("if(W185=1,COUNTIFS(FILTER($H$2:$H905,$H$2:$H905=""OB"",$S$2:$S905=S185),""OB""),"""")"),0)</f>
        <v>0</v>
      </c>
      <c r="V185" s="20">
        <f ca="1">IFERROR(__xludf.DUMMYFUNCTION("IF(OR(ISNA(SUM(FILTER($K$2:$K905,$A$2:$A905=A185,$S$2:$S905=S185,$H$2:$H905&lt;&gt;""OB""))),W185&lt;&gt;1),"""",SUM(FILTER($K$2:$K905,$A$2:$A905=A185,$S$2:$S905=S185,$H$2:$H905&lt;&gt;""OB"")))"),175000)</f>
        <v>175000</v>
      </c>
      <c r="W185" s="20">
        <f t="shared" si="5"/>
        <v>1</v>
      </c>
    </row>
    <row r="186" spans="1:23" ht="13">
      <c r="A186" s="14">
        <v>610422040059</v>
      </c>
      <c r="B186" s="15" t="str">
        <f t="array" ref="B186">IF(W186=1,INDEX('Database Mitra'!$H$2:$H905,MATCH(A186,'Database Mitra'!AK$2:AK905,0)),"")</f>
        <v>Abang Handri</v>
      </c>
      <c r="C186" s="16" t="e">
        <f t="array" ref="C186">IF(W186=1,INDEX('Database Mitra'!$E$2:$E905,MATCH(A186,'Database Mitra'!AK$2:AK905,0)),"")</f>
        <v>#VALUE!</v>
      </c>
      <c r="D186" s="6" t="s">
        <v>38</v>
      </c>
      <c r="E186" s="16" t="str">
        <f t="array" ref="E186">IF(W186=1,INDEX('Input Kegiatan'!B$2:B905,MATCH($D186,'Input Kegiatan'!$A$2:$A905,0)),"")</f>
        <v>Kerangka Sampel Area (KSA) 2024 Desember</v>
      </c>
      <c r="F186" s="17">
        <f t="array" ref="F186">IF(W186=1,INDEX('Input Kegiatan'!D$2:D905,MATCH($D186,'Input Kegiatan'!$A$2:$A905,0)),"")</f>
        <v>45627</v>
      </c>
      <c r="G186" s="17">
        <f t="array" ref="G186">IF(W186=1,INDEX('Input Kegiatan'!E$2:E905,MATCH($D186,'Input Kegiatan'!$A$2:$A905,0)),"")</f>
        <v>45657</v>
      </c>
      <c r="H186" s="16" t="str">
        <f t="array" ref="H186">IF(W186=1,INDEX(Honor!$H$2:$H905,MATCH($D186&amp;"-"&amp;R186,Honor!$K$2:$K905,0)),"")</f>
        <v>Segmen</v>
      </c>
      <c r="I186" s="18">
        <f>IF(W186=1,SUMIFS(Honor!$I$2:$I905,Honor!$K$2:$K905,$D186&amp;"-"&amp;R186),"")</f>
        <v>175000</v>
      </c>
      <c r="J186" s="19">
        <f t="shared" si="6"/>
        <v>1</v>
      </c>
      <c r="K186" s="20">
        <f t="shared" si="0"/>
        <v>175000</v>
      </c>
      <c r="L186" s="17">
        <f t="shared" si="1"/>
        <v>45657</v>
      </c>
      <c r="M186" s="20">
        <f ca="1">IF(W186=1,IF(AND(U186&lt;2,INT(V186)&lt;='Batasan Honor'!$B$2),1,0),"")</f>
        <v>1</v>
      </c>
      <c r="N186" s="21"/>
      <c r="O186" s="20">
        <f t="shared" si="2"/>
        <v>12</v>
      </c>
      <c r="P186" s="20">
        <f t="shared" si="3"/>
        <v>2024</v>
      </c>
      <c r="Q186" s="21"/>
      <c r="R186" s="22" t="s">
        <v>25</v>
      </c>
      <c r="S186" s="21" t="str">
        <f t="shared" si="4"/>
        <v>610422040059,2024,12</v>
      </c>
      <c r="T186" s="21"/>
      <c r="U186" s="20">
        <f ca="1">IFERROR(__xludf.DUMMYFUNCTION("if(W186=1,COUNTIFS(FILTER($H$2:$H905,$H$2:$H905=""OB"",$S$2:$S905=S186),""OB""),"""")"),0)</f>
        <v>0</v>
      </c>
      <c r="V186" s="20">
        <f ca="1">IFERROR(__xludf.DUMMYFUNCTION("IF(OR(ISNA(SUM(FILTER($K$2:$K905,$A$2:$A905=A186,$S$2:$S905=S186,$H$2:$H905&lt;&gt;""OB""))),W186&lt;&gt;1),"""",SUM(FILTER($K$2:$K905,$A$2:$A905=A186,$S$2:$S905=S186,$H$2:$H905&lt;&gt;""OB"")))"),175000)</f>
        <v>175000</v>
      </c>
      <c r="W186" s="20">
        <f t="shared" si="5"/>
        <v>1</v>
      </c>
    </row>
    <row r="187" spans="1:23" ht="13">
      <c r="A187" s="14">
        <v>610422040061</v>
      </c>
      <c r="B187" s="15" t="str">
        <f t="array" ref="B187">IF(W187=1,INDEX('Database Mitra'!$H$2:$H905,MATCH(A187,'Database Mitra'!AK$2:AK905,0)),"")</f>
        <v>Sabani</v>
      </c>
      <c r="C187" s="16" t="e">
        <f t="array" ref="C187">IF(W187=1,INDEX('Database Mitra'!$E$2:$E905,MATCH(A187,'Database Mitra'!AK$2:AK905,0)),"")</f>
        <v>#VALUE!</v>
      </c>
      <c r="D187" s="6" t="s">
        <v>38</v>
      </c>
      <c r="E187" s="16" t="str">
        <f t="array" ref="E187">IF(W187=1,INDEX('Input Kegiatan'!B$2:B905,MATCH($D187,'Input Kegiatan'!$A$2:$A905,0)),"")</f>
        <v>Kerangka Sampel Area (KSA) 2024 Desember</v>
      </c>
      <c r="F187" s="17">
        <f t="array" ref="F187">IF(W187=1,INDEX('Input Kegiatan'!D$2:D905,MATCH($D187,'Input Kegiatan'!$A$2:$A905,0)),"")</f>
        <v>45627</v>
      </c>
      <c r="G187" s="17">
        <f t="array" ref="G187">IF(W187=1,INDEX('Input Kegiatan'!E$2:E905,MATCH($D187,'Input Kegiatan'!$A$2:$A905,0)),"")</f>
        <v>45657</v>
      </c>
      <c r="H187" s="16" t="str">
        <f t="array" ref="H187">IF(W187=1,INDEX(Honor!$H$2:$H905,MATCH($D187&amp;"-"&amp;R187,Honor!$K$2:$K905,0)),"")</f>
        <v>Segmen</v>
      </c>
      <c r="I187" s="18">
        <f>IF(W187=1,SUMIFS(Honor!$I$2:$I905,Honor!$K$2:$K905,$D187&amp;"-"&amp;R187),"")</f>
        <v>175000</v>
      </c>
      <c r="J187" s="19">
        <f t="shared" si="6"/>
        <v>1</v>
      </c>
      <c r="K187" s="20">
        <f t="shared" si="0"/>
        <v>175000</v>
      </c>
      <c r="L187" s="17">
        <f t="shared" si="1"/>
        <v>45657</v>
      </c>
      <c r="M187" s="20">
        <f ca="1">IF(W187=1,IF(AND(U187&lt;2,INT(V187)&lt;='Batasan Honor'!$B$2),1,0),"")</f>
        <v>1</v>
      </c>
      <c r="N187" s="21"/>
      <c r="O187" s="20">
        <f t="shared" si="2"/>
        <v>12</v>
      </c>
      <c r="P187" s="20">
        <f t="shared" si="3"/>
        <v>2024</v>
      </c>
      <c r="Q187" s="21"/>
      <c r="R187" s="22" t="s">
        <v>25</v>
      </c>
      <c r="S187" s="21" t="str">
        <f t="shared" si="4"/>
        <v>610422040061,2024,12</v>
      </c>
      <c r="T187" s="21"/>
      <c r="U187" s="20">
        <f ca="1">IFERROR(__xludf.DUMMYFUNCTION("if(W187=1,COUNTIFS(FILTER($H$2:$H905,$H$2:$H905=""OB"",$S$2:$S905=S187),""OB""),"""")"),0)</f>
        <v>0</v>
      </c>
      <c r="V187" s="20">
        <f ca="1">IFERROR(__xludf.DUMMYFUNCTION("IF(OR(ISNA(SUM(FILTER($K$2:$K905,$A$2:$A905=A187,$S$2:$S905=S187,$H$2:$H905&lt;&gt;""OB""))),W187&lt;&gt;1),"""",SUM(FILTER($K$2:$K905,$A$2:$A905=A187,$S$2:$S905=S187,$H$2:$H905&lt;&gt;""OB"")))"),175000)</f>
        <v>175000</v>
      </c>
      <c r="W187" s="20">
        <f t="shared" si="5"/>
        <v>1</v>
      </c>
    </row>
    <row r="188" spans="1:23" ht="13">
      <c r="A188" s="14">
        <v>610422100131</v>
      </c>
      <c r="B188" s="15" t="str">
        <f t="array" ref="B188">IF(W188=1,INDEX('Database Mitra'!$H$2:$H905,MATCH(A188,'Database Mitra'!AK$2:AK905,0)),"")</f>
        <v>SYAMSUL</v>
      </c>
      <c r="C188" s="16" t="e">
        <f t="array" ref="C188">IF(W188=1,INDEX('Database Mitra'!$E$2:$E905,MATCH(A188,'Database Mitra'!AK$2:AK905,0)),"")</f>
        <v>#VALUE!</v>
      </c>
      <c r="D188" s="6" t="s">
        <v>38</v>
      </c>
      <c r="E188" s="16" t="str">
        <f t="array" ref="E188">IF(W188=1,INDEX('Input Kegiatan'!B$2:B905,MATCH($D188,'Input Kegiatan'!$A$2:$A905,0)),"")</f>
        <v>Kerangka Sampel Area (KSA) 2024 Desember</v>
      </c>
      <c r="F188" s="17">
        <f t="array" ref="F188">IF(W188=1,INDEX('Input Kegiatan'!D$2:D905,MATCH($D188,'Input Kegiatan'!$A$2:$A905,0)),"")</f>
        <v>45627</v>
      </c>
      <c r="G188" s="17">
        <f t="array" ref="G188">IF(W188=1,INDEX('Input Kegiatan'!E$2:E905,MATCH($D188,'Input Kegiatan'!$A$2:$A905,0)),"")</f>
        <v>45657</v>
      </c>
      <c r="H188" s="16" t="str">
        <f t="array" ref="H188">IF(W188=1,INDEX(Honor!$H$2:$H905,MATCH($D188&amp;"-"&amp;R188,Honor!$K$2:$K905,0)),"")</f>
        <v>Segmen</v>
      </c>
      <c r="I188" s="18">
        <f>IF(W188=1,SUMIFS(Honor!$I$2:$I905,Honor!$K$2:$K905,$D188&amp;"-"&amp;R188),"")</f>
        <v>175000</v>
      </c>
      <c r="J188" s="19">
        <f t="shared" si="6"/>
        <v>1</v>
      </c>
      <c r="K188" s="20">
        <f t="shared" si="0"/>
        <v>175000</v>
      </c>
      <c r="L188" s="17">
        <f t="shared" si="1"/>
        <v>45657</v>
      </c>
      <c r="M188" s="20">
        <f ca="1">IF(W188=1,IF(AND(U188&lt;2,INT(V188)&lt;='Batasan Honor'!$B$2),1,0),"")</f>
        <v>1</v>
      </c>
      <c r="N188" s="21"/>
      <c r="O188" s="20">
        <f t="shared" si="2"/>
        <v>12</v>
      </c>
      <c r="P188" s="20">
        <f t="shared" si="3"/>
        <v>2024</v>
      </c>
      <c r="Q188" s="21"/>
      <c r="R188" s="22" t="s">
        <v>25</v>
      </c>
      <c r="S188" s="21" t="str">
        <f t="shared" si="4"/>
        <v>610422100131,2024,12</v>
      </c>
      <c r="T188" s="21"/>
      <c r="U188" s="20">
        <f ca="1">IFERROR(__xludf.DUMMYFUNCTION("if(W188=1,COUNTIFS(FILTER($H$2:$H905,$H$2:$H905=""OB"",$S$2:$S905=S188),""OB""),"""")"),0)</f>
        <v>0</v>
      </c>
      <c r="V188" s="20">
        <f ca="1">IFERROR(__xludf.DUMMYFUNCTION("IF(OR(ISNA(SUM(FILTER($K$2:$K905,$A$2:$A905=A188,$S$2:$S905=S188,$H$2:$H905&lt;&gt;""OB""))),W188&lt;&gt;1),"""",SUM(FILTER($K$2:$K905,$A$2:$A905=A188,$S$2:$S905=S188,$H$2:$H905&lt;&gt;""OB"")))"),175000)</f>
        <v>175000</v>
      </c>
      <c r="W188" s="20">
        <f t="shared" si="5"/>
        <v>1</v>
      </c>
    </row>
    <row r="189" spans="1:23" ht="13">
      <c r="A189" s="14">
        <v>610422100244</v>
      </c>
      <c r="B189" s="15" t="str">
        <f t="array" ref="B189">IF(W189=1,INDEX('Database Mitra'!$H$2:$H905,MATCH(A189,'Database Mitra'!AK$2:AK905,0)),"")</f>
        <v>Sugianto</v>
      </c>
      <c r="C189" s="16" t="e">
        <f t="array" ref="C189">IF(W189=1,INDEX('Database Mitra'!$E$2:$E905,MATCH(A189,'Database Mitra'!AK$2:AK905,0)),"")</f>
        <v>#VALUE!</v>
      </c>
      <c r="D189" s="6" t="s">
        <v>38</v>
      </c>
      <c r="E189" s="16" t="str">
        <f t="array" ref="E189">IF(W189=1,INDEX('Input Kegiatan'!B$2:B905,MATCH($D189,'Input Kegiatan'!$A$2:$A905,0)),"")</f>
        <v>Kerangka Sampel Area (KSA) 2024 Desember</v>
      </c>
      <c r="F189" s="17">
        <f t="array" ref="F189">IF(W189=1,INDEX('Input Kegiatan'!D$2:D905,MATCH($D189,'Input Kegiatan'!$A$2:$A905,0)),"")</f>
        <v>45627</v>
      </c>
      <c r="G189" s="17">
        <f t="array" ref="G189">IF(W189=1,INDEX('Input Kegiatan'!E$2:E905,MATCH($D189,'Input Kegiatan'!$A$2:$A905,0)),"")</f>
        <v>45657</v>
      </c>
      <c r="H189" s="16" t="str">
        <f t="array" ref="H189">IF(W189=1,INDEX(Honor!$H$2:$H905,MATCH($D189&amp;"-"&amp;R189,Honor!$K$2:$K905,0)),"")</f>
        <v>Segmen</v>
      </c>
      <c r="I189" s="18">
        <f>IF(W189=1,SUMIFS(Honor!$I$2:$I905,Honor!$K$2:$K905,$D189&amp;"-"&amp;R189),"")</f>
        <v>175000</v>
      </c>
      <c r="J189" s="19">
        <f t="shared" si="6"/>
        <v>1</v>
      </c>
      <c r="K189" s="20">
        <f t="shared" si="0"/>
        <v>175000</v>
      </c>
      <c r="L189" s="17">
        <f t="shared" si="1"/>
        <v>45657</v>
      </c>
      <c r="M189" s="20">
        <f ca="1">IF(W189=1,IF(AND(U189&lt;2,INT(V189)&lt;='Batasan Honor'!$B$2),1,0),"")</f>
        <v>1</v>
      </c>
      <c r="N189" s="21"/>
      <c r="O189" s="20">
        <f t="shared" si="2"/>
        <v>12</v>
      </c>
      <c r="P189" s="20">
        <f t="shared" si="3"/>
        <v>2024</v>
      </c>
      <c r="Q189" s="21"/>
      <c r="R189" s="22" t="s">
        <v>25</v>
      </c>
      <c r="S189" s="21" t="str">
        <f t="shared" si="4"/>
        <v>610422100244,2024,12</v>
      </c>
      <c r="T189" s="21"/>
      <c r="U189" s="20">
        <f ca="1">IFERROR(__xludf.DUMMYFUNCTION("if(W189=1,COUNTIFS(FILTER($H$2:$H905,$H$2:$H905=""OB"",$S$2:$S905=S189),""OB""),"""")"),0)</f>
        <v>0</v>
      </c>
      <c r="V189" s="20">
        <f ca="1">IFERROR(__xludf.DUMMYFUNCTION("IF(OR(ISNA(SUM(FILTER($K$2:$K905,$A$2:$A905=A189,$S$2:$S905=S189,$H$2:$H905&lt;&gt;""OB""))),W189&lt;&gt;1),"""",SUM(FILTER($K$2:$K905,$A$2:$A905=A189,$S$2:$S905=S189,$H$2:$H905&lt;&gt;""OB"")))"),175000)</f>
        <v>175000</v>
      </c>
      <c r="W189" s="20">
        <f t="shared" si="5"/>
        <v>1</v>
      </c>
    </row>
    <row r="190" spans="1:23" ht="13">
      <c r="A190" s="14">
        <v>610422100176</v>
      </c>
      <c r="B190" s="15" t="str">
        <f t="array" ref="B190">IF(W190=1,INDEX('Database Mitra'!$H$2:$H905,MATCH(A190,'Database Mitra'!AK$2:AK905,0)),"")</f>
        <v>Feri Firdaus</v>
      </c>
      <c r="C190" s="16" t="e">
        <f t="array" ref="C190">IF(W190=1,INDEX('Database Mitra'!$E$2:$E905,MATCH(A190,'Database Mitra'!AK$2:AK905,0)),"")</f>
        <v>#VALUE!</v>
      </c>
      <c r="D190" s="6" t="s">
        <v>38</v>
      </c>
      <c r="E190" s="16" t="str">
        <f t="array" ref="E190">IF(W190=1,INDEX('Input Kegiatan'!B$2:B905,MATCH($D190,'Input Kegiatan'!$A$2:$A905,0)),"")</f>
        <v>Kerangka Sampel Area (KSA) 2024 Desember</v>
      </c>
      <c r="F190" s="17">
        <f t="array" ref="F190">IF(W190=1,INDEX('Input Kegiatan'!D$2:D905,MATCH($D190,'Input Kegiatan'!$A$2:$A905,0)),"")</f>
        <v>45627</v>
      </c>
      <c r="G190" s="17">
        <f t="array" ref="G190">IF(W190=1,INDEX('Input Kegiatan'!E$2:E905,MATCH($D190,'Input Kegiatan'!$A$2:$A905,0)),"")</f>
        <v>45657</v>
      </c>
      <c r="H190" s="16" t="str">
        <f t="array" ref="H190">IF(W190=1,INDEX(Honor!$H$2:$H905,MATCH($D190&amp;"-"&amp;R190,Honor!$K$2:$K905,0)),"")</f>
        <v>Segmen</v>
      </c>
      <c r="I190" s="18">
        <f>IF(W190=1,SUMIFS(Honor!$I$2:$I905,Honor!$K$2:$K905,$D190&amp;"-"&amp;R190),"")</f>
        <v>175000</v>
      </c>
      <c r="J190" s="19">
        <f t="shared" si="6"/>
        <v>1</v>
      </c>
      <c r="K190" s="20">
        <f t="shared" si="0"/>
        <v>175000</v>
      </c>
      <c r="L190" s="17">
        <f t="shared" si="1"/>
        <v>45657</v>
      </c>
      <c r="M190" s="20">
        <f ca="1">IF(W190=1,IF(AND(U190&lt;2,INT(V190)&lt;='Batasan Honor'!$B$2),1,0),"")</f>
        <v>1</v>
      </c>
      <c r="N190" s="21"/>
      <c r="O190" s="20">
        <f t="shared" si="2"/>
        <v>12</v>
      </c>
      <c r="P190" s="20">
        <f t="shared" si="3"/>
        <v>2024</v>
      </c>
      <c r="Q190" s="21"/>
      <c r="R190" s="22" t="s">
        <v>25</v>
      </c>
      <c r="S190" s="21" t="str">
        <f t="shared" si="4"/>
        <v>610422100176,2024,12</v>
      </c>
      <c r="T190" s="21"/>
      <c r="U190" s="20">
        <f ca="1">IFERROR(__xludf.DUMMYFUNCTION("if(W190=1,COUNTIFS(FILTER($H$2:$H905,$H$2:$H905=""OB"",$S$2:$S905=S190),""OB""),"""")"),0)</f>
        <v>0</v>
      </c>
      <c r="V190" s="20">
        <f ca="1">IFERROR(__xludf.DUMMYFUNCTION("IF(OR(ISNA(SUM(FILTER($K$2:$K905,$A$2:$A905=A190,$S$2:$S905=S190,$H$2:$H905&lt;&gt;""OB""))),W190&lt;&gt;1),"""",SUM(FILTER($K$2:$K905,$A$2:$A905=A190,$S$2:$S905=S190,$H$2:$H905&lt;&gt;""OB"")))"),175000)</f>
        <v>175000</v>
      </c>
      <c r="W190" s="20">
        <f t="shared" si="5"/>
        <v>1</v>
      </c>
    </row>
    <row r="191" spans="1:23" ht="13">
      <c r="A191" s="14">
        <v>610423040018</v>
      </c>
      <c r="B191" s="15" t="str">
        <f t="array" ref="B191">IF(W191=1,INDEX('Database Mitra'!$H$2:$H905,MATCH(A191,'Database Mitra'!AK$2:AK905,0)),"")</f>
        <v>Handoko Tuah Sabarman Sipayung</v>
      </c>
      <c r="C191" s="16" t="e">
        <f t="array" ref="C191">IF(W191=1,INDEX('Database Mitra'!$E$2:$E905,MATCH(A191,'Database Mitra'!AK$2:AK905,0)),"")</f>
        <v>#VALUE!</v>
      </c>
      <c r="D191" s="6" t="s">
        <v>38</v>
      </c>
      <c r="E191" s="16" t="str">
        <f t="array" ref="E191">IF(W191=1,INDEX('Input Kegiatan'!B$2:B905,MATCH($D191,'Input Kegiatan'!$A$2:$A905,0)),"")</f>
        <v>Kerangka Sampel Area (KSA) 2024 Desember</v>
      </c>
      <c r="F191" s="17">
        <f t="array" ref="F191">IF(W191=1,INDEX('Input Kegiatan'!D$2:D905,MATCH($D191,'Input Kegiatan'!$A$2:$A905,0)),"")</f>
        <v>45627</v>
      </c>
      <c r="G191" s="17">
        <f t="array" ref="G191">IF(W191=1,INDEX('Input Kegiatan'!E$2:E905,MATCH($D191,'Input Kegiatan'!$A$2:$A905,0)),"")</f>
        <v>45657</v>
      </c>
      <c r="H191" s="16" t="str">
        <f t="array" ref="H191">IF(W191=1,INDEX(Honor!$H$2:$H905,MATCH($D191&amp;"-"&amp;R191,Honor!$K$2:$K905,0)),"")</f>
        <v>Segmen</v>
      </c>
      <c r="I191" s="18">
        <f>IF(W191=1,SUMIFS(Honor!$I$2:$I905,Honor!$K$2:$K905,$D191&amp;"-"&amp;R191),"")</f>
        <v>175000</v>
      </c>
      <c r="J191" s="19">
        <f t="shared" si="6"/>
        <v>1</v>
      </c>
      <c r="K191" s="20">
        <f t="shared" si="0"/>
        <v>175000</v>
      </c>
      <c r="L191" s="17">
        <f t="shared" si="1"/>
        <v>45657</v>
      </c>
      <c r="M191" s="20">
        <f ca="1">IF(W191=1,IF(AND(U191&lt;2,INT(V191)&lt;='Batasan Honor'!$B$2),1,0),"")</f>
        <v>1</v>
      </c>
      <c r="N191" s="21"/>
      <c r="O191" s="20">
        <f t="shared" si="2"/>
        <v>12</v>
      </c>
      <c r="P191" s="20">
        <f t="shared" si="3"/>
        <v>2024</v>
      </c>
      <c r="Q191" s="21"/>
      <c r="R191" s="22" t="s">
        <v>25</v>
      </c>
      <c r="S191" s="21" t="str">
        <f t="shared" si="4"/>
        <v>610423040018,2024,12</v>
      </c>
      <c r="T191" s="21"/>
      <c r="U191" s="20">
        <f ca="1">IFERROR(__xludf.DUMMYFUNCTION("if(W191=1,COUNTIFS(FILTER($H$2:$H905,$H$2:$H905=""OB"",$S$2:$S905=S191),""OB""),"""")"),0)</f>
        <v>0</v>
      </c>
      <c r="V191" s="20">
        <f ca="1">IFERROR(__xludf.DUMMYFUNCTION("IF(OR(ISNA(SUM(FILTER($K$2:$K905,$A$2:$A905=A191,$S$2:$S905=S191,$H$2:$H905&lt;&gt;""OB""))),W191&lt;&gt;1),"""",SUM(FILTER($K$2:$K905,$A$2:$A905=A191,$S$2:$S905=S191,$H$2:$H905&lt;&gt;""OB"")))"),175000)</f>
        <v>175000</v>
      </c>
      <c r="W191" s="20">
        <f t="shared" si="5"/>
        <v>1</v>
      </c>
    </row>
    <row r="192" spans="1:23" ht="13">
      <c r="A192" s="14">
        <v>610423110183</v>
      </c>
      <c r="B192" s="15" t="str">
        <f t="array" ref="B192">IF(W192=1,INDEX('Database Mitra'!$H$2:$H905,MATCH(A192,'Database Mitra'!AK$2:AK905,0)),"")</f>
        <v>azhar</v>
      </c>
      <c r="C192" s="16" t="e">
        <f t="array" ref="C192">IF(W192=1,INDEX('Database Mitra'!$E$2:$E905,MATCH(A192,'Database Mitra'!AK$2:AK905,0)),"")</f>
        <v>#VALUE!</v>
      </c>
      <c r="D192" s="6" t="s">
        <v>38</v>
      </c>
      <c r="E192" s="16" t="str">
        <f t="array" ref="E192">IF(W192=1,INDEX('Input Kegiatan'!B$2:B905,MATCH($D192,'Input Kegiatan'!$A$2:$A905,0)),"")</f>
        <v>Kerangka Sampel Area (KSA) 2024 Desember</v>
      </c>
      <c r="F192" s="17">
        <f t="array" ref="F192">IF(W192=1,INDEX('Input Kegiatan'!D$2:D905,MATCH($D192,'Input Kegiatan'!$A$2:$A905,0)),"")</f>
        <v>45627</v>
      </c>
      <c r="G192" s="17">
        <f t="array" ref="G192">IF(W192=1,INDEX('Input Kegiatan'!E$2:E905,MATCH($D192,'Input Kegiatan'!$A$2:$A905,0)),"")</f>
        <v>45657</v>
      </c>
      <c r="H192" s="16" t="str">
        <f t="array" ref="H192">IF(W192=1,INDEX(Honor!$H$2:$H905,MATCH($D192&amp;"-"&amp;R192,Honor!$K$2:$K905,0)),"")</f>
        <v>Segmen</v>
      </c>
      <c r="I192" s="18">
        <f>IF(W192=1,SUMIFS(Honor!$I$2:$I905,Honor!$K$2:$K905,$D192&amp;"-"&amp;R192),"")</f>
        <v>175000</v>
      </c>
      <c r="J192" s="19">
        <f t="shared" si="6"/>
        <v>1</v>
      </c>
      <c r="K192" s="20">
        <f t="shared" si="0"/>
        <v>175000</v>
      </c>
      <c r="L192" s="17">
        <f t="shared" si="1"/>
        <v>45657</v>
      </c>
      <c r="M192" s="20">
        <f ca="1">IF(W192=1,IF(AND(U192&lt;2,INT(V192)&lt;='Batasan Honor'!$B$2),1,0),"")</f>
        <v>1</v>
      </c>
      <c r="N192" s="21"/>
      <c r="O192" s="20">
        <f t="shared" si="2"/>
        <v>12</v>
      </c>
      <c r="P192" s="20">
        <f t="shared" si="3"/>
        <v>2024</v>
      </c>
      <c r="Q192" s="21"/>
      <c r="R192" s="22" t="s">
        <v>25</v>
      </c>
      <c r="S192" s="21" t="str">
        <f t="shared" si="4"/>
        <v>610423110183,2024,12</v>
      </c>
      <c r="T192" s="21"/>
      <c r="U192" s="20">
        <f ca="1">IFERROR(__xludf.DUMMYFUNCTION("if(W192=1,COUNTIFS(FILTER($H$2:$H905,$H$2:$H905=""OB"",$S$2:$S905=S192),""OB""),"""")"),0)</f>
        <v>0</v>
      </c>
      <c r="V192" s="20">
        <f ca="1">IFERROR(__xludf.DUMMYFUNCTION("IF(OR(ISNA(SUM(FILTER($K$2:$K905,$A$2:$A905=A192,$S$2:$S905=S192,$H$2:$H905&lt;&gt;""OB""))),W192&lt;&gt;1),"""",SUM(FILTER($K$2:$K905,$A$2:$A905=A192,$S$2:$S905=S192,$H$2:$H905&lt;&gt;""OB"")))"),175000)</f>
        <v>175000</v>
      </c>
      <c r="W192" s="20">
        <f t="shared" si="5"/>
        <v>1</v>
      </c>
    </row>
    <row r="193" spans="1:23" ht="12.5">
      <c r="A193" s="23"/>
      <c r="B193" s="5" t="str">
        <f t="array" ref="B193">IF(W193=1,INDEX('Database Mitra'!$H$2:$H905,MATCH(A193,'Database Mitra'!AK$2:AK905,0)),"")</f>
        <v/>
      </c>
      <c r="C193" s="5" t="str">
        <f t="array" ref="C193">IF(W193=1,INDEX('Database Mitra'!$E$2:$E905,MATCH(A193,'Database Mitra'!AK$2:AK905,0)),"")</f>
        <v/>
      </c>
      <c r="D193" s="23"/>
      <c r="E193" s="5" t="str">
        <f t="array" ref="E193">IF(W193=1,INDEX('Input Kegiatan'!B$2:B905,MATCH($D193,'Input Kegiatan'!$A$2:$A905,0)),"")</f>
        <v/>
      </c>
      <c r="F193" s="5" t="str">
        <f t="array" ref="F193">IF(W193=1,INDEX('Input Kegiatan'!D$2:D905,MATCH($D193,'Input Kegiatan'!$A$2:$A905,0)),"")</f>
        <v/>
      </c>
      <c r="G193" s="5" t="str">
        <f t="array" ref="G193">IF(W193=1,INDEX('Input Kegiatan'!E$2:E905,MATCH($D193,'Input Kegiatan'!$A$2:$A905,0)),"")</f>
        <v/>
      </c>
      <c r="H193" s="5" t="str">
        <f t="array" ref="H193">IF(W193=1,INDEX(Honor!$H$2:$H905,MATCH($D193&amp;"-"&amp;R193,Honor!$K$2:$K905,0)),"")</f>
        <v/>
      </c>
      <c r="I193" s="8" t="str">
        <f>IF(W193=1,SUMIFS(Honor!$I$2:$I905,Honor!$K$2:$K905,$D193&amp;"-"&amp;R193),"")</f>
        <v/>
      </c>
      <c r="J193" s="9" t="str">
        <f t="shared" si="6"/>
        <v/>
      </c>
      <c r="K193" s="10" t="str">
        <f t="shared" si="0"/>
        <v/>
      </c>
      <c r="L193" s="10" t="str">
        <f t="shared" si="1"/>
        <v/>
      </c>
      <c r="M193" s="10" t="str">
        <f>IF(W193=1,IF(AND(U193&lt;2,INT(V193)&lt;='Batasan Honor'!$B$2),1,0),"")</f>
        <v/>
      </c>
      <c r="O193" s="10" t="str">
        <f t="shared" si="2"/>
        <v/>
      </c>
      <c r="P193" s="10" t="str">
        <f t="shared" si="3"/>
        <v/>
      </c>
      <c r="R193" s="23"/>
      <c r="S193" s="10" t="str">
        <f t="shared" si="4"/>
        <v/>
      </c>
      <c r="U193" s="10" t="str">
        <f ca="1">IFERROR(__xludf.DUMMYFUNCTION("if(W193=1,COUNTIFS(FILTER($H$2:$H905,$H$2:$H905=""OB"",$S$2:$S905=S193),""OB""),"""")"),"")</f>
        <v/>
      </c>
      <c r="V193" s="10" t="str">
        <f ca="1">IFERROR(__xludf.DUMMYFUNCTION("IF(OR(ISNA(SUM(FILTER($K$2:$K905,$A$2:$A905=A193,$S$2:$S905=S193,$H$2:$H905&lt;&gt;""OB""))),W193&lt;&gt;1),"""",SUM(FILTER($K$2:$K905,$A$2:$A905=A193,$S$2:$S905=S193,$H$2:$H905&lt;&gt;""OB"")))"),"")</f>
        <v/>
      </c>
      <c r="W193" s="10" t="str">
        <f t="shared" si="5"/>
        <v/>
      </c>
    </row>
    <row r="194" spans="1:23" ht="12.5">
      <c r="A194" s="23"/>
      <c r="B194" s="5" t="str">
        <f t="array" ref="B194">IF(W194=1,INDEX('Database Mitra'!$H$2:$H905,MATCH(A194,'Database Mitra'!AK$2:AK905,0)),"")</f>
        <v/>
      </c>
      <c r="C194" s="5" t="str">
        <f t="array" ref="C194">IF(W194=1,INDEX('Database Mitra'!$E$2:$E905,MATCH(A194,'Database Mitra'!AK$2:AK905,0)),"")</f>
        <v/>
      </c>
      <c r="D194" s="23"/>
      <c r="E194" s="5" t="str">
        <f t="array" ref="E194">IF(W194=1,INDEX('Input Kegiatan'!B$2:B905,MATCH($D194,'Input Kegiatan'!$A$2:$A905,0)),"")</f>
        <v/>
      </c>
      <c r="F194" s="5" t="str">
        <f t="array" ref="F194">IF(W194=1,INDEX('Input Kegiatan'!D$2:D905,MATCH($D194,'Input Kegiatan'!$A$2:$A905,0)),"")</f>
        <v/>
      </c>
      <c r="G194" s="5" t="str">
        <f t="array" ref="G194">IF(W194=1,INDEX('Input Kegiatan'!E$2:E905,MATCH($D194,'Input Kegiatan'!$A$2:$A905,0)),"")</f>
        <v/>
      </c>
      <c r="H194" s="5" t="str">
        <f t="array" ref="H194">IF(W194=1,INDEX(Honor!$H$2:$H905,MATCH($D194&amp;"-"&amp;R194,Honor!$K$2:$K905,0)),"")</f>
        <v/>
      </c>
      <c r="I194" s="8" t="str">
        <f>IF(W194=1,SUMIFS(Honor!$I$2:$I905,Honor!$K$2:$K905,$D194&amp;"-"&amp;R194),"")</f>
        <v/>
      </c>
      <c r="J194" s="9" t="str">
        <f t="shared" si="6"/>
        <v/>
      </c>
      <c r="K194" s="10" t="str">
        <f t="shared" si="0"/>
        <v/>
      </c>
      <c r="L194" s="10" t="str">
        <f t="shared" si="1"/>
        <v/>
      </c>
      <c r="M194" s="10" t="str">
        <f>IF(W194=1,IF(AND(U194&lt;2,INT(V194)&lt;='Batasan Honor'!$B$2),1,0),"")</f>
        <v/>
      </c>
      <c r="O194" s="10" t="str">
        <f t="shared" si="2"/>
        <v/>
      </c>
      <c r="P194" s="10" t="str">
        <f t="shared" si="3"/>
        <v/>
      </c>
      <c r="R194" s="23"/>
      <c r="S194" s="10" t="str">
        <f t="shared" si="4"/>
        <v/>
      </c>
      <c r="U194" s="10" t="str">
        <f ca="1">IFERROR(__xludf.DUMMYFUNCTION("if(W194=1,COUNTIFS(FILTER($H$2:$H905,$H$2:$H905=""OB"",$S$2:$S905=S194),""OB""),"""")"),"")</f>
        <v/>
      </c>
      <c r="V194" s="10" t="str">
        <f ca="1">IFERROR(__xludf.DUMMYFUNCTION("IF(OR(ISNA(SUM(FILTER($K$2:$K905,$A$2:$A905=A194,$S$2:$S905=S194,$H$2:$H905&lt;&gt;""OB""))),W194&lt;&gt;1),"""",SUM(FILTER($K$2:$K905,$A$2:$A905=A194,$S$2:$S905=S194,$H$2:$H905&lt;&gt;""OB"")))"),"")</f>
        <v/>
      </c>
      <c r="W194" s="10" t="str">
        <f t="shared" si="5"/>
        <v/>
      </c>
    </row>
    <row r="195" spans="1:23" ht="12.5">
      <c r="A195" s="23"/>
      <c r="B195" s="5" t="str">
        <f t="array" ref="B195">IF(W195=1,INDEX('Database Mitra'!$H$2:$H905,MATCH(A195,'Database Mitra'!AK$2:AK905,0)),"")</f>
        <v/>
      </c>
      <c r="C195" s="5" t="str">
        <f t="array" ref="C195">IF(W195=1,INDEX('Database Mitra'!$E$2:$E905,MATCH(A195,'Database Mitra'!AK$2:AK905,0)),"")</f>
        <v/>
      </c>
      <c r="D195" s="23"/>
      <c r="E195" s="5" t="str">
        <f t="array" ref="E195">IF(W195=1,INDEX('Input Kegiatan'!B$2:B905,MATCH($D195,'Input Kegiatan'!$A$2:$A905,0)),"")</f>
        <v/>
      </c>
      <c r="F195" s="5" t="str">
        <f t="array" ref="F195">IF(W195=1,INDEX('Input Kegiatan'!D$2:D905,MATCH($D195,'Input Kegiatan'!$A$2:$A905,0)),"")</f>
        <v/>
      </c>
      <c r="G195" s="5" t="str">
        <f t="array" ref="G195">IF(W195=1,INDEX('Input Kegiatan'!E$2:E905,MATCH($D195,'Input Kegiatan'!$A$2:$A905,0)),"")</f>
        <v/>
      </c>
      <c r="H195" s="5" t="str">
        <f t="array" ref="H195">IF(W195=1,INDEX(Honor!$H$2:$H905,MATCH($D195&amp;"-"&amp;R195,Honor!$K$2:$K905,0)),"")</f>
        <v/>
      </c>
      <c r="I195" s="8" t="str">
        <f>IF(W195=1,SUMIFS(Honor!$I$2:$I905,Honor!$K$2:$K905,$D195&amp;"-"&amp;R195),"")</f>
        <v/>
      </c>
      <c r="J195" s="9" t="str">
        <f t="shared" si="6"/>
        <v/>
      </c>
      <c r="K195" s="10" t="str">
        <f t="shared" si="0"/>
        <v/>
      </c>
      <c r="L195" s="10" t="str">
        <f t="shared" si="1"/>
        <v/>
      </c>
      <c r="M195" s="10" t="str">
        <f>IF(W195=1,IF(AND(U195&lt;2,INT(V195)&lt;='Batasan Honor'!$B$2),1,0),"")</f>
        <v/>
      </c>
      <c r="O195" s="10" t="str">
        <f t="shared" si="2"/>
        <v/>
      </c>
      <c r="P195" s="10" t="str">
        <f t="shared" si="3"/>
        <v/>
      </c>
      <c r="R195" s="23"/>
      <c r="S195" s="10" t="str">
        <f t="shared" si="4"/>
        <v/>
      </c>
      <c r="U195" s="10" t="str">
        <f ca="1">IFERROR(__xludf.DUMMYFUNCTION("if(W195=1,COUNTIFS(FILTER($H$2:$H905,$H$2:$H905=""OB"",$S$2:$S905=S195),""OB""),"""")"),"")</f>
        <v/>
      </c>
      <c r="V195" s="10" t="str">
        <f ca="1">IFERROR(__xludf.DUMMYFUNCTION("IF(OR(ISNA(SUM(FILTER($K$2:$K905,$A$2:$A905=A195,$S$2:$S905=S195,$H$2:$H905&lt;&gt;""OB""))),W195&lt;&gt;1),"""",SUM(FILTER($K$2:$K905,$A$2:$A905=A195,$S$2:$S905=S195,$H$2:$H905&lt;&gt;""OB"")))"),"")</f>
        <v/>
      </c>
      <c r="W195" s="10" t="str">
        <f t="shared" si="5"/>
        <v/>
      </c>
    </row>
    <row r="196" spans="1:23" ht="12.5">
      <c r="A196" s="23"/>
      <c r="B196" s="5" t="str">
        <f t="array" ref="B196">IF(W196=1,INDEX('Database Mitra'!$H$2:$H905,MATCH(A196,'Database Mitra'!AK$2:AK905,0)),"")</f>
        <v/>
      </c>
      <c r="C196" s="5" t="str">
        <f t="array" ref="C196">IF(W196=1,INDEX('Database Mitra'!$E$2:$E905,MATCH(A196,'Database Mitra'!AK$2:AK905,0)),"")</f>
        <v/>
      </c>
      <c r="D196" s="23"/>
      <c r="E196" s="5" t="str">
        <f t="array" ref="E196">IF(W196=1,INDEX('Input Kegiatan'!B$2:B905,MATCH($D196,'Input Kegiatan'!$A$2:$A905,0)),"")</f>
        <v/>
      </c>
      <c r="F196" s="5" t="str">
        <f t="array" ref="F196">IF(W196=1,INDEX('Input Kegiatan'!D$2:D905,MATCH($D196,'Input Kegiatan'!$A$2:$A905,0)),"")</f>
        <v/>
      </c>
      <c r="G196" s="5" t="str">
        <f t="array" ref="G196">IF(W196=1,INDEX('Input Kegiatan'!E$2:E905,MATCH($D196,'Input Kegiatan'!$A$2:$A905,0)),"")</f>
        <v/>
      </c>
      <c r="H196" s="5" t="str">
        <f t="array" ref="H196">IF(W196=1,INDEX(Honor!$H$2:$H905,MATCH($D196&amp;"-"&amp;R196,Honor!$K$2:$K905,0)),"")</f>
        <v/>
      </c>
      <c r="I196" s="8" t="str">
        <f>IF(W196=1,SUMIFS(Honor!$I$2:$I905,Honor!$K$2:$K905,$D196&amp;"-"&amp;R196),"")</f>
        <v/>
      </c>
      <c r="J196" s="9" t="str">
        <f t="shared" si="6"/>
        <v/>
      </c>
      <c r="K196" s="10" t="str">
        <f t="shared" si="0"/>
        <v/>
      </c>
      <c r="L196" s="10" t="str">
        <f t="shared" si="1"/>
        <v/>
      </c>
      <c r="M196" s="10" t="str">
        <f>IF(W196=1,IF(AND(U196&lt;2,INT(V196)&lt;='Batasan Honor'!$B$2),1,0),"")</f>
        <v/>
      </c>
      <c r="O196" s="10" t="str">
        <f t="shared" si="2"/>
        <v/>
      </c>
      <c r="P196" s="10" t="str">
        <f t="shared" si="3"/>
        <v/>
      </c>
      <c r="R196" s="23"/>
      <c r="S196" s="10" t="str">
        <f t="shared" si="4"/>
        <v/>
      </c>
      <c r="U196" s="10" t="str">
        <f ca="1">IFERROR(__xludf.DUMMYFUNCTION("if(W196=1,COUNTIFS(FILTER($H$2:$H905,$H$2:$H905=""OB"",$S$2:$S905=S196),""OB""),"""")"),"")</f>
        <v/>
      </c>
      <c r="V196" s="10" t="str">
        <f ca="1">IFERROR(__xludf.DUMMYFUNCTION("IF(OR(ISNA(SUM(FILTER($K$2:$K905,$A$2:$A905=A196,$S$2:$S905=S196,$H$2:$H905&lt;&gt;""OB""))),W196&lt;&gt;1),"""",SUM(FILTER($K$2:$K905,$A$2:$A905=A196,$S$2:$S905=S196,$H$2:$H905&lt;&gt;""OB"")))"),"")</f>
        <v/>
      </c>
      <c r="W196" s="10" t="str">
        <f t="shared" si="5"/>
        <v/>
      </c>
    </row>
    <row r="197" spans="1:23" ht="12.5">
      <c r="A197" s="23"/>
      <c r="B197" s="5" t="str">
        <f t="array" ref="B197">IF(W197=1,INDEX('Database Mitra'!$H$2:$H905,MATCH(A197,'Database Mitra'!AK$2:AK905,0)),"")</f>
        <v/>
      </c>
      <c r="C197" s="5" t="str">
        <f t="array" ref="C197">IF(W197=1,INDEX('Database Mitra'!$E$2:$E905,MATCH(A197,'Database Mitra'!AK$2:AK905,0)),"")</f>
        <v/>
      </c>
      <c r="D197" s="23"/>
      <c r="E197" s="5" t="str">
        <f t="array" ref="E197">IF(W197=1,INDEX('Input Kegiatan'!B$2:B905,MATCH($D197,'Input Kegiatan'!$A$2:$A905,0)),"")</f>
        <v/>
      </c>
      <c r="F197" s="5" t="str">
        <f t="array" ref="F197">IF(W197=1,INDEX('Input Kegiatan'!D$2:D905,MATCH($D197,'Input Kegiatan'!$A$2:$A905,0)),"")</f>
        <v/>
      </c>
      <c r="G197" s="5" t="str">
        <f t="array" ref="G197">IF(W197=1,INDEX('Input Kegiatan'!E$2:E905,MATCH($D197,'Input Kegiatan'!$A$2:$A905,0)),"")</f>
        <v/>
      </c>
      <c r="H197" s="5" t="str">
        <f t="array" ref="H197">IF(W197=1,INDEX(Honor!$H$2:$H905,MATCH($D197&amp;"-"&amp;R197,Honor!$K$2:$K905,0)),"")</f>
        <v/>
      </c>
      <c r="I197" s="8" t="str">
        <f>IF(W197=1,SUMIFS(Honor!$I$2:$I905,Honor!$K$2:$K905,$D197&amp;"-"&amp;R197),"")</f>
        <v/>
      </c>
      <c r="J197" s="9" t="str">
        <f t="shared" si="6"/>
        <v/>
      </c>
      <c r="K197" s="10" t="str">
        <f t="shared" si="0"/>
        <v/>
      </c>
      <c r="L197" s="10" t="str">
        <f t="shared" si="1"/>
        <v/>
      </c>
      <c r="M197" s="10" t="str">
        <f>IF(W197=1,IF(AND(U197&lt;2,INT(V197)&lt;='Batasan Honor'!$B$2),1,0),"")</f>
        <v/>
      </c>
      <c r="O197" s="10" t="str">
        <f t="shared" si="2"/>
        <v/>
      </c>
      <c r="P197" s="10" t="str">
        <f t="shared" si="3"/>
        <v/>
      </c>
      <c r="R197" s="23"/>
      <c r="S197" s="10" t="str">
        <f t="shared" si="4"/>
        <v/>
      </c>
      <c r="U197" s="10" t="str">
        <f ca="1">IFERROR(__xludf.DUMMYFUNCTION("if(W197=1,COUNTIFS(FILTER($H$2:$H905,$H$2:$H905=""OB"",$S$2:$S905=S197),""OB""),"""")"),"")</f>
        <v/>
      </c>
      <c r="V197" s="10" t="str">
        <f ca="1">IFERROR(__xludf.DUMMYFUNCTION("IF(OR(ISNA(SUM(FILTER($K$2:$K905,$A$2:$A905=A197,$S$2:$S905=S197,$H$2:$H905&lt;&gt;""OB""))),W197&lt;&gt;1),"""",SUM(FILTER($K$2:$K905,$A$2:$A905=A197,$S$2:$S905=S197,$H$2:$H905&lt;&gt;""OB"")))"),"")</f>
        <v/>
      </c>
      <c r="W197" s="10" t="str">
        <f t="shared" si="5"/>
        <v/>
      </c>
    </row>
    <row r="198" spans="1:23" ht="12.5">
      <c r="A198" s="23"/>
      <c r="B198" s="5" t="str">
        <f t="array" ref="B198">IF(W198=1,INDEX('Database Mitra'!$H$2:$H905,MATCH(A198,'Database Mitra'!AK$2:AK905,0)),"")</f>
        <v/>
      </c>
      <c r="C198" s="5" t="str">
        <f t="array" ref="C198">IF(W198=1,INDEX('Database Mitra'!$E$2:$E905,MATCH(A198,'Database Mitra'!AK$2:AK905,0)),"")</f>
        <v/>
      </c>
      <c r="D198" s="23"/>
      <c r="E198" s="5" t="str">
        <f t="array" ref="E198">IF(W198=1,INDEX('Input Kegiatan'!B$2:B905,MATCH($D198,'Input Kegiatan'!$A$2:$A905,0)),"")</f>
        <v/>
      </c>
      <c r="F198" s="5" t="str">
        <f t="array" ref="F198">IF(W198=1,INDEX('Input Kegiatan'!D$2:D905,MATCH($D198,'Input Kegiatan'!$A$2:$A905,0)),"")</f>
        <v/>
      </c>
      <c r="G198" s="5" t="str">
        <f t="array" ref="G198">IF(W198=1,INDEX('Input Kegiatan'!E$2:E905,MATCH($D198,'Input Kegiatan'!$A$2:$A905,0)),"")</f>
        <v/>
      </c>
      <c r="H198" s="5" t="str">
        <f t="array" ref="H198">IF(W198=1,INDEX(Honor!$H$2:$H905,MATCH($D198&amp;"-"&amp;R198,Honor!$K$2:$K905,0)),"")</f>
        <v/>
      </c>
      <c r="I198" s="8" t="str">
        <f>IF(W198=1,SUMIFS(Honor!$I$2:$I905,Honor!$K$2:$K905,$D198&amp;"-"&amp;R198),"")</f>
        <v/>
      </c>
      <c r="J198" s="9" t="str">
        <f t="shared" si="6"/>
        <v/>
      </c>
      <c r="K198" s="10" t="str">
        <f t="shared" si="0"/>
        <v/>
      </c>
      <c r="L198" s="10" t="str">
        <f t="shared" si="1"/>
        <v/>
      </c>
      <c r="M198" s="10" t="str">
        <f>IF(W198=1,IF(AND(U198&lt;2,INT(V198)&lt;='Batasan Honor'!$B$2),1,0),"")</f>
        <v/>
      </c>
      <c r="O198" s="10" t="str">
        <f t="shared" si="2"/>
        <v/>
      </c>
      <c r="P198" s="10" t="str">
        <f t="shared" si="3"/>
        <v/>
      </c>
      <c r="R198" s="23"/>
      <c r="S198" s="10" t="str">
        <f t="shared" si="4"/>
        <v/>
      </c>
      <c r="U198" s="10" t="str">
        <f ca="1">IFERROR(__xludf.DUMMYFUNCTION("if(W198=1,COUNTIFS(FILTER($H$2:$H905,$H$2:$H905=""OB"",$S$2:$S905=S198),""OB""),"""")"),"")</f>
        <v/>
      </c>
      <c r="V198" s="10" t="str">
        <f ca="1">IFERROR(__xludf.DUMMYFUNCTION("IF(OR(ISNA(SUM(FILTER($K$2:$K905,$A$2:$A905=A198,$S$2:$S905=S198,$H$2:$H905&lt;&gt;""OB""))),W198&lt;&gt;1),"""",SUM(FILTER($K$2:$K905,$A$2:$A905=A198,$S$2:$S905=S198,$H$2:$H905&lt;&gt;""OB"")))"),"")</f>
        <v/>
      </c>
      <c r="W198" s="10" t="str">
        <f t="shared" si="5"/>
        <v/>
      </c>
    </row>
    <row r="199" spans="1:23" ht="12.5">
      <c r="A199" s="23"/>
      <c r="B199" s="5" t="str">
        <f t="array" ref="B199">IF(W199=1,INDEX('Database Mitra'!$H$2:$H905,MATCH(A199,'Database Mitra'!AK$2:AK905,0)),"")</f>
        <v/>
      </c>
      <c r="C199" s="5" t="str">
        <f t="array" ref="C199">IF(W199=1,INDEX('Database Mitra'!$E$2:$E905,MATCH(A199,'Database Mitra'!AK$2:AK905,0)),"")</f>
        <v/>
      </c>
      <c r="D199" s="23"/>
      <c r="E199" s="5" t="str">
        <f t="array" ref="E199">IF(W199=1,INDEX('Input Kegiatan'!B$2:B905,MATCH($D199,'Input Kegiatan'!$A$2:$A905,0)),"")</f>
        <v/>
      </c>
      <c r="F199" s="5" t="str">
        <f t="array" ref="F199">IF(W199=1,INDEX('Input Kegiatan'!D$2:D905,MATCH($D199,'Input Kegiatan'!$A$2:$A905,0)),"")</f>
        <v/>
      </c>
      <c r="G199" s="5" t="str">
        <f t="array" ref="G199">IF(W199=1,INDEX('Input Kegiatan'!E$2:E905,MATCH($D199,'Input Kegiatan'!$A$2:$A905,0)),"")</f>
        <v/>
      </c>
      <c r="H199" s="5" t="str">
        <f t="array" ref="H199">IF(W199=1,INDEX(Honor!$H$2:$H905,MATCH($D199&amp;"-"&amp;R199,Honor!$K$2:$K905,0)),"")</f>
        <v/>
      </c>
      <c r="I199" s="8" t="str">
        <f>IF(W199=1,SUMIFS(Honor!$I$2:$I905,Honor!$K$2:$K905,$D199&amp;"-"&amp;R199),"")</f>
        <v/>
      </c>
      <c r="J199" s="9" t="str">
        <f t="shared" si="6"/>
        <v/>
      </c>
      <c r="K199" s="10" t="str">
        <f t="shared" si="0"/>
        <v/>
      </c>
      <c r="L199" s="10" t="str">
        <f t="shared" si="1"/>
        <v/>
      </c>
      <c r="M199" s="10" t="str">
        <f>IF(W199=1,IF(AND(U199&lt;2,INT(V199)&lt;='Batasan Honor'!$B$2),1,0),"")</f>
        <v/>
      </c>
      <c r="O199" s="10" t="str">
        <f t="shared" si="2"/>
        <v/>
      </c>
      <c r="P199" s="10" t="str">
        <f t="shared" si="3"/>
        <v/>
      </c>
      <c r="R199" s="23"/>
      <c r="S199" s="10" t="str">
        <f t="shared" si="4"/>
        <v/>
      </c>
      <c r="U199" s="10" t="str">
        <f ca="1">IFERROR(__xludf.DUMMYFUNCTION("if(W199=1,COUNTIFS(FILTER($H$2:$H905,$H$2:$H905=""OB"",$S$2:$S905=S199),""OB""),"""")"),"")</f>
        <v/>
      </c>
      <c r="V199" s="10" t="str">
        <f ca="1">IFERROR(__xludf.DUMMYFUNCTION("IF(OR(ISNA(SUM(FILTER($K$2:$K905,$A$2:$A905=A199,$S$2:$S905=S199,$H$2:$H905&lt;&gt;""OB""))),W199&lt;&gt;1),"""",SUM(FILTER($K$2:$K905,$A$2:$A905=A199,$S$2:$S905=S199,$H$2:$H905&lt;&gt;""OB"")))"),"")</f>
        <v/>
      </c>
      <c r="W199" s="10" t="str">
        <f t="shared" si="5"/>
        <v/>
      </c>
    </row>
    <row r="200" spans="1:23" ht="12.5">
      <c r="A200" s="23"/>
      <c r="B200" s="5" t="str">
        <f t="array" ref="B200">IF(W200=1,INDEX('Database Mitra'!$H$2:$H905,MATCH(A200,'Database Mitra'!AK$2:AK905,0)),"")</f>
        <v/>
      </c>
      <c r="C200" s="5" t="str">
        <f t="array" ref="C200">IF(W200=1,INDEX('Database Mitra'!$E$2:$E905,MATCH(A200,'Database Mitra'!AK$2:AK905,0)),"")</f>
        <v/>
      </c>
      <c r="D200" s="23"/>
      <c r="E200" s="5" t="str">
        <f t="array" ref="E200">IF(W200=1,INDEX('Input Kegiatan'!B$2:B905,MATCH($D200,'Input Kegiatan'!$A$2:$A905,0)),"")</f>
        <v/>
      </c>
      <c r="F200" s="5" t="str">
        <f t="array" ref="F200">IF(W200=1,INDEX('Input Kegiatan'!D$2:D905,MATCH($D200,'Input Kegiatan'!$A$2:$A905,0)),"")</f>
        <v/>
      </c>
      <c r="G200" s="5" t="str">
        <f t="array" ref="G200">IF(W200=1,INDEX('Input Kegiatan'!E$2:E905,MATCH($D200,'Input Kegiatan'!$A$2:$A905,0)),"")</f>
        <v/>
      </c>
      <c r="H200" s="5" t="str">
        <f t="array" ref="H200">IF(W200=1,INDEX(Honor!$H$2:$H905,MATCH($D200&amp;"-"&amp;R200,Honor!$K$2:$K905,0)),"")</f>
        <v/>
      </c>
      <c r="I200" s="8" t="str">
        <f>IF(W200=1,SUMIFS(Honor!$I$2:$I905,Honor!$K$2:$K905,$D200&amp;"-"&amp;R200),"")</f>
        <v/>
      </c>
      <c r="J200" s="9" t="str">
        <f t="shared" si="6"/>
        <v/>
      </c>
      <c r="K200" s="10" t="str">
        <f t="shared" si="0"/>
        <v/>
      </c>
      <c r="L200" s="10" t="str">
        <f t="shared" si="1"/>
        <v/>
      </c>
      <c r="M200" s="10" t="str">
        <f>IF(W200=1,IF(AND(U200&lt;2,INT(V200)&lt;='Batasan Honor'!$B$2),1,0),"")</f>
        <v/>
      </c>
      <c r="O200" s="10" t="str">
        <f t="shared" si="2"/>
        <v/>
      </c>
      <c r="P200" s="10" t="str">
        <f t="shared" si="3"/>
        <v/>
      </c>
      <c r="R200" s="23"/>
      <c r="S200" s="10" t="str">
        <f t="shared" si="4"/>
        <v/>
      </c>
      <c r="U200" s="10" t="str">
        <f ca="1">IFERROR(__xludf.DUMMYFUNCTION("if(W200=1,COUNTIFS(FILTER($H$2:$H905,$H$2:$H905=""OB"",$S$2:$S905=S200),""OB""),"""")"),"")</f>
        <v/>
      </c>
      <c r="V200" s="10" t="str">
        <f ca="1">IFERROR(__xludf.DUMMYFUNCTION("IF(OR(ISNA(SUM(FILTER($K$2:$K905,$A$2:$A905=A200,$S$2:$S905=S200,$H$2:$H905&lt;&gt;""OB""))),W200&lt;&gt;1),"""",SUM(FILTER($K$2:$K905,$A$2:$A905=A200,$S$2:$S905=S200,$H$2:$H905&lt;&gt;""OB"")))"),"")</f>
        <v/>
      </c>
      <c r="W200" s="10" t="str">
        <f t="shared" si="5"/>
        <v/>
      </c>
    </row>
    <row r="201" spans="1:23" ht="12.5">
      <c r="A201" s="23"/>
      <c r="B201" s="5" t="str">
        <f t="array" ref="B201">IF(W201=1,INDEX('Database Mitra'!$H$2:$H905,MATCH(A201,'Database Mitra'!AK$2:AK905,0)),"")</f>
        <v/>
      </c>
      <c r="C201" s="5" t="str">
        <f t="array" ref="C201">IF(W201=1,INDEX('Database Mitra'!$E$2:$E905,MATCH(A201,'Database Mitra'!AK$2:AK905,0)),"")</f>
        <v/>
      </c>
      <c r="D201" s="23"/>
      <c r="E201" s="5" t="str">
        <f t="array" ref="E201">IF(W201=1,INDEX('Input Kegiatan'!B$2:B905,MATCH($D201,'Input Kegiatan'!$A$2:$A905,0)),"")</f>
        <v/>
      </c>
      <c r="F201" s="5" t="str">
        <f t="array" ref="F201">IF(W201=1,INDEX('Input Kegiatan'!D$2:D905,MATCH($D201,'Input Kegiatan'!$A$2:$A905,0)),"")</f>
        <v/>
      </c>
      <c r="G201" s="5" t="str">
        <f t="array" ref="G201">IF(W201=1,INDEX('Input Kegiatan'!E$2:E905,MATCH($D201,'Input Kegiatan'!$A$2:$A905,0)),"")</f>
        <v/>
      </c>
      <c r="H201" s="5" t="str">
        <f t="array" ref="H201">IF(W201=1,INDEX(Honor!$H$2:$H905,MATCH($D201&amp;"-"&amp;R201,Honor!$K$2:$K905,0)),"")</f>
        <v/>
      </c>
      <c r="I201" s="8" t="str">
        <f>IF(W201=1,SUMIFS(Honor!$I$2:$I905,Honor!$K$2:$K905,$D201&amp;"-"&amp;R201),"")</f>
        <v/>
      </c>
      <c r="J201" s="9" t="str">
        <f t="shared" si="6"/>
        <v/>
      </c>
      <c r="K201" s="10" t="str">
        <f t="shared" si="0"/>
        <v/>
      </c>
      <c r="L201" s="10" t="str">
        <f t="shared" si="1"/>
        <v/>
      </c>
      <c r="M201" s="10" t="str">
        <f>IF(W201=1,IF(AND(U201&lt;2,INT(V201)&lt;='Batasan Honor'!$B$2),1,0),"")</f>
        <v/>
      </c>
      <c r="O201" s="10" t="str">
        <f t="shared" si="2"/>
        <v/>
      </c>
      <c r="P201" s="10" t="str">
        <f t="shared" si="3"/>
        <v/>
      </c>
      <c r="R201" s="23"/>
      <c r="S201" s="10" t="str">
        <f t="shared" si="4"/>
        <v/>
      </c>
      <c r="U201" s="10" t="str">
        <f ca="1">IFERROR(__xludf.DUMMYFUNCTION("if(W201=1,COUNTIFS(FILTER($H$2:$H905,$H$2:$H905=""OB"",$S$2:$S905=S201),""OB""),"""")"),"")</f>
        <v/>
      </c>
      <c r="V201" s="10" t="str">
        <f ca="1">IFERROR(__xludf.DUMMYFUNCTION("IF(OR(ISNA(SUM(FILTER($K$2:$K905,$A$2:$A905=A201,$S$2:$S905=S201,$H$2:$H905&lt;&gt;""OB""))),W201&lt;&gt;1),"""",SUM(FILTER($K$2:$K905,$A$2:$A905=A201,$S$2:$S905=S201,$H$2:$H905&lt;&gt;""OB"")))"),"")</f>
        <v/>
      </c>
      <c r="W201" s="10" t="str">
        <f t="shared" si="5"/>
        <v/>
      </c>
    </row>
    <row r="202" spans="1:23" ht="12.5">
      <c r="A202" s="23"/>
      <c r="B202" s="5" t="str">
        <f t="array" ref="B202">IF(W202=1,INDEX('Database Mitra'!$H$2:$H905,MATCH(A202,'Database Mitra'!AK$2:AK905,0)),"")</f>
        <v/>
      </c>
      <c r="C202" s="5" t="str">
        <f t="array" ref="C202">IF(W202=1,INDEX('Database Mitra'!$E$2:$E905,MATCH(A202,'Database Mitra'!AK$2:AK905,0)),"")</f>
        <v/>
      </c>
      <c r="D202" s="23"/>
      <c r="E202" s="5" t="str">
        <f t="array" ref="E202">IF(W202=1,INDEX('Input Kegiatan'!B$2:B905,MATCH($D202,'Input Kegiatan'!$A$2:$A905,0)),"")</f>
        <v/>
      </c>
      <c r="F202" s="5" t="str">
        <f t="array" ref="F202">IF(W202=1,INDEX('Input Kegiatan'!D$2:D905,MATCH($D202,'Input Kegiatan'!$A$2:$A905,0)),"")</f>
        <v/>
      </c>
      <c r="G202" s="5" t="str">
        <f t="array" ref="G202">IF(W202=1,INDEX('Input Kegiatan'!E$2:E905,MATCH($D202,'Input Kegiatan'!$A$2:$A905,0)),"")</f>
        <v/>
      </c>
      <c r="H202" s="5" t="str">
        <f t="array" ref="H202">IF(W202=1,INDEX(Honor!$H$2:$H905,MATCH($D202&amp;"-"&amp;R202,Honor!$K$2:$K905,0)),"")</f>
        <v/>
      </c>
      <c r="I202" s="8" t="str">
        <f>IF(W202=1,SUMIFS(Honor!$I$2:$I905,Honor!$K$2:$K905,$D202&amp;"-"&amp;R202),"")</f>
        <v/>
      </c>
      <c r="J202" s="9" t="str">
        <f t="shared" si="6"/>
        <v/>
      </c>
      <c r="K202" s="10" t="str">
        <f t="shared" si="0"/>
        <v/>
      </c>
      <c r="L202" s="10" t="str">
        <f t="shared" si="1"/>
        <v/>
      </c>
      <c r="M202" s="10" t="str">
        <f>IF(W202=1,IF(AND(U202&lt;2,INT(V202)&lt;='Batasan Honor'!$B$2),1,0),"")</f>
        <v/>
      </c>
      <c r="O202" s="10" t="str">
        <f t="shared" si="2"/>
        <v/>
      </c>
      <c r="P202" s="10" t="str">
        <f t="shared" si="3"/>
        <v/>
      </c>
      <c r="R202" s="23"/>
      <c r="S202" s="10" t="str">
        <f t="shared" si="4"/>
        <v/>
      </c>
      <c r="U202" s="10" t="str">
        <f ca="1">IFERROR(__xludf.DUMMYFUNCTION("if(W202=1,COUNTIFS(FILTER($H$2:$H905,$H$2:$H905=""OB"",$S$2:$S905=S202),""OB""),"""")"),"")</f>
        <v/>
      </c>
      <c r="V202" s="10" t="str">
        <f ca="1">IFERROR(__xludf.DUMMYFUNCTION("IF(OR(ISNA(SUM(FILTER($K$2:$K905,$A$2:$A905=A202,$S$2:$S905=S202,$H$2:$H905&lt;&gt;""OB""))),W202&lt;&gt;1),"""",SUM(FILTER($K$2:$K905,$A$2:$A905=A202,$S$2:$S905=S202,$H$2:$H905&lt;&gt;""OB"")))"),"")</f>
        <v/>
      </c>
      <c r="W202" s="10" t="str">
        <f t="shared" si="5"/>
        <v/>
      </c>
    </row>
    <row r="203" spans="1:23" ht="12.5">
      <c r="A203" s="23"/>
      <c r="B203" s="5" t="str">
        <f t="array" ref="B203">IF(W203=1,INDEX('Database Mitra'!$H$2:$H905,MATCH(A203,'Database Mitra'!AK$2:AK905,0)),"")</f>
        <v/>
      </c>
      <c r="C203" s="5" t="str">
        <f t="array" ref="C203">IF(W203=1,INDEX('Database Mitra'!$E$2:$E905,MATCH(A203,'Database Mitra'!AK$2:AK905,0)),"")</f>
        <v/>
      </c>
      <c r="D203" s="23"/>
      <c r="E203" s="5" t="str">
        <f t="array" ref="E203">IF(W203=1,INDEX('Input Kegiatan'!B$2:B905,MATCH($D203,'Input Kegiatan'!$A$2:$A905,0)),"")</f>
        <v/>
      </c>
      <c r="F203" s="5" t="str">
        <f t="array" ref="F203">IF(W203=1,INDEX('Input Kegiatan'!D$2:D905,MATCH($D203,'Input Kegiatan'!$A$2:$A905,0)),"")</f>
        <v/>
      </c>
      <c r="G203" s="5" t="str">
        <f t="array" ref="G203">IF(W203=1,INDEX('Input Kegiatan'!E$2:E905,MATCH($D203,'Input Kegiatan'!$A$2:$A905,0)),"")</f>
        <v/>
      </c>
      <c r="H203" s="5" t="str">
        <f t="array" ref="H203">IF(W203=1,INDEX(Honor!$H$2:$H905,MATCH($D203&amp;"-"&amp;R203,Honor!$K$2:$K905,0)),"")</f>
        <v/>
      </c>
      <c r="I203" s="8" t="str">
        <f>IF(W203=1,SUMIFS(Honor!$I$2:$I905,Honor!$K$2:$K905,$D203&amp;"-"&amp;R203),"")</f>
        <v/>
      </c>
      <c r="J203" s="9" t="str">
        <f t="shared" si="6"/>
        <v/>
      </c>
      <c r="K203" s="10" t="str">
        <f t="shared" si="0"/>
        <v/>
      </c>
      <c r="L203" s="10" t="str">
        <f t="shared" si="1"/>
        <v/>
      </c>
      <c r="M203" s="10" t="str">
        <f>IF(W203=1,IF(AND(U203&lt;2,INT(V203)&lt;='Batasan Honor'!$B$2),1,0),"")</f>
        <v/>
      </c>
      <c r="O203" s="10" t="str">
        <f t="shared" si="2"/>
        <v/>
      </c>
      <c r="P203" s="10" t="str">
        <f t="shared" si="3"/>
        <v/>
      </c>
      <c r="R203" s="23"/>
      <c r="S203" s="10" t="str">
        <f t="shared" si="4"/>
        <v/>
      </c>
      <c r="U203" s="10" t="str">
        <f ca="1">IFERROR(__xludf.DUMMYFUNCTION("if(W203=1,COUNTIFS(FILTER($H$2:$H905,$H$2:$H905=""OB"",$S$2:$S905=S203),""OB""),"""")"),"")</f>
        <v/>
      </c>
      <c r="V203" s="10" t="str">
        <f ca="1">IFERROR(__xludf.DUMMYFUNCTION("IF(OR(ISNA(SUM(FILTER($K$2:$K905,$A$2:$A905=A203,$S$2:$S905=S203,$H$2:$H905&lt;&gt;""OB""))),W203&lt;&gt;1),"""",SUM(FILTER($K$2:$K905,$A$2:$A905=A203,$S$2:$S905=S203,$H$2:$H905&lt;&gt;""OB"")))"),"")</f>
        <v/>
      </c>
      <c r="W203" s="10" t="str">
        <f t="shared" si="5"/>
        <v/>
      </c>
    </row>
    <row r="204" spans="1:23" ht="12.5">
      <c r="A204" s="23"/>
      <c r="B204" s="5" t="str">
        <f t="array" ref="B204">IF(W204=1,INDEX('Database Mitra'!$H$2:$H905,MATCH(A204,'Database Mitra'!AK$2:AK905,0)),"")</f>
        <v/>
      </c>
      <c r="C204" s="5" t="str">
        <f t="array" ref="C204">IF(W204=1,INDEX('Database Mitra'!$E$2:$E905,MATCH(A204,'Database Mitra'!AK$2:AK905,0)),"")</f>
        <v/>
      </c>
      <c r="D204" s="23"/>
      <c r="E204" s="5" t="str">
        <f t="array" ref="E204">IF(W204=1,INDEX('Input Kegiatan'!B$2:B905,MATCH($D204,'Input Kegiatan'!$A$2:$A905,0)),"")</f>
        <v/>
      </c>
      <c r="F204" s="5" t="str">
        <f t="array" ref="F204">IF(W204=1,INDEX('Input Kegiatan'!D$2:D905,MATCH($D204,'Input Kegiatan'!$A$2:$A905,0)),"")</f>
        <v/>
      </c>
      <c r="G204" s="5" t="str">
        <f t="array" ref="G204">IF(W204=1,INDEX('Input Kegiatan'!E$2:E905,MATCH($D204,'Input Kegiatan'!$A$2:$A905,0)),"")</f>
        <v/>
      </c>
      <c r="H204" s="5" t="str">
        <f t="array" ref="H204">IF(W204=1,INDEX(Honor!$H$2:$H905,MATCH($D204&amp;"-"&amp;R204,Honor!$K$2:$K905,0)),"")</f>
        <v/>
      </c>
      <c r="I204" s="8" t="str">
        <f>IF(W204=1,SUMIFS(Honor!$I$2:$I905,Honor!$K$2:$K905,$D204&amp;"-"&amp;R204),"")</f>
        <v/>
      </c>
      <c r="J204" s="9" t="str">
        <f t="shared" si="6"/>
        <v/>
      </c>
      <c r="K204" s="10" t="str">
        <f t="shared" si="0"/>
        <v/>
      </c>
      <c r="L204" s="10" t="str">
        <f t="shared" si="1"/>
        <v/>
      </c>
      <c r="M204" s="10" t="str">
        <f>IF(W204=1,IF(AND(U204&lt;2,INT(V204)&lt;='Batasan Honor'!$B$2),1,0),"")</f>
        <v/>
      </c>
      <c r="O204" s="10" t="str">
        <f t="shared" si="2"/>
        <v/>
      </c>
      <c r="P204" s="10" t="str">
        <f t="shared" si="3"/>
        <v/>
      </c>
      <c r="R204" s="23"/>
      <c r="S204" s="10" t="str">
        <f t="shared" si="4"/>
        <v/>
      </c>
      <c r="U204" s="10" t="str">
        <f ca="1">IFERROR(__xludf.DUMMYFUNCTION("if(W204=1,COUNTIFS(FILTER($H$2:$H905,$H$2:$H905=""OB"",$S$2:$S905=S204),""OB""),"""")"),"")</f>
        <v/>
      </c>
      <c r="V204" s="10" t="str">
        <f ca="1">IFERROR(__xludf.DUMMYFUNCTION("IF(OR(ISNA(SUM(FILTER($K$2:$K905,$A$2:$A905=A204,$S$2:$S905=S204,$H$2:$H905&lt;&gt;""OB""))),W204&lt;&gt;1),"""",SUM(FILTER($K$2:$K905,$A$2:$A905=A204,$S$2:$S905=S204,$H$2:$H905&lt;&gt;""OB"")))"),"")</f>
        <v/>
      </c>
      <c r="W204" s="10" t="str">
        <f t="shared" si="5"/>
        <v/>
      </c>
    </row>
    <row r="205" spans="1:23" ht="12.5">
      <c r="A205" s="23"/>
      <c r="B205" s="5" t="str">
        <f t="array" ref="B205">IF(W205=1,INDEX('Database Mitra'!$H$2:$H905,MATCH(A205,'Database Mitra'!AK$2:AK905,0)),"")</f>
        <v/>
      </c>
      <c r="C205" s="5" t="str">
        <f t="array" ref="C205">IF(W205=1,INDEX('Database Mitra'!$E$2:$E905,MATCH(A205,'Database Mitra'!AK$2:AK905,0)),"")</f>
        <v/>
      </c>
      <c r="D205" s="23"/>
      <c r="E205" s="5" t="str">
        <f t="array" ref="E205">IF(W205=1,INDEX('Input Kegiatan'!B$2:B905,MATCH($D205,'Input Kegiatan'!$A$2:$A905,0)),"")</f>
        <v/>
      </c>
      <c r="F205" s="5" t="str">
        <f t="array" ref="F205">IF(W205=1,INDEX('Input Kegiatan'!D$2:D905,MATCH($D205,'Input Kegiatan'!$A$2:$A905,0)),"")</f>
        <v/>
      </c>
      <c r="G205" s="5" t="str">
        <f t="array" ref="G205">IF(W205=1,INDEX('Input Kegiatan'!E$2:E905,MATCH($D205,'Input Kegiatan'!$A$2:$A905,0)),"")</f>
        <v/>
      </c>
      <c r="H205" s="5" t="str">
        <f t="array" ref="H205">IF(W205=1,INDEX(Honor!$H$2:$H905,MATCH($D205&amp;"-"&amp;R205,Honor!$K$2:$K905,0)),"")</f>
        <v/>
      </c>
      <c r="I205" s="8" t="str">
        <f>IF(W205=1,SUMIFS(Honor!$I$2:$I905,Honor!$K$2:$K905,$D205&amp;"-"&amp;R205),"")</f>
        <v/>
      </c>
      <c r="J205" s="9" t="str">
        <f t="shared" si="6"/>
        <v/>
      </c>
      <c r="K205" s="10" t="str">
        <f t="shared" si="0"/>
        <v/>
      </c>
      <c r="L205" s="10" t="str">
        <f t="shared" si="1"/>
        <v/>
      </c>
      <c r="M205" s="10" t="str">
        <f>IF(W205=1,IF(AND(U205&lt;2,INT(V205)&lt;='Batasan Honor'!$B$2),1,0),"")</f>
        <v/>
      </c>
      <c r="O205" s="10" t="str">
        <f t="shared" si="2"/>
        <v/>
      </c>
      <c r="P205" s="10" t="str">
        <f t="shared" si="3"/>
        <v/>
      </c>
      <c r="R205" s="23"/>
      <c r="S205" s="10" t="str">
        <f t="shared" si="4"/>
        <v/>
      </c>
      <c r="U205" s="10" t="str">
        <f ca="1">IFERROR(__xludf.DUMMYFUNCTION("if(W205=1,COUNTIFS(FILTER($H$2:$H905,$H$2:$H905=""OB"",$S$2:$S905=S205),""OB""),"""")"),"")</f>
        <v/>
      </c>
      <c r="V205" s="10" t="str">
        <f ca="1">IFERROR(__xludf.DUMMYFUNCTION("IF(OR(ISNA(SUM(FILTER($K$2:$K905,$A$2:$A905=A205,$S$2:$S905=S205,$H$2:$H905&lt;&gt;""OB""))),W205&lt;&gt;1),"""",SUM(FILTER($K$2:$K905,$A$2:$A905=A205,$S$2:$S905=S205,$H$2:$H905&lt;&gt;""OB"")))"),"")</f>
        <v/>
      </c>
      <c r="W205" s="10" t="str">
        <f t="shared" si="5"/>
        <v/>
      </c>
    </row>
    <row r="206" spans="1:23" ht="12.5">
      <c r="A206" s="23"/>
      <c r="B206" s="5" t="str">
        <f t="array" ref="B206">IF(W206=1,INDEX('Database Mitra'!$H$2:$H905,MATCH(A206,'Database Mitra'!AK$2:AK905,0)),"")</f>
        <v/>
      </c>
      <c r="C206" s="5" t="str">
        <f t="array" ref="C206">IF(W206=1,INDEX('Database Mitra'!$E$2:$E905,MATCH(A206,'Database Mitra'!AK$2:AK905,0)),"")</f>
        <v/>
      </c>
      <c r="D206" s="23"/>
      <c r="E206" s="5" t="str">
        <f t="array" ref="E206">IF(W206=1,INDEX('Input Kegiatan'!B$2:B905,MATCH($D206,'Input Kegiatan'!$A$2:$A905,0)),"")</f>
        <v/>
      </c>
      <c r="F206" s="5" t="str">
        <f t="array" ref="F206">IF(W206=1,INDEX('Input Kegiatan'!D$2:D905,MATCH($D206,'Input Kegiatan'!$A$2:$A905,0)),"")</f>
        <v/>
      </c>
      <c r="G206" s="5" t="str">
        <f t="array" ref="G206">IF(W206=1,INDEX('Input Kegiatan'!E$2:E905,MATCH($D206,'Input Kegiatan'!$A$2:$A905,0)),"")</f>
        <v/>
      </c>
      <c r="H206" s="5" t="str">
        <f t="array" ref="H206">IF(W206=1,INDEX(Honor!$H$2:$H905,MATCH($D206&amp;"-"&amp;R206,Honor!$K$2:$K905,0)),"")</f>
        <v/>
      </c>
      <c r="I206" s="8" t="str">
        <f>IF(W206=1,SUMIFS(Honor!$I$2:$I905,Honor!$K$2:$K905,$D206&amp;"-"&amp;R206),"")</f>
        <v/>
      </c>
      <c r="J206" s="9" t="str">
        <f t="shared" si="6"/>
        <v/>
      </c>
      <c r="K206" s="10" t="str">
        <f t="shared" si="0"/>
        <v/>
      </c>
      <c r="L206" s="10" t="str">
        <f t="shared" si="1"/>
        <v/>
      </c>
      <c r="M206" s="10" t="str">
        <f>IF(W206=1,IF(AND(U206&lt;2,INT(V206)&lt;='Batasan Honor'!$B$2),1,0),"")</f>
        <v/>
      </c>
      <c r="O206" s="10" t="str">
        <f t="shared" si="2"/>
        <v/>
      </c>
      <c r="P206" s="10" t="str">
        <f t="shared" si="3"/>
        <v/>
      </c>
      <c r="R206" s="23"/>
      <c r="S206" s="10" t="str">
        <f t="shared" si="4"/>
        <v/>
      </c>
      <c r="U206" s="10" t="str">
        <f ca="1">IFERROR(__xludf.DUMMYFUNCTION("if(W206=1,COUNTIFS(FILTER($H$2:$H905,$H$2:$H905=""OB"",$S$2:$S905=S206),""OB""),"""")"),"")</f>
        <v/>
      </c>
      <c r="V206" s="10" t="str">
        <f ca="1">IFERROR(__xludf.DUMMYFUNCTION("IF(OR(ISNA(SUM(FILTER($K$2:$K905,$A$2:$A905=A206,$S$2:$S905=S206,$H$2:$H905&lt;&gt;""OB""))),W206&lt;&gt;1),"""",SUM(FILTER($K$2:$K905,$A$2:$A905=A206,$S$2:$S905=S206,$H$2:$H905&lt;&gt;""OB"")))"),"")</f>
        <v/>
      </c>
      <c r="W206" s="10" t="str">
        <f t="shared" si="5"/>
        <v/>
      </c>
    </row>
    <row r="207" spans="1:23" ht="12.5">
      <c r="A207" s="23"/>
      <c r="B207" s="5" t="str">
        <f t="array" ref="B207">IF(W207=1,INDEX('Database Mitra'!$H$2:$H905,MATCH(A207,'Database Mitra'!AK$2:AK905,0)),"")</f>
        <v/>
      </c>
      <c r="C207" s="5" t="str">
        <f t="array" ref="C207">IF(W207=1,INDEX('Database Mitra'!$E$2:$E905,MATCH(A207,'Database Mitra'!AK$2:AK905,0)),"")</f>
        <v/>
      </c>
      <c r="D207" s="23"/>
      <c r="E207" s="5" t="str">
        <f t="array" ref="E207">IF(W207=1,INDEX('Input Kegiatan'!B$2:B905,MATCH($D207,'Input Kegiatan'!$A$2:$A905,0)),"")</f>
        <v/>
      </c>
      <c r="F207" s="5" t="str">
        <f t="array" ref="F207">IF(W207=1,INDEX('Input Kegiatan'!D$2:D905,MATCH($D207,'Input Kegiatan'!$A$2:$A905,0)),"")</f>
        <v/>
      </c>
      <c r="G207" s="5" t="str">
        <f t="array" ref="G207">IF(W207=1,INDEX('Input Kegiatan'!E$2:E905,MATCH($D207,'Input Kegiatan'!$A$2:$A905,0)),"")</f>
        <v/>
      </c>
      <c r="H207" s="5" t="str">
        <f t="array" ref="H207">IF(W207=1,INDEX(Honor!$H$2:$H905,MATCH($D207&amp;"-"&amp;R207,Honor!$K$2:$K905,0)),"")</f>
        <v/>
      </c>
      <c r="I207" s="8" t="str">
        <f>IF(W207=1,SUMIFS(Honor!$I$2:$I905,Honor!$K$2:$K905,$D207&amp;"-"&amp;R207),"")</f>
        <v/>
      </c>
      <c r="J207" s="9" t="str">
        <f t="shared" si="6"/>
        <v/>
      </c>
      <c r="K207" s="10" t="str">
        <f t="shared" si="0"/>
        <v/>
      </c>
      <c r="L207" s="10" t="str">
        <f t="shared" si="1"/>
        <v/>
      </c>
      <c r="M207" s="10" t="str">
        <f>IF(W207=1,IF(AND(U207&lt;2,INT(V207)&lt;='Batasan Honor'!$B$2),1,0),"")</f>
        <v/>
      </c>
      <c r="O207" s="10" t="str">
        <f t="shared" si="2"/>
        <v/>
      </c>
      <c r="P207" s="10" t="str">
        <f t="shared" si="3"/>
        <v/>
      </c>
      <c r="R207" s="23"/>
      <c r="S207" s="10" t="str">
        <f t="shared" si="4"/>
        <v/>
      </c>
      <c r="U207" s="10" t="str">
        <f ca="1">IFERROR(__xludf.DUMMYFUNCTION("if(W207=1,COUNTIFS(FILTER($H$2:$H905,$H$2:$H905=""OB"",$S$2:$S905=S207),""OB""),"""")"),"")</f>
        <v/>
      </c>
      <c r="V207" s="10" t="str">
        <f ca="1">IFERROR(__xludf.DUMMYFUNCTION("IF(OR(ISNA(SUM(FILTER($K$2:$K905,$A$2:$A905=A207,$S$2:$S905=S207,$H$2:$H905&lt;&gt;""OB""))),W207&lt;&gt;1),"""",SUM(FILTER($K$2:$K905,$A$2:$A905=A207,$S$2:$S905=S207,$H$2:$H905&lt;&gt;""OB"")))"),"")</f>
        <v/>
      </c>
      <c r="W207" s="10" t="str">
        <f t="shared" si="5"/>
        <v/>
      </c>
    </row>
    <row r="208" spans="1:23" ht="12.5">
      <c r="A208" s="23"/>
      <c r="B208" s="5" t="str">
        <f t="array" ref="B208">IF(W208=1,INDEX('Database Mitra'!$H$2:$H905,MATCH(A208,'Database Mitra'!AK$2:AK905,0)),"")</f>
        <v/>
      </c>
      <c r="C208" s="5" t="str">
        <f t="array" ref="C208">IF(W208=1,INDEX('Database Mitra'!$E$2:$E905,MATCH(A208,'Database Mitra'!AK$2:AK905,0)),"")</f>
        <v/>
      </c>
      <c r="D208" s="23"/>
      <c r="E208" s="5" t="str">
        <f t="array" ref="E208">IF(W208=1,INDEX('Input Kegiatan'!B$2:B905,MATCH($D208,'Input Kegiatan'!$A$2:$A905,0)),"")</f>
        <v/>
      </c>
      <c r="F208" s="5" t="str">
        <f t="array" ref="F208">IF(W208=1,INDEX('Input Kegiatan'!D$2:D905,MATCH($D208,'Input Kegiatan'!$A$2:$A905,0)),"")</f>
        <v/>
      </c>
      <c r="G208" s="5" t="str">
        <f t="array" ref="G208">IF(W208=1,INDEX('Input Kegiatan'!E$2:E905,MATCH($D208,'Input Kegiatan'!$A$2:$A905,0)),"")</f>
        <v/>
      </c>
      <c r="H208" s="5" t="str">
        <f t="array" ref="H208">IF(W208=1,INDEX(Honor!$H$2:$H905,MATCH($D208&amp;"-"&amp;R208,Honor!$K$2:$K905,0)),"")</f>
        <v/>
      </c>
      <c r="I208" s="8" t="str">
        <f>IF(W208=1,SUMIFS(Honor!$I$2:$I905,Honor!$K$2:$K905,$D208&amp;"-"&amp;R208),"")</f>
        <v/>
      </c>
      <c r="J208" s="9" t="str">
        <f t="shared" si="6"/>
        <v/>
      </c>
      <c r="K208" s="10" t="str">
        <f t="shared" si="0"/>
        <v/>
      </c>
      <c r="L208" s="10" t="str">
        <f t="shared" si="1"/>
        <v/>
      </c>
      <c r="M208" s="10" t="str">
        <f>IF(W208=1,IF(AND(U208&lt;2,INT(V208)&lt;='Batasan Honor'!$B$2),1,0),"")</f>
        <v/>
      </c>
      <c r="O208" s="10" t="str">
        <f t="shared" si="2"/>
        <v/>
      </c>
      <c r="P208" s="10" t="str">
        <f t="shared" si="3"/>
        <v/>
      </c>
      <c r="R208" s="23"/>
      <c r="S208" s="10" t="str">
        <f t="shared" si="4"/>
        <v/>
      </c>
      <c r="U208" s="10" t="str">
        <f ca="1">IFERROR(__xludf.DUMMYFUNCTION("if(W208=1,COUNTIFS(FILTER($H$2:$H905,$H$2:$H905=""OB"",$S$2:$S905=S208),""OB""),"""")"),"")</f>
        <v/>
      </c>
      <c r="V208" s="10" t="str">
        <f ca="1">IFERROR(__xludf.DUMMYFUNCTION("IF(OR(ISNA(SUM(FILTER($K$2:$K905,$A$2:$A905=A208,$S$2:$S905=S208,$H$2:$H905&lt;&gt;""OB""))),W208&lt;&gt;1),"""",SUM(FILTER($K$2:$K905,$A$2:$A905=A208,$S$2:$S905=S208,$H$2:$H905&lt;&gt;""OB"")))"),"")</f>
        <v/>
      </c>
      <c r="W208" s="10" t="str">
        <f t="shared" si="5"/>
        <v/>
      </c>
    </row>
    <row r="209" spans="1:23" ht="12.5">
      <c r="A209" s="23"/>
      <c r="B209" s="5" t="str">
        <f t="array" ref="B209">IF(W209=1,INDEX('Database Mitra'!$H$2:$H905,MATCH(A209,'Database Mitra'!AK$2:AK905,0)),"")</f>
        <v/>
      </c>
      <c r="C209" s="5" t="str">
        <f t="array" ref="C209">IF(W209=1,INDEX('Database Mitra'!$E$2:$E905,MATCH(A209,'Database Mitra'!AK$2:AK905,0)),"")</f>
        <v/>
      </c>
      <c r="D209" s="23"/>
      <c r="E209" s="5" t="str">
        <f t="array" ref="E209">IF(W209=1,INDEX('Input Kegiatan'!B$2:B905,MATCH($D209,'Input Kegiatan'!$A$2:$A905,0)),"")</f>
        <v/>
      </c>
      <c r="F209" s="5" t="str">
        <f t="array" ref="F209">IF(W209=1,INDEX('Input Kegiatan'!D$2:D905,MATCH($D209,'Input Kegiatan'!$A$2:$A905,0)),"")</f>
        <v/>
      </c>
      <c r="G209" s="5" t="str">
        <f t="array" ref="G209">IF(W209=1,INDEX('Input Kegiatan'!E$2:E905,MATCH($D209,'Input Kegiatan'!$A$2:$A905,0)),"")</f>
        <v/>
      </c>
      <c r="H209" s="5" t="str">
        <f t="array" ref="H209">IF(W209=1,INDEX(Honor!$H$2:$H905,MATCH($D209&amp;"-"&amp;R209,Honor!$K$2:$K905,0)),"")</f>
        <v/>
      </c>
      <c r="I209" s="8" t="str">
        <f>IF(W209=1,SUMIFS(Honor!$I$2:$I905,Honor!$K$2:$K905,$D209&amp;"-"&amp;R209),"")</f>
        <v/>
      </c>
      <c r="J209" s="9" t="str">
        <f t="shared" si="6"/>
        <v/>
      </c>
      <c r="K209" s="10" t="str">
        <f t="shared" si="0"/>
        <v/>
      </c>
      <c r="L209" s="10" t="str">
        <f t="shared" si="1"/>
        <v/>
      </c>
      <c r="M209" s="10" t="str">
        <f>IF(W209=1,IF(AND(U209&lt;2,INT(V209)&lt;='Batasan Honor'!$B$2),1,0),"")</f>
        <v/>
      </c>
      <c r="O209" s="10" t="str">
        <f t="shared" si="2"/>
        <v/>
      </c>
      <c r="P209" s="10" t="str">
        <f t="shared" si="3"/>
        <v/>
      </c>
      <c r="R209" s="23"/>
      <c r="S209" s="10" t="str">
        <f t="shared" si="4"/>
        <v/>
      </c>
      <c r="U209" s="10" t="str">
        <f ca="1">IFERROR(__xludf.DUMMYFUNCTION("if(W209=1,COUNTIFS(FILTER($H$2:$H905,$H$2:$H905=""OB"",$S$2:$S905=S209),""OB""),"""")"),"")</f>
        <v/>
      </c>
      <c r="V209" s="10" t="str">
        <f ca="1">IFERROR(__xludf.DUMMYFUNCTION("IF(OR(ISNA(SUM(FILTER($K$2:$K905,$A$2:$A905=A209,$S$2:$S905=S209,$H$2:$H905&lt;&gt;""OB""))),W209&lt;&gt;1),"""",SUM(FILTER($K$2:$K905,$A$2:$A905=A209,$S$2:$S905=S209,$H$2:$H905&lt;&gt;""OB"")))"),"")</f>
        <v/>
      </c>
      <c r="W209" s="10" t="str">
        <f t="shared" si="5"/>
        <v/>
      </c>
    </row>
    <row r="210" spans="1:23" ht="12.5">
      <c r="A210" s="23"/>
      <c r="B210" s="5" t="str">
        <f t="array" ref="B210">IF(W210=1,INDEX('Database Mitra'!$H$2:$H905,MATCH(A210,'Database Mitra'!AK$2:AK905,0)),"")</f>
        <v/>
      </c>
      <c r="C210" s="5" t="str">
        <f t="array" ref="C210">IF(W210=1,INDEX('Database Mitra'!$E$2:$E905,MATCH(A210,'Database Mitra'!AK$2:AK905,0)),"")</f>
        <v/>
      </c>
      <c r="D210" s="23"/>
      <c r="E210" s="5" t="str">
        <f t="array" ref="E210">IF(W210=1,INDEX('Input Kegiatan'!B$2:B905,MATCH($D210,'Input Kegiatan'!$A$2:$A905,0)),"")</f>
        <v/>
      </c>
      <c r="F210" s="5" t="str">
        <f t="array" ref="F210">IF(W210=1,INDEX('Input Kegiatan'!D$2:D905,MATCH($D210,'Input Kegiatan'!$A$2:$A905,0)),"")</f>
        <v/>
      </c>
      <c r="G210" s="5" t="str">
        <f t="array" ref="G210">IF(W210=1,INDEX('Input Kegiatan'!E$2:E905,MATCH($D210,'Input Kegiatan'!$A$2:$A905,0)),"")</f>
        <v/>
      </c>
      <c r="H210" s="5" t="str">
        <f t="array" ref="H210">IF(W210=1,INDEX(Honor!$H$2:$H905,MATCH($D210&amp;"-"&amp;R210,Honor!$K$2:$K905,0)),"")</f>
        <v/>
      </c>
      <c r="I210" s="8" t="str">
        <f>IF(W210=1,SUMIFS(Honor!$I$2:$I905,Honor!$K$2:$K905,$D210&amp;"-"&amp;R210),"")</f>
        <v/>
      </c>
      <c r="J210" s="9" t="str">
        <f t="shared" si="6"/>
        <v/>
      </c>
      <c r="K210" s="10" t="str">
        <f t="shared" si="0"/>
        <v/>
      </c>
      <c r="L210" s="10" t="str">
        <f t="shared" si="1"/>
        <v/>
      </c>
      <c r="M210" s="10" t="str">
        <f>IF(W210=1,IF(AND(U210&lt;2,INT(V210)&lt;='Batasan Honor'!$B$2),1,0),"")</f>
        <v/>
      </c>
      <c r="O210" s="10" t="str">
        <f t="shared" si="2"/>
        <v/>
      </c>
      <c r="P210" s="10" t="str">
        <f t="shared" si="3"/>
        <v/>
      </c>
      <c r="R210" s="23"/>
      <c r="S210" s="10" t="str">
        <f t="shared" si="4"/>
        <v/>
      </c>
      <c r="U210" s="10" t="str">
        <f ca="1">IFERROR(__xludf.DUMMYFUNCTION("if(W210=1,COUNTIFS(FILTER($H$2:$H905,$H$2:$H905=""OB"",$S$2:$S905=S210),""OB""),"""")"),"")</f>
        <v/>
      </c>
      <c r="V210" s="10" t="str">
        <f ca="1">IFERROR(__xludf.DUMMYFUNCTION("IF(OR(ISNA(SUM(FILTER($K$2:$K905,$A$2:$A905=A210,$S$2:$S905=S210,$H$2:$H905&lt;&gt;""OB""))),W210&lt;&gt;1),"""",SUM(FILTER($K$2:$K905,$A$2:$A905=A210,$S$2:$S905=S210,$H$2:$H905&lt;&gt;""OB"")))"),"")</f>
        <v/>
      </c>
      <c r="W210" s="10" t="str">
        <f t="shared" si="5"/>
        <v/>
      </c>
    </row>
    <row r="211" spans="1:23" ht="12.5">
      <c r="A211" s="23"/>
      <c r="B211" s="5" t="str">
        <f t="array" ref="B211">IF(W211=1,INDEX('Database Mitra'!$H$2:$H905,MATCH(A211,'Database Mitra'!AK$2:AK905,0)),"")</f>
        <v/>
      </c>
      <c r="C211" s="5" t="str">
        <f t="array" ref="C211">IF(W211=1,INDEX('Database Mitra'!$E$2:$E905,MATCH(A211,'Database Mitra'!AK$2:AK905,0)),"")</f>
        <v/>
      </c>
      <c r="D211" s="23"/>
      <c r="E211" s="5" t="str">
        <f t="array" ref="E211">IF(W211=1,INDEX('Input Kegiatan'!B$2:B905,MATCH($D211,'Input Kegiatan'!$A$2:$A905,0)),"")</f>
        <v/>
      </c>
      <c r="F211" s="5" t="str">
        <f t="array" ref="F211">IF(W211=1,INDEX('Input Kegiatan'!D$2:D905,MATCH($D211,'Input Kegiatan'!$A$2:$A905,0)),"")</f>
        <v/>
      </c>
      <c r="G211" s="5" t="str">
        <f t="array" ref="G211">IF(W211=1,INDEX('Input Kegiatan'!E$2:E905,MATCH($D211,'Input Kegiatan'!$A$2:$A905,0)),"")</f>
        <v/>
      </c>
      <c r="H211" s="5" t="str">
        <f t="array" ref="H211">IF(W211=1,INDEX(Honor!$H$2:$H905,MATCH($D211&amp;"-"&amp;R211,Honor!$K$2:$K905,0)),"")</f>
        <v/>
      </c>
      <c r="I211" s="8" t="str">
        <f>IF(W211=1,SUMIFS(Honor!$I$2:$I905,Honor!$K$2:$K905,$D211&amp;"-"&amp;R211),"")</f>
        <v/>
      </c>
      <c r="J211" s="9" t="str">
        <f t="shared" si="6"/>
        <v/>
      </c>
      <c r="K211" s="10" t="str">
        <f t="shared" si="0"/>
        <v/>
      </c>
      <c r="L211" s="10" t="str">
        <f t="shared" si="1"/>
        <v/>
      </c>
      <c r="M211" s="10" t="str">
        <f>IF(W211=1,IF(AND(U211&lt;2,INT(V211)&lt;='Batasan Honor'!$B$2),1,0),"")</f>
        <v/>
      </c>
      <c r="O211" s="10" t="str">
        <f t="shared" si="2"/>
        <v/>
      </c>
      <c r="P211" s="10" t="str">
        <f t="shared" si="3"/>
        <v/>
      </c>
      <c r="R211" s="23"/>
      <c r="S211" s="10" t="str">
        <f t="shared" si="4"/>
        <v/>
      </c>
      <c r="U211" s="10" t="str">
        <f ca="1">IFERROR(__xludf.DUMMYFUNCTION("if(W211=1,COUNTIFS(FILTER($H$2:$H905,$H$2:$H905=""OB"",$S$2:$S905=S211),""OB""),"""")"),"")</f>
        <v/>
      </c>
      <c r="V211" s="10" t="str">
        <f ca="1">IFERROR(__xludf.DUMMYFUNCTION("IF(OR(ISNA(SUM(FILTER($K$2:$K905,$A$2:$A905=A211,$S$2:$S905=S211,$H$2:$H905&lt;&gt;""OB""))),W211&lt;&gt;1),"""",SUM(FILTER($K$2:$K905,$A$2:$A905=A211,$S$2:$S905=S211,$H$2:$H905&lt;&gt;""OB"")))"),"")</f>
        <v/>
      </c>
      <c r="W211" s="10" t="str">
        <f t="shared" si="5"/>
        <v/>
      </c>
    </row>
    <row r="212" spans="1:23" ht="12.5">
      <c r="A212" s="23"/>
      <c r="B212" s="5" t="str">
        <f t="array" ref="B212">IF(W212=1,INDEX('Database Mitra'!$H$2:$H905,MATCH(A212,'Database Mitra'!AK$2:AK905,0)),"")</f>
        <v/>
      </c>
      <c r="C212" s="5" t="str">
        <f t="array" ref="C212">IF(W212=1,INDEX('Database Mitra'!$E$2:$E905,MATCH(A212,'Database Mitra'!AK$2:AK905,0)),"")</f>
        <v/>
      </c>
      <c r="D212" s="23"/>
      <c r="E212" s="5" t="str">
        <f t="array" ref="E212">IF(W212=1,INDEX('Input Kegiatan'!B$2:B905,MATCH($D212,'Input Kegiatan'!$A$2:$A905,0)),"")</f>
        <v/>
      </c>
      <c r="F212" s="5" t="str">
        <f t="array" ref="F212">IF(W212=1,INDEX('Input Kegiatan'!D$2:D905,MATCH($D212,'Input Kegiatan'!$A$2:$A905,0)),"")</f>
        <v/>
      </c>
      <c r="G212" s="5" t="str">
        <f t="array" ref="G212">IF(W212=1,INDEX('Input Kegiatan'!E$2:E905,MATCH($D212,'Input Kegiatan'!$A$2:$A905,0)),"")</f>
        <v/>
      </c>
      <c r="H212" s="5" t="str">
        <f t="array" ref="H212">IF(W212=1,INDEX(Honor!$H$2:$H905,MATCH($D212&amp;"-"&amp;R212,Honor!$K$2:$K905,0)),"")</f>
        <v/>
      </c>
      <c r="I212" s="8" t="str">
        <f>IF(W212=1,SUMIFS(Honor!$I$2:$I905,Honor!$K$2:$K905,$D212&amp;"-"&amp;R212),"")</f>
        <v/>
      </c>
      <c r="J212" s="9" t="str">
        <f t="shared" si="6"/>
        <v/>
      </c>
      <c r="K212" s="10" t="str">
        <f t="shared" si="0"/>
        <v/>
      </c>
      <c r="L212" s="10" t="str">
        <f t="shared" si="1"/>
        <v/>
      </c>
      <c r="M212" s="10" t="str">
        <f>IF(W212=1,IF(AND(U212&lt;2,INT(V212)&lt;='Batasan Honor'!$B$2),1,0),"")</f>
        <v/>
      </c>
      <c r="O212" s="10" t="str">
        <f t="shared" si="2"/>
        <v/>
      </c>
      <c r="P212" s="10" t="str">
        <f t="shared" si="3"/>
        <v/>
      </c>
      <c r="R212" s="23"/>
      <c r="S212" s="10" t="str">
        <f t="shared" si="4"/>
        <v/>
      </c>
      <c r="U212" s="10" t="str">
        <f ca="1">IFERROR(__xludf.DUMMYFUNCTION("if(W212=1,COUNTIFS(FILTER($H$2:$H905,$H$2:$H905=""OB"",$S$2:$S905=S212),""OB""),"""")"),"")</f>
        <v/>
      </c>
      <c r="V212" s="10" t="str">
        <f ca="1">IFERROR(__xludf.DUMMYFUNCTION("IF(OR(ISNA(SUM(FILTER($K$2:$K905,$A$2:$A905=A212,$S$2:$S905=S212,$H$2:$H905&lt;&gt;""OB""))),W212&lt;&gt;1),"""",SUM(FILTER($K$2:$K905,$A$2:$A905=A212,$S$2:$S905=S212,$H$2:$H905&lt;&gt;""OB"")))"),"")</f>
        <v/>
      </c>
      <c r="W212" s="10" t="str">
        <f t="shared" si="5"/>
        <v/>
      </c>
    </row>
    <row r="213" spans="1:23" ht="12.5">
      <c r="A213" s="23"/>
      <c r="B213" s="5" t="str">
        <f t="array" ref="B213">IF(W213=1,INDEX('Database Mitra'!$H$2:$H905,MATCH(A213,'Database Mitra'!AK$2:AK905,0)),"")</f>
        <v/>
      </c>
      <c r="C213" s="5" t="str">
        <f t="array" ref="C213">IF(W213=1,INDEX('Database Mitra'!$E$2:$E905,MATCH(A213,'Database Mitra'!AK$2:AK905,0)),"")</f>
        <v/>
      </c>
      <c r="D213" s="23"/>
      <c r="E213" s="5" t="str">
        <f t="array" ref="E213">IF(W213=1,INDEX('Input Kegiatan'!B$2:B905,MATCH($D213,'Input Kegiatan'!$A$2:$A905,0)),"")</f>
        <v/>
      </c>
      <c r="F213" s="5" t="str">
        <f t="array" ref="F213">IF(W213=1,INDEX('Input Kegiatan'!D$2:D905,MATCH($D213,'Input Kegiatan'!$A$2:$A905,0)),"")</f>
        <v/>
      </c>
      <c r="G213" s="5" t="str">
        <f t="array" ref="G213">IF(W213=1,INDEX('Input Kegiatan'!E$2:E905,MATCH($D213,'Input Kegiatan'!$A$2:$A905,0)),"")</f>
        <v/>
      </c>
      <c r="H213" s="5" t="str">
        <f t="array" ref="H213">IF(W213=1,INDEX(Honor!$H$2:$H905,MATCH($D213&amp;"-"&amp;R213,Honor!$K$2:$K905,0)),"")</f>
        <v/>
      </c>
      <c r="I213" s="8" t="str">
        <f>IF(W213=1,SUMIFS(Honor!$I$2:$I905,Honor!$K$2:$K905,$D213&amp;"-"&amp;R213),"")</f>
        <v/>
      </c>
      <c r="J213" s="9" t="str">
        <f t="shared" si="6"/>
        <v/>
      </c>
      <c r="K213" s="10" t="str">
        <f t="shared" si="0"/>
        <v/>
      </c>
      <c r="L213" s="10" t="str">
        <f t="shared" si="1"/>
        <v/>
      </c>
      <c r="M213" s="10" t="str">
        <f>IF(W213=1,IF(AND(U213&lt;2,INT(V213)&lt;='Batasan Honor'!$B$2),1,0),"")</f>
        <v/>
      </c>
      <c r="O213" s="10" t="str">
        <f t="shared" si="2"/>
        <v/>
      </c>
      <c r="P213" s="10" t="str">
        <f t="shared" si="3"/>
        <v/>
      </c>
      <c r="R213" s="23"/>
      <c r="S213" s="10" t="str">
        <f t="shared" si="4"/>
        <v/>
      </c>
      <c r="U213" s="10" t="str">
        <f ca="1">IFERROR(__xludf.DUMMYFUNCTION("if(W213=1,COUNTIFS(FILTER($H$2:$H905,$H$2:$H905=""OB"",$S$2:$S905=S213),""OB""),"""")"),"")</f>
        <v/>
      </c>
      <c r="V213" s="10" t="str">
        <f ca="1">IFERROR(__xludf.DUMMYFUNCTION("IF(OR(ISNA(SUM(FILTER($K$2:$K905,$A$2:$A905=A213,$S$2:$S905=S213,$H$2:$H905&lt;&gt;""OB""))),W213&lt;&gt;1),"""",SUM(FILTER($K$2:$K905,$A$2:$A905=A213,$S$2:$S905=S213,$H$2:$H905&lt;&gt;""OB"")))"),"")</f>
        <v/>
      </c>
      <c r="W213" s="10" t="str">
        <f t="shared" si="5"/>
        <v/>
      </c>
    </row>
    <row r="214" spans="1:23" ht="12.5">
      <c r="A214" s="23"/>
      <c r="B214" s="5" t="str">
        <f t="array" ref="B214">IF(W214=1,INDEX('Database Mitra'!$H$2:$H905,MATCH(A214,'Database Mitra'!AK$2:AK905,0)),"")</f>
        <v/>
      </c>
      <c r="C214" s="5" t="str">
        <f t="array" ref="C214">IF(W214=1,INDEX('Database Mitra'!$E$2:$E905,MATCH(A214,'Database Mitra'!AK$2:AK905,0)),"")</f>
        <v/>
      </c>
      <c r="D214" s="23"/>
      <c r="E214" s="5" t="str">
        <f t="array" ref="E214">IF(W214=1,INDEX('Input Kegiatan'!B$2:B905,MATCH($D214,'Input Kegiatan'!$A$2:$A905,0)),"")</f>
        <v/>
      </c>
      <c r="F214" s="5" t="str">
        <f t="array" ref="F214">IF(W214=1,INDEX('Input Kegiatan'!D$2:D905,MATCH($D214,'Input Kegiatan'!$A$2:$A905,0)),"")</f>
        <v/>
      </c>
      <c r="G214" s="5" t="str">
        <f t="array" ref="G214">IF(W214=1,INDEX('Input Kegiatan'!E$2:E905,MATCH($D214,'Input Kegiatan'!$A$2:$A905,0)),"")</f>
        <v/>
      </c>
      <c r="H214" s="5" t="str">
        <f t="array" ref="H214">IF(W214=1,INDEX(Honor!$H$2:$H905,MATCH($D214&amp;"-"&amp;R214,Honor!$K$2:$K905,0)),"")</f>
        <v/>
      </c>
      <c r="I214" s="8" t="str">
        <f>IF(W214=1,SUMIFS(Honor!$I$2:$I905,Honor!$K$2:$K905,$D214&amp;"-"&amp;R214),"")</f>
        <v/>
      </c>
      <c r="J214" s="9" t="str">
        <f t="shared" si="6"/>
        <v/>
      </c>
      <c r="K214" s="10" t="str">
        <f t="shared" si="0"/>
        <v/>
      </c>
      <c r="L214" s="10" t="str">
        <f t="shared" si="1"/>
        <v/>
      </c>
      <c r="M214" s="10" t="str">
        <f>IF(W214=1,IF(AND(U214&lt;2,INT(V214)&lt;='Batasan Honor'!$B$2),1,0),"")</f>
        <v/>
      </c>
      <c r="O214" s="10" t="str">
        <f t="shared" si="2"/>
        <v/>
      </c>
      <c r="P214" s="10" t="str">
        <f t="shared" si="3"/>
        <v/>
      </c>
      <c r="R214" s="23"/>
      <c r="S214" s="10" t="str">
        <f t="shared" si="4"/>
        <v/>
      </c>
      <c r="U214" s="10" t="str">
        <f ca="1">IFERROR(__xludf.DUMMYFUNCTION("if(W214=1,COUNTIFS(FILTER($H$2:$H905,$H$2:$H905=""OB"",$S$2:$S905=S214),""OB""),"""")"),"")</f>
        <v/>
      </c>
      <c r="V214" s="10" t="str">
        <f ca="1">IFERROR(__xludf.DUMMYFUNCTION("IF(OR(ISNA(SUM(FILTER($K$2:$K905,$A$2:$A905=A214,$S$2:$S905=S214,$H$2:$H905&lt;&gt;""OB""))),W214&lt;&gt;1),"""",SUM(FILTER($K$2:$K905,$A$2:$A905=A214,$S$2:$S905=S214,$H$2:$H905&lt;&gt;""OB"")))"),"")</f>
        <v/>
      </c>
      <c r="W214" s="10" t="str">
        <f t="shared" si="5"/>
        <v/>
      </c>
    </row>
    <row r="215" spans="1:23" ht="12.5">
      <c r="A215" s="23"/>
      <c r="B215" s="5" t="str">
        <f t="array" ref="B215">IF(W215=1,INDEX('Database Mitra'!$H$2:$H905,MATCH(A215,'Database Mitra'!AK$2:AK905,0)),"")</f>
        <v/>
      </c>
      <c r="C215" s="5" t="str">
        <f t="array" ref="C215">IF(W215=1,INDEX('Database Mitra'!$E$2:$E905,MATCH(A215,'Database Mitra'!AK$2:AK905,0)),"")</f>
        <v/>
      </c>
      <c r="D215" s="23"/>
      <c r="E215" s="5" t="str">
        <f t="array" ref="E215">IF(W215=1,INDEX('Input Kegiatan'!B$2:B905,MATCH($D215,'Input Kegiatan'!$A$2:$A905,0)),"")</f>
        <v/>
      </c>
      <c r="F215" s="5" t="str">
        <f t="array" ref="F215">IF(W215=1,INDEX('Input Kegiatan'!D$2:D905,MATCH($D215,'Input Kegiatan'!$A$2:$A905,0)),"")</f>
        <v/>
      </c>
      <c r="G215" s="5" t="str">
        <f t="array" ref="G215">IF(W215=1,INDEX('Input Kegiatan'!E$2:E905,MATCH($D215,'Input Kegiatan'!$A$2:$A905,0)),"")</f>
        <v/>
      </c>
      <c r="H215" s="5" t="str">
        <f t="array" ref="H215">IF(W215=1,INDEX(Honor!$H$2:$H905,MATCH($D215&amp;"-"&amp;R215,Honor!$K$2:$K905,0)),"")</f>
        <v/>
      </c>
      <c r="I215" s="8" t="str">
        <f>IF(W215=1,SUMIFS(Honor!$I$2:$I905,Honor!$K$2:$K905,$D215&amp;"-"&amp;R215),"")</f>
        <v/>
      </c>
      <c r="J215" s="9" t="str">
        <f t="shared" si="6"/>
        <v/>
      </c>
      <c r="K215" s="10" t="str">
        <f t="shared" si="0"/>
        <v/>
      </c>
      <c r="L215" s="10" t="str">
        <f t="shared" si="1"/>
        <v/>
      </c>
      <c r="M215" s="10" t="str">
        <f>IF(W215=1,IF(AND(U215&lt;2,INT(V215)&lt;='Batasan Honor'!$B$2),1,0),"")</f>
        <v/>
      </c>
      <c r="O215" s="10" t="str">
        <f t="shared" si="2"/>
        <v/>
      </c>
      <c r="P215" s="10" t="str">
        <f t="shared" si="3"/>
        <v/>
      </c>
      <c r="R215" s="23"/>
      <c r="S215" s="10" t="str">
        <f t="shared" si="4"/>
        <v/>
      </c>
      <c r="U215" s="10" t="str">
        <f ca="1">IFERROR(__xludf.DUMMYFUNCTION("if(W215=1,COUNTIFS(FILTER($H$2:$H905,$H$2:$H905=""OB"",$S$2:$S905=S215),""OB""),"""")"),"")</f>
        <v/>
      </c>
      <c r="V215" s="10" t="str">
        <f ca="1">IFERROR(__xludf.DUMMYFUNCTION("IF(OR(ISNA(SUM(FILTER($K$2:$K905,$A$2:$A905=A215,$S$2:$S905=S215,$H$2:$H905&lt;&gt;""OB""))),W215&lt;&gt;1),"""",SUM(FILTER($K$2:$K905,$A$2:$A905=A215,$S$2:$S905=S215,$H$2:$H905&lt;&gt;""OB"")))"),"")</f>
        <v/>
      </c>
      <c r="W215" s="10" t="str">
        <f t="shared" si="5"/>
        <v/>
      </c>
    </row>
    <row r="216" spans="1:23" ht="12.5">
      <c r="A216" s="23"/>
      <c r="B216" s="5" t="str">
        <f t="array" ref="B216">IF(W216=1,INDEX('Database Mitra'!$H$2:$H905,MATCH(A216,'Database Mitra'!AK$2:AK905,0)),"")</f>
        <v/>
      </c>
      <c r="C216" s="5" t="str">
        <f t="array" ref="C216">IF(W216=1,INDEX('Database Mitra'!$E$2:$E905,MATCH(A216,'Database Mitra'!AK$2:AK905,0)),"")</f>
        <v/>
      </c>
      <c r="D216" s="23"/>
      <c r="E216" s="5" t="str">
        <f t="array" ref="E216">IF(W216=1,INDEX('Input Kegiatan'!B$2:B905,MATCH($D216,'Input Kegiatan'!$A$2:$A905,0)),"")</f>
        <v/>
      </c>
      <c r="F216" s="5" t="str">
        <f t="array" ref="F216">IF(W216=1,INDEX('Input Kegiatan'!D$2:D905,MATCH($D216,'Input Kegiatan'!$A$2:$A905,0)),"")</f>
        <v/>
      </c>
      <c r="G216" s="5" t="str">
        <f t="array" ref="G216">IF(W216=1,INDEX('Input Kegiatan'!E$2:E905,MATCH($D216,'Input Kegiatan'!$A$2:$A905,0)),"")</f>
        <v/>
      </c>
      <c r="H216" s="5" t="str">
        <f t="array" ref="H216">IF(W216=1,INDEX(Honor!$H$2:$H905,MATCH($D216&amp;"-"&amp;R216,Honor!$K$2:$K905,0)),"")</f>
        <v/>
      </c>
      <c r="I216" s="8" t="str">
        <f>IF(W216=1,SUMIFS(Honor!$I$2:$I905,Honor!$K$2:$K905,$D216&amp;"-"&amp;R216),"")</f>
        <v/>
      </c>
      <c r="J216" s="9" t="str">
        <f t="shared" si="6"/>
        <v/>
      </c>
      <c r="K216" s="10" t="str">
        <f t="shared" si="0"/>
        <v/>
      </c>
      <c r="L216" s="10" t="str">
        <f t="shared" si="1"/>
        <v/>
      </c>
      <c r="M216" s="10" t="str">
        <f>IF(W216=1,IF(AND(U216&lt;2,INT(V216)&lt;='Batasan Honor'!$B$2),1,0),"")</f>
        <v/>
      </c>
      <c r="O216" s="10" t="str">
        <f t="shared" si="2"/>
        <v/>
      </c>
      <c r="P216" s="10" t="str">
        <f t="shared" si="3"/>
        <v/>
      </c>
      <c r="R216" s="23"/>
      <c r="S216" s="10" t="str">
        <f t="shared" si="4"/>
        <v/>
      </c>
      <c r="U216" s="10" t="str">
        <f ca="1">IFERROR(__xludf.DUMMYFUNCTION("if(W216=1,COUNTIFS(FILTER($H$2:$H905,$H$2:$H905=""OB"",$S$2:$S905=S216),""OB""),"""")"),"")</f>
        <v/>
      </c>
      <c r="V216" s="10" t="str">
        <f ca="1">IFERROR(__xludf.DUMMYFUNCTION("IF(OR(ISNA(SUM(FILTER($K$2:$K905,$A$2:$A905=A216,$S$2:$S905=S216,$H$2:$H905&lt;&gt;""OB""))),W216&lt;&gt;1),"""",SUM(FILTER($K$2:$K905,$A$2:$A905=A216,$S$2:$S905=S216,$H$2:$H905&lt;&gt;""OB"")))"),"")</f>
        <v/>
      </c>
      <c r="W216" s="10" t="str">
        <f t="shared" si="5"/>
        <v/>
      </c>
    </row>
    <row r="217" spans="1:23" ht="12.5">
      <c r="A217" s="23"/>
      <c r="B217" s="5" t="str">
        <f t="array" ref="B217">IF(W217=1,INDEX('Database Mitra'!$H$2:$H905,MATCH(A217,'Database Mitra'!AK$2:AK905,0)),"")</f>
        <v/>
      </c>
      <c r="C217" s="5" t="str">
        <f t="array" ref="C217">IF(W217=1,INDEX('Database Mitra'!$E$2:$E905,MATCH(A217,'Database Mitra'!AK$2:AK905,0)),"")</f>
        <v/>
      </c>
      <c r="D217" s="23"/>
      <c r="E217" s="5" t="str">
        <f t="array" ref="E217">IF(W217=1,INDEX('Input Kegiatan'!B$2:B905,MATCH($D217,'Input Kegiatan'!$A$2:$A905,0)),"")</f>
        <v/>
      </c>
      <c r="F217" s="5" t="str">
        <f t="array" ref="F217">IF(W217=1,INDEX('Input Kegiatan'!D$2:D905,MATCH($D217,'Input Kegiatan'!$A$2:$A905,0)),"")</f>
        <v/>
      </c>
      <c r="G217" s="5" t="str">
        <f t="array" ref="G217">IF(W217=1,INDEX('Input Kegiatan'!E$2:E905,MATCH($D217,'Input Kegiatan'!$A$2:$A905,0)),"")</f>
        <v/>
      </c>
      <c r="H217" s="5" t="str">
        <f t="array" ref="H217">IF(W217=1,INDEX(Honor!$H$2:$H905,MATCH($D217&amp;"-"&amp;R217,Honor!$K$2:$K905,0)),"")</f>
        <v/>
      </c>
      <c r="I217" s="8" t="str">
        <f>IF(W217=1,SUMIFS(Honor!$I$2:$I905,Honor!$K$2:$K905,$D217&amp;"-"&amp;R217),"")</f>
        <v/>
      </c>
      <c r="J217" s="9" t="str">
        <f t="shared" si="6"/>
        <v/>
      </c>
      <c r="K217" s="10" t="str">
        <f t="shared" si="0"/>
        <v/>
      </c>
      <c r="L217" s="10" t="str">
        <f t="shared" si="1"/>
        <v/>
      </c>
      <c r="M217" s="10" t="str">
        <f>IF(W217=1,IF(AND(U217&lt;2,INT(V217)&lt;='Batasan Honor'!$B$2),1,0),"")</f>
        <v/>
      </c>
      <c r="O217" s="10" t="str">
        <f t="shared" si="2"/>
        <v/>
      </c>
      <c r="P217" s="10" t="str">
        <f t="shared" si="3"/>
        <v/>
      </c>
      <c r="R217" s="23"/>
      <c r="S217" s="10" t="str">
        <f t="shared" si="4"/>
        <v/>
      </c>
      <c r="U217" s="10" t="str">
        <f ca="1">IFERROR(__xludf.DUMMYFUNCTION("if(W217=1,COUNTIFS(FILTER($H$2:$H905,$H$2:$H905=""OB"",$S$2:$S905=S217),""OB""),"""")"),"")</f>
        <v/>
      </c>
      <c r="V217" s="10" t="str">
        <f ca="1">IFERROR(__xludf.DUMMYFUNCTION("IF(OR(ISNA(SUM(FILTER($K$2:$K905,$A$2:$A905=A217,$S$2:$S905=S217,$H$2:$H905&lt;&gt;""OB""))),W217&lt;&gt;1),"""",SUM(FILTER($K$2:$K905,$A$2:$A905=A217,$S$2:$S905=S217,$H$2:$H905&lt;&gt;""OB"")))"),"")</f>
        <v/>
      </c>
      <c r="W217" s="10" t="str">
        <f t="shared" si="5"/>
        <v/>
      </c>
    </row>
    <row r="218" spans="1:23" ht="12.5">
      <c r="A218" s="23"/>
      <c r="B218" s="5" t="str">
        <f t="array" ref="B218">IF(W218=1,INDEX('Database Mitra'!$H$2:$H905,MATCH(A218,'Database Mitra'!AK$2:AK905,0)),"")</f>
        <v/>
      </c>
      <c r="C218" s="5" t="str">
        <f t="array" ref="C218">IF(W218=1,INDEX('Database Mitra'!$E$2:$E905,MATCH(A218,'Database Mitra'!AK$2:AK905,0)),"")</f>
        <v/>
      </c>
      <c r="D218" s="23"/>
      <c r="E218" s="5" t="str">
        <f t="array" ref="E218">IF(W218=1,INDEX('Input Kegiatan'!B$2:B905,MATCH($D218,'Input Kegiatan'!$A$2:$A905,0)),"")</f>
        <v/>
      </c>
      <c r="F218" s="5" t="str">
        <f t="array" ref="F218">IF(W218=1,INDEX('Input Kegiatan'!D$2:D905,MATCH($D218,'Input Kegiatan'!$A$2:$A905,0)),"")</f>
        <v/>
      </c>
      <c r="G218" s="5" t="str">
        <f t="array" ref="G218">IF(W218=1,INDEX('Input Kegiatan'!E$2:E905,MATCH($D218,'Input Kegiatan'!$A$2:$A905,0)),"")</f>
        <v/>
      </c>
      <c r="H218" s="5" t="str">
        <f t="array" ref="H218">IF(W218=1,INDEX(Honor!$H$2:$H905,MATCH($D218&amp;"-"&amp;R218,Honor!$K$2:$K905,0)),"")</f>
        <v/>
      </c>
      <c r="I218" s="8" t="str">
        <f>IF(W218=1,SUMIFS(Honor!$I$2:$I905,Honor!$K$2:$K905,$D218&amp;"-"&amp;R218),"")</f>
        <v/>
      </c>
      <c r="J218" s="9" t="str">
        <f t="shared" si="6"/>
        <v/>
      </c>
      <c r="K218" s="10" t="str">
        <f t="shared" si="0"/>
        <v/>
      </c>
      <c r="L218" s="10" t="str">
        <f t="shared" si="1"/>
        <v/>
      </c>
      <c r="M218" s="10" t="str">
        <f>IF(W218=1,IF(AND(U218&lt;2,INT(V218)&lt;='Batasan Honor'!$B$2),1,0),"")</f>
        <v/>
      </c>
      <c r="O218" s="10" t="str">
        <f t="shared" si="2"/>
        <v/>
      </c>
      <c r="P218" s="10" t="str">
        <f t="shared" si="3"/>
        <v/>
      </c>
      <c r="R218" s="23"/>
      <c r="S218" s="10" t="str">
        <f t="shared" si="4"/>
        <v/>
      </c>
      <c r="U218" s="10" t="str">
        <f ca="1">IFERROR(__xludf.DUMMYFUNCTION("if(W218=1,COUNTIFS(FILTER($H$2:$H905,$H$2:$H905=""OB"",$S$2:$S905=S218),""OB""),"""")"),"")</f>
        <v/>
      </c>
      <c r="V218" s="10" t="str">
        <f ca="1">IFERROR(__xludf.DUMMYFUNCTION("IF(OR(ISNA(SUM(FILTER($K$2:$K905,$A$2:$A905=A218,$S$2:$S905=S218,$H$2:$H905&lt;&gt;""OB""))),W218&lt;&gt;1),"""",SUM(FILTER($K$2:$K905,$A$2:$A905=A218,$S$2:$S905=S218,$H$2:$H905&lt;&gt;""OB"")))"),"")</f>
        <v/>
      </c>
      <c r="W218" s="10" t="str">
        <f t="shared" si="5"/>
        <v/>
      </c>
    </row>
    <row r="219" spans="1:23" ht="12.5">
      <c r="A219" s="23"/>
      <c r="B219" s="5" t="str">
        <f t="array" ref="B219">IF(W219=1,INDEX('Database Mitra'!$H$2:$H905,MATCH(A219,'Database Mitra'!AK$2:AK905,0)),"")</f>
        <v/>
      </c>
      <c r="C219" s="5" t="str">
        <f t="array" ref="C219">IF(W219=1,INDEX('Database Mitra'!$E$2:$E905,MATCH(A219,'Database Mitra'!AK$2:AK905,0)),"")</f>
        <v/>
      </c>
      <c r="D219" s="23"/>
      <c r="E219" s="5" t="str">
        <f t="array" ref="E219">IF(W219=1,INDEX('Input Kegiatan'!B$2:B905,MATCH($D219,'Input Kegiatan'!$A$2:$A905,0)),"")</f>
        <v/>
      </c>
      <c r="F219" s="5" t="str">
        <f t="array" ref="F219">IF(W219=1,INDEX('Input Kegiatan'!D$2:D905,MATCH($D219,'Input Kegiatan'!$A$2:$A905,0)),"")</f>
        <v/>
      </c>
      <c r="G219" s="5" t="str">
        <f t="array" ref="G219">IF(W219=1,INDEX('Input Kegiatan'!E$2:E905,MATCH($D219,'Input Kegiatan'!$A$2:$A905,0)),"")</f>
        <v/>
      </c>
      <c r="H219" s="5" t="str">
        <f t="array" ref="H219">IF(W219=1,INDEX(Honor!$H$2:$H905,MATCH($D219&amp;"-"&amp;R219,Honor!$K$2:$K905,0)),"")</f>
        <v/>
      </c>
      <c r="I219" s="8" t="str">
        <f>IF(W219=1,SUMIFS(Honor!$I$2:$I905,Honor!$K$2:$K905,$D219&amp;"-"&amp;R219),"")</f>
        <v/>
      </c>
      <c r="J219" s="9" t="str">
        <f t="shared" si="6"/>
        <v/>
      </c>
      <c r="K219" s="10" t="str">
        <f t="shared" si="0"/>
        <v/>
      </c>
      <c r="L219" s="10" t="str">
        <f t="shared" si="1"/>
        <v/>
      </c>
      <c r="M219" s="10" t="str">
        <f>IF(W219=1,IF(AND(U219&lt;2,INT(V219)&lt;='Batasan Honor'!$B$2),1,0),"")</f>
        <v/>
      </c>
      <c r="O219" s="10" t="str">
        <f t="shared" si="2"/>
        <v/>
      </c>
      <c r="P219" s="10" t="str">
        <f t="shared" si="3"/>
        <v/>
      </c>
      <c r="R219" s="23"/>
      <c r="S219" s="10" t="str">
        <f t="shared" si="4"/>
        <v/>
      </c>
      <c r="U219" s="10" t="str">
        <f ca="1">IFERROR(__xludf.DUMMYFUNCTION("if(W219=1,COUNTIFS(FILTER($H$2:$H905,$H$2:$H905=""OB"",$S$2:$S905=S219),""OB""),"""")"),"")</f>
        <v/>
      </c>
      <c r="V219" s="10" t="str">
        <f ca="1">IFERROR(__xludf.DUMMYFUNCTION("IF(OR(ISNA(SUM(FILTER($K$2:$K905,$A$2:$A905=A219,$S$2:$S905=S219,$H$2:$H905&lt;&gt;""OB""))),W219&lt;&gt;1),"""",SUM(FILTER($K$2:$K905,$A$2:$A905=A219,$S$2:$S905=S219,$H$2:$H905&lt;&gt;""OB"")))"),"")</f>
        <v/>
      </c>
      <c r="W219" s="10" t="str">
        <f t="shared" si="5"/>
        <v/>
      </c>
    </row>
    <row r="220" spans="1:23" ht="12.5">
      <c r="A220" s="23"/>
      <c r="B220" s="5" t="str">
        <f t="array" ref="B220">IF(W220=1,INDEX('Database Mitra'!$H$2:$H905,MATCH(A220,'Database Mitra'!AK$2:AK905,0)),"")</f>
        <v/>
      </c>
      <c r="C220" s="5" t="str">
        <f t="array" ref="C220">IF(W220=1,INDEX('Database Mitra'!$E$2:$E905,MATCH(A220,'Database Mitra'!AK$2:AK905,0)),"")</f>
        <v/>
      </c>
      <c r="D220" s="23"/>
      <c r="E220" s="5" t="str">
        <f t="array" ref="E220">IF(W220=1,INDEX('Input Kegiatan'!B$2:B905,MATCH($D220,'Input Kegiatan'!$A$2:$A905,0)),"")</f>
        <v/>
      </c>
      <c r="F220" s="5" t="str">
        <f t="array" ref="F220">IF(W220=1,INDEX('Input Kegiatan'!D$2:D905,MATCH($D220,'Input Kegiatan'!$A$2:$A905,0)),"")</f>
        <v/>
      </c>
      <c r="G220" s="5" t="str">
        <f t="array" ref="G220">IF(W220=1,INDEX('Input Kegiatan'!E$2:E905,MATCH($D220,'Input Kegiatan'!$A$2:$A905,0)),"")</f>
        <v/>
      </c>
      <c r="H220" s="5" t="str">
        <f t="array" ref="H220">IF(W220=1,INDEX(Honor!$H$2:$H905,MATCH($D220&amp;"-"&amp;R220,Honor!$K$2:$K905,0)),"")</f>
        <v/>
      </c>
      <c r="I220" s="8" t="str">
        <f>IF(W220=1,SUMIFS(Honor!$I$2:$I905,Honor!$K$2:$K905,$D220&amp;"-"&amp;R220),"")</f>
        <v/>
      </c>
      <c r="J220" s="9" t="str">
        <f t="shared" si="6"/>
        <v/>
      </c>
      <c r="K220" s="10" t="str">
        <f t="shared" si="0"/>
        <v/>
      </c>
      <c r="L220" s="10" t="str">
        <f t="shared" si="1"/>
        <v/>
      </c>
      <c r="M220" s="10" t="str">
        <f>IF(W220=1,IF(AND(U220&lt;2,INT(V220)&lt;='Batasan Honor'!$B$2),1,0),"")</f>
        <v/>
      </c>
      <c r="O220" s="10" t="str">
        <f t="shared" si="2"/>
        <v/>
      </c>
      <c r="P220" s="10" t="str">
        <f t="shared" si="3"/>
        <v/>
      </c>
      <c r="R220" s="23"/>
      <c r="S220" s="10" t="str">
        <f t="shared" si="4"/>
        <v/>
      </c>
      <c r="U220" s="10" t="str">
        <f ca="1">IFERROR(__xludf.DUMMYFUNCTION("if(W220=1,COUNTIFS(FILTER($H$2:$H905,$H$2:$H905=""OB"",$S$2:$S905=S220),""OB""),"""")"),"")</f>
        <v/>
      </c>
      <c r="V220" s="10" t="str">
        <f ca="1">IFERROR(__xludf.DUMMYFUNCTION("IF(OR(ISNA(SUM(FILTER($K$2:$K905,$A$2:$A905=A220,$S$2:$S905=S220,$H$2:$H905&lt;&gt;""OB""))),W220&lt;&gt;1),"""",SUM(FILTER($K$2:$K905,$A$2:$A905=A220,$S$2:$S905=S220,$H$2:$H905&lt;&gt;""OB"")))"),"")</f>
        <v/>
      </c>
      <c r="W220" s="10" t="str">
        <f t="shared" si="5"/>
        <v/>
      </c>
    </row>
    <row r="221" spans="1:23" ht="12.5">
      <c r="A221" s="23"/>
      <c r="B221" s="5" t="str">
        <f t="array" ref="B221">IF(W221=1,INDEX('Database Mitra'!$H$2:$H905,MATCH(A221,'Database Mitra'!AK$2:AK905,0)),"")</f>
        <v/>
      </c>
      <c r="C221" s="5" t="str">
        <f t="array" ref="C221">IF(W221=1,INDEX('Database Mitra'!$E$2:$E905,MATCH(A221,'Database Mitra'!AK$2:AK905,0)),"")</f>
        <v/>
      </c>
      <c r="D221" s="23"/>
      <c r="E221" s="5" t="str">
        <f t="array" ref="E221">IF(W221=1,INDEX('Input Kegiatan'!B$2:B905,MATCH($D221,'Input Kegiatan'!$A$2:$A905,0)),"")</f>
        <v/>
      </c>
      <c r="F221" s="5" t="str">
        <f t="array" ref="F221">IF(W221=1,INDEX('Input Kegiatan'!D$2:D905,MATCH($D221,'Input Kegiatan'!$A$2:$A905,0)),"")</f>
        <v/>
      </c>
      <c r="G221" s="5" t="str">
        <f t="array" ref="G221">IF(W221=1,INDEX('Input Kegiatan'!E$2:E905,MATCH($D221,'Input Kegiatan'!$A$2:$A905,0)),"")</f>
        <v/>
      </c>
      <c r="H221" s="5" t="str">
        <f t="array" ref="H221">IF(W221=1,INDEX(Honor!$H$2:$H905,MATCH($D221&amp;"-"&amp;R221,Honor!$K$2:$K905,0)),"")</f>
        <v/>
      </c>
      <c r="I221" s="8" t="str">
        <f>IF(W221=1,SUMIFS(Honor!$I$2:$I905,Honor!$K$2:$K905,$D221&amp;"-"&amp;R221),"")</f>
        <v/>
      </c>
      <c r="J221" s="9" t="str">
        <f t="shared" si="6"/>
        <v/>
      </c>
      <c r="K221" s="10" t="str">
        <f t="shared" si="0"/>
        <v/>
      </c>
      <c r="L221" s="10" t="str">
        <f t="shared" si="1"/>
        <v/>
      </c>
      <c r="M221" s="10" t="str">
        <f>IF(W221=1,IF(AND(U221&lt;2,INT(V221)&lt;='Batasan Honor'!$B$2),1,0),"")</f>
        <v/>
      </c>
      <c r="O221" s="10" t="str">
        <f t="shared" si="2"/>
        <v/>
      </c>
      <c r="P221" s="10" t="str">
        <f t="shared" si="3"/>
        <v/>
      </c>
      <c r="R221" s="23"/>
      <c r="S221" s="10" t="str">
        <f t="shared" si="4"/>
        <v/>
      </c>
      <c r="U221" s="10" t="str">
        <f ca="1">IFERROR(__xludf.DUMMYFUNCTION("if(W221=1,COUNTIFS(FILTER($H$2:$H905,$H$2:$H905=""OB"",$S$2:$S905=S221),""OB""),"""")"),"")</f>
        <v/>
      </c>
      <c r="V221" s="10" t="str">
        <f ca="1">IFERROR(__xludf.DUMMYFUNCTION("IF(OR(ISNA(SUM(FILTER($K$2:$K905,$A$2:$A905=A221,$S$2:$S905=S221,$H$2:$H905&lt;&gt;""OB""))),W221&lt;&gt;1),"""",SUM(FILTER($K$2:$K905,$A$2:$A905=A221,$S$2:$S905=S221,$H$2:$H905&lt;&gt;""OB"")))"),"")</f>
        <v/>
      </c>
      <c r="W221" s="10" t="str">
        <f t="shared" si="5"/>
        <v/>
      </c>
    </row>
    <row r="222" spans="1:23" ht="12.5">
      <c r="A222" s="23"/>
      <c r="B222" s="5" t="str">
        <f t="array" ref="B222">IF(W222=1,INDEX('Database Mitra'!$H$2:$H905,MATCH(A222,'Database Mitra'!AK$2:AK905,0)),"")</f>
        <v/>
      </c>
      <c r="C222" s="5" t="str">
        <f t="array" ref="C222">IF(W222=1,INDEX('Database Mitra'!$E$2:$E905,MATCH(A222,'Database Mitra'!AK$2:AK905,0)),"")</f>
        <v/>
      </c>
      <c r="D222" s="23"/>
      <c r="E222" s="5" t="str">
        <f t="array" ref="E222">IF(W222=1,INDEX('Input Kegiatan'!B$2:B905,MATCH($D222,'Input Kegiatan'!$A$2:$A905,0)),"")</f>
        <v/>
      </c>
      <c r="F222" s="5" t="str">
        <f t="array" ref="F222">IF(W222=1,INDEX('Input Kegiatan'!D$2:D905,MATCH($D222,'Input Kegiatan'!$A$2:$A905,0)),"")</f>
        <v/>
      </c>
      <c r="G222" s="5" t="str">
        <f t="array" ref="G222">IF(W222=1,INDEX('Input Kegiatan'!E$2:E905,MATCH($D222,'Input Kegiatan'!$A$2:$A905,0)),"")</f>
        <v/>
      </c>
      <c r="H222" s="5" t="str">
        <f t="array" ref="H222">IF(W222=1,INDEX(Honor!$H$2:$H905,MATCH($D222&amp;"-"&amp;R222,Honor!$K$2:$K905,0)),"")</f>
        <v/>
      </c>
      <c r="I222" s="8" t="str">
        <f>IF(W222=1,SUMIFS(Honor!$I$2:$I905,Honor!$K$2:$K905,$D222&amp;"-"&amp;R222),"")</f>
        <v/>
      </c>
      <c r="J222" s="9" t="str">
        <f t="shared" si="6"/>
        <v/>
      </c>
      <c r="K222" s="10" t="str">
        <f t="shared" si="0"/>
        <v/>
      </c>
      <c r="L222" s="10" t="str">
        <f t="shared" si="1"/>
        <v/>
      </c>
      <c r="M222" s="10" t="str">
        <f>IF(W222=1,IF(AND(U222&lt;2,INT(V222)&lt;='Batasan Honor'!$B$2),1,0),"")</f>
        <v/>
      </c>
      <c r="O222" s="10" t="str">
        <f t="shared" si="2"/>
        <v/>
      </c>
      <c r="P222" s="10" t="str">
        <f t="shared" si="3"/>
        <v/>
      </c>
      <c r="R222" s="23"/>
      <c r="S222" s="10" t="str">
        <f t="shared" si="4"/>
        <v/>
      </c>
      <c r="U222" s="10" t="str">
        <f ca="1">IFERROR(__xludf.DUMMYFUNCTION("if(W222=1,COUNTIFS(FILTER($H$2:$H905,$H$2:$H905=""OB"",$S$2:$S905=S222),""OB""),"""")"),"")</f>
        <v/>
      </c>
      <c r="V222" s="10" t="str">
        <f ca="1">IFERROR(__xludf.DUMMYFUNCTION("IF(OR(ISNA(SUM(FILTER($K$2:$K905,$A$2:$A905=A222,$S$2:$S905=S222,$H$2:$H905&lt;&gt;""OB""))),W222&lt;&gt;1),"""",SUM(FILTER($K$2:$K905,$A$2:$A905=A222,$S$2:$S905=S222,$H$2:$H905&lt;&gt;""OB"")))"),"")</f>
        <v/>
      </c>
      <c r="W222" s="10" t="str">
        <f t="shared" si="5"/>
        <v/>
      </c>
    </row>
    <row r="223" spans="1:23" ht="12.5">
      <c r="A223" s="23"/>
      <c r="B223" s="5" t="str">
        <f t="array" ref="B223">IF(W223=1,INDEX('Database Mitra'!$H$2:$H905,MATCH(A223,'Database Mitra'!AK$2:AK905,0)),"")</f>
        <v/>
      </c>
      <c r="C223" s="5" t="str">
        <f t="array" ref="C223">IF(W223=1,INDEX('Database Mitra'!$E$2:$E905,MATCH(A223,'Database Mitra'!AK$2:AK905,0)),"")</f>
        <v/>
      </c>
      <c r="D223" s="23"/>
      <c r="E223" s="5" t="str">
        <f t="array" ref="E223">IF(W223=1,INDEX('Input Kegiatan'!B$2:B905,MATCH($D223,'Input Kegiatan'!$A$2:$A905,0)),"")</f>
        <v/>
      </c>
      <c r="F223" s="5" t="str">
        <f t="array" ref="F223">IF(W223=1,INDEX('Input Kegiatan'!D$2:D905,MATCH($D223,'Input Kegiatan'!$A$2:$A905,0)),"")</f>
        <v/>
      </c>
      <c r="G223" s="5" t="str">
        <f t="array" ref="G223">IF(W223=1,INDEX('Input Kegiatan'!E$2:E905,MATCH($D223,'Input Kegiatan'!$A$2:$A905,0)),"")</f>
        <v/>
      </c>
      <c r="H223" s="5" t="str">
        <f t="array" ref="H223">IF(W223=1,INDEX(Honor!$H$2:$H905,MATCH($D223&amp;"-"&amp;R223,Honor!$K$2:$K905,0)),"")</f>
        <v/>
      </c>
      <c r="I223" s="8" t="str">
        <f>IF(W223=1,SUMIFS(Honor!$I$2:$I905,Honor!$K$2:$K905,$D223&amp;"-"&amp;R223),"")</f>
        <v/>
      </c>
      <c r="J223" s="9" t="str">
        <f t="shared" si="6"/>
        <v/>
      </c>
      <c r="K223" s="10" t="str">
        <f t="shared" si="0"/>
        <v/>
      </c>
      <c r="L223" s="10" t="str">
        <f t="shared" si="1"/>
        <v/>
      </c>
      <c r="M223" s="10" t="str">
        <f>IF(W223=1,IF(AND(U223&lt;2,INT(V223)&lt;='Batasan Honor'!$B$2),1,0),"")</f>
        <v/>
      </c>
      <c r="O223" s="10" t="str">
        <f t="shared" si="2"/>
        <v/>
      </c>
      <c r="P223" s="10" t="str">
        <f t="shared" si="3"/>
        <v/>
      </c>
      <c r="R223" s="23"/>
      <c r="S223" s="10" t="str">
        <f t="shared" si="4"/>
        <v/>
      </c>
      <c r="U223" s="10" t="str">
        <f ca="1">IFERROR(__xludf.DUMMYFUNCTION("if(W223=1,COUNTIFS(FILTER($H$2:$H905,$H$2:$H905=""OB"",$S$2:$S905=S223),""OB""),"""")"),"")</f>
        <v/>
      </c>
      <c r="V223" s="10" t="str">
        <f ca="1">IFERROR(__xludf.DUMMYFUNCTION("IF(OR(ISNA(SUM(FILTER($K$2:$K905,$A$2:$A905=A223,$S$2:$S905=S223,$H$2:$H905&lt;&gt;""OB""))),W223&lt;&gt;1),"""",SUM(FILTER($K$2:$K905,$A$2:$A905=A223,$S$2:$S905=S223,$H$2:$H905&lt;&gt;""OB"")))"),"")</f>
        <v/>
      </c>
      <c r="W223" s="10" t="str">
        <f t="shared" si="5"/>
        <v/>
      </c>
    </row>
    <row r="224" spans="1:23" ht="12.5">
      <c r="A224" s="23"/>
      <c r="B224" s="5" t="str">
        <f t="array" ref="B224">IF(W224=1,INDEX('Database Mitra'!$H$2:$H905,MATCH(A224,'Database Mitra'!AK$2:AK905,0)),"")</f>
        <v/>
      </c>
      <c r="C224" s="5" t="str">
        <f t="array" ref="C224">IF(W224=1,INDEX('Database Mitra'!$E$2:$E905,MATCH(A224,'Database Mitra'!AK$2:AK905,0)),"")</f>
        <v/>
      </c>
      <c r="D224" s="23"/>
      <c r="E224" s="5" t="str">
        <f t="array" ref="E224">IF(W224=1,INDEX('Input Kegiatan'!B$2:B905,MATCH($D224,'Input Kegiatan'!$A$2:$A905,0)),"")</f>
        <v/>
      </c>
      <c r="F224" s="5" t="str">
        <f t="array" ref="F224">IF(W224=1,INDEX('Input Kegiatan'!D$2:D905,MATCH($D224,'Input Kegiatan'!$A$2:$A905,0)),"")</f>
        <v/>
      </c>
      <c r="G224" s="5" t="str">
        <f t="array" ref="G224">IF(W224=1,INDEX('Input Kegiatan'!E$2:E905,MATCH($D224,'Input Kegiatan'!$A$2:$A905,0)),"")</f>
        <v/>
      </c>
      <c r="H224" s="5" t="str">
        <f t="array" ref="H224">IF(W224=1,INDEX(Honor!$H$2:$H905,MATCH($D224&amp;"-"&amp;R224,Honor!$K$2:$K905,0)),"")</f>
        <v/>
      </c>
      <c r="I224" s="8" t="str">
        <f>IF(W224=1,SUMIFS(Honor!$I$2:$I905,Honor!$K$2:$K905,$D224&amp;"-"&amp;R224),"")</f>
        <v/>
      </c>
      <c r="J224" s="9" t="str">
        <f t="shared" si="6"/>
        <v/>
      </c>
      <c r="K224" s="10" t="str">
        <f t="shared" si="0"/>
        <v/>
      </c>
      <c r="L224" s="10" t="str">
        <f t="shared" si="1"/>
        <v/>
      </c>
      <c r="M224" s="10" t="str">
        <f>IF(W224=1,IF(AND(U224&lt;2,INT(V224)&lt;='Batasan Honor'!$B$2),1,0),"")</f>
        <v/>
      </c>
      <c r="O224" s="10" t="str">
        <f t="shared" si="2"/>
        <v/>
      </c>
      <c r="P224" s="10" t="str">
        <f t="shared" si="3"/>
        <v/>
      </c>
      <c r="R224" s="23"/>
      <c r="S224" s="10" t="str">
        <f t="shared" si="4"/>
        <v/>
      </c>
      <c r="U224" s="10" t="str">
        <f ca="1">IFERROR(__xludf.DUMMYFUNCTION("if(W224=1,COUNTIFS(FILTER($H$2:$H905,$H$2:$H905=""OB"",$S$2:$S905=S224),""OB""),"""")"),"")</f>
        <v/>
      </c>
      <c r="V224" s="10" t="str">
        <f ca="1">IFERROR(__xludf.DUMMYFUNCTION("IF(OR(ISNA(SUM(FILTER($K$2:$K905,$A$2:$A905=A224,$S$2:$S905=S224,$H$2:$H905&lt;&gt;""OB""))),W224&lt;&gt;1),"""",SUM(FILTER($K$2:$K905,$A$2:$A905=A224,$S$2:$S905=S224,$H$2:$H905&lt;&gt;""OB"")))"),"")</f>
        <v/>
      </c>
      <c r="W224" s="10" t="str">
        <f t="shared" si="5"/>
        <v/>
      </c>
    </row>
    <row r="225" spans="1:23" ht="12.5">
      <c r="A225" s="23"/>
      <c r="B225" s="5" t="str">
        <f t="array" ref="B225">IF(W225=1,INDEX('Database Mitra'!$H$2:$H905,MATCH(A225,'Database Mitra'!AK$2:AK905,0)),"")</f>
        <v/>
      </c>
      <c r="C225" s="5" t="str">
        <f t="array" ref="C225">IF(W225=1,INDEX('Database Mitra'!$E$2:$E905,MATCH(A225,'Database Mitra'!AK$2:AK905,0)),"")</f>
        <v/>
      </c>
      <c r="D225" s="23"/>
      <c r="E225" s="5" t="str">
        <f t="array" ref="E225">IF(W225=1,INDEX('Input Kegiatan'!B$2:B905,MATCH($D225,'Input Kegiatan'!$A$2:$A905,0)),"")</f>
        <v/>
      </c>
      <c r="F225" s="5" t="str">
        <f t="array" ref="F225">IF(W225=1,INDEX('Input Kegiatan'!D$2:D905,MATCH($D225,'Input Kegiatan'!$A$2:$A905,0)),"")</f>
        <v/>
      </c>
      <c r="G225" s="5" t="str">
        <f t="array" ref="G225">IF(W225=1,INDEX('Input Kegiatan'!E$2:E905,MATCH($D225,'Input Kegiatan'!$A$2:$A905,0)),"")</f>
        <v/>
      </c>
      <c r="H225" s="5" t="str">
        <f t="array" ref="H225">IF(W225=1,INDEX(Honor!$H$2:$H905,MATCH($D225&amp;"-"&amp;R225,Honor!$K$2:$K905,0)),"")</f>
        <v/>
      </c>
      <c r="I225" s="8" t="str">
        <f>IF(W225=1,SUMIFS(Honor!$I$2:$I905,Honor!$K$2:$K905,$D225&amp;"-"&amp;R225),"")</f>
        <v/>
      </c>
      <c r="J225" s="9" t="str">
        <f t="shared" si="6"/>
        <v/>
      </c>
      <c r="K225" s="10" t="str">
        <f t="shared" si="0"/>
        <v/>
      </c>
      <c r="L225" s="10" t="str">
        <f t="shared" si="1"/>
        <v/>
      </c>
      <c r="M225" s="10" t="str">
        <f>IF(W225=1,IF(AND(U225&lt;2,INT(V225)&lt;='Batasan Honor'!$B$2),1,0),"")</f>
        <v/>
      </c>
      <c r="O225" s="10" t="str">
        <f t="shared" si="2"/>
        <v/>
      </c>
      <c r="P225" s="10" t="str">
        <f t="shared" si="3"/>
        <v/>
      </c>
      <c r="R225" s="23"/>
      <c r="S225" s="10" t="str">
        <f t="shared" si="4"/>
        <v/>
      </c>
      <c r="U225" s="10" t="str">
        <f ca="1">IFERROR(__xludf.DUMMYFUNCTION("if(W225=1,COUNTIFS(FILTER($H$2:$H905,$H$2:$H905=""OB"",$S$2:$S905=S225),""OB""),"""")"),"")</f>
        <v/>
      </c>
      <c r="V225" s="10" t="str">
        <f ca="1">IFERROR(__xludf.DUMMYFUNCTION("IF(OR(ISNA(SUM(FILTER($K$2:$K905,$A$2:$A905=A225,$S$2:$S905=S225,$H$2:$H905&lt;&gt;""OB""))),W225&lt;&gt;1),"""",SUM(FILTER($K$2:$K905,$A$2:$A905=A225,$S$2:$S905=S225,$H$2:$H905&lt;&gt;""OB"")))"),"")</f>
        <v/>
      </c>
      <c r="W225" s="10" t="str">
        <f t="shared" si="5"/>
        <v/>
      </c>
    </row>
    <row r="226" spans="1:23" ht="12.5">
      <c r="A226" s="23"/>
      <c r="B226" s="5" t="str">
        <f t="array" ref="B226">IF(W226=1,INDEX('Database Mitra'!$H$2:$H905,MATCH(A226,'Database Mitra'!AK$2:AK905,0)),"")</f>
        <v/>
      </c>
      <c r="C226" s="5" t="str">
        <f t="array" ref="C226">IF(W226=1,INDEX('Database Mitra'!$E$2:$E905,MATCH(A226,'Database Mitra'!AK$2:AK905,0)),"")</f>
        <v/>
      </c>
      <c r="D226" s="23"/>
      <c r="E226" s="5" t="str">
        <f t="array" ref="E226">IF(W226=1,INDEX('Input Kegiatan'!B$2:B905,MATCH($D226,'Input Kegiatan'!$A$2:$A905,0)),"")</f>
        <v/>
      </c>
      <c r="F226" s="5" t="str">
        <f t="array" ref="F226">IF(W226=1,INDEX('Input Kegiatan'!D$2:D905,MATCH($D226,'Input Kegiatan'!$A$2:$A905,0)),"")</f>
        <v/>
      </c>
      <c r="G226" s="5" t="str">
        <f t="array" ref="G226">IF(W226=1,INDEX('Input Kegiatan'!E$2:E905,MATCH($D226,'Input Kegiatan'!$A$2:$A905,0)),"")</f>
        <v/>
      </c>
      <c r="H226" s="5" t="str">
        <f t="array" ref="H226">IF(W226=1,INDEX(Honor!$H$2:$H905,MATCH($D226&amp;"-"&amp;R226,Honor!$K$2:$K905,0)),"")</f>
        <v/>
      </c>
      <c r="I226" s="8" t="str">
        <f>IF(W226=1,SUMIFS(Honor!$I$2:$I905,Honor!$K$2:$K905,$D226&amp;"-"&amp;R226),"")</f>
        <v/>
      </c>
      <c r="J226" s="9" t="str">
        <f t="shared" si="6"/>
        <v/>
      </c>
      <c r="K226" s="10" t="str">
        <f t="shared" si="0"/>
        <v/>
      </c>
      <c r="L226" s="10" t="str">
        <f t="shared" si="1"/>
        <v/>
      </c>
      <c r="M226" s="10" t="str">
        <f>IF(W226=1,IF(AND(U226&lt;2,INT(V226)&lt;='Batasan Honor'!$B$2),1,0),"")</f>
        <v/>
      </c>
      <c r="O226" s="10" t="str">
        <f t="shared" si="2"/>
        <v/>
      </c>
      <c r="P226" s="10" t="str">
        <f t="shared" si="3"/>
        <v/>
      </c>
      <c r="R226" s="23"/>
      <c r="S226" s="10" t="str">
        <f t="shared" si="4"/>
        <v/>
      </c>
      <c r="U226" s="10" t="str">
        <f ca="1">IFERROR(__xludf.DUMMYFUNCTION("if(W226=1,COUNTIFS(FILTER($H$2:$H905,$H$2:$H905=""OB"",$S$2:$S905=S226),""OB""),"""")"),"")</f>
        <v/>
      </c>
      <c r="V226" s="10" t="str">
        <f ca="1">IFERROR(__xludf.DUMMYFUNCTION("IF(OR(ISNA(SUM(FILTER($K$2:$K905,$A$2:$A905=A226,$S$2:$S905=S226,$H$2:$H905&lt;&gt;""OB""))),W226&lt;&gt;1),"""",SUM(FILTER($K$2:$K905,$A$2:$A905=A226,$S$2:$S905=S226,$H$2:$H905&lt;&gt;""OB"")))"),"")</f>
        <v/>
      </c>
      <c r="W226" s="10" t="str">
        <f t="shared" si="5"/>
        <v/>
      </c>
    </row>
    <row r="227" spans="1:23" ht="12.5">
      <c r="A227" s="23"/>
      <c r="B227" s="5" t="str">
        <f t="array" ref="B227">IF(W227=1,INDEX('Database Mitra'!$H$2:$H905,MATCH(A227,'Database Mitra'!AK$2:AK905,0)),"")</f>
        <v/>
      </c>
      <c r="C227" s="5" t="str">
        <f t="array" ref="C227">IF(W227=1,INDEX('Database Mitra'!$E$2:$E905,MATCH(A227,'Database Mitra'!AK$2:AK905,0)),"")</f>
        <v/>
      </c>
      <c r="D227" s="23"/>
      <c r="E227" s="5" t="str">
        <f t="array" ref="E227">IF(W227=1,INDEX('Input Kegiatan'!B$2:B905,MATCH($D227,'Input Kegiatan'!$A$2:$A905,0)),"")</f>
        <v/>
      </c>
      <c r="F227" s="5" t="str">
        <f t="array" ref="F227">IF(W227=1,INDEX('Input Kegiatan'!D$2:D905,MATCH($D227,'Input Kegiatan'!$A$2:$A905,0)),"")</f>
        <v/>
      </c>
      <c r="G227" s="5" t="str">
        <f t="array" ref="G227">IF(W227=1,INDEX('Input Kegiatan'!E$2:E905,MATCH($D227,'Input Kegiatan'!$A$2:$A905,0)),"")</f>
        <v/>
      </c>
      <c r="H227" s="5" t="str">
        <f t="array" ref="H227">IF(W227=1,INDEX(Honor!$H$2:$H905,MATCH($D227&amp;"-"&amp;R227,Honor!$K$2:$K905,0)),"")</f>
        <v/>
      </c>
      <c r="I227" s="8" t="str">
        <f>IF(W227=1,SUMIFS(Honor!$I$2:$I905,Honor!$K$2:$K905,$D227&amp;"-"&amp;R227),"")</f>
        <v/>
      </c>
      <c r="J227" s="9" t="str">
        <f t="shared" si="6"/>
        <v/>
      </c>
      <c r="K227" s="10" t="str">
        <f t="shared" si="0"/>
        <v/>
      </c>
      <c r="L227" s="10" t="str">
        <f t="shared" si="1"/>
        <v/>
      </c>
      <c r="M227" s="10" t="str">
        <f>IF(W227=1,IF(AND(U227&lt;2,INT(V227)&lt;='Batasan Honor'!$B$2),1,0),"")</f>
        <v/>
      </c>
      <c r="O227" s="10" t="str">
        <f t="shared" si="2"/>
        <v/>
      </c>
      <c r="P227" s="10" t="str">
        <f t="shared" si="3"/>
        <v/>
      </c>
      <c r="R227" s="23"/>
      <c r="S227" s="10" t="str">
        <f t="shared" si="4"/>
        <v/>
      </c>
      <c r="U227" s="10" t="str">
        <f ca="1">IFERROR(__xludf.DUMMYFUNCTION("if(W227=1,COUNTIFS(FILTER($H$2:$H905,$H$2:$H905=""OB"",$S$2:$S905=S227),""OB""),"""")"),"")</f>
        <v/>
      </c>
      <c r="V227" s="10" t="str">
        <f ca="1">IFERROR(__xludf.DUMMYFUNCTION("IF(OR(ISNA(SUM(FILTER($K$2:$K905,$A$2:$A905=A227,$S$2:$S905=S227,$H$2:$H905&lt;&gt;""OB""))),W227&lt;&gt;1),"""",SUM(FILTER($K$2:$K905,$A$2:$A905=A227,$S$2:$S905=S227,$H$2:$H905&lt;&gt;""OB"")))"),"")</f>
        <v/>
      </c>
      <c r="W227" s="10" t="str">
        <f t="shared" si="5"/>
        <v/>
      </c>
    </row>
    <row r="228" spans="1:23" ht="12.5">
      <c r="A228" s="23"/>
      <c r="B228" s="5" t="str">
        <f t="array" ref="B228">IF(W228=1,INDEX('Database Mitra'!$H$2:$H905,MATCH(A228,'Database Mitra'!AK$2:AK905,0)),"")</f>
        <v/>
      </c>
      <c r="C228" s="5" t="str">
        <f t="array" ref="C228">IF(W228=1,INDEX('Database Mitra'!$E$2:$E905,MATCH(A228,'Database Mitra'!AK$2:AK905,0)),"")</f>
        <v/>
      </c>
      <c r="D228" s="23"/>
      <c r="E228" s="5" t="str">
        <f t="array" ref="E228">IF(W228=1,INDEX('Input Kegiatan'!B$2:B905,MATCH($D228,'Input Kegiatan'!$A$2:$A905,0)),"")</f>
        <v/>
      </c>
      <c r="F228" s="5" t="str">
        <f t="array" ref="F228">IF(W228=1,INDEX('Input Kegiatan'!D$2:D905,MATCH($D228,'Input Kegiatan'!$A$2:$A905,0)),"")</f>
        <v/>
      </c>
      <c r="G228" s="5" t="str">
        <f t="array" ref="G228">IF(W228=1,INDEX('Input Kegiatan'!E$2:E905,MATCH($D228,'Input Kegiatan'!$A$2:$A905,0)),"")</f>
        <v/>
      </c>
      <c r="H228" s="5" t="str">
        <f t="array" ref="H228">IF(W228=1,INDEX(Honor!$H$2:$H905,MATCH($D228&amp;"-"&amp;R228,Honor!$K$2:$K905,0)),"")</f>
        <v/>
      </c>
      <c r="I228" s="8" t="str">
        <f>IF(W228=1,SUMIFS(Honor!$I$2:$I905,Honor!$K$2:$K905,$D228&amp;"-"&amp;R228),"")</f>
        <v/>
      </c>
      <c r="J228" s="9" t="str">
        <f t="shared" si="6"/>
        <v/>
      </c>
      <c r="K228" s="10" t="str">
        <f t="shared" si="0"/>
        <v/>
      </c>
      <c r="L228" s="10" t="str">
        <f t="shared" si="1"/>
        <v/>
      </c>
      <c r="M228" s="10" t="str">
        <f>IF(W228=1,IF(AND(U228&lt;2,INT(V228)&lt;='Batasan Honor'!$B$2),1,0),"")</f>
        <v/>
      </c>
      <c r="O228" s="10" t="str">
        <f t="shared" si="2"/>
        <v/>
      </c>
      <c r="P228" s="10" t="str">
        <f t="shared" si="3"/>
        <v/>
      </c>
      <c r="R228" s="23"/>
      <c r="S228" s="10" t="str">
        <f t="shared" si="4"/>
        <v/>
      </c>
      <c r="U228" s="10" t="str">
        <f ca="1">IFERROR(__xludf.DUMMYFUNCTION("if(W228=1,COUNTIFS(FILTER($H$2:$H905,$H$2:$H905=""OB"",$S$2:$S905=S228),""OB""),"""")"),"")</f>
        <v/>
      </c>
      <c r="V228" s="10" t="str">
        <f ca="1">IFERROR(__xludf.DUMMYFUNCTION("IF(OR(ISNA(SUM(FILTER($K$2:$K905,$A$2:$A905=A228,$S$2:$S905=S228,$H$2:$H905&lt;&gt;""OB""))),W228&lt;&gt;1),"""",SUM(FILTER($K$2:$K905,$A$2:$A905=A228,$S$2:$S905=S228,$H$2:$H905&lt;&gt;""OB"")))"),"")</f>
        <v/>
      </c>
      <c r="W228" s="10" t="str">
        <f t="shared" si="5"/>
        <v/>
      </c>
    </row>
    <row r="229" spans="1:23" ht="12.5">
      <c r="A229" s="23"/>
      <c r="B229" s="5" t="str">
        <f t="array" ref="B229">IF(W229=1,INDEX('Database Mitra'!$H$2:$H905,MATCH(A229,'Database Mitra'!AK$2:AK905,0)),"")</f>
        <v/>
      </c>
      <c r="C229" s="5" t="str">
        <f t="array" ref="C229">IF(W229=1,INDEX('Database Mitra'!$E$2:$E905,MATCH(A229,'Database Mitra'!AK$2:AK905,0)),"")</f>
        <v/>
      </c>
      <c r="D229" s="23"/>
      <c r="E229" s="5" t="str">
        <f t="array" ref="E229">IF(W229=1,INDEX('Input Kegiatan'!B$2:B905,MATCH($D229,'Input Kegiatan'!$A$2:$A905,0)),"")</f>
        <v/>
      </c>
      <c r="F229" s="5" t="str">
        <f t="array" ref="F229">IF(W229=1,INDEX('Input Kegiatan'!D$2:D905,MATCH($D229,'Input Kegiatan'!$A$2:$A905,0)),"")</f>
        <v/>
      </c>
      <c r="G229" s="5" t="str">
        <f t="array" ref="G229">IF(W229=1,INDEX('Input Kegiatan'!E$2:E905,MATCH($D229,'Input Kegiatan'!$A$2:$A905,0)),"")</f>
        <v/>
      </c>
      <c r="H229" s="5" t="str">
        <f t="array" ref="H229">IF(W229=1,INDEX(Honor!$H$2:$H905,MATCH($D229&amp;"-"&amp;R229,Honor!$K$2:$K905,0)),"")</f>
        <v/>
      </c>
      <c r="I229" s="8" t="str">
        <f>IF(W229=1,SUMIFS(Honor!$I$2:$I905,Honor!$K$2:$K905,$D229&amp;"-"&amp;R229),"")</f>
        <v/>
      </c>
      <c r="J229" s="9" t="str">
        <f t="shared" si="6"/>
        <v/>
      </c>
      <c r="K229" s="10" t="str">
        <f t="shared" si="0"/>
        <v/>
      </c>
      <c r="L229" s="10" t="str">
        <f t="shared" si="1"/>
        <v/>
      </c>
      <c r="M229" s="10" t="str">
        <f>IF(W229=1,IF(AND(U229&lt;2,INT(V229)&lt;='Batasan Honor'!$B$2),1,0),"")</f>
        <v/>
      </c>
      <c r="O229" s="10" t="str">
        <f t="shared" si="2"/>
        <v/>
      </c>
      <c r="P229" s="10" t="str">
        <f t="shared" si="3"/>
        <v/>
      </c>
      <c r="R229" s="23"/>
      <c r="S229" s="10" t="str">
        <f t="shared" si="4"/>
        <v/>
      </c>
      <c r="U229" s="10" t="str">
        <f ca="1">IFERROR(__xludf.DUMMYFUNCTION("if(W229=1,COUNTIFS(FILTER($H$2:$H905,$H$2:$H905=""OB"",$S$2:$S905=S229),""OB""),"""")"),"")</f>
        <v/>
      </c>
      <c r="V229" s="10" t="str">
        <f ca="1">IFERROR(__xludf.DUMMYFUNCTION("IF(OR(ISNA(SUM(FILTER($K$2:$K905,$A$2:$A905=A229,$S$2:$S905=S229,$H$2:$H905&lt;&gt;""OB""))),W229&lt;&gt;1),"""",SUM(FILTER($K$2:$K905,$A$2:$A905=A229,$S$2:$S905=S229,$H$2:$H905&lt;&gt;""OB"")))"),"")</f>
        <v/>
      </c>
      <c r="W229" s="10" t="str">
        <f t="shared" si="5"/>
        <v/>
      </c>
    </row>
    <row r="230" spans="1:23" ht="12.5">
      <c r="A230" s="23"/>
      <c r="B230" s="5" t="str">
        <f t="array" ref="B230">IF(W230=1,INDEX('Database Mitra'!$H$2:$H905,MATCH(A230,'Database Mitra'!AK$2:AK905,0)),"")</f>
        <v/>
      </c>
      <c r="C230" s="5" t="str">
        <f t="array" ref="C230">IF(W230=1,INDEX('Database Mitra'!$E$2:$E905,MATCH(A230,'Database Mitra'!AK$2:AK905,0)),"")</f>
        <v/>
      </c>
      <c r="D230" s="23"/>
      <c r="E230" s="5" t="str">
        <f t="array" ref="E230">IF(W230=1,INDEX('Input Kegiatan'!B$2:B905,MATCH($D230,'Input Kegiatan'!$A$2:$A905,0)),"")</f>
        <v/>
      </c>
      <c r="F230" s="5" t="str">
        <f t="array" ref="F230">IF(W230=1,INDEX('Input Kegiatan'!D$2:D905,MATCH($D230,'Input Kegiatan'!$A$2:$A905,0)),"")</f>
        <v/>
      </c>
      <c r="G230" s="5" t="str">
        <f t="array" ref="G230">IF(W230=1,INDEX('Input Kegiatan'!E$2:E905,MATCH($D230,'Input Kegiatan'!$A$2:$A905,0)),"")</f>
        <v/>
      </c>
      <c r="H230" s="5" t="str">
        <f t="array" ref="H230">IF(W230=1,INDEX(Honor!$H$2:$H905,MATCH($D230&amp;"-"&amp;R230,Honor!$K$2:$K905,0)),"")</f>
        <v/>
      </c>
      <c r="I230" s="8" t="str">
        <f>IF(W230=1,SUMIFS(Honor!$I$2:$I905,Honor!$K$2:$K905,$D230&amp;"-"&amp;R230),"")</f>
        <v/>
      </c>
      <c r="J230" s="9" t="str">
        <f t="shared" si="6"/>
        <v/>
      </c>
      <c r="K230" s="10" t="str">
        <f t="shared" si="0"/>
        <v/>
      </c>
      <c r="L230" s="10" t="str">
        <f t="shared" si="1"/>
        <v/>
      </c>
      <c r="M230" s="10" t="str">
        <f>IF(W230=1,IF(AND(U230&lt;2,INT(V230)&lt;='Batasan Honor'!$B$2),1,0),"")</f>
        <v/>
      </c>
      <c r="O230" s="10" t="str">
        <f t="shared" si="2"/>
        <v/>
      </c>
      <c r="P230" s="10" t="str">
        <f t="shared" si="3"/>
        <v/>
      </c>
      <c r="R230" s="23"/>
      <c r="S230" s="10" t="str">
        <f t="shared" si="4"/>
        <v/>
      </c>
      <c r="U230" s="10" t="str">
        <f ca="1">IFERROR(__xludf.DUMMYFUNCTION("if(W230=1,COUNTIFS(FILTER($H$2:$H905,$H$2:$H905=""OB"",$S$2:$S905=S230),""OB""),"""")"),"")</f>
        <v/>
      </c>
      <c r="V230" s="10" t="str">
        <f ca="1">IFERROR(__xludf.DUMMYFUNCTION("IF(OR(ISNA(SUM(FILTER($K$2:$K905,$A$2:$A905=A230,$S$2:$S905=S230,$H$2:$H905&lt;&gt;""OB""))),W230&lt;&gt;1),"""",SUM(FILTER($K$2:$K905,$A$2:$A905=A230,$S$2:$S905=S230,$H$2:$H905&lt;&gt;""OB"")))"),"")</f>
        <v/>
      </c>
      <c r="W230" s="10" t="str">
        <f t="shared" si="5"/>
        <v/>
      </c>
    </row>
    <row r="231" spans="1:23" ht="12.5">
      <c r="A231" s="23"/>
      <c r="B231" s="5" t="str">
        <f t="array" ref="B231">IF(W231=1,INDEX('Database Mitra'!$H$2:$H905,MATCH(A231,'Database Mitra'!AK$2:AK905,0)),"")</f>
        <v/>
      </c>
      <c r="C231" s="5" t="str">
        <f t="array" ref="C231">IF(W231=1,INDEX('Database Mitra'!$E$2:$E905,MATCH(A231,'Database Mitra'!AK$2:AK905,0)),"")</f>
        <v/>
      </c>
      <c r="D231" s="23"/>
      <c r="E231" s="5" t="str">
        <f t="array" ref="E231">IF(W231=1,INDEX('Input Kegiatan'!B$2:B905,MATCH($D231,'Input Kegiatan'!$A$2:$A905,0)),"")</f>
        <v/>
      </c>
      <c r="F231" s="5" t="str">
        <f t="array" ref="F231">IF(W231=1,INDEX('Input Kegiatan'!D$2:D905,MATCH($D231,'Input Kegiatan'!$A$2:$A905,0)),"")</f>
        <v/>
      </c>
      <c r="G231" s="5" t="str">
        <f t="array" ref="G231">IF(W231=1,INDEX('Input Kegiatan'!E$2:E905,MATCH($D231,'Input Kegiatan'!$A$2:$A905,0)),"")</f>
        <v/>
      </c>
      <c r="H231" s="5" t="str">
        <f t="array" ref="H231">IF(W231=1,INDEX(Honor!$H$2:$H905,MATCH($D231&amp;"-"&amp;R231,Honor!$K$2:$K905,0)),"")</f>
        <v/>
      </c>
      <c r="I231" s="8" t="str">
        <f>IF(W231=1,SUMIFS(Honor!$I$2:$I905,Honor!$K$2:$K905,$D231&amp;"-"&amp;R231),"")</f>
        <v/>
      </c>
      <c r="J231" s="9" t="str">
        <f t="shared" si="6"/>
        <v/>
      </c>
      <c r="K231" s="10" t="str">
        <f t="shared" si="0"/>
        <v/>
      </c>
      <c r="L231" s="10" t="str">
        <f t="shared" si="1"/>
        <v/>
      </c>
      <c r="M231" s="10" t="str">
        <f>IF(W231=1,IF(AND(U231&lt;2,INT(V231)&lt;='Batasan Honor'!$B$2),1,0),"")</f>
        <v/>
      </c>
      <c r="O231" s="10" t="str">
        <f t="shared" si="2"/>
        <v/>
      </c>
      <c r="P231" s="10" t="str">
        <f t="shared" si="3"/>
        <v/>
      </c>
      <c r="R231" s="23"/>
      <c r="S231" s="10" t="str">
        <f t="shared" si="4"/>
        <v/>
      </c>
      <c r="U231" s="10" t="str">
        <f ca="1">IFERROR(__xludf.DUMMYFUNCTION("if(W231=1,COUNTIFS(FILTER($H$2:$H905,$H$2:$H905=""OB"",$S$2:$S905=S231),""OB""),"""")"),"")</f>
        <v/>
      </c>
      <c r="V231" s="10" t="str">
        <f ca="1">IFERROR(__xludf.DUMMYFUNCTION("IF(OR(ISNA(SUM(FILTER($K$2:$K905,$A$2:$A905=A231,$S$2:$S905=S231,$H$2:$H905&lt;&gt;""OB""))),W231&lt;&gt;1),"""",SUM(FILTER($K$2:$K905,$A$2:$A905=A231,$S$2:$S905=S231,$H$2:$H905&lt;&gt;""OB"")))"),"")</f>
        <v/>
      </c>
      <c r="W231" s="10" t="str">
        <f t="shared" si="5"/>
        <v/>
      </c>
    </row>
    <row r="232" spans="1:23" ht="12.5">
      <c r="A232" s="23"/>
      <c r="B232" s="5" t="str">
        <f t="array" ref="B232">IF(W232=1,INDEX('Database Mitra'!$H$2:$H905,MATCH(A232,'Database Mitra'!AK$2:AK905,0)),"")</f>
        <v/>
      </c>
      <c r="C232" s="5" t="str">
        <f t="array" ref="C232">IF(W232=1,INDEX('Database Mitra'!$E$2:$E905,MATCH(A232,'Database Mitra'!AK$2:AK905,0)),"")</f>
        <v/>
      </c>
      <c r="D232" s="23"/>
      <c r="E232" s="5" t="str">
        <f t="array" ref="E232">IF(W232=1,INDEX('Input Kegiatan'!B$2:B905,MATCH($D232,'Input Kegiatan'!$A$2:$A905,0)),"")</f>
        <v/>
      </c>
      <c r="F232" s="5" t="str">
        <f t="array" ref="F232">IF(W232=1,INDEX('Input Kegiatan'!D$2:D905,MATCH($D232,'Input Kegiatan'!$A$2:$A905,0)),"")</f>
        <v/>
      </c>
      <c r="G232" s="5" t="str">
        <f t="array" ref="G232">IF(W232=1,INDEX('Input Kegiatan'!E$2:E905,MATCH($D232,'Input Kegiatan'!$A$2:$A905,0)),"")</f>
        <v/>
      </c>
      <c r="H232" s="5" t="str">
        <f t="array" ref="H232">IF(W232=1,INDEX(Honor!$H$2:$H905,MATCH($D232&amp;"-"&amp;R232,Honor!$K$2:$K905,0)),"")</f>
        <v/>
      </c>
      <c r="I232" s="8" t="str">
        <f>IF(W232=1,SUMIFS(Honor!$I$2:$I905,Honor!$K$2:$K905,$D232&amp;"-"&amp;R232),"")</f>
        <v/>
      </c>
      <c r="J232" s="9" t="str">
        <f t="shared" si="6"/>
        <v/>
      </c>
      <c r="K232" s="10" t="str">
        <f t="shared" si="0"/>
        <v/>
      </c>
      <c r="L232" s="10" t="str">
        <f t="shared" si="1"/>
        <v/>
      </c>
      <c r="M232" s="10" t="str">
        <f>IF(W232=1,IF(AND(U232&lt;2,INT(V232)&lt;='Batasan Honor'!$B$2),1,0),"")</f>
        <v/>
      </c>
      <c r="O232" s="10" t="str">
        <f t="shared" si="2"/>
        <v/>
      </c>
      <c r="P232" s="10" t="str">
        <f t="shared" si="3"/>
        <v/>
      </c>
      <c r="R232" s="23"/>
      <c r="S232" s="10" t="str">
        <f t="shared" si="4"/>
        <v/>
      </c>
      <c r="U232" s="10" t="str">
        <f ca="1">IFERROR(__xludf.DUMMYFUNCTION("if(W232=1,COUNTIFS(FILTER($H$2:$H905,$H$2:$H905=""OB"",$S$2:$S905=S232),""OB""),"""")"),"")</f>
        <v/>
      </c>
      <c r="V232" s="10" t="str">
        <f ca="1">IFERROR(__xludf.DUMMYFUNCTION("IF(OR(ISNA(SUM(FILTER($K$2:$K905,$A$2:$A905=A232,$S$2:$S905=S232,$H$2:$H905&lt;&gt;""OB""))),W232&lt;&gt;1),"""",SUM(FILTER($K$2:$K905,$A$2:$A905=A232,$S$2:$S905=S232,$H$2:$H905&lt;&gt;""OB"")))"),"")</f>
        <v/>
      </c>
      <c r="W232" s="10" t="str">
        <f t="shared" si="5"/>
        <v/>
      </c>
    </row>
    <row r="233" spans="1:23" ht="12.5">
      <c r="A233" s="23"/>
      <c r="B233" s="5" t="str">
        <f t="array" ref="B233">IF(W233=1,INDEX('Database Mitra'!$H$2:$H905,MATCH(A233,'Database Mitra'!AK$2:AK905,0)),"")</f>
        <v/>
      </c>
      <c r="C233" s="5" t="str">
        <f t="array" ref="C233">IF(W233=1,INDEX('Database Mitra'!$E$2:$E905,MATCH(A233,'Database Mitra'!AK$2:AK905,0)),"")</f>
        <v/>
      </c>
      <c r="D233" s="23"/>
      <c r="E233" s="5" t="str">
        <f t="array" ref="E233">IF(W233=1,INDEX('Input Kegiatan'!B$2:B905,MATCH($D233,'Input Kegiatan'!$A$2:$A905,0)),"")</f>
        <v/>
      </c>
      <c r="F233" s="5" t="str">
        <f t="array" ref="F233">IF(W233=1,INDEX('Input Kegiatan'!D$2:D905,MATCH($D233,'Input Kegiatan'!$A$2:$A905,0)),"")</f>
        <v/>
      </c>
      <c r="G233" s="5" t="str">
        <f t="array" ref="G233">IF(W233=1,INDEX('Input Kegiatan'!E$2:E905,MATCH($D233,'Input Kegiatan'!$A$2:$A905,0)),"")</f>
        <v/>
      </c>
      <c r="H233" s="5" t="str">
        <f t="array" ref="H233">IF(W233=1,INDEX(Honor!$H$2:$H905,MATCH($D233&amp;"-"&amp;R233,Honor!$K$2:$K905,0)),"")</f>
        <v/>
      </c>
      <c r="I233" s="8" t="str">
        <f>IF(W233=1,SUMIFS(Honor!$I$2:$I905,Honor!$K$2:$K905,$D233&amp;"-"&amp;R233),"")</f>
        <v/>
      </c>
      <c r="J233" s="9" t="str">
        <f t="shared" si="6"/>
        <v/>
      </c>
      <c r="K233" s="10" t="str">
        <f t="shared" si="0"/>
        <v/>
      </c>
      <c r="L233" s="10" t="str">
        <f t="shared" si="1"/>
        <v/>
      </c>
      <c r="M233" s="10" t="str">
        <f>IF(W233=1,IF(AND(U233&lt;2,INT(V233)&lt;='Batasan Honor'!$B$2),1,0),"")</f>
        <v/>
      </c>
      <c r="O233" s="10" t="str">
        <f t="shared" si="2"/>
        <v/>
      </c>
      <c r="P233" s="10" t="str">
        <f t="shared" si="3"/>
        <v/>
      </c>
      <c r="R233" s="23"/>
      <c r="S233" s="10" t="str">
        <f t="shared" si="4"/>
        <v/>
      </c>
      <c r="U233" s="10" t="str">
        <f ca="1">IFERROR(__xludf.DUMMYFUNCTION("if(W233=1,COUNTIFS(FILTER($H$2:$H905,$H$2:$H905=""OB"",$S$2:$S905=S233),""OB""),"""")"),"")</f>
        <v/>
      </c>
      <c r="V233" s="10" t="str">
        <f ca="1">IFERROR(__xludf.DUMMYFUNCTION("IF(OR(ISNA(SUM(FILTER($K$2:$K905,$A$2:$A905=A233,$S$2:$S905=S233,$H$2:$H905&lt;&gt;""OB""))),W233&lt;&gt;1),"""",SUM(FILTER($K$2:$K905,$A$2:$A905=A233,$S$2:$S905=S233,$H$2:$H905&lt;&gt;""OB"")))"),"")</f>
        <v/>
      </c>
      <c r="W233" s="10" t="str">
        <f t="shared" si="5"/>
        <v/>
      </c>
    </row>
    <row r="234" spans="1:23" ht="12.5">
      <c r="A234" s="23"/>
      <c r="B234" s="5" t="str">
        <f t="array" ref="B234">IF(W234=1,INDEX('Database Mitra'!$H$2:$H905,MATCH(A234,'Database Mitra'!AK$2:AK905,0)),"")</f>
        <v/>
      </c>
      <c r="C234" s="5" t="str">
        <f t="array" ref="C234">IF(W234=1,INDEX('Database Mitra'!$E$2:$E905,MATCH(A234,'Database Mitra'!AK$2:AK905,0)),"")</f>
        <v/>
      </c>
      <c r="D234" s="23"/>
      <c r="E234" s="5" t="str">
        <f t="array" ref="E234">IF(W234=1,INDEX('Input Kegiatan'!B$2:B905,MATCH($D234,'Input Kegiatan'!$A$2:$A905,0)),"")</f>
        <v/>
      </c>
      <c r="F234" s="5" t="str">
        <f t="array" ref="F234">IF(W234=1,INDEX('Input Kegiatan'!D$2:D905,MATCH($D234,'Input Kegiatan'!$A$2:$A905,0)),"")</f>
        <v/>
      </c>
      <c r="G234" s="5" t="str">
        <f t="array" ref="G234">IF(W234=1,INDEX('Input Kegiatan'!E$2:E905,MATCH($D234,'Input Kegiatan'!$A$2:$A905,0)),"")</f>
        <v/>
      </c>
      <c r="H234" s="5" t="str">
        <f t="array" ref="H234">IF(W234=1,INDEX(Honor!$H$2:$H905,MATCH($D234&amp;"-"&amp;R234,Honor!$K$2:$K905,0)),"")</f>
        <v/>
      </c>
      <c r="I234" s="8" t="str">
        <f>IF(W234=1,SUMIFS(Honor!$I$2:$I905,Honor!$K$2:$K905,$D234&amp;"-"&amp;R234),"")</f>
        <v/>
      </c>
      <c r="J234" s="9" t="str">
        <f t="shared" si="6"/>
        <v/>
      </c>
      <c r="K234" s="10" t="str">
        <f t="shared" si="0"/>
        <v/>
      </c>
      <c r="L234" s="10" t="str">
        <f t="shared" si="1"/>
        <v/>
      </c>
      <c r="M234" s="10" t="str">
        <f>IF(W234=1,IF(AND(U234&lt;2,INT(V234)&lt;='Batasan Honor'!$B$2),1,0),"")</f>
        <v/>
      </c>
      <c r="O234" s="10" t="str">
        <f t="shared" si="2"/>
        <v/>
      </c>
      <c r="P234" s="10" t="str">
        <f t="shared" si="3"/>
        <v/>
      </c>
      <c r="R234" s="23"/>
      <c r="S234" s="10" t="str">
        <f t="shared" si="4"/>
        <v/>
      </c>
      <c r="U234" s="10" t="str">
        <f ca="1">IFERROR(__xludf.DUMMYFUNCTION("if(W234=1,COUNTIFS(FILTER($H$2:$H905,$H$2:$H905=""OB"",$S$2:$S905=S234),""OB""),"""")"),"")</f>
        <v/>
      </c>
      <c r="V234" s="10" t="str">
        <f ca="1">IFERROR(__xludf.DUMMYFUNCTION("IF(OR(ISNA(SUM(FILTER($K$2:$K905,$A$2:$A905=A234,$S$2:$S905=S234,$H$2:$H905&lt;&gt;""OB""))),W234&lt;&gt;1),"""",SUM(FILTER($K$2:$K905,$A$2:$A905=A234,$S$2:$S905=S234,$H$2:$H905&lt;&gt;""OB"")))"),"")</f>
        <v/>
      </c>
      <c r="W234" s="10" t="str">
        <f t="shared" si="5"/>
        <v/>
      </c>
    </row>
    <row r="235" spans="1:23" ht="12.5">
      <c r="A235" s="23"/>
      <c r="B235" s="5" t="str">
        <f t="array" ref="B235">IF(W235=1,INDEX('Database Mitra'!$H$2:$H905,MATCH(A235,'Database Mitra'!AK$2:AK905,0)),"")</f>
        <v/>
      </c>
      <c r="C235" s="5" t="str">
        <f t="array" ref="C235">IF(W235=1,INDEX('Database Mitra'!$E$2:$E905,MATCH(A235,'Database Mitra'!AK$2:AK905,0)),"")</f>
        <v/>
      </c>
      <c r="D235" s="23"/>
      <c r="E235" s="5" t="str">
        <f t="array" ref="E235">IF(W235=1,INDEX('Input Kegiatan'!B$2:B905,MATCH($D235,'Input Kegiatan'!$A$2:$A905,0)),"")</f>
        <v/>
      </c>
      <c r="F235" s="5" t="str">
        <f t="array" ref="F235">IF(W235=1,INDEX('Input Kegiatan'!D$2:D905,MATCH($D235,'Input Kegiatan'!$A$2:$A905,0)),"")</f>
        <v/>
      </c>
      <c r="G235" s="5" t="str">
        <f t="array" ref="G235">IF(W235=1,INDEX('Input Kegiatan'!E$2:E905,MATCH($D235,'Input Kegiatan'!$A$2:$A905,0)),"")</f>
        <v/>
      </c>
      <c r="H235" s="5" t="str">
        <f t="array" ref="H235">IF(W235=1,INDEX(Honor!$H$2:$H905,MATCH($D235&amp;"-"&amp;R235,Honor!$K$2:$K905,0)),"")</f>
        <v/>
      </c>
      <c r="I235" s="8" t="str">
        <f>IF(W235=1,SUMIFS(Honor!$I$2:$I905,Honor!$K$2:$K905,$D235&amp;"-"&amp;R235),"")</f>
        <v/>
      </c>
      <c r="J235" s="9" t="str">
        <f t="shared" si="6"/>
        <v/>
      </c>
      <c r="K235" s="10" t="str">
        <f t="shared" si="0"/>
        <v/>
      </c>
      <c r="L235" s="10" t="str">
        <f t="shared" si="1"/>
        <v/>
      </c>
      <c r="M235" s="10" t="str">
        <f>IF(W235=1,IF(AND(U235&lt;2,INT(V235)&lt;='Batasan Honor'!$B$2),1,0),"")</f>
        <v/>
      </c>
      <c r="O235" s="10" t="str">
        <f t="shared" si="2"/>
        <v/>
      </c>
      <c r="P235" s="10" t="str">
        <f t="shared" si="3"/>
        <v/>
      </c>
      <c r="R235" s="23"/>
      <c r="S235" s="10" t="str">
        <f t="shared" si="4"/>
        <v/>
      </c>
      <c r="U235" s="10" t="str">
        <f ca="1">IFERROR(__xludf.DUMMYFUNCTION("if(W235=1,COUNTIFS(FILTER($H$2:$H905,$H$2:$H905=""OB"",$S$2:$S905=S235),""OB""),"""")"),"")</f>
        <v/>
      </c>
      <c r="V235" s="10" t="str">
        <f ca="1">IFERROR(__xludf.DUMMYFUNCTION("IF(OR(ISNA(SUM(FILTER($K$2:$K905,$A$2:$A905=A235,$S$2:$S905=S235,$H$2:$H905&lt;&gt;""OB""))),W235&lt;&gt;1),"""",SUM(FILTER($K$2:$K905,$A$2:$A905=A235,$S$2:$S905=S235,$H$2:$H905&lt;&gt;""OB"")))"),"")</f>
        <v/>
      </c>
      <c r="W235" s="10" t="str">
        <f t="shared" si="5"/>
        <v/>
      </c>
    </row>
    <row r="236" spans="1:23" ht="12.5">
      <c r="A236" s="23"/>
      <c r="B236" s="5" t="str">
        <f t="array" ref="B236">IF(W236=1,INDEX('Database Mitra'!$H$2:$H905,MATCH(A236,'Database Mitra'!AK$2:AK905,0)),"")</f>
        <v/>
      </c>
      <c r="C236" s="5" t="str">
        <f t="array" ref="C236">IF(W236=1,INDEX('Database Mitra'!$E$2:$E905,MATCH(A236,'Database Mitra'!AK$2:AK905,0)),"")</f>
        <v/>
      </c>
      <c r="D236" s="23"/>
      <c r="E236" s="5" t="str">
        <f t="array" ref="E236">IF(W236=1,INDEX('Input Kegiatan'!B$2:B905,MATCH($D236,'Input Kegiatan'!$A$2:$A905,0)),"")</f>
        <v/>
      </c>
      <c r="F236" s="5" t="str">
        <f t="array" ref="F236">IF(W236=1,INDEX('Input Kegiatan'!D$2:D905,MATCH($D236,'Input Kegiatan'!$A$2:$A905,0)),"")</f>
        <v/>
      </c>
      <c r="G236" s="5" t="str">
        <f t="array" ref="G236">IF(W236=1,INDEX('Input Kegiatan'!E$2:E905,MATCH($D236,'Input Kegiatan'!$A$2:$A905,0)),"")</f>
        <v/>
      </c>
      <c r="H236" s="5" t="str">
        <f t="array" ref="H236">IF(W236=1,INDEX(Honor!$H$2:$H905,MATCH($D236&amp;"-"&amp;R236,Honor!$K$2:$K905,0)),"")</f>
        <v/>
      </c>
      <c r="I236" s="8" t="str">
        <f>IF(W236=1,SUMIFS(Honor!$I$2:$I905,Honor!$K$2:$K905,$D236&amp;"-"&amp;R236),"")</f>
        <v/>
      </c>
      <c r="J236" s="9" t="str">
        <f t="shared" si="6"/>
        <v/>
      </c>
      <c r="K236" s="10" t="str">
        <f t="shared" si="0"/>
        <v/>
      </c>
      <c r="L236" s="10" t="str">
        <f t="shared" si="1"/>
        <v/>
      </c>
      <c r="M236" s="10" t="str">
        <f>IF(W236=1,IF(AND(U236&lt;2,INT(V236)&lt;='Batasan Honor'!$B$2),1,0),"")</f>
        <v/>
      </c>
      <c r="O236" s="10" t="str">
        <f t="shared" si="2"/>
        <v/>
      </c>
      <c r="P236" s="10" t="str">
        <f t="shared" si="3"/>
        <v/>
      </c>
      <c r="R236" s="23"/>
      <c r="S236" s="10" t="str">
        <f t="shared" si="4"/>
        <v/>
      </c>
      <c r="U236" s="10" t="str">
        <f ca="1">IFERROR(__xludf.DUMMYFUNCTION("if(W236=1,COUNTIFS(FILTER($H$2:$H905,$H$2:$H905=""OB"",$S$2:$S905=S236),""OB""),"""")"),"")</f>
        <v/>
      </c>
      <c r="V236" s="10" t="str">
        <f ca="1">IFERROR(__xludf.DUMMYFUNCTION("IF(OR(ISNA(SUM(FILTER($K$2:$K905,$A$2:$A905=A236,$S$2:$S905=S236,$H$2:$H905&lt;&gt;""OB""))),W236&lt;&gt;1),"""",SUM(FILTER($K$2:$K905,$A$2:$A905=A236,$S$2:$S905=S236,$H$2:$H905&lt;&gt;""OB"")))"),"")</f>
        <v/>
      </c>
      <c r="W236" s="10" t="str">
        <f t="shared" si="5"/>
        <v/>
      </c>
    </row>
    <row r="237" spans="1:23" ht="12.5">
      <c r="A237" s="23"/>
      <c r="B237" s="5" t="str">
        <f t="array" ref="B237">IF(W237=1,INDEX('Database Mitra'!$H$2:$H905,MATCH(A237,'Database Mitra'!AK$2:AK905,0)),"")</f>
        <v/>
      </c>
      <c r="C237" s="5" t="str">
        <f t="array" ref="C237">IF(W237=1,INDEX('Database Mitra'!$E$2:$E905,MATCH(A237,'Database Mitra'!AK$2:AK905,0)),"")</f>
        <v/>
      </c>
      <c r="D237" s="23"/>
      <c r="E237" s="5" t="str">
        <f t="array" ref="E237">IF(W237=1,INDEX('Input Kegiatan'!B$2:B905,MATCH($D237,'Input Kegiatan'!$A$2:$A905,0)),"")</f>
        <v/>
      </c>
      <c r="F237" s="5" t="str">
        <f t="array" ref="F237">IF(W237=1,INDEX('Input Kegiatan'!D$2:D905,MATCH($D237,'Input Kegiatan'!$A$2:$A905,0)),"")</f>
        <v/>
      </c>
      <c r="G237" s="5" t="str">
        <f t="array" ref="G237">IF(W237=1,INDEX('Input Kegiatan'!E$2:E905,MATCH($D237,'Input Kegiatan'!$A$2:$A905,0)),"")</f>
        <v/>
      </c>
      <c r="H237" s="5" t="str">
        <f t="array" ref="H237">IF(W237=1,INDEX(Honor!$H$2:$H905,MATCH($D237&amp;"-"&amp;R237,Honor!$K$2:$K905,0)),"")</f>
        <v/>
      </c>
      <c r="I237" s="8" t="str">
        <f>IF(W237=1,SUMIFS(Honor!$I$2:$I905,Honor!$K$2:$K905,$D237&amp;"-"&amp;R237),"")</f>
        <v/>
      </c>
      <c r="J237" s="9" t="str">
        <f t="shared" si="6"/>
        <v/>
      </c>
      <c r="K237" s="10" t="str">
        <f t="shared" si="0"/>
        <v/>
      </c>
      <c r="L237" s="10" t="str">
        <f t="shared" si="1"/>
        <v/>
      </c>
      <c r="M237" s="10" t="str">
        <f>IF(W237=1,IF(AND(U237&lt;2,INT(V237)&lt;='Batasan Honor'!$B$2),1,0),"")</f>
        <v/>
      </c>
      <c r="O237" s="10" t="str">
        <f t="shared" si="2"/>
        <v/>
      </c>
      <c r="P237" s="10" t="str">
        <f t="shared" si="3"/>
        <v/>
      </c>
      <c r="R237" s="23"/>
      <c r="S237" s="10" t="str">
        <f t="shared" si="4"/>
        <v/>
      </c>
      <c r="U237" s="10" t="str">
        <f ca="1">IFERROR(__xludf.DUMMYFUNCTION("if(W237=1,COUNTIFS(FILTER($H$2:$H905,$H$2:$H905=""OB"",$S$2:$S905=S237),""OB""),"""")"),"")</f>
        <v/>
      </c>
      <c r="V237" s="10" t="str">
        <f ca="1">IFERROR(__xludf.DUMMYFUNCTION("IF(OR(ISNA(SUM(FILTER($K$2:$K905,$A$2:$A905=A237,$S$2:$S905=S237,$H$2:$H905&lt;&gt;""OB""))),W237&lt;&gt;1),"""",SUM(FILTER($K$2:$K905,$A$2:$A905=A237,$S$2:$S905=S237,$H$2:$H905&lt;&gt;""OB"")))"),"")</f>
        <v/>
      </c>
      <c r="W237" s="10" t="str">
        <f t="shared" si="5"/>
        <v/>
      </c>
    </row>
    <row r="238" spans="1:23" ht="12.5">
      <c r="A238" s="23"/>
      <c r="B238" s="5" t="str">
        <f t="array" ref="B238">IF(W238=1,INDEX('Database Mitra'!$H$2:$H905,MATCH(A238,'Database Mitra'!AK$2:AK905,0)),"")</f>
        <v/>
      </c>
      <c r="C238" s="5" t="str">
        <f t="array" ref="C238">IF(W238=1,INDEX('Database Mitra'!$E$2:$E905,MATCH(A238,'Database Mitra'!AK$2:AK905,0)),"")</f>
        <v/>
      </c>
      <c r="D238" s="23"/>
      <c r="E238" s="5" t="str">
        <f t="array" ref="E238">IF(W238=1,INDEX('Input Kegiatan'!B$2:B905,MATCH($D238,'Input Kegiatan'!$A$2:$A905,0)),"")</f>
        <v/>
      </c>
      <c r="F238" s="5" t="str">
        <f t="array" ref="F238">IF(W238=1,INDEX('Input Kegiatan'!D$2:D905,MATCH($D238,'Input Kegiatan'!$A$2:$A905,0)),"")</f>
        <v/>
      </c>
      <c r="G238" s="5" t="str">
        <f t="array" ref="G238">IF(W238=1,INDEX('Input Kegiatan'!E$2:E905,MATCH($D238,'Input Kegiatan'!$A$2:$A905,0)),"")</f>
        <v/>
      </c>
      <c r="H238" s="5" t="str">
        <f t="array" ref="H238">IF(W238=1,INDEX(Honor!$H$2:$H905,MATCH($D238&amp;"-"&amp;R238,Honor!$K$2:$K905,0)),"")</f>
        <v/>
      </c>
      <c r="I238" s="8" t="str">
        <f>IF(W238=1,SUMIFS(Honor!$I$2:$I905,Honor!$K$2:$K905,$D238&amp;"-"&amp;R238),"")</f>
        <v/>
      </c>
      <c r="J238" s="9" t="str">
        <f t="shared" si="6"/>
        <v/>
      </c>
      <c r="K238" s="10" t="str">
        <f t="shared" si="0"/>
        <v/>
      </c>
      <c r="L238" s="10" t="str">
        <f t="shared" si="1"/>
        <v/>
      </c>
      <c r="M238" s="10" t="str">
        <f>IF(W238=1,IF(AND(U238&lt;2,INT(V238)&lt;='Batasan Honor'!$B$2),1,0),"")</f>
        <v/>
      </c>
      <c r="O238" s="10" t="str">
        <f t="shared" si="2"/>
        <v/>
      </c>
      <c r="P238" s="10" t="str">
        <f t="shared" si="3"/>
        <v/>
      </c>
      <c r="R238" s="23"/>
      <c r="S238" s="10" t="str">
        <f t="shared" si="4"/>
        <v/>
      </c>
      <c r="U238" s="10" t="str">
        <f ca="1">IFERROR(__xludf.DUMMYFUNCTION("if(W238=1,COUNTIFS(FILTER($H$2:$H905,$H$2:$H905=""OB"",$S$2:$S905=S238),""OB""),"""")"),"")</f>
        <v/>
      </c>
      <c r="V238" s="10" t="str">
        <f ca="1">IFERROR(__xludf.DUMMYFUNCTION("IF(OR(ISNA(SUM(FILTER($K$2:$K905,$A$2:$A905=A238,$S$2:$S905=S238,$H$2:$H905&lt;&gt;""OB""))),W238&lt;&gt;1),"""",SUM(FILTER($K$2:$K905,$A$2:$A905=A238,$S$2:$S905=S238,$H$2:$H905&lt;&gt;""OB"")))"),"")</f>
        <v/>
      </c>
      <c r="W238" s="10" t="str">
        <f t="shared" si="5"/>
        <v/>
      </c>
    </row>
    <row r="239" spans="1:23" ht="12.5">
      <c r="A239" s="23"/>
      <c r="B239" s="5" t="str">
        <f t="array" ref="B239">IF(W239=1,INDEX('Database Mitra'!$H$2:$H905,MATCH(A239,'Database Mitra'!AK$2:AK905,0)),"")</f>
        <v/>
      </c>
      <c r="C239" s="5" t="str">
        <f t="array" ref="C239">IF(W239=1,INDEX('Database Mitra'!$E$2:$E905,MATCH(A239,'Database Mitra'!AK$2:AK905,0)),"")</f>
        <v/>
      </c>
      <c r="D239" s="23"/>
      <c r="E239" s="5" t="str">
        <f t="array" ref="E239">IF(W239=1,INDEX('Input Kegiatan'!B$2:B905,MATCH($D239,'Input Kegiatan'!$A$2:$A905,0)),"")</f>
        <v/>
      </c>
      <c r="F239" s="5" t="str">
        <f t="array" ref="F239">IF(W239=1,INDEX('Input Kegiatan'!D$2:D905,MATCH($D239,'Input Kegiatan'!$A$2:$A905,0)),"")</f>
        <v/>
      </c>
      <c r="G239" s="5" t="str">
        <f t="array" ref="G239">IF(W239=1,INDEX('Input Kegiatan'!E$2:E905,MATCH($D239,'Input Kegiatan'!$A$2:$A905,0)),"")</f>
        <v/>
      </c>
      <c r="H239" s="5" t="str">
        <f t="array" ref="H239">IF(W239=1,INDEX(Honor!$H$2:$H905,MATCH($D239&amp;"-"&amp;R239,Honor!$K$2:$K905,0)),"")</f>
        <v/>
      </c>
      <c r="I239" s="8" t="str">
        <f>IF(W239=1,SUMIFS(Honor!$I$2:$I905,Honor!$K$2:$K905,$D239&amp;"-"&amp;R239),"")</f>
        <v/>
      </c>
      <c r="J239" s="9" t="str">
        <f t="shared" si="6"/>
        <v/>
      </c>
      <c r="K239" s="10" t="str">
        <f t="shared" si="0"/>
        <v/>
      </c>
      <c r="L239" s="10" t="str">
        <f t="shared" si="1"/>
        <v/>
      </c>
      <c r="M239" s="10" t="str">
        <f>IF(W239=1,IF(AND(U239&lt;2,INT(V239)&lt;='Batasan Honor'!$B$2),1,0),"")</f>
        <v/>
      </c>
      <c r="O239" s="10" t="str">
        <f t="shared" si="2"/>
        <v/>
      </c>
      <c r="P239" s="10" t="str">
        <f t="shared" si="3"/>
        <v/>
      </c>
      <c r="R239" s="23"/>
      <c r="S239" s="10" t="str">
        <f t="shared" si="4"/>
        <v/>
      </c>
      <c r="U239" s="10" t="str">
        <f ca="1">IFERROR(__xludf.DUMMYFUNCTION("if(W239=1,COUNTIFS(FILTER($H$2:$H905,$H$2:$H905=""OB"",$S$2:$S905=S239),""OB""),"""")"),"")</f>
        <v/>
      </c>
      <c r="V239" s="10" t="str">
        <f ca="1">IFERROR(__xludf.DUMMYFUNCTION("IF(OR(ISNA(SUM(FILTER($K$2:$K905,$A$2:$A905=A239,$S$2:$S905=S239,$H$2:$H905&lt;&gt;""OB""))),W239&lt;&gt;1),"""",SUM(FILTER($K$2:$K905,$A$2:$A905=A239,$S$2:$S905=S239,$H$2:$H905&lt;&gt;""OB"")))"),"")</f>
        <v/>
      </c>
      <c r="W239" s="10" t="str">
        <f t="shared" si="5"/>
        <v/>
      </c>
    </row>
    <row r="240" spans="1:23" ht="12.5">
      <c r="A240" s="23"/>
      <c r="B240" s="5" t="str">
        <f t="array" ref="B240">IF(W240=1,INDEX('Database Mitra'!$H$2:$H905,MATCH(A240,'Database Mitra'!AK$2:AK905,0)),"")</f>
        <v/>
      </c>
      <c r="C240" s="5" t="str">
        <f t="array" ref="C240">IF(W240=1,INDEX('Database Mitra'!$E$2:$E905,MATCH(A240,'Database Mitra'!AK$2:AK905,0)),"")</f>
        <v/>
      </c>
      <c r="D240" s="23"/>
      <c r="E240" s="5" t="str">
        <f t="array" ref="E240">IF(W240=1,INDEX('Input Kegiatan'!B$2:B905,MATCH($D240,'Input Kegiatan'!$A$2:$A905,0)),"")</f>
        <v/>
      </c>
      <c r="F240" s="5" t="str">
        <f t="array" ref="F240">IF(W240=1,INDEX('Input Kegiatan'!D$2:D905,MATCH($D240,'Input Kegiatan'!$A$2:$A905,0)),"")</f>
        <v/>
      </c>
      <c r="G240" s="5" t="str">
        <f t="array" ref="G240">IF(W240=1,INDEX('Input Kegiatan'!E$2:E905,MATCH($D240,'Input Kegiatan'!$A$2:$A905,0)),"")</f>
        <v/>
      </c>
      <c r="H240" s="5" t="str">
        <f t="array" ref="H240">IF(W240=1,INDEX(Honor!$H$2:$H905,MATCH($D240&amp;"-"&amp;R240,Honor!$K$2:$K905,0)),"")</f>
        <v/>
      </c>
      <c r="I240" s="8" t="str">
        <f>IF(W240=1,SUMIFS(Honor!$I$2:$I905,Honor!$K$2:$K905,$D240&amp;"-"&amp;R240),"")</f>
        <v/>
      </c>
      <c r="J240" s="9" t="str">
        <f t="shared" si="6"/>
        <v/>
      </c>
      <c r="K240" s="10" t="str">
        <f t="shared" si="0"/>
        <v/>
      </c>
      <c r="L240" s="10" t="str">
        <f t="shared" si="1"/>
        <v/>
      </c>
      <c r="M240" s="10" t="str">
        <f>IF(W240=1,IF(AND(U240&lt;2,INT(V240)&lt;='Batasan Honor'!$B$2),1,0),"")</f>
        <v/>
      </c>
      <c r="O240" s="10" t="str">
        <f t="shared" si="2"/>
        <v/>
      </c>
      <c r="P240" s="10" t="str">
        <f t="shared" si="3"/>
        <v/>
      </c>
      <c r="R240" s="23"/>
      <c r="S240" s="10" t="str">
        <f t="shared" si="4"/>
        <v/>
      </c>
      <c r="U240" s="10" t="str">
        <f ca="1">IFERROR(__xludf.DUMMYFUNCTION("if(W240=1,COUNTIFS(FILTER($H$2:$H905,$H$2:$H905=""OB"",$S$2:$S905=S240),""OB""),"""")"),"")</f>
        <v/>
      </c>
      <c r="V240" s="10" t="str">
        <f ca="1">IFERROR(__xludf.DUMMYFUNCTION("IF(OR(ISNA(SUM(FILTER($K$2:$K905,$A$2:$A905=A240,$S$2:$S905=S240,$H$2:$H905&lt;&gt;""OB""))),W240&lt;&gt;1),"""",SUM(FILTER($K$2:$K905,$A$2:$A905=A240,$S$2:$S905=S240,$H$2:$H905&lt;&gt;""OB"")))"),"")</f>
        <v/>
      </c>
      <c r="W240" s="10" t="str">
        <f t="shared" si="5"/>
        <v/>
      </c>
    </row>
    <row r="241" spans="1:23" ht="12.5">
      <c r="A241" s="23"/>
      <c r="B241" s="5" t="str">
        <f t="array" ref="B241">IF(W241=1,INDEX('Database Mitra'!$H$2:$H905,MATCH(A241,'Database Mitra'!AK$2:AK905,0)),"")</f>
        <v/>
      </c>
      <c r="C241" s="5" t="str">
        <f t="array" ref="C241">IF(W241=1,INDEX('Database Mitra'!$E$2:$E905,MATCH(A241,'Database Mitra'!AK$2:AK905,0)),"")</f>
        <v/>
      </c>
      <c r="D241" s="23"/>
      <c r="E241" s="5" t="str">
        <f t="array" ref="E241">IF(W241=1,INDEX('Input Kegiatan'!B$2:B905,MATCH($D241,'Input Kegiatan'!$A$2:$A905,0)),"")</f>
        <v/>
      </c>
      <c r="F241" s="5" t="str">
        <f t="array" ref="F241">IF(W241=1,INDEX('Input Kegiatan'!D$2:D905,MATCH($D241,'Input Kegiatan'!$A$2:$A905,0)),"")</f>
        <v/>
      </c>
      <c r="G241" s="5" t="str">
        <f t="array" ref="G241">IF(W241=1,INDEX('Input Kegiatan'!E$2:E905,MATCH($D241,'Input Kegiatan'!$A$2:$A905,0)),"")</f>
        <v/>
      </c>
      <c r="H241" s="5" t="str">
        <f t="array" ref="H241">IF(W241=1,INDEX(Honor!$H$2:$H905,MATCH($D241&amp;"-"&amp;R241,Honor!$K$2:$K905,0)),"")</f>
        <v/>
      </c>
      <c r="I241" s="8" t="str">
        <f>IF(W241=1,SUMIFS(Honor!$I$2:$I905,Honor!$K$2:$K905,$D241&amp;"-"&amp;R241),"")</f>
        <v/>
      </c>
      <c r="J241" s="9" t="str">
        <f t="shared" si="6"/>
        <v/>
      </c>
      <c r="K241" s="10" t="str">
        <f t="shared" si="0"/>
        <v/>
      </c>
      <c r="L241" s="10" t="str">
        <f t="shared" si="1"/>
        <v/>
      </c>
      <c r="M241" s="10" t="str">
        <f>IF(W241=1,IF(AND(U241&lt;2,INT(V241)&lt;='Batasan Honor'!$B$2),1,0),"")</f>
        <v/>
      </c>
      <c r="O241" s="10" t="str">
        <f t="shared" si="2"/>
        <v/>
      </c>
      <c r="P241" s="10" t="str">
        <f t="shared" si="3"/>
        <v/>
      </c>
      <c r="R241" s="23"/>
      <c r="S241" s="10" t="str">
        <f t="shared" si="4"/>
        <v/>
      </c>
      <c r="U241" s="10" t="str">
        <f ca="1">IFERROR(__xludf.DUMMYFUNCTION("if(W241=1,COUNTIFS(FILTER($H$2:$H905,$H$2:$H905=""OB"",$S$2:$S905=S241),""OB""),"""")"),"")</f>
        <v/>
      </c>
      <c r="V241" s="10" t="str">
        <f ca="1">IFERROR(__xludf.DUMMYFUNCTION("IF(OR(ISNA(SUM(FILTER($K$2:$K905,$A$2:$A905=A241,$S$2:$S905=S241,$H$2:$H905&lt;&gt;""OB""))),W241&lt;&gt;1),"""",SUM(FILTER($K$2:$K905,$A$2:$A905=A241,$S$2:$S905=S241,$H$2:$H905&lt;&gt;""OB"")))"),"")</f>
        <v/>
      </c>
      <c r="W241" s="10" t="str">
        <f t="shared" si="5"/>
        <v/>
      </c>
    </row>
    <row r="242" spans="1:23" ht="12.5">
      <c r="A242" s="23"/>
      <c r="B242" s="5" t="str">
        <f t="array" ref="B242">IF(W242=1,INDEX('Database Mitra'!$H$2:$H905,MATCH(A242,'Database Mitra'!AK$2:AK905,0)),"")</f>
        <v/>
      </c>
      <c r="C242" s="5" t="str">
        <f t="array" ref="C242">IF(W242=1,INDEX('Database Mitra'!$E$2:$E905,MATCH(A242,'Database Mitra'!AK$2:AK905,0)),"")</f>
        <v/>
      </c>
      <c r="D242" s="23"/>
      <c r="E242" s="5" t="str">
        <f t="array" ref="E242">IF(W242=1,INDEX('Input Kegiatan'!B$2:B905,MATCH($D242,'Input Kegiatan'!$A$2:$A905,0)),"")</f>
        <v/>
      </c>
      <c r="F242" s="5" t="str">
        <f t="array" ref="F242">IF(W242=1,INDEX('Input Kegiatan'!D$2:D905,MATCH($D242,'Input Kegiatan'!$A$2:$A905,0)),"")</f>
        <v/>
      </c>
      <c r="G242" s="5" t="str">
        <f t="array" ref="G242">IF(W242=1,INDEX('Input Kegiatan'!E$2:E905,MATCH($D242,'Input Kegiatan'!$A$2:$A905,0)),"")</f>
        <v/>
      </c>
      <c r="H242" s="5" t="str">
        <f t="array" ref="H242">IF(W242=1,INDEX(Honor!$H$2:$H905,MATCH($D242&amp;"-"&amp;R242,Honor!$K$2:$K905,0)),"")</f>
        <v/>
      </c>
      <c r="I242" s="8" t="str">
        <f>IF(W242=1,SUMIFS(Honor!$I$2:$I905,Honor!$K$2:$K905,$D242&amp;"-"&amp;R242),"")</f>
        <v/>
      </c>
      <c r="J242" s="9" t="str">
        <f t="shared" si="6"/>
        <v/>
      </c>
      <c r="K242" s="10" t="str">
        <f t="shared" si="0"/>
        <v/>
      </c>
      <c r="L242" s="10" t="str">
        <f t="shared" si="1"/>
        <v/>
      </c>
      <c r="M242" s="10" t="str">
        <f>IF(W242=1,IF(AND(U242&lt;2,INT(V242)&lt;='Batasan Honor'!$B$2),1,0),"")</f>
        <v/>
      </c>
      <c r="O242" s="10" t="str">
        <f t="shared" si="2"/>
        <v/>
      </c>
      <c r="P242" s="10" t="str">
        <f t="shared" si="3"/>
        <v/>
      </c>
      <c r="R242" s="23"/>
      <c r="S242" s="10" t="str">
        <f t="shared" si="4"/>
        <v/>
      </c>
      <c r="U242" s="10" t="str">
        <f ca="1">IFERROR(__xludf.DUMMYFUNCTION("if(W242=1,COUNTIFS(FILTER($H$2:$H905,$H$2:$H905=""OB"",$S$2:$S905=S242),""OB""),"""")"),"")</f>
        <v/>
      </c>
      <c r="V242" s="10" t="str">
        <f ca="1">IFERROR(__xludf.DUMMYFUNCTION("IF(OR(ISNA(SUM(FILTER($K$2:$K905,$A$2:$A905=A242,$S$2:$S905=S242,$H$2:$H905&lt;&gt;""OB""))),W242&lt;&gt;1),"""",SUM(FILTER($K$2:$K905,$A$2:$A905=A242,$S$2:$S905=S242,$H$2:$H905&lt;&gt;""OB"")))"),"")</f>
        <v/>
      </c>
      <c r="W242" s="10" t="str">
        <f t="shared" si="5"/>
        <v/>
      </c>
    </row>
    <row r="243" spans="1:23" ht="12.5">
      <c r="A243" s="23"/>
      <c r="B243" s="5" t="str">
        <f t="array" ref="B243">IF(W243=1,INDEX('Database Mitra'!$H$2:$H905,MATCH(A243,'Database Mitra'!AK$2:AK905,0)),"")</f>
        <v/>
      </c>
      <c r="C243" s="5" t="str">
        <f t="array" ref="C243">IF(W243=1,INDEX('Database Mitra'!$E$2:$E905,MATCH(A243,'Database Mitra'!AK$2:AK905,0)),"")</f>
        <v/>
      </c>
      <c r="D243" s="23"/>
      <c r="E243" s="5" t="str">
        <f t="array" ref="E243">IF(W243=1,INDEX('Input Kegiatan'!B$2:B905,MATCH($D243,'Input Kegiatan'!$A$2:$A905,0)),"")</f>
        <v/>
      </c>
      <c r="F243" s="5" t="str">
        <f t="array" ref="F243">IF(W243=1,INDEX('Input Kegiatan'!D$2:D905,MATCH($D243,'Input Kegiatan'!$A$2:$A905,0)),"")</f>
        <v/>
      </c>
      <c r="G243" s="5" t="str">
        <f t="array" ref="G243">IF(W243=1,INDEX('Input Kegiatan'!E$2:E905,MATCH($D243,'Input Kegiatan'!$A$2:$A905,0)),"")</f>
        <v/>
      </c>
      <c r="H243" s="5" t="str">
        <f t="array" ref="H243">IF(W243=1,INDEX(Honor!$H$2:$H905,MATCH($D243&amp;"-"&amp;R243,Honor!$K$2:$K905,0)),"")</f>
        <v/>
      </c>
      <c r="I243" s="8" t="str">
        <f>IF(W243=1,SUMIFS(Honor!$I$2:$I905,Honor!$K$2:$K905,$D243&amp;"-"&amp;R243),"")</f>
        <v/>
      </c>
      <c r="J243" s="9" t="str">
        <f t="shared" si="6"/>
        <v/>
      </c>
      <c r="K243" s="10" t="str">
        <f t="shared" si="0"/>
        <v/>
      </c>
      <c r="L243" s="10" t="str">
        <f t="shared" si="1"/>
        <v/>
      </c>
      <c r="M243" s="10" t="str">
        <f>IF(W243=1,IF(AND(U243&lt;2,INT(V243)&lt;='Batasan Honor'!$B$2),1,0),"")</f>
        <v/>
      </c>
      <c r="O243" s="10" t="str">
        <f t="shared" si="2"/>
        <v/>
      </c>
      <c r="P243" s="10" t="str">
        <f t="shared" si="3"/>
        <v/>
      </c>
      <c r="R243" s="23"/>
      <c r="S243" s="10" t="str">
        <f t="shared" si="4"/>
        <v/>
      </c>
      <c r="U243" s="10" t="str">
        <f ca="1">IFERROR(__xludf.DUMMYFUNCTION("if(W243=1,COUNTIFS(FILTER($H$2:$H905,$H$2:$H905=""OB"",$S$2:$S905=S243),""OB""),"""")"),"")</f>
        <v/>
      </c>
      <c r="V243" s="10" t="str">
        <f ca="1">IFERROR(__xludf.DUMMYFUNCTION("IF(OR(ISNA(SUM(FILTER($K$2:$K905,$A$2:$A905=A243,$S$2:$S905=S243,$H$2:$H905&lt;&gt;""OB""))),W243&lt;&gt;1),"""",SUM(FILTER($K$2:$K905,$A$2:$A905=A243,$S$2:$S905=S243,$H$2:$H905&lt;&gt;""OB"")))"),"")</f>
        <v/>
      </c>
      <c r="W243" s="10" t="str">
        <f t="shared" si="5"/>
        <v/>
      </c>
    </row>
    <row r="244" spans="1:23" ht="12.5">
      <c r="A244" s="23"/>
      <c r="B244" s="5" t="str">
        <f t="array" ref="B244">IF(W244=1,INDEX('Database Mitra'!$H$2:$H905,MATCH(A244,'Database Mitra'!AK$2:AK905,0)),"")</f>
        <v/>
      </c>
      <c r="C244" s="5" t="str">
        <f t="array" ref="C244">IF(W244=1,INDEX('Database Mitra'!$E$2:$E905,MATCH(A244,'Database Mitra'!AK$2:AK905,0)),"")</f>
        <v/>
      </c>
      <c r="D244" s="23"/>
      <c r="E244" s="5" t="str">
        <f t="array" ref="E244">IF(W244=1,INDEX('Input Kegiatan'!B$2:B905,MATCH($D244,'Input Kegiatan'!$A$2:$A905,0)),"")</f>
        <v/>
      </c>
      <c r="F244" s="5" t="str">
        <f t="array" ref="F244">IF(W244=1,INDEX('Input Kegiatan'!D$2:D905,MATCH($D244,'Input Kegiatan'!$A$2:$A905,0)),"")</f>
        <v/>
      </c>
      <c r="G244" s="5" t="str">
        <f t="array" ref="G244">IF(W244=1,INDEX('Input Kegiatan'!E$2:E905,MATCH($D244,'Input Kegiatan'!$A$2:$A905,0)),"")</f>
        <v/>
      </c>
      <c r="H244" s="5" t="str">
        <f t="array" ref="H244">IF(W244=1,INDEX(Honor!$H$2:$H905,MATCH($D244&amp;"-"&amp;R244,Honor!$K$2:$K905,0)),"")</f>
        <v/>
      </c>
      <c r="I244" s="8" t="str">
        <f>IF(W244=1,SUMIFS(Honor!$I$2:$I905,Honor!$K$2:$K905,$D244&amp;"-"&amp;R244),"")</f>
        <v/>
      </c>
      <c r="J244" s="9" t="str">
        <f t="shared" si="6"/>
        <v/>
      </c>
      <c r="K244" s="10" t="str">
        <f t="shared" si="0"/>
        <v/>
      </c>
      <c r="L244" s="10" t="str">
        <f t="shared" si="1"/>
        <v/>
      </c>
      <c r="M244" s="10" t="str">
        <f>IF(W244=1,IF(AND(U244&lt;2,INT(V244)&lt;='Batasan Honor'!$B$2),1,0),"")</f>
        <v/>
      </c>
      <c r="O244" s="10" t="str">
        <f t="shared" si="2"/>
        <v/>
      </c>
      <c r="P244" s="10" t="str">
        <f t="shared" si="3"/>
        <v/>
      </c>
      <c r="R244" s="23"/>
      <c r="S244" s="10" t="str">
        <f t="shared" si="4"/>
        <v/>
      </c>
      <c r="U244" s="10" t="str">
        <f ca="1">IFERROR(__xludf.DUMMYFUNCTION("if(W244=1,COUNTIFS(FILTER($H$2:$H905,$H$2:$H905=""OB"",$S$2:$S905=S244),""OB""),"""")"),"")</f>
        <v/>
      </c>
      <c r="V244" s="10" t="str">
        <f ca="1">IFERROR(__xludf.DUMMYFUNCTION("IF(OR(ISNA(SUM(FILTER($K$2:$K905,$A$2:$A905=A244,$S$2:$S905=S244,$H$2:$H905&lt;&gt;""OB""))),W244&lt;&gt;1),"""",SUM(FILTER($K$2:$K905,$A$2:$A905=A244,$S$2:$S905=S244,$H$2:$H905&lt;&gt;""OB"")))"),"")</f>
        <v/>
      </c>
      <c r="W244" s="10" t="str">
        <f t="shared" si="5"/>
        <v/>
      </c>
    </row>
    <row r="245" spans="1:23" ht="12.5">
      <c r="A245" s="23"/>
      <c r="B245" s="5" t="str">
        <f t="array" ref="B245">IF(W245=1,INDEX('Database Mitra'!$H$2:$H905,MATCH(A245,'Database Mitra'!AK$2:AK905,0)),"")</f>
        <v/>
      </c>
      <c r="C245" s="5" t="str">
        <f t="array" ref="C245">IF(W245=1,INDEX('Database Mitra'!$E$2:$E905,MATCH(A245,'Database Mitra'!AK$2:AK905,0)),"")</f>
        <v/>
      </c>
      <c r="D245" s="23"/>
      <c r="E245" s="5" t="str">
        <f t="array" ref="E245">IF(W245=1,INDEX('Input Kegiatan'!B$2:B905,MATCH($D245,'Input Kegiatan'!$A$2:$A905,0)),"")</f>
        <v/>
      </c>
      <c r="F245" s="5" t="str">
        <f t="array" ref="F245">IF(W245=1,INDEX('Input Kegiatan'!D$2:D905,MATCH($D245,'Input Kegiatan'!$A$2:$A905,0)),"")</f>
        <v/>
      </c>
      <c r="G245" s="5" t="str">
        <f t="array" ref="G245">IF(W245=1,INDEX('Input Kegiatan'!E$2:E905,MATCH($D245,'Input Kegiatan'!$A$2:$A905,0)),"")</f>
        <v/>
      </c>
      <c r="H245" s="5" t="str">
        <f t="array" ref="H245">IF(W245=1,INDEX(Honor!$H$2:$H905,MATCH($D245&amp;"-"&amp;R245,Honor!$K$2:$K905,0)),"")</f>
        <v/>
      </c>
      <c r="I245" s="8" t="str">
        <f>IF(W245=1,SUMIFS(Honor!$I$2:$I905,Honor!$K$2:$K905,$D245&amp;"-"&amp;R245),"")</f>
        <v/>
      </c>
      <c r="J245" s="9" t="str">
        <f t="shared" si="6"/>
        <v/>
      </c>
      <c r="K245" s="10" t="str">
        <f t="shared" si="0"/>
        <v/>
      </c>
      <c r="L245" s="10" t="str">
        <f t="shared" si="1"/>
        <v/>
      </c>
      <c r="M245" s="10" t="str">
        <f>IF(W245=1,IF(AND(U245&lt;2,INT(V245)&lt;='Batasan Honor'!$B$2),1,0),"")</f>
        <v/>
      </c>
      <c r="O245" s="10" t="str">
        <f t="shared" si="2"/>
        <v/>
      </c>
      <c r="P245" s="10" t="str">
        <f t="shared" si="3"/>
        <v/>
      </c>
      <c r="R245" s="23"/>
      <c r="S245" s="10" t="str">
        <f t="shared" si="4"/>
        <v/>
      </c>
      <c r="U245" s="10" t="str">
        <f ca="1">IFERROR(__xludf.DUMMYFUNCTION("if(W245=1,COUNTIFS(FILTER($H$2:$H905,$H$2:$H905=""OB"",$S$2:$S905=S245),""OB""),"""")"),"")</f>
        <v/>
      </c>
      <c r="V245" s="10" t="str">
        <f ca="1">IFERROR(__xludf.DUMMYFUNCTION("IF(OR(ISNA(SUM(FILTER($K$2:$K905,$A$2:$A905=A245,$S$2:$S905=S245,$H$2:$H905&lt;&gt;""OB""))),W245&lt;&gt;1),"""",SUM(FILTER($K$2:$K905,$A$2:$A905=A245,$S$2:$S905=S245,$H$2:$H905&lt;&gt;""OB"")))"),"")</f>
        <v/>
      </c>
      <c r="W245" s="10" t="str">
        <f t="shared" si="5"/>
        <v/>
      </c>
    </row>
    <row r="246" spans="1:23" ht="12.5">
      <c r="A246" s="23"/>
      <c r="B246" s="5" t="str">
        <f t="array" ref="B246">IF(W246=1,INDEX('Database Mitra'!$H$2:$H905,MATCH(A246,'Database Mitra'!AK$2:AK905,0)),"")</f>
        <v/>
      </c>
      <c r="C246" s="5" t="str">
        <f t="array" ref="C246">IF(W246=1,INDEX('Database Mitra'!$E$2:$E905,MATCH(A246,'Database Mitra'!AK$2:AK905,0)),"")</f>
        <v/>
      </c>
      <c r="D246" s="23"/>
      <c r="E246" s="5" t="str">
        <f t="array" ref="E246">IF(W246=1,INDEX('Input Kegiatan'!B$2:B905,MATCH($D246,'Input Kegiatan'!$A$2:$A905,0)),"")</f>
        <v/>
      </c>
      <c r="F246" s="5" t="str">
        <f t="array" ref="F246">IF(W246=1,INDEX('Input Kegiatan'!D$2:D905,MATCH($D246,'Input Kegiatan'!$A$2:$A905,0)),"")</f>
        <v/>
      </c>
      <c r="G246" s="5" t="str">
        <f t="array" ref="G246">IF(W246=1,INDEX('Input Kegiatan'!E$2:E905,MATCH($D246,'Input Kegiatan'!$A$2:$A905,0)),"")</f>
        <v/>
      </c>
      <c r="H246" s="5" t="str">
        <f t="array" ref="H246">IF(W246=1,INDEX(Honor!$H$2:$H905,MATCH($D246&amp;"-"&amp;R246,Honor!$K$2:$K905,0)),"")</f>
        <v/>
      </c>
      <c r="I246" s="8" t="str">
        <f>IF(W246=1,SUMIFS(Honor!$I$2:$I905,Honor!$K$2:$K905,$D246&amp;"-"&amp;R246),"")</f>
        <v/>
      </c>
      <c r="J246" s="9" t="str">
        <f t="shared" si="6"/>
        <v/>
      </c>
      <c r="K246" s="10" t="str">
        <f t="shared" si="0"/>
        <v/>
      </c>
      <c r="L246" s="10" t="str">
        <f t="shared" si="1"/>
        <v/>
      </c>
      <c r="M246" s="10" t="str">
        <f>IF(W246=1,IF(AND(U246&lt;2,INT(V246)&lt;='Batasan Honor'!$B$2),1,0),"")</f>
        <v/>
      </c>
      <c r="O246" s="10" t="str">
        <f t="shared" si="2"/>
        <v/>
      </c>
      <c r="P246" s="10" t="str">
        <f t="shared" si="3"/>
        <v/>
      </c>
      <c r="R246" s="23"/>
      <c r="S246" s="10" t="str">
        <f t="shared" si="4"/>
        <v/>
      </c>
      <c r="U246" s="10" t="str">
        <f ca="1">IFERROR(__xludf.DUMMYFUNCTION("if(W246=1,COUNTIFS(FILTER($H$2:$H905,$H$2:$H905=""OB"",$S$2:$S905=S246),""OB""),"""")"),"")</f>
        <v/>
      </c>
      <c r="V246" s="10" t="str">
        <f ca="1">IFERROR(__xludf.DUMMYFUNCTION("IF(OR(ISNA(SUM(FILTER($K$2:$K905,$A$2:$A905=A246,$S$2:$S905=S246,$H$2:$H905&lt;&gt;""OB""))),W246&lt;&gt;1),"""",SUM(FILTER($K$2:$K905,$A$2:$A905=A246,$S$2:$S905=S246,$H$2:$H905&lt;&gt;""OB"")))"),"")</f>
        <v/>
      </c>
      <c r="W246" s="10" t="str">
        <f t="shared" si="5"/>
        <v/>
      </c>
    </row>
    <row r="247" spans="1:23" ht="12.5">
      <c r="A247" s="23"/>
      <c r="B247" s="5" t="str">
        <f t="array" ref="B247">IF(W247=1,INDEX('Database Mitra'!$H$2:$H905,MATCH(A247,'Database Mitra'!AK$2:AK905,0)),"")</f>
        <v/>
      </c>
      <c r="C247" s="5" t="str">
        <f t="array" ref="C247">IF(W247=1,INDEX('Database Mitra'!$E$2:$E905,MATCH(A247,'Database Mitra'!AK$2:AK905,0)),"")</f>
        <v/>
      </c>
      <c r="D247" s="23"/>
      <c r="E247" s="5" t="str">
        <f t="array" ref="E247">IF(W247=1,INDEX('Input Kegiatan'!B$2:B905,MATCH($D247,'Input Kegiatan'!$A$2:$A905,0)),"")</f>
        <v/>
      </c>
      <c r="F247" s="5" t="str">
        <f t="array" ref="F247">IF(W247=1,INDEX('Input Kegiatan'!D$2:D905,MATCH($D247,'Input Kegiatan'!$A$2:$A905,0)),"")</f>
        <v/>
      </c>
      <c r="G247" s="5" t="str">
        <f t="array" ref="G247">IF(W247=1,INDEX('Input Kegiatan'!E$2:E905,MATCH($D247,'Input Kegiatan'!$A$2:$A905,0)),"")</f>
        <v/>
      </c>
      <c r="H247" s="5" t="str">
        <f t="array" ref="H247">IF(W247=1,INDEX(Honor!$H$2:$H905,MATCH($D247&amp;"-"&amp;R247,Honor!$K$2:$K905,0)),"")</f>
        <v/>
      </c>
      <c r="I247" s="8" t="str">
        <f>IF(W247=1,SUMIFS(Honor!$I$2:$I905,Honor!$K$2:$K905,$D247&amp;"-"&amp;R247),"")</f>
        <v/>
      </c>
      <c r="J247" s="9" t="str">
        <f t="shared" si="6"/>
        <v/>
      </c>
      <c r="K247" s="10" t="str">
        <f t="shared" si="0"/>
        <v/>
      </c>
      <c r="L247" s="10" t="str">
        <f t="shared" si="1"/>
        <v/>
      </c>
      <c r="M247" s="10" t="str">
        <f>IF(W247=1,IF(AND(U247&lt;2,INT(V247)&lt;='Batasan Honor'!$B$2),1,0),"")</f>
        <v/>
      </c>
      <c r="O247" s="10" t="str">
        <f t="shared" si="2"/>
        <v/>
      </c>
      <c r="P247" s="10" t="str">
        <f t="shared" si="3"/>
        <v/>
      </c>
      <c r="R247" s="23"/>
      <c r="S247" s="10" t="str">
        <f t="shared" si="4"/>
        <v/>
      </c>
      <c r="U247" s="10" t="str">
        <f ca="1">IFERROR(__xludf.DUMMYFUNCTION("if(W247=1,COUNTIFS(FILTER($H$2:$H905,$H$2:$H905=""OB"",$S$2:$S905=S247),""OB""),"""")"),"")</f>
        <v/>
      </c>
      <c r="V247" s="10" t="str">
        <f ca="1">IFERROR(__xludf.DUMMYFUNCTION("IF(OR(ISNA(SUM(FILTER($K$2:$K905,$A$2:$A905=A247,$S$2:$S905=S247,$H$2:$H905&lt;&gt;""OB""))),W247&lt;&gt;1),"""",SUM(FILTER($K$2:$K905,$A$2:$A905=A247,$S$2:$S905=S247,$H$2:$H905&lt;&gt;""OB"")))"),"")</f>
        <v/>
      </c>
      <c r="W247" s="10" t="str">
        <f t="shared" si="5"/>
        <v/>
      </c>
    </row>
    <row r="248" spans="1:23" ht="12.5">
      <c r="A248" s="23"/>
      <c r="B248" s="5" t="str">
        <f t="array" ref="B248">IF(W248=1,INDEX('Database Mitra'!$H$2:$H905,MATCH(A248,'Database Mitra'!AK$2:AK905,0)),"")</f>
        <v/>
      </c>
      <c r="C248" s="5" t="str">
        <f t="array" ref="C248">IF(W248=1,INDEX('Database Mitra'!$E$2:$E905,MATCH(A248,'Database Mitra'!AK$2:AK905,0)),"")</f>
        <v/>
      </c>
      <c r="D248" s="23"/>
      <c r="E248" s="5" t="str">
        <f t="array" ref="E248">IF(W248=1,INDEX('Input Kegiatan'!B$2:B905,MATCH($D248,'Input Kegiatan'!$A$2:$A905,0)),"")</f>
        <v/>
      </c>
      <c r="F248" s="5" t="str">
        <f t="array" ref="F248">IF(W248=1,INDEX('Input Kegiatan'!D$2:D905,MATCH($D248,'Input Kegiatan'!$A$2:$A905,0)),"")</f>
        <v/>
      </c>
      <c r="G248" s="5" t="str">
        <f t="array" ref="G248">IF(W248=1,INDEX('Input Kegiatan'!E$2:E905,MATCH($D248,'Input Kegiatan'!$A$2:$A905,0)),"")</f>
        <v/>
      </c>
      <c r="H248" s="5" t="str">
        <f t="array" ref="H248">IF(W248=1,INDEX(Honor!$H$2:$H905,MATCH($D248&amp;"-"&amp;R248,Honor!$K$2:$K905,0)),"")</f>
        <v/>
      </c>
      <c r="I248" s="8" t="str">
        <f>IF(W248=1,SUMIFS(Honor!$I$2:$I905,Honor!$K$2:$K905,$D248&amp;"-"&amp;R248),"")</f>
        <v/>
      </c>
      <c r="J248" s="9" t="str">
        <f t="shared" si="6"/>
        <v/>
      </c>
      <c r="K248" s="10" t="str">
        <f t="shared" si="0"/>
        <v/>
      </c>
      <c r="L248" s="10" t="str">
        <f t="shared" si="1"/>
        <v/>
      </c>
      <c r="M248" s="10" t="str">
        <f>IF(W248=1,IF(AND(U248&lt;2,INT(V248)&lt;='Batasan Honor'!$B$2),1,0),"")</f>
        <v/>
      </c>
      <c r="O248" s="10" t="str">
        <f t="shared" si="2"/>
        <v/>
      </c>
      <c r="P248" s="10" t="str">
        <f t="shared" si="3"/>
        <v/>
      </c>
      <c r="R248" s="23"/>
      <c r="S248" s="10" t="str">
        <f t="shared" si="4"/>
        <v/>
      </c>
      <c r="U248" s="10" t="str">
        <f ca="1">IFERROR(__xludf.DUMMYFUNCTION("if(W248=1,COUNTIFS(FILTER($H$2:$H905,$H$2:$H905=""OB"",$S$2:$S905=S248),""OB""),"""")"),"")</f>
        <v/>
      </c>
      <c r="V248" s="10" t="str">
        <f ca="1">IFERROR(__xludf.DUMMYFUNCTION("IF(OR(ISNA(SUM(FILTER($K$2:$K905,$A$2:$A905=A248,$S$2:$S905=S248,$H$2:$H905&lt;&gt;""OB""))),W248&lt;&gt;1),"""",SUM(FILTER($K$2:$K905,$A$2:$A905=A248,$S$2:$S905=S248,$H$2:$H905&lt;&gt;""OB"")))"),"")</f>
        <v/>
      </c>
      <c r="W248" s="10" t="str">
        <f t="shared" si="5"/>
        <v/>
      </c>
    </row>
    <row r="249" spans="1:23" ht="12.5">
      <c r="A249" s="23"/>
      <c r="B249" s="5" t="str">
        <f t="array" ref="B249">IF(W249=1,INDEX('Database Mitra'!$H$2:$H905,MATCH(A249,'Database Mitra'!AK$2:AK905,0)),"")</f>
        <v/>
      </c>
      <c r="C249" s="5" t="str">
        <f t="array" ref="C249">IF(W249=1,INDEX('Database Mitra'!$E$2:$E905,MATCH(A249,'Database Mitra'!AK$2:AK905,0)),"")</f>
        <v/>
      </c>
      <c r="D249" s="23"/>
      <c r="E249" s="5" t="str">
        <f t="array" ref="E249">IF(W249=1,INDEX('Input Kegiatan'!B$2:B905,MATCH($D249,'Input Kegiatan'!$A$2:$A905,0)),"")</f>
        <v/>
      </c>
      <c r="F249" s="5" t="str">
        <f t="array" ref="F249">IF(W249=1,INDEX('Input Kegiatan'!D$2:D905,MATCH($D249,'Input Kegiatan'!$A$2:$A905,0)),"")</f>
        <v/>
      </c>
      <c r="G249" s="5" t="str">
        <f t="array" ref="G249">IF(W249=1,INDEX('Input Kegiatan'!E$2:E905,MATCH($D249,'Input Kegiatan'!$A$2:$A905,0)),"")</f>
        <v/>
      </c>
      <c r="H249" s="5" t="str">
        <f t="array" ref="H249">IF(W249=1,INDEX(Honor!$H$2:$H905,MATCH($D249&amp;"-"&amp;R249,Honor!$K$2:$K905,0)),"")</f>
        <v/>
      </c>
      <c r="I249" s="8" t="str">
        <f>IF(W249=1,SUMIFS(Honor!$I$2:$I905,Honor!$K$2:$K905,$D249&amp;"-"&amp;R249),"")</f>
        <v/>
      </c>
      <c r="J249" s="9" t="str">
        <f t="shared" si="6"/>
        <v/>
      </c>
      <c r="K249" s="10" t="str">
        <f t="shared" si="0"/>
        <v/>
      </c>
      <c r="L249" s="10" t="str">
        <f t="shared" si="1"/>
        <v/>
      </c>
      <c r="M249" s="10" t="str">
        <f>IF(W249=1,IF(AND(U249&lt;2,INT(V249)&lt;='Batasan Honor'!$B$2),1,0),"")</f>
        <v/>
      </c>
      <c r="O249" s="10" t="str">
        <f t="shared" si="2"/>
        <v/>
      </c>
      <c r="P249" s="10" t="str">
        <f t="shared" si="3"/>
        <v/>
      </c>
      <c r="R249" s="23"/>
      <c r="S249" s="10" t="str">
        <f t="shared" si="4"/>
        <v/>
      </c>
      <c r="U249" s="10" t="str">
        <f ca="1">IFERROR(__xludf.DUMMYFUNCTION("if(W249=1,COUNTIFS(FILTER($H$2:$H905,$H$2:$H905=""OB"",$S$2:$S905=S249),""OB""),"""")"),"")</f>
        <v/>
      </c>
      <c r="V249" s="10" t="str">
        <f ca="1">IFERROR(__xludf.DUMMYFUNCTION("IF(OR(ISNA(SUM(FILTER($K$2:$K905,$A$2:$A905=A249,$S$2:$S905=S249,$H$2:$H905&lt;&gt;""OB""))),W249&lt;&gt;1),"""",SUM(FILTER($K$2:$K905,$A$2:$A905=A249,$S$2:$S905=S249,$H$2:$H905&lt;&gt;""OB"")))"),"")</f>
        <v/>
      </c>
      <c r="W249" s="10" t="str">
        <f t="shared" si="5"/>
        <v/>
      </c>
    </row>
    <row r="250" spans="1:23" ht="12.5">
      <c r="A250" s="23"/>
      <c r="B250" s="5" t="str">
        <f t="array" ref="B250">IF(W250=1,INDEX('Database Mitra'!$H$2:$H905,MATCH(A250,'Database Mitra'!AK$2:AK905,0)),"")</f>
        <v/>
      </c>
      <c r="C250" s="5" t="str">
        <f t="array" ref="C250">IF(W250=1,INDEX('Database Mitra'!$E$2:$E905,MATCH(A250,'Database Mitra'!AK$2:AK905,0)),"")</f>
        <v/>
      </c>
      <c r="D250" s="23"/>
      <c r="E250" s="5" t="str">
        <f t="array" ref="E250">IF(W250=1,INDEX('Input Kegiatan'!B$2:B905,MATCH($D250,'Input Kegiatan'!$A$2:$A905,0)),"")</f>
        <v/>
      </c>
      <c r="F250" s="5" t="str">
        <f t="array" ref="F250">IF(W250=1,INDEX('Input Kegiatan'!D$2:D905,MATCH($D250,'Input Kegiatan'!$A$2:$A905,0)),"")</f>
        <v/>
      </c>
      <c r="G250" s="5" t="str">
        <f t="array" ref="G250">IF(W250=1,INDEX('Input Kegiatan'!E$2:E905,MATCH($D250,'Input Kegiatan'!$A$2:$A905,0)),"")</f>
        <v/>
      </c>
      <c r="H250" s="5" t="str">
        <f t="array" ref="H250">IF(W250=1,INDEX(Honor!$H$2:$H905,MATCH($D250&amp;"-"&amp;R250,Honor!$K$2:$K905,0)),"")</f>
        <v/>
      </c>
      <c r="I250" s="8" t="str">
        <f>IF(W250=1,SUMIFS(Honor!$I$2:$I905,Honor!$K$2:$K905,$D250&amp;"-"&amp;R250),"")</f>
        <v/>
      </c>
      <c r="J250" s="9" t="str">
        <f t="shared" si="6"/>
        <v/>
      </c>
      <c r="K250" s="10" t="str">
        <f t="shared" si="0"/>
        <v/>
      </c>
      <c r="L250" s="10" t="str">
        <f t="shared" si="1"/>
        <v/>
      </c>
      <c r="M250" s="10" t="str">
        <f>IF(W250=1,IF(AND(U250&lt;2,INT(V250)&lt;='Batasan Honor'!$B$2),1,0),"")</f>
        <v/>
      </c>
      <c r="O250" s="10" t="str">
        <f t="shared" si="2"/>
        <v/>
      </c>
      <c r="P250" s="10" t="str">
        <f t="shared" si="3"/>
        <v/>
      </c>
      <c r="R250" s="23"/>
      <c r="S250" s="10" t="str">
        <f t="shared" si="4"/>
        <v/>
      </c>
      <c r="U250" s="10" t="str">
        <f ca="1">IFERROR(__xludf.DUMMYFUNCTION("if(W250=1,COUNTIFS(FILTER($H$2:$H905,$H$2:$H905=""OB"",$S$2:$S905=S250),""OB""),"""")"),"")</f>
        <v/>
      </c>
      <c r="V250" s="10" t="str">
        <f ca="1">IFERROR(__xludf.DUMMYFUNCTION("IF(OR(ISNA(SUM(FILTER($K$2:$K905,$A$2:$A905=A250,$S$2:$S905=S250,$H$2:$H905&lt;&gt;""OB""))),W250&lt;&gt;1),"""",SUM(FILTER($K$2:$K905,$A$2:$A905=A250,$S$2:$S905=S250,$H$2:$H905&lt;&gt;""OB"")))"),"")</f>
        <v/>
      </c>
      <c r="W250" s="10" t="str">
        <f t="shared" si="5"/>
        <v/>
      </c>
    </row>
    <row r="251" spans="1:23" ht="12.5">
      <c r="A251" s="23"/>
      <c r="B251" s="5" t="str">
        <f t="array" ref="B251">IF(W251=1,INDEX('Database Mitra'!$H$2:$H905,MATCH(A251,'Database Mitra'!AK$2:AK905,0)),"")</f>
        <v/>
      </c>
      <c r="C251" s="5" t="str">
        <f t="array" ref="C251">IF(W251=1,INDEX('Database Mitra'!$E$2:$E905,MATCH(A251,'Database Mitra'!AK$2:AK905,0)),"")</f>
        <v/>
      </c>
      <c r="D251" s="23"/>
      <c r="E251" s="5" t="str">
        <f t="array" ref="E251">IF(W251=1,INDEX('Input Kegiatan'!B$2:B905,MATCH($D251,'Input Kegiatan'!$A$2:$A905,0)),"")</f>
        <v/>
      </c>
      <c r="F251" s="5" t="str">
        <f t="array" ref="F251">IF(W251=1,INDEX('Input Kegiatan'!D$2:D905,MATCH($D251,'Input Kegiatan'!$A$2:$A905,0)),"")</f>
        <v/>
      </c>
      <c r="G251" s="5" t="str">
        <f t="array" ref="G251">IF(W251=1,INDEX('Input Kegiatan'!E$2:E905,MATCH($D251,'Input Kegiatan'!$A$2:$A905,0)),"")</f>
        <v/>
      </c>
      <c r="H251" s="5" t="str">
        <f t="array" ref="H251">IF(W251=1,INDEX(Honor!$H$2:$H905,MATCH($D251&amp;"-"&amp;R251,Honor!$K$2:$K905,0)),"")</f>
        <v/>
      </c>
      <c r="I251" s="8" t="str">
        <f>IF(W251=1,SUMIFS(Honor!$I$2:$I905,Honor!$K$2:$K905,$D251&amp;"-"&amp;R251),"")</f>
        <v/>
      </c>
      <c r="J251" s="9" t="str">
        <f t="shared" si="6"/>
        <v/>
      </c>
      <c r="K251" s="10" t="str">
        <f t="shared" si="0"/>
        <v/>
      </c>
      <c r="L251" s="10" t="str">
        <f t="shared" si="1"/>
        <v/>
      </c>
      <c r="M251" s="10" t="str">
        <f>IF(W251=1,IF(AND(U251&lt;2,INT(V251)&lt;='Batasan Honor'!$B$2),1,0),"")</f>
        <v/>
      </c>
      <c r="O251" s="10" t="str">
        <f t="shared" si="2"/>
        <v/>
      </c>
      <c r="P251" s="10" t="str">
        <f t="shared" si="3"/>
        <v/>
      </c>
      <c r="R251" s="23"/>
      <c r="S251" s="10" t="str">
        <f t="shared" si="4"/>
        <v/>
      </c>
      <c r="U251" s="10" t="str">
        <f ca="1">IFERROR(__xludf.DUMMYFUNCTION("if(W251=1,COUNTIFS(FILTER($H$2:$H905,$H$2:$H905=""OB"",$S$2:$S905=S251),""OB""),"""")"),"")</f>
        <v/>
      </c>
      <c r="V251" s="10" t="str">
        <f ca="1">IFERROR(__xludf.DUMMYFUNCTION("IF(OR(ISNA(SUM(FILTER($K$2:$K905,$A$2:$A905=A251,$S$2:$S905=S251,$H$2:$H905&lt;&gt;""OB""))),W251&lt;&gt;1),"""",SUM(FILTER($K$2:$K905,$A$2:$A905=A251,$S$2:$S905=S251,$H$2:$H905&lt;&gt;""OB"")))"),"")</f>
        <v/>
      </c>
      <c r="W251" s="10" t="str">
        <f t="shared" si="5"/>
        <v/>
      </c>
    </row>
    <row r="252" spans="1:23" ht="12.5">
      <c r="A252" s="23"/>
      <c r="B252" s="5" t="str">
        <f t="array" ref="B252">IF(W252=1,INDEX('Database Mitra'!$H$2:$H905,MATCH(A252,'Database Mitra'!AK$2:AK905,0)),"")</f>
        <v/>
      </c>
      <c r="C252" s="5" t="str">
        <f t="array" ref="C252">IF(W252=1,INDEX('Database Mitra'!$E$2:$E905,MATCH(A252,'Database Mitra'!AK$2:AK905,0)),"")</f>
        <v/>
      </c>
      <c r="D252" s="23"/>
      <c r="E252" s="5" t="str">
        <f t="array" ref="E252">IF(W252=1,INDEX('Input Kegiatan'!B$2:B905,MATCH($D252,'Input Kegiatan'!$A$2:$A905,0)),"")</f>
        <v/>
      </c>
      <c r="F252" s="5" t="str">
        <f t="array" ref="F252">IF(W252=1,INDEX('Input Kegiatan'!D$2:D905,MATCH($D252,'Input Kegiatan'!$A$2:$A905,0)),"")</f>
        <v/>
      </c>
      <c r="G252" s="5" t="str">
        <f t="array" ref="G252">IF(W252=1,INDEX('Input Kegiatan'!E$2:E905,MATCH($D252,'Input Kegiatan'!$A$2:$A905,0)),"")</f>
        <v/>
      </c>
      <c r="H252" s="5" t="str">
        <f t="array" ref="H252">IF(W252=1,INDEX(Honor!$H$2:$H905,MATCH($D252&amp;"-"&amp;R252,Honor!$K$2:$K905,0)),"")</f>
        <v/>
      </c>
      <c r="I252" s="8" t="str">
        <f>IF(W252=1,SUMIFS(Honor!$I$2:$I905,Honor!$K$2:$K905,$D252&amp;"-"&amp;R252),"")</f>
        <v/>
      </c>
      <c r="J252" s="9" t="str">
        <f t="shared" si="6"/>
        <v/>
      </c>
      <c r="K252" s="10" t="str">
        <f t="shared" si="0"/>
        <v/>
      </c>
      <c r="L252" s="10" t="str">
        <f t="shared" si="1"/>
        <v/>
      </c>
      <c r="M252" s="10" t="str">
        <f>IF(W252=1,IF(AND(U252&lt;2,INT(V252)&lt;='Batasan Honor'!$B$2),1,0),"")</f>
        <v/>
      </c>
      <c r="O252" s="10" t="str">
        <f t="shared" si="2"/>
        <v/>
      </c>
      <c r="P252" s="10" t="str">
        <f t="shared" si="3"/>
        <v/>
      </c>
      <c r="R252" s="23"/>
      <c r="S252" s="10" t="str">
        <f t="shared" si="4"/>
        <v/>
      </c>
      <c r="U252" s="10" t="str">
        <f ca="1">IFERROR(__xludf.DUMMYFUNCTION("if(W252=1,COUNTIFS(FILTER($H$2:$H905,$H$2:$H905=""OB"",$S$2:$S905=S252),""OB""),"""")"),"")</f>
        <v/>
      </c>
      <c r="V252" s="10" t="str">
        <f ca="1">IFERROR(__xludf.DUMMYFUNCTION("IF(OR(ISNA(SUM(FILTER($K$2:$K905,$A$2:$A905=A252,$S$2:$S905=S252,$H$2:$H905&lt;&gt;""OB""))),W252&lt;&gt;1),"""",SUM(FILTER($K$2:$K905,$A$2:$A905=A252,$S$2:$S905=S252,$H$2:$H905&lt;&gt;""OB"")))"),"")</f>
        <v/>
      </c>
      <c r="W252" s="10" t="str">
        <f t="shared" si="5"/>
        <v/>
      </c>
    </row>
    <row r="253" spans="1:23" ht="12.5">
      <c r="A253" s="23"/>
      <c r="B253" s="5" t="str">
        <f t="array" ref="B253">IF(W253=1,INDEX('Database Mitra'!$H$2:$H905,MATCH(A253,'Database Mitra'!AK$2:AK905,0)),"")</f>
        <v/>
      </c>
      <c r="C253" s="5" t="str">
        <f t="array" ref="C253">IF(W253=1,INDEX('Database Mitra'!$E$2:$E905,MATCH(A253,'Database Mitra'!AK$2:AK905,0)),"")</f>
        <v/>
      </c>
      <c r="D253" s="23"/>
      <c r="E253" s="5" t="str">
        <f t="array" ref="E253">IF(W253=1,INDEX('Input Kegiatan'!B$2:B905,MATCH($D253,'Input Kegiatan'!$A$2:$A905,0)),"")</f>
        <v/>
      </c>
      <c r="F253" s="5" t="str">
        <f t="array" ref="F253">IF(W253=1,INDEX('Input Kegiatan'!D$2:D905,MATCH($D253,'Input Kegiatan'!$A$2:$A905,0)),"")</f>
        <v/>
      </c>
      <c r="G253" s="5" t="str">
        <f t="array" ref="G253">IF(W253=1,INDEX('Input Kegiatan'!E$2:E905,MATCH($D253,'Input Kegiatan'!$A$2:$A905,0)),"")</f>
        <v/>
      </c>
      <c r="H253" s="5" t="str">
        <f t="array" ref="H253">IF(W253=1,INDEX(Honor!$H$2:$H905,MATCH($D253&amp;"-"&amp;R253,Honor!$K$2:$K905,0)),"")</f>
        <v/>
      </c>
      <c r="I253" s="8" t="str">
        <f>IF(W253=1,SUMIFS(Honor!$I$2:$I905,Honor!$K$2:$K905,$D253&amp;"-"&amp;R253),"")</f>
        <v/>
      </c>
      <c r="J253" s="9" t="str">
        <f t="shared" si="6"/>
        <v/>
      </c>
      <c r="K253" s="10" t="str">
        <f t="shared" si="0"/>
        <v/>
      </c>
      <c r="L253" s="10" t="str">
        <f t="shared" si="1"/>
        <v/>
      </c>
      <c r="M253" s="10" t="str">
        <f>IF(W253=1,IF(AND(U253&lt;2,INT(V253)&lt;='Batasan Honor'!$B$2),1,0),"")</f>
        <v/>
      </c>
      <c r="O253" s="10" t="str">
        <f t="shared" si="2"/>
        <v/>
      </c>
      <c r="P253" s="10" t="str">
        <f t="shared" si="3"/>
        <v/>
      </c>
      <c r="R253" s="23"/>
      <c r="S253" s="10" t="str">
        <f t="shared" si="4"/>
        <v/>
      </c>
      <c r="U253" s="10" t="str">
        <f ca="1">IFERROR(__xludf.DUMMYFUNCTION("if(W253=1,COUNTIFS(FILTER($H$2:$H905,$H$2:$H905=""OB"",$S$2:$S905=S253),""OB""),"""")"),"")</f>
        <v/>
      </c>
      <c r="V253" s="10" t="str">
        <f ca="1">IFERROR(__xludf.DUMMYFUNCTION("IF(OR(ISNA(SUM(FILTER($K$2:$K905,$A$2:$A905=A253,$S$2:$S905=S253,$H$2:$H905&lt;&gt;""OB""))),W253&lt;&gt;1),"""",SUM(FILTER($K$2:$K905,$A$2:$A905=A253,$S$2:$S905=S253,$H$2:$H905&lt;&gt;""OB"")))"),"")</f>
        <v/>
      </c>
      <c r="W253" s="10" t="str">
        <f t="shared" si="5"/>
        <v/>
      </c>
    </row>
    <row r="254" spans="1:23" ht="12.5">
      <c r="A254" s="23"/>
      <c r="B254" s="5" t="str">
        <f t="array" ref="B254">IF(W254=1,INDEX('Database Mitra'!$H$2:$H905,MATCH(A254,'Database Mitra'!AK$2:AK905,0)),"")</f>
        <v/>
      </c>
      <c r="C254" s="5" t="str">
        <f t="array" ref="C254">IF(W254=1,INDEX('Database Mitra'!$E$2:$E905,MATCH(A254,'Database Mitra'!AK$2:AK905,0)),"")</f>
        <v/>
      </c>
      <c r="D254" s="23"/>
      <c r="E254" s="5" t="str">
        <f t="array" ref="E254">IF(W254=1,INDEX('Input Kegiatan'!B$2:B905,MATCH($D254,'Input Kegiatan'!$A$2:$A905,0)),"")</f>
        <v/>
      </c>
      <c r="F254" s="5" t="str">
        <f t="array" ref="F254">IF(W254=1,INDEX('Input Kegiatan'!D$2:D905,MATCH($D254,'Input Kegiatan'!$A$2:$A905,0)),"")</f>
        <v/>
      </c>
      <c r="G254" s="5" t="str">
        <f t="array" ref="G254">IF(W254=1,INDEX('Input Kegiatan'!E$2:E905,MATCH($D254,'Input Kegiatan'!$A$2:$A905,0)),"")</f>
        <v/>
      </c>
      <c r="H254" s="5" t="str">
        <f t="array" ref="H254">IF(W254=1,INDEX(Honor!$H$2:$H905,MATCH($D254&amp;"-"&amp;R254,Honor!$K$2:$K905,0)),"")</f>
        <v/>
      </c>
      <c r="I254" s="8" t="str">
        <f>IF(W254=1,SUMIFS(Honor!$I$2:$I905,Honor!$K$2:$K905,$D254&amp;"-"&amp;R254),"")</f>
        <v/>
      </c>
      <c r="J254" s="9" t="str">
        <f t="shared" si="6"/>
        <v/>
      </c>
      <c r="K254" s="10" t="str">
        <f t="shared" si="0"/>
        <v/>
      </c>
      <c r="L254" s="10" t="str">
        <f t="shared" si="1"/>
        <v/>
      </c>
      <c r="M254" s="10" t="str">
        <f>IF(W254=1,IF(AND(U254&lt;2,INT(V254)&lt;='Batasan Honor'!$B$2),1,0),"")</f>
        <v/>
      </c>
      <c r="O254" s="10" t="str">
        <f t="shared" si="2"/>
        <v/>
      </c>
      <c r="P254" s="10" t="str">
        <f t="shared" si="3"/>
        <v/>
      </c>
      <c r="R254" s="23"/>
      <c r="S254" s="10" t="str">
        <f t="shared" si="4"/>
        <v/>
      </c>
      <c r="U254" s="10" t="str">
        <f ca="1">IFERROR(__xludf.DUMMYFUNCTION("if(W254=1,COUNTIFS(FILTER($H$2:$H905,$H$2:$H905=""OB"",$S$2:$S905=S254),""OB""),"""")"),"")</f>
        <v/>
      </c>
      <c r="V254" s="10" t="str">
        <f ca="1">IFERROR(__xludf.DUMMYFUNCTION("IF(OR(ISNA(SUM(FILTER($K$2:$K905,$A$2:$A905=A254,$S$2:$S905=S254,$H$2:$H905&lt;&gt;""OB""))),W254&lt;&gt;1),"""",SUM(FILTER($K$2:$K905,$A$2:$A905=A254,$S$2:$S905=S254,$H$2:$H905&lt;&gt;""OB"")))"),"")</f>
        <v/>
      </c>
      <c r="W254" s="10" t="str">
        <f t="shared" si="5"/>
        <v/>
      </c>
    </row>
    <row r="255" spans="1:23" ht="12.5">
      <c r="A255" s="23"/>
      <c r="B255" s="5" t="str">
        <f t="array" ref="B255">IF(W255=1,INDEX('Database Mitra'!$H$2:$H905,MATCH(A255,'Database Mitra'!AK$2:AK905,0)),"")</f>
        <v/>
      </c>
      <c r="C255" s="5" t="str">
        <f t="array" ref="C255">IF(W255=1,INDEX('Database Mitra'!$E$2:$E905,MATCH(A255,'Database Mitra'!AK$2:AK905,0)),"")</f>
        <v/>
      </c>
      <c r="D255" s="23"/>
      <c r="E255" s="5" t="str">
        <f t="array" ref="E255">IF(W255=1,INDEX('Input Kegiatan'!B$2:B905,MATCH($D255,'Input Kegiatan'!$A$2:$A905,0)),"")</f>
        <v/>
      </c>
      <c r="F255" s="5" t="str">
        <f t="array" ref="F255">IF(W255=1,INDEX('Input Kegiatan'!D$2:D905,MATCH($D255,'Input Kegiatan'!$A$2:$A905,0)),"")</f>
        <v/>
      </c>
      <c r="G255" s="5" t="str">
        <f t="array" ref="G255">IF(W255=1,INDEX('Input Kegiatan'!E$2:E905,MATCH($D255,'Input Kegiatan'!$A$2:$A905,0)),"")</f>
        <v/>
      </c>
      <c r="H255" s="5" t="str">
        <f t="array" ref="H255">IF(W255=1,INDEX(Honor!$H$2:$H905,MATCH($D255&amp;"-"&amp;R255,Honor!$K$2:$K905,0)),"")</f>
        <v/>
      </c>
      <c r="I255" s="8" t="str">
        <f>IF(W255=1,SUMIFS(Honor!$I$2:$I905,Honor!$K$2:$K905,$D255&amp;"-"&amp;R255),"")</f>
        <v/>
      </c>
      <c r="J255" s="9" t="str">
        <f t="shared" si="6"/>
        <v/>
      </c>
      <c r="K255" s="10" t="str">
        <f t="shared" si="0"/>
        <v/>
      </c>
      <c r="L255" s="10" t="str">
        <f t="shared" si="1"/>
        <v/>
      </c>
      <c r="M255" s="10" t="str">
        <f>IF(W255=1,IF(AND(U255&lt;2,INT(V255)&lt;='Batasan Honor'!$B$2),1,0),"")</f>
        <v/>
      </c>
      <c r="O255" s="10" t="str">
        <f t="shared" si="2"/>
        <v/>
      </c>
      <c r="P255" s="10" t="str">
        <f t="shared" si="3"/>
        <v/>
      </c>
      <c r="R255" s="23"/>
      <c r="S255" s="10" t="str">
        <f t="shared" si="4"/>
        <v/>
      </c>
      <c r="U255" s="10" t="str">
        <f ca="1">IFERROR(__xludf.DUMMYFUNCTION("if(W255=1,COUNTIFS(FILTER($H$2:$H905,$H$2:$H905=""OB"",$S$2:$S905=S255),""OB""),"""")"),"")</f>
        <v/>
      </c>
      <c r="V255" s="10" t="str">
        <f ca="1">IFERROR(__xludf.DUMMYFUNCTION("IF(OR(ISNA(SUM(FILTER($K$2:$K905,$A$2:$A905=A255,$S$2:$S905=S255,$H$2:$H905&lt;&gt;""OB""))),W255&lt;&gt;1),"""",SUM(FILTER($K$2:$K905,$A$2:$A905=A255,$S$2:$S905=S255,$H$2:$H905&lt;&gt;""OB"")))"),"")</f>
        <v/>
      </c>
      <c r="W255" s="10" t="str">
        <f t="shared" si="5"/>
        <v/>
      </c>
    </row>
    <row r="256" spans="1:23" ht="12.5">
      <c r="A256" s="23"/>
      <c r="B256" s="5" t="str">
        <f t="array" ref="B256">IF(W256=1,INDEX('Database Mitra'!$H$2:$H905,MATCH(A256,'Database Mitra'!AK$2:AK905,0)),"")</f>
        <v/>
      </c>
      <c r="C256" s="5" t="str">
        <f t="array" ref="C256">IF(W256=1,INDEX('Database Mitra'!$E$2:$E905,MATCH(A256,'Database Mitra'!AK$2:AK905,0)),"")</f>
        <v/>
      </c>
      <c r="D256" s="23"/>
      <c r="E256" s="5" t="str">
        <f t="array" ref="E256">IF(W256=1,INDEX('Input Kegiatan'!B$2:B905,MATCH($D256,'Input Kegiatan'!$A$2:$A905,0)),"")</f>
        <v/>
      </c>
      <c r="F256" s="5" t="str">
        <f t="array" ref="F256">IF(W256=1,INDEX('Input Kegiatan'!D$2:D905,MATCH($D256,'Input Kegiatan'!$A$2:$A905,0)),"")</f>
        <v/>
      </c>
      <c r="G256" s="5" t="str">
        <f t="array" ref="G256">IF(W256=1,INDEX('Input Kegiatan'!E$2:E905,MATCH($D256,'Input Kegiatan'!$A$2:$A905,0)),"")</f>
        <v/>
      </c>
      <c r="H256" s="5" t="str">
        <f t="array" ref="H256">IF(W256=1,INDEX(Honor!$H$2:$H905,MATCH($D256&amp;"-"&amp;R256,Honor!$K$2:$K905,0)),"")</f>
        <v/>
      </c>
      <c r="I256" s="8" t="str">
        <f>IF(W256=1,SUMIFS(Honor!$I$2:$I905,Honor!$K$2:$K905,$D256&amp;"-"&amp;R256),"")</f>
        <v/>
      </c>
      <c r="J256" s="9" t="str">
        <f t="shared" si="6"/>
        <v/>
      </c>
      <c r="K256" s="10" t="str">
        <f t="shared" si="0"/>
        <v/>
      </c>
      <c r="L256" s="10" t="str">
        <f t="shared" si="1"/>
        <v/>
      </c>
      <c r="M256" s="10" t="str">
        <f>IF(W256=1,IF(AND(U256&lt;2,INT(V256)&lt;='Batasan Honor'!$B$2),1,0),"")</f>
        <v/>
      </c>
      <c r="O256" s="10" t="str">
        <f t="shared" si="2"/>
        <v/>
      </c>
      <c r="P256" s="10" t="str">
        <f t="shared" si="3"/>
        <v/>
      </c>
      <c r="R256" s="23"/>
      <c r="S256" s="10" t="str">
        <f t="shared" si="4"/>
        <v/>
      </c>
      <c r="U256" s="10" t="str">
        <f ca="1">IFERROR(__xludf.DUMMYFUNCTION("if(W256=1,COUNTIFS(FILTER($H$2:$H905,$H$2:$H905=""OB"",$S$2:$S905=S256),""OB""),"""")"),"")</f>
        <v/>
      </c>
      <c r="V256" s="10" t="str">
        <f ca="1">IFERROR(__xludf.DUMMYFUNCTION("IF(OR(ISNA(SUM(FILTER($K$2:$K905,$A$2:$A905=A256,$S$2:$S905=S256,$H$2:$H905&lt;&gt;""OB""))),W256&lt;&gt;1),"""",SUM(FILTER($K$2:$K905,$A$2:$A905=A256,$S$2:$S905=S256,$H$2:$H905&lt;&gt;""OB"")))"),"")</f>
        <v/>
      </c>
      <c r="W256" s="10" t="str">
        <f t="shared" si="5"/>
        <v/>
      </c>
    </row>
    <row r="257" spans="1:23" ht="12.5">
      <c r="A257" s="23"/>
      <c r="B257" s="5" t="str">
        <f t="array" ref="B257">IF(W257=1,INDEX('Database Mitra'!$H$2:$H905,MATCH(A257,'Database Mitra'!AK$2:AK905,0)),"")</f>
        <v/>
      </c>
      <c r="C257" s="5" t="str">
        <f t="array" ref="C257">IF(W257=1,INDEX('Database Mitra'!$E$2:$E905,MATCH(A257,'Database Mitra'!AK$2:AK905,0)),"")</f>
        <v/>
      </c>
      <c r="D257" s="23"/>
      <c r="E257" s="5" t="str">
        <f t="array" ref="E257">IF(W257=1,INDEX('Input Kegiatan'!B$2:B905,MATCH($D257,'Input Kegiatan'!$A$2:$A905,0)),"")</f>
        <v/>
      </c>
      <c r="F257" s="5" t="str">
        <f t="array" ref="F257">IF(W257=1,INDEX('Input Kegiatan'!D$2:D905,MATCH($D257,'Input Kegiatan'!$A$2:$A905,0)),"")</f>
        <v/>
      </c>
      <c r="G257" s="5" t="str">
        <f t="array" ref="G257">IF(W257=1,INDEX('Input Kegiatan'!E$2:E905,MATCH($D257,'Input Kegiatan'!$A$2:$A905,0)),"")</f>
        <v/>
      </c>
      <c r="H257" s="5" t="str">
        <f t="array" ref="H257">IF(W257=1,INDEX(Honor!$H$2:$H905,MATCH($D257&amp;"-"&amp;R257,Honor!$K$2:$K905,0)),"")</f>
        <v/>
      </c>
      <c r="I257" s="8" t="str">
        <f>IF(W257=1,SUMIFS(Honor!$I$2:$I905,Honor!$K$2:$K905,$D257&amp;"-"&amp;R257),"")</f>
        <v/>
      </c>
      <c r="J257" s="9" t="str">
        <f t="shared" si="6"/>
        <v/>
      </c>
      <c r="K257" s="10" t="str">
        <f t="shared" si="0"/>
        <v/>
      </c>
      <c r="L257" s="10" t="str">
        <f t="shared" si="1"/>
        <v/>
      </c>
      <c r="M257" s="10" t="str">
        <f>IF(W257=1,IF(AND(U257&lt;2,INT(V257)&lt;='Batasan Honor'!$B$2),1,0),"")</f>
        <v/>
      </c>
      <c r="O257" s="10" t="str">
        <f t="shared" si="2"/>
        <v/>
      </c>
      <c r="P257" s="10" t="str">
        <f t="shared" si="3"/>
        <v/>
      </c>
      <c r="R257" s="23"/>
      <c r="S257" s="10" t="str">
        <f t="shared" si="4"/>
        <v/>
      </c>
      <c r="U257" s="10" t="str">
        <f ca="1">IFERROR(__xludf.DUMMYFUNCTION("if(W257=1,COUNTIFS(FILTER($H$2:$H905,$H$2:$H905=""OB"",$S$2:$S905=S257),""OB""),"""")"),"")</f>
        <v/>
      </c>
      <c r="V257" s="10" t="str">
        <f ca="1">IFERROR(__xludf.DUMMYFUNCTION("IF(OR(ISNA(SUM(FILTER($K$2:$K905,$A$2:$A905=A257,$S$2:$S905=S257,$H$2:$H905&lt;&gt;""OB""))),W257&lt;&gt;1),"""",SUM(FILTER($K$2:$K905,$A$2:$A905=A257,$S$2:$S905=S257,$H$2:$H905&lt;&gt;""OB"")))"),"")</f>
        <v/>
      </c>
      <c r="W257" s="10" t="str">
        <f t="shared" si="5"/>
        <v/>
      </c>
    </row>
    <row r="258" spans="1:23" ht="12.5">
      <c r="A258" s="23"/>
      <c r="B258" s="5" t="str">
        <f t="array" ref="B258">IF(W258=1,INDEX('Database Mitra'!$H$2:$H905,MATCH(A258,'Database Mitra'!AK$2:AK905,0)),"")</f>
        <v/>
      </c>
      <c r="C258" s="5" t="str">
        <f t="array" ref="C258">IF(W258=1,INDEX('Database Mitra'!$E$2:$E905,MATCH(A258,'Database Mitra'!AK$2:AK905,0)),"")</f>
        <v/>
      </c>
      <c r="D258" s="23"/>
      <c r="E258" s="5" t="str">
        <f t="array" ref="E258">IF(W258=1,INDEX('Input Kegiatan'!B$2:B905,MATCH($D258,'Input Kegiatan'!$A$2:$A905,0)),"")</f>
        <v/>
      </c>
      <c r="F258" s="5" t="str">
        <f t="array" ref="F258">IF(W258=1,INDEX('Input Kegiatan'!D$2:D905,MATCH($D258,'Input Kegiatan'!$A$2:$A905,0)),"")</f>
        <v/>
      </c>
      <c r="G258" s="5" t="str">
        <f t="array" ref="G258">IF(W258=1,INDEX('Input Kegiatan'!E$2:E905,MATCH($D258,'Input Kegiatan'!$A$2:$A905,0)),"")</f>
        <v/>
      </c>
      <c r="H258" s="5" t="str">
        <f t="array" ref="H258">IF(W258=1,INDEX(Honor!$H$2:$H905,MATCH($D258&amp;"-"&amp;R258,Honor!$K$2:$K905,0)),"")</f>
        <v/>
      </c>
      <c r="I258" s="8" t="str">
        <f>IF(W258=1,SUMIFS(Honor!$I$2:$I905,Honor!$K$2:$K905,$D258&amp;"-"&amp;R258),"")</f>
        <v/>
      </c>
      <c r="J258" s="9" t="str">
        <f t="shared" si="6"/>
        <v/>
      </c>
      <c r="K258" s="10" t="str">
        <f t="shared" si="0"/>
        <v/>
      </c>
      <c r="L258" s="10" t="str">
        <f t="shared" si="1"/>
        <v/>
      </c>
      <c r="M258" s="10" t="str">
        <f>IF(W258=1,IF(AND(U258&lt;2,INT(V258)&lt;='Batasan Honor'!$B$2),1,0),"")</f>
        <v/>
      </c>
      <c r="O258" s="10" t="str">
        <f t="shared" si="2"/>
        <v/>
      </c>
      <c r="P258" s="10" t="str">
        <f t="shared" si="3"/>
        <v/>
      </c>
      <c r="R258" s="23"/>
      <c r="S258" s="10" t="str">
        <f t="shared" si="4"/>
        <v/>
      </c>
      <c r="U258" s="10" t="str">
        <f ca="1">IFERROR(__xludf.DUMMYFUNCTION("if(W258=1,COUNTIFS(FILTER($H$2:$H905,$H$2:$H905=""OB"",$S$2:$S905=S258),""OB""),"""")"),"")</f>
        <v/>
      </c>
      <c r="V258" s="10" t="str">
        <f ca="1">IFERROR(__xludf.DUMMYFUNCTION("IF(OR(ISNA(SUM(FILTER($K$2:$K905,$A$2:$A905=A258,$S$2:$S905=S258,$H$2:$H905&lt;&gt;""OB""))),W258&lt;&gt;1),"""",SUM(FILTER($K$2:$K905,$A$2:$A905=A258,$S$2:$S905=S258,$H$2:$H905&lt;&gt;""OB"")))"),"")</f>
        <v/>
      </c>
      <c r="W258" s="10" t="str">
        <f t="shared" si="5"/>
        <v/>
      </c>
    </row>
    <row r="259" spans="1:23" ht="12.5">
      <c r="A259" s="23"/>
      <c r="B259" s="5" t="str">
        <f t="array" ref="B259">IF(W259=1,INDEX('Database Mitra'!$H$2:$H905,MATCH(A259,'Database Mitra'!AK$2:AK905,0)),"")</f>
        <v/>
      </c>
      <c r="C259" s="5" t="str">
        <f t="array" ref="C259">IF(W259=1,INDEX('Database Mitra'!$E$2:$E905,MATCH(A259,'Database Mitra'!AK$2:AK905,0)),"")</f>
        <v/>
      </c>
      <c r="D259" s="23"/>
      <c r="E259" s="5" t="str">
        <f t="array" ref="E259">IF(W259=1,INDEX('Input Kegiatan'!B$2:B905,MATCH($D259,'Input Kegiatan'!$A$2:$A905,0)),"")</f>
        <v/>
      </c>
      <c r="F259" s="5" t="str">
        <f t="array" ref="F259">IF(W259=1,INDEX('Input Kegiatan'!D$2:D905,MATCH($D259,'Input Kegiatan'!$A$2:$A905,0)),"")</f>
        <v/>
      </c>
      <c r="G259" s="5" t="str">
        <f t="array" ref="G259">IF(W259=1,INDEX('Input Kegiatan'!E$2:E905,MATCH($D259,'Input Kegiatan'!$A$2:$A905,0)),"")</f>
        <v/>
      </c>
      <c r="H259" s="5" t="str">
        <f t="array" ref="H259">IF(W259=1,INDEX(Honor!$H$2:$H905,MATCH($D259&amp;"-"&amp;R259,Honor!$K$2:$K905,0)),"")</f>
        <v/>
      </c>
      <c r="I259" s="8" t="str">
        <f>IF(W259=1,SUMIFS(Honor!$I$2:$I905,Honor!$K$2:$K905,$D259&amp;"-"&amp;R259),"")</f>
        <v/>
      </c>
      <c r="J259" s="9" t="str">
        <f t="shared" si="6"/>
        <v/>
      </c>
      <c r="K259" s="10" t="str">
        <f t="shared" si="0"/>
        <v/>
      </c>
      <c r="L259" s="10" t="str">
        <f t="shared" si="1"/>
        <v/>
      </c>
      <c r="M259" s="10" t="str">
        <f>IF(W259=1,IF(AND(U259&lt;2,INT(V259)&lt;='Batasan Honor'!$B$2),1,0),"")</f>
        <v/>
      </c>
      <c r="O259" s="10" t="str">
        <f t="shared" si="2"/>
        <v/>
      </c>
      <c r="P259" s="10" t="str">
        <f t="shared" si="3"/>
        <v/>
      </c>
      <c r="R259" s="23"/>
      <c r="S259" s="10" t="str">
        <f t="shared" si="4"/>
        <v/>
      </c>
      <c r="U259" s="10" t="str">
        <f ca="1">IFERROR(__xludf.DUMMYFUNCTION("if(W259=1,COUNTIFS(FILTER($H$2:$H905,$H$2:$H905=""OB"",$S$2:$S905=S259),""OB""),"""")"),"")</f>
        <v/>
      </c>
      <c r="V259" s="10" t="str">
        <f ca="1">IFERROR(__xludf.DUMMYFUNCTION("IF(OR(ISNA(SUM(FILTER($K$2:$K905,$A$2:$A905=A259,$S$2:$S905=S259,$H$2:$H905&lt;&gt;""OB""))),W259&lt;&gt;1),"""",SUM(FILTER($K$2:$K905,$A$2:$A905=A259,$S$2:$S905=S259,$H$2:$H905&lt;&gt;""OB"")))"),"")</f>
        <v/>
      </c>
      <c r="W259" s="10" t="str">
        <f t="shared" si="5"/>
        <v/>
      </c>
    </row>
    <row r="260" spans="1:23" ht="12.5">
      <c r="A260" s="23"/>
      <c r="B260" s="5" t="str">
        <f t="array" ref="B260">IF(W260=1,INDEX('Database Mitra'!$H$2:$H905,MATCH(A260,'Database Mitra'!AK$2:AK905,0)),"")</f>
        <v/>
      </c>
      <c r="C260" s="5" t="str">
        <f t="array" ref="C260">IF(W260=1,INDEX('Database Mitra'!$E$2:$E905,MATCH(A260,'Database Mitra'!AK$2:AK905,0)),"")</f>
        <v/>
      </c>
      <c r="D260" s="23"/>
      <c r="E260" s="5" t="str">
        <f t="array" ref="E260">IF(W260=1,INDEX('Input Kegiatan'!B$2:B905,MATCH($D260,'Input Kegiatan'!$A$2:$A905,0)),"")</f>
        <v/>
      </c>
      <c r="F260" s="5" t="str">
        <f t="array" ref="F260">IF(W260=1,INDEX('Input Kegiatan'!D$2:D905,MATCH($D260,'Input Kegiatan'!$A$2:$A905,0)),"")</f>
        <v/>
      </c>
      <c r="G260" s="5" t="str">
        <f t="array" ref="G260">IF(W260=1,INDEX('Input Kegiatan'!E$2:E905,MATCH($D260,'Input Kegiatan'!$A$2:$A905,0)),"")</f>
        <v/>
      </c>
      <c r="H260" s="5" t="str">
        <f t="array" ref="H260">IF(W260=1,INDEX(Honor!$H$2:$H905,MATCH($D260&amp;"-"&amp;R260,Honor!$K$2:$K905,0)),"")</f>
        <v/>
      </c>
      <c r="I260" s="8" t="str">
        <f>IF(W260=1,SUMIFS(Honor!$I$2:$I905,Honor!$K$2:$K905,$D260&amp;"-"&amp;R260),"")</f>
        <v/>
      </c>
      <c r="J260" s="9" t="str">
        <f t="shared" si="6"/>
        <v/>
      </c>
      <c r="K260" s="10" t="str">
        <f t="shared" si="0"/>
        <v/>
      </c>
      <c r="L260" s="10" t="str">
        <f t="shared" si="1"/>
        <v/>
      </c>
      <c r="M260" s="10" t="str">
        <f>IF(W260=1,IF(AND(U260&lt;2,INT(V260)&lt;='Batasan Honor'!$B$2),1,0),"")</f>
        <v/>
      </c>
      <c r="O260" s="10" t="str">
        <f t="shared" si="2"/>
        <v/>
      </c>
      <c r="P260" s="10" t="str">
        <f t="shared" si="3"/>
        <v/>
      </c>
      <c r="R260" s="23"/>
      <c r="S260" s="10" t="str">
        <f t="shared" si="4"/>
        <v/>
      </c>
      <c r="U260" s="10" t="str">
        <f ca="1">IFERROR(__xludf.DUMMYFUNCTION("if(W260=1,COUNTIFS(FILTER($H$2:$H905,$H$2:$H905=""OB"",$S$2:$S905=S260),""OB""),"""")"),"")</f>
        <v/>
      </c>
      <c r="V260" s="10" t="str">
        <f ca="1">IFERROR(__xludf.DUMMYFUNCTION("IF(OR(ISNA(SUM(FILTER($K$2:$K905,$A$2:$A905=A260,$S$2:$S905=S260,$H$2:$H905&lt;&gt;""OB""))),W260&lt;&gt;1),"""",SUM(FILTER($K$2:$K905,$A$2:$A905=A260,$S$2:$S905=S260,$H$2:$H905&lt;&gt;""OB"")))"),"")</f>
        <v/>
      </c>
      <c r="W260" s="10" t="str">
        <f t="shared" si="5"/>
        <v/>
      </c>
    </row>
    <row r="261" spans="1:23" ht="12.5">
      <c r="A261" s="23"/>
      <c r="B261" s="5" t="str">
        <f t="array" ref="B261">IF(W261=1,INDEX('Database Mitra'!$H$2:$H905,MATCH(A261,'Database Mitra'!AK$2:AK905,0)),"")</f>
        <v/>
      </c>
      <c r="C261" s="5" t="str">
        <f t="array" ref="C261">IF(W261=1,INDEX('Database Mitra'!$E$2:$E905,MATCH(A261,'Database Mitra'!AK$2:AK905,0)),"")</f>
        <v/>
      </c>
      <c r="D261" s="23"/>
      <c r="E261" s="5" t="str">
        <f t="array" ref="E261">IF(W261=1,INDEX('Input Kegiatan'!B$2:B905,MATCH($D261,'Input Kegiatan'!$A$2:$A905,0)),"")</f>
        <v/>
      </c>
      <c r="F261" s="5" t="str">
        <f t="array" ref="F261">IF(W261=1,INDEX('Input Kegiatan'!D$2:D905,MATCH($D261,'Input Kegiatan'!$A$2:$A905,0)),"")</f>
        <v/>
      </c>
      <c r="G261" s="5" t="str">
        <f t="array" ref="G261">IF(W261=1,INDEX('Input Kegiatan'!E$2:E905,MATCH($D261,'Input Kegiatan'!$A$2:$A905,0)),"")</f>
        <v/>
      </c>
      <c r="H261" s="5" t="str">
        <f t="array" ref="H261">IF(W261=1,INDEX(Honor!$H$2:$H905,MATCH($D261&amp;"-"&amp;R261,Honor!$K$2:$K905,0)),"")</f>
        <v/>
      </c>
      <c r="I261" s="8" t="str">
        <f>IF(W261=1,SUMIFS(Honor!$I$2:$I905,Honor!$K$2:$K905,$D261&amp;"-"&amp;R261),"")</f>
        <v/>
      </c>
      <c r="J261" s="9" t="str">
        <f t="shared" si="6"/>
        <v/>
      </c>
      <c r="K261" s="10" t="str">
        <f t="shared" si="0"/>
        <v/>
      </c>
      <c r="L261" s="10" t="str">
        <f t="shared" si="1"/>
        <v/>
      </c>
      <c r="M261" s="10" t="str">
        <f>IF(W261=1,IF(AND(U261&lt;2,INT(V261)&lt;='Batasan Honor'!$B$2),1,0),"")</f>
        <v/>
      </c>
      <c r="O261" s="10" t="str">
        <f t="shared" si="2"/>
        <v/>
      </c>
      <c r="P261" s="10" t="str">
        <f t="shared" si="3"/>
        <v/>
      </c>
      <c r="R261" s="23"/>
      <c r="S261" s="10" t="str">
        <f t="shared" si="4"/>
        <v/>
      </c>
      <c r="U261" s="10" t="str">
        <f ca="1">IFERROR(__xludf.DUMMYFUNCTION("if(W261=1,COUNTIFS(FILTER($H$2:$H905,$H$2:$H905=""OB"",$S$2:$S905=S261),""OB""),"""")"),"")</f>
        <v/>
      </c>
      <c r="V261" s="10" t="str">
        <f ca="1">IFERROR(__xludf.DUMMYFUNCTION("IF(OR(ISNA(SUM(FILTER($K$2:$K905,$A$2:$A905=A261,$S$2:$S905=S261,$H$2:$H905&lt;&gt;""OB""))),W261&lt;&gt;1),"""",SUM(FILTER($K$2:$K905,$A$2:$A905=A261,$S$2:$S905=S261,$H$2:$H905&lt;&gt;""OB"")))"),"")</f>
        <v/>
      </c>
      <c r="W261" s="10" t="str">
        <f t="shared" si="5"/>
        <v/>
      </c>
    </row>
    <row r="262" spans="1:23" ht="12.5">
      <c r="A262" s="23"/>
      <c r="B262" s="5" t="str">
        <f t="array" ref="B262">IF(W262=1,INDEX('Database Mitra'!$H$2:$H905,MATCH(A262,'Database Mitra'!AK$2:AK905,0)),"")</f>
        <v/>
      </c>
      <c r="C262" s="5" t="str">
        <f t="array" ref="C262">IF(W262=1,INDEX('Database Mitra'!$E$2:$E905,MATCH(A262,'Database Mitra'!AK$2:AK905,0)),"")</f>
        <v/>
      </c>
      <c r="D262" s="23"/>
      <c r="E262" s="5" t="str">
        <f t="array" ref="E262">IF(W262=1,INDEX('Input Kegiatan'!B$2:B905,MATCH($D262,'Input Kegiatan'!$A$2:$A905,0)),"")</f>
        <v/>
      </c>
      <c r="F262" s="5" t="str">
        <f t="array" ref="F262">IF(W262=1,INDEX('Input Kegiatan'!D$2:D905,MATCH($D262,'Input Kegiatan'!$A$2:$A905,0)),"")</f>
        <v/>
      </c>
      <c r="G262" s="5" t="str">
        <f t="array" ref="G262">IF(W262=1,INDEX('Input Kegiatan'!E$2:E905,MATCH($D262,'Input Kegiatan'!$A$2:$A905,0)),"")</f>
        <v/>
      </c>
      <c r="H262" s="5" t="str">
        <f t="array" ref="H262">IF(W262=1,INDEX(Honor!$H$2:$H905,MATCH($D262&amp;"-"&amp;R262,Honor!$K$2:$K905,0)),"")</f>
        <v/>
      </c>
      <c r="I262" s="8" t="str">
        <f>IF(W262=1,SUMIFS(Honor!$I$2:$I905,Honor!$K$2:$K905,$D262&amp;"-"&amp;R262),"")</f>
        <v/>
      </c>
      <c r="J262" s="9" t="str">
        <f t="shared" si="6"/>
        <v/>
      </c>
      <c r="K262" s="10" t="str">
        <f t="shared" si="0"/>
        <v/>
      </c>
      <c r="L262" s="10" t="str">
        <f t="shared" si="1"/>
        <v/>
      </c>
      <c r="M262" s="10" t="str">
        <f>IF(W262=1,IF(AND(U262&lt;2,INT(V262)&lt;='Batasan Honor'!$B$2),1,0),"")</f>
        <v/>
      </c>
      <c r="O262" s="10" t="str">
        <f t="shared" si="2"/>
        <v/>
      </c>
      <c r="P262" s="10" t="str">
        <f t="shared" si="3"/>
        <v/>
      </c>
      <c r="R262" s="23"/>
      <c r="S262" s="10" t="str">
        <f t="shared" si="4"/>
        <v/>
      </c>
      <c r="U262" s="10" t="str">
        <f ca="1">IFERROR(__xludf.DUMMYFUNCTION("if(W262=1,COUNTIFS(FILTER($H$2:$H905,$H$2:$H905=""OB"",$S$2:$S905=S262),""OB""),"""")"),"")</f>
        <v/>
      </c>
      <c r="V262" s="10" t="str">
        <f ca="1">IFERROR(__xludf.DUMMYFUNCTION("IF(OR(ISNA(SUM(FILTER($K$2:$K905,$A$2:$A905=A262,$S$2:$S905=S262,$H$2:$H905&lt;&gt;""OB""))),W262&lt;&gt;1),"""",SUM(FILTER($K$2:$K905,$A$2:$A905=A262,$S$2:$S905=S262,$H$2:$H905&lt;&gt;""OB"")))"),"")</f>
        <v/>
      </c>
      <c r="W262" s="10" t="str">
        <f t="shared" si="5"/>
        <v/>
      </c>
    </row>
    <row r="263" spans="1:23" ht="12.5">
      <c r="A263" s="23"/>
      <c r="B263" s="5" t="str">
        <f t="array" ref="B263">IF(W263=1,INDEX('Database Mitra'!$H$2:$H905,MATCH(A263,'Database Mitra'!AK$2:AK905,0)),"")</f>
        <v/>
      </c>
      <c r="C263" s="5" t="str">
        <f t="array" ref="C263">IF(W263=1,INDEX('Database Mitra'!$E$2:$E905,MATCH(A263,'Database Mitra'!AK$2:AK905,0)),"")</f>
        <v/>
      </c>
      <c r="D263" s="23"/>
      <c r="E263" s="5" t="str">
        <f t="array" ref="E263">IF(W263=1,INDEX('Input Kegiatan'!B$2:B905,MATCH($D263,'Input Kegiatan'!$A$2:$A905,0)),"")</f>
        <v/>
      </c>
      <c r="F263" s="5" t="str">
        <f t="array" ref="F263">IF(W263=1,INDEX('Input Kegiatan'!D$2:D905,MATCH($D263,'Input Kegiatan'!$A$2:$A905,0)),"")</f>
        <v/>
      </c>
      <c r="G263" s="5" t="str">
        <f t="array" ref="G263">IF(W263=1,INDEX('Input Kegiatan'!E$2:E905,MATCH($D263,'Input Kegiatan'!$A$2:$A905,0)),"")</f>
        <v/>
      </c>
      <c r="H263" s="5" t="str">
        <f t="array" ref="H263">IF(W263=1,INDEX(Honor!$H$2:$H905,MATCH($D263&amp;"-"&amp;R263,Honor!$K$2:$K905,0)),"")</f>
        <v/>
      </c>
      <c r="I263" s="8" t="str">
        <f>IF(W263=1,SUMIFS(Honor!$I$2:$I905,Honor!$K$2:$K905,$D263&amp;"-"&amp;R263),"")</f>
        <v/>
      </c>
      <c r="J263" s="9" t="str">
        <f t="shared" si="6"/>
        <v/>
      </c>
      <c r="K263" s="10" t="str">
        <f t="shared" si="0"/>
        <v/>
      </c>
      <c r="L263" s="10" t="str">
        <f t="shared" si="1"/>
        <v/>
      </c>
      <c r="M263" s="10" t="str">
        <f>IF(W263=1,IF(AND(U263&lt;2,INT(V263)&lt;='Batasan Honor'!$B$2),1,0),"")</f>
        <v/>
      </c>
      <c r="O263" s="10" t="str">
        <f t="shared" si="2"/>
        <v/>
      </c>
      <c r="P263" s="10" t="str">
        <f t="shared" si="3"/>
        <v/>
      </c>
      <c r="R263" s="23"/>
      <c r="S263" s="10" t="str">
        <f t="shared" si="4"/>
        <v/>
      </c>
      <c r="U263" s="10" t="str">
        <f ca="1">IFERROR(__xludf.DUMMYFUNCTION("if(W263=1,COUNTIFS(FILTER($H$2:$H905,$H$2:$H905=""OB"",$S$2:$S905=S263),""OB""),"""")"),"")</f>
        <v/>
      </c>
      <c r="V263" s="10" t="str">
        <f ca="1">IFERROR(__xludf.DUMMYFUNCTION("IF(OR(ISNA(SUM(FILTER($K$2:$K905,$A$2:$A905=A263,$S$2:$S905=S263,$H$2:$H905&lt;&gt;""OB""))),W263&lt;&gt;1),"""",SUM(FILTER($K$2:$K905,$A$2:$A905=A263,$S$2:$S905=S263,$H$2:$H905&lt;&gt;""OB"")))"),"")</f>
        <v/>
      </c>
      <c r="W263" s="10" t="str">
        <f t="shared" si="5"/>
        <v/>
      </c>
    </row>
    <row r="264" spans="1:23" ht="12.5">
      <c r="A264" s="23"/>
      <c r="B264" s="5" t="str">
        <f t="array" ref="B264">IF(W264=1,INDEX('Database Mitra'!$H$2:$H905,MATCH(A264,'Database Mitra'!AK$2:AK905,0)),"")</f>
        <v/>
      </c>
      <c r="C264" s="5" t="str">
        <f t="array" ref="C264">IF(W264=1,INDEX('Database Mitra'!$E$2:$E905,MATCH(A264,'Database Mitra'!AK$2:AK905,0)),"")</f>
        <v/>
      </c>
      <c r="D264" s="23"/>
      <c r="E264" s="5" t="str">
        <f t="array" ref="E264">IF(W264=1,INDEX('Input Kegiatan'!B$2:B905,MATCH($D264,'Input Kegiatan'!$A$2:$A905,0)),"")</f>
        <v/>
      </c>
      <c r="F264" s="5" t="str">
        <f t="array" ref="F264">IF(W264=1,INDEX('Input Kegiatan'!D$2:D905,MATCH($D264,'Input Kegiatan'!$A$2:$A905,0)),"")</f>
        <v/>
      </c>
      <c r="G264" s="5" t="str">
        <f t="array" ref="G264">IF(W264=1,INDEX('Input Kegiatan'!E$2:E905,MATCH($D264,'Input Kegiatan'!$A$2:$A905,0)),"")</f>
        <v/>
      </c>
      <c r="H264" s="5" t="str">
        <f t="array" ref="H264">IF(W264=1,INDEX(Honor!$H$2:$H905,MATCH($D264&amp;"-"&amp;R264,Honor!$K$2:$K905,0)),"")</f>
        <v/>
      </c>
      <c r="I264" s="8" t="str">
        <f>IF(W264=1,SUMIFS(Honor!$I$2:$I905,Honor!$K$2:$K905,$D264&amp;"-"&amp;R264),"")</f>
        <v/>
      </c>
      <c r="J264" s="9" t="str">
        <f t="shared" si="6"/>
        <v/>
      </c>
      <c r="K264" s="10" t="str">
        <f t="shared" si="0"/>
        <v/>
      </c>
      <c r="L264" s="10" t="str">
        <f t="shared" si="1"/>
        <v/>
      </c>
      <c r="M264" s="10" t="str">
        <f>IF(W264=1,IF(AND(U264&lt;2,INT(V264)&lt;='Batasan Honor'!$B$2),1,0),"")</f>
        <v/>
      </c>
      <c r="O264" s="10" t="str">
        <f t="shared" si="2"/>
        <v/>
      </c>
      <c r="P264" s="10" t="str">
        <f t="shared" si="3"/>
        <v/>
      </c>
      <c r="R264" s="23"/>
      <c r="S264" s="10" t="str">
        <f t="shared" si="4"/>
        <v/>
      </c>
      <c r="U264" s="10" t="str">
        <f ca="1">IFERROR(__xludf.DUMMYFUNCTION("if(W264=1,COUNTIFS(FILTER($H$2:$H905,$H$2:$H905=""OB"",$S$2:$S905=S264),""OB""),"""")"),"")</f>
        <v/>
      </c>
      <c r="V264" s="10" t="str">
        <f ca="1">IFERROR(__xludf.DUMMYFUNCTION("IF(OR(ISNA(SUM(FILTER($K$2:$K905,$A$2:$A905=A264,$S$2:$S905=S264,$H$2:$H905&lt;&gt;""OB""))),W264&lt;&gt;1),"""",SUM(FILTER($K$2:$K905,$A$2:$A905=A264,$S$2:$S905=S264,$H$2:$H905&lt;&gt;""OB"")))"),"")</f>
        <v/>
      </c>
      <c r="W264" s="10" t="str">
        <f t="shared" si="5"/>
        <v/>
      </c>
    </row>
    <row r="265" spans="1:23" ht="12.5">
      <c r="A265" s="23"/>
      <c r="B265" s="5" t="str">
        <f t="array" ref="B265">IF(W265=1,INDEX('Database Mitra'!$H$2:$H905,MATCH(A265,'Database Mitra'!AK$2:AK905,0)),"")</f>
        <v/>
      </c>
      <c r="C265" s="5" t="str">
        <f t="array" ref="C265">IF(W265=1,INDEX('Database Mitra'!$E$2:$E905,MATCH(A265,'Database Mitra'!AK$2:AK905,0)),"")</f>
        <v/>
      </c>
      <c r="D265" s="23"/>
      <c r="E265" s="5" t="str">
        <f t="array" ref="E265">IF(W265=1,INDEX('Input Kegiatan'!B$2:B905,MATCH($D265,'Input Kegiatan'!$A$2:$A905,0)),"")</f>
        <v/>
      </c>
      <c r="F265" s="5" t="str">
        <f t="array" ref="F265">IF(W265=1,INDEX('Input Kegiatan'!D$2:D905,MATCH($D265,'Input Kegiatan'!$A$2:$A905,0)),"")</f>
        <v/>
      </c>
      <c r="G265" s="5" t="str">
        <f t="array" ref="G265">IF(W265=1,INDEX('Input Kegiatan'!E$2:E905,MATCH($D265,'Input Kegiatan'!$A$2:$A905,0)),"")</f>
        <v/>
      </c>
      <c r="H265" s="5" t="str">
        <f t="array" ref="H265">IF(W265=1,INDEX(Honor!$H$2:$H905,MATCH($D265&amp;"-"&amp;R265,Honor!$K$2:$K905,0)),"")</f>
        <v/>
      </c>
      <c r="I265" s="8" t="str">
        <f>IF(W265=1,SUMIFS(Honor!$I$2:$I905,Honor!$K$2:$K905,$D265&amp;"-"&amp;R265),"")</f>
        <v/>
      </c>
      <c r="J265" s="9" t="str">
        <f t="shared" si="6"/>
        <v/>
      </c>
      <c r="K265" s="10" t="str">
        <f t="shared" si="0"/>
        <v/>
      </c>
      <c r="L265" s="10" t="str">
        <f t="shared" si="1"/>
        <v/>
      </c>
      <c r="M265" s="10" t="str">
        <f>IF(W265=1,IF(AND(U265&lt;2,INT(V265)&lt;='Batasan Honor'!$B$2),1,0),"")</f>
        <v/>
      </c>
      <c r="O265" s="10" t="str">
        <f t="shared" si="2"/>
        <v/>
      </c>
      <c r="P265" s="10" t="str">
        <f t="shared" si="3"/>
        <v/>
      </c>
      <c r="R265" s="23"/>
      <c r="S265" s="10" t="str">
        <f t="shared" si="4"/>
        <v/>
      </c>
      <c r="U265" s="10" t="str">
        <f ca="1">IFERROR(__xludf.DUMMYFUNCTION("if(W265=1,COUNTIFS(FILTER($H$2:$H905,$H$2:$H905=""OB"",$S$2:$S905=S265),""OB""),"""")"),"")</f>
        <v/>
      </c>
      <c r="V265" s="10" t="str">
        <f ca="1">IFERROR(__xludf.DUMMYFUNCTION("IF(OR(ISNA(SUM(FILTER($K$2:$K905,$A$2:$A905=A265,$S$2:$S905=S265,$H$2:$H905&lt;&gt;""OB""))),W265&lt;&gt;1),"""",SUM(FILTER($K$2:$K905,$A$2:$A905=A265,$S$2:$S905=S265,$H$2:$H905&lt;&gt;""OB"")))"),"")</f>
        <v/>
      </c>
      <c r="W265" s="10" t="str">
        <f t="shared" si="5"/>
        <v/>
      </c>
    </row>
    <row r="266" spans="1:23" ht="12.5">
      <c r="A266" s="23"/>
      <c r="B266" s="5" t="str">
        <f t="array" ref="B266">IF(W266=1,INDEX('Database Mitra'!$H$2:$H905,MATCH(A266,'Database Mitra'!AK$2:AK905,0)),"")</f>
        <v/>
      </c>
      <c r="C266" s="5" t="str">
        <f t="array" ref="C266">IF(W266=1,INDEX('Database Mitra'!$E$2:$E905,MATCH(A266,'Database Mitra'!AK$2:AK905,0)),"")</f>
        <v/>
      </c>
      <c r="D266" s="23"/>
      <c r="E266" s="5" t="str">
        <f t="array" ref="E266">IF(W266=1,INDEX('Input Kegiatan'!B$2:B905,MATCH($D266,'Input Kegiatan'!$A$2:$A905,0)),"")</f>
        <v/>
      </c>
      <c r="F266" s="5" t="str">
        <f t="array" ref="F266">IF(W266=1,INDEX('Input Kegiatan'!D$2:D905,MATCH($D266,'Input Kegiatan'!$A$2:$A905,0)),"")</f>
        <v/>
      </c>
      <c r="G266" s="5" t="str">
        <f t="array" ref="G266">IF(W266=1,INDEX('Input Kegiatan'!E$2:E905,MATCH($D266,'Input Kegiatan'!$A$2:$A905,0)),"")</f>
        <v/>
      </c>
      <c r="H266" s="5" t="str">
        <f t="array" ref="H266">IF(W266=1,INDEX(Honor!$H$2:$H905,MATCH($D266&amp;"-"&amp;R266,Honor!$K$2:$K905,0)),"")</f>
        <v/>
      </c>
      <c r="I266" s="8" t="str">
        <f>IF(W266=1,SUMIFS(Honor!$I$2:$I905,Honor!$K$2:$K905,$D266&amp;"-"&amp;R266),"")</f>
        <v/>
      </c>
      <c r="J266" s="9" t="str">
        <f t="shared" si="6"/>
        <v/>
      </c>
      <c r="K266" s="10" t="str">
        <f t="shared" si="0"/>
        <v/>
      </c>
      <c r="L266" s="10" t="str">
        <f t="shared" si="1"/>
        <v/>
      </c>
      <c r="M266" s="10" t="str">
        <f>IF(W266=1,IF(AND(U266&lt;2,INT(V266)&lt;='Batasan Honor'!$B$2),1,0),"")</f>
        <v/>
      </c>
      <c r="O266" s="10" t="str">
        <f t="shared" si="2"/>
        <v/>
      </c>
      <c r="P266" s="10" t="str">
        <f t="shared" si="3"/>
        <v/>
      </c>
      <c r="R266" s="23"/>
      <c r="S266" s="10" t="str">
        <f t="shared" si="4"/>
        <v/>
      </c>
      <c r="U266" s="10" t="str">
        <f ca="1">IFERROR(__xludf.DUMMYFUNCTION("if(W266=1,COUNTIFS(FILTER($H$2:$H905,$H$2:$H905=""OB"",$S$2:$S905=S266),""OB""),"""")"),"")</f>
        <v/>
      </c>
      <c r="V266" s="10" t="str">
        <f ca="1">IFERROR(__xludf.DUMMYFUNCTION("IF(OR(ISNA(SUM(FILTER($K$2:$K905,$A$2:$A905=A266,$S$2:$S905=S266,$H$2:$H905&lt;&gt;""OB""))),W266&lt;&gt;1),"""",SUM(FILTER($K$2:$K905,$A$2:$A905=A266,$S$2:$S905=S266,$H$2:$H905&lt;&gt;""OB"")))"),"")</f>
        <v/>
      </c>
      <c r="W266" s="10" t="str">
        <f t="shared" si="5"/>
        <v/>
      </c>
    </row>
    <row r="267" spans="1:23" ht="12.5">
      <c r="A267" s="23"/>
      <c r="B267" s="5" t="str">
        <f t="array" ref="B267">IF(W267=1,INDEX('Database Mitra'!$H$2:$H905,MATCH(A267,'Database Mitra'!AK$2:AK905,0)),"")</f>
        <v/>
      </c>
      <c r="C267" s="5" t="str">
        <f t="array" ref="C267">IF(W267=1,INDEX('Database Mitra'!$E$2:$E905,MATCH(A267,'Database Mitra'!AK$2:AK905,0)),"")</f>
        <v/>
      </c>
      <c r="D267" s="23"/>
      <c r="E267" s="5" t="str">
        <f t="array" ref="E267">IF(W267=1,INDEX('Input Kegiatan'!B$2:B905,MATCH($D267,'Input Kegiatan'!$A$2:$A905,0)),"")</f>
        <v/>
      </c>
      <c r="F267" s="5" t="str">
        <f t="array" ref="F267">IF(W267=1,INDEX('Input Kegiatan'!D$2:D905,MATCH($D267,'Input Kegiatan'!$A$2:$A905,0)),"")</f>
        <v/>
      </c>
      <c r="G267" s="5" t="str">
        <f t="array" ref="G267">IF(W267=1,INDEX('Input Kegiatan'!E$2:E905,MATCH($D267,'Input Kegiatan'!$A$2:$A905,0)),"")</f>
        <v/>
      </c>
      <c r="H267" s="5" t="str">
        <f t="array" ref="H267">IF(W267=1,INDEX(Honor!$H$2:$H905,MATCH($D267&amp;"-"&amp;R267,Honor!$K$2:$K905,0)),"")</f>
        <v/>
      </c>
      <c r="I267" s="8" t="str">
        <f>IF(W267=1,SUMIFS(Honor!$I$2:$I905,Honor!$K$2:$K905,$D267&amp;"-"&amp;R267),"")</f>
        <v/>
      </c>
      <c r="J267" s="9" t="str">
        <f t="shared" si="6"/>
        <v/>
      </c>
      <c r="K267" s="10" t="str">
        <f t="shared" si="0"/>
        <v/>
      </c>
      <c r="L267" s="10" t="str">
        <f t="shared" si="1"/>
        <v/>
      </c>
      <c r="M267" s="10" t="str">
        <f>IF(W267=1,IF(AND(U267&lt;2,INT(V267)&lt;='Batasan Honor'!$B$2),1,0),"")</f>
        <v/>
      </c>
      <c r="O267" s="10" t="str">
        <f t="shared" si="2"/>
        <v/>
      </c>
      <c r="P267" s="10" t="str">
        <f t="shared" si="3"/>
        <v/>
      </c>
      <c r="R267" s="23"/>
      <c r="S267" s="10" t="str">
        <f t="shared" si="4"/>
        <v/>
      </c>
      <c r="U267" s="10" t="str">
        <f ca="1">IFERROR(__xludf.DUMMYFUNCTION("if(W267=1,COUNTIFS(FILTER($H$2:$H905,$H$2:$H905=""OB"",$S$2:$S905=S267),""OB""),"""")"),"")</f>
        <v/>
      </c>
      <c r="V267" s="10" t="str">
        <f ca="1">IFERROR(__xludf.DUMMYFUNCTION("IF(OR(ISNA(SUM(FILTER($K$2:$K905,$A$2:$A905=A267,$S$2:$S905=S267,$H$2:$H905&lt;&gt;""OB""))),W267&lt;&gt;1),"""",SUM(FILTER($K$2:$K905,$A$2:$A905=A267,$S$2:$S905=S267,$H$2:$H905&lt;&gt;""OB"")))"),"")</f>
        <v/>
      </c>
      <c r="W267" s="10" t="str">
        <f t="shared" si="5"/>
        <v/>
      </c>
    </row>
    <row r="268" spans="1:23" ht="12.5">
      <c r="A268" s="23"/>
      <c r="B268" s="5" t="str">
        <f t="array" ref="B268">IF(W268=1,INDEX('Database Mitra'!$H$2:$H905,MATCH(A268,'Database Mitra'!AK$2:AK905,0)),"")</f>
        <v/>
      </c>
      <c r="C268" s="5" t="str">
        <f t="array" ref="C268">IF(W268=1,INDEX('Database Mitra'!$E$2:$E905,MATCH(A268,'Database Mitra'!AK$2:AK905,0)),"")</f>
        <v/>
      </c>
      <c r="D268" s="23"/>
      <c r="E268" s="5" t="str">
        <f t="array" ref="E268">IF(W268=1,INDEX('Input Kegiatan'!B$2:B905,MATCH($D268,'Input Kegiatan'!$A$2:$A905,0)),"")</f>
        <v/>
      </c>
      <c r="F268" s="5" t="str">
        <f t="array" ref="F268">IF(W268=1,INDEX('Input Kegiatan'!D$2:D905,MATCH($D268,'Input Kegiatan'!$A$2:$A905,0)),"")</f>
        <v/>
      </c>
      <c r="G268" s="5" t="str">
        <f t="array" ref="G268">IF(W268=1,INDEX('Input Kegiatan'!E$2:E905,MATCH($D268,'Input Kegiatan'!$A$2:$A905,0)),"")</f>
        <v/>
      </c>
      <c r="H268" s="5" t="str">
        <f t="array" ref="H268">IF(W268=1,INDEX(Honor!$H$2:$H905,MATCH($D268&amp;"-"&amp;R268,Honor!$K$2:$K905,0)),"")</f>
        <v/>
      </c>
      <c r="I268" s="8" t="str">
        <f>IF(W268=1,SUMIFS(Honor!$I$2:$I905,Honor!$K$2:$K905,$D268&amp;"-"&amp;R268),"")</f>
        <v/>
      </c>
      <c r="J268" s="9" t="str">
        <f t="shared" si="6"/>
        <v/>
      </c>
      <c r="K268" s="10" t="str">
        <f t="shared" si="0"/>
        <v/>
      </c>
      <c r="L268" s="10" t="str">
        <f t="shared" si="1"/>
        <v/>
      </c>
      <c r="M268" s="10" t="str">
        <f>IF(W268=1,IF(AND(U268&lt;2,INT(V268)&lt;='Batasan Honor'!$B$2),1,0),"")</f>
        <v/>
      </c>
      <c r="O268" s="10" t="str">
        <f t="shared" si="2"/>
        <v/>
      </c>
      <c r="P268" s="10" t="str">
        <f t="shared" si="3"/>
        <v/>
      </c>
      <c r="R268" s="23"/>
      <c r="S268" s="10" t="str">
        <f t="shared" si="4"/>
        <v/>
      </c>
      <c r="U268" s="10" t="str">
        <f ca="1">IFERROR(__xludf.DUMMYFUNCTION("if(W268=1,COUNTIFS(FILTER($H$2:$H905,$H$2:$H905=""OB"",$S$2:$S905=S268),""OB""),"""")"),"")</f>
        <v/>
      </c>
      <c r="V268" s="10" t="str">
        <f ca="1">IFERROR(__xludf.DUMMYFUNCTION("IF(OR(ISNA(SUM(FILTER($K$2:$K905,$A$2:$A905=A268,$S$2:$S905=S268,$H$2:$H905&lt;&gt;""OB""))),W268&lt;&gt;1),"""",SUM(FILTER($K$2:$K905,$A$2:$A905=A268,$S$2:$S905=S268,$H$2:$H905&lt;&gt;""OB"")))"),"")</f>
        <v/>
      </c>
      <c r="W268" s="10" t="str">
        <f t="shared" si="5"/>
        <v/>
      </c>
    </row>
    <row r="269" spans="1:23" ht="12.5">
      <c r="A269" s="23"/>
      <c r="B269" s="5" t="str">
        <f t="array" ref="B269">IF(W269=1,INDEX('Database Mitra'!$H$2:$H905,MATCH(A269,'Database Mitra'!AK$2:AK905,0)),"")</f>
        <v/>
      </c>
      <c r="C269" s="5" t="str">
        <f t="array" ref="C269">IF(W269=1,INDEX('Database Mitra'!$E$2:$E905,MATCH(A269,'Database Mitra'!AK$2:AK905,0)),"")</f>
        <v/>
      </c>
      <c r="D269" s="23"/>
      <c r="E269" s="5" t="str">
        <f t="array" ref="E269">IF(W269=1,INDEX('Input Kegiatan'!B$2:B905,MATCH($D269,'Input Kegiatan'!$A$2:$A905,0)),"")</f>
        <v/>
      </c>
      <c r="F269" s="5" t="str">
        <f t="array" ref="F269">IF(W269=1,INDEX('Input Kegiatan'!D$2:D905,MATCH($D269,'Input Kegiatan'!$A$2:$A905,0)),"")</f>
        <v/>
      </c>
      <c r="G269" s="5" t="str">
        <f t="array" ref="G269">IF(W269=1,INDEX('Input Kegiatan'!E$2:E905,MATCH($D269,'Input Kegiatan'!$A$2:$A905,0)),"")</f>
        <v/>
      </c>
      <c r="H269" s="5" t="str">
        <f t="array" ref="H269">IF(W269=1,INDEX(Honor!$H$2:$H905,MATCH($D269&amp;"-"&amp;R269,Honor!$K$2:$K905,0)),"")</f>
        <v/>
      </c>
      <c r="I269" s="8" t="str">
        <f>IF(W269=1,SUMIFS(Honor!$I$2:$I905,Honor!$K$2:$K905,$D269&amp;"-"&amp;R269),"")</f>
        <v/>
      </c>
      <c r="J269" s="9" t="str">
        <f t="shared" si="6"/>
        <v/>
      </c>
      <c r="K269" s="10" t="str">
        <f t="shared" si="0"/>
        <v/>
      </c>
      <c r="L269" s="10" t="str">
        <f t="shared" si="1"/>
        <v/>
      </c>
      <c r="M269" s="10" t="str">
        <f>IF(W269=1,IF(AND(U269&lt;2,INT(V269)&lt;='Batasan Honor'!$B$2),1,0),"")</f>
        <v/>
      </c>
      <c r="O269" s="10" t="str">
        <f t="shared" si="2"/>
        <v/>
      </c>
      <c r="P269" s="10" t="str">
        <f t="shared" si="3"/>
        <v/>
      </c>
      <c r="R269" s="23"/>
      <c r="S269" s="10" t="str">
        <f t="shared" si="4"/>
        <v/>
      </c>
      <c r="U269" s="10" t="str">
        <f ca="1">IFERROR(__xludf.DUMMYFUNCTION("if(W269=1,COUNTIFS(FILTER($H$2:$H905,$H$2:$H905=""OB"",$S$2:$S905=S269),""OB""),"""")"),"")</f>
        <v/>
      </c>
      <c r="V269" s="10" t="str">
        <f ca="1">IFERROR(__xludf.DUMMYFUNCTION("IF(OR(ISNA(SUM(FILTER($K$2:$K905,$A$2:$A905=A269,$S$2:$S905=S269,$H$2:$H905&lt;&gt;""OB""))),W269&lt;&gt;1),"""",SUM(FILTER($K$2:$K905,$A$2:$A905=A269,$S$2:$S905=S269,$H$2:$H905&lt;&gt;""OB"")))"),"")</f>
        <v/>
      </c>
      <c r="W269" s="10" t="str">
        <f t="shared" si="5"/>
        <v/>
      </c>
    </row>
    <row r="270" spans="1:23" ht="12.5">
      <c r="A270" s="23"/>
      <c r="B270" s="5" t="str">
        <f t="array" ref="B270">IF(W270=1,INDEX('Database Mitra'!$H$2:$H905,MATCH(A270,'Database Mitra'!AK$2:AK905,0)),"")</f>
        <v/>
      </c>
      <c r="C270" s="5" t="str">
        <f t="array" ref="C270">IF(W270=1,INDEX('Database Mitra'!$E$2:$E905,MATCH(A270,'Database Mitra'!AK$2:AK905,0)),"")</f>
        <v/>
      </c>
      <c r="D270" s="23"/>
      <c r="E270" s="5" t="str">
        <f t="array" ref="E270">IF(W270=1,INDEX('Input Kegiatan'!B$2:B905,MATCH($D270,'Input Kegiatan'!$A$2:$A905,0)),"")</f>
        <v/>
      </c>
      <c r="F270" s="5" t="str">
        <f t="array" ref="F270">IF(W270=1,INDEX('Input Kegiatan'!D$2:D905,MATCH($D270,'Input Kegiatan'!$A$2:$A905,0)),"")</f>
        <v/>
      </c>
      <c r="G270" s="5" t="str">
        <f t="array" ref="G270">IF(W270=1,INDEX('Input Kegiatan'!E$2:E905,MATCH($D270,'Input Kegiatan'!$A$2:$A905,0)),"")</f>
        <v/>
      </c>
      <c r="H270" s="5" t="str">
        <f t="array" ref="H270">IF(W270=1,INDEX(Honor!$H$2:$H905,MATCH($D270&amp;"-"&amp;R270,Honor!$K$2:$K905,0)),"")</f>
        <v/>
      </c>
      <c r="I270" s="8" t="str">
        <f>IF(W270=1,SUMIFS(Honor!$I$2:$I905,Honor!$K$2:$K905,$D270&amp;"-"&amp;R270),"")</f>
        <v/>
      </c>
      <c r="J270" s="9" t="str">
        <f t="shared" si="6"/>
        <v/>
      </c>
      <c r="K270" s="10" t="str">
        <f t="shared" si="0"/>
        <v/>
      </c>
      <c r="L270" s="10" t="str">
        <f t="shared" si="1"/>
        <v/>
      </c>
      <c r="M270" s="10" t="str">
        <f>IF(W270=1,IF(AND(U270&lt;2,INT(V270)&lt;='Batasan Honor'!$B$2),1,0),"")</f>
        <v/>
      </c>
      <c r="O270" s="10" t="str">
        <f t="shared" si="2"/>
        <v/>
      </c>
      <c r="P270" s="10" t="str">
        <f t="shared" si="3"/>
        <v/>
      </c>
      <c r="R270" s="23"/>
      <c r="S270" s="10" t="str">
        <f t="shared" si="4"/>
        <v/>
      </c>
      <c r="U270" s="10" t="str">
        <f ca="1">IFERROR(__xludf.DUMMYFUNCTION("if(W270=1,COUNTIFS(FILTER($H$2:$H905,$H$2:$H905=""OB"",$S$2:$S905=S270),""OB""),"""")"),"")</f>
        <v/>
      </c>
      <c r="V270" s="10" t="str">
        <f ca="1">IFERROR(__xludf.DUMMYFUNCTION("IF(OR(ISNA(SUM(FILTER($K$2:$K905,$A$2:$A905=A270,$S$2:$S905=S270,$H$2:$H905&lt;&gt;""OB""))),W270&lt;&gt;1),"""",SUM(FILTER($K$2:$K905,$A$2:$A905=A270,$S$2:$S905=S270,$H$2:$H905&lt;&gt;""OB"")))"),"")</f>
        <v/>
      </c>
      <c r="W270" s="10" t="str">
        <f t="shared" si="5"/>
        <v/>
      </c>
    </row>
    <row r="271" spans="1:23" ht="12.5">
      <c r="A271" s="23"/>
      <c r="B271" s="5" t="str">
        <f t="array" ref="B271">IF(W271=1,INDEX('Database Mitra'!$H$2:$H905,MATCH(A271,'Database Mitra'!AK$2:AK905,0)),"")</f>
        <v/>
      </c>
      <c r="C271" s="5" t="str">
        <f t="array" ref="C271">IF(W271=1,INDEX('Database Mitra'!$E$2:$E905,MATCH(A271,'Database Mitra'!AK$2:AK905,0)),"")</f>
        <v/>
      </c>
      <c r="D271" s="23"/>
      <c r="E271" s="5" t="str">
        <f t="array" ref="E271">IF(W271=1,INDEX('Input Kegiatan'!B$2:B905,MATCH($D271,'Input Kegiatan'!$A$2:$A905,0)),"")</f>
        <v/>
      </c>
      <c r="F271" s="5" t="str">
        <f t="array" ref="F271">IF(W271=1,INDEX('Input Kegiatan'!D$2:D905,MATCH($D271,'Input Kegiatan'!$A$2:$A905,0)),"")</f>
        <v/>
      </c>
      <c r="G271" s="5" t="str">
        <f t="array" ref="G271">IF(W271=1,INDEX('Input Kegiatan'!E$2:E905,MATCH($D271,'Input Kegiatan'!$A$2:$A905,0)),"")</f>
        <v/>
      </c>
      <c r="H271" s="5" t="str">
        <f t="array" ref="H271">IF(W271=1,INDEX(Honor!$H$2:$H905,MATCH($D271&amp;"-"&amp;R271,Honor!$K$2:$K905,0)),"")</f>
        <v/>
      </c>
      <c r="I271" s="8" t="str">
        <f>IF(W271=1,SUMIFS(Honor!$I$2:$I905,Honor!$K$2:$K905,$D271&amp;"-"&amp;R271),"")</f>
        <v/>
      </c>
      <c r="J271" s="9" t="str">
        <f t="shared" si="6"/>
        <v/>
      </c>
      <c r="K271" s="10" t="str">
        <f t="shared" si="0"/>
        <v/>
      </c>
      <c r="L271" s="10" t="str">
        <f t="shared" si="1"/>
        <v/>
      </c>
      <c r="M271" s="10" t="str">
        <f>IF(W271=1,IF(AND(U271&lt;2,INT(V271)&lt;='Batasan Honor'!$B$2),1,0),"")</f>
        <v/>
      </c>
      <c r="O271" s="10" t="str">
        <f t="shared" si="2"/>
        <v/>
      </c>
      <c r="P271" s="10" t="str">
        <f t="shared" si="3"/>
        <v/>
      </c>
      <c r="R271" s="23"/>
      <c r="S271" s="10" t="str">
        <f t="shared" si="4"/>
        <v/>
      </c>
      <c r="U271" s="10" t="str">
        <f ca="1">IFERROR(__xludf.DUMMYFUNCTION("if(W271=1,COUNTIFS(FILTER($H$2:$H905,$H$2:$H905=""OB"",$S$2:$S905=S271),""OB""),"""")"),"")</f>
        <v/>
      </c>
      <c r="V271" s="10" t="str">
        <f ca="1">IFERROR(__xludf.DUMMYFUNCTION("IF(OR(ISNA(SUM(FILTER($K$2:$K905,$A$2:$A905=A271,$S$2:$S905=S271,$H$2:$H905&lt;&gt;""OB""))),W271&lt;&gt;1),"""",SUM(FILTER($K$2:$K905,$A$2:$A905=A271,$S$2:$S905=S271,$H$2:$H905&lt;&gt;""OB"")))"),"")</f>
        <v/>
      </c>
      <c r="W271" s="10" t="str">
        <f t="shared" si="5"/>
        <v/>
      </c>
    </row>
    <row r="272" spans="1:23" ht="12.5">
      <c r="A272" s="23"/>
      <c r="B272" s="5" t="str">
        <f t="array" ref="B272">IF(W272=1,INDEX('Database Mitra'!$H$2:$H905,MATCH(A272,'Database Mitra'!AK$2:AK905,0)),"")</f>
        <v/>
      </c>
      <c r="C272" s="5" t="str">
        <f t="array" ref="C272">IF(W272=1,INDEX('Database Mitra'!$E$2:$E905,MATCH(A272,'Database Mitra'!AK$2:AK905,0)),"")</f>
        <v/>
      </c>
      <c r="D272" s="23"/>
      <c r="E272" s="5" t="str">
        <f t="array" ref="E272">IF(W272=1,INDEX('Input Kegiatan'!B$2:B905,MATCH($D272,'Input Kegiatan'!$A$2:$A905,0)),"")</f>
        <v/>
      </c>
      <c r="F272" s="5" t="str">
        <f t="array" ref="F272">IF(W272=1,INDEX('Input Kegiatan'!D$2:D905,MATCH($D272,'Input Kegiatan'!$A$2:$A905,0)),"")</f>
        <v/>
      </c>
      <c r="G272" s="5" t="str">
        <f t="array" ref="G272">IF(W272=1,INDEX('Input Kegiatan'!E$2:E905,MATCH($D272,'Input Kegiatan'!$A$2:$A905,0)),"")</f>
        <v/>
      </c>
      <c r="H272" s="5" t="str">
        <f t="array" ref="H272">IF(W272=1,INDEX(Honor!$H$2:$H905,MATCH($D272&amp;"-"&amp;R272,Honor!$K$2:$K905,0)),"")</f>
        <v/>
      </c>
      <c r="I272" s="8" t="str">
        <f>IF(W272=1,SUMIFS(Honor!$I$2:$I905,Honor!$K$2:$K905,$D272&amp;"-"&amp;R272),"")</f>
        <v/>
      </c>
      <c r="J272" s="9" t="str">
        <f t="shared" si="6"/>
        <v/>
      </c>
      <c r="K272" s="10" t="str">
        <f t="shared" si="0"/>
        <v/>
      </c>
      <c r="L272" s="10" t="str">
        <f t="shared" si="1"/>
        <v/>
      </c>
      <c r="M272" s="10" t="str">
        <f>IF(W272=1,IF(AND(U272&lt;2,INT(V272)&lt;='Batasan Honor'!$B$2),1,0),"")</f>
        <v/>
      </c>
      <c r="O272" s="10" t="str">
        <f t="shared" si="2"/>
        <v/>
      </c>
      <c r="P272" s="10" t="str">
        <f t="shared" si="3"/>
        <v/>
      </c>
      <c r="R272" s="23"/>
      <c r="S272" s="10" t="str">
        <f t="shared" si="4"/>
        <v/>
      </c>
      <c r="U272" s="10" t="str">
        <f ca="1">IFERROR(__xludf.DUMMYFUNCTION("if(W272=1,COUNTIFS(FILTER($H$2:$H905,$H$2:$H905=""OB"",$S$2:$S905=S272),""OB""),"""")"),"")</f>
        <v/>
      </c>
      <c r="V272" s="10" t="str">
        <f ca="1">IFERROR(__xludf.DUMMYFUNCTION("IF(OR(ISNA(SUM(FILTER($K$2:$K905,$A$2:$A905=A272,$S$2:$S905=S272,$H$2:$H905&lt;&gt;""OB""))),W272&lt;&gt;1),"""",SUM(FILTER($K$2:$K905,$A$2:$A905=A272,$S$2:$S905=S272,$H$2:$H905&lt;&gt;""OB"")))"),"")</f>
        <v/>
      </c>
      <c r="W272" s="10" t="str">
        <f t="shared" si="5"/>
        <v/>
      </c>
    </row>
    <row r="273" spans="1:23" ht="12.5">
      <c r="A273" s="23"/>
      <c r="B273" s="5" t="str">
        <f t="array" ref="B273">IF(W273=1,INDEX('Database Mitra'!$H$2:$H905,MATCH(A273,'Database Mitra'!AK$2:AK905,0)),"")</f>
        <v/>
      </c>
      <c r="C273" s="5" t="str">
        <f t="array" ref="C273">IF(W273=1,INDEX('Database Mitra'!$E$2:$E905,MATCH(A273,'Database Mitra'!AK$2:AK905,0)),"")</f>
        <v/>
      </c>
      <c r="D273" s="23"/>
      <c r="E273" s="5" t="str">
        <f t="array" ref="E273">IF(W273=1,INDEX('Input Kegiatan'!B$2:B905,MATCH($D273,'Input Kegiatan'!$A$2:$A905,0)),"")</f>
        <v/>
      </c>
      <c r="F273" s="5" t="str">
        <f t="array" ref="F273">IF(W273=1,INDEX('Input Kegiatan'!D$2:D905,MATCH($D273,'Input Kegiatan'!$A$2:$A905,0)),"")</f>
        <v/>
      </c>
      <c r="G273" s="5" t="str">
        <f t="array" ref="G273">IF(W273=1,INDEX('Input Kegiatan'!E$2:E905,MATCH($D273,'Input Kegiatan'!$A$2:$A905,0)),"")</f>
        <v/>
      </c>
      <c r="H273" s="5" t="str">
        <f t="array" ref="H273">IF(W273=1,INDEX(Honor!$H$2:$H905,MATCH($D273&amp;"-"&amp;R273,Honor!$K$2:$K905,0)),"")</f>
        <v/>
      </c>
      <c r="I273" s="8" t="str">
        <f>IF(W273=1,SUMIFS(Honor!$I$2:$I905,Honor!$K$2:$K905,$D273&amp;"-"&amp;R273),"")</f>
        <v/>
      </c>
      <c r="J273" s="9" t="str">
        <f t="shared" si="6"/>
        <v/>
      </c>
      <c r="K273" s="10" t="str">
        <f t="shared" si="0"/>
        <v/>
      </c>
      <c r="L273" s="10" t="str">
        <f t="shared" si="1"/>
        <v/>
      </c>
      <c r="M273" s="10" t="str">
        <f>IF(W273=1,IF(AND(U273&lt;2,INT(V273)&lt;='Batasan Honor'!$B$2),1,0),"")</f>
        <v/>
      </c>
      <c r="O273" s="10" t="str">
        <f t="shared" si="2"/>
        <v/>
      </c>
      <c r="P273" s="10" t="str">
        <f t="shared" si="3"/>
        <v/>
      </c>
      <c r="R273" s="23"/>
      <c r="S273" s="10" t="str">
        <f t="shared" si="4"/>
        <v/>
      </c>
      <c r="U273" s="10" t="str">
        <f ca="1">IFERROR(__xludf.DUMMYFUNCTION("if(W273=1,COUNTIFS(FILTER($H$2:$H905,$H$2:$H905=""OB"",$S$2:$S905=S273),""OB""),"""")"),"")</f>
        <v/>
      </c>
      <c r="V273" s="10" t="str">
        <f ca="1">IFERROR(__xludf.DUMMYFUNCTION("IF(OR(ISNA(SUM(FILTER($K$2:$K905,$A$2:$A905=A273,$S$2:$S905=S273,$H$2:$H905&lt;&gt;""OB""))),W273&lt;&gt;1),"""",SUM(FILTER($K$2:$K905,$A$2:$A905=A273,$S$2:$S905=S273,$H$2:$H905&lt;&gt;""OB"")))"),"")</f>
        <v/>
      </c>
      <c r="W273" s="10" t="str">
        <f t="shared" si="5"/>
        <v/>
      </c>
    </row>
    <row r="274" spans="1:23" ht="12.5">
      <c r="A274" s="23"/>
      <c r="B274" s="5" t="str">
        <f t="array" ref="B274">IF(W274=1,INDEX('Database Mitra'!$H$2:$H905,MATCH(A274,'Database Mitra'!AK$2:AK905,0)),"")</f>
        <v/>
      </c>
      <c r="C274" s="5" t="str">
        <f t="array" ref="C274">IF(W274=1,INDEX('Database Mitra'!$E$2:$E905,MATCH(A274,'Database Mitra'!AK$2:AK905,0)),"")</f>
        <v/>
      </c>
      <c r="D274" s="23"/>
      <c r="E274" s="5" t="str">
        <f t="array" ref="E274">IF(W274=1,INDEX('Input Kegiatan'!B$2:B905,MATCH($D274,'Input Kegiatan'!$A$2:$A905,0)),"")</f>
        <v/>
      </c>
      <c r="F274" s="5" t="str">
        <f t="array" ref="F274">IF(W274=1,INDEX('Input Kegiatan'!D$2:D905,MATCH($D274,'Input Kegiatan'!$A$2:$A905,0)),"")</f>
        <v/>
      </c>
      <c r="G274" s="5" t="str">
        <f t="array" ref="G274">IF(W274=1,INDEX('Input Kegiatan'!E$2:E905,MATCH($D274,'Input Kegiatan'!$A$2:$A905,0)),"")</f>
        <v/>
      </c>
      <c r="H274" s="5" t="str">
        <f t="array" ref="H274">IF(W274=1,INDEX(Honor!$H$2:$H905,MATCH($D274&amp;"-"&amp;R274,Honor!$K$2:$K905,0)),"")</f>
        <v/>
      </c>
      <c r="I274" s="8" t="str">
        <f>IF(W274=1,SUMIFS(Honor!$I$2:$I905,Honor!$K$2:$K905,$D274&amp;"-"&amp;R274),"")</f>
        <v/>
      </c>
      <c r="J274" s="9" t="str">
        <f t="shared" si="6"/>
        <v/>
      </c>
      <c r="K274" s="10" t="str">
        <f t="shared" si="0"/>
        <v/>
      </c>
      <c r="L274" s="10" t="str">
        <f t="shared" si="1"/>
        <v/>
      </c>
      <c r="M274" s="10" t="str">
        <f>IF(W274=1,IF(AND(U274&lt;2,INT(V274)&lt;='Batasan Honor'!$B$2),1,0),"")</f>
        <v/>
      </c>
      <c r="O274" s="10" t="str">
        <f t="shared" si="2"/>
        <v/>
      </c>
      <c r="P274" s="10" t="str">
        <f t="shared" si="3"/>
        <v/>
      </c>
      <c r="R274" s="23"/>
      <c r="S274" s="10" t="str">
        <f t="shared" si="4"/>
        <v/>
      </c>
      <c r="U274" s="10" t="str">
        <f ca="1">IFERROR(__xludf.DUMMYFUNCTION("if(W274=1,COUNTIFS(FILTER($H$2:$H905,$H$2:$H905=""OB"",$S$2:$S905=S274),""OB""),"""")"),"")</f>
        <v/>
      </c>
      <c r="V274" s="10" t="str">
        <f ca="1">IFERROR(__xludf.DUMMYFUNCTION("IF(OR(ISNA(SUM(FILTER($K$2:$K905,$A$2:$A905=A274,$S$2:$S905=S274,$H$2:$H905&lt;&gt;""OB""))),W274&lt;&gt;1),"""",SUM(FILTER($K$2:$K905,$A$2:$A905=A274,$S$2:$S905=S274,$H$2:$H905&lt;&gt;""OB"")))"),"")</f>
        <v/>
      </c>
      <c r="W274" s="10" t="str">
        <f t="shared" si="5"/>
        <v/>
      </c>
    </row>
    <row r="275" spans="1:23" ht="12.5">
      <c r="A275" s="23"/>
      <c r="B275" s="5" t="str">
        <f t="array" ref="B275">IF(W275=1,INDEX('Database Mitra'!$H$2:$H905,MATCH(A275,'Database Mitra'!AK$2:AK905,0)),"")</f>
        <v/>
      </c>
      <c r="C275" s="5" t="str">
        <f t="array" ref="C275">IF(W275=1,INDEX('Database Mitra'!$E$2:$E905,MATCH(A275,'Database Mitra'!AK$2:AK905,0)),"")</f>
        <v/>
      </c>
      <c r="D275" s="23"/>
      <c r="E275" s="5" t="str">
        <f t="array" ref="E275">IF(W275=1,INDEX('Input Kegiatan'!B$2:B905,MATCH($D275,'Input Kegiatan'!$A$2:$A905,0)),"")</f>
        <v/>
      </c>
      <c r="F275" s="5" t="str">
        <f t="array" ref="F275">IF(W275=1,INDEX('Input Kegiatan'!D$2:D905,MATCH($D275,'Input Kegiatan'!$A$2:$A905,0)),"")</f>
        <v/>
      </c>
      <c r="G275" s="5" t="str">
        <f t="array" ref="G275">IF(W275=1,INDEX('Input Kegiatan'!E$2:E905,MATCH($D275,'Input Kegiatan'!$A$2:$A905,0)),"")</f>
        <v/>
      </c>
      <c r="H275" s="5" t="str">
        <f t="array" ref="H275">IF(W275=1,INDEX(Honor!$H$2:$H905,MATCH($D275&amp;"-"&amp;R275,Honor!$K$2:$K905,0)),"")</f>
        <v/>
      </c>
      <c r="I275" s="8" t="str">
        <f>IF(W275=1,SUMIFS(Honor!$I$2:$I905,Honor!$K$2:$K905,$D275&amp;"-"&amp;R275),"")</f>
        <v/>
      </c>
      <c r="J275" s="9" t="str">
        <f t="shared" si="6"/>
        <v/>
      </c>
      <c r="K275" s="10" t="str">
        <f t="shared" si="0"/>
        <v/>
      </c>
      <c r="L275" s="10" t="str">
        <f t="shared" si="1"/>
        <v/>
      </c>
      <c r="M275" s="10" t="str">
        <f>IF(W275=1,IF(AND(U275&lt;2,INT(V275)&lt;='Batasan Honor'!$B$2),1,0),"")</f>
        <v/>
      </c>
      <c r="O275" s="10" t="str">
        <f t="shared" si="2"/>
        <v/>
      </c>
      <c r="P275" s="10" t="str">
        <f t="shared" si="3"/>
        <v/>
      </c>
      <c r="R275" s="23"/>
      <c r="S275" s="10" t="str">
        <f t="shared" si="4"/>
        <v/>
      </c>
      <c r="U275" s="10" t="str">
        <f ca="1">IFERROR(__xludf.DUMMYFUNCTION("if(W275=1,COUNTIFS(FILTER($H$2:$H905,$H$2:$H905=""OB"",$S$2:$S905=S275),""OB""),"""")"),"")</f>
        <v/>
      </c>
      <c r="V275" s="10" t="str">
        <f ca="1">IFERROR(__xludf.DUMMYFUNCTION("IF(OR(ISNA(SUM(FILTER($K$2:$K905,$A$2:$A905=A275,$S$2:$S905=S275,$H$2:$H905&lt;&gt;""OB""))),W275&lt;&gt;1),"""",SUM(FILTER($K$2:$K905,$A$2:$A905=A275,$S$2:$S905=S275,$H$2:$H905&lt;&gt;""OB"")))"),"")</f>
        <v/>
      </c>
      <c r="W275" s="10" t="str">
        <f t="shared" si="5"/>
        <v/>
      </c>
    </row>
    <row r="276" spans="1:23" ht="12.5">
      <c r="A276" s="23"/>
      <c r="B276" s="5" t="str">
        <f t="array" ref="B276">IF(W276=1,INDEX('Database Mitra'!$H$2:$H905,MATCH(A276,'Database Mitra'!AK$2:AK905,0)),"")</f>
        <v/>
      </c>
      <c r="C276" s="5" t="str">
        <f t="array" ref="C276">IF(W276=1,INDEX('Database Mitra'!$E$2:$E905,MATCH(A276,'Database Mitra'!AK$2:AK905,0)),"")</f>
        <v/>
      </c>
      <c r="D276" s="23"/>
      <c r="E276" s="5" t="str">
        <f t="array" ref="E276">IF(W276=1,INDEX('Input Kegiatan'!B$2:B905,MATCH($D276,'Input Kegiatan'!$A$2:$A905,0)),"")</f>
        <v/>
      </c>
      <c r="F276" s="5" t="str">
        <f t="array" ref="F276">IF(W276=1,INDEX('Input Kegiatan'!D$2:D905,MATCH($D276,'Input Kegiatan'!$A$2:$A905,0)),"")</f>
        <v/>
      </c>
      <c r="G276" s="5" t="str">
        <f t="array" ref="G276">IF(W276=1,INDEX('Input Kegiatan'!E$2:E905,MATCH($D276,'Input Kegiatan'!$A$2:$A905,0)),"")</f>
        <v/>
      </c>
      <c r="H276" s="5" t="str">
        <f t="array" ref="H276">IF(W276=1,INDEX(Honor!$H$2:$H905,MATCH($D276&amp;"-"&amp;R276,Honor!$K$2:$K905,0)),"")</f>
        <v/>
      </c>
      <c r="I276" s="8" t="str">
        <f>IF(W276=1,SUMIFS(Honor!$I$2:$I905,Honor!$K$2:$K905,$D276&amp;"-"&amp;R276),"")</f>
        <v/>
      </c>
      <c r="J276" s="9" t="str">
        <f t="shared" si="6"/>
        <v/>
      </c>
      <c r="K276" s="10" t="str">
        <f t="shared" si="0"/>
        <v/>
      </c>
      <c r="L276" s="10" t="str">
        <f t="shared" si="1"/>
        <v/>
      </c>
      <c r="M276" s="10" t="str">
        <f>IF(W276=1,IF(AND(U276&lt;2,INT(V276)&lt;='Batasan Honor'!$B$2),1,0),"")</f>
        <v/>
      </c>
      <c r="O276" s="10" t="str">
        <f t="shared" si="2"/>
        <v/>
      </c>
      <c r="P276" s="10" t="str">
        <f t="shared" si="3"/>
        <v/>
      </c>
      <c r="R276" s="23"/>
      <c r="S276" s="10" t="str">
        <f t="shared" si="4"/>
        <v/>
      </c>
      <c r="U276" s="10" t="str">
        <f ca="1">IFERROR(__xludf.DUMMYFUNCTION("if(W276=1,COUNTIFS(FILTER($H$2:$H905,$H$2:$H905=""OB"",$S$2:$S905=S276),""OB""),"""")"),"")</f>
        <v/>
      </c>
      <c r="V276" s="10" t="str">
        <f ca="1">IFERROR(__xludf.DUMMYFUNCTION("IF(OR(ISNA(SUM(FILTER($K$2:$K905,$A$2:$A905=A276,$S$2:$S905=S276,$H$2:$H905&lt;&gt;""OB""))),W276&lt;&gt;1),"""",SUM(FILTER($K$2:$K905,$A$2:$A905=A276,$S$2:$S905=S276,$H$2:$H905&lt;&gt;""OB"")))"),"")</f>
        <v/>
      </c>
      <c r="W276" s="10" t="str">
        <f t="shared" si="5"/>
        <v/>
      </c>
    </row>
    <row r="277" spans="1:23" ht="12.5">
      <c r="A277" s="23"/>
      <c r="B277" s="5" t="str">
        <f t="array" ref="B277">IF(W277=1,INDEX('Database Mitra'!$H$2:$H905,MATCH(A277,'Database Mitra'!AK$2:AK905,0)),"")</f>
        <v/>
      </c>
      <c r="C277" s="5" t="str">
        <f t="array" ref="C277">IF(W277=1,INDEX('Database Mitra'!$E$2:$E905,MATCH(A277,'Database Mitra'!AK$2:AK905,0)),"")</f>
        <v/>
      </c>
      <c r="D277" s="23"/>
      <c r="E277" s="5" t="str">
        <f t="array" ref="E277">IF(W277=1,INDEX('Input Kegiatan'!B$2:B905,MATCH($D277,'Input Kegiatan'!$A$2:$A905,0)),"")</f>
        <v/>
      </c>
      <c r="F277" s="5" t="str">
        <f t="array" ref="F277">IF(W277=1,INDEX('Input Kegiatan'!D$2:D905,MATCH($D277,'Input Kegiatan'!$A$2:$A905,0)),"")</f>
        <v/>
      </c>
      <c r="G277" s="5" t="str">
        <f t="array" ref="G277">IF(W277=1,INDEX('Input Kegiatan'!E$2:E905,MATCH($D277,'Input Kegiatan'!$A$2:$A905,0)),"")</f>
        <v/>
      </c>
      <c r="H277" s="5" t="str">
        <f t="array" ref="H277">IF(W277=1,INDEX(Honor!$H$2:$H905,MATCH($D277&amp;"-"&amp;R277,Honor!$K$2:$K905,0)),"")</f>
        <v/>
      </c>
      <c r="I277" s="8" t="str">
        <f>IF(W277=1,SUMIFS(Honor!$I$2:$I905,Honor!$K$2:$K905,$D277&amp;"-"&amp;R277),"")</f>
        <v/>
      </c>
      <c r="J277" s="9" t="str">
        <f t="shared" si="6"/>
        <v/>
      </c>
      <c r="K277" s="10" t="str">
        <f t="shared" si="0"/>
        <v/>
      </c>
      <c r="L277" s="10" t="str">
        <f t="shared" si="1"/>
        <v/>
      </c>
      <c r="M277" s="10" t="str">
        <f>IF(W277=1,IF(AND(U277&lt;2,INT(V277)&lt;='Batasan Honor'!$B$2),1,0),"")</f>
        <v/>
      </c>
      <c r="O277" s="10" t="str">
        <f t="shared" si="2"/>
        <v/>
      </c>
      <c r="P277" s="10" t="str">
        <f t="shared" si="3"/>
        <v/>
      </c>
      <c r="R277" s="23"/>
      <c r="S277" s="10" t="str">
        <f t="shared" si="4"/>
        <v/>
      </c>
      <c r="U277" s="10" t="str">
        <f ca="1">IFERROR(__xludf.DUMMYFUNCTION("if(W277=1,COUNTIFS(FILTER($H$2:$H905,$H$2:$H905=""OB"",$S$2:$S905=S277),""OB""),"""")"),"")</f>
        <v/>
      </c>
      <c r="V277" s="10" t="str">
        <f ca="1">IFERROR(__xludf.DUMMYFUNCTION("IF(OR(ISNA(SUM(FILTER($K$2:$K905,$A$2:$A905=A277,$S$2:$S905=S277,$H$2:$H905&lt;&gt;""OB""))),W277&lt;&gt;1),"""",SUM(FILTER($K$2:$K905,$A$2:$A905=A277,$S$2:$S905=S277,$H$2:$H905&lt;&gt;""OB"")))"),"")</f>
        <v/>
      </c>
      <c r="W277" s="10" t="str">
        <f t="shared" si="5"/>
        <v/>
      </c>
    </row>
    <row r="278" spans="1:23" ht="12.5">
      <c r="A278" s="23"/>
      <c r="B278" s="5" t="str">
        <f t="array" ref="B278">IF(W278=1,INDEX('Database Mitra'!$H$2:$H905,MATCH(A278,'Database Mitra'!AK$2:AK905,0)),"")</f>
        <v/>
      </c>
      <c r="C278" s="5" t="str">
        <f t="array" ref="C278">IF(W278=1,INDEX('Database Mitra'!$E$2:$E905,MATCH(A278,'Database Mitra'!AK$2:AK905,0)),"")</f>
        <v/>
      </c>
      <c r="D278" s="23"/>
      <c r="E278" s="5" t="str">
        <f t="array" ref="E278">IF(W278=1,INDEX('Input Kegiatan'!B$2:B905,MATCH($D278,'Input Kegiatan'!$A$2:$A905,0)),"")</f>
        <v/>
      </c>
      <c r="F278" s="5" t="str">
        <f t="array" ref="F278">IF(W278=1,INDEX('Input Kegiatan'!D$2:D905,MATCH($D278,'Input Kegiatan'!$A$2:$A905,0)),"")</f>
        <v/>
      </c>
      <c r="G278" s="5" t="str">
        <f t="array" ref="G278">IF(W278=1,INDEX('Input Kegiatan'!E$2:E905,MATCH($D278,'Input Kegiatan'!$A$2:$A905,0)),"")</f>
        <v/>
      </c>
      <c r="H278" s="5" t="str">
        <f t="array" ref="H278">IF(W278=1,INDEX(Honor!$H$2:$H905,MATCH($D278&amp;"-"&amp;R278,Honor!$K$2:$K905,0)),"")</f>
        <v/>
      </c>
      <c r="I278" s="8" t="str">
        <f>IF(W278=1,SUMIFS(Honor!$I$2:$I905,Honor!$K$2:$K905,$D278&amp;"-"&amp;R278),"")</f>
        <v/>
      </c>
      <c r="J278" s="9" t="str">
        <f t="shared" si="6"/>
        <v/>
      </c>
      <c r="K278" s="10" t="str">
        <f t="shared" si="0"/>
        <v/>
      </c>
      <c r="L278" s="10" t="str">
        <f t="shared" si="1"/>
        <v/>
      </c>
      <c r="M278" s="10" t="str">
        <f>IF(W278=1,IF(AND(U278&lt;2,INT(V278)&lt;='Batasan Honor'!$B$2),1,0),"")</f>
        <v/>
      </c>
      <c r="O278" s="10" t="str">
        <f t="shared" si="2"/>
        <v/>
      </c>
      <c r="P278" s="10" t="str">
        <f t="shared" si="3"/>
        <v/>
      </c>
      <c r="R278" s="23"/>
      <c r="S278" s="10" t="str">
        <f t="shared" si="4"/>
        <v/>
      </c>
      <c r="U278" s="10" t="str">
        <f ca="1">IFERROR(__xludf.DUMMYFUNCTION("if(W278=1,COUNTIFS(FILTER($H$2:$H905,$H$2:$H905=""OB"",$S$2:$S905=S278),""OB""),"""")"),"")</f>
        <v/>
      </c>
      <c r="V278" s="10" t="str">
        <f ca="1">IFERROR(__xludf.DUMMYFUNCTION("IF(OR(ISNA(SUM(FILTER($K$2:$K905,$A$2:$A905=A278,$S$2:$S905=S278,$H$2:$H905&lt;&gt;""OB""))),W278&lt;&gt;1),"""",SUM(FILTER($K$2:$K905,$A$2:$A905=A278,$S$2:$S905=S278,$H$2:$H905&lt;&gt;""OB"")))"),"")</f>
        <v/>
      </c>
      <c r="W278" s="10" t="str">
        <f t="shared" si="5"/>
        <v/>
      </c>
    </row>
    <row r="279" spans="1:23" ht="12.5">
      <c r="A279" s="23"/>
      <c r="B279" s="5" t="str">
        <f t="array" ref="B279">IF(W279=1,INDEX('Database Mitra'!$H$2:$H905,MATCH(A279,'Database Mitra'!AK$2:AK905,0)),"")</f>
        <v/>
      </c>
      <c r="C279" s="5" t="str">
        <f t="array" ref="C279">IF(W279=1,INDEX('Database Mitra'!$E$2:$E905,MATCH(A279,'Database Mitra'!AK$2:AK905,0)),"")</f>
        <v/>
      </c>
      <c r="D279" s="23"/>
      <c r="E279" s="5" t="str">
        <f t="array" ref="E279">IF(W279=1,INDEX('Input Kegiatan'!B$2:B905,MATCH($D279,'Input Kegiatan'!$A$2:$A905,0)),"")</f>
        <v/>
      </c>
      <c r="F279" s="5" t="str">
        <f t="array" ref="F279">IF(W279=1,INDEX('Input Kegiatan'!D$2:D905,MATCH($D279,'Input Kegiatan'!$A$2:$A905,0)),"")</f>
        <v/>
      </c>
      <c r="G279" s="5" t="str">
        <f t="array" ref="G279">IF(W279=1,INDEX('Input Kegiatan'!E$2:E905,MATCH($D279,'Input Kegiatan'!$A$2:$A905,0)),"")</f>
        <v/>
      </c>
      <c r="H279" s="5" t="str">
        <f t="array" ref="H279">IF(W279=1,INDEX(Honor!$H$2:$H905,MATCH($D279&amp;"-"&amp;R279,Honor!$K$2:$K905,0)),"")</f>
        <v/>
      </c>
      <c r="I279" s="8" t="str">
        <f>IF(W279=1,SUMIFS(Honor!$I$2:$I905,Honor!$K$2:$K905,$D279&amp;"-"&amp;R279),"")</f>
        <v/>
      </c>
      <c r="J279" s="9" t="str">
        <f t="shared" si="6"/>
        <v/>
      </c>
      <c r="K279" s="10" t="str">
        <f t="shared" si="0"/>
        <v/>
      </c>
      <c r="L279" s="10" t="str">
        <f t="shared" si="1"/>
        <v/>
      </c>
      <c r="M279" s="10" t="str">
        <f>IF(W279=1,IF(AND(U279&lt;2,INT(V279)&lt;='Batasan Honor'!$B$2),1,0),"")</f>
        <v/>
      </c>
      <c r="O279" s="10" t="str">
        <f t="shared" si="2"/>
        <v/>
      </c>
      <c r="P279" s="10" t="str">
        <f t="shared" si="3"/>
        <v/>
      </c>
      <c r="R279" s="23"/>
      <c r="S279" s="10" t="str">
        <f t="shared" si="4"/>
        <v/>
      </c>
      <c r="U279" s="10" t="str">
        <f ca="1">IFERROR(__xludf.DUMMYFUNCTION("if(W279=1,COUNTIFS(FILTER($H$2:$H905,$H$2:$H905=""OB"",$S$2:$S905=S279),""OB""),"""")"),"")</f>
        <v/>
      </c>
      <c r="V279" s="10" t="str">
        <f ca="1">IFERROR(__xludf.DUMMYFUNCTION("IF(OR(ISNA(SUM(FILTER($K$2:$K905,$A$2:$A905=A279,$S$2:$S905=S279,$H$2:$H905&lt;&gt;""OB""))),W279&lt;&gt;1),"""",SUM(FILTER($K$2:$K905,$A$2:$A905=A279,$S$2:$S905=S279,$H$2:$H905&lt;&gt;""OB"")))"),"")</f>
        <v/>
      </c>
      <c r="W279" s="10" t="str">
        <f t="shared" si="5"/>
        <v/>
      </c>
    </row>
    <row r="280" spans="1:23" ht="12.5">
      <c r="A280" s="23"/>
      <c r="B280" s="5" t="str">
        <f t="array" ref="B280">IF(W280=1,INDEX('Database Mitra'!$H$2:$H905,MATCH(A280,'Database Mitra'!AK$2:AK905,0)),"")</f>
        <v/>
      </c>
      <c r="C280" s="5" t="str">
        <f t="array" ref="C280">IF(W280=1,INDEX('Database Mitra'!$E$2:$E905,MATCH(A280,'Database Mitra'!AK$2:AK905,0)),"")</f>
        <v/>
      </c>
      <c r="D280" s="23"/>
      <c r="E280" s="5" t="str">
        <f t="array" ref="E280">IF(W280=1,INDEX('Input Kegiatan'!B$2:B905,MATCH($D280,'Input Kegiatan'!$A$2:$A905,0)),"")</f>
        <v/>
      </c>
      <c r="F280" s="5" t="str">
        <f t="array" ref="F280">IF(W280=1,INDEX('Input Kegiatan'!D$2:D905,MATCH($D280,'Input Kegiatan'!$A$2:$A905,0)),"")</f>
        <v/>
      </c>
      <c r="G280" s="5" t="str">
        <f t="array" ref="G280">IF(W280=1,INDEX('Input Kegiatan'!E$2:E905,MATCH($D280,'Input Kegiatan'!$A$2:$A905,0)),"")</f>
        <v/>
      </c>
      <c r="H280" s="5" t="str">
        <f t="array" ref="H280">IF(W280=1,INDEX(Honor!$H$2:$H905,MATCH($D280&amp;"-"&amp;R280,Honor!$K$2:$K905,0)),"")</f>
        <v/>
      </c>
      <c r="I280" s="8" t="str">
        <f>IF(W280=1,SUMIFS(Honor!$I$2:$I905,Honor!$K$2:$K905,$D280&amp;"-"&amp;R280),"")</f>
        <v/>
      </c>
      <c r="J280" s="9" t="str">
        <f t="shared" si="6"/>
        <v/>
      </c>
      <c r="K280" s="10" t="str">
        <f t="shared" si="0"/>
        <v/>
      </c>
      <c r="L280" s="10" t="str">
        <f t="shared" si="1"/>
        <v/>
      </c>
      <c r="M280" s="10" t="str">
        <f>IF(W280=1,IF(AND(U280&lt;2,INT(V280)&lt;='Batasan Honor'!$B$2),1,0),"")</f>
        <v/>
      </c>
      <c r="O280" s="10" t="str">
        <f t="shared" si="2"/>
        <v/>
      </c>
      <c r="P280" s="10" t="str">
        <f t="shared" si="3"/>
        <v/>
      </c>
      <c r="R280" s="23"/>
      <c r="S280" s="10" t="str">
        <f t="shared" si="4"/>
        <v/>
      </c>
      <c r="U280" s="10" t="str">
        <f ca="1">IFERROR(__xludf.DUMMYFUNCTION("if(W280=1,COUNTIFS(FILTER($H$2:$H905,$H$2:$H905=""OB"",$S$2:$S905=S280),""OB""),"""")"),"")</f>
        <v/>
      </c>
      <c r="V280" s="10" t="str">
        <f ca="1">IFERROR(__xludf.DUMMYFUNCTION("IF(OR(ISNA(SUM(FILTER($K$2:$K905,$A$2:$A905=A280,$S$2:$S905=S280,$H$2:$H905&lt;&gt;""OB""))),W280&lt;&gt;1),"""",SUM(FILTER($K$2:$K905,$A$2:$A905=A280,$S$2:$S905=S280,$H$2:$H905&lt;&gt;""OB"")))"),"")</f>
        <v/>
      </c>
      <c r="W280" s="10" t="str">
        <f t="shared" si="5"/>
        <v/>
      </c>
    </row>
    <row r="281" spans="1:23" ht="12.5">
      <c r="A281" s="23"/>
      <c r="B281" s="5" t="str">
        <f t="array" ref="B281">IF(W281=1,INDEX('Database Mitra'!$H$2:$H905,MATCH(A281,'Database Mitra'!AK$2:AK905,0)),"")</f>
        <v/>
      </c>
      <c r="C281" s="5" t="str">
        <f t="array" ref="C281">IF(W281=1,INDEX('Database Mitra'!$E$2:$E905,MATCH(A281,'Database Mitra'!AK$2:AK905,0)),"")</f>
        <v/>
      </c>
      <c r="D281" s="23"/>
      <c r="E281" s="5" t="str">
        <f t="array" ref="E281">IF(W281=1,INDEX('Input Kegiatan'!B$2:B905,MATCH($D281,'Input Kegiatan'!$A$2:$A905,0)),"")</f>
        <v/>
      </c>
      <c r="F281" s="5" t="str">
        <f t="array" ref="F281">IF(W281=1,INDEX('Input Kegiatan'!D$2:D905,MATCH($D281,'Input Kegiatan'!$A$2:$A905,0)),"")</f>
        <v/>
      </c>
      <c r="G281" s="5" t="str">
        <f t="array" ref="G281">IF(W281=1,INDEX('Input Kegiatan'!E$2:E905,MATCH($D281,'Input Kegiatan'!$A$2:$A905,0)),"")</f>
        <v/>
      </c>
      <c r="H281" s="5" t="str">
        <f t="array" ref="H281">IF(W281=1,INDEX(Honor!$H$2:$H905,MATCH($D281&amp;"-"&amp;R281,Honor!$K$2:$K905,0)),"")</f>
        <v/>
      </c>
      <c r="I281" s="8" t="str">
        <f>IF(W281=1,SUMIFS(Honor!$I$2:$I905,Honor!$K$2:$K905,$D281&amp;"-"&amp;R281),"")</f>
        <v/>
      </c>
      <c r="J281" s="9" t="str">
        <f t="shared" si="6"/>
        <v/>
      </c>
      <c r="K281" s="10" t="str">
        <f t="shared" si="0"/>
        <v/>
      </c>
      <c r="L281" s="10" t="str">
        <f t="shared" si="1"/>
        <v/>
      </c>
      <c r="M281" s="10" t="str">
        <f>IF(W281=1,IF(AND(U281&lt;2,INT(V281)&lt;='Batasan Honor'!$B$2),1,0),"")</f>
        <v/>
      </c>
      <c r="O281" s="10" t="str">
        <f t="shared" si="2"/>
        <v/>
      </c>
      <c r="P281" s="10" t="str">
        <f t="shared" si="3"/>
        <v/>
      </c>
      <c r="R281" s="23"/>
      <c r="S281" s="10" t="str">
        <f t="shared" si="4"/>
        <v/>
      </c>
      <c r="U281" s="10" t="str">
        <f ca="1">IFERROR(__xludf.DUMMYFUNCTION("if(W281=1,COUNTIFS(FILTER($H$2:$H905,$H$2:$H905=""OB"",$S$2:$S905=S281),""OB""),"""")"),"")</f>
        <v/>
      </c>
      <c r="V281" s="10" t="str">
        <f ca="1">IFERROR(__xludf.DUMMYFUNCTION("IF(OR(ISNA(SUM(FILTER($K$2:$K905,$A$2:$A905=A281,$S$2:$S905=S281,$H$2:$H905&lt;&gt;""OB""))),W281&lt;&gt;1),"""",SUM(FILTER($K$2:$K905,$A$2:$A905=A281,$S$2:$S905=S281,$H$2:$H905&lt;&gt;""OB"")))"),"")</f>
        <v/>
      </c>
      <c r="W281" s="10" t="str">
        <f t="shared" si="5"/>
        <v/>
      </c>
    </row>
    <row r="282" spans="1:23" ht="12.5">
      <c r="A282" s="23"/>
      <c r="B282" s="5" t="str">
        <f t="array" ref="B282">IF(W282=1,INDEX('Database Mitra'!$H$2:$H905,MATCH(A282,'Database Mitra'!AK$2:AK905,0)),"")</f>
        <v/>
      </c>
      <c r="C282" s="5" t="str">
        <f t="array" ref="C282">IF(W282=1,INDEX('Database Mitra'!$E$2:$E905,MATCH(A282,'Database Mitra'!AK$2:AK905,0)),"")</f>
        <v/>
      </c>
      <c r="D282" s="23"/>
      <c r="E282" s="5" t="str">
        <f t="array" ref="E282">IF(W282=1,INDEX('Input Kegiatan'!B$2:B905,MATCH($D282,'Input Kegiatan'!$A$2:$A905,0)),"")</f>
        <v/>
      </c>
      <c r="F282" s="5" t="str">
        <f t="array" ref="F282">IF(W282=1,INDEX('Input Kegiatan'!D$2:D905,MATCH($D282,'Input Kegiatan'!$A$2:$A905,0)),"")</f>
        <v/>
      </c>
      <c r="G282" s="5" t="str">
        <f t="array" ref="G282">IF(W282=1,INDEX('Input Kegiatan'!E$2:E905,MATCH($D282,'Input Kegiatan'!$A$2:$A905,0)),"")</f>
        <v/>
      </c>
      <c r="H282" s="5" t="str">
        <f t="array" ref="H282">IF(W282=1,INDEX(Honor!$H$2:$H905,MATCH($D282&amp;"-"&amp;R282,Honor!$K$2:$K905,0)),"")</f>
        <v/>
      </c>
      <c r="I282" s="8" t="str">
        <f>IF(W282=1,SUMIFS(Honor!$I$2:$I905,Honor!$K$2:$K905,$D282&amp;"-"&amp;R282),"")</f>
        <v/>
      </c>
      <c r="J282" s="9" t="str">
        <f t="shared" si="6"/>
        <v/>
      </c>
      <c r="K282" s="10" t="str">
        <f t="shared" si="0"/>
        <v/>
      </c>
      <c r="L282" s="10" t="str">
        <f t="shared" si="1"/>
        <v/>
      </c>
      <c r="M282" s="10" t="str">
        <f>IF(W282=1,IF(AND(U282&lt;2,INT(V282)&lt;='Batasan Honor'!$B$2),1,0),"")</f>
        <v/>
      </c>
      <c r="O282" s="10" t="str">
        <f t="shared" si="2"/>
        <v/>
      </c>
      <c r="P282" s="10" t="str">
        <f t="shared" si="3"/>
        <v/>
      </c>
      <c r="R282" s="23"/>
      <c r="S282" s="10" t="str">
        <f t="shared" si="4"/>
        <v/>
      </c>
      <c r="U282" s="10" t="str">
        <f ca="1">IFERROR(__xludf.DUMMYFUNCTION("if(W282=1,COUNTIFS(FILTER($H$2:$H905,$H$2:$H905=""OB"",$S$2:$S905=S282),""OB""),"""")"),"")</f>
        <v/>
      </c>
      <c r="V282" s="10" t="str">
        <f ca="1">IFERROR(__xludf.DUMMYFUNCTION("IF(OR(ISNA(SUM(FILTER($K$2:$K905,$A$2:$A905=A282,$S$2:$S905=S282,$H$2:$H905&lt;&gt;""OB""))),W282&lt;&gt;1),"""",SUM(FILTER($K$2:$K905,$A$2:$A905=A282,$S$2:$S905=S282,$H$2:$H905&lt;&gt;""OB"")))"),"")</f>
        <v/>
      </c>
      <c r="W282" s="10" t="str">
        <f t="shared" si="5"/>
        <v/>
      </c>
    </row>
    <row r="283" spans="1:23" ht="12.5">
      <c r="A283" s="23"/>
      <c r="B283" s="5" t="str">
        <f t="array" ref="B283">IF(W283=1,INDEX('Database Mitra'!$H$2:$H905,MATCH(A283,'Database Mitra'!AK$2:AK905,0)),"")</f>
        <v/>
      </c>
      <c r="C283" s="5" t="str">
        <f t="array" ref="C283">IF(W283=1,INDEX('Database Mitra'!$E$2:$E905,MATCH(A283,'Database Mitra'!AK$2:AK905,0)),"")</f>
        <v/>
      </c>
      <c r="D283" s="23"/>
      <c r="E283" s="5" t="str">
        <f t="array" ref="E283">IF(W283=1,INDEX('Input Kegiatan'!B$2:B905,MATCH($D283,'Input Kegiatan'!$A$2:$A905,0)),"")</f>
        <v/>
      </c>
      <c r="F283" s="5" t="str">
        <f t="array" ref="F283">IF(W283=1,INDEX('Input Kegiatan'!D$2:D905,MATCH($D283,'Input Kegiatan'!$A$2:$A905,0)),"")</f>
        <v/>
      </c>
      <c r="G283" s="5" t="str">
        <f t="array" ref="G283">IF(W283=1,INDEX('Input Kegiatan'!E$2:E905,MATCH($D283,'Input Kegiatan'!$A$2:$A905,0)),"")</f>
        <v/>
      </c>
      <c r="H283" s="5" t="str">
        <f t="array" ref="H283">IF(W283=1,INDEX(Honor!$H$2:$H905,MATCH($D283&amp;"-"&amp;R283,Honor!$K$2:$K905,0)),"")</f>
        <v/>
      </c>
      <c r="I283" s="8" t="str">
        <f>IF(W283=1,SUMIFS(Honor!$I$2:$I905,Honor!$K$2:$K905,$D283&amp;"-"&amp;R283),"")</f>
        <v/>
      </c>
      <c r="J283" s="9" t="str">
        <f t="shared" si="6"/>
        <v/>
      </c>
      <c r="K283" s="10" t="str">
        <f t="shared" si="0"/>
        <v/>
      </c>
      <c r="L283" s="10" t="str">
        <f t="shared" si="1"/>
        <v/>
      </c>
      <c r="M283" s="10" t="str">
        <f>IF(W283=1,IF(AND(U283&lt;2,INT(V283)&lt;='Batasan Honor'!$B$2),1,0),"")</f>
        <v/>
      </c>
      <c r="O283" s="10" t="str">
        <f t="shared" si="2"/>
        <v/>
      </c>
      <c r="P283" s="10" t="str">
        <f t="shared" si="3"/>
        <v/>
      </c>
      <c r="R283" s="23"/>
      <c r="S283" s="10" t="str">
        <f t="shared" si="4"/>
        <v/>
      </c>
      <c r="U283" s="10" t="str">
        <f ca="1">IFERROR(__xludf.DUMMYFUNCTION("if(W283=1,COUNTIFS(FILTER($H$2:$H905,$H$2:$H905=""OB"",$S$2:$S905=S283),""OB""),"""")"),"")</f>
        <v/>
      </c>
      <c r="V283" s="10" t="str">
        <f ca="1">IFERROR(__xludf.DUMMYFUNCTION("IF(OR(ISNA(SUM(FILTER($K$2:$K905,$A$2:$A905=A283,$S$2:$S905=S283,$H$2:$H905&lt;&gt;""OB""))),W283&lt;&gt;1),"""",SUM(FILTER($K$2:$K905,$A$2:$A905=A283,$S$2:$S905=S283,$H$2:$H905&lt;&gt;""OB"")))"),"")</f>
        <v/>
      </c>
      <c r="W283" s="10" t="str">
        <f t="shared" si="5"/>
        <v/>
      </c>
    </row>
    <row r="284" spans="1:23" ht="12.5">
      <c r="A284" s="23"/>
      <c r="B284" s="5" t="str">
        <f t="array" ref="B284">IF(W284=1,INDEX('Database Mitra'!$H$2:$H905,MATCH(A284,'Database Mitra'!AK$2:AK905,0)),"")</f>
        <v/>
      </c>
      <c r="C284" s="5" t="str">
        <f t="array" ref="C284">IF(W284=1,INDEX('Database Mitra'!$E$2:$E905,MATCH(A284,'Database Mitra'!AK$2:AK905,0)),"")</f>
        <v/>
      </c>
      <c r="D284" s="23"/>
      <c r="E284" s="5" t="str">
        <f t="array" ref="E284">IF(W284=1,INDEX('Input Kegiatan'!B$2:B905,MATCH($D284,'Input Kegiatan'!$A$2:$A905,0)),"")</f>
        <v/>
      </c>
      <c r="F284" s="5" t="str">
        <f t="array" ref="F284">IF(W284=1,INDEX('Input Kegiatan'!D$2:D905,MATCH($D284,'Input Kegiatan'!$A$2:$A905,0)),"")</f>
        <v/>
      </c>
      <c r="G284" s="5" t="str">
        <f t="array" ref="G284">IF(W284=1,INDEX('Input Kegiatan'!E$2:E905,MATCH($D284,'Input Kegiatan'!$A$2:$A905,0)),"")</f>
        <v/>
      </c>
      <c r="H284" s="5" t="str">
        <f t="array" ref="H284">IF(W284=1,INDEX(Honor!$H$2:$H905,MATCH($D284&amp;"-"&amp;R284,Honor!$K$2:$K905,0)),"")</f>
        <v/>
      </c>
      <c r="I284" s="8" t="str">
        <f>IF(W284=1,SUMIFS(Honor!$I$2:$I905,Honor!$K$2:$K905,$D284&amp;"-"&amp;R284),"")</f>
        <v/>
      </c>
      <c r="J284" s="9" t="str">
        <f t="shared" si="6"/>
        <v/>
      </c>
      <c r="K284" s="10" t="str">
        <f t="shared" si="0"/>
        <v/>
      </c>
      <c r="L284" s="10" t="str">
        <f t="shared" si="1"/>
        <v/>
      </c>
      <c r="M284" s="10" t="str">
        <f>IF(W284=1,IF(AND(U284&lt;2,INT(V284)&lt;='Batasan Honor'!$B$2),1,0),"")</f>
        <v/>
      </c>
      <c r="O284" s="10" t="str">
        <f t="shared" si="2"/>
        <v/>
      </c>
      <c r="P284" s="10" t="str">
        <f t="shared" si="3"/>
        <v/>
      </c>
      <c r="R284" s="23"/>
      <c r="S284" s="10" t="str">
        <f t="shared" si="4"/>
        <v/>
      </c>
      <c r="U284" s="10" t="str">
        <f ca="1">IFERROR(__xludf.DUMMYFUNCTION("if(W284=1,COUNTIFS(FILTER($H$2:$H905,$H$2:$H905=""OB"",$S$2:$S905=S284),""OB""),"""")"),"")</f>
        <v/>
      </c>
      <c r="V284" s="10" t="str">
        <f ca="1">IFERROR(__xludf.DUMMYFUNCTION("IF(OR(ISNA(SUM(FILTER($K$2:$K905,$A$2:$A905=A284,$S$2:$S905=S284,$H$2:$H905&lt;&gt;""OB""))),W284&lt;&gt;1),"""",SUM(FILTER($K$2:$K905,$A$2:$A905=A284,$S$2:$S905=S284,$H$2:$H905&lt;&gt;""OB"")))"),"")</f>
        <v/>
      </c>
      <c r="W284" s="10" t="str">
        <f t="shared" si="5"/>
        <v/>
      </c>
    </row>
    <row r="285" spans="1:23" ht="12.5">
      <c r="A285" s="23"/>
      <c r="B285" s="5" t="str">
        <f t="array" ref="B285">IF(W285=1,INDEX('Database Mitra'!$H$2:$H905,MATCH(A285,'Database Mitra'!AK$2:AK905,0)),"")</f>
        <v/>
      </c>
      <c r="C285" s="5" t="str">
        <f t="array" ref="C285">IF(W285=1,INDEX('Database Mitra'!$E$2:$E905,MATCH(A285,'Database Mitra'!AK$2:AK905,0)),"")</f>
        <v/>
      </c>
      <c r="D285" s="23"/>
      <c r="E285" s="5" t="str">
        <f t="array" ref="E285">IF(W285=1,INDEX('Input Kegiatan'!B$2:B905,MATCH($D285,'Input Kegiatan'!$A$2:$A905,0)),"")</f>
        <v/>
      </c>
      <c r="F285" s="5" t="str">
        <f t="array" ref="F285">IF(W285=1,INDEX('Input Kegiatan'!D$2:D905,MATCH($D285,'Input Kegiatan'!$A$2:$A905,0)),"")</f>
        <v/>
      </c>
      <c r="G285" s="5" t="str">
        <f t="array" ref="G285">IF(W285=1,INDEX('Input Kegiatan'!E$2:E905,MATCH($D285,'Input Kegiatan'!$A$2:$A905,0)),"")</f>
        <v/>
      </c>
      <c r="H285" s="5" t="str">
        <f t="array" ref="H285">IF(W285=1,INDEX(Honor!$H$2:$H905,MATCH($D285&amp;"-"&amp;R285,Honor!$K$2:$K905,0)),"")</f>
        <v/>
      </c>
      <c r="I285" s="8" t="str">
        <f>IF(W285=1,SUMIFS(Honor!$I$2:$I905,Honor!$K$2:$K905,$D285&amp;"-"&amp;R285),"")</f>
        <v/>
      </c>
      <c r="J285" s="9" t="str">
        <f t="shared" si="6"/>
        <v/>
      </c>
      <c r="K285" s="10" t="str">
        <f t="shared" si="0"/>
        <v/>
      </c>
      <c r="L285" s="10" t="str">
        <f t="shared" si="1"/>
        <v/>
      </c>
      <c r="M285" s="10" t="str">
        <f>IF(W285=1,IF(AND(U285&lt;2,INT(V285)&lt;='Batasan Honor'!$B$2),1,0),"")</f>
        <v/>
      </c>
      <c r="O285" s="10" t="str">
        <f t="shared" si="2"/>
        <v/>
      </c>
      <c r="P285" s="10" t="str">
        <f t="shared" si="3"/>
        <v/>
      </c>
      <c r="R285" s="23"/>
      <c r="S285" s="10" t="str">
        <f t="shared" si="4"/>
        <v/>
      </c>
      <c r="U285" s="10" t="str">
        <f ca="1">IFERROR(__xludf.DUMMYFUNCTION("if(W285=1,COUNTIFS(FILTER($H$2:$H905,$H$2:$H905=""OB"",$S$2:$S905=S285),""OB""),"""")"),"")</f>
        <v/>
      </c>
      <c r="V285" s="10" t="str">
        <f ca="1">IFERROR(__xludf.DUMMYFUNCTION("IF(OR(ISNA(SUM(FILTER($K$2:$K905,$A$2:$A905=A285,$S$2:$S905=S285,$H$2:$H905&lt;&gt;""OB""))),W285&lt;&gt;1),"""",SUM(FILTER($K$2:$K905,$A$2:$A905=A285,$S$2:$S905=S285,$H$2:$H905&lt;&gt;""OB"")))"),"")</f>
        <v/>
      </c>
      <c r="W285" s="10" t="str">
        <f t="shared" si="5"/>
        <v/>
      </c>
    </row>
    <row r="286" spans="1:23" ht="12.5">
      <c r="A286" s="23"/>
      <c r="B286" s="5" t="str">
        <f t="array" ref="B286">IF(W286=1,INDEX('Database Mitra'!$H$2:$H905,MATCH(A286,'Database Mitra'!AK$2:AK905,0)),"")</f>
        <v/>
      </c>
      <c r="C286" s="5" t="str">
        <f t="array" ref="C286">IF(W286=1,INDEX('Database Mitra'!$E$2:$E905,MATCH(A286,'Database Mitra'!AK$2:AK905,0)),"")</f>
        <v/>
      </c>
      <c r="D286" s="23"/>
      <c r="E286" s="5" t="str">
        <f t="array" ref="E286">IF(W286=1,INDEX('Input Kegiatan'!B$2:B905,MATCH($D286,'Input Kegiatan'!$A$2:$A905,0)),"")</f>
        <v/>
      </c>
      <c r="F286" s="5" t="str">
        <f t="array" ref="F286">IF(W286=1,INDEX('Input Kegiatan'!D$2:D905,MATCH($D286,'Input Kegiatan'!$A$2:$A905,0)),"")</f>
        <v/>
      </c>
      <c r="G286" s="5" t="str">
        <f t="array" ref="G286">IF(W286=1,INDEX('Input Kegiatan'!E$2:E905,MATCH($D286,'Input Kegiatan'!$A$2:$A905,0)),"")</f>
        <v/>
      </c>
      <c r="H286" s="5" t="str">
        <f t="array" ref="H286">IF(W286=1,INDEX(Honor!$H$2:$H905,MATCH($D286&amp;"-"&amp;R286,Honor!$K$2:$K905,0)),"")</f>
        <v/>
      </c>
      <c r="I286" s="8" t="str">
        <f>IF(W286=1,SUMIFS(Honor!$I$2:$I905,Honor!$K$2:$K905,$D286&amp;"-"&amp;R286),"")</f>
        <v/>
      </c>
      <c r="J286" s="9" t="str">
        <f t="shared" si="6"/>
        <v/>
      </c>
      <c r="K286" s="10" t="str">
        <f t="shared" si="0"/>
        <v/>
      </c>
      <c r="L286" s="10" t="str">
        <f t="shared" si="1"/>
        <v/>
      </c>
      <c r="M286" s="10" t="str">
        <f>IF(W286=1,IF(AND(U286&lt;2,INT(V286)&lt;='Batasan Honor'!$B$2),1,0),"")</f>
        <v/>
      </c>
      <c r="O286" s="10" t="str">
        <f t="shared" si="2"/>
        <v/>
      </c>
      <c r="P286" s="10" t="str">
        <f t="shared" si="3"/>
        <v/>
      </c>
      <c r="R286" s="23"/>
      <c r="S286" s="10" t="str">
        <f t="shared" si="4"/>
        <v/>
      </c>
      <c r="U286" s="10" t="str">
        <f ca="1">IFERROR(__xludf.DUMMYFUNCTION("if(W286=1,COUNTIFS(FILTER($H$2:$H905,$H$2:$H905=""OB"",$S$2:$S905=S286),""OB""),"""")"),"")</f>
        <v/>
      </c>
      <c r="V286" s="10" t="str">
        <f ca="1">IFERROR(__xludf.DUMMYFUNCTION("IF(OR(ISNA(SUM(FILTER($K$2:$K905,$A$2:$A905=A286,$S$2:$S905=S286,$H$2:$H905&lt;&gt;""OB""))),W286&lt;&gt;1),"""",SUM(FILTER($K$2:$K905,$A$2:$A905=A286,$S$2:$S905=S286,$H$2:$H905&lt;&gt;""OB"")))"),"")</f>
        <v/>
      </c>
      <c r="W286" s="10" t="str">
        <f t="shared" si="5"/>
        <v/>
      </c>
    </row>
    <row r="287" spans="1:23" ht="12.5">
      <c r="A287" s="23"/>
      <c r="B287" s="5" t="str">
        <f t="array" ref="B287">IF(W287=1,INDEX('Database Mitra'!$H$2:$H905,MATCH(A287,'Database Mitra'!AK$2:AK905,0)),"")</f>
        <v/>
      </c>
      <c r="C287" s="5" t="str">
        <f t="array" ref="C287">IF(W287=1,INDEX('Database Mitra'!$E$2:$E905,MATCH(A287,'Database Mitra'!AK$2:AK905,0)),"")</f>
        <v/>
      </c>
      <c r="D287" s="23"/>
      <c r="E287" s="5" t="str">
        <f t="array" ref="E287">IF(W287=1,INDEX('Input Kegiatan'!B$2:B905,MATCH($D287,'Input Kegiatan'!$A$2:$A905,0)),"")</f>
        <v/>
      </c>
      <c r="F287" s="5" t="str">
        <f t="array" ref="F287">IF(W287=1,INDEX('Input Kegiatan'!D$2:D905,MATCH($D287,'Input Kegiatan'!$A$2:$A905,0)),"")</f>
        <v/>
      </c>
      <c r="G287" s="5" t="str">
        <f t="array" ref="G287">IF(W287=1,INDEX('Input Kegiatan'!E$2:E905,MATCH($D287,'Input Kegiatan'!$A$2:$A905,0)),"")</f>
        <v/>
      </c>
      <c r="H287" s="5" t="str">
        <f t="array" ref="H287">IF(W287=1,INDEX(Honor!$H$2:$H905,MATCH($D287&amp;"-"&amp;R287,Honor!$K$2:$K905,0)),"")</f>
        <v/>
      </c>
      <c r="I287" s="8" t="str">
        <f>IF(W287=1,SUMIFS(Honor!$I$2:$I905,Honor!$K$2:$K905,$D287&amp;"-"&amp;R287),"")</f>
        <v/>
      </c>
      <c r="J287" s="9" t="str">
        <f t="shared" si="6"/>
        <v/>
      </c>
      <c r="K287" s="10" t="str">
        <f t="shared" si="0"/>
        <v/>
      </c>
      <c r="L287" s="10" t="str">
        <f t="shared" si="1"/>
        <v/>
      </c>
      <c r="M287" s="10" t="str">
        <f>IF(W287=1,IF(AND(U287&lt;2,INT(V287)&lt;='Batasan Honor'!$B$2),1,0),"")</f>
        <v/>
      </c>
      <c r="O287" s="10" t="str">
        <f t="shared" si="2"/>
        <v/>
      </c>
      <c r="P287" s="10" t="str">
        <f t="shared" si="3"/>
        <v/>
      </c>
      <c r="R287" s="23"/>
      <c r="S287" s="10" t="str">
        <f t="shared" si="4"/>
        <v/>
      </c>
      <c r="U287" s="10" t="str">
        <f ca="1">IFERROR(__xludf.DUMMYFUNCTION("if(W287=1,COUNTIFS(FILTER($H$2:$H905,$H$2:$H905=""OB"",$S$2:$S905=S287),""OB""),"""")"),"")</f>
        <v/>
      </c>
      <c r="V287" s="10" t="str">
        <f ca="1">IFERROR(__xludf.DUMMYFUNCTION("IF(OR(ISNA(SUM(FILTER($K$2:$K905,$A$2:$A905=A287,$S$2:$S905=S287,$H$2:$H905&lt;&gt;""OB""))),W287&lt;&gt;1),"""",SUM(FILTER($K$2:$K905,$A$2:$A905=A287,$S$2:$S905=S287,$H$2:$H905&lt;&gt;""OB"")))"),"")</f>
        <v/>
      </c>
      <c r="W287" s="10" t="str">
        <f t="shared" si="5"/>
        <v/>
      </c>
    </row>
    <row r="288" spans="1:23" ht="12.5">
      <c r="A288" s="23"/>
      <c r="B288" s="5" t="str">
        <f t="array" ref="B288">IF(W288=1,INDEX('Database Mitra'!$H$2:$H905,MATCH(A288,'Database Mitra'!AK$2:AK905,0)),"")</f>
        <v/>
      </c>
      <c r="C288" s="5" t="str">
        <f t="array" ref="C288">IF(W288=1,INDEX('Database Mitra'!$E$2:$E905,MATCH(A288,'Database Mitra'!AK$2:AK905,0)),"")</f>
        <v/>
      </c>
      <c r="D288" s="23"/>
      <c r="E288" s="5" t="str">
        <f t="array" ref="E288">IF(W288=1,INDEX('Input Kegiatan'!B$2:B905,MATCH($D288,'Input Kegiatan'!$A$2:$A905,0)),"")</f>
        <v/>
      </c>
      <c r="F288" s="5" t="str">
        <f t="array" ref="F288">IF(W288=1,INDEX('Input Kegiatan'!D$2:D905,MATCH($D288,'Input Kegiatan'!$A$2:$A905,0)),"")</f>
        <v/>
      </c>
      <c r="G288" s="5" t="str">
        <f t="array" ref="G288">IF(W288=1,INDEX('Input Kegiatan'!E$2:E905,MATCH($D288,'Input Kegiatan'!$A$2:$A905,0)),"")</f>
        <v/>
      </c>
      <c r="H288" s="5" t="str">
        <f t="array" ref="H288">IF(W288=1,INDEX(Honor!$H$2:$H905,MATCH($D288&amp;"-"&amp;R288,Honor!$K$2:$K905,0)),"")</f>
        <v/>
      </c>
      <c r="I288" s="8" t="str">
        <f>IF(W288=1,SUMIFS(Honor!$I$2:$I905,Honor!$K$2:$K905,$D288&amp;"-"&amp;R288),"")</f>
        <v/>
      </c>
      <c r="J288" s="9" t="str">
        <f t="shared" si="6"/>
        <v/>
      </c>
      <c r="K288" s="10" t="str">
        <f t="shared" si="0"/>
        <v/>
      </c>
      <c r="L288" s="10" t="str">
        <f t="shared" si="1"/>
        <v/>
      </c>
      <c r="M288" s="10" t="str">
        <f>IF(W288=1,IF(AND(U288&lt;2,INT(V288)&lt;='Batasan Honor'!$B$2),1,0),"")</f>
        <v/>
      </c>
      <c r="O288" s="10" t="str">
        <f t="shared" si="2"/>
        <v/>
      </c>
      <c r="P288" s="10" t="str">
        <f t="shared" si="3"/>
        <v/>
      </c>
      <c r="R288" s="23"/>
      <c r="S288" s="10" t="str">
        <f t="shared" si="4"/>
        <v/>
      </c>
      <c r="U288" s="10" t="str">
        <f ca="1">IFERROR(__xludf.DUMMYFUNCTION("if(W288=1,COUNTIFS(FILTER($H$2:$H905,$H$2:$H905=""OB"",$S$2:$S905=S288),""OB""),"""")"),"")</f>
        <v/>
      </c>
      <c r="V288" s="10" t="str">
        <f ca="1">IFERROR(__xludf.DUMMYFUNCTION("IF(OR(ISNA(SUM(FILTER($K$2:$K905,$A$2:$A905=A288,$S$2:$S905=S288,$H$2:$H905&lt;&gt;""OB""))),W288&lt;&gt;1),"""",SUM(FILTER($K$2:$K905,$A$2:$A905=A288,$S$2:$S905=S288,$H$2:$H905&lt;&gt;""OB"")))"),"")</f>
        <v/>
      </c>
      <c r="W288" s="10" t="str">
        <f t="shared" si="5"/>
        <v/>
      </c>
    </row>
    <row r="289" spans="1:23" ht="12.5">
      <c r="A289" s="23"/>
      <c r="B289" s="5" t="str">
        <f t="array" ref="B289">IF(W289=1,INDEX('Database Mitra'!$H$2:$H905,MATCH(A289,'Database Mitra'!AK$2:AK905,0)),"")</f>
        <v/>
      </c>
      <c r="C289" s="5" t="str">
        <f t="array" ref="C289">IF(W289=1,INDEX('Database Mitra'!$E$2:$E905,MATCH(A289,'Database Mitra'!AK$2:AK905,0)),"")</f>
        <v/>
      </c>
      <c r="D289" s="23"/>
      <c r="E289" s="5" t="str">
        <f t="array" ref="E289">IF(W289=1,INDEX('Input Kegiatan'!B$2:B905,MATCH($D289,'Input Kegiatan'!$A$2:$A905,0)),"")</f>
        <v/>
      </c>
      <c r="F289" s="5" t="str">
        <f t="array" ref="F289">IF(W289=1,INDEX('Input Kegiatan'!D$2:D905,MATCH($D289,'Input Kegiatan'!$A$2:$A905,0)),"")</f>
        <v/>
      </c>
      <c r="G289" s="5" t="str">
        <f t="array" ref="G289">IF(W289=1,INDEX('Input Kegiatan'!E$2:E905,MATCH($D289,'Input Kegiatan'!$A$2:$A905,0)),"")</f>
        <v/>
      </c>
      <c r="H289" s="5" t="str">
        <f t="array" ref="H289">IF(W289=1,INDEX(Honor!$H$2:$H905,MATCH($D289&amp;"-"&amp;R289,Honor!$K$2:$K905,0)),"")</f>
        <v/>
      </c>
      <c r="I289" s="8" t="str">
        <f>IF(W289=1,SUMIFS(Honor!$I$2:$I905,Honor!$K$2:$K905,$D289&amp;"-"&amp;R289),"")</f>
        <v/>
      </c>
      <c r="J289" s="9" t="str">
        <f t="shared" si="6"/>
        <v/>
      </c>
      <c r="K289" s="10" t="str">
        <f t="shared" si="0"/>
        <v/>
      </c>
      <c r="L289" s="10" t="str">
        <f t="shared" si="1"/>
        <v/>
      </c>
      <c r="M289" s="10" t="str">
        <f>IF(W289=1,IF(AND(U289&lt;2,INT(V289)&lt;='Batasan Honor'!$B$2),1,0),"")</f>
        <v/>
      </c>
      <c r="O289" s="10" t="str">
        <f t="shared" si="2"/>
        <v/>
      </c>
      <c r="P289" s="10" t="str">
        <f t="shared" si="3"/>
        <v/>
      </c>
      <c r="R289" s="23"/>
      <c r="S289" s="10" t="str">
        <f t="shared" si="4"/>
        <v/>
      </c>
      <c r="U289" s="10" t="str">
        <f ca="1">IFERROR(__xludf.DUMMYFUNCTION("if(W289=1,COUNTIFS(FILTER($H$2:$H905,$H$2:$H905=""OB"",$S$2:$S905=S289),""OB""),"""")"),"")</f>
        <v/>
      </c>
      <c r="V289" s="10" t="str">
        <f ca="1">IFERROR(__xludf.DUMMYFUNCTION("IF(OR(ISNA(SUM(FILTER($K$2:$K905,$A$2:$A905=A289,$S$2:$S905=S289,$H$2:$H905&lt;&gt;""OB""))),W289&lt;&gt;1),"""",SUM(FILTER($K$2:$K905,$A$2:$A905=A289,$S$2:$S905=S289,$H$2:$H905&lt;&gt;""OB"")))"),"")</f>
        <v/>
      </c>
      <c r="W289" s="10" t="str">
        <f t="shared" si="5"/>
        <v/>
      </c>
    </row>
    <row r="290" spans="1:23" ht="12.5">
      <c r="A290" s="23"/>
      <c r="B290" s="5" t="str">
        <f t="array" ref="B290">IF(W290=1,INDEX('Database Mitra'!$H$2:$H905,MATCH(A290,'Database Mitra'!AK$2:AK905,0)),"")</f>
        <v/>
      </c>
      <c r="C290" s="5" t="str">
        <f t="array" ref="C290">IF(W290=1,INDEX('Database Mitra'!$E$2:$E905,MATCH(A290,'Database Mitra'!AK$2:AK905,0)),"")</f>
        <v/>
      </c>
      <c r="D290" s="23"/>
      <c r="E290" s="5" t="str">
        <f t="array" ref="E290">IF(W290=1,INDEX('Input Kegiatan'!B$2:B905,MATCH($D290,'Input Kegiatan'!$A$2:$A905,0)),"")</f>
        <v/>
      </c>
      <c r="F290" s="5" t="str">
        <f t="array" ref="F290">IF(W290=1,INDEX('Input Kegiatan'!D$2:D905,MATCH($D290,'Input Kegiatan'!$A$2:$A905,0)),"")</f>
        <v/>
      </c>
      <c r="G290" s="5" t="str">
        <f t="array" ref="G290">IF(W290=1,INDEX('Input Kegiatan'!E$2:E905,MATCH($D290,'Input Kegiatan'!$A$2:$A905,0)),"")</f>
        <v/>
      </c>
      <c r="H290" s="5" t="str">
        <f t="array" ref="H290">IF(W290=1,INDEX(Honor!$H$2:$H905,MATCH($D290&amp;"-"&amp;R290,Honor!$K$2:$K905,0)),"")</f>
        <v/>
      </c>
      <c r="I290" s="8" t="str">
        <f>IF(W290=1,SUMIFS(Honor!$I$2:$I905,Honor!$K$2:$K905,$D290&amp;"-"&amp;R290),"")</f>
        <v/>
      </c>
      <c r="J290" s="9" t="str">
        <f t="shared" si="6"/>
        <v/>
      </c>
      <c r="K290" s="10" t="str">
        <f t="shared" si="0"/>
        <v/>
      </c>
      <c r="L290" s="10" t="str">
        <f t="shared" si="1"/>
        <v/>
      </c>
      <c r="M290" s="10" t="str">
        <f>IF(W290=1,IF(AND(U290&lt;2,INT(V290)&lt;='Batasan Honor'!$B$2),1,0),"")</f>
        <v/>
      </c>
      <c r="O290" s="10" t="str">
        <f t="shared" si="2"/>
        <v/>
      </c>
      <c r="P290" s="10" t="str">
        <f t="shared" si="3"/>
        <v/>
      </c>
      <c r="R290" s="23"/>
      <c r="S290" s="10" t="str">
        <f t="shared" si="4"/>
        <v/>
      </c>
      <c r="U290" s="10" t="str">
        <f ca="1">IFERROR(__xludf.DUMMYFUNCTION("if(W290=1,COUNTIFS(FILTER($H$2:$H905,$H$2:$H905=""OB"",$S$2:$S905=S290),""OB""),"""")"),"")</f>
        <v/>
      </c>
      <c r="V290" s="10" t="str">
        <f ca="1">IFERROR(__xludf.DUMMYFUNCTION("IF(OR(ISNA(SUM(FILTER($K$2:$K905,$A$2:$A905=A290,$S$2:$S905=S290,$H$2:$H905&lt;&gt;""OB""))),W290&lt;&gt;1),"""",SUM(FILTER($K$2:$K905,$A$2:$A905=A290,$S$2:$S905=S290,$H$2:$H905&lt;&gt;""OB"")))"),"")</f>
        <v/>
      </c>
      <c r="W290" s="10" t="str">
        <f t="shared" si="5"/>
        <v/>
      </c>
    </row>
    <row r="291" spans="1:23" ht="12.5">
      <c r="A291" s="23"/>
      <c r="B291" s="5" t="str">
        <f t="array" ref="B291">IF(W291=1,INDEX('Database Mitra'!$H$2:$H905,MATCH(A291,'Database Mitra'!AK$2:AK905,0)),"")</f>
        <v/>
      </c>
      <c r="C291" s="5" t="str">
        <f t="array" ref="C291">IF(W291=1,INDEX('Database Mitra'!$E$2:$E905,MATCH(A291,'Database Mitra'!AK$2:AK905,0)),"")</f>
        <v/>
      </c>
      <c r="D291" s="23"/>
      <c r="E291" s="5" t="str">
        <f t="array" ref="E291">IF(W291=1,INDEX('Input Kegiatan'!B$2:B905,MATCH($D291,'Input Kegiatan'!$A$2:$A905,0)),"")</f>
        <v/>
      </c>
      <c r="F291" s="5" t="str">
        <f t="array" ref="F291">IF(W291=1,INDEX('Input Kegiatan'!D$2:D905,MATCH($D291,'Input Kegiatan'!$A$2:$A905,0)),"")</f>
        <v/>
      </c>
      <c r="G291" s="5" t="str">
        <f t="array" ref="G291">IF(W291=1,INDEX('Input Kegiatan'!E$2:E905,MATCH($D291,'Input Kegiatan'!$A$2:$A905,0)),"")</f>
        <v/>
      </c>
      <c r="H291" s="5" t="str">
        <f t="array" ref="H291">IF(W291=1,INDEX(Honor!$H$2:$H905,MATCH($D291&amp;"-"&amp;R291,Honor!$K$2:$K905,0)),"")</f>
        <v/>
      </c>
      <c r="I291" s="8" t="str">
        <f>IF(W291=1,SUMIFS(Honor!$I$2:$I905,Honor!$K$2:$K905,$D291&amp;"-"&amp;R291),"")</f>
        <v/>
      </c>
      <c r="J291" s="9" t="str">
        <f t="shared" si="6"/>
        <v/>
      </c>
      <c r="K291" s="10" t="str">
        <f t="shared" si="0"/>
        <v/>
      </c>
      <c r="L291" s="10" t="str">
        <f t="shared" si="1"/>
        <v/>
      </c>
      <c r="M291" s="10" t="str">
        <f>IF(W291=1,IF(AND(U291&lt;2,INT(V291)&lt;='Batasan Honor'!$B$2),1,0),"")</f>
        <v/>
      </c>
      <c r="O291" s="10" t="str">
        <f t="shared" si="2"/>
        <v/>
      </c>
      <c r="P291" s="10" t="str">
        <f t="shared" si="3"/>
        <v/>
      </c>
      <c r="R291" s="23"/>
      <c r="S291" s="10" t="str">
        <f t="shared" si="4"/>
        <v/>
      </c>
      <c r="U291" s="10" t="str">
        <f ca="1">IFERROR(__xludf.DUMMYFUNCTION("if(W291=1,COUNTIFS(FILTER($H$2:$H905,$H$2:$H905=""OB"",$S$2:$S905=S291),""OB""),"""")"),"")</f>
        <v/>
      </c>
      <c r="V291" s="10" t="str">
        <f ca="1">IFERROR(__xludf.DUMMYFUNCTION("IF(OR(ISNA(SUM(FILTER($K$2:$K905,$A$2:$A905=A291,$S$2:$S905=S291,$H$2:$H905&lt;&gt;""OB""))),W291&lt;&gt;1),"""",SUM(FILTER($K$2:$K905,$A$2:$A905=A291,$S$2:$S905=S291,$H$2:$H905&lt;&gt;""OB"")))"),"")</f>
        <v/>
      </c>
      <c r="W291" s="10" t="str">
        <f t="shared" si="5"/>
        <v/>
      </c>
    </row>
    <row r="292" spans="1:23" ht="12.5">
      <c r="A292" s="23"/>
      <c r="B292" s="5" t="str">
        <f t="array" ref="B292">IF(W292=1,INDEX('Database Mitra'!$H$2:$H905,MATCH(A292,'Database Mitra'!AK$2:AK905,0)),"")</f>
        <v/>
      </c>
      <c r="C292" s="5" t="str">
        <f t="array" ref="C292">IF(W292=1,INDEX('Database Mitra'!$E$2:$E905,MATCH(A292,'Database Mitra'!AK$2:AK905,0)),"")</f>
        <v/>
      </c>
      <c r="D292" s="23"/>
      <c r="E292" s="5" t="str">
        <f t="array" ref="E292">IF(W292=1,INDEX('Input Kegiatan'!B$2:B905,MATCH($D292,'Input Kegiatan'!$A$2:$A905,0)),"")</f>
        <v/>
      </c>
      <c r="F292" s="5" t="str">
        <f t="array" ref="F292">IF(W292=1,INDEX('Input Kegiatan'!D$2:D905,MATCH($D292,'Input Kegiatan'!$A$2:$A905,0)),"")</f>
        <v/>
      </c>
      <c r="G292" s="5" t="str">
        <f t="array" ref="G292">IF(W292=1,INDEX('Input Kegiatan'!E$2:E905,MATCH($D292,'Input Kegiatan'!$A$2:$A905,0)),"")</f>
        <v/>
      </c>
      <c r="H292" s="5" t="str">
        <f t="array" ref="H292">IF(W292=1,INDEX(Honor!$H$2:$H905,MATCH($D292&amp;"-"&amp;R292,Honor!$K$2:$K905,0)),"")</f>
        <v/>
      </c>
      <c r="I292" s="8" t="str">
        <f>IF(W292=1,SUMIFS(Honor!$I$2:$I905,Honor!$K$2:$K905,$D292&amp;"-"&amp;R292),"")</f>
        <v/>
      </c>
      <c r="J292" s="9" t="str">
        <f t="shared" si="6"/>
        <v/>
      </c>
      <c r="K292" s="10" t="str">
        <f t="shared" si="0"/>
        <v/>
      </c>
      <c r="L292" s="10" t="str">
        <f t="shared" si="1"/>
        <v/>
      </c>
      <c r="M292" s="10" t="str">
        <f>IF(W292=1,IF(AND(U292&lt;2,INT(V292)&lt;='Batasan Honor'!$B$2),1,0),"")</f>
        <v/>
      </c>
      <c r="O292" s="10" t="str">
        <f t="shared" si="2"/>
        <v/>
      </c>
      <c r="P292" s="10" t="str">
        <f t="shared" si="3"/>
        <v/>
      </c>
      <c r="R292" s="23"/>
      <c r="S292" s="10" t="str">
        <f t="shared" si="4"/>
        <v/>
      </c>
      <c r="U292" s="10" t="str">
        <f ca="1">IFERROR(__xludf.DUMMYFUNCTION("if(W292=1,COUNTIFS(FILTER($H$2:$H905,$H$2:$H905=""OB"",$S$2:$S905=S292),""OB""),"""")"),"")</f>
        <v/>
      </c>
      <c r="V292" s="10" t="str">
        <f ca="1">IFERROR(__xludf.DUMMYFUNCTION("IF(OR(ISNA(SUM(FILTER($K$2:$K905,$A$2:$A905=A292,$S$2:$S905=S292,$H$2:$H905&lt;&gt;""OB""))),W292&lt;&gt;1),"""",SUM(FILTER($K$2:$K905,$A$2:$A905=A292,$S$2:$S905=S292,$H$2:$H905&lt;&gt;""OB"")))"),"")</f>
        <v/>
      </c>
      <c r="W292" s="10" t="str">
        <f t="shared" si="5"/>
        <v/>
      </c>
    </row>
    <row r="293" spans="1:23" ht="12.5">
      <c r="A293" s="23"/>
      <c r="B293" s="5" t="str">
        <f t="array" ref="B293">IF(W293=1,INDEX('Database Mitra'!$H$2:$H905,MATCH(A293,'Database Mitra'!AK$2:AK905,0)),"")</f>
        <v/>
      </c>
      <c r="C293" s="5" t="str">
        <f t="array" ref="C293">IF(W293=1,INDEX('Database Mitra'!$E$2:$E905,MATCH(A293,'Database Mitra'!AK$2:AK905,0)),"")</f>
        <v/>
      </c>
      <c r="D293" s="23"/>
      <c r="E293" s="5" t="str">
        <f t="array" ref="E293">IF(W293=1,INDEX('Input Kegiatan'!B$2:B905,MATCH($D293,'Input Kegiatan'!$A$2:$A905,0)),"")</f>
        <v/>
      </c>
      <c r="F293" s="5" t="str">
        <f t="array" ref="F293">IF(W293=1,INDEX('Input Kegiatan'!D$2:D905,MATCH($D293,'Input Kegiatan'!$A$2:$A905,0)),"")</f>
        <v/>
      </c>
      <c r="G293" s="5" t="str">
        <f t="array" ref="G293">IF(W293=1,INDEX('Input Kegiatan'!E$2:E905,MATCH($D293,'Input Kegiatan'!$A$2:$A905,0)),"")</f>
        <v/>
      </c>
      <c r="H293" s="5" t="str">
        <f t="array" ref="H293">IF(W293=1,INDEX(Honor!$H$2:$H905,MATCH($D293&amp;"-"&amp;R293,Honor!$K$2:$K905,0)),"")</f>
        <v/>
      </c>
      <c r="I293" s="8" t="str">
        <f>IF(W293=1,SUMIFS(Honor!$I$2:$I905,Honor!$K$2:$K905,$D293&amp;"-"&amp;R293),"")</f>
        <v/>
      </c>
      <c r="J293" s="9" t="str">
        <f t="shared" si="6"/>
        <v/>
      </c>
      <c r="K293" s="10" t="str">
        <f t="shared" si="0"/>
        <v/>
      </c>
      <c r="L293" s="10" t="str">
        <f t="shared" si="1"/>
        <v/>
      </c>
      <c r="M293" s="10" t="str">
        <f>IF(W293=1,IF(AND(U293&lt;2,INT(V293)&lt;='Batasan Honor'!$B$2),1,0),"")</f>
        <v/>
      </c>
      <c r="O293" s="10" t="str">
        <f t="shared" si="2"/>
        <v/>
      </c>
      <c r="P293" s="10" t="str">
        <f t="shared" si="3"/>
        <v/>
      </c>
      <c r="R293" s="23"/>
      <c r="S293" s="10" t="str">
        <f t="shared" si="4"/>
        <v/>
      </c>
      <c r="U293" s="10" t="str">
        <f ca="1">IFERROR(__xludf.DUMMYFUNCTION("if(W293=1,COUNTIFS(FILTER($H$2:$H905,$H$2:$H905=""OB"",$S$2:$S905=S293),""OB""),"""")"),"")</f>
        <v/>
      </c>
      <c r="V293" s="10" t="str">
        <f ca="1">IFERROR(__xludf.DUMMYFUNCTION("IF(OR(ISNA(SUM(FILTER($K$2:$K905,$A$2:$A905=A293,$S$2:$S905=S293,$H$2:$H905&lt;&gt;""OB""))),W293&lt;&gt;1),"""",SUM(FILTER($K$2:$K905,$A$2:$A905=A293,$S$2:$S905=S293,$H$2:$H905&lt;&gt;""OB"")))"),"")</f>
        <v/>
      </c>
      <c r="W293" s="10" t="str">
        <f t="shared" si="5"/>
        <v/>
      </c>
    </row>
    <row r="294" spans="1:23" ht="12.5">
      <c r="A294" s="23"/>
      <c r="B294" s="5" t="str">
        <f t="array" ref="B294">IF(W294=1,INDEX('Database Mitra'!$H$2:$H905,MATCH(A294,'Database Mitra'!AK$2:AK905,0)),"")</f>
        <v/>
      </c>
      <c r="C294" s="5" t="str">
        <f t="array" ref="C294">IF(W294=1,INDEX('Database Mitra'!$E$2:$E905,MATCH(A294,'Database Mitra'!AK$2:AK905,0)),"")</f>
        <v/>
      </c>
      <c r="D294" s="23"/>
      <c r="E294" s="5" t="str">
        <f t="array" ref="E294">IF(W294=1,INDEX('Input Kegiatan'!B$2:B905,MATCH($D294,'Input Kegiatan'!$A$2:$A905,0)),"")</f>
        <v/>
      </c>
      <c r="F294" s="5" t="str">
        <f t="array" ref="F294">IF(W294=1,INDEX('Input Kegiatan'!D$2:D905,MATCH($D294,'Input Kegiatan'!$A$2:$A905,0)),"")</f>
        <v/>
      </c>
      <c r="G294" s="5" t="str">
        <f t="array" ref="G294">IF(W294=1,INDEX('Input Kegiatan'!E$2:E905,MATCH($D294,'Input Kegiatan'!$A$2:$A905,0)),"")</f>
        <v/>
      </c>
      <c r="H294" s="5" t="str">
        <f t="array" ref="H294">IF(W294=1,INDEX(Honor!$H$2:$H905,MATCH($D294&amp;"-"&amp;R294,Honor!$K$2:$K905,0)),"")</f>
        <v/>
      </c>
      <c r="I294" s="8" t="str">
        <f>IF(W294=1,SUMIFS(Honor!$I$2:$I905,Honor!$K$2:$K905,$D294&amp;"-"&amp;R294),"")</f>
        <v/>
      </c>
      <c r="J294" s="9" t="str">
        <f t="shared" si="6"/>
        <v/>
      </c>
      <c r="K294" s="10" t="str">
        <f t="shared" si="0"/>
        <v/>
      </c>
      <c r="L294" s="10" t="str">
        <f t="shared" si="1"/>
        <v/>
      </c>
      <c r="M294" s="10" t="str">
        <f>IF(W294=1,IF(AND(U294&lt;2,INT(V294)&lt;='Batasan Honor'!$B$2),1,0),"")</f>
        <v/>
      </c>
      <c r="O294" s="10" t="str">
        <f t="shared" si="2"/>
        <v/>
      </c>
      <c r="P294" s="10" t="str">
        <f t="shared" si="3"/>
        <v/>
      </c>
      <c r="R294" s="23"/>
      <c r="S294" s="10" t="str">
        <f t="shared" si="4"/>
        <v/>
      </c>
      <c r="U294" s="10" t="str">
        <f ca="1">IFERROR(__xludf.DUMMYFUNCTION("if(W294=1,COUNTIFS(FILTER($H$2:$H905,$H$2:$H905=""OB"",$S$2:$S905=S294),""OB""),"""")"),"")</f>
        <v/>
      </c>
      <c r="V294" s="10" t="str">
        <f ca="1">IFERROR(__xludf.DUMMYFUNCTION("IF(OR(ISNA(SUM(FILTER($K$2:$K905,$A$2:$A905=A294,$S$2:$S905=S294,$H$2:$H905&lt;&gt;""OB""))),W294&lt;&gt;1),"""",SUM(FILTER($K$2:$K905,$A$2:$A905=A294,$S$2:$S905=S294,$H$2:$H905&lt;&gt;""OB"")))"),"")</f>
        <v/>
      </c>
      <c r="W294" s="10" t="str">
        <f t="shared" si="5"/>
        <v/>
      </c>
    </row>
    <row r="295" spans="1:23" ht="12.5">
      <c r="A295" s="23"/>
      <c r="B295" s="5" t="str">
        <f t="array" ref="B295">IF(W295=1,INDEX('Database Mitra'!$H$2:$H905,MATCH(A295,'Database Mitra'!AK$2:AK905,0)),"")</f>
        <v/>
      </c>
      <c r="C295" s="5" t="str">
        <f t="array" ref="C295">IF(W295=1,INDEX('Database Mitra'!$E$2:$E905,MATCH(A295,'Database Mitra'!AK$2:AK905,0)),"")</f>
        <v/>
      </c>
      <c r="D295" s="23"/>
      <c r="E295" s="5" t="str">
        <f t="array" ref="E295">IF(W295=1,INDEX('Input Kegiatan'!B$2:B905,MATCH($D295,'Input Kegiatan'!$A$2:$A905,0)),"")</f>
        <v/>
      </c>
      <c r="F295" s="5" t="str">
        <f t="array" ref="F295">IF(W295=1,INDEX('Input Kegiatan'!D$2:D905,MATCH($D295,'Input Kegiatan'!$A$2:$A905,0)),"")</f>
        <v/>
      </c>
      <c r="G295" s="5" t="str">
        <f t="array" ref="G295">IF(W295=1,INDEX('Input Kegiatan'!E$2:E905,MATCH($D295,'Input Kegiatan'!$A$2:$A905,0)),"")</f>
        <v/>
      </c>
      <c r="H295" s="5" t="str">
        <f t="array" ref="H295">IF(W295=1,INDEX(Honor!$H$2:$H905,MATCH($D295&amp;"-"&amp;R295,Honor!$K$2:$K905,0)),"")</f>
        <v/>
      </c>
      <c r="I295" s="8" t="str">
        <f>IF(W295=1,SUMIFS(Honor!$I$2:$I905,Honor!$K$2:$K905,$D295&amp;"-"&amp;R295),"")</f>
        <v/>
      </c>
      <c r="J295" s="9" t="str">
        <f t="shared" si="6"/>
        <v/>
      </c>
      <c r="K295" s="10" t="str">
        <f t="shared" si="0"/>
        <v/>
      </c>
      <c r="L295" s="10" t="str">
        <f t="shared" si="1"/>
        <v/>
      </c>
      <c r="M295" s="10" t="str">
        <f>IF(W295=1,IF(AND(U295&lt;2,INT(V295)&lt;='Batasan Honor'!$B$2),1,0),"")</f>
        <v/>
      </c>
      <c r="O295" s="10" t="str">
        <f t="shared" si="2"/>
        <v/>
      </c>
      <c r="P295" s="10" t="str">
        <f t="shared" si="3"/>
        <v/>
      </c>
      <c r="R295" s="23"/>
      <c r="S295" s="10" t="str">
        <f t="shared" si="4"/>
        <v/>
      </c>
      <c r="U295" s="10" t="str">
        <f ca="1">IFERROR(__xludf.DUMMYFUNCTION("if(W295=1,COUNTIFS(FILTER($H$2:$H905,$H$2:$H905=""OB"",$S$2:$S905=S295),""OB""),"""")"),"")</f>
        <v/>
      </c>
      <c r="V295" s="10" t="str">
        <f ca="1">IFERROR(__xludf.DUMMYFUNCTION("IF(OR(ISNA(SUM(FILTER($K$2:$K905,$A$2:$A905=A295,$S$2:$S905=S295,$H$2:$H905&lt;&gt;""OB""))),W295&lt;&gt;1),"""",SUM(FILTER($K$2:$K905,$A$2:$A905=A295,$S$2:$S905=S295,$H$2:$H905&lt;&gt;""OB"")))"),"")</f>
        <v/>
      </c>
      <c r="W295" s="10" t="str">
        <f t="shared" si="5"/>
        <v/>
      </c>
    </row>
    <row r="296" spans="1:23" ht="12.5">
      <c r="A296" s="23"/>
      <c r="B296" s="5" t="str">
        <f t="array" ref="B296">IF(W296=1,INDEX('Database Mitra'!$H$2:$H905,MATCH(A296,'Database Mitra'!AK$2:AK905,0)),"")</f>
        <v/>
      </c>
      <c r="C296" s="5" t="str">
        <f t="array" ref="C296">IF(W296=1,INDEX('Database Mitra'!$E$2:$E905,MATCH(A296,'Database Mitra'!AK$2:AK905,0)),"")</f>
        <v/>
      </c>
      <c r="D296" s="23"/>
      <c r="E296" s="5" t="str">
        <f t="array" ref="E296">IF(W296=1,INDEX('Input Kegiatan'!B$2:B905,MATCH($D296,'Input Kegiatan'!$A$2:$A905,0)),"")</f>
        <v/>
      </c>
      <c r="F296" s="5" t="str">
        <f t="array" ref="F296">IF(W296=1,INDEX('Input Kegiatan'!D$2:D905,MATCH($D296,'Input Kegiatan'!$A$2:$A905,0)),"")</f>
        <v/>
      </c>
      <c r="G296" s="5" t="str">
        <f t="array" ref="G296">IF(W296=1,INDEX('Input Kegiatan'!E$2:E905,MATCH($D296,'Input Kegiatan'!$A$2:$A905,0)),"")</f>
        <v/>
      </c>
      <c r="H296" s="5" t="str">
        <f t="array" ref="H296">IF(W296=1,INDEX(Honor!$H$2:$H905,MATCH($D296&amp;"-"&amp;R296,Honor!$K$2:$K905,0)),"")</f>
        <v/>
      </c>
      <c r="I296" s="8" t="str">
        <f>IF(W296=1,SUMIFS(Honor!$I$2:$I905,Honor!$K$2:$K905,$D296&amp;"-"&amp;R296),"")</f>
        <v/>
      </c>
      <c r="J296" s="9" t="str">
        <f t="shared" si="6"/>
        <v/>
      </c>
      <c r="K296" s="10" t="str">
        <f t="shared" si="0"/>
        <v/>
      </c>
      <c r="L296" s="10" t="str">
        <f t="shared" si="1"/>
        <v/>
      </c>
      <c r="M296" s="10" t="str">
        <f>IF(W296=1,IF(AND(U296&lt;2,INT(V296)&lt;='Batasan Honor'!$B$2),1,0),"")</f>
        <v/>
      </c>
      <c r="O296" s="10" t="str">
        <f t="shared" si="2"/>
        <v/>
      </c>
      <c r="P296" s="10" t="str">
        <f t="shared" si="3"/>
        <v/>
      </c>
      <c r="R296" s="23"/>
      <c r="S296" s="10" t="str">
        <f t="shared" si="4"/>
        <v/>
      </c>
      <c r="U296" s="10" t="str">
        <f ca="1">IFERROR(__xludf.DUMMYFUNCTION("if(W296=1,COUNTIFS(FILTER($H$2:$H905,$H$2:$H905=""OB"",$S$2:$S905=S296),""OB""),"""")"),"")</f>
        <v/>
      </c>
      <c r="V296" s="10" t="str">
        <f ca="1">IFERROR(__xludf.DUMMYFUNCTION("IF(OR(ISNA(SUM(FILTER($K$2:$K905,$A$2:$A905=A296,$S$2:$S905=S296,$H$2:$H905&lt;&gt;""OB""))),W296&lt;&gt;1),"""",SUM(FILTER($K$2:$K905,$A$2:$A905=A296,$S$2:$S905=S296,$H$2:$H905&lt;&gt;""OB"")))"),"")</f>
        <v/>
      </c>
      <c r="W296" s="10" t="str">
        <f t="shared" si="5"/>
        <v/>
      </c>
    </row>
    <row r="297" spans="1:23" ht="12.5">
      <c r="A297" s="23"/>
      <c r="B297" s="5" t="str">
        <f t="array" ref="B297">IF(W297=1,INDEX('Database Mitra'!$H$2:$H905,MATCH(A297,'Database Mitra'!AK$2:AK905,0)),"")</f>
        <v/>
      </c>
      <c r="C297" s="5" t="str">
        <f t="array" ref="C297">IF(W297=1,INDEX('Database Mitra'!$E$2:$E905,MATCH(A297,'Database Mitra'!AK$2:AK905,0)),"")</f>
        <v/>
      </c>
      <c r="D297" s="23"/>
      <c r="E297" s="5" t="str">
        <f t="array" ref="E297">IF(W297=1,INDEX('Input Kegiatan'!B$2:B905,MATCH($D297,'Input Kegiatan'!$A$2:$A905,0)),"")</f>
        <v/>
      </c>
      <c r="F297" s="5" t="str">
        <f t="array" ref="F297">IF(W297=1,INDEX('Input Kegiatan'!D$2:D905,MATCH($D297,'Input Kegiatan'!$A$2:$A905,0)),"")</f>
        <v/>
      </c>
      <c r="G297" s="5" t="str">
        <f t="array" ref="G297">IF(W297=1,INDEX('Input Kegiatan'!E$2:E905,MATCH($D297,'Input Kegiatan'!$A$2:$A905,0)),"")</f>
        <v/>
      </c>
      <c r="H297" s="5" t="str">
        <f t="array" ref="H297">IF(W297=1,INDEX(Honor!$H$2:$H905,MATCH($D297&amp;"-"&amp;R297,Honor!$K$2:$K905,0)),"")</f>
        <v/>
      </c>
      <c r="I297" s="8" t="str">
        <f>IF(W297=1,SUMIFS(Honor!$I$2:$I905,Honor!$K$2:$K905,$D297&amp;"-"&amp;R297),"")</f>
        <v/>
      </c>
      <c r="J297" s="9" t="str">
        <f t="shared" si="6"/>
        <v/>
      </c>
      <c r="K297" s="10" t="str">
        <f t="shared" si="0"/>
        <v/>
      </c>
      <c r="L297" s="10" t="str">
        <f t="shared" si="1"/>
        <v/>
      </c>
      <c r="M297" s="10" t="str">
        <f>IF(W297=1,IF(AND(U297&lt;2,INT(V297)&lt;='Batasan Honor'!$B$2),1,0),"")</f>
        <v/>
      </c>
      <c r="O297" s="10" t="str">
        <f t="shared" si="2"/>
        <v/>
      </c>
      <c r="P297" s="10" t="str">
        <f t="shared" si="3"/>
        <v/>
      </c>
      <c r="R297" s="23"/>
      <c r="S297" s="10" t="str">
        <f t="shared" si="4"/>
        <v/>
      </c>
      <c r="U297" s="10" t="str">
        <f ca="1">IFERROR(__xludf.DUMMYFUNCTION("if(W297=1,COUNTIFS(FILTER($H$2:$H905,$H$2:$H905=""OB"",$S$2:$S905=S297),""OB""),"""")"),"")</f>
        <v/>
      </c>
      <c r="V297" s="10" t="str">
        <f ca="1">IFERROR(__xludf.DUMMYFUNCTION("IF(OR(ISNA(SUM(FILTER($K$2:$K905,$A$2:$A905=A297,$S$2:$S905=S297,$H$2:$H905&lt;&gt;""OB""))),W297&lt;&gt;1),"""",SUM(FILTER($K$2:$K905,$A$2:$A905=A297,$S$2:$S905=S297,$H$2:$H905&lt;&gt;""OB"")))"),"")</f>
        <v/>
      </c>
      <c r="W297" s="10" t="str">
        <f t="shared" si="5"/>
        <v/>
      </c>
    </row>
    <row r="298" spans="1:23" ht="12.5">
      <c r="A298" s="23"/>
      <c r="B298" s="5" t="str">
        <f t="array" ref="B298">IF(W298=1,INDEX('Database Mitra'!$H$2:$H905,MATCH(A298,'Database Mitra'!AK$2:AK905,0)),"")</f>
        <v/>
      </c>
      <c r="C298" s="5" t="str">
        <f t="array" ref="C298">IF(W298=1,INDEX('Database Mitra'!$E$2:$E905,MATCH(A298,'Database Mitra'!AK$2:AK905,0)),"")</f>
        <v/>
      </c>
      <c r="D298" s="23"/>
      <c r="E298" s="5" t="str">
        <f t="array" ref="E298">IF(W298=1,INDEX('Input Kegiatan'!B$2:B905,MATCH($D298,'Input Kegiatan'!$A$2:$A905,0)),"")</f>
        <v/>
      </c>
      <c r="F298" s="5" t="str">
        <f t="array" ref="F298">IF(W298=1,INDEX('Input Kegiatan'!D$2:D905,MATCH($D298,'Input Kegiatan'!$A$2:$A905,0)),"")</f>
        <v/>
      </c>
      <c r="G298" s="5" t="str">
        <f t="array" ref="G298">IF(W298=1,INDEX('Input Kegiatan'!E$2:E905,MATCH($D298,'Input Kegiatan'!$A$2:$A905,0)),"")</f>
        <v/>
      </c>
      <c r="H298" s="5" t="str">
        <f t="array" ref="H298">IF(W298=1,INDEX(Honor!$H$2:$H905,MATCH($D298&amp;"-"&amp;R298,Honor!$K$2:$K905,0)),"")</f>
        <v/>
      </c>
      <c r="I298" s="8" t="str">
        <f>IF(W298=1,SUMIFS(Honor!$I$2:$I905,Honor!$K$2:$K905,$D298&amp;"-"&amp;R298),"")</f>
        <v/>
      </c>
      <c r="J298" s="9" t="str">
        <f t="shared" si="6"/>
        <v/>
      </c>
      <c r="K298" s="10" t="str">
        <f t="shared" si="0"/>
        <v/>
      </c>
      <c r="L298" s="10" t="str">
        <f t="shared" si="1"/>
        <v/>
      </c>
      <c r="M298" s="10" t="str">
        <f>IF(W298=1,IF(AND(U298&lt;2,INT(V298)&lt;='Batasan Honor'!$B$2),1,0),"")</f>
        <v/>
      </c>
      <c r="O298" s="10" t="str">
        <f t="shared" si="2"/>
        <v/>
      </c>
      <c r="P298" s="10" t="str">
        <f t="shared" si="3"/>
        <v/>
      </c>
      <c r="R298" s="23"/>
      <c r="S298" s="10" t="str">
        <f t="shared" si="4"/>
        <v/>
      </c>
      <c r="U298" s="10" t="str">
        <f ca="1">IFERROR(__xludf.DUMMYFUNCTION("if(W298=1,COUNTIFS(FILTER($H$2:$H905,$H$2:$H905=""OB"",$S$2:$S905=S298),""OB""),"""")"),"")</f>
        <v/>
      </c>
      <c r="V298" s="10" t="str">
        <f ca="1">IFERROR(__xludf.DUMMYFUNCTION("IF(OR(ISNA(SUM(FILTER($K$2:$K905,$A$2:$A905=A298,$S$2:$S905=S298,$H$2:$H905&lt;&gt;""OB""))),W298&lt;&gt;1),"""",SUM(FILTER($K$2:$K905,$A$2:$A905=A298,$S$2:$S905=S298,$H$2:$H905&lt;&gt;""OB"")))"),"")</f>
        <v/>
      </c>
      <c r="W298" s="10" t="str">
        <f t="shared" si="5"/>
        <v/>
      </c>
    </row>
    <row r="299" spans="1:23" ht="12.5">
      <c r="A299" s="23"/>
      <c r="B299" s="5" t="str">
        <f t="array" ref="B299">IF(W299=1,INDEX('Database Mitra'!$H$2:$H905,MATCH(A299,'Database Mitra'!AK$2:AK905,0)),"")</f>
        <v/>
      </c>
      <c r="C299" s="5" t="str">
        <f t="array" ref="C299">IF(W299=1,INDEX('Database Mitra'!$E$2:$E905,MATCH(A299,'Database Mitra'!AK$2:AK905,0)),"")</f>
        <v/>
      </c>
      <c r="D299" s="23"/>
      <c r="E299" s="5" t="str">
        <f t="array" ref="E299">IF(W299=1,INDEX('Input Kegiatan'!B$2:B905,MATCH($D299,'Input Kegiatan'!$A$2:$A905,0)),"")</f>
        <v/>
      </c>
      <c r="F299" s="5" t="str">
        <f t="array" ref="F299">IF(W299=1,INDEX('Input Kegiatan'!D$2:D905,MATCH($D299,'Input Kegiatan'!$A$2:$A905,0)),"")</f>
        <v/>
      </c>
      <c r="G299" s="5" t="str">
        <f t="array" ref="G299">IF(W299=1,INDEX('Input Kegiatan'!E$2:E905,MATCH($D299,'Input Kegiatan'!$A$2:$A905,0)),"")</f>
        <v/>
      </c>
      <c r="H299" s="5" t="str">
        <f t="array" ref="H299">IF(W299=1,INDEX(Honor!$H$2:$H905,MATCH($D299&amp;"-"&amp;R299,Honor!$K$2:$K905,0)),"")</f>
        <v/>
      </c>
      <c r="I299" s="8" t="str">
        <f>IF(W299=1,SUMIFS(Honor!$I$2:$I905,Honor!$K$2:$K905,$D299&amp;"-"&amp;R299),"")</f>
        <v/>
      </c>
      <c r="J299" s="9" t="str">
        <f t="shared" si="6"/>
        <v/>
      </c>
      <c r="K299" s="10" t="str">
        <f t="shared" si="0"/>
        <v/>
      </c>
      <c r="L299" s="10" t="str">
        <f t="shared" si="1"/>
        <v/>
      </c>
      <c r="M299" s="10" t="str">
        <f>IF(W299=1,IF(AND(U299&lt;2,INT(V299)&lt;='Batasan Honor'!$B$2),1,0),"")</f>
        <v/>
      </c>
      <c r="O299" s="10" t="str">
        <f t="shared" si="2"/>
        <v/>
      </c>
      <c r="P299" s="10" t="str">
        <f t="shared" si="3"/>
        <v/>
      </c>
      <c r="R299" s="23"/>
      <c r="S299" s="10" t="str">
        <f t="shared" si="4"/>
        <v/>
      </c>
      <c r="U299" s="10" t="str">
        <f ca="1">IFERROR(__xludf.DUMMYFUNCTION("if(W299=1,COUNTIFS(FILTER($H$2:$H905,$H$2:$H905=""OB"",$S$2:$S905=S299),""OB""),"""")"),"")</f>
        <v/>
      </c>
      <c r="V299" s="10" t="str">
        <f ca="1">IFERROR(__xludf.DUMMYFUNCTION("IF(OR(ISNA(SUM(FILTER($K$2:$K905,$A$2:$A905=A299,$S$2:$S905=S299,$H$2:$H905&lt;&gt;""OB""))),W299&lt;&gt;1),"""",SUM(FILTER($K$2:$K905,$A$2:$A905=A299,$S$2:$S905=S299,$H$2:$H905&lt;&gt;""OB"")))"),"")</f>
        <v/>
      </c>
      <c r="W299" s="10" t="str">
        <f t="shared" si="5"/>
        <v/>
      </c>
    </row>
    <row r="300" spans="1:23" ht="12.5">
      <c r="A300" s="23"/>
      <c r="B300" s="5" t="str">
        <f t="array" ref="B300">IF(W300=1,INDEX('Database Mitra'!$H$2:$H905,MATCH(A300,'Database Mitra'!AK$2:AK905,0)),"")</f>
        <v/>
      </c>
      <c r="C300" s="5" t="str">
        <f t="array" ref="C300">IF(W300=1,INDEX('Database Mitra'!$E$2:$E905,MATCH(A300,'Database Mitra'!AK$2:AK905,0)),"")</f>
        <v/>
      </c>
      <c r="D300" s="23"/>
      <c r="E300" s="5" t="str">
        <f t="array" ref="E300">IF(W300=1,INDEX('Input Kegiatan'!B$2:B905,MATCH($D300,'Input Kegiatan'!$A$2:$A905,0)),"")</f>
        <v/>
      </c>
      <c r="F300" s="5" t="str">
        <f t="array" ref="F300">IF(W300=1,INDEX('Input Kegiatan'!D$2:D905,MATCH($D300,'Input Kegiatan'!$A$2:$A905,0)),"")</f>
        <v/>
      </c>
      <c r="G300" s="5" t="str">
        <f t="array" ref="G300">IF(W300=1,INDEX('Input Kegiatan'!E$2:E905,MATCH($D300,'Input Kegiatan'!$A$2:$A905,0)),"")</f>
        <v/>
      </c>
      <c r="H300" s="5" t="str">
        <f t="array" ref="H300">IF(W300=1,INDEX(Honor!$H$2:$H905,MATCH($D300&amp;"-"&amp;R300,Honor!$K$2:$K905,0)),"")</f>
        <v/>
      </c>
      <c r="I300" s="8" t="str">
        <f>IF(W300=1,SUMIFS(Honor!$I$2:$I905,Honor!$K$2:$K905,$D300&amp;"-"&amp;R300),"")</f>
        <v/>
      </c>
      <c r="J300" s="9" t="str">
        <f t="shared" si="6"/>
        <v/>
      </c>
      <c r="K300" s="10" t="str">
        <f t="shared" si="0"/>
        <v/>
      </c>
      <c r="L300" s="10" t="str">
        <f t="shared" si="1"/>
        <v/>
      </c>
      <c r="M300" s="10" t="str">
        <f>IF(W300=1,IF(AND(U300&lt;2,INT(V300)&lt;='Batasan Honor'!$B$2),1,0),"")</f>
        <v/>
      </c>
      <c r="O300" s="10" t="str">
        <f t="shared" si="2"/>
        <v/>
      </c>
      <c r="P300" s="10" t="str">
        <f t="shared" si="3"/>
        <v/>
      </c>
      <c r="R300" s="23"/>
      <c r="S300" s="10" t="str">
        <f t="shared" si="4"/>
        <v/>
      </c>
      <c r="U300" s="10" t="str">
        <f ca="1">IFERROR(__xludf.DUMMYFUNCTION("if(W300=1,COUNTIFS(FILTER($H$2:$H905,$H$2:$H905=""OB"",$S$2:$S905=S300),""OB""),"""")"),"")</f>
        <v/>
      </c>
      <c r="V300" s="10" t="str">
        <f ca="1">IFERROR(__xludf.DUMMYFUNCTION("IF(OR(ISNA(SUM(FILTER($K$2:$K905,$A$2:$A905=A300,$S$2:$S905=S300,$H$2:$H905&lt;&gt;""OB""))),W300&lt;&gt;1),"""",SUM(FILTER($K$2:$K905,$A$2:$A905=A300,$S$2:$S905=S300,$H$2:$H905&lt;&gt;""OB"")))"),"")</f>
        <v/>
      </c>
      <c r="W300" s="10" t="str">
        <f t="shared" si="5"/>
        <v/>
      </c>
    </row>
    <row r="301" spans="1:23" ht="12.5">
      <c r="A301" s="23"/>
      <c r="B301" s="5" t="str">
        <f t="array" ref="B301">IF(W301=1,INDEX('Database Mitra'!$H$2:$H905,MATCH(A301,'Database Mitra'!AK$2:AK905,0)),"")</f>
        <v/>
      </c>
      <c r="C301" s="5" t="str">
        <f t="array" ref="C301">IF(W301=1,INDEX('Database Mitra'!$E$2:$E905,MATCH(A301,'Database Mitra'!AK$2:AK905,0)),"")</f>
        <v/>
      </c>
      <c r="D301" s="23"/>
      <c r="E301" s="5" t="str">
        <f t="array" ref="E301">IF(W301=1,INDEX('Input Kegiatan'!B$2:B905,MATCH($D301,'Input Kegiatan'!$A$2:$A905,0)),"")</f>
        <v/>
      </c>
      <c r="F301" s="5" t="str">
        <f t="array" ref="F301">IF(W301=1,INDEX('Input Kegiatan'!D$2:D905,MATCH($D301,'Input Kegiatan'!$A$2:$A905,0)),"")</f>
        <v/>
      </c>
      <c r="G301" s="5" t="str">
        <f t="array" ref="G301">IF(W301=1,INDEX('Input Kegiatan'!E$2:E905,MATCH($D301,'Input Kegiatan'!$A$2:$A905,0)),"")</f>
        <v/>
      </c>
      <c r="H301" s="5" t="str">
        <f t="array" ref="H301">IF(W301=1,INDEX(Honor!$H$2:$H905,MATCH($D301&amp;"-"&amp;R301,Honor!$K$2:$K905,0)),"")</f>
        <v/>
      </c>
      <c r="I301" s="8" t="str">
        <f>IF(W301=1,SUMIFS(Honor!$I$2:$I905,Honor!$K$2:$K905,$D301&amp;"-"&amp;R301),"")</f>
        <v/>
      </c>
      <c r="J301" s="9" t="str">
        <f t="shared" si="6"/>
        <v/>
      </c>
      <c r="K301" s="10" t="str">
        <f t="shared" si="0"/>
        <v/>
      </c>
      <c r="L301" s="10" t="str">
        <f t="shared" si="1"/>
        <v/>
      </c>
      <c r="M301" s="10" t="str">
        <f>IF(W301=1,IF(AND(U301&lt;2,INT(V301)&lt;='Batasan Honor'!$B$2),1,0),"")</f>
        <v/>
      </c>
      <c r="O301" s="10" t="str">
        <f t="shared" si="2"/>
        <v/>
      </c>
      <c r="P301" s="10" t="str">
        <f t="shared" si="3"/>
        <v/>
      </c>
      <c r="R301" s="23"/>
      <c r="S301" s="10" t="str">
        <f t="shared" si="4"/>
        <v/>
      </c>
      <c r="U301" s="10" t="str">
        <f ca="1">IFERROR(__xludf.DUMMYFUNCTION("if(W301=1,COUNTIFS(FILTER($H$2:$H905,$H$2:$H905=""OB"",$S$2:$S905=S301),""OB""),"""")"),"")</f>
        <v/>
      </c>
      <c r="V301" s="10" t="str">
        <f ca="1">IFERROR(__xludf.DUMMYFUNCTION("IF(OR(ISNA(SUM(FILTER($K$2:$K905,$A$2:$A905=A301,$S$2:$S905=S301,$H$2:$H905&lt;&gt;""OB""))),W301&lt;&gt;1),"""",SUM(FILTER($K$2:$K905,$A$2:$A905=A301,$S$2:$S905=S301,$H$2:$H905&lt;&gt;""OB"")))"),"")</f>
        <v/>
      </c>
      <c r="W301" s="10" t="str">
        <f t="shared" si="5"/>
        <v/>
      </c>
    </row>
    <row r="302" spans="1:23" ht="12.5">
      <c r="A302" s="23"/>
      <c r="B302" s="5" t="str">
        <f t="array" ref="B302">IF(W302=1,INDEX('Database Mitra'!$H$2:$H905,MATCH(A302,'Database Mitra'!AK$2:AK905,0)),"")</f>
        <v/>
      </c>
      <c r="C302" s="5" t="str">
        <f t="array" ref="C302">IF(W302=1,INDEX('Database Mitra'!$E$2:$E905,MATCH(A302,'Database Mitra'!AK$2:AK905,0)),"")</f>
        <v/>
      </c>
      <c r="D302" s="23"/>
      <c r="E302" s="5" t="str">
        <f t="array" ref="E302">IF(W302=1,INDEX('Input Kegiatan'!B$2:B905,MATCH($D302,'Input Kegiatan'!$A$2:$A905,0)),"")</f>
        <v/>
      </c>
      <c r="F302" s="5" t="str">
        <f t="array" ref="F302">IF(W302=1,INDEX('Input Kegiatan'!D$2:D905,MATCH($D302,'Input Kegiatan'!$A$2:$A905,0)),"")</f>
        <v/>
      </c>
      <c r="G302" s="5" t="str">
        <f t="array" ref="G302">IF(W302=1,INDEX('Input Kegiatan'!E$2:E905,MATCH($D302,'Input Kegiatan'!$A$2:$A905,0)),"")</f>
        <v/>
      </c>
      <c r="H302" s="5" t="str">
        <f t="array" ref="H302">IF(W302=1,INDEX(Honor!$H$2:$H905,MATCH($D302&amp;"-"&amp;R302,Honor!$K$2:$K905,0)),"")</f>
        <v/>
      </c>
      <c r="I302" s="8" t="str">
        <f>IF(W302=1,SUMIFS(Honor!$I$2:$I905,Honor!$K$2:$K905,$D302&amp;"-"&amp;R302),"")</f>
        <v/>
      </c>
      <c r="J302" s="9" t="str">
        <f t="shared" si="6"/>
        <v/>
      </c>
      <c r="K302" s="10" t="str">
        <f t="shared" si="0"/>
        <v/>
      </c>
      <c r="L302" s="10" t="str">
        <f t="shared" si="1"/>
        <v/>
      </c>
      <c r="M302" s="10" t="str">
        <f>IF(W302=1,IF(AND(U302&lt;2,INT(V302)&lt;='Batasan Honor'!$B$2),1,0),"")</f>
        <v/>
      </c>
      <c r="O302" s="10" t="str">
        <f t="shared" si="2"/>
        <v/>
      </c>
      <c r="P302" s="10" t="str">
        <f t="shared" si="3"/>
        <v/>
      </c>
      <c r="R302" s="23"/>
      <c r="S302" s="10" t="str">
        <f t="shared" si="4"/>
        <v/>
      </c>
      <c r="U302" s="10" t="str">
        <f ca="1">IFERROR(__xludf.DUMMYFUNCTION("if(W302=1,COUNTIFS(FILTER($H$2:$H905,$H$2:$H905=""OB"",$S$2:$S905=S302),""OB""),"""")"),"")</f>
        <v/>
      </c>
      <c r="V302" s="10" t="str">
        <f ca="1">IFERROR(__xludf.DUMMYFUNCTION("IF(OR(ISNA(SUM(FILTER($K$2:$K905,$A$2:$A905=A302,$S$2:$S905=S302,$H$2:$H905&lt;&gt;""OB""))),W302&lt;&gt;1),"""",SUM(FILTER($K$2:$K905,$A$2:$A905=A302,$S$2:$S905=S302,$H$2:$H905&lt;&gt;""OB"")))"),"")</f>
        <v/>
      </c>
      <c r="W302" s="10" t="str">
        <f t="shared" si="5"/>
        <v/>
      </c>
    </row>
    <row r="303" spans="1:23" ht="12.5">
      <c r="A303" s="23"/>
      <c r="B303" s="5" t="str">
        <f t="array" ref="B303">IF(W303=1,INDEX('Database Mitra'!$H$2:$H905,MATCH(A303,'Database Mitra'!AK$2:AK905,0)),"")</f>
        <v/>
      </c>
      <c r="C303" s="5" t="str">
        <f t="array" ref="C303">IF(W303=1,INDEX('Database Mitra'!$E$2:$E905,MATCH(A303,'Database Mitra'!AK$2:AK905,0)),"")</f>
        <v/>
      </c>
      <c r="D303" s="23"/>
      <c r="E303" s="5" t="str">
        <f t="array" ref="E303">IF(W303=1,INDEX('Input Kegiatan'!B$2:B905,MATCH($D303,'Input Kegiatan'!$A$2:$A905,0)),"")</f>
        <v/>
      </c>
      <c r="F303" s="5" t="str">
        <f t="array" ref="F303">IF(W303=1,INDEX('Input Kegiatan'!D$2:D905,MATCH($D303,'Input Kegiatan'!$A$2:$A905,0)),"")</f>
        <v/>
      </c>
      <c r="G303" s="5" t="str">
        <f t="array" ref="G303">IF(W303=1,INDEX('Input Kegiatan'!E$2:E905,MATCH($D303,'Input Kegiatan'!$A$2:$A905,0)),"")</f>
        <v/>
      </c>
      <c r="H303" s="5" t="str">
        <f t="array" ref="H303">IF(W303=1,INDEX(Honor!$H$2:$H905,MATCH($D303&amp;"-"&amp;R303,Honor!$K$2:$K905,0)),"")</f>
        <v/>
      </c>
      <c r="I303" s="8" t="str">
        <f>IF(W303=1,SUMIFS(Honor!$I$2:$I905,Honor!$K$2:$K905,$D303&amp;"-"&amp;R303),"")</f>
        <v/>
      </c>
      <c r="J303" s="9" t="str">
        <f t="shared" si="6"/>
        <v/>
      </c>
      <c r="K303" s="10" t="str">
        <f t="shared" si="0"/>
        <v/>
      </c>
      <c r="L303" s="10" t="str">
        <f t="shared" si="1"/>
        <v/>
      </c>
      <c r="M303" s="10" t="str">
        <f>IF(W303=1,IF(AND(U303&lt;2,INT(V303)&lt;='Batasan Honor'!$B$2),1,0),"")</f>
        <v/>
      </c>
      <c r="O303" s="10" t="str">
        <f t="shared" si="2"/>
        <v/>
      </c>
      <c r="P303" s="10" t="str">
        <f t="shared" si="3"/>
        <v/>
      </c>
      <c r="R303" s="23"/>
      <c r="S303" s="10" t="str">
        <f t="shared" si="4"/>
        <v/>
      </c>
      <c r="U303" s="10" t="str">
        <f ca="1">IFERROR(__xludf.DUMMYFUNCTION("if(W303=1,COUNTIFS(FILTER($H$2:$H905,$H$2:$H905=""OB"",$S$2:$S905=S303),""OB""),"""")"),"")</f>
        <v/>
      </c>
      <c r="V303" s="10" t="str">
        <f ca="1">IFERROR(__xludf.DUMMYFUNCTION("IF(OR(ISNA(SUM(FILTER($K$2:$K905,$A$2:$A905=A303,$S$2:$S905=S303,$H$2:$H905&lt;&gt;""OB""))),W303&lt;&gt;1),"""",SUM(FILTER($K$2:$K905,$A$2:$A905=A303,$S$2:$S905=S303,$H$2:$H905&lt;&gt;""OB"")))"),"")</f>
        <v/>
      </c>
      <c r="W303" s="10" t="str">
        <f t="shared" si="5"/>
        <v/>
      </c>
    </row>
    <row r="304" spans="1:23" ht="12.5">
      <c r="A304" s="23"/>
      <c r="B304" s="5" t="str">
        <f t="array" ref="B304">IF(W304=1,INDEX('Database Mitra'!$H$2:$H905,MATCH(A304,'Database Mitra'!AK$2:AK905,0)),"")</f>
        <v/>
      </c>
      <c r="C304" s="5" t="str">
        <f t="array" ref="C304">IF(W304=1,INDEX('Database Mitra'!$E$2:$E905,MATCH(A304,'Database Mitra'!AK$2:AK905,0)),"")</f>
        <v/>
      </c>
      <c r="D304" s="23"/>
      <c r="E304" s="5" t="str">
        <f t="array" ref="E304">IF(W304=1,INDEX('Input Kegiatan'!B$2:B905,MATCH($D304,'Input Kegiatan'!$A$2:$A905,0)),"")</f>
        <v/>
      </c>
      <c r="F304" s="5" t="str">
        <f t="array" ref="F304">IF(W304=1,INDEX('Input Kegiatan'!D$2:D905,MATCH($D304,'Input Kegiatan'!$A$2:$A905,0)),"")</f>
        <v/>
      </c>
      <c r="G304" s="5" t="str">
        <f t="array" ref="G304">IF(W304=1,INDEX('Input Kegiatan'!E$2:E905,MATCH($D304,'Input Kegiatan'!$A$2:$A905,0)),"")</f>
        <v/>
      </c>
      <c r="H304" s="5" t="str">
        <f t="array" ref="H304">IF(W304=1,INDEX(Honor!$H$2:$H905,MATCH($D304&amp;"-"&amp;R304,Honor!$K$2:$K905,0)),"")</f>
        <v/>
      </c>
      <c r="I304" s="8" t="str">
        <f>IF(W304=1,SUMIFS(Honor!$I$2:$I905,Honor!$K$2:$K905,$D304&amp;"-"&amp;R304),"")</f>
        <v/>
      </c>
      <c r="J304" s="9" t="str">
        <f t="shared" si="6"/>
        <v/>
      </c>
      <c r="K304" s="10" t="str">
        <f t="shared" si="0"/>
        <v/>
      </c>
      <c r="L304" s="10" t="str">
        <f t="shared" si="1"/>
        <v/>
      </c>
      <c r="M304" s="10" t="str">
        <f>IF(W304=1,IF(AND(U304&lt;2,INT(V304)&lt;='Batasan Honor'!$B$2),1,0),"")</f>
        <v/>
      </c>
      <c r="O304" s="10" t="str">
        <f t="shared" si="2"/>
        <v/>
      </c>
      <c r="P304" s="10" t="str">
        <f t="shared" si="3"/>
        <v/>
      </c>
      <c r="R304" s="23"/>
      <c r="S304" s="10" t="str">
        <f t="shared" si="4"/>
        <v/>
      </c>
      <c r="U304" s="10" t="str">
        <f ca="1">IFERROR(__xludf.DUMMYFUNCTION("if(W304=1,COUNTIFS(FILTER($H$2:$H905,$H$2:$H905=""OB"",$S$2:$S905=S304),""OB""),"""")"),"")</f>
        <v/>
      </c>
      <c r="V304" s="10" t="str">
        <f ca="1">IFERROR(__xludf.DUMMYFUNCTION("IF(OR(ISNA(SUM(FILTER($K$2:$K905,$A$2:$A905=A304,$S$2:$S905=S304,$H$2:$H905&lt;&gt;""OB""))),W304&lt;&gt;1),"""",SUM(FILTER($K$2:$K905,$A$2:$A905=A304,$S$2:$S905=S304,$H$2:$H905&lt;&gt;""OB"")))"),"")</f>
        <v/>
      </c>
      <c r="W304" s="10" t="str">
        <f t="shared" si="5"/>
        <v/>
      </c>
    </row>
    <row r="305" spans="1:23" ht="12.5">
      <c r="A305" s="23"/>
      <c r="B305" s="5" t="str">
        <f t="array" ref="B305">IF(W305=1,INDEX('Database Mitra'!$H$2:$H905,MATCH(A305,'Database Mitra'!AK$2:AK905,0)),"")</f>
        <v/>
      </c>
      <c r="C305" s="5" t="str">
        <f t="array" ref="C305">IF(W305=1,INDEX('Database Mitra'!$E$2:$E905,MATCH(A305,'Database Mitra'!AK$2:AK905,0)),"")</f>
        <v/>
      </c>
      <c r="D305" s="23"/>
      <c r="E305" s="5" t="str">
        <f t="array" ref="E305">IF(W305=1,INDEX('Input Kegiatan'!B$2:B905,MATCH($D305,'Input Kegiatan'!$A$2:$A905,0)),"")</f>
        <v/>
      </c>
      <c r="F305" s="5" t="str">
        <f t="array" ref="F305">IF(W305=1,INDEX('Input Kegiatan'!D$2:D905,MATCH($D305,'Input Kegiatan'!$A$2:$A905,0)),"")</f>
        <v/>
      </c>
      <c r="G305" s="5" t="str">
        <f t="array" ref="G305">IF(W305=1,INDEX('Input Kegiatan'!E$2:E905,MATCH($D305,'Input Kegiatan'!$A$2:$A905,0)),"")</f>
        <v/>
      </c>
      <c r="H305" s="5" t="str">
        <f t="array" ref="H305">IF(W305=1,INDEX(Honor!$H$2:$H905,MATCH($D305&amp;"-"&amp;R305,Honor!$K$2:$K905,0)),"")</f>
        <v/>
      </c>
      <c r="I305" s="8" t="str">
        <f>IF(W305=1,SUMIFS(Honor!$I$2:$I905,Honor!$K$2:$K905,$D305&amp;"-"&amp;R305),"")</f>
        <v/>
      </c>
      <c r="J305" s="9" t="str">
        <f t="shared" si="6"/>
        <v/>
      </c>
      <c r="K305" s="10" t="str">
        <f t="shared" si="0"/>
        <v/>
      </c>
      <c r="L305" s="10" t="str">
        <f t="shared" si="1"/>
        <v/>
      </c>
      <c r="M305" s="10" t="str">
        <f>IF(W305=1,IF(AND(U305&lt;2,INT(V305)&lt;='Batasan Honor'!$B$2),1,0),"")</f>
        <v/>
      </c>
      <c r="O305" s="10" t="str">
        <f t="shared" si="2"/>
        <v/>
      </c>
      <c r="P305" s="10" t="str">
        <f t="shared" si="3"/>
        <v/>
      </c>
      <c r="R305" s="23"/>
      <c r="S305" s="10" t="str">
        <f t="shared" si="4"/>
        <v/>
      </c>
      <c r="U305" s="10" t="str">
        <f ca="1">IFERROR(__xludf.DUMMYFUNCTION("if(W305=1,COUNTIFS(FILTER($H$2:$H905,$H$2:$H905=""OB"",$S$2:$S905=S305),""OB""),"""")"),"")</f>
        <v/>
      </c>
      <c r="V305" s="10" t="str">
        <f ca="1">IFERROR(__xludf.DUMMYFUNCTION("IF(OR(ISNA(SUM(FILTER($K$2:$K905,$A$2:$A905=A305,$S$2:$S905=S305,$H$2:$H905&lt;&gt;""OB""))),W305&lt;&gt;1),"""",SUM(FILTER($K$2:$K905,$A$2:$A905=A305,$S$2:$S905=S305,$H$2:$H905&lt;&gt;""OB"")))"),"")</f>
        <v/>
      </c>
      <c r="W305" s="10" t="str">
        <f t="shared" si="5"/>
        <v/>
      </c>
    </row>
    <row r="306" spans="1:23" ht="12.5">
      <c r="A306" s="23"/>
      <c r="B306" s="5" t="str">
        <f t="array" ref="B306">IF(W306=1,INDEX('Database Mitra'!$H$2:$H905,MATCH(A306,'Database Mitra'!AK$2:AK905,0)),"")</f>
        <v/>
      </c>
      <c r="C306" s="5" t="str">
        <f t="array" ref="C306">IF(W306=1,INDEX('Database Mitra'!$E$2:$E905,MATCH(A306,'Database Mitra'!AK$2:AK905,0)),"")</f>
        <v/>
      </c>
      <c r="D306" s="23"/>
      <c r="E306" s="5" t="str">
        <f t="array" ref="E306">IF(W306=1,INDEX('Input Kegiatan'!B$2:B905,MATCH($D306,'Input Kegiatan'!$A$2:$A905,0)),"")</f>
        <v/>
      </c>
      <c r="F306" s="5" t="str">
        <f t="array" ref="F306">IF(W306=1,INDEX('Input Kegiatan'!D$2:D905,MATCH($D306,'Input Kegiatan'!$A$2:$A905,0)),"")</f>
        <v/>
      </c>
      <c r="G306" s="5" t="str">
        <f t="array" ref="G306">IF(W306=1,INDEX('Input Kegiatan'!E$2:E905,MATCH($D306,'Input Kegiatan'!$A$2:$A905,0)),"")</f>
        <v/>
      </c>
      <c r="H306" s="5" t="str">
        <f t="array" ref="H306">IF(W306=1,INDEX(Honor!$H$2:$H905,MATCH($D306&amp;"-"&amp;R306,Honor!$K$2:$K905,0)),"")</f>
        <v/>
      </c>
      <c r="I306" s="8" t="str">
        <f>IF(W306=1,SUMIFS(Honor!$I$2:$I905,Honor!$K$2:$K905,$D306&amp;"-"&amp;R306),"")</f>
        <v/>
      </c>
      <c r="J306" s="9" t="str">
        <f t="shared" si="6"/>
        <v/>
      </c>
      <c r="K306" s="10" t="str">
        <f t="shared" si="0"/>
        <v/>
      </c>
      <c r="L306" s="10" t="str">
        <f t="shared" si="1"/>
        <v/>
      </c>
      <c r="M306" s="10" t="str">
        <f>IF(W306=1,IF(AND(U306&lt;2,INT(V306)&lt;='Batasan Honor'!$B$2),1,0),"")</f>
        <v/>
      </c>
      <c r="O306" s="10" t="str">
        <f t="shared" si="2"/>
        <v/>
      </c>
      <c r="P306" s="10" t="str">
        <f t="shared" si="3"/>
        <v/>
      </c>
      <c r="R306" s="23"/>
      <c r="S306" s="10" t="str">
        <f t="shared" si="4"/>
        <v/>
      </c>
      <c r="U306" s="10" t="str">
        <f ca="1">IFERROR(__xludf.DUMMYFUNCTION("if(W306=1,COUNTIFS(FILTER($H$2:$H905,$H$2:$H905=""OB"",$S$2:$S905=S306),""OB""),"""")"),"")</f>
        <v/>
      </c>
      <c r="V306" s="10" t="str">
        <f ca="1">IFERROR(__xludf.DUMMYFUNCTION("IF(OR(ISNA(SUM(FILTER($K$2:$K905,$A$2:$A905=A306,$S$2:$S905=S306,$H$2:$H905&lt;&gt;""OB""))),W306&lt;&gt;1),"""",SUM(FILTER($K$2:$K905,$A$2:$A905=A306,$S$2:$S905=S306,$H$2:$H905&lt;&gt;""OB"")))"),"")</f>
        <v/>
      </c>
      <c r="W306" s="10" t="str">
        <f t="shared" si="5"/>
        <v/>
      </c>
    </row>
    <row r="307" spans="1:23" ht="12.5">
      <c r="A307" s="23"/>
      <c r="B307" s="5" t="str">
        <f t="array" ref="B307">IF(W307=1,INDEX('Database Mitra'!$H$2:$H905,MATCH(A307,'Database Mitra'!AK$2:AK905,0)),"")</f>
        <v/>
      </c>
      <c r="C307" s="5" t="str">
        <f t="array" ref="C307">IF(W307=1,INDEX('Database Mitra'!$E$2:$E905,MATCH(A307,'Database Mitra'!AK$2:AK905,0)),"")</f>
        <v/>
      </c>
      <c r="D307" s="23"/>
      <c r="E307" s="5" t="str">
        <f t="array" ref="E307">IF(W307=1,INDEX('Input Kegiatan'!B$2:B905,MATCH($D307,'Input Kegiatan'!$A$2:$A905,0)),"")</f>
        <v/>
      </c>
      <c r="F307" s="5" t="str">
        <f t="array" ref="F307">IF(W307=1,INDEX('Input Kegiatan'!D$2:D905,MATCH($D307,'Input Kegiatan'!$A$2:$A905,0)),"")</f>
        <v/>
      </c>
      <c r="G307" s="5" t="str">
        <f t="array" ref="G307">IF(W307=1,INDEX('Input Kegiatan'!E$2:E905,MATCH($D307,'Input Kegiatan'!$A$2:$A905,0)),"")</f>
        <v/>
      </c>
      <c r="H307" s="5" t="str">
        <f t="array" ref="H307">IF(W307=1,INDEX(Honor!$H$2:$H905,MATCH($D307&amp;"-"&amp;R307,Honor!$K$2:$K905,0)),"")</f>
        <v/>
      </c>
      <c r="I307" s="8" t="str">
        <f>IF(W307=1,SUMIFS(Honor!$I$2:$I905,Honor!$K$2:$K905,$D307&amp;"-"&amp;R307),"")</f>
        <v/>
      </c>
      <c r="J307" s="9" t="str">
        <f t="shared" si="6"/>
        <v/>
      </c>
      <c r="K307" s="10" t="str">
        <f t="shared" si="0"/>
        <v/>
      </c>
      <c r="L307" s="10" t="str">
        <f t="shared" si="1"/>
        <v/>
      </c>
      <c r="M307" s="10" t="str">
        <f>IF(W307=1,IF(AND(U307&lt;2,INT(V307)&lt;='Batasan Honor'!$B$2),1,0),"")</f>
        <v/>
      </c>
      <c r="O307" s="10" t="str">
        <f t="shared" si="2"/>
        <v/>
      </c>
      <c r="P307" s="10" t="str">
        <f t="shared" si="3"/>
        <v/>
      </c>
      <c r="R307" s="23"/>
      <c r="S307" s="10" t="str">
        <f t="shared" si="4"/>
        <v/>
      </c>
      <c r="U307" s="10" t="str">
        <f ca="1">IFERROR(__xludf.DUMMYFUNCTION("if(W307=1,COUNTIFS(FILTER($H$2:$H905,$H$2:$H905=""OB"",$S$2:$S905=S307),""OB""),"""")"),"")</f>
        <v/>
      </c>
      <c r="V307" s="10" t="str">
        <f ca="1">IFERROR(__xludf.DUMMYFUNCTION("IF(OR(ISNA(SUM(FILTER($K$2:$K905,$A$2:$A905=A307,$S$2:$S905=S307,$H$2:$H905&lt;&gt;""OB""))),W307&lt;&gt;1),"""",SUM(FILTER($K$2:$K905,$A$2:$A905=A307,$S$2:$S905=S307,$H$2:$H905&lt;&gt;""OB"")))"),"")</f>
        <v/>
      </c>
      <c r="W307" s="10" t="str">
        <f t="shared" si="5"/>
        <v/>
      </c>
    </row>
    <row r="308" spans="1:23" ht="12.5">
      <c r="A308" s="23"/>
      <c r="B308" s="5" t="str">
        <f t="array" ref="B308">IF(W308=1,INDEX('Database Mitra'!$H$2:$H905,MATCH(A308,'Database Mitra'!AK$2:AK905,0)),"")</f>
        <v/>
      </c>
      <c r="C308" s="5" t="str">
        <f t="array" ref="C308">IF(W308=1,INDEX('Database Mitra'!$E$2:$E905,MATCH(A308,'Database Mitra'!AK$2:AK905,0)),"")</f>
        <v/>
      </c>
      <c r="D308" s="23"/>
      <c r="E308" s="5" t="str">
        <f t="array" ref="E308">IF(W308=1,INDEX('Input Kegiatan'!B$2:B905,MATCH($D308,'Input Kegiatan'!$A$2:$A905,0)),"")</f>
        <v/>
      </c>
      <c r="F308" s="5" t="str">
        <f t="array" ref="F308">IF(W308=1,INDEX('Input Kegiatan'!D$2:D905,MATCH($D308,'Input Kegiatan'!$A$2:$A905,0)),"")</f>
        <v/>
      </c>
      <c r="G308" s="5" t="str">
        <f t="array" ref="G308">IF(W308=1,INDEX('Input Kegiatan'!E$2:E905,MATCH($D308,'Input Kegiatan'!$A$2:$A905,0)),"")</f>
        <v/>
      </c>
      <c r="H308" s="5" t="str">
        <f t="array" ref="H308">IF(W308=1,INDEX(Honor!$H$2:$H905,MATCH($D308&amp;"-"&amp;R308,Honor!$K$2:$K905,0)),"")</f>
        <v/>
      </c>
      <c r="I308" s="8" t="str">
        <f>IF(W308=1,SUMIFS(Honor!$I$2:$I905,Honor!$K$2:$K905,$D308&amp;"-"&amp;R308),"")</f>
        <v/>
      </c>
      <c r="J308" s="9" t="str">
        <f t="shared" si="6"/>
        <v/>
      </c>
      <c r="K308" s="10" t="str">
        <f t="shared" si="0"/>
        <v/>
      </c>
      <c r="L308" s="10" t="str">
        <f t="shared" si="1"/>
        <v/>
      </c>
      <c r="M308" s="10" t="str">
        <f>IF(W308=1,IF(AND(U308&lt;2,INT(V308)&lt;='Batasan Honor'!$B$2),1,0),"")</f>
        <v/>
      </c>
      <c r="O308" s="10" t="str">
        <f t="shared" si="2"/>
        <v/>
      </c>
      <c r="P308" s="10" t="str">
        <f t="shared" si="3"/>
        <v/>
      </c>
      <c r="R308" s="23"/>
      <c r="S308" s="10" t="str">
        <f t="shared" si="4"/>
        <v/>
      </c>
      <c r="U308" s="10" t="str">
        <f ca="1">IFERROR(__xludf.DUMMYFUNCTION("if(W308=1,COUNTIFS(FILTER($H$2:$H905,$H$2:$H905=""OB"",$S$2:$S905=S308),""OB""),"""")"),"")</f>
        <v/>
      </c>
      <c r="V308" s="10" t="str">
        <f ca="1">IFERROR(__xludf.DUMMYFUNCTION("IF(OR(ISNA(SUM(FILTER($K$2:$K905,$A$2:$A905=A308,$S$2:$S905=S308,$H$2:$H905&lt;&gt;""OB""))),W308&lt;&gt;1),"""",SUM(FILTER($K$2:$K905,$A$2:$A905=A308,$S$2:$S905=S308,$H$2:$H905&lt;&gt;""OB"")))"),"")</f>
        <v/>
      </c>
      <c r="W308" s="10" t="str">
        <f t="shared" si="5"/>
        <v/>
      </c>
    </row>
    <row r="309" spans="1:23" ht="12.5">
      <c r="A309" s="23"/>
      <c r="B309" s="5" t="str">
        <f t="array" ref="B309">IF(W309=1,INDEX('Database Mitra'!$H$2:$H905,MATCH(A309,'Database Mitra'!AK$2:AK905,0)),"")</f>
        <v/>
      </c>
      <c r="C309" s="5" t="str">
        <f t="array" ref="C309">IF(W309=1,INDEX('Database Mitra'!$E$2:$E905,MATCH(A309,'Database Mitra'!AK$2:AK905,0)),"")</f>
        <v/>
      </c>
      <c r="D309" s="23"/>
      <c r="E309" s="5" t="str">
        <f t="array" ref="E309">IF(W309=1,INDEX('Input Kegiatan'!B$2:B905,MATCH($D309,'Input Kegiatan'!$A$2:$A905,0)),"")</f>
        <v/>
      </c>
      <c r="F309" s="5" t="str">
        <f t="array" ref="F309">IF(W309=1,INDEX('Input Kegiatan'!D$2:D905,MATCH($D309,'Input Kegiatan'!$A$2:$A905,0)),"")</f>
        <v/>
      </c>
      <c r="G309" s="5" t="str">
        <f t="array" ref="G309">IF(W309=1,INDEX('Input Kegiatan'!E$2:E905,MATCH($D309,'Input Kegiatan'!$A$2:$A905,0)),"")</f>
        <v/>
      </c>
      <c r="H309" s="5" t="str">
        <f t="array" ref="H309">IF(W309=1,INDEX(Honor!$H$2:$H905,MATCH($D309&amp;"-"&amp;R309,Honor!$K$2:$K905,0)),"")</f>
        <v/>
      </c>
      <c r="I309" s="8" t="str">
        <f>IF(W309=1,SUMIFS(Honor!$I$2:$I905,Honor!$K$2:$K905,$D309&amp;"-"&amp;R309),"")</f>
        <v/>
      </c>
      <c r="J309" s="9" t="str">
        <f t="shared" si="6"/>
        <v/>
      </c>
      <c r="K309" s="10" t="str">
        <f t="shared" si="0"/>
        <v/>
      </c>
      <c r="L309" s="10" t="str">
        <f t="shared" si="1"/>
        <v/>
      </c>
      <c r="M309" s="10" t="str">
        <f>IF(W309=1,IF(AND(U309&lt;2,INT(V309)&lt;='Batasan Honor'!$B$2),1,0),"")</f>
        <v/>
      </c>
      <c r="O309" s="10" t="str">
        <f t="shared" si="2"/>
        <v/>
      </c>
      <c r="P309" s="10" t="str">
        <f t="shared" si="3"/>
        <v/>
      </c>
      <c r="R309" s="23"/>
      <c r="S309" s="10" t="str">
        <f t="shared" si="4"/>
        <v/>
      </c>
      <c r="U309" s="10" t="str">
        <f ca="1">IFERROR(__xludf.DUMMYFUNCTION("if(W309=1,COUNTIFS(FILTER($H$2:$H905,$H$2:$H905=""OB"",$S$2:$S905=S309),""OB""),"""")"),"")</f>
        <v/>
      </c>
      <c r="V309" s="10" t="str">
        <f ca="1">IFERROR(__xludf.DUMMYFUNCTION("IF(OR(ISNA(SUM(FILTER($K$2:$K905,$A$2:$A905=A309,$S$2:$S905=S309,$H$2:$H905&lt;&gt;""OB""))),W309&lt;&gt;1),"""",SUM(FILTER($K$2:$K905,$A$2:$A905=A309,$S$2:$S905=S309,$H$2:$H905&lt;&gt;""OB"")))"),"")</f>
        <v/>
      </c>
      <c r="W309" s="10" t="str">
        <f t="shared" si="5"/>
        <v/>
      </c>
    </row>
    <row r="310" spans="1:23" ht="12.5">
      <c r="A310" s="23"/>
      <c r="B310" s="5" t="str">
        <f t="array" ref="B310">IF(W310=1,INDEX('Database Mitra'!$H$2:$H905,MATCH(A310,'Database Mitra'!AK$2:AK905,0)),"")</f>
        <v/>
      </c>
      <c r="C310" s="5" t="str">
        <f t="array" ref="C310">IF(W310=1,INDEX('Database Mitra'!$E$2:$E905,MATCH(A310,'Database Mitra'!AK$2:AK905,0)),"")</f>
        <v/>
      </c>
      <c r="D310" s="23"/>
      <c r="E310" s="5" t="str">
        <f t="array" ref="E310">IF(W310=1,INDEX('Input Kegiatan'!B$2:B905,MATCH($D310,'Input Kegiatan'!$A$2:$A905,0)),"")</f>
        <v/>
      </c>
      <c r="F310" s="5" t="str">
        <f t="array" ref="F310">IF(W310=1,INDEX('Input Kegiatan'!D$2:D905,MATCH($D310,'Input Kegiatan'!$A$2:$A905,0)),"")</f>
        <v/>
      </c>
      <c r="G310" s="5" t="str">
        <f t="array" ref="G310">IF(W310=1,INDEX('Input Kegiatan'!E$2:E905,MATCH($D310,'Input Kegiatan'!$A$2:$A905,0)),"")</f>
        <v/>
      </c>
      <c r="H310" s="5" t="str">
        <f t="array" ref="H310">IF(W310=1,INDEX(Honor!$H$2:$H905,MATCH($D310&amp;"-"&amp;R310,Honor!$K$2:$K905,0)),"")</f>
        <v/>
      </c>
      <c r="I310" s="8" t="str">
        <f>IF(W310=1,SUMIFS(Honor!$I$2:$I905,Honor!$K$2:$K905,$D310&amp;"-"&amp;R310),"")</f>
        <v/>
      </c>
      <c r="J310" s="9" t="str">
        <f t="shared" si="6"/>
        <v/>
      </c>
      <c r="K310" s="10" t="str">
        <f t="shared" si="0"/>
        <v/>
      </c>
      <c r="L310" s="10" t="str">
        <f t="shared" si="1"/>
        <v/>
      </c>
      <c r="M310" s="10" t="str">
        <f>IF(W310=1,IF(AND(U310&lt;2,INT(V310)&lt;='Batasan Honor'!$B$2),1,0),"")</f>
        <v/>
      </c>
      <c r="O310" s="10" t="str">
        <f t="shared" si="2"/>
        <v/>
      </c>
      <c r="P310" s="10" t="str">
        <f t="shared" si="3"/>
        <v/>
      </c>
      <c r="R310" s="23"/>
      <c r="S310" s="10" t="str">
        <f t="shared" si="4"/>
        <v/>
      </c>
      <c r="U310" s="10" t="str">
        <f ca="1">IFERROR(__xludf.DUMMYFUNCTION("if(W310=1,COUNTIFS(FILTER($H$2:$H905,$H$2:$H905=""OB"",$S$2:$S905=S310),""OB""),"""")"),"")</f>
        <v/>
      </c>
      <c r="V310" s="10" t="str">
        <f ca="1">IFERROR(__xludf.DUMMYFUNCTION("IF(OR(ISNA(SUM(FILTER($K$2:$K905,$A$2:$A905=A310,$S$2:$S905=S310,$H$2:$H905&lt;&gt;""OB""))),W310&lt;&gt;1),"""",SUM(FILTER($K$2:$K905,$A$2:$A905=A310,$S$2:$S905=S310,$H$2:$H905&lt;&gt;""OB"")))"),"")</f>
        <v/>
      </c>
      <c r="W310" s="10" t="str">
        <f t="shared" si="5"/>
        <v/>
      </c>
    </row>
    <row r="311" spans="1:23" ht="12.5">
      <c r="A311" s="23"/>
      <c r="B311" s="5" t="str">
        <f t="array" ref="B311">IF(W311=1,INDEX('Database Mitra'!$H$2:$H905,MATCH(A311,'Database Mitra'!AK$2:AK905,0)),"")</f>
        <v/>
      </c>
      <c r="C311" s="5" t="str">
        <f t="array" ref="C311">IF(W311=1,INDEX('Database Mitra'!$E$2:$E905,MATCH(A311,'Database Mitra'!AK$2:AK905,0)),"")</f>
        <v/>
      </c>
      <c r="D311" s="23"/>
      <c r="E311" s="5" t="str">
        <f t="array" ref="E311">IF(W311=1,INDEX('Input Kegiatan'!B$2:B905,MATCH($D311,'Input Kegiatan'!$A$2:$A905,0)),"")</f>
        <v/>
      </c>
      <c r="F311" s="5" t="str">
        <f t="array" ref="F311">IF(W311=1,INDEX('Input Kegiatan'!D$2:D905,MATCH($D311,'Input Kegiatan'!$A$2:$A905,0)),"")</f>
        <v/>
      </c>
      <c r="G311" s="5" t="str">
        <f t="array" ref="G311">IF(W311=1,INDEX('Input Kegiatan'!E$2:E905,MATCH($D311,'Input Kegiatan'!$A$2:$A905,0)),"")</f>
        <v/>
      </c>
      <c r="H311" s="5" t="str">
        <f t="array" ref="H311">IF(W311=1,INDEX(Honor!$H$2:$H905,MATCH($D311&amp;"-"&amp;R311,Honor!$K$2:$K905,0)),"")</f>
        <v/>
      </c>
      <c r="I311" s="8" t="str">
        <f>IF(W311=1,SUMIFS(Honor!$I$2:$I905,Honor!$K$2:$K905,$D311&amp;"-"&amp;R311),"")</f>
        <v/>
      </c>
      <c r="J311" s="9" t="str">
        <f t="shared" si="6"/>
        <v/>
      </c>
      <c r="K311" s="10" t="str">
        <f t="shared" si="0"/>
        <v/>
      </c>
      <c r="L311" s="10" t="str">
        <f t="shared" si="1"/>
        <v/>
      </c>
      <c r="M311" s="10" t="str">
        <f>IF(W311=1,IF(AND(U311&lt;2,INT(V311)&lt;='Batasan Honor'!$B$2),1,0),"")</f>
        <v/>
      </c>
      <c r="O311" s="10" t="str">
        <f t="shared" si="2"/>
        <v/>
      </c>
      <c r="P311" s="10" t="str">
        <f t="shared" si="3"/>
        <v/>
      </c>
      <c r="R311" s="23"/>
      <c r="S311" s="10" t="str">
        <f t="shared" si="4"/>
        <v/>
      </c>
      <c r="U311" s="10" t="str">
        <f ca="1">IFERROR(__xludf.DUMMYFUNCTION("if(W311=1,COUNTIFS(FILTER($H$2:$H905,$H$2:$H905=""OB"",$S$2:$S905=S311),""OB""),"""")"),"")</f>
        <v/>
      </c>
      <c r="V311" s="10" t="str">
        <f ca="1">IFERROR(__xludf.DUMMYFUNCTION("IF(OR(ISNA(SUM(FILTER($K$2:$K905,$A$2:$A905=A311,$S$2:$S905=S311,$H$2:$H905&lt;&gt;""OB""))),W311&lt;&gt;1),"""",SUM(FILTER($K$2:$K905,$A$2:$A905=A311,$S$2:$S905=S311,$H$2:$H905&lt;&gt;""OB"")))"),"")</f>
        <v/>
      </c>
      <c r="W311" s="10" t="str">
        <f t="shared" si="5"/>
        <v/>
      </c>
    </row>
    <row r="312" spans="1:23" ht="12.5">
      <c r="A312" s="23"/>
      <c r="B312" s="5" t="str">
        <f t="array" ref="B312">IF(W312=1,INDEX('Database Mitra'!$H$2:$H905,MATCH(A312,'Database Mitra'!AK$2:AK905,0)),"")</f>
        <v/>
      </c>
      <c r="C312" s="5" t="str">
        <f t="array" ref="C312">IF(W312=1,INDEX('Database Mitra'!$E$2:$E905,MATCH(A312,'Database Mitra'!AK$2:AK905,0)),"")</f>
        <v/>
      </c>
      <c r="D312" s="23"/>
      <c r="E312" s="5" t="str">
        <f t="array" ref="E312">IF(W312=1,INDEX('Input Kegiatan'!B$2:B905,MATCH($D312,'Input Kegiatan'!$A$2:$A905,0)),"")</f>
        <v/>
      </c>
      <c r="F312" s="5" t="str">
        <f t="array" ref="F312">IF(W312=1,INDEX('Input Kegiatan'!D$2:D905,MATCH($D312,'Input Kegiatan'!$A$2:$A905,0)),"")</f>
        <v/>
      </c>
      <c r="G312" s="5" t="str">
        <f t="array" ref="G312">IF(W312=1,INDEX('Input Kegiatan'!E$2:E905,MATCH($D312,'Input Kegiatan'!$A$2:$A905,0)),"")</f>
        <v/>
      </c>
      <c r="H312" s="5" t="str">
        <f t="array" ref="H312">IF(W312=1,INDEX(Honor!$H$2:$H905,MATCH($D312&amp;"-"&amp;R312,Honor!$K$2:$K905,0)),"")</f>
        <v/>
      </c>
      <c r="I312" s="8" t="str">
        <f>IF(W312=1,SUMIFS(Honor!$I$2:$I905,Honor!$K$2:$K905,$D312&amp;"-"&amp;R312),"")</f>
        <v/>
      </c>
      <c r="J312" s="9" t="str">
        <f t="shared" si="6"/>
        <v/>
      </c>
      <c r="K312" s="10" t="str">
        <f t="shared" si="0"/>
        <v/>
      </c>
      <c r="L312" s="10" t="str">
        <f t="shared" si="1"/>
        <v/>
      </c>
      <c r="M312" s="10" t="str">
        <f>IF(W312=1,IF(AND(U312&lt;2,INT(V312)&lt;='Batasan Honor'!$B$2),1,0),"")</f>
        <v/>
      </c>
      <c r="O312" s="10" t="str">
        <f t="shared" si="2"/>
        <v/>
      </c>
      <c r="P312" s="10" t="str">
        <f t="shared" si="3"/>
        <v/>
      </c>
      <c r="R312" s="23"/>
      <c r="S312" s="10" t="str">
        <f t="shared" si="4"/>
        <v/>
      </c>
      <c r="U312" s="10" t="str">
        <f ca="1">IFERROR(__xludf.DUMMYFUNCTION("if(W312=1,COUNTIFS(FILTER($H$2:$H905,$H$2:$H905=""OB"",$S$2:$S905=S312),""OB""),"""")"),"")</f>
        <v/>
      </c>
      <c r="V312" s="10" t="str">
        <f ca="1">IFERROR(__xludf.DUMMYFUNCTION("IF(OR(ISNA(SUM(FILTER($K$2:$K905,$A$2:$A905=A312,$S$2:$S905=S312,$H$2:$H905&lt;&gt;""OB""))),W312&lt;&gt;1),"""",SUM(FILTER($K$2:$K905,$A$2:$A905=A312,$S$2:$S905=S312,$H$2:$H905&lt;&gt;""OB"")))"),"")</f>
        <v/>
      </c>
      <c r="W312" s="10" t="str">
        <f t="shared" si="5"/>
        <v/>
      </c>
    </row>
    <row r="313" spans="1:23" ht="12.5">
      <c r="A313" s="23"/>
      <c r="B313" s="5" t="str">
        <f t="array" ref="B313">IF(W313=1,INDEX('Database Mitra'!$H$2:$H905,MATCH(A313,'Database Mitra'!AK$2:AK905,0)),"")</f>
        <v/>
      </c>
      <c r="C313" s="5" t="str">
        <f t="array" ref="C313">IF(W313=1,INDEX('Database Mitra'!$E$2:$E905,MATCH(A313,'Database Mitra'!AK$2:AK905,0)),"")</f>
        <v/>
      </c>
      <c r="D313" s="23"/>
      <c r="E313" s="5" t="str">
        <f t="array" ref="E313">IF(W313=1,INDEX('Input Kegiatan'!B$2:B905,MATCH($D313,'Input Kegiatan'!$A$2:$A905,0)),"")</f>
        <v/>
      </c>
      <c r="F313" s="5" t="str">
        <f t="array" ref="F313">IF(W313=1,INDEX('Input Kegiatan'!D$2:D905,MATCH($D313,'Input Kegiatan'!$A$2:$A905,0)),"")</f>
        <v/>
      </c>
      <c r="G313" s="5" t="str">
        <f t="array" ref="G313">IF(W313=1,INDEX('Input Kegiatan'!E$2:E905,MATCH($D313,'Input Kegiatan'!$A$2:$A905,0)),"")</f>
        <v/>
      </c>
      <c r="H313" s="5" t="str">
        <f t="array" ref="H313">IF(W313=1,INDEX(Honor!$H$2:$H905,MATCH($D313&amp;"-"&amp;R313,Honor!$K$2:$K905,0)),"")</f>
        <v/>
      </c>
      <c r="I313" s="8" t="str">
        <f>IF(W313=1,SUMIFS(Honor!$I$2:$I905,Honor!$K$2:$K905,$D313&amp;"-"&amp;R313),"")</f>
        <v/>
      </c>
      <c r="J313" s="9" t="str">
        <f t="shared" si="6"/>
        <v/>
      </c>
      <c r="K313" s="10" t="str">
        <f t="shared" si="0"/>
        <v/>
      </c>
      <c r="L313" s="10" t="str">
        <f t="shared" si="1"/>
        <v/>
      </c>
      <c r="M313" s="10" t="str">
        <f>IF(W313=1,IF(AND(U313&lt;2,INT(V313)&lt;='Batasan Honor'!$B$2),1,0),"")</f>
        <v/>
      </c>
      <c r="O313" s="10" t="str">
        <f t="shared" si="2"/>
        <v/>
      </c>
      <c r="P313" s="10" t="str">
        <f t="shared" si="3"/>
        <v/>
      </c>
      <c r="R313" s="23"/>
      <c r="S313" s="10" t="str">
        <f t="shared" si="4"/>
        <v/>
      </c>
      <c r="U313" s="10" t="str">
        <f ca="1">IFERROR(__xludf.DUMMYFUNCTION("if(W313=1,COUNTIFS(FILTER($H$2:$H905,$H$2:$H905=""OB"",$S$2:$S905=S313),""OB""),"""")"),"")</f>
        <v/>
      </c>
      <c r="V313" s="10" t="str">
        <f ca="1">IFERROR(__xludf.DUMMYFUNCTION("IF(OR(ISNA(SUM(FILTER($K$2:$K905,$A$2:$A905=A313,$S$2:$S905=S313,$H$2:$H905&lt;&gt;""OB""))),W313&lt;&gt;1),"""",SUM(FILTER($K$2:$K905,$A$2:$A905=A313,$S$2:$S905=S313,$H$2:$H905&lt;&gt;""OB"")))"),"")</f>
        <v/>
      </c>
      <c r="W313" s="10" t="str">
        <f t="shared" si="5"/>
        <v/>
      </c>
    </row>
    <row r="314" spans="1:23" ht="12.5">
      <c r="A314" s="23"/>
      <c r="B314" s="5" t="str">
        <f t="array" ref="B314">IF(W314=1,INDEX('Database Mitra'!$H$2:$H905,MATCH(A314,'Database Mitra'!AK$2:AK905,0)),"")</f>
        <v/>
      </c>
      <c r="C314" s="5" t="str">
        <f t="array" ref="C314">IF(W314=1,INDEX('Database Mitra'!$E$2:$E905,MATCH(A314,'Database Mitra'!AK$2:AK905,0)),"")</f>
        <v/>
      </c>
      <c r="D314" s="23"/>
      <c r="E314" s="5" t="str">
        <f t="array" ref="E314">IF(W314=1,INDEX('Input Kegiatan'!B$2:B905,MATCH($D314,'Input Kegiatan'!$A$2:$A905,0)),"")</f>
        <v/>
      </c>
      <c r="F314" s="5" t="str">
        <f t="array" ref="F314">IF(W314=1,INDEX('Input Kegiatan'!D$2:D905,MATCH($D314,'Input Kegiatan'!$A$2:$A905,0)),"")</f>
        <v/>
      </c>
      <c r="G314" s="5" t="str">
        <f t="array" ref="G314">IF(W314=1,INDEX('Input Kegiatan'!E$2:E905,MATCH($D314,'Input Kegiatan'!$A$2:$A905,0)),"")</f>
        <v/>
      </c>
      <c r="H314" s="5" t="str">
        <f t="array" ref="H314">IF(W314=1,INDEX(Honor!$H$2:$H905,MATCH($D314&amp;"-"&amp;R314,Honor!$K$2:$K905,0)),"")</f>
        <v/>
      </c>
      <c r="I314" s="8" t="str">
        <f>IF(W314=1,SUMIFS(Honor!$I$2:$I905,Honor!$K$2:$K905,$D314&amp;"-"&amp;R314),"")</f>
        <v/>
      </c>
      <c r="J314" s="9" t="str">
        <f t="shared" si="6"/>
        <v/>
      </c>
      <c r="K314" s="10" t="str">
        <f t="shared" si="0"/>
        <v/>
      </c>
      <c r="L314" s="10" t="str">
        <f t="shared" si="1"/>
        <v/>
      </c>
      <c r="M314" s="10" t="str">
        <f>IF(W314=1,IF(AND(U314&lt;2,INT(V314)&lt;='Batasan Honor'!$B$2),1,0),"")</f>
        <v/>
      </c>
      <c r="O314" s="10" t="str">
        <f t="shared" si="2"/>
        <v/>
      </c>
      <c r="P314" s="10" t="str">
        <f t="shared" si="3"/>
        <v/>
      </c>
      <c r="R314" s="23"/>
      <c r="S314" s="10" t="str">
        <f t="shared" si="4"/>
        <v/>
      </c>
      <c r="U314" s="10" t="str">
        <f ca="1">IFERROR(__xludf.DUMMYFUNCTION("if(W314=1,COUNTIFS(FILTER($H$2:$H905,$H$2:$H905=""OB"",$S$2:$S905=S314),""OB""),"""")"),"")</f>
        <v/>
      </c>
      <c r="V314" s="10" t="str">
        <f ca="1">IFERROR(__xludf.DUMMYFUNCTION("IF(OR(ISNA(SUM(FILTER($K$2:$K905,$A$2:$A905=A314,$S$2:$S905=S314,$H$2:$H905&lt;&gt;""OB""))),W314&lt;&gt;1),"""",SUM(FILTER($K$2:$K905,$A$2:$A905=A314,$S$2:$S905=S314,$H$2:$H905&lt;&gt;""OB"")))"),"")</f>
        <v/>
      </c>
      <c r="W314" s="10" t="str">
        <f t="shared" si="5"/>
        <v/>
      </c>
    </row>
    <row r="315" spans="1:23" ht="12.5">
      <c r="A315" s="23"/>
      <c r="B315" s="5" t="str">
        <f t="array" ref="B315">IF(W315=1,INDEX('Database Mitra'!$H$2:$H905,MATCH(A315,'Database Mitra'!AK$2:AK905,0)),"")</f>
        <v/>
      </c>
      <c r="C315" s="5" t="str">
        <f t="array" ref="C315">IF(W315=1,INDEX('Database Mitra'!$E$2:$E905,MATCH(A315,'Database Mitra'!AK$2:AK905,0)),"")</f>
        <v/>
      </c>
      <c r="D315" s="23"/>
      <c r="E315" s="5" t="str">
        <f t="array" ref="E315">IF(W315=1,INDEX('Input Kegiatan'!B$2:B905,MATCH($D315,'Input Kegiatan'!$A$2:$A905,0)),"")</f>
        <v/>
      </c>
      <c r="F315" s="5" t="str">
        <f t="array" ref="F315">IF(W315=1,INDEX('Input Kegiatan'!D$2:D905,MATCH($D315,'Input Kegiatan'!$A$2:$A905,0)),"")</f>
        <v/>
      </c>
      <c r="G315" s="5" t="str">
        <f t="array" ref="G315">IF(W315=1,INDEX('Input Kegiatan'!E$2:E905,MATCH($D315,'Input Kegiatan'!$A$2:$A905,0)),"")</f>
        <v/>
      </c>
      <c r="H315" s="5" t="str">
        <f t="array" ref="H315">IF(W315=1,INDEX(Honor!$H$2:$H905,MATCH($D315&amp;"-"&amp;R315,Honor!$K$2:$K905,0)),"")</f>
        <v/>
      </c>
      <c r="I315" s="8" t="str">
        <f>IF(W315=1,SUMIFS(Honor!$I$2:$I905,Honor!$K$2:$K905,$D315&amp;"-"&amp;R315),"")</f>
        <v/>
      </c>
      <c r="J315" s="9" t="str">
        <f t="shared" si="6"/>
        <v/>
      </c>
      <c r="K315" s="10" t="str">
        <f t="shared" si="0"/>
        <v/>
      </c>
      <c r="L315" s="10" t="str">
        <f t="shared" si="1"/>
        <v/>
      </c>
      <c r="M315" s="10" t="str">
        <f>IF(W315=1,IF(AND(U315&lt;2,INT(V315)&lt;='Batasan Honor'!$B$2),1,0),"")</f>
        <v/>
      </c>
      <c r="O315" s="10" t="str">
        <f t="shared" si="2"/>
        <v/>
      </c>
      <c r="P315" s="10" t="str">
        <f t="shared" si="3"/>
        <v/>
      </c>
      <c r="R315" s="23"/>
      <c r="S315" s="10" t="str">
        <f t="shared" si="4"/>
        <v/>
      </c>
      <c r="U315" s="10" t="str">
        <f ca="1">IFERROR(__xludf.DUMMYFUNCTION("if(W315=1,COUNTIFS(FILTER($H$2:$H905,$H$2:$H905=""OB"",$S$2:$S905=S315),""OB""),"""")"),"")</f>
        <v/>
      </c>
      <c r="V315" s="10" t="str">
        <f ca="1">IFERROR(__xludf.DUMMYFUNCTION("IF(OR(ISNA(SUM(FILTER($K$2:$K905,$A$2:$A905=A315,$S$2:$S905=S315,$H$2:$H905&lt;&gt;""OB""))),W315&lt;&gt;1),"""",SUM(FILTER($K$2:$K905,$A$2:$A905=A315,$S$2:$S905=S315,$H$2:$H905&lt;&gt;""OB"")))"),"")</f>
        <v/>
      </c>
      <c r="W315" s="10" t="str">
        <f t="shared" si="5"/>
        <v/>
      </c>
    </row>
    <row r="316" spans="1:23" ht="12.5">
      <c r="A316" s="23"/>
      <c r="B316" s="5" t="str">
        <f t="array" ref="B316">IF(W316=1,INDEX('Database Mitra'!$H$2:$H905,MATCH(A316,'Database Mitra'!AK$2:AK905,0)),"")</f>
        <v/>
      </c>
      <c r="C316" s="5" t="str">
        <f t="array" ref="C316">IF(W316=1,INDEX('Database Mitra'!$E$2:$E905,MATCH(A316,'Database Mitra'!AK$2:AK905,0)),"")</f>
        <v/>
      </c>
      <c r="D316" s="23"/>
      <c r="E316" s="5" t="str">
        <f t="array" ref="E316">IF(W316=1,INDEX('Input Kegiatan'!B$2:B905,MATCH($D316,'Input Kegiatan'!$A$2:$A905,0)),"")</f>
        <v/>
      </c>
      <c r="F316" s="5" t="str">
        <f t="array" ref="F316">IF(W316=1,INDEX('Input Kegiatan'!D$2:D905,MATCH($D316,'Input Kegiatan'!$A$2:$A905,0)),"")</f>
        <v/>
      </c>
      <c r="G316" s="5" t="str">
        <f t="array" ref="G316">IF(W316=1,INDEX('Input Kegiatan'!E$2:E905,MATCH($D316,'Input Kegiatan'!$A$2:$A905,0)),"")</f>
        <v/>
      </c>
      <c r="H316" s="5" t="str">
        <f t="array" ref="H316">IF(W316=1,INDEX(Honor!$H$2:$H905,MATCH($D316&amp;"-"&amp;R316,Honor!$K$2:$K905,0)),"")</f>
        <v/>
      </c>
      <c r="I316" s="8" t="str">
        <f>IF(W316=1,SUMIFS(Honor!$I$2:$I905,Honor!$K$2:$K905,$D316&amp;"-"&amp;R316),"")</f>
        <v/>
      </c>
      <c r="J316" s="9" t="str">
        <f t="shared" si="6"/>
        <v/>
      </c>
      <c r="K316" s="10" t="str">
        <f t="shared" si="0"/>
        <v/>
      </c>
      <c r="L316" s="10" t="str">
        <f t="shared" si="1"/>
        <v/>
      </c>
      <c r="M316" s="10" t="str">
        <f>IF(W316=1,IF(AND(U316&lt;2,INT(V316)&lt;='Batasan Honor'!$B$2),1,0),"")</f>
        <v/>
      </c>
      <c r="O316" s="10" t="str">
        <f t="shared" si="2"/>
        <v/>
      </c>
      <c r="P316" s="10" t="str">
        <f t="shared" si="3"/>
        <v/>
      </c>
      <c r="R316" s="23"/>
      <c r="S316" s="10" t="str">
        <f t="shared" si="4"/>
        <v/>
      </c>
      <c r="U316" s="10" t="str">
        <f ca="1">IFERROR(__xludf.DUMMYFUNCTION("if(W316=1,COUNTIFS(FILTER($H$2:$H905,$H$2:$H905=""OB"",$S$2:$S905=S316),""OB""),"""")"),"")</f>
        <v/>
      </c>
      <c r="V316" s="10" t="str">
        <f ca="1">IFERROR(__xludf.DUMMYFUNCTION("IF(OR(ISNA(SUM(FILTER($K$2:$K905,$A$2:$A905=A316,$S$2:$S905=S316,$H$2:$H905&lt;&gt;""OB""))),W316&lt;&gt;1),"""",SUM(FILTER($K$2:$K905,$A$2:$A905=A316,$S$2:$S905=S316,$H$2:$H905&lt;&gt;""OB"")))"),"")</f>
        <v/>
      </c>
      <c r="W316" s="10" t="str">
        <f t="shared" si="5"/>
        <v/>
      </c>
    </row>
    <row r="317" spans="1:23" ht="12.5">
      <c r="A317" s="23"/>
      <c r="B317" s="5" t="str">
        <f t="array" ref="B317">IF(W317=1,INDEX('Database Mitra'!$H$2:$H905,MATCH(A317,'Database Mitra'!AK$2:AK905,0)),"")</f>
        <v/>
      </c>
      <c r="C317" s="5" t="str">
        <f t="array" ref="C317">IF(W317=1,INDEX('Database Mitra'!$E$2:$E905,MATCH(A317,'Database Mitra'!AK$2:AK905,0)),"")</f>
        <v/>
      </c>
      <c r="D317" s="23"/>
      <c r="E317" s="5" t="str">
        <f t="array" ref="E317">IF(W317=1,INDEX('Input Kegiatan'!B$2:B905,MATCH($D317,'Input Kegiatan'!$A$2:$A905,0)),"")</f>
        <v/>
      </c>
      <c r="F317" s="5" t="str">
        <f t="array" ref="F317">IF(W317=1,INDEX('Input Kegiatan'!D$2:D905,MATCH($D317,'Input Kegiatan'!$A$2:$A905,0)),"")</f>
        <v/>
      </c>
      <c r="G317" s="5" t="str">
        <f t="array" ref="G317">IF(W317=1,INDEX('Input Kegiatan'!E$2:E905,MATCH($D317,'Input Kegiatan'!$A$2:$A905,0)),"")</f>
        <v/>
      </c>
      <c r="H317" s="5" t="str">
        <f t="array" ref="H317">IF(W317=1,INDEX(Honor!$H$2:$H905,MATCH($D317&amp;"-"&amp;R317,Honor!$K$2:$K905,0)),"")</f>
        <v/>
      </c>
      <c r="I317" s="8" t="str">
        <f>IF(W317=1,SUMIFS(Honor!$I$2:$I905,Honor!$K$2:$K905,$D317&amp;"-"&amp;R317),"")</f>
        <v/>
      </c>
      <c r="J317" s="9" t="str">
        <f t="shared" si="6"/>
        <v/>
      </c>
      <c r="K317" s="10" t="str">
        <f t="shared" si="0"/>
        <v/>
      </c>
      <c r="L317" s="10" t="str">
        <f t="shared" si="1"/>
        <v/>
      </c>
      <c r="M317" s="10" t="str">
        <f>IF(W317=1,IF(AND(U317&lt;2,INT(V317)&lt;='Batasan Honor'!$B$2),1,0),"")</f>
        <v/>
      </c>
      <c r="O317" s="10" t="str">
        <f t="shared" si="2"/>
        <v/>
      </c>
      <c r="P317" s="10" t="str">
        <f t="shared" si="3"/>
        <v/>
      </c>
      <c r="R317" s="23"/>
      <c r="S317" s="10" t="str">
        <f t="shared" si="4"/>
        <v/>
      </c>
      <c r="U317" s="10" t="str">
        <f ca="1">IFERROR(__xludf.DUMMYFUNCTION("if(W317=1,COUNTIFS(FILTER($H$2:$H905,$H$2:$H905=""OB"",$S$2:$S905=S317),""OB""),"""")"),"")</f>
        <v/>
      </c>
      <c r="V317" s="10" t="str">
        <f ca="1">IFERROR(__xludf.DUMMYFUNCTION("IF(OR(ISNA(SUM(FILTER($K$2:$K905,$A$2:$A905=A317,$S$2:$S905=S317,$H$2:$H905&lt;&gt;""OB""))),W317&lt;&gt;1),"""",SUM(FILTER($K$2:$K905,$A$2:$A905=A317,$S$2:$S905=S317,$H$2:$H905&lt;&gt;""OB"")))"),"")</f>
        <v/>
      </c>
      <c r="W317" s="10" t="str">
        <f t="shared" si="5"/>
        <v/>
      </c>
    </row>
    <row r="318" spans="1:23" ht="12.5">
      <c r="A318" s="23"/>
      <c r="B318" s="5" t="str">
        <f t="array" ref="B318">IF(W318=1,INDEX('Database Mitra'!$H$2:$H905,MATCH(A318,'Database Mitra'!AK$2:AK905,0)),"")</f>
        <v/>
      </c>
      <c r="C318" s="5" t="str">
        <f t="array" ref="C318">IF(W318=1,INDEX('Database Mitra'!$E$2:$E905,MATCH(A318,'Database Mitra'!AK$2:AK905,0)),"")</f>
        <v/>
      </c>
      <c r="D318" s="23"/>
      <c r="E318" s="5" t="str">
        <f t="array" ref="E318">IF(W318=1,INDEX('Input Kegiatan'!B$2:B905,MATCH($D318,'Input Kegiatan'!$A$2:$A905,0)),"")</f>
        <v/>
      </c>
      <c r="F318" s="5" t="str">
        <f t="array" ref="F318">IF(W318=1,INDEX('Input Kegiatan'!D$2:D905,MATCH($D318,'Input Kegiatan'!$A$2:$A905,0)),"")</f>
        <v/>
      </c>
      <c r="G318" s="5" t="str">
        <f t="array" ref="G318">IF(W318=1,INDEX('Input Kegiatan'!E$2:E905,MATCH($D318,'Input Kegiatan'!$A$2:$A905,0)),"")</f>
        <v/>
      </c>
      <c r="H318" s="5" t="str">
        <f t="array" ref="H318">IF(W318=1,INDEX(Honor!$H$2:$H905,MATCH($D318&amp;"-"&amp;R318,Honor!$K$2:$K905,0)),"")</f>
        <v/>
      </c>
      <c r="I318" s="8" t="str">
        <f>IF(W318=1,SUMIFS(Honor!$I$2:$I905,Honor!$K$2:$K905,$D318&amp;"-"&amp;R318),"")</f>
        <v/>
      </c>
      <c r="J318" s="9" t="str">
        <f t="shared" si="6"/>
        <v/>
      </c>
      <c r="K318" s="10" t="str">
        <f t="shared" si="0"/>
        <v/>
      </c>
      <c r="L318" s="10" t="str">
        <f t="shared" si="1"/>
        <v/>
      </c>
      <c r="M318" s="10" t="str">
        <f>IF(W318=1,IF(AND(U318&lt;2,INT(V318)&lt;='Batasan Honor'!$B$2),1,0),"")</f>
        <v/>
      </c>
      <c r="O318" s="10" t="str">
        <f t="shared" si="2"/>
        <v/>
      </c>
      <c r="P318" s="10" t="str">
        <f t="shared" si="3"/>
        <v/>
      </c>
      <c r="R318" s="23"/>
      <c r="S318" s="10" t="str">
        <f t="shared" si="4"/>
        <v/>
      </c>
      <c r="U318" s="10" t="str">
        <f ca="1">IFERROR(__xludf.DUMMYFUNCTION("if(W318=1,COUNTIFS(FILTER($H$2:$H905,$H$2:$H905=""OB"",$S$2:$S905=S318),""OB""),"""")"),"")</f>
        <v/>
      </c>
      <c r="V318" s="10" t="str">
        <f ca="1">IFERROR(__xludf.DUMMYFUNCTION("IF(OR(ISNA(SUM(FILTER($K$2:$K905,$A$2:$A905=A318,$S$2:$S905=S318,$H$2:$H905&lt;&gt;""OB""))),W318&lt;&gt;1),"""",SUM(FILTER($K$2:$K905,$A$2:$A905=A318,$S$2:$S905=S318,$H$2:$H905&lt;&gt;""OB"")))"),"")</f>
        <v/>
      </c>
      <c r="W318" s="10" t="str">
        <f t="shared" si="5"/>
        <v/>
      </c>
    </row>
    <row r="319" spans="1:23" ht="12.5">
      <c r="A319" s="23"/>
      <c r="B319" s="5" t="str">
        <f t="array" ref="B319">IF(W319=1,INDEX('Database Mitra'!$H$2:$H905,MATCH(A319,'Database Mitra'!AK$2:AK905,0)),"")</f>
        <v/>
      </c>
      <c r="C319" s="5" t="str">
        <f t="array" ref="C319">IF(W319=1,INDEX('Database Mitra'!$E$2:$E905,MATCH(A319,'Database Mitra'!AK$2:AK905,0)),"")</f>
        <v/>
      </c>
      <c r="D319" s="23"/>
      <c r="E319" s="5" t="str">
        <f t="array" ref="E319">IF(W319=1,INDEX('Input Kegiatan'!B$2:B905,MATCH($D319,'Input Kegiatan'!$A$2:$A905,0)),"")</f>
        <v/>
      </c>
      <c r="F319" s="5" t="str">
        <f t="array" ref="F319">IF(W319=1,INDEX('Input Kegiatan'!D$2:D905,MATCH($D319,'Input Kegiatan'!$A$2:$A905,0)),"")</f>
        <v/>
      </c>
      <c r="G319" s="5" t="str">
        <f t="array" ref="G319">IF(W319=1,INDEX('Input Kegiatan'!E$2:E905,MATCH($D319,'Input Kegiatan'!$A$2:$A905,0)),"")</f>
        <v/>
      </c>
      <c r="H319" s="5" t="str">
        <f t="array" ref="H319">IF(W319=1,INDEX(Honor!$H$2:$H905,MATCH($D319&amp;"-"&amp;R319,Honor!$K$2:$K905,0)),"")</f>
        <v/>
      </c>
      <c r="I319" s="8" t="str">
        <f>IF(W319=1,SUMIFS(Honor!$I$2:$I905,Honor!$K$2:$K905,$D319&amp;"-"&amp;R319),"")</f>
        <v/>
      </c>
      <c r="J319" s="9" t="str">
        <f t="shared" si="6"/>
        <v/>
      </c>
      <c r="K319" s="10" t="str">
        <f t="shared" si="0"/>
        <v/>
      </c>
      <c r="L319" s="10" t="str">
        <f t="shared" si="1"/>
        <v/>
      </c>
      <c r="M319" s="10" t="str">
        <f>IF(W319=1,IF(AND(U319&lt;2,INT(V319)&lt;='Batasan Honor'!$B$2),1,0),"")</f>
        <v/>
      </c>
      <c r="O319" s="10" t="str">
        <f t="shared" si="2"/>
        <v/>
      </c>
      <c r="P319" s="10" t="str">
        <f t="shared" si="3"/>
        <v/>
      </c>
      <c r="R319" s="23"/>
      <c r="S319" s="10" t="str">
        <f t="shared" si="4"/>
        <v/>
      </c>
      <c r="U319" s="10" t="str">
        <f ca="1">IFERROR(__xludf.DUMMYFUNCTION("if(W319=1,COUNTIFS(FILTER($H$2:$H905,$H$2:$H905=""OB"",$S$2:$S905=S319),""OB""),"""")"),"")</f>
        <v/>
      </c>
      <c r="V319" s="10" t="str">
        <f ca="1">IFERROR(__xludf.DUMMYFUNCTION("IF(OR(ISNA(SUM(FILTER($K$2:$K905,$A$2:$A905=A319,$S$2:$S905=S319,$H$2:$H905&lt;&gt;""OB""))),W319&lt;&gt;1),"""",SUM(FILTER($K$2:$K905,$A$2:$A905=A319,$S$2:$S905=S319,$H$2:$H905&lt;&gt;""OB"")))"),"")</f>
        <v/>
      </c>
      <c r="W319" s="10" t="str">
        <f t="shared" si="5"/>
        <v/>
      </c>
    </row>
    <row r="320" spans="1:23" ht="12.5">
      <c r="A320" s="23"/>
      <c r="B320" s="5" t="str">
        <f t="array" ref="B320">IF(W320=1,INDEX('Database Mitra'!$H$2:$H905,MATCH(A320,'Database Mitra'!AK$2:AK905,0)),"")</f>
        <v/>
      </c>
      <c r="C320" s="5" t="str">
        <f t="array" ref="C320">IF(W320=1,INDEX('Database Mitra'!$E$2:$E905,MATCH(A320,'Database Mitra'!AK$2:AK905,0)),"")</f>
        <v/>
      </c>
      <c r="D320" s="23"/>
      <c r="E320" s="5" t="str">
        <f t="array" ref="E320">IF(W320=1,INDEX('Input Kegiatan'!B$2:B905,MATCH($D320,'Input Kegiatan'!$A$2:$A905,0)),"")</f>
        <v/>
      </c>
      <c r="F320" s="5" t="str">
        <f t="array" ref="F320">IF(W320=1,INDEX('Input Kegiatan'!D$2:D905,MATCH($D320,'Input Kegiatan'!$A$2:$A905,0)),"")</f>
        <v/>
      </c>
      <c r="G320" s="5" t="str">
        <f t="array" ref="G320">IF(W320=1,INDEX('Input Kegiatan'!E$2:E905,MATCH($D320,'Input Kegiatan'!$A$2:$A905,0)),"")</f>
        <v/>
      </c>
      <c r="H320" s="5" t="str">
        <f t="array" ref="H320">IF(W320=1,INDEX(Honor!$H$2:$H905,MATCH($D320&amp;"-"&amp;R320,Honor!$K$2:$K905,0)),"")</f>
        <v/>
      </c>
      <c r="I320" s="8" t="str">
        <f>IF(W320=1,SUMIFS(Honor!$I$2:$I905,Honor!$K$2:$K905,$D320&amp;"-"&amp;R320),"")</f>
        <v/>
      </c>
      <c r="J320" s="9" t="str">
        <f t="shared" si="6"/>
        <v/>
      </c>
      <c r="K320" s="10" t="str">
        <f t="shared" si="0"/>
        <v/>
      </c>
      <c r="L320" s="10" t="str">
        <f t="shared" si="1"/>
        <v/>
      </c>
      <c r="M320" s="10" t="str">
        <f>IF(W320=1,IF(AND(U320&lt;2,INT(V320)&lt;='Batasan Honor'!$B$2),1,0),"")</f>
        <v/>
      </c>
      <c r="O320" s="10" t="str">
        <f t="shared" si="2"/>
        <v/>
      </c>
      <c r="P320" s="10" t="str">
        <f t="shared" si="3"/>
        <v/>
      </c>
      <c r="R320" s="23"/>
      <c r="S320" s="10" t="str">
        <f t="shared" si="4"/>
        <v/>
      </c>
      <c r="U320" s="10" t="str">
        <f ca="1">IFERROR(__xludf.DUMMYFUNCTION("if(W320=1,COUNTIFS(FILTER($H$2:$H905,$H$2:$H905=""OB"",$S$2:$S905=S320),""OB""),"""")"),"")</f>
        <v/>
      </c>
      <c r="V320" s="10" t="str">
        <f ca="1">IFERROR(__xludf.DUMMYFUNCTION("IF(OR(ISNA(SUM(FILTER($K$2:$K905,$A$2:$A905=A320,$S$2:$S905=S320,$H$2:$H905&lt;&gt;""OB""))),W320&lt;&gt;1),"""",SUM(FILTER($K$2:$K905,$A$2:$A905=A320,$S$2:$S905=S320,$H$2:$H905&lt;&gt;""OB"")))"),"")</f>
        <v/>
      </c>
      <c r="W320" s="10" t="str">
        <f t="shared" si="5"/>
        <v/>
      </c>
    </row>
    <row r="321" spans="1:23" ht="12.5">
      <c r="A321" s="23"/>
      <c r="B321" s="5" t="str">
        <f t="array" ref="B321">IF(W321=1,INDEX('Database Mitra'!$H$2:$H905,MATCH(A321,'Database Mitra'!AK$2:AK905,0)),"")</f>
        <v/>
      </c>
      <c r="C321" s="5" t="str">
        <f t="array" ref="C321">IF(W321=1,INDEX('Database Mitra'!$E$2:$E905,MATCH(A321,'Database Mitra'!AK$2:AK905,0)),"")</f>
        <v/>
      </c>
      <c r="D321" s="23"/>
      <c r="E321" s="5" t="str">
        <f t="array" ref="E321">IF(W321=1,INDEX('Input Kegiatan'!B$2:B905,MATCH($D321,'Input Kegiatan'!$A$2:$A905,0)),"")</f>
        <v/>
      </c>
      <c r="F321" s="5" t="str">
        <f t="array" ref="F321">IF(W321=1,INDEX('Input Kegiatan'!D$2:D905,MATCH($D321,'Input Kegiatan'!$A$2:$A905,0)),"")</f>
        <v/>
      </c>
      <c r="G321" s="5" t="str">
        <f t="array" ref="G321">IF(W321=1,INDEX('Input Kegiatan'!E$2:E905,MATCH($D321,'Input Kegiatan'!$A$2:$A905,0)),"")</f>
        <v/>
      </c>
      <c r="H321" s="5" t="str">
        <f t="array" ref="H321">IF(W321=1,INDEX(Honor!$H$2:$H905,MATCH($D321&amp;"-"&amp;R321,Honor!$K$2:$K905,0)),"")</f>
        <v/>
      </c>
      <c r="I321" s="8" t="str">
        <f>IF(W321=1,SUMIFS(Honor!$I$2:$I905,Honor!$K$2:$K905,$D321&amp;"-"&amp;R321),"")</f>
        <v/>
      </c>
      <c r="J321" s="9" t="str">
        <f t="shared" si="6"/>
        <v/>
      </c>
      <c r="K321" s="10" t="str">
        <f t="shared" si="0"/>
        <v/>
      </c>
      <c r="L321" s="10" t="str">
        <f t="shared" si="1"/>
        <v/>
      </c>
      <c r="M321" s="10" t="str">
        <f>IF(W321=1,IF(AND(U321&lt;2,INT(V321)&lt;='Batasan Honor'!$B$2),1,0),"")</f>
        <v/>
      </c>
      <c r="O321" s="10" t="str">
        <f t="shared" si="2"/>
        <v/>
      </c>
      <c r="P321" s="10" t="str">
        <f t="shared" si="3"/>
        <v/>
      </c>
      <c r="R321" s="23"/>
      <c r="S321" s="10" t="str">
        <f t="shared" si="4"/>
        <v/>
      </c>
      <c r="U321" s="10" t="str">
        <f ca="1">IFERROR(__xludf.DUMMYFUNCTION("if(W321=1,COUNTIFS(FILTER($H$2:$H905,$H$2:$H905=""OB"",$S$2:$S905=S321),""OB""),"""")"),"")</f>
        <v/>
      </c>
      <c r="V321" s="10" t="str">
        <f ca="1">IFERROR(__xludf.DUMMYFUNCTION("IF(OR(ISNA(SUM(FILTER($K$2:$K905,$A$2:$A905=A321,$S$2:$S905=S321,$H$2:$H905&lt;&gt;""OB""))),W321&lt;&gt;1),"""",SUM(FILTER($K$2:$K905,$A$2:$A905=A321,$S$2:$S905=S321,$H$2:$H905&lt;&gt;""OB"")))"),"")</f>
        <v/>
      </c>
      <c r="W321" s="10" t="str">
        <f t="shared" si="5"/>
        <v/>
      </c>
    </row>
    <row r="322" spans="1:23" ht="12.5">
      <c r="A322" s="23"/>
      <c r="B322" s="5" t="str">
        <f t="array" ref="B322">IF(W322=1,INDEX('Database Mitra'!$H$2:$H905,MATCH(A322,'Database Mitra'!AK$2:AK905,0)),"")</f>
        <v/>
      </c>
      <c r="C322" s="5" t="str">
        <f t="array" ref="C322">IF(W322=1,INDEX('Database Mitra'!$E$2:$E905,MATCH(A322,'Database Mitra'!AK$2:AK905,0)),"")</f>
        <v/>
      </c>
      <c r="D322" s="23"/>
      <c r="E322" s="5" t="str">
        <f t="array" ref="E322">IF(W322=1,INDEX('Input Kegiatan'!B$2:B905,MATCH($D322,'Input Kegiatan'!$A$2:$A905,0)),"")</f>
        <v/>
      </c>
      <c r="F322" s="5" t="str">
        <f t="array" ref="F322">IF(W322=1,INDEX('Input Kegiatan'!D$2:D905,MATCH($D322,'Input Kegiatan'!$A$2:$A905,0)),"")</f>
        <v/>
      </c>
      <c r="G322" s="5" t="str">
        <f t="array" ref="G322">IF(W322=1,INDEX('Input Kegiatan'!E$2:E905,MATCH($D322,'Input Kegiatan'!$A$2:$A905,0)),"")</f>
        <v/>
      </c>
      <c r="H322" s="5" t="str">
        <f t="array" ref="H322">IF(W322=1,INDEX(Honor!$H$2:$H905,MATCH($D322&amp;"-"&amp;R322,Honor!$K$2:$K905,0)),"")</f>
        <v/>
      </c>
      <c r="I322" s="8" t="str">
        <f>IF(W322=1,SUMIFS(Honor!$I$2:$I905,Honor!$K$2:$K905,$D322&amp;"-"&amp;R322),"")</f>
        <v/>
      </c>
      <c r="J322" s="9" t="str">
        <f t="shared" si="6"/>
        <v/>
      </c>
      <c r="K322" s="10" t="str">
        <f t="shared" si="0"/>
        <v/>
      </c>
      <c r="L322" s="10" t="str">
        <f t="shared" si="1"/>
        <v/>
      </c>
      <c r="M322" s="10" t="str">
        <f>IF(W322=1,IF(AND(U322&lt;2,INT(V322)&lt;='Batasan Honor'!$B$2),1,0),"")</f>
        <v/>
      </c>
      <c r="O322" s="10" t="str">
        <f t="shared" si="2"/>
        <v/>
      </c>
      <c r="P322" s="10" t="str">
        <f t="shared" si="3"/>
        <v/>
      </c>
      <c r="R322" s="23"/>
      <c r="S322" s="10" t="str">
        <f t="shared" si="4"/>
        <v/>
      </c>
      <c r="U322" s="10" t="str">
        <f ca="1">IFERROR(__xludf.DUMMYFUNCTION("if(W322=1,COUNTIFS(FILTER($H$2:$H905,$H$2:$H905=""OB"",$S$2:$S905=S322),""OB""),"""")"),"")</f>
        <v/>
      </c>
      <c r="V322" s="10" t="str">
        <f ca="1">IFERROR(__xludf.DUMMYFUNCTION("IF(OR(ISNA(SUM(FILTER($K$2:$K905,$A$2:$A905=A322,$S$2:$S905=S322,$H$2:$H905&lt;&gt;""OB""))),W322&lt;&gt;1),"""",SUM(FILTER($K$2:$K905,$A$2:$A905=A322,$S$2:$S905=S322,$H$2:$H905&lt;&gt;""OB"")))"),"")</f>
        <v/>
      </c>
      <c r="W322" s="10" t="str">
        <f t="shared" si="5"/>
        <v/>
      </c>
    </row>
    <row r="323" spans="1:23" ht="12.5">
      <c r="A323" s="23"/>
      <c r="B323" s="5" t="str">
        <f t="array" ref="B323">IF(W323=1,INDEX('Database Mitra'!$H$2:$H905,MATCH(A323,'Database Mitra'!AK$2:AK905,0)),"")</f>
        <v/>
      </c>
      <c r="C323" s="5" t="str">
        <f t="array" ref="C323">IF(W323=1,INDEX('Database Mitra'!$E$2:$E905,MATCH(A323,'Database Mitra'!AK$2:AK905,0)),"")</f>
        <v/>
      </c>
      <c r="D323" s="23"/>
      <c r="E323" s="5" t="str">
        <f t="array" ref="E323">IF(W323=1,INDEX('Input Kegiatan'!B$2:B905,MATCH($D323,'Input Kegiatan'!$A$2:$A905,0)),"")</f>
        <v/>
      </c>
      <c r="F323" s="5" t="str">
        <f t="array" ref="F323">IF(W323=1,INDEX('Input Kegiatan'!D$2:D905,MATCH($D323,'Input Kegiatan'!$A$2:$A905,0)),"")</f>
        <v/>
      </c>
      <c r="G323" s="5" t="str">
        <f t="array" ref="G323">IF(W323=1,INDEX('Input Kegiatan'!E$2:E905,MATCH($D323,'Input Kegiatan'!$A$2:$A905,0)),"")</f>
        <v/>
      </c>
      <c r="H323" s="5" t="str">
        <f t="array" ref="H323">IF(W323=1,INDEX(Honor!$H$2:$H905,MATCH($D323&amp;"-"&amp;R323,Honor!$K$2:$K905,0)),"")</f>
        <v/>
      </c>
      <c r="I323" s="8" t="str">
        <f>IF(W323=1,SUMIFS(Honor!$I$2:$I905,Honor!$K$2:$K905,$D323&amp;"-"&amp;R323),"")</f>
        <v/>
      </c>
      <c r="J323" s="9" t="str">
        <f t="shared" si="6"/>
        <v/>
      </c>
      <c r="K323" s="10" t="str">
        <f t="shared" si="0"/>
        <v/>
      </c>
      <c r="L323" s="10" t="str">
        <f t="shared" si="1"/>
        <v/>
      </c>
      <c r="M323" s="10" t="str">
        <f>IF(W323=1,IF(AND(U323&lt;2,INT(V323)&lt;='Batasan Honor'!$B$2),1,0),"")</f>
        <v/>
      </c>
      <c r="O323" s="10" t="str">
        <f t="shared" si="2"/>
        <v/>
      </c>
      <c r="P323" s="10" t="str">
        <f t="shared" si="3"/>
        <v/>
      </c>
      <c r="R323" s="23"/>
      <c r="S323" s="10" t="str">
        <f t="shared" si="4"/>
        <v/>
      </c>
      <c r="U323" s="10" t="str">
        <f ca="1">IFERROR(__xludf.DUMMYFUNCTION("if(W323=1,COUNTIFS(FILTER($H$2:$H905,$H$2:$H905=""OB"",$S$2:$S905=S323),""OB""),"""")"),"")</f>
        <v/>
      </c>
      <c r="V323" s="10" t="str">
        <f ca="1">IFERROR(__xludf.DUMMYFUNCTION("IF(OR(ISNA(SUM(FILTER($K$2:$K905,$A$2:$A905=A323,$S$2:$S905=S323,$H$2:$H905&lt;&gt;""OB""))),W323&lt;&gt;1),"""",SUM(FILTER($K$2:$K905,$A$2:$A905=A323,$S$2:$S905=S323,$H$2:$H905&lt;&gt;""OB"")))"),"")</f>
        <v/>
      </c>
      <c r="W323" s="10" t="str">
        <f t="shared" si="5"/>
        <v/>
      </c>
    </row>
    <row r="324" spans="1:23" ht="12.5">
      <c r="A324" s="23"/>
      <c r="B324" s="5" t="str">
        <f t="array" ref="B324">IF(W324=1,INDEX('Database Mitra'!$H$2:$H905,MATCH(A324,'Database Mitra'!AK$2:AK905,0)),"")</f>
        <v/>
      </c>
      <c r="C324" s="5" t="str">
        <f t="array" ref="C324">IF(W324=1,INDEX('Database Mitra'!$E$2:$E905,MATCH(A324,'Database Mitra'!AK$2:AK905,0)),"")</f>
        <v/>
      </c>
      <c r="D324" s="23"/>
      <c r="E324" s="5" t="str">
        <f t="array" ref="E324">IF(W324=1,INDEX('Input Kegiatan'!B$2:B905,MATCH($D324,'Input Kegiatan'!$A$2:$A905,0)),"")</f>
        <v/>
      </c>
      <c r="F324" s="5" t="str">
        <f t="array" ref="F324">IF(W324=1,INDEX('Input Kegiatan'!D$2:D905,MATCH($D324,'Input Kegiatan'!$A$2:$A905,0)),"")</f>
        <v/>
      </c>
      <c r="G324" s="5" t="str">
        <f t="array" ref="G324">IF(W324=1,INDEX('Input Kegiatan'!E$2:E905,MATCH($D324,'Input Kegiatan'!$A$2:$A905,0)),"")</f>
        <v/>
      </c>
      <c r="H324" s="5" t="str">
        <f t="array" ref="H324">IF(W324=1,INDEX(Honor!$H$2:$H905,MATCH($D324&amp;"-"&amp;R324,Honor!$K$2:$K905,0)),"")</f>
        <v/>
      </c>
      <c r="I324" s="8" t="str">
        <f>IF(W324=1,SUMIFS(Honor!$I$2:$I905,Honor!$K$2:$K905,$D324&amp;"-"&amp;R324),"")</f>
        <v/>
      </c>
      <c r="J324" s="9" t="str">
        <f t="shared" si="6"/>
        <v/>
      </c>
      <c r="K324" s="10" t="str">
        <f t="shared" si="0"/>
        <v/>
      </c>
      <c r="L324" s="10" t="str">
        <f t="shared" si="1"/>
        <v/>
      </c>
      <c r="M324" s="10" t="str">
        <f>IF(W324=1,IF(AND(U324&lt;2,INT(V324)&lt;='Batasan Honor'!$B$2),1,0),"")</f>
        <v/>
      </c>
      <c r="O324" s="10" t="str">
        <f t="shared" si="2"/>
        <v/>
      </c>
      <c r="P324" s="10" t="str">
        <f t="shared" si="3"/>
        <v/>
      </c>
      <c r="R324" s="23"/>
      <c r="S324" s="10" t="str">
        <f t="shared" si="4"/>
        <v/>
      </c>
      <c r="U324" s="10" t="str">
        <f ca="1">IFERROR(__xludf.DUMMYFUNCTION("if(W324=1,COUNTIFS(FILTER($H$2:$H905,$H$2:$H905=""OB"",$S$2:$S905=S324),""OB""),"""")"),"")</f>
        <v/>
      </c>
      <c r="V324" s="10" t="str">
        <f ca="1">IFERROR(__xludf.DUMMYFUNCTION("IF(OR(ISNA(SUM(FILTER($K$2:$K905,$A$2:$A905=A324,$S$2:$S905=S324,$H$2:$H905&lt;&gt;""OB""))),W324&lt;&gt;1),"""",SUM(FILTER($K$2:$K905,$A$2:$A905=A324,$S$2:$S905=S324,$H$2:$H905&lt;&gt;""OB"")))"),"")</f>
        <v/>
      </c>
      <c r="W324" s="10" t="str">
        <f t="shared" si="5"/>
        <v/>
      </c>
    </row>
    <row r="325" spans="1:23" ht="12.5">
      <c r="A325" s="23"/>
      <c r="B325" s="5" t="str">
        <f t="array" ref="B325">IF(W325=1,INDEX('Database Mitra'!$H$2:$H905,MATCH(A325,'Database Mitra'!AK$2:AK905,0)),"")</f>
        <v/>
      </c>
      <c r="C325" s="5" t="str">
        <f t="array" ref="C325">IF(W325=1,INDEX('Database Mitra'!$E$2:$E905,MATCH(A325,'Database Mitra'!AK$2:AK905,0)),"")</f>
        <v/>
      </c>
      <c r="D325" s="23"/>
      <c r="E325" s="5" t="str">
        <f t="array" ref="E325">IF(W325=1,INDEX('Input Kegiatan'!B$2:B905,MATCH($D325,'Input Kegiatan'!$A$2:$A905,0)),"")</f>
        <v/>
      </c>
      <c r="F325" s="5" t="str">
        <f t="array" ref="F325">IF(W325=1,INDEX('Input Kegiatan'!D$2:D905,MATCH($D325,'Input Kegiatan'!$A$2:$A905,0)),"")</f>
        <v/>
      </c>
      <c r="G325" s="5" t="str">
        <f t="array" ref="G325">IF(W325=1,INDEX('Input Kegiatan'!E$2:E905,MATCH($D325,'Input Kegiatan'!$A$2:$A905,0)),"")</f>
        <v/>
      </c>
      <c r="H325" s="5" t="str">
        <f t="array" ref="H325">IF(W325=1,INDEX(Honor!$H$2:$H905,MATCH($D325&amp;"-"&amp;R325,Honor!$K$2:$K905,0)),"")</f>
        <v/>
      </c>
      <c r="I325" s="8" t="str">
        <f>IF(W325=1,SUMIFS(Honor!$I$2:$I905,Honor!$K$2:$K905,$D325&amp;"-"&amp;R325),"")</f>
        <v/>
      </c>
      <c r="J325" s="9" t="str">
        <f t="shared" si="6"/>
        <v/>
      </c>
      <c r="K325" s="10" t="str">
        <f t="shared" si="0"/>
        <v/>
      </c>
      <c r="L325" s="10" t="str">
        <f t="shared" si="1"/>
        <v/>
      </c>
      <c r="M325" s="10" t="str">
        <f>IF(W325=1,IF(AND(U325&lt;2,INT(V325)&lt;='Batasan Honor'!$B$2),1,0),"")</f>
        <v/>
      </c>
      <c r="O325" s="10" t="str">
        <f t="shared" si="2"/>
        <v/>
      </c>
      <c r="P325" s="10" t="str">
        <f t="shared" si="3"/>
        <v/>
      </c>
      <c r="R325" s="23"/>
      <c r="S325" s="10" t="str">
        <f t="shared" si="4"/>
        <v/>
      </c>
      <c r="U325" s="10" t="str">
        <f ca="1">IFERROR(__xludf.DUMMYFUNCTION("if(W325=1,COUNTIFS(FILTER($H$2:$H905,$H$2:$H905=""OB"",$S$2:$S905=S325),""OB""),"""")"),"")</f>
        <v/>
      </c>
      <c r="V325" s="10" t="str">
        <f ca="1">IFERROR(__xludf.DUMMYFUNCTION("IF(OR(ISNA(SUM(FILTER($K$2:$K905,$A$2:$A905=A325,$S$2:$S905=S325,$H$2:$H905&lt;&gt;""OB""))),W325&lt;&gt;1),"""",SUM(FILTER($K$2:$K905,$A$2:$A905=A325,$S$2:$S905=S325,$H$2:$H905&lt;&gt;""OB"")))"),"")</f>
        <v/>
      </c>
      <c r="W325" s="10" t="str">
        <f t="shared" si="5"/>
        <v/>
      </c>
    </row>
    <row r="326" spans="1:23" ht="12.5">
      <c r="A326" s="23"/>
      <c r="B326" s="5" t="str">
        <f t="array" ref="B326">IF(W326=1,INDEX('Database Mitra'!$H$2:$H905,MATCH(A326,'Database Mitra'!AK$2:AK905,0)),"")</f>
        <v/>
      </c>
      <c r="C326" s="5" t="str">
        <f t="array" ref="C326">IF(W326=1,INDEX('Database Mitra'!$E$2:$E905,MATCH(A326,'Database Mitra'!AK$2:AK905,0)),"")</f>
        <v/>
      </c>
      <c r="D326" s="23"/>
      <c r="E326" s="5" t="str">
        <f t="array" ref="E326">IF(W326=1,INDEX('Input Kegiatan'!B$2:B905,MATCH($D326,'Input Kegiatan'!$A$2:$A905,0)),"")</f>
        <v/>
      </c>
      <c r="F326" s="5" t="str">
        <f t="array" ref="F326">IF(W326=1,INDEX('Input Kegiatan'!D$2:D905,MATCH($D326,'Input Kegiatan'!$A$2:$A905,0)),"")</f>
        <v/>
      </c>
      <c r="G326" s="5" t="str">
        <f t="array" ref="G326">IF(W326=1,INDEX('Input Kegiatan'!E$2:E905,MATCH($D326,'Input Kegiatan'!$A$2:$A905,0)),"")</f>
        <v/>
      </c>
      <c r="H326" s="5" t="str">
        <f t="array" ref="H326">IF(W326=1,INDEX(Honor!$H$2:$H905,MATCH($D326&amp;"-"&amp;R326,Honor!$K$2:$K905,0)),"")</f>
        <v/>
      </c>
      <c r="I326" s="8" t="str">
        <f>IF(W326=1,SUMIFS(Honor!$I$2:$I905,Honor!$K$2:$K905,$D326&amp;"-"&amp;R326),"")</f>
        <v/>
      </c>
      <c r="J326" s="9" t="str">
        <f t="shared" si="6"/>
        <v/>
      </c>
      <c r="K326" s="10" t="str">
        <f t="shared" si="0"/>
        <v/>
      </c>
      <c r="L326" s="10" t="str">
        <f t="shared" si="1"/>
        <v/>
      </c>
      <c r="M326" s="10" t="str">
        <f>IF(W326=1,IF(AND(U326&lt;2,INT(V326)&lt;='Batasan Honor'!$B$2),1,0),"")</f>
        <v/>
      </c>
      <c r="O326" s="10" t="str">
        <f t="shared" si="2"/>
        <v/>
      </c>
      <c r="P326" s="10" t="str">
        <f t="shared" si="3"/>
        <v/>
      </c>
      <c r="R326" s="23"/>
      <c r="S326" s="10" t="str">
        <f t="shared" si="4"/>
        <v/>
      </c>
      <c r="U326" s="10" t="str">
        <f ca="1">IFERROR(__xludf.DUMMYFUNCTION("if(W326=1,COUNTIFS(FILTER($H$2:$H905,$H$2:$H905=""OB"",$S$2:$S905=S326),""OB""),"""")"),"")</f>
        <v/>
      </c>
      <c r="V326" s="10" t="str">
        <f ca="1">IFERROR(__xludf.DUMMYFUNCTION("IF(OR(ISNA(SUM(FILTER($K$2:$K905,$A$2:$A905=A326,$S$2:$S905=S326,$H$2:$H905&lt;&gt;""OB""))),W326&lt;&gt;1),"""",SUM(FILTER($K$2:$K905,$A$2:$A905=A326,$S$2:$S905=S326,$H$2:$H905&lt;&gt;""OB"")))"),"")</f>
        <v/>
      </c>
      <c r="W326" s="10" t="str">
        <f t="shared" si="5"/>
        <v/>
      </c>
    </row>
    <row r="327" spans="1:23" ht="12.5">
      <c r="A327" s="23"/>
      <c r="B327" s="5" t="str">
        <f t="array" ref="B327">IF(W327=1,INDEX('Database Mitra'!$H$2:$H905,MATCH(A327,'Database Mitra'!AK$2:AK905,0)),"")</f>
        <v/>
      </c>
      <c r="C327" s="5" t="str">
        <f t="array" ref="C327">IF(W327=1,INDEX('Database Mitra'!$E$2:$E905,MATCH(A327,'Database Mitra'!AK$2:AK905,0)),"")</f>
        <v/>
      </c>
      <c r="D327" s="23"/>
      <c r="E327" s="5" t="str">
        <f t="array" ref="E327">IF(W327=1,INDEX('Input Kegiatan'!B$2:B905,MATCH($D327,'Input Kegiatan'!$A$2:$A905,0)),"")</f>
        <v/>
      </c>
      <c r="F327" s="5" t="str">
        <f t="array" ref="F327">IF(W327=1,INDEX('Input Kegiatan'!D$2:D905,MATCH($D327,'Input Kegiatan'!$A$2:$A905,0)),"")</f>
        <v/>
      </c>
      <c r="G327" s="5" t="str">
        <f t="array" ref="G327">IF(W327=1,INDEX('Input Kegiatan'!E$2:E905,MATCH($D327,'Input Kegiatan'!$A$2:$A905,0)),"")</f>
        <v/>
      </c>
      <c r="H327" s="5" t="str">
        <f t="array" ref="H327">IF(W327=1,INDEX(Honor!$H$2:$H905,MATCH($D327&amp;"-"&amp;R327,Honor!$K$2:$K905,0)),"")</f>
        <v/>
      </c>
      <c r="I327" s="8" t="str">
        <f>IF(W327=1,SUMIFS(Honor!$I$2:$I905,Honor!$K$2:$K905,$D327&amp;"-"&amp;R327),"")</f>
        <v/>
      </c>
      <c r="J327" s="9" t="str">
        <f t="shared" si="6"/>
        <v/>
      </c>
      <c r="K327" s="10" t="str">
        <f t="shared" si="0"/>
        <v/>
      </c>
      <c r="L327" s="10" t="str">
        <f t="shared" si="1"/>
        <v/>
      </c>
      <c r="M327" s="10" t="str">
        <f>IF(W327=1,IF(AND(U327&lt;2,INT(V327)&lt;='Batasan Honor'!$B$2),1,0),"")</f>
        <v/>
      </c>
      <c r="O327" s="10" t="str">
        <f t="shared" si="2"/>
        <v/>
      </c>
      <c r="P327" s="10" t="str">
        <f t="shared" si="3"/>
        <v/>
      </c>
      <c r="R327" s="23"/>
      <c r="S327" s="10" t="str">
        <f t="shared" si="4"/>
        <v/>
      </c>
      <c r="U327" s="10" t="str">
        <f ca="1">IFERROR(__xludf.DUMMYFUNCTION("if(W327=1,COUNTIFS(FILTER($H$2:$H905,$H$2:$H905=""OB"",$S$2:$S905=S327),""OB""),"""")"),"")</f>
        <v/>
      </c>
      <c r="V327" s="10" t="str">
        <f ca="1">IFERROR(__xludf.DUMMYFUNCTION("IF(OR(ISNA(SUM(FILTER($K$2:$K905,$A$2:$A905=A327,$S$2:$S905=S327,$H$2:$H905&lt;&gt;""OB""))),W327&lt;&gt;1),"""",SUM(FILTER($K$2:$K905,$A$2:$A905=A327,$S$2:$S905=S327,$H$2:$H905&lt;&gt;""OB"")))"),"")</f>
        <v/>
      </c>
      <c r="W327" s="10" t="str">
        <f t="shared" si="5"/>
        <v/>
      </c>
    </row>
    <row r="328" spans="1:23" ht="12.5">
      <c r="A328" s="23"/>
      <c r="B328" s="5" t="str">
        <f t="array" ref="B328">IF(W328=1,INDEX('Database Mitra'!$H$2:$H905,MATCH(A328,'Database Mitra'!AK$2:AK905,0)),"")</f>
        <v/>
      </c>
      <c r="C328" s="5" t="str">
        <f t="array" ref="C328">IF(W328=1,INDEX('Database Mitra'!$E$2:$E905,MATCH(A328,'Database Mitra'!AK$2:AK905,0)),"")</f>
        <v/>
      </c>
      <c r="D328" s="23"/>
      <c r="E328" s="5" t="str">
        <f t="array" ref="E328">IF(W328=1,INDEX('Input Kegiatan'!B$2:B905,MATCH($D328,'Input Kegiatan'!$A$2:$A905,0)),"")</f>
        <v/>
      </c>
      <c r="F328" s="5" t="str">
        <f t="array" ref="F328">IF(W328=1,INDEX('Input Kegiatan'!D$2:D905,MATCH($D328,'Input Kegiatan'!$A$2:$A905,0)),"")</f>
        <v/>
      </c>
      <c r="G328" s="5" t="str">
        <f t="array" ref="G328">IF(W328=1,INDEX('Input Kegiatan'!E$2:E905,MATCH($D328,'Input Kegiatan'!$A$2:$A905,0)),"")</f>
        <v/>
      </c>
      <c r="H328" s="5" t="str">
        <f t="array" ref="H328">IF(W328=1,INDEX(Honor!$H$2:$H905,MATCH($D328&amp;"-"&amp;R328,Honor!$K$2:$K905,0)),"")</f>
        <v/>
      </c>
      <c r="I328" s="8" t="str">
        <f>IF(W328=1,SUMIFS(Honor!$I$2:$I905,Honor!$K$2:$K905,$D328&amp;"-"&amp;R328),"")</f>
        <v/>
      </c>
      <c r="J328" s="9" t="str">
        <f t="shared" si="6"/>
        <v/>
      </c>
      <c r="K328" s="10" t="str">
        <f t="shared" si="0"/>
        <v/>
      </c>
      <c r="L328" s="10" t="str">
        <f t="shared" si="1"/>
        <v/>
      </c>
      <c r="M328" s="10" t="str">
        <f>IF(W328=1,IF(AND(U328&lt;2,INT(V328)&lt;='Batasan Honor'!$B$2),1,0),"")</f>
        <v/>
      </c>
      <c r="O328" s="10" t="str">
        <f t="shared" si="2"/>
        <v/>
      </c>
      <c r="P328" s="10" t="str">
        <f t="shared" si="3"/>
        <v/>
      </c>
      <c r="R328" s="23"/>
      <c r="S328" s="10" t="str">
        <f t="shared" si="4"/>
        <v/>
      </c>
      <c r="U328" s="10" t="str">
        <f ca="1">IFERROR(__xludf.DUMMYFUNCTION("if(W328=1,COUNTIFS(FILTER($H$2:$H905,$H$2:$H905=""OB"",$S$2:$S905=S328),""OB""),"""")"),"")</f>
        <v/>
      </c>
      <c r="V328" s="10" t="str">
        <f ca="1">IFERROR(__xludf.DUMMYFUNCTION("IF(OR(ISNA(SUM(FILTER($K$2:$K905,$A$2:$A905=A328,$S$2:$S905=S328,$H$2:$H905&lt;&gt;""OB""))),W328&lt;&gt;1),"""",SUM(FILTER($K$2:$K905,$A$2:$A905=A328,$S$2:$S905=S328,$H$2:$H905&lt;&gt;""OB"")))"),"")</f>
        <v/>
      </c>
      <c r="W328" s="10" t="str">
        <f t="shared" si="5"/>
        <v/>
      </c>
    </row>
    <row r="329" spans="1:23" ht="12.5">
      <c r="A329" s="23"/>
      <c r="B329" s="5" t="str">
        <f t="array" ref="B329">IF(W329=1,INDEX('Database Mitra'!$H$2:$H905,MATCH(A329,'Database Mitra'!AK$2:AK905,0)),"")</f>
        <v/>
      </c>
      <c r="C329" s="5" t="str">
        <f t="array" ref="C329">IF(W329=1,INDEX('Database Mitra'!$E$2:$E905,MATCH(A329,'Database Mitra'!AK$2:AK905,0)),"")</f>
        <v/>
      </c>
      <c r="D329" s="23"/>
      <c r="E329" s="5" t="str">
        <f t="array" ref="E329">IF(W329=1,INDEX('Input Kegiatan'!B$2:B905,MATCH($D329,'Input Kegiatan'!$A$2:$A905,0)),"")</f>
        <v/>
      </c>
      <c r="F329" s="5" t="str">
        <f t="array" ref="F329">IF(W329=1,INDEX('Input Kegiatan'!D$2:D905,MATCH($D329,'Input Kegiatan'!$A$2:$A905,0)),"")</f>
        <v/>
      </c>
      <c r="G329" s="5" t="str">
        <f t="array" ref="G329">IF(W329=1,INDEX('Input Kegiatan'!E$2:E905,MATCH($D329,'Input Kegiatan'!$A$2:$A905,0)),"")</f>
        <v/>
      </c>
      <c r="H329" s="5" t="str">
        <f t="array" ref="H329">IF(W329=1,INDEX(Honor!$H$2:$H905,MATCH($D329&amp;"-"&amp;R329,Honor!$K$2:$K905,0)),"")</f>
        <v/>
      </c>
      <c r="I329" s="8" t="str">
        <f>IF(W329=1,SUMIFS(Honor!$I$2:$I905,Honor!$K$2:$K905,$D329&amp;"-"&amp;R329),"")</f>
        <v/>
      </c>
      <c r="J329" s="9" t="str">
        <f t="shared" si="6"/>
        <v/>
      </c>
      <c r="K329" s="10" t="str">
        <f t="shared" si="0"/>
        <v/>
      </c>
      <c r="L329" s="10" t="str">
        <f t="shared" si="1"/>
        <v/>
      </c>
      <c r="M329" s="10" t="str">
        <f>IF(W329=1,IF(AND(U329&lt;2,INT(V329)&lt;='Batasan Honor'!$B$2),1,0),"")</f>
        <v/>
      </c>
      <c r="O329" s="10" t="str">
        <f t="shared" si="2"/>
        <v/>
      </c>
      <c r="P329" s="10" t="str">
        <f t="shared" si="3"/>
        <v/>
      </c>
      <c r="R329" s="23"/>
      <c r="S329" s="10" t="str">
        <f t="shared" si="4"/>
        <v/>
      </c>
      <c r="U329" s="10" t="str">
        <f ca="1">IFERROR(__xludf.DUMMYFUNCTION("if(W329=1,COUNTIFS(FILTER($H$2:$H905,$H$2:$H905=""OB"",$S$2:$S905=S329),""OB""),"""")"),"")</f>
        <v/>
      </c>
      <c r="V329" s="10" t="str">
        <f ca="1">IFERROR(__xludf.DUMMYFUNCTION("IF(OR(ISNA(SUM(FILTER($K$2:$K905,$A$2:$A905=A329,$S$2:$S905=S329,$H$2:$H905&lt;&gt;""OB""))),W329&lt;&gt;1),"""",SUM(FILTER($K$2:$K905,$A$2:$A905=A329,$S$2:$S905=S329,$H$2:$H905&lt;&gt;""OB"")))"),"")</f>
        <v/>
      </c>
      <c r="W329" s="10" t="str">
        <f t="shared" si="5"/>
        <v/>
      </c>
    </row>
    <row r="330" spans="1:23" ht="12.5">
      <c r="A330" s="23"/>
      <c r="B330" s="5" t="str">
        <f t="array" ref="B330">IF(W330=1,INDEX('Database Mitra'!$H$2:$H905,MATCH(A330,'Database Mitra'!AK$2:AK905,0)),"")</f>
        <v/>
      </c>
      <c r="C330" s="5" t="str">
        <f t="array" ref="C330">IF(W330=1,INDEX('Database Mitra'!$E$2:$E905,MATCH(A330,'Database Mitra'!AK$2:AK905,0)),"")</f>
        <v/>
      </c>
      <c r="D330" s="23"/>
      <c r="E330" s="5" t="str">
        <f t="array" ref="E330">IF(W330=1,INDEX('Input Kegiatan'!B$2:B905,MATCH($D330,'Input Kegiatan'!$A$2:$A905,0)),"")</f>
        <v/>
      </c>
      <c r="F330" s="5" t="str">
        <f t="array" ref="F330">IF(W330=1,INDEX('Input Kegiatan'!D$2:D905,MATCH($D330,'Input Kegiatan'!$A$2:$A905,0)),"")</f>
        <v/>
      </c>
      <c r="G330" s="5" t="str">
        <f t="array" ref="G330">IF(W330=1,INDEX('Input Kegiatan'!E$2:E905,MATCH($D330,'Input Kegiatan'!$A$2:$A905,0)),"")</f>
        <v/>
      </c>
      <c r="H330" s="5" t="str">
        <f t="array" ref="H330">IF(W330=1,INDEX(Honor!$H$2:$H905,MATCH($D330&amp;"-"&amp;R330,Honor!$K$2:$K905,0)),"")</f>
        <v/>
      </c>
      <c r="I330" s="8" t="str">
        <f>IF(W330=1,SUMIFS(Honor!$I$2:$I905,Honor!$K$2:$K905,$D330&amp;"-"&amp;R330),"")</f>
        <v/>
      </c>
      <c r="J330" s="9" t="str">
        <f t="shared" si="6"/>
        <v/>
      </c>
      <c r="K330" s="10" t="str">
        <f t="shared" si="0"/>
        <v/>
      </c>
      <c r="L330" s="10" t="str">
        <f t="shared" si="1"/>
        <v/>
      </c>
      <c r="M330" s="10" t="str">
        <f>IF(W330=1,IF(AND(U330&lt;2,INT(V330)&lt;='Batasan Honor'!$B$2),1,0),"")</f>
        <v/>
      </c>
      <c r="O330" s="10" t="str">
        <f t="shared" si="2"/>
        <v/>
      </c>
      <c r="P330" s="10" t="str">
        <f t="shared" si="3"/>
        <v/>
      </c>
      <c r="R330" s="23"/>
      <c r="S330" s="10" t="str">
        <f t="shared" si="4"/>
        <v/>
      </c>
      <c r="U330" s="10" t="str">
        <f ca="1">IFERROR(__xludf.DUMMYFUNCTION("if(W330=1,COUNTIFS(FILTER($H$2:$H905,$H$2:$H905=""OB"",$S$2:$S905=S330),""OB""),"""")"),"")</f>
        <v/>
      </c>
      <c r="V330" s="10" t="str">
        <f ca="1">IFERROR(__xludf.DUMMYFUNCTION("IF(OR(ISNA(SUM(FILTER($K$2:$K905,$A$2:$A905=A330,$S$2:$S905=S330,$H$2:$H905&lt;&gt;""OB""))),W330&lt;&gt;1),"""",SUM(FILTER($K$2:$K905,$A$2:$A905=A330,$S$2:$S905=S330,$H$2:$H905&lt;&gt;""OB"")))"),"")</f>
        <v/>
      </c>
      <c r="W330" s="10" t="str">
        <f t="shared" si="5"/>
        <v/>
      </c>
    </row>
    <row r="331" spans="1:23" ht="12.5">
      <c r="A331" s="23"/>
      <c r="B331" s="5" t="str">
        <f t="array" ref="B331">IF(W331=1,INDEX('Database Mitra'!$H$2:$H905,MATCH(A331,'Database Mitra'!AK$2:AK905,0)),"")</f>
        <v/>
      </c>
      <c r="C331" s="5" t="str">
        <f t="array" ref="C331">IF(W331=1,INDEX('Database Mitra'!$E$2:$E905,MATCH(A331,'Database Mitra'!AK$2:AK905,0)),"")</f>
        <v/>
      </c>
      <c r="D331" s="23"/>
      <c r="E331" s="5" t="str">
        <f t="array" ref="E331">IF(W331=1,INDEX('Input Kegiatan'!B$2:B905,MATCH($D331,'Input Kegiatan'!$A$2:$A905,0)),"")</f>
        <v/>
      </c>
      <c r="F331" s="5" t="str">
        <f t="array" ref="F331">IF(W331=1,INDEX('Input Kegiatan'!D$2:D905,MATCH($D331,'Input Kegiatan'!$A$2:$A905,0)),"")</f>
        <v/>
      </c>
      <c r="G331" s="5" t="str">
        <f t="array" ref="G331">IF(W331=1,INDEX('Input Kegiatan'!E$2:E905,MATCH($D331,'Input Kegiatan'!$A$2:$A905,0)),"")</f>
        <v/>
      </c>
      <c r="H331" s="5" t="str">
        <f t="array" ref="H331">IF(W331=1,INDEX(Honor!$H$2:$H905,MATCH($D331&amp;"-"&amp;R331,Honor!$K$2:$K905,0)),"")</f>
        <v/>
      </c>
      <c r="I331" s="8" t="str">
        <f>IF(W331=1,SUMIFS(Honor!$I$2:$I905,Honor!$K$2:$K905,$D331&amp;"-"&amp;R331),"")</f>
        <v/>
      </c>
      <c r="J331" s="9" t="str">
        <f t="shared" si="6"/>
        <v/>
      </c>
      <c r="K331" s="10" t="str">
        <f t="shared" si="0"/>
        <v/>
      </c>
      <c r="L331" s="10" t="str">
        <f t="shared" si="1"/>
        <v/>
      </c>
      <c r="M331" s="10" t="str">
        <f>IF(W331=1,IF(AND(U331&lt;2,INT(V331)&lt;='Batasan Honor'!$B$2),1,0),"")</f>
        <v/>
      </c>
      <c r="O331" s="10" t="str">
        <f t="shared" si="2"/>
        <v/>
      </c>
      <c r="P331" s="10" t="str">
        <f t="shared" si="3"/>
        <v/>
      </c>
      <c r="R331" s="23"/>
      <c r="S331" s="10" t="str">
        <f t="shared" si="4"/>
        <v/>
      </c>
      <c r="U331" s="10" t="str">
        <f ca="1">IFERROR(__xludf.DUMMYFUNCTION("if(W331=1,COUNTIFS(FILTER($H$2:$H905,$H$2:$H905=""OB"",$S$2:$S905=S331),""OB""),"""")"),"")</f>
        <v/>
      </c>
      <c r="V331" s="10" t="str">
        <f ca="1">IFERROR(__xludf.DUMMYFUNCTION("IF(OR(ISNA(SUM(FILTER($K$2:$K905,$A$2:$A905=A331,$S$2:$S905=S331,$H$2:$H905&lt;&gt;""OB""))),W331&lt;&gt;1),"""",SUM(FILTER($K$2:$K905,$A$2:$A905=A331,$S$2:$S905=S331,$H$2:$H905&lt;&gt;""OB"")))"),"")</f>
        <v/>
      </c>
      <c r="W331" s="10" t="str">
        <f t="shared" si="5"/>
        <v/>
      </c>
    </row>
    <row r="332" spans="1:23" ht="12.5">
      <c r="A332" s="23"/>
      <c r="B332" s="5" t="str">
        <f t="array" ref="B332">IF(W332=1,INDEX('Database Mitra'!$H$2:$H905,MATCH(A332,'Database Mitra'!AK$2:AK905,0)),"")</f>
        <v/>
      </c>
      <c r="C332" s="5" t="str">
        <f t="array" ref="C332">IF(W332=1,INDEX('Database Mitra'!$E$2:$E905,MATCH(A332,'Database Mitra'!AK$2:AK905,0)),"")</f>
        <v/>
      </c>
      <c r="D332" s="23"/>
      <c r="E332" s="5" t="str">
        <f t="array" ref="E332">IF(W332=1,INDEX('Input Kegiatan'!B$2:B905,MATCH($D332,'Input Kegiatan'!$A$2:$A905,0)),"")</f>
        <v/>
      </c>
      <c r="F332" s="5" t="str">
        <f t="array" ref="F332">IF(W332=1,INDEX('Input Kegiatan'!D$2:D905,MATCH($D332,'Input Kegiatan'!$A$2:$A905,0)),"")</f>
        <v/>
      </c>
      <c r="G332" s="5" t="str">
        <f t="array" ref="G332">IF(W332=1,INDEX('Input Kegiatan'!E$2:E905,MATCH($D332,'Input Kegiatan'!$A$2:$A905,0)),"")</f>
        <v/>
      </c>
      <c r="H332" s="5" t="str">
        <f t="array" ref="H332">IF(W332=1,INDEX(Honor!$H$2:$H905,MATCH($D332&amp;"-"&amp;R332,Honor!$K$2:$K905,0)),"")</f>
        <v/>
      </c>
      <c r="I332" s="8" t="str">
        <f>IF(W332=1,SUMIFS(Honor!$I$2:$I905,Honor!$K$2:$K905,$D332&amp;"-"&amp;R332),"")</f>
        <v/>
      </c>
      <c r="J332" s="9" t="str">
        <f t="shared" si="6"/>
        <v/>
      </c>
      <c r="K332" s="10" t="str">
        <f t="shared" si="0"/>
        <v/>
      </c>
      <c r="L332" s="10" t="str">
        <f t="shared" si="1"/>
        <v/>
      </c>
      <c r="M332" s="10" t="str">
        <f>IF(W332=1,IF(AND(U332&lt;2,INT(V332)&lt;='Batasan Honor'!$B$2),1,0),"")</f>
        <v/>
      </c>
      <c r="O332" s="10" t="str">
        <f t="shared" si="2"/>
        <v/>
      </c>
      <c r="P332" s="10" t="str">
        <f t="shared" si="3"/>
        <v/>
      </c>
      <c r="R332" s="23"/>
      <c r="S332" s="10" t="str">
        <f t="shared" si="4"/>
        <v/>
      </c>
      <c r="U332" s="10" t="str">
        <f ca="1">IFERROR(__xludf.DUMMYFUNCTION("if(W332=1,COUNTIFS(FILTER($H$2:$H905,$H$2:$H905=""OB"",$S$2:$S905=S332),""OB""),"""")"),"")</f>
        <v/>
      </c>
      <c r="V332" s="10" t="str">
        <f ca="1">IFERROR(__xludf.DUMMYFUNCTION("IF(OR(ISNA(SUM(FILTER($K$2:$K905,$A$2:$A905=A332,$S$2:$S905=S332,$H$2:$H905&lt;&gt;""OB""))),W332&lt;&gt;1),"""",SUM(FILTER($K$2:$K905,$A$2:$A905=A332,$S$2:$S905=S332,$H$2:$H905&lt;&gt;""OB"")))"),"")</f>
        <v/>
      </c>
      <c r="W332" s="10" t="str">
        <f t="shared" si="5"/>
        <v/>
      </c>
    </row>
    <row r="333" spans="1:23" ht="12.5">
      <c r="A333" s="23"/>
      <c r="B333" s="5" t="str">
        <f t="array" ref="B333">IF(W333=1,INDEX('Database Mitra'!$H$2:$H905,MATCH(A333,'Database Mitra'!AK$2:AK905,0)),"")</f>
        <v/>
      </c>
      <c r="C333" s="5" t="str">
        <f t="array" ref="C333">IF(W333=1,INDEX('Database Mitra'!$E$2:$E905,MATCH(A333,'Database Mitra'!AK$2:AK905,0)),"")</f>
        <v/>
      </c>
      <c r="D333" s="23"/>
      <c r="E333" s="5" t="str">
        <f t="array" ref="E333">IF(W333=1,INDEX('Input Kegiatan'!B$2:B905,MATCH($D333,'Input Kegiatan'!$A$2:$A905,0)),"")</f>
        <v/>
      </c>
      <c r="F333" s="5" t="str">
        <f t="array" ref="F333">IF(W333=1,INDEX('Input Kegiatan'!D$2:D905,MATCH($D333,'Input Kegiatan'!$A$2:$A905,0)),"")</f>
        <v/>
      </c>
      <c r="G333" s="5" t="str">
        <f t="array" ref="G333">IF(W333=1,INDEX('Input Kegiatan'!E$2:E905,MATCH($D333,'Input Kegiatan'!$A$2:$A905,0)),"")</f>
        <v/>
      </c>
      <c r="H333" s="5" t="str">
        <f t="array" ref="H333">IF(W333=1,INDEX(Honor!$H$2:$H905,MATCH($D333&amp;"-"&amp;R333,Honor!$K$2:$K905,0)),"")</f>
        <v/>
      </c>
      <c r="I333" s="8" t="str">
        <f>IF(W333=1,SUMIFS(Honor!$I$2:$I905,Honor!$K$2:$K905,$D333&amp;"-"&amp;R333),"")</f>
        <v/>
      </c>
      <c r="J333" s="9" t="str">
        <f t="shared" si="6"/>
        <v/>
      </c>
      <c r="K333" s="10" t="str">
        <f t="shared" si="0"/>
        <v/>
      </c>
      <c r="L333" s="10" t="str">
        <f t="shared" si="1"/>
        <v/>
      </c>
      <c r="M333" s="10" t="str">
        <f>IF(W333=1,IF(AND(U333&lt;2,INT(V333)&lt;='Batasan Honor'!$B$2),1,0),"")</f>
        <v/>
      </c>
      <c r="O333" s="10" t="str">
        <f t="shared" si="2"/>
        <v/>
      </c>
      <c r="P333" s="10" t="str">
        <f t="shared" si="3"/>
        <v/>
      </c>
      <c r="R333" s="23"/>
      <c r="S333" s="10" t="str">
        <f t="shared" si="4"/>
        <v/>
      </c>
      <c r="U333" s="10" t="str">
        <f ca="1">IFERROR(__xludf.DUMMYFUNCTION("if(W333=1,COUNTIFS(FILTER($H$2:$H905,$H$2:$H905=""OB"",$S$2:$S905=S333),""OB""),"""")"),"")</f>
        <v/>
      </c>
      <c r="V333" s="10" t="str">
        <f ca="1">IFERROR(__xludf.DUMMYFUNCTION("IF(OR(ISNA(SUM(FILTER($K$2:$K905,$A$2:$A905=A333,$S$2:$S905=S333,$H$2:$H905&lt;&gt;""OB""))),W333&lt;&gt;1),"""",SUM(FILTER($K$2:$K905,$A$2:$A905=A333,$S$2:$S905=S333,$H$2:$H905&lt;&gt;""OB"")))"),"")</f>
        <v/>
      </c>
      <c r="W333" s="10" t="str">
        <f t="shared" si="5"/>
        <v/>
      </c>
    </row>
    <row r="334" spans="1:23" ht="12.5">
      <c r="A334" s="23"/>
      <c r="B334" s="5" t="str">
        <f t="array" ref="B334">IF(W334=1,INDEX('Database Mitra'!$H$2:$H905,MATCH(A334,'Database Mitra'!AK$2:AK905,0)),"")</f>
        <v/>
      </c>
      <c r="C334" s="5" t="str">
        <f t="array" ref="C334">IF(W334=1,INDEX('Database Mitra'!$E$2:$E905,MATCH(A334,'Database Mitra'!AK$2:AK905,0)),"")</f>
        <v/>
      </c>
      <c r="D334" s="23"/>
      <c r="E334" s="5" t="str">
        <f t="array" ref="E334">IF(W334=1,INDEX('Input Kegiatan'!B$2:B905,MATCH($D334,'Input Kegiatan'!$A$2:$A905,0)),"")</f>
        <v/>
      </c>
      <c r="F334" s="5" t="str">
        <f t="array" ref="F334">IF(W334=1,INDEX('Input Kegiatan'!D$2:D905,MATCH($D334,'Input Kegiatan'!$A$2:$A905,0)),"")</f>
        <v/>
      </c>
      <c r="G334" s="5" t="str">
        <f t="array" ref="G334">IF(W334=1,INDEX('Input Kegiatan'!E$2:E905,MATCH($D334,'Input Kegiatan'!$A$2:$A905,0)),"")</f>
        <v/>
      </c>
      <c r="H334" s="5" t="str">
        <f t="array" ref="H334">IF(W334=1,INDEX(Honor!$H$2:$H905,MATCH($D334&amp;"-"&amp;R334,Honor!$K$2:$K905,0)),"")</f>
        <v/>
      </c>
      <c r="I334" s="8" t="str">
        <f>IF(W334=1,SUMIFS(Honor!$I$2:$I905,Honor!$K$2:$K905,$D334&amp;"-"&amp;R334),"")</f>
        <v/>
      </c>
      <c r="J334" s="9" t="str">
        <f t="shared" si="6"/>
        <v/>
      </c>
      <c r="K334" s="10" t="str">
        <f t="shared" si="0"/>
        <v/>
      </c>
      <c r="L334" s="10" t="str">
        <f t="shared" si="1"/>
        <v/>
      </c>
      <c r="M334" s="10" t="str">
        <f>IF(W334=1,IF(AND(U334&lt;2,INT(V334)&lt;='Batasan Honor'!$B$2),1,0),"")</f>
        <v/>
      </c>
      <c r="O334" s="10" t="str">
        <f t="shared" si="2"/>
        <v/>
      </c>
      <c r="P334" s="10" t="str">
        <f t="shared" si="3"/>
        <v/>
      </c>
      <c r="R334" s="23"/>
      <c r="S334" s="10" t="str">
        <f t="shared" si="4"/>
        <v/>
      </c>
      <c r="U334" s="10" t="str">
        <f ca="1">IFERROR(__xludf.DUMMYFUNCTION("if(W334=1,COUNTIFS(FILTER($H$2:$H905,$H$2:$H905=""OB"",$S$2:$S905=S334),""OB""),"""")"),"")</f>
        <v/>
      </c>
      <c r="V334" s="10" t="str">
        <f ca="1">IFERROR(__xludf.DUMMYFUNCTION("IF(OR(ISNA(SUM(FILTER($K$2:$K905,$A$2:$A905=A334,$S$2:$S905=S334,$H$2:$H905&lt;&gt;""OB""))),W334&lt;&gt;1),"""",SUM(FILTER($K$2:$K905,$A$2:$A905=A334,$S$2:$S905=S334,$H$2:$H905&lt;&gt;""OB"")))"),"")</f>
        <v/>
      </c>
      <c r="W334" s="10" t="str">
        <f t="shared" si="5"/>
        <v/>
      </c>
    </row>
    <row r="335" spans="1:23" ht="12.5">
      <c r="A335" s="23"/>
      <c r="B335" s="5" t="str">
        <f t="array" ref="B335">IF(W335=1,INDEX('Database Mitra'!$H$2:$H905,MATCH(A335,'Database Mitra'!AK$2:AK905,0)),"")</f>
        <v/>
      </c>
      <c r="C335" s="5" t="str">
        <f t="array" ref="C335">IF(W335=1,INDEX('Database Mitra'!$E$2:$E905,MATCH(A335,'Database Mitra'!AK$2:AK905,0)),"")</f>
        <v/>
      </c>
      <c r="D335" s="23"/>
      <c r="E335" s="5" t="str">
        <f t="array" ref="E335">IF(W335=1,INDEX('Input Kegiatan'!B$2:B905,MATCH($D335,'Input Kegiatan'!$A$2:$A905,0)),"")</f>
        <v/>
      </c>
      <c r="F335" s="5" t="str">
        <f t="array" ref="F335">IF(W335=1,INDEX('Input Kegiatan'!D$2:D905,MATCH($D335,'Input Kegiatan'!$A$2:$A905,0)),"")</f>
        <v/>
      </c>
      <c r="G335" s="5" t="str">
        <f t="array" ref="G335">IF(W335=1,INDEX('Input Kegiatan'!E$2:E905,MATCH($D335,'Input Kegiatan'!$A$2:$A905,0)),"")</f>
        <v/>
      </c>
      <c r="H335" s="5" t="str">
        <f t="array" ref="H335">IF(W335=1,INDEX(Honor!$H$2:$H905,MATCH($D335&amp;"-"&amp;R335,Honor!$K$2:$K905,0)),"")</f>
        <v/>
      </c>
      <c r="I335" s="8" t="str">
        <f>IF(W335=1,SUMIFS(Honor!$I$2:$I905,Honor!$K$2:$K905,$D335&amp;"-"&amp;R335),"")</f>
        <v/>
      </c>
      <c r="J335" s="9" t="str">
        <f t="shared" si="6"/>
        <v/>
      </c>
      <c r="K335" s="10" t="str">
        <f t="shared" si="0"/>
        <v/>
      </c>
      <c r="L335" s="10" t="str">
        <f t="shared" si="1"/>
        <v/>
      </c>
      <c r="M335" s="10" t="str">
        <f>IF(W335=1,IF(AND(U335&lt;2,INT(V335)&lt;='Batasan Honor'!$B$2),1,0),"")</f>
        <v/>
      </c>
      <c r="O335" s="10" t="str">
        <f t="shared" si="2"/>
        <v/>
      </c>
      <c r="P335" s="10" t="str">
        <f t="shared" si="3"/>
        <v/>
      </c>
      <c r="R335" s="23"/>
      <c r="S335" s="10" t="str">
        <f t="shared" si="4"/>
        <v/>
      </c>
      <c r="U335" s="10" t="str">
        <f ca="1">IFERROR(__xludf.DUMMYFUNCTION("if(W335=1,COUNTIFS(FILTER($H$2:$H905,$H$2:$H905=""OB"",$S$2:$S905=S335),""OB""),"""")"),"")</f>
        <v/>
      </c>
      <c r="V335" s="10" t="str">
        <f ca="1">IFERROR(__xludf.DUMMYFUNCTION("IF(OR(ISNA(SUM(FILTER($K$2:$K905,$A$2:$A905=A335,$S$2:$S905=S335,$H$2:$H905&lt;&gt;""OB""))),W335&lt;&gt;1),"""",SUM(FILTER($K$2:$K905,$A$2:$A905=A335,$S$2:$S905=S335,$H$2:$H905&lt;&gt;""OB"")))"),"")</f>
        <v/>
      </c>
      <c r="W335" s="10" t="str">
        <f t="shared" si="5"/>
        <v/>
      </c>
    </row>
    <row r="336" spans="1:23" ht="12.5">
      <c r="A336" s="23"/>
      <c r="B336" s="5" t="str">
        <f t="array" ref="B336">IF(W336=1,INDEX('Database Mitra'!$H$2:$H905,MATCH(A336,'Database Mitra'!AK$2:AK905,0)),"")</f>
        <v/>
      </c>
      <c r="C336" s="5" t="str">
        <f t="array" ref="C336">IF(W336=1,INDEX('Database Mitra'!$E$2:$E905,MATCH(A336,'Database Mitra'!AK$2:AK905,0)),"")</f>
        <v/>
      </c>
      <c r="D336" s="23"/>
      <c r="E336" s="5" t="str">
        <f t="array" ref="E336">IF(W336=1,INDEX('Input Kegiatan'!B$2:B905,MATCH($D336,'Input Kegiatan'!$A$2:$A905,0)),"")</f>
        <v/>
      </c>
      <c r="F336" s="5" t="str">
        <f t="array" ref="F336">IF(W336=1,INDEX('Input Kegiatan'!D$2:D905,MATCH($D336,'Input Kegiatan'!$A$2:$A905,0)),"")</f>
        <v/>
      </c>
      <c r="G336" s="5" t="str">
        <f t="array" ref="G336">IF(W336=1,INDEX('Input Kegiatan'!E$2:E905,MATCH($D336,'Input Kegiatan'!$A$2:$A905,0)),"")</f>
        <v/>
      </c>
      <c r="H336" s="5" t="str">
        <f t="array" ref="H336">IF(W336=1,INDEX(Honor!$H$2:$H905,MATCH($D336&amp;"-"&amp;R336,Honor!$K$2:$K905,0)),"")</f>
        <v/>
      </c>
      <c r="I336" s="8" t="str">
        <f>IF(W336=1,SUMIFS(Honor!$I$2:$I905,Honor!$K$2:$K905,$D336&amp;"-"&amp;R336),"")</f>
        <v/>
      </c>
      <c r="J336" s="9" t="str">
        <f t="shared" si="6"/>
        <v/>
      </c>
      <c r="K336" s="10" t="str">
        <f t="shared" si="0"/>
        <v/>
      </c>
      <c r="L336" s="10" t="str">
        <f t="shared" si="1"/>
        <v/>
      </c>
      <c r="M336" s="10" t="str">
        <f>IF(W336=1,IF(AND(U336&lt;2,INT(V336)&lt;='Batasan Honor'!$B$2),1,0),"")</f>
        <v/>
      </c>
      <c r="O336" s="10" t="str">
        <f t="shared" si="2"/>
        <v/>
      </c>
      <c r="P336" s="10" t="str">
        <f t="shared" si="3"/>
        <v/>
      </c>
      <c r="R336" s="23"/>
      <c r="S336" s="10" t="str">
        <f t="shared" si="4"/>
        <v/>
      </c>
      <c r="U336" s="10" t="str">
        <f ca="1">IFERROR(__xludf.DUMMYFUNCTION("if(W336=1,COUNTIFS(FILTER($H$2:$H905,$H$2:$H905=""OB"",$S$2:$S905=S336),""OB""),"""")"),"")</f>
        <v/>
      </c>
      <c r="V336" s="10" t="str">
        <f ca="1">IFERROR(__xludf.DUMMYFUNCTION("IF(OR(ISNA(SUM(FILTER($K$2:$K905,$A$2:$A905=A336,$S$2:$S905=S336,$H$2:$H905&lt;&gt;""OB""))),W336&lt;&gt;1),"""",SUM(FILTER($K$2:$K905,$A$2:$A905=A336,$S$2:$S905=S336,$H$2:$H905&lt;&gt;""OB"")))"),"")</f>
        <v/>
      </c>
      <c r="W336" s="10" t="str">
        <f t="shared" si="5"/>
        <v/>
      </c>
    </row>
    <row r="337" spans="1:23" ht="12.5">
      <c r="A337" s="23"/>
      <c r="B337" s="5" t="str">
        <f t="array" ref="B337">IF(W337=1,INDEX('Database Mitra'!$H$2:$H905,MATCH(A337,'Database Mitra'!AK$2:AK905,0)),"")</f>
        <v/>
      </c>
      <c r="C337" s="5" t="str">
        <f t="array" ref="C337">IF(W337=1,INDEX('Database Mitra'!$E$2:$E905,MATCH(A337,'Database Mitra'!AK$2:AK905,0)),"")</f>
        <v/>
      </c>
      <c r="D337" s="23"/>
      <c r="E337" s="5" t="str">
        <f t="array" ref="E337">IF(W337=1,INDEX('Input Kegiatan'!B$2:B905,MATCH($D337,'Input Kegiatan'!$A$2:$A905,0)),"")</f>
        <v/>
      </c>
      <c r="F337" s="5" t="str">
        <f t="array" ref="F337">IF(W337=1,INDEX('Input Kegiatan'!D$2:D905,MATCH($D337,'Input Kegiatan'!$A$2:$A905,0)),"")</f>
        <v/>
      </c>
      <c r="G337" s="5" t="str">
        <f t="array" ref="G337">IF(W337=1,INDEX('Input Kegiatan'!E$2:E905,MATCH($D337,'Input Kegiatan'!$A$2:$A905,0)),"")</f>
        <v/>
      </c>
      <c r="H337" s="5" t="str">
        <f t="array" ref="H337">IF(W337=1,INDEX(Honor!$H$2:$H905,MATCH($D337&amp;"-"&amp;R337,Honor!$K$2:$K905,0)),"")</f>
        <v/>
      </c>
      <c r="I337" s="8" t="str">
        <f>IF(W337=1,SUMIFS(Honor!$I$2:$I905,Honor!$K$2:$K905,$D337&amp;"-"&amp;R337),"")</f>
        <v/>
      </c>
      <c r="J337" s="9" t="str">
        <f t="shared" si="6"/>
        <v/>
      </c>
      <c r="K337" s="10" t="str">
        <f t="shared" si="0"/>
        <v/>
      </c>
      <c r="L337" s="10" t="str">
        <f t="shared" si="1"/>
        <v/>
      </c>
      <c r="M337" s="10" t="str">
        <f>IF(W337=1,IF(AND(U337&lt;2,INT(V337)&lt;='Batasan Honor'!$B$2),1,0),"")</f>
        <v/>
      </c>
      <c r="O337" s="10" t="str">
        <f t="shared" si="2"/>
        <v/>
      </c>
      <c r="P337" s="10" t="str">
        <f t="shared" si="3"/>
        <v/>
      </c>
      <c r="R337" s="23"/>
      <c r="S337" s="10" t="str">
        <f t="shared" si="4"/>
        <v/>
      </c>
      <c r="U337" s="10" t="str">
        <f ca="1">IFERROR(__xludf.DUMMYFUNCTION("if(W337=1,COUNTIFS(FILTER($H$2:$H905,$H$2:$H905=""OB"",$S$2:$S905=S337),""OB""),"""")"),"")</f>
        <v/>
      </c>
      <c r="V337" s="10" t="str">
        <f ca="1">IFERROR(__xludf.DUMMYFUNCTION("IF(OR(ISNA(SUM(FILTER($K$2:$K905,$A$2:$A905=A337,$S$2:$S905=S337,$H$2:$H905&lt;&gt;""OB""))),W337&lt;&gt;1),"""",SUM(FILTER($K$2:$K905,$A$2:$A905=A337,$S$2:$S905=S337,$H$2:$H905&lt;&gt;""OB"")))"),"")</f>
        <v/>
      </c>
      <c r="W337" s="10" t="str">
        <f t="shared" si="5"/>
        <v/>
      </c>
    </row>
    <row r="338" spans="1:23" ht="12.5">
      <c r="A338" s="23"/>
      <c r="B338" s="5" t="str">
        <f t="array" ref="B338">IF(W338=1,INDEX('Database Mitra'!$H$2:$H905,MATCH(A338,'Database Mitra'!AK$2:AK905,0)),"")</f>
        <v/>
      </c>
      <c r="C338" s="5" t="str">
        <f t="array" ref="C338">IF(W338=1,INDEX('Database Mitra'!$E$2:$E905,MATCH(A338,'Database Mitra'!AK$2:AK905,0)),"")</f>
        <v/>
      </c>
      <c r="D338" s="23"/>
      <c r="E338" s="5" t="str">
        <f t="array" ref="E338">IF(W338=1,INDEX('Input Kegiatan'!B$2:B905,MATCH($D338,'Input Kegiatan'!$A$2:$A905,0)),"")</f>
        <v/>
      </c>
      <c r="F338" s="5" t="str">
        <f t="array" ref="F338">IF(W338=1,INDEX('Input Kegiatan'!D$2:D905,MATCH($D338,'Input Kegiatan'!$A$2:$A905,0)),"")</f>
        <v/>
      </c>
      <c r="G338" s="5" t="str">
        <f t="array" ref="G338">IF(W338=1,INDEX('Input Kegiatan'!E$2:E905,MATCH($D338,'Input Kegiatan'!$A$2:$A905,0)),"")</f>
        <v/>
      </c>
      <c r="H338" s="5" t="str">
        <f t="array" ref="H338">IF(W338=1,INDEX(Honor!$H$2:$H905,MATCH($D338&amp;"-"&amp;R338,Honor!$K$2:$K905,0)),"")</f>
        <v/>
      </c>
      <c r="I338" s="8" t="str">
        <f>IF(W338=1,SUMIFS(Honor!$I$2:$I905,Honor!$K$2:$K905,$D338&amp;"-"&amp;R338),"")</f>
        <v/>
      </c>
      <c r="J338" s="9" t="str">
        <f t="shared" si="6"/>
        <v/>
      </c>
      <c r="K338" s="10" t="str">
        <f t="shared" si="0"/>
        <v/>
      </c>
      <c r="L338" s="10" t="str">
        <f t="shared" si="1"/>
        <v/>
      </c>
      <c r="M338" s="10" t="str">
        <f>IF(W338=1,IF(AND(U338&lt;2,INT(V338)&lt;='Batasan Honor'!$B$2),1,0),"")</f>
        <v/>
      </c>
      <c r="O338" s="10" t="str">
        <f t="shared" si="2"/>
        <v/>
      </c>
      <c r="P338" s="10" t="str">
        <f t="shared" si="3"/>
        <v/>
      </c>
      <c r="R338" s="23"/>
      <c r="S338" s="10" t="str">
        <f t="shared" si="4"/>
        <v/>
      </c>
      <c r="U338" s="10" t="str">
        <f ca="1">IFERROR(__xludf.DUMMYFUNCTION("if(W338=1,COUNTIFS(FILTER($H$2:$H905,$H$2:$H905=""OB"",$S$2:$S905=S338),""OB""),"""")"),"")</f>
        <v/>
      </c>
      <c r="V338" s="10" t="str">
        <f ca="1">IFERROR(__xludf.DUMMYFUNCTION("IF(OR(ISNA(SUM(FILTER($K$2:$K905,$A$2:$A905=A338,$S$2:$S905=S338,$H$2:$H905&lt;&gt;""OB""))),W338&lt;&gt;1),"""",SUM(FILTER($K$2:$K905,$A$2:$A905=A338,$S$2:$S905=S338,$H$2:$H905&lt;&gt;""OB"")))"),"")</f>
        <v/>
      </c>
      <c r="W338" s="10" t="str">
        <f t="shared" si="5"/>
        <v/>
      </c>
    </row>
    <row r="339" spans="1:23" ht="12.5">
      <c r="A339" s="23"/>
      <c r="B339" s="5" t="str">
        <f t="array" ref="B339">IF(W339=1,INDEX('Database Mitra'!$H$2:$H905,MATCH(A339,'Database Mitra'!AK$2:AK905,0)),"")</f>
        <v/>
      </c>
      <c r="C339" s="5" t="str">
        <f t="array" ref="C339">IF(W339=1,INDEX('Database Mitra'!$E$2:$E905,MATCH(A339,'Database Mitra'!AK$2:AK905,0)),"")</f>
        <v/>
      </c>
      <c r="D339" s="23"/>
      <c r="E339" s="5" t="str">
        <f t="array" ref="E339">IF(W339=1,INDEX('Input Kegiatan'!B$2:B905,MATCH($D339,'Input Kegiatan'!$A$2:$A905,0)),"")</f>
        <v/>
      </c>
      <c r="F339" s="5" t="str">
        <f t="array" ref="F339">IF(W339=1,INDEX('Input Kegiatan'!D$2:D905,MATCH($D339,'Input Kegiatan'!$A$2:$A905,0)),"")</f>
        <v/>
      </c>
      <c r="G339" s="5" t="str">
        <f t="array" ref="G339">IF(W339=1,INDEX('Input Kegiatan'!E$2:E905,MATCH($D339,'Input Kegiatan'!$A$2:$A905,0)),"")</f>
        <v/>
      </c>
      <c r="H339" s="5" t="str">
        <f t="array" ref="H339">IF(W339=1,INDEX(Honor!$H$2:$H905,MATCH($D339&amp;"-"&amp;R339,Honor!$K$2:$K905,0)),"")</f>
        <v/>
      </c>
      <c r="I339" s="8" t="str">
        <f>IF(W339=1,SUMIFS(Honor!$I$2:$I905,Honor!$K$2:$K905,$D339&amp;"-"&amp;R339),"")</f>
        <v/>
      </c>
      <c r="J339" s="9" t="str">
        <f t="shared" si="6"/>
        <v/>
      </c>
      <c r="K339" s="10" t="str">
        <f t="shared" si="0"/>
        <v/>
      </c>
      <c r="L339" s="10" t="str">
        <f t="shared" si="1"/>
        <v/>
      </c>
      <c r="M339" s="10" t="str">
        <f>IF(W339=1,IF(AND(U339&lt;2,INT(V339)&lt;='Batasan Honor'!$B$2),1,0),"")</f>
        <v/>
      </c>
      <c r="O339" s="10" t="str">
        <f t="shared" si="2"/>
        <v/>
      </c>
      <c r="P339" s="10" t="str">
        <f t="shared" si="3"/>
        <v/>
      </c>
      <c r="R339" s="23"/>
      <c r="S339" s="10" t="str">
        <f t="shared" si="4"/>
        <v/>
      </c>
      <c r="U339" s="10" t="str">
        <f ca="1">IFERROR(__xludf.DUMMYFUNCTION("if(W339=1,COUNTIFS(FILTER($H$2:$H905,$H$2:$H905=""OB"",$S$2:$S905=S339),""OB""),"""")"),"")</f>
        <v/>
      </c>
      <c r="V339" s="10" t="str">
        <f ca="1">IFERROR(__xludf.DUMMYFUNCTION("IF(OR(ISNA(SUM(FILTER($K$2:$K905,$A$2:$A905=A339,$S$2:$S905=S339,$H$2:$H905&lt;&gt;""OB""))),W339&lt;&gt;1),"""",SUM(FILTER($K$2:$K905,$A$2:$A905=A339,$S$2:$S905=S339,$H$2:$H905&lt;&gt;""OB"")))"),"")</f>
        <v/>
      </c>
      <c r="W339" s="10" t="str">
        <f t="shared" si="5"/>
        <v/>
      </c>
    </row>
    <row r="340" spans="1:23" ht="12.5">
      <c r="A340" s="23"/>
      <c r="B340" s="5" t="str">
        <f t="array" ref="B340">IF(W340=1,INDEX('Database Mitra'!$H$2:$H905,MATCH(A340,'Database Mitra'!AK$2:AK905,0)),"")</f>
        <v/>
      </c>
      <c r="C340" s="5" t="str">
        <f t="array" ref="C340">IF(W340=1,INDEX('Database Mitra'!$E$2:$E905,MATCH(A340,'Database Mitra'!AK$2:AK905,0)),"")</f>
        <v/>
      </c>
      <c r="D340" s="23"/>
      <c r="E340" s="5" t="str">
        <f t="array" ref="E340">IF(W340=1,INDEX('Input Kegiatan'!B$2:B905,MATCH($D340,'Input Kegiatan'!$A$2:$A905,0)),"")</f>
        <v/>
      </c>
      <c r="F340" s="5" t="str">
        <f t="array" ref="F340">IF(W340=1,INDEX('Input Kegiatan'!D$2:D905,MATCH($D340,'Input Kegiatan'!$A$2:$A905,0)),"")</f>
        <v/>
      </c>
      <c r="G340" s="5" t="str">
        <f t="array" ref="G340">IF(W340=1,INDEX('Input Kegiatan'!E$2:E905,MATCH($D340,'Input Kegiatan'!$A$2:$A905,0)),"")</f>
        <v/>
      </c>
      <c r="H340" s="5" t="str">
        <f t="array" ref="H340">IF(W340=1,INDEX(Honor!$H$2:$H905,MATCH($D340&amp;"-"&amp;R340,Honor!$K$2:$K905,0)),"")</f>
        <v/>
      </c>
      <c r="I340" s="8" t="str">
        <f>IF(W340=1,SUMIFS(Honor!$I$2:$I905,Honor!$K$2:$K905,$D340&amp;"-"&amp;R340),"")</f>
        <v/>
      </c>
      <c r="J340" s="9" t="str">
        <f t="shared" si="6"/>
        <v/>
      </c>
      <c r="K340" s="10" t="str">
        <f t="shared" si="0"/>
        <v/>
      </c>
      <c r="L340" s="10" t="str">
        <f t="shared" si="1"/>
        <v/>
      </c>
      <c r="M340" s="10" t="str">
        <f>IF(W340=1,IF(AND(U340&lt;2,INT(V340)&lt;='Batasan Honor'!$B$2),1,0),"")</f>
        <v/>
      </c>
      <c r="O340" s="10" t="str">
        <f t="shared" si="2"/>
        <v/>
      </c>
      <c r="P340" s="10" t="str">
        <f t="shared" si="3"/>
        <v/>
      </c>
      <c r="R340" s="23"/>
      <c r="S340" s="10" t="str">
        <f t="shared" si="4"/>
        <v/>
      </c>
      <c r="U340" s="10" t="str">
        <f ca="1">IFERROR(__xludf.DUMMYFUNCTION("if(W340=1,COUNTIFS(FILTER($H$2:$H905,$H$2:$H905=""OB"",$S$2:$S905=S340),""OB""),"""")"),"")</f>
        <v/>
      </c>
      <c r="V340" s="10" t="str">
        <f ca="1">IFERROR(__xludf.DUMMYFUNCTION("IF(OR(ISNA(SUM(FILTER($K$2:$K905,$A$2:$A905=A340,$S$2:$S905=S340,$H$2:$H905&lt;&gt;""OB""))),W340&lt;&gt;1),"""",SUM(FILTER($K$2:$K905,$A$2:$A905=A340,$S$2:$S905=S340,$H$2:$H905&lt;&gt;""OB"")))"),"")</f>
        <v/>
      </c>
      <c r="W340" s="10" t="str">
        <f t="shared" si="5"/>
        <v/>
      </c>
    </row>
    <row r="341" spans="1:23" ht="12.5">
      <c r="A341" s="23"/>
      <c r="B341" s="5" t="str">
        <f t="array" ref="B341">IF(W341=1,INDEX('Database Mitra'!$H$2:$H905,MATCH(A341,'Database Mitra'!AK$2:AK905,0)),"")</f>
        <v/>
      </c>
      <c r="C341" s="5" t="str">
        <f t="array" ref="C341">IF(W341=1,INDEX('Database Mitra'!$E$2:$E905,MATCH(A341,'Database Mitra'!AK$2:AK905,0)),"")</f>
        <v/>
      </c>
      <c r="D341" s="23"/>
      <c r="E341" s="5" t="str">
        <f t="array" ref="E341">IF(W341=1,INDEX('Input Kegiatan'!B$2:B905,MATCH($D341,'Input Kegiatan'!$A$2:$A905,0)),"")</f>
        <v/>
      </c>
      <c r="F341" s="5" t="str">
        <f t="array" ref="F341">IF(W341=1,INDEX('Input Kegiatan'!D$2:D905,MATCH($D341,'Input Kegiatan'!$A$2:$A905,0)),"")</f>
        <v/>
      </c>
      <c r="G341" s="5" t="str">
        <f t="array" ref="G341">IF(W341=1,INDEX('Input Kegiatan'!E$2:E905,MATCH($D341,'Input Kegiatan'!$A$2:$A905,0)),"")</f>
        <v/>
      </c>
      <c r="H341" s="5" t="str">
        <f t="array" ref="H341">IF(W341=1,INDEX(Honor!$H$2:$H905,MATCH($D341&amp;"-"&amp;R341,Honor!$K$2:$K905,0)),"")</f>
        <v/>
      </c>
      <c r="I341" s="8" t="str">
        <f>IF(W341=1,SUMIFS(Honor!$I$2:$I905,Honor!$K$2:$K905,$D341&amp;"-"&amp;R341),"")</f>
        <v/>
      </c>
      <c r="J341" s="9" t="str">
        <f t="shared" si="6"/>
        <v/>
      </c>
      <c r="K341" s="10" t="str">
        <f t="shared" si="0"/>
        <v/>
      </c>
      <c r="L341" s="10" t="str">
        <f t="shared" si="1"/>
        <v/>
      </c>
      <c r="M341" s="10" t="str">
        <f>IF(W341=1,IF(AND(U341&lt;2,INT(V341)&lt;='Batasan Honor'!$B$2),1,0),"")</f>
        <v/>
      </c>
      <c r="O341" s="10" t="str">
        <f t="shared" si="2"/>
        <v/>
      </c>
      <c r="P341" s="10" t="str">
        <f t="shared" si="3"/>
        <v/>
      </c>
      <c r="R341" s="23"/>
      <c r="S341" s="10" t="str">
        <f t="shared" si="4"/>
        <v/>
      </c>
      <c r="U341" s="10" t="str">
        <f ca="1">IFERROR(__xludf.DUMMYFUNCTION("if(W341=1,COUNTIFS(FILTER($H$2:$H905,$H$2:$H905=""OB"",$S$2:$S905=S341),""OB""),"""")"),"")</f>
        <v/>
      </c>
      <c r="V341" s="10" t="str">
        <f ca="1">IFERROR(__xludf.DUMMYFUNCTION("IF(OR(ISNA(SUM(FILTER($K$2:$K905,$A$2:$A905=A341,$S$2:$S905=S341,$H$2:$H905&lt;&gt;""OB""))),W341&lt;&gt;1),"""",SUM(FILTER($K$2:$K905,$A$2:$A905=A341,$S$2:$S905=S341,$H$2:$H905&lt;&gt;""OB"")))"),"")</f>
        <v/>
      </c>
      <c r="W341" s="10" t="str">
        <f t="shared" si="5"/>
        <v/>
      </c>
    </row>
    <row r="342" spans="1:23" ht="12.5">
      <c r="A342" s="23"/>
      <c r="B342" s="5" t="str">
        <f t="array" ref="B342">IF(W342=1,INDEX('Database Mitra'!$H$2:$H905,MATCH(A342,'Database Mitra'!AK$2:AK905,0)),"")</f>
        <v/>
      </c>
      <c r="C342" s="5" t="str">
        <f t="array" ref="C342">IF(W342=1,INDEX('Database Mitra'!$E$2:$E905,MATCH(A342,'Database Mitra'!AK$2:AK905,0)),"")</f>
        <v/>
      </c>
      <c r="D342" s="23"/>
      <c r="E342" s="5" t="str">
        <f t="array" ref="E342">IF(W342=1,INDEX('Input Kegiatan'!B$2:B905,MATCH($D342,'Input Kegiatan'!$A$2:$A905,0)),"")</f>
        <v/>
      </c>
      <c r="F342" s="5" t="str">
        <f t="array" ref="F342">IF(W342=1,INDEX('Input Kegiatan'!D$2:D905,MATCH($D342,'Input Kegiatan'!$A$2:$A905,0)),"")</f>
        <v/>
      </c>
      <c r="G342" s="5" t="str">
        <f t="array" ref="G342">IF(W342=1,INDEX('Input Kegiatan'!E$2:E905,MATCH($D342,'Input Kegiatan'!$A$2:$A905,0)),"")</f>
        <v/>
      </c>
      <c r="H342" s="5" t="str">
        <f t="array" ref="H342">IF(W342=1,INDEX(Honor!$H$2:$H905,MATCH($D342&amp;"-"&amp;R342,Honor!$K$2:$K905,0)),"")</f>
        <v/>
      </c>
      <c r="I342" s="8" t="str">
        <f>IF(W342=1,SUMIFS(Honor!$I$2:$I905,Honor!$K$2:$K905,$D342&amp;"-"&amp;R342),"")</f>
        <v/>
      </c>
      <c r="J342" s="9" t="str">
        <f t="shared" si="6"/>
        <v/>
      </c>
      <c r="K342" s="10" t="str">
        <f t="shared" si="0"/>
        <v/>
      </c>
      <c r="L342" s="10" t="str">
        <f t="shared" si="1"/>
        <v/>
      </c>
      <c r="M342" s="10" t="str">
        <f>IF(W342=1,IF(AND(U342&lt;2,INT(V342)&lt;='Batasan Honor'!$B$2),1,0),"")</f>
        <v/>
      </c>
      <c r="O342" s="10" t="str">
        <f t="shared" si="2"/>
        <v/>
      </c>
      <c r="P342" s="10" t="str">
        <f t="shared" si="3"/>
        <v/>
      </c>
      <c r="R342" s="23"/>
      <c r="S342" s="10" t="str">
        <f t="shared" si="4"/>
        <v/>
      </c>
      <c r="U342" s="10" t="str">
        <f ca="1">IFERROR(__xludf.DUMMYFUNCTION("if(W342=1,COUNTIFS(FILTER($H$2:$H905,$H$2:$H905=""OB"",$S$2:$S905=S342),""OB""),"""")"),"")</f>
        <v/>
      </c>
      <c r="V342" s="10" t="str">
        <f ca="1">IFERROR(__xludf.DUMMYFUNCTION("IF(OR(ISNA(SUM(FILTER($K$2:$K905,$A$2:$A905=A342,$S$2:$S905=S342,$H$2:$H905&lt;&gt;""OB""))),W342&lt;&gt;1),"""",SUM(FILTER($K$2:$K905,$A$2:$A905=A342,$S$2:$S905=S342,$H$2:$H905&lt;&gt;""OB"")))"),"")</f>
        <v/>
      </c>
      <c r="W342" s="10" t="str">
        <f t="shared" si="5"/>
        <v/>
      </c>
    </row>
    <row r="343" spans="1:23" ht="12.5">
      <c r="A343" s="23"/>
      <c r="B343" s="5" t="str">
        <f t="array" ref="B343">IF(W343=1,INDEX('Database Mitra'!$H$2:$H905,MATCH(A343,'Database Mitra'!AK$2:AK905,0)),"")</f>
        <v/>
      </c>
      <c r="C343" s="5" t="str">
        <f t="array" ref="C343">IF(W343=1,INDEX('Database Mitra'!$E$2:$E905,MATCH(A343,'Database Mitra'!AK$2:AK905,0)),"")</f>
        <v/>
      </c>
      <c r="D343" s="23"/>
      <c r="E343" s="5" t="str">
        <f t="array" ref="E343">IF(W343=1,INDEX('Input Kegiatan'!B$2:B905,MATCH($D343,'Input Kegiatan'!$A$2:$A905,0)),"")</f>
        <v/>
      </c>
      <c r="F343" s="5" t="str">
        <f t="array" ref="F343">IF(W343=1,INDEX('Input Kegiatan'!D$2:D905,MATCH($D343,'Input Kegiatan'!$A$2:$A905,0)),"")</f>
        <v/>
      </c>
      <c r="G343" s="5" t="str">
        <f t="array" ref="G343">IF(W343=1,INDEX('Input Kegiatan'!E$2:E905,MATCH($D343,'Input Kegiatan'!$A$2:$A905,0)),"")</f>
        <v/>
      </c>
      <c r="H343" s="5" t="str">
        <f t="array" ref="H343">IF(W343=1,INDEX(Honor!$H$2:$H905,MATCH($D343&amp;"-"&amp;R343,Honor!$K$2:$K905,0)),"")</f>
        <v/>
      </c>
      <c r="I343" s="8" t="str">
        <f>IF(W343=1,SUMIFS(Honor!$I$2:$I905,Honor!$K$2:$K905,$D343&amp;"-"&amp;R343),"")</f>
        <v/>
      </c>
      <c r="J343" s="9" t="str">
        <f t="shared" si="6"/>
        <v/>
      </c>
      <c r="K343" s="10" t="str">
        <f t="shared" si="0"/>
        <v/>
      </c>
      <c r="L343" s="10" t="str">
        <f t="shared" si="1"/>
        <v/>
      </c>
      <c r="M343" s="10" t="str">
        <f>IF(W343=1,IF(AND(U343&lt;2,INT(V343)&lt;='Batasan Honor'!$B$2),1,0),"")</f>
        <v/>
      </c>
      <c r="O343" s="10" t="str">
        <f t="shared" si="2"/>
        <v/>
      </c>
      <c r="P343" s="10" t="str">
        <f t="shared" si="3"/>
        <v/>
      </c>
      <c r="R343" s="23"/>
      <c r="S343" s="10" t="str">
        <f t="shared" si="4"/>
        <v/>
      </c>
      <c r="U343" s="10" t="str">
        <f ca="1">IFERROR(__xludf.DUMMYFUNCTION("if(W343=1,COUNTIFS(FILTER($H$2:$H905,$H$2:$H905=""OB"",$S$2:$S905=S343),""OB""),"""")"),"")</f>
        <v/>
      </c>
      <c r="V343" s="10" t="str">
        <f ca="1">IFERROR(__xludf.DUMMYFUNCTION("IF(OR(ISNA(SUM(FILTER($K$2:$K905,$A$2:$A905=A343,$S$2:$S905=S343,$H$2:$H905&lt;&gt;""OB""))),W343&lt;&gt;1),"""",SUM(FILTER($K$2:$K905,$A$2:$A905=A343,$S$2:$S905=S343,$H$2:$H905&lt;&gt;""OB"")))"),"")</f>
        <v/>
      </c>
      <c r="W343" s="10" t="str">
        <f t="shared" si="5"/>
        <v/>
      </c>
    </row>
    <row r="344" spans="1:23" ht="12.5">
      <c r="A344" s="23"/>
      <c r="B344" s="5" t="str">
        <f t="array" ref="B344">IF(W344=1,INDEX('Database Mitra'!$H$2:$H905,MATCH(A344,'Database Mitra'!AK$2:AK905,0)),"")</f>
        <v/>
      </c>
      <c r="C344" s="5" t="str">
        <f t="array" ref="C344">IF(W344=1,INDEX('Database Mitra'!$E$2:$E905,MATCH(A344,'Database Mitra'!AK$2:AK905,0)),"")</f>
        <v/>
      </c>
      <c r="D344" s="23"/>
      <c r="E344" s="5" t="str">
        <f t="array" ref="E344">IF(W344=1,INDEX('Input Kegiatan'!B$2:B905,MATCH($D344,'Input Kegiatan'!$A$2:$A905,0)),"")</f>
        <v/>
      </c>
      <c r="F344" s="5" t="str">
        <f t="array" ref="F344">IF(W344=1,INDEX('Input Kegiatan'!D$2:D905,MATCH($D344,'Input Kegiatan'!$A$2:$A905,0)),"")</f>
        <v/>
      </c>
      <c r="G344" s="5" t="str">
        <f t="array" ref="G344">IF(W344=1,INDEX('Input Kegiatan'!E$2:E905,MATCH($D344,'Input Kegiatan'!$A$2:$A905,0)),"")</f>
        <v/>
      </c>
      <c r="H344" s="5" t="str">
        <f t="array" ref="H344">IF(W344=1,INDEX(Honor!$H$2:$H905,MATCH($D344&amp;"-"&amp;R344,Honor!$K$2:$K905,0)),"")</f>
        <v/>
      </c>
      <c r="I344" s="8" t="str">
        <f>IF(W344=1,SUMIFS(Honor!$I$2:$I905,Honor!$K$2:$K905,$D344&amp;"-"&amp;R344),"")</f>
        <v/>
      </c>
      <c r="J344" s="9" t="str">
        <f t="shared" si="6"/>
        <v/>
      </c>
      <c r="K344" s="10" t="str">
        <f t="shared" si="0"/>
        <v/>
      </c>
      <c r="L344" s="10" t="str">
        <f t="shared" si="1"/>
        <v/>
      </c>
      <c r="M344" s="10" t="str">
        <f>IF(W344=1,IF(AND(U344&lt;2,INT(V344)&lt;='Batasan Honor'!$B$2),1,0),"")</f>
        <v/>
      </c>
      <c r="O344" s="10" t="str">
        <f t="shared" si="2"/>
        <v/>
      </c>
      <c r="P344" s="10" t="str">
        <f t="shared" si="3"/>
        <v/>
      </c>
      <c r="R344" s="23"/>
      <c r="S344" s="10" t="str">
        <f t="shared" si="4"/>
        <v/>
      </c>
      <c r="U344" s="10" t="str">
        <f ca="1">IFERROR(__xludf.DUMMYFUNCTION("if(W344=1,COUNTIFS(FILTER($H$2:$H905,$H$2:$H905=""OB"",$S$2:$S905=S344),""OB""),"""")"),"")</f>
        <v/>
      </c>
      <c r="V344" s="10" t="str">
        <f ca="1">IFERROR(__xludf.DUMMYFUNCTION("IF(OR(ISNA(SUM(FILTER($K$2:$K905,$A$2:$A905=A344,$S$2:$S905=S344,$H$2:$H905&lt;&gt;""OB""))),W344&lt;&gt;1),"""",SUM(FILTER($K$2:$K905,$A$2:$A905=A344,$S$2:$S905=S344,$H$2:$H905&lt;&gt;""OB"")))"),"")</f>
        <v/>
      </c>
      <c r="W344" s="10" t="str">
        <f t="shared" si="5"/>
        <v/>
      </c>
    </row>
    <row r="345" spans="1:23" ht="12.5">
      <c r="A345" s="23"/>
      <c r="B345" s="5" t="str">
        <f t="array" ref="B345">IF(W345=1,INDEX('Database Mitra'!$H$2:$H905,MATCH(A345,'Database Mitra'!AK$2:AK905,0)),"")</f>
        <v/>
      </c>
      <c r="C345" s="5" t="str">
        <f t="array" ref="C345">IF(W345=1,INDEX('Database Mitra'!$E$2:$E905,MATCH(A345,'Database Mitra'!AK$2:AK905,0)),"")</f>
        <v/>
      </c>
      <c r="D345" s="23"/>
      <c r="E345" s="5" t="str">
        <f t="array" ref="E345">IF(W345=1,INDEX('Input Kegiatan'!B$2:B905,MATCH($D345,'Input Kegiatan'!$A$2:$A905,0)),"")</f>
        <v/>
      </c>
      <c r="F345" s="5" t="str">
        <f t="array" ref="F345">IF(W345=1,INDEX('Input Kegiatan'!D$2:D905,MATCH($D345,'Input Kegiatan'!$A$2:$A905,0)),"")</f>
        <v/>
      </c>
      <c r="G345" s="5" t="str">
        <f t="array" ref="G345">IF(W345=1,INDEX('Input Kegiatan'!E$2:E905,MATCH($D345,'Input Kegiatan'!$A$2:$A905,0)),"")</f>
        <v/>
      </c>
      <c r="H345" s="5" t="str">
        <f t="array" ref="H345">IF(W345=1,INDEX(Honor!$H$2:$H905,MATCH($D345&amp;"-"&amp;R345,Honor!$K$2:$K905,0)),"")</f>
        <v/>
      </c>
      <c r="I345" s="8" t="str">
        <f>IF(W345=1,SUMIFS(Honor!$I$2:$I905,Honor!$K$2:$K905,$D345&amp;"-"&amp;R345),"")</f>
        <v/>
      </c>
      <c r="J345" s="9" t="str">
        <f t="shared" si="6"/>
        <v/>
      </c>
      <c r="K345" s="10" t="str">
        <f t="shared" si="0"/>
        <v/>
      </c>
      <c r="L345" s="10" t="str">
        <f t="shared" si="1"/>
        <v/>
      </c>
      <c r="M345" s="10" t="str">
        <f>IF(W345=1,IF(AND(U345&lt;2,INT(V345)&lt;='Batasan Honor'!$B$2),1,0),"")</f>
        <v/>
      </c>
      <c r="O345" s="10" t="str">
        <f t="shared" si="2"/>
        <v/>
      </c>
      <c r="P345" s="10" t="str">
        <f t="shared" si="3"/>
        <v/>
      </c>
      <c r="R345" s="23"/>
      <c r="S345" s="10" t="str">
        <f t="shared" si="4"/>
        <v/>
      </c>
      <c r="U345" s="10" t="str">
        <f ca="1">IFERROR(__xludf.DUMMYFUNCTION("if(W345=1,COUNTIFS(FILTER($H$2:$H905,$H$2:$H905=""OB"",$S$2:$S905=S345),""OB""),"""")"),"")</f>
        <v/>
      </c>
      <c r="V345" s="10" t="str">
        <f ca="1">IFERROR(__xludf.DUMMYFUNCTION("IF(OR(ISNA(SUM(FILTER($K$2:$K905,$A$2:$A905=A345,$S$2:$S905=S345,$H$2:$H905&lt;&gt;""OB""))),W345&lt;&gt;1),"""",SUM(FILTER($K$2:$K905,$A$2:$A905=A345,$S$2:$S905=S345,$H$2:$H905&lt;&gt;""OB"")))"),"")</f>
        <v/>
      </c>
      <c r="W345" s="10" t="str">
        <f t="shared" si="5"/>
        <v/>
      </c>
    </row>
    <row r="346" spans="1:23" ht="12.5">
      <c r="A346" s="23"/>
      <c r="B346" s="5" t="str">
        <f t="array" ref="B346">IF(W346=1,INDEX('Database Mitra'!$H$2:$H905,MATCH(A346,'Database Mitra'!AK$2:AK905,0)),"")</f>
        <v/>
      </c>
      <c r="C346" s="5" t="str">
        <f t="array" ref="C346">IF(W346=1,INDEX('Database Mitra'!$E$2:$E905,MATCH(A346,'Database Mitra'!AK$2:AK905,0)),"")</f>
        <v/>
      </c>
      <c r="D346" s="23"/>
      <c r="E346" s="5" t="str">
        <f t="array" ref="E346">IF(W346=1,INDEX('Input Kegiatan'!B$2:B905,MATCH($D346,'Input Kegiatan'!$A$2:$A905,0)),"")</f>
        <v/>
      </c>
      <c r="F346" s="5" t="str">
        <f t="array" ref="F346">IF(W346=1,INDEX('Input Kegiatan'!D$2:D905,MATCH($D346,'Input Kegiatan'!$A$2:$A905,0)),"")</f>
        <v/>
      </c>
      <c r="G346" s="5" t="str">
        <f t="array" ref="G346">IF(W346=1,INDEX('Input Kegiatan'!E$2:E905,MATCH($D346,'Input Kegiatan'!$A$2:$A905,0)),"")</f>
        <v/>
      </c>
      <c r="H346" s="5" t="str">
        <f t="array" ref="H346">IF(W346=1,INDEX(Honor!$H$2:$H905,MATCH($D346&amp;"-"&amp;R346,Honor!$K$2:$K905,0)),"")</f>
        <v/>
      </c>
      <c r="I346" s="8" t="str">
        <f>IF(W346=1,SUMIFS(Honor!$I$2:$I905,Honor!$K$2:$K905,$D346&amp;"-"&amp;R346),"")</f>
        <v/>
      </c>
      <c r="J346" s="9" t="str">
        <f t="shared" si="6"/>
        <v/>
      </c>
      <c r="K346" s="10" t="str">
        <f t="shared" si="0"/>
        <v/>
      </c>
      <c r="L346" s="10" t="str">
        <f t="shared" si="1"/>
        <v/>
      </c>
      <c r="M346" s="10" t="str">
        <f>IF(W346=1,IF(AND(U346&lt;2,INT(V346)&lt;='Batasan Honor'!$B$2),1,0),"")</f>
        <v/>
      </c>
      <c r="O346" s="10" t="str">
        <f t="shared" si="2"/>
        <v/>
      </c>
      <c r="P346" s="10" t="str">
        <f t="shared" si="3"/>
        <v/>
      </c>
      <c r="R346" s="23"/>
      <c r="S346" s="10" t="str">
        <f t="shared" si="4"/>
        <v/>
      </c>
      <c r="U346" s="10" t="str">
        <f ca="1">IFERROR(__xludf.DUMMYFUNCTION("if(W346=1,COUNTIFS(FILTER($H$2:$H905,$H$2:$H905=""OB"",$S$2:$S905=S346),""OB""),"""")"),"")</f>
        <v/>
      </c>
      <c r="V346" s="10" t="str">
        <f ca="1">IFERROR(__xludf.DUMMYFUNCTION("IF(OR(ISNA(SUM(FILTER($K$2:$K905,$A$2:$A905=A346,$S$2:$S905=S346,$H$2:$H905&lt;&gt;""OB""))),W346&lt;&gt;1),"""",SUM(FILTER($K$2:$K905,$A$2:$A905=A346,$S$2:$S905=S346,$H$2:$H905&lt;&gt;""OB"")))"),"")</f>
        <v/>
      </c>
      <c r="W346" s="10" t="str">
        <f t="shared" si="5"/>
        <v/>
      </c>
    </row>
    <row r="347" spans="1:23" ht="12.5">
      <c r="A347" s="23"/>
      <c r="B347" s="5" t="str">
        <f t="array" ref="B347">IF(W347=1,INDEX('Database Mitra'!$H$2:$H905,MATCH(A347,'Database Mitra'!AK$2:AK905,0)),"")</f>
        <v/>
      </c>
      <c r="C347" s="5" t="str">
        <f t="array" ref="C347">IF(W347=1,INDEX('Database Mitra'!$E$2:$E905,MATCH(A347,'Database Mitra'!AK$2:AK905,0)),"")</f>
        <v/>
      </c>
      <c r="D347" s="23"/>
      <c r="E347" s="5" t="str">
        <f t="array" ref="E347">IF(W347=1,INDEX('Input Kegiatan'!B$2:B905,MATCH($D347,'Input Kegiatan'!$A$2:$A905,0)),"")</f>
        <v/>
      </c>
      <c r="F347" s="5" t="str">
        <f t="array" ref="F347">IF(W347=1,INDEX('Input Kegiatan'!D$2:D905,MATCH($D347,'Input Kegiatan'!$A$2:$A905,0)),"")</f>
        <v/>
      </c>
      <c r="G347" s="5" t="str">
        <f t="array" ref="G347">IF(W347=1,INDEX('Input Kegiatan'!E$2:E905,MATCH($D347,'Input Kegiatan'!$A$2:$A905,0)),"")</f>
        <v/>
      </c>
      <c r="H347" s="5" t="str">
        <f t="array" ref="H347">IF(W347=1,INDEX(Honor!$H$2:$H905,MATCH($D347&amp;"-"&amp;R347,Honor!$K$2:$K905,0)),"")</f>
        <v/>
      </c>
      <c r="I347" s="8" t="str">
        <f>IF(W347=1,SUMIFS(Honor!$I$2:$I905,Honor!$K$2:$K905,$D347&amp;"-"&amp;R347),"")</f>
        <v/>
      </c>
      <c r="J347" s="9" t="str">
        <f t="shared" si="6"/>
        <v/>
      </c>
      <c r="K347" s="10" t="str">
        <f t="shared" si="0"/>
        <v/>
      </c>
      <c r="L347" s="10" t="str">
        <f t="shared" si="1"/>
        <v/>
      </c>
      <c r="M347" s="10" t="str">
        <f>IF(W347=1,IF(AND(U347&lt;2,INT(V347)&lt;='Batasan Honor'!$B$2),1,0),"")</f>
        <v/>
      </c>
      <c r="O347" s="10" t="str">
        <f t="shared" si="2"/>
        <v/>
      </c>
      <c r="P347" s="10" t="str">
        <f t="shared" si="3"/>
        <v/>
      </c>
      <c r="R347" s="23"/>
      <c r="S347" s="10" t="str">
        <f t="shared" si="4"/>
        <v/>
      </c>
      <c r="U347" s="10" t="str">
        <f ca="1">IFERROR(__xludf.DUMMYFUNCTION("if(W347=1,COUNTIFS(FILTER($H$2:$H905,$H$2:$H905=""OB"",$S$2:$S905=S347),""OB""),"""")"),"")</f>
        <v/>
      </c>
      <c r="V347" s="10" t="str">
        <f ca="1">IFERROR(__xludf.DUMMYFUNCTION("IF(OR(ISNA(SUM(FILTER($K$2:$K905,$A$2:$A905=A347,$S$2:$S905=S347,$H$2:$H905&lt;&gt;""OB""))),W347&lt;&gt;1),"""",SUM(FILTER($K$2:$K905,$A$2:$A905=A347,$S$2:$S905=S347,$H$2:$H905&lt;&gt;""OB"")))"),"")</f>
        <v/>
      </c>
      <c r="W347" s="10" t="str">
        <f t="shared" si="5"/>
        <v/>
      </c>
    </row>
    <row r="348" spans="1:23" ht="12.5">
      <c r="A348" s="23"/>
      <c r="B348" s="5" t="str">
        <f t="array" ref="B348">IF(W348=1,INDEX('Database Mitra'!$H$2:$H905,MATCH(A348,'Database Mitra'!AK$2:AK905,0)),"")</f>
        <v/>
      </c>
      <c r="C348" s="5" t="str">
        <f t="array" ref="C348">IF(W348=1,INDEX('Database Mitra'!$E$2:$E905,MATCH(A348,'Database Mitra'!AK$2:AK905,0)),"")</f>
        <v/>
      </c>
      <c r="D348" s="23"/>
      <c r="E348" s="5" t="str">
        <f t="array" ref="E348">IF(W348=1,INDEX('Input Kegiatan'!B$2:B905,MATCH($D348,'Input Kegiatan'!$A$2:$A905,0)),"")</f>
        <v/>
      </c>
      <c r="F348" s="5" t="str">
        <f t="array" ref="F348">IF(W348=1,INDEX('Input Kegiatan'!D$2:D905,MATCH($D348,'Input Kegiatan'!$A$2:$A905,0)),"")</f>
        <v/>
      </c>
      <c r="G348" s="5" t="str">
        <f t="array" ref="G348">IF(W348=1,INDEX('Input Kegiatan'!E$2:E905,MATCH($D348,'Input Kegiatan'!$A$2:$A905,0)),"")</f>
        <v/>
      </c>
      <c r="H348" s="5" t="str">
        <f t="array" ref="H348">IF(W348=1,INDEX(Honor!$H$2:$H905,MATCH($D348&amp;"-"&amp;R348,Honor!$K$2:$K905,0)),"")</f>
        <v/>
      </c>
      <c r="I348" s="8" t="str">
        <f>IF(W348=1,SUMIFS(Honor!$I$2:$I905,Honor!$K$2:$K905,$D348&amp;"-"&amp;R348),"")</f>
        <v/>
      </c>
      <c r="J348" s="9" t="str">
        <f t="shared" si="6"/>
        <v/>
      </c>
      <c r="K348" s="10" t="str">
        <f t="shared" si="0"/>
        <v/>
      </c>
      <c r="L348" s="10" t="str">
        <f t="shared" si="1"/>
        <v/>
      </c>
      <c r="M348" s="10" t="str">
        <f>IF(W348=1,IF(AND(U348&lt;2,INT(V348)&lt;='Batasan Honor'!$B$2),1,0),"")</f>
        <v/>
      </c>
      <c r="O348" s="10" t="str">
        <f t="shared" si="2"/>
        <v/>
      </c>
      <c r="P348" s="10" t="str">
        <f t="shared" si="3"/>
        <v/>
      </c>
      <c r="R348" s="23"/>
      <c r="S348" s="10" t="str">
        <f t="shared" si="4"/>
        <v/>
      </c>
      <c r="U348" s="10" t="str">
        <f ca="1">IFERROR(__xludf.DUMMYFUNCTION("if(W348=1,COUNTIFS(FILTER($H$2:$H905,$H$2:$H905=""OB"",$S$2:$S905=S348),""OB""),"""")"),"")</f>
        <v/>
      </c>
      <c r="V348" s="10" t="str">
        <f ca="1">IFERROR(__xludf.DUMMYFUNCTION("IF(OR(ISNA(SUM(FILTER($K$2:$K905,$A$2:$A905=A348,$S$2:$S905=S348,$H$2:$H905&lt;&gt;""OB""))),W348&lt;&gt;1),"""",SUM(FILTER($K$2:$K905,$A$2:$A905=A348,$S$2:$S905=S348,$H$2:$H905&lt;&gt;""OB"")))"),"")</f>
        <v/>
      </c>
      <c r="W348" s="10" t="str">
        <f t="shared" si="5"/>
        <v/>
      </c>
    </row>
    <row r="349" spans="1:23" ht="12.5">
      <c r="A349" s="23"/>
      <c r="B349" s="5" t="str">
        <f t="array" ref="B349">IF(W349=1,INDEX('Database Mitra'!$H$2:$H905,MATCH(A349,'Database Mitra'!AK$2:AK905,0)),"")</f>
        <v/>
      </c>
      <c r="C349" s="5" t="str">
        <f t="array" ref="C349">IF(W349=1,INDEX('Database Mitra'!$E$2:$E905,MATCH(A349,'Database Mitra'!AK$2:AK905,0)),"")</f>
        <v/>
      </c>
      <c r="D349" s="23"/>
      <c r="E349" s="5" t="str">
        <f t="array" ref="E349">IF(W349=1,INDEX('Input Kegiatan'!B$2:B905,MATCH($D349,'Input Kegiatan'!$A$2:$A905,0)),"")</f>
        <v/>
      </c>
      <c r="F349" s="5" t="str">
        <f t="array" ref="F349">IF(W349=1,INDEX('Input Kegiatan'!D$2:D905,MATCH($D349,'Input Kegiatan'!$A$2:$A905,0)),"")</f>
        <v/>
      </c>
      <c r="G349" s="5" t="str">
        <f t="array" ref="G349">IF(W349=1,INDEX('Input Kegiatan'!E$2:E905,MATCH($D349,'Input Kegiatan'!$A$2:$A905,0)),"")</f>
        <v/>
      </c>
      <c r="H349" s="5" t="str">
        <f t="array" ref="H349">IF(W349=1,INDEX(Honor!$H$2:$H905,MATCH($D349&amp;"-"&amp;R349,Honor!$K$2:$K905,0)),"")</f>
        <v/>
      </c>
      <c r="I349" s="8" t="str">
        <f>IF(W349=1,SUMIFS(Honor!$I$2:$I905,Honor!$K$2:$K905,$D349&amp;"-"&amp;R349),"")</f>
        <v/>
      </c>
      <c r="J349" s="9" t="str">
        <f t="shared" si="6"/>
        <v/>
      </c>
      <c r="K349" s="10" t="str">
        <f t="shared" si="0"/>
        <v/>
      </c>
      <c r="L349" s="10" t="str">
        <f t="shared" si="1"/>
        <v/>
      </c>
      <c r="M349" s="10" t="str">
        <f>IF(W349=1,IF(AND(U349&lt;2,INT(V349)&lt;='Batasan Honor'!$B$2),1,0),"")</f>
        <v/>
      </c>
      <c r="O349" s="10" t="str">
        <f t="shared" si="2"/>
        <v/>
      </c>
      <c r="P349" s="10" t="str">
        <f t="shared" si="3"/>
        <v/>
      </c>
      <c r="R349" s="23"/>
      <c r="S349" s="10" t="str">
        <f t="shared" si="4"/>
        <v/>
      </c>
      <c r="U349" s="10" t="str">
        <f ca="1">IFERROR(__xludf.DUMMYFUNCTION("if(W349=1,COUNTIFS(FILTER($H$2:$H905,$H$2:$H905=""OB"",$S$2:$S905=S349),""OB""),"""")"),"")</f>
        <v/>
      </c>
      <c r="V349" s="10" t="str">
        <f ca="1">IFERROR(__xludf.DUMMYFUNCTION("IF(OR(ISNA(SUM(FILTER($K$2:$K905,$A$2:$A905=A349,$S$2:$S905=S349,$H$2:$H905&lt;&gt;""OB""))),W349&lt;&gt;1),"""",SUM(FILTER($K$2:$K905,$A$2:$A905=A349,$S$2:$S905=S349,$H$2:$H905&lt;&gt;""OB"")))"),"")</f>
        <v/>
      </c>
      <c r="W349" s="10" t="str">
        <f t="shared" si="5"/>
        <v/>
      </c>
    </row>
    <row r="350" spans="1:23" ht="12.5">
      <c r="A350" s="23"/>
      <c r="B350" s="5" t="str">
        <f t="array" ref="B350">IF(W350=1,INDEX('Database Mitra'!$H$2:$H905,MATCH(A350,'Database Mitra'!AK$2:AK905,0)),"")</f>
        <v/>
      </c>
      <c r="C350" s="5" t="str">
        <f t="array" ref="C350">IF(W350=1,INDEX('Database Mitra'!$E$2:$E905,MATCH(A350,'Database Mitra'!AK$2:AK905,0)),"")</f>
        <v/>
      </c>
      <c r="D350" s="23"/>
      <c r="E350" s="5" t="str">
        <f t="array" ref="E350">IF(W350=1,INDEX('Input Kegiatan'!B$2:B905,MATCH($D350,'Input Kegiatan'!$A$2:$A905,0)),"")</f>
        <v/>
      </c>
      <c r="F350" s="5" t="str">
        <f t="array" ref="F350">IF(W350=1,INDEX('Input Kegiatan'!D$2:D905,MATCH($D350,'Input Kegiatan'!$A$2:$A905,0)),"")</f>
        <v/>
      </c>
      <c r="G350" s="5" t="str">
        <f t="array" ref="G350">IF(W350=1,INDEX('Input Kegiatan'!E$2:E905,MATCH($D350,'Input Kegiatan'!$A$2:$A905,0)),"")</f>
        <v/>
      </c>
      <c r="H350" s="5" t="str">
        <f t="array" ref="H350">IF(W350=1,INDEX(Honor!$H$2:$H905,MATCH($D350&amp;"-"&amp;R350,Honor!$K$2:$K905,0)),"")</f>
        <v/>
      </c>
      <c r="I350" s="8" t="str">
        <f>IF(W350=1,SUMIFS(Honor!$I$2:$I905,Honor!$K$2:$K905,$D350&amp;"-"&amp;R350),"")</f>
        <v/>
      </c>
      <c r="J350" s="9" t="str">
        <f t="shared" si="6"/>
        <v/>
      </c>
      <c r="K350" s="10" t="str">
        <f t="shared" si="0"/>
        <v/>
      </c>
      <c r="L350" s="10" t="str">
        <f t="shared" si="1"/>
        <v/>
      </c>
      <c r="M350" s="10" t="str">
        <f>IF(W350=1,IF(AND(U350&lt;2,INT(V350)&lt;='Batasan Honor'!$B$2),1,0),"")</f>
        <v/>
      </c>
      <c r="O350" s="10" t="str">
        <f t="shared" si="2"/>
        <v/>
      </c>
      <c r="P350" s="10" t="str">
        <f t="shared" si="3"/>
        <v/>
      </c>
      <c r="R350" s="23"/>
      <c r="S350" s="10" t="str">
        <f t="shared" si="4"/>
        <v/>
      </c>
      <c r="U350" s="10" t="str">
        <f ca="1">IFERROR(__xludf.DUMMYFUNCTION("if(W350=1,COUNTIFS(FILTER($H$2:$H905,$H$2:$H905=""OB"",$S$2:$S905=S350),""OB""),"""")"),"")</f>
        <v/>
      </c>
      <c r="V350" s="10" t="str">
        <f ca="1">IFERROR(__xludf.DUMMYFUNCTION("IF(OR(ISNA(SUM(FILTER($K$2:$K905,$A$2:$A905=A350,$S$2:$S905=S350,$H$2:$H905&lt;&gt;""OB""))),W350&lt;&gt;1),"""",SUM(FILTER($K$2:$K905,$A$2:$A905=A350,$S$2:$S905=S350,$H$2:$H905&lt;&gt;""OB"")))"),"")</f>
        <v/>
      </c>
      <c r="W350" s="10" t="str">
        <f t="shared" si="5"/>
        <v/>
      </c>
    </row>
    <row r="351" spans="1:23" ht="12.5">
      <c r="A351" s="23"/>
      <c r="B351" s="5" t="str">
        <f t="array" ref="B351">IF(W351=1,INDEX('Database Mitra'!$H$2:$H905,MATCH(A351,'Database Mitra'!AK$2:AK905,0)),"")</f>
        <v/>
      </c>
      <c r="C351" s="5" t="str">
        <f t="array" ref="C351">IF(W351=1,INDEX('Database Mitra'!$E$2:$E905,MATCH(A351,'Database Mitra'!AK$2:AK905,0)),"")</f>
        <v/>
      </c>
      <c r="D351" s="23"/>
      <c r="E351" s="5" t="str">
        <f t="array" ref="E351">IF(W351=1,INDEX('Input Kegiatan'!B$2:B905,MATCH($D351,'Input Kegiatan'!$A$2:$A905,0)),"")</f>
        <v/>
      </c>
      <c r="F351" s="5" t="str">
        <f t="array" ref="F351">IF(W351=1,INDEX('Input Kegiatan'!D$2:D905,MATCH($D351,'Input Kegiatan'!$A$2:$A905,0)),"")</f>
        <v/>
      </c>
      <c r="G351" s="5" t="str">
        <f t="array" ref="G351">IF(W351=1,INDEX('Input Kegiatan'!E$2:E905,MATCH($D351,'Input Kegiatan'!$A$2:$A905,0)),"")</f>
        <v/>
      </c>
      <c r="H351" s="5" t="str">
        <f t="array" ref="H351">IF(W351=1,INDEX(Honor!$H$2:$H905,MATCH($D351&amp;"-"&amp;R351,Honor!$K$2:$K905,0)),"")</f>
        <v/>
      </c>
      <c r="I351" s="8" t="str">
        <f>IF(W351=1,SUMIFS(Honor!$I$2:$I905,Honor!$K$2:$K905,$D351&amp;"-"&amp;R351),"")</f>
        <v/>
      </c>
      <c r="J351" s="9" t="str">
        <f t="shared" si="6"/>
        <v/>
      </c>
      <c r="K351" s="10" t="str">
        <f t="shared" si="0"/>
        <v/>
      </c>
      <c r="L351" s="10" t="str">
        <f t="shared" si="1"/>
        <v/>
      </c>
      <c r="M351" s="10" t="str">
        <f>IF(W351=1,IF(AND(U351&lt;2,INT(V351)&lt;='Batasan Honor'!$B$2),1,0),"")</f>
        <v/>
      </c>
      <c r="O351" s="10" t="str">
        <f t="shared" si="2"/>
        <v/>
      </c>
      <c r="P351" s="10" t="str">
        <f t="shared" si="3"/>
        <v/>
      </c>
      <c r="R351" s="23"/>
      <c r="S351" s="10" t="str">
        <f t="shared" si="4"/>
        <v/>
      </c>
      <c r="U351" s="10" t="str">
        <f ca="1">IFERROR(__xludf.DUMMYFUNCTION("if(W351=1,COUNTIFS(FILTER($H$2:$H905,$H$2:$H905=""OB"",$S$2:$S905=S351),""OB""),"""")"),"")</f>
        <v/>
      </c>
      <c r="V351" s="10" t="str">
        <f ca="1">IFERROR(__xludf.DUMMYFUNCTION("IF(OR(ISNA(SUM(FILTER($K$2:$K905,$A$2:$A905=A351,$S$2:$S905=S351,$H$2:$H905&lt;&gt;""OB""))),W351&lt;&gt;1),"""",SUM(FILTER($K$2:$K905,$A$2:$A905=A351,$S$2:$S905=S351,$H$2:$H905&lt;&gt;""OB"")))"),"")</f>
        <v/>
      </c>
      <c r="W351" s="10" t="str">
        <f t="shared" si="5"/>
        <v/>
      </c>
    </row>
    <row r="352" spans="1:23" ht="12.5">
      <c r="A352" s="23"/>
      <c r="B352" s="5" t="str">
        <f t="array" ref="B352">IF(W352=1,INDEX('Database Mitra'!$H$2:$H905,MATCH(A352,'Database Mitra'!AK$2:AK905,0)),"")</f>
        <v/>
      </c>
      <c r="C352" s="5" t="str">
        <f t="array" ref="C352">IF(W352=1,INDEX('Database Mitra'!$E$2:$E905,MATCH(A352,'Database Mitra'!AK$2:AK905,0)),"")</f>
        <v/>
      </c>
      <c r="D352" s="23"/>
      <c r="E352" s="5" t="str">
        <f t="array" ref="E352">IF(W352=1,INDEX('Input Kegiatan'!B$2:B905,MATCH($D352,'Input Kegiatan'!$A$2:$A905,0)),"")</f>
        <v/>
      </c>
      <c r="F352" s="5" t="str">
        <f t="array" ref="F352">IF(W352=1,INDEX('Input Kegiatan'!D$2:D905,MATCH($D352,'Input Kegiatan'!$A$2:$A905,0)),"")</f>
        <v/>
      </c>
      <c r="G352" s="5" t="str">
        <f t="array" ref="G352">IF(W352=1,INDEX('Input Kegiatan'!E$2:E905,MATCH($D352,'Input Kegiatan'!$A$2:$A905,0)),"")</f>
        <v/>
      </c>
      <c r="H352" s="5" t="str">
        <f t="array" ref="H352">IF(W352=1,INDEX(Honor!$H$2:$H905,MATCH($D352&amp;"-"&amp;R352,Honor!$K$2:$K905,0)),"")</f>
        <v/>
      </c>
      <c r="I352" s="8" t="str">
        <f>IF(W352=1,SUMIFS(Honor!$I$2:$I905,Honor!$K$2:$K905,$D352&amp;"-"&amp;R352),"")</f>
        <v/>
      </c>
      <c r="J352" s="9" t="str">
        <f t="shared" si="6"/>
        <v/>
      </c>
      <c r="K352" s="10" t="str">
        <f t="shared" si="0"/>
        <v/>
      </c>
      <c r="L352" s="10" t="str">
        <f t="shared" si="1"/>
        <v/>
      </c>
      <c r="M352" s="10" t="str">
        <f>IF(W352=1,IF(AND(U352&lt;2,INT(V352)&lt;='Batasan Honor'!$B$2),1,0),"")</f>
        <v/>
      </c>
      <c r="O352" s="10" t="str">
        <f t="shared" si="2"/>
        <v/>
      </c>
      <c r="P352" s="10" t="str">
        <f t="shared" si="3"/>
        <v/>
      </c>
      <c r="R352" s="23"/>
      <c r="S352" s="10" t="str">
        <f t="shared" si="4"/>
        <v/>
      </c>
      <c r="U352" s="10" t="str">
        <f ca="1">IFERROR(__xludf.DUMMYFUNCTION("if(W352=1,COUNTIFS(FILTER($H$2:$H905,$H$2:$H905=""OB"",$S$2:$S905=S352),""OB""),"""")"),"")</f>
        <v/>
      </c>
      <c r="V352" s="10" t="str">
        <f ca="1">IFERROR(__xludf.DUMMYFUNCTION("IF(OR(ISNA(SUM(FILTER($K$2:$K905,$A$2:$A905=A352,$S$2:$S905=S352,$H$2:$H905&lt;&gt;""OB""))),W352&lt;&gt;1),"""",SUM(FILTER($K$2:$K905,$A$2:$A905=A352,$S$2:$S905=S352,$H$2:$H905&lt;&gt;""OB"")))"),"")</f>
        <v/>
      </c>
      <c r="W352" s="10" t="str">
        <f t="shared" si="5"/>
        <v/>
      </c>
    </row>
    <row r="353" spans="1:23" ht="12.5">
      <c r="A353" s="23"/>
      <c r="B353" s="5" t="str">
        <f t="array" ref="B353">IF(W353=1,INDEX('Database Mitra'!$H$2:$H905,MATCH(A353,'Database Mitra'!AK$2:AK905,0)),"")</f>
        <v/>
      </c>
      <c r="C353" s="5" t="str">
        <f t="array" ref="C353">IF(W353=1,INDEX('Database Mitra'!$E$2:$E905,MATCH(A353,'Database Mitra'!AK$2:AK905,0)),"")</f>
        <v/>
      </c>
      <c r="D353" s="23"/>
      <c r="E353" s="5" t="str">
        <f t="array" ref="E353">IF(W353=1,INDEX('Input Kegiatan'!B$2:B905,MATCH($D353,'Input Kegiatan'!$A$2:$A905,0)),"")</f>
        <v/>
      </c>
      <c r="F353" s="5" t="str">
        <f t="array" ref="F353">IF(W353=1,INDEX('Input Kegiatan'!D$2:D905,MATCH($D353,'Input Kegiatan'!$A$2:$A905,0)),"")</f>
        <v/>
      </c>
      <c r="G353" s="5" t="str">
        <f t="array" ref="G353">IF(W353=1,INDEX('Input Kegiatan'!E$2:E905,MATCH($D353,'Input Kegiatan'!$A$2:$A905,0)),"")</f>
        <v/>
      </c>
      <c r="H353" s="5" t="str">
        <f t="array" ref="H353">IF(W353=1,INDEX(Honor!$H$2:$H905,MATCH($D353&amp;"-"&amp;R353,Honor!$K$2:$K905,0)),"")</f>
        <v/>
      </c>
      <c r="I353" s="8" t="str">
        <f>IF(W353=1,SUMIFS(Honor!$I$2:$I905,Honor!$K$2:$K905,$D353&amp;"-"&amp;R353),"")</f>
        <v/>
      </c>
      <c r="J353" s="9" t="str">
        <f t="shared" si="6"/>
        <v/>
      </c>
      <c r="K353" s="10" t="str">
        <f t="shared" si="0"/>
        <v/>
      </c>
      <c r="L353" s="10" t="str">
        <f t="shared" si="1"/>
        <v/>
      </c>
      <c r="M353" s="10" t="str">
        <f>IF(W353=1,IF(AND(U353&lt;2,INT(V353)&lt;='Batasan Honor'!$B$2),1,0),"")</f>
        <v/>
      </c>
      <c r="O353" s="10" t="str">
        <f t="shared" si="2"/>
        <v/>
      </c>
      <c r="P353" s="10" t="str">
        <f t="shared" si="3"/>
        <v/>
      </c>
      <c r="R353" s="23"/>
      <c r="S353" s="10" t="str">
        <f t="shared" si="4"/>
        <v/>
      </c>
      <c r="U353" s="10" t="str">
        <f ca="1">IFERROR(__xludf.DUMMYFUNCTION("if(W353=1,COUNTIFS(FILTER($H$2:$H905,$H$2:$H905=""OB"",$S$2:$S905=S353),""OB""),"""")"),"")</f>
        <v/>
      </c>
      <c r="V353" s="10" t="str">
        <f ca="1">IFERROR(__xludf.DUMMYFUNCTION("IF(OR(ISNA(SUM(FILTER($K$2:$K905,$A$2:$A905=A353,$S$2:$S905=S353,$H$2:$H905&lt;&gt;""OB""))),W353&lt;&gt;1),"""",SUM(FILTER($K$2:$K905,$A$2:$A905=A353,$S$2:$S905=S353,$H$2:$H905&lt;&gt;""OB"")))"),"")</f>
        <v/>
      </c>
      <c r="W353" s="10" t="str">
        <f t="shared" si="5"/>
        <v/>
      </c>
    </row>
    <row r="354" spans="1:23" ht="12.5">
      <c r="A354" s="23"/>
      <c r="B354" s="5" t="str">
        <f t="array" ref="B354">IF(W354=1,INDEX('Database Mitra'!$H$2:$H905,MATCH(A354,'Database Mitra'!AK$2:AK905,0)),"")</f>
        <v/>
      </c>
      <c r="C354" s="5" t="str">
        <f t="array" ref="C354">IF(W354=1,INDEX('Database Mitra'!$E$2:$E905,MATCH(A354,'Database Mitra'!AK$2:AK905,0)),"")</f>
        <v/>
      </c>
      <c r="D354" s="23"/>
      <c r="E354" s="5" t="str">
        <f t="array" ref="E354">IF(W354=1,INDEX('Input Kegiatan'!B$2:B905,MATCH($D354,'Input Kegiatan'!$A$2:$A905,0)),"")</f>
        <v/>
      </c>
      <c r="F354" s="5" t="str">
        <f t="array" ref="F354">IF(W354=1,INDEX('Input Kegiatan'!D$2:D905,MATCH($D354,'Input Kegiatan'!$A$2:$A905,0)),"")</f>
        <v/>
      </c>
      <c r="G354" s="5" t="str">
        <f t="array" ref="G354">IF(W354=1,INDEX('Input Kegiatan'!E$2:E905,MATCH($D354,'Input Kegiatan'!$A$2:$A905,0)),"")</f>
        <v/>
      </c>
      <c r="H354" s="5" t="str">
        <f t="array" ref="H354">IF(W354=1,INDEX(Honor!$H$2:$H905,MATCH($D354&amp;"-"&amp;R354,Honor!$K$2:$K905,0)),"")</f>
        <v/>
      </c>
      <c r="I354" s="8" t="str">
        <f>IF(W354=1,SUMIFS(Honor!$I$2:$I905,Honor!$K$2:$K905,$D354&amp;"-"&amp;R354),"")</f>
        <v/>
      </c>
      <c r="J354" s="9" t="str">
        <f t="shared" si="6"/>
        <v/>
      </c>
      <c r="K354" s="10" t="str">
        <f t="shared" si="0"/>
        <v/>
      </c>
      <c r="L354" s="10" t="str">
        <f t="shared" si="1"/>
        <v/>
      </c>
      <c r="M354" s="10" t="str">
        <f>IF(W354=1,IF(AND(U354&lt;2,INT(V354)&lt;='Batasan Honor'!$B$2),1,0),"")</f>
        <v/>
      </c>
      <c r="O354" s="10" t="str">
        <f t="shared" si="2"/>
        <v/>
      </c>
      <c r="P354" s="10" t="str">
        <f t="shared" si="3"/>
        <v/>
      </c>
      <c r="R354" s="23"/>
      <c r="S354" s="10" t="str">
        <f t="shared" si="4"/>
        <v/>
      </c>
      <c r="U354" s="10" t="str">
        <f ca="1">IFERROR(__xludf.DUMMYFUNCTION("if(W354=1,COUNTIFS(FILTER($H$2:$H905,$H$2:$H905=""OB"",$S$2:$S905=S354),""OB""),"""")"),"")</f>
        <v/>
      </c>
      <c r="V354" s="10" t="str">
        <f ca="1">IFERROR(__xludf.DUMMYFUNCTION("IF(OR(ISNA(SUM(FILTER($K$2:$K905,$A$2:$A905=A354,$S$2:$S905=S354,$H$2:$H905&lt;&gt;""OB""))),W354&lt;&gt;1),"""",SUM(FILTER($K$2:$K905,$A$2:$A905=A354,$S$2:$S905=S354,$H$2:$H905&lt;&gt;""OB"")))"),"")</f>
        <v/>
      </c>
      <c r="W354" s="10" t="str">
        <f t="shared" si="5"/>
        <v/>
      </c>
    </row>
    <row r="355" spans="1:23" ht="12.5">
      <c r="A355" s="23"/>
      <c r="B355" s="5" t="str">
        <f t="array" ref="B355">IF(W355=1,INDEX('Database Mitra'!$H$2:$H905,MATCH(A355,'Database Mitra'!AK$2:AK905,0)),"")</f>
        <v/>
      </c>
      <c r="C355" s="5" t="str">
        <f t="array" ref="C355">IF(W355=1,INDEX('Database Mitra'!$E$2:$E905,MATCH(A355,'Database Mitra'!AK$2:AK905,0)),"")</f>
        <v/>
      </c>
      <c r="D355" s="23"/>
      <c r="E355" s="5" t="str">
        <f t="array" ref="E355">IF(W355=1,INDEX('Input Kegiatan'!B$2:B905,MATCH($D355,'Input Kegiatan'!$A$2:$A905,0)),"")</f>
        <v/>
      </c>
      <c r="F355" s="5" t="str">
        <f t="array" ref="F355">IF(W355=1,INDEX('Input Kegiatan'!D$2:D905,MATCH($D355,'Input Kegiatan'!$A$2:$A905,0)),"")</f>
        <v/>
      </c>
      <c r="G355" s="5" t="str">
        <f t="array" ref="G355">IF(W355=1,INDEX('Input Kegiatan'!E$2:E905,MATCH($D355,'Input Kegiatan'!$A$2:$A905,0)),"")</f>
        <v/>
      </c>
      <c r="H355" s="5" t="str">
        <f t="array" ref="H355">IF(W355=1,INDEX(Honor!$H$2:$H905,MATCH($D355&amp;"-"&amp;R355,Honor!$K$2:$K905,0)),"")</f>
        <v/>
      </c>
      <c r="I355" s="8" t="str">
        <f>IF(W355=1,SUMIFS(Honor!$I$2:$I905,Honor!$K$2:$K905,$D355&amp;"-"&amp;R355),"")</f>
        <v/>
      </c>
      <c r="J355" s="9" t="str">
        <f t="shared" si="6"/>
        <v/>
      </c>
      <c r="K355" s="10" t="str">
        <f t="shared" si="0"/>
        <v/>
      </c>
      <c r="L355" s="10" t="str">
        <f t="shared" si="1"/>
        <v/>
      </c>
      <c r="M355" s="10" t="str">
        <f>IF(W355=1,IF(AND(U355&lt;2,INT(V355)&lt;='Batasan Honor'!$B$2),1,0),"")</f>
        <v/>
      </c>
      <c r="O355" s="10" t="str">
        <f t="shared" si="2"/>
        <v/>
      </c>
      <c r="P355" s="10" t="str">
        <f t="shared" si="3"/>
        <v/>
      </c>
      <c r="R355" s="23"/>
      <c r="S355" s="10" t="str">
        <f t="shared" si="4"/>
        <v/>
      </c>
      <c r="U355" s="10" t="str">
        <f ca="1">IFERROR(__xludf.DUMMYFUNCTION("if(W355=1,COUNTIFS(FILTER($H$2:$H905,$H$2:$H905=""OB"",$S$2:$S905=S355),""OB""),"""")"),"")</f>
        <v/>
      </c>
      <c r="V355" s="10" t="str">
        <f ca="1">IFERROR(__xludf.DUMMYFUNCTION("IF(OR(ISNA(SUM(FILTER($K$2:$K905,$A$2:$A905=A355,$S$2:$S905=S355,$H$2:$H905&lt;&gt;""OB""))),W355&lt;&gt;1),"""",SUM(FILTER($K$2:$K905,$A$2:$A905=A355,$S$2:$S905=S355,$H$2:$H905&lt;&gt;""OB"")))"),"")</f>
        <v/>
      </c>
      <c r="W355" s="10" t="str">
        <f t="shared" si="5"/>
        <v/>
      </c>
    </row>
    <row r="356" spans="1:23" ht="12.5">
      <c r="A356" s="23"/>
      <c r="B356" s="5" t="str">
        <f t="array" ref="B356">IF(W356=1,INDEX('Database Mitra'!$H$2:$H905,MATCH(A356,'Database Mitra'!AK$2:AK905,0)),"")</f>
        <v/>
      </c>
      <c r="C356" s="5" t="str">
        <f t="array" ref="C356">IF(W356=1,INDEX('Database Mitra'!$E$2:$E905,MATCH(A356,'Database Mitra'!AK$2:AK905,0)),"")</f>
        <v/>
      </c>
      <c r="D356" s="23"/>
      <c r="E356" s="5" t="str">
        <f t="array" ref="E356">IF(W356=1,INDEX('Input Kegiatan'!B$2:B905,MATCH($D356,'Input Kegiatan'!$A$2:$A905,0)),"")</f>
        <v/>
      </c>
      <c r="F356" s="5" t="str">
        <f t="array" ref="F356">IF(W356=1,INDEX('Input Kegiatan'!D$2:D905,MATCH($D356,'Input Kegiatan'!$A$2:$A905,0)),"")</f>
        <v/>
      </c>
      <c r="G356" s="5" t="str">
        <f t="array" ref="G356">IF(W356=1,INDEX('Input Kegiatan'!E$2:E905,MATCH($D356,'Input Kegiatan'!$A$2:$A905,0)),"")</f>
        <v/>
      </c>
      <c r="H356" s="5" t="str">
        <f t="array" ref="H356">IF(W356=1,INDEX(Honor!$H$2:$H905,MATCH($D356&amp;"-"&amp;R356,Honor!$K$2:$K905,0)),"")</f>
        <v/>
      </c>
      <c r="I356" s="8" t="str">
        <f>IF(W356=1,SUMIFS(Honor!$I$2:$I905,Honor!$K$2:$K905,$D356&amp;"-"&amp;R356),"")</f>
        <v/>
      </c>
      <c r="J356" s="9" t="str">
        <f t="shared" si="6"/>
        <v/>
      </c>
      <c r="K356" s="10" t="str">
        <f t="shared" si="0"/>
        <v/>
      </c>
      <c r="L356" s="10" t="str">
        <f t="shared" si="1"/>
        <v/>
      </c>
      <c r="M356" s="10" t="str">
        <f>IF(W356=1,IF(AND(U356&lt;2,INT(V356)&lt;='Batasan Honor'!$B$2),1,0),"")</f>
        <v/>
      </c>
      <c r="O356" s="10" t="str">
        <f t="shared" si="2"/>
        <v/>
      </c>
      <c r="P356" s="10" t="str">
        <f t="shared" si="3"/>
        <v/>
      </c>
      <c r="R356" s="23"/>
      <c r="S356" s="10" t="str">
        <f t="shared" si="4"/>
        <v/>
      </c>
      <c r="U356" s="10" t="str">
        <f ca="1">IFERROR(__xludf.DUMMYFUNCTION("if(W356=1,COUNTIFS(FILTER($H$2:$H905,$H$2:$H905=""OB"",$S$2:$S905=S356),""OB""),"""")"),"")</f>
        <v/>
      </c>
      <c r="V356" s="10" t="str">
        <f ca="1">IFERROR(__xludf.DUMMYFUNCTION("IF(OR(ISNA(SUM(FILTER($K$2:$K905,$A$2:$A905=A356,$S$2:$S905=S356,$H$2:$H905&lt;&gt;""OB""))),W356&lt;&gt;1),"""",SUM(FILTER($K$2:$K905,$A$2:$A905=A356,$S$2:$S905=S356,$H$2:$H905&lt;&gt;""OB"")))"),"")</f>
        <v/>
      </c>
      <c r="W356" s="10" t="str">
        <f t="shared" si="5"/>
        <v/>
      </c>
    </row>
    <row r="357" spans="1:23" ht="12.5">
      <c r="A357" s="23"/>
      <c r="B357" s="5" t="str">
        <f t="array" ref="B357">IF(W357=1,INDEX('Database Mitra'!$H$2:$H905,MATCH(A357,'Database Mitra'!AK$2:AK905,0)),"")</f>
        <v/>
      </c>
      <c r="C357" s="5" t="str">
        <f t="array" ref="C357">IF(W357=1,INDEX('Database Mitra'!$E$2:$E905,MATCH(A357,'Database Mitra'!AK$2:AK905,0)),"")</f>
        <v/>
      </c>
      <c r="D357" s="23"/>
      <c r="E357" s="5" t="str">
        <f t="array" ref="E357">IF(W357=1,INDEX('Input Kegiatan'!B$2:B905,MATCH($D357,'Input Kegiatan'!$A$2:$A905,0)),"")</f>
        <v/>
      </c>
      <c r="F357" s="5" t="str">
        <f t="array" ref="F357">IF(W357=1,INDEX('Input Kegiatan'!D$2:D905,MATCH($D357,'Input Kegiatan'!$A$2:$A905,0)),"")</f>
        <v/>
      </c>
      <c r="G357" s="5" t="str">
        <f t="array" ref="G357">IF(W357=1,INDEX('Input Kegiatan'!E$2:E905,MATCH($D357,'Input Kegiatan'!$A$2:$A905,0)),"")</f>
        <v/>
      </c>
      <c r="H357" s="5" t="str">
        <f t="array" ref="H357">IF(W357=1,INDEX(Honor!$H$2:$H905,MATCH($D357&amp;"-"&amp;R357,Honor!$K$2:$K905,0)),"")</f>
        <v/>
      </c>
      <c r="I357" s="8" t="str">
        <f>IF(W357=1,SUMIFS(Honor!$I$2:$I905,Honor!$K$2:$K905,$D357&amp;"-"&amp;R357),"")</f>
        <v/>
      </c>
      <c r="J357" s="9" t="str">
        <f t="shared" si="6"/>
        <v/>
      </c>
      <c r="K357" s="10" t="str">
        <f t="shared" si="0"/>
        <v/>
      </c>
      <c r="L357" s="10" t="str">
        <f t="shared" si="1"/>
        <v/>
      </c>
      <c r="M357" s="10" t="str">
        <f>IF(W357=1,IF(AND(U357&lt;2,INT(V357)&lt;='Batasan Honor'!$B$2),1,0),"")</f>
        <v/>
      </c>
      <c r="O357" s="10" t="str">
        <f t="shared" si="2"/>
        <v/>
      </c>
      <c r="P357" s="10" t="str">
        <f t="shared" si="3"/>
        <v/>
      </c>
      <c r="R357" s="23"/>
      <c r="S357" s="10" t="str">
        <f t="shared" si="4"/>
        <v/>
      </c>
      <c r="U357" s="10" t="str">
        <f ca="1">IFERROR(__xludf.DUMMYFUNCTION("if(W357=1,COUNTIFS(FILTER($H$2:$H905,$H$2:$H905=""OB"",$S$2:$S905=S357),""OB""),"""")"),"")</f>
        <v/>
      </c>
      <c r="V357" s="10" t="str">
        <f ca="1">IFERROR(__xludf.DUMMYFUNCTION("IF(OR(ISNA(SUM(FILTER($K$2:$K905,$A$2:$A905=A357,$S$2:$S905=S357,$H$2:$H905&lt;&gt;""OB""))),W357&lt;&gt;1),"""",SUM(FILTER($K$2:$K905,$A$2:$A905=A357,$S$2:$S905=S357,$H$2:$H905&lt;&gt;""OB"")))"),"")</f>
        <v/>
      </c>
      <c r="W357" s="10" t="str">
        <f t="shared" si="5"/>
        <v/>
      </c>
    </row>
    <row r="358" spans="1:23" ht="12.5">
      <c r="A358" s="23"/>
      <c r="B358" s="5" t="str">
        <f t="array" ref="B358">IF(W358=1,INDEX('Database Mitra'!$H$2:$H905,MATCH(A358,'Database Mitra'!AK$2:AK905,0)),"")</f>
        <v/>
      </c>
      <c r="C358" s="5" t="str">
        <f t="array" ref="C358">IF(W358=1,INDEX('Database Mitra'!$E$2:$E905,MATCH(A358,'Database Mitra'!AK$2:AK905,0)),"")</f>
        <v/>
      </c>
      <c r="D358" s="23"/>
      <c r="E358" s="5" t="str">
        <f t="array" ref="E358">IF(W358=1,INDEX('Input Kegiatan'!B$2:B905,MATCH($D358,'Input Kegiatan'!$A$2:$A905,0)),"")</f>
        <v/>
      </c>
      <c r="F358" s="5" t="str">
        <f t="array" ref="F358">IF(W358=1,INDEX('Input Kegiatan'!D$2:D905,MATCH($D358,'Input Kegiatan'!$A$2:$A905,0)),"")</f>
        <v/>
      </c>
      <c r="G358" s="5" t="str">
        <f t="array" ref="G358">IF(W358=1,INDEX('Input Kegiatan'!E$2:E905,MATCH($D358,'Input Kegiatan'!$A$2:$A905,0)),"")</f>
        <v/>
      </c>
      <c r="H358" s="5" t="str">
        <f t="array" ref="H358">IF(W358=1,INDEX(Honor!$H$2:$H905,MATCH($D358&amp;"-"&amp;R358,Honor!$K$2:$K905,0)),"")</f>
        <v/>
      </c>
      <c r="I358" s="8" t="str">
        <f>IF(W358=1,SUMIFS(Honor!$I$2:$I905,Honor!$K$2:$K905,$D358&amp;"-"&amp;R358),"")</f>
        <v/>
      </c>
      <c r="J358" s="9" t="str">
        <f t="shared" si="6"/>
        <v/>
      </c>
      <c r="K358" s="10" t="str">
        <f t="shared" si="0"/>
        <v/>
      </c>
      <c r="L358" s="10" t="str">
        <f t="shared" si="1"/>
        <v/>
      </c>
      <c r="M358" s="10" t="str">
        <f>IF(W358=1,IF(AND(U358&lt;2,INT(V358)&lt;='Batasan Honor'!$B$2),1,0),"")</f>
        <v/>
      </c>
      <c r="O358" s="10" t="str">
        <f t="shared" si="2"/>
        <v/>
      </c>
      <c r="P358" s="10" t="str">
        <f t="shared" si="3"/>
        <v/>
      </c>
      <c r="R358" s="23"/>
      <c r="S358" s="10" t="str">
        <f t="shared" si="4"/>
        <v/>
      </c>
      <c r="U358" s="10" t="str">
        <f ca="1">IFERROR(__xludf.DUMMYFUNCTION("if(W358=1,COUNTIFS(FILTER($H$2:$H905,$H$2:$H905=""OB"",$S$2:$S905=S358),""OB""),"""")"),"")</f>
        <v/>
      </c>
      <c r="V358" s="10" t="str">
        <f ca="1">IFERROR(__xludf.DUMMYFUNCTION("IF(OR(ISNA(SUM(FILTER($K$2:$K905,$A$2:$A905=A358,$S$2:$S905=S358,$H$2:$H905&lt;&gt;""OB""))),W358&lt;&gt;1),"""",SUM(FILTER($K$2:$K905,$A$2:$A905=A358,$S$2:$S905=S358,$H$2:$H905&lt;&gt;""OB"")))"),"")</f>
        <v/>
      </c>
      <c r="W358" s="10" t="str">
        <f t="shared" si="5"/>
        <v/>
      </c>
    </row>
    <row r="359" spans="1:23" ht="12.5">
      <c r="A359" s="23"/>
      <c r="B359" s="5" t="str">
        <f t="array" ref="B359">IF(W359=1,INDEX('Database Mitra'!$H$2:$H905,MATCH(A359,'Database Mitra'!AK$2:AK905,0)),"")</f>
        <v/>
      </c>
      <c r="C359" s="5" t="str">
        <f t="array" ref="C359">IF(W359=1,INDEX('Database Mitra'!$E$2:$E905,MATCH(A359,'Database Mitra'!AK$2:AK905,0)),"")</f>
        <v/>
      </c>
      <c r="D359" s="23"/>
      <c r="E359" s="5" t="str">
        <f t="array" ref="E359">IF(W359=1,INDEX('Input Kegiatan'!B$2:B905,MATCH($D359,'Input Kegiatan'!$A$2:$A905,0)),"")</f>
        <v/>
      </c>
      <c r="F359" s="5" t="str">
        <f t="array" ref="F359">IF(W359=1,INDEX('Input Kegiatan'!D$2:D905,MATCH($D359,'Input Kegiatan'!$A$2:$A905,0)),"")</f>
        <v/>
      </c>
      <c r="G359" s="5" t="str">
        <f t="array" ref="G359">IF(W359=1,INDEX('Input Kegiatan'!E$2:E905,MATCH($D359,'Input Kegiatan'!$A$2:$A905,0)),"")</f>
        <v/>
      </c>
      <c r="H359" s="5" t="str">
        <f t="array" ref="H359">IF(W359=1,INDEX(Honor!$H$2:$H905,MATCH($D359&amp;"-"&amp;R359,Honor!$K$2:$K905,0)),"")</f>
        <v/>
      </c>
      <c r="I359" s="8" t="str">
        <f>IF(W359=1,SUMIFS(Honor!$I$2:$I905,Honor!$K$2:$K905,$D359&amp;"-"&amp;R359),"")</f>
        <v/>
      </c>
      <c r="J359" s="9" t="str">
        <f t="shared" si="6"/>
        <v/>
      </c>
      <c r="K359" s="10" t="str">
        <f t="shared" si="0"/>
        <v/>
      </c>
      <c r="L359" s="10" t="str">
        <f t="shared" si="1"/>
        <v/>
      </c>
      <c r="M359" s="10" t="str">
        <f>IF(W359=1,IF(AND(U359&lt;2,INT(V359)&lt;='Batasan Honor'!$B$2),1,0),"")</f>
        <v/>
      </c>
      <c r="O359" s="10" t="str">
        <f t="shared" si="2"/>
        <v/>
      </c>
      <c r="P359" s="10" t="str">
        <f t="shared" si="3"/>
        <v/>
      </c>
      <c r="R359" s="23"/>
      <c r="S359" s="10" t="str">
        <f t="shared" si="4"/>
        <v/>
      </c>
      <c r="U359" s="10" t="str">
        <f ca="1">IFERROR(__xludf.DUMMYFUNCTION("if(W359=1,COUNTIFS(FILTER($H$2:$H905,$H$2:$H905=""OB"",$S$2:$S905=S359),""OB""),"""")"),"")</f>
        <v/>
      </c>
      <c r="V359" s="10" t="str">
        <f ca="1">IFERROR(__xludf.DUMMYFUNCTION("IF(OR(ISNA(SUM(FILTER($K$2:$K905,$A$2:$A905=A359,$S$2:$S905=S359,$H$2:$H905&lt;&gt;""OB""))),W359&lt;&gt;1),"""",SUM(FILTER($K$2:$K905,$A$2:$A905=A359,$S$2:$S905=S359,$H$2:$H905&lt;&gt;""OB"")))"),"")</f>
        <v/>
      </c>
      <c r="W359" s="10" t="str">
        <f t="shared" si="5"/>
        <v/>
      </c>
    </row>
    <row r="360" spans="1:23" ht="12.5">
      <c r="A360" s="23"/>
      <c r="B360" s="5" t="str">
        <f t="array" ref="B360">IF(W360=1,INDEX('Database Mitra'!$H$2:$H905,MATCH(A360,'Database Mitra'!AK$2:AK905,0)),"")</f>
        <v/>
      </c>
      <c r="C360" s="5" t="str">
        <f t="array" ref="C360">IF(W360=1,INDEX('Database Mitra'!$E$2:$E905,MATCH(A360,'Database Mitra'!AK$2:AK905,0)),"")</f>
        <v/>
      </c>
      <c r="D360" s="23"/>
      <c r="E360" s="5" t="str">
        <f t="array" ref="E360">IF(W360=1,INDEX('Input Kegiatan'!B$2:B905,MATCH($D360,'Input Kegiatan'!$A$2:$A905,0)),"")</f>
        <v/>
      </c>
      <c r="F360" s="5" t="str">
        <f t="array" ref="F360">IF(W360=1,INDEX('Input Kegiatan'!D$2:D905,MATCH($D360,'Input Kegiatan'!$A$2:$A905,0)),"")</f>
        <v/>
      </c>
      <c r="G360" s="5" t="str">
        <f t="array" ref="G360">IF(W360=1,INDEX('Input Kegiatan'!E$2:E905,MATCH($D360,'Input Kegiatan'!$A$2:$A905,0)),"")</f>
        <v/>
      </c>
      <c r="H360" s="5" t="str">
        <f t="array" ref="H360">IF(W360=1,INDEX(Honor!$H$2:$H905,MATCH($D360&amp;"-"&amp;R360,Honor!$K$2:$K905,0)),"")</f>
        <v/>
      </c>
      <c r="I360" s="8" t="str">
        <f>IF(W360=1,SUMIFS(Honor!$I$2:$I905,Honor!$K$2:$K905,$D360&amp;"-"&amp;R360),"")</f>
        <v/>
      </c>
      <c r="J360" s="9" t="str">
        <f t="shared" si="6"/>
        <v/>
      </c>
      <c r="K360" s="10" t="str">
        <f t="shared" si="0"/>
        <v/>
      </c>
      <c r="L360" s="10" t="str">
        <f t="shared" si="1"/>
        <v/>
      </c>
      <c r="M360" s="10" t="str">
        <f>IF(W360=1,IF(AND(U360&lt;2,INT(V360)&lt;='Batasan Honor'!$B$2),1,0),"")</f>
        <v/>
      </c>
      <c r="O360" s="10" t="str">
        <f t="shared" si="2"/>
        <v/>
      </c>
      <c r="P360" s="10" t="str">
        <f t="shared" si="3"/>
        <v/>
      </c>
      <c r="R360" s="23"/>
      <c r="S360" s="10" t="str">
        <f t="shared" si="4"/>
        <v/>
      </c>
      <c r="U360" s="10" t="str">
        <f ca="1">IFERROR(__xludf.DUMMYFUNCTION("if(W360=1,COUNTIFS(FILTER($H$2:$H905,$H$2:$H905=""OB"",$S$2:$S905=S360),""OB""),"""")"),"")</f>
        <v/>
      </c>
      <c r="V360" s="10" t="str">
        <f ca="1">IFERROR(__xludf.DUMMYFUNCTION("IF(OR(ISNA(SUM(FILTER($K$2:$K905,$A$2:$A905=A360,$S$2:$S905=S360,$H$2:$H905&lt;&gt;""OB""))),W360&lt;&gt;1),"""",SUM(FILTER($K$2:$K905,$A$2:$A905=A360,$S$2:$S905=S360,$H$2:$H905&lt;&gt;""OB"")))"),"")</f>
        <v/>
      </c>
      <c r="W360" s="10" t="str">
        <f t="shared" si="5"/>
        <v/>
      </c>
    </row>
    <row r="361" spans="1:23" ht="12.5">
      <c r="A361" s="23"/>
      <c r="B361" s="5" t="str">
        <f t="array" ref="B361">IF(W361=1,INDEX('Database Mitra'!$H$2:$H905,MATCH(A361,'Database Mitra'!AK$2:AK905,0)),"")</f>
        <v/>
      </c>
      <c r="C361" s="5" t="str">
        <f t="array" ref="C361">IF(W361=1,INDEX('Database Mitra'!$E$2:$E905,MATCH(A361,'Database Mitra'!AK$2:AK905,0)),"")</f>
        <v/>
      </c>
      <c r="D361" s="23"/>
      <c r="E361" s="5" t="str">
        <f t="array" ref="E361">IF(W361=1,INDEX('Input Kegiatan'!B$2:B905,MATCH($D361,'Input Kegiatan'!$A$2:$A905,0)),"")</f>
        <v/>
      </c>
      <c r="F361" s="5" t="str">
        <f t="array" ref="F361">IF(W361=1,INDEX('Input Kegiatan'!D$2:D905,MATCH($D361,'Input Kegiatan'!$A$2:$A905,0)),"")</f>
        <v/>
      </c>
      <c r="G361" s="5" t="str">
        <f t="array" ref="G361">IF(W361=1,INDEX('Input Kegiatan'!E$2:E905,MATCH($D361,'Input Kegiatan'!$A$2:$A905,0)),"")</f>
        <v/>
      </c>
      <c r="H361" s="5" t="str">
        <f t="array" ref="H361">IF(W361=1,INDEX(Honor!$H$2:$H905,MATCH($D361&amp;"-"&amp;R361,Honor!$K$2:$K905,0)),"")</f>
        <v/>
      </c>
      <c r="I361" s="8" t="str">
        <f>IF(W361=1,SUMIFS(Honor!$I$2:$I905,Honor!$K$2:$K905,$D361&amp;"-"&amp;R361),"")</f>
        <v/>
      </c>
      <c r="J361" s="9" t="str">
        <f t="shared" si="6"/>
        <v/>
      </c>
      <c r="K361" s="10" t="str">
        <f t="shared" si="0"/>
        <v/>
      </c>
      <c r="L361" s="10" t="str">
        <f t="shared" si="1"/>
        <v/>
      </c>
      <c r="M361" s="10" t="str">
        <f>IF(W361=1,IF(AND(U361&lt;2,INT(V361)&lt;='Batasan Honor'!$B$2),1,0),"")</f>
        <v/>
      </c>
      <c r="O361" s="10" t="str">
        <f t="shared" si="2"/>
        <v/>
      </c>
      <c r="P361" s="10" t="str">
        <f t="shared" si="3"/>
        <v/>
      </c>
      <c r="R361" s="23"/>
      <c r="S361" s="10" t="str">
        <f t="shared" si="4"/>
        <v/>
      </c>
      <c r="U361" s="10" t="str">
        <f ca="1">IFERROR(__xludf.DUMMYFUNCTION("if(W361=1,COUNTIFS(FILTER($H$2:$H905,$H$2:$H905=""OB"",$S$2:$S905=S361),""OB""),"""")"),"")</f>
        <v/>
      </c>
      <c r="V361" s="10" t="str">
        <f ca="1">IFERROR(__xludf.DUMMYFUNCTION("IF(OR(ISNA(SUM(FILTER($K$2:$K905,$A$2:$A905=A361,$S$2:$S905=S361,$H$2:$H905&lt;&gt;""OB""))),W361&lt;&gt;1),"""",SUM(FILTER($K$2:$K905,$A$2:$A905=A361,$S$2:$S905=S361,$H$2:$H905&lt;&gt;""OB"")))"),"")</f>
        <v/>
      </c>
      <c r="W361" s="10" t="str">
        <f t="shared" si="5"/>
        <v/>
      </c>
    </row>
    <row r="362" spans="1:23" ht="12.5">
      <c r="A362" s="23"/>
      <c r="B362" s="5" t="str">
        <f t="array" ref="B362">IF(W362=1,INDEX('Database Mitra'!$H$2:$H905,MATCH(A362,'Database Mitra'!AK$2:AK905,0)),"")</f>
        <v/>
      </c>
      <c r="C362" s="5" t="str">
        <f t="array" ref="C362">IF(W362=1,INDEX('Database Mitra'!$E$2:$E905,MATCH(A362,'Database Mitra'!AK$2:AK905,0)),"")</f>
        <v/>
      </c>
      <c r="D362" s="23"/>
      <c r="E362" s="5" t="str">
        <f t="array" ref="E362">IF(W362=1,INDEX('Input Kegiatan'!B$2:B905,MATCH($D362,'Input Kegiatan'!$A$2:$A905,0)),"")</f>
        <v/>
      </c>
      <c r="F362" s="5" t="str">
        <f t="array" ref="F362">IF(W362=1,INDEX('Input Kegiatan'!D$2:D905,MATCH($D362,'Input Kegiatan'!$A$2:$A905,0)),"")</f>
        <v/>
      </c>
      <c r="G362" s="5" t="str">
        <f t="array" ref="G362">IF(W362=1,INDEX('Input Kegiatan'!E$2:E905,MATCH($D362,'Input Kegiatan'!$A$2:$A905,0)),"")</f>
        <v/>
      </c>
      <c r="H362" s="5" t="str">
        <f t="array" ref="H362">IF(W362=1,INDEX(Honor!$H$2:$H905,MATCH($D362&amp;"-"&amp;R362,Honor!$K$2:$K905,0)),"")</f>
        <v/>
      </c>
      <c r="I362" s="8" t="str">
        <f>IF(W362=1,SUMIFS(Honor!$I$2:$I905,Honor!$K$2:$K905,$D362&amp;"-"&amp;R362),"")</f>
        <v/>
      </c>
      <c r="J362" s="9" t="str">
        <f t="shared" si="6"/>
        <v/>
      </c>
      <c r="K362" s="10" t="str">
        <f t="shared" si="0"/>
        <v/>
      </c>
      <c r="L362" s="10" t="str">
        <f t="shared" si="1"/>
        <v/>
      </c>
      <c r="M362" s="10" t="str">
        <f>IF(W362=1,IF(AND(U362&lt;2,INT(V362)&lt;='Batasan Honor'!$B$2),1,0),"")</f>
        <v/>
      </c>
      <c r="O362" s="10" t="str">
        <f t="shared" si="2"/>
        <v/>
      </c>
      <c r="P362" s="10" t="str">
        <f t="shared" si="3"/>
        <v/>
      </c>
      <c r="R362" s="23"/>
      <c r="S362" s="10" t="str">
        <f t="shared" si="4"/>
        <v/>
      </c>
      <c r="U362" s="10" t="str">
        <f ca="1">IFERROR(__xludf.DUMMYFUNCTION("if(W362=1,COUNTIFS(FILTER($H$2:$H905,$H$2:$H905=""OB"",$S$2:$S905=S362),""OB""),"""")"),"")</f>
        <v/>
      </c>
      <c r="V362" s="10" t="str">
        <f ca="1">IFERROR(__xludf.DUMMYFUNCTION("IF(OR(ISNA(SUM(FILTER($K$2:$K905,$A$2:$A905=A362,$S$2:$S905=S362,$H$2:$H905&lt;&gt;""OB""))),W362&lt;&gt;1),"""",SUM(FILTER($K$2:$K905,$A$2:$A905=A362,$S$2:$S905=S362,$H$2:$H905&lt;&gt;""OB"")))"),"")</f>
        <v/>
      </c>
      <c r="W362" s="10" t="str">
        <f t="shared" si="5"/>
        <v/>
      </c>
    </row>
    <row r="363" spans="1:23" ht="12.5">
      <c r="A363" s="23"/>
      <c r="B363" s="5" t="str">
        <f t="array" ref="B363">IF(W363=1,INDEX('Database Mitra'!$H$2:$H905,MATCH(A363,'Database Mitra'!AK$2:AK905,0)),"")</f>
        <v/>
      </c>
      <c r="C363" s="5" t="str">
        <f t="array" ref="C363">IF(W363=1,INDEX('Database Mitra'!$E$2:$E905,MATCH(A363,'Database Mitra'!AK$2:AK905,0)),"")</f>
        <v/>
      </c>
      <c r="D363" s="23"/>
      <c r="E363" s="5" t="str">
        <f t="array" ref="E363">IF(W363=1,INDEX('Input Kegiatan'!B$2:B905,MATCH($D363,'Input Kegiatan'!$A$2:$A905,0)),"")</f>
        <v/>
      </c>
      <c r="F363" s="5" t="str">
        <f t="array" ref="F363">IF(W363=1,INDEX('Input Kegiatan'!D$2:D905,MATCH($D363,'Input Kegiatan'!$A$2:$A905,0)),"")</f>
        <v/>
      </c>
      <c r="G363" s="5" t="str">
        <f t="array" ref="G363">IF(W363=1,INDEX('Input Kegiatan'!E$2:E905,MATCH($D363,'Input Kegiatan'!$A$2:$A905,0)),"")</f>
        <v/>
      </c>
      <c r="H363" s="5" t="str">
        <f t="array" ref="H363">IF(W363=1,INDEX(Honor!$H$2:$H905,MATCH($D363&amp;"-"&amp;R363,Honor!$K$2:$K905,0)),"")</f>
        <v/>
      </c>
      <c r="I363" s="8" t="str">
        <f>IF(W363=1,SUMIFS(Honor!$I$2:$I905,Honor!$K$2:$K905,$D363&amp;"-"&amp;R363),"")</f>
        <v/>
      </c>
      <c r="J363" s="9" t="str">
        <f t="shared" si="6"/>
        <v/>
      </c>
      <c r="K363" s="10" t="str">
        <f t="shared" si="0"/>
        <v/>
      </c>
      <c r="L363" s="10" t="str">
        <f t="shared" si="1"/>
        <v/>
      </c>
      <c r="M363" s="10" t="str">
        <f>IF(W363=1,IF(AND(U363&lt;2,INT(V363)&lt;='Batasan Honor'!$B$2),1,0),"")</f>
        <v/>
      </c>
      <c r="O363" s="10" t="str">
        <f t="shared" si="2"/>
        <v/>
      </c>
      <c r="P363" s="10" t="str">
        <f t="shared" si="3"/>
        <v/>
      </c>
      <c r="R363" s="23"/>
      <c r="S363" s="10" t="str">
        <f t="shared" si="4"/>
        <v/>
      </c>
      <c r="U363" s="10" t="str">
        <f ca="1">IFERROR(__xludf.DUMMYFUNCTION("if(W363=1,COUNTIFS(FILTER($H$2:$H905,$H$2:$H905=""OB"",$S$2:$S905=S363),""OB""),"""")"),"")</f>
        <v/>
      </c>
      <c r="V363" s="10" t="str">
        <f ca="1">IFERROR(__xludf.DUMMYFUNCTION("IF(OR(ISNA(SUM(FILTER($K$2:$K905,$A$2:$A905=A363,$S$2:$S905=S363,$H$2:$H905&lt;&gt;""OB""))),W363&lt;&gt;1),"""",SUM(FILTER($K$2:$K905,$A$2:$A905=A363,$S$2:$S905=S363,$H$2:$H905&lt;&gt;""OB"")))"),"")</f>
        <v/>
      </c>
      <c r="W363" s="10" t="str">
        <f t="shared" si="5"/>
        <v/>
      </c>
    </row>
    <row r="364" spans="1:23" ht="12.5">
      <c r="A364" s="23"/>
      <c r="B364" s="5" t="str">
        <f t="array" ref="B364">IF(W364=1,INDEX('Database Mitra'!$H$2:$H905,MATCH(A364,'Database Mitra'!AK$2:AK905,0)),"")</f>
        <v/>
      </c>
      <c r="C364" s="5" t="str">
        <f t="array" ref="C364">IF(W364=1,INDEX('Database Mitra'!$E$2:$E905,MATCH(A364,'Database Mitra'!AK$2:AK905,0)),"")</f>
        <v/>
      </c>
      <c r="D364" s="23"/>
      <c r="E364" s="5" t="str">
        <f t="array" ref="E364">IF(W364=1,INDEX('Input Kegiatan'!B$2:B905,MATCH($D364,'Input Kegiatan'!$A$2:$A905,0)),"")</f>
        <v/>
      </c>
      <c r="F364" s="5" t="str">
        <f t="array" ref="F364">IF(W364=1,INDEX('Input Kegiatan'!D$2:D905,MATCH($D364,'Input Kegiatan'!$A$2:$A905,0)),"")</f>
        <v/>
      </c>
      <c r="G364" s="5" t="str">
        <f t="array" ref="G364">IF(W364=1,INDEX('Input Kegiatan'!E$2:E905,MATCH($D364,'Input Kegiatan'!$A$2:$A905,0)),"")</f>
        <v/>
      </c>
      <c r="H364" s="5" t="str">
        <f t="array" ref="H364">IF(W364=1,INDEX(Honor!$H$2:$H905,MATCH($D364&amp;"-"&amp;R364,Honor!$K$2:$K905,0)),"")</f>
        <v/>
      </c>
      <c r="I364" s="8" t="str">
        <f>IF(W364=1,SUMIFS(Honor!$I$2:$I905,Honor!$K$2:$K905,$D364&amp;"-"&amp;R364),"")</f>
        <v/>
      </c>
      <c r="J364" s="9" t="str">
        <f t="shared" si="6"/>
        <v/>
      </c>
      <c r="K364" s="10" t="str">
        <f t="shared" si="0"/>
        <v/>
      </c>
      <c r="L364" s="10" t="str">
        <f t="shared" si="1"/>
        <v/>
      </c>
      <c r="M364" s="10" t="str">
        <f>IF(W364=1,IF(AND(U364&lt;2,INT(V364)&lt;='Batasan Honor'!$B$2),1,0),"")</f>
        <v/>
      </c>
      <c r="O364" s="10" t="str">
        <f t="shared" si="2"/>
        <v/>
      </c>
      <c r="P364" s="10" t="str">
        <f t="shared" si="3"/>
        <v/>
      </c>
      <c r="R364" s="23"/>
      <c r="S364" s="10" t="str">
        <f t="shared" si="4"/>
        <v/>
      </c>
      <c r="U364" s="10" t="str">
        <f ca="1">IFERROR(__xludf.DUMMYFUNCTION("if(W364=1,COUNTIFS(FILTER($H$2:$H905,$H$2:$H905=""OB"",$S$2:$S905=S364),""OB""),"""")"),"")</f>
        <v/>
      </c>
      <c r="V364" s="10" t="str">
        <f ca="1">IFERROR(__xludf.DUMMYFUNCTION("IF(OR(ISNA(SUM(FILTER($K$2:$K905,$A$2:$A905=A364,$S$2:$S905=S364,$H$2:$H905&lt;&gt;""OB""))),W364&lt;&gt;1),"""",SUM(FILTER($K$2:$K905,$A$2:$A905=A364,$S$2:$S905=S364,$H$2:$H905&lt;&gt;""OB"")))"),"")</f>
        <v/>
      </c>
      <c r="W364" s="10" t="str">
        <f t="shared" si="5"/>
        <v/>
      </c>
    </row>
    <row r="365" spans="1:23" ht="12.5">
      <c r="A365" s="23"/>
      <c r="B365" s="5" t="str">
        <f t="array" ref="B365">IF(W365=1,INDEX('Database Mitra'!$H$2:$H905,MATCH(A365,'Database Mitra'!AK$2:AK905,0)),"")</f>
        <v/>
      </c>
      <c r="C365" s="5" t="str">
        <f t="array" ref="C365">IF(W365=1,INDEX('Database Mitra'!$E$2:$E905,MATCH(A365,'Database Mitra'!AK$2:AK905,0)),"")</f>
        <v/>
      </c>
      <c r="D365" s="23"/>
      <c r="E365" s="5" t="str">
        <f t="array" ref="E365">IF(W365=1,INDEX('Input Kegiatan'!B$2:B905,MATCH($D365,'Input Kegiatan'!$A$2:$A905,0)),"")</f>
        <v/>
      </c>
      <c r="F365" s="5" t="str">
        <f t="array" ref="F365">IF(W365=1,INDEX('Input Kegiatan'!D$2:D905,MATCH($D365,'Input Kegiatan'!$A$2:$A905,0)),"")</f>
        <v/>
      </c>
      <c r="G365" s="5" t="str">
        <f t="array" ref="G365">IF(W365=1,INDEX('Input Kegiatan'!E$2:E905,MATCH($D365,'Input Kegiatan'!$A$2:$A905,0)),"")</f>
        <v/>
      </c>
      <c r="H365" s="5" t="str">
        <f t="array" ref="H365">IF(W365=1,INDEX(Honor!$H$2:$H905,MATCH($D365&amp;"-"&amp;R365,Honor!$K$2:$K905,0)),"")</f>
        <v/>
      </c>
      <c r="I365" s="8" t="str">
        <f>IF(W365=1,SUMIFS(Honor!$I$2:$I905,Honor!$K$2:$K905,$D365&amp;"-"&amp;R365),"")</f>
        <v/>
      </c>
      <c r="J365" s="9" t="str">
        <f t="shared" si="6"/>
        <v/>
      </c>
      <c r="K365" s="10" t="str">
        <f t="shared" si="0"/>
        <v/>
      </c>
      <c r="L365" s="10" t="str">
        <f t="shared" si="1"/>
        <v/>
      </c>
      <c r="M365" s="10" t="str">
        <f>IF(W365=1,IF(AND(U365&lt;2,INT(V365)&lt;='Batasan Honor'!$B$2),1,0),"")</f>
        <v/>
      </c>
      <c r="O365" s="10" t="str">
        <f t="shared" si="2"/>
        <v/>
      </c>
      <c r="P365" s="10" t="str">
        <f t="shared" si="3"/>
        <v/>
      </c>
      <c r="R365" s="23"/>
      <c r="S365" s="10" t="str">
        <f t="shared" si="4"/>
        <v/>
      </c>
      <c r="U365" s="10" t="str">
        <f ca="1">IFERROR(__xludf.DUMMYFUNCTION("if(W365=1,COUNTIFS(FILTER($H$2:$H905,$H$2:$H905=""OB"",$S$2:$S905=S365),""OB""),"""")"),"")</f>
        <v/>
      </c>
      <c r="V365" s="10" t="str">
        <f ca="1">IFERROR(__xludf.DUMMYFUNCTION("IF(OR(ISNA(SUM(FILTER($K$2:$K905,$A$2:$A905=A365,$S$2:$S905=S365,$H$2:$H905&lt;&gt;""OB""))),W365&lt;&gt;1),"""",SUM(FILTER($K$2:$K905,$A$2:$A905=A365,$S$2:$S905=S365,$H$2:$H905&lt;&gt;""OB"")))"),"")</f>
        <v/>
      </c>
      <c r="W365" s="10" t="str">
        <f t="shared" si="5"/>
        <v/>
      </c>
    </row>
    <row r="366" spans="1:23" ht="12.5">
      <c r="A366" s="23"/>
      <c r="B366" s="5" t="str">
        <f t="array" ref="B366">IF(W366=1,INDEX('Database Mitra'!$H$2:$H905,MATCH(A366,'Database Mitra'!AK$2:AK905,0)),"")</f>
        <v/>
      </c>
      <c r="C366" s="5" t="str">
        <f t="array" ref="C366">IF(W366=1,INDEX('Database Mitra'!$E$2:$E905,MATCH(A366,'Database Mitra'!AK$2:AK905,0)),"")</f>
        <v/>
      </c>
      <c r="D366" s="23"/>
      <c r="E366" s="5" t="str">
        <f t="array" ref="E366">IF(W366=1,INDEX('Input Kegiatan'!B$2:B905,MATCH($D366,'Input Kegiatan'!$A$2:$A905,0)),"")</f>
        <v/>
      </c>
      <c r="F366" s="5" t="str">
        <f t="array" ref="F366">IF(W366=1,INDEX('Input Kegiatan'!D$2:D905,MATCH($D366,'Input Kegiatan'!$A$2:$A905,0)),"")</f>
        <v/>
      </c>
      <c r="G366" s="5" t="str">
        <f t="array" ref="G366">IF(W366=1,INDEX('Input Kegiatan'!E$2:E905,MATCH($D366,'Input Kegiatan'!$A$2:$A905,0)),"")</f>
        <v/>
      </c>
      <c r="H366" s="5" t="str">
        <f t="array" ref="H366">IF(W366=1,INDEX(Honor!$H$2:$H905,MATCH($D366&amp;"-"&amp;R366,Honor!$K$2:$K905,0)),"")</f>
        <v/>
      </c>
      <c r="I366" s="8" t="str">
        <f>IF(W366=1,SUMIFS(Honor!$I$2:$I905,Honor!$K$2:$K905,$D366&amp;"-"&amp;R366),"")</f>
        <v/>
      </c>
      <c r="J366" s="9" t="str">
        <f t="shared" si="6"/>
        <v/>
      </c>
      <c r="K366" s="10" t="str">
        <f t="shared" si="0"/>
        <v/>
      </c>
      <c r="L366" s="10" t="str">
        <f t="shared" si="1"/>
        <v/>
      </c>
      <c r="M366" s="10" t="str">
        <f>IF(W366=1,IF(AND(U366&lt;2,INT(V366)&lt;='Batasan Honor'!$B$2),1,0),"")</f>
        <v/>
      </c>
      <c r="O366" s="10" t="str">
        <f t="shared" si="2"/>
        <v/>
      </c>
      <c r="P366" s="10" t="str">
        <f t="shared" si="3"/>
        <v/>
      </c>
      <c r="R366" s="23"/>
      <c r="S366" s="10" t="str">
        <f t="shared" si="4"/>
        <v/>
      </c>
      <c r="U366" s="10" t="str">
        <f ca="1">IFERROR(__xludf.DUMMYFUNCTION("if(W366=1,COUNTIFS(FILTER($H$2:$H905,$H$2:$H905=""OB"",$S$2:$S905=S366),""OB""),"""")"),"")</f>
        <v/>
      </c>
      <c r="V366" s="10" t="str">
        <f ca="1">IFERROR(__xludf.DUMMYFUNCTION("IF(OR(ISNA(SUM(FILTER($K$2:$K905,$A$2:$A905=A366,$S$2:$S905=S366,$H$2:$H905&lt;&gt;""OB""))),W366&lt;&gt;1),"""",SUM(FILTER($K$2:$K905,$A$2:$A905=A366,$S$2:$S905=S366,$H$2:$H905&lt;&gt;""OB"")))"),"")</f>
        <v/>
      </c>
      <c r="W366" s="10" t="str">
        <f t="shared" si="5"/>
        <v/>
      </c>
    </row>
    <row r="367" spans="1:23" ht="12.5">
      <c r="A367" s="23"/>
      <c r="B367" s="5" t="str">
        <f t="array" ref="B367">IF(W367=1,INDEX('Database Mitra'!$H$2:$H905,MATCH(A367,'Database Mitra'!AK$2:AK905,0)),"")</f>
        <v/>
      </c>
      <c r="C367" s="5" t="str">
        <f t="array" ref="C367">IF(W367=1,INDEX('Database Mitra'!$E$2:$E905,MATCH(A367,'Database Mitra'!AK$2:AK905,0)),"")</f>
        <v/>
      </c>
      <c r="D367" s="23"/>
      <c r="E367" s="5" t="str">
        <f t="array" ref="E367">IF(W367=1,INDEX('Input Kegiatan'!B$2:B905,MATCH($D367,'Input Kegiatan'!$A$2:$A905,0)),"")</f>
        <v/>
      </c>
      <c r="F367" s="5" t="str">
        <f t="array" ref="F367">IF(W367=1,INDEX('Input Kegiatan'!D$2:D905,MATCH($D367,'Input Kegiatan'!$A$2:$A905,0)),"")</f>
        <v/>
      </c>
      <c r="G367" s="5" t="str">
        <f t="array" ref="G367">IF(W367=1,INDEX('Input Kegiatan'!E$2:E905,MATCH($D367,'Input Kegiatan'!$A$2:$A905,0)),"")</f>
        <v/>
      </c>
      <c r="H367" s="5" t="str">
        <f t="array" ref="H367">IF(W367=1,INDEX(Honor!$H$2:$H905,MATCH($D367&amp;"-"&amp;R367,Honor!$K$2:$K905,0)),"")</f>
        <v/>
      </c>
      <c r="I367" s="8" t="str">
        <f>IF(W367=1,SUMIFS(Honor!$I$2:$I905,Honor!$K$2:$K905,$D367&amp;"-"&amp;R367),"")</f>
        <v/>
      </c>
      <c r="J367" s="9" t="str">
        <f t="shared" si="6"/>
        <v/>
      </c>
      <c r="K367" s="10" t="str">
        <f t="shared" si="0"/>
        <v/>
      </c>
      <c r="L367" s="10" t="str">
        <f t="shared" si="1"/>
        <v/>
      </c>
      <c r="M367" s="10" t="str">
        <f>IF(W367=1,IF(AND(U367&lt;2,INT(V367)&lt;='Batasan Honor'!$B$2),1,0),"")</f>
        <v/>
      </c>
      <c r="O367" s="10" t="str">
        <f t="shared" si="2"/>
        <v/>
      </c>
      <c r="P367" s="10" t="str">
        <f t="shared" si="3"/>
        <v/>
      </c>
      <c r="R367" s="23"/>
      <c r="S367" s="10" t="str">
        <f t="shared" si="4"/>
        <v/>
      </c>
      <c r="U367" s="10" t="str">
        <f ca="1">IFERROR(__xludf.DUMMYFUNCTION("if(W367=1,COUNTIFS(FILTER($H$2:$H905,$H$2:$H905=""OB"",$S$2:$S905=S367),""OB""),"""")"),"")</f>
        <v/>
      </c>
      <c r="V367" s="10" t="str">
        <f ca="1">IFERROR(__xludf.DUMMYFUNCTION("IF(OR(ISNA(SUM(FILTER($K$2:$K905,$A$2:$A905=A367,$S$2:$S905=S367,$H$2:$H905&lt;&gt;""OB""))),W367&lt;&gt;1),"""",SUM(FILTER($K$2:$K905,$A$2:$A905=A367,$S$2:$S905=S367,$H$2:$H905&lt;&gt;""OB"")))"),"")</f>
        <v/>
      </c>
      <c r="W367" s="10" t="str">
        <f t="shared" si="5"/>
        <v/>
      </c>
    </row>
    <row r="368" spans="1:23" ht="12.5">
      <c r="A368" s="23"/>
      <c r="B368" s="5" t="str">
        <f t="array" ref="B368">IF(W368=1,INDEX('Database Mitra'!$H$2:$H905,MATCH(A368,'Database Mitra'!AK$2:AK905,0)),"")</f>
        <v/>
      </c>
      <c r="C368" s="5" t="str">
        <f t="array" ref="C368">IF(W368=1,INDEX('Database Mitra'!$E$2:$E905,MATCH(A368,'Database Mitra'!AK$2:AK905,0)),"")</f>
        <v/>
      </c>
      <c r="D368" s="23"/>
      <c r="E368" s="5" t="str">
        <f t="array" ref="E368">IF(W368=1,INDEX('Input Kegiatan'!B$2:B905,MATCH($D368,'Input Kegiatan'!$A$2:$A905,0)),"")</f>
        <v/>
      </c>
      <c r="F368" s="5" t="str">
        <f t="array" ref="F368">IF(W368=1,INDEX('Input Kegiatan'!D$2:D905,MATCH($D368,'Input Kegiatan'!$A$2:$A905,0)),"")</f>
        <v/>
      </c>
      <c r="G368" s="5" t="str">
        <f t="array" ref="G368">IF(W368=1,INDEX('Input Kegiatan'!E$2:E905,MATCH($D368,'Input Kegiatan'!$A$2:$A905,0)),"")</f>
        <v/>
      </c>
      <c r="H368" s="5" t="str">
        <f t="array" ref="H368">IF(W368=1,INDEX(Honor!$H$2:$H905,MATCH($D368&amp;"-"&amp;R368,Honor!$K$2:$K905,0)),"")</f>
        <v/>
      </c>
      <c r="I368" s="8" t="str">
        <f>IF(W368=1,SUMIFS(Honor!$I$2:$I905,Honor!$K$2:$K905,$D368&amp;"-"&amp;R368),"")</f>
        <v/>
      </c>
      <c r="J368" s="9" t="str">
        <f t="shared" si="6"/>
        <v/>
      </c>
      <c r="K368" s="10" t="str">
        <f t="shared" si="0"/>
        <v/>
      </c>
      <c r="L368" s="10" t="str">
        <f t="shared" si="1"/>
        <v/>
      </c>
      <c r="M368" s="10" t="str">
        <f>IF(W368=1,IF(AND(U368&lt;2,INT(V368)&lt;='Batasan Honor'!$B$2),1,0),"")</f>
        <v/>
      </c>
      <c r="O368" s="10" t="str">
        <f t="shared" si="2"/>
        <v/>
      </c>
      <c r="P368" s="10" t="str">
        <f t="shared" si="3"/>
        <v/>
      </c>
      <c r="R368" s="23"/>
      <c r="S368" s="10" t="str">
        <f t="shared" si="4"/>
        <v/>
      </c>
      <c r="U368" s="10" t="str">
        <f ca="1">IFERROR(__xludf.DUMMYFUNCTION("if(W368=1,COUNTIFS(FILTER($H$2:$H905,$H$2:$H905=""OB"",$S$2:$S905=S368),""OB""),"""")"),"")</f>
        <v/>
      </c>
      <c r="V368" s="10" t="str">
        <f ca="1">IFERROR(__xludf.DUMMYFUNCTION("IF(OR(ISNA(SUM(FILTER($K$2:$K905,$A$2:$A905=A368,$S$2:$S905=S368,$H$2:$H905&lt;&gt;""OB""))),W368&lt;&gt;1),"""",SUM(FILTER($K$2:$K905,$A$2:$A905=A368,$S$2:$S905=S368,$H$2:$H905&lt;&gt;""OB"")))"),"")</f>
        <v/>
      </c>
      <c r="W368" s="10" t="str">
        <f t="shared" si="5"/>
        <v/>
      </c>
    </row>
    <row r="369" spans="1:23" ht="12.5">
      <c r="A369" s="23"/>
      <c r="B369" s="5" t="str">
        <f t="array" ref="B369">IF(W369=1,INDEX('Database Mitra'!$H$2:$H905,MATCH(A369,'Database Mitra'!AK$2:AK905,0)),"")</f>
        <v/>
      </c>
      <c r="C369" s="5" t="str">
        <f t="array" ref="C369">IF(W369=1,INDEX('Database Mitra'!$E$2:$E905,MATCH(A369,'Database Mitra'!AK$2:AK905,0)),"")</f>
        <v/>
      </c>
      <c r="D369" s="23"/>
      <c r="E369" s="5" t="str">
        <f t="array" ref="E369">IF(W369=1,INDEX('Input Kegiatan'!B$2:B905,MATCH($D369,'Input Kegiatan'!$A$2:$A905,0)),"")</f>
        <v/>
      </c>
      <c r="F369" s="5" t="str">
        <f t="array" ref="F369">IF(W369=1,INDEX('Input Kegiatan'!D$2:D905,MATCH($D369,'Input Kegiatan'!$A$2:$A905,0)),"")</f>
        <v/>
      </c>
      <c r="G369" s="5" t="str">
        <f t="array" ref="G369">IF(W369=1,INDEX('Input Kegiatan'!E$2:E905,MATCH($D369,'Input Kegiatan'!$A$2:$A905,0)),"")</f>
        <v/>
      </c>
      <c r="H369" s="5" t="str">
        <f t="array" ref="H369">IF(W369=1,INDEX(Honor!$H$2:$H905,MATCH($D369&amp;"-"&amp;R369,Honor!$K$2:$K905,0)),"")</f>
        <v/>
      </c>
      <c r="I369" s="8" t="str">
        <f>IF(W369=1,SUMIFS(Honor!$I$2:$I905,Honor!$K$2:$K905,$D369&amp;"-"&amp;R369),"")</f>
        <v/>
      </c>
      <c r="J369" s="9" t="str">
        <f t="shared" si="6"/>
        <v/>
      </c>
      <c r="K369" s="10" t="str">
        <f t="shared" si="0"/>
        <v/>
      </c>
      <c r="L369" s="10" t="str">
        <f t="shared" si="1"/>
        <v/>
      </c>
      <c r="M369" s="10" t="str">
        <f>IF(W369=1,IF(AND(U369&lt;2,INT(V369)&lt;='Batasan Honor'!$B$2),1,0),"")</f>
        <v/>
      </c>
      <c r="O369" s="10" t="str">
        <f t="shared" si="2"/>
        <v/>
      </c>
      <c r="P369" s="10" t="str">
        <f t="shared" si="3"/>
        <v/>
      </c>
      <c r="R369" s="23"/>
      <c r="S369" s="10" t="str">
        <f t="shared" si="4"/>
        <v/>
      </c>
      <c r="U369" s="10" t="str">
        <f ca="1">IFERROR(__xludf.DUMMYFUNCTION("if(W369=1,COUNTIFS(FILTER($H$2:$H905,$H$2:$H905=""OB"",$S$2:$S905=S369),""OB""),"""")"),"")</f>
        <v/>
      </c>
      <c r="V369" s="10" t="str">
        <f ca="1">IFERROR(__xludf.DUMMYFUNCTION("IF(OR(ISNA(SUM(FILTER($K$2:$K905,$A$2:$A905=A369,$S$2:$S905=S369,$H$2:$H905&lt;&gt;""OB""))),W369&lt;&gt;1),"""",SUM(FILTER($K$2:$K905,$A$2:$A905=A369,$S$2:$S905=S369,$H$2:$H905&lt;&gt;""OB"")))"),"")</f>
        <v/>
      </c>
      <c r="W369" s="10" t="str">
        <f t="shared" si="5"/>
        <v/>
      </c>
    </row>
    <row r="370" spans="1:23" ht="12.5">
      <c r="A370" s="23"/>
      <c r="B370" s="5" t="str">
        <f t="array" ref="B370">IF(W370=1,INDEX('Database Mitra'!$H$2:$H905,MATCH(A370,'Database Mitra'!AK$2:AK905,0)),"")</f>
        <v/>
      </c>
      <c r="C370" s="5" t="str">
        <f t="array" ref="C370">IF(W370=1,INDEX('Database Mitra'!$E$2:$E905,MATCH(A370,'Database Mitra'!AK$2:AK905,0)),"")</f>
        <v/>
      </c>
      <c r="D370" s="23"/>
      <c r="E370" s="5" t="str">
        <f t="array" ref="E370">IF(W370=1,INDEX('Input Kegiatan'!B$2:B905,MATCH($D370,'Input Kegiatan'!$A$2:$A905,0)),"")</f>
        <v/>
      </c>
      <c r="F370" s="5" t="str">
        <f t="array" ref="F370">IF(W370=1,INDEX('Input Kegiatan'!D$2:D905,MATCH($D370,'Input Kegiatan'!$A$2:$A905,0)),"")</f>
        <v/>
      </c>
      <c r="G370" s="5" t="str">
        <f t="array" ref="G370">IF(W370=1,INDEX('Input Kegiatan'!E$2:E905,MATCH($D370,'Input Kegiatan'!$A$2:$A905,0)),"")</f>
        <v/>
      </c>
      <c r="H370" s="5" t="str">
        <f t="array" ref="H370">IF(W370=1,INDEX(Honor!$H$2:$H905,MATCH($D370&amp;"-"&amp;R370,Honor!$K$2:$K905,0)),"")</f>
        <v/>
      </c>
      <c r="I370" s="8" t="str">
        <f>IF(W370=1,SUMIFS(Honor!$I$2:$I905,Honor!$K$2:$K905,$D370&amp;"-"&amp;R370),"")</f>
        <v/>
      </c>
      <c r="J370" s="9" t="str">
        <f t="shared" si="6"/>
        <v/>
      </c>
      <c r="K370" s="10" t="str">
        <f t="shared" si="0"/>
        <v/>
      </c>
      <c r="L370" s="10" t="str">
        <f t="shared" si="1"/>
        <v/>
      </c>
      <c r="M370" s="10" t="str">
        <f>IF(W370=1,IF(AND(U370&lt;2,INT(V370)&lt;='Batasan Honor'!$B$2),1,0),"")</f>
        <v/>
      </c>
      <c r="O370" s="10" t="str">
        <f t="shared" si="2"/>
        <v/>
      </c>
      <c r="P370" s="10" t="str">
        <f t="shared" si="3"/>
        <v/>
      </c>
      <c r="R370" s="23"/>
      <c r="S370" s="10" t="str">
        <f t="shared" si="4"/>
        <v/>
      </c>
      <c r="U370" s="10" t="str">
        <f ca="1">IFERROR(__xludf.DUMMYFUNCTION("if(W370=1,COUNTIFS(FILTER($H$2:$H905,$H$2:$H905=""OB"",$S$2:$S905=S370),""OB""),"""")"),"")</f>
        <v/>
      </c>
      <c r="V370" s="10" t="str">
        <f ca="1">IFERROR(__xludf.DUMMYFUNCTION("IF(OR(ISNA(SUM(FILTER($K$2:$K905,$A$2:$A905=A370,$S$2:$S905=S370,$H$2:$H905&lt;&gt;""OB""))),W370&lt;&gt;1),"""",SUM(FILTER($K$2:$K905,$A$2:$A905=A370,$S$2:$S905=S370,$H$2:$H905&lt;&gt;""OB"")))"),"")</f>
        <v/>
      </c>
      <c r="W370" s="10" t="str">
        <f t="shared" si="5"/>
        <v/>
      </c>
    </row>
    <row r="371" spans="1:23" ht="12.5">
      <c r="A371" s="23"/>
      <c r="B371" s="5" t="str">
        <f t="array" ref="B371">IF(W371=1,INDEX('Database Mitra'!$H$2:$H905,MATCH(A371,'Database Mitra'!AK$2:AK905,0)),"")</f>
        <v/>
      </c>
      <c r="C371" s="5" t="str">
        <f t="array" ref="C371">IF(W371=1,INDEX('Database Mitra'!$E$2:$E905,MATCH(A371,'Database Mitra'!AK$2:AK905,0)),"")</f>
        <v/>
      </c>
      <c r="D371" s="23"/>
      <c r="E371" s="5" t="str">
        <f t="array" ref="E371">IF(W371=1,INDEX('Input Kegiatan'!B$2:B905,MATCH($D371,'Input Kegiatan'!$A$2:$A905,0)),"")</f>
        <v/>
      </c>
      <c r="F371" s="5" t="str">
        <f t="array" ref="F371">IF(W371=1,INDEX('Input Kegiatan'!D$2:D905,MATCH($D371,'Input Kegiatan'!$A$2:$A905,0)),"")</f>
        <v/>
      </c>
      <c r="G371" s="5" t="str">
        <f t="array" ref="G371">IF(W371=1,INDEX('Input Kegiatan'!E$2:E905,MATCH($D371,'Input Kegiatan'!$A$2:$A905,0)),"")</f>
        <v/>
      </c>
      <c r="H371" s="5" t="str">
        <f t="array" ref="H371">IF(W371=1,INDEX(Honor!$H$2:$H905,MATCH($D371&amp;"-"&amp;R371,Honor!$K$2:$K905,0)),"")</f>
        <v/>
      </c>
      <c r="I371" s="8" t="str">
        <f>IF(W371=1,SUMIFS(Honor!$I$2:$I905,Honor!$K$2:$K905,$D371&amp;"-"&amp;R371),"")</f>
        <v/>
      </c>
      <c r="J371" s="9" t="str">
        <f t="shared" si="6"/>
        <v/>
      </c>
      <c r="K371" s="10" t="str">
        <f t="shared" si="0"/>
        <v/>
      </c>
      <c r="L371" s="10" t="str">
        <f t="shared" si="1"/>
        <v/>
      </c>
      <c r="M371" s="10" t="str">
        <f>IF(W371=1,IF(AND(U371&lt;2,INT(V371)&lt;='Batasan Honor'!$B$2),1,0),"")</f>
        <v/>
      </c>
      <c r="O371" s="10" t="str">
        <f t="shared" si="2"/>
        <v/>
      </c>
      <c r="P371" s="10" t="str">
        <f t="shared" si="3"/>
        <v/>
      </c>
      <c r="R371" s="23"/>
      <c r="S371" s="10" t="str">
        <f t="shared" si="4"/>
        <v/>
      </c>
      <c r="U371" s="10" t="str">
        <f ca="1">IFERROR(__xludf.DUMMYFUNCTION("if(W371=1,COUNTIFS(FILTER($H$2:$H905,$H$2:$H905=""OB"",$S$2:$S905=S371),""OB""),"""")"),"")</f>
        <v/>
      </c>
      <c r="V371" s="10" t="str">
        <f ca="1">IFERROR(__xludf.DUMMYFUNCTION("IF(OR(ISNA(SUM(FILTER($K$2:$K905,$A$2:$A905=A371,$S$2:$S905=S371,$H$2:$H905&lt;&gt;""OB""))),W371&lt;&gt;1),"""",SUM(FILTER($K$2:$K905,$A$2:$A905=A371,$S$2:$S905=S371,$H$2:$H905&lt;&gt;""OB"")))"),"")</f>
        <v/>
      </c>
      <c r="W371" s="10" t="str">
        <f t="shared" si="5"/>
        <v/>
      </c>
    </row>
    <row r="372" spans="1:23" ht="12.5">
      <c r="A372" s="23"/>
      <c r="B372" s="5" t="str">
        <f t="array" ref="B372">IF(W372=1,INDEX('Database Mitra'!$H$2:$H905,MATCH(A372,'Database Mitra'!AK$2:AK905,0)),"")</f>
        <v/>
      </c>
      <c r="C372" s="5" t="str">
        <f t="array" ref="C372">IF(W372=1,INDEX('Database Mitra'!$E$2:$E905,MATCH(A372,'Database Mitra'!AK$2:AK905,0)),"")</f>
        <v/>
      </c>
      <c r="D372" s="23"/>
      <c r="E372" s="5" t="str">
        <f t="array" ref="E372">IF(W372=1,INDEX('Input Kegiatan'!B$2:B905,MATCH($D372,'Input Kegiatan'!$A$2:$A905,0)),"")</f>
        <v/>
      </c>
      <c r="F372" s="5" t="str">
        <f t="array" ref="F372">IF(W372=1,INDEX('Input Kegiatan'!D$2:D905,MATCH($D372,'Input Kegiatan'!$A$2:$A905,0)),"")</f>
        <v/>
      </c>
      <c r="G372" s="5" t="str">
        <f t="array" ref="G372">IF(W372=1,INDEX('Input Kegiatan'!E$2:E905,MATCH($D372,'Input Kegiatan'!$A$2:$A905,0)),"")</f>
        <v/>
      </c>
      <c r="H372" s="5" t="str">
        <f t="array" ref="H372">IF(W372=1,INDEX(Honor!$H$2:$H905,MATCH($D372&amp;"-"&amp;R372,Honor!$K$2:$K905,0)),"")</f>
        <v/>
      </c>
      <c r="I372" s="8" t="str">
        <f>IF(W372=1,SUMIFS(Honor!$I$2:$I905,Honor!$K$2:$K905,$D372&amp;"-"&amp;R372),"")</f>
        <v/>
      </c>
      <c r="J372" s="9" t="str">
        <f t="shared" si="6"/>
        <v/>
      </c>
      <c r="K372" s="10" t="str">
        <f t="shared" si="0"/>
        <v/>
      </c>
      <c r="L372" s="10" t="str">
        <f t="shared" si="1"/>
        <v/>
      </c>
      <c r="M372" s="10" t="str">
        <f>IF(W372=1,IF(AND(U372&lt;2,INT(V372)&lt;='Batasan Honor'!$B$2),1,0),"")</f>
        <v/>
      </c>
      <c r="O372" s="10" t="str">
        <f t="shared" si="2"/>
        <v/>
      </c>
      <c r="P372" s="10" t="str">
        <f t="shared" si="3"/>
        <v/>
      </c>
      <c r="R372" s="23"/>
      <c r="S372" s="10" t="str">
        <f t="shared" si="4"/>
        <v/>
      </c>
      <c r="U372" s="10" t="str">
        <f ca="1">IFERROR(__xludf.DUMMYFUNCTION("if(W372=1,COUNTIFS(FILTER($H$2:$H905,$H$2:$H905=""OB"",$S$2:$S905=S372),""OB""),"""")"),"")</f>
        <v/>
      </c>
      <c r="V372" s="10" t="str">
        <f ca="1">IFERROR(__xludf.DUMMYFUNCTION("IF(OR(ISNA(SUM(FILTER($K$2:$K905,$A$2:$A905=A372,$S$2:$S905=S372,$H$2:$H905&lt;&gt;""OB""))),W372&lt;&gt;1),"""",SUM(FILTER($K$2:$K905,$A$2:$A905=A372,$S$2:$S905=S372,$H$2:$H905&lt;&gt;""OB"")))"),"")</f>
        <v/>
      </c>
      <c r="W372" s="10" t="str">
        <f t="shared" si="5"/>
        <v/>
      </c>
    </row>
    <row r="373" spans="1:23" ht="12.5">
      <c r="A373" s="23"/>
      <c r="B373" s="5" t="str">
        <f t="array" ref="B373">IF(W373=1,INDEX('Database Mitra'!$H$2:$H905,MATCH(A373,'Database Mitra'!AK$2:AK905,0)),"")</f>
        <v/>
      </c>
      <c r="C373" s="5" t="str">
        <f t="array" ref="C373">IF(W373=1,INDEX('Database Mitra'!$E$2:$E905,MATCH(A373,'Database Mitra'!AK$2:AK905,0)),"")</f>
        <v/>
      </c>
      <c r="D373" s="23"/>
      <c r="E373" s="5" t="str">
        <f t="array" ref="E373">IF(W373=1,INDEX('Input Kegiatan'!B$2:B905,MATCH($D373,'Input Kegiatan'!$A$2:$A905,0)),"")</f>
        <v/>
      </c>
      <c r="F373" s="5" t="str">
        <f t="array" ref="F373">IF(W373=1,INDEX('Input Kegiatan'!D$2:D905,MATCH($D373,'Input Kegiatan'!$A$2:$A905,0)),"")</f>
        <v/>
      </c>
      <c r="G373" s="5" t="str">
        <f t="array" ref="G373">IF(W373=1,INDEX('Input Kegiatan'!E$2:E905,MATCH($D373,'Input Kegiatan'!$A$2:$A905,0)),"")</f>
        <v/>
      </c>
      <c r="H373" s="5" t="str">
        <f t="array" ref="H373">IF(W373=1,INDEX(Honor!$H$2:$H905,MATCH($D373&amp;"-"&amp;R373,Honor!$K$2:$K905,0)),"")</f>
        <v/>
      </c>
      <c r="I373" s="8" t="str">
        <f>IF(W373=1,SUMIFS(Honor!$I$2:$I905,Honor!$K$2:$K905,$D373&amp;"-"&amp;R373),"")</f>
        <v/>
      </c>
      <c r="J373" s="9" t="str">
        <f t="shared" si="6"/>
        <v/>
      </c>
      <c r="K373" s="10" t="str">
        <f t="shared" si="0"/>
        <v/>
      </c>
      <c r="L373" s="10" t="str">
        <f t="shared" si="1"/>
        <v/>
      </c>
      <c r="M373" s="10" t="str">
        <f>IF(W373=1,IF(AND(U373&lt;2,INT(V373)&lt;='Batasan Honor'!$B$2),1,0),"")</f>
        <v/>
      </c>
      <c r="O373" s="10" t="str">
        <f t="shared" si="2"/>
        <v/>
      </c>
      <c r="P373" s="10" t="str">
        <f t="shared" si="3"/>
        <v/>
      </c>
      <c r="R373" s="23"/>
      <c r="S373" s="10" t="str">
        <f t="shared" si="4"/>
        <v/>
      </c>
      <c r="U373" s="10" t="str">
        <f ca="1">IFERROR(__xludf.DUMMYFUNCTION("if(W373=1,COUNTIFS(FILTER($H$2:$H905,$H$2:$H905=""OB"",$S$2:$S905=S373),""OB""),"""")"),"")</f>
        <v/>
      </c>
      <c r="V373" s="10" t="str">
        <f ca="1">IFERROR(__xludf.DUMMYFUNCTION("IF(OR(ISNA(SUM(FILTER($K$2:$K905,$A$2:$A905=A373,$S$2:$S905=S373,$H$2:$H905&lt;&gt;""OB""))),W373&lt;&gt;1),"""",SUM(FILTER($K$2:$K905,$A$2:$A905=A373,$S$2:$S905=S373,$H$2:$H905&lt;&gt;""OB"")))"),"")</f>
        <v/>
      </c>
      <c r="W373" s="10" t="str">
        <f t="shared" si="5"/>
        <v/>
      </c>
    </row>
    <row r="374" spans="1:23" ht="12.5">
      <c r="A374" s="23"/>
      <c r="B374" s="5" t="str">
        <f t="array" ref="B374">IF(W374=1,INDEX('Database Mitra'!$H$2:$H905,MATCH(A374,'Database Mitra'!AK$2:AK905,0)),"")</f>
        <v/>
      </c>
      <c r="C374" s="5" t="str">
        <f t="array" ref="C374">IF(W374=1,INDEX('Database Mitra'!$E$2:$E905,MATCH(A374,'Database Mitra'!AK$2:AK905,0)),"")</f>
        <v/>
      </c>
      <c r="D374" s="23"/>
      <c r="E374" s="5" t="str">
        <f t="array" ref="E374">IF(W374=1,INDEX('Input Kegiatan'!B$2:B905,MATCH($D374,'Input Kegiatan'!$A$2:$A905,0)),"")</f>
        <v/>
      </c>
      <c r="F374" s="5" t="str">
        <f t="array" ref="F374">IF(W374=1,INDEX('Input Kegiatan'!D$2:D905,MATCH($D374,'Input Kegiatan'!$A$2:$A905,0)),"")</f>
        <v/>
      </c>
      <c r="G374" s="5" t="str">
        <f t="array" ref="G374">IF(W374=1,INDEX('Input Kegiatan'!E$2:E905,MATCH($D374,'Input Kegiatan'!$A$2:$A905,0)),"")</f>
        <v/>
      </c>
      <c r="H374" s="5" t="str">
        <f t="array" ref="H374">IF(W374=1,INDEX(Honor!$H$2:$H905,MATCH($D374&amp;"-"&amp;R374,Honor!$K$2:$K905,0)),"")</f>
        <v/>
      </c>
      <c r="I374" s="8" t="str">
        <f>IF(W374=1,SUMIFS(Honor!$I$2:$I905,Honor!$K$2:$K905,$D374&amp;"-"&amp;R374),"")</f>
        <v/>
      </c>
      <c r="J374" s="9" t="str">
        <f t="shared" si="6"/>
        <v/>
      </c>
      <c r="K374" s="10" t="str">
        <f t="shared" si="0"/>
        <v/>
      </c>
      <c r="L374" s="10" t="str">
        <f t="shared" si="1"/>
        <v/>
      </c>
      <c r="M374" s="10" t="str">
        <f>IF(W374=1,IF(AND(U374&lt;2,INT(V374)&lt;='Batasan Honor'!$B$2),1,0),"")</f>
        <v/>
      </c>
      <c r="O374" s="10" t="str">
        <f t="shared" si="2"/>
        <v/>
      </c>
      <c r="P374" s="10" t="str">
        <f t="shared" si="3"/>
        <v/>
      </c>
      <c r="R374" s="23"/>
      <c r="S374" s="10" t="str">
        <f t="shared" si="4"/>
        <v/>
      </c>
      <c r="U374" s="10" t="str">
        <f ca="1">IFERROR(__xludf.DUMMYFUNCTION("if(W374=1,COUNTIFS(FILTER($H$2:$H905,$H$2:$H905=""OB"",$S$2:$S905=S374),""OB""),"""")"),"")</f>
        <v/>
      </c>
      <c r="V374" s="10" t="str">
        <f ca="1">IFERROR(__xludf.DUMMYFUNCTION("IF(OR(ISNA(SUM(FILTER($K$2:$K905,$A$2:$A905=A374,$S$2:$S905=S374,$H$2:$H905&lt;&gt;""OB""))),W374&lt;&gt;1),"""",SUM(FILTER($K$2:$K905,$A$2:$A905=A374,$S$2:$S905=S374,$H$2:$H905&lt;&gt;""OB"")))"),"")</f>
        <v/>
      </c>
      <c r="W374" s="10" t="str">
        <f t="shared" si="5"/>
        <v/>
      </c>
    </row>
    <row r="375" spans="1:23" ht="12.5">
      <c r="A375" s="23"/>
      <c r="B375" s="5" t="str">
        <f t="array" ref="B375">IF(W375=1,INDEX('Database Mitra'!$H$2:$H905,MATCH(A375,'Database Mitra'!AK$2:AK905,0)),"")</f>
        <v/>
      </c>
      <c r="C375" s="5" t="str">
        <f t="array" ref="C375">IF(W375=1,INDEX('Database Mitra'!$E$2:$E905,MATCH(A375,'Database Mitra'!AK$2:AK905,0)),"")</f>
        <v/>
      </c>
      <c r="D375" s="23"/>
      <c r="E375" s="5" t="str">
        <f t="array" ref="E375">IF(W375=1,INDEX('Input Kegiatan'!B$2:B905,MATCH($D375,'Input Kegiatan'!$A$2:$A905,0)),"")</f>
        <v/>
      </c>
      <c r="F375" s="5" t="str">
        <f t="array" ref="F375">IF(W375=1,INDEX('Input Kegiatan'!D$2:D905,MATCH($D375,'Input Kegiatan'!$A$2:$A905,0)),"")</f>
        <v/>
      </c>
      <c r="G375" s="5" t="str">
        <f t="array" ref="G375">IF(W375=1,INDEX('Input Kegiatan'!E$2:E905,MATCH($D375,'Input Kegiatan'!$A$2:$A905,0)),"")</f>
        <v/>
      </c>
      <c r="H375" s="5" t="str">
        <f t="array" ref="H375">IF(W375=1,INDEX(Honor!$H$2:$H905,MATCH($D375&amp;"-"&amp;R375,Honor!$K$2:$K905,0)),"")</f>
        <v/>
      </c>
      <c r="I375" s="8" t="str">
        <f>IF(W375=1,SUMIFS(Honor!$I$2:$I905,Honor!$K$2:$K905,$D375&amp;"-"&amp;R375),"")</f>
        <v/>
      </c>
      <c r="J375" s="9" t="str">
        <f t="shared" si="6"/>
        <v/>
      </c>
      <c r="K375" s="10" t="str">
        <f t="shared" si="0"/>
        <v/>
      </c>
      <c r="L375" s="10" t="str">
        <f t="shared" si="1"/>
        <v/>
      </c>
      <c r="M375" s="10" t="str">
        <f>IF(W375=1,IF(AND(U375&lt;2,INT(V375)&lt;='Batasan Honor'!$B$2),1,0),"")</f>
        <v/>
      </c>
      <c r="O375" s="10" t="str">
        <f t="shared" si="2"/>
        <v/>
      </c>
      <c r="P375" s="10" t="str">
        <f t="shared" si="3"/>
        <v/>
      </c>
      <c r="R375" s="23"/>
      <c r="S375" s="10" t="str">
        <f t="shared" si="4"/>
        <v/>
      </c>
      <c r="U375" s="10" t="str">
        <f ca="1">IFERROR(__xludf.DUMMYFUNCTION("if(W375=1,COUNTIFS(FILTER($H$2:$H905,$H$2:$H905=""OB"",$S$2:$S905=S375),""OB""),"""")"),"")</f>
        <v/>
      </c>
      <c r="V375" s="10" t="str">
        <f ca="1">IFERROR(__xludf.DUMMYFUNCTION("IF(OR(ISNA(SUM(FILTER($K$2:$K905,$A$2:$A905=A375,$S$2:$S905=S375,$H$2:$H905&lt;&gt;""OB""))),W375&lt;&gt;1),"""",SUM(FILTER($K$2:$K905,$A$2:$A905=A375,$S$2:$S905=S375,$H$2:$H905&lt;&gt;""OB"")))"),"")</f>
        <v/>
      </c>
      <c r="W375" s="10" t="str">
        <f t="shared" si="5"/>
        <v/>
      </c>
    </row>
    <row r="376" spans="1:23" ht="12.5">
      <c r="A376" s="23"/>
      <c r="B376" s="5" t="str">
        <f t="array" ref="B376">IF(W376=1,INDEX('Database Mitra'!$H$2:$H905,MATCH(A376,'Database Mitra'!AK$2:AK905,0)),"")</f>
        <v/>
      </c>
      <c r="C376" s="5" t="str">
        <f t="array" ref="C376">IF(W376=1,INDEX('Database Mitra'!$E$2:$E905,MATCH(A376,'Database Mitra'!AK$2:AK905,0)),"")</f>
        <v/>
      </c>
      <c r="D376" s="23"/>
      <c r="E376" s="5" t="str">
        <f t="array" ref="E376">IF(W376=1,INDEX('Input Kegiatan'!B$2:B905,MATCH($D376,'Input Kegiatan'!$A$2:$A905,0)),"")</f>
        <v/>
      </c>
      <c r="F376" s="5" t="str">
        <f t="array" ref="F376">IF(W376=1,INDEX('Input Kegiatan'!D$2:D905,MATCH($D376,'Input Kegiatan'!$A$2:$A905,0)),"")</f>
        <v/>
      </c>
      <c r="G376" s="5" t="str">
        <f t="array" ref="G376">IF(W376=1,INDEX('Input Kegiatan'!E$2:E905,MATCH($D376,'Input Kegiatan'!$A$2:$A905,0)),"")</f>
        <v/>
      </c>
      <c r="H376" s="5" t="str">
        <f t="array" ref="H376">IF(W376=1,INDEX(Honor!$H$2:$H905,MATCH($D376&amp;"-"&amp;R376,Honor!$K$2:$K905,0)),"")</f>
        <v/>
      </c>
      <c r="I376" s="8" t="str">
        <f>IF(W376=1,SUMIFS(Honor!$I$2:$I905,Honor!$K$2:$K905,$D376&amp;"-"&amp;R376),"")</f>
        <v/>
      </c>
      <c r="J376" s="9" t="str">
        <f t="shared" si="6"/>
        <v/>
      </c>
      <c r="K376" s="10" t="str">
        <f t="shared" si="0"/>
        <v/>
      </c>
      <c r="L376" s="10" t="str">
        <f t="shared" si="1"/>
        <v/>
      </c>
      <c r="M376" s="10" t="str">
        <f>IF(W376=1,IF(AND(U376&lt;2,INT(V376)&lt;='Batasan Honor'!$B$2),1,0),"")</f>
        <v/>
      </c>
      <c r="O376" s="10" t="str">
        <f t="shared" si="2"/>
        <v/>
      </c>
      <c r="P376" s="10" t="str">
        <f t="shared" si="3"/>
        <v/>
      </c>
      <c r="R376" s="23"/>
      <c r="S376" s="10" t="str">
        <f t="shared" si="4"/>
        <v/>
      </c>
      <c r="U376" s="10" t="str">
        <f ca="1">IFERROR(__xludf.DUMMYFUNCTION("if(W376=1,COUNTIFS(FILTER($H$2:$H905,$H$2:$H905=""OB"",$S$2:$S905=S376),""OB""),"""")"),"")</f>
        <v/>
      </c>
      <c r="V376" s="10" t="str">
        <f ca="1">IFERROR(__xludf.DUMMYFUNCTION("IF(OR(ISNA(SUM(FILTER($K$2:$K905,$A$2:$A905=A376,$S$2:$S905=S376,$H$2:$H905&lt;&gt;""OB""))),W376&lt;&gt;1),"""",SUM(FILTER($K$2:$K905,$A$2:$A905=A376,$S$2:$S905=S376,$H$2:$H905&lt;&gt;""OB"")))"),"")</f>
        <v/>
      </c>
      <c r="W376" s="10" t="str">
        <f t="shared" si="5"/>
        <v/>
      </c>
    </row>
    <row r="377" spans="1:23" ht="12.5">
      <c r="A377" s="23"/>
      <c r="B377" s="5" t="str">
        <f t="array" ref="B377">IF(W377=1,INDEX('Database Mitra'!$H$2:$H905,MATCH(A377,'Database Mitra'!AK$2:AK905,0)),"")</f>
        <v/>
      </c>
      <c r="C377" s="5" t="str">
        <f t="array" ref="C377">IF(W377=1,INDEX('Database Mitra'!$E$2:$E905,MATCH(A377,'Database Mitra'!AK$2:AK905,0)),"")</f>
        <v/>
      </c>
      <c r="D377" s="23"/>
      <c r="E377" s="5" t="str">
        <f t="array" ref="E377">IF(W377=1,INDEX('Input Kegiatan'!B$2:B905,MATCH($D377,'Input Kegiatan'!$A$2:$A905,0)),"")</f>
        <v/>
      </c>
      <c r="F377" s="5" t="str">
        <f t="array" ref="F377">IF(W377=1,INDEX('Input Kegiatan'!D$2:D905,MATCH($D377,'Input Kegiatan'!$A$2:$A905,0)),"")</f>
        <v/>
      </c>
      <c r="G377" s="5" t="str">
        <f t="array" ref="G377">IF(W377=1,INDEX('Input Kegiatan'!E$2:E905,MATCH($D377,'Input Kegiatan'!$A$2:$A905,0)),"")</f>
        <v/>
      </c>
      <c r="H377" s="5" t="str">
        <f t="array" ref="H377">IF(W377=1,INDEX(Honor!$H$2:$H905,MATCH($D377&amp;"-"&amp;R377,Honor!$K$2:$K905,0)),"")</f>
        <v/>
      </c>
      <c r="I377" s="8" t="str">
        <f>IF(W377=1,SUMIFS(Honor!$I$2:$I905,Honor!$K$2:$K905,$D377&amp;"-"&amp;R377),"")</f>
        <v/>
      </c>
      <c r="J377" s="9" t="str">
        <f t="shared" si="6"/>
        <v/>
      </c>
      <c r="K377" s="10" t="str">
        <f t="shared" si="0"/>
        <v/>
      </c>
      <c r="L377" s="10" t="str">
        <f t="shared" si="1"/>
        <v/>
      </c>
      <c r="M377" s="10" t="str">
        <f>IF(W377=1,IF(AND(U377&lt;2,INT(V377)&lt;='Batasan Honor'!$B$2),1,0),"")</f>
        <v/>
      </c>
      <c r="O377" s="10" t="str">
        <f t="shared" si="2"/>
        <v/>
      </c>
      <c r="P377" s="10" t="str">
        <f t="shared" si="3"/>
        <v/>
      </c>
      <c r="R377" s="23"/>
      <c r="S377" s="10" t="str">
        <f t="shared" si="4"/>
        <v/>
      </c>
      <c r="U377" s="10" t="str">
        <f ca="1">IFERROR(__xludf.DUMMYFUNCTION("if(W377=1,COUNTIFS(FILTER($H$2:$H905,$H$2:$H905=""OB"",$S$2:$S905=S377),""OB""),"""")"),"")</f>
        <v/>
      </c>
      <c r="V377" s="10" t="str">
        <f ca="1">IFERROR(__xludf.DUMMYFUNCTION("IF(OR(ISNA(SUM(FILTER($K$2:$K905,$A$2:$A905=A377,$S$2:$S905=S377,$H$2:$H905&lt;&gt;""OB""))),W377&lt;&gt;1),"""",SUM(FILTER($K$2:$K905,$A$2:$A905=A377,$S$2:$S905=S377,$H$2:$H905&lt;&gt;""OB"")))"),"")</f>
        <v/>
      </c>
      <c r="W377" s="10" t="str">
        <f t="shared" si="5"/>
        <v/>
      </c>
    </row>
    <row r="378" spans="1:23" ht="12.5">
      <c r="A378" s="23"/>
      <c r="B378" s="5" t="str">
        <f t="array" ref="B378">IF(W378=1,INDEX('Database Mitra'!$H$2:$H905,MATCH(A378,'Database Mitra'!AK$2:AK905,0)),"")</f>
        <v/>
      </c>
      <c r="C378" s="5" t="str">
        <f t="array" ref="C378">IF(W378=1,INDEX('Database Mitra'!$E$2:$E905,MATCH(A378,'Database Mitra'!AK$2:AK905,0)),"")</f>
        <v/>
      </c>
      <c r="D378" s="23"/>
      <c r="E378" s="5" t="str">
        <f t="array" ref="E378">IF(W378=1,INDEX('Input Kegiatan'!B$2:B905,MATCH($D378,'Input Kegiatan'!$A$2:$A905,0)),"")</f>
        <v/>
      </c>
      <c r="F378" s="5" t="str">
        <f t="array" ref="F378">IF(W378=1,INDEX('Input Kegiatan'!D$2:D905,MATCH($D378,'Input Kegiatan'!$A$2:$A905,0)),"")</f>
        <v/>
      </c>
      <c r="G378" s="5" t="str">
        <f t="array" ref="G378">IF(W378=1,INDEX('Input Kegiatan'!E$2:E905,MATCH($D378,'Input Kegiatan'!$A$2:$A905,0)),"")</f>
        <v/>
      </c>
      <c r="H378" s="5" t="str">
        <f t="array" ref="H378">IF(W378=1,INDEX(Honor!$H$2:$H905,MATCH($D378&amp;"-"&amp;R378,Honor!$K$2:$K905,0)),"")</f>
        <v/>
      </c>
      <c r="I378" s="8" t="str">
        <f>IF(W378=1,SUMIFS(Honor!$I$2:$I905,Honor!$K$2:$K905,$D378&amp;"-"&amp;R378),"")</f>
        <v/>
      </c>
      <c r="J378" s="9" t="str">
        <f t="shared" si="6"/>
        <v/>
      </c>
      <c r="K378" s="10" t="str">
        <f t="shared" si="0"/>
        <v/>
      </c>
      <c r="L378" s="10" t="str">
        <f t="shared" si="1"/>
        <v/>
      </c>
      <c r="M378" s="10" t="str">
        <f>IF(W378=1,IF(AND(U378&lt;2,INT(V378)&lt;='Batasan Honor'!$B$2),1,0),"")</f>
        <v/>
      </c>
      <c r="O378" s="10" t="str">
        <f t="shared" si="2"/>
        <v/>
      </c>
      <c r="P378" s="10" t="str">
        <f t="shared" si="3"/>
        <v/>
      </c>
      <c r="R378" s="23"/>
      <c r="S378" s="10" t="str">
        <f t="shared" si="4"/>
        <v/>
      </c>
      <c r="U378" s="10" t="str">
        <f ca="1">IFERROR(__xludf.DUMMYFUNCTION("if(W378=1,COUNTIFS(FILTER($H$2:$H905,$H$2:$H905=""OB"",$S$2:$S905=S378),""OB""),"""")"),"")</f>
        <v/>
      </c>
      <c r="V378" s="10" t="str">
        <f ca="1">IFERROR(__xludf.DUMMYFUNCTION("IF(OR(ISNA(SUM(FILTER($K$2:$K905,$A$2:$A905=A378,$S$2:$S905=S378,$H$2:$H905&lt;&gt;""OB""))),W378&lt;&gt;1),"""",SUM(FILTER($K$2:$K905,$A$2:$A905=A378,$S$2:$S905=S378,$H$2:$H905&lt;&gt;""OB"")))"),"")</f>
        <v/>
      </c>
      <c r="W378" s="10" t="str">
        <f t="shared" si="5"/>
        <v/>
      </c>
    </row>
    <row r="379" spans="1:23" ht="12.5">
      <c r="A379" s="23"/>
      <c r="B379" s="5" t="str">
        <f t="array" ref="B379">IF(W379=1,INDEX('Database Mitra'!$H$2:$H905,MATCH(A379,'Database Mitra'!AK$2:AK905,0)),"")</f>
        <v/>
      </c>
      <c r="C379" s="5" t="str">
        <f t="array" ref="C379">IF(W379=1,INDEX('Database Mitra'!$E$2:$E905,MATCH(A379,'Database Mitra'!AK$2:AK905,0)),"")</f>
        <v/>
      </c>
      <c r="D379" s="23"/>
      <c r="E379" s="5" t="str">
        <f t="array" ref="E379">IF(W379=1,INDEX('Input Kegiatan'!B$2:B905,MATCH($D379,'Input Kegiatan'!$A$2:$A905,0)),"")</f>
        <v/>
      </c>
      <c r="F379" s="5" t="str">
        <f t="array" ref="F379">IF(W379=1,INDEX('Input Kegiatan'!D$2:D905,MATCH($D379,'Input Kegiatan'!$A$2:$A905,0)),"")</f>
        <v/>
      </c>
      <c r="G379" s="5" t="str">
        <f t="array" ref="G379">IF(W379=1,INDEX('Input Kegiatan'!E$2:E905,MATCH($D379,'Input Kegiatan'!$A$2:$A905,0)),"")</f>
        <v/>
      </c>
      <c r="H379" s="5" t="str">
        <f t="array" ref="H379">IF(W379=1,INDEX(Honor!$H$2:$H905,MATCH($D379&amp;"-"&amp;R379,Honor!$K$2:$K905,0)),"")</f>
        <v/>
      </c>
      <c r="I379" s="8" t="str">
        <f>IF(W379=1,SUMIFS(Honor!$I$2:$I905,Honor!$K$2:$K905,$D379&amp;"-"&amp;R379),"")</f>
        <v/>
      </c>
      <c r="J379" s="9" t="str">
        <f t="shared" si="6"/>
        <v/>
      </c>
      <c r="K379" s="10" t="str">
        <f t="shared" si="0"/>
        <v/>
      </c>
      <c r="L379" s="10" t="str">
        <f t="shared" si="1"/>
        <v/>
      </c>
      <c r="M379" s="10" t="str">
        <f>IF(W379=1,IF(AND(U379&lt;2,INT(V379)&lt;='Batasan Honor'!$B$2),1,0),"")</f>
        <v/>
      </c>
      <c r="O379" s="10" t="str">
        <f t="shared" si="2"/>
        <v/>
      </c>
      <c r="P379" s="10" t="str">
        <f t="shared" si="3"/>
        <v/>
      </c>
      <c r="R379" s="23"/>
      <c r="S379" s="10" t="str">
        <f t="shared" si="4"/>
        <v/>
      </c>
      <c r="U379" s="10" t="str">
        <f ca="1">IFERROR(__xludf.DUMMYFUNCTION("if(W379=1,COUNTIFS(FILTER($H$2:$H905,$H$2:$H905=""OB"",$S$2:$S905=S379),""OB""),"""")"),"")</f>
        <v/>
      </c>
      <c r="V379" s="10" t="str">
        <f ca="1">IFERROR(__xludf.DUMMYFUNCTION("IF(OR(ISNA(SUM(FILTER($K$2:$K905,$A$2:$A905=A379,$S$2:$S905=S379,$H$2:$H905&lt;&gt;""OB""))),W379&lt;&gt;1),"""",SUM(FILTER($K$2:$K905,$A$2:$A905=A379,$S$2:$S905=S379,$H$2:$H905&lt;&gt;""OB"")))"),"")</f>
        <v/>
      </c>
      <c r="W379" s="10" t="str">
        <f t="shared" si="5"/>
        <v/>
      </c>
    </row>
    <row r="380" spans="1:23" ht="12.5">
      <c r="A380" s="23"/>
      <c r="B380" s="5" t="str">
        <f t="array" ref="B380">IF(W380=1,INDEX('Database Mitra'!$H$2:$H905,MATCH(A380,'Database Mitra'!AK$2:AK905,0)),"")</f>
        <v/>
      </c>
      <c r="C380" s="5" t="str">
        <f t="array" ref="C380">IF(W380=1,INDEX('Database Mitra'!$E$2:$E905,MATCH(A380,'Database Mitra'!AK$2:AK905,0)),"")</f>
        <v/>
      </c>
      <c r="D380" s="23"/>
      <c r="E380" s="5" t="str">
        <f t="array" ref="E380">IF(W380=1,INDEX('Input Kegiatan'!B$2:B905,MATCH($D380,'Input Kegiatan'!$A$2:$A905,0)),"")</f>
        <v/>
      </c>
      <c r="F380" s="5" t="str">
        <f t="array" ref="F380">IF(W380=1,INDEX('Input Kegiatan'!D$2:D905,MATCH($D380,'Input Kegiatan'!$A$2:$A905,0)),"")</f>
        <v/>
      </c>
      <c r="G380" s="5" t="str">
        <f t="array" ref="G380">IF(W380=1,INDEX('Input Kegiatan'!E$2:E905,MATCH($D380,'Input Kegiatan'!$A$2:$A905,0)),"")</f>
        <v/>
      </c>
      <c r="H380" s="5" t="str">
        <f t="array" ref="H380">IF(W380=1,INDEX(Honor!$H$2:$H905,MATCH($D380&amp;"-"&amp;R380,Honor!$K$2:$K905,0)),"")</f>
        <v/>
      </c>
      <c r="I380" s="8" t="str">
        <f>IF(W380=1,SUMIFS(Honor!$I$2:$I905,Honor!$K$2:$K905,$D380&amp;"-"&amp;R380),"")</f>
        <v/>
      </c>
      <c r="J380" s="9" t="str">
        <f t="shared" si="6"/>
        <v/>
      </c>
      <c r="K380" s="10" t="str">
        <f t="shared" si="0"/>
        <v/>
      </c>
      <c r="L380" s="10" t="str">
        <f t="shared" si="1"/>
        <v/>
      </c>
      <c r="M380" s="10" t="str">
        <f>IF(W380=1,IF(AND(U380&lt;2,INT(V380)&lt;='Batasan Honor'!$B$2),1,0),"")</f>
        <v/>
      </c>
      <c r="O380" s="10" t="str">
        <f t="shared" si="2"/>
        <v/>
      </c>
      <c r="P380" s="10" t="str">
        <f t="shared" si="3"/>
        <v/>
      </c>
      <c r="R380" s="23"/>
      <c r="S380" s="10" t="str">
        <f t="shared" si="4"/>
        <v/>
      </c>
      <c r="U380" s="10" t="str">
        <f ca="1">IFERROR(__xludf.DUMMYFUNCTION("if(W380=1,COUNTIFS(FILTER($H$2:$H905,$H$2:$H905=""OB"",$S$2:$S905=S380),""OB""),"""")"),"")</f>
        <v/>
      </c>
      <c r="V380" s="10" t="str">
        <f ca="1">IFERROR(__xludf.DUMMYFUNCTION("IF(OR(ISNA(SUM(FILTER($K$2:$K905,$A$2:$A905=A380,$S$2:$S905=S380,$H$2:$H905&lt;&gt;""OB""))),W380&lt;&gt;1),"""",SUM(FILTER($K$2:$K905,$A$2:$A905=A380,$S$2:$S905=S380,$H$2:$H905&lt;&gt;""OB"")))"),"")</f>
        <v/>
      </c>
      <c r="W380" s="10" t="str">
        <f t="shared" si="5"/>
        <v/>
      </c>
    </row>
    <row r="381" spans="1:23" ht="12.5">
      <c r="A381" s="23"/>
      <c r="B381" s="5" t="str">
        <f t="array" ref="B381">IF(W381=1,INDEX('Database Mitra'!$H$2:$H905,MATCH(A381,'Database Mitra'!AK$2:AK905,0)),"")</f>
        <v/>
      </c>
      <c r="C381" s="5" t="str">
        <f t="array" ref="C381">IF(W381=1,INDEX('Database Mitra'!$E$2:$E905,MATCH(A381,'Database Mitra'!AK$2:AK905,0)),"")</f>
        <v/>
      </c>
      <c r="D381" s="23"/>
      <c r="E381" s="5" t="str">
        <f t="array" ref="E381">IF(W381=1,INDEX('Input Kegiatan'!B$2:B905,MATCH($D381,'Input Kegiatan'!$A$2:$A905,0)),"")</f>
        <v/>
      </c>
      <c r="F381" s="5" t="str">
        <f t="array" ref="F381">IF(W381=1,INDEX('Input Kegiatan'!D$2:D905,MATCH($D381,'Input Kegiatan'!$A$2:$A905,0)),"")</f>
        <v/>
      </c>
      <c r="G381" s="5" t="str">
        <f t="array" ref="G381">IF(W381=1,INDEX('Input Kegiatan'!E$2:E905,MATCH($D381,'Input Kegiatan'!$A$2:$A905,0)),"")</f>
        <v/>
      </c>
      <c r="H381" s="5" t="str">
        <f t="array" ref="H381">IF(W381=1,INDEX(Honor!$H$2:$H905,MATCH($D381&amp;"-"&amp;R381,Honor!$K$2:$K905,0)),"")</f>
        <v/>
      </c>
      <c r="I381" s="8" t="str">
        <f>IF(W381=1,SUMIFS(Honor!$I$2:$I905,Honor!$K$2:$K905,$D381&amp;"-"&amp;R381),"")</f>
        <v/>
      </c>
      <c r="J381" s="9" t="str">
        <f t="shared" si="6"/>
        <v/>
      </c>
      <c r="K381" s="10" t="str">
        <f t="shared" si="0"/>
        <v/>
      </c>
      <c r="L381" s="10" t="str">
        <f t="shared" si="1"/>
        <v/>
      </c>
      <c r="M381" s="10" t="str">
        <f>IF(W381=1,IF(AND(U381&lt;2,INT(V381)&lt;='Batasan Honor'!$B$2),1,0),"")</f>
        <v/>
      </c>
      <c r="O381" s="10" t="str">
        <f t="shared" si="2"/>
        <v/>
      </c>
      <c r="P381" s="10" t="str">
        <f t="shared" si="3"/>
        <v/>
      </c>
      <c r="R381" s="23"/>
      <c r="S381" s="10" t="str">
        <f t="shared" si="4"/>
        <v/>
      </c>
      <c r="U381" s="10" t="str">
        <f ca="1">IFERROR(__xludf.DUMMYFUNCTION("if(W381=1,COUNTIFS(FILTER($H$2:$H905,$H$2:$H905=""OB"",$S$2:$S905=S381),""OB""),"""")"),"")</f>
        <v/>
      </c>
      <c r="V381" s="10" t="str">
        <f ca="1">IFERROR(__xludf.DUMMYFUNCTION("IF(OR(ISNA(SUM(FILTER($K$2:$K905,$A$2:$A905=A381,$S$2:$S905=S381,$H$2:$H905&lt;&gt;""OB""))),W381&lt;&gt;1),"""",SUM(FILTER($K$2:$K905,$A$2:$A905=A381,$S$2:$S905=S381,$H$2:$H905&lt;&gt;""OB"")))"),"")</f>
        <v/>
      </c>
      <c r="W381" s="10" t="str">
        <f t="shared" si="5"/>
        <v/>
      </c>
    </row>
    <row r="382" spans="1:23" ht="12.5">
      <c r="A382" s="23"/>
      <c r="B382" s="5" t="str">
        <f t="array" ref="B382">IF(W382=1,INDEX('Database Mitra'!$H$2:$H905,MATCH(A382,'Database Mitra'!AK$2:AK905,0)),"")</f>
        <v/>
      </c>
      <c r="C382" s="5" t="str">
        <f t="array" ref="C382">IF(W382=1,INDEX('Database Mitra'!$E$2:$E905,MATCH(A382,'Database Mitra'!AK$2:AK905,0)),"")</f>
        <v/>
      </c>
      <c r="D382" s="23"/>
      <c r="E382" s="5" t="str">
        <f t="array" ref="E382">IF(W382=1,INDEX('Input Kegiatan'!B$2:B905,MATCH($D382,'Input Kegiatan'!$A$2:$A905,0)),"")</f>
        <v/>
      </c>
      <c r="F382" s="5" t="str">
        <f t="array" ref="F382">IF(W382=1,INDEX('Input Kegiatan'!D$2:D905,MATCH($D382,'Input Kegiatan'!$A$2:$A905,0)),"")</f>
        <v/>
      </c>
      <c r="G382" s="5" t="str">
        <f t="array" ref="G382">IF(W382=1,INDEX('Input Kegiatan'!E$2:E905,MATCH($D382,'Input Kegiatan'!$A$2:$A905,0)),"")</f>
        <v/>
      </c>
      <c r="H382" s="5" t="str">
        <f t="array" ref="H382">IF(W382=1,INDEX(Honor!$H$2:$H905,MATCH($D382&amp;"-"&amp;R382,Honor!$K$2:$K905,0)),"")</f>
        <v/>
      </c>
      <c r="I382" s="8" t="str">
        <f>IF(W382=1,SUMIFS(Honor!$I$2:$I905,Honor!$K$2:$K905,$D382&amp;"-"&amp;R382),"")</f>
        <v/>
      </c>
      <c r="J382" s="9" t="str">
        <f t="shared" si="6"/>
        <v/>
      </c>
      <c r="K382" s="10" t="str">
        <f t="shared" si="0"/>
        <v/>
      </c>
      <c r="L382" s="10" t="str">
        <f t="shared" si="1"/>
        <v/>
      </c>
      <c r="M382" s="10" t="str">
        <f>IF(W382=1,IF(AND(U382&lt;2,INT(V382)&lt;='Batasan Honor'!$B$2),1,0),"")</f>
        <v/>
      </c>
      <c r="O382" s="10" t="str">
        <f t="shared" si="2"/>
        <v/>
      </c>
      <c r="P382" s="10" t="str">
        <f t="shared" si="3"/>
        <v/>
      </c>
      <c r="R382" s="23"/>
      <c r="S382" s="10" t="str">
        <f t="shared" si="4"/>
        <v/>
      </c>
      <c r="U382" s="10" t="str">
        <f ca="1">IFERROR(__xludf.DUMMYFUNCTION("if(W382=1,COUNTIFS(FILTER($H$2:$H905,$H$2:$H905=""OB"",$S$2:$S905=S382),""OB""),"""")"),"")</f>
        <v/>
      </c>
      <c r="V382" s="10" t="str">
        <f ca="1">IFERROR(__xludf.DUMMYFUNCTION("IF(OR(ISNA(SUM(FILTER($K$2:$K905,$A$2:$A905=A382,$S$2:$S905=S382,$H$2:$H905&lt;&gt;""OB""))),W382&lt;&gt;1),"""",SUM(FILTER($K$2:$K905,$A$2:$A905=A382,$S$2:$S905=S382,$H$2:$H905&lt;&gt;""OB"")))"),"")</f>
        <v/>
      </c>
      <c r="W382" s="10" t="str">
        <f t="shared" si="5"/>
        <v/>
      </c>
    </row>
    <row r="383" spans="1:23" ht="12.5">
      <c r="A383" s="23"/>
      <c r="B383" s="5" t="str">
        <f t="array" ref="B383">IF(W383=1,INDEX('Database Mitra'!$H$2:$H905,MATCH(A383,'Database Mitra'!AK$2:AK905,0)),"")</f>
        <v/>
      </c>
      <c r="C383" s="5" t="str">
        <f t="array" ref="C383">IF(W383=1,INDEX('Database Mitra'!$E$2:$E905,MATCH(A383,'Database Mitra'!AK$2:AK905,0)),"")</f>
        <v/>
      </c>
      <c r="D383" s="23"/>
      <c r="E383" s="5" t="str">
        <f t="array" ref="E383">IF(W383=1,INDEX('Input Kegiatan'!B$2:B905,MATCH($D383,'Input Kegiatan'!$A$2:$A905,0)),"")</f>
        <v/>
      </c>
      <c r="F383" s="5" t="str">
        <f t="array" ref="F383">IF(W383=1,INDEX('Input Kegiatan'!D$2:D905,MATCH($D383,'Input Kegiatan'!$A$2:$A905,0)),"")</f>
        <v/>
      </c>
      <c r="G383" s="5" t="str">
        <f t="array" ref="G383">IF(W383=1,INDEX('Input Kegiatan'!E$2:E905,MATCH($D383,'Input Kegiatan'!$A$2:$A905,0)),"")</f>
        <v/>
      </c>
      <c r="H383" s="5" t="str">
        <f t="array" ref="H383">IF(W383=1,INDEX(Honor!$H$2:$H905,MATCH($D383&amp;"-"&amp;R383,Honor!$K$2:$K905,0)),"")</f>
        <v/>
      </c>
      <c r="I383" s="8" t="str">
        <f>IF(W383=1,SUMIFS(Honor!$I$2:$I905,Honor!$K$2:$K905,$D383&amp;"-"&amp;R383),"")</f>
        <v/>
      </c>
      <c r="J383" s="9" t="str">
        <f t="shared" si="6"/>
        <v/>
      </c>
      <c r="K383" s="10" t="str">
        <f t="shared" si="0"/>
        <v/>
      </c>
      <c r="L383" s="10" t="str">
        <f t="shared" si="1"/>
        <v/>
      </c>
      <c r="M383" s="10" t="str">
        <f>IF(W383=1,IF(AND(U383&lt;2,INT(V383)&lt;='Batasan Honor'!$B$2),1,0),"")</f>
        <v/>
      </c>
      <c r="O383" s="10" t="str">
        <f t="shared" si="2"/>
        <v/>
      </c>
      <c r="P383" s="10" t="str">
        <f t="shared" si="3"/>
        <v/>
      </c>
      <c r="R383" s="23"/>
      <c r="S383" s="10" t="str">
        <f t="shared" si="4"/>
        <v/>
      </c>
      <c r="U383" s="10" t="str">
        <f ca="1">IFERROR(__xludf.DUMMYFUNCTION("if(W383=1,COUNTIFS(FILTER($H$2:$H905,$H$2:$H905=""OB"",$S$2:$S905=S383),""OB""),"""")"),"")</f>
        <v/>
      </c>
      <c r="V383" s="10" t="str">
        <f ca="1">IFERROR(__xludf.DUMMYFUNCTION("IF(OR(ISNA(SUM(FILTER($K$2:$K905,$A$2:$A905=A383,$S$2:$S905=S383,$H$2:$H905&lt;&gt;""OB""))),W383&lt;&gt;1),"""",SUM(FILTER($K$2:$K905,$A$2:$A905=A383,$S$2:$S905=S383,$H$2:$H905&lt;&gt;""OB"")))"),"")</f>
        <v/>
      </c>
      <c r="W383" s="10" t="str">
        <f t="shared" si="5"/>
        <v/>
      </c>
    </row>
    <row r="384" spans="1:23" ht="12.5">
      <c r="A384" s="23"/>
      <c r="B384" s="5" t="str">
        <f t="array" ref="B384">IF(W384=1,INDEX('Database Mitra'!$H$2:$H905,MATCH(A384,'Database Mitra'!AK$2:AK905,0)),"")</f>
        <v/>
      </c>
      <c r="C384" s="5" t="str">
        <f t="array" ref="C384">IF(W384=1,INDEX('Database Mitra'!$E$2:$E905,MATCH(A384,'Database Mitra'!AK$2:AK905,0)),"")</f>
        <v/>
      </c>
      <c r="D384" s="23"/>
      <c r="E384" s="5" t="str">
        <f t="array" ref="E384">IF(W384=1,INDEX('Input Kegiatan'!B$2:B905,MATCH($D384,'Input Kegiatan'!$A$2:$A905,0)),"")</f>
        <v/>
      </c>
      <c r="F384" s="5" t="str">
        <f t="array" ref="F384">IF(W384=1,INDEX('Input Kegiatan'!D$2:D905,MATCH($D384,'Input Kegiatan'!$A$2:$A905,0)),"")</f>
        <v/>
      </c>
      <c r="G384" s="5" t="str">
        <f t="array" ref="G384">IF(W384=1,INDEX('Input Kegiatan'!E$2:E905,MATCH($D384,'Input Kegiatan'!$A$2:$A905,0)),"")</f>
        <v/>
      </c>
      <c r="H384" s="5" t="str">
        <f t="array" ref="H384">IF(W384=1,INDEX(Honor!$H$2:$H905,MATCH($D384&amp;"-"&amp;R384,Honor!$K$2:$K905,0)),"")</f>
        <v/>
      </c>
      <c r="I384" s="8" t="str">
        <f>IF(W384=1,SUMIFS(Honor!$I$2:$I905,Honor!$K$2:$K905,$D384&amp;"-"&amp;R384),"")</f>
        <v/>
      </c>
      <c r="J384" s="9" t="str">
        <f t="shared" si="6"/>
        <v/>
      </c>
      <c r="K384" s="10" t="str">
        <f t="shared" si="0"/>
        <v/>
      </c>
      <c r="L384" s="10" t="str">
        <f t="shared" si="1"/>
        <v/>
      </c>
      <c r="M384" s="10" t="str">
        <f>IF(W384=1,IF(AND(U384&lt;2,INT(V384)&lt;='Batasan Honor'!$B$2),1,0),"")</f>
        <v/>
      </c>
      <c r="O384" s="10" t="str">
        <f t="shared" si="2"/>
        <v/>
      </c>
      <c r="P384" s="10" t="str">
        <f t="shared" si="3"/>
        <v/>
      </c>
      <c r="R384" s="23"/>
      <c r="S384" s="10" t="str">
        <f t="shared" si="4"/>
        <v/>
      </c>
      <c r="U384" s="10" t="str">
        <f ca="1">IFERROR(__xludf.DUMMYFUNCTION("if(W384=1,COUNTIFS(FILTER($H$2:$H905,$H$2:$H905=""OB"",$S$2:$S905=S384),""OB""),"""")"),"")</f>
        <v/>
      </c>
      <c r="V384" s="10" t="str">
        <f ca="1">IFERROR(__xludf.DUMMYFUNCTION("IF(OR(ISNA(SUM(FILTER($K$2:$K905,$A$2:$A905=A384,$S$2:$S905=S384,$H$2:$H905&lt;&gt;""OB""))),W384&lt;&gt;1),"""",SUM(FILTER($K$2:$K905,$A$2:$A905=A384,$S$2:$S905=S384,$H$2:$H905&lt;&gt;""OB"")))"),"")</f>
        <v/>
      </c>
      <c r="W384" s="10" t="str">
        <f t="shared" si="5"/>
        <v/>
      </c>
    </row>
    <row r="385" spans="1:23" ht="12.5">
      <c r="A385" s="23"/>
      <c r="B385" s="5" t="str">
        <f t="array" ref="B385">IF(W385=1,INDEX('Database Mitra'!$H$2:$H905,MATCH(A385,'Database Mitra'!AK$2:AK905,0)),"")</f>
        <v/>
      </c>
      <c r="C385" s="5" t="str">
        <f t="array" ref="C385">IF(W385=1,INDEX('Database Mitra'!$E$2:$E905,MATCH(A385,'Database Mitra'!AK$2:AK905,0)),"")</f>
        <v/>
      </c>
      <c r="D385" s="23"/>
      <c r="E385" s="5" t="str">
        <f t="array" ref="E385">IF(W385=1,INDEX('Input Kegiatan'!B$2:B905,MATCH($D385,'Input Kegiatan'!$A$2:$A905,0)),"")</f>
        <v/>
      </c>
      <c r="F385" s="5" t="str">
        <f t="array" ref="F385">IF(W385=1,INDEX('Input Kegiatan'!D$2:D905,MATCH($D385,'Input Kegiatan'!$A$2:$A905,0)),"")</f>
        <v/>
      </c>
      <c r="G385" s="5" t="str">
        <f t="array" ref="G385">IF(W385=1,INDEX('Input Kegiatan'!E$2:E905,MATCH($D385,'Input Kegiatan'!$A$2:$A905,0)),"")</f>
        <v/>
      </c>
      <c r="H385" s="5" t="str">
        <f t="array" ref="H385">IF(W385=1,INDEX(Honor!$H$2:$H905,MATCH($D385&amp;"-"&amp;R385,Honor!$K$2:$K905,0)),"")</f>
        <v/>
      </c>
      <c r="I385" s="8" t="str">
        <f>IF(W385=1,SUMIFS(Honor!$I$2:$I905,Honor!$K$2:$K905,$D385&amp;"-"&amp;R385),"")</f>
        <v/>
      </c>
      <c r="J385" s="9" t="str">
        <f t="shared" si="6"/>
        <v/>
      </c>
      <c r="K385" s="10" t="str">
        <f t="shared" si="0"/>
        <v/>
      </c>
      <c r="L385" s="10" t="str">
        <f t="shared" si="1"/>
        <v/>
      </c>
      <c r="M385" s="10" t="str">
        <f>IF(W385=1,IF(AND(U385&lt;2,INT(V385)&lt;='Batasan Honor'!$B$2),1,0),"")</f>
        <v/>
      </c>
      <c r="O385" s="10" t="str">
        <f t="shared" si="2"/>
        <v/>
      </c>
      <c r="P385" s="10" t="str">
        <f t="shared" si="3"/>
        <v/>
      </c>
      <c r="R385" s="23"/>
      <c r="S385" s="10" t="str">
        <f t="shared" si="4"/>
        <v/>
      </c>
      <c r="U385" s="10" t="str">
        <f ca="1">IFERROR(__xludf.DUMMYFUNCTION("if(W385=1,COUNTIFS(FILTER($H$2:$H905,$H$2:$H905=""OB"",$S$2:$S905=S385),""OB""),"""")"),"")</f>
        <v/>
      </c>
      <c r="V385" s="10" t="str">
        <f ca="1">IFERROR(__xludf.DUMMYFUNCTION("IF(OR(ISNA(SUM(FILTER($K$2:$K905,$A$2:$A905=A385,$S$2:$S905=S385,$H$2:$H905&lt;&gt;""OB""))),W385&lt;&gt;1),"""",SUM(FILTER($K$2:$K905,$A$2:$A905=A385,$S$2:$S905=S385,$H$2:$H905&lt;&gt;""OB"")))"),"")</f>
        <v/>
      </c>
      <c r="W385" s="10" t="str">
        <f t="shared" si="5"/>
        <v/>
      </c>
    </row>
    <row r="386" spans="1:23" ht="12.5">
      <c r="A386" s="23"/>
      <c r="B386" s="5" t="str">
        <f t="array" ref="B386">IF(W386=1,INDEX('Database Mitra'!$H$2:$H905,MATCH(A386,'Database Mitra'!AK$2:AK905,0)),"")</f>
        <v/>
      </c>
      <c r="C386" s="5" t="str">
        <f t="array" ref="C386">IF(W386=1,INDEX('Database Mitra'!$E$2:$E905,MATCH(A386,'Database Mitra'!AK$2:AK905,0)),"")</f>
        <v/>
      </c>
      <c r="D386" s="23"/>
      <c r="E386" s="5" t="str">
        <f t="array" ref="E386">IF(W386=1,INDEX('Input Kegiatan'!B$2:B905,MATCH($D386,'Input Kegiatan'!$A$2:$A905,0)),"")</f>
        <v/>
      </c>
      <c r="F386" s="5" t="str">
        <f t="array" ref="F386">IF(W386=1,INDEX('Input Kegiatan'!D$2:D905,MATCH($D386,'Input Kegiatan'!$A$2:$A905,0)),"")</f>
        <v/>
      </c>
      <c r="G386" s="5" t="str">
        <f t="array" ref="G386">IF(W386=1,INDEX('Input Kegiatan'!E$2:E905,MATCH($D386,'Input Kegiatan'!$A$2:$A905,0)),"")</f>
        <v/>
      </c>
      <c r="H386" s="5" t="str">
        <f t="array" ref="H386">IF(W386=1,INDEX(Honor!$H$2:$H905,MATCH($D386&amp;"-"&amp;R386,Honor!$K$2:$K905,0)),"")</f>
        <v/>
      </c>
      <c r="I386" s="8" t="str">
        <f>IF(W386=1,SUMIFS(Honor!$I$2:$I905,Honor!$K$2:$K905,$D386&amp;"-"&amp;R386),"")</f>
        <v/>
      </c>
      <c r="J386" s="9" t="str">
        <f t="shared" si="6"/>
        <v/>
      </c>
      <c r="K386" s="10" t="str">
        <f t="shared" si="0"/>
        <v/>
      </c>
      <c r="L386" s="10" t="str">
        <f t="shared" si="1"/>
        <v/>
      </c>
      <c r="M386" s="10" t="str">
        <f>IF(W386=1,IF(AND(U386&lt;2,INT(V386)&lt;='Batasan Honor'!$B$2),1,0),"")</f>
        <v/>
      </c>
      <c r="O386" s="10" t="str">
        <f t="shared" si="2"/>
        <v/>
      </c>
      <c r="P386" s="10" t="str">
        <f t="shared" si="3"/>
        <v/>
      </c>
      <c r="R386" s="23"/>
      <c r="S386" s="10" t="str">
        <f t="shared" si="4"/>
        <v/>
      </c>
      <c r="U386" s="10" t="str">
        <f ca="1">IFERROR(__xludf.DUMMYFUNCTION("if(W386=1,COUNTIFS(FILTER($H$2:$H905,$H$2:$H905=""OB"",$S$2:$S905=S386),""OB""),"""")"),"")</f>
        <v/>
      </c>
      <c r="V386" s="10" t="str">
        <f ca="1">IFERROR(__xludf.DUMMYFUNCTION("IF(OR(ISNA(SUM(FILTER($K$2:$K905,$A$2:$A905=A386,$S$2:$S905=S386,$H$2:$H905&lt;&gt;""OB""))),W386&lt;&gt;1),"""",SUM(FILTER($K$2:$K905,$A$2:$A905=A386,$S$2:$S905=S386,$H$2:$H905&lt;&gt;""OB"")))"),"")</f>
        <v/>
      </c>
      <c r="W386" s="10" t="str">
        <f t="shared" si="5"/>
        <v/>
      </c>
    </row>
    <row r="387" spans="1:23" ht="12.5">
      <c r="A387" s="23"/>
      <c r="B387" s="5" t="str">
        <f t="array" ref="B387">IF(W387=1,INDEX('Database Mitra'!$H$2:$H905,MATCH(A387,'Database Mitra'!AK$2:AK905,0)),"")</f>
        <v/>
      </c>
      <c r="C387" s="5" t="str">
        <f t="array" ref="C387">IF(W387=1,INDEX('Database Mitra'!$E$2:$E905,MATCH(A387,'Database Mitra'!AK$2:AK905,0)),"")</f>
        <v/>
      </c>
      <c r="D387" s="23"/>
      <c r="E387" s="5" t="str">
        <f t="array" ref="E387">IF(W387=1,INDEX('Input Kegiatan'!B$2:B905,MATCH($D387,'Input Kegiatan'!$A$2:$A905,0)),"")</f>
        <v/>
      </c>
      <c r="F387" s="5" t="str">
        <f t="array" ref="F387">IF(W387=1,INDEX('Input Kegiatan'!D$2:D905,MATCH($D387,'Input Kegiatan'!$A$2:$A905,0)),"")</f>
        <v/>
      </c>
      <c r="G387" s="5" t="str">
        <f t="array" ref="G387">IF(W387=1,INDEX('Input Kegiatan'!E$2:E905,MATCH($D387,'Input Kegiatan'!$A$2:$A905,0)),"")</f>
        <v/>
      </c>
      <c r="H387" s="5" t="str">
        <f t="array" ref="H387">IF(W387=1,INDEX(Honor!$H$2:$H905,MATCH($D387&amp;"-"&amp;R387,Honor!$K$2:$K905,0)),"")</f>
        <v/>
      </c>
      <c r="I387" s="8" t="str">
        <f>IF(W387=1,SUMIFS(Honor!$I$2:$I905,Honor!$K$2:$K905,$D387&amp;"-"&amp;R387),"")</f>
        <v/>
      </c>
      <c r="J387" s="9" t="str">
        <f t="shared" si="6"/>
        <v/>
      </c>
      <c r="K387" s="10" t="str">
        <f t="shared" si="0"/>
        <v/>
      </c>
      <c r="L387" s="10" t="str">
        <f t="shared" si="1"/>
        <v/>
      </c>
      <c r="M387" s="10" t="str">
        <f>IF(W387=1,IF(AND(U387&lt;2,INT(V387)&lt;='Batasan Honor'!$B$2),1,0),"")</f>
        <v/>
      </c>
      <c r="O387" s="10" t="str">
        <f t="shared" si="2"/>
        <v/>
      </c>
      <c r="P387" s="10" t="str">
        <f t="shared" si="3"/>
        <v/>
      </c>
      <c r="R387" s="23"/>
      <c r="S387" s="10" t="str">
        <f t="shared" si="4"/>
        <v/>
      </c>
      <c r="U387" s="10" t="str">
        <f ca="1">IFERROR(__xludf.DUMMYFUNCTION("if(W387=1,COUNTIFS(FILTER($H$2:$H905,$H$2:$H905=""OB"",$S$2:$S905=S387),""OB""),"""")"),"")</f>
        <v/>
      </c>
      <c r="V387" s="10" t="str">
        <f ca="1">IFERROR(__xludf.DUMMYFUNCTION("IF(OR(ISNA(SUM(FILTER($K$2:$K905,$A$2:$A905=A387,$S$2:$S905=S387,$H$2:$H905&lt;&gt;""OB""))),W387&lt;&gt;1),"""",SUM(FILTER($K$2:$K905,$A$2:$A905=A387,$S$2:$S905=S387,$H$2:$H905&lt;&gt;""OB"")))"),"")</f>
        <v/>
      </c>
      <c r="W387" s="10" t="str">
        <f t="shared" si="5"/>
        <v/>
      </c>
    </row>
    <row r="388" spans="1:23" ht="12.5">
      <c r="A388" s="23"/>
      <c r="B388" s="5" t="str">
        <f t="array" ref="B388">IF(W388=1,INDEX('Database Mitra'!$H$2:$H905,MATCH(A388,'Database Mitra'!AK$2:AK905,0)),"")</f>
        <v/>
      </c>
      <c r="C388" s="5" t="str">
        <f t="array" ref="C388">IF(W388=1,INDEX('Database Mitra'!$E$2:$E905,MATCH(A388,'Database Mitra'!AK$2:AK905,0)),"")</f>
        <v/>
      </c>
      <c r="D388" s="23"/>
      <c r="E388" s="5" t="str">
        <f t="array" ref="E388">IF(W388=1,INDEX('Input Kegiatan'!B$2:B905,MATCH($D388,'Input Kegiatan'!$A$2:$A905,0)),"")</f>
        <v/>
      </c>
      <c r="F388" s="5" t="str">
        <f t="array" ref="F388">IF(W388=1,INDEX('Input Kegiatan'!D$2:D905,MATCH($D388,'Input Kegiatan'!$A$2:$A905,0)),"")</f>
        <v/>
      </c>
      <c r="G388" s="5" t="str">
        <f t="array" ref="G388">IF(W388=1,INDEX('Input Kegiatan'!E$2:E905,MATCH($D388,'Input Kegiatan'!$A$2:$A905,0)),"")</f>
        <v/>
      </c>
      <c r="H388" s="5" t="str">
        <f t="array" ref="H388">IF(W388=1,INDEX(Honor!$H$2:$H905,MATCH($D388&amp;"-"&amp;R388,Honor!$K$2:$K905,0)),"")</f>
        <v/>
      </c>
      <c r="I388" s="8" t="str">
        <f>IF(W388=1,SUMIFS(Honor!$I$2:$I905,Honor!$K$2:$K905,$D388&amp;"-"&amp;R388),"")</f>
        <v/>
      </c>
      <c r="J388" s="9" t="str">
        <f t="shared" si="6"/>
        <v/>
      </c>
      <c r="K388" s="10" t="str">
        <f t="shared" si="0"/>
        <v/>
      </c>
      <c r="L388" s="10" t="str">
        <f t="shared" si="1"/>
        <v/>
      </c>
      <c r="M388" s="10" t="str">
        <f>IF(W388=1,IF(AND(U388&lt;2,INT(V388)&lt;='Batasan Honor'!$B$2),1,0),"")</f>
        <v/>
      </c>
      <c r="O388" s="10" t="str">
        <f t="shared" si="2"/>
        <v/>
      </c>
      <c r="P388" s="10" t="str">
        <f t="shared" si="3"/>
        <v/>
      </c>
      <c r="R388" s="23"/>
      <c r="S388" s="10" t="str">
        <f t="shared" si="4"/>
        <v/>
      </c>
      <c r="U388" s="10" t="str">
        <f ca="1">IFERROR(__xludf.DUMMYFUNCTION("if(W388=1,COUNTIFS(FILTER($H$2:$H905,$H$2:$H905=""OB"",$S$2:$S905=S388),""OB""),"""")"),"")</f>
        <v/>
      </c>
      <c r="V388" s="10" t="str">
        <f ca="1">IFERROR(__xludf.DUMMYFUNCTION("IF(OR(ISNA(SUM(FILTER($K$2:$K905,$A$2:$A905=A388,$S$2:$S905=S388,$H$2:$H905&lt;&gt;""OB""))),W388&lt;&gt;1),"""",SUM(FILTER($K$2:$K905,$A$2:$A905=A388,$S$2:$S905=S388,$H$2:$H905&lt;&gt;""OB"")))"),"")</f>
        <v/>
      </c>
      <c r="W388" s="10" t="str">
        <f t="shared" si="5"/>
        <v/>
      </c>
    </row>
    <row r="389" spans="1:23" ht="12.5">
      <c r="A389" s="23"/>
      <c r="B389" s="5" t="str">
        <f t="array" ref="B389">IF(W389=1,INDEX('Database Mitra'!$H$2:$H905,MATCH(A389,'Database Mitra'!AK$2:AK905,0)),"")</f>
        <v/>
      </c>
      <c r="C389" s="5" t="str">
        <f t="array" ref="C389">IF(W389=1,INDEX('Database Mitra'!$E$2:$E905,MATCH(A389,'Database Mitra'!AK$2:AK905,0)),"")</f>
        <v/>
      </c>
      <c r="D389" s="23"/>
      <c r="E389" s="5" t="str">
        <f t="array" ref="E389">IF(W389=1,INDEX('Input Kegiatan'!B$2:B905,MATCH($D389,'Input Kegiatan'!$A$2:$A905,0)),"")</f>
        <v/>
      </c>
      <c r="F389" s="5" t="str">
        <f t="array" ref="F389">IF(W389=1,INDEX('Input Kegiatan'!D$2:D905,MATCH($D389,'Input Kegiatan'!$A$2:$A905,0)),"")</f>
        <v/>
      </c>
      <c r="G389" s="5" t="str">
        <f t="array" ref="G389">IF(W389=1,INDEX('Input Kegiatan'!E$2:E905,MATCH($D389,'Input Kegiatan'!$A$2:$A905,0)),"")</f>
        <v/>
      </c>
      <c r="H389" s="5" t="str">
        <f t="array" ref="H389">IF(W389=1,INDEX(Honor!$H$2:$H905,MATCH($D389&amp;"-"&amp;R389,Honor!$K$2:$K905,0)),"")</f>
        <v/>
      </c>
      <c r="I389" s="8" t="str">
        <f>IF(W389=1,SUMIFS(Honor!$I$2:$I905,Honor!$K$2:$K905,$D389&amp;"-"&amp;R389),"")</f>
        <v/>
      </c>
      <c r="J389" s="9" t="str">
        <f t="shared" si="6"/>
        <v/>
      </c>
      <c r="K389" s="10" t="str">
        <f t="shared" si="0"/>
        <v/>
      </c>
      <c r="L389" s="10" t="str">
        <f t="shared" si="1"/>
        <v/>
      </c>
      <c r="M389" s="10" t="str">
        <f>IF(W389=1,IF(AND(U389&lt;2,INT(V389)&lt;='Batasan Honor'!$B$2),1,0),"")</f>
        <v/>
      </c>
      <c r="O389" s="10" t="str">
        <f t="shared" si="2"/>
        <v/>
      </c>
      <c r="P389" s="10" t="str">
        <f t="shared" si="3"/>
        <v/>
      </c>
      <c r="R389" s="23"/>
      <c r="S389" s="10" t="str">
        <f t="shared" si="4"/>
        <v/>
      </c>
      <c r="U389" s="10" t="str">
        <f ca="1">IFERROR(__xludf.DUMMYFUNCTION("if(W389=1,COUNTIFS(FILTER($H$2:$H905,$H$2:$H905=""OB"",$S$2:$S905=S389),""OB""),"""")"),"")</f>
        <v/>
      </c>
      <c r="V389" s="10" t="str">
        <f ca="1">IFERROR(__xludf.DUMMYFUNCTION("IF(OR(ISNA(SUM(FILTER($K$2:$K905,$A$2:$A905=A389,$S$2:$S905=S389,$H$2:$H905&lt;&gt;""OB""))),W389&lt;&gt;1),"""",SUM(FILTER($K$2:$K905,$A$2:$A905=A389,$S$2:$S905=S389,$H$2:$H905&lt;&gt;""OB"")))"),"")</f>
        <v/>
      </c>
      <c r="W389" s="10" t="str">
        <f t="shared" si="5"/>
        <v/>
      </c>
    </row>
    <row r="390" spans="1:23" ht="12.5">
      <c r="A390" s="23"/>
      <c r="B390" s="5" t="str">
        <f t="array" ref="B390">IF(W390=1,INDEX('Database Mitra'!$H$2:$H905,MATCH(A390,'Database Mitra'!AK$2:AK905,0)),"")</f>
        <v/>
      </c>
      <c r="C390" s="5" t="str">
        <f t="array" ref="C390">IF(W390=1,INDEX('Database Mitra'!$E$2:$E905,MATCH(A390,'Database Mitra'!AK$2:AK905,0)),"")</f>
        <v/>
      </c>
      <c r="D390" s="23"/>
      <c r="E390" s="5" t="str">
        <f t="array" ref="E390">IF(W390=1,INDEX('Input Kegiatan'!B$2:B905,MATCH($D390,'Input Kegiatan'!$A$2:$A905,0)),"")</f>
        <v/>
      </c>
      <c r="F390" s="5" t="str">
        <f t="array" ref="F390">IF(W390=1,INDEX('Input Kegiatan'!D$2:D905,MATCH($D390,'Input Kegiatan'!$A$2:$A905,0)),"")</f>
        <v/>
      </c>
      <c r="G390" s="5" t="str">
        <f t="array" ref="G390">IF(W390=1,INDEX('Input Kegiatan'!E$2:E905,MATCH($D390,'Input Kegiatan'!$A$2:$A905,0)),"")</f>
        <v/>
      </c>
      <c r="H390" s="5" t="str">
        <f t="array" ref="H390">IF(W390=1,INDEX(Honor!$H$2:$H905,MATCH($D390&amp;"-"&amp;R390,Honor!$K$2:$K905,0)),"")</f>
        <v/>
      </c>
      <c r="I390" s="8" t="str">
        <f>IF(W390=1,SUMIFS(Honor!$I$2:$I905,Honor!$K$2:$K905,$D390&amp;"-"&amp;R390),"")</f>
        <v/>
      </c>
      <c r="J390" s="9" t="str">
        <f t="shared" si="6"/>
        <v/>
      </c>
      <c r="K390" s="10" t="str">
        <f t="shared" si="0"/>
        <v/>
      </c>
      <c r="L390" s="10" t="str">
        <f t="shared" si="1"/>
        <v/>
      </c>
      <c r="M390" s="10" t="str">
        <f>IF(W390=1,IF(AND(U390&lt;2,INT(V390)&lt;='Batasan Honor'!$B$2),1,0),"")</f>
        <v/>
      </c>
      <c r="O390" s="10" t="str">
        <f t="shared" si="2"/>
        <v/>
      </c>
      <c r="P390" s="10" t="str">
        <f t="shared" si="3"/>
        <v/>
      </c>
      <c r="R390" s="23"/>
      <c r="S390" s="10" t="str">
        <f t="shared" si="4"/>
        <v/>
      </c>
      <c r="U390" s="10" t="str">
        <f ca="1">IFERROR(__xludf.DUMMYFUNCTION("if(W390=1,COUNTIFS(FILTER($H$2:$H905,$H$2:$H905=""OB"",$S$2:$S905=S390),""OB""),"""")"),"")</f>
        <v/>
      </c>
      <c r="V390" s="10" t="str">
        <f ca="1">IFERROR(__xludf.DUMMYFUNCTION("IF(OR(ISNA(SUM(FILTER($K$2:$K905,$A$2:$A905=A390,$S$2:$S905=S390,$H$2:$H905&lt;&gt;""OB""))),W390&lt;&gt;1),"""",SUM(FILTER($K$2:$K905,$A$2:$A905=A390,$S$2:$S905=S390,$H$2:$H905&lt;&gt;""OB"")))"),"")</f>
        <v/>
      </c>
      <c r="W390" s="10" t="str">
        <f t="shared" si="5"/>
        <v/>
      </c>
    </row>
    <row r="391" spans="1:23" ht="12.5">
      <c r="A391" s="23"/>
      <c r="B391" s="5" t="str">
        <f t="array" ref="B391">IF(W391=1,INDEX('Database Mitra'!$H$2:$H905,MATCH(A391,'Database Mitra'!AK$2:AK905,0)),"")</f>
        <v/>
      </c>
      <c r="C391" s="5" t="str">
        <f t="array" ref="C391">IF(W391=1,INDEX('Database Mitra'!$E$2:$E905,MATCH(A391,'Database Mitra'!AK$2:AK905,0)),"")</f>
        <v/>
      </c>
      <c r="D391" s="23"/>
      <c r="E391" s="5" t="str">
        <f t="array" ref="E391">IF(W391=1,INDEX('Input Kegiatan'!B$2:B905,MATCH($D391,'Input Kegiatan'!$A$2:$A905,0)),"")</f>
        <v/>
      </c>
      <c r="F391" s="5" t="str">
        <f t="array" ref="F391">IF(W391=1,INDEX('Input Kegiatan'!D$2:D905,MATCH($D391,'Input Kegiatan'!$A$2:$A905,0)),"")</f>
        <v/>
      </c>
      <c r="G391" s="5" t="str">
        <f t="array" ref="G391">IF(W391=1,INDEX('Input Kegiatan'!E$2:E905,MATCH($D391,'Input Kegiatan'!$A$2:$A905,0)),"")</f>
        <v/>
      </c>
      <c r="H391" s="5" t="str">
        <f t="array" ref="H391">IF(W391=1,INDEX(Honor!$H$2:$H905,MATCH($D391&amp;"-"&amp;R391,Honor!$K$2:$K905,0)),"")</f>
        <v/>
      </c>
      <c r="I391" s="8" t="str">
        <f>IF(W391=1,SUMIFS(Honor!$I$2:$I905,Honor!$K$2:$K905,$D391&amp;"-"&amp;R391),"")</f>
        <v/>
      </c>
      <c r="J391" s="9" t="str">
        <f t="shared" si="6"/>
        <v/>
      </c>
      <c r="K391" s="10" t="str">
        <f t="shared" si="0"/>
        <v/>
      </c>
      <c r="L391" s="10" t="str">
        <f t="shared" si="1"/>
        <v/>
      </c>
      <c r="M391" s="10" t="str">
        <f>IF(W391=1,IF(AND(U391&lt;2,INT(V391)&lt;='Batasan Honor'!$B$2),1,0),"")</f>
        <v/>
      </c>
      <c r="O391" s="10" t="str">
        <f t="shared" si="2"/>
        <v/>
      </c>
      <c r="P391" s="10" t="str">
        <f t="shared" si="3"/>
        <v/>
      </c>
      <c r="R391" s="23"/>
      <c r="S391" s="10" t="str">
        <f t="shared" si="4"/>
        <v/>
      </c>
      <c r="U391" s="10" t="str">
        <f ca="1">IFERROR(__xludf.DUMMYFUNCTION("if(W391=1,COUNTIFS(FILTER($H$2:$H905,$H$2:$H905=""OB"",$S$2:$S905=S391),""OB""),"""")"),"")</f>
        <v/>
      </c>
      <c r="V391" s="10" t="str">
        <f ca="1">IFERROR(__xludf.DUMMYFUNCTION("IF(OR(ISNA(SUM(FILTER($K$2:$K905,$A$2:$A905=A391,$S$2:$S905=S391,$H$2:$H905&lt;&gt;""OB""))),W391&lt;&gt;1),"""",SUM(FILTER($K$2:$K905,$A$2:$A905=A391,$S$2:$S905=S391,$H$2:$H905&lt;&gt;""OB"")))"),"")</f>
        <v/>
      </c>
      <c r="W391" s="10" t="str">
        <f t="shared" si="5"/>
        <v/>
      </c>
    </row>
    <row r="392" spans="1:23" ht="12.5">
      <c r="A392" s="23"/>
      <c r="B392" s="5" t="str">
        <f t="array" ref="B392">IF(W392=1,INDEX('Database Mitra'!$H$2:$H905,MATCH(A392,'Database Mitra'!AK$2:AK905,0)),"")</f>
        <v/>
      </c>
      <c r="C392" s="5" t="str">
        <f t="array" ref="C392">IF(W392=1,INDEX('Database Mitra'!$E$2:$E905,MATCH(A392,'Database Mitra'!AK$2:AK905,0)),"")</f>
        <v/>
      </c>
      <c r="D392" s="23"/>
      <c r="E392" s="5" t="str">
        <f t="array" ref="E392">IF(W392=1,INDEX('Input Kegiatan'!B$2:B905,MATCH($D392,'Input Kegiatan'!$A$2:$A905,0)),"")</f>
        <v/>
      </c>
      <c r="F392" s="5" t="str">
        <f t="array" ref="F392">IF(W392=1,INDEX('Input Kegiatan'!D$2:D905,MATCH($D392,'Input Kegiatan'!$A$2:$A905,0)),"")</f>
        <v/>
      </c>
      <c r="G392" s="5" t="str">
        <f t="array" ref="G392">IF(W392=1,INDEX('Input Kegiatan'!E$2:E905,MATCH($D392,'Input Kegiatan'!$A$2:$A905,0)),"")</f>
        <v/>
      </c>
      <c r="H392" s="5" t="str">
        <f t="array" ref="H392">IF(W392=1,INDEX(Honor!$H$2:$H905,MATCH($D392&amp;"-"&amp;R392,Honor!$K$2:$K905,0)),"")</f>
        <v/>
      </c>
      <c r="I392" s="8" t="str">
        <f>IF(W392=1,SUMIFS(Honor!$I$2:$I905,Honor!$K$2:$K905,$D392&amp;"-"&amp;R392),"")</f>
        <v/>
      </c>
      <c r="J392" s="9" t="str">
        <f t="shared" si="6"/>
        <v/>
      </c>
      <c r="K392" s="10" t="str">
        <f t="shared" si="0"/>
        <v/>
      </c>
      <c r="L392" s="10" t="str">
        <f t="shared" si="1"/>
        <v/>
      </c>
      <c r="M392" s="10" t="str">
        <f>IF(W392=1,IF(AND(U392&lt;2,INT(V392)&lt;='Batasan Honor'!$B$2),1,0),"")</f>
        <v/>
      </c>
      <c r="O392" s="10" t="str">
        <f t="shared" si="2"/>
        <v/>
      </c>
      <c r="P392" s="10" t="str">
        <f t="shared" si="3"/>
        <v/>
      </c>
      <c r="R392" s="23"/>
      <c r="S392" s="10" t="str">
        <f t="shared" si="4"/>
        <v/>
      </c>
      <c r="U392" s="10" t="str">
        <f ca="1">IFERROR(__xludf.DUMMYFUNCTION("if(W392=1,COUNTIFS(FILTER($H$2:$H905,$H$2:$H905=""OB"",$S$2:$S905=S392),""OB""),"""")"),"")</f>
        <v/>
      </c>
      <c r="V392" s="10" t="str">
        <f ca="1">IFERROR(__xludf.DUMMYFUNCTION("IF(OR(ISNA(SUM(FILTER($K$2:$K905,$A$2:$A905=A392,$S$2:$S905=S392,$H$2:$H905&lt;&gt;""OB""))),W392&lt;&gt;1),"""",SUM(FILTER($K$2:$K905,$A$2:$A905=A392,$S$2:$S905=S392,$H$2:$H905&lt;&gt;""OB"")))"),"")</f>
        <v/>
      </c>
      <c r="W392" s="10" t="str">
        <f t="shared" si="5"/>
        <v/>
      </c>
    </row>
    <row r="393" spans="1:23" ht="12.5">
      <c r="A393" s="23"/>
      <c r="B393" s="5" t="str">
        <f t="array" ref="B393">IF(W393=1,INDEX('Database Mitra'!$H$2:$H905,MATCH(A393,'Database Mitra'!AK$2:AK905,0)),"")</f>
        <v/>
      </c>
      <c r="C393" s="5" t="str">
        <f t="array" ref="C393">IF(W393=1,INDEX('Database Mitra'!$E$2:$E905,MATCH(A393,'Database Mitra'!AK$2:AK905,0)),"")</f>
        <v/>
      </c>
      <c r="D393" s="23"/>
      <c r="E393" s="5" t="str">
        <f t="array" ref="E393">IF(W393=1,INDEX('Input Kegiatan'!B$2:B905,MATCH($D393,'Input Kegiatan'!$A$2:$A905,0)),"")</f>
        <v/>
      </c>
      <c r="F393" s="5" t="str">
        <f t="array" ref="F393">IF(W393=1,INDEX('Input Kegiatan'!D$2:D905,MATCH($D393,'Input Kegiatan'!$A$2:$A905,0)),"")</f>
        <v/>
      </c>
      <c r="G393" s="5" t="str">
        <f t="array" ref="G393">IF(W393=1,INDEX('Input Kegiatan'!E$2:E905,MATCH($D393,'Input Kegiatan'!$A$2:$A905,0)),"")</f>
        <v/>
      </c>
      <c r="H393" s="5" t="str">
        <f t="array" ref="H393">IF(W393=1,INDEX(Honor!$H$2:$H905,MATCH($D393&amp;"-"&amp;R393,Honor!$K$2:$K905,0)),"")</f>
        <v/>
      </c>
      <c r="I393" s="8" t="str">
        <f>IF(W393=1,SUMIFS(Honor!$I$2:$I905,Honor!$K$2:$K905,$D393&amp;"-"&amp;R393),"")</f>
        <v/>
      </c>
      <c r="J393" s="9" t="str">
        <f t="shared" si="6"/>
        <v/>
      </c>
      <c r="K393" s="10" t="str">
        <f t="shared" si="0"/>
        <v/>
      </c>
      <c r="L393" s="10" t="str">
        <f t="shared" si="1"/>
        <v/>
      </c>
      <c r="M393" s="10" t="str">
        <f>IF(W393=1,IF(AND(U393&lt;2,INT(V393)&lt;='Batasan Honor'!$B$2),1,0),"")</f>
        <v/>
      </c>
      <c r="O393" s="10" t="str">
        <f t="shared" si="2"/>
        <v/>
      </c>
      <c r="P393" s="10" t="str">
        <f t="shared" si="3"/>
        <v/>
      </c>
      <c r="R393" s="23"/>
      <c r="S393" s="10" t="str">
        <f t="shared" si="4"/>
        <v/>
      </c>
      <c r="U393" s="10" t="str">
        <f ca="1">IFERROR(__xludf.DUMMYFUNCTION("if(W393=1,COUNTIFS(FILTER($H$2:$H905,$H$2:$H905=""OB"",$S$2:$S905=S393),""OB""),"""")"),"")</f>
        <v/>
      </c>
      <c r="V393" s="10" t="str">
        <f ca="1">IFERROR(__xludf.DUMMYFUNCTION("IF(OR(ISNA(SUM(FILTER($K$2:$K905,$A$2:$A905=A393,$S$2:$S905=S393,$H$2:$H905&lt;&gt;""OB""))),W393&lt;&gt;1),"""",SUM(FILTER($K$2:$K905,$A$2:$A905=A393,$S$2:$S905=S393,$H$2:$H905&lt;&gt;""OB"")))"),"")</f>
        <v/>
      </c>
      <c r="W393" s="10" t="str">
        <f t="shared" si="5"/>
        <v/>
      </c>
    </row>
    <row r="394" spans="1:23" ht="12.5">
      <c r="A394" s="23"/>
      <c r="B394" s="5" t="str">
        <f t="array" ref="B394">IF(W394=1,INDEX('Database Mitra'!$H$2:$H905,MATCH(A394,'Database Mitra'!AK$2:AK905,0)),"")</f>
        <v/>
      </c>
      <c r="C394" s="5" t="str">
        <f t="array" ref="C394">IF(W394=1,INDEX('Database Mitra'!$E$2:$E905,MATCH(A394,'Database Mitra'!AK$2:AK905,0)),"")</f>
        <v/>
      </c>
      <c r="D394" s="23"/>
      <c r="E394" s="5" t="str">
        <f t="array" ref="E394">IF(W394=1,INDEX('Input Kegiatan'!B$2:B905,MATCH($D394,'Input Kegiatan'!$A$2:$A905,0)),"")</f>
        <v/>
      </c>
      <c r="F394" s="5" t="str">
        <f t="array" ref="F394">IF(W394=1,INDEX('Input Kegiatan'!D$2:D905,MATCH($D394,'Input Kegiatan'!$A$2:$A905,0)),"")</f>
        <v/>
      </c>
      <c r="G394" s="5" t="str">
        <f t="array" ref="G394">IF(W394=1,INDEX('Input Kegiatan'!E$2:E905,MATCH($D394,'Input Kegiatan'!$A$2:$A905,0)),"")</f>
        <v/>
      </c>
      <c r="H394" s="5" t="str">
        <f t="array" ref="H394">IF(W394=1,INDEX(Honor!$H$2:$H905,MATCH($D394&amp;"-"&amp;R394,Honor!$K$2:$K905,0)),"")</f>
        <v/>
      </c>
      <c r="I394" s="8" t="str">
        <f>IF(W394=1,SUMIFS(Honor!$I$2:$I905,Honor!$K$2:$K905,$D394&amp;"-"&amp;R394),"")</f>
        <v/>
      </c>
      <c r="J394" s="9" t="str">
        <f t="shared" si="6"/>
        <v/>
      </c>
      <c r="K394" s="10" t="str">
        <f t="shared" si="0"/>
        <v/>
      </c>
      <c r="L394" s="10" t="str">
        <f t="shared" si="1"/>
        <v/>
      </c>
      <c r="M394" s="10" t="str">
        <f>IF(W394=1,IF(AND(U394&lt;2,INT(V394)&lt;='Batasan Honor'!$B$2),1,0),"")</f>
        <v/>
      </c>
      <c r="O394" s="10" t="str">
        <f t="shared" si="2"/>
        <v/>
      </c>
      <c r="P394" s="10" t="str">
        <f t="shared" si="3"/>
        <v/>
      </c>
      <c r="R394" s="23"/>
      <c r="S394" s="10" t="str">
        <f t="shared" si="4"/>
        <v/>
      </c>
      <c r="U394" s="10" t="str">
        <f ca="1">IFERROR(__xludf.DUMMYFUNCTION("if(W394=1,COUNTIFS(FILTER($H$2:$H905,$H$2:$H905=""OB"",$S$2:$S905=S394),""OB""),"""")"),"")</f>
        <v/>
      </c>
      <c r="V394" s="10" t="str">
        <f ca="1">IFERROR(__xludf.DUMMYFUNCTION("IF(OR(ISNA(SUM(FILTER($K$2:$K905,$A$2:$A905=A394,$S$2:$S905=S394,$H$2:$H905&lt;&gt;""OB""))),W394&lt;&gt;1),"""",SUM(FILTER($K$2:$K905,$A$2:$A905=A394,$S$2:$S905=S394,$H$2:$H905&lt;&gt;""OB"")))"),"")</f>
        <v/>
      </c>
      <c r="W394" s="10" t="str">
        <f t="shared" si="5"/>
        <v/>
      </c>
    </row>
    <row r="395" spans="1:23" ht="12.5">
      <c r="A395" s="23"/>
      <c r="B395" s="5" t="str">
        <f t="array" ref="B395">IF(W395=1,INDEX('Database Mitra'!$H$2:$H905,MATCH(A395,'Database Mitra'!AK$2:AK905,0)),"")</f>
        <v/>
      </c>
      <c r="C395" s="5" t="str">
        <f t="array" ref="C395">IF(W395=1,INDEX('Database Mitra'!$E$2:$E905,MATCH(A395,'Database Mitra'!AK$2:AK905,0)),"")</f>
        <v/>
      </c>
      <c r="D395" s="23"/>
      <c r="E395" s="5" t="str">
        <f t="array" ref="E395">IF(W395=1,INDEX('Input Kegiatan'!B$2:B905,MATCH($D395,'Input Kegiatan'!$A$2:$A905,0)),"")</f>
        <v/>
      </c>
      <c r="F395" s="5" t="str">
        <f t="array" ref="F395">IF(W395=1,INDEX('Input Kegiatan'!D$2:D905,MATCH($D395,'Input Kegiatan'!$A$2:$A905,0)),"")</f>
        <v/>
      </c>
      <c r="G395" s="5" t="str">
        <f t="array" ref="G395">IF(W395=1,INDEX('Input Kegiatan'!E$2:E905,MATCH($D395,'Input Kegiatan'!$A$2:$A905,0)),"")</f>
        <v/>
      </c>
      <c r="H395" s="5" t="str">
        <f t="array" ref="H395">IF(W395=1,INDEX(Honor!$H$2:$H905,MATCH($D395&amp;"-"&amp;R395,Honor!$K$2:$K905,0)),"")</f>
        <v/>
      </c>
      <c r="I395" s="8" t="str">
        <f>IF(W395=1,SUMIFS(Honor!$I$2:$I905,Honor!$K$2:$K905,$D395&amp;"-"&amp;R395),"")</f>
        <v/>
      </c>
      <c r="J395" s="9" t="str">
        <f t="shared" si="6"/>
        <v/>
      </c>
      <c r="K395" s="10" t="str">
        <f t="shared" si="0"/>
        <v/>
      </c>
      <c r="L395" s="10" t="str">
        <f t="shared" si="1"/>
        <v/>
      </c>
      <c r="M395" s="10" t="str">
        <f>IF(W395=1,IF(AND(U395&lt;2,INT(V395)&lt;='Batasan Honor'!$B$2),1,0),"")</f>
        <v/>
      </c>
      <c r="O395" s="10" t="str">
        <f t="shared" si="2"/>
        <v/>
      </c>
      <c r="P395" s="10" t="str">
        <f t="shared" si="3"/>
        <v/>
      </c>
      <c r="R395" s="23"/>
      <c r="S395" s="10" t="str">
        <f t="shared" si="4"/>
        <v/>
      </c>
      <c r="U395" s="10" t="str">
        <f ca="1">IFERROR(__xludf.DUMMYFUNCTION("if(W395=1,COUNTIFS(FILTER($H$2:$H905,$H$2:$H905=""OB"",$S$2:$S905=S395),""OB""),"""")"),"")</f>
        <v/>
      </c>
      <c r="V395" s="10" t="str">
        <f ca="1">IFERROR(__xludf.DUMMYFUNCTION("IF(OR(ISNA(SUM(FILTER($K$2:$K905,$A$2:$A905=A395,$S$2:$S905=S395,$H$2:$H905&lt;&gt;""OB""))),W395&lt;&gt;1),"""",SUM(FILTER($K$2:$K905,$A$2:$A905=A395,$S$2:$S905=S395,$H$2:$H905&lt;&gt;""OB"")))"),"")</f>
        <v/>
      </c>
      <c r="W395" s="10" t="str">
        <f t="shared" si="5"/>
        <v/>
      </c>
    </row>
    <row r="396" spans="1:23" ht="12.5">
      <c r="A396" s="23"/>
      <c r="B396" s="5" t="str">
        <f t="array" ref="B396">IF(W396=1,INDEX('Database Mitra'!$H$2:$H905,MATCH(A396,'Database Mitra'!AK$2:AK905,0)),"")</f>
        <v/>
      </c>
      <c r="C396" s="5" t="str">
        <f t="array" ref="C396">IF(W396=1,INDEX('Database Mitra'!$E$2:$E905,MATCH(A396,'Database Mitra'!AK$2:AK905,0)),"")</f>
        <v/>
      </c>
      <c r="D396" s="23"/>
      <c r="E396" s="5" t="str">
        <f t="array" ref="E396">IF(W396=1,INDEX('Input Kegiatan'!B$2:B905,MATCH($D396,'Input Kegiatan'!$A$2:$A905,0)),"")</f>
        <v/>
      </c>
      <c r="F396" s="5" t="str">
        <f t="array" ref="F396">IF(W396=1,INDEX('Input Kegiatan'!D$2:D905,MATCH($D396,'Input Kegiatan'!$A$2:$A905,0)),"")</f>
        <v/>
      </c>
      <c r="G396" s="5" t="str">
        <f t="array" ref="G396">IF(W396=1,INDEX('Input Kegiatan'!E$2:E905,MATCH($D396,'Input Kegiatan'!$A$2:$A905,0)),"")</f>
        <v/>
      </c>
      <c r="H396" s="5" t="str">
        <f t="array" ref="H396">IF(W396=1,INDEX(Honor!$H$2:$H905,MATCH($D396&amp;"-"&amp;R396,Honor!$K$2:$K905,0)),"")</f>
        <v/>
      </c>
      <c r="I396" s="8" t="str">
        <f>IF(W396=1,SUMIFS(Honor!$I$2:$I905,Honor!$K$2:$K905,$D396&amp;"-"&amp;R396),"")</f>
        <v/>
      </c>
      <c r="J396" s="9" t="str">
        <f t="shared" si="6"/>
        <v/>
      </c>
      <c r="K396" s="10" t="str">
        <f t="shared" si="0"/>
        <v/>
      </c>
      <c r="L396" s="10" t="str">
        <f t="shared" si="1"/>
        <v/>
      </c>
      <c r="M396" s="10" t="str">
        <f>IF(W396=1,IF(AND(U396&lt;2,INT(V396)&lt;='Batasan Honor'!$B$2),1,0),"")</f>
        <v/>
      </c>
      <c r="O396" s="10" t="str">
        <f t="shared" si="2"/>
        <v/>
      </c>
      <c r="P396" s="10" t="str">
        <f t="shared" si="3"/>
        <v/>
      </c>
      <c r="R396" s="23"/>
      <c r="S396" s="10" t="str">
        <f t="shared" si="4"/>
        <v/>
      </c>
      <c r="U396" s="10" t="str">
        <f ca="1">IFERROR(__xludf.DUMMYFUNCTION("if(W396=1,COUNTIFS(FILTER($H$2:$H905,$H$2:$H905=""OB"",$S$2:$S905=S396),""OB""),"""")"),"")</f>
        <v/>
      </c>
      <c r="V396" s="10" t="str">
        <f ca="1">IFERROR(__xludf.DUMMYFUNCTION("IF(OR(ISNA(SUM(FILTER($K$2:$K905,$A$2:$A905=A396,$S$2:$S905=S396,$H$2:$H905&lt;&gt;""OB""))),W396&lt;&gt;1),"""",SUM(FILTER($K$2:$K905,$A$2:$A905=A396,$S$2:$S905=S396,$H$2:$H905&lt;&gt;""OB"")))"),"")</f>
        <v/>
      </c>
      <c r="W396" s="10" t="str">
        <f t="shared" si="5"/>
        <v/>
      </c>
    </row>
    <row r="397" spans="1:23" ht="12.5">
      <c r="A397" s="23"/>
      <c r="B397" s="5" t="str">
        <f t="array" ref="B397">IF(W397=1,INDEX('Database Mitra'!$H$2:$H905,MATCH(A397,'Database Mitra'!AK$2:AK905,0)),"")</f>
        <v/>
      </c>
      <c r="C397" s="5" t="str">
        <f t="array" ref="C397">IF(W397=1,INDEX('Database Mitra'!$E$2:$E905,MATCH(A397,'Database Mitra'!AK$2:AK905,0)),"")</f>
        <v/>
      </c>
      <c r="D397" s="23"/>
      <c r="E397" s="5" t="str">
        <f t="array" ref="E397">IF(W397=1,INDEX('Input Kegiatan'!B$2:B905,MATCH($D397,'Input Kegiatan'!$A$2:$A905,0)),"")</f>
        <v/>
      </c>
      <c r="F397" s="5" t="str">
        <f t="array" ref="F397">IF(W397=1,INDEX('Input Kegiatan'!D$2:D905,MATCH($D397,'Input Kegiatan'!$A$2:$A905,0)),"")</f>
        <v/>
      </c>
      <c r="G397" s="5" t="str">
        <f t="array" ref="G397">IF(W397=1,INDEX('Input Kegiatan'!E$2:E905,MATCH($D397,'Input Kegiatan'!$A$2:$A905,0)),"")</f>
        <v/>
      </c>
      <c r="H397" s="5" t="str">
        <f t="array" ref="H397">IF(W397=1,INDEX(Honor!$H$2:$H905,MATCH($D397&amp;"-"&amp;R397,Honor!$K$2:$K905,0)),"")</f>
        <v/>
      </c>
      <c r="I397" s="8" t="str">
        <f>IF(W397=1,SUMIFS(Honor!$I$2:$I905,Honor!$K$2:$K905,$D397&amp;"-"&amp;R397),"")</f>
        <v/>
      </c>
      <c r="J397" s="9" t="str">
        <f t="shared" si="6"/>
        <v/>
      </c>
      <c r="K397" s="10" t="str">
        <f t="shared" si="0"/>
        <v/>
      </c>
      <c r="L397" s="10" t="str">
        <f t="shared" si="1"/>
        <v/>
      </c>
      <c r="M397" s="10" t="str">
        <f>IF(W397=1,IF(AND(U397&lt;2,INT(V397)&lt;='Batasan Honor'!$B$2),1,0),"")</f>
        <v/>
      </c>
      <c r="O397" s="10" t="str">
        <f t="shared" si="2"/>
        <v/>
      </c>
      <c r="P397" s="10" t="str">
        <f t="shared" si="3"/>
        <v/>
      </c>
      <c r="R397" s="23"/>
      <c r="S397" s="10" t="str">
        <f t="shared" si="4"/>
        <v/>
      </c>
      <c r="U397" s="10" t="str">
        <f ca="1">IFERROR(__xludf.DUMMYFUNCTION("if(W397=1,COUNTIFS(FILTER($H$2:$H905,$H$2:$H905=""OB"",$S$2:$S905=S397),""OB""),"""")"),"")</f>
        <v/>
      </c>
      <c r="V397" s="10" t="str">
        <f ca="1">IFERROR(__xludf.DUMMYFUNCTION("IF(OR(ISNA(SUM(FILTER($K$2:$K905,$A$2:$A905=A397,$S$2:$S905=S397,$H$2:$H905&lt;&gt;""OB""))),W397&lt;&gt;1),"""",SUM(FILTER($K$2:$K905,$A$2:$A905=A397,$S$2:$S905=S397,$H$2:$H905&lt;&gt;""OB"")))"),"")</f>
        <v/>
      </c>
      <c r="W397" s="10" t="str">
        <f t="shared" si="5"/>
        <v/>
      </c>
    </row>
    <row r="398" spans="1:23" ht="12.5">
      <c r="A398" s="23"/>
      <c r="B398" s="5" t="str">
        <f t="array" ref="B398">IF(W398=1,INDEX('Database Mitra'!$H$2:$H905,MATCH(A398,'Database Mitra'!AK$2:AK905,0)),"")</f>
        <v/>
      </c>
      <c r="C398" s="5" t="str">
        <f t="array" ref="C398">IF(W398=1,INDEX('Database Mitra'!$E$2:$E905,MATCH(A398,'Database Mitra'!AK$2:AK905,0)),"")</f>
        <v/>
      </c>
      <c r="D398" s="23"/>
      <c r="E398" s="5" t="str">
        <f t="array" ref="E398">IF(W398=1,INDEX('Input Kegiatan'!B$2:B905,MATCH($D398,'Input Kegiatan'!$A$2:$A905,0)),"")</f>
        <v/>
      </c>
      <c r="F398" s="5" t="str">
        <f t="array" ref="F398">IF(W398=1,INDEX('Input Kegiatan'!D$2:D905,MATCH($D398,'Input Kegiatan'!$A$2:$A905,0)),"")</f>
        <v/>
      </c>
      <c r="G398" s="5" t="str">
        <f t="array" ref="G398">IF(W398=1,INDEX('Input Kegiatan'!E$2:E905,MATCH($D398,'Input Kegiatan'!$A$2:$A905,0)),"")</f>
        <v/>
      </c>
      <c r="H398" s="5" t="str">
        <f t="array" ref="H398">IF(W398=1,INDEX(Honor!$H$2:$H905,MATCH($D398&amp;"-"&amp;R398,Honor!$K$2:$K905,0)),"")</f>
        <v/>
      </c>
      <c r="I398" s="8" t="str">
        <f>IF(W398=1,SUMIFS(Honor!$I$2:$I905,Honor!$K$2:$K905,$D398&amp;"-"&amp;R398),"")</f>
        <v/>
      </c>
      <c r="J398" s="9" t="str">
        <f t="shared" si="6"/>
        <v/>
      </c>
      <c r="K398" s="10" t="str">
        <f t="shared" si="0"/>
        <v/>
      </c>
      <c r="L398" s="10" t="str">
        <f t="shared" si="1"/>
        <v/>
      </c>
      <c r="M398" s="10" t="str">
        <f>IF(W398=1,IF(AND(U398&lt;2,INT(V398)&lt;='Batasan Honor'!$B$2),1,0),"")</f>
        <v/>
      </c>
      <c r="O398" s="10" t="str">
        <f t="shared" si="2"/>
        <v/>
      </c>
      <c r="P398" s="10" t="str">
        <f t="shared" si="3"/>
        <v/>
      </c>
      <c r="R398" s="23"/>
      <c r="S398" s="10" t="str">
        <f t="shared" si="4"/>
        <v/>
      </c>
      <c r="U398" s="10" t="str">
        <f ca="1">IFERROR(__xludf.DUMMYFUNCTION("if(W398=1,COUNTIFS(FILTER($H$2:$H905,$H$2:$H905=""OB"",$S$2:$S905=S398),""OB""),"""")"),"")</f>
        <v/>
      </c>
      <c r="V398" s="10" t="str">
        <f ca="1">IFERROR(__xludf.DUMMYFUNCTION("IF(OR(ISNA(SUM(FILTER($K$2:$K905,$A$2:$A905=A398,$S$2:$S905=S398,$H$2:$H905&lt;&gt;""OB""))),W398&lt;&gt;1),"""",SUM(FILTER($K$2:$K905,$A$2:$A905=A398,$S$2:$S905=S398,$H$2:$H905&lt;&gt;""OB"")))"),"")</f>
        <v/>
      </c>
      <c r="W398" s="10" t="str">
        <f t="shared" si="5"/>
        <v/>
      </c>
    </row>
    <row r="399" spans="1:23" ht="12.5">
      <c r="A399" s="23"/>
      <c r="B399" s="5" t="str">
        <f t="array" ref="B399">IF(W399=1,INDEX('Database Mitra'!$H$2:$H905,MATCH(A399,'Database Mitra'!AK$2:AK905,0)),"")</f>
        <v/>
      </c>
      <c r="C399" s="5" t="str">
        <f t="array" ref="C399">IF(W399=1,INDEX('Database Mitra'!$E$2:$E905,MATCH(A399,'Database Mitra'!AK$2:AK905,0)),"")</f>
        <v/>
      </c>
      <c r="D399" s="23"/>
      <c r="E399" s="5" t="str">
        <f t="array" ref="E399">IF(W399=1,INDEX('Input Kegiatan'!B$2:B905,MATCH($D399,'Input Kegiatan'!$A$2:$A905,0)),"")</f>
        <v/>
      </c>
      <c r="F399" s="5" t="str">
        <f t="array" ref="F399">IF(W399=1,INDEX('Input Kegiatan'!D$2:D905,MATCH($D399,'Input Kegiatan'!$A$2:$A905,0)),"")</f>
        <v/>
      </c>
      <c r="G399" s="5" t="str">
        <f t="array" ref="G399">IF(W399=1,INDEX('Input Kegiatan'!E$2:E905,MATCH($D399,'Input Kegiatan'!$A$2:$A905,0)),"")</f>
        <v/>
      </c>
      <c r="H399" s="5" t="str">
        <f t="array" ref="H399">IF(W399=1,INDEX(Honor!$H$2:$H905,MATCH($D399&amp;"-"&amp;R399,Honor!$K$2:$K905,0)),"")</f>
        <v/>
      </c>
      <c r="I399" s="8" t="str">
        <f>IF(W399=1,SUMIFS(Honor!$I$2:$I905,Honor!$K$2:$K905,$D399&amp;"-"&amp;R399),"")</f>
        <v/>
      </c>
      <c r="J399" s="9" t="str">
        <f t="shared" si="6"/>
        <v/>
      </c>
      <c r="K399" s="10" t="str">
        <f t="shared" si="0"/>
        <v/>
      </c>
      <c r="L399" s="10" t="str">
        <f t="shared" si="1"/>
        <v/>
      </c>
      <c r="M399" s="10" t="str">
        <f>IF(W399=1,IF(AND(U399&lt;2,INT(V399)&lt;='Batasan Honor'!$B$2),1,0),"")</f>
        <v/>
      </c>
      <c r="O399" s="10" t="str">
        <f t="shared" si="2"/>
        <v/>
      </c>
      <c r="P399" s="10" t="str">
        <f t="shared" si="3"/>
        <v/>
      </c>
      <c r="R399" s="23"/>
      <c r="S399" s="10" t="str">
        <f t="shared" si="4"/>
        <v/>
      </c>
      <c r="U399" s="10" t="str">
        <f ca="1">IFERROR(__xludf.DUMMYFUNCTION("if(W399=1,COUNTIFS(FILTER($H$2:$H905,$H$2:$H905=""OB"",$S$2:$S905=S399),""OB""),"""")"),"")</f>
        <v/>
      </c>
      <c r="V399" s="10" t="str">
        <f ca="1">IFERROR(__xludf.DUMMYFUNCTION("IF(OR(ISNA(SUM(FILTER($K$2:$K905,$A$2:$A905=A399,$S$2:$S905=S399,$H$2:$H905&lt;&gt;""OB""))),W399&lt;&gt;1),"""",SUM(FILTER($K$2:$K905,$A$2:$A905=A399,$S$2:$S905=S399,$H$2:$H905&lt;&gt;""OB"")))"),"")</f>
        <v/>
      </c>
      <c r="W399" s="10" t="str">
        <f t="shared" si="5"/>
        <v/>
      </c>
    </row>
    <row r="400" spans="1:23" ht="12.5">
      <c r="A400" s="23"/>
      <c r="B400" s="5" t="str">
        <f t="array" ref="B400">IF(W400=1,INDEX('Database Mitra'!$H$2:$H905,MATCH(A400,'Database Mitra'!AK$2:AK905,0)),"")</f>
        <v/>
      </c>
      <c r="C400" s="5" t="str">
        <f t="array" ref="C400">IF(W400=1,INDEX('Database Mitra'!$E$2:$E905,MATCH(A400,'Database Mitra'!AK$2:AK905,0)),"")</f>
        <v/>
      </c>
      <c r="D400" s="23"/>
      <c r="E400" s="5" t="str">
        <f t="array" ref="E400">IF(W400=1,INDEX('Input Kegiatan'!B$2:B905,MATCH($D400,'Input Kegiatan'!$A$2:$A905,0)),"")</f>
        <v/>
      </c>
      <c r="F400" s="5" t="str">
        <f t="array" ref="F400">IF(W400=1,INDEX('Input Kegiatan'!D$2:D905,MATCH($D400,'Input Kegiatan'!$A$2:$A905,0)),"")</f>
        <v/>
      </c>
      <c r="G400" s="5" t="str">
        <f t="array" ref="G400">IF(W400=1,INDEX('Input Kegiatan'!E$2:E905,MATCH($D400,'Input Kegiatan'!$A$2:$A905,0)),"")</f>
        <v/>
      </c>
      <c r="H400" s="5" t="str">
        <f t="array" ref="H400">IF(W400=1,INDEX(Honor!$H$2:$H905,MATCH($D400&amp;"-"&amp;R400,Honor!$K$2:$K905,0)),"")</f>
        <v/>
      </c>
      <c r="I400" s="8" t="str">
        <f>IF(W400=1,SUMIFS(Honor!$I$2:$I905,Honor!$K$2:$K905,$D400&amp;"-"&amp;R400),"")</f>
        <v/>
      </c>
      <c r="J400" s="9" t="str">
        <f t="shared" si="6"/>
        <v/>
      </c>
      <c r="K400" s="10" t="str">
        <f t="shared" si="0"/>
        <v/>
      </c>
      <c r="L400" s="10" t="str">
        <f t="shared" si="1"/>
        <v/>
      </c>
      <c r="M400" s="10" t="str">
        <f>IF(W400=1,IF(AND(U400&lt;2,INT(V400)&lt;='Batasan Honor'!$B$2),1,0),"")</f>
        <v/>
      </c>
      <c r="O400" s="10" t="str">
        <f t="shared" si="2"/>
        <v/>
      </c>
      <c r="P400" s="10" t="str">
        <f t="shared" si="3"/>
        <v/>
      </c>
      <c r="R400" s="23"/>
      <c r="S400" s="10" t="str">
        <f t="shared" si="4"/>
        <v/>
      </c>
      <c r="U400" s="10" t="str">
        <f ca="1">IFERROR(__xludf.DUMMYFUNCTION("if(W400=1,COUNTIFS(FILTER($H$2:$H905,$H$2:$H905=""OB"",$S$2:$S905=S400),""OB""),"""")"),"")</f>
        <v/>
      </c>
      <c r="V400" s="10" t="str">
        <f ca="1">IFERROR(__xludf.DUMMYFUNCTION("IF(OR(ISNA(SUM(FILTER($K$2:$K905,$A$2:$A905=A400,$S$2:$S905=S400,$H$2:$H905&lt;&gt;""OB""))),W400&lt;&gt;1),"""",SUM(FILTER($K$2:$K905,$A$2:$A905=A400,$S$2:$S905=S400,$H$2:$H905&lt;&gt;""OB"")))"),"")</f>
        <v/>
      </c>
      <c r="W400" s="10" t="str">
        <f t="shared" si="5"/>
        <v/>
      </c>
    </row>
    <row r="401" spans="1:23" ht="12.5">
      <c r="A401" s="23"/>
      <c r="B401" s="5" t="str">
        <f t="array" ref="B401">IF(W401=1,INDEX('Database Mitra'!$H$2:$H905,MATCH(A401,'Database Mitra'!AK$2:AK905,0)),"")</f>
        <v/>
      </c>
      <c r="C401" s="5" t="str">
        <f t="array" ref="C401">IF(W401=1,INDEX('Database Mitra'!$E$2:$E905,MATCH(A401,'Database Mitra'!AK$2:AK905,0)),"")</f>
        <v/>
      </c>
      <c r="D401" s="23"/>
      <c r="E401" s="5" t="str">
        <f t="array" ref="E401">IF(W401=1,INDEX('Input Kegiatan'!B$2:B905,MATCH($D401,'Input Kegiatan'!$A$2:$A905,0)),"")</f>
        <v/>
      </c>
      <c r="F401" s="5" t="str">
        <f t="array" ref="F401">IF(W401=1,INDEX('Input Kegiatan'!D$2:D905,MATCH($D401,'Input Kegiatan'!$A$2:$A905,0)),"")</f>
        <v/>
      </c>
      <c r="G401" s="5" t="str">
        <f t="array" ref="G401">IF(W401=1,INDEX('Input Kegiatan'!E$2:E905,MATCH($D401,'Input Kegiatan'!$A$2:$A905,0)),"")</f>
        <v/>
      </c>
      <c r="H401" s="5" t="str">
        <f t="array" ref="H401">IF(W401=1,INDEX(Honor!$H$2:$H905,MATCH($D401&amp;"-"&amp;R401,Honor!$K$2:$K905,0)),"")</f>
        <v/>
      </c>
      <c r="I401" s="8" t="str">
        <f>IF(W401=1,SUMIFS(Honor!$I$2:$I905,Honor!$K$2:$K905,$D401&amp;"-"&amp;R401),"")</f>
        <v/>
      </c>
      <c r="J401" s="9" t="str">
        <f t="shared" si="6"/>
        <v/>
      </c>
      <c r="K401" s="10" t="str">
        <f t="shared" si="0"/>
        <v/>
      </c>
      <c r="L401" s="10" t="str">
        <f t="shared" si="1"/>
        <v/>
      </c>
      <c r="M401" s="10" t="str">
        <f>IF(W401=1,IF(AND(U401&lt;2,INT(V401)&lt;='Batasan Honor'!$B$2),1,0),"")</f>
        <v/>
      </c>
      <c r="O401" s="10" t="str">
        <f t="shared" si="2"/>
        <v/>
      </c>
      <c r="P401" s="10" t="str">
        <f t="shared" si="3"/>
        <v/>
      </c>
      <c r="R401" s="23"/>
      <c r="S401" s="10" t="str">
        <f t="shared" si="4"/>
        <v/>
      </c>
      <c r="U401" s="10" t="str">
        <f ca="1">IFERROR(__xludf.DUMMYFUNCTION("if(W401=1,COUNTIFS(FILTER($H$2:$H905,$H$2:$H905=""OB"",$S$2:$S905=S401),""OB""),"""")"),"")</f>
        <v/>
      </c>
      <c r="V401" s="10" t="str">
        <f ca="1">IFERROR(__xludf.DUMMYFUNCTION("IF(OR(ISNA(SUM(FILTER($K$2:$K905,$A$2:$A905=A401,$S$2:$S905=S401,$H$2:$H905&lt;&gt;""OB""))),W401&lt;&gt;1),"""",SUM(FILTER($K$2:$K905,$A$2:$A905=A401,$S$2:$S905=S401,$H$2:$H905&lt;&gt;""OB"")))"),"")</f>
        <v/>
      </c>
      <c r="W401" s="10" t="str">
        <f t="shared" si="5"/>
        <v/>
      </c>
    </row>
    <row r="402" spans="1:23" ht="12.5">
      <c r="A402" s="23"/>
      <c r="B402" s="5" t="str">
        <f t="array" ref="B402">IF(W402=1,INDEX('Database Mitra'!$H$2:$H905,MATCH(A402,'Database Mitra'!AK$2:AK905,0)),"")</f>
        <v/>
      </c>
      <c r="C402" s="5" t="str">
        <f t="array" ref="C402">IF(W402=1,INDEX('Database Mitra'!$E$2:$E905,MATCH(A402,'Database Mitra'!AK$2:AK905,0)),"")</f>
        <v/>
      </c>
      <c r="D402" s="23"/>
      <c r="E402" s="5" t="str">
        <f t="array" ref="E402">IF(W402=1,INDEX('Input Kegiatan'!B$2:B905,MATCH($D402,'Input Kegiatan'!$A$2:$A905,0)),"")</f>
        <v/>
      </c>
      <c r="F402" s="5" t="str">
        <f t="array" ref="F402">IF(W402=1,INDEX('Input Kegiatan'!D$2:D905,MATCH($D402,'Input Kegiatan'!$A$2:$A905,0)),"")</f>
        <v/>
      </c>
      <c r="G402" s="5" t="str">
        <f t="array" ref="G402">IF(W402=1,INDEX('Input Kegiatan'!E$2:E905,MATCH($D402,'Input Kegiatan'!$A$2:$A905,0)),"")</f>
        <v/>
      </c>
      <c r="H402" s="5" t="str">
        <f t="array" ref="H402">IF(W402=1,INDEX(Honor!$H$2:$H905,MATCH($D402&amp;"-"&amp;R402,Honor!$K$2:$K905,0)),"")</f>
        <v/>
      </c>
      <c r="I402" s="8" t="str">
        <f>IF(W402=1,SUMIFS(Honor!$I$2:$I905,Honor!$K$2:$K905,$D402&amp;"-"&amp;R402),"")</f>
        <v/>
      </c>
      <c r="J402" s="9" t="str">
        <f t="shared" si="6"/>
        <v/>
      </c>
      <c r="K402" s="10" t="str">
        <f t="shared" si="0"/>
        <v/>
      </c>
      <c r="L402" s="10" t="str">
        <f t="shared" si="1"/>
        <v/>
      </c>
      <c r="M402" s="10" t="str">
        <f>IF(W402=1,IF(AND(U402&lt;2,INT(V402)&lt;='Batasan Honor'!$B$2),1,0),"")</f>
        <v/>
      </c>
      <c r="O402" s="10" t="str">
        <f t="shared" si="2"/>
        <v/>
      </c>
      <c r="P402" s="10" t="str">
        <f t="shared" si="3"/>
        <v/>
      </c>
      <c r="R402" s="23"/>
      <c r="S402" s="10" t="str">
        <f t="shared" si="4"/>
        <v/>
      </c>
      <c r="U402" s="10" t="str">
        <f ca="1">IFERROR(__xludf.DUMMYFUNCTION("if(W402=1,COUNTIFS(FILTER($H$2:$H905,$H$2:$H905=""OB"",$S$2:$S905=S402),""OB""),"""")"),"")</f>
        <v/>
      </c>
      <c r="V402" s="10" t="str">
        <f ca="1">IFERROR(__xludf.DUMMYFUNCTION("IF(OR(ISNA(SUM(FILTER($K$2:$K905,$A$2:$A905=A402,$S$2:$S905=S402,$H$2:$H905&lt;&gt;""OB""))),W402&lt;&gt;1),"""",SUM(FILTER($K$2:$K905,$A$2:$A905=A402,$S$2:$S905=S402,$H$2:$H905&lt;&gt;""OB"")))"),"")</f>
        <v/>
      </c>
      <c r="W402" s="10" t="str">
        <f t="shared" si="5"/>
        <v/>
      </c>
    </row>
    <row r="403" spans="1:23" ht="12.5">
      <c r="A403" s="23"/>
      <c r="B403" s="5" t="str">
        <f t="array" ref="B403">IF(W403=1,INDEX('Database Mitra'!$H$2:$H905,MATCH(A403,'Database Mitra'!AK$2:AK905,0)),"")</f>
        <v/>
      </c>
      <c r="C403" s="5" t="str">
        <f t="array" ref="C403">IF(W403=1,INDEX('Database Mitra'!$E$2:$E905,MATCH(A403,'Database Mitra'!AK$2:AK905,0)),"")</f>
        <v/>
      </c>
      <c r="D403" s="23"/>
      <c r="E403" s="5" t="str">
        <f t="array" ref="E403">IF(W403=1,INDEX('Input Kegiatan'!B$2:B905,MATCH($D403,'Input Kegiatan'!$A$2:$A905,0)),"")</f>
        <v/>
      </c>
      <c r="F403" s="5" t="str">
        <f t="array" ref="F403">IF(W403=1,INDEX('Input Kegiatan'!D$2:D905,MATCH($D403,'Input Kegiatan'!$A$2:$A905,0)),"")</f>
        <v/>
      </c>
      <c r="G403" s="5" t="str">
        <f t="array" ref="G403">IF(W403=1,INDEX('Input Kegiatan'!E$2:E905,MATCH($D403,'Input Kegiatan'!$A$2:$A905,0)),"")</f>
        <v/>
      </c>
      <c r="H403" s="5" t="str">
        <f t="array" ref="H403">IF(W403=1,INDEX(Honor!$H$2:$H905,MATCH($D403&amp;"-"&amp;R403,Honor!$K$2:$K905,0)),"")</f>
        <v/>
      </c>
      <c r="I403" s="8" t="str">
        <f>IF(W403=1,SUMIFS(Honor!$I$2:$I905,Honor!$K$2:$K905,$D403&amp;"-"&amp;R403),"")</f>
        <v/>
      </c>
      <c r="J403" s="9" t="str">
        <f t="shared" si="6"/>
        <v/>
      </c>
      <c r="K403" s="10" t="str">
        <f t="shared" si="0"/>
        <v/>
      </c>
      <c r="L403" s="10" t="str">
        <f t="shared" si="1"/>
        <v/>
      </c>
      <c r="M403" s="10" t="str">
        <f>IF(W403=1,IF(AND(U403&lt;2,INT(V403)&lt;='Batasan Honor'!$B$2),1,0),"")</f>
        <v/>
      </c>
      <c r="O403" s="10" t="str">
        <f t="shared" si="2"/>
        <v/>
      </c>
      <c r="P403" s="10" t="str">
        <f t="shared" si="3"/>
        <v/>
      </c>
      <c r="R403" s="23"/>
      <c r="S403" s="10" t="str">
        <f t="shared" si="4"/>
        <v/>
      </c>
      <c r="U403" s="10" t="str">
        <f ca="1">IFERROR(__xludf.DUMMYFUNCTION("if(W403=1,COUNTIFS(FILTER($H$2:$H905,$H$2:$H905=""OB"",$S$2:$S905=S403),""OB""),"""")"),"")</f>
        <v/>
      </c>
      <c r="V403" s="10" t="str">
        <f ca="1">IFERROR(__xludf.DUMMYFUNCTION("IF(OR(ISNA(SUM(FILTER($K$2:$K905,$A$2:$A905=A403,$S$2:$S905=S403,$H$2:$H905&lt;&gt;""OB""))),W403&lt;&gt;1),"""",SUM(FILTER($K$2:$K905,$A$2:$A905=A403,$S$2:$S905=S403,$H$2:$H905&lt;&gt;""OB"")))"),"")</f>
        <v/>
      </c>
      <c r="W403" s="10" t="str">
        <f t="shared" si="5"/>
        <v/>
      </c>
    </row>
    <row r="404" spans="1:23" ht="12.5">
      <c r="A404" s="23"/>
      <c r="B404" s="5" t="str">
        <f t="array" ref="B404">IF(W404=1,INDEX('Database Mitra'!$H$2:$H905,MATCH(A404,'Database Mitra'!AK$2:AK905,0)),"")</f>
        <v/>
      </c>
      <c r="C404" s="5" t="str">
        <f t="array" ref="C404">IF(W404=1,INDEX('Database Mitra'!$E$2:$E905,MATCH(A404,'Database Mitra'!AK$2:AK905,0)),"")</f>
        <v/>
      </c>
      <c r="D404" s="23"/>
      <c r="E404" s="5" t="str">
        <f t="array" ref="E404">IF(W404=1,INDEX('Input Kegiatan'!B$2:B905,MATCH($D404,'Input Kegiatan'!$A$2:$A905,0)),"")</f>
        <v/>
      </c>
      <c r="F404" s="5" t="str">
        <f t="array" ref="F404">IF(W404=1,INDEX('Input Kegiatan'!D$2:D905,MATCH($D404,'Input Kegiatan'!$A$2:$A905,0)),"")</f>
        <v/>
      </c>
      <c r="G404" s="5" t="str">
        <f t="array" ref="G404">IF(W404=1,INDEX('Input Kegiatan'!E$2:E905,MATCH($D404,'Input Kegiatan'!$A$2:$A905,0)),"")</f>
        <v/>
      </c>
      <c r="H404" s="5" t="str">
        <f t="array" ref="H404">IF(W404=1,INDEX(Honor!$H$2:$H905,MATCH($D404&amp;"-"&amp;R404,Honor!$K$2:$K905,0)),"")</f>
        <v/>
      </c>
      <c r="I404" s="8" t="str">
        <f>IF(W404=1,SUMIFS(Honor!$I$2:$I905,Honor!$K$2:$K905,$D404&amp;"-"&amp;R404),"")</f>
        <v/>
      </c>
      <c r="J404" s="9" t="str">
        <f t="shared" si="6"/>
        <v/>
      </c>
      <c r="K404" s="10" t="str">
        <f t="shared" si="0"/>
        <v/>
      </c>
      <c r="L404" s="10" t="str">
        <f t="shared" si="1"/>
        <v/>
      </c>
      <c r="M404" s="10" t="str">
        <f>IF(W404=1,IF(AND(U404&lt;2,INT(V404)&lt;='Batasan Honor'!$B$2),1,0),"")</f>
        <v/>
      </c>
      <c r="O404" s="10" t="str">
        <f t="shared" si="2"/>
        <v/>
      </c>
      <c r="P404" s="10" t="str">
        <f t="shared" si="3"/>
        <v/>
      </c>
      <c r="R404" s="23"/>
      <c r="S404" s="10" t="str">
        <f t="shared" si="4"/>
        <v/>
      </c>
      <c r="U404" s="10" t="str">
        <f ca="1">IFERROR(__xludf.DUMMYFUNCTION("if(W404=1,COUNTIFS(FILTER($H$2:$H905,$H$2:$H905=""OB"",$S$2:$S905=S404),""OB""),"""")"),"")</f>
        <v/>
      </c>
      <c r="V404" s="10" t="str">
        <f ca="1">IFERROR(__xludf.DUMMYFUNCTION("IF(OR(ISNA(SUM(FILTER($K$2:$K905,$A$2:$A905=A404,$S$2:$S905=S404,$H$2:$H905&lt;&gt;""OB""))),W404&lt;&gt;1),"""",SUM(FILTER($K$2:$K905,$A$2:$A905=A404,$S$2:$S905=S404,$H$2:$H905&lt;&gt;""OB"")))"),"")</f>
        <v/>
      </c>
      <c r="W404" s="10" t="str">
        <f t="shared" si="5"/>
        <v/>
      </c>
    </row>
    <row r="405" spans="1:23" ht="12.5">
      <c r="A405" s="23"/>
      <c r="B405" s="5" t="str">
        <f t="array" ref="B405">IF(W405=1,INDEX('Database Mitra'!$H$2:$H905,MATCH(A405,'Database Mitra'!AK$2:AK905,0)),"")</f>
        <v/>
      </c>
      <c r="C405" s="5" t="str">
        <f t="array" ref="C405">IF(W405=1,INDEX('Database Mitra'!$E$2:$E905,MATCH(A405,'Database Mitra'!AK$2:AK905,0)),"")</f>
        <v/>
      </c>
      <c r="D405" s="23"/>
      <c r="E405" s="5" t="str">
        <f t="array" ref="E405">IF(W405=1,INDEX('Input Kegiatan'!B$2:B905,MATCH($D405,'Input Kegiatan'!$A$2:$A905,0)),"")</f>
        <v/>
      </c>
      <c r="F405" s="5" t="str">
        <f t="array" ref="F405">IF(W405=1,INDEX('Input Kegiatan'!D$2:D905,MATCH($D405,'Input Kegiatan'!$A$2:$A905,0)),"")</f>
        <v/>
      </c>
      <c r="G405" s="5" t="str">
        <f t="array" ref="G405">IF(W405=1,INDEX('Input Kegiatan'!E$2:E905,MATCH($D405,'Input Kegiatan'!$A$2:$A905,0)),"")</f>
        <v/>
      </c>
      <c r="H405" s="5" t="str">
        <f t="array" ref="H405">IF(W405=1,INDEX(Honor!$H$2:$H905,MATCH($D405&amp;"-"&amp;R405,Honor!$K$2:$K905,0)),"")</f>
        <v/>
      </c>
      <c r="I405" s="8" t="str">
        <f>IF(W405=1,SUMIFS(Honor!$I$2:$I905,Honor!$K$2:$K905,$D405&amp;"-"&amp;R405),"")</f>
        <v/>
      </c>
      <c r="J405" s="9" t="str">
        <f t="shared" si="6"/>
        <v/>
      </c>
      <c r="K405" s="10" t="str">
        <f t="shared" si="0"/>
        <v/>
      </c>
      <c r="L405" s="10" t="str">
        <f t="shared" si="1"/>
        <v/>
      </c>
      <c r="M405" s="10" t="str">
        <f>IF(W405=1,IF(AND(U405&lt;2,INT(V405)&lt;='Batasan Honor'!$B$2),1,0),"")</f>
        <v/>
      </c>
      <c r="O405" s="10" t="str">
        <f t="shared" si="2"/>
        <v/>
      </c>
      <c r="P405" s="10" t="str">
        <f t="shared" si="3"/>
        <v/>
      </c>
      <c r="R405" s="23"/>
      <c r="S405" s="10" t="str">
        <f t="shared" si="4"/>
        <v/>
      </c>
      <c r="U405" s="10" t="str">
        <f ca="1">IFERROR(__xludf.DUMMYFUNCTION("if(W405=1,COUNTIFS(FILTER($H$2:$H905,$H$2:$H905=""OB"",$S$2:$S905=S405),""OB""),"""")"),"")</f>
        <v/>
      </c>
      <c r="V405" s="10" t="str">
        <f ca="1">IFERROR(__xludf.DUMMYFUNCTION("IF(OR(ISNA(SUM(FILTER($K$2:$K905,$A$2:$A905=A405,$S$2:$S905=S405,$H$2:$H905&lt;&gt;""OB""))),W405&lt;&gt;1),"""",SUM(FILTER($K$2:$K905,$A$2:$A905=A405,$S$2:$S905=S405,$H$2:$H905&lt;&gt;""OB"")))"),"")</f>
        <v/>
      </c>
      <c r="W405" s="10" t="str">
        <f t="shared" si="5"/>
        <v/>
      </c>
    </row>
    <row r="406" spans="1:23" ht="12.5">
      <c r="A406" s="23"/>
      <c r="B406" s="5" t="str">
        <f t="array" ref="B406">IF(W406=1,INDEX('Database Mitra'!$H$2:$H905,MATCH(A406,'Database Mitra'!AK$2:AK905,0)),"")</f>
        <v/>
      </c>
      <c r="C406" s="5" t="str">
        <f t="array" ref="C406">IF(W406=1,INDEX('Database Mitra'!$E$2:$E905,MATCH(A406,'Database Mitra'!AK$2:AK905,0)),"")</f>
        <v/>
      </c>
      <c r="D406" s="23"/>
      <c r="E406" s="5" t="str">
        <f t="array" ref="E406">IF(W406=1,INDEX('Input Kegiatan'!B$2:B905,MATCH($D406,'Input Kegiatan'!$A$2:$A905,0)),"")</f>
        <v/>
      </c>
      <c r="F406" s="5" t="str">
        <f t="array" ref="F406">IF(W406=1,INDEX('Input Kegiatan'!D$2:D905,MATCH($D406,'Input Kegiatan'!$A$2:$A905,0)),"")</f>
        <v/>
      </c>
      <c r="G406" s="5" t="str">
        <f t="array" ref="G406">IF(W406=1,INDEX('Input Kegiatan'!E$2:E905,MATCH($D406,'Input Kegiatan'!$A$2:$A905,0)),"")</f>
        <v/>
      </c>
      <c r="H406" s="5" t="str">
        <f t="array" ref="H406">IF(W406=1,INDEX(Honor!$H$2:$H905,MATCH($D406&amp;"-"&amp;R406,Honor!$K$2:$K905,0)),"")</f>
        <v/>
      </c>
      <c r="I406" s="8" t="str">
        <f>IF(W406=1,SUMIFS(Honor!$I$2:$I905,Honor!$K$2:$K905,$D406&amp;"-"&amp;R406),"")</f>
        <v/>
      </c>
      <c r="J406" s="9" t="str">
        <f t="shared" si="6"/>
        <v/>
      </c>
      <c r="K406" s="10" t="str">
        <f t="shared" si="0"/>
        <v/>
      </c>
      <c r="L406" s="10" t="str">
        <f t="shared" si="1"/>
        <v/>
      </c>
      <c r="M406" s="10" t="str">
        <f>IF(W406=1,IF(AND(U406&lt;2,INT(V406)&lt;='Batasan Honor'!$B$2),1,0),"")</f>
        <v/>
      </c>
      <c r="O406" s="10" t="str">
        <f t="shared" si="2"/>
        <v/>
      </c>
      <c r="P406" s="10" t="str">
        <f t="shared" si="3"/>
        <v/>
      </c>
      <c r="R406" s="23"/>
      <c r="S406" s="10" t="str">
        <f t="shared" si="4"/>
        <v/>
      </c>
      <c r="U406" s="10" t="str">
        <f ca="1">IFERROR(__xludf.DUMMYFUNCTION("if(W406=1,COUNTIFS(FILTER($H$2:$H905,$H$2:$H905=""OB"",$S$2:$S905=S406),""OB""),"""")"),"")</f>
        <v/>
      </c>
      <c r="V406" s="10" t="str">
        <f ca="1">IFERROR(__xludf.DUMMYFUNCTION("IF(OR(ISNA(SUM(FILTER($K$2:$K905,$A$2:$A905=A406,$S$2:$S905=S406,$H$2:$H905&lt;&gt;""OB""))),W406&lt;&gt;1),"""",SUM(FILTER($K$2:$K905,$A$2:$A905=A406,$S$2:$S905=S406,$H$2:$H905&lt;&gt;""OB"")))"),"")</f>
        <v/>
      </c>
      <c r="W406" s="10" t="str">
        <f t="shared" si="5"/>
        <v/>
      </c>
    </row>
    <row r="407" spans="1:23" ht="12.5">
      <c r="A407" s="23"/>
      <c r="B407" s="5" t="str">
        <f t="array" ref="B407">IF(W407=1,INDEX('Database Mitra'!$H$2:$H905,MATCH(A407,'Database Mitra'!AK$2:AK905,0)),"")</f>
        <v/>
      </c>
      <c r="C407" s="5" t="str">
        <f t="array" ref="C407">IF(W407=1,INDEX('Database Mitra'!$E$2:$E905,MATCH(A407,'Database Mitra'!AK$2:AK905,0)),"")</f>
        <v/>
      </c>
      <c r="D407" s="23"/>
      <c r="E407" s="5" t="str">
        <f t="array" ref="E407">IF(W407=1,INDEX('Input Kegiatan'!B$2:B905,MATCH($D407,'Input Kegiatan'!$A$2:$A905,0)),"")</f>
        <v/>
      </c>
      <c r="F407" s="5" t="str">
        <f t="array" ref="F407">IF(W407=1,INDEX('Input Kegiatan'!D$2:D905,MATCH($D407,'Input Kegiatan'!$A$2:$A905,0)),"")</f>
        <v/>
      </c>
      <c r="G407" s="5" t="str">
        <f t="array" ref="G407">IF(W407=1,INDEX('Input Kegiatan'!E$2:E905,MATCH($D407,'Input Kegiatan'!$A$2:$A905,0)),"")</f>
        <v/>
      </c>
      <c r="H407" s="5" t="str">
        <f t="array" ref="H407">IF(W407=1,INDEX(Honor!$H$2:$H905,MATCH($D407&amp;"-"&amp;R407,Honor!$K$2:$K905,0)),"")</f>
        <v/>
      </c>
      <c r="I407" s="8" t="str">
        <f>IF(W407=1,SUMIFS(Honor!$I$2:$I905,Honor!$K$2:$K905,$D407&amp;"-"&amp;R407),"")</f>
        <v/>
      </c>
      <c r="J407" s="9" t="str">
        <f t="shared" si="6"/>
        <v/>
      </c>
      <c r="K407" s="10" t="str">
        <f t="shared" si="0"/>
        <v/>
      </c>
      <c r="L407" s="10" t="str">
        <f t="shared" si="1"/>
        <v/>
      </c>
      <c r="M407" s="10" t="str">
        <f>IF(W407=1,IF(AND(U407&lt;2,INT(V407)&lt;='Batasan Honor'!$B$2),1,0),"")</f>
        <v/>
      </c>
      <c r="O407" s="10" t="str">
        <f t="shared" si="2"/>
        <v/>
      </c>
      <c r="P407" s="10" t="str">
        <f t="shared" si="3"/>
        <v/>
      </c>
      <c r="R407" s="23"/>
      <c r="S407" s="10" t="str">
        <f t="shared" si="4"/>
        <v/>
      </c>
      <c r="U407" s="10" t="str">
        <f ca="1">IFERROR(__xludf.DUMMYFUNCTION("if(W407=1,COUNTIFS(FILTER($H$2:$H905,$H$2:$H905=""OB"",$S$2:$S905=S407),""OB""),"""")"),"")</f>
        <v/>
      </c>
      <c r="V407" s="10" t="str">
        <f ca="1">IFERROR(__xludf.DUMMYFUNCTION("IF(OR(ISNA(SUM(FILTER($K$2:$K905,$A$2:$A905=A407,$S$2:$S905=S407,$H$2:$H905&lt;&gt;""OB""))),W407&lt;&gt;1),"""",SUM(FILTER($K$2:$K905,$A$2:$A905=A407,$S$2:$S905=S407,$H$2:$H905&lt;&gt;""OB"")))"),"")</f>
        <v/>
      </c>
      <c r="W407" s="10" t="str">
        <f t="shared" si="5"/>
        <v/>
      </c>
    </row>
    <row r="408" spans="1:23" ht="12.5">
      <c r="A408" s="23"/>
      <c r="B408" s="5" t="str">
        <f t="array" ref="B408">IF(W408=1,INDEX('Database Mitra'!$H$2:$H905,MATCH(A408,'Database Mitra'!AK$2:AK905,0)),"")</f>
        <v/>
      </c>
      <c r="C408" s="5" t="str">
        <f t="array" ref="C408">IF(W408=1,INDEX('Database Mitra'!$E$2:$E905,MATCH(A408,'Database Mitra'!AK$2:AK905,0)),"")</f>
        <v/>
      </c>
      <c r="D408" s="23"/>
      <c r="E408" s="5" t="str">
        <f t="array" ref="E408">IF(W408=1,INDEX('Input Kegiatan'!B$2:B905,MATCH($D408,'Input Kegiatan'!$A$2:$A905,0)),"")</f>
        <v/>
      </c>
      <c r="F408" s="5" t="str">
        <f t="array" ref="F408">IF(W408=1,INDEX('Input Kegiatan'!D$2:D905,MATCH($D408,'Input Kegiatan'!$A$2:$A905,0)),"")</f>
        <v/>
      </c>
      <c r="G408" s="5" t="str">
        <f t="array" ref="G408">IF(W408=1,INDEX('Input Kegiatan'!E$2:E905,MATCH($D408,'Input Kegiatan'!$A$2:$A905,0)),"")</f>
        <v/>
      </c>
      <c r="H408" s="5" t="str">
        <f t="array" ref="H408">IF(W408=1,INDEX(Honor!$H$2:$H905,MATCH($D408&amp;"-"&amp;R408,Honor!$K$2:$K905,0)),"")</f>
        <v/>
      </c>
      <c r="I408" s="8" t="str">
        <f>IF(W408=1,SUMIFS(Honor!$I$2:$I905,Honor!$K$2:$K905,$D408&amp;"-"&amp;R408),"")</f>
        <v/>
      </c>
      <c r="J408" s="9" t="str">
        <f t="shared" si="6"/>
        <v/>
      </c>
      <c r="K408" s="10" t="str">
        <f t="shared" si="0"/>
        <v/>
      </c>
      <c r="L408" s="10" t="str">
        <f t="shared" si="1"/>
        <v/>
      </c>
      <c r="M408" s="10" t="str">
        <f>IF(W408=1,IF(AND(U408&lt;2,INT(V408)&lt;='Batasan Honor'!$B$2),1,0),"")</f>
        <v/>
      </c>
      <c r="O408" s="10" t="str">
        <f t="shared" si="2"/>
        <v/>
      </c>
      <c r="P408" s="10" t="str">
        <f t="shared" si="3"/>
        <v/>
      </c>
      <c r="R408" s="23"/>
      <c r="S408" s="10" t="str">
        <f t="shared" si="4"/>
        <v/>
      </c>
      <c r="U408" s="10" t="str">
        <f ca="1">IFERROR(__xludf.DUMMYFUNCTION("if(W408=1,COUNTIFS(FILTER($H$2:$H905,$H$2:$H905=""OB"",$S$2:$S905=S408),""OB""),"""")"),"")</f>
        <v/>
      </c>
      <c r="V408" s="10" t="str">
        <f ca="1">IFERROR(__xludf.DUMMYFUNCTION("IF(OR(ISNA(SUM(FILTER($K$2:$K905,$A$2:$A905=A408,$S$2:$S905=S408,$H$2:$H905&lt;&gt;""OB""))),W408&lt;&gt;1),"""",SUM(FILTER($K$2:$K905,$A$2:$A905=A408,$S$2:$S905=S408,$H$2:$H905&lt;&gt;""OB"")))"),"")</f>
        <v/>
      </c>
      <c r="W408" s="10" t="str">
        <f t="shared" si="5"/>
        <v/>
      </c>
    </row>
    <row r="409" spans="1:23" ht="12.5">
      <c r="A409" s="23"/>
      <c r="B409" s="5" t="str">
        <f t="array" ref="B409">IF(W409=1,INDEX('Database Mitra'!$H$2:$H905,MATCH(A409,'Database Mitra'!AK$2:AK905,0)),"")</f>
        <v/>
      </c>
      <c r="C409" s="5" t="str">
        <f t="array" ref="C409">IF(W409=1,INDEX('Database Mitra'!$E$2:$E905,MATCH(A409,'Database Mitra'!AK$2:AK905,0)),"")</f>
        <v/>
      </c>
      <c r="D409" s="23"/>
      <c r="E409" s="5" t="str">
        <f t="array" ref="E409">IF(W409=1,INDEX('Input Kegiatan'!B$2:B905,MATCH($D409,'Input Kegiatan'!$A$2:$A905,0)),"")</f>
        <v/>
      </c>
      <c r="F409" s="5" t="str">
        <f t="array" ref="F409">IF(W409=1,INDEX('Input Kegiatan'!D$2:D905,MATCH($D409,'Input Kegiatan'!$A$2:$A905,0)),"")</f>
        <v/>
      </c>
      <c r="G409" s="5" t="str">
        <f t="array" ref="G409">IF(W409=1,INDEX('Input Kegiatan'!E$2:E905,MATCH($D409,'Input Kegiatan'!$A$2:$A905,0)),"")</f>
        <v/>
      </c>
      <c r="H409" s="5" t="str">
        <f t="array" ref="H409">IF(W409=1,INDEX(Honor!$H$2:$H905,MATCH($D409&amp;"-"&amp;R409,Honor!$K$2:$K905,0)),"")</f>
        <v/>
      </c>
      <c r="I409" s="8" t="str">
        <f>IF(W409=1,SUMIFS(Honor!$I$2:$I905,Honor!$K$2:$K905,$D409&amp;"-"&amp;R409),"")</f>
        <v/>
      </c>
      <c r="J409" s="9" t="str">
        <f t="shared" si="6"/>
        <v/>
      </c>
      <c r="K409" s="10" t="str">
        <f t="shared" si="0"/>
        <v/>
      </c>
      <c r="L409" s="10" t="str">
        <f t="shared" si="1"/>
        <v/>
      </c>
      <c r="M409" s="10" t="str">
        <f>IF(W409=1,IF(AND(U409&lt;2,INT(V409)&lt;='Batasan Honor'!$B$2),1,0),"")</f>
        <v/>
      </c>
      <c r="O409" s="10" t="str">
        <f t="shared" si="2"/>
        <v/>
      </c>
      <c r="P409" s="10" t="str">
        <f t="shared" si="3"/>
        <v/>
      </c>
      <c r="R409" s="23"/>
      <c r="S409" s="10" t="str">
        <f t="shared" si="4"/>
        <v/>
      </c>
      <c r="U409" s="10" t="str">
        <f ca="1">IFERROR(__xludf.DUMMYFUNCTION("if(W409=1,COUNTIFS(FILTER($H$2:$H905,$H$2:$H905=""OB"",$S$2:$S905=S409),""OB""),"""")"),"")</f>
        <v/>
      </c>
      <c r="V409" s="10" t="str">
        <f ca="1">IFERROR(__xludf.DUMMYFUNCTION("IF(OR(ISNA(SUM(FILTER($K$2:$K905,$A$2:$A905=A409,$S$2:$S905=S409,$H$2:$H905&lt;&gt;""OB""))),W409&lt;&gt;1),"""",SUM(FILTER($K$2:$K905,$A$2:$A905=A409,$S$2:$S905=S409,$H$2:$H905&lt;&gt;""OB"")))"),"")</f>
        <v/>
      </c>
      <c r="W409" s="10" t="str">
        <f t="shared" si="5"/>
        <v/>
      </c>
    </row>
    <row r="410" spans="1:23" ht="12.5">
      <c r="A410" s="23"/>
      <c r="B410" s="5" t="str">
        <f t="array" ref="B410">IF(W410=1,INDEX('Database Mitra'!$H$2:$H905,MATCH(A410,'Database Mitra'!AK$2:AK905,0)),"")</f>
        <v/>
      </c>
      <c r="C410" s="5" t="str">
        <f t="array" ref="C410">IF(W410=1,INDEX('Database Mitra'!$E$2:$E905,MATCH(A410,'Database Mitra'!AK$2:AK905,0)),"")</f>
        <v/>
      </c>
      <c r="D410" s="23"/>
      <c r="E410" s="5" t="str">
        <f t="array" ref="E410">IF(W410=1,INDEX('Input Kegiatan'!B$2:B905,MATCH($D410,'Input Kegiatan'!$A$2:$A905,0)),"")</f>
        <v/>
      </c>
      <c r="F410" s="5" t="str">
        <f t="array" ref="F410">IF(W410=1,INDEX('Input Kegiatan'!D$2:D905,MATCH($D410,'Input Kegiatan'!$A$2:$A905,0)),"")</f>
        <v/>
      </c>
      <c r="G410" s="5" t="str">
        <f t="array" ref="G410">IF(W410=1,INDEX('Input Kegiatan'!E$2:E905,MATCH($D410,'Input Kegiatan'!$A$2:$A905,0)),"")</f>
        <v/>
      </c>
      <c r="H410" s="5" t="str">
        <f t="array" ref="H410">IF(W410=1,INDEX(Honor!$H$2:$H905,MATCH($D410&amp;"-"&amp;R410,Honor!$K$2:$K905,0)),"")</f>
        <v/>
      </c>
      <c r="I410" s="8" t="str">
        <f>IF(W410=1,SUMIFS(Honor!$I$2:$I905,Honor!$K$2:$K905,$D410&amp;"-"&amp;R410),"")</f>
        <v/>
      </c>
      <c r="J410" s="9" t="str">
        <f t="shared" si="6"/>
        <v/>
      </c>
      <c r="K410" s="10" t="str">
        <f t="shared" si="0"/>
        <v/>
      </c>
      <c r="L410" s="10" t="str">
        <f t="shared" si="1"/>
        <v/>
      </c>
      <c r="M410" s="10" t="str">
        <f>IF(W410=1,IF(AND(U410&lt;2,INT(V410)&lt;='Batasan Honor'!$B$2),1,0),"")</f>
        <v/>
      </c>
      <c r="O410" s="10" t="str">
        <f t="shared" si="2"/>
        <v/>
      </c>
      <c r="P410" s="10" t="str">
        <f t="shared" si="3"/>
        <v/>
      </c>
      <c r="R410" s="23"/>
      <c r="S410" s="10" t="str">
        <f t="shared" si="4"/>
        <v/>
      </c>
      <c r="U410" s="10" t="str">
        <f ca="1">IFERROR(__xludf.DUMMYFUNCTION("if(W410=1,COUNTIFS(FILTER($H$2:$H905,$H$2:$H905=""OB"",$S$2:$S905=S410),""OB""),"""")"),"")</f>
        <v/>
      </c>
      <c r="V410" s="10" t="str">
        <f ca="1">IFERROR(__xludf.DUMMYFUNCTION("IF(OR(ISNA(SUM(FILTER($K$2:$K905,$A$2:$A905=A410,$S$2:$S905=S410,$H$2:$H905&lt;&gt;""OB""))),W410&lt;&gt;1),"""",SUM(FILTER($K$2:$K905,$A$2:$A905=A410,$S$2:$S905=S410,$H$2:$H905&lt;&gt;""OB"")))"),"")</f>
        <v/>
      </c>
      <c r="W410" s="10" t="str">
        <f t="shared" si="5"/>
        <v/>
      </c>
    </row>
    <row r="411" spans="1:23" ht="12.5">
      <c r="A411" s="23"/>
      <c r="B411" s="5" t="str">
        <f t="array" ref="B411">IF(W411=1,INDEX('Database Mitra'!$H$2:$H905,MATCH(A411,'Database Mitra'!AK$2:AK905,0)),"")</f>
        <v/>
      </c>
      <c r="C411" s="5" t="str">
        <f t="array" ref="C411">IF(W411=1,INDEX('Database Mitra'!$E$2:$E905,MATCH(A411,'Database Mitra'!AK$2:AK905,0)),"")</f>
        <v/>
      </c>
      <c r="D411" s="23"/>
      <c r="E411" s="5" t="str">
        <f t="array" ref="E411">IF(W411=1,INDEX('Input Kegiatan'!B$2:B905,MATCH($D411,'Input Kegiatan'!$A$2:$A905,0)),"")</f>
        <v/>
      </c>
      <c r="F411" s="5" t="str">
        <f t="array" ref="F411">IF(W411=1,INDEX('Input Kegiatan'!D$2:D905,MATCH($D411,'Input Kegiatan'!$A$2:$A905,0)),"")</f>
        <v/>
      </c>
      <c r="G411" s="5" t="str">
        <f t="array" ref="G411">IF(W411=1,INDEX('Input Kegiatan'!E$2:E905,MATCH($D411,'Input Kegiatan'!$A$2:$A905,0)),"")</f>
        <v/>
      </c>
      <c r="H411" s="5" t="str">
        <f t="array" ref="H411">IF(W411=1,INDEX(Honor!$H$2:$H905,MATCH($D411&amp;"-"&amp;R411,Honor!$K$2:$K905,0)),"")</f>
        <v/>
      </c>
      <c r="I411" s="8" t="str">
        <f>IF(W411=1,SUMIFS(Honor!$I$2:$I905,Honor!$K$2:$K905,$D411&amp;"-"&amp;R411),"")</f>
        <v/>
      </c>
      <c r="J411" s="9" t="str">
        <f t="shared" si="6"/>
        <v/>
      </c>
      <c r="K411" s="10" t="str">
        <f t="shared" si="0"/>
        <v/>
      </c>
      <c r="L411" s="10" t="str">
        <f t="shared" si="1"/>
        <v/>
      </c>
      <c r="M411" s="10" t="str">
        <f>IF(W411=1,IF(AND(U411&lt;2,INT(V411)&lt;='Batasan Honor'!$B$2),1,0),"")</f>
        <v/>
      </c>
      <c r="O411" s="10" t="str">
        <f t="shared" si="2"/>
        <v/>
      </c>
      <c r="P411" s="10" t="str">
        <f t="shared" si="3"/>
        <v/>
      </c>
      <c r="R411" s="23"/>
      <c r="S411" s="10" t="str">
        <f t="shared" si="4"/>
        <v/>
      </c>
      <c r="U411" s="10" t="str">
        <f ca="1">IFERROR(__xludf.DUMMYFUNCTION("if(W411=1,COUNTIFS(FILTER($H$2:$H905,$H$2:$H905=""OB"",$S$2:$S905=S411),""OB""),"""")"),"")</f>
        <v/>
      </c>
      <c r="V411" s="10" t="str">
        <f ca="1">IFERROR(__xludf.DUMMYFUNCTION("IF(OR(ISNA(SUM(FILTER($K$2:$K905,$A$2:$A905=A411,$S$2:$S905=S411,$H$2:$H905&lt;&gt;""OB""))),W411&lt;&gt;1),"""",SUM(FILTER($K$2:$K905,$A$2:$A905=A411,$S$2:$S905=S411,$H$2:$H905&lt;&gt;""OB"")))"),"")</f>
        <v/>
      </c>
      <c r="W411" s="10" t="str">
        <f t="shared" si="5"/>
        <v/>
      </c>
    </row>
    <row r="412" spans="1:23" ht="12.5">
      <c r="A412" s="23"/>
      <c r="B412" s="5" t="str">
        <f t="array" ref="B412">IF(W412=1,INDEX('Database Mitra'!$H$2:$H905,MATCH(A412,'Database Mitra'!AK$2:AK905,0)),"")</f>
        <v/>
      </c>
      <c r="C412" s="5" t="str">
        <f t="array" ref="C412">IF(W412=1,INDEX('Database Mitra'!$E$2:$E905,MATCH(A412,'Database Mitra'!AK$2:AK905,0)),"")</f>
        <v/>
      </c>
      <c r="D412" s="23"/>
      <c r="E412" s="5" t="str">
        <f t="array" ref="E412">IF(W412=1,INDEX('Input Kegiatan'!B$2:B905,MATCH($D412,'Input Kegiatan'!$A$2:$A905,0)),"")</f>
        <v/>
      </c>
      <c r="F412" s="5" t="str">
        <f t="array" ref="F412">IF(W412=1,INDEX('Input Kegiatan'!D$2:D905,MATCH($D412,'Input Kegiatan'!$A$2:$A905,0)),"")</f>
        <v/>
      </c>
      <c r="G412" s="5" t="str">
        <f t="array" ref="G412">IF(W412=1,INDEX('Input Kegiatan'!E$2:E905,MATCH($D412,'Input Kegiatan'!$A$2:$A905,0)),"")</f>
        <v/>
      </c>
      <c r="H412" s="5" t="str">
        <f t="array" ref="H412">IF(W412=1,INDEX(Honor!$H$2:$H905,MATCH($D412&amp;"-"&amp;R412,Honor!$K$2:$K905,0)),"")</f>
        <v/>
      </c>
      <c r="I412" s="8" t="str">
        <f>IF(W412=1,SUMIFS(Honor!$I$2:$I905,Honor!$K$2:$K905,$D412&amp;"-"&amp;R412),"")</f>
        <v/>
      </c>
      <c r="J412" s="9" t="str">
        <f t="shared" si="6"/>
        <v/>
      </c>
      <c r="K412" s="10" t="str">
        <f t="shared" si="0"/>
        <v/>
      </c>
      <c r="L412" s="10" t="str">
        <f t="shared" si="1"/>
        <v/>
      </c>
      <c r="M412" s="10" t="str">
        <f>IF(W412=1,IF(AND(U412&lt;2,INT(V412)&lt;='Batasan Honor'!$B$2),1,0),"")</f>
        <v/>
      </c>
      <c r="O412" s="10" t="str">
        <f t="shared" si="2"/>
        <v/>
      </c>
      <c r="P412" s="10" t="str">
        <f t="shared" si="3"/>
        <v/>
      </c>
      <c r="R412" s="23"/>
      <c r="S412" s="10" t="str">
        <f t="shared" si="4"/>
        <v/>
      </c>
      <c r="U412" s="10" t="str">
        <f ca="1">IFERROR(__xludf.DUMMYFUNCTION("if(W412=1,COUNTIFS(FILTER($H$2:$H905,$H$2:$H905=""OB"",$S$2:$S905=S412),""OB""),"""")"),"")</f>
        <v/>
      </c>
      <c r="V412" s="10" t="str">
        <f ca="1">IFERROR(__xludf.DUMMYFUNCTION("IF(OR(ISNA(SUM(FILTER($K$2:$K905,$A$2:$A905=A412,$S$2:$S905=S412,$H$2:$H905&lt;&gt;""OB""))),W412&lt;&gt;1),"""",SUM(FILTER($K$2:$K905,$A$2:$A905=A412,$S$2:$S905=S412,$H$2:$H905&lt;&gt;""OB"")))"),"")</f>
        <v/>
      </c>
      <c r="W412" s="10" t="str">
        <f t="shared" si="5"/>
        <v/>
      </c>
    </row>
    <row r="413" spans="1:23" ht="12.5">
      <c r="A413" s="23"/>
      <c r="B413" s="5" t="str">
        <f t="array" ref="B413">IF(W413=1,INDEX('Database Mitra'!$H$2:$H905,MATCH(A413,'Database Mitra'!AK$2:AK905,0)),"")</f>
        <v/>
      </c>
      <c r="C413" s="5" t="str">
        <f t="array" ref="C413">IF(W413=1,INDEX('Database Mitra'!$E$2:$E905,MATCH(A413,'Database Mitra'!AK$2:AK905,0)),"")</f>
        <v/>
      </c>
      <c r="D413" s="23"/>
      <c r="E413" s="5" t="str">
        <f t="array" ref="E413">IF(W413=1,INDEX('Input Kegiatan'!B$2:B905,MATCH($D413,'Input Kegiatan'!$A$2:$A905,0)),"")</f>
        <v/>
      </c>
      <c r="F413" s="5" t="str">
        <f t="array" ref="F413">IF(W413=1,INDEX('Input Kegiatan'!D$2:D905,MATCH($D413,'Input Kegiatan'!$A$2:$A905,0)),"")</f>
        <v/>
      </c>
      <c r="G413" s="5" t="str">
        <f t="array" ref="G413">IF(W413=1,INDEX('Input Kegiatan'!E$2:E905,MATCH($D413,'Input Kegiatan'!$A$2:$A905,0)),"")</f>
        <v/>
      </c>
      <c r="H413" s="5" t="str">
        <f t="array" ref="H413">IF(W413=1,INDEX(Honor!$H$2:$H905,MATCH($D413&amp;"-"&amp;R413,Honor!$K$2:$K905,0)),"")</f>
        <v/>
      </c>
      <c r="I413" s="8" t="str">
        <f>IF(W413=1,SUMIFS(Honor!$I$2:$I905,Honor!$K$2:$K905,$D413&amp;"-"&amp;R413),"")</f>
        <v/>
      </c>
      <c r="J413" s="9" t="str">
        <f t="shared" si="6"/>
        <v/>
      </c>
      <c r="K413" s="10" t="str">
        <f t="shared" si="0"/>
        <v/>
      </c>
      <c r="L413" s="10" t="str">
        <f t="shared" si="1"/>
        <v/>
      </c>
      <c r="M413" s="10" t="str">
        <f>IF(W413=1,IF(AND(U413&lt;2,INT(V413)&lt;='Batasan Honor'!$B$2),1,0),"")</f>
        <v/>
      </c>
      <c r="O413" s="10" t="str">
        <f t="shared" si="2"/>
        <v/>
      </c>
      <c r="P413" s="10" t="str">
        <f t="shared" si="3"/>
        <v/>
      </c>
      <c r="R413" s="23"/>
      <c r="S413" s="10" t="str">
        <f t="shared" si="4"/>
        <v/>
      </c>
      <c r="U413" s="10" t="str">
        <f ca="1">IFERROR(__xludf.DUMMYFUNCTION("if(W413=1,COUNTIFS(FILTER($H$2:$H905,$H$2:$H905=""OB"",$S$2:$S905=S413),""OB""),"""")"),"")</f>
        <v/>
      </c>
      <c r="V413" s="10" t="str">
        <f ca="1">IFERROR(__xludf.DUMMYFUNCTION("IF(OR(ISNA(SUM(FILTER($K$2:$K905,$A$2:$A905=A413,$S$2:$S905=S413,$H$2:$H905&lt;&gt;""OB""))),W413&lt;&gt;1),"""",SUM(FILTER($K$2:$K905,$A$2:$A905=A413,$S$2:$S905=S413,$H$2:$H905&lt;&gt;""OB"")))"),"")</f>
        <v/>
      </c>
      <c r="W413" s="10" t="str">
        <f t="shared" si="5"/>
        <v/>
      </c>
    </row>
    <row r="414" spans="1:23" ht="12.5">
      <c r="A414" s="23"/>
      <c r="B414" s="5" t="str">
        <f t="array" ref="B414">IF(W414=1,INDEX('Database Mitra'!$H$2:$H905,MATCH(A414,'Database Mitra'!AK$2:AK905,0)),"")</f>
        <v/>
      </c>
      <c r="C414" s="5" t="str">
        <f t="array" ref="C414">IF(W414=1,INDEX('Database Mitra'!$E$2:$E905,MATCH(A414,'Database Mitra'!AK$2:AK905,0)),"")</f>
        <v/>
      </c>
      <c r="D414" s="23"/>
      <c r="E414" s="5" t="str">
        <f t="array" ref="E414">IF(W414=1,INDEX('Input Kegiatan'!B$2:B905,MATCH($D414,'Input Kegiatan'!$A$2:$A905,0)),"")</f>
        <v/>
      </c>
      <c r="F414" s="5" t="str">
        <f t="array" ref="F414">IF(W414=1,INDEX('Input Kegiatan'!D$2:D905,MATCH($D414,'Input Kegiatan'!$A$2:$A905,0)),"")</f>
        <v/>
      </c>
      <c r="G414" s="5" t="str">
        <f t="array" ref="G414">IF(W414=1,INDEX('Input Kegiatan'!E$2:E905,MATCH($D414,'Input Kegiatan'!$A$2:$A905,0)),"")</f>
        <v/>
      </c>
      <c r="H414" s="5" t="str">
        <f t="array" ref="H414">IF(W414=1,INDEX(Honor!$H$2:$H905,MATCH($D414&amp;"-"&amp;R414,Honor!$K$2:$K905,0)),"")</f>
        <v/>
      </c>
      <c r="I414" s="8" t="str">
        <f>IF(W414=1,SUMIFS(Honor!$I$2:$I905,Honor!$K$2:$K905,$D414&amp;"-"&amp;R414),"")</f>
        <v/>
      </c>
      <c r="J414" s="9" t="str">
        <f t="shared" si="6"/>
        <v/>
      </c>
      <c r="K414" s="10" t="str">
        <f t="shared" si="0"/>
        <v/>
      </c>
      <c r="L414" s="10" t="str">
        <f t="shared" si="1"/>
        <v/>
      </c>
      <c r="M414" s="10" t="str">
        <f>IF(W414=1,IF(AND(U414&lt;2,INT(V414)&lt;='Batasan Honor'!$B$2),1,0),"")</f>
        <v/>
      </c>
      <c r="O414" s="10" t="str">
        <f t="shared" si="2"/>
        <v/>
      </c>
      <c r="P414" s="10" t="str">
        <f t="shared" si="3"/>
        <v/>
      </c>
      <c r="R414" s="23"/>
      <c r="S414" s="10" t="str">
        <f t="shared" si="4"/>
        <v/>
      </c>
      <c r="U414" s="10" t="str">
        <f ca="1">IFERROR(__xludf.DUMMYFUNCTION("if(W414=1,COUNTIFS(FILTER($H$2:$H905,$H$2:$H905=""OB"",$S$2:$S905=S414),""OB""),"""")"),"")</f>
        <v/>
      </c>
      <c r="V414" s="10" t="str">
        <f ca="1">IFERROR(__xludf.DUMMYFUNCTION("IF(OR(ISNA(SUM(FILTER($K$2:$K905,$A$2:$A905=A414,$S$2:$S905=S414,$H$2:$H905&lt;&gt;""OB""))),W414&lt;&gt;1),"""",SUM(FILTER($K$2:$K905,$A$2:$A905=A414,$S$2:$S905=S414,$H$2:$H905&lt;&gt;""OB"")))"),"")</f>
        <v/>
      </c>
      <c r="W414" s="10" t="str">
        <f t="shared" si="5"/>
        <v/>
      </c>
    </row>
    <row r="415" spans="1:23" ht="12.5">
      <c r="A415" s="23"/>
      <c r="B415" s="5" t="str">
        <f t="array" ref="B415">IF(W415=1,INDEX('Database Mitra'!$H$2:$H905,MATCH(A415,'Database Mitra'!AK$2:AK905,0)),"")</f>
        <v/>
      </c>
      <c r="C415" s="5" t="str">
        <f t="array" ref="C415">IF(W415=1,INDEX('Database Mitra'!$E$2:$E905,MATCH(A415,'Database Mitra'!AK$2:AK905,0)),"")</f>
        <v/>
      </c>
      <c r="D415" s="23"/>
      <c r="E415" s="5" t="str">
        <f t="array" ref="E415">IF(W415=1,INDEX('Input Kegiatan'!B$2:B905,MATCH($D415,'Input Kegiatan'!$A$2:$A905,0)),"")</f>
        <v/>
      </c>
      <c r="F415" s="5" t="str">
        <f t="array" ref="F415">IF(W415=1,INDEX('Input Kegiatan'!D$2:D905,MATCH($D415,'Input Kegiatan'!$A$2:$A905,0)),"")</f>
        <v/>
      </c>
      <c r="G415" s="5" t="str">
        <f t="array" ref="G415">IF(W415=1,INDEX('Input Kegiatan'!E$2:E905,MATCH($D415,'Input Kegiatan'!$A$2:$A905,0)),"")</f>
        <v/>
      </c>
      <c r="H415" s="5" t="str">
        <f t="array" ref="H415">IF(W415=1,INDEX(Honor!$H$2:$H905,MATCH($D415&amp;"-"&amp;R415,Honor!$K$2:$K905,0)),"")</f>
        <v/>
      </c>
      <c r="I415" s="8" t="str">
        <f>IF(W415=1,SUMIFS(Honor!$I$2:$I905,Honor!$K$2:$K905,$D415&amp;"-"&amp;R415),"")</f>
        <v/>
      </c>
      <c r="J415" s="9" t="str">
        <f t="shared" si="6"/>
        <v/>
      </c>
      <c r="K415" s="10" t="str">
        <f t="shared" si="0"/>
        <v/>
      </c>
      <c r="L415" s="10" t="str">
        <f t="shared" si="1"/>
        <v/>
      </c>
      <c r="M415" s="10" t="str">
        <f>IF(W415=1,IF(AND(U415&lt;2,INT(V415)&lt;='Batasan Honor'!$B$2),1,0),"")</f>
        <v/>
      </c>
      <c r="O415" s="10" t="str">
        <f t="shared" si="2"/>
        <v/>
      </c>
      <c r="P415" s="10" t="str">
        <f t="shared" si="3"/>
        <v/>
      </c>
      <c r="R415" s="23"/>
      <c r="S415" s="10" t="str">
        <f t="shared" si="4"/>
        <v/>
      </c>
      <c r="U415" s="10" t="str">
        <f ca="1">IFERROR(__xludf.DUMMYFUNCTION("if(W415=1,COUNTIFS(FILTER($H$2:$H905,$H$2:$H905=""OB"",$S$2:$S905=S415),""OB""),"""")"),"")</f>
        <v/>
      </c>
      <c r="V415" s="10" t="str">
        <f ca="1">IFERROR(__xludf.DUMMYFUNCTION("IF(OR(ISNA(SUM(FILTER($K$2:$K905,$A$2:$A905=A415,$S$2:$S905=S415,$H$2:$H905&lt;&gt;""OB""))),W415&lt;&gt;1),"""",SUM(FILTER($K$2:$K905,$A$2:$A905=A415,$S$2:$S905=S415,$H$2:$H905&lt;&gt;""OB"")))"),"")</f>
        <v/>
      </c>
      <c r="W415" s="10" t="str">
        <f t="shared" si="5"/>
        <v/>
      </c>
    </row>
    <row r="416" spans="1:23" ht="12.5">
      <c r="A416" s="23"/>
      <c r="B416" s="5" t="str">
        <f t="array" ref="B416">IF(W416=1,INDEX('Database Mitra'!$H$2:$H905,MATCH(A416,'Database Mitra'!AK$2:AK905,0)),"")</f>
        <v/>
      </c>
      <c r="C416" s="5" t="str">
        <f t="array" ref="C416">IF(W416=1,INDEX('Database Mitra'!$E$2:$E905,MATCH(A416,'Database Mitra'!AK$2:AK905,0)),"")</f>
        <v/>
      </c>
      <c r="D416" s="23"/>
      <c r="E416" s="5" t="str">
        <f t="array" ref="E416">IF(W416=1,INDEX('Input Kegiatan'!B$2:B905,MATCH($D416,'Input Kegiatan'!$A$2:$A905,0)),"")</f>
        <v/>
      </c>
      <c r="F416" s="5" t="str">
        <f t="array" ref="F416">IF(W416=1,INDEX('Input Kegiatan'!D$2:D905,MATCH($D416,'Input Kegiatan'!$A$2:$A905,0)),"")</f>
        <v/>
      </c>
      <c r="G416" s="5" t="str">
        <f t="array" ref="G416">IF(W416=1,INDEX('Input Kegiatan'!E$2:E905,MATCH($D416,'Input Kegiatan'!$A$2:$A905,0)),"")</f>
        <v/>
      </c>
      <c r="H416" s="5" t="str">
        <f t="array" ref="H416">IF(W416=1,INDEX(Honor!$H$2:$H905,MATCH($D416&amp;"-"&amp;R416,Honor!$K$2:$K905,0)),"")</f>
        <v/>
      </c>
      <c r="I416" s="8" t="str">
        <f>IF(W416=1,SUMIFS(Honor!$I$2:$I905,Honor!$K$2:$K905,$D416&amp;"-"&amp;R416),"")</f>
        <v/>
      </c>
      <c r="J416" s="9" t="str">
        <f t="shared" si="6"/>
        <v/>
      </c>
      <c r="K416" s="10" t="str">
        <f t="shared" si="0"/>
        <v/>
      </c>
      <c r="L416" s="10" t="str">
        <f t="shared" si="1"/>
        <v/>
      </c>
      <c r="M416" s="10" t="str">
        <f>IF(W416=1,IF(AND(U416&lt;2,INT(V416)&lt;='Batasan Honor'!$B$2),1,0),"")</f>
        <v/>
      </c>
      <c r="O416" s="10" t="str">
        <f t="shared" si="2"/>
        <v/>
      </c>
      <c r="P416" s="10" t="str">
        <f t="shared" si="3"/>
        <v/>
      </c>
      <c r="R416" s="23"/>
      <c r="S416" s="10" t="str">
        <f t="shared" si="4"/>
        <v/>
      </c>
      <c r="U416" s="10" t="str">
        <f ca="1">IFERROR(__xludf.DUMMYFUNCTION("if(W416=1,COUNTIFS(FILTER($H$2:$H905,$H$2:$H905=""OB"",$S$2:$S905=S416),""OB""),"""")"),"")</f>
        <v/>
      </c>
      <c r="V416" s="10" t="str">
        <f ca="1">IFERROR(__xludf.DUMMYFUNCTION("IF(OR(ISNA(SUM(FILTER($K$2:$K905,$A$2:$A905=A416,$S$2:$S905=S416,$H$2:$H905&lt;&gt;""OB""))),W416&lt;&gt;1),"""",SUM(FILTER($K$2:$K905,$A$2:$A905=A416,$S$2:$S905=S416,$H$2:$H905&lt;&gt;""OB"")))"),"")</f>
        <v/>
      </c>
      <c r="W416" s="10" t="str">
        <f t="shared" si="5"/>
        <v/>
      </c>
    </row>
    <row r="417" spans="1:23" ht="12.5">
      <c r="A417" s="23"/>
      <c r="B417" s="5" t="str">
        <f t="array" ref="B417">IF(W417=1,INDEX('Database Mitra'!$H$2:$H905,MATCH(A417,'Database Mitra'!AK$2:AK905,0)),"")</f>
        <v/>
      </c>
      <c r="C417" s="5" t="str">
        <f t="array" ref="C417">IF(W417=1,INDEX('Database Mitra'!$E$2:$E905,MATCH(A417,'Database Mitra'!AK$2:AK905,0)),"")</f>
        <v/>
      </c>
      <c r="D417" s="23"/>
      <c r="E417" s="5" t="str">
        <f t="array" ref="E417">IF(W417=1,INDEX('Input Kegiatan'!B$2:B905,MATCH($D417,'Input Kegiatan'!$A$2:$A905,0)),"")</f>
        <v/>
      </c>
      <c r="F417" s="5" t="str">
        <f t="array" ref="F417">IF(W417=1,INDEX('Input Kegiatan'!D$2:D905,MATCH($D417,'Input Kegiatan'!$A$2:$A905,0)),"")</f>
        <v/>
      </c>
      <c r="G417" s="5" t="str">
        <f t="array" ref="G417">IF(W417=1,INDEX('Input Kegiatan'!E$2:E905,MATCH($D417,'Input Kegiatan'!$A$2:$A905,0)),"")</f>
        <v/>
      </c>
      <c r="H417" s="5" t="str">
        <f t="array" ref="H417">IF(W417=1,INDEX(Honor!$H$2:$H905,MATCH($D417&amp;"-"&amp;R417,Honor!$K$2:$K905,0)),"")</f>
        <v/>
      </c>
      <c r="I417" s="8" t="str">
        <f>IF(W417=1,SUMIFS(Honor!$I$2:$I905,Honor!$K$2:$K905,$D417&amp;"-"&amp;R417),"")</f>
        <v/>
      </c>
      <c r="J417" s="9" t="str">
        <f t="shared" si="6"/>
        <v/>
      </c>
      <c r="K417" s="10" t="str">
        <f t="shared" si="0"/>
        <v/>
      </c>
      <c r="L417" s="10" t="str">
        <f t="shared" si="1"/>
        <v/>
      </c>
      <c r="M417" s="10" t="str">
        <f>IF(W417=1,IF(AND(U417&lt;2,INT(V417)&lt;='Batasan Honor'!$B$2),1,0),"")</f>
        <v/>
      </c>
      <c r="O417" s="10" t="str">
        <f t="shared" si="2"/>
        <v/>
      </c>
      <c r="P417" s="10" t="str">
        <f t="shared" si="3"/>
        <v/>
      </c>
      <c r="R417" s="23"/>
      <c r="S417" s="10" t="str">
        <f t="shared" si="4"/>
        <v/>
      </c>
      <c r="U417" s="10" t="str">
        <f ca="1">IFERROR(__xludf.DUMMYFUNCTION("if(W417=1,COUNTIFS(FILTER($H$2:$H905,$H$2:$H905=""OB"",$S$2:$S905=S417),""OB""),"""")"),"")</f>
        <v/>
      </c>
      <c r="V417" s="10" t="str">
        <f ca="1">IFERROR(__xludf.DUMMYFUNCTION("IF(OR(ISNA(SUM(FILTER($K$2:$K905,$A$2:$A905=A417,$S$2:$S905=S417,$H$2:$H905&lt;&gt;""OB""))),W417&lt;&gt;1),"""",SUM(FILTER($K$2:$K905,$A$2:$A905=A417,$S$2:$S905=S417,$H$2:$H905&lt;&gt;""OB"")))"),"")</f>
        <v/>
      </c>
      <c r="W417" s="10" t="str">
        <f t="shared" si="5"/>
        <v/>
      </c>
    </row>
    <row r="418" spans="1:23" ht="12.5">
      <c r="A418" s="23"/>
      <c r="B418" s="5" t="str">
        <f t="array" ref="B418">IF(W418=1,INDEX('Database Mitra'!$H$2:$H905,MATCH(A418,'Database Mitra'!AK$2:AK905,0)),"")</f>
        <v/>
      </c>
      <c r="C418" s="5" t="str">
        <f t="array" ref="C418">IF(W418=1,INDEX('Database Mitra'!$E$2:$E905,MATCH(A418,'Database Mitra'!AK$2:AK905,0)),"")</f>
        <v/>
      </c>
      <c r="D418" s="23"/>
      <c r="E418" s="5" t="str">
        <f t="array" ref="E418">IF(W418=1,INDEX('Input Kegiatan'!B$2:B905,MATCH($D418,'Input Kegiatan'!$A$2:$A905,0)),"")</f>
        <v/>
      </c>
      <c r="F418" s="5" t="str">
        <f t="array" ref="F418">IF(W418=1,INDEX('Input Kegiatan'!D$2:D905,MATCH($D418,'Input Kegiatan'!$A$2:$A905,0)),"")</f>
        <v/>
      </c>
      <c r="G418" s="5" t="str">
        <f t="array" ref="G418">IF(W418=1,INDEX('Input Kegiatan'!E$2:E905,MATCH($D418,'Input Kegiatan'!$A$2:$A905,0)),"")</f>
        <v/>
      </c>
      <c r="H418" s="5" t="str">
        <f t="array" ref="H418">IF(W418=1,INDEX(Honor!$H$2:$H905,MATCH($D418&amp;"-"&amp;R418,Honor!$K$2:$K905,0)),"")</f>
        <v/>
      </c>
      <c r="I418" s="8" t="str">
        <f>IF(W418=1,SUMIFS(Honor!$I$2:$I905,Honor!$K$2:$K905,$D418&amp;"-"&amp;R418),"")</f>
        <v/>
      </c>
      <c r="J418" s="9" t="str">
        <f t="shared" si="6"/>
        <v/>
      </c>
      <c r="K418" s="10" t="str">
        <f t="shared" si="0"/>
        <v/>
      </c>
      <c r="L418" s="10" t="str">
        <f t="shared" si="1"/>
        <v/>
      </c>
      <c r="M418" s="10" t="str">
        <f>IF(W418=1,IF(AND(U418&lt;2,INT(V418)&lt;='Batasan Honor'!$B$2),1,0),"")</f>
        <v/>
      </c>
      <c r="O418" s="10" t="str">
        <f t="shared" si="2"/>
        <v/>
      </c>
      <c r="P418" s="10" t="str">
        <f t="shared" si="3"/>
        <v/>
      </c>
      <c r="R418" s="23"/>
      <c r="S418" s="10" t="str">
        <f t="shared" si="4"/>
        <v/>
      </c>
      <c r="U418" s="10" t="str">
        <f ca="1">IFERROR(__xludf.DUMMYFUNCTION("if(W418=1,COUNTIFS(FILTER($H$2:$H905,$H$2:$H905=""OB"",$S$2:$S905=S418),""OB""),"""")"),"")</f>
        <v/>
      </c>
      <c r="V418" s="10" t="str">
        <f ca="1">IFERROR(__xludf.DUMMYFUNCTION("IF(OR(ISNA(SUM(FILTER($K$2:$K905,$A$2:$A905=A418,$S$2:$S905=S418,$H$2:$H905&lt;&gt;""OB""))),W418&lt;&gt;1),"""",SUM(FILTER($K$2:$K905,$A$2:$A905=A418,$S$2:$S905=S418,$H$2:$H905&lt;&gt;""OB"")))"),"")</f>
        <v/>
      </c>
      <c r="W418" s="10" t="str">
        <f t="shared" si="5"/>
        <v/>
      </c>
    </row>
    <row r="419" spans="1:23" ht="12.5">
      <c r="A419" s="23"/>
      <c r="B419" s="5" t="str">
        <f t="array" ref="B419">IF(W419=1,INDEX('Database Mitra'!$H$2:$H905,MATCH(A419,'Database Mitra'!AK$2:AK905,0)),"")</f>
        <v/>
      </c>
      <c r="C419" s="5" t="str">
        <f t="array" ref="C419">IF(W419=1,INDEX('Database Mitra'!$E$2:$E905,MATCH(A419,'Database Mitra'!AK$2:AK905,0)),"")</f>
        <v/>
      </c>
      <c r="D419" s="23"/>
      <c r="E419" s="5" t="str">
        <f t="array" ref="E419">IF(W419=1,INDEX('Input Kegiatan'!B$2:B905,MATCH($D419,'Input Kegiatan'!$A$2:$A905,0)),"")</f>
        <v/>
      </c>
      <c r="F419" s="5" t="str">
        <f t="array" ref="F419">IF(W419=1,INDEX('Input Kegiatan'!D$2:D905,MATCH($D419,'Input Kegiatan'!$A$2:$A905,0)),"")</f>
        <v/>
      </c>
      <c r="G419" s="5" t="str">
        <f t="array" ref="G419">IF(W419=1,INDEX('Input Kegiatan'!E$2:E905,MATCH($D419,'Input Kegiatan'!$A$2:$A905,0)),"")</f>
        <v/>
      </c>
      <c r="H419" s="5" t="str">
        <f t="array" ref="H419">IF(W419=1,INDEX(Honor!$H$2:$H905,MATCH($D419&amp;"-"&amp;R419,Honor!$K$2:$K905,0)),"")</f>
        <v/>
      </c>
      <c r="I419" s="8" t="str">
        <f>IF(W419=1,SUMIFS(Honor!$I$2:$I905,Honor!$K$2:$K905,$D419&amp;"-"&amp;R419),"")</f>
        <v/>
      </c>
      <c r="J419" s="9" t="str">
        <f t="shared" si="6"/>
        <v/>
      </c>
      <c r="K419" s="10" t="str">
        <f t="shared" si="0"/>
        <v/>
      </c>
      <c r="L419" s="10" t="str">
        <f t="shared" si="1"/>
        <v/>
      </c>
      <c r="M419" s="10" t="str">
        <f>IF(W419=1,IF(AND(U419&lt;2,INT(V419)&lt;='Batasan Honor'!$B$2),1,0),"")</f>
        <v/>
      </c>
      <c r="O419" s="10" t="str">
        <f t="shared" si="2"/>
        <v/>
      </c>
      <c r="P419" s="10" t="str">
        <f t="shared" si="3"/>
        <v/>
      </c>
      <c r="R419" s="23"/>
      <c r="S419" s="10" t="str">
        <f t="shared" si="4"/>
        <v/>
      </c>
      <c r="U419" s="10" t="str">
        <f ca="1">IFERROR(__xludf.DUMMYFUNCTION("if(W419=1,COUNTIFS(FILTER($H$2:$H905,$H$2:$H905=""OB"",$S$2:$S905=S419),""OB""),"""")"),"")</f>
        <v/>
      </c>
      <c r="V419" s="10" t="str">
        <f ca="1">IFERROR(__xludf.DUMMYFUNCTION("IF(OR(ISNA(SUM(FILTER($K$2:$K905,$A$2:$A905=A419,$S$2:$S905=S419,$H$2:$H905&lt;&gt;""OB""))),W419&lt;&gt;1),"""",SUM(FILTER($K$2:$K905,$A$2:$A905=A419,$S$2:$S905=S419,$H$2:$H905&lt;&gt;""OB"")))"),"")</f>
        <v/>
      </c>
      <c r="W419" s="10" t="str">
        <f t="shared" si="5"/>
        <v/>
      </c>
    </row>
    <row r="420" spans="1:23" ht="12.5">
      <c r="A420" s="23"/>
      <c r="B420" s="5" t="str">
        <f t="array" ref="B420">IF(W420=1,INDEX('Database Mitra'!$H$2:$H905,MATCH(A420,'Database Mitra'!AK$2:AK905,0)),"")</f>
        <v/>
      </c>
      <c r="C420" s="5" t="str">
        <f t="array" ref="C420">IF(W420=1,INDEX('Database Mitra'!$E$2:$E905,MATCH(A420,'Database Mitra'!AK$2:AK905,0)),"")</f>
        <v/>
      </c>
      <c r="D420" s="23"/>
      <c r="E420" s="5" t="str">
        <f t="array" ref="E420">IF(W420=1,INDEX('Input Kegiatan'!B$2:B905,MATCH($D420,'Input Kegiatan'!$A$2:$A905,0)),"")</f>
        <v/>
      </c>
      <c r="F420" s="5" t="str">
        <f t="array" ref="F420">IF(W420=1,INDEX('Input Kegiatan'!D$2:D905,MATCH($D420,'Input Kegiatan'!$A$2:$A905,0)),"")</f>
        <v/>
      </c>
      <c r="G420" s="5" t="str">
        <f t="array" ref="G420">IF(W420=1,INDEX('Input Kegiatan'!E$2:E905,MATCH($D420,'Input Kegiatan'!$A$2:$A905,0)),"")</f>
        <v/>
      </c>
      <c r="H420" s="5" t="str">
        <f t="array" ref="H420">IF(W420=1,INDEX(Honor!$H$2:$H905,MATCH($D420&amp;"-"&amp;R420,Honor!$K$2:$K905,0)),"")</f>
        <v/>
      </c>
      <c r="I420" s="8" t="str">
        <f>IF(W420=1,SUMIFS(Honor!$I$2:$I905,Honor!$K$2:$K905,$D420&amp;"-"&amp;R420),"")</f>
        <v/>
      </c>
      <c r="J420" s="9" t="str">
        <f t="shared" si="6"/>
        <v/>
      </c>
      <c r="K420" s="10" t="str">
        <f t="shared" si="0"/>
        <v/>
      </c>
      <c r="L420" s="10" t="str">
        <f t="shared" si="1"/>
        <v/>
      </c>
      <c r="M420" s="10" t="str">
        <f>IF(W420=1,IF(AND(U420&lt;2,INT(V420)&lt;='Batasan Honor'!$B$2),1,0),"")</f>
        <v/>
      </c>
      <c r="O420" s="10" t="str">
        <f t="shared" si="2"/>
        <v/>
      </c>
      <c r="P420" s="10" t="str">
        <f t="shared" si="3"/>
        <v/>
      </c>
      <c r="R420" s="23"/>
      <c r="S420" s="10" t="str">
        <f t="shared" si="4"/>
        <v/>
      </c>
      <c r="U420" s="10" t="str">
        <f ca="1">IFERROR(__xludf.DUMMYFUNCTION("if(W420=1,COUNTIFS(FILTER($H$2:$H905,$H$2:$H905=""OB"",$S$2:$S905=S420),""OB""),"""")"),"")</f>
        <v/>
      </c>
      <c r="V420" s="10" t="str">
        <f ca="1">IFERROR(__xludf.DUMMYFUNCTION("IF(OR(ISNA(SUM(FILTER($K$2:$K905,$A$2:$A905=A420,$S$2:$S905=S420,$H$2:$H905&lt;&gt;""OB""))),W420&lt;&gt;1),"""",SUM(FILTER($K$2:$K905,$A$2:$A905=A420,$S$2:$S905=S420,$H$2:$H905&lt;&gt;""OB"")))"),"")</f>
        <v/>
      </c>
      <c r="W420" s="10" t="str">
        <f t="shared" si="5"/>
        <v/>
      </c>
    </row>
    <row r="421" spans="1:23" ht="12.5">
      <c r="A421" s="23"/>
      <c r="B421" s="5" t="str">
        <f t="array" ref="B421">IF(W421=1,INDEX('Database Mitra'!$H$2:$H905,MATCH(A421,'Database Mitra'!AK$2:AK905,0)),"")</f>
        <v/>
      </c>
      <c r="C421" s="5" t="str">
        <f t="array" ref="C421">IF(W421=1,INDEX('Database Mitra'!$E$2:$E905,MATCH(A421,'Database Mitra'!AK$2:AK905,0)),"")</f>
        <v/>
      </c>
      <c r="D421" s="23"/>
      <c r="E421" s="5" t="str">
        <f t="array" ref="E421">IF(W421=1,INDEX('Input Kegiatan'!B$2:B905,MATCH($D421,'Input Kegiatan'!$A$2:$A905,0)),"")</f>
        <v/>
      </c>
      <c r="F421" s="5" t="str">
        <f t="array" ref="F421">IF(W421=1,INDEX('Input Kegiatan'!D$2:D905,MATCH($D421,'Input Kegiatan'!$A$2:$A905,0)),"")</f>
        <v/>
      </c>
      <c r="G421" s="5" t="str">
        <f t="array" ref="G421">IF(W421=1,INDEX('Input Kegiatan'!E$2:E905,MATCH($D421,'Input Kegiatan'!$A$2:$A905,0)),"")</f>
        <v/>
      </c>
      <c r="H421" s="5" t="str">
        <f t="array" ref="H421">IF(W421=1,INDEX(Honor!$H$2:$H905,MATCH($D421&amp;"-"&amp;R421,Honor!$K$2:$K905,0)),"")</f>
        <v/>
      </c>
      <c r="I421" s="8" t="str">
        <f>IF(W421=1,SUMIFS(Honor!$I$2:$I905,Honor!$K$2:$K905,$D421&amp;"-"&amp;R421),"")</f>
        <v/>
      </c>
      <c r="J421" s="9" t="str">
        <f t="shared" si="6"/>
        <v/>
      </c>
      <c r="K421" s="10" t="str">
        <f t="shared" si="0"/>
        <v/>
      </c>
      <c r="L421" s="10" t="str">
        <f t="shared" si="1"/>
        <v/>
      </c>
      <c r="M421" s="10" t="str">
        <f>IF(W421=1,IF(AND(U421&lt;2,INT(V421)&lt;='Batasan Honor'!$B$2),1,0),"")</f>
        <v/>
      </c>
      <c r="O421" s="10" t="str">
        <f t="shared" si="2"/>
        <v/>
      </c>
      <c r="P421" s="10" t="str">
        <f t="shared" si="3"/>
        <v/>
      </c>
      <c r="R421" s="23"/>
      <c r="S421" s="10" t="str">
        <f t="shared" si="4"/>
        <v/>
      </c>
      <c r="U421" s="10" t="str">
        <f ca="1">IFERROR(__xludf.DUMMYFUNCTION("if(W421=1,COUNTIFS(FILTER($H$2:$H905,$H$2:$H905=""OB"",$S$2:$S905=S421),""OB""),"""")"),"")</f>
        <v/>
      </c>
      <c r="V421" s="10" t="str">
        <f ca="1">IFERROR(__xludf.DUMMYFUNCTION("IF(OR(ISNA(SUM(FILTER($K$2:$K905,$A$2:$A905=A421,$S$2:$S905=S421,$H$2:$H905&lt;&gt;""OB""))),W421&lt;&gt;1),"""",SUM(FILTER($K$2:$K905,$A$2:$A905=A421,$S$2:$S905=S421,$H$2:$H905&lt;&gt;""OB"")))"),"")</f>
        <v/>
      </c>
      <c r="W421" s="10" t="str">
        <f t="shared" si="5"/>
        <v/>
      </c>
    </row>
    <row r="422" spans="1:23" ht="12.5">
      <c r="A422" s="23"/>
      <c r="B422" s="5" t="str">
        <f t="array" ref="B422">IF(W422=1,INDEX('Database Mitra'!$H$2:$H905,MATCH(A422,'Database Mitra'!AK$2:AK905,0)),"")</f>
        <v/>
      </c>
      <c r="C422" s="5" t="str">
        <f t="array" ref="C422">IF(W422=1,INDEX('Database Mitra'!$E$2:$E905,MATCH(A422,'Database Mitra'!AK$2:AK905,0)),"")</f>
        <v/>
      </c>
      <c r="D422" s="23"/>
      <c r="E422" s="5" t="str">
        <f t="array" ref="E422">IF(W422=1,INDEX('Input Kegiatan'!B$2:B905,MATCH($D422,'Input Kegiatan'!$A$2:$A905,0)),"")</f>
        <v/>
      </c>
      <c r="F422" s="5" t="str">
        <f t="array" ref="F422">IF(W422=1,INDEX('Input Kegiatan'!D$2:D905,MATCH($D422,'Input Kegiatan'!$A$2:$A905,0)),"")</f>
        <v/>
      </c>
      <c r="G422" s="5" t="str">
        <f t="array" ref="G422">IF(W422=1,INDEX('Input Kegiatan'!E$2:E905,MATCH($D422,'Input Kegiatan'!$A$2:$A905,0)),"")</f>
        <v/>
      </c>
      <c r="H422" s="5" t="str">
        <f t="array" ref="H422">IF(W422=1,INDEX(Honor!$H$2:$H905,MATCH($D422&amp;"-"&amp;R422,Honor!$K$2:$K905,0)),"")</f>
        <v/>
      </c>
      <c r="I422" s="8" t="str">
        <f>IF(W422=1,SUMIFS(Honor!$I$2:$I905,Honor!$K$2:$K905,$D422&amp;"-"&amp;R422),"")</f>
        <v/>
      </c>
      <c r="J422" s="9" t="str">
        <f t="shared" si="6"/>
        <v/>
      </c>
      <c r="K422" s="10" t="str">
        <f t="shared" si="0"/>
        <v/>
      </c>
      <c r="L422" s="10" t="str">
        <f t="shared" si="1"/>
        <v/>
      </c>
      <c r="M422" s="10" t="str">
        <f>IF(W422=1,IF(AND(U422&lt;2,INT(V422)&lt;='Batasan Honor'!$B$2),1,0),"")</f>
        <v/>
      </c>
      <c r="O422" s="10" t="str">
        <f t="shared" si="2"/>
        <v/>
      </c>
      <c r="P422" s="10" t="str">
        <f t="shared" si="3"/>
        <v/>
      </c>
      <c r="R422" s="23"/>
      <c r="S422" s="10" t="str">
        <f t="shared" si="4"/>
        <v/>
      </c>
      <c r="U422" s="10" t="str">
        <f ca="1">IFERROR(__xludf.DUMMYFUNCTION("if(W422=1,COUNTIFS(FILTER($H$2:$H905,$H$2:$H905=""OB"",$S$2:$S905=S422),""OB""),"""")"),"")</f>
        <v/>
      </c>
      <c r="V422" s="10" t="str">
        <f ca="1">IFERROR(__xludf.DUMMYFUNCTION("IF(OR(ISNA(SUM(FILTER($K$2:$K905,$A$2:$A905=A422,$S$2:$S905=S422,$H$2:$H905&lt;&gt;""OB""))),W422&lt;&gt;1),"""",SUM(FILTER($K$2:$K905,$A$2:$A905=A422,$S$2:$S905=S422,$H$2:$H905&lt;&gt;""OB"")))"),"")</f>
        <v/>
      </c>
      <c r="W422" s="10" t="str">
        <f t="shared" si="5"/>
        <v/>
      </c>
    </row>
    <row r="423" spans="1:23" ht="12.5">
      <c r="A423" s="23"/>
      <c r="B423" s="5" t="str">
        <f t="array" ref="B423">IF(W423=1,INDEX('Database Mitra'!$H$2:$H905,MATCH(A423,'Database Mitra'!AK$2:AK905,0)),"")</f>
        <v/>
      </c>
      <c r="C423" s="5" t="str">
        <f t="array" ref="C423">IF(W423=1,INDEX('Database Mitra'!$E$2:$E905,MATCH(A423,'Database Mitra'!AK$2:AK905,0)),"")</f>
        <v/>
      </c>
      <c r="D423" s="23"/>
      <c r="E423" s="5" t="str">
        <f t="array" ref="E423">IF(W423=1,INDEX('Input Kegiatan'!B$2:B905,MATCH($D423,'Input Kegiatan'!$A$2:$A905,0)),"")</f>
        <v/>
      </c>
      <c r="F423" s="5" t="str">
        <f t="array" ref="F423">IF(W423=1,INDEX('Input Kegiatan'!D$2:D905,MATCH($D423,'Input Kegiatan'!$A$2:$A905,0)),"")</f>
        <v/>
      </c>
      <c r="G423" s="5" t="str">
        <f t="array" ref="G423">IF(W423=1,INDEX('Input Kegiatan'!E$2:E905,MATCH($D423,'Input Kegiatan'!$A$2:$A905,0)),"")</f>
        <v/>
      </c>
      <c r="H423" s="5" t="str">
        <f t="array" ref="H423">IF(W423=1,INDEX(Honor!$H$2:$H905,MATCH($D423&amp;"-"&amp;R423,Honor!$K$2:$K905,0)),"")</f>
        <v/>
      </c>
      <c r="I423" s="8" t="str">
        <f>IF(W423=1,SUMIFS(Honor!$I$2:$I905,Honor!$K$2:$K905,$D423&amp;"-"&amp;R423),"")</f>
        <v/>
      </c>
      <c r="J423" s="9" t="str">
        <f t="shared" si="6"/>
        <v/>
      </c>
      <c r="K423" s="10" t="str">
        <f t="shared" si="0"/>
        <v/>
      </c>
      <c r="L423" s="10" t="str">
        <f t="shared" si="1"/>
        <v/>
      </c>
      <c r="M423" s="10" t="str">
        <f>IF(W423=1,IF(AND(U423&lt;2,INT(V423)&lt;='Batasan Honor'!$B$2),1,0),"")</f>
        <v/>
      </c>
      <c r="O423" s="10" t="str">
        <f t="shared" si="2"/>
        <v/>
      </c>
      <c r="P423" s="10" t="str">
        <f t="shared" si="3"/>
        <v/>
      </c>
      <c r="R423" s="23"/>
      <c r="S423" s="10" t="str">
        <f t="shared" si="4"/>
        <v/>
      </c>
      <c r="U423" s="10" t="str">
        <f ca="1">IFERROR(__xludf.DUMMYFUNCTION("if(W423=1,COUNTIFS(FILTER($H$2:$H905,$H$2:$H905=""OB"",$S$2:$S905=S423),""OB""),"""")"),"")</f>
        <v/>
      </c>
      <c r="V423" s="10" t="str">
        <f ca="1">IFERROR(__xludf.DUMMYFUNCTION("IF(OR(ISNA(SUM(FILTER($K$2:$K905,$A$2:$A905=A423,$S$2:$S905=S423,$H$2:$H905&lt;&gt;""OB""))),W423&lt;&gt;1),"""",SUM(FILTER($K$2:$K905,$A$2:$A905=A423,$S$2:$S905=S423,$H$2:$H905&lt;&gt;""OB"")))"),"")</f>
        <v/>
      </c>
      <c r="W423" s="10" t="str">
        <f t="shared" si="5"/>
        <v/>
      </c>
    </row>
    <row r="424" spans="1:23" ht="12.5">
      <c r="A424" s="23"/>
      <c r="B424" s="5" t="str">
        <f t="array" ref="B424">IF(W424=1,INDEX('Database Mitra'!$H$2:$H905,MATCH(A424,'Database Mitra'!AK$2:AK905,0)),"")</f>
        <v/>
      </c>
      <c r="C424" s="5" t="str">
        <f t="array" ref="C424">IF(W424=1,INDEX('Database Mitra'!$E$2:$E905,MATCH(A424,'Database Mitra'!AK$2:AK905,0)),"")</f>
        <v/>
      </c>
      <c r="D424" s="23"/>
      <c r="E424" s="5" t="str">
        <f t="array" ref="E424">IF(W424=1,INDEX('Input Kegiatan'!B$2:B905,MATCH($D424,'Input Kegiatan'!$A$2:$A905,0)),"")</f>
        <v/>
      </c>
      <c r="F424" s="5" t="str">
        <f t="array" ref="F424">IF(W424=1,INDEX('Input Kegiatan'!D$2:D905,MATCH($D424,'Input Kegiatan'!$A$2:$A905,0)),"")</f>
        <v/>
      </c>
      <c r="G424" s="5" t="str">
        <f t="array" ref="G424">IF(W424=1,INDEX('Input Kegiatan'!E$2:E905,MATCH($D424,'Input Kegiatan'!$A$2:$A905,0)),"")</f>
        <v/>
      </c>
      <c r="H424" s="5" t="str">
        <f t="array" ref="H424">IF(W424=1,INDEX(Honor!$H$2:$H905,MATCH($D424&amp;"-"&amp;R424,Honor!$K$2:$K905,0)),"")</f>
        <v/>
      </c>
      <c r="I424" s="8" t="str">
        <f>IF(W424=1,SUMIFS(Honor!$I$2:$I905,Honor!$K$2:$K905,$D424&amp;"-"&amp;R424),"")</f>
        <v/>
      </c>
      <c r="J424" s="9" t="str">
        <f t="shared" si="6"/>
        <v/>
      </c>
      <c r="K424" s="10" t="str">
        <f t="shared" si="0"/>
        <v/>
      </c>
      <c r="L424" s="10" t="str">
        <f t="shared" si="1"/>
        <v/>
      </c>
      <c r="M424" s="10" t="str">
        <f>IF(W424=1,IF(AND(U424&lt;2,INT(V424)&lt;='Batasan Honor'!$B$2),1,0),"")</f>
        <v/>
      </c>
      <c r="O424" s="10" t="str">
        <f t="shared" si="2"/>
        <v/>
      </c>
      <c r="P424" s="10" t="str">
        <f t="shared" si="3"/>
        <v/>
      </c>
      <c r="R424" s="23"/>
      <c r="S424" s="10" t="str">
        <f t="shared" si="4"/>
        <v/>
      </c>
      <c r="U424" s="10" t="str">
        <f ca="1">IFERROR(__xludf.DUMMYFUNCTION("if(W424=1,COUNTIFS(FILTER($H$2:$H905,$H$2:$H905=""OB"",$S$2:$S905=S424),""OB""),"""")"),"")</f>
        <v/>
      </c>
      <c r="V424" s="10" t="str">
        <f ca="1">IFERROR(__xludf.DUMMYFUNCTION("IF(OR(ISNA(SUM(FILTER($K$2:$K905,$A$2:$A905=A424,$S$2:$S905=S424,$H$2:$H905&lt;&gt;""OB""))),W424&lt;&gt;1),"""",SUM(FILTER($K$2:$K905,$A$2:$A905=A424,$S$2:$S905=S424,$H$2:$H905&lt;&gt;""OB"")))"),"")</f>
        <v/>
      </c>
      <c r="W424" s="10" t="str">
        <f t="shared" si="5"/>
        <v/>
      </c>
    </row>
    <row r="425" spans="1:23" ht="12.5">
      <c r="A425" s="23"/>
      <c r="B425" s="5" t="str">
        <f t="array" ref="B425">IF(W425=1,INDEX('Database Mitra'!$H$2:$H905,MATCH(A425,'Database Mitra'!AK$2:AK905,0)),"")</f>
        <v/>
      </c>
      <c r="C425" s="5" t="str">
        <f t="array" ref="C425">IF(W425=1,INDEX('Database Mitra'!$E$2:$E905,MATCH(A425,'Database Mitra'!AK$2:AK905,0)),"")</f>
        <v/>
      </c>
      <c r="D425" s="23"/>
      <c r="E425" s="5" t="str">
        <f t="array" ref="E425">IF(W425=1,INDEX('Input Kegiatan'!B$2:B905,MATCH($D425,'Input Kegiatan'!$A$2:$A905,0)),"")</f>
        <v/>
      </c>
      <c r="F425" s="5" t="str">
        <f t="array" ref="F425">IF(W425=1,INDEX('Input Kegiatan'!D$2:D905,MATCH($D425,'Input Kegiatan'!$A$2:$A905,0)),"")</f>
        <v/>
      </c>
      <c r="G425" s="5" t="str">
        <f t="array" ref="G425">IF(W425=1,INDEX('Input Kegiatan'!E$2:E905,MATCH($D425,'Input Kegiatan'!$A$2:$A905,0)),"")</f>
        <v/>
      </c>
      <c r="H425" s="5" t="str">
        <f t="array" ref="H425">IF(W425=1,INDEX(Honor!$H$2:$H905,MATCH($D425&amp;"-"&amp;R425,Honor!$K$2:$K905,0)),"")</f>
        <v/>
      </c>
      <c r="I425" s="8" t="str">
        <f>IF(W425=1,SUMIFS(Honor!$I$2:$I905,Honor!$K$2:$K905,$D425&amp;"-"&amp;R425),"")</f>
        <v/>
      </c>
      <c r="J425" s="9" t="str">
        <f t="shared" si="6"/>
        <v/>
      </c>
      <c r="K425" s="10" t="str">
        <f t="shared" si="0"/>
        <v/>
      </c>
      <c r="L425" s="10" t="str">
        <f t="shared" si="1"/>
        <v/>
      </c>
      <c r="M425" s="10" t="str">
        <f>IF(W425=1,IF(AND(U425&lt;2,INT(V425)&lt;='Batasan Honor'!$B$2),1,0),"")</f>
        <v/>
      </c>
      <c r="O425" s="10" t="str">
        <f t="shared" si="2"/>
        <v/>
      </c>
      <c r="P425" s="10" t="str">
        <f t="shared" si="3"/>
        <v/>
      </c>
      <c r="R425" s="23"/>
      <c r="S425" s="10" t="str">
        <f t="shared" si="4"/>
        <v/>
      </c>
      <c r="U425" s="10" t="str">
        <f ca="1">IFERROR(__xludf.DUMMYFUNCTION("if(W425=1,COUNTIFS(FILTER($H$2:$H905,$H$2:$H905=""OB"",$S$2:$S905=S425),""OB""),"""")"),"")</f>
        <v/>
      </c>
      <c r="V425" s="10" t="str">
        <f ca="1">IFERROR(__xludf.DUMMYFUNCTION("IF(OR(ISNA(SUM(FILTER($K$2:$K905,$A$2:$A905=A425,$S$2:$S905=S425,$H$2:$H905&lt;&gt;""OB""))),W425&lt;&gt;1),"""",SUM(FILTER($K$2:$K905,$A$2:$A905=A425,$S$2:$S905=S425,$H$2:$H905&lt;&gt;""OB"")))"),"")</f>
        <v/>
      </c>
      <c r="W425" s="10" t="str">
        <f t="shared" si="5"/>
        <v/>
      </c>
    </row>
    <row r="426" spans="1:23" ht="12.5">
      <c r="A426" s="23"/>
      <c r="B426" s="5" t="str">
        <f t="array" ref="B426">IF(W426=1,INDEX('Database Mitra'!$H$2:$H905,MATCH(A426,'Database Mitra'!AK$2:AK905,0)),"")</f>
        <v/>
      </c>
      <c r="C426" s="5" t="str">
        <f t="array" ref="C426">IF(W426=1,INDEX('Database Mitra'!$E$2:$E905,MATCH(A426,'Database Mitra'!AK$2:AK905,0)),"")</f>
        <v/>
      </c>
      <c r="D426" s="23"/>
      <c r="E426" s="5" t="str">
        <f t="array" ref="E426">IF(W426=1,INDEX('Input Kegiatan'!B$2:B905,MATCH($D426,'Input Kegiatan'!$A$2:$A905,0)),"")</f>
        <v/>
      </c>
      <c r="F426" s="5" t="str">
        <f t="array" ref="F426">IF(W426=1,INDEX('Input Kegiatan'!D$2:D905,MATCH($D426,'Input Kegiatan'!$A$2:$A905,0)),"")</f>
        <v/>
      </c>
      <c r="G426" s="5" t="str">
        <f t="array" ref="G426">IF(W426=1,INDEX('Input Kegiatan'!E$2:E905,MATCH($D426,'Input Kegiatan'!$A$2:$A905,0)),"")</f>
        <v/>
      </c>
      <c r="H426" s="5" t="str">
        <f t="array" ref="H426">IF(W426=1,INDEX(Honor!$H$2:$H905,MATCH($D426&amp;"-"&amp;R426,Honor!$K$2:$K905,0)),"")</f>
        <v/>
      </c>
      <c r="I426" s="8" t="str">
        <f>IF(W426=1,SUMIFS(Honor!$I$2:$I905,Honor!$K$2:$K905,$D426&amp;"-"&amp;R426),"")</f>
        <v/>
      </c>
      <c r="J426" s="9" t="str">
        <f t="shared" si="6"/>
        <v/>
      </c>
      <c r="K426" s="10" t="str">
        <f t="shared" si="0"/>
        <v/>
      </c>
      <c r="L426" s="10" t="str">
        <f t="shared" si="1"/>
        <v/>
      </c>
      <c r="M426" s="10" t="str">
        <f>IF(W426=1,IF(AND(U426&lt;2,INT(V426)&lt;='Batasan Honor'!$B$2),1,0),"")</f>
        <v/>
      </c>
      <c r="O426" s="10" t="str">
        <f t="shared" si="2"/>
        <v/>
      </c>
      <c r="P426" s="10" t="str">
        <f t="shared" si="3"/>
        <v/>
      </c>
      <c r="R426" s="23"/>
      <c r="S426" s="10" t="str">
        <f t="shared" si="4"/>
        <v/>
      </c>
      <c r="U426" s="10" t="str">
        <f ca="1">IFERROR(__xludf.DUMMYFUNCTION("if(W426=1,COUNTIFS(FILTER($H$2:$H905,$H$2:$H905=""OB"",$S$2:$S905=S426),""OB""),"""")"),"")</f>
        <v/>
      </c>
      <c r="V426" s="10" t="str">
        <f ca="1">IFERROR(__xludf.DUMMYFUNCTION("IF(OR(ISNA(SUM(FILTER($K$2:$K905,$A$2:$A905=A426,$S$2:$S905=S426,$H$2:$H905&lt;&gt;""OB""))),W426&lt;&gt;1),"""",SUM(FILTER($K$2:$K905,$A$2:$A905=A426,$S$2:$S905=S426,$H$2:$H905&lt;&gt;""OB"")))"),"")</f>
        <v/>
      </c>
      <c r="W426" s="10" t="str">
        <f t="shared" si="5"/>
        <v/>
      </c>
    </row>
    <row r="427" spans="1:23" ht="12.5">
      <c r="A427" s="23"/>
      <c r="B427" s="5" t="str">
        <f t="array" ref="B427">IF(W427=1,INDEX('Database Mitra'!$H$2:$H905,MATCH(A427,'Database Mitra'!AK$2:AK905,0)),"")</f>
        <v/>
      </c>
      <c r="C427" s="5" t="str">
        <f t="array" ref="C427">IF(W427=1,INDEX('Database Mitra'!$E$2:$E905,MATCH(A427,'Database Mitra'!AK$2:AK905,0)),"")</f>
        <v/>
      </c>
      <c r="D427" s="23"/>
      <c r="E427" s="5" t="str">
        <f t="array" ref="E427">IF(W427=1,INDEX('Input Kegiatan'!B$2:B905,MATCH($D427,'Input Kegiatan'!$A$2:$A905,0)),"")</f>
        <v/>
      </c>
      <c r="F427" s="5" t="str">
        <f t="array" ref="F427">IF(W427=1,INDEX('Input Kegiatan'!D$2:D905,MATCH($D427,'Input Kegiatan'!$A$2:$A905,0)),"")</f>
        <v/>
      </c>
      <c r="G427" s="5" t="str">
        <f t="array" ref="G427">IF(W427=1,INDEX('Input Kegiatan'!E$2:E905,MATCH($D427,'Input Kegiatan'!$A$2:$A905,0)),"")</f>
        <v/>
      </c>
      <c r="H427" s="5" t="str">
        <f t="array" ref="H427">IF(W427=1,INDEX(Honor!$H$2:$H905,MATCH($D427&amp;"-"&amp;R427,Honor!$K$2:$K905,0)),"")</f>
        <v/>
      </c>
      <c r="I427" s="8" t="str">
        <f>IF(W427=1,SUMIFS(Honor!$I$2:$I905,Honor!$K$2:$K905,$D427&amp;"-"&amp;R427),"")</f>
        <v/>
      </c>
      <c r="J427" s="9" t="str">
        <f t="shared" si="6"/>
        <v/>
      </c>
      <c r="K427" s="10" t="str">
        <f t="shared" si="0"/>
        <v/>
      </c>
      <c r="L427" s="10" t="str">
        <f t="shared" si="1"/>
        <v/>
      </c>
      <c r="M427" s="10" t="str">
        <f>IF(W427=1,IF(AND(U427&lt;2,INT(V427)&lt;='Batasan Honor'!$B$2),1,0),"")</f>
        <v/>
      </c>
      <c r="O427" s="10" t="str">
        <f t="shared" si="2"/>
        <v/>
      </c>
      <c r="P427" s="10" t="str">
        <f t="shared" si="3"/>
        <v/>
      </c>
      <c r="R427" s="23"/>
      <c r="S427" s="10" t="str">
        <f t="shared" si="4"/>
        <v/>
      </c>
      <c r="U427" s="10" t="str">
        <f ca="1">IFERROR(__xludf.DUMMYFUNCTION("if(W427=1,COUNTIFS(FILTER($H$2:$H905,$H$2:$H905=""OB"",$S$2:$S905=S427),""OB""),"""")"),"")</f>
        <v/>
      </c>
      <c r="V427" s="10" t="str">
        <f ca="1">IFERROR(__xludf.DUMMYFUNCTION("IF(OR(ISNA(SUM(FILTER($K$2:$K905,$A$2:$A905=A427,$S$2:$S905=S427,$H$2:$H905&lt;&gt;""OB""))),W427&lt;&gt;1),"""",SUM(FILTER($K$2:$K905,$A$2:$A905=A427,$S$2:$S905=S427,$H$2:$H905&lt;&gt;""OB"")))"),"")</f>
        <v/>
      </c>
      <c r="W427" s="10" t="str">
        <f t="shared" si="5"/>
        <v/>
      </c>
    </row>
    <row r="428" spans="1:23" ht="12.5">
      <c r="A428" s="23"/>
      <c r="B428" s="5" t="str">
        <f t="array" ref="B428">IF(W428=1,INDEX('Database Mitra'!$H$2:$H905,MATCH(A428,'Database Mitra'!AK$2:AK905,0)),"")</f>
        <v/>
      </c>
      <c r="C428" s="5" t="str">
        <f t="array" ref="C428">IF(W428=1,INDEX('Database Mitra'!$E$2:$E905,MATCH(A428,'Database Mitra'!AK$2:AK905,0)),"")</f>
        <v/>
      </c>
      <c r="D428" s="23"/>
      <c r="E428" s="5" t="str">
        <f t="array" ref="E428">IF(W428=1,INDEX('Input Kegiatan'!B$2:B905,MATCH($D428,'Input Kegiatan'!$A$2:$A905,0)),"")</f>
        <v/>
      </c>
      <c r="F428" s="5" t="str">
        <f t="array" ref="F428">IF(W428=1,INDEX('Input Kegiatan'!D$2:D905,MATCH($D428,'Input Kegiatan'!$A$2:$A905,0)),"")</f>
        <v/>
      </c>
      <c r="G428" s="5" t="str">
        <f t="array" ref="G428">IF(W428=1,INDEX('Input Kegiatan'!E$2:E905,MATCH($D428,'Input Kegiatan'!$A$2:$A905,0)),"")</f>
        <v/>
      </c>
      <c r="H428" s="5" t="str">
        <f t="array" ref="H428">IF(W428=1,INDEX(Honor!$H$2:$H905,MATCH($D428&amp;"-"&amp;R428,Honor!$K$2:$K905,0)),"")</f>
        <v/>
      </c>
      <c r="I428" s="8" t="str">
        <f>IF(W428=1,SUMIFS(Honor!$I$2:$I905,Honor!$K$2:$K905,$D428&amp;"-"&amp;R428),"")</f>
        <v/>
      </c>
      <c r="J428" s="9" t="str">
        <f t="shared" si="6"/>
        <v/>
      </c>
      <c r="K428" s="10" t="str">
        <f t="shared" si="0"/>
        <v/>
      </c>
      <c r="L428" s="10" t="str">
        <f t="shared" si="1"/>
        <v/>
      </c>
      <c r="M428" s="10" t="str">
        <f>IF(W428=1,IF(AND(U428&lt;2,INT(V428)&lt;='Batasan Honor'!$B$2),1,0),"")</f>
        <v/>
      </c>
      <c r="O428" s="10" t="str">
        <f t="shared" si="2"/>
        <v/>
      </c>
      <c r="P428" s="10" t="str">
        <f t="shared" si="3"/>
        <v/>
      </c>
      <c r="R428" s="23"/>
      <c r="S428" s="10" t="str">
        <f t="shared" si="4"/>
        <v/>
      </c>
      <c r="U428" s="10" t="str">
        <f ca="1">IFERROR(__xludf.DUMMYFUNCTION("if(W428=1,COUNTIFS(FILTER($H$2:$H905,$H$2:$H905=""OB"",$S$2:$S905=S428),""OB""),"""")"),"")</f>
        <v/>
      </c>
      <c r="V428" s="10" t="str">
        <f ca="1">IFERROR(__xludf.DUMMYFUNCTION("IF(OR(ISNA(SUM(FILTER($K$2:$K905,$A$2:$A905=A428,$S$2:$S905=S428,$H$2:$H905&lt;&gt;""OB""))),W428&lt;&gt;1),"""",SUM(FILTER($K$2:$K905,$A$2:$A905=A428,$S$2:$S905=S428,$H$2:$H905&lt;&gt;""OB"")))"),"")</f>
        <v/>
      </c>
      <c r="W428" s="10" t="str">
        <f t="shared" si="5"/>
        <v/>
      </c>
    </row>
    <row r="429" spans="1:23" ht="12.5">
      <c r="A429" s="23"/>
      <c r="B429" s="5" t="str">
        <f t="array" ref="B429">IF(W429=1,INDEX('Database Mitra'!$H$2:$H905,MATCH(A429,'Database Mitra'!AK$2:AK905,0)),"")</f>
        <v/>
      </c>
      <c r="C429" s="5" t="str">
        <f t="array" ref="C429">IF(W429=1,INDEX('Database Mitra'!$E$2:$E905,MATCH(A429,'Database Mitra'!AK$2:AK905,0)),"")</f>
        <v/>
      </c>
      <c r="D429" s="23"/>
      <c r="E429" s="5" t="str">
        <f t="array" ref="E429">IF(W429=1,INDEX('Input Kegiatan'!B$2:B905,MATCH($D429,'Input Kegiatan'!$A$2:$A905,0)),"")</f>
        <v/>
      </c>
      <c r="F429" s="5" t="str">
        <f t="array" ref="F429">IF(W429=1,INDEX('Input Kegiatan'!D$2:D905,MATCH($D429,'Input Kegiatan'!$A$2:$A905,0)),"")</f>
        <v/>
      </c>
      <c r="G429" s="5" t="str">
        <f t="array" ref="G429">IF(W429=1,INDEX('Input Kegiatan'!E$2:E905,MATCH($D429,'Input Kegiatan'!$A$2:$A905,0)),"")</f>
        <v/>
      </c>
      <c r="H429" s="5" t="str">
        <f t="array" ref="H429">IF(W429=1,INDEX(Honor!$H$2:$H905,MATCH($D429&amp;"-"&amp;R429,Honor!$K$2:$K905,0)),"")</f>
        <v/>
      </c>
      <c r="I429" s="8" t="str">
        <f>IF(W429=1,SUMIFS(Honor!$I$2:$I905,Honor!$K$2:$K905,$D429&amp;"-"&amp;R429),"")</f>
        <v/>
      </c>
      <c r="J429" s="9" t="str">
        <f t="shared" si="6"/>
        <v/>
      </c>
      <c r="K429" s="10" t="str">
        <f t="shared" si="0"/>
        <v/>
      </c>
      <c r="L429" s="10" t="str">
        <f t="shared" si="1"/>
        <v/>
      </c>
      <c r="M429" s="10" t="str">
        <f>IF(W429=1,IF(AND(U429&lt;2,INT(V429)&lt;='Batasan Honor'!$B$2),1,0),"")</f>
        <v/>
      </c>
      <c r="O429" s="10" t="str">
        <f t="shared" si="2"/>
        <v/>
      </c>
      <c r="P429" s="10" t="str">
        <f t="shared" si="3"/>
        <v/>
      </c>
      <c r="R429" s="23"/>
      <c r="S429" s="10" t="str">
        <f t="shared" si="4"/>
        <v/>
      </c>
      <c r="U429" s="10" t="str">
        <f ca="1">IFERROR(__xludf.DUMMYFUNCTION("if(W429=1,COUNTIFS(FILTER($H$2:$H905,$H$2:$H905=""OB"",$S$2:$S905=S429),""OB""),"""")"),"")</f>
        <v/>
      </c>
      <c r="V429" s="10" t="str">
        <f ca="1">IFERROR(__xludf.DUMMYFUNCTION("IF(OR(ISNA(SUM(FILTER($K$2:$K905,$A$2:$A905=A429,$S$2:$S905=S429,$H$2:$H905&lt;&gt;""OB""))),W429&lt;&gt;1),"""",SUM(FILTER($K$2:$K905,$A$2:$A905=A429,$S$2:$S905=S429,$H$2:$H905&lt;&gt;""OB"")))"),"")</f>
        <v/>
      </c>
      <c r="W429" s="10" t="str">
        <f t="shared" si="5"/>
        <v/>
      </c>
    </row>
    <row r="430" spans="1:23" ht="12.5">
      <c r="A430" s="23"/>
      <c r="B430" s="5" t="str">
        <f t="array" ref="B430">IF(W430=1,INDEX('Database Mitra'!$H$2:$H905,MATCH(A430,'Database Mitra'!AK$2:AK905,0)),"")</f>
        <v/>
      </c>
      <c r="C430" s="5" t="str">
        <f t="array" ref="C430">IF(W430=1,INDEX('Database Mitra'!$E$2:$E905,MATCH(A430,'Database Mitra'!AK$2:AK905,0)),"")</f>
        <v/>
      </c>
      <c r="D430" s="23"/>
      <c r="E430" s="5" t="str">
        <f t="array" ref="E430">IF(W430=1,INDEX('Input Kegiatan'!B$2:B905,MATCH($D430,'Input Kegiatan'!$A$2:$A905,0)),"")</f>
        <v/>
      </c>
      <c r="F430" s="5" t="str">
        <f t="array" ref="F430">IF(W430=1,INDEX('Input Kegiatan'!D$2:D905,MATCH($D430,'Input Kegiatan'!$A$2:$A905,0)),"")</f>
        <v/>
      </c>
      <c r="G430" s="5" t="str">
        <f t="array" ref="G430">IF(W430=1,INDEX('Input Kegiatan'!E$2:E905,MATCH($D430,'Input Kegiatan'!$A$2:$A905,0)),"")</f>
        <v/>
      </c>
      <c r="H430" s="5" t="str">
        <f t="array" ref="H430">IF(W430=1,INDEX(Honor!$H$2:$H905,MATCH($D430&amp;"-"&amp;R430,Honor!$K$2:$K905,0)),"")</f>
        <v/>
      </c>
      <c r="I430" s="8" t="str">
        <f>IF(W430=1,SUMIFS(Honor!$I$2:$I905,Honor!$K$2:$K905,$D430&amp;"-"&amp;R430),"")</f>
        <v/>
      </c>
      <c r="J430" s="9" t="str">
        <f t="shared" si="6"/>
        <v/>
      </c>
      <c r="K430" s="10" t="str">
        <f t="shared" si="0"/>
        <v/>
      </c>
      <c r="L430" s="10" t="str">
        <f t="shared" si="1"/>
        <v/>
      </c>
      <c r="M430" s="10" t="str">
        <f>IF(W430=1,IF(AND(U430&lt;2,INT(V430)&lt;='Batasan Honor'!$B$2),1,0),"")</f>
        <v/>
      </c>
      <c r="O430" s="10" t="str">
        <f t="shared" si="2"/>
        <v/>
      </c>
      <c r="P430" s="10" t="str">
        <f t="shared" si="3"/>
        <v/>
      </c>
      <c r="R430" s="23"/>
      <c r="S430" s="10" t="str">
        <f t="shared" si="4"/>
        <v/>
      </c>
      <c r="U430" s="10" t="str">
        <f ca="1">IFERROR(__xludf.DUMMYFUNCTION("if(W430=1,COUNTIFS(FILTER($H$2:$H905,$H$2:$H905=""OB"",$S$2:$S905=S430),""OB""),"""")"),"")</f>
        <v/>
      </c>
      <c r="V430" s="10" t="str">
        <f ca="1">IFERROR(__xludf.DUMMYFUNCTION("IF(OR(ISNA(SUM(FILTER($K$2:$K905,$A$2:$A905=A430,$S$2:$S905=S430,$H$2:$H905&lt;&gt;""OB""))),W430&lt;&gt;1),"""",SUM(FILTER($K$2:$K905,$A$2:$A905=A430,$S$2:$S905=S430,$H$2:$H905&lt;&gt;""OB"")))"),"")</f>
        <v/>
      </c>
      <c r="W430" s="10" t="str">
        <f t="shared" si="5"/>
        <v/>
      </c>
    </row>
    <row r="431" spans="1:23" ht="12.5">
      <c r="A431" s="23"/>
      <c r="B431" s="5" t="str">
        <f t="array" ref="B431">IF(W431=1,INDEX('Database Mitra'!$H$2:$H905,MATCH(A431,'Database Mitra'!AK$2:AK905,0)),"")</f>
        <v/>
      </c>
      <c r="C431" s="5" t="str">
        <f t="array" ref="C431">IF(W431=1,INDEX('Database Mitra'!$E$2:$E905,MATCH(A431,'Database Mitra'!AK$2:AK905,0)),"")</f>
        <v/>
      </c>
      <c r="D431" s="23"/>
      <c r="E431" s="5" t="str">
        <f t="array" ref="E431">IF(W431=1,INDEX('Input Kegiatan'!B$2:B905,MATCH($D431,'Input Kegiatan'!$A$2:$A905,0)),"")</f>
        <v/>
      </c>
      <c r="F431" s="5" t="str">
        <f t="array" ref="F431">IF(W431=1,INDEX('Input Kegiatan'!D$2:D905,MATCH($D431,'Input Kegiatan'!$A$2:$A905,0)),"")</f>
        <v/>
      </c>
      <c r="G431" s="5" t="str">
        <f t="array" ref="G431">IF(W431=1,INDEX('Input Kegiatan'!E$2:E905,MATCH($D431,'Input Kegiatan'!$A$2:$A905,0)),"")</f>
        <v/>
      </c>
      <c r="H431" s="5" t="str">
        <f t="array" ref="H431">IF(W431=1,INDEX(Honor!$H$2:$H905,MATCH($D431&amp;"-"&amp;R431,Honor!$K$2:$K905,0)),"")</f>
        <v/>
      </c>
      <c r="I431" s="8" t="str">
        <f>IF(W431=1,SUMIFS(Honor!$I$2:$I905,Honor!$K$2:$K905,$D431&amp;"-"&amp;R431),"")</f>
        <v/>
      </c>
      <c r="J431" s="9" t="str">
        <f t="shared" si="6"/>
        <v/>
      </c>
      <c r="K431" s="10" t="str">
        <f t="shared" si="0"/>
        <v/>
      </c>
      <c r="L431" s="10" t="str">
        <f t="shared" si="1"/>
        <v/>
      </c>
      <c r="M431" s="10" t="str">
        <f>IF(W431=1,IF(AND(U431&lt;2,INT(V431)&lt;='Batasan Honor'!$B$2),1,0),"")</f>
        <v/>
      </c>
      <c r="O431" s="10" t="str">
        <f t="shared" si="2"/>
        <v/>
      </c>
      <c r="P431" s="10" t="str">
        <f t="shared" si="3"/>
        <v/>
      </c>
      <c r="R431" s="23"/>
      <c r="S431" s="10" t="str">
        <f t="shared" si="4"/>
        <v/>
      </c>
      <c r="U431" s="10" t="str">
        <f ca="1">IFERROR(__xludf.DUMMYFUNCTION("if(W431=1,COUNTIFS(FILTER($H$2:$H905,$H$2:$H905=""OB"",$S$2:$S905=S431),""OB""),"""")"),"")</f>
        <v/>
      </c>
      <c r="V431" s="10" t="str">
        <f ca="1">IFERROR(__xludf.DUMMYFUNCTION("IF(OR(ISNA(SUM(FILTER($K$2:$K905,$A$2:$A905=A431,$S$2:$S905=S431,$H$2:$H905&lt;&gt;""OB""))),W431&lt;&gt;1),"""",SUM(FILTER($K$2:$K905,$A$2:$A905=A431,$S$2:$S905=S431,$H$2:$H905&lt;&gt;""OB"")))"),"")</f>
        <v/>
      </c>
      <c r="W431" s="10" t="str">
        <f t="shared" si="5"/>
        <v/>
      </c>
    </row>
    <row r="432" spans="1:23" ht="12.5">
      <c r="A432" s="23"/>
      <c r="B432" s="5" t="str">
        <f t="array" ref="B432">IF(W432=1,INDEX('Database Mitra'!$H$2:$H905,MATCH(A432,'Database Mitra'!AK$2:AK905,0)),"")</f>
        <v/>
      </c>
      <c r="C432" s="5" t="str">
        <f t="array" ref="C432">IF(W432=1,INDEX('Database Mitra'!$E$2:$E905,MATCH(A432,'Database Mitra'!AK$2:AK905,0)),"")</f>
        <v/>
      </c>
      <c r="D432" s="23"/>
      <c r="E432" s="5" t="str">
        <f t="array" ref="E432">IF(W432=1,INDEX('Input Kegiatan'!B$2:B905,MATCH($D432,'Input Kegiatan'!$A$2:$A905,0)),"")</f>
        <v/>
      </c>
      <c r="F432" s="5" t="str">
        <f t="array" ref="F432">IF(W432=1,INDEX('Input Kegiatan'!D$2:D905,MATCH($D432,'Input Kegiatan'!$A$2:$A905,0)),"")</f>
        <v/>
      </c>
      <c r="G432" s="5" t="str">
        <f t="array" ref="G432">IF(W432=1,INDEX('Input Kegiatan'!E$2:E905,MATCH($D432,'Input Kegiatan'!$A$2:$A905,0)),"")</f>
        <v/>
      </c>
      <c r="H432" s="5" t="str">
        <f t="array" ref="H432">IF(W432=1,INDEX(Honor!$H$2:$H905,MATCH($D432&amp;"-"&amp;R432,Honor!$K$2:$K905,0)),"")</f>
        <v/>
      </c>
      <c r="I432" s="8" t="str">
        <f>IF(W432=1,SUMIFS(Honor!$I$2:$I905,Honor!$K$2:$K905,$D432&amp;"-"&amp;R432),"")</f>
        <v/>
      </c>
      <c r="J432" s="9" t="str">
        <f t="shared" si="6"/>
        <v/>
      </c>
      <c r="K432" s="10" t="str">
        <f t="shared" si="0"/>
        <v/>
      </c>
      <c r="L432" s="10" t="str">
        <f t="shared" si="1"/>
        <v/>
      </c>
      <c r="M432" s="10" t="str">
        <f>IF(W432=1,IF(AND(U432&lt;2,INT(V432)&lt;='Batasan Honor'!$B$2),1,0),"")</f>
        <v/>
      </c>
      <c r="O432" s="10" t="str">
        <f t="shared" si="2"/>
        <v/>
      </c>
      <c r="P432" s="10" t="str">
        <f t="shared" si="3"/>
        <v/>
      </c>
      <c r="R432" s="23"/>
      <c r="S432" s="10" t="str">
        <f t="shared" si="4"/>
        <v/>
      </c>
      <c r="U432" s="10" t="str">
        <f ca="1">IFERROR(__xludf.DUMMYFUNCTION("if(W432=1,COUNTIFS(FILTER($H$2:$H905,$H$2:$H905=""OB"",$S$2:$S905=S432),""OB""),"""")"),"")</f>
        <v/>
      </c>
      <c r="V432" s="10" t="str">
        <f ca="1">IFERROR(__xludf.DUMMYFUNCTION("IF(OR(ISNA(SUM(FILTER($K$2:$K905,$A$2:$A905=A432,$S$2:$S905=S432,$H$2:$H905&lt;&gt;""OB""))),W432&lt;&gt;1),"""",SUM(FILTER($K$2:$K905,$A$2:$A905=A432,$S$2:$S905=S432,$H$2:$H905&lt;&gt;""OB"")))"),"")</f>
        <v/>
      </c>
      <c r="W432" s="10" t="str">
        <f t="shared" si="5"/>
        <v/>
      </c>
    </row>
    <row r="433" spans="1:23" ht="12.5">
      <c r="A433" s="23"/>
      <c r="B433" s="5" t="str">
        <f t="array" ref="B433">IF(W433=1,INDEX('Database Mitra'!$H$2:$H905,MATCH(A433,'Database Mitra'!AK$2:AK905,0)),"")</f>
        <v/>
      </c>
      <c r="C433" s="5" t="str">
        <f t="array" ref="C433">IF(W433=1,INDEX('Database Mitra'!$E$2:$E905,MATCH(A433,'Database Mitra'!AK$2:AK905,0)),"")</f>
        <v/>
      </c>
      <c r="D433" s="23"/>
      <c r="E433" s="5" t="str">
        <f t="array" ref="E433">IF(W433=1,INDEX('Input Kegiatan'!B$2:B905,MATCH($D433,'Input Kegiatan'!$A$2:$A905,0)),"")</f>
        <v/>
      </c>
      <c r="F433" s="5" t="str">
        <f t="array" ref="F433">IF(W433=1,INDEX('Input Kegiatan'!D$2:D905,MATCH($D433,'Input Kegiatan'!$A$2:$A905,0)),"")</f>
        <v/>
      </c>
      <c r="G433" s="5" t="str">
        <f t="array" ref="G433">IF(W433=1,INDEX('Input Kegiatan'!E$2:E905,MATCH($D433,'Input Kegiatan'!$A$2:$A905,0)),"")</f>
        <v/>
      </c>
      <c r="H433" s="5" t="str">
        <f t="array" ref="H433">IF(W433=1,INDEX(Honor!$H$2:$H905,MATCH($D433&amp;"-"&amp;R433,Honor!$K$2:$K905,0)),"")</f>
        <v/>
      </c>
      <c r="I433" s="8" t="str">
        <f>IF(W433=1,SUMIFS(Honor!$I$2:$I905,Honor!$K$2:$K905,$D433&amp;"-"&amp;R433),"")</f>
        <v/>
      </c>
      <c r="J433" s="9" t="str">
        <f t="shared" si="6"/>
        <v/>
      </c>
      <c r="K433" s="10" t="str">
        <f t="shared" si="0"/>
        <v/>
      </c>
      <c r="L433" s="10" t="str">
        <f t="shared" si="1"/>
        <v/>
      </c>
      <c r="M433" s="10" t="str">
        <f>IF(W433=1,IF(AND(U433&lt;2,INT(V433)&lt;='Batasan Honor'!$B$2),1,0),"")</f>
        <v/>
      </c>
      <c r="O433" s="10" t="str">
        <f t="shared" si="2"/>
        <v/>
      </c>
      <c r="P433" s="10" t="str">
        <f t="shared" si="3"/>
        <v/>
      </c>
      <c r="R433" s="23"/>
      <c r="S433" s="10" t="str">
        <f t="shared" si="4"/>
        <v/>
      </c>
      <c r="U433" s="10" t="str">
        <f ca="1">IFERROR(__xludf.DUMMYFUNCTION("if(W433=1,COUNTIFS(FILTER($H$2:$H905,$H$2:$H905=""OB"",$S$2:$S905=S433),""OB""),"""")"),"")</f>
        <v/>
      </c>
      <c r="V433" s="10" t="str">
        <f ca="1">IFERROR(__xludf.DUMMYFUNCTION("IF(OR(ISNA(SUM(FILTER($K$2:$K905,$A$2:$A905=A433,$S$2:$S905=S433,$H$2:$H905&lt;&gt;""OB""))),W433&lt;&gt;1),"""",SUM(FILTER($K$2:$K905,$A$2:$A905=A433,$S$2:$S905=S433,$H$2:$H905&lt;&gt;""OB"")))"),"")</f>
        <v/>
      </c>
      <c r="W433" s="10" t="str">
        <f t="shared" si="5"/>
        <v/>
      </c>
    </row>
    <row r="434" spans="1:23" ht="12.5">
      <c r="A434" s="23"/>
      <c r="B434" s="5" t="str">
        <f t="array" ref="B434">IF(W434=1,INDEX('Database Mitra'!$H$2:$H905,MATCH(A434,'Database Mitra'!AK$2:AK905,0)),"")</f>
        <v/>
      </c>
      <c r="C434" s="5" t="str">
        <f t="array" ref="C434">IF(W434=1,INDEX('Database Mitra'!$E$2:$E905,MATCH(A434,'Database Mitra'!AK$2:AK905,0)),"")</f>
        <v/>
      </c>
      <c r="D434" s="23"/>
      <c r="E434" s="5" t="str">
        <f t="array" ref="E434">IF(W434=1,INDEX('Input Kegiatan'!B$2:B905,MATCH($D434,'Input Kegiatan'!$A$2:$A905,0)),"")</f>
        <v/>
      </c>
      <c r="F434" s="5" t="str">
        <f t="array" ref="F434">IF(W434=1,INDEX('Input Kegiatan'!D$2:D905,MATCH($D434,'Input Kegiatan'!$A$2:$A905,0)),"")</f>
        <v/>
      </c>
      <c r="G434" s="5" t="str">
        <f t="array" ref="G434">IF(W434=1,INDEX('Input Kegiatan'!E$2:E905,MATCH($D434,'Input Kegiatan'!$A$2:$A905,0)),"")</f>
        <v/>
      </c>
      <c r="H434" s="5" t="str">
        <f t="array" ref="H434">IF(W434=1,INDEX(Honor!$H$2:$H905,MATCH($D434&amp;"-"&amp;R434,Honor!$K$2:$K905,0)),"")</f>
        <v/>
      </c>
      <c r="I434" s="8" t="str">
        <f>IF(W434=1,SUMIFS(Honor!$I$2:$I905,Honor!$K$2:$K905,$D434&amp;"-"&amp;R434),"")</f>
        <v/>
      </c>
      <c r="J434" s="9" t="str">
        <f t="shared" si="6"/>
        <v/>
      </c>
      <c r="K434" s="10" t="str">
        <f t="shared" si="0"/>
        <v/>
      </c>
      <c r="L434" s="10" t="str">
        <f t="shared" si="1"/>
        <v/>
      </c>
      <c r="M434" s="10" t="str">
        <f>IF(W434=1,IF(AND(U434&lt;2,INT(V434)&lt;='Batasan Honor'!$B$2),1,0),"")</f>
        <v/>
      </c>
      <c r="O434" s="10" t="str">
        <f t="shared" si="2"/>
        <v/>
      </c>
      <c r="P434" s="10" t="str">
        <f t="shared" si="3"/>
        <v/>
      </c>
      <c r="R434" s="23"/>
      <c r="S434" s="10" t="str">
        <f t="shared" si="4"/>
        <v/>
      </c>
      <c r="U434" s="10" t="str">
        <f ca="1">IFERROR(__xludf.DUMMYFUNCTION("if(W434=1,COUNTIFS(FILTER($H$2:$H905,$H$2:$H905=""OB"",$S$2:$S905=S434),""OB""),"""")"),"")</f>
        <v/>
      </c>
      <c r="V434" s="10" t="str">
        <f ca="1">IFERROR(__xludf.DUMMYFUNCTION("IF(OR(ISNA(SUM(FILTER($K$2:$K905,$A$2:$A905=A434,$S$2:$S905=S434,$H$2:$H905&lt;&gt;""OB""))),W434&lt;&gt;1),"""",SUM(FILTER($K$2:$K905,$A$2:$A905=A434,$S$2:$S905=S434,$H$2:$H905&lt;&gt;""OB"")))"),"")</f>
        <v/>
      </c>
      <c r="W434" s="10" t="str">
        <f t="shared" si="5"/>
        <v/>
      </c>
    </row>
    <row r="435" spans="1:23" ht="12.5">
      <c r="A435" s="23"/>
      <c r="B435" s="5" t="str">
        <f t="array" ref="B435">IF(W435=1,INDEX('Database Mitra'!$H$2:$H905,MATCH(A435,'Database Mitra'!AK$2:AK905,0)),"")</f>
        <v/>
      </c>
      <c r="C435" s="5" t="str">
        <f t="array" ref="C435">IF(W435=1,INDEX('Database Mitra'!$E$2:$E905,MATCH(A435,'Database Mitra'!AK$2:AK905,0)),"")</f>
        <v/>
      </c>
      <c r="D435" s="23"/>
      <c r="E435" s="5" t="str">
        <f t="array" ref="E435">IF(W435=1,INDEX('Input Kegiatan'!B$2:B905,MATCH($D435,'Input Kegiatan'!$A$2:$A905,0)),"")</f>
        <v/>
      </c>
      <c r="F435" s="5" t="str">
        <f t="array" ref="F435">IF(W435=1,INDEX('Input Kegiatan'!D$2:D905,MATCH($D435,'Input Kegiatan'!$A$2:$A905,0)),"")</f>
        <v/>
      </c>
      <c r="G435" s="5" t="str">
        <f t="array" ref="G435">IF(W435=1,INDEX('Input Kegiatan'!E$2:E905,MATCH($D435,'Input Kegiatan'!$A$2:$A905,0)),"")</f>
        <v/>
      </c>
      <c r="H435" s="5" t="str">
        <f t="array" ref="H435">IF(W435=1,INDEX(Honor!$H$2:$H905,MATCH($D435&amp;"-"&amp;R435,Honor!$K$2:$K905,0)),"")</f>
        <v/>
      </c>
      <c r="I435" s="8" t="str">
        <f>IF(W435=1,SUMIFS(Honor!$I$2:$I905,Honor!$K$2:$K905,$D435&amp;"-"&amp;R435),"")</f>
        <v/>
      </c>
      <c r="J435" s="9" t="str">
        <f t="shared" si="6"/>
        <v/>
      </c>
      <c r="K435" s="10" t="str">
        <f t="shared" si="0"/>
        <v/>
      </c>
      <c r="L435" s="10" t="str">
        <f t="shared" si="1"/>
        <v/>
      </c>
      <c r="M435" s="10" t="str">
        <f>IF(W435=1,IF(AND(U435&lt;2,INT(V435)&lt;='Batasan Honor'!$B$2),1,0),"")</f>
        <v/>
      </c>
      <c r="O435" s="10" t="str">
        <f t="shared" si="2"/>
        <v/>
      </c>
      <c r="P435" s="10" t="str">
        <f t="shared" si="3"/>
        <v/>
      </c>
      <c r="R435" s="23"/>
      <c r="S435" s="10" t="str">
        <f t="shared" si="4"/>
        <v/>
      </c>
      <c r="U435" s="10" t="str">
        <f ca="1">IFERROR(__xludf.DUMMYFUNCTION("if(W435=1,COUNTIFS(FILTER($H$2:$H905,$H$2:$H905=""OB"",$S$2:$S905=S435),""OB""),"""")"),"")</f>
        <v/>
      </c>
      <c r="V435" s="10" t="str">
        <f ca="1">IFERROR(__xludf.DUMMYFUNCTION("IF(OR(ISNA(SUM(FILTER($K$2:$K905,$A$2:$A905=A435,$S$2:$S905=S435,$H$2:$H905&lt;&gt;""OB""))),W435&lt;&gt;1),"""",SUM(FILTER($K$2:$K905,$A$2:$A905=A435,$S$2:$S905=S435,$H$2:$H905&lt;&gt;""OB"")))"),"")</f>
        <v/>
      </c>
      <c r="W435" s="10" t="str">
        <f t="shared" si="5"/>
        <v/>
      </c>
    </row>
    <row r="436" spans="1:23" ht="12.5">
      <c r="A436" s="23"/>
      <c r="B436" s="5" t="str">
        <f t="array" ref="B436">IF(W436=1,INDEX('Database Mitra'!$H$2:$H905,MATCH(A436,'Database Mitra'!AK$2:AK905,0)),"")</f>
        <v/>
      </c>
      <c r="C436" s="5" t="str">
        <f t="array" ref="C436">IF(W436=1,INDEX('Database Mitra'!$E$2:$E905,MATCH(A436,'Database Mitra'!AK$2:AK905,0)),"")</f>
        <v/>
      </c>
      <c r="D436" s="23"/>
      <c r="E436" s="5" t="str">
        <f t="array" ref="E436">IF(W436=1,INDEX('Input Kegiatan'!B$2:B905,MATCH($D436,'Input Kegiatan'!$A$2:$A905,0)),"")</f>
        <v/>
      </c>
      <c r="F436" s="5" t="str">
        <f t="array" ref="F436">IF(W436=1,INDEX('Input Kegiatan'!D$2:D905,MATCH($D436,'Input Kegiatan'!$A$2:$A905,0)),"")</f>
        <v/>
      </c>
      <c r="G436" s="5" t="str">
        <f t="array" ref="G436">IF(W436=1,INDEX('Input Kegiatan'!E$2:E905,MATCH($D436,'Input Kegiatan'!$A$2:$A905,0)),"")</f>
        <v/>
      </c>
      <c r="H436" s="5" t="str">
        <f t="array" ref="H436">IF(W436=1,INDEX(Honor!$H$2:$H905,MATCH($D436&amp;"-"&amp;R436,Honor!$K$2:$K905,0)),"")</f>
        <v/>
      </c>
      <c r="I436" s="8" t="str">
        <f>IF(W436=1,SUMIFS(Honor!$I$2:$I905,Honor!$K$2:$K905,$D436&amp;"-"&amp;R436),"")</f>
        <v/>
      </c>
      <c r="J436" s="9" t="str">
        <f t="shared" si="6"/>
        <v/>
      </c>
      <c r="K436" s="10" t="str">
        <f t="shared" si="0"/>
        <v/>
      </c>
      <c r="L436" s="10" t="str">
        <f t="shared" si="1"/>
        <v/>
      </c>
      <c r="M436" s="10" t="str">
        <f>IF(W436=1,IF(AND(U436&lt;2,INT(V436)&lt;='Batasan Honor'!$B$2),1,0),"")</f>
        <v/>
      </c>
      <c r="O436" s="10" t="str">
        <f t="shared" si="2"/>
        <v/>
      </c>
      <c r="P436" s="10" t="str">
        <f t="shared" si="3"/>
        <v/>
      </c>
      <c r="R436" s="23"/>
      <c r="S436" s="10" t="str">
        <f t="shared" si="4"/>
        <v/>
      </c>
      <c r="U436" s="10" t="str">
        <f ca="1">IFERROR(__xludf.DUMMYFUNCTION("if(W436=1,COUNTIFS(FILTER($H$2:$H905,$H$2:$H905=""OB"",$S$2:$S905=S436),""OB""),"""")"),"")</f>
        <v/>
      </c>
      <c r="V436" s="10" t="str">
        <f ca="1">IFERROR(__xludf.DUMMYFUNCTION("IF(OR(ISNA(SUM(FILTER($K$2:$K905,$A$2:$A905=A436,$S$2:$S905=S436,$H$2:$H905&lt;&gt;""OB""))),W436&lt;&gt;1),"""",SUM(FILTER($K$2:$K905,$A$2:$A905=A436,$S$2:$S905=S436,$H$2:$H905&lt;&gt;""OB"")))"),"")</f>
        <v/>
      </c>
      <c r="W436" s="10" t="str">
        <f t="shared" si="5"/>
        <v/>
      </c>
    </row>
    <row r="437" spans="1:23" ht="12.5">
      <c r="A437" s="23"/>
      <c r="B437" s="5" t="str">
        <f t="array" ref="B437">IF(W437=1,INDEX('Database Mitra'!$H$2:$H905,MATCH(A437,'Database Mitra'!AK$2:AK905,0)),"")</f>
        <v/>
      </c>
      <c r="C437" s="5" t="str">
        <f t="array" ref="C437">IF(W437=1,INDEX('Database Mitra'!$E$2:$E905,MATCH(A437,'Database Mitra'!AK$2:AK905,0)),"")</f>
        <v/>
      </c>
      <c r="D437" s="23"/>
      <c r="E437" s="5" t="str">
        <f t="array" ref="E437">IF(W437=1,INDEX('Input Kegiatan'!B$2:B905,MATCH($D437,'Input Kegiatan'!$A$2:$A905,0)),"")</f>
        <v/>
      </c>
      <c r="F437" s="5" t="str">
        <f t="array" ref="F437">IF(W437=1,INDEX('Input Kegiatan'!D$2:D905,MATCH($D437,'Input Kegiatan'!$A$2:$A905,0)),"")</f>
        <v/>
      </c>
      <c r="G437" s="5" t="str">
        <f t="array" ref="G437">IF(W437=1,INDEX('Input Kegiatan'!E$2:E905,MATCH($D437,'Input Kegiatan'!$A$2:$A905,0)),"")</f>
        <v/>
      </c>
      <c r="H437" s="5" t="str">
        <f t="array" ref="H437">IF(W437=1,INDEX(Honor!$H$2:$H905,MATCH($D437&amp;"-"&amp;R437,Honor!$K$2:$K905,0)),"")</f>
        <v/>
      </c>
      <c r="I437" s="8" t="str">
        <f>IF(W437=1,SUMIFS(Honor!$I$2:$I905,Honor!$K$2:$K905,$D437&amp;"-"&amp;R437),"")</f>
        <v/>
      </c>
      <c r="J437" s="9" t="str">
        <f t="shared" si="6"/>
        <v/>
      </c>
      <c r="K437" s="10" t="str">
        <f t="shared" si="0"/>
        <v/>
      </c>
      <c r="L437" s="10" t="str">
        <f t="shared" si="1"/>
        <v/>
      </c>
      <c r="M437" s="10" t="str">
        <f>IF(W437=1,IF(AND(U437&lt;2,INT(V437)&lt;='Batasan Honor'!$B$2),1,0),"")</f>
        <v/>
      </c>
      <c r="O437" s="10" t="str">
        <f t="shared" si="2"/>
        <v/>
      </c>
      <c r="P437" s="10" t="str">
        <f t="shared" si="3"/>
        <v/>
      </c>
      <c r="R437" s="23"/>
      <c r="S437" s="10" t="str">
        <f t="shared" si="4"/>
        <v/>
      </c>
      <c r="U437" s="10" t="str">
        <f ca="1">IFERROR(__xludf.DUMMYFUNCTION("if(W437=1,COUNTIFS(FILTER($H$2:$H905,$H$2:$H905=""OB"",$S$2:$S905=S437),""OB""),"""")"),"")</f>
        <v/>
      </c>
      <c r="V437" s="10" t="str">
        <f ca="1">IFERROR(__xludf.DUMMYFUNCTION("IF(OR(ISNA(SUM(FILTER($K$2:$K905,$A$2:$A905=A437,$S$2:$S905=S437,$H$2:$H905&lt;&gt;""OB""))),W437&lt;&gt;1),"""",SUM(FILTER($K$2:$K905,$A$2:$A905=A437,$S$2:$S905=S437,$H$2:$H905&lt;&gt;""OB"")))"),"")</f>
        <v/>
      </c>
      <c r="W437" s="10" t="str">
        <f t="shared" si="5"/>
        <v/>
      </c>
    </row>
    <row r="438" spans="1:23" ht="12.5">
      <c r="A438" s="23"/>
      <c r="B438" s="5" t="str">
        <f t="array" ref="B438">IF(W438=1,INDEX('Database Mitra'!$H$2:$H905,MATCH(A438,'Database Mitra'!AK$2:AK905,0)),"")</f>
        <v/>
      </c>
      <c r="C438" s="5" t="str">
        <f t="array" ref="C438">IF(W438=1,INDEX('Database Mitra'!$E$2:$E905,MATCH(A438,'Database Mitra'!AK$2:AK905,0)),"")</f>
        <v/>
      </c>
      <c r="D438" s="23"/>
      <c r="E438" s="5" t="str">
        <f t="array" ref="E438">IF(W438=1,INDEX('Input Kegiatan'!B$2:B905,MATCH($D438,'Input Kegiatan'!$A$2:$A905,0)),"")</f>
        <v/>
      </c>
      <c r="F438" s="5" t="str">
        <f t="array" ref="F438">IF(W438=1,INDEX('Input Kegiatan'!D$2:D905,MATCH($D438,'Input Kegiatan'!$A$2:$A905,0)),"")</f>
        <v/>
      </c>
      <c r="G438" s="5" t="str">
        <f t="array" ref="G438">IF(W438=1,INDEX('Input Kegiatan'!E$2:E905,MATCH($D438,'Input Kegiatan'!$A$2:$A905,0)),"")</f>
        <v/>
      </c>
      <c r="H438" s="5" t="str">
        <f t="array" ref="H438">IF(W438=1,INDEX(Honor!$H$2:$H905,MATCH($D438&amp;"-"&amp;R438,Honor!$K$2:$K905,0)),"")</f>
        <v/>
      </c>
      <c r="I438" s="8" t="str">
        <f>IF(W438=1,SUMIFS(Honor!$I$2:$I905,Honor!$K$2:$K905,$D438&amp;"-"&amp;R438),"")</f>
        <v/>
      </c>
      <c r="J438" s="9" t="str">
        <f t="shared" si="6"/>
        <v/>
      </c>
      <c r="K438" s="10" t="str">
        <f t="shared" si="0"/>
        <v/>
      </c>
      <c r="L438" s="10" t="str">
        <f t="shared" si="1"/>
        <v/>
      </c>
      <c r="M438" s="10" t="str">
        <f>IF(W438=1,IF(AND(U438&lt;2,INT(V438)&lt;='Batasan Honor'!$B$2),1,0),"")</f>
        <v/>
      </c>
      <c r="O438" s="10" t="str">
        <f t="shared" si="2"/>
        <v/>
      </c>
      <c r="P438" s="10" t="str">
        <f t="shared" si="3"/>
        <v/>
      </c>
      <c r="R438" s="23"/>
      <c r="S438" s="10" t="str">
        <f t="shared" si="4"/>
        <v/>
      </c>
      <c r="U438" s="10" t="str">
        <f ca="1">IFERROR(__xludf.DUMMYFUNCTION("if(W438=1,COUNTIFS(FILTER($H$2:$H905,$H$2:$H905=""OB"",$S$2:$S905=S438),""OB""),"""")"),"")</f>
        <v/>
      </c>
      <c r="V438" s="10" t="str">
        <f ca="1">IFERROR(__xludf.DUMMYFUNCTION("IF(OR(ISNA(SUM(FILTER($K$2:$K905,$A$2:$A905=A438,$S$2:$S905=S438,$H$2:$H905&lt;&gt;""OB""))),W438&lt;&gt;1),"""",SUM(FILTER($K$2:$K905,$A$2:$A905=A438,$S$2:$S905=S438,$H$2:$H905&lt;&gt;""OB"")))"),"")</f>
        <v/>
      </c>
      <c r="W438" s="10" t="str">
        <f t="shared" si="5"/>
        <v/>
      </c>
    </row>
    <row r="439" spans="1:23" ht="12.5">
      <c r="A439" s="23"/>
      <c r="B439" s="5" t="str">
        <f t="array" ref="B439">IF(W439=1,INDEX('Database Mitra'!$H$2:$H905,MATCH(A439,'Database Mitra'!AK$2:AK905,0)),"")</f>
        <v/>
      </c>
      <c r="C439" s="5" t="str">
        <f t="array" ref="C439">IF(W439=1,INDEX('Database Mitra'!$E$2:$E905,MATCH(A439,'Database Mitra'!AK$2:AK905,0)),"")</f>
        <v/>
      </c>
      <c r="D439" s="23"/>
      <c r="E439" s="5" t="str">
        <f t="array" ref="E439">IF(W439=1,INDEX('Input Kegiatan'!B$2:B905,MATCH($D439,'Input Kegiatan'!$A$2:$A905,0)),"")</f>
        <v/>
      </c>
      <c r="F439" s="5" t="str">
        <f t="array" ref="F439">IF(W439=1,INDEX('Input Kegiatan'!D$2:D905,MATCH($D439,'Input Kegiatan'!$A$2:$A905,0)),"")</f>
        <v/>
      </c>
      <c r="G439" s="5" t="str">
        <f t="array" ref="G439">IF(W439=1,INDEX('Input Kegiatan'!E$2:E905,MATCH($D439,'Input Kegiatan'!$A$2:$A905,0)),"")</f>
        <v/>
      </c>
      <c r="H439" s="5" t="str">
        <f t="array" ref="H439">IF(W439=1,INDEX(Honor!$H$2:$H905,MATCH($D439&amp;"-"&amp;R439,Honor!$K$2:$K905,0)),"")</f>
        <v/>
      </c>
      <c r="I439" s="8" t="str">
        <f>IF(W439=1,SUMIFS(Honor!$I$2:$I905,Honor!$K$2:$K905,$D439&amp;"-"&amp;R439),"")</f>
        <v/>
      </c>
      <c r="J439" s="9" t="str">
        <f t="shared" si="6"/>
        <v/>
      </c>
      <c r="K439" s="10" t="str">
        <f t="shared" si="0"/>
        <v/>
      </c>
      <c r="L439" s="10" t="str">
        <f t="shared" si="1"/>
        <v/>
      </c>
      <c r="M439" s="10" t="str">
        <f>IF(W439=1,IF(AND(U439&lt;2,INT(V439)&lt;='Batasan Honor'!$B$2),1,0),"")</f>
        <v/>
      </c>
      <c r="O439" s="10" t="str">
        <f t="shared" si="2"/>
        <v/>
      </c>
      <c r="P439" s="10" t="str">
        <f t="shared" si="3"/>
        <v/>
      </c>
      <c r="R439" s="23"/>
      <c r="S439" s="10" t="str">
        <f t="shared" si="4"/>
        <v/>
      </c>
      <c r="U439" s="10" t="str">
        <f ca="1">IFERROR(__xludf.DUMMYFUNCTION("if(W439=1,COUNTIFS(FILTER($H$2:$H905,$H$2:$H905=""OB"",$S$2:$S905=S439),""OB""),"""")"),"")</f>
        <v/>
      </c>
      <c r="V439" s="10" t="str">
        <f ca="1">IFERROR(__xludf.DUMMYFUNCTION("IF(OR(ISNA(SUM(FILTER($K$2:$K905,$A$2:$A905=A439,$S$2:$S905=S439,$H$2:$H905&lt;&gt;""OB""))),W439&lt;&gt;1),"""",SUM(FILTER($K$2:$K905,$A$2:$A905=A439,$S$2:$S905=S439,$H$2:$H905&lt;&gt;""OB"")))"),"")</f>
        <v/>
      </c>
      <c r="W439" s="10" t="str">
        <f t="shared" si="5"/>
        <v/>
      </c>
    </row>
    <row r="440" spans="1:23" ht="12.5">
      <c r="A440" s="23"/>
      <c r="B440" s="5" t="str">
        <f t="array" ref="B440">IF(W440=1,INDEX('Database Mitra'!$H$2:$H905,MATCH(A440,'Database Mitra'!AK$2:AK905,0)),"")</f>
        <v/>
      </c>
      <c r="C440" s="5" t="str">
        <f t="array" ref="C440">IF(W440=1,INDEX('Database Mitra'!$E$2:$E905,MATCH(A440,'Database Mitra'!AK$2:AK905,0)),"")</f>
        <v/>
      </c>
      <c r="D440" s="23"/>
      <c r="E440" s="5" t="str">
        <f t="array" ref="E440">IF(W440=1,INDEX('Input Kegiatan'!B$2:B905,MATCH($D440,'Input Kegiatan'!$A$2:$A905,0)),"")</f>
        <v/>
      </c>
      <c r="F440" s="5" t="str">
        <f t="array" ref="F440">IF(W440=1,INDEX('Input Kegiatan'!D$2:D905,MATCH($D440,'Input Kegiatan'!$A$2:$A905,0)),"")</f>
        <v/>
      </c>
      <c r="G440" s="5" t="str">
        <f t="array" ref="G440">IF(W440=1,INDEX('Input Kegiatan'!E$2:E905,MATCH($D440,'Input Kegiatan'!$A$2:$A905,0)),"")</f>
        <v/>
      </c>
      <c r="H440" s="5" t="str">
        <f t="array" ref="H440">IF(W440=1,INDEX(Honor!$H$2:$H905,MATCH($D440&amp;"-"&amp;R440,Honor!$K$2:$K905,0)),"")</f>
        <v/>
      </c>
      <c r="I440" s="8" t="str">
        <f>IF(W440=1,SUMIFS(Honor!$I$2:$I905,Honor!$K$2:$K905,$D440&amp;"-"&amp;R440),"")</f>
        <v/>
      </c>
      <c r="J440" s="9" t="str">
        <f t="shared" si="6"/>
        <v/>
      </c>
      <c r="K440" s="10" t="str">
        <f t="shared" si="0"/>
        <v/>
      </c>
      <c r="L440" s="10" t="str">
        <f t="shared" si="1"/>
        <v/>
      </c>
      <c r="M440" s="10" t="str">
        <f>IF(W440=1,IF(AND(U440&lt;2,INT(V440)&lt;='Batasan Honor'!$B$2),1,0),"")</f>
        <v/>
      </c>
      <c r="O440" s="10" t="str">
        <f t="shared" si="2"/>
        <v/>
      </c>
      <c r="P440" s="10" t="str">
        <f t="shared" si="3"/>
        <v/>
      </c>
      <c r="R440" s="23"/>
      <c r="S440" s="10" t="str">
        <f t="shared" si="4"/>
        <v/>
      </c>
      <c r="U440" s="10" t="str">
        <f ca="1">IFERROR(__xludf.DUMMYFUNCTION("if(W440=1,COUNTIFS(FILTER($H$2:$H905,$H$2:$H905=""OB"",$S$2:$S905=S440),""OB""),"""")"),"")</f>
        <v/>
      </c>
      <c r="V440" s="10" t="str">
        <f ca="1">IFERROR(__xludf.DUMMYFUNCTION("IF(OR(ISNA(SUM(FILTER($K$2:$K905,$A$2:$A905=A440,$S$2:$S905=S440,$H$2:$H905&lt;&gt;""OB""))),W440&lt;&gt;1),"""",SUM(FILTER($K$2:$K905,$A$2:$A905=A440,$S$2:$S905=S440,$H$2:$H905&lt;&gt;""OB"")))"),"")</f>
        <v/>
      </c>
      <c r="W440" s="10" t="str">
        <f t="shared" si="5"/>
        <v/>
      </c>
    </row>
    <row r="441" spans="1:23" ht="12.5">
      <c r="A441" s="23"/>
      <c r="B441" s="5" t="str">
        <f t="array" ref="B441">IF(W441=1,INDEX('Database Mitra'!$H$2:$H905,MATCH(A441,'Database Mitra'!AK$2:AK905,0)),"")</f>
        <v/>
      </c>
      <c r="C441" s="5" t="str">
        <f t="array" ref="C441">IF(W441=1,INDEX('Database Mitra'!$E$2:$E905,MATCH(A441,'Database Mitra'!AK$2:AK905,0)),"")</f>
        <v/>
      </c>
      <c r="D441" s="23"/>
      <c r="E441" s="5" t="str">
        <f t="array" ref="E441">IF(W441=1,INDEX('Input Kegiatan'!B$2:B905,MATCH($D441,'Input Kegiatan'!$A$2:$A905,0)),"")</f>
        <v/>
      </c>
      <c r="F441" s="5" t="str">
        <f t="array" ref="F441">IF(W441=1,INDEX('Input Kegiatan'!D$2:D905,MATCH($D441,'Input Kegiatan'!$A$2:$A905,0)),"")</f>
        <v/>
      </c>
      <c r="G441" s="5" t="str">
        <f t="array" ref="G441">IF(W441=1,INDEX('Input Kegiatan'!E$2:E905,MATCH($D441,'Input Kegiatan'!$A$2:$A905,0)),"")</f>
        <v/>
      </c>
      <c r="H441" s="5" t="str">
        <f t="array" ref="H441">IF(W441=1,INDEX(Honor!$H$2:$H905,MATCH($D441&amp;"-"&amp;R441,Honor!$K$2:$K905,0)),"")</f>
        <v/>
      </c>
      <c r="I441" s="8" t="str">
        <f>IF(W441=1,SUMIFS(Honor!$I$2:$I905,Honor!$K$2:$K905,$D441&amp;"-"&amp;R441),"")</f>
        <v/>
      </c>
      <c r="J441" s="9" t="str">
        <f t="shared" si="6"/>
        <v/>
      </c>
      <c r="K441" s="10" t="str">
        <f t="shared" si="0"/>
        <v/>
      </c>
      <c r="L441" s="10" t="str">
        <f t="shared" si="1"/>
        <v/>
      </c>
      <c r="M441" s="10" t="str">
        <f>IF(W441=1,IF(AND(U441&lt;2,INT(V441)&lt;='Batasan Honor'!$B$2),1,0),"")</f>
        <v/>
      </c>
      <c r="O441" s="10" t="str">
        <f t="shared" si="2"/>
        <v/>
      </c>
      <c r="P441" s="10" t="str">
        <f t="shared" si="3"/>
        <v/>
      </c>
      <c r="R441" s="23"/>
      <c r="S441" s="10" t="str">
        <f t="shared" si="4"/>
        <v/>
      </c>
      <c r="U441" s="10" t="str">
        <f ca="1">IFERROR(__xludf.DUMMYFUNCTION("if(W441=1,COUNTIFS(FILTER($H$2:$H905,$H$2:$H905=""OB"",$S$2:$S905=S441),""OB""),"""")"),"")</f>
        <v/>
      </c>
      <c r="V441" s="10" t="str">
        <f ca="1">IFERROR(__xludf.DUMMYFUNCTION("IF(OR(ISNA(SUM(FILTER($K$2:$K905,$A$2:$A905=A441,$S$2:$S905=S441,$H$2:$H905&lt;&gt;""OB""))),W441&lt;&gt;1),"""",SUM(FILTER($K$2:$K905,$A$2:$A905=A441,$S$2:$S905=S441,$H$2:$H905&lt;&gt;""OB"")))"),"")</f>
        <v/>
      </c>
      <c r="W441" s="10" t="str">
        <f t="shared" si="5"/>
        <v/>
      </c>
    </row>
    <row r="442" spans="1:23" ht="12.5">
      <c r="A442" s="23"/>
      <c r="B442" s="5" t="str">
        <f t="array" ref="B442">IF(W442=1,INDEX('Database Mitra'!$H$2:$H905,MATCH(A442,'Database Mitra'!AK$2:AK905,0)),"")</f>
        <v/>
      </c>
      <c r="C442" s="5" t="str">
        <f t="array" ref="C442">IF(W442=1,INDEX('Database Mitra'!$E$2:$E905,MATCH(A442,'Database Mitra'!AK$2:AK905,0)),"")</f>
        <v/>
      </c>
      <c r="D442" s="23"/>
      <c r="E442" s="5" t="str">
        <f t="array" ref="E442">IF(W442=1,INDEX('Input Kegiatan'!B$2:B905,MATCH($D442,'Input Kegiatan'!$A$2:$A905,0)),"")</f>
        <v/>
      </c>
      <c r="F442" s="5" t="str">
        <f t="array" ref="F442">IF(W442=1,INDEX('Input Kegiatan'!D$2:D905,MATCH($D442,'Input Kegiatan'!$A$2:$A905,0)),"")</f>
        <v/>
      </c>
      <c r="G442" s="5" t="str">
        <f t="array" ref="G442">IF(W442=1,INDEX('Input Kegiatan'!E$2:E905,MATCH($D442,'Input Kegiatan'!$A$2:$A905,0)),"")</f>
        <v/>
      </c>
      <c r="H442" s="5" t="str">
        <f t="array" ref="H442">IF(W442=1,INDEX(Honor!$H$2:$H905,MATCH($D442&amp;"-"&amp;R442,Honor!$K$2:$K905,0)),"")</f>
        <v/>
      </c>
      <c r="I442" s="8" t="str">
        <f>IF(W442=1,SUMIFS(Honor!$I$2:$I905,Honor!$K$2:$K905,$D442&amp;"-"&amp;R442),"")</f>
        <v/>
      </c>
      <c r="J442" s="9" t="str">
        <f t="shared" si="6"/>
        <v/>
      </c>
      <c r="K442" s="10" t="str">
        <f t="shared" si="0"/>
        <v/>
      </c>
      <c r="L442" s="10" t="str">
        <f t="shared" si="1"/>
        <v/>
      </c>
      <c r="M442" s="10" t="str">
        <f>IF(W442=1,IF(AND(U442&lt;2,INT(V442)&lt;='Batasan Honor'!$B$2),1,0),"")</f>
        <v/>
      </c>
      <c r="O442" s="10" t="str">
        <f t="shared" si="2"/>
        <v/>
      </c>
      <c r="P442" s="10" t="str">
        <f t="shared" si="3"/>
        <v/>
      </c>
      <c r="R442" s="23"/>
      <c r="S442" s="10" t="str">
        <f t="shared" si="4"/>
        <v/>
      </c>
      <c r="U442" s="10" t="str">
        <f ca="1">IFERROR(__xludf.DUMMYFUNCTION("if(W442=1,COUNTIFS(FILTER($H$2:$H905,$H$2:$H905=""OB"",$S$2:$S905=S442),""OB""),"""")"),"")</f>
        <v/>
      </c>
      <c r="V442" s="10" t="str">
        <f ca="1">IFERROR(__xludf.DUMMYFUNCTION("IF(OR(ISNA(SUM(FILTER($K$2:$K905,$A$2:$A905=A442,$S$2:$S905=S442,$H$2:$H905&lt;&gt;""OB""))),W442&lt;&gt;1),"""",SUM(FILTER($K$2:$K905,$A$2:$A905=A442,$S$2:$S905=S442,$H$2:$H905&lt;&gt;""OB"")))"),"")</f>
        <v/>
      </c>
      <c r="W442" s="10" t="str">
        <f t="shared" si="5"/>
        <v/>
      </c>
    </row>
    <row r="443" spans="1:23" ht="12.5">
      <c r="A443" s="23"/>
      <c r="B443" s="5" t="str">
        <f t="array" ref="B443">IF(W443=1,INDEX('Database Mitra'!$H$2:$H905,MATCH(A443,'Database Mitra'!AK$2:AK905,0)),"")</f>
        <v/>
      </c>
      <c r="C443" s="5" t="str">
        <f t="array" ref="C443">IF(W443=1,INDEX('Database Mitra'!$E$2:$E905,MATCH(A443,'Database Mitra'!AK$2:AK905,0)),"")</f>
        <v/>
      </c>
      <c r="D443" s="23"/>
      <c r="E443" s="5" t="str">
        <f t="array" ref="E443">IF(W443=1,INDEX('Input Kegiatan'!B$2:B905,MATCH($D443,'Input Kegiatan'!$A$2:$A905,0)),"")</f>
        <v/>
      </c>
      <c r="F443" s="5" t="str">
        <f t="array" ref="F443">IF(W443=1,INDEX('Input Kegiatan'!D$2:D905,MATCH($D443,'Input Kegiatan'!$A$2:$A905,0)),"")</f>
        <v/>
      </c>
      <c r="G443" s="5" t="str">
        <f t="array" ref="G443">IF(W443=1,INDEX('Input Kegiatan'!E$2:E905,MATCH($D443,'Input Kegiatan'!$A$2:$A905,0)),"")</f>
        <v/>
      </c>
      <c r="H443" s="5" t="str">
        <f t="array" ref="H443">IF(W443=1,INDEX(Honor!$H$2:$H905,MATCH($D443&amp;"-"&amp;R443,Honor!$K$2:$K905,0)),"")</f>
        <v/>
      </c>
      <c r="I443" s="8" t="str">
        <f>IF(W443=1,SUMIFS(Honor!$I$2:$I905,Honor!$K$2:$K905,$D443&amp;"-"&amp;R443),"")</f>
        <v/>
      </c>
      <c r="J443" s="9" t="str">
        <f t="shared" si="6"/>
        <v/>
      </c>
      <c r="K443" s="10" t="str">
        <f t="shared" si="0"/>
        <v/>
      </c>
      <c r="L443" s="10" t="str">
        <f t="shared" si="1"/>
        <v/>
      </c>
      <c r="M443" s="10" t="str">
        <f>IF(W443=1,IF(AND(U443&lt;2,INT(V443)&lt;='Batasan Honor'!$B$2),1,0),"")</f>
        <v/>
      </c>
      <c r="O443" s="10" t="str">
        <f t="shared" si="2"/>
        <v/>
      </c>
      <c r="P443" s="10" t="str">
        <f t="shared" si="3"/>
        <v/>
      </c>
      <c r="R443" s="23"/>
      <c r="S443" s="10" t="str">
        <f t="shared" si="4"/>
        <v/>
      </c>
      <c r="U443" s="10" t="str">
        <f ca="1">IFERROR(__xludf.DUMMYFUNCTION("if(W443=1,COUNTIFS(FILTER($H$2:$H905,$H$2:$H905=""OB"",$S$2:$S905=S443),""OB""),"""")"),"")</f>
        <v/>
      </c>
      <c r="V443" s="10" t="str">
        <f ca="1">IFERROR(__xludf.DUMMYFUNCTION("IF(OR(ISNA(SUM(FILTER($K$2:$K905,$A$2:$A905=A443,$S$2:$S905=S443,$H$2:$H905&lt;&gt;""OB""))),W443&lt;&gt;1),"""",SUM(FILTER($K$2:$K905,$A$2:$A905=A443,$S$2:$S905=S443,$H$2:$H905&lt;&gt;""OB"")))"),"")</f>
        <v/>
      </c>
      <c r="W443" s="10" t="str">
        <f t="shared" si="5"/>
        <v/>
      </c>
    </row>
    <row r="444" spans="1:23" ht="12.5">
      <c r="A444" s="23"/>
      <c r="B444" s="5" t="str">
        <f t="array" ref="B444">IF(W444=1,INDEX('Database Mitra'!$H$2:$H905,MATCH(A444,'Database Mitra'!AK$2:AK905,0)),"")</f>
        <v/>
      </c>
      <c r="C444" s="5" t="str">
        <f t="array" ref="C444">IF(W444=1,INDEX('Database Mitra'!$E$2:$E905,MATCH(A444,'Database Mitra'!AK$2:AK905,0)),"")</f>
        <v/>
      </c>
      <c r="D444" s="23"/>
      <c r="E444" s="5" t="str">
        <f t="array" ref="E444">IF(W444=1,INDEX('Input Kegiatan'!B$2:B905,MATCH($D444,'Input Kegiatan'!$A$2:$A905,0)),"")</f>
        <v/>
      </c>
      <c r="F444" s="5" t="str">
        <f t="array" ref="F444">IF(W444=1,INDEX('Input Kegiatan'!D$2:D905,MATCH($D444,'Input Kegiatan'!$A$2:$A905,0)),"")</f>
        <v/>
      </c>
      <c r="G444" s="5" t="str">
        <f t="array" ref="G444">IF(W444=1,INDEX('Input Kegiatan'!E$2:E905,MATCH($D444,'Input Kegiatan'!$A$2:$A905,0)),"")</f>
        <v/>
      </c>
      <c r="H444" s="5" t="str">
        <f t="array" ref="H444">IF(W444=1,INDEX(Honor!$H$2:$H905,MATCH($D444&amp;"-"&amp;R444,Honor!$K$2:$K905,0)),"")</f>
        <v/>
      </c>
      <c r="I444" s="8" t="str">
        <f>IF(W444=1,SUMIFS(Honor!$I$2:$I905,Honor!$K$2:$K905,$D444&amp;"-"&amp;R444),"")</f>
        <v/>
      </c>
      <c r="J444" s="9" t="str">
        <f t="shared" si="6"/>
        <v/>
      </c>
      <c r="K444" s="10" t="str">
        <f t="shared" si="0"/>
        <v/>
      </c>
      <c r="L444" s="10" t="str">
        <f t="shared" si="1"/>
        <v/>
      </c>
      <c r="M444" s="10" t="str">
        <f>IF(W444=1,IF(AND(U444&lt;2,INT(V444)&lt;='Batasan Honor'!$B$2),1,0),"")</f>
        <v/>
      </c>
      <c r="O444" s="10" t="str">
        <f t="shared" si="2"/>
        <v/>
      </c>
      <c r="P444" s="10" t="str">
        <f t="shared" si="3"/>
        <v/>
      </c>
      <c r="R444" s="23"/>
      <c r="S444" s="10" t="str">
        <f t="shared" si="4"/>
        <v/>
      </c>
      <c r="U444" s="10" t="str">
        <f ca="1">IFERROR(__xludf.DUMMYFUNCTION("if(W444=1,COUNTIFS(FILTER($H$2:$H905,$H$2:$H905=""OB"",$S$2:$S905=S444),""OB""),"""")"),"")</f>
        <v/>
      </c>
      <c r="V444" s="10" t="str">
        <f ca="1">IFERROR(__xludf.DUMMYFUNCTION("IF(OR(ISNA(SUM(FILTER($K$2:$K905,$A$2:$A905=A444,$S$2:$S905=S444,$H$2:$H905&lt;&gt;""OB""))),W444&lt;&gt;1),"""",SUM(FILTER($K$2:$K905,$A$2:$A905=A444,$S$2:$S905=S444,$H$2:$H905&lt;&gt;""OB"")))"),"")</f>
        <v/>
      </c>
      <c r="W444" s="10" t="str">
        <f t="shared" si="5"/>
        <v/>
      </c>
    </row>
    <row r="445" spans="1:23" ht="12.5">
      <c r="A445" s="23"/>
      <c r="B445" s="5" t="str">
        <f t="array" ref="B445">IF(W445=1,INDEX('Database Mitra'!$H$2:$H905,MATCH(A445,'Database Mitra'!AK$2:AK905,0)),"")</f>
        <v/>
      </c>
      <c r="C445" s="5" t="str">
        <f t="array" ref="C445">IF(W445=1,INDEX('Database Mitra'!$E$2:$E905,MATCH(A445,'Database Mitra'!AK$2:AK905,0)),"")</f>
        <v/>
      </c>
      <c r="D445" s="23"/>
      <c r="E445" s="5" t="str">
        <f t="array" ref="E445">IF(W445=1,INDEX('Input Kegiatan'!B$2:B905,MATCH($D445,'Input Kegiatan'!$A$2:$A905,0)),"")</f>
        <v/>
      </c>
      <c r="F445" s="5" t="str">
        <f t="array" ref="F445">IF(W445=1,INDEX('Input Kegiatan'!D$2:D905,MATCH($D445,'Input Kegiatan'!$A$2:$A905,0)),"")</f>
        <v/>
      </c>
      <c r="G445" s="5" t="str">
        <f t="array" ref="G445">IF(W445=1,INDEX('Input Kegiatan'!E$2:E905,MATCH($D445,'Input Kegiatan'!$A$2:$A905,0)),"")</f>
        <v/>
      </c>
      <c r="H445" s="5" t="str">
        <f t="array" ref="H445">IF(W445=1,INDEX(Honor!$H$2:$H905,MATCH($D445&amp;"-"&amp;R445,Honor!$K$2:$K905,0)),"")</f>
        <v/>
      </c>
      <c r="I445" s="8" t="str">
        <f>IF(W445=1,SUMIFS(Honor!$I$2:$I905,Honor!$K$2:$K905,$D445&amp;"-"&amp;R445),"")</f>
        <v/>
      </c>
      <c r="J445" s="9" t="str">
        <f t="shared" si="6"/>
        <v/>
      </c>
      <c r="K445" s="10" t="str">
        <f t="shared" si="0"/>
        <v/>
      </c>
      <c r="L445" s="10" t="str">
        <f t="shared" si="1"/>
        <v/>
      </c>
      <c r="M445" s="10" t="str">
        <f>IF(W445=1,IF(AND(U445&lt;2,INT(V445)&lt;='Batasan Honor'!$B$2),1,0),"")</f>
        <v/>
      </c>
      <c r="O445" s="10" t="str">
        <f t="shared" si="2"/>
        <v/>
      </c>
      <c r="P445" s="10" t="str">
        <f t="shared" si="3"/>
        <v/>
      </c>
      <c r="R445" s="23"/>
      <c r="S445" s="10" t="str">
        <f t="shared" si="4"/>
        <v/>
      </c>
      <c r="U445" s="10" t="str">
        <f ca="1">IFERROR(__xludf.DUMMYFUNCTION("if(W445=1,COUNTIFS(FILTER($H$2:$H905,$H$2:$H905=""OB"",$S$2:$S905=S445),""OB""),"""")"),"")</f>
        <v/>
      </c>
      <c r="V445" s="10" t="str">
        <f ca="1">IFERROR(__xludf.DUMMYFUNCTION("IF(OR(ISNA(SUM(FILTER($K$2:$K905,$A$2:$A905=A445,$S$2:$S905=S445,$H$2:$H905&lt;&gt;""OB""))),W445&lt;&gt;1),"""",SUM(FILTER($K$2:$K905,$A$2:$A905=A445,$S$2:$S905=S445,$H$2:$H905&lt;&gt;""OB"")))"),"")</f>
        <v/>
      </c>
      <c r="W445" s="10" t="str">
        <f t="shared" si="5"/>
        <v/>
      </c>
    </row>
    <row r="446" spans="1:23" ht="12.5">
      <c r="A446" s="23"/>
      <c r="B446" s="5" t="str">
        <f t="array" ref="B446">IF(W446=1,INDEX('Database Mitra'!$H$2:$H905,MATCH(A446,'Database Mitra'!AK$2:AK905,0)),"")</f>
        <v/>
      </c>
      <c r="C446" s="5" t="str">
        <f t="array" ref="C446">IF(W446=1,INDEX('Database Mitra'!$E$2:$E905,MATCH(A446,'Database Mitra'!AK$2:AK905,0)),"")</f>
        <v/>
      </c>
      <c r="D446" s="23"/>
      <c r="E446" s="5" t="str">
        <f t="array" ref="E446">IF(W446=1,INDEX('Input Kegiatan'!B$2:B905,MATCH($D446,'Input Kegiatan'!$A$2:$A905,0)),"")</f>
        <v/>
      </c>
      <c r="F446" s="5" t="str">
        <f t="array" ref="F446">IF(W446=1,INDEX('Input Kegiatan'!D$2:D905,MATCH($D446,'Input Kegiatan'!$A$2:$A905,0)),"")</f>
        <v/>
      </c>
      <c r="G446" s="5" t="str">
        <f t="array" ref="G446">IF(W446=1,INDEX('Input Kegiatan'!E$2:E905,MATCH($D446,'Input Kegiatan'!$A$2:$A905,0)),"")</f>
        <v/>
      </c>
      <c r="H446" s="5" t="str">
        <f t="array" ref="H446">IF(W446=1,INDEX(Honor!$H$2:$H905,MATCH($D446&amp;"-"&amp;R446,Honor!$K$2:$K905,0)),"")</f>
        <v/>
      </c>
      <c r="I446" s="8" t="str">
        <f>IF(W446=1,SUMIFS(Honor!$I$2:$I905,Honor!$K$2:$K905,$D446&amp;"-"&amp;R446),"")</f>
        <v/>
      </c>
      <c r="J446" s="9" t="str">
        <f t="shared" si="6"/>
        <v/>
      </c>
      <c r="K446" s="10" t="str">
        <f t="shared" si="0"/>
        <v/>
      </c>
      <c r="L446" s="10" t="str">
        <f t="shared" si="1"/>
        <v/>
      </c>
      <c r="M446" s="10" t="str">
        <f>IF(W446=1,IF(AND(U446&lt;2,INT(V446)&lt;='Batasan Honor'!$B$2),1,0),"")</f>
        <v/>
      </c>
      <c r="O446" s="10" t="str">
        <f t="shared" si="2"/>
        <v/>
      </c>
      <c r="P446" s="10" t="str">
        <f t="shared" si="3"/>
        <v/>
      </c>
      <c r="R446" s="23"/>
      <c r="S446" s="10" t="str">
        <f t="shared" si="4"/>
        <v/>
      </c>
      <c r="U446" s="10" t="str">
        <f ca="1">IFERROR(__xludf.DUMMYFUNCTION("if(W446=1,COUNTIFS(FILTER($H$2:$H905,$H$2:$H905=""OB"",$S$2:$S905=S446),""OB""),"""")"),"")</f>
        <v/>
      </c>
      <c r="V446" s="10" t="str">
        <f ca="1">IFERROR(__xludf.DUMMYFUNCTION("IF(OR(ISNA(SUM(FILTER($K$2:$K905,$A$2:$A905=A446,$S$2:$S905=S446,$H$2:$H905&lt;&gt;""OB""))),W446&lt;&gt;1),"""",SUM(FILTER($K$2:$K905,$A$2:$A905=A446,$S$2:$S905=S446,$H$2:$H905&lt;&gt;""OB"")))"),"")</f>
        <v/>
      </c>
      <c r="W446" s="10" t="str">
        <f t="shared" si="5"/>
        <v/>
      </c>
    </row>
    <row r="447" spans="1:23" ht="12.5">
      <c r="A447" s="23"/>
      <c r="B447" s="5" t="str">
        <f t="array" ref="B447">IF(W447=1,INDEX('Database Mitra'!$H$2:$H905,MATCH(A447,'Database Mitra'!AK$2:AK905,0)),"")</f>
        <v/>
      </c>
      <c r="C447" s="5" t="str">
        <f t="array" ref="C447">IF(W447=1,INDEX('Database Mitra'!$E$2:$E905,MATCH(A447,'Database Mitra'!AK$2:AK905,0)),"")</f>
        <v/>
      </c>
      <c r="D447" s="23"/>
      <c r="E447" s="5" t="str">
        <f t="array" ref="E447">IF(W447=1,INDEX('Input Kegiatan'!B$2:B905,MATCH($D447,'Input Kegiatan'!$A$2:$A905,0)),"")</f>
        <v/>
      </c>
      <c r="F447" s="5" t="str">
        <f t="array" ref="F447">IF(W447=1,INDEX('Input Kegiatan'!D$2:D905,MATCH($D447,'Input Kegiatan'!$A$2:$A905,0)),"")</f>
        <v/>
      </c>
      <c r="G447" s="5" t="str">
        <f t="array" ref="G447">IF(W447=1,INDEX('Input Kegiatan'!E$2:E905,MATCH($D447,'Input Kegiatan'!$A$2:$A905,0)),"")</f>
        <v/>
      </c>
      <c r="H447" s="5" t="str">
        <f t="array" ref="H447">IF(W447=1,INDEX(Honor!$H$2:$H905,MATCH($D447&amp;"-"&amp;R447,Honor!$K$2:$K905,0)),"")</f>
        <v/>
      </c>
      <c r="I447" s="8" t="str">
        <f>IF(W447=1,SUMIFS(Honor!$I$2:$I905,Honor!$K$2:$K905,$D447&amp;"-"&amp;R447),"")</f>
        <v/>
      </c>
      <c r="J447" s="9" t="str">
        <f t="shared" si="6"/>
        <v/>
      </c>
      <c r="K447" s="10" t="str">
        <f t="shared" si="0"/>
        <v/>
      </c>
      <c r="L447" s="10" t="str">
        <f t="shared" si="1"/>
        <v/>
      </c>
      <c r="M447" s="10" t="str">
        <f>IF(W447=1,IF(AND(U447&lt;2,INT(V447)&lt;='Batasan Honor'!$B$2),1,0),"")</f>
        <v/>
      </c>
      <c r="O447" s="10" t="str">
        <f t="shared" si="2"/>
        <v/>
      </c>
      <c r="P447" s="10" t="str">
        <f t="shared" si="3"/>
        <v/>
      </c>
      <c r="R447" s="23"/>
      <c r="S447" s="10" t="str">
        <f t="shared" si="4"/>
        <v/>
      </c>
      <c r="U447" s="10" t="str">
        <f ca="1">IFERROR(__xludf.DUMMYFUNCTION("if(W447=1,COUNTIFS(FILTER($H$2:$H905,$H$2:$H905=""OB"",$S$2:$S905=S447),""OB""),"""")"),"")</f>
        <v/>
      </c>
      <c r="V447" s="10" t="str">
        <f ca="1">IFERROR(__xludf.DUMMYFUNCTION("IF(OR(ISNA(SUM(FILTER($K$2:$K905,$A$2:$A905=A447,$S$2:$S905=S447,$H$2:$H905&lt;&gt;""OB""))),W447&lt;&gt;1),"""",SUM(FILTER($K$2:$K905,$A$2:$A905=A447,$S$2:$S905=S447,$H$2:$H905&lt;&gt;""OB"")))"),"")</f>
        <v/>
      </c>
      <c r="W447" s="10" t="str">
        <f t="shared" si="5"/>
        <v/>
      </c>
    </row>
    <row r="448" spans="1:23" ht="12.5">
      <c r="A448" s="23"/>
      <c r="B448" s="5" t="str">
        <f t="array" ref="B448">IF(W448=1,INDEX('Database Mitra'!$H$2:$H905,MATCH(A448,'Database Mitra'!AK$2:AK905,0)),"")</f>
        <v/>
      </c>
      <c r="C448" s="5" t="str">
        <f t="array" ref="C448">IF(W448=1,INDEX('Database Mitra'!$E$2:$E905,MATCH(A448,'Database Mitra'!AK$2:AK905,0)),"")</f>
        <v/>
      </c>
      <c r="D448" s="23"/>
      <c r="E448" s="5" t="str">
        <f t="array" ref="E448">IF(W448=1,INDEX('Input Kegiatan'!B$2:B905,MATCH($D448,'Input Kegiatan'!$A$2:$A905,0)),"")</f>
        <v/>
      </c>
      <c r="F448" s="5" t="str">
        <f t="array" ref="F448">IF(W448=1,INDEX('Input Kegiatan'!D$2:D905,MATCH($D448,'Input Kegiatan'!$A$2:$A905,0)),"")</f>
        <v/>
      </c>
      <c r="G448" s="5" t="str">
        <f t="array" ref="G448">IF(W448=1,INDEX('Input Kegiatan'!E$2:E905,MATCH($D448,'Input Kegiatan'!$A$2:$A905,0)),"")</f>
        <v/>
      </c>
      <c r="H448" s="5" t="str">
        <f t="array" ref="H448">IF(W448=1,INDEX(Honor!$H$2:$H905,MATCH($D448&amp;"-"&amp;R448,Honor!$K$2:$K905,0)),"")</f>
        <v/>
      </c>
      <c r="I448" s="8" t="str">
        <f>IF(W448=1,SUMIFS(Honor!$I$2:$I905,Honor!$K$2:$K905,$D448&amp;"-"&amp;R448),"")</f>
        <v/>
      </c>
      <c r="J448" s="9" t="str">
        <f t="shared" si="6"/>
        <v/>
      </c>
      <c r="K448" s="10" t="str">
        <f t="shared" si="0"/>
        <v/>
      </c>
      <c r="L448" s="10" t="str">
        <f t="shared" si="1"/>
        <v/>
      </c>
      <c r="M448" s="10" t="str">
        <f>IF(W448=1,IF(AND(U448&lt;2,INT(V448)&lt;='Batasan Honor'!$B$2),1,0),"")</f>
        <v/>
      </c>
      <c r="O448" s="10" t="str">
        <f t="shared" si="2"/>
        <v/>
      </c>
      <c r="P448" s="10" t="str">
        <f t="shared" si="3"/>
        <v/>
      </c>
      <c r="R448" s="23"/>
      <c r="S448" s="10" t="str">
        <f t="shared" si="4"/>
        <v/>
      </c>
      <c r="U448" s="10" t="str">
        <f ca="1">IFERROR(__xludf.DUMMYFUNCTION("if(W448=1,COUNTIFS(FILTER($H$2:$H905,$H$2:$H905=""OB"",$S$2:$S905=S448),""OB""),"""")"),"")</f>
        <v/>
      </c>
      <c r="V448" s="10" t="str">
        <f ca="1">IFERROR(__xludf.DUMMYFUNCTION("IF(OR(ISNA(SUM(FILTER($K$2:$K905,$A$2:$A905=A448,$S$2:$S905=S448,$H$2:$H905&lt;&gt;""OB""))),W448&lt;&gt;1),"""",SUM(FILTER($K$2:$K905,$A$2:$A905=A448,$S$2:$S905=S448,$H$2:$H905&lt;&gt;""OB"")))"),"")</f>
        <v/>
      </c>
      <c r="W448" s="10" t="str">
        <f t="shared" si="5"/>
        <v/>
      </c>
    </row>
    <row r="449" spans="1:23" ht="12.5">
      <c r="A449" s="23"/>
      <c r="B449" s="5" t="str">
        <f t="array" ref="B449">IF(W449=1,INDEX('Database Mitra'!$H$2:$H905,MATCH(A449,'Database Mitra'!AK$2:AK905,0)),"")</f>
        <v/>
      </c>
      <c r="C449" s="5" t="str">
        <f t="array" ref="C449">IF(W449=1,INDEX('Database Mitra'!$E$2:$E905,MATCH(A449,'Database Mitra'!AK$2:AK905,0)),"")</f>
        <v/>
      </c>
      <c r="D449" s="23"/>
      <c r="E449" s="5" t="str">
        <f t="array" ref="E449">IF(W449=1,INDEX('Input Kegiatan'!B$2:B905,MATCH($D449,'Input Kegiatan'!$A$2:$A905,0)),"")</f>
        <v/>
      </c>
      <c r="F449" s="5" t="str">
        <f t="array" ref="F449">IF(W449=1,INDEX('Input Kegiatan'!D$2:D905,MATCH($D449,'Input Kegiatan'!$A$2:$A905,0)),"")</f>
        <v/>
      </c>
      <c r="G449" s="5" t="str">
        <f t="array" ref="G449">IF(W449=1,INDEX('Input Kegiatan'!E$2:E905,MATCH($D449,'Input Kegiatan'!$A$2:$A905,0)),"")</f>
        <v/>
      </c>
      <c r="H449" s="5" t="str">
        <f t="array" ref="H449">IF(W449=1,INDEX(Honor!$H$2:$H905,MATCH($D449&amp;"-"&amp;R449,Honor!$K$2:$K905,0)),"")</f>
        <v/>
      </c>
      <c r="I449" s="8" t="str">
        <f>IF(W449=1,SUMIFS(Honor!$I$2:$I905,Honor!$K$2:$K905,$D449&amp;"-"&amp;R449),"")</f>
        <v/>
      </c>
      <c r="J449" s="9" t="str">
        <f t="shared" si="6"/>
        <v/>
      </c>
      <c r="K449" s="10" t="str">
        <f t="shared" si="0"/>
        <v/>
      </c>
      <c r="L449" s="10" t="str">
        <f t="shared" si="1"/>
        <v/>
      </c>
      <c r="M449" s="10" t="str">
        <f>IF(W449=1,IF(AND(U449&lt;2,INT(V449)&lt;='Batasan Honor'!$B$2),1,0),"")</f>
        <v/>
      </c>
      <c r="O449" s="10" t="str">
        <f t="shared" si="2"/>
        <v/>
      </c>
      <c r="P449" s="10" t="str">
        <f t="shared" si="3"/>
        <v/>
      </c>
      <c r="R449" s="23"/>
      <c r="S449" s="10" t="str">
        <f t="shared" si="4"/>
        <v/>
      </c>
      <c r="U449" s="10" t="str">
        <f ca="1">IFERROR(__xludf.DUMMYFUNCTION("if(W449=1,COUNTIFS(FILTER($H$2:$H905,$H$2:$H905=""OB"",$S$2:$S905=S449),""OB""),"""")"),"")</f>
        <v/>
      </c>
      <c r="V449" s="10" t="str">
        <f ca="1">IFERROR(__xludf.DUMMYFUNCTION("IF(OR(ISNA(SUM(FILTER($K$2:$K905,$A$2:$A905=A449,$S$2:$S905=S449,$H$2:$H905&lt;&gt;""OB""))),W449&lt;&gt;1),"""",SUM(FILTER($K$2:$K905,$A$2:$A905=A449,$S$2:$S905=S449,$H$2:$H905&lt;&gt;""OB"")))"),"")</f>
        <v/>
      </c>
      <c r="W449" s="10" t="str">
        <f t="shared" si="5"/>
        <v/>
      </c>
    </row>
    <row r="450" spans="1:23" ht="12.5">
      <c r="A450" s="23"/>
      <c r="B450" s="5" t="str">
        <f t="array" ref="B450">IF(W450=1,INDEX('Database Mitra'!$H$2:$H905,MATCH(A450,'Database Mitra'!AK$2:AK905,0)),"")</f>
        <v/>
      </c>
      <c r="C450" s="5" t="str">
        <f t="array" ref="C450">IF(W450=1,INDEX('Database Mitra'!$E$2:$E905,MATCH(A450,'Database Mitra'!AK$2:AK905,0)),"")</f>
        <v/>
      </c>
      <c r="D450" s="23"/>
      <c r="E450" s="5" t="str">
        <f t="array" ref="E450">IF(W450=1,INDEX('Input Kegiatan'!B$2:B905,MATCH($D450,'Input Kegiatan'!$A$2:$A905,0)),"")</f>
        <v/>
      </c>
      <c r="F450" s="5" t="str">
        <f t="array" ref="F450">IF(W450=1,INDEX('Input Kegiatan'!D$2:D905,MATCH($D450,'Input Kegiatan'!$A$2:$A905,0)),"")</f>
        <v/>
      </c>
      <c r="G450" s="5" t="str">
        <f t="array" ref="G450">IF(W450=1,INDEX('Input Kegiatan'!E$2:E905,MATCH($D450,'Input Kegiatan'!$A$2:$A905,0)),"")</f>
        <v/>
      </c>
      <c r="H450" s="5" t="str">
        <f t="array" ref="H450">IF(W450=1,INDEX(Honor!$H$2:$H905,MATCH($D450&amp;"-"&amp;R450,Honor!$K$2:$K905,0)),"")</f>
        <v/>
      </c>
      <c r="I450" s="8" t="str">
        <f>IF(W450=1,SUMIFS(Honor!$I$2:$I905,Honor!$K$2:$K905,$D450&amp;"-"&amp;R450),"")</f>
        <v/>
      </c>
      <c r="J450" s="9" t="str">
        <f t="shared" si="6"/>
        <v/>
      </c>
      <c r="K450" s="10" t="str">
        <f t="shared" si="0"/>
        <v/>
      </c>
      <c r="L450" s="10" t="str">
        <f t="shared" si="1"/>
        <v/>
      </c>
      <c r="M450" s="10" t="str">
        <f>IF(W450=1,IF(AND(U450&lt;2,INT(V450)&lt;='Batasan Honor'!$B$2),1,0),"")</f>
        <v/>
      </c>
      <c r="O450" s="10" t="str">
        <f t="shared" si="2"/>
        <v/>
      </c>
      <c r="P450" s="10" t="str">
        <f t="shared" si="3"/>
        <v/>
      </c>
      <c r="R450" s="23"/>
      <c r="S450" s="10" t="str">
        <f t="shared" si="4"/>
        <v/>
      </c>
      <c r="U450" s="10" t="str">
        <f ca="1">IFERROR(__xludf.DUMMYFUNCTION("if(W450=1,COUNTIFS(FILTER($H$2:$H905,$H$2:$H905=""OB"",$S$2:$S905=S450),""OB""),"""")"),"")</f>
        <v/>
      </c>
      <c r="V450" s="10" t="str">
        <f ca="1">IFERROR(__xludf.DUMMYFUNCTION("IF(OR(ISNA(SUM(FILTER($K$2:$K905,$A$2:$A905=A450,$S$2:$S905=S450,$H$2:$H905&lt;&gt;""OB""))),W450&lt;&gt;1),"""",SUM(FILTER($K$2:$K905,$A$2:$A905=A450,$S$2:$S905=S450,$H$2:$H905&lt;&gt;""OB"")))"),"")</f>
        <v/>
      </c>
      <c r="W450" s="10" t="str">
        <f t="shared" si="5"/>
        <v/>
      </c>
    </row>
    <row r="451" spans="1:23" ht="12.5">
      <c r="A451" s="23"/>
      <c r="B451" s="5" t="str">
        <f t="array" ref="B451">IF(W451=1,INDEX('Database Mitra'!$H$2:$H905,MATCH(A451,'Database Mitra'!AK$2:AK905,0)),"")</f>
        <v/>
      </c>
      <c r="C451" s="5" t="str">
        <f t="array" ref="C451">IF(W451=1,INDEX('Database Mitra'!$E$2:$E905,MATCH(A451,'Database Mitra'!AK$2:AK905,0)),"")</f>
        <v/>
      </c>
      <c r="D451" s="23"/>
      <c r="E451" s="5" t="str">
        <f t="array" ref="E451">IF(W451=1,INDEX('Input Kegiatan'!B$2:B905,MATCH($D451,'Input Kegiatan'!$A$2:$A905,0)),"")</f>
        <v/>
      </c>
      <c r="F451" s="5" t="str">
        <f t="array" ref="F451">IF(W451=1,INDEX('Input Kegiatan'!D$2:D905,MATCH($D451,'Input Kegiatan'!$A$2:$A905,0)),"")</f>
        <v/>
      </c>
      <c r="G451" s="5" t="str">
        <f t="array" ref="G451">IF(W451=1,INDEX('Input Kegiatan'!E$2:E905,MATCH($D451,'Input Kegiatan'!$A$2:$A905,0)),"")</f>
        <v/>
      </c>
      <c r="H451" s="5" t="str">
        <f t="array" ref="H451">IF(W451=1,INDEX(Honor!$H$2:$H905,MATCH($D451&amp;"-"&amp;R451,Honor!$K$2:$K905,0)),"")</f>
        <v/>
      </c>
      <c r="I451" s="8" t="str">
        <f>IF(W451=1,SUMIFS(Honor!$I$2:$I905,Honor!$K$2:$K905,$D451&amp;"-"&amp;R451),"")</f>
        <v/>
      </c>
      <c r="J451" s="9" t="str">
        <f t="shared" si="6"/>
        <v/>
      </c>
      <c r="K451" s="10" t="str">
        <f t="shared" si="0"/>
        <v/>
      </c>
      <c r="L451" s="10" t="str">
        <f t="shared" si="1"/>
        <v/>
      </c>
      <c r="M451" s="10" t="str">
        <f>IF(W451=1,IF(AND(U451&lt;2,INT(V451)&lt;='Batasan Honor'!$B$2),1,0),"")</f>
        <v/>
      </c>
      <c r="O451" s="10" t="str">
        <f t="shared" si="2"/>
        <v/>
      </c>
      <c r="P451" s="10" t="str">
        <f t="shared" si="3"/>
        <v/>
      </c>
      <c r="R451" s="23"/>
      <c r="S451" s="10" t="str">
        <f t="shared" si="4"/>
        <v/>
      </c>
      <c r="U451" s="10" t="str">
        <f ca="1">IFERROR(__xludf.DUMMYFUNCTION("if(W451=1,COUNTIFS(FILTER($H$2:$H905,$H$2:$H905=""OB"",$S$2:$S905=S451),""OB""),"""")"),"")</f>
        <v/>
      </c>
      <c r="V451" s="10" t="str">
        <f ca="1">IFERROR(__xludf.DUMMYFUNCTION("IF(OR(ISNA(SUM(FILTER($K$2:$K905,$A$2:$A905=A451,$S$2:$S905=S451,$H$2:$H905&lt;&gt;""OB""))),W451&lt;&gt;1),"""",SUM(FILTER($K$2:$K905,$A$2:$A905=A451,$S$2:$S905=S451,$H$2:$H905&lt;&gt;""OB"")))"),"")</f>
        <v/>
      </c>
      <c r="W451" s="10" t="str">
        <f t="shared" si="5"/>
        <v/>
      </c>
    </row>
    <row r="452" spans="1:23" ht="12.5">
      <c r="A452" s="23"/>
      <c r="B452" s="5" t="str">
        <f t="array" ref="B452">IF(W452=1,INDEX('Database Mitra'!$H$2:$H905,MATCH(A452,'Database Mitra'!AK$2:AK905,0)),"")</f>
        <v/>
      </c>
      <c r="C452" s="5" t="str">
        <f t="array" ref="C452">IF(W452=1,INDEX('Database Mitra'!$E$2:$E905,MATCH(A452,'Database Mitra'!AK$2:AK905,0)),"")</f>
        <v/>
      </c>
      <c r="D452" s="23"/>
      <c r="E452" s="5" t="str">
        <f t="array" ref="E452">IF(W452=1,INDEX('Input Kegiatan'!B$2:B905,MATCH($D452,'Input Kegiatan'!$A$2:$A905,0)),"")</f>
        <v/>
      </c>
      <c r="F452" s="5" t="str">
        <f t="array" ref="F452">IF(W452=1,INDEX('Input Kegiatan'!D$2:D905,MATCH($D452,'Input Kegiatan'!$A$2:$A905,0)),"")</f>
        <v/>
      </c>
      <c r="G452" s="5" t="str">
        <f t="array" ref="G452">IF(W452=1,INDEX('Input Kegiatan'!E$2:E905,MATCH($D452,'Input Kegiatan'!$A$2:$A905,0)),"")</f>
        <v/>
      </c>
      <c r="H452" s="5" t="str">
        <f t="array" ref="H452">IF(W452=1,INDEX(Honor!$H$2:$H905,MATCH($D452&amp;"-"&amp;R452,Honor!$K$2:$K905,0)),"")</f>
        <v/>
      </c>
      <c r="I452" s="8" t="str">
        <f>IF(W452=1,SUMIFS(Honor!$I$2:$I905,Honor!$K$2:$K905,$D452&amp;"-"&amp;R452),"")</f>
        <v/>
      </c>
      <c r="J452" s="9" t="str">
        <f t="shared" si="6"/>
        <v/>
      </c>
      <c r="K452" s="10" t="str">
        <f t="shared" si="0"/>
        <v/>
      </c>
      <c r="L452" s="10" t="str">
        <f t="shared" si="1"/>
        <v/>
      </c>
      <c r="M452" s="10" t="str">
        <f>IF(W452=1,IF(AND(U452&lt;2,INT(V452)&lt;='Batasan Honor'!$B$2),1,0),"")</f>
        <v/>
      </c>
      <c r="O452" s="10" t="str">
        <f t="shared" si="2"/>
        <v/>
      </c>
      <c r="P452" s="10" t="str">
        <f t="shared" si="3"/>
        <v/>
      </c>
      <c r="R452" s="23"/>
      <c r="S452" s="10" t="str">
        <f t="shared" si="4"/>
        <v/>
      </c>
      <c r="U452" s="10" t="str">
        <f ca="1">IFERROR(__xludf.DUMMYFUNCTION("if(W452=1,COUNTIFS(FILTER($H$2:$H905,$H$2:$H905=""OB"",$S$2:$S905=S452),""OB""),"""")"),"")</f>
        <v/>
      </c>
      <c r="V452" s="10" t="str">
        <f ca="1">IFERROR(__xludf.DUMMYFUNCTION("IF(OR(ISNA(SUM(FILTER($K$2:$K905,$A$2:$A905=A452,$S$2:$S905=S452,$H$2:$H905&lt;&gt;""OB""))),W452&lt;&gt;1),"""",SUM(FILTER($K$2:$K905,$A$2:$A905=A452,$S$2:$S905=S452,$H$2:$H905&lt;&gt;""OB"")))"),"")</f>
        <v/>
      </c>
      <c r="W452" s="10" t="str">
        <f t="shared" si="5"/>
        <v/>
      </c>
    </row>
    <row r="453" spans="1:23" ht="12.5">
      <c r="A453" s="23"/>
      <c r="B453" s="5" t="str">
        <f t="array" ref="B453">IF(W453=1,INDEX('Database Mitra'!$H$2:$H905,MATCH(A453,'Database Mitra'!AK$2:AK905,0)),"")</f>
        <v/>
      </c>
      <c r="C453" s="5" t="str">
        <f t="array" ref="C453">IF(W453=1,INDEX('Database Mitra'!$E$2:$E905,MATCH(A453,'Database Mitra'!AK$2:AK905,0)),"")</f>
        <v/>
      </c>
      <c r="D453" s="23"/>
      <c r="E453" s="5" t="str">
        <f t="array" ref="E453">IF(W453=1,INDEX('Input Kegiatan'!B$2:B905,MATCH($D453,'Input Kegiatan'!$A$2:$A905,0)),"")</f>
        <v/>
      </c>
      <c r="F453" s="5" t="str">
        <f t="array" ref="F453">IF(W453=1,INDEX('Input Kegiatan'!D$2:D905,MATCH($D453,'Input Kegiatan'!$A$2:$A905,0)),"")</f>
        <v/>
      </c>
      <c r="G453" s="5" t="str">
        <f t="array" ref="G453">IF(W453=1,INDEX('Input Kegiatan'!E$2:E905,MATCH($D453,'Input Kegiatan'!$A$2:$A905,0)),"")</f>
        <v/>
      </c>
      <c r="H453" s="5" t="str">
        <f t="array" ref="H453">IF(W453=1,INDEX(Honor!$H$2:$H905,MATCH($D453&amp;"-"&amp;R453,Honor!$K$2:$K905,0)),"")</f>
        <v/>
      </c>
      <c r="I453" s="8" t="str">
        <f>IF(W453=1,SUMIFS(Honor!$I$2:$I905,Honor!$K$2:$K905,$D453&amp;"-"&amp;R453),"")</f>
        <v/>
      </c>
      <c r="J453" s="9" t="str">
        <f t="shared" si="6"/>
        <v/>
      </c>
      <c r="K453" s="10" t="str">
        <f t="shared" si="0"/>
        <v/>
      </c>
      <c r="L453" s="10" t="str">
        <f t="shared" si="1"/>
        <v/>
      </c>
      <c r="M453" s="10" t="str">
        <f>IF(W453=1,IF(AND(U453&lt;2,INT(V453)&lt;='Batasan Honor'!$B$2),1,0),"")</f>
        <v/>
      </c>
      <c r="O453" s="10" t="str">
        <f t="shared" si="2"/>
        <v/>
      </c>
      <c r="P453" s="10" t="str">
        <f t="shared" si="3"/>
        <v/>
      </c>
      <c r="R453" s="23"/>
      <c r="S453" s="10" t="str">
        <f t="shared" si="4"/>
        <v/>
      </c>
      <c r="U453" s="10" t="str">
        <f ca="1">IFERROR(__xludf.DUMMYFUNCTION("if(W453=1,COUNTIFS(FILTER($H$2:$H905,$H$2:$H905=""OB"",$S$2:$S905=S453),""OB""),"""")"),"")</f>
        <v/>
      </c>
      <c r="V453" s="10" t="str">
        <f ca="1">IFERROR(__xludf.DUMMYFUNCTION("IF(OR(ISNA(SUM(FILTER($K$2:$K905,$A$2:$A905=A453,$S$2:$S905=S453,$H$2:$H905&lt;&gt;""OB""))),W453&lt;&gt;1),"""",SUM(FILTER($K$2:$K905,$A$2:$A905=A453,$S$2:$S905=S453,$H$2:$H905&lt;&gt;""OB"")))"),"")</f>
        <v/>
      </c>
      <c r="W453" s="10" t="str">
        <f t="shared" si="5"/>
        <v/>
      </c>
    </row>
    <row r="454" spans="1:23" ht="12.5">
      <c r="A454" s="23"/>
      <c r="B454" s="5" t="str">
        <f t="array" ref="B454">IF(W454=1,INDEX('Database Mitra'!$H$2:$H905,MATCH(A454,'Database Mitra'!AK$2:AK905,0)),"")</f>
        <v/>
      </c>
      <c r="C454" s="5" t="str">
        <f t="array" ref="C454">IF(W454=1,INDEX('Database Mitra'!$E$2:$E905,MATCH(A454,'Database Mitra'!AK$2:AK905,0)),"")</f>
        <v/>
      </c>
      <c r="D454" s="23"/>
      <c r="E454" s="5" t="str">
        <f t="array" ref="E454">IF(W454=1,INDEX('Input Kegiatan'!B$2:B905,MATCH($D454,'Input Kegiatan'!$A$2:$A905,0)),"")</f>
        <v/>
      </c>
      <c r="F454" s="5" t="str">
        <f t="array" ref="F454">IF(W454=1,INDEX('Input Kegiatan'!D$2:D905,MATCH($D454,'Input Kegiatan'!$A$2:$A905,0)),"")</f>
        <v/>
      </c>
      <c r="G454" s="5" t="str">
        <f t="array" ref="G454">IF(W454=1,INDEX('Input Kegiatan'!E$2:E905,MATCH($D454,'Input Kegiatan'!$A$2:$A905,0)),"")</f>
        <v/>
      </c>
      <c r="H454" s="5" t="str">
        <f t="array" ref="H454">IF(W454=1,INDEX(Honor!$H$2:$H905,MATCH($D454&amp;"-"&amp;R454,Honor!$K$2:$K905,0)),"")</f>
        <v/>
      </c>
      <c r="I454" s="8" t="str">
        <f>IF(W454=1,SUMIFS(Honor!$I$2:$I905,Honor!$K$2:$K905,$D454&amp;"-"&amp;R454),"")</f>
        <v/>
      </c>
      <c r="J454" s="9" t="str">
        <f t="shared" si="6"/>
        <v/>
      </c>
      <c r="K454" s="10" t="str">
        <f t="shared" si="0"/>
        <v/>
      </c>
      <c r="L454" s="10" t="str">
        <f t="shared" si="1"/>
        <v/>
      </c>
      <c r="M454" s="10" t="str">
        <f>IF(W454=1,IF(AND(U454&lt;2,INT(V454)&lt;='Batasan Honor'!$B$2),1,0),"")</f>
        <v/>
      </c>
      <c r="O454" s="10" t="str">
        <f t="shared" si="2"/>
        <v/>
      </c>
      <c r="P454" s="10" t="str">
        <f t="shared" si="3"/>
        <v/>
      </c>
      <c r="R454" s="23"/>
      <c r="S454" s="10" t="str">
        <f t="shared" si="4"/>
        <v/>
      </c>
      <c r="U454" s="10" t="str">
        <f ca="1">IFERROR(__xludf.DUMMYFUNCTION("if(W454=1,COUNTIFS(FILTER($H$2:$H905,$H$2:$H905=""OB"",$S$2:$S905=S454),""OB""),"""")"),"")</f>
        <v/>
      </c>
      <c r="V454" s="10" t="str">
        <f ca="1">IFERROR(__xludf.DUMMYFUNCTION("IF(OR(ISNA(SUM(FILTER($K$2:$K905,$A$2:$A905=A454,$S$2:$S905=S454,$H$2:$H905&lt;&gt;""OB""))),W454&lt;&gt;1),"""",SUM(FILTER($K$2:$K905,$A$2:$A905=A454,$S$2:$S905=S454,$H$2:$H905&lt;&gt;""OB"")))"),"")</f>
        <v/>
      </c>
      <c r="W454" s="10" t="str">
        <f t="shared" si="5"/>
        <v/>
      </c>
    </row>
    <row r="455" spans="1:23" ht="12.5">
      <c r="A455" s="23"/>
      <c r="B455" s="5" t="str">
        <f t="array" ref="B455">IF(W455=1,INDEX('Database Mitra'!$H$2:$H905,MATCH(A455,'Database Mitra'!AK$2:AK905,0)),"")</f>
        <v/>
      </c>
      <c r="C455" s="5" t="str">
        <f t="array" ref="C455">IF(W455=1,INDEX('Database Mitra'!$E$2:$E905,MATCH(A455,'Database Mitra'!AK$2:AK905,0)),"")</f>
        <v/>
      </c>
      <c r="D455" s="23"/>
      <c r="E455" s="5" t="str">
        <f t="array" ref="E455">IF(W455=1,INDEX('Input Kegiatan'!B$2:B905,MATCH($D455,'Input Kegiatan'!$A$2:$A905,0)),"")</f>
        <v/>
      </c>
      <c r="F455" s="5" t="str">
        <f t="array" ref="F455">IF(W455=1,INDEX('Input Kegiatan'!D$2:D905,MATCH($D455,'Input Kegiatan'!$A$2:$A905,0)),"")</f>
        <v/>
      </c>
      <c r="G455" s="5" t="str">
        <f t="array" ref="G455">IF(W455=1,INDEX('Input Kegiatan'!E$2:E905,MATCH($D455,'Input Kegiatan'!$A$2:$A905,0)),"")</f>
        <v/>
      </c>
      <c r="H455" s="5" t="str">
        <f t="array" ref="H455">IF(W455=1,INDEX(Honor!$H$2:$H905,MATCH($D455&amp;"-"&amp;R455,Honor!$K$2:$K905,0)),"")</f>
        <v/>
      </c>
      <c r="I455" s="8" t="str">
        <f>IF(W455=1,SUMIFS(Honor!$I$2:$I905,Honor!$K$2:$K905,$D455&amp;"-"&amp;R455),"")</f>
        <v/>
      </c>
      <c r="J455" s="9" t="str">
        <f t="shared" si="6"/>
        <v/>
      </c>
      <c r="K455" s="10" t="str">
        <f t="shared" si="0"/>
        <v/>
      </c>
      <c r="L455" s="10" t="str">
        <f t="shared" si="1"/>
        <v/>
      </c>
      <c r="M455" s="10" t="str">
        <f>IF(W455=1,IF(AND(U455&lt;2,INT(V455)&lt;='Batasan Honor'!$B$2),1,0),"")</f>
        <v/>
      </c>
      <c r="O455" s="10" t="str">
        <f t="shared" si="2"/>
        <v/>
      </c>
      <c r="P455" s="10" t="str">
        <f t="shared" si="3"/>
        <v/>
      </c>
      <c r="R455" s="23"/>
      <c r="S455" s="10" t="str">
        <f t="shared" si="4"/>
        <v/>
      </c>
      <c r="U455" s="10" t="str">
        <f ca="1">IFERROR(__xludf.DUMMYFUNCTION("if(W455=1,COUNTIFS(FILTER($H$2:$H905,$H$2:$H905=""OB"",$S$2:$S905=S455),""OB""),"""")"),"")</f>
        <v/>
      </c>
      <c r="V455" s="10" t="str">
        <f ca="1">IFERROR(__xludf.DUMMYFUNCTION("IF(OR(ISNA(SUM(FILTER($K$2:$K905,$A$2:$A905=A455,$S$2:$S905=S455,$H$2:$H905&lt;&gt;""OB""))),W455&lt;&gt;1),"""",SUM(FILTER($K$2:$K905,$A$2:$A905=A455,$S$2:$S905=S455,$H$2:$H905&lt;&gt;""OB"")))"),"")</f>
        <v/>
      </c>
      <c r="W455" s="10" t="str">
        <f t="shared" si="5"/>
        <v/>
      </c>
    </row>
    <row r="456" spans="1:23" ht="12.5">
      <c r="A456" s="23"/>
      <c r="B456" s="5" t="str">
        <f t="array" ref="B456">IF(W456=1,INDEX('Database Mitra'!$H$2:$H905,MATCH(A456,'Database Mitra'!AK$2:AK905,0)),"")</f>
        <v/>
      </c>
      <c r="C456" s="5" t="str">
        <f t="array" ref="C456">IF(W456=1,INDEX('Database Mitra'!$E$2:$E905,MATCH(A456,'Database Mitra'!AK$2:AK905,0)),"")</f>
        <v/>
      </c>
      <c r="D456" s="23"/>
      <c r="E456" s="5" t="str">
        <f t="array" ref="E456">IF(W456=1,INDEX('Input Kegiatan'!B$2:B905,MATCH($D456,'Input Kegiatan'!$A$2:$A905,0)),"")</f>
        <v/>
      </c>
      <c r="F456" s="5" t="str">
        <f t="array" ref="F456">IF(W456=1,INDEX('Input Kegiatan'!D$2:D905,MATCH($D456,'Input Kegiatan'!$A$2:$A905,0)),"")</f>
        <v/>
      </c>
      <c r="G456" s="5" t="str">
        <f t="array" ref="G456">IF(W456=1,INDEX('Input Kegiatan'!E$2:E905,MATCH($D456,'Input Kegiatan'!$A$2:$A905,0)),"")</f>
        <v/>
      </c>
      <c r="H456" s="5" t="str">
        <f t="array" ref="H456">IF(W456=1,INDEX(Honor!$H$2:$H905,MATCH($D456&amp;"-"&amp;R456,Honor!$K$2:$K905,0)),"")</f>
        <v/>
      </c>
      <c r="I456" s="8" t="str">
        <f>IF(W456=1,SUMIFS(Honor!$I$2:$I905,Honor!$K$2:$K905,$D456&amp;"-"&amp;R456),"")</f>
        <v/>
      </c>
      <c r="J456" s="9" t="str">
        <f t="shared" si="6"/>
        <v/>
      </c>
      <c r="K456" s="10" t="str">
        <f t="shared" si="0"/>
        <v/>
      </c>
      <c r="L456" s="10" t="str">
        <f t="shared" si="1"/>
        <v/>
      </c>
      <c r="M456" s="10" t="str">
        <f>IF(W456=1,IF(AND(U456&lt;2,INT(V456)&lt;='Batasan Honor'!$B$2),1,0),"")</f>
        <v/>
      </c>
      <c r="O456" s="10" t="str">
        <f t="shared" si="2"/>
        <v/>
      </c>
      <c r="P456" s="10" t="str">
        <f t="shared" si="3"/>
        <v/>
      </c>
      <c r="R456" s="23"/>
      <c r="S456" s="10" t="str">
        <f t="shared" si="4"/>
        <v/>
      </c>
      <c r="U456" s="10" t="str">
        <f ca="1">IFERROR(__xludf.DUMMYFUNCTION("if(W456=1,COUNTIFS(FILTER($H$2:$H905,$H$2:$H905=""OB"",$S$2:$S905=S456),""OB""),"""")"),"")</f>
        <v/>
      </c>
      <c r="V456" s="10" t="str">
        <f ca="1">IFERROR(__xludf.DUMMYFUNCTION("IF(OR(ISNA(SUM(FILTER($K$2:$K905,$A$2:$A905=A456,$S$2:$S905=S456,$H$2:$H905&lt;&gt;""OB""))),W456&lt;&gt;1),"""",SUM(FILTER($K$2:$K905,$A$2:$A905=A456,$S$2:$S905=S456,$H$2:$H905&lt;&gt;""OB"")))"),"")</f>
        <v/>
      </c>
      <c r="W456" s="10" t="str">
        <f t="shared" si="5"/>
        <v/>
      </c>
    </row>
    <row r="457" spans="1:23" ht="12.5">
      <c r="A457" s="23"/>
      <c r="B457" s="5" t="str">
        <f t="array" ref="B457">IF(W457=1,INDEX('Database Mitra'!$H$2:$H905,MATCH(A457,'Database Mitra'!AK$2:AK905,0)),"")</f>
        <v/>
      </c>
      <c r="C457" s="5" t="str">
        <f t="array" ref="C457">IF(W457=1,INDEX('Database Mitra'!$E$2:$E905,MATCH(A457,'Database Mitra'!AK$2:AK905,0)),"")</f>
        <v/>
      </c>
      <c r="D457" s="23"/>
      <c r="E457" s="5" t="str">
        <f t="array" ref="E457">IF(W457=1,INDEX('Input Kegiatan'!B$2:B905,MATCH($D457,'Input Kegiatan'!$A$2:$A905,0)),"")</f>
        <v/>
      </c>
      <c r="F457" s="5" t="str">
        <f t="array" ref="F457">IF(W457=1,INDEX('Input Kegiatan'!D$2:D905,MATCH($D457,'Input Kegiatan'!$A$2:$A905,0)),"")</f>
        <v/>
      </c>
      <c r="G457" s="5" t="str">
        <f t="array" ref="G457">IF(W457=1,INDEX('Input Kegiatan'!E$2:E905,MATCH($D457,'Input Kegiatan'!$A$2:$A905,0)),"")</f>
        <v/>
      </c>
      <c r="H457" s="5" t="str">
        <f t="array" ref="H457">IF(W457=1,INDEX(Honor!$H$2:$H905,MATCH($D457&amp;"-"&amp;R457,Honor!$K$2:$K905,0)),"")</f>
        <v/>
      </c>
      <c r="I457" s="8" t="str">
        <f>IF(W457=1,SUMIFS(Honor!$I$2:$I905,Honor!$K$2:$K905,$D457&amp;"-"&amp;R457),"")</f>
        <v/>
      </c>
      <c r="J457" s="9" t="str">
        <f t="shared" si="6"/>
        <v/>
      </c>
      <c r="K457" s="10" t="str">
        <f t="shared" si="0"/>
        <v/>
      </c>
      <c r="L457" s="10" t="str">
        <f t="shared" si="1"/>
        <v/>
      </c>
      <c r="M457" s="10" t="str">
        <f>IF(W457=1,IF(AND(U457&lt;2,INT(V457)&lt;='Batasan Honor'!$B$2),1,0),"")</f>
        <v/>
      </c>
      <c r="O457" s="10" t="str">
        <f t="shared" si="2"/>
        <v/>
      </c>
      <c r="P457" s="10" t="str">
        <f t="shared" si="3"/>
        <v/>
      </c>
      <c r="R457" s="23"/>
      <c r="S457" s="10" t="str">
        <f t="shared" si="4"/>
        <v/>
      </c>
      <c r="U457" s="10" t="str">
        <f ca="1">IFERROR(__xludf.DUMMYFUNCTION("if(W457=1,COUNTIFS(FILTER($H$2:$H905,$H$2:$H905=""OB"",$S$2:$S905=S457),""OB""),"""")"),"")</f>
        <v/>
      </c>
      <c r="V457" s="10" t="str">
        <f ca="1">IFERROR(__xludf.DUMMYFUNCTION("IF(OR(ISNA(SUM(FILTER($K$2:$K905,$A$2:$A905=A457,$S$2:$S905=S457,$H$2:$H905&lt;&gt;""OB""))),W457&lt;&gt;1),"""",SUM(FILTER($K$2:$K905,$A$2:$A905=A457,$S$2:$S905=S457,$H$2:$H905&lt;&gt;""OB"")))"),"")</f>
        <v/>
      </c>
      <c r="W457" s="10" t="str">
        <f t="shared" si="5"/>
        <v/>
      </c>
    </row>
    <row r="458" spans="1:23" ht="12.5">
      <c r="A458" s="23"/>
      <c r="B458" s="5" t="str">
        <f t="array" ref="B458">IF(W458=1,INDEX('Database Mitra'!$H$2:$H905,MATCH(A458,'Database Mitra'!AK$2:AK905,0)),"")</f>
        <v/>
      </c>
      <c r="C458" s="5" t="str">
        <f t="array" ref="C458">IF(W458=1,INDEX('Database Mitra'!$E$2:$E905,MATCH(A458,'Database Mitra'!AK$2:AK905,0)),"")</f>
        <v/>
      </c>
      <c r="D458" s="23"/>
      <c r="E458" s="5" t="str">
        <f t="array" ref="E458">IF(W458=1,INDEX('Input Kegiatan'!B$2:B905,MATCH($D458,'Input Kegiatan'!$A$2:$A905,0)),"")</f>
        <v/>
      </c>
      <c r="F458" s="5" t="str">
        <f t="array" ref="F458">IF(W458=1,INDEX('Input Kegiatan'!D$2:D905,MATCH($D458,'Input Kegiatan'!$A$2:$A905,0)),"")</f>
        <v/>
      </c>
      <c r="G458" s="5" t="str">
        <f t="array" ref="G458">IF(W458=1,INDEX('Input Kegiatan'!E$2:E905,MATCH($D458,'Input Kegiatan'!$A$2:$A905,0)),"")</f>
        <v/>
      </c>
      <c r="H458" s="5" t="str">
        <f t="array" ref="H458">IF(W458=1,INDEX(Honor!$H$2:$H905,MATCH($D458&amp;"-"&amp;R458,Honor!$K$2:$K905,0)),"")</f>
        <v/>
      </c>
      <c r="I458" s="8" t="str">
        <f>IF(W458=1,SUMIFS(Honor!$I$2:$I905,Honor!$K$2:$K905,$D458&amp;"-"&amp;R458),"")</f>
        <v/>
      </c>
      <c r="J458" s="9" t="str">
        <f t="shared" si="6"/>
        <v/>
      </c>
      <c r="K458" s="10" t="str">
        <f t="shared" si="0"/>
        <v/>
      </c>
      <c r="L458" s="10" t="str">
        <f t="shared" si="1"/>
        <v/>
      </c>
      <c r="M458" s="10" t="str">
        <f>IF(W458=1,IF(AND(U458&lt;2,INT(V458)&lt;='Batasan Honor'!$B$2),1,0),"")</f>
        <v/>
      </c>
      <c r="O458" s="10" t="str">
        <f t="shared" si="2"/>
        <v/>
      </c>
      <c r="P458" s="10" t="str">
        <f t="shared" si="3"/>
        <v/>
      </c>
      <c r="R458" s="23"/>
      <c r="S458" s="10" t="str">
        <f t="shared" si="4"/>
        <v/>
      </c>
      <c r="U458" s="10" t="str">
        <f ca="1">IFERROR(__xludf.DUMMYFUNCTION("if(W458=1,COUNTIFS(FILTER($H$2:$H905,$H$2:$H905=""OB"",$S$2:$S905=S458),""OB""),"""")"),"")</f>
        <v/>
      </c>
      <c r="V458" s="10" t="str">
        <f ca="1">IFERROR(__xludf.DUMMYFUNCTION("IF(OR(ISNA(SUM(FILTER($K$2:$K905,$A$2:$A905=A458,$S$2:$S905=S458,$H$2:$H905&lt;&gt;""OB""))),W458&lt;&gt;1),"""",SUM(FILTER($K$2:$K905,$A$2:$A905=A458,$S$2:$S905=S458,$H$2:$H905&lt;&gt;""OB"")))"),"")</f>
        <v/>
      </c>
      <c r="W458" s="10" t="str">
        <f t="shared" si="5"/>
        <v/>
      </c>
    </row>
    <row r="459" spans="1:23" ht="12.5">
      <c r="A459" s="23"/>
      <c r="B459" s="5" t="str">
        <f t="array" ref="B459">IF(W459=1,INDEX('Database Mitra'!$H$2:$H905,MATCH(A459,'Database Mitra'!AK$2:AK905,0)),"")</f>
        <v/>
      </c>
      <c r="C459" s="5" t="str">
        <f t="array" ref="C459">IF(W459=1,INDEX('Database Mitra'!$E$2:$E905,MATCH(A459,'Database Mitra'!AK$2:AK905,0)),"")</f>
        <v/>
      </c>
      <c r="D459" s="23"/>
      <c r="E459" s="5" t="str">
        <f t="array" ref="E459">IF(W459=1,INDEX('Input Kegiatan'!B$2:B905,MATCH($D459,'Input Kegiatan'!$A$2:$A905,0)),"")</f>
        <v/>
      </c>
      <c r="F459" s="5" t="str">
        <f t="array" ref="F459">IF(W459=1,INDEX('Input Kegiatan'!D$2:D905,MATCH($D459,'Input Kegiatan'!$A$2:$A905,0)),"")</f>
        <v/>
      </c>
      <c r="G459" s="5" t="str">
        <f t="array" ref="G459">IF(W459=1,INDEX('Input Kegiatan'!E$2:E905,MATCH($D459,'Input Kegiatan'!$A$2:$A905,0)),"")</f>
        <v/>
      </c>
      <c r="H459" s="5" t="str">
        <f t="array" ref="H459">IF(W459=1,INDEX(Honor!$H$2:$H905,MATCH($D459&amp;"-"&amp;R459,Honor!$K$2:$K905,0)),"")</f>
        <v/>
      </c>
      <c r="I459" s="8" t="str">
        <f>IF(W459=1,SUMIFS(Honor!$I$2:$I905,Honor!$K$2:$K905,$D459&amp;"-"&amp;R459),"")</f>
        <v/>
      </c>
      <c r="J459" s="9" t="str">
        <f t="shared" si="6"/>
        <v/>
      </c>
      <c r="K459" s="10" t="str">
        <f t="shared" si="0"/>
        <v/>
      </c>
      <c r="L459" s="10" t="str">
        <f t="shared" si="1"/>
        <v/>
      </c>
      <c r="M459" s="10" t="str">
        <f>IF(W459=1,IF(AND(U459&lt;2,INT(V459)&lt;='Batasan Honor'!$B$2),1,0),"")</f>
        <v/>
      </c>
      <c r="O459" s="10" t="str">
        <f t="shared" si="2"/>
        <v/>
      </c>
      <c r="P459" s="10" t="str">
        <f t="shared" si="3"/>
        <v/>
      </c>
      <c r="R459" s="23"/>
      <c r="S459" s="10" t="str">
        <f t="shared" si="4"/>
        <v/>
      </c>
      <c r="U459" s="10" t="str">
        <f ca="1">IFERROR(__xludf.DUMMYFUNCTION("if(W459=1,COUNTIFS(FILTER($H$2:$H905,$H$2:$H905=""OB"",$S$2:$S905=S459),""OB""),"""")"),"")</f>
        <v/>
      </c>
      <c r="V459" s="10" t="str">
        <f ca="1">IFERROR(__xludf.DUMMYFUNCTION("IF(OR(ISNA(SUM(FILTER($K$2:$K905,$A$2:$A905=A459,$S$2:$S905=S459,$H$2:$H905&lt;&gt;""OB""))),W459&lt;&gt;1),"""",SUM(FILTER($K$2:$K905,$A$2:$A905=A459,$S$2:$S905=S459,$H$2:$H905&lt;&gt;""OB"")))"),"")</f>
        <v/>
      </c>
      <c r="W459" s="10" t="str">
        <f t="shared" si="5"/>
        <v/>
      </c>
    </row>
    <row r="460" spans="1:23" ht="12.5">
      <c r="A460" s="23"/>
      <c r="B460" s="5" t="str">
        <f t="array" ref="B460">IF(W460=1,INDEX('Database Mitra'!$H$2:$H905,MATCH(A460,'Database Mitra'!AK$2:AK905,0)),"")</f>
        <v/>
      </c>
      <c r="C460" s="5" t="str">
        <f t="array" ref="C460">IF(W460=1,INDEX('Database Mitra'!$E$2:$E905,MATCH(A460,'Database Mitra'!AK$2:AK905,0)),"")</f>
        <v/>
      </c>
      <c r="D460" s="23"/>
      <c r="E460" s="5" t="str">
        <f t="array" ref="E460">IF(W460=1,INDEX('Input Kegiatan'!B$2:B905,MATCH($D460,'Input Kegiatan'!$A$2:$A905,0)),"")</f>
        <v/>
      </c>
      <c r="F460" s="5" t="str">
        <f t="array" ref="F460">IF(W460=1,INDEX('Input Kegiatan'!D$2:D905,MATCH($D460,'Input Kegiatan'!$A$2:$A905,0)),"")</f>
        <v/>
      </c>
      <c r="G460" s="5" t="str">
        <f t="array" ref="G460">IF(W460=1,INDEX('Input Kegiatan'!E$2:E905,MATCH($D460,'Input Kegiatan'!$A$2:$A905,0)),"")</f>
        <v/>
      </c>
      <c r="H460" s="5" t="str">
        <f t="array" ref="H460">IF(W460=1,INDEX(Honor!$H$2:$H905,MATCH($D460&amp;"-"&amp;R460,Honor!$K$2:$K905,0)),"")</f>
        <v/>
      </c>
      <c r="I460" s="8" t="str">
        <f>IF(W460=1,SUMIFS(Honor!$I$2:$I905,Honor!$K$2:$K905,$D460&amp;"-"&amp;R460),"")</f>
        <v/>
      </c>
      <c r="J460" s="9" t="str">
        <f t="shared" si="6"/>
        <v/>
      </c>
      <c r="K460" s="10" t="str">
        <f t="shared" si="0"/>
        <v/>
      </c>
      <c r="L460" s="10" t="str">
        <f t="shared" si="1"/>
        <v/>
      </c>
      <c r="M460" s="10" t="str">
        <f>IF(W460=1,IF(AND(U460&lt;2,INT(V460)&lt;='Batasan Honor'!$B$2),1,0),"")</f>
        <v/>
      </c>
      <c r="O460" s="10" t="str">
        <f t="shared" si="2"/>
        <v/>
      </c>
      <c r="P460" s="10" t="str">
        <f t="shared" si="3"/>
        <v/>
      </c>
      <c r="R460" s="23"/>
      <c r="S460" s="10" t="str">
        <f t="shared" si="4"/>
        <v/>
      </c>
      <c r="U460" s="10" t="str">
        <f ca="1">IFERROR(__xludf.DUMMYFUNCTION("if(W460=1,COUNTIFS(FILTER($H$2:$H905,$H$2:$H905=""OB"",$S$2:$S905=S460),""OB""),"""")"),"")</f>
        <v/>
      </c>
      <c r="V460" s="10" t="str">
        <f ca="1">IFERROR(__xludf.DUMMYFUNCTION("IF(OR(ISNA(SUM(FILTER($K$2:$K905,$A$2:$A905=A460,$S$2:$S905=S460,$H$2:$H905&lt;&gt;""OB""))),W460&lt;&gt;1),"""",SUM(FILTER($K$2:$K905,$A$2:$A905=A460,$S$2:$S905=S460,$H$2:$H905&lt;&gt;""OB"")))"),"")</f>
        <v/>
      </c>
      <c r="W460" s="10" t="str">
        <f t="shared" si="5"/>
        <v/>
      </c>
    </row>
    <row r="461" spans="1:23" ht="12.5">
      <c r="A461" s="23"/>
      <c r="B461" s="5" t="str">
        <f t="array" ref="B461">IF(W461=1,INDEX('Database Mitra'!$H$2:$H905,MATCH(A461,'Database Mitra'!AK$2:AK905,0)),"")</f>
        <v/>
      </c>
      <c r="C461" s="5" t="str">
        <f t="array" ref="C461">IF(W461=1,INDEX('Database Mitra'!$E$2:$E905,MATCH(A461,'Database Mitra'!AK$2:AK905,0)),"")</f>
        <v/>
      </c>
      <c r="D461" s="23"/>
      <c r="E461" s="5" t="str">
        <f t="array" ref="E461">IF(W461=1,INDEX('Input Kegiatan'!B$2:B905,MATCH($D461,'Input Kegiatan'!$A$2:$A905,0)),"")</f>
        <v/>
      </c>
      <c r="F461" s="5" t="str">
        <f t="array" ref="F461">IF(W461=1,INDEX('Input Kegiatan'!D$2:D905,MATCH($D461,'Input Kegiatan'!$A$2:$A905,0)),"")</f>
        <v/>
      </c>
      <c r="G461" s="5" t="str">
        <f t="array" ref="G461">IF(W461=1,INDEX('Input Kegiatan'!E$2:E905,MATCH($D461,'Input Kegiatan'!$A$2:$A905,0)),"")</f>
        <v/>
      </c>
      <c r="H461" s="5" t="str">
        <f t="array" ref="H461">IF(W461=1,INDEX(Honor!$H$2:$H905,MATCH($D461&amp;"-"&amp;R461,Honor!$K$2:$K905,0)),"")</f>
        <v/>
      </c>
      <c r="I461" s="8" t="str">
        <f>IF(W461=1,SUMIFS(Honor!$I$2:$I905,Honor!$K$2:$K905,$D461&amp;"-"&amp;R461),"")</f>
        <v/>
      </c>
      <c r="J461" s="9" t="str">
        <f t="shared" si="6"/>
        <v/>
      </c>
      <c r="K461" s="10" t="str">
        <f t="shared" si="0"/>
        <v/>
      </c>
      <c r="L461" s="10" t="str">
        <f t="shared" si="1"/>
        <v/>
      </c>
      <c r="M461" s="10" t="str">
        <f>IF(W461=1,IF(AND(U461&lt;2,INT(V461)&lt;='Batasan Honor'!$B$2),1,0),"")</f>
        <v/>
      </c>
      <c r="O461" s="10" t="str">
        <f t="shared" si="2"/>
        <v/>
      </c>
      <c r="P461" s="10" t="str">
        <f t="shared" si="3"/>
        <v/>
      </c>
      <c r="R461" s="23"/>
      <c r="S461" s="10" t="str">
        <f t="shared" si="4"/>
        <v/>
      </c>
      <c r="U461" s="10" t="str">
        <f ca="1">IFERROR(__xludf.DUMMYFUNCTION("if(W461=1,COUNTIFS(FILTER($H$2:$H905,$H$2:$H905=""OB"",$S$2:$S905=S461),""OB""),"""")"),"")</f>
        <v/>
      </c>
      <c r="V461" s="10" t="str">
        <f ca="1">IFERROR(__xludf.DUMMYFUNCTION("IF(OR(ISNA(SUM(FILTER($K$2:$K905,$A$2:$A905=A461,$S$2:$S905=S461,$H$2:$H905&lt;&gt;""OB""))),W461&lt;&gt;1),"""",SUM(FILTER($K$2:$K905,$A$2:$A905=A461,$S$2:$S905=S461,$H$2:$H905&lt;&gt;""OB"")))"),"")</f>
        <v/>
      </c>
      <c r="W461" s="10" t="str">
        <f t="shared" si="5"/>
        <v/>
      </c>
    </row>
    <row r="462" spans="1:23" ht="12.5">
      <c r="A462" s="23"/>
      <c r="B462" s="5" t="str">
        <f t="array" ref="B462">IF(W462=1,INDEX('Database Mitra'!$H$2:$H905,MATCH(A462,'Database Mitra'!AK$2:AK905,0)),"")</f>
        <v/>
      </c>
      <c r="C462" s="5" t="str">
        <f t="array" ref="C462">IF(W462=1,INDEX('Database Mitra'!$E$2:$E905,MATCH(A462,'Database Mitra'!AK$2:AK905,0)),"")</f>
        <v/>
      </c>
      <c r="D462" s="23"/>
      <c r="E462" s="5" t="str">
        <f t="array" ref="E462">IF(W462=1,INDEX('Input Kegiatan'!B$2:B905,MATCH($D462,'Input Kegiatan'!$A$2:$A905,0)),"")</f>
        <v/>
      </c>
      <c r="F462" s="5" t="str">
        <f t="array" ref="F462">IF(W462=1,INDEX('Input Kegiatan'!D$2:D905,MATCH($D462,'Input Kegiatan'!$A$2:$A905,0)),"")</f>
        <v/>
      </c>
      <c r="G462" s="5" t="str">
        <f t="array" ref="G462">IF(W462=1,INDEX('Input Kegiatan'!E$2:E905,MATCH($D462,'Input Kegiatan'!$A$2:$A905,0)),"")</f>
        <v/>
      </c>
      <c r="H462" s="5" t="str">
        <f t="array" ref="H462">IF(W462=1,INDEX(Honor!$H$2:$H905,MATCH($D462&amp;"-"&amp;R462,Honor!$K$2:$K905,0)),"")</f>
        <v/>
      </c>
      <c r="I462" s="8" t="str">
        <f>IF(W462=1,SUMIFS(Honor!$I$2:$I905,Honor!$K$2:$K905,$D462&amp;"-"&amp;R462),"")</f>
        <v/>
      </c>
      <c r="J462" s="9" t="str">
        <f t="shared" si="6"/>
        <v/>
      </c>
      <c r="K462" s="10" t="str">
        <f t="shared" si="0"/>
        <v/>
      </c>
      <c r="L462" s="10" t="str">
        <f t="shared" si="1"/>
        <v/>
      </c>
      <c r="M462" s="10" t="str">
        <f>IF(W462=1,IF(AND(U462&lt;2,INT(V462)&lt;='Batasan Honor'!$B$2),1,0),"")</f>
        <v/>
      </c>
      <c r="O462" s="10" t="str">
        <f t="shared" si="2"/>
        <v/>
      </c>
      <c r="P462" s="10" t="str">
        <f t="shared" si="3"/>
        <v/>
      </c>
      <c r="R462" s="23"/>
      <c r="S462" s="10" t="str">
        <f t="shared" si="4"/>
        <v/>
      </c>
      <c r="U462" s="10" t="str">
        <f ca="1">IFERROR(__xludf.DUMMYFUNCTION("if(W462=1,COUNTIFS(FILTER($H$2:$H905,$H$2:$H905=""OB"",$S$2:$S905=S462),""OB""),"""")"),"")</f>
        <v/>
      </c>
      <c r="V462" s="10" t="str">
        <f ca="1">IFERROR(__xludf.DUMMYFUNCTION("IF(OR(ISNA(SUM(FILTER($K$2:$K905,$A$2:$A905=A462,$S$2:$S905=S462,$H$2:$H905&lt;&gt;""OB""))),W462&lt;&gt;1),"""",SUM(FILTER($K$2:$K905,$A$2:$A905=A462,$S$2:$S905=S462,$H$2:$H905&lt;&gt;""OB"")))"),"")</f>
        <v/>
      </c>
      <c r="W462" s="10" t="str">
        <f t="shared" si="5"/>
        <v/>
      </c>
    </row>
    <row r="463" spans="1:23" ht="12.5">
      <c r="A463" s="23"/>
      <c r="B463" s="5" t="str">
        <f t="array" ref="B463">IF(W463=1,INDEX('Database Mitra'!$H$2:$H905,MATCH(A463,'Database Mitra'!AK$2:AK905,0)),"")</f>
        <v/>
      </c>
      <c r="C463" s="5" t="str">
        <f t="array" ref="C463">IF(W463=1,INDEX('Database Mitra'!$E$2:$E905,MATCH(A463,'Database Mitra'!AK$2:AK905,0)),"")</f>
        <v/>
      </c>
      <c r="D463" s="23"/>
      <c r="E463" s="5" t="str">
        <f t="array" ref="E463">IF(W463=1,INDEX('Input Kegiatan'!B$2:B905,MATCH($D463,'Input Kegiatan'!$A$2:$A905,0)),"")</f>
        <v/>
      </c>
      <c r="F463" s="5" t="str">
        <f t="array" ref="F463">IF(W463=1,INDEX('Input Kegiatan'!D$2:D905,MATCH($D463,'Input Kegiatan'!$A$2:$A905,0)),"")</f>
        <v/>
      </c>
      <c r="G463" s="5" t="str">
        <f t="array" ref="G463">IF(W463=1,INDEX('Input Kegiatan'!E$2:E905,MATCH($D463,'Input Kegiatan'!$A$2:$A905,0)),"")</f>
        <v/>
      </c>
      <c r="H463" s="5" t="str">
        <f t="array" ref="H463">IF(W463=1,INDEX(Honor!$H$2:$H905,MATCH($D463&amp;"-"&amp;R463,Honor!$K$2:$K905,0)),"")</f>
        <v/>
      </c>
      <c r="I463" s="8" t="str">
        <f>IF(W463=1,SUMIFS(Honor!$I$2:$I905,Honor!$K$2:$K905,$D463&amp;"-"&amp;R463),"")</f>
        <v/>
      </c>
      <c r="J463" s="9" t="str">
        <f t="shared" si="6"/>
        <v/>
      </c>
      <c r="K463" s="10" t="str">
        <f t="shared" si="0"/>
        <v/>
      </c>
      <c r="L463" s="10" t="str">
        <f t="shared" si="1"/>
        <v/>
      </c>
      <c r="M463" s="10" t="str">
        <f>IF(W463=1,IF(AND(U463&lt;2,INT(V463)&lt;='Batasan Honor'!$B$2),1,0),"")</f>
        <v/>
      </c>
      <c r="O463" s="10" t="str">
        <f t="shared" si="2"/>
        <v/>
      </c>
      <c r="P463" s="10" t="str">
        <f t="shared" si="3"/>
        <v/>
      </c>
      <c r="R463" s="23"/>
      <c r="S463" s="10" t="str">
        <f t="shared" si="4"/>
        <v/>
      </c>
      <c r="U463" s="10" t="str">
        <f ca="1">IFERROR(__xludf.DUMMYFUNCTION("if(W463=1,COUNTIFS(FILTER($H$2:$H905,$H$2:$H905=""OB"",$S$2:$S905=S463),""OB""),"""")"),"")</f>
        <v/>
      </c>
      <c r="V463" s="10" t="str">
        <f ca="1">IFERROR(__xludf.DUMMYFUNCTION("IF(OR(ISNA(SUM(FILTER($K$2:$K905,$A$2:$A905=A463,$S$2:$S905=S463,$H$2:$H905&lt;&gt;""OB""))),W463&lt;&gt;1),"""",SUM(FILTER($K$2:$K905,$A$2:$A905=A463,$S$2:$S905=S463,$H$2:$H905&lt;&gt;""OB"")))"),"")</f>
        <v/>
      </c>
      <c r="W463" s="10" t="str">
        <f t="shared" si="5"/>
        <v/>
      </c>
    </row>
    <row r="464" spans="1:23" ht="12.5">
      <c r="A464" s="23"/>
      <c r="B464" s="5" t="str">
        <f t="array" ref="B464">IF(W464=1,INDEX('Database Mitra'!$H$2:$H905,MATCH(A464,'Database Mitra'!AK$2:AK905,0)),"")</f>
        <v/>
      </c>
      <c r="C464" s="5" t="str">
        <f t="array" ref="C464">IF(W464=1,INDEX('Database Mitra'!$E$2:$E905,MATCH(A464,'Database Mitra'!AK$2:AK905,0)),"")</f>
        <v/>
      </c>
      <c r="D464" s="23"/>
      <c r="E464" s="5" t="str">
        <f t="array" ref="E464">IF(W464=1,INDEX('Input Kegiatan'!B$2:B905,MATCH($D464,'Input Kegiatan'!$A$2:$A905,0)),"")</f>
        <v/>
      </c>
      <c r="F464" s="5" t="str">
        <f t="array" ref="F464">IF(W464=1,INDEX('Input Kegiatan'!D$2:D905,MATCH($D464,'Input Kegiatan'!$A$2:$A905,0)),"")</f>
        <v/>
      </c>
      <c r="G464" s="5" t="str">
        <f t="array" ref="G464">IF(W464=1,INDEX('Input Kegiatan'!E$2:E905,MATCH($D464,'Input Kegiatan'!$A$2:$A905,0)),"")</f>
        <v/>
      </c>
      <c r="H464" s="5" t="str">
        <f t="array" ref="H464">IF(W464=1,INDEX(Honor!$H$2:$H905,MATCH($D464&amp;"-"&amp;R464,Honor!$K$2:$K905,0)),"")</f>
        <v/>
      </c>
      <c r="I464" s="8" t="str">
        <f>IF(W464=1,SUMIFS(Honor!$I$2:$I905,Honor!$K$2:$K905,$D464&amp;"-"&amp;R464),"")</f>
        <v/>
      </c>
      <c r="J464" s="9" t="str">
        <f t="shared" si="6"/>
        <v/>
      </c>
      <c r="K464" s="10" t="str">
        <f t="shared" si="0"/>
        <v/>
      </c>
      <c r="L464" s="10" t="str">
        <f t="shared" si="1"/>
        <v/>
      </c>
      <c r="M464" s="10" t="str">
        <f>IF(W464=1,IF(AND(U464&lt;2,INT(V464)&lt;='Batasan Honor'!$B$2),1,0),"")</f>
        <v/>
      </c>
      <c r="O464" s="10" t="str">
        <f t="shared" si="2"/>
        <v/>
      </c>
      <c r="P464" s="10" t="str">
        <f t="shared" si="3"/>
        <v/>
      </c>
      <c r="R464" s="23"/>
      <c r="S464" s="10" t="str">
        <f t="shared" si="4"/>
        <v/>
      </c>
      <c r="U464" s="10" t="str">
        <f ca="1">IFERROR(__xludf.DUMMYFUNCTION("if(W464=1,COUNTIFS(FILTER($H$2:$H905,$H$2:$H905=""OB"",$S$2:$S905=S464),""OB""),"""")"),"")</f>
        <v/>
      </c>
      <c r="V464" s="10" t="str">
        <f ca="1">IFERROR(__xludf.DUMMYFUNCTION("IF(OR(ISNA(SUM(FILTER($K$2:$K905,$A$2:$A905=A464,$S$2:$S905=S464,$H$2:$H905&lt;&gt;""OB""))),W464&lt;&gt;1),"""",SUM(FILTER($K$2:$K905,$A$2:$A905=A464,$S$2:$S905=S464,$H$2:$H905&lt;&gt;""OB"")))"),"")</f>
        <v/>
      </c>
      <c r="W464" s="10" t="str">
        <f t="shared" si="5"/>
        <v/>
      </c>
    </row>
    <row r="465" spans="1:23" ht="12.5">
      <c r="A465" s="23"/>
      <c r="B465" s="5" t="str">
        <f t="array" ref="B465">IF(W465=1,INDEX('Database Mitra'!$H$2:$H905,MATCH(A465,'Database Mitra'!AK$2:AK905,0)),"")</f>
        <v/>
      </c>
      <c r="C465" s="5" t="str">
        <f t="array" ref="C465">IF(W465=1,INDEX('Database Mitra'!$E$2:$E905,MATCH(A465,'Database Mitra'!AK$2:AK905,0)),"")</f>
        <v/>
      </c>
      <c r="D465" s="23"/>
      <c r="E465" s="5" t="str">
        <f t="array" ref="E465">IF(W465=1,INDEX('Input Kegiatan'!B$2:B905,MATCH($D465,'Input Kegiatan'!$A$2:$A905,0)),"")</f>
        <v/>
      </c>
      <c r="F465" s="5" t="str">
        <f t="array" ref="F465">IF(W465=1,INDEX('Input Kegiatan'!D$2:D905,MATCH($D465,'Input Kegiatan'!$A$2:$A905,0)),"")</f>
        <v/>
      </c>
      <c r="G465" s="5" t="str">
        <f t="array" ref="G465">IF(W465=1,INDEX('Input Kegiatan'!E$2:E905,MATCH($D465,'Input Kegiatan'!$A$2:$A905,0)),"")</f>
        <v/>
      </c>
      <c r="H465" s="5" t="str">
        <f t="array" ref="H465">IF(W465=1,INDEX(Honor!$H$2:$H905,MATCH($D465&amp;"-"&amp;R465,Honor!$K$2:$K905,0)),"")</f>
        <v/>
      </c>
      <c r="I465" s="8" t="str">
        <f>IF(W465=1,SUMIFS(Honor!$I$2:$I905,Honor!$K$2:$K905,$D465&amp;"-"&amp;R465),"")</f>
        <v/>
      </c>
      <c r="J465" s="9" t="str">
        <f t="shared" si="6"/>
        <v/>
      </c>
      <c r="K465" s="10" t="str">
        <f t="shared" si="0"/>
        <v/>
      </c>
      <c r="L465" s="10" t="str">
        <f t="shared" si="1"/>
        <v/>
      </c>
      <c r="M465" s="10" t="str">
        <f>IF(W465=1,IF(AND(U465&lt;2,INT(V465)&lt;='Batasan Honor'!$B$2),1,0),"")</f>
        <v/>
      </c>
      <c r="O465" s="10" t="str">
        <f t="shared" si="2"/>
        <v/>
      </c>
      <c r="P465" s="10" t="str">
        <f t="shared" si="3"/>
        <v/>
      </c>
      <c r="R465" s="23"/>
      <c r="S465" s="10" t="str">
        <f t="shared" si="4"/>
        <v/>
      </c>
      <c r="U465" s="10" t="str">
        <f ca="1">IFERROR(__xludf.DUMMYFUNCTION("if(W465=1,COUNTIFS(FILTER($H$2:$H905,$H$2:$H905=""OB"",$S$2:$S905=S465),""OB""),"""")"),"")</f>
        <v/>
      </c>
      <c r="V465" s="10" t="str">
        <f ca="1">IFERROR(__xludf.DUMMYFUNCTION("IF(OR(ISNA(SUM(FILTER($K$2:$K905,$A$2:$A905=A465,$S$2:$S905=S465,$H$2:$H905&lt;&gt;""OB""))),W465&lt;&gt;1),"""",SUM(FILTER($K$2:$K905,$A$2:$A905=A465,$S$2:$S905=S465,$H$2:$H905&lt;&gt;""OB"")))"),"")</f>
        <v/>
      </c>
      <c r="W465" s="10" t="str">
        <f t="shared" si="5"/>
        <v/>
      </c>
    </row>
    <row r="466" spans="1:23" ht="12.5">
      <c r="A466" s="23"/>
      <c r="B466" s="5" t="str">
        <f t="array" ref="B466">IF(W466=1,INDEX('Database Mitra'!$H$2:$H905,MATCH(A466,'Database Mitra'!AK$2:AK905,0)),"")</f>
        <v/>
      </c>
      <c r="C466" s="5" t="str">
        <f t="array" ref="C466">IF(W466=1,INDEX('Database Mitra'!$E$2:$E905,MATCH(A466,'Database Mitra'!AK$2:AK905,0)),"")</f>
        <v/>
      </c>
      <c r="D466" s="23"/>
      <c r="E466" s="5" t="str">
        <f t="array" ref="E466">IF(W466=1,INDEX('Input Kegiatan'!B$2:B905,MATCH($D466,'Input Kegiatan'!$A$2:$A905,0)),"")</f>
        <v/>
      </c>
      <c r="F466" s="5" t="str">
        <f t="array" ref="F466">IF(W466=1,INDEX('Input Kegiatan'!D$2:D905,MATCH($D466,'Input Kegiatan'!$A$2:$A905,0)),"")</f>
        <v/>
      </c>
      <c r="G466" s="5" t="str">
        <f t="array" ref="G466">IF(W466=1,INDEX('Input Kegiatan'!E$2:E905,MATCH($D466,'Input Kegiatan'!$A$2:$A905,0)),"")</f>
        <v/>
      </c>
      <c r="H466" s="5" t="str">
        <f t="array" ref="H466">IF(W466=1,INDEX(Honor!$H$2:$H905,MATCH($D466&amp;"-"&amp;R466,Honor!$K$2:$K905,0)),"")</f>
        <v/>
      </c>
      <c r="I466" s="8" t="str">
        <f>IF(W466=1,SUMIFS(Honor!$I$2:$I905,Honor!$K$2:$K905,$D466&amp;"-"&amp;R466),"")</f>
        <v/>
      </c>
      <c r="J466" s="9" t="str">
        <f t="shared" si="6"/>
        <v/>
      </c>
      <c r="K466" s="10" t="str">
        <f t="shared" si="0"/>
        <v/>
      </c>
      <c r="L466" s="10" t="str">
        <f t="shared" si="1"/>
        <v/>
      </c>
      <c r="M466" s="10" t="str">
        <f>IF(W466=1,IF(AND(U466&lt;2,INT(V466)&lt;='Batasan Honor'!$B$2),1,0),"")</f>
        <v/>
      </c>
      <c r="O466" s="10" t="str">
        <f t="shared" si="2"/>
        <v/>
      </c>
      <c r="P466" s="10" t="str">
        <f t="shared" si="3"/>
        <v/>
      </c>
      <c r="R466" s="23"/>
      <c r="S466" s="10" t="str">
        <f t="shared" si="4"/>
        <v/>
      </c>
      <c r="U466" s="10" t="str">
        <f ca="1">IFERROR(__xludf.DUMMYFUNCTION("if(W466=1,COUNTIFS(FILTER($H$2:$H905,$H$2:$H905=""OB"",$S$2:$S905=S466),""OB""),"""")"),"")</f>
        <v/>
      </c>
      <c r="V466" s="10" t="str">
        <f ca="1">IFERROR(__xludf.DUMMYFUNCTION("IF(OR(ISNA(SUM(FILTER($K$2:$K905,$A$2:$A905=A466,$S$2:$S905=S466,$H$2:$H905&lt;&gt;""OB""))),W466&lt;&gt;1),"""",SUM(FILTER($K$2:$K905,$A$2:$A905=A466,$S$2:$S905=S466,$H$2:$H905&lt;&gt;""OB"")))"),"")</f>
        <v/>
      </c>
      <c r="W466" s="10" t="str">
        <f t="shared" si="5"/>
        <v/>
      </c>
    </row>
    <row r="467" spans="1:23" ht="12.5">
      <c r="A467" s="23"/>
      <c r="B467" s="5" t="str">
        <f t="array" ref="B467">IF(W467=1,INDEX('Database Mitra'!$H$2:$H905,MATCH(A467,'Database Mitra'!AK$2:AK905,0)),"")</f>
        <v/>
      </c>
      <c r="C467" s="5" t="str">
        <f t="array" ref="C467">IF(W467=1,INDEX('Database Mitra'!$E$2:$E905,MATCH(A467,'Database Mitra'!AK$2:AK905,0)),"")</f>
        <v/>
      </c>
      <c r="D467" s="23"/>
      <c r="E467" s="5" t="str">
        <f t="array" ref="E467">IF(W467=1,INDEX('Input Kegiatan'!B$2:B905,MATCH($D467,'Input Kegiatan'!$A$2:$A905,0)),"")</f>
        <v/>
      </c>
      <c r="F467" s="5" t="str">
        <f t="array" ref="F467">IF(W467=1,INDEX('Input Kegiatan'!D$2:D905,MATCH($D467,'Input Kegiatan'!$A$2:$A905,0)),"")</f>
        <v/>
      </c>
      <c r="G467" s="5" t="str">
        <f t="array" ref="G467">IF(W467=1,INDEX('Input Kegiatan'!E$2:E905,MATCH($D467,'Input Kegiatan'!$A$2:$A905,0)),"")</f>
        <v/>
      </c>
      <c r="H467" s="5" t="str">
        <f t="array" ref="H467">IF(W467=1,INDEX(Honor!$H$2:$H905,MATCH($D467&amp;"-"&amp;R467,Honor!$K$2:$K905,0)),"")</f>
        <v/>
      </c>
      <c r="I467" s="8" t="str">
        <f>IF(W467=1,SUMIFS(Honor!$I$2:$I905,Honor!$K$2:$K905,$D467&amp;"-"&amp;R467),"")</f>
        <v/>
      </c>
      <c r="J467" s="9" t="str">
        <f t="shared" si="6"/>
        <v/>
      </c>
      <c r="K467" s="10" t="str">
        <f t="shared" si="0"/>
        <v/>
      </c>
      <c r="L467" s="10" t="str">
        <f t="shared" si="1"/>
        <v/>
      </c>
      <c r="M467" s="10" t="str">
        <f>IF(W467=1,IF(AND(U467&lt;2,INT(V467)&lt;='Batasan Honor'!$B$2),1,0),"")</f>
        <v/>
      </c>
      <c r="O467" s="10" t="str">
        <f t="shared" si="2"/>
        <v/>
      </c>
      <c r="P467" s="10" t="str">
        <f t="shared" si="3"/>
        <v/>
      </c>
      <c r="R467" s="23"/>
      <c r="S467" s="10" t="str">
        <f t="shared" si="4"/>
        <v/>
      </c>
      <c r="U467" s="10" t="str">
        <f ca="1">IFERROR(__xludf.DUMMYFUNCTION("if(W467=1,COUNTIFS(FILTER($H$2:$H905,$H$2:$H905=""OB"",$S$2:$S905=S467),""OB""),"""")"),"")</f>
        <v/>
      </c>
      <c r="V467" s="10" t="str">
        <f ca="1">IFERROR(__xludf.DUMMYFUNCTION("IF(OR(ISNA(SUM(FILTER($K$2:$K905,$A$2:$A905=A467,$S$2:$S905=S467,$H$2:$H905&lt;&gt;""OB""))),W467&lt;&gt;1),"""",SUM(FILTER($K$2:$K905,$A$2:$A905=A467,$S$2:$S905=S467,$H$2:$H905&lt;&gt;""OB"")))"),"")</f>
        <v/>
      </c>
      <c r="W467" s="10" t="str">
        <f t="shared" si="5"/>
        <v/>
      </c>
    </row>
    <row r="468" spans="1:23" ht="12.5">
      <c r="A468" s="23"/>
      <c r="B468" s="5" t="str">
        <f t="array" ref="B468">IF(W468=1,INDEX('Database Mitra'!$H$2:$H905,MATCH(A468,'Database Mitra'!AK$2:AK905,0)),"")</f>
        <v/>
      </c>
      <c r="C468" s="5" t="str">
        <f t="array" ref="C468">IF(W468=1,INDEX('Database Mitra'!$E$2:$E905,MATCH(A468,'Database Mitra'!AK$2:AK905,0)),"")</f>
        <v/>
      </c>
      <c r="D468" s="23"/>
      <c r="E468" s="5" t="str">
        <f t="array" ref="E468">IF(W468=1,INDEX('Input Kegiatan'!B$2:B905,MATCH($D468,'Input Kegiatan'!$A$2:$A905,0)),"")</f>
        <v/>
      </c>
      <c r="F468" s="5" t="str">
        <f t="array" ref="F468">IF(W468=1,INDEX('Input Kegiatan'!D$2:D905,MATCH($D468,'Input Kegiatan'!$A$2:$A905,0)),"")</f>
        <v/>
      </c>
      <c r="G468" s="5" t="str">
        <f t="array" ref="G468">IF(W468=1,INDEX('Input Kegiatan'!E$2:E905,MATCH($D468,'Input Kegiatan'!$A$2:$A905,0)),"")</f>
        <v/>
      </c>
      <c r="H468" s="5" t="str">
        <f t="array" ref="H468">IF(W468=1,INDEX(Honor!$H$2:$H905,MATCH($D468&amp;"-"&amp;R468,Honor!$K$2:$K905,0)),"")</f>
        <v/>
      </c>
      <c r="I468" s="8" t="str">
        <f>IF(W468=1,SUMIFS(Honor!$I$2:$I905,Honor!$K$2:$K905,$D468&amp;"-"&amp;R468),"")</f>
        <v/>
      </c>
      <c r="J468" s="9" t="str">
        <f t="shared" si="6"/>
        <v/>
      </c>
      <c r="K468" s="10" t="str">
        <f t="shared" si="0"/>
        <v/>
      </c>
      <c r="L468" s="10" t="str">
        <f t="shared" si="1"/>
        <v/>
      </c>
      <c r="M468" s="10" t="str">
        <f>IF(W468=1,IF(AND(U468&lt;2,INT(V468)&lt;='Batasan Honor'!$B$2),1,0),"")</f>
        <v/>
      </c>
      <c r="O468" s="10" t="str">
        <f t="shared" si="2"/>
        <v/>
      </c>
      <c r="P468" s="10" t="str">
        <f t="shared" si="3"/>
        <v/>
      </c>
      <c r="R468" s="23"/>
      <c r="S468" s="10" t="str">
        <f t="shared" si="4"/>
        <v/>
      </c>
      <c r="U468" s="10" t="str">
        <f ca="1">IFERROR(__xludf.DUMMYFUNCTION("if(W468=1,COUNTIFS(FILTER($H$2:$H905,$H$2:$H905=""OB"",$S$2:$S905=S468),""OB""),"""")"),"")</f>
        <v/>
      </c>
      <c r="V468" s="10" t="str">
        <f ca="1">IFERROR(__xludf.DUMMYFUNCTION("IF(OR(ISNA(SUM(FILTER($K$2:$K905,$A$2:$A905=A468,$S$2:$S905=S468,$H$2:$H905&lt;&gt;""OB""))),W468&lt;&gt;1),"""",SUM(FILTER($K$2:$K905,$A$2:$A905=A468,$S$2:$S905=S468,$H$2:$H905&lt;&gt;""OB"")))"),"")</f>
        <v/>
      </c>
      <c r="W468" s="10" t="str">
        <f t="shared" si="5"/>
        <v/>
      </c>
    </row>
    <row r="469" spans="1:23" ht="12.5">
      <c r="A469" s="23"/>
      <c r="B469" s="5" t="str">
        <f t="array" ref="B469">IF(W469=1,INDEX('Database Mitra'!$H$2:$H905,MATCH(A469,'Database Mitra'!AK$2:AK905,0)),"")</f>
        <v/>
      </c>
      <c r="C469" s="5" t="str">
        <f t="array" ref="C469">IF(W469=1,INDEX('Database Mitra'!$E$2:$E905,MATCH(A469,'Database Mitra'!AK$2:AK905,0)),"")</f>
        <v/>
      </c>
      <c r="D469" s="23"/>
      <c r="E469" s="5" t="str">
        <f t="array" ref="E469">IF(W469=1,INDEX('Input Kegiatan'!B$2:B905,MATCH($D469,'Input Kegiatan'!$A$2:$A905,0)),"")</f>
        <v/>
      </c>
      <c r="F469" s="5" t="str">
        <f t="array" ref="F469">IF(W469=1,INDEX('Input Kegiatan'!D$2:D905,MATCH($D469,'Input Kegiatan'!$A$2:$A905,0)),"")</f>
        <v/>
      </c>
      <c r="G469" s="5" t="str">
        <f t="array" ref="G469">IF(W469=1,INDEX('Input Kegiatan'!E$2:E905,MATCH($D469,'Input Kegiatan'!$A$2:$A905,0)),"")</f>
        <v/>
      </c>
      <c r="H469" s="5" t="str">
        <f t="array" ref="H469">IF(W469=1,INDEX(Honor!$H$2:$H905,MATCH($D469&amp;"-"&amp;R469,Honor!$K$2:$K905,0)),"")</f>
        <v/>
      </c>
      <c r="I469" s="8" t="str">
        <f>IF(W469=1,SUMIFS(Honor!$I$2:$I905,Honor!$K$2:$K905,$D469&amp;"-"&amp;R469),"")</f>
        <v/>
      </c>
      <c r="J469" s="9" t="str">
        <f t="shared" si="6"/>
        <v/>
      </c>
      <c r="K469" s="10" t="str">
        <f t="shared" si="0"/>
        <v/>
      </c>
      <c r="L469" s="10" t="str">
        <f t="shared" si="1"/>
        <v/>
      </c>
      <c r="M469" s="10" t="str">
        <f>IF(W469=1,IF(AND(U469&lt;2,INT(V469)&lt;='Batasan Honor'!$B$2),1,0),"")</f>
        <v/>
      </c>
      <c r="O469" s="10" t="str">
        <f t="shared" si="2"/>
        <v/>
      </c>
      <c r="P469" s="10" t="str">
        <f t="shared" si="3"/>
        <v/>
      </c>
      <c r="R469" s="23"/>
      <c r="S469" s="10" t="str">
        <f t="shared" si="4"/>
        <v/>
      </c>
      <c r="U469" s="10" t="str">
        <f ca="1">IFERROR(__xludf.DUMMYFUNCTION("if(W469=1,COUNTIFS(FILTER($H$2:$H905,$H$2:$H905=""OB"",$S$2:$S905=S469),""OB""),"""")"),"")</f>
        <v/>
      </c>
      <c r="V469" s="10" t="str">
        <f ca="1">IFERROR(__xludf.DUMMYFUNCTION("IF(OR(ISNA(SUM(FILTER($K$2:$K905,$A$2:$A905=A469,$S$2:$S905=S469,$H$2:$H905&lt;&gt;""OB""))),W469&lt;&gt;1),"""",SUM(FILTER($K$2:$K905,$A$2:$A905=A469,$S$2:$S905=S469,$H$2:$H905&lt;&gt;""OB"")))"),"")</f>
        <v/>
      </c>
      <c r="W469" s="10" t="str">
        <f t="shared" si="5"/>
        <v/>
      </c>
    </row>
    <row r="470" spans="1:23" ht="12.5">
      <c r="A470" s="23"/>
      <c r="B470" s="5" t="str">
        <f t="array" ref="B470">IF(W470=1,INDEX('Database Mitra'!$H$2:$H905,MATCH(A470,'Database Mitra'!AK$2:AK905,0)),"")</f>
        <v/>
      </c>
      <c r="C470" s="5" t="str">
        <f t="array" ref="C470">IF(W470=1,INDEX('Database Mitra'!$E$2:$E905,MATCH(A470,'Database Mitra'!AK$2:AK905,0)),"")</f>
        <v/>
      </c>
      <c r="D470" s="23"/>
      <c r="E470" s="5" t="str">
        <f t="array" ref="E470">IF(W470=1,INDEX('Input Kegiatan'!B$2:B905,MATCH($D470,'Input Kegiatan'!$A$2:$A905,0)),"")</f>
        <v/>
      </c>
      <c r="F470" s="5" t="str">
        <f t="array" ref="F470">IF(W470=1,INDEX('Input Kegiatan'!D$2:D905,MATCH($D470,'Input Kegiatan'!$A$2:$A905,0)),"")</f>
        <v/>
      </c>
      <c r="G470" s="5" t="str">
        <f t="array" ref="G470">IF(W470=1,INDEX('Input Kegiatan'!E$2:E905,MATCH($D470,'Input Kegiatan'!$A$2:$A905,0)),"")</f>
        <v/>
      </c>
      <c r="H470" s="5" t="str">
        <f t="array" ref="H470">IF(W470=1,INDEX(Honor!$H$2:$H905,MATCH($D470&amp;"-"&amp;R470,Honor!$K$2:$K905,0)),"")</f>
        <v/>
      </c>
      <c r="I470" s="8" t="str">
        <f>IF(W470=1,SUMIFS(Honor!$I$2:$I905,Honor!$K$2:$K905,$D470&amp;"-"&amp;R470),"")</f>
        <v/>
      </c>
      <c r="J470" s="9" t="str">
        <f t="shared" si="6"/>
        <v/>
      </c>
      <c r="K470" s="10" t="str">
        <f t="shared" si="0"/>
        <v/>
      </c>
      <c r="L470" s="10" t="str">
        <f t="shared" si="1"/>
        <v/>
      </c>
      <c r="M470" s="10" t="str">
        <f>IF(W470=1,IF(AND(U470&lt;2,INT(V470)&lt;='Batasan Honor'!$B$2),1,0),"")</f>
        <v/>
      </c>
      <c r="O470" s="10" t="str">
        <f t="shared" si="2"/>
        <v/>
      </c>
      <c r="P470" s="10" t="str">
        <f t="shared" si="3"/>
        <v/>
      </c>
      <c r="R470" s="23"/>
      <c r="S470" s="10" t="str">
        <f t="shared" si="4"/>
        <v/>
      </c>
      <c r="U470" s="10" t="str">
        <f ca="1">IFERROR(__xludf.DUMMYFUNCTION("if(W470=1,COUNTIFS(FILTER($H$2:$H905,$H$2:$H905=""OB"",$S$2:$S905=S470),""OB""),"""")"),"")</f>
        <v/>
      </c>
      <c r="V470" s="10" t="str">
        <f ca="1">IFERROR(__xludf.DUMMYFUNCTION("IF(OR(ISNA(SUM(FILTER($K$2:$K905,$A$2:$A905=A470,$S$2:$S905=S470,$H$2:$H905&lt;&gt;""OB""))),W470&lt;&gt;1),"""",SUM(FILTER($K$2:$K905,$A$2:$A905=A470,$S$2:$S905=S470,$H$2:$H905&lt;&gt;""OB"")))"),"")</f>
        <v/>
      </c>
      <c r="W470" s="10" t="str">
        <f t="shared" si="5"/>
        <v/>
      </c>
    </row>
    <row r="471" spans="1:23" ht="12.5">
      <c r="A471" s="23"/>
      <c r="B471" s="5" t="str">
        <f t="array" ref="B471">IF(W471=1,INDEX('Database Mitra'!$H$2:$H905,MATCH(A471,'Database Mitra'!AK$2:AK905,0)),"")</f>
        <v/>
      </c>
      <c r="C471" s="5" t="str">
        <f t="array" ref="C471">IF(W471=1,INDEX('Database Mitra'!$E$2:$E905,MATCH(A471,'Database Mitra'!AK$2:AK905,0)),"")</f>
        <v/>
      </c>
      <c r="D471" s="23"/>
      <c r="E471" s="5" t="str">
        <f t="array" ref="E471">IF(W471=1,INDEX('Input Kegiatan'!B$2:B905,MATCH($D471,'Input Kegiatan'!$A$2:$A905,0)),"")</f>
        <v/>
      </c>
      <c r="F471" s="5" t="str">
        <f t="array" ref="F471">IF(W471=1,INDEX('Input Kegiatan'!D$2:D905,MATCH($D471,'Input Kegiatan'!$A$2:$A905,0)),"")</f>
        <v/>
      </c>
      <c r="G471" s="5" t="str">
        <f t="array" ref="G471">IF(W471=1,INDEX('Input Kegiatan'!E$2:E905,MATCH($D471,'Input Kegiatan'!$A$2:$A905,0)),"")</f>
        <v/>
      </c>
      <c r="H471" s="5" t="str">
        <f t="array" ref="H471">IF(W471=1,INDEX(Honor!$H$2:$H905,MATCH($D471&amp;"-"&amp;R471,Honor!$K$2:$K905,0)),"")</f>
        <v/>
      </c>
      <c r="I471" s="8" t="str">
        <f>IF(W471=1,SUMIFS(Honor!$I$2:$I905,Honor!$K$2:$K905,$D471&amp;"-"&amp;R471),"")</f>
        <v/>
      </c>
      <c r="J471" s="9" t="str">
        <f t="shared" si="6"/>
        <v/>
      </c>
      <c r="K471" s="10" t="str">
        <f t="shared" si="0"/>
        <v/>
      </c>
      <c r="L471" s="10" t="str">
        <f t="shared" si="1"/>
        <v/>
      </c>
      <c r="M471" s="10" t="str">
        <f>IF(W471=1,IF(AND(U471&lt;2,INT(V471)&lt;='Batasan Honor'!$B$2),1,0),"")</f>
        <v/>
      </c>
      <c r="O471" s="10" t="str">
        <f t="shared" si="2"/>
        <v/>
      </c>
      <c r="P471" s="10" t="str">
        <f t="shared" si="3"/>
        <v/>
      </c>
      <c r="R471" s="23"/>
      <c r="S471" s="10" t="str">
        <f t="shared" si="4"/>
        <v/>
      </c>
      <c r="U471" s="10" t="str">
        <f ca="1">IFERROR(__xludf.DUMMYFUNCTION("if(W471=1,COUNTIFS(FILTER($H$2:$H905,$H$2:$H905=""OB"",$S$2:$S905=S471),""OB""),"""")"),"")</f>
        <v/>
      </c>
      <c r="V471" s="10" t="str">
        <f ca="1">IFERROR(__xludf.DUMMYFUNCTION("IF(OR(ISNA(SUM(FILTER($K$2:$K905,$A$2:$A905=A471,$S$2:$S905=S471,$H$2:$H905&lt;&gt;""OB""))),W471&lt;&gt;1),"""",SUM(FILTER($K$2:$K905,$A$2:$A905=A471,$S$2:$S905=S471,$H$2:$H905&lt;&gt;""OB"")))"),"")</f>
        <v/>
      </c>
      <c r="W471" s="10" t="str">
        <f t="shared" si="5"/>
        <v/>
      </c>
    </row>
    <row r="472" spans="1:23" ht="12.5">
      <c r="A472" s="23"/>
      <c r="B472" s="5" t="str">
        <f t="array" ref="B472">IF(W472=1,INDEX('Database Mitra'!$H$2:$H905,MATCH(A472,'Database Mitra'!AK$2:AK905,0)),"")</f>
        <v/>
      </c>
      <c r="C472" s="5" t="str">
        <f t="array" ref="C472">IF(W472=1,INDEX('Database Mitra'!$E$2:$E905,MATCH(A472,'Database Mitra'!AK$2:AK905,0)),"")</f>
        <v/>
      </c>
      <c r="D472" s="23"/>
      <c r="E472" s="5" t="str">
        <f t="array" ref="E472">IF(W472=1,INDEX('Input Kegiatan'!B$2:B905,MATCH($D472,'Input Kegiatan'!$A$2:$A905,0)),"")</f>
        <v/>
      </c>
      <c r="F472" s="5" t="str">
        <f t="array" ref="F472">IF(W472=1,INDEX('Input Kegiatan'!D$2:D905,MATCH($D472,'Input Kegiatan'!$A$2:$A905,0)),"")</f>
        <v/>
      </c>
      <c r="G472" s="5" t="str">
        <f t="array" ref="G472">IF(W472=1,INDEX('Input Kegiatan'!E$2:E905,MATCH($D472,'Input Kegiatan'!$A$2:$A905,0)),"")</f>
        <v/>
      </c>
      <c r="H472" s="5" t="str">
        <f t="array" ref="H472">IF(W472=1,INDEX(Honor!$H$2:$H905,MATCH($D472&amp;"-"&amp;R472,Honor!$K$2:$K905,0)),"")</f>
        <v/>
      </c>
      <c r="I472" s="8" t="str">
        <f>IF(W472=1,SUMIFS(Honor!$I$2:$I905,Honor!$K$2:$K905,$D472&amp;"-"&amp;R472),"")</f>
        <v/>
      </c>
      <c r="J472" s="9" t="str">
        <f t="shared" si="6"/>
        <v/>
      </c>
      <c r="K472" s="10" t="str">
        <f t="shared" si="0"/>
        <v/>
      </c>
      <c r="L472" s="10" t="str">
        <f t="shared" si="1"/>
        <v/>
      </c>
      <c r="M472" s="10" t="str">
        <f>IF(W472=1,IF(AND(U472&lt;2,INT(V472)&lt;='Batasan Honor'!$B$2),1,0),"")</f>
        <v/>
      </c>
      <c r="O472" s="10" t="str">
        <f t="shared" si="2"/>
        <v/>
      </c>
      <c r="P472" s="10" t="str">
        <f t="shared" si="3"/>
        <v/>
      </c>
      <c r="R472" s="23"/>
      <c r="S472" s="10" t="str">
        <f t="shared" si="4"/>
        <v/>
      </c>
      <c r="U472" s="10" t="str">
        <f ca="1">IFERROR(__xludf.DUMMYFUNCTION("if(W472=1,COUNTIFS(FILTER($H$2:$H905,$H$2:$H905=""OB"",$S$2:$S905=S472),""OB""),"""")"),"")</f>
        <v/>
      </c>
      <c r="V472" s="10" t="str">
        <f ca="1">IFERROR(__xludf.DUMMYFUNCTION("IF(OR(ISNA(SUM(FILTER($K$2:$K905,$A$2:$A905=A472,$S$2:$S905=S472,$H$2:$H905&lt;&gt;""OB""))),W472&lt;&gt;1),"""",SUM(FILTER($K$2:$K905,$A$2:$A905=A472,$S$2:$S905=S472,$H$2:$H905&lt;&gt;""OB"")))"),"")</f>
        <v/>
      </c>
      <c r="W472" s="10" t="str">
        <f t="shared" si="5"/>
        <v/>
      </c>
    </row>
    <row r="473" spans="1:23" ht="12.5">
      <c r="A473" s="23"/>
      <c r="B473" s="5" t="str">
        <f t="array" ref="B473">IF(W473=1,INDEX('Database Mitra'!$H$2:$H905,MATCH(A473,'Database Mitra'!AK$2:AK905,0)),"")</f>
        <v/>
      </c>
      <c r="C473" s="5" t="str">
        <f t="array" ref="C473">IF(W473=1,INDEX('Database Mitra'!$E$2:$E905,MATCH(A473,'Database Mitra'!AK$2:AK905,0)),"")</f>
        <v/>
      </c>
      <c r="D473" s="23"/>
      <c r="E473" s="5" t="str">
        <f t="array" ref="E473">IF(W473=1,INDEX('Input Kegiatan'!B$2:B905,MATCH($D473,'Input Kegiatan'!$A$2:$A905,0)),"")</f>
        <v/>
      </c>
      <c r="F473" s="5" t="str">
        <f t="array" ref="F473">IF(W473=1,INDEX('Input Kegiatan'!D$2:D905,MATCH($D473,'Input Kegiatan'!$A$2:$A905,0)),"")</f>
        <v/>
      </c>
      <c r="G473" s="5" t="str">
        <f t="array" ref="G473">IF(W473=1,INDEX('Input Kegiatan'!E$2:E905,MATCH($D473,'Input Kegiatan'!$A$2:$A905,0)),"")</f>
        <v/>
      </c>
      <c r="H473" s="5" t="str">
        <f t="array" ref="H473">IF(W473=1,INDEX(Honor!$H$2:$H905,MATCH($D473&amp;"-"&amp;R473,Honor!$K$2:$K905,0)),"")</f>
        <v/>
      </c>
      <c r="I473" s="8" t="str">
        <f>IF(W473=1,SUMIFS(Honor!$I$2:$I905,Honor!$K$2:$K905,$D473&amp;"-"&amp;R473),"")</f>
        <v/>
      </c>
      <c r="J473" s="9" t="str">
        <f t="shared" si="6"/>
        <v/>
      </c>
      <c r="K473" s="10" t="str">
        <f t="shared" si="0"/>
        <v/>
      </c>
      <c r="L473" s="10" t="str">
        <f t="shared" si="1"/>
        <v/>
      </c>
      <c r="M473" s="10" t="str">
        <f>IF(W473=1,IF(AND(U473&lt;2,INT(V473)&lt;='Batasan Honor'!$B$2),1,0),"")</f>
        <v/>
      </c>
      <c r="O473" s="10" t="str">
        <f t="shared" si="2"/>
        <v/>
      </c>
      <c r="P473" s="10" t="str">
        <f t="shared" si="3"/>
        <v/>
      </c>
      <c r="R473" s="23"/>
      <c r="S473" s="10" t="str">
        <f t="shared" si="4"/>
        <v/>
      </c>
      <c r="U473" s="10" t="str">
        <f ca="1">IFERROR(__xludf.DUMMYFUNCTION("if(W473=1,COUNTIFS(FILTER($H$2:$H905,$H$2:$H905=""OB"",$S$2:$S905=S473),""OB""),"""")"),"")</f>
        <v/>
      </c>
      <c r="V473" s="10" t="str">
        <f ca="1">IFERROR(__xludf.DUMMYFUNCTION("IF(OR(ISNA(SUM(FILTER($K$2:$K905,$A$2:$A905=A473,$S$2:$S905=S473,$H$2:$H905&lt;&gt;""OB""))),W473&lt;&gt;1),"""",SUM(FILTER($K$2:$K905,$A$2:$A905=A473,$S$2:$S905=S473,$H$2:$H905&lt;&gt;""OB"")))"),"")</f>
        <v/>
      </c>
      <c r="W473" s="10" t="str">
        <f t="shared" si="5"/>
        <v/>
      </c>
    </row>
    <row r="474" spans="1:23" ht="12.5">
      <c r="A474" s="23"/>
      <c r="B474" s="5" t="str">
        <f t="array" ref="B474">IF(W474=1,INDEX('Database Mitra'!$H$2:$H905,MATCH(A474,'Database Mitra'!AK$2:AK905,0)),"")</f>
        <v/>
      </c>
      <c r="C474" s="5" t="str">
        <f t="array" ref="C474">IF(W474=1,INDEX('Database Mitra'!$E$2:$E905,MATCH(A474,'Database Mitra'!AK$2:AK905,0)),"")</f>
        <v/>
      </c>
      <c r="D474" s="23"/>
      <c r="E474" s="5" t="str">
        <f t="array" ref="E474">IF(W474=1,INDEX('Input Kegiatan'!B$2:B905,MATCH($D474,'Input Kegiatan'!$A$2:$A905,0)),"")</f>
        <v/>
      </c>
      <c r="F474" s="5" t="str">
        <f t="array" ref="F474">IF(W474=1,INDEX('Input Kegiatan'!D$2:D905,MATCH($D474,'Input Kegiatan'!$A$2:$A905,0)),"")</f>
        <v/>
      </c>
      <c r="G474" s="5" t="str">
        <f t="array" ref="G474">IF(W474=1,INDEX('Input Kegiatan'!E$2:E905,MATCH($D474,'Input Kegiatan'!$A$2:$A905,0)),"")</f>
        <v/>
      </c>
      <c r="H474" s="5" t="str">
        <f t="array" ref="H474">IF(W474=1,INDEX(Honor!$H$2:$H905,MATCH($D474&amp;"-"&amp;R474,Honor!$K$2:$K905,0)),"")</f>
        <v/>
      </c>
      <c r="I474" s="8" t="str">
        <f>IF(W474=1,SUMIFS(Honor!$I$2:$I905,Honor!$K$2:$K905,$D474&amp;"-"&amp;R474),"")</f>
        <v/>
      </c>
      <c r="J474" s="9" t="str">
        <f t="shared" si="6"/>
        <v/>
      </c>
      <c r="K474" s="10" t="str">
        <f t="shared" si="0"/>
        <v/>
      </c>
      <c r="L474" s="10" t="str">
        <f t="shared" si="1"/>
        <v/>
      </c>
      <c r="M474" s="10" t="str">
        <f>IF(W474=1,IF(AND(U474&lt;2,INT(V474)&lt;='Batasan Honor'!$B$2),1,0),"")</f>
        <v/>
      </c>
      <c r="O474" s="10" t="str">
        <f t="shared" si="2"/>
        <v/>
      </c>
      <c r="P474" s="10" t="str">
        <f t="shared" si="3"/>
        <v/>
      </c>
      <c r="R474" s="23"/>
      <c r="S474" s="10" t="str">
        <f t="shared" si="4"/>
        <v/>
      </c>
      <c r="U474" s="10" t="str">
        <f ca="1">IFERROR(__xludf.DUMMYFUNCTION("if(W474=1,COUNTIFS(FILTER($H$2:$H905,$H$2:$H905=""OB"",$S$2:$S905=S474),""OB""),"""")"),"")</f>
        <v/>
      </c>
      <c r="V474" s="10" t="str">
        <f ca="1">IFERROR(__xludf.DUMMYFUNCTION("IF(OR(ISNA(SUM(FILTER($K$2:$K905,$A$2:$A905=A474,$S$2:$S905=S474,$H$2:$H905&lt;&gt;""OB""))),W474&lt;&gt;1),"""",SUM(FILTER($K$2:$K905,$A$2:$A905=A474,$S$2:$S905=S474,$H$2:$H905&lt;&gt;""OB"")))"),"")</f>
        <v/>
      </c>
      <c r="W474" s="10" t="str">
        <f t="shared" si="5"/>
        <v/>
      </c>
    </row>
    <row r="475" spans="1:23" ht="12.5">
      <c r="A475" s="23"/>
      <c r="B475" s="5" t="str">
        <f t="array" ref="B475">IF(W475=1,INDEX('Database Mitra'!$H$2:$H905,MATCH(A475,'Database Mitra'!AK$2:AK905,0)),"")</f>
        <v/>
      </c>
      <c r="C475" s="5" t="str">
        <f t="array" ref="C475">IF(W475=1,INDEX('Database Mitra'!$E$2:$E905,MATCH(A475,'Database Mitra'!AK$2:AK905,0)),"")</f>
        <v/>
      </c>
      <c r="D475" s="23"/>
      <c r="E475" s="5" t="str">
        <f t="array" ref="E475">IF(W475=1,INDEX('Input Kegiatan'!B$2:B905,MATCH($D475,'Input Kegiatan'!$A$2:$A905,0)),"")</f>
        <v/>
      </c>
      <c r="F475" s="5" t="str">
        <f t="array" ref="F475">IF(W475=1,INDEX('Input Kegiatan'!D$2:D905,MATCH($D475,'Input Kegiatan'!$A$2:$A905,0)),"")</f>
        <v/>
      </c>
      <c r="G475" s="5" t="str">
        <f t="array" ref="G475">IF(W475=1,INDEX('Input Kegiatan'!E$2:E905,MATCH($D475,'Input Kegiatan'!$A$2:$A905,0)),"")</f>
        <v/>
      </c>
      <c r="H475" s="5" t="str">
        <f t="array" ref="H475">IF(W475=1,INDEX(Honor!$H$2:$H905,MATCH($D475&amp;"-"&amp;R475,Honor!$K$2:$K905,0)),"")</f>
        <v/>
      </c>
      <c r="I475" s="8" t="str">
        <f>IF(W475=1,SUMIFS(Honor!$I$2:$I905,Honor!$K$2:$K905,$D475&amp;"-"&amp;R475),"")</f>
        <v/>
      </c>
      <c r="J475" s="9" t="str">
        <f t="shared" si="6"/>
        <v/>
      </c>
      <c r="K475" s="10" t="str">
        <f t="shared" si="0"/>
        <v/>
      </c>
      <c r="L475" s="10" t="str">
        <f t="shared" si="1"/>
        <v/>
      </c>
      <c r="M475" s="10" t="str">
        <f>IF(W475=1,IF(AND(U475&lt;2,INT(V475)&lt;='Batasan Honor'!$B$2),1,0),"")</f>
        <v/>
      </c>
      <c r="O475" s="10" t="str">
        <f t="shared" si="2"/>
        <v/>
      </c>
      <c r="P475" s="10" t="str">
        <f t="shared" si="3"/>
        <v/>
      </c>
      <c r="R475" s="23"/>
      <c r="S475" s="10" t="str">
        <f t="shared" si="4"/>
        <v/>
      </c>
      <c r="U475" s="10" t="str">
        <f ca="1">IFERROR(__xludf.DUMMYFUNCTION("if(W475=1,COUNTIFS(FILTER($H$2:$H905,$H$2:$H905=""OB"",$S$2:$S905=S475),""OB""),"""")"),"")</f>
        <v/>
      </c>
      <c r="V475" s="10" t="str">
        <f ca="1">IFERROR(__xludf.DUMMYFUNCTION("IF(OR(ISNA(SUM(FILTER($K$2:$K905,$A$2:$A905=A475,$S$2:$S905=S475,$H$2:$H905&lt;&gt;""OB""))),W475&lt;&gt;1),"""",SUM(FILTER($K$2:$K905,$A$2:$A905=A475,$S$2:$S905=S475,$H$2:$H905&lt;&gt;""OB"")))"),"")</f>
        <v/>
      </c>
      <c r="W475" s="10" t="str">
        <f t="shared" si="5"/>
        <v/>
      </c>
    </row>
    <row r="476" spans="1:23" ht="12.5">
      <c r="A476" s="23"/>
      <c r="B476" s="5" t="str">
        <f t="array" ref="B476">IF(W476=1,INDEX('Database Mitra'!$H$2:$H905,MATCH(A476,'Database Mitra'!AK$2:AK905,0)),"")</f>
        <v/>
      </c>
      <c r="C476" s="5" t="str">
        <f t="array" ref="C476">IF(W476=1,INDEX('Database Mitra'!$E$2:$E905,MATCH(A476,'Database Mitra'!AK$2:AK905,0)),"")</f>
        <v/>
      </c>
      <c r="D476" s="23"/>
      <c r="E476" s="5" t="str">
        <f t="array" ref="E476">IF(W476=1,INDEX('Input Kegiatan'!B$2:B905,MATCH($D476,'Input Kegiatan'!$A$2:$A905,0)),"")</f>
        <v/>
      </c>
      <c r="F476" s="5" t="str">
        <f t="array" ref="F476">IF(W476=1,INDEX('Input Kegiatan'!D$2:D905,MATCH($D476,'Input Kegiatan'!$A$2:$A905,0)),"")</f>
        <v/>
      </c>
      <c r="G476" s="5" t="str">
        <f t="array" ref="G476">IF(W476=1,INDEX('Input Kegiatan'!E$2:E905,MATCH($D476,'Input Kegiatan'!$A$2:$A905,0)),"")</f>
        <v/>
      </c>
      <c r="H476" s="5" t="str">
        <f t="array" ref="H476">IF(W476=1,INDEX(Honor!$H$2:$H905,MATCH($D476&amp;"-"&amp;R476,Honor!$K$2:$K905,0)),"")</f>
        <v/>
      </c>
      <c r="I476" s="8" t="str">
        <f>IF(W476=1,SUMIFS(Honor!$I$2:$I905,Honor!$K$2:$K905,$D476&amp;"-"&amp;R476),"")</f>
        <v/>
      </c>
      <c r="J476" s="9" t="str">
        <f t="shared" si="6"/>
        <v/>
      </c>
      <c r="K476" s="10" t="str">
        <f t="shared" si="0"/>
        <v/>
      </c>
      <c r="L476" s="10" t="str">
        <f t="shared" si="1"/>
        <v/>
      </c>
      <c r="M476" s="10" t="str">
        <f>IF(W476=1,IF(AND(U476&lt;2,INT(V476)&lt;='Batasan Honor'!$B$2),1,0),"")</f>
        <v/>
      </c>
      <c r="O476" s="10" t="str">
        <f t="shared" si="2"/>
        <v/>
      </c>
      <c r="P476" s="10" t="str">
        <f t="shared" si="3"/>
        <v/>
      </c>
      <c r="R476" s="23"/>
      <c r="S476" s="10" t="str">
        <f t="shared" si="4"/>
        <v/>
      </c>
      <c r="U476" s="10" t="str">
        <f ca="1">IFERROR(__xludf.DUMMYFUNCTION("if(W476=1,COUNTIFS(FILTER($H$2:$H905,$H$2:$H905=""OB"",$S$2:$S905=S476),""OB""),"""")"),"")</f>
        <v/>
      </c>
      <c r="V476" s="10" t="str">
        <f ca="1">IFERROR(__xludf.DUMMYFUNCTION("IF(OR(ISNA(SUM(FILTER($K$2:$K905,$A$2:$A905=A476,$S$2:$S905=S476,$H$2:$H905&lt;&gt;""OB""))),W476&lt;&gt;1),"""",SUM(FILTER($K$2:$K905,$A$2:$A905=A476,$S$2:$S905=S476,$H$2:$H905&lt;&gt;""OB"")))"),"")</f>
        <v/>
      </c>
      <c r="W476" s="10" t="str">
        <f t="shared" si="5"/>
        <v/>
      </c>
    </row>
    <row r="477" spans="1:23" ht="12.5">
      <c r="A477" s="23"/>
      <c r="B477" s="5" t="str">
        <f t="array" ref="B477">IF(W477=1,INDEX('Database Mitra'!$H$2:$H905,MATCH(A477,'Database Mitra'!AK$2:AK905,0)),"")</f>
        <v/>
      </c>
      <c r="C477" s="5" t="str">
        <f t="array" ref="C477">IF(W477=1,INDEX('Database Mitra'!$E$2:$E905,MATCH(A477,'Database Mitra'!AK$2:AK905,0)),"")</f>
        <v/>
      </c>
      <c r="D477" s="23"/>
      <c r="E477" s="5" t="str">
        <f t="array" ref="E477">IF(W477=1,INDEX('Input Kegiatan'!B$2:B905,MATCH($D477,'Input Kegiatan'!$A$2:$A905,0)),"")</f>
        <v/>
      </c>
      <c r="F477" s="5" t="str">
        <f t="array" ref="F477">IF(W477=1,INDEX('Input Kegiatan'!D$2:D905,MATCH($D477,'Input Kegiatan'!$A$2:$A905,0)),"")</f>
        <v/>
      </c>
      <c r="G477" s="5" t="str">
        <f t="array" ref="G477">IF(W477=1,INDEX('Input Kegiatan'!E$2:E905,MATCH($D477,'Input Kegiatan'!$A$2:$A905,0)),"")</f>
        <v/>
      </c>
      <c r="H477" s="5" t="str">
        <f t="array" ref="H477">IF(W477=1,INDEX(Honor!$H$2:$H905,MATCH($D477&amp;"-"&amp;R477,Honor!$K$2:$K905,0)),"")</f>
        <v/>
      </c>
      <c r="I477" s="8" t="str">
        <f>IF(W477=1,SUMIFS(Honor!$I$2:$I905,Honor!$K$2:$K905,$D477&amp;"-"&amp;R477),"")</f>
        <v/>
      </c>
      <c r="J477" s="9" t="str">
        <f t="shared" si="6"/>
        <v/>
      </c>
      <c r="K477" s="10" t="str">
        <f t="shared" si="0"/>
        <v/>
      </c>
      <c r="L477" s="10" t="str">
        <f t="shared" si="1"/>
        <v/>
      </c>
      <c r="M477" s="10" t="str">
        <f>IF(W477=1,IF(AND(U477&lt;2,INT(V477)&lt;='Batasan Honor'!$B$2),1,0),"")</f>
        <v/>
      </c>
      <c r="O477" s="10" t="str">
        <f t="shared" si="2"/>
        <v/>
      </c>
      <c r="P477" s="10" t="str">
        <f t="shared" si="3"/>
        <v/>
      </c>
      <c r="R477" s="23"/>
      <c r="S477" s="10" t="str">
        <f t="shared" si="4"/>
        <v/>
      </c>
      <c r="U477" s="10" t="str">
        <f ca="1">IFERROR(__xludf.DUMMYFUNCTION("if(W477=1,COUNTIFS(FILTER($H$2:$H905,$H$2:$H905=""OB"",$S$2:$S905=S477),""OB""),"""")"),"")</f>
        <v/>
      </c>
      <c r="V477" s="10" t="str">
        <f ca="1">IFERROR(__xludf.DUMMYFUNCTION("IF(OR(ISNA(SUM(FILTER($K$2:$K905,$A$2:$A905=A477,$S$2:$S905=S477,$H$2:$H905&lt;&gt;""OB""))),W477&lt;&gt;1),"""",SUM(FILTER($K$2:$K905,$A$2:$A905=A477,$S$2:$S905=S477,$H$2:$H905&lt;&gt;""OB"")))"),"")</f>
        <v/>
      </c>
      <c r="W477" s="10" t="str">
        <f t="shared" si="5"/>
        <v/>
      </c>
    </row>
    <row r="478" spans="1:23" ht="12.5">
      <c r="A478" s="23"/>
      <c r="B478" s="5" t="str">
        <f t="array" ref="B478">IF(W478=1,INDEX('Database Mitra'!$H$2:$H905,MATCH(A478,'Database Mitra'!AK$2:AK905,0)),"")</f>
        <v/>
      </c>
      <c r="C478" s="5" t="str">
        <f t="array" ref="C478">IF(W478=1,INDEX('Database Mitra'!$E$2:$E905,MATCH(A478,'Database Mitra'!AK$2:AK905,0)),"")</f>
        <v/>
      </c>
      <c r="D478" s="23"/>
      <c r="E478" s="5" t="str">
        <f t="array" ref="E478">IF(W478=1,INDEX('Input Kegiatan'!B$2:B905,MATCH($D478,'Input Kegiatan'!$A$2:$A905,0)),"")</f>
        <v/>
      </c>
      <c r="F478" s="5" t="str">
        <f t="array" ref="F478">IF(W478=1,INDEX('Input Kegiatan'!D$2:D905,MATCH($D478,'Input Kegiatan'!$A$2:$A905,0)),"")</f>
        <v/>
      </c>
      <c r="G478" s="5" t="str">
        <f t="array" ref="G478">IF(W478=1,INDEX('Input Kegiatan'!E$2:E905,MATCH($D478,'Input Kegiatan'!$A$2:$A905,0)),"")</f>
        <v/>
      </c>
      <c r="H478" s="5" t="str">
        <f t="array" ref="H478">IF(W478=1,INDEX(Honor!$H$2:$H905,MATCH($D478&amp;"-"&amp;R478,Honor!$K$2:$K905,0)),"")</f>
        <v/>
      </c>
      <c r="I478" s="8" t="str">
        <f>IF(W478=1,SUMIFS(Honor!$I$2:$I905,Honor!$K$2:$K905,$D478&amp;"-"&amp;R478),"")</f>
        <v/>
      </c>
      <c r="J478" s="9" t="str">
        <f t="shared" si="6"/>
        <v/>
      </c>
      <c r="K478" s="10" t="str">
        <f t="shared" si="0"/>
        <v/>
      </c>
      <c r="L478" s="10" t="str">
        <f t="shared" si="1"/>
        <v/>
      </c>
      <c r="M478" s="10" t="str">
        <f>IF(W478=1,IF(AND(U478&lt;2,INT(V478)&lt;='Batasan Honor'!$B$2),1,0),"")</f>
        <v/>
      </c>
      <c r="O478" s="10" t="str">
        <f t="shared" si="2"/>
        <v/>
      </c>
      <c r="P478" s="10" t="str">
        <f t="shared" si="3"/>
        <v/>
      </c>
      <c r="R478" s="23"/>
      <c r="S478" s="10" t="str">
        <f t="shared" si="4"/>
        <v/>
      </c>
      <c r="U478" s="10" t="str">
        <f ca="1">IFERROR(__xludf.DUMMYFUNCTION("if(W478=1,COUNTIFS(FILTER($H$2:$H905,$H$2:$H905=""OB"",$S$2:$S905=S478),""OB""),"""")"),"")</f>
        <v/>
      </c>
      <c r="V478" s="10" t="str">
        <f ca="1">IFERROR(__xludf.DUMMYFUNCTION("IF(OR(ISNA(SUM(FILTER($K$2:$K905,$A$2:$A905=A478,$S$2:$S905=S478,$H$2:$H905&lt;&gt;""OB""))),W478&lt;&gt;1),"""",SUM(FILTER($K$2:$K905,$A$2:$A905=A478,$S$2:$S905=S478,$H$2:$H905&lt;&gt;""OB"")))"),"")</f>
        <v/>
      </c>
      <c r="W478" s="10" t="str">
        <f t="shared" si="5"/>
        <v/>
      </c>
    </row>
    <row r="479" spans="1:23" ht="12.5">
      <c r="A479" s="23"/>
      <c r="B479" s="5" t="str">
        <f t="array" ref="B479">IF(W479=1,INDEX('Database Mitra'!$H$2:$H905,MATCH(A479,'Database Mitra'!AK$2:AK905,0)),"")</f>
        <v/>
      </c>
      <c r="C479" s="5" t="str">
        <f t="array" ref="C479">IF(W479=1,INDEX('Database Mitra'!$E$2:$E905,MATCH(A479,'Database Mitra'!AK$2:AK905,0)),"")</f>
        <v/>
      </c>
      <c r="D479" s="23"/>
      <c r="E479" s="5" t="str">
        <f t="array" ref="E479">IF(W479=1,INDEX('Input Kegiatan'!B$2:B905,MATCH($D479,'Input Kegiatan'!$A$2:$A905,0)),"")</f>
        <v/>
      </c>
      <c r="F479" s="5" t="str">
        <f t="array" ref="F479">IF(W479=1,INDEX('Input Kegiatan'!D$2:D905,MATCH($D479,'Input Kegiatan'!$A$2:$A905,0)),"")</f>
        <v/>
      </c>
      <c r="G479" s="5" t="str">
        <f t="array" ref="G479">IF(W479=1,INDEX('Input Kegiatan'!E$2:E905,MATCH($D479,'Input Kegiatan'!$A$2:$A905,0)),"")</f>
        <v/>
      </c>
      <c r="H479" s="5" t="str">
        <f t="array" ref="H479">IF(W479=1,INDEX(Honor!$H$2:$H905,MATCH($D479&amp;"-"&amp;R479,Honor!$K$2:$K905,0)),"")</f>
        <v/>
      </c>
      <c r="I479" s="8" t="str">
        <f>IF(W479=1,SUMIFS(Honor!$I$2:$I905,Honor!$K$2:$K905,$D479&amp;"-"&amp;R479),"")</f>
        <v/>
      </c>
      <c r="J479" s="9" t="str">
        <f t="shared" si="6"/>
        <v/>
      </c>
      <c r="K479" s="10" t="str">
        <f t="shared" si="0"/>
        <v/>
      </c>
      <c r="L479" s="10" t="str">
        <f t="shared" si="1"/>
        <v/>
      </c>
      <c r="M479" s="10" t="str">
        <f>IF(W479=1,IF(AND(U479&lt;2,INT(V479)&lt;='Batasan Honor'!$B$2),1,0),"")</f>
        <v/>
      </c>
      <c r="O479" s="10" t="str">
        <f t="shared" si="2"/>
        <v/>
      </c>
      <c r="P479" s="10" t="str">
        <f t="shared" si="3"/>
        <v/>
      </c>
      <c r="R479" s="23"/>
      <c r="S479" s="10" t="str">
        <f t="shared" si="4"/>
        <v/>
      </c>
      <c r="U479" s="10" t="str">
        <f ca="1">IFERROR(__xludf.DUMMYFUNCTION("if(W479=1,COUNTIFS(FILTER($H$2:$H905,$H$2:$H905=""OB"",$S$2:$S905=S479),""OB""),"""")"),"")</f>
        <v/>
      </c>
      <c r="V479" s="10" t="str">
        <f ca="1">IFERROR(__xludf.DUMMYFUNCTION("IF(OR(ISNA(SUM(FILTER($K$2:$K905,$A$2:$A905=A479,$S$2:$S905=S479,$H$2:$H905&lt;&gt;""OB""))),W479&lt;&gt;1),"""",SUM(FILTER($K$2:$K905,$A$2:$A905=A479,$S$2:$S905=S479,$H$2:$H905&lt;&gt;""OB"")))"),"")</f>
        <v/>
      </c>
      <c r="W479" s="10" t="str">
        <f t="shared" si="5"/>
        <v/>
      </c>
    </row>
    <row r="480" spans="1:23" ht="12.5">
      <c r="A480" s="23"/>
      <c r="B480" s="5" t="str">
        <f t="array" ref="B480">IF(W480=1,INDEX('Database Mitra'!$H$2:$H905,MATCH(A480,'Database Mitra'!AK$2:AK905,0)),"")</f>
        <v/>
      </c>
      <c r="C480" s="5" t="str">
        <f t="array" ref="C480">IF(W480=1,INDEX('Database Mitra'!$E$2:$E905,MATCH(A480,'Database Mitra'!AK$2:AK905,0)),"")</f>
        <v/>
      </c>
      <c r="D480" s="23"/>
      <c r="E480" s="5" t="str">
        <f t="array" ref="E480">IF(W480=1,INDEX('Input Kegiatan'!B$2:B905,MATCH($D480,'Input Kegiatan'!$A$2:$A905,0)),"")</f>
        <v/>
      </c>
      <c r="F480" s="5" t="str">
        <f t="array" ref="F480">IF(W480=1,INDEX('Input Kegiatan'!D$2:D905,MATCH($D480,'Input Kegiatan'!$A$2:$A905,0)),"")</f>
        <v/>
      </c>
      <c r="G480" s="5" t="str">
        <f t="array" ref="G480">IF(W480=1,INDEX('Input Kegiatan'!E$2:E905,MATCH($D480,'Input Kegiatan'!$A$2:$A905,0)),"")</f>
        <v/>
      </c>
      <c r="H480" s="5" t="str">
        <f t="array" ref="H480">IF(W480=1,INDEX(Honor!$H$2:$H905,MATCH($D480&amp;"-"&amp;R480,Honor!$K$2:$K905,0)),"")</f>
        <v/>
      </c>
      <c r="I480" s="8" t="str">
        <f>IF(W480=1,SUMIFS(Honor!$I$2:$I905,Honor!$K$2:$K905,$D480&amp;"-"&amp;R480),"")</f>
        <v/>
      </c>
      <c r="J480" s="9" t="str">
        <f t="shared" si="6"/>
        <v/>
      </c>
      <c r="K480" s="10" t="str">
        <f t="shared" si="0"/>
        <v/>
      </c>
      <c r="L480" s="10" t="str">
        <f t="shared" si="1"/>
        <v/>
      </c>
      <c r="M480" s="10" t="str">
        <f>IF(W480=1,IF(AND(U480&lt;2,INT(V480)&lt;='Batasan Honor'!$B$2),1,0),"")</f>
        <v/>
      </c>
      <c r="O480" s="10" t="str">
        <f t="shared" si="2"/>
        <v/>
      </c>
      <c r="P480" s="10" t="str">
        <f t="shared" si="3"/>
        <v/>
      </c>
      <c r="R480" s="23"/>
      <c r="S480" s="10" t="str">
        <f t="shared" si="4"/>
        <v/>
      </c>
      <c r="U480" s="10" t="str">
        <f ca="1">IFERROR(__xludf.DUMMYFUNCTION("if(W480=1,COUNTIFS(FILTER($H$2:$H905,$H$2:$H905=""OB"",$S$2:$S905=S480),""OB""),"""")"),"")</f>
        <v/>
      </c>
      <c r="V480" s="10" t="str">
        <f ca="1">IFERROR(__xludf.DUMMYFUNCTION("IF(OR(ISNA(SUM(FILTER($K$2:$K905,$A$2:$A905=A480,$S$2:$S905=S480,$H$2:$H905&lt;&gt;""OB""))),W480&lt;&gt;1),"""",SUM(FILTER($K$2:$K905,$A$2:$A905=A480,$S$2:$S905=S480,$H$2:$H905&lt;&gt;""OB"")))"),"")</f>
        <v/>
      </c>
      <c r="W480" s="10" t="str">
        <f t="shared" si="5"/>
        <v/>
      </c>
    </row>
    <row r="481" spans="1:23" ht="12.5">
      <c r="A481" s="23"/>
      <c r="B481" s="5" t="str">
        <f t="array" ref="B481">IF(W481=1,INDEX('Database Mitra'!$H$2:$H905,MATCH(A481,'Database Mitra'!AK$2:AK905,0)),"")</f>
        <v/>
      </c>
      <c r="C481" s="5" t="str">
        <f t="array" ref="C481">IF(W481=1,INDEX('Database Mitra'!$E$2:$E905,MATCH(A481,'Database Mitra'!AK$2:AK905,0)),"")</f>
        <v/>
      </c>
      <c r="D481" s="23"/>
      <c r="E481" s="5" t="str">
        <f t="array" ref="E481">IF(W481=1,INDEX('Input Kegiatan'!B$2:B905,MATCH($D481,'Input Kegiatan'!$A$2:$A905,0)),"")</f>
        <v/>
      </c>
      <c r="F481" s="5" t="str">
        <f t="array" ref="F481">IF(W481=1,INDEX('Input Kegiatan'!D$2:D905,MATCH($D481,'Input Kegiatan'!$A$2:$A905,0)),"")</f>
        <v/>
      </c>
      <c r="G481" s="5" t="str">
        <f t="array" ref="G481">IF(W481=1,INDEX('Input Kegiatan'!E$2:E905,MATCH($D481,'Input Kegiatan'!$A$2:$A905,0)),"")</f>
        <v/>
      </c>
      <c r="H481" s="5" t="str">
        <f t="array" ref="H481">IF(W481=1,INDEX(Honor!$H$2:$H905,MATCH($D481&amp;"-"&amp;R481,Honor!$K$2:$K905,0)),"")</f>
        <v/>
      </c>
      <c r="I481" s="8" t="str">
        <f>IF(W481=1,SUMIFS(Honor!$I$2:$I905,Honor!$K$2:$K905,$D481&amp;"-"&amp;R481),"")</f>
        <v/>
      </c>
      <c r="J481" s="9" t="str">
        <f t="shared" si="6"/>
        <v/>
      </c>
      <c r="K481" s="10" t="str">
        <f t="shared" si="0"/>
        <v/>
      </c>
      <c r="L481" s="10" t="str">
        <f t="shared" si="1"/>
        <v/>
      </c>
      <c r="M481" s="10" t="str">
        <f>IF(W481=1,IF(AND(U481&lt;2,INT(V481)&lt;='Batasan Honor'!$B$2),1,0),"")</f>
        <v/>
      </c>
      <c r="O481" s="10" t="str">
        <f t="shared" si="2"/>
        <v/>
      </c>
      <c r="P481" s="10" t="str">
        <f t="shared" si="3"/>
        <v/>
      </c>
      <c r="R481" s="23"/>
      <c r="S481" s="10" t="str">
        <f t="shared" si="4"/>
        <v/>
      </c>
      <c r="U481" s="10" t="str">
        <f ca="1">IFERROR(__xludf.DUMMYFUNCTION("if(W481=1,COUNTIFS(FILTER($H$2:$H905,$H$2:$H905=""OB"",$S$2:$S905=S481),""OB""),"""")"),"")</f>
        <v/>
      </c>
      <c r="V481" s="10" t="str">
        <f ca="1">IFERROR(__xludf.DUMMYFUNCTION("IF(OR(ISNA(SUM(FILTER($K$2:$K905,$A$2:$A905=A481,$S$2:$S905=S481,$H$2:$H905&lt;&gt;""OB""))),W481&lt;&gt;1),"""",SUM(FILTER($K$2:$K905,$A$2:$A905=A481,$S$2:$S905=S481,$H$2:$H905&lt;&gt;""OB"")))"),"")</f>
        <v/>
      </c>
      <c r="W481" s="10" t="str">
        <f t="shared" si="5"/>
        <v/>
      </c>
    </row>
    <row r="482" spans="1:23" ht="12.5">
      <c r="A482" s="23"/>
      <c r="B482" s="5" t="str">
        <f t="array" ref="B482">IF(W482=1,INDEX('Database Mitra'!$H$2:$H905,MATCH(A482,'Database Mitra'!AK$2:AK905,0)),"")</f>
        <v/>
      </c>
      <c r="C482" s="5" t="str">
        <f t="array" ref="C482">IF(W482=1,INDEX('Database Mitra'!$E$2:$E905,MATCH(A482,'Database Mitra'!AK$2:AK905,0)),"")</f>
        <v/>
      </c>
      <c r="D482" s="23"/>
      <c r="E482" s="5" t="str">
        <f t="array" ref="E482">IF(W482=1,INDEX('Input Kegiatan'!B$2:B905,MATCH($D482,'Input Kegiatan'!$A$2:$A905,0)),"")</f>
        <v/>
      </c>
      <c r="F482" s="5" t="str">
        <f t="array" ref="F482">IF(W482=1,INDEX('Input Kegiatan'!D$2:D905,MATCH($D482,'Input Kegiatan'!$A$2:$A905,0)),"")</f>
        <v/>
      </c>
      <c r="G482" s="5" t="str">
        <f t="array" ref="G482">IF(W482=1,INDEX('Input Kegiatan'!E$2:E905,MATCH($D482,'Input Kegiatan'!$A$2:$A905,0)),"")</f>
        <v/>
      </c>
      <c r="H482" s="5" t="str">
        <f t="array" ref="H482">IF(W482=1,INDEX(Honor!$H$2:$H905,MATCH($D482&amp;"-"&amp;R482,Honor!$K$2:$K905,0)),"")</f>
        <v/>
      </c>
      <c r="I482" s="8" t="str">
        <f>IF(W482=1,SUMIFS(Honor!$I$2:$I905,Honor!$K$2:$K905,$D482&amp;"-"&amp;R482),"")</f>
        <v/>
      </c>
      <c r="J482" s="9" t="str">
        <f t="shared" si="6"/>
        <v/>
      </c>
      <c r="K482" s="10" t="str">
        <f t="shared" si="0"/>
        <v/>
      </c>
      <c r="L482" s="10" t="str">
        <f t="shared" si="1"/>
        <v/>
      </c>
      <c r="M482" s="10" t="str">
        <f>IF(W482=1,IF(AND(U482&lt;2,INT(V482)&lt;='Batasan Honor'!$B$2),1,0),"")</f>
        <v/>
      </c>
      <c r="O482" s="10" t="str">
        <f t="shared" si="2"/>
        <v/>
      </c>
      <c r="P482" s="10" t="str">
        <f t="shared" si="3"/>
        <v/>
      </c>
      <c r="R482" s="23"/>
      <c r="S482" s="10" t="str">
        <f t="shared" si="4"/>
        <v/>
      </c>
      <c r="U482" s="10" t="str">
        <f ca="1">IFERROR(__xludf.DUMMYFUNCTION("if(W482=1,COUNTIFS(FILTER($H$2:$H905,$H$2:$H905=""OB"",$S$2:$S905=S482),""OB""),"""")"),"")</f>
        <v/>
      </c>
      <c r="V482" s="10" t="str">
        <f ca="1">IFERROR(__xludf.DUMMYFUNCTION("IF(OR(ISNA(SUM(FILTER($K$2:$K905,$A$2:$A905=A482,$S$2:$S905=S482,$H$2:$H905&lt;&gt;""OB""))),W482&lt;&gt;1),"""",SUM(FILTER($K$2:$K905,$A$2:$A905=A482,$S$2:$S905=S482,$H$2:$H905&lt;&gt;""OB"")))"),"")</f>
        <v/>
      </c>
      <c r="W482" s="10" t="str">
        <f t="shared" si="5"/>
        <v/>
      </c>
    </row>
    <row r="483" spans="1:23" ht="12.5">
      <c r="A483" s="23"/>
      <c r="B483" s="5" t="str">
        <f t="array" ref="B483">IF(W483=1,INDEX('Database Mitra'!$H$2:$H905,MATCH(A483,'Database Mitra'!AK$2:AK905,0)),"")</f>
        <v/>
      </c>
      <c r="C483" s="5" t="str">
        <f t="array" ref="C483">IF(W483=1,INDEX('Database Mitra'!$E$2:$E905,MATCH(A483,'Database Mitra'!AK$2:AK905,0)),"")</f>
        <v/>
      </c>
      <c r="D483" s="23"/>
      <c r="E483" s="5" t="str">
        <f t="array" ref="E483">IF(W483=1,INDEX('Input Kegiatan'!B$2:B905,MATCH($D483,'Input Kegiatan'!$A$2:$A905,0)),"")</f>
        <v/>
      </c>
      <c r="F483" s="5" t="str">
        <f t="array" ref="F483">IF(W483=1,INDEX('Input Kegiatan'!D$2:D905,MATCH($D483,'Input Kegiatan'!$A$2:$A905,0)),"")</f>
        <v/>
      </c>
      <c r="G483" s="5" t="str">
        <f t="array" ref="G483">IF(W483=1,INDEX('Input Kegiatan'!E$2:E905,MATCH($D483,'Input Kegiatan'!$A$2:$A905,0)),"")</f>
        <v/>
      </c>
      <c r="H483" s="5" t="str">
        <f t="array" ref="H483">IF(W483=1,INDEX(Honor!$H$2:$H905,MATCH($D483&amp;"-"&amp;R483,Honor!$K$2:$K905,0)),"")</f>
        <v/>
      </c>
      <c r="I483" s="8" t="str">
        <f>IF(W483=1,SUMIFS(Honor!$I$2:$I905,Honor!$K$2:$K905,$D483&amp;"-"&amp;R483),"")</f>
        <v/>
      </c>
      <c r="J483" s="9" t="str">
        <f t="shared" si="6"/>
        <v/>
      </c>
      <c r="K483" s="10" t="str">
        <f t="shared" si="0"/>
        <v/>
      </c>
      <c r="L483" s="10" t="str">
        <f t="shared" si="1"/>
        <v/>
      </c>
      <c r="M483" s="10" t="str">
        <f>IF(W483=1,IF(AND(U483&lt;2,INT(V483)&lt;='Batasan Honor'!$B$2),1,0),"")</f>
        <v/>
      </c>
      <c r="O483" s="10" t="str">
        <f t="shared" si="2"/>
        <v/>
      </c>
      <c r="P483" s="10" t="str">
        <f t="shared" si="3"/>
        <v/>
      </c>
      <c r="R483" s="23"/>
      <c r="S483" s="10" t="str">
        <f t="shared" si="4"/>
        <v/>
      </c>
      <c r="U483" s="10" t="str">
        <f ca="1">IFERROR(__xludf.DUMMYFUNCTION("if(W483=1,COUNTIFS(FILTER($H$2:$H905,$H$2:$H905=""OB"",$S$2:$S905=S483),""OB""),"""")"),"")</f>
        <v/>
      </c>
      <c r="V483" s="10" t="str">
        <f ca="1">IFERROR(__xludf.DUMMYFUNCTION("IF(OR(ISNA(SUM(FILTER($K$2:$K905,$A$2:$A905=A483,$S$2:$S905=S483,$H$2:$H905&lt;&gt;""OB""))),W483&lt;&gt;1),"""",SUM(FILTER($K$2:$K905,$A$2:$A905=A483,$S$2:$S905=S483,$H$2:$H905&lt;&gt;""OB"")))"),"")</f>
        <v/>
      </c>
      <c r="W483" s="10" t="str">
        <f t="shared" si="5"/>
        <v/>
      </c>
    </row>
    <row r="484" spans="1:23" ht="12.5">
      <c r="A484" s="23"/>
      <c r="B484" s="5" t="str">
        <f t="array" ref="B484">IF(W484=1,INDEX('Database Mitra'!$H$2:$H905,MATCH(A484,'Database Mitra'!AK$2:AK905,0)),"")</f>
        <v/>
      </c>
      <c r="C484" s="5" t="str">
        <f t="array" ref="C484">IF(W484=1,INDEX('Database Mitra'!$E$2:$E905,MATCH(A484,'Database Mitra'!AK$2:AK905,0)),"")</f>
        <v/>
      </c>
      <c r="D484" s="23"/>
      <c r="E484" s="5" t="str">
        <f t="array" ref="E484">IF(W484=1,INDEX('Input Kegiatan'!B$2:B905,MATCH($D484,'Input Kegiatan'!$A$2:$A905,0)),"")</f>
        <v/>
      </c>
      <c r="F484" s="5" t="str">
        <f t="array" ref="F484">IF(W484=1,INDEX('Input Kegiatan'!D$2:D905,MATCH($D484,'Input Kegiatan'!$A$2:$A905,0)),"")</f>
        <v/>
      </c>
      <c r="G484" s="5" t="str">
        <f t="array" ref="G484">IF(W484=1,INDEX('Input Kegiatan'!E$2:E905,MATCH($D484,'Input Kegiatan'!$A$2:$A905,0)),"")</f>
        <v/>
      </c>
      <c r="H484" s="5" t="str">
        <f t="array" ref="H484">IF(W484=1,INDEX(Honor!$H$2:$H905,MATCH($D484&amp;"-"&amp;R484,Honor!$K$2:$K905,0)),"")</f>
        <v/>
      </c>
      <c r="I484" s="8" t="str">
        <f>IF(W484=1,SUMIFS(Honor!$I$2:$I905,Honor!$K$2:$K905,$D484&amp;"-"&amp;R484),"")</f>
        <v/>
      </c>
      <c r="J484" s="9" t="str">
        <f t="shared" si="6"/>
        <v/>
      </c>
      <c r="K484" s="10" t="str">
        <f t="shared" si="0"/>
        <v/>
      </c>
      <c r="L484" s="10" t="str">
        <f t="shared" si="1"/>
        <v/>
      </c>
      <c r="M484" s="10" t="str">
        <f>IF(W484=1,IF(AND(U484&lt;2,INT(V484)&lt;='Batasan Honor'!$B$2),1,0),"")</f>
        <v/>
      </c>
      <c r="O484" s="10" t="str">
        <f t="shared" si="2"/>
        <v/>
      </c>
      <c r="P484" s="10" t="str">
        <f t="shared" si="3"/>
        <v/>
      </c>
      <c r="R484" s="23"/>
      <c r="S484" s="10" t="str">
        <f t="shared" si="4"/>
        <v/>
      </c>
      <c r="U484" s="10" t="str">
        <f ca="1">IFERROR(__xludf.DUMMYFUNCTION("if(W484=1,COUNTIFS(FILTER($H$2:$H905,$H$2:$H905=""OB"",$S$2:$S905=S484),""OB""),"""")"),"")</f>
        <v/>
      </c>
      <c r="V484" s="10" t="str">
        <f ca="1">IFERROR(__xludf.DUMMYFUNCTION("IF(OR(ISNA(SUM(FILTER($K$2:$K905,$A$2:$A905=A484,$S$2:$S905=S484,$H$2:$H905&lt;&gt;""OB""))),W484&lt;&gt;1),"""",SUM(FILTER($K$2:$K905,$A$2:$A905=A484,$S$2:$S905=S484,$H$2:$H905&lt;&gt;""OB"")))"),"")</f>
        <v/>
      </c>
      <c r="W484" s="10" t="str">
        <f t="shared" si="5"/>
        <v/>
      </c>
    </row>
    <row r="485" spans="1:23" ht="12.5">
      <c r="A485" s="23"/>
      <c r="B485" s="5" t="str">
        <f t="array" ref="B485">IF(W485=1,INDEX('Database Mitra'!$H$2:$H905,MATCH(A485,'Database Mitra'!AK$2:AK905,0)),"")</f>
        <v/>
      </c>
      <c r="C485" s="5" t="str">
        <f t="array" ref="C485">IF(W485=1,INDEX('Database Mitra'!$E$2:$E905,MATCH(A485,'Database Mitra'!AK$2:AK905,0)),"")</f>
        <v/>
      </c>
      <c r="D485" s="23"/>
      <c r="E485" s="5" t="str">
        <f t="array" ref="E485">IF(W485=1,INDEX('Input Kegiatan'!B$2:B905,MATCH($D485,'Input Kegiatan'!$A$2:$A905,0)),"")</f>
        <v/>
      </c>
      <c r="F485" s="5" t="str">
        <f t="array" ref="F485">IF(W485=1,INDEX('Input Kegiatan'!D$2:D905,MATCH($D485,'Input Kegiatan'!$A$2:$A905,0)),"")</f>
        <v/>
      </c>
      <c r="G485" s="5" t="str">
        <f t="array" ref="G485">IF(W485=1,INDEX('Input Kegiatan'!E$2:E905,MATCH($D485,'Input Kegiatan'!$A$2:$A905,0)),"")</f>
        <v/>
      </c>
      <c r="H485" s="5" t="str">
        <f t="array" ref="H485">IF(W485=1,INDEX(Honor!$H$2:$H905,MATCH($D485&amp;"-"&amp;R485,Honor!$K$2:$K905,0)),"")</f>
        <v/>
      </c>
      <c r="I485" s="8" t="str">
        <f>IF(W485=1,SUMIFS(Honor!$I$2:$I905,Honor!$K$2:$K905,$D485&amp;"-"&amp;R485),"")</f>
        <v/>
      </c>
      <c r="J485" s="9" t="str">
        <f t="shared" si="6"/>
        <v/>
      </c>
      <c r="K485" s="10" t="str">
        <f t="shared" si="0"/>
        <v/>
      </c>
      <c r="L485" s="10" t="str">
        <f t="shared" si="1"/>
        <v/>
      </c>
      <c r="M485" s="10" t="str">
        <f>IF(W485=1,IF(AND(U485&lt;2,INT(V485)&lt;='Batasan Honor'!$B$2),1,0),"")</f>
        <v/>
      </c>
      <c r="O485" s="10" t="str">
        <f t="shared" si="2"/>
        <v/>
      </c>
      <c r="P485" s="10" t="str">
        <f t="shared" si="3"/>
        <v/>
      </c>
      <c r="R485" s="23"/>
      <c r="S485" s="10" t="str">
        <f t="shared" si="4"/>
        <v/>
      </c>
      <c r="U485" s="10" t="str">
        <f ca="1">IFERROR(__xludf.DUMMYFUNCTION("if(W485=1,COUNTIFS(FILTER($H$2:$H905,$H$2:$H905=""OB"",$S$2:$S905=S485),""OB""),"""")"),"")</f>
        <v/>
      </c>
      <c r="V485" s="10" t="str">
        <f ca="1">IFERROR(__xludf.DUMMYFUNCTION("IF(OR(ISNA(SUM(FILTER($K$2:$K905,$A$2:$A905=A485,$S$2:$S905=S485,$H$2:$H905&lt;&gt;""OB""))),W485&lt;&gt;1),"""",SUM(FILTER($K$2:$K905,$A$2:$A905=A485,$S$2:$S905=S485,$H$2:$H905&lt;&gt;""OB"")))"),"")</f>
        <v/>
      </c>
      <c r="W485" s="10" t="str">
        <f t="shared" si="5"/>
        <v/>
      </c>
    </row>
    <row r="486" spans="1:23" ht="12.5">
      <c r="A486" s="23"/>
      <c r="B486" s="5" t="str">
        <f t="array" ref="B486">IF(W486=1,INDEX('Database Mitra'!$H$2:$H905,MATCH(A486,'Database Mitra'!AK$2:AK905,0)),"")</f>
        <v/>
      </c>
      <c r="C486" s="5" t="str">
        <f t="array" ref="C486">IF(W486=1,INDEX('Database Mitra'!$E$2:$E905,MATCH(A486,'Database Mitra'!AK$2:AK905,0)),"")</f>
        <v/>
      </c>
      <c r="D486" s="23"/>
      <c r="E486" s="5" t="str">
        <f t="array" ref="E486">IF(W486=1,INDEX('Input Kegiatan'!B$2:B905,MATCH($D486,'Input Kegiatan'!$A$2:$A905,0)),"")</f>
        <v/>
      </c>
      <c r="F486" s="5" t="str">
        <f t="array" ref="F486">IF(W486=1,INDEX('Input Kegiatan'!D$2:D905,MATCH($D486,'Input Kegiatan'!$A$2:$A905,0)),"")</f>
        <v/>
      </c>
      <c r="G486" s="5" t="str">
        <f t="array" ref="G486">IF(W486=1,INDEX('Input Kegiatan'!E$2:E905,MATCH($D486,'Input Kegiatan'!$A$2:$A905,0)),"")</f>
        <v/>
      </c>
      <c r="H486" s="5" t="str">
        <f t="array" ref="H486">IF(W486=1,INDEX(Honor!$H$2:$H905,MATCH($D486&amp;"-"&amp;R486,Honor!$K$2:$K905,0)),"")</f>
        <v/>
      </c>
      <c r="I486" s="8" t="str">
        <f>IF(W486=1,SUMIFS(Honor!$I$2:$I905,Honor!$K$2:$K905,$D486&amp;"-"&amp;R486),"")</f>
        <v/>
      </c>
      <c r="J486" s="9" t="str">
        <f t="shared" si="6"/>
        <v/>
      </c>
      <c r="K486" s="10" t="str">
        <f t="shared" si="0"/>
        <v/>
      </c>
      <c r="L486" s="10" t="str">
        <f t="shared" si="1"/>
        <v/>
      </c>
      <c r="M486" s="10" t="str">
        <f>IF(W486=1,IF(AND(U486&lt;2,INT(V486)&lt;='Batasan Honor'!$B$2),1,0),"")</f>
        <v/>
      </c>
      <c r="O486" s="10" t="str">
        <f t="shared" si="2"/>
        <v/>
      </c>
      <c r="P486" s="10" t="str">
        <f t="shared" si="3"/>
        <v/>
      </c>
      <c r="R486" s="23"/>
      <c r="S486" s="10" t="str">
        <f t="shared" si="4"/>
        <v/>
      </c>
      <c r="U486" s="10" t="str">
        <f ca="1">IFERROR(__xludf.DUMMYFUNCTION("if(W486=1,COUNTIFS(FILTER($H$2:$H905,$H$2:$H905=""OB"",$S$2:$S905=S486),""OB""),"""")"),"")</f>
        <v/>
      </c>
      <c r="V486" s="10" t="str">
        <f ca="1">IFERROR(__xludf.DUMMYFUNCTION("IF(OR(ISNA(SUM(FILTER($K$2:$K905,$A$2:$A905=A486,$S$2:$S905=S486,$H$2:$H905&lt;&gt;""OB""))),W486&lt;&gt;1),"""",SUM(FILTER($K$2:$K905,$A$2:$A905=A486,$S$2:$S905=S486,$H$2:$H905&lt;&gt;""OB"")))"),"")</f>
        <v/>
      </c>
      <c r="W486" s="10" t="str">
        <f t="shared" si="5"/>
        <v/>
      </c>
    </row>
    <row r="487" spans="1:23" ht="12.5">
      <c r="A487" s="23"/>
      <c r="B487" s="5" t="str">
        <f t="array" ref="B487">IF(W487=1,INDEX('Database Mitra'!$H$2:$H905,MATCH(A487,'Database Mitra'!AK$2:AK905,0)),"")</f>
        <v/>
      </c>
      <c r="C487" s="5" t="str">
        <f t="array" ref="C487">IF(W487=1,INDEX('Database Mitra'!$E$2:$E905,MATCH(A487,'Database Mitra'!AK$2:AK905,0)),"")</f>
        <v/>
      </c>
      <c r="D487" s="23"/>
      <c r="E487" s="5" t="str">
        <f t="array" ref="E487">IF(W487=1,INDEX('Input Kegiatan'!B$2:B905,MATCH($D487,'Input Kegiatan'!$A$2:$A905,0)),"")</f>
        <v/>
      </c>
      <c r="F487" s="5" t="str">
        <f t="array" ref="F487">IF(W487=1,INDEX('Input Kegiatan'!D$2:D905,MATCH($D487,'Input Kegiatan'!$A$2:$A905,0)),"")</f>
        <v/>
      </c>
      <c r="G487" s="5" t="str">
        <f t="array" ref="G487">IF(W487=1,INDEX('Input Kegiatan'!E$2:E905,MATCH($D487,'Input Kegiatan'!$A$2:$A905,0)),"")</f>
        <v/>
      </c>
      <c r="H487" s="5" t="str">
        <f t="array" ref="H487">IF(W487=1,INDEX(Honor!$H$2:$H905,MATCH($D487&amp;"-"&amp;R487,Honor!$K$2:$K905,0)),"")</f>
        <v/>
      </c>
      <c r="I487" s="8" t="str">
        <f>IF(W487=1,SUMIFS(Honor!$I$2:$I905,Honor!$K$2:$K905,$D487&amp;"-"&amp;R487),"")</f>
        <v/>
      </c>
      <c r="J487" s="9" t="str">
        <f t="shared" si="6"/>
        <v/>
      </c>
      <c r="K487" s="10" t="str">
        <f t="shared" si="0"/>
        <v/>
      </c>
      <c r="L487" s="10" t="str">
        <f t="shared" si="1"/>
        <v/>
      </c>
      <c r="M487" s="10" t="str">
        <f>IF(W487=1,IF(AND(U487&lt;2,INT(V487)&lt;='Batasan Honor'!$B$2),1,0),"")</f>
        <v/>
      </c>
      <c r="O487" s="10" t="str">
        <f t="shared" si="2"/>
        <v/>
      </c>
      <c r="P487" s="10" t="str">
        <f t="shared" si="3"/>
        <v/>
      </c>
      <c r="R487" s="23"/>
      <c r="S487" s="10" t="str">
        <f t="shared" si="4"/>
        <v/>
      </c>
      <c r="U487" s="10" t="str">
        <f ca="1">IFERROR(__xludf.DUMMYFUNCTION("if(W487=1,COUNTIFS(FILTER($H$2:$H905,$H$2:$H905=""OB"",$S$2:$S905=S487),""OB""),"""")"),"")</f>
        <v/>
      </c>
      <c r="V487" s="10" t="str">
        <f ca="1">IFERROR(__xludf.DUMMYFUNCTION("IF(OR(ISNA(SUM(FILTER($K$2:$K905,$A$2:$A905=A487,$S$2:$S905=S487,$H$2:$H905&lt;&gt;""OB""))),W487&lt;&gt;1),"""",SUM(FILTER($K$2:$K905,$A$2:$A905=A487,$S$2:$S905=S487,$H$2:$H905&lt;&gt;""OB"")))"),"")</f>
        <v/>
      </c>
      <c r="W487" s="10" t="str">
        <f t="shared" si="5"/>
        <v/>
      </c>
    </row>
    <row r="488" spans="1:23" ht="12.5">
      <c r="A488" s="23"/>
      <c r="B488" s="5" t="str">
        <f t="array" ref="B488">IF(W488=1,INDEX('Database Mitra'!$H$2:$H905,MATCH(A488,'Database Mitra'!AK$2:AK905,0)),"")</f>
        <v/>
      </c>
      <c r="C488" s="5" t="str">
        <f t="array" ref="C488">IF(W488=1,INDEX('Database Mitra'!$E$2:$E905,MATCH(A488,'Database Mitra'!AK$2:AK905,0)),"")</f>
        <v/>
      </c>
      <c r="D488" s="23"/>
      <c r="E488" s="5" t="str">
        <f t="array" ref="E488">IF(W488=1,INDEX('Input Kegiatan'!B$2:B905,MATCH($D488,'Input Kegiatan'!$A$2:$A905,0)),"")</f>
        <v/>
      </c>
      <c r="F488" s="5" t="str">
        <f t="array" ref="F488">IF(W488=1,INDEX('Input Kegiatan'!D$2:D905,MATCH($D488,'Input Kegiatan'!$A$2:$A905,0)),"")</f>
        <v/>
      </c>
      <c r="G488" s="5" t="str">
        <f t="array" ref="G488">IF(W488=1,INDEX('Input Kegiatan'!E$2:E905,MATCH($D488,'Input Kegiatan'!$A$2:$A905,0)),"")</f>
        <v/>
      </c>
      <c r="H488" s="5" t="str">
        <f t="array" ref="H488">IF(W488=1,INDEX(Honor!$H$2:$H905,MATCH($D488&amp;"-"&amp;R488,Honor!$K$2:$K905,0)),"")</f>
        <v/>
      </c>
      <c r="I488" s="8" t="str">
        <f>IF(W488=1,SUMIFS(Honor!$I$2:$I905,Honor!$K$2:$K905,$D488&amp;"-"&amp;R488),"")</f>
        <v/>
      </c>
      <c r="J488" s="9" t="str">
        <f t="shared" si="6"/>
        <v/>
      </c>
      <c r="K488" s="10" t="str">
        <f t="shared" si="0"/>
        <v/>
      </c>
      <c r="L488" s="10" t="str">
        <f t="shared" si="1"/>
        <v/>
      </c>
      <c r="M488" s="10" t="str">
        <f>IF(W488=1,IF(AND(U488&lt;2,INT(V488)&lt;='Batasan Honor'!$B$2),1,0),"")</f>
        <v/>
      </c>
      <c r="O488" s="10" t="str">
        <f t="shared" si="2"/>
        <v/>
      </c>
      <c r="P488" s="10" t="str">
        <f t="shared" si="3"/>
        <v/>
      </c>
      <c r="R488" s="23"/>
      <c r="S488" s="10" t="str">
        <f t="shared" si="4"/>
        <v/>
      </c>
      <c r="U488" s="10" t="str">
        <f ca="1">IFERROR(__xludf.DUMMYFUNCTION("if(W488=1,COUNTIFS(FILTER($H$2:$H905,$H$2:$H905=""OB"",$S$2:$S905=S488),""OB""),"""")"),"")</f>
        <v/>
      </c>
      <c r="V488" s="10" t="str">
        <f ca="1">IFERROR(__xludf.DUMMYFUNCTION("IF(OR(ISNA(SUM(FILTER($K$2:$K905,$A$2:$A905=A488,$S$2:$S905=S488,$H$2:$H905&lt;&gt;""OB""))),W488&lt;&gt;1),"""",SUM(FILTER($K$2:$K905,$A$2:$A905=A488,$S$2:$S905=S488,$H$2:$H905&lt;&gt;""OB"")))"),"")</f>
        <v/>
      </c>
      <c r="W488" s="10" t="str">
        <f t="shared" si="5"/>
        <v/>
      </c>
    </row>
    <row r="489" spans="1:23" ht="12.5">
      <c r="A489" s="23"/>
      <c r="B489" s="5" t="str">
        <f t="array" ref="B489">IF(W489=1,INDEX('Database Mitra'!$H$2:$H905,MATCH(A489,'Database Mitra'!AK$2:AK905,0)),"")</f>
        <v/>
      </c>
      <c r="C489" s="5" t="str">
        <f t="array" ref="C489">IF(W489=1,INDEX('Database Mitra'!$E$2:$E905,MATCH(A489,'Database Mitra'!AK$2:AK905,0)),"")</f>
        <v/>
      </c>
      <c r="D489" s="23"/>
      <c r="E489" s="5" t="str">
        <f t="array" ref="E489">IF(W489=1,INDEX('Input Kegiatan'!B$2:B905,MATCH($D489,'Input Kegiatan'!$A$2:$A905,0)),"")</f>
        <v/>
      </c>
      <c r="F489" s="5" t="str">
        <f t="array" ref="F489">IF(W489=1,INDEX('Input Kegiatan'!D$2:D905,MATCH($D489,'Input Kegiatan'!$A$2:$A905,0)),"")</f>
        <v/>
      </c>
      <c r="G489" s="5" t="str">
        <f t="array" ref="G489">IF(W489=1,INDEX('Input Kegiatan'!E$2:E905,MATCH($D489,'Input Kegiatan'!$A$2:$A905,0)),"")</f>
        <v/>
      </c>
      <c r="H489" s="5" t="str">
        <f t="array" ref="H489">IF(W489=1,INDEX(Honor!$H$2:$H905,MATCH($D489&amp;"-"&amp;R489,Honor!$K$2:$K905,0)),"")</f>
        <v/>
      </c>
      <c r="I489" s="8" t="str">
        <f>IF(W489=1,SUMIFS(Honor!$I$2:$I905,Honor!$K$2:$K905,$D489&amp;"-"&amp;R489),"")</f>
        <v/>
      </c>
      <c r="J489" s="9" t="str">
        <f t="shared" si="6"/>
        <v/>
      </c>
      <c r="K489" s="10" t="str">
        <f t="shared" si="0"/>
        <v/>
      </c>
      <c r="L489" s="10" t="str">
        <f t="shared" si="1"/>
        <v/>
      </c>
      <c r="M489" s="10" t="str">
        <f>IF(W489=1,IF(AND(U489&lt;2,INT(V489)&lt;='Batasan Honor'!$B$2),1,0),"")</f>
        <v/>
      </c>
      <c r="O489" s="10" t="str">
        <f t="shared" si="2"/>
        <v/>
      </c>
      <c r="P489" s="10" t="str">
        <f t="shared" si="3"/>
        <v/>
      </c>
      <c r="R489" s="23"/>
      <c r="S489" s="10" t="str">
        <f t="shared" si="4"/>
        <v/>
      </c>
      <c r="U489" s="10" t="str">
        <f ca="1">IFERROR(__xludf.DUMMYFUNCTION("if(W489=1,COUNTIFS(FILTER($H$2:$H905,$H$2:$H905=""OB"",$S$2:$S905=S489),""OB""),"""")"),"")</f>
        <v/>
      </c>
      <c r="V489" s="10" t="str">
        <f ca="1">IFERROR(__xludf.DUMMYFUNCTION("IF(OR(ISNA(SUM(FILTER($K$2:$K905,$A$2:$A905=A489,$S$2:$S905=S489,$H$2:$H905&lt;&gt;""OB""))),W489&lt;&gt;1),"""",SUM(FILTER($K$2:$K905,$A$2:$A905=A489,$S$2:$S905=S489,$H$2:$H905&lt;&gt;""OB"")))"),"")</f>
        <v/>
      </c>
      <c r="W489" s="10" t="str">
        <f t="shared" si="5"/>
        <v/>
      </c>
    </row>
    <row r="490" spans="1:23" ht="12.5">
      <c r="A490" s="23"/>
      <c r="B490" s="5" t="str">
        <f t="array" ref="B490">IF(W490=1,INDEX('Database Mitra'!$H$2:$H905,MATCH(A490,'Database Mitra'!AK$2:AK905,0)),"")</f>
        <v/>
      </c>
      <c r="C490" s="5" t="str">
        <f t="array" ref="C490">IF(W490=1,INDEX('Database Mitra'!$E$2:$E905,MATCH(A490,'Database Mitra'!AK$2:AK905,0)),"")</f>
        <v/>
      </c>
      <c r="D490" s="23"/>
      <c r="E490" s="5" t="str">
        <f t="array" ref="E490">IF(W490=1,INDEX('Input Kegiatan'!B$2:B905,MATCH($D490,'Input Kegiatan'!$A$2:$A905,0)),"")</f>
        <v/>
      </c>
      <c r="F490" s="5" t="str">
        <f t="array" ref="F490">IF(W490=1,INDEX('Input Kegiatan'!D$2:D905,MATCH($D490,'Input Kegiatan'!$A$2:$A905,0)),"")</f>
        <v/>
      </c>
      <c r="G490" s="5" t="str">
        <f t="array" ref="G490">IF(W490=1,INDEX('Input Kegiatan'!E$2:E905,MATCH($D490,'Input Kegiatan'!$A$2:$A905,0)),"")</f>
        <v/>
      </c>
      <c r="H490" s="5" t="str">
        <f t="array" ref="H490">IF(W490=1,INDEX(Honor!$H$2:$H905,MATCH($D490&amp;"-"&amp;R490,Honor!$K$2:$K905,0)),"")</f>
        <v/>
      </c>
      <c r="I490" s="8" t="str">
        <f>IF(W490=1,SUMIFS(Honor!$I$2:$I905,Honor!$K$2:$K905,$D490&amp;"-"&amp;R490),"")</f>
        <v/>
      </c>
      <c r="J490" s="9" t="str">
        <f t="shared" si="6"/>
        <v/>
      </c>
      <c r="K490" s="10" t="str">
        <f t="shared" si="0"/>
        <v/>
      </c>
      <c r="L490" s="10" t="str">
        <f t="shared" si="1"/>
        <v/>
      </c>
      <c r="M490" s="10" t="str">
        <f>IF(W490=1,IF(AND(U490&lt;2,INT(V490)&lt;='Batasan Honor'!$B$2),1,0),"")</f>
        <v/>
      </c>
      <c r="O490" s="10" t="str">
        <f t="shared" si="2"/>
        <v/>
      </c>
      <c r="P490" s="10" t="str">
        <f t="shared" si="3"/>
        <v/>
      </c>
      <c r="R490" s="23"/>
      <c r="S490" s="10" t="str">
        <f t="shared" si="4"/>
        <v/>
      </c>
      <c r="U490" s="10" t="str">
        <f ca="1">IFERROR(__xludf.DUMMYFUNCTION("if(W490=1,COUNTIFS(FILTER($H$2:$H905,$H$2:$H905=""OB"",$S$2:$S905=S490),""OB""),"""")"),"")</f>
        <v/>
      </c>
      <c r="V490" s="10" t="str">
        <f ca="1">IFERROR(__xludf.DUMMYFUNCTION("IF(OR(ISNA(SUM(FILTER($K$2:$K905,$A$2:$A905=A490,$S$2:$S905=S490,$H$2:$H905&lt;&gt;""OB""))),W490&lt;&gt;1),"""",SUM(FILTER($K$2:$K905,$A$2:$A905=A490,$S$2:$S905=S490,$H$2:$H905&lt;&gt;""OB"")))"),"")</f>
        <v/>
      </c>
      <c r="W490" s="10" t="str">
        <f t="shared" si="5"/>
        <v/>
      </c>
    </row>
    <row r="491" spans="1:23" ht="12.5">
      <c r="A491" s="23"/>
      <c r="B491" s="5" t="str">
        <f t="array" ref="B491">IF(W491=1,INDEX('Database Mitra'!$H$2:$H905,MATCH(A491,'Database Mitra'!AK$2:AK905,0)),"")</f>
        <v/>
      </c>
      <c r="C491" s="5" t="str">
        <f t="array" ref="C491">IF(W491=1,INDEX('Database Mitra'!$E$2:$E905,MATCH(A491,'Database Mitra'!AK$2:AK905,0)),"")</f>
        <v/>
      </c>
      <c r="D491" s="23"/>
      <c r="E491" s="5" t="str">
        <f t="array" ref="E491">IF(W491=1,INDEX('Input Kegiatan'!B$2:B905,MATCH($D491,'Input Kegiatan'!$A$2:$A905,0)),"")</f>
        <v/>
      </c>
      <c r="F491" s="5" t="str">
        <f t="array" ref="F491">IF(W491=1,INDEX('Input Kegiatan'!D$2:D905,MATCH($D491,'Input Kegiatan'!$A$2:$A905,0)),"")</f>
        <v/>
      </c>
      <c r="G491" s="5" t="str">
        <f t="array" ref="G491">IF(W491=1,INDEX('Input Kegiatan'!E$2:E905,MATCH($D491,'Input Kegiatan'!$A$2:$A905,0)),"")</f>
        <v/>
      </c>
      <c r="H491" s="5" t="str">
        <f t="array" ref="H491">IF(W491=1,INDEX(Honor!$H$2:$H905,MATCH($D491&amp;"-"&amp;R491,Honor!$K$2:$K905,0)),"")</f>
        <v/>
      </c>
      <c r="I491" s="8" t="str">
        <f>IF(W491=1,SUMIFS(Honor!$I$2:$I905,Honor!$K$2:$K905,$D491&amp;"-"&amp;R491),"")</f>
        <v/>
      </c>
      <c r="J491" s="9" t="str">
        <f t="shared" si="6"/>
        <v/>
      </c>
      <c r="K491" s="10" t="str">
        <f t="shared" si="0"/>
        <v/>
      </c>
      <c r="L491" s="10" t="str">
        <f t="shared" si="1"/>
        <v/>
      </c>
      <c r="M491" s="10" t="str">
        <f>IF(W491=1,IF(AND(U491&lt;2,INT(V491)&lt;='Batasan Honor'!$B$2),1,0),"")</f>
        <v/>
      </c>
      <c r="O491" s="10" t="str">
        <f t="shared" si="2"/>
        <v/>
      </c>
      <c r="P491" s="10" t="str">
        <f t="shared" si="3"/>
        <v/>
      </c>
      <c r="R491" s="23"/>
      <c r="S491" s="10" t="str">
        <f t="shared" si="4"/>
        <v/>
      </c>
      <c r="U491" s="10" t="str">
        <f ca="1">IFERROR(__xludf.DUMMYFUNCTION("if(W491=1,COUNTIFS(FILTER($H$2:$H905,$H$2:$H905=""OB"",$S$2:$S905=S491),""OB""),"""")"),"")</f>
        <v/>
      </c>
      <c r="V491" s="10" t="str">
        <f ca="1">IFERROR(__xludf.DUMMYFUNCTION("IF(OR(ISNA(SUM(FILTER($K$2:$K905,$A$2:$A905=A491,$S$2:$S905=S491,$H$2:$H905&lt;&gt;""OB""))),W491&lt;&gt;1),"""",SUM(FILTER($K$2:$K905,$A$2:$A905=A491,$S$2:$S905=S491,$H$2:$H905&lt;&gt;""OB"")))"),"")</f>
        <v/>
      </c>
      <c r="W491" s="10" t="str">
        <f t="shared" si="5"/>
        <v/>
      </c>
    </row>
    <row r="492" spans="1:23" ht="12.5">
      <c r="A492" s="23"/>
      <c r="B492" s="5" t="str">
        <f t="array" ref="B492">IF(W492=1,INDEX('Database Mitra'!$H$2:$H905,MATCH(A492,'Database Mitra'!AK$2:AK905,0)),"")</f>
        <v/>
      </c>
      <c r="C492" s="5" t="str">
        <f t="array" ref="C492">IF(W492=1,INDEX('Database Mitra'!$E$2:$E905,MATCH(A492,'Database Mitra'!AK$2:AK905,0)),"")</f>
        <v/>
      </c>
      <c r="D492" s="23"/>
      <c r="E492" s="5" t="str">
        <f t="array" ref="E492">IF(W492=1,INDEX('Input Kegiatan'!B$2:B905,MATCH($D492,'Input Kegiatan'!$A$2:$A905,0)),"")</f>
        <v/>
      </c>
      <c r="F492" s="5" t="str">
        <f t="array" ref="F492">IF(W492=1,INDEX('Input Kegiatan'!D$2:D905,MATCH($D492,'Input Kegiatan'!$A$2:$A905,0)),"")</f>
        <v/>
      </c>
      <c r="G492" s="5" t="str">
        <f t="array" ref="G492">IF(W492=1,INDEX('Input Kegiatan'!E$2:E905,MATCH($D492,'Input Kegiatan'!$A$2:$A905,0)),"")</f>
        <v/>
      </c>
      <c r="H492" s="5" t="str">
        <f t="array" ref="H492">IF(W492=1,INDEX(Honor!$H$2:$H905,MATCH($D492&amp;"-"&amp;R492,Honor!$K$2:$K905,0)),"")</f>
        <v/>
      </c>
      <c r="I492" s="8" t="str">
        <f>IF(W492=1,SUMIFS(Honor!$I$2:$I905,Honor!$K$2:$K905,$D492&amp;"-"&amp;R492),"")</f>
        <v/>
      </c>
      <c r="J492" s="9" t="str">
        <f t="shared" si="6"/>
        <v/>
      </c>
      <c r="K492" s="10" t="str">
        <f t="shared" si="0"/>
        <v/>
      </c>
      <c r="L492" s="10" t="str">
        <f t="shared" si="1"/>
        <v/>
      </c>
      <c r="M492" s="10" t="str">
        <f>IF(W492=1,IF(AND(U492&lt;2,INT(V492)&lt;='Batasan Honor'!$B$2),1,0),"")</f>
        <v/>
      </c>
      <c r="O492" s="10" t="str">
        <f t="shared" si="2"/>
        <v/>
      </c>
      <c r="P492" s="10" t="str">
        <f t="shared" si="3"/>
        <v/>
      </c>
      <c r="R492" s="23"/>
      <c r="S492" s="10" t="str">
        <f t="shared" si="4"/>
        <v/>
      </c>
      <c r="U492" s="10" t="str">
        <f ca="1">IFERROR(__xludf.DUMMYFUNCTION("if(W492=1,COUNTIFS(FILTER($H$2:$H905,$H$2:$H905=""OB"",$S$2:$S905=S492),""OB""),"""")"),"")</f>
        <v/>
      </c>
      <c r="V492" s="10" t="str">
        <f ca="1">IFERROR(__xludf.DUMMYFUNCTION("IF(OR(ISNA(SUM(FILTER($K$2:$K905,$A$2:$A905=A492,$S$2:$S905=S492,$H$2:$H905&lt;&gt;""OB""))),W492&lt;&gt;1),"""",SUM(FILTER($K$2:$K905,$A$2:$A905=A492,$S$2:$S905=S492,$H$2:$H905&lt;&gt;""OB"")))"),"")</f>
        <v/>
      </c>
      <c r="W492" s="10" t="str">
        <f t="shared" si="5"/>
        <v/>
      </c>
    </row>
    <row r="493" spans="1:23" ht="12.5">
      <c r="A493" s="23"/>
      <c r="B493" s="5" t="str">
        <f t="array" ref="B493">IF(W493=1,INDEX('Database Mitra'!$H$2:$H905,MATCH(A493,'Database Mitra'!AK$2:AK905,0)),"")</f>
        <v/>
      </c>
      <c r="C493" s="5" t="str">
        <f t="array" ref="C493">IF(W493=1,INDEX('Database Mitra'!$E$2:$E905,MATCH(A493,'Database Mitra'!AK$2:AK905,0)),"")</f>
        <v/>
      </c>
      <c r="D493" s="23"/>
      <c r="E493" s="5" t="str">
        <f t="array" ref="E493">IF(W493=1,INDEX('Input Kegiatan'!B$2:B905,MATCH($D493,'Input Kegiatan'!$A$2:$A905,0)),"")</f>
        <v/>
      </c>
      <c r="F493" s="5" t="str">
        <f t="array" ref="F493">IF(W493=1,INDEX('Input Kegiatan'!D$2:D905,MATCH($D493,'Input Kegiatan'!$A$2:$A905,0)),"")</f>
        <v/>
      </c>
      <c r="G493" s="5" t="str">
        <f t="array" ref="G493">IF(W493=1,INDEX('Input Kegiatan'!E$2:E905,MATCH($D493,'Input Kegiatan'!$A$2:$A905,0)),"")</f>
        <v/>
      </c>
      <c r="H493" s="5" t="str">
        <f t="array" ref="H493">IF(W493=1,INDEX(Honor!$H$2:$H905,MATCH($D493&amp;"-"&amp;R493,Honor!$K$2:$K905,0)),"")</f>
        <v/>
      </c>
      <c r="I493" s="8" t="str">
        <f>IF(W493=1,SUMIFS(Honor!$I$2:$I905,Honor!$K$2:$K905,$D493&amp;"-"&amp;R493),"")</f>
        <v/>
      </c>
      <c r="J493" s="9" t="str">
        <f t="shared" si="6"/>
        <v/>
      </c>
      <c r="K493" s="10" t="str">
        <f t="shared" si="0"/>
        <v/>
      </c>
      <c r="L493" s="10" t="str">
        <f t="shared" si="1"/>
        <v/>
      </c>
      <c r="M493" s="10" t="str">
        <f>IF(W493=1,IF(AND(U493&lt;2,INT(V493)&lt;='Batasan Honor'!$B$2),1,0),"")</f>
        <v/>
      </c>
      <c r="O493" s="10" t="str">
        <f t="shared" si="2"/>
        <v/>
      </c>
      <c r="P493" s="10" t="str">
        <f t="shared" si="3"/>
        <v/>
      </c>
      <c r="R493" s="23"/>
      <c r="S493" s="10" t="str">
        <f t="shared" si="4"/>
        <v/>
      </c>
      <c r="U493" s="10" t="str">
        <f ca="1">IFERROR(__xludf.DUMMYFUNCTION("if(W493=1,COUNTIFS(FILTER($H$2:$H905,$H$2:$H905=""OB"",$S$2:$S905=S493),""OB""),"""")"),"")</f>
        <v/>
      </c>
      <c r="V493" s="10" t="str">
        <f ca="1">IFERROR(__xludf.DUMMYFUNCTION("IF(OR(ISNA(SUM(FILTER($K$2:$K905,$A$2:$A905=A493,$S$2:$S905=S493,$H$2:$H905&lt;&gt;""OB""))),W493&lt;&gt;1),"""",SUM(FILTER($K$2:$K905,$A$2:$A905=A493,$S$2:$S905=S493,$H$2:$H905&lt;&gt;""OB"")))"),"")</f>
        <v/>
      </c>
      <c r="W493" s="10" t="str">
        <f t="shared" si="5"/>
        <v/>
      </c>
    </row>
    <row r="494" spans="1:23" ht="12.5">
      <c r="A494" s="23"/>
      <c r="B494" s="5" t="str">
        <f t="array" ref="B494">IF(W494=1,INDEX('Database Mitra'!$H$2:$H905,MATCH(A494,'Database Mitra'!AK$2:AK905,0)),"")</f>
        <v/>
      </c>
      <c r="C494" s="5" t="str">
        <f t="array" ref="C494">IF(W494=1,INDEX('Database Mitra'!$E$2:$E905,MATCH(A494,'Database Mitra'!AK$2:AK905,0)),"")</f>
        <v/>
      </c>
      <c r="D494" s="23"/>
      <c r="E494" s="5" t="str">
        <f t="array" ref="E494">IF(W494=1,INDEX('Input Kegiatan'!B$2:B905,MATCH($D494,'Input Kegiatan'!$A$2:$A905,0)),"")</f>
        <v/>
      </c>
      <c r="F494" s="5" t="str">
        <f t="array" ref="F494">IF(W494=1,INDEX('Input Kegiatan'!D$2:D905,MATCH($D494,'Input Kegiatan'!$A$2:$A905,0)),"")</f>
        <v/>
      </c>
      <c r="G494" s="5" t="str">
        <f t="array" ref="G494">IF(W494=1,INDEX('Input Kegiatan'!E$2:E905,MATCH($D494,'Input Kegiatan'!$A$2:$A905,0)),"")</f>
        <v/>
      </c>
      <c r="H494" s="5" t="str">
        <f t="array" ref="H494">IF(W494=1,INDEX(Honor!$H$2:$H905,MATCH($D494&amp;"-"&amp;R494,Honor!$K$2:$K905,0)),"")</f>
        <v/>
      </c>
      <c r="I494" s="8" t="str">
        <f>IF(W494=1,SUMIFS(Honor!$I$2:$I905,Honor!$K$2:$K905,$D494&amp;"-"&amp;R494),"")</f>
        <v/>
      </c>
      <c r="J494" s="9" t="str">
        <f t="shared" si="6"/>
        <v/>
      </c>
      <c r="K494" s="10" t="str">
        <f t="shared" si="0"/>
        <v/>
      </c>
      <c r="L494" s="10" t="str">
        <f t="shared" si="1"/>
        <v/>
      </c>
      <c r="M494" s="10" t="str">
        <f>IF(W494=1,IF(AND(U494&lt;2,INT(V494)&lt;='Batasan Honor'!$B$2),1,0),"")</f>
        <v/>
      </c>
      <c r="O494" s="10" t="str">
        <f t="shared" si="2"/>
        <v/>
      </c>
      <c r="P494" s="10" t="str">
        <f t="shared" si="3"/>
        <v/>
      </c>
      <c r="R494" s="23"/>
      <c r="S494" s="10" t="str">
        <f t="shared" si="4"/>
        <v/>
      </c>
      <c r="U494" s="10" t="str">
        <f ca="1">IFERROR(__xludf.DUMMYFUNCTION("if(W494=1,COUNTIFS(FILTER($H$2:$H905,$H$2:$H905=""OB"",$S$2:$S905=S494),""OB""),"""")"),"")</f>
        <v/>
      </c>
      <c r="V494" s="10" t="str">
        <f ca="1">IFERROR(__xludf.DUMMYFUNCTION("IF(OR(ISNA(SUM(FILTER($K$2:$K905,$A$2:$A905=A494,$S$2:$S905=S494,$H$2:$H905&lt;&gt;""OB""))),W494&lt;&gt;1),"""",SUM(FILTER($K$2:$K905,$A$2:$A905=A494,$S$2:$S905=S494,$H$2:$H905&lt;&gt;""OB"")))"),"")</f>
        <v/>
      </c>
      <c r="W494" s="10" t="str">
        <f t="shared" si="5"/>
        <v/>
      </c>
    </row>
    <row r="495" spans="1:23" ht="12.5">
      <c r="A495" s="23"/>
      <c r="B495" s="5" t="str">
        <f t="array" ref="B495">IF(W495=1,INDEX('Database Mitra'!$H$2:$H905,MATCH(A495,'Database Mitra'!AK$2:AK905,0)),"")</f>
        <v/>
      </c>
      <c r="C495" s="5" t="str">
        <f t="array" ref="C495">IF(W495=1,INDEX('Database Mitra'!$E$2:$E905,MATCH(A495,'Database Mitra'!AK$2:AK905,0)),"")</f>
        <v/>
      </c>
      <c r="D495" s="23"/>
      <c r="E495" s="5" t="str">
        <f t="array" ref="E495">IF(W495=1,INDEX('Input Kegiatan'!B$2:B905,MATCH($D495,'Input Kegiatan'!$A$2:$A905,0)),"")</f>
        <v/>
      </c>
      <c r="F495" s="5" t="str">
        <f t="array" ref="F495">IF(W495=1,INDEX('Input Kegiatan'!D$2:D905,MATCH($D495,'Input Kegiatan'!$A$2:$A905,0)),"")</f>
        <v/>
      </c>
      <c r="G495" s="5" t="str">
        <f t="array" ref="G495">IF(W495=1,INDEX('Input Kegiatan'!E$2:E905,MATCH($D495,'Input Kegiatan'!$A$2:$A905,0)),"")</f>
        <v/>
      </c>
      <c r="H495" s="5" t="str">
        <f t="array" ref="H495">IF(W495=1,INDEX(Honor!$H$2:$H905,MATCH($D495&amp;"-"&amp;R495,Honor!$K$2:$K905,0)),"")</f>
        <v/>
      </c>
      <c r="I495" s="8" t="str">
        <f>IF(W495=1,SUMIFS(Honor!$I$2:$I905,Honor!$K$2:$K905,$D495&amp;"-"&amp;R495),"")</f>
        <v/>
      </c>
      <c r="J495" s="9" t="str">
        <f t="shared" si="6"/>
        <v/>
      </c>
      <c r="K495" s="10" t="str">
        <f t="shared" si="0"/>
        <v/>
      </c>
      <c r="L495" s="10" t="str">
        <f t="shared" si="1"/>
        <v/>
      </c>
      <c r="M495" s="10" t="str">
        <f>IF(W495=1,IF(AND(U495&lt;2,INT(V495)&lt;='Batasan Honor'!$B$2),1,0),"")</f>
        <v/>
      </c>
      <c r="O495" s="10" t="str">
        <f t="shared" si="2"/>
        <v/>
      </c>
      <c r="P495" s="10" t="str">
        <f t="shared" si="3"/>
        <v/>
      </c>
      <c r="R495" s="23"/>
      <c r="S495" s="10" t="str">
        <f t="shared" si="4"/>
        <v/>
      </c>
      <c r="U495" s="10" t="str">
        <f ca="1">IFERROR(__xludf.DUMMYFUNCTION("if(W495=1,COUNTIFS(FILTER($H$2:$H905,$H$2:$H905=""OB"",$S$2:$S905=S495),""OB""),"""")"),"")</f>
        <v/>
      </c>
      <c r="V495" s="10" t="str">
        <f ca="1">IFERROR(__xludf.DUMMYFUNCTION("IF(OR(ISNA(SUM(FILTER($K$2:$K905,$A$2:$A905=A495,$S$2:$S905=S495,$H$2:$H905&lt;&gt;""OB""))),W495&lt;&gt;1),"""",SUM(FILTER($K$2:$K905,$A$2:$A905=A495,$S$2:$S905=S495,$H$2:$H905&lt;&gt;""OB"")))"),"")</f>
        <v/>
      </c>
      <c r="W495" s="10" t="str">
        <f t="shared" si="5"/>
        <v/>
      </c>
    </row>
    <row r="496" spans="1:23" ht="12.5">
      <c r="A496" s="23"/>
      <c r="B496" s="5" t="str">
        <f t="array" ref="B496">IF(W496=1,INDEX('Database Mitra'!$H$2:$H905,MATCH(A496,'Database Mitra'!AK$2:AK905,0)),"")</f>
        <v/>
      </c>
      <c r="C496" s="5" t="str">
        <f t="array" ref="C496">IF(W496=1,INDEX('Database Mitra'!$E$2:$E905,MATCH(A496,'Database Mitra'!AK$2:AK905,0)),"")</f>
        <v/>
      </c>
      <c r="D496" s="23"/>
      <c r="E496" s="5" t="str">
        <f t="array" ref="E496">IF(W496=1,INDEX('Input Kegiatan'!B$2:B905,MATCH($D496,'Input Kegiatan'!$A$2:$A905,0)),"")</f>
        <v/>
      </c>
      <c r="F496" s="5" t="str">
        <f t="array" ref="F496">IF(W496=1,INDEX('Input Kegiatan'!D$2:D905,MATCH($D496,'Input Kegiatan'!$A$2:$A905,0)),"")</f>
        <v/>
      </c>
      <c r="G496" s="5" t="str">
        <f t="array" ref="G496">IF(W496=1,INDEX('Input Kegiatan'!E$2:E905,MATCH($D496,'Input Kegiatan'!$A$2:$A905,0)),"")</f>
        <v/>
      </c>
      <c r="H496" s="5" t="str">
        <f t="array" ref="H496">IF(W496=1,INDEX(Honor!$H$2:$H905,MATCH($D496&amp;"-"&amp;R496,Honor!$K$2:$K905,0)),"")</f>
        <v/>
      </c>
      <c r="I496" s="8" t="str">
        <f>IF(W496=1,SUMIFS(Honor!$I$2:$I905,Honor!$K$2:$K905,$D496&amp;"-"&amp;R496),"")</f>
        <v/>
      </c>
      <c r="J496" s="9" t="str">
        <f t="shared" si="6"/>
        <v/>
      </c>
      <c r="K496" s="10" t="str">
        <f t="shared" si="0"/>
        <v/>
      </c>
      <c r="L496" s="10" t="str">
        <f t="shared" si="1"/>
        <v/>
      </c>
      <c r="M496" s="10" t="str">
        <f>IF(W496=1,IF(AND(U496&lt;2,INT(V496)&lt;='Batasan Honor'!$B$2),1,0),"")</f>
        <v/>
      </c>
      <c r="O496" s="10" t="str">
        <f t="shared" si="2"/>
        <v/>
      </c>
      <c r="P496" s="10" t="str">
        <f t="shared" si="3"/>
        <v/>
      </c>
      <c r="R496" s="23"/>
      <c r="S496" s="10" t="str">
        <f t="shared" si="4"/>
        <v/>
      </c>
      <c r="U496" s="10" t="str">
        <f ca="1">IFERROR(__xludf.DUMMYFUNCTION("if(W496=1,COUNTIFS(FILTER($H$2:$H905,$H$2:$H905=""OB"",$S$2:$S905=S496),""OB""),"""")"),"")</f>
        <v/>
      </c>
      <c r="V496" s="10" t="str">
        <f ca="1">IFERROR(__xludf.DUMMYFUNCTION("IF(OR(ISNA(SUM(FILTER($K$2:$K905,$A$2:$A905=A496,$S$2:$S905=S496,$H$2:$H905&lt;&gt;""OB""))),W496&lt;&gt;1),"""",SUM(FILTER($K$2:$K905,$A$2:$A905=A496,$S$2:$S905=S496,$H$2:$H905&lt;&gt;""OB"")))"),"")</f>
        <v/>
      </c>
      <c r="W496" s="10" t="str">
        <f t="shared" si="5"/>
        <v/>
      </c>
    </row>
    <row r="497" spans="1:23" ht="12.5">
      <c r="A497" s="23"/>
      <c r="B497" s="5" t="str">
        <f t="array" ref="B497">IF(W497=1,INDEX('Database Mitra'!$H$2:$H905,MATCH(A497,'Database Mitra'!AK$2:AK905,0)),"")</f>
        <v/>
      </c>
      <c r="C497" s="5" t="str">
        <f t="array" ref="C497">IF(W497=1,INDEX('Database Mitra'!$E$2:$E905,MATCH(A497,'Database Mitra'!AK$2:AK905,0)),"")</f>
        <v/>
      </c>
      <c r="D497" s="23"/>
      <c r="E497" s="5" t="str">
        <f t="array" ref="E497">IF(W497=1,INDEX('Input Kegiatan'!B$2:B905,MATCH($D497,'Input Kegiatan'!$A$2:$A905,0)),"")</f>
        <v/>
      </c>
      <c r="F497" s="5" t="str">
        <f t="array" ref="F497">IF(W497=1,INDEX('Input Kegiatan'!D$2:D905,MATCH($D497,'Input Kegiatan'!$A$2:$A905,0)),"")</f>
        <v/>
      </c>
      <c r="G497" s="5" t="str">
        <f t="array" ref="G497">IF(W497=1,INDEX('Input Kegiatan'!E$2:E905,MATCH($D497,'Input Kegiatan'!$A$2:$A905,0)),"")</f>
        <v/>
      </c>
      <c r="H497" s="5" t="str">
        <f t="array" ref="H497">IF(W497=1,INDEX(Honor!$H$2:$H905,MATCH($D497&amp;"-"&amp;R497,Honor!$K$2:$K905,0)),"")</f>
        <v/>
      </c>
      <c r="I497" s="8" t="str">
        <f>IF(W497=1,SUMIFS(Honor!$I$2:$I905,Honor!$K$2:$K905,$D497&amp;"-"&amp;R497),"")</f>
        <v/>
      </c>
      <c r="J497" s="9" t="str">
        <f t="shared" si="6"/>
        <v/>
      </c>
      <c r="K497" s="10" t="str">
        <f t="shared" si="0"/>
        <v/>
      </c>
      <c r="L497" s="10" t="str">
        <f t="shared" si="1"/>
        <v/>
      </c>
      <c r="M497" s="10" t="str">
        <f>IF(W497=1,IF(AND(U497&lt;2,INT(V497)&lt;='Batasan Honor'!$B$2),1,0),"")</f>
        <v/>
      </c>
      <c r="O497" s="10" t="str">
        <f t="shared" si="2"/>
        <v/>
      </c>
      <c r="P497" s="10" t="str">
        <f t="shared" si="3"/>
        <v/>
      </c>
      <c r="R497" s="23"/>
      <c r="S497" s="10" t="str">
        <f t="shared" si="4"/>
        <v/>
      </c>
      <c r="U497" s="10" t="str">
        <f ca="1">IFERROR(__xludf.DUMMYFUNCTION("if(W497=1,COUNTIFS(FILTER($H$2:$H905,$H$2:$H905=""OB"",$S$2:$S905=S497),""OB""),"""")"),"")</f>
        <v/>
      </c>
      <c r="V497" s="10" t="str">
        <f ca="1">IFERROR(__xludf.DUMMYFUNCTION("IF(OR(ISNA(SUM(FILTER($K$2:$K905,$A$2:$A905=A497,$S$2:$S905=S497,$H$2:$H905&lt;&gt;""OB""))),W497&lt;&gt;1),"""",SUM(FILTER($K$2:$K905,$A$2:$A905=A497,$S$2:$S905=S497,$H$2:$H905&lt;&gt;""OB"")))"),"")</f>
        <v/>
      </c>
      <c r="W497" s="10" t="str">
        <f t="shared" si="5"/>
        <v/>
      </c>
    </row>
    <row r="498" spans="1:23" ht="12.5">
      <c r="A498" s="23"/>
      <c r="B498" s="5" t="str">
        <f t="array" ref="B498">IF(W498=1,INDEX('Database Mitra'!$H$2:$H905,MATCH(A498,'Database Mitra'!AK$2:AK905,0)),"")</f>
        <v/>
      </c>
      <c r="C498" s="5" t="str">
        <f t="array" ref="C498">IF(W498=1,INDEX('Database Mitra'!$E$2:$E905,MATCH(A498,'Database Mitra'!AK$2:AK905,0)),"")</f>
        <v/>
      </c>
      <c r="D498" s="23"/>
      <c r="E498" s="5" t="str">
        <f t="array" ref="E498">IF(W498=1,INDEX('Input Kegiatan'!B$2:B905,MATCH($D498,'Input Kegiatan'!$A$2:$A905,0)),"")</f>
        <v/>
      </c>
      <c r="F498" s="5" t="str">
        <f t="array" ref="F498">IF(W498=1,INDEX('Input Kegiatan'!D$2:D905,MATCH($D498,'Input Kegiatan'!$A$2:$A905,0)),"")</f>
        <v/>
      </c>
      <c r="G498" s="5" t="str">
        <f t="array" ref="G498">IF(W498=1,INDEX('Input Kegiatan'!E$2:E905,MATCH($D498,'Input Kegiatan'!$A$2:$A905,0)),"")</f>
        <v/>
      </c>
      <c r="H498" s="5" t="str">
        <f t="array" ref="H498">IF(W498=1,INDEX(Honor!$H$2:$H905,MATCH($D498&amp;"-"&amp;R498,Honor!$K$2:$K905,0)),"")</f>
        <v/>
      </c>
      <c r="I498" s="8" t="str">
        <f>IF(W498=1,SUMIFS(Honor!$I$2:$I905,Honor!$K$2:$K905,$D498&amp;"-"&amp;R498),"")</f>
        <v/>
      </c>
      <c r="J498" s="9" t="str">
        <f t="shared" si="6"/>
        <v/>
      </c>
      <c r="K498" s="10" t="str">
        <f t="shared" si="0"/>
        <v/>
      </c>
      <c r="L498" s="10" t="str">
        <f t="shared" si="1"/>
        <v/>
      </c>
      <c r="M498" s="10" t="str">
        <f>IF(W498=1,IF(AND(U498&lt;2,INT(V498)&lt;='Batasan Honor'!$B$2),1,0),"")</f>
        <v/>
      </c>
      <c r="O498" s="10" t="str">
        <f t="shared" si="2"/>
        <v/>
      </c>
      <c r="P498" s="10" t="str">
        <f t="shared" si="3"/>
        <v/>
      </c>
      <c r="R498" s="23"/>
      <c r="S498" s="10" t="str">
        <f t="shared" si="4"/>
        <v/>
      </c>
      <c r="U498" s="10" t="str">
        <f ca="1">IFERROR(__xludf.DUMMYFUNCTION("if(W498=1,COUNTIFS(FILTER($H$2:$H905,$H$2:$H905=""OB"",$S$2:$S905=S498),""OB""),"""")"),"")</f>
        <v/>
      </c>
      <c r="V498" s="10" t="str">
        <f ca="1">IFERROR(__xludf.DUMMYFUNCTION("IF(OR(ISNA(SUM(FILTER($K$2:$K905,$A$2:$A905=A498,$S$2:$S905=S498,$H$2:$H905&lt;&gt;""OB""))),W498&lt;&gt;1),"""",SUM(FILTER($K$2:$K905,$A$2:$A905=A498,$S$2:$S905=S498,$H$2:$H905&lt;&gt;""OB"")))"),"")</f>
        <v/>
      </c>
      <c r="W498" s="10" t="str">
        <f t="shared" si="5"/>
        <v/>
      </c>
    </row>
    <row r="499" spans="1:23" ht="12.5">
      <c r="A499" s="23"/>
      <c r="B499" s="5" t="str">
        <f t="array" ref="B499">IF(W499=1,INDEX('Database Mitra'!$H$2:$H905,MATCH(A499,'Database Mitra'!AK$2:AK905,0)),"")</f>
        <v/>
      </c>
      <c r="C499" s="5" t="str">
        <f t="array" ref="C499">IF(W499=1,INDEX('Database Mitra'!$E$2:$E905,MATCH(A499,'Database Mitra'!AK$2:AK905,0)),"")</f>
        <v/>
      </c>
      <c r="D499" s="23"/>
      <c r="E499" s="5" t="str">
        <f t="array" ref="E499">IF(W499=1,INDEX('Input Kegiatan'!B$2:B905,MATCH($D499,'Input Kegiatan'!$A$2:$A905,0)),"")</f>
        <v/>
      </c>
      <c r="F499" s="5" t="str">
        <f t="array" ref="F499">IF(W499=1,INDEX('Input Kegiatan'!D$2:D905,MATCH($D499,'Input Kegiatan'!$A$2:$A905,0)),"")</f>
        <v/>
      </c>
      <c r="G499" s="5" t="str">
        <f t="array" ref="G499">IF(W499=1,INDEX('Input Kegiatan'!E$2:E905,MATCH($D499,'Input Kegiatan'!$A$2:$A905,0)),"")</f>
        <v/>
      </c>
      <c r="H499" s="5" t="str">
        <f t="array" ref="H499">IF(W499=1,INDEX(Honor!$H$2:$H905,MATCH($D499&amp;"-"&amp;R499,Honor!$K$2:$K905,0)),"")</f>
        <v/>
      </c>
      <c r="I499" s="8" t="str">
        <f>IF(W499=1,SUMIFS(Honor!$I$2:$I905,Honor!$K$2:$K905,$D499&amp;"-"&amp;R499),"")</f>
        <v/>
      </c>
      <c r="J499" s="9" t="str">
        <f t="shared" si="6"/>
        <v/>
      </c>
      <c r="K499" s="10" t="str">
        <f t="shared" si="0"/>
        <v/>
      </c>
      <c r="L499" s="10" t="str">
        <f t="shared" si="1"/>
        <v/>
      </c>
      <c r="M499" s="10" t="str">
        <f>IF(W499=1,IF(AND(U499&lt;2,INT(V499)&lt;='Batasan Honor'!$B$2),1,0),"")</f>
        <v/>
      </c>
      <c r="O499" s="10" t="str">
        <f t="shared" si="2"/>
        <v/>
      </c>
      <c r="P499" s="10" t="str">
        <f t="shared" si="3"/>
        <v/>
      </c>
      <c r="R499" s="23"/>
      <c r="S499" s="10" t="str">
        <f t="shared" si="4"/>
        <v/>
      </c>
      <c r="U499" s="10" t="str">
        <f ca="1">IFERROR(__xludf.DUMMYFUNCTION("if(W499=1,COUNTIFS(FILTER($H$2:$H905,$H$2:$H905=""OB"",$S$2:$S905=S499),""OB""),"""")"),"")</f>
        <v/>
      </c>
      <c r="V499" s="10" t="str">
        <f ca="1">IFERROR(__xludf.DUMMYFUNCTION("IF(OR(ISNA(SUM(FILTER($K$2:$K905,$A$2:$A905=A499,$S$2:$S905=S499,$H$2:$H905&lt;&gt;""OB""))),W499&lt;&gt;1),"""",SUM(FILTER($K$2:$K905,$A$2:$A905=A499,$S$2:$S905=S499,$H$2:$H905&lt;&gt;""OB"")))"),"")</f>
        <v/>
      </c>
      <c r="W499" s="10" t="str">
        <f t="shared" si="5"/>
        <v/>
      </c>
    </row>
    <row r="500" spans="1:23" ht="12.5">
      <c r="A500" s="23"/>
      <c r="B500" s="5" t="str">
        <f t="array" ref="B500">IF(W500=1,INDEX('Database Mitra'!$H$2:$H905,MATCH(A500,'Database Mitra'!AK$2:AK905,0)),"")</f>
        <v/>
      </c>
      <c r="C500" s="5" t="str">
        <f t="array" ref="C500">IF(W500=1,INDEX('Database Mitra'!$E$2:$E905,MATCH(A500,'Database Mitra'!AK$2:AK905,0)),"")</f>
        <v/>
      </c>
      <c r="D500" s="23"/>
      <c r="E500" s="5" t="str">
        <f t="array" ref="E500">IF(W500=1,INDEX('Input Kegiatan'!B$2:B905,MATCH($D500,'Input Kegiatan'!$A$2:$A905,0)),"")</f>
        <v/>
      </c>
      <c r="F500" s="5" t="str">
        <f t="array" ref="F500">IF(W500=1,INDEX('Input Kegiatan'!D$2:D905,MATCH($D500,'Input Kegiatan'!$A$2:$A905,0)),"")</f>
        <v/>
      </c>
      <c r="G500" s="5" t="str">
        <f t="array" ref="G500">IF(W500=1,INDEX('Input Kegiatan'!E$2:E905,MATCH($D500,'Input Kegiatan'!$A$2:$A905,0)),"")</f>
        <v/>
      </c>
      <c r="H500" s="5" t="str">
        <f t="array" ref="H500">IF(W500=1,INDEX(Honor!$H$2:$H905,MATCH($D500&amp;"-"&amp;R500,Honor!$K$2:$K905,0)),"")</f>
        <v/>
      </c>
      <c r="I500" s="8" t="str">
        <f>IF(W500=1,SUMIFS(Honor!$I$2:$I905,Honor!$K$2:$K905,$D500&amp;"-"&amp;R500),"")</f>
        <v/>
      </c>
      <c r="J500" s="9" t="str">
        <f t="shared" si="6"/>
        <v/>
      </c>
      <c r="K500" s="10" t="str">
        <f t="shared" si="0"/>
        <v/>
      </c>
      <c r="L500" s="10" t="str">
        <f t="shared" si="1"/>
        <v/>
      </c>
      <c r="M500" s="10" t="str">
        <f>IF(W500=1,IF(AND(U500&lt;2,INT(V500)&lt;='Batasan Honor'!$B$2),1,0),"")</f>
        <v/>
      </c>
      <c r="O500" s="10" t="str">
        <f t="shared" si="2"/>
        <v/>
      </c>
      <c r="P500" s="10" t="str">
        <f t="shared" si="3"/>
        <v/>
      </c>
      <c r="R500" s="23"/>
      <c r="S500" s="10" t="str">
        <f t="shared" si="4"/>
        <v/>
      </c>
      <c r="U500" s="10" t="str">
        <f ca="1">IFERROR(__xludf.DUMMYFUNCTION("if(W500=1,COUNTIFS(FILTER($H$2:$H905,$H$2:$H905=""OB"",$S$2:$S905=S500),""OB""),"""")"),"")</f>
        <v/>
      </c>
      <c r="V500" s="10" t="str">
        <f ca="1">IFERROR(__xludf.DUMMYFUNCTION("IF(OR(ISNA(SUM(FILTER($K$2:$K905,$A$2:$A905=A500,$S$2:$S905=S500,$H$2:$H905&lt;&gt;""OB""))),W500&lt;&gt;1),"""",SUM(FILTER($K$2:$K905,$A$2:$A905=A500,$S$2:$S905=S500,$H$2:$H905&lt;&gt;""OB"")))"),"")</f>
        <v/>
      </c>
      <c r="W500" s="10" t="str">
        <f t="shared" si="5"/>
        <v/>
      </c>
    </row>
    <row r="501" spans="1:23" ht="12.5">
      <c r="A501" s="23"/>
      <c r="B501" s="5" t="str">
        <f t="array" ref="B501">IF(W501=1,INDEX('Database Mitra'!$H$2:$H905,MATCH(A501,'Database Mitra'!AK$2:AK905,0)),"")</f>
        <v/>
      </c>
      <c r="C501" s="5" t="str">
        <f t="array" ref="C501">IF(W501=1,INDEX('Database Mitra'!$E$2:$E905,MATCH(A501,'Database Mitra'!AK$2:AK905,0)),"")</f>
        <v/>
      </c>
      <c r="D501" s="23"/>
      <c r="E501" s="5" t="str">
        <f t="array" ref="E501">IF(W501=1,INDEX('Input Kegiatan'!B$2:B905,MATCH($D501,'Input Kegiatan'!$A$2:$A905,0)),"")</f>
        <v/>
      </c>
      <c r="F501" s="5" t="str">
        <f t="array" ref="F501">IF(W501=1,INDEX('Input Kegiatan'!D$2:D905,MATCH($D501,'Input Kegiatan'!$A$2:$A905,0)),"")</f>
        <v/>
      </c>
      <c r="G501" s="5" t="str">
        <f t="array" ref="G501">IF(W501=1,INDEX('Input Kegiatan'!E$2:E905,MATCH($D501,'Input Kegiatan'!$A$2:$A905,0)),"")</f>
        <v/>
      </c>
      <c r="H501" s="5" t="str">
        <f t="array" ref="H501">IF(W501=1,INDEX(Honor!$H$2:$H905,MATCH($D501&amp;"-"&amp;R501,Honor!$K$2:$K905,0)),"")</f>
        <v/>
      </c>
      <c r="I501" s="8" t="str">
        <f>IF(W501=1,SUMIFS(Honor!$I$2:$I905,Honor!$K$2:$K905,$D501&amp;"-"&amp;R501),"")</f>
        <v/>
      </c>
      <c r="J501" s="9" t="str">
        <f t="shared" si="6"/>
        <v/>
      </c>
      <c r="K501" s="10" t="str">
        <f t="shared" si="0"/>
        <v/>
      </c>
      <c r="L501" s="10" t="str">
        <f t="shared" si="1"/>
        <v/>
      </c>
      <c r="M501" s="10" t="str">
        <f>IF(W501=1,IF(AND(U501&lt;2,INT(V501)&lt;='Batasan Honor'!$B$2),1,0),"")</f>
        <v/>
      </c>
      <c r="O501" s="10" t="str">
        <f t="shared" si="2"/>
        <v/>
      </c>
      <c r="P501" s="10" t="str">
        <f t="shared" si="3"/>
        <v/>
      </c>
      <c r="R501" s="23"/>
      <c r="S501" s="10" t="str">
        <f t="shared" si="4"/>
        <v/>
      </c>
      <c r="U501" s="10" t="str">
        <f ca="1">IFERROR(__xludf.DUMMYFUNCTION("if(W501=1,COUNTIFS(FILTER($H$2:$H905,$H$2:$H905=""OB"",$S$2:$S905=S501),""OB""),"""")"),"")</f>
        <v/>
      </c>
      <c r="V501" s="10" t="str">
        <f ca="1">IFERROR(__xludf.DUMMYFUNCTION("IF(OR(ISNA(SUM(FILTER($K$2:$K905,$A$2:$A905=A501,$S$2:$S905=S501,$H$2:$H905&lt;&gt;""OB""))),W501&lt;&gt;1),"""",SUM(FILTER($K$2:$K905,$A$2:$A905=A501,$S$2:$S905=S501,$H$2:$H905&lt;&gt;""OB"")))"),"")</f>
        <v/>
      </c>
      <c r="W501" s="10" t="str">
        <f t="shared" si="5"/>
        <v/>
      </c>
    </row>
    <row r="502" spans="1:23" ht="12.5">
      <c r="A502" s="23"/>
      <c r="B502" s="5" t="str">
        <f t="array" ref="B502">IF(W502=1,INDEX('Database Mitra'!$H$2:$H905,MATCH(A502,'Database Mitra'!AK$2:AK905,0)),"")</f>
        <v/>
      </c>
      <c r="C502" s="5" t="str">
        <f t="array" ref="C502">IF(W502=1,INDEX('Database Mitra'!$E$2:$E905,MATCH(A502,'Database Mitra'!AK$2:AK905,0)),"")</f>
        <v/>
      </c>
      <c r="D502" s="23"/>
      <c r="E502" s="5" t="str">
        <f t="array" ref="E502">IF(W502=1,INDEX('Input Kegiatan'!B$2:B905,MATCH($D502,'Input Kegiatan'!$A$2:$A905,0)),"")</f>
        <v/>
      </c>
      <c r="F502" s="5" t="str">
        <f t="array" ref="F502">IF(W502=1,INDEX('Input Kegiatan'!D$2:D905,MATCH($D502,'Input Kegiatan'!$A$2:$A905,0)),"")</f>
        <v/>
      </c>
      <c r="G502" s="5" t="str">
        <f t="array" ref="G502">IF(W502=1,INDEX('Input Kegiatan'!E$2:E905,MATCH($D502,'Input Kegiatan'!$A$2:$A905,0)),"")</f>
        <v/>
      </c>
      <c r="H502" s="5" t="str">
        <f t="array" ref="H502">IF(W502=1,INDEX(Honor!$H$2:$H905,MATCH($D502&amp;"-"&amp;R502,Honor!$K$2:$K905,0)),"")</f>
        <v/>
      </c>
      <c r="I502" s="8" t="str">
        <f>IF(W502=1,SUMIFS(Honor!$I$2:$I905,Honor!$K$2:$K905,$D502&amp;"-"&amp;R502),"")</f>
        <v/>
      </c>
      <c r="J502" s="9" t="str">
        <f t="shared" si="6"/>
        <v/>
      </c>
      <c r="K502" s="10" t="str">
        <f t="shared" si="0"/>
        <v/>
      </c>
      <c r="L502" s="10" t="str">
        <f t="shared" si="1"/>
        <v/>
      </c>
      <c r="M502" s="10" t="str">
        <f>IF(W502=1,IF(AND(U502&lt;2,INT(V502)&lt;='Batasan Honor'!$B$2),1,0),"")</f>
        <v/>
      </c>
      <c r="O502" s="10" t="str">
        <f t="shared" si="2"/>
        <v/>
      </c>
      <c r="P502" s="10" t="str">
        <f t="shared" si="3"/>
        <v/>
      </c>
      <c r="R502" s="23"/>
      <c r="S502" s="10" t="str">
        <f t="shared" si="4"/>
        <v/>
      </c>
      <c r="U502" s="10" t="str">
        <f ca="1">IFERROR(__xludf.DUMMYFUNCTION("if(W502=1,COUNTIFS(FILTER($H$2:$H905,$H$2:$H905=""OB"",$S$2:$S905=S502),""OB""),"""")"),"")</f>
        <v/>
      </c>
      <c r="V502" s="10" t="str">
        <f ca="1">IFERROR(__xludf.DUMMYFUNCTION("IF(OR(ISNA(SUM(FILTER($K$2:$K905,$A$2:$A905=A502,$S$2:$S905=S502,$H$2:$H905&lt;&gt;""OB""))),W502&lt;&gt;1),"""",SUM(FILTER($K$2:$K905,$A$2:$A905=A502,$S$2:$S905=S502,$H$2:$H905&lt;&gt;""OB"")))"),"")</f>
        <v/>
      </c>
      <c r="W502" s="10" t="str">
        <f t="shared" si="5"/>
        <v/>
      </c>
    </row>
    <row r="503" spans="1:23" ht="12.5">
      <c r="A503" s="23"/>
      <c r="B503" s="5" t="str">
        <f t="array" ref="B503">IF(W503=1,INDEX('Database Mitra'!$H$2:$H905,MATCH(A503,'Database Mitra'!AK$2:AK905,0)),"")</f>
        <v/>
      </c>
      <c r="C503" s="5" t="str">
        <f t="array" ref="C503">IF(W503=1,INDEX('Database Mitra'!$E$2:$E905,MATCH(A503,'Database Mitra'!AK$2:AK905,0)),"")</f>
        <v/>
      </c>
      <c r="D503" s="23"/>
      <c r="E503" s="5" t="str">
        <f t="array" ref="E503">IF(W503=1,INDEX('Input Kegiatan'!B$2:B905,MATCH($D503,'Input Kegiatan'!$A$2:$A905,0)),"")</f>
        <v/>
      </c>
      <c r="F503" s="5" t="str">
        <f t="array" ref="F503">IF(W503=1,INDEX('Input Kegiatan'!D$2:D905,MATCH($D503,'Input Kegiatan'!$A$2:$A905,0)),"")</f>
        <v/>
      </c>
      <c r="G503" s="5" t="str">
        <f t="array" ref="G503">IF(W503=1,INDEX('Input Kegiatan'!E$2:E905,MATCH($D503,'Input Kegiatan'!$A$2:$A905,0)),"")</f>
        <v/>
      </c>
      <c r="H503" s="5" t="str">
        <f t="array" ref="H503">IF(W503=1,INDEX(Honor!$H$2:$H905,MATCH($D503&amp;"-"&amp;R503,Honor!$K$2:$K905,0)),"")</f>
        <v/>
      </c>
      <c r="I503" s="8" t="str">
        <f>IF(W503=1,SUMIFS(Honor!$I$2:$I905,Honor!$K$2:$K905,$D503&amp;"-"&amp;R503),"")</f>
        <v/>
      </c>
      <c r="J503" s="9" t="str">
        <f t="shared" si="6"/>
        <v/>
      </c>
      <c r="K503" s="10" t="str">
        <f t="shared" si="0"/>
        <v/>
      </c>
      <c r="L503" s="10" t="str">
        <f t="shared" si="1"/>
        <v/>
      </c>
      <c r="M503" s="10" t="str">
        <f>IF(W503=1,IF(AND(U503&lt;2,INT(V503)&lt;='Batasan Honor'!$B$2),1,0),"")</f>
        <v/>
      </c>
      <c r="O503" s="10" t="str">
        <f t="shared" si="2"/>
        <v/>
      </c>
      <c r="P503" s="10" t="str">
        <f t="shared" si="3"/>
        <v/>
      </c>
      <c r="R503" s="23"/>
      <c r="S503" s="10" t="str">
        <f t="shared" si="4"/>
        <v/>
      </c>
      <c r="U503" s="10" t="str">
        <f ca="1">IFERROR(__xludf.DUMMYFUNCTION("if(W503=1,COUNTIFS(FILTER($H$2:$H905,$H$2:$H905=""OB"",$S$2:$S905=S503),""OB""),"""")"),"")</f>
        <v/>
      </c>
      <c r="V503" s="10" t="str">
        <f ca="1">IFERROR(__xludf.DUMMYFUNCTION("IF(OR(ISNA(SUM(FILTER($K$2:$K905,$A$2:$A905=A503,$S$2:$S905=S503,$H$2:$H905&lt;&gt;""OB""))),W503&lt;&gt;1),"""",SUM(FILTER($K$2:$K905,$A$2:$A905=A503,$S$2:$S905=S503,$H$2:$H905&lt;&gt;""OB"")))"),"")</f>
        <v/>
      </c>
      <c r="W503" s="10" t="str">
        <f t="shared" si="5"/>
        <v/>
      </c>
    </row>
    <row r="504" spans="1:23" ht="12.5">
      <c r="A504" s="23"/>
      <c r="B504" s="5" t="str">
        <f t="array" ref="B504">IF(W504=1,INDEX('Database Mitra'!$H$2:$H905,MATCH(A504,'Database Mitra'!AK$2:AK905,0)),"")</f>
        <v/>
      </c>
      <c r="C504" s="5" t="str">
        <f t="array" ref="C504">IF(W504=1,INDEX('Database Mitra'!$E$2:$E905,MATCH(A504,'Database Mitra'!AK$2:AK905,0)),"")</f>
        <v/>
      </c>
      <c r="D504" s="23"/>
      <c r="E504" s="5" t="str">
        <f t="array" ref="E504">IF(W504=1,INDEX('Input Kegiatan'!B$2:B905,MATCH($D504,'Input Kegiatan'!$A$2:$A905,0)),"")</f>
        <v/>
      </c>
      <c r="F504" s="5" t="str">
        <f t="array" ref="F504">IF(W504=1,INDEX('Input Kegiatan'!D$2:D905,MATCH($D504,'Input Kegiatan'!$A$2:$A905,0)),"")</f>
        <v/>
      </c>
      <c r="G504" s="5" t="str">
        <f t="array" ref="G504">IF(W504=1,INDEX('Input Kegiatan'!E$2:E905,MATCH($D504,'Input Kegiatan'!$A$2:$A905,0)),"")</f>
        <v/>
      </c>
      <c r="H504" s="5" t="str">
        <f t="array" ref="H504">IF(W504=1,INDEX(Honor!$H$2:$H905,MATCH($D504&amp;"-"&amp;R504,Honor!$K$2:$K905,0)),"")</f>
        <v/>
      </c>
      <c r="I504" s="8" t="str">
        <f>IF(W504=1,SUMIFS(Honor!$I$2:$I905,Honor!$K$2:$K905,$D504&amp;"-"&amp;R504),"")</f>
        <v/>
      </c>
      <c r="J504" s="9" t="str">
        <f t="shared" si="6"/>
        <v/>
      </c>
      <c r="K504" s="10" t="str">
        <f t="shared" si="0"/>
        <v/>
      </c>
      <c r="L504" s="10" t="str">
        <f t="shared" si="1"/>
        <v/>
      </c>
      <c r="M504" s="10" t="str">
        <f>IF(W504=1,IF(AND(U504&lt;2,INT(V504)&lt;='Batasan Honor'!$B$2),1,0),"")</f>
        <v/>
      </c>
      <c r="O504" s="10" t="str">
        <f t="shared" si="2"/>
        <v/>
      </c>
      <c r="P504" s="10" t="str">
        <f t="shared" si="3"/>
        <v/>
      </c>
      <c r="R504" s="23"/>
      <c r="S504" s="10" t="str">
        <f t="shared" si="4"/>
        <v/>
      </c>
      <c r="U504" s="10" t="str">
        <f ca="1">IFERROR(__xludf.DUMMYFUNCTION("if(W504=1,COUNTIFS(FILTER($H$2:$H905,$H$2:$H905=""OB"",$S$2:$S905=S504),""OB""),"""")"),"")</f>
        <v/>
      </c>
      <c r="V504" s="10" t="str">
        <f ca="1">IFERROR(__xludf.DUMMYFUNCTION("IF(OR(ISNA(SUM(FILTER($K$2:$K905,$A$2:$A905=A504,$S$2:$S905=S504,$H$2:$H905&lt;&gt;""OB""))),W504&lt;&gt;1),"""",SUM(FILTER($K$2:$K905,$A$2:$A905=A504,$S$2:$S905=S504,$H$2:$H905&lt;&gt;""OB"")))"),"")</f>
        <v/>
      </c>
      <c r="W504" s="10" t="str">
        <f t="shared" si="5"/>
        <v/>
      </c>
    </row>
    <row r="505" spans="1:23" ht="12.5">
      <c r="A505" s="23"/>
      <c r="B505" s="5" t="str">
        <f t="array" ref="B505">IF(W505=1,INDEX('Database Mitra'!$H$2:$H905,MATCH(A505,'Database Mitra'!AK$2:AK905,0)),"")</f>
        <v/>
      </c>
      <c r="C505" s="5" t="str">
        <f t="array" ref="C505">IF(W505=1,INDEX('Database Mitra'!$E$2:$E905,MATCH(A505,'Database Mitra'!AK$2:AK905,0)),"")</f>
        <v/>
      </c>
      <c r="D505" s="23"/>
      <c r="E505" s="5" t="str">
        <f t="array" ref="E505">IF(W505=1,INDEX('Input Kegiatan'!B$2:B905,MATCH($D505,'Input Kegiatan'!$A$2:$A905,0)),"")</f>
        <v/>
      </c>
      <c r="F505" s="5" t="str">
        <f t="array" ref="F505">IF(W505=1,INDEX('Input Kegiatan'!D$2:D905,MATCH($D505,'Input Kegiatan'!$A$2:$A905,0)),"")</f>
        <v/>
      </c>
      <c r="G505" s="5" t="str">
        <f t="array" ref="G505">IF(W505=1,INDEX('Input Kegiatan'!E$2:E905,MATCH($D505,'Input Kegiatan'!$A$2:$A905,0)),"")</f>
        <v/>
      </c>
      <c r="H505" s="5" t="str">
        <f t="array" ref="H505">IF(W505=1,INDEX(Honor!$H$2:$H905,MATCH($D505&amp;"-"&amp;R505,Honor!$K$2:$K905,0)),"")</f>
        <v/>
      </c>
      <c r="I505" s="8" t="str">
        <f>IF(W505=1,SUMIFS(Honor!$I$2:$I905,Honor!$K$2:$K905,$D505&amp;"-"&amp;R505),"")</f>
        <v/>
      </c>
      <c r="J505" s="9" t="str">
        <f t="shared" si="6"/>
        <v/>
      </c>
      <c r="K505" s="10" t="str">
        <f t="shared" si="0"/>
        <v/>
      </c>
      <c r="L505" s="10" t="str">
        <f t="shared" si="1"/>
        <v/>
      </c>
      <c r="M505" s="10" t="str">
        <f>IF(W505=1,IF(AND(U505&lt;2,INT(V505)&lt;='Batasan Honor'!$B$2),1,0),"")</f>
        <v/>
      </c>
      <c r="O505" s="10" t="str">
        <f t="shared" si="2"/>
        <v/>
      </c>
      <c r="P505" s="10" t="str">
        <f t="shared" si="3"/>
        <v/>
      </c>
      <c r="R505" s="23"/>
      <c r="S505" s="10" t="str">
        <f t="shared" si="4"/>
        <v/>
      </c>
      <c r="U505" s="10" t="str">
        <f ca="1">IFERROR(__xludf.DUMMYFUNCTION("if(W505=1,COUNTIFS(FILTER($H$2:$H905,$H$2:$H905=""OB"",$S$2:$S905=S505),""OB""),"""")"),"")</f>
        <v/>
      </c>
      <c r="V505" s="10" t="str">
        <f ca="1">IFERROR(__xludf.DUMMYFUNCTION("IF(OR(ISNA(SUM(FILTER($K$2:$K905,$A$2:$A905=A505,$S$2:$S905=S505,$H$2:$H905&lt;&gt;""OB""))),W505&lt;&gt;1),"""",SUM(FILTER($K$2:$K905,$A$2:$A905=A505,$S$2:$S905=S505,$H$2:$H905&lt;&gt;""OB"")))"),"")</f>
        <v/>
      </c>
      <c r="W505" s="10" t="str">
        <f t="shared" si="5"/>
        <v/>
      </c>
    </row>
    <row r="506" spans="1:23" ht="12.5">
      <c r="A506" s="23"/>
      <c r="B506" s="5" t="str">
        <f t="array" ref="B506">IF(W506=1,INDEX('Database Mitra'!$H$2:$H905,MATCH(A506,'Database Mitra'!AK$2:AK905,0)),"")</f>
        <v/>
      </c>
      <c r="C506" s="5" t="str">
        <f t="array" ref="C506">IF(W506=1,INDEX('Database Mitra'!$E$2:$E905,MATCH(A506,'Database Mitra'!AK$2:AK905,0)),"")</f>
        <v/>
      </c>
      <c r="D506" s="23"/>
      <c r="E506" s="5" t="str">
        <f t="array" ref="E506">IF(W506=1,INDEX('Input Kegiatan'!B$2:B905,MATCH($D506,'Input Kegiatan'!$A$2:$A905,0)),"")</f>
        <v/>
      </c>
      <c r="F506" s="5" t="str">
        <f t="array" ref="F506">IF(W506=1,INDEX('Input Kegiatan'!D$2:D905,MATCH($D506,'Input Kegiatan'!$A$2:$A905,0)),"")</f>
        <v/>
      </c>
      <c r="G506" s="5" t="str">
        <f t="array" ref="G506">IF(W506=1,INDEX('Input Kegiatan'!E$2:E905,MATCH($D506,'Input Kegiatan'!$A$2:$A905,0)),"")</f>
        <v/>
      </c>
      <c r="H506" s="5" t="str">
        <f t="array" ref="H506">IF(W506=1,INDEX(Honor!$H$2:$H905,MATCH($D506&amp;"-"&amp;R506,Honor!$K$2:$K905,0)),"")</f>
        <v/>
      </c>
      <c r="I506" s="8" t="str">
        <f>IF(W506=1,SUMIFS(Honor!$I$2:$I905,Honor!$K$2:$K905,$D506&amp;"-"&amp;R506),"")</f>
        <v/>
      </c>
      <c r="J506" s="9" t="str">
        <f t="shared" si="6"/>
        <v/>
      </c>
      <c r="K506" s="10" t="str">
        <f t="shared" si="0"/>
        <v/>
      </c>
      <c r="L506" s="10" t="str">
        <f t="shared" si="1"/>
        <v/>
      </c>
      <c r="M506" s="10" t="str">
        <f>IF(W506=1,IF(AND(U506&lt;2,INT(V506)&lt;='Batasan Honor'!$B$2),1,0),"")</f>
        <v/>
      </c>
      <c r="O506" s="10" t="str">
        <f t="shared" si="2"/>
        <v/>
      </c>
      <c r="P506" s="10" t="str">
        <f t="shared" si="3"/>
        <v/>
      </c>
      <c r="R506" s="23"/>
      <c r="S506" s="10" t="str">
        <f t="shared" si="4"/>
        <v/>
      </c>
      <c r="U506" s="10" t="str">
        <f ca="1">IFERROR(__xludf.DUMMYFUNCTION("if(W506=1,COUNTIFS(FILTER($H$2:$H905,$H$2:$H905=""OB"",$S$2:$S905=S506),""OB""),"""")"),"")</f>
        <v/>
      </c>
      <c r="V506" s="10" t="str">
        <f ca="1">IFERROR(__xludf.DUMMYFUNCTION("IF(OR(ISNA(SUM(FILTER($K$2:$K905,$A$2:$A905=A506,$S$2:$S905=S506,$H$2:$H905&lt;&gt;""OB""))),W506&lt;&gt;1),"""",SUM(FILTER($K$2:$K905,$A$2:$A905=A506,$S$2:$S905=S506,$H$2:$H905&lt;&gt;""OB"")))"),"")</f>
        <v/>
      </c>
      <c r="W506" s="10" t="str">
        <f t="shared" si="5"/>
        <v/>
      </c>
    </row>
    <row r="507" spans="1:23" ht="12.5">
      <c r="A507" s="23"/>
      <c r="B507" s="5" t="str">
        <f t="array" ref="B507">IF(W507=1,INDEX('Database Mitra'!$H$2:$H905,MATCH(A507,'Database Mitra'!AK$2:AK905,0)),"")</f>
        <v/>
      </c>
      <c r="C507" s="5" t="str">
        <f t="array" ref="C507">IF(W507=1,INDEX('Database Mitra'!$E$2:$E905,MATCH(A507,'Database Mitra'!AK$2:AK905,0)),"")</f>
        <v/>
      </c>
      <c r="D507" s="23"/>
      <c r="E507" s="5" t="str">
        <f t="array" ref="E507">IF(W507=1,INDEX('Input Kegiatan'!B$2:B905,MATCH($D507,'Input Kegiatan'!$A$2:$A905,0)),"")</f>
        <v/>
      </c>
      <c r="F507" s="5" t="str">
        <f t="array" ref="F507">IF(W507=1,INDEX('Input Kegiatan'!D$2:D905,MATCH($D507,'Input Kegiatan'!$A$2:$A905,0)),"")</f>
        <v/>
      </c>
      <c r="G507" s="5" t="str">
        <f t="array" ref="G507">IF(W507=1,INDEX('Input Kegiatan'!E$2:E905,MATCH($D507,'Input Kegiatan'!$A$2:$A905,0)),"")</f>
        <v/>
      </c>
      <c r="H507" s="5" t="str">
        <f t="array" ref="H507">IF(W507=1,INDEX(Honor!$H$2:$H905,MATCH($D507&amp;"-"&amp;R507,Honor!$K$2:$K905,0)),"")</f>
        <v/>
      </c>
      <c r="I507" s="8" t="str">
        <f>IF(W507=1,SUMIFS(Honor!$I$2:$I905,Honor!$K$2:$K905,$D507&amp;"-"&amp;R507),"")</f>
        <v/>
      </c>
      <c r="J507" s="9" t="str">
        <f t="shared" si="6"/>
        <v/>
      </c>
      <c r="K507" s="10" t="str">
        <f t="shared" si="0"/>
        <v/>
      </c>
      <c r="L507" s="10" t="str">
        <f t="shared" si="1"/>
        <v/>
      </c>
      <c r="M507" s="10" t="str">
        <f>IF(W507=1,IF(AND(U507&lt;2,INT(V507)&lt;='Batasan Honor'!$B$2),1,0),"")</f>
        <v/>
      </c>
      <c r="O507" s="10" t="str">
        <f t="shared" si="2"/>
        <v/>
      </c>
      <c r="P507" s="10" t="str">
        <f t="shared" si="3"/>
        <v/>
      </c>
      <c r="R507" s="23"/>
      <c r="S507" s="10" t="str">
        <f t="shared" si="4"/>
        <v/>
      </c>
      <c r="U507" s="10" t="str">
        <f ca="1">IFERROR(__xludf.DUMMYFUNCTION("if(W507=1,COUNTIFS(FILTER($H$2:$H905,$H$2:$H905=""OB"",$S$2:$S905=S507),""OB""),"""")"),"")</f>
        <v/>
      </c>
      <c r="V507" s="10" t="str">
        <f ca="1">IFERROR(__xludf.DUMMYFUNCTION("IF(OR(ISNA(SUM(FILTER($K$2:$K905,$A$2:$A905=A507,$S$2:$S905=S507,$H$2:$H905&lt;&gt;""OB""))),W507&lt;&gt;1),"""",SUM(FILTER($K$2:$K905,$A$2:$A905=A507,$S$2:$S905=S507,$H$2:$H905&lt;&gt;""OB"")))"),"")</f>
        <v/>
      </c>
      <c r="W507" s="10" t="str">
        <f t="shared" si="5"/>
        <v/>
      </c>
    </row>
    <row r="508" spans="1:23" ht="12.5">
      <c r="A508" s="23"/>
      <c r="B508" s="5" t="str">
        <f t="array" ref="B508">IF(W508=1,INDEX('Database Mitra'!$H$2:$H905,MATCH(A508,'Database Mitra'!AK$2:AK905,0)),"")</f>
        <v/>
      </c>
      <c r="C508" s="5" t="str">
        <f t="array" ref="C508">IF(W508=1,INDEX('Database Mitra'!$E$2:$E905,MATCH(A508,'Database Mitra'!AK$2:AK905,0)),"")</f>
        <v/>
      </c>
      <c r="D508" s="23"/>
      <c r="E508" s="5" t="str">
        <f t="array" ref="E508">IF(W508=1,INDEX('Input Kegiatan'!B$2:B905,MATCH($D508,'Input Kegiatan'!$A$2:$A905,0)),"")</f>
        <v/>
      </c>
      <c r="F508" s="5" t="str">
        <f t="array" ref="F508">IF(W508=1,INDEX('Input Kegiatan'!D$2:D905,MATCH($D508,'Input Kegiatan'!$A$2:$A905,0)),"")</f>
        <v/>
      </c>
      <c r="G508" s="5" t="str">
        <f t="array" ref="G508">IF(W508=1,INDEX('Input Kegiatan'!E$2:E905,MATCH($D508,'Input Kegiatan'!$A$2:$A905,0)),"")</f>
        <v/>
      </c>
      <c r="H508" s="5" t="str">
        <f t="array" ref="H508">IF(W508=1,INDEX(Honor!$H$2:$H905,MATCH($D508&amp;"-"&amp;R508,Honor!$K$2:$K905,0)),"")</f>
        <v/>
      </c>
      <c r="I508" s="8" t="str">
        <f>IF(W508=1,SUMIFS(Honor!$I$2:$I905,Honor!$K$2:$K905,$D508&amp;"-"&amp;R508),"")</f>
        <v/>
      </c>
      <c r="J508" s="9" t="str">
        <f t="shared" si="6"/>
        <v/>
      </c>
      <c r="K508" s="10" t="str">
        <f t="shared" si="0"/>
        <v/>
      </c>
      <c r="L508" s="10" t="str">
        <f t="shared" si="1"/>
        <v/>
      </c>
      <c r="M508" s="10" t="str">
        <f>IF(W508=1,IF(AND(U508&lt;2,INT(V508)&lt;='Batasan Honor'!$B$2),1,0),"")</f>
        <v/>
      </c>
      <c r="O508" s="10" t="str">
        <f t="shared" si="2"/>
        <v/>
      </c>
      <c r="P508" s="10" t="str">
        <f t="shared" si="3"/>
        <v/>
      </c>
      <c r="R508" s="23"/>
      <c r="S508" s="10" t="str">
        <f t="shared" si="4"/>
        <v/>
      </c>
      <c r="U508" s="10" t="str">
        <f ca="1">IFERROR(__xludf.DUMMYFUNCTION("if(W508=1,COUNTIFS(FILTER($H$2:$H905,$H$2:$H905=""OB"",$S$2:$S905=S508),""OB""),"""")"),"")</f>
        <v/>
      </c>
      <c r="V508" s="10" t="str">
        <f ca="1">IFERROR(__xludf.DUMMYFUNCTION("IF(OR(ISNA(SUM(FILTER($K$2:$K905,$A$2:$A905=A508,$S$2:$S905=S508,$H$2:$H905&lt;&gt;""OB""))),W508&lt;&gt;1),"""",SUM(FILTER($K$2:$K905,$A$2:$A905=A508,$S$2:$S905=S508,$H$2:$H905&lt;&gt;""OB"")))"),"")</f>
        <v/>
      </c>
      <c r="W508" s="10" t="str">
        <f t="shared" si="5"/>
        <v/>
      </c>
    </row>
    <row r="509" spans="1:23" ht="12.5">
      <c r="A509" s="23"/>
      <c r="B509" s="5" t="str">
        <f t="array" ref="B509">IF(W509=1,INDEX('Database Mitra'!$H$2:$H905,MATCH(A509,'Database Mitra'!AK$2:AK905,0)),"")</f>
        <v/>
      </c>
      <c r="C509" s="5" t="str">
        <f t="array" ref="C509">IF(W509=1,INDEX('Database Mitra'!$E$2:$E905,MATCH(A509,'Database Mitra'!AK$2:AK905,0)),"")</f>
        <v/>
      </c>
      <c r="D509" s="23"/>
      <c r="E509" s="5" t="str">
        <f t="array" ref="E509">IF(W509=1,INDEX('Input Kegiatan'!B$2:B905,MATCH($D509,'Input Kegiatan'!$A$2:$A905,0)),"")</f>
        <v/>
      </c>
      <c r="F509" s="5" t="str">
        <f t="array" ref="F509">IF(W509=1,INDEX('Input Kegiatan'!D$2:D905,MATCH($D509,'Input Kegiatan'!$A$2:$A905,0)),"")</f>
        <v/>
      </c>
      <c r="G509" s="5" t="str">
        <f t="array" ref="G509">IF(W509=1,INDEX('Input Kegiatan'!E$2:E905,MATCH($D509,'Input Kegiatan'!$A$2:$A905,0)),"")</f>
        <v/>
      </c>
      <c r="H509" s="5" t="str">
        <f t="array" ref="H509">IF(W509=1,INDEX(Honor!$H$2:$H905,MATCH($D509&amp;"-"&amp;R509,Honor!$K$2:$K905,0)),"")</f>
        <v/>
      </c>
      <c r="I509" s="8" t="str">
        <f>IF(W509=1,SUMIFS(Honor!$I$2:$I905,Honor!$K$2:$K905,$D509&amp;"-"&amp;R509),"")</f>
        <v/>
      </c>
      <c r="J509" s="9" t="str">
        <f t="shared" si="6"/>
        <v/>
      </c>
      <c r="K509" s="10" t="str">
        <f t="shared" si="0"/>
        <v/>
      </c>
      <c r="L509" s="10" t="str">
        <f t="shared" si="1"/>
        <v/>
      </c>
      <c r="M509" s="10" t="str">
        <f>IF(W509=1,IF(AND(U509&lt;2,INT(V509)&lt;='Batasan Honor'!$B$2),1,0),"")</f>
        <v/>
      </c>
      <c r="O509" s="10" t="str">
        <f t="shared" si="2"/>
        <v/>
      </c>
      <c r="P509" s="10" t="str">
        <f t="shared" si="3"/>
        <v/>
      </c>
      <c r="R509" s="23"/>
      <c r="S509" s="10" t="str">
        <f t="shared" si="4"/>
        <v/>
      </c>
      <c r="U509" s="10" t="str">
        <f ca="1">IFERROR(__xludf.DUMMYFUNCTION("if(W509=1,COUNTIFS(FILTER($H$2:$H905,$H$2:$H905=""OB"",$S$2:$S905=S509),""OB""),"""")"),"")</f>
        <v/>
      </c>
      <c r="V509" s="10" t="str">
        <f ca="1">IFERROR(__xludf.DUMMYFUNCTION("IF(OR(ISNA(SUM(FILTER($K$2:$K905,$A$2:$A905=A509,$S$2:$S905=S509,$H$2:$H905&lt;&gt;""OB""))),W509&lt;&gt;1),"""",SUM(FILTER($K$2:$K905,$A$2:$A905=A509,$S$2:$S905=S509,$H$2:$H905&lt;&gt;""OB"")))"),"")</f>
        <v/>
      </c>
      <c r="W509" s="10" t="str">
        <f t="shared" si="5"/>
        <v/>
      </c>
    </row>
    <row r="510" spans="1:23" ht="12.5">
      <c r="A510" s="23"/>
      <c r="B510" s="5" t="str">
        <f t="array" ref="B510">IF(W510=1,INDEX('Database Mitra'!$H$2:$H905,MATCH(A510,'Database Mitra'!AK$2:AK905,0)),"")</f>
        <v/>
      </c>
      <c r="C510" s="5" t="str">
        <f t="array" ref="C510">IF(W510=1,INDEX('Database Mitra'!$E$2:$E905,MATCH(A510,'Database Mitra'!AK$2:AK905,0)),"")</f>
        <v/>
      </c>
      <c r="D510" s="23"/>
      <c r="E510" s="5" t="str">
        <f t="array" ref="E510">IF(W510=1,INDEX('Input Kegiatan'!B$2:B905,MATCH($D510,'Input Kegiatan'!$A$2:$A905,0)),"")</f>
        <v/>
      </c>
      <c r="F510" s="5" t="str">
        <f t="array" ref="F510">IF(W510=1,INDEX('Input Kegiatan'!D$2:D905,MATCH($D510,'Input Kegiatan'!$A$2:$A905,0)),"")</f>
        <v/>
      </c>
      <c r="G510" s="5" t="str">
        <f t="array" ref="G510">IF(W510=1,INDEX('Input Kegiatan'!E$2:E905,MATCH($D510,'Input Kegiatan'!$A$2:$A905,0)),"")</f>
        <v/>
      </c>
      <c r="H510" s="5" t="str">
        <f t="array" ref="H510">IF(W510=1,INDEX(Honor!$H$2:$H905,MATCH($D510&amp;"-"&amp;R510,Honor!$K$2:$K905,0)),"")</f>
        <v/>
      </c>
      <c r="I510" s="8" t="str">
        <f>IF(W510=1,SUMIFS(Honor!$I$2:$I905,Honor!$K$2:$K905,$D510&amp;"-"&amp;R510),"")</f>
        <v/>
      </c>
      <c r="J510" s="9" t="str">
        <f t="shared" si="6"/>
        <v/>
      </c>
      <c r="K510" s="10" t="str">
        <f t="shared" si="0"/>
        <v/>
      </c>
      <c r="L510" s="10" t="str">
        <f t="shared" si="1"/>
        <v/>
      </c>
      <c r="M510" s="10" t="str">
        <f>IF(W510=1,IF(AND(U510&lt;2,INT(V510)&lt;='Batasan Honor'!$B$2),1,0),"")</f>
        <v/>
      </c>
      <c r="O510" s="10" t="str">
        <f t="shared" si="2"/>
        <v/>
      </c>
      <c r="P510" s="10" t="str">
        <f t="shared" si="3"/>
        <v/>
      </c>
      <c r="R510" s="23"/>
      <c r="S510" s="10" t="str">
        <f t="shared" si="4"/>
        <v/>
      </c>
      <c r="U510" s="10" t="str">
        <f ca="1">IFERROR(__xludf.DUMMYFUNCTION("if(W510=1,COUNTIFS(FILTER($H$2:$H905,$H$2:$H905=""OB"",$S$2:$S905=S510),""OB""),"""")"),"")</f>
        <v/>
      </c>
      <c r="V510" s="10" t="str">
        <f ca="1">IFERROR(__xludf.DUMMYFUNCTION("IF(OR(ISNA(SUM(FILTER($K$2:$K905,$A$2:$A905=A510,$S$2:$S905=S510,$H$2:$H905&lt;&gt;""OB""))),W510&lt;&gt;1),"""",SUM(FILTER($K$2:$K905,$A$2:$A905=A510,$S$2:$S905=S510,$H$2:$H905&lt;&gt;""OB"")))"),"")</f>
        <v/>
      </c>
      <c r="W510" s="10" t="str">
        <f t="shared" si="5"/>
        <v/>
      </c>
    </row>
    <row r="511" spans="1:23" ht="12.5">
      <c r="A511" s="23"/>
      <c r="B511" s="5" t="str">
        <f t="array" ref="B511">IF(W511=1,INDEX('Database Mitra'!$H$2:$H905,MATCH(A511,'Database Mitra'!AK$2:AK905,0)),"")</f>
        <v/>
      </c>
      <c r="C511" s="5" t="str">
        <f t="array" ref="C511">IF(W511=1,INDEX('Database Mitra'!$E$2:$E905,MATCH(A511,'Database Mitra'!AK$2:AK905,0)),"")</f>
        <v/>
      </c>
      <c r="D511" s="23"/>
      <c r="E511" s="5" t="str">
        <f t="array" ref="E511">IF(W511=1,INDEX('Input Kegiatan'!B$2:B905,MATCH($D511,'Input Kegiatan'!$A$2:$A905,0)),"")</f>
        <v/>
      </c>
      <c r="F511" s="5" t="str">
        <f t="array" ref="F511">IF(W511=1,INDEX('Input Kegiatan'!D$2:D905,MATCH($D511,'Input Kegiatan'!$A$2:$A905,0)),"")</f>
        <v/>
      </c>
      <c r="G511" s="5" t="str">
        <f t="array" ref="G511">IF(W511=1,INDEX('Input Kegiatan'!E$2:E905,MATCH($D511,'Input Kegiatan'!$A$2:$A905,0)),"")</f>
        <v/>
      </c>
      <c r="H511" s="5" t="str">
        <f t="array" ref="H511">IF(W511=1,INDEX(Honor!$H$2:$H905,MATCH($D511&amp;"-"&amp;R511,Honor!$K$2:$K905,0)),"")</f>
        <v/>
      </c>
      <c r="I511" s="8" t="str">
        <f>IF(W511=1,SUMIFS(Honor!$I$2:$I905,Honor!$K$2:$K905,$D511&amp;"-"&amp;R511),"")</f>
        <v/>
      </c>
      <c r="J511" s="9" t="str">
        <f t="shared" si="6"/>
        <v/>
      </c>
      <c r="K511" s="10" t="str">
        <f t="shared" si="0"/>
        <v/>
      </c>
      <c r="L511" s="10" t="str">
        <f t="shared" si="1"/>
        <v/>
      </c>
      <c r="M511" s="10" t="str">
        <f>IF(W511=1,IF(AND(U511&lt;2,INT(V511)&lt;='Batasan Honor'!$B$2),1,0),"")</f>
        <v/>
      </c>
      <c r="O511" s="10" t="str">
        <f t="shared" si="2"/>
        <v/>
      </c>
      <c r="P511" s="10" t="str">
        <f t="shared" si="3"/>
        <v/>
      </c>
      <c r="R511" s="23"/>
      <c r="S511" s="10" t="str">
        <f t="shared" si="4"/>
        <v/>
      </c>
      <c r="U511" s="10" t="str">
        <f ca="1">IFERROR(__xludf.DUMMYFUNCTION("if(W511=1,COUNTIFS(FILTER($H$2:$H905,$H$2:$H905=""OB"",$S$2:$S905=S511),""OB""),"""")"),"")</f>
        <v/>
      </c>
      <c r="V511" s="10" t="str">
        <f ca="1">IFERROR(__xludf.DUMMYFUNCTION("IF(OR(ISNA(SUM(FILTER($K$2:$K905,$A$2:$A905=A511,$S$2:$S905=S511,$H$2:$H905&lt;&gt;""OB""))),W511&lt;&gt;1),"""",SUM(FILTER($K$2:$K905,$A$2:$A905=A511,$S$2:$S905=S511,$H$2:$H905&lt;&gt;""OB"")))"),"")</f>
        <v/>
      </c>
      <c r="W511" s="10" t="str">
        <f t="shared" si="5"/>
        <v/>
      </c>
    </row>
    <row r="512" spans="1:23" ht="12.5">
      <c r="A512" s="23"/>
      <c r="B512" s="5" t="str">
        <f t="array" ref="B512">IF(W512=1,INDEX('Database Mitra'!$H$2:$H905,MATCH(A512,'Database Mitra'!AK$2:AK905,0)),"")</f>
        <v/>
      </c>
      <c r="C512" s="5" t="str">
        <f t="array" ref="C512">IF(W512=1,INDEX('Database Mitra'!$E$2:$E905,MATCH(A512,'Database Mitra'!AK$2:AK905,0)),"")</f>
        <v/>
      </c>
      <c r="D512" s="23"/>
      <c r="E512" s="5" t="str">
        <f t="array" ref="E512">IF(W512=1,INDEX('Input Kegiatan'!B$2:B905,MATCH($D512,'Input Kegiatan'!$A$2:$A905,0)),"")</f>
        <v/>
      </c>
      <c r="F512" s="5" t="str">
        <f t="array" ref="F512">IF(W512=1,INDEX('Input Kegiatan'!D$2:D905,MATCH($D512,'Input Kegiatan'!$A$2:$A905,0)),"")</f>
        <v/>
      </c>
      <c r="G512" s="5" t="str">
        <f t="array" ref="G512">IF(W512=1,INDEX('Input Kegiatan'!E$2:E905,MATCH($D512,'Input Kegiatan'!$A$2:$A905,0)),"")</f>
        <v/>
      </c>
      <c r="H512" s="5" t="str">
        <f t="array" ref="H512">IF(W512=1,INDEX(Honor!$H$2:$H905,MATCH($D512&amp;"-"&amp;R512,Honor!$K$2:$K905,0)),"")</f>
        <v/>
      </c>
      <c r="I512" s="8" t="str">
        <f>IF(W512=1,SUMIFS(Honor!$I$2:$I905,Honor!$K$2:$K905,$D512&amp;"-"&amp;R512),"")</f>
        <v/>
      </c>
      <c r="J512" s="9" t="str">
        <f t="shared" si="6"/>
        <v/>
      </c>
      <c r="K512" s="10" t="str">
        <f t="shared" si="0"/>
        <v/>
      </c>
      <c r="L512" s="10" t="str">
        <f t="shared" si="1"/>
        <v/>
      </c>
      <c r="M512" s="10" t="str">
        <f>IF(W512=1,IF(AND(U512&lt;2,INT(V512)&lt;='Batasan Honor'!$B$2),1,0),"")</f>
        <v/>
      </c>
      <c r="O512" s="10" t="str">
        <f t="shared" si="2"/>
        <v/>
      </c>
      <c r="P512" s="10" t="str">
        <f t="shared" si="3"/>
        <v/>
      </c>
      <c r="R512" s="23"/>
      <c r="S512" s="10" t="str">
        <f t="shared" si="4"/>
        <v/>
      </c>
      <c r="U512" s="10" t="str">
        <f ca="1">IFERROR(__xludf.DUMMYFUNCTION("if(W512=1,COUNTIFS(FILTER($H$2:$H905,$H$2:$H905=""OB"",$S$2:$S905=S512),""OB""),"""")"),"")</f>
        <v/>
      </c>
      <c r="V512" s="10" t="str">
        <f ca="1">IFERROR(__xludf.DUMMYFUNCTION("IF(OR(ISNA(SUM(FILTER($K$2:$K905,$A$2:$A905=A512,$S$2:$S905=S512,$H$2:$H905&lt;&gt;""OB""))),W512&lt;&gt;1),"""",SUM(FILTER($K$2:$K905,$A$2:$A905=A512,$S$2:$S905=S512,$H$2:$H905&lt;&gt;""OB"")))"),"")</f>
        <v/>
      </c>
      <c r="W512" s="10" t="str">
        <f t="shared" si="5"/>
        <v/>
      </c>
    </row>
    <row r="513" spans="1:23" ht="12.5">
      <c r="A513" s="23"/>
      <c r="B513" s="5" t="str">
        <f t="array" ref="B513">IF(W513=1,INDEX('Database Mitra'!$H$2:$H905,MATCH(A513,'Database Mitra'!AK$2:AK905,0)),"")</f>
        <v/>
      </c>
      <c r="C513" s="5" t="str">
        <f t="array" ref="C513">IF(W513=1,INDEX('Database Mitra'!$E$2:$E905,MATCH(A513,'Database Mitra'!AK$2:AK905,0)),"")</f>
        <v/>
      </c>
      <c r="D513" s="23"/>
      <c r="E513" s="5" t="str">
        <f t="array" ref="E513">IF(W513=1,INDEX('Input Kegiatan'!B$2:B905,MATCH($D513,'Input Kegiatan'!$A$2:$A905,0)),"")</f>
        <v/>
      </c>
      <c r="F513" s="5" t="str">
        <f t="array" ref="F513">IF(W513=1,INDEX('Input Kegiatan'!D$2:D905,MATCH($D513,'Input Kegiatan'!$A$2:$A905,0)),"")</f>
        <v/>
      </c>
      <c r="G513" s="5" t="str">
        <f t="array" ref="G513">IF(W513=1,INDEX('Input Kegiatan'!E$2:E905,MATCH($D513,'Input Kegiatan'!$A$2:$A905,0)),"")</f>
        <v/>
      </c>
      <c r="H513" s="5" t="str">
        <f t="array" ref="H513">IF(W513=1,INDEX(Honor!$H$2:$H905,MATCH($D513&amp;"-"&amp;R513,Honor!$K$2:$K905,0)),"")</f>
        <v/>
      </c>
      <c r="I513" s="8" t="str">
        <f>IF(W513=1,SUMIFS(Honor!$I$2:$I905,Honor!$K$2:$K905,$D513&amp;"-"&amp;R513),"")</f>
        <v/>
      </c>
      <c r="J513" s="9" t="str">
        <f t="shared" si="6"/>
        <v/>
      </c>
      <c r="K513" s="10" t="str">
        <f t="shared" si="0"/>
        <v/>
      </c>
      <c r="L513" s="10" t="str">
        <f t="shared" si="1"/>
        <v/>
      </c>
      <c r="M513" s="10" t="str">
        <f>IF(W513=1,IF(AND(U513&lt;2,INT(V513)&lt;='Batasan Honor'!$B$2),1,0),"")</f>
        <v/>
      </c>
      <c r="O513" s="10" t="str">
        <f t="shared" si="2"/>
        <v/>
      </c>
      <c r="P513" s="10" t="str">
        <f t="shared" si="3"/>
        <v/>
      </c>
      <c r="R513" s="23"/>
      <c r="S513" s="10" t="str">
        <f t="shared" si="4"/>
        <v/>
      </c>
      <c r="U513" s="10" t="str">
        <f ca="1">IFERROR(__xludf.DUMMYFUNCTION("if(W513=1,COUNTIFS(FILTER($H$2:$H905,$H$2:$H905=""OB"",$S$2:$S905=S513),""OB""),"""")"),"")</f>
        <v/>
      </c>
      <c r="V513" s="10" t="str">
        <f ca="1">IFERROR(__xludf.DUMMYFUNCTION("IF(OR(ISNA(SUM(FILTER($K$2:$K905,$A$2:$A905=A513,$S$2:$S905=S513,$H$2:$H905&lt;&gt;""OB""))),W513&lt;&gt;1),"""",SUM(FILTER($K$2:$K905,$A$2:$A905=A513,$S$2:$S905=S513,$H$2:$H905&lt;&gt;""OB"")))"),"")</f>
        <v/>
      </c>
      <c r="W513" s="10" t="str">
        <f t="shared" si="5"/>
        <v/>
      </c>
    </row>
    <row r="514" spans="1:23" ht="12.5">
      <c r="A514" s="23"/>
      <c r="B514" s="5" t="str">
        <f t="array" ref="B514">IF(W514=1,INDEX('Database Mitra'!$H$2:$H905,MATCH(A514,'Database Mitra'!AK$2:AK905,0)),"")</f>
        <v/>
      </c>
      <c r="C514" s="5" t="str">
        <f t="array" ref="C514">IF(W514=1,INDEX('Database Mitra'!$E$2:$E905,MATCH(A514,'Database Mitra'!AK$2:AK905,0)),"")</f>
        <v/>
      </c>
      <c r="D514" s="23"/>
      <c r="E514" s="5" t="str">
        <f t="array" ref="E514">IF(W514=1,INDEX('Input Kegiatan'!B$2:B905,MATCH($D514,'Input Kegiatan'!$A$2:$A905,0)),"")</f>
        <v/>
      </c>
      <c r="F514" s="5" t="str">
        <f t="array" ref="F514">IF(W514=1,INDEX('Input Kegiatan'!D$2:D905,MATCH($D514,'Input Kegiatan'!$A$2:$A905,0)),"")</f>
        <v/>
      </c>
      <c r="G514" s="5" t="str">
        <f t="array" ref="G514">IF(W514=1,INDEX('Input Kegiatan'!E$2:E905,MATCH($D514,'Input Kegiatan'!$A$2:$A905,0)),"")</f>
        <v/>
      </c>
      <c r="H514" s="5" t="str">
        <f t="array" ref="H514">IF(W514=1,INDEX(Honor!$H$2:$H905,MATCH($D514&amp;"-"&amp;R514,Honor!$K$2:$K905,0)),"")</f>
        <v/>
      </c>
      <c r="I514" s="8" t="str">
        <f>IF(W514=1,SUMIFS(Honor!$I$2:$I905,Honor!$K$2:$K905,$D514&amp;"-"&amp;R514),"")</f>
        <v/>
      </c>
      <c r="J514" s="9" t="str">
        <f t="shared" si="6"/>
        <v/>
      </c>
      <c r="K514" s="10" t="str">
        <f t="shared" si="0"/>
        <v/>
      </c>
      <c r="L514" s="10" t="str">
        <f t="shared" si="1"/>
        <v/>
      </c>
      <c r="M514" s="10" t="str">
        <f>IF(W514=1,IF(AND(U514&lt;2,INT(V514)&lt;='Batasan Honor'!$B$2),1,0),"")</f>
        <v/>
      </c>
      <c r="O514" s="10" t="str">
        <f t="shared" si="2"/>
        <v/>
      </c>
      <c r="P514" s="10" t="str">
        <f t="shared" si="3"/>
        <v/>
      </c>
      <c r="R514" s="23"/>
      <c r="S514" s="10" t="str">
        <f t="shared" si="4"/>
        <v/>
      </c>
      <c r="U514" s="10" t="str">
        <f ca="1">IFERROR(__xludf.DUMMYFUNCTION("if(W514=1,COUNTIFS(FILTER($H$2:$H905,$H$2:$H905=""OB"",$S$2:$S905=S514),""OB""),"""")"),"")</f>
        <v/>
      </c>
      <c r="V514" s="10" t="str">
        <f ca="1">IFERROR(__xludf.DUMMYFUNCTION("IF(OR(ISNA(SUM(FILTER($K$2:$K905,$A$2:$A905=A514,$S$2:$S905=S514,$H$2:$H905&lt;&gt;""OB""))),W514&lt;&gt;1),"""",SUM(FILTER($K$2:$K905,$A$2:$A905=A514,$S$2:$S905=S514,$H$2:$H905&lt;&gt;""OB"")))"),"")</f>
        <v/>
      </c>
      <c r="W514" s="10" t="str">
        <f t="shared" si="5"/>
        <v/>
      </c>
    </row>
    <row r="515" spans="1:23" ht="12.5">
      <c r="A515" s="23"/>
      <c r="B515" s="5" t="str">
        <f t="array" ref="B515">IF(W515=1,INDEX('Database Mitra'!$H$2:$H905,MATCH(A515,'Database Mitra'!AK$2:AK905,0)),"")</f>
        <v/>
      </c>
      <c r="C515" s="5" t="str">
        <f t="array" ref="C515">IF(W515=1,INDEX('Database Mitra'!$E$2:$E905,MATCH(A515,'Database Mitra'!AK$2:AK905,0)),"")</f>
        <v/>
      </c>
      <c r="D515" s="23"/>
      <c r="E515" s="5" t="str">
        <f t="array" ref="E515">IF(W515=1,INDEX('Input Kegiatan'!B$2:B905,MATCH($D515,'Input Kegiatan'!$A$2:$A905,0)),"")</f>
        <v/>
      </c>
      <c r="F515" s="5" t="str">
        <f t="array" ref="F515">IF(W515=1,INDEX('Input Kegiatan'!D$2:D905,MATCH($D515,'Input Kegiatan'!$A$2:$A905,0)),"")</f>
        <v/>
      </c>
      <c r="G515" s="5" t="str">
        <f t="array" ref="G515">IF(W515=1,INDEX('Input Kegiatan'!E$2:E905,MATCH($D515,'Input Kegiatan'!$A$2:$A905,0)),"")</f>
        <v/>
      </c>
      <c r="H515" s="5" t="str">
        <f t="array" ref="H515">IF(W515=1,INDEX(Honor!$H$2:$H905,MATCH($D515&amp;"-"&amp;R515,Honor!$K$2:$K905,0)),"")</f>
        <v/>
      </c>
      <c r="I515" s="8" t="str">
        <f>IF(W515=1,SUMIFS(Honor!$I$2:$I905,Honor!$K$2:$K905,$D515&amp;"-"&amp;R515),"")</f>
        <v/>
      </c>
      <c r="J515" s="9" t="str">
        <f t="shared" si="6"/>
        <v/>
      </c>
      <c r="K515" s="10" t="str">
        <f t="shared" si="0"/>
        <v/>
      </c>
      <c r="L515" s="10" t="str">
        <f t="shared" si="1"/>
        <v/>
      </c>
      <c r="M515" s="10" t="str">
        <f>IF(W515=1,IF(AND(U515&lt;2,INT(V515)&lt;='Batasan Honor'!$B$2),1,0),"")</f>
        <v/>
      </c>
      <c r="O515" s="10" t="str">
        <f t="shared" si="2"/>
        <v/>
      </c>
      <c r="P515" s="10" t="str">
        <f t="shared" si="3"/>
        <v/>
      </c>
      <c r="R515" s="23"/>
      <c r="S515" s="10" t="str">
        <f t="shared" si="4"/>
        <v/>
      </c>
      <c r="U515" s="10" t="str">
        <f ca="1">IFERROR(__xludf.DUMMYFUNCTION("if(W515=1,COUNTIFS(FILTER($H$2:$H905,$H$2:$H905=""OB"",$S$2:$S905=S515),""OB""),"""")"),"")</f>
        <v/>
      </c>
      <c r="V515" s="10" t="str">
        <f ca="1">IFERROR(__xludf.DUMMYFUNCTION("IF(OR(ISNA(SUM(FILTER($K$2:$K905,$A$2:$A905=A515,$S$2:$S905=S515,$H$2:$H905&lt;&gt;""OB""))),W515&lt;&gt;1),"""",SUM(FILTER($K$2:$K905,$A$2:$A905=A515,$S$2:$S905=S515,$H$2:$H905&lt;&gt;""OB"")))"),"")</f>
        <v/>
      </c>
      <c r="W515" s="10" t="str">
        <f t="shared" si="5"/>
        <v/>
      </c>
    </row>
    <row r="516" spans="1:23" ht="12.5">
      <c r="A516" s="23"/>
      <c r="B516" s="5" t="str">
        <f t="array" ref="B516">IF(W516=1,INDEX('Database Mitra'!$H$2:$H905,MATCH(A516,'Database Mitra'!AK$2:AK905,0)),"")</f>
        <v/>
      </c>
      <c r="C516" s="5" t="str">
        <f t="array" ref="C516">IF(W516=1,INDEX('Database Mitra'!$E$2:$E905,MATCH(A516,'Database Mitra'!AK$2:AK905,0)),"")</f>
        <v/>
      </c>
      <c r="D516" s="23"/>
      <c r="E516" s="5" t="str">
        <f t="array" ref="E516">IF(W516=1,INDEX('Input Kegiatan'!B$2:B905,MATCH($D516,'Input Kegiatan'!$A$2:$A905,0)),"")</f>
        <v/>
      </c>
      <c r="F516" s="5" t="str">
        <f t="array" ref="F516">IF(W516=1,INDEX('Input Kegiatan'!D$2:D905,MATCH($D516,'Input Kegiatan'!$A$2:$A905,0)),"")</f>
        <v/>
      </c>
      <c r="G516" s="5" t="str">
        <f t="array" ref="G516">IF(W516=1,INDEX('Input Kegiatan'!E$2:E905,MATCH($D516,'Input Kegiatan'!$A$2:$A905,0)),"")</f>
        <v/>
      </c>
      <c r="H516" s="5" t="str">
        <f t="array" ref="H516">IF(W516=1,INDEX(Honor!$H$2:$H905,MATCH($D516&amp;"-"&amp;R516,Honor!$K$2:$K905,0)),"")</f>
        <v/>
      </c>
      <c r="I516" s="8" t="str">
        <f>IF(W516=1,SUMIFS(Honor!$I$2:$I905,Honor!$K$2:$K905,$D516&amp;"-"&amp;R516),"")</f>
        <v/>
      </c>
      <c r="J516" s="9" t="str">
        <f t="shared" si="6"/>
        <v/>
      </c>
      <c r="K516" s="10" t="str">
        <f t="shared" si="0"/>
        <v/>
      </c>
      <c r="L516" s="10" t="str">
        <f t="shared" si="1"/>
        <v/>
      </c>
      <c r="M516" s="10" t="str">
        <f>IF(W516=1,IF(AND(U516&lt;2,INT(V516)&lt;='Batasan Honor'!$B$2),1,0),"")</f>
        <v/>
      </c>
      <c r="O516" s="10" t="str">
        <f t="shared" si="2"/>
        <v/>
      </c>
      <c r="P516" s="10" t="str">
        <f t="shared" si="3"/>
        <v/>
      </c>
      <c r="R516" s="23"/>
      <c r="S516" s="10" t="str">
        <f t="shared" si="4"/>
        <v/>
      </c>
      <c r="U516" s="10" t="str">
        <f ca="1">IFERROR(__xludf.DUMMYFUNCTION("if(W516=1,COUNTIFS(FILTER($H$2:$H905,$H$2:$H905=""OB"",$S$2:$S905=S516),""OB""),"""")"),"")</f>
        <v/>
      </c>
      <c r="V516" s="10" t="str">
        <f ca="1">IFERROR(__xludf.DUMMYFUNCTION("IF(OR(ISNA(SUM(FILTER($K$2:$K905,$A$2:$A905=A516,$S$2:$S905=S516,$H$2:$H905&lt;&gt;""OB""))),W516&lt;&gt;1),"""",SUM(FILTER($K$2:$K905,$A$2:$A905=A516,$S$2:$S905=S516,$H$2:$H905&lt;&gt;""OB"")))"),"")</f>
        <v/>
      </c>
      <c r="W516" s="10" t="str">
        <f t="shared" si="5"/>
        <v/>
      </c>
    </row>
    <row r="517" spans="1:23" ht="12.5">
      <c r="A517" s="23"/>
      <c r="B517" s="5" t="str">
        <f t="array" ref="B517">IF(W517=1,INDEX('Database Mitra'!$H$2:$H905,MATCH(A517,'Database Mitra'!AK$2:AK905,0)),"")</f>
        <v/>
      </c>
      <c r="C517" s="5" t="str">
        <f t="array" ref="C517">IF(W517=1,INDEX('Database Mitra'!$E$2:$E905,MATCH(A517,'Database Mitra'!AK$2:AK905,0)),"")</f>
        <v/>
      </c>
      <c r="D517" s="23"/>
      <c r="E517" s="5" t="str">
        <f t="array" ref="E517">IF(W517=1,INDEX('Input Kegiatan'!B$2:B905,MATCH($D517,'Input Kegiatan'!$A$2:$A905,0)),"")</f>
        <v/>
      </c>
      <c r="F517" s="5" t="str">
        <f t="array" ref="F517">IF(W517=1,INDEX('Input Kegiatan'!D$2:D905,MATCH($D517,'Input Kegiatan'!$A$2:$A905,0)),"")</f>
        <v/>
      </c>
      <c r="G517" s="5" t="str">
        <f t="array" ref="G517">IF(W517=1,INDEX('Input Kegiatan'!E$2:E905,MATCH($D517,'Input Kegiatan'!$A$2:$A905,0)),"")</f>
        <v/>
      </c>
      <c r="H517" s="5" t="str">
        <f t="array" ref="H517">IF(W517=1,INDEX(Honor!$H$2:$H905,MATCH($D517&amp;"-"&amp;R517,Honor!$K$2:$K905,0)),"")</f>
        <v/>
      </c>
      <c r="I517" s="8" t="str">
        <f>IF(W517=1,SUMIFS(Honor!$I$2:$I905,Honor!$K$2:$K905,$D517&amp;"-"&amp;R517),"")</f>
        <v/>
      </c>
      <c r="J517" s="9" t="str">
        <f t="shared" si="6"/>
        <v/>
      </c>
      <c r="K517" s="10" t="str">
        <f t="shared" si="0"/>
        <v/>
      </c>
      <c r="L517" s="10" t="str">
        <f t="shared" si="1"/>
        <v/>
      </c>
      <c r="M517" s="10" t="str">
        <f>IF(W517=1,IF(AND(U517&lt;2,INT(V517)&lt;='Batasan Honor'!$B$2),1,0),"")</f>
        <v/>
      </c>
      <c r="O517" s="10" t="str">
        <f t="shared" si="2"/>
        <v/>
      </c>
      <c r="P517" s="10" t="str">
        <f t="shared" si="3"/>
        <v/>
      </c>
      <c r="R517" s="23"/>
      <c r="S517" s="10" t="str">
        <f t="shared" si="4"/>
        <v/>
      </c>
      <c r="U517" s="10" t="str">
        <f ca="1">IFERROR(__xludf.DUMMYFUNCTION("if(W517=1,COUNTIFS(FILTER($H$2:$H905,$H$2:$H905=""OB"",$S$2:$S905=S517),""OB""),"""")"),"")</f>
        <v/>
      </c>
      <c r="V517" s="10" t="str">
        <f ca="1">IFERROR(__xludf.DUMMYFUNCTION("IF(OR(ISNA(SUM(FILTER($K$2:$K905,$A$2:$A905=A517,$S$2:$S905=S517,$H$2:$H905&lt;&gt;""OB""))),W517&lt;&gt;1),"""",SUM(FILTER($K$2:$K905,$A$2:$A905=A517,$S$2:$S905=S517,$H$2:$H905&lt;&gt;""OB"")))"),"")</f>
        <v/>
      </c>
      <c r="W517" s="10" t="str">
        <f t="shared" si="5"/>
        <v/>
      </c>
    </row>
    <row r="518" spans="1:23" ht="12.5">
      <c r="A518" s="23"/>
      <c r="B518" s="5" t="str">
        <f t="array" ref="B518">IF(W518=1,INDEX('Database Mitra'!$H$2:$H905,MATCH(A518,'Database Mitra'!AK$2:AK905,0)),"")</f>
        <v/>
      </c>
      <c r="C518" s="5" t="str">
        <f t="array" ref="C518">IF(W518=1,INDEX('Database Mitra'!$E$2:$E905,MATCH(A518,'Database Mitra'!AK$2:AK905,0)),"")</f>
        <v/>
      </c>
      <c r="D518" s="23"/>
      <c r="E518" s="5" t="str">
        <f t="array" ref="E518">IF(W518=1,INDEX('Input Kegiatan'!B$2:B905,MATCH($D518,'Input Kegiatan'!$A$2:$A905,0)),"")</f>
        <v/>
      </c>
      <c r="F518" s="5" t="str">
        <f t="array" ref="F518">IF(W518=1,INDEX('Input Kegiatan'!D$2:D905,MATCH($D518,'Input Kegiatan'!$A$2:$A905,0)),"")</f>
        <v/>
      </c>
      <c r="G518" s="5" t="str">
        <f t="array" ref="G518">IF(W518=1,INDEX('Input Kegiatan'!E$2:E905,MATCH($D518,'Input Kegiatan'!$A$2:$A905,0)),"")</f>
        <v/>
      </c>
      <c r="H518" s="5" t="str">
        <f t="array" ref="H518">IF(W518=1,INDEX(Honor!$H$2:$H905,MATCH($D518&amp;"-"&amp;R518,Honor!$K$2:$K905,0)),"")</f>
        <v/>
      </c>
      <c r="I518" s="8" t="str">
        <f>IF(W518=1,SUMIFS(Honor!$I$2:$I905,Honor!$K$2:$K905,$D518&amp;"-"&amp;R518),"")</f>
        <v/>
      </c>
      <c r="J518" s="9" t="str">
        <f t="shared" si="6"/>
        <v/>
      </c>
      <c r="K518" s="10" t="str">
        <f t="shared" si="0"/>
        <v/>
      </c>
      <c r="L518" s="10" t="str">
        <f t="shared" si="1"/>
        <v/>
      </c>
      <c r="M518" s="10" t="str">
        <f>IF(W518=1,IF(AND(U518&lt;2,INT(V518)&lt;='Batasan Honor'!$B$2),1,0),"")</f>
        <v/>
      </c>
      <c r="O518" s="10" t="str">
        <f t="shared" si="2"/>
        <v/>
      </c>
      <c r="P518" s="10" t="str">
        <f t="shared" si="3"/>
        <v/>
      </c>
      <c r="R518" s="23"/>
      <c r="S518" s="10" t="str">
        <f t="shared" si="4"/>
        <v/>
      </c>
      <c r="U518" s="10" t="str">
        <f ca="1">IFERROR(__xludf.DUMMYFUNCTION("if(W518=1,COUNTIFS(FILTER($H$2:$H905,$H$2:$H905=""OB"",$S$2:$S905=S518),""OB""),"""")"),"")</f>
        <v/>
      </c>
      <c r="V518" s="10" t="str">
        <f ca="1">IFERROR(__xludf.DUMMYFUNCTION("IF(OR(ISNA(SUM(FILTER($K$2:$K905,$A$2:$A905=A518,$S$2:$S905=S518,$H$2:$H905&lt;&gt;""OB""))),W518&lt;&gt;1),"""",SUM(FILTER($K$2:$K905,$A$2:$A905=A518,$S$2:$S905=S518,$H$2:$H905&lt;&gt;""OB"")))"),"")</f>
        <v/>
      </c>
      <c r="W518" s="10" t="str">
        <f t="shared" si="5"/>
        <v/>
      </c>
    </row>
    <row r="519" spans="1:23" ht="12.5">
      <c r="A519" s="23"/>
      <c r="B519" s="5" t="str">
        <f t="array" ref="B519">IF(W519=1,INDEX('Database Mitra'!$H$2:$H905,MATCH(A519,'Database Mitra'!AK$2:AK905,0)),"")</f>
        <v/>
      </c>
      <c r="C519" s="5" t="str">
        <f t="array" ref="C519">IF(W519=1,INDEX('Database Mitra'!$E$2:$E905,MATCH(A519,'Database Mitra'!AK$2:AK905,0)),"")</f>
        <v/>
      </c>
      <c r="D519" s="23"/>
      <c r="E519" s="5" t="str">
        <f t="array" ref="E519">IF(W519=1,INDEX('Input Kegiatan'!B$2:B905,MATCH($D519,'Input Kegiatan'!$A$2:$A905,0)),"")</f>
        <v/>
      </c>
      <c r="F519" s="5" t="str">
        <f t="array" ref="F519">IF(W519=1,INDEX('Input Kegiatan'!D$2:D905,MATCH($D519,'Input Kegiatan'!$A$2:$A905,0)),"")</f>
        <v/>
      </c>
      <c r="G519" s="5" t="str">
        <f t="array" ref="G519">IF(W519=1,INDEX('Input Kegiatan'!E$2:E905,MATCH($D519,'Input Kegiatan'!$A$2:$A905,0)),"")</f>
        <v/>
      </c>
      <c r="H519" s="5" t="str">
        <f t="array" ref="H519">IF(W519=1,INDEX(Honor!$H$2:$H905,MATCH($D519&amp;"-"&amp;R519,Honor!$K$2:$K905,0)),"")</f>
        <v/>
      </c>
      <c r="I519" s="8" t="str">
        <f>IF(W519=1,SUMIFS(Honor!$I$2:$I905,Honor!$K$2:$K905,$D519&amp;"-"&amp;R519),"")</f>
        <v/>
      </c>
      <c r="J519" s="9" t="str">
        <f t="shared" si="6"/>
        <v/>
      </c>
      <c r="K519" s="10" t="str">
        <f t="shared" si="0"/>
        <v/>
      </c>
      <c r="L519" s="10" t="str">
        <f t="shared" si="1"/>
        <v/>
      </c>
      <c r="M519" s="10" t="str">
        <f>IF(W519=1,IF(AND(U519&lt;2,INT(V519)&lt;='Batasan Honor'!$B$2),1,0),"")</f>
        <v/>
      </c>
      <c r="O519" s="10" t="str">
        <f t="shared" si="2"/>
        <v/>
      </c>
      <c r="P519" s="10" t="str">
        <f t="shared" si="3"/>
        <v/>
      </c>
      <c r="R519" s="23"/>
      <c r="S519" s="10" t="str">
        <f t="shared" si="4"/>
        <v/>
      </c>
      <c r="U519" s="10" t="str">
        <f ca="1">IFERROR(__xludf.DUMMYFUNCTION("if(W519=1,COUNTIFS(FILTER($H$2:$H905,$H$2:$H905=""OB"",$S$2:$S905=S519),""OB""),"""")"),"")</f>
        <v/>
      </c>
      <c r="V519" s="10" t="str">
        <f ca="1">IFERROR(__xludf.DUMMYFUNCTION("IF(OR(ISNA(SUM(FILTER($K$2:$K905,$A$2:$A905=A519,$S$2:$S905=S519,$H$2:$H905&lt;&gt;""OB""))),W519&lt;&gt;1),"""",SUM(FILTER($K$2:$K905,$A$2:$A905=A519,$S$2:$S905=S519,$H$2:$H905&lt;&gt;""OB"")))"),"")</f>
        <v/>
      </c>
      <c r="W519" s="10" t="str">
        <f t="shared" si="5"/>
        <v/>
      </c>
    </row>
    <row r="520" spans="1:23" ht="12.5">
      <c r="A520" s="23"/>
      <c r="B520" s="5" t="str">
        <f t="array" ref="B520">IF(W520=1,INDEX('Database Mitra'!$H$2:$H905,MATCH(A520,'Database Mitra'!AK$2:AK905,0)),"")</f>
        <v/>
      </c>
      <c r="C520" s="5" t="str">
        <f t="array" ref="C520">IF(W520=1,INDEX('Database Mitra'!$E$2:$E905,MATCH(A520,'Database Mitra'!AK$2:AK905,0)),"")</f>
        <v/>
      </c>
      <c r="D520" s="23"/>
      <c r="E520" s="5" t="str">
        <f t="array" ref="E520">IF(W520=1,INDEX('Input Kegiatan'!B$2:B905,MATCH($D520,'Input Kegiatan'!$A$2:$A905,0)),"")</f>
        <v/>
      </c>
      <c r="F520" s="5" t="str">
        <f t="array" ref="F520">IF(W520=1,INDEX('Input Kegiatan'!D$2:D905,MATCH($D520,'Input Kegiatan'!$A$2:$A905,0)),"")</f>
        <v/>
      </c>
      <c r="G520" s="5" t="str">
        <f t="array" ref="G520">IF(W520=1,INDEX('Input Kegiatan'!E$2:E905,MATCH($D520,'Input Kegiatan'!$A$2:$A905,0)),"")</f>
        <v/>
      </c>
      <c r="H520" s="5" t="str">
        <f t="array" ref="H520">IF(W520=1,INDEX(Honor!$H$2:$H905,MATCH($D520&amp;"-"&amp;R520,Honor!$K$2:$K905,0)),"")</f>
        <v/>
      </c>
      <c r="I520" s="8" t="str">
        <f>IF(W520=1,SUMIFS(Honor!$I$2:$I905,Honor!$K$2:$K905,$D520&amp;"-"&amp;R520),"")</f>
        <v/>
      </c>
      <c r="J520" s="9" t="str">
        <f t="shared" si="6"/>
        <v/>
      </c>
      <c r="K520" s="10" t="str">
        <f t="shared" si="0"/>
        <v/>
      </c>
      <c r="L520" s="10" t="str">
        <f t="shared" si="1"/>
        <v/>
      </c>
      <c r="M520" s="10" t="str">
        <f>IF(W520=1,IF(AND(U520&lt;2,INT(V520)&lt;='Batasan Honor'!$B$2),1,0),"")</f>
        <v/>
      </c>
      <c r="O520" s="10" t="str">
        <f t="shared" si="2"/>
        <v/>
      </c>
      <c r="P520" s="10" t="str">
        <f t="shared" si="3"/>
        <v/>
      </c>
      <c r="R520" s="23"/>
      <c r="S520" s="10" t="str">
        <f t="shared" si="4"/>
        <v/>
      </c>
      <c r="U520" s="10" t="str">
        <f ca="1">IFERROR(__xludf.DUMMYFUNCTION("if(W520=1,COUNTIFS(FILTER($H$2:$H905,$H$2:$H905=""OB"",$S$2:$S905=S520),""OB""),"""")"),"")</f>
        <v/>
      </c>
      <c r="V520" s="10" t="str">
        <f ca="1">IFERROR(__xludf.DUMMYFUNCTION("IF(OR(ISNA(SUM(FILTER($K$2:$K905,$A$2:$A905=A520,$S$2:$S905=S520,$H$2:$H905&lt;&gt;""OB""))),W520&lt;&gt;1),"""",SUM(FILTER($K$2:$K905,$A$2:$A905=A520,$S$2:$S905=S520,$H$2:$H905&lt;&gt;""OB"")))"),"")</f>
        <v/>
      </c>
      <c r="W520" s="10" t="str">
        <f t="shared" si="5"/>
        <v/>
      </c>
    </row>
    <row r="521" spans="1:23" ht="12.5">
      <c r="A521" s="23"/>
      <c r="B521" s="5" t="str">
        <f t="array" ref="B521">IF(W521=1,INDEX('Database Mitra'!$H$2:$H905,MATCH(A521,'Database Mitra'!AK$2:AK905,0)),"")</f>
        <v/>
      </c>
      <c r="C521" s="5" t="str">
        <f t="array" ref="C521">IF(W521=1,INDEX('Database Mitra'!$E$2:$E905,MATCH(A521,'Database Mitra'!AK$2:AK905,0)),"")</f>
        <v/>
      </c>
      <c r="D521" s="23"/>
      <c r="E521" s="5" t="str">
        <f t="array" ref="E521">IF(W521=1,INDEX('Input Kegiatan'!B$2:B905,MATCH($D521,'Input Kegiatan'!$A$2:$A905,0)),"")</f>
        <v/>
      </c>
      <c r="F521" s="5" t="str">
        <f t="array" ref="F521">IF(W521=1,INDEX('Input Kegiatan'!D$2:D905,MATCH($D521,'Input Kegiatan'!$A$2:$A905,0)),"")</f>
        <v/>
      </c>
      <c r="G521" s="5" t="str">
        <f t="array" ref="G521">IF(W521=1,INDEX('Input Kegiatan'!E$2:E905,MATCH($D521,'Input Kegiatan'!$A$2:$A905,0)),"")</f>
        <v/>
      </c>
      <c r="H521" s="5" t="str">
        <f t="array" ref="H521">IF(W521=1,INDEX(Honor!$H$2:$H905,MATCH($D521&amp;"-"&amp;R521,Honor!$K$2:$K905,0)),"")</f>
        <v/>
      </c>
      <c r="I521" s="8" t="str">
        <f>IF(W521=1,SUMIFS(Honor!$I$2:$I905,Honor!$K$2:$K905,$D521&amp;"-"&amp;R521),"")</f>
        <v/>
      </c>
      <c r="J521" s="9" t="str">
        <f t="shared" si="6"/>
        <v/>
      </c>
      <c r="K521" s="10" t="str">
        <f t="shared" si="0"/>
        <v/>
      </c>
      <c r="L521" s="10" t="str">
        <f t="shared" si="1"/>
        <v/>
      </c>
      <c r="M521" s="10" t="str">
        <f>IF(W521=1,IF(AND(U521&lt;2,INT(V521)&lt;='Batasan Honor'!$B$2),1,0),"")</f>
        <v/>
      </c>
      <c r="O521" s="10" t="str">
        <f t="shared" si="2"/>
        <v/>
      </c>
      <c r="P521" s="10" t="str">
        <f t="shared" si="3"/>
        <v/>
      </c>
      <c r="R521" s="23"/>
      <c r="S521" s="10" t="str">
        <f t="shared" si="4"/>
        <v/>
      </c>
      <c r="U521" s="10" t="str">
        <f ca="1">IFERROR(__xludf.DUMMYFUNCTION("if(W521=1,COUNTIFS(FILTER($H$2:$H905,$H$2:$H905=""OB"",$S$2:$S905=S521),""OB""),"""")"),"")</f>
        <v/>
      </c>
      <c r="V521" s="10" t="str">
        <f ca="1">IFERROR(__xludf.DUMMYFUNCTION("IF(OR(ISNA(SUM(FILTER($K$2:$K905,$A$2:$A905=A521,$S$2:$S905=S521,$H$2:$H905&lt;&gt;""OB""))),W521&lt;&gt;1),"""",SUM(FILTER($K$2:$K905,$A$2:$A905=A521,$S$2:$S905=S521,$H$2:$H905&lt;&gt;""OB"")))"),"")</f>
        <v/>
      </c>
      <c r="W521" s="10" t="str">
        <f t="shared" si="5"/>
        <v/>
      </c>
    </row>
    <row r="522" spans="1:23" ht="12.5">
      <c r="A522" s="23"/>
      <c r="B522" s="5" t="str">
        <f t="array" ref="B522">IF(W522=1,INDEX('Database Mitra'!$H$2:$H905,MATCH(A522,'Database Mitra'!AK$2:AK905,0)),"")</f>
        <v/>
      </c>
      <c r="C522" s="5" t="str">
        <f t="array" ref="C522">IF(W522=1,INDEX('Database Mitra'!$E$2:$E905,MATCH(A522,'Database Mitra'!AK$2:AK905,0)),"")</f>
        <v/>
      </c>
      <c r="D522" s="23"/>
      <c r="E522" s="5" t="str">
        <f t="array" ref="E522">IF(W522=1,INDEX('Input Kegiatan'!B$2:B905,MATCH($D522,'Input Kegiatan'!$A$2:$A905,0)),"")</f>
        <v/>
      </c>
      <c r="F522" s="5" t="str">
        <f t="array" ref="F522">IF(W522=1,INDEX('Input Kegiatan'!D$2:D905,MATCH($D522,'Input Kegiatan'!$A$2:$A905,0)),"")</f>
        <v/>
      </c>
      <c r="G522" s="5" t="str">
        <f t="array" ref="G522">IF(W522=1,INDEX('Input Kegiatan'!E$2:E905,MATCH($D522,'Input Kegiatan'!$A$2:$A905,0)),"")</f>
        <v/>
      </c>
      <c r="H522" s="5" t="str">
        <f t="array" ref="H522">IF(W522=1,INDEX(Honor!$H$2:$H905,MATCH($D522&amp;"-"&amp;R522,Honor!$K$2:$K905,0)),"")</f>
        <v/>
      </c>
      <c r="I522" s="8" t="str">
        <f>IF(W522=1,SUMIFS(Honor!$I$2:$I905,Honor!$K$2:$K905,$D522&amp;"-"&amp;R522),"")</f>
        <v/>
      </c>
      <c r="J522" s="9" t="str">
        <f t="shared" si="6"/>
        <v/>
      </c>
      <c r="K522" s="10" t="str">
        <f t="shared" si="0"/>
        <v/>
      </c>
      <c r="L522" s="10" t="str">
        <f t="shared" si="1"/>
        <v/>
      </c>
      <c r="M522" s="10" t="str">
        <f>IF(W522=1,IF(AND(U522&lt;2,INT(V522)&lt;='Batasan Honor'!$B$2),1,0),"")</f>
        <v/>
      </c>
      <c r="O522" s="10" t="str">
        <f t="shared" si="2"/>
        <v/>
      </c>
      <c r="P522" s="10" t="str">
        <f t="shared" si="3"/>
        <v/>
      </c>
      <c r="R522" s="23"/>
      <c r="S522" s="10" t="str">
        <f t="shared" si="4"/>
        <v/>
      </c>
      <c r="U522" s="10" t="str">
        <f ca="1">IFERROR(__xludf.DUMMYFUNCTION("if(W522=1,COUNTIFS(FILTER($H$2:$H905,$H$2:$H905=""OB"",$S$2:$S905=S522),""OB""),"""")"),"")</f>
        <v/>
      </c>
      <c r="V522" s="10" t="str">
        <f ca="1">IFERROR(__xludf.DUMMYFUNCTION("IF(OR(ISNA(SUM(FILTER($K$2:$K905,$A$2:$A905=A522,$S$2:$S905=S522,$H$2:$H905&lt;&gt;""OB""))),W522&lt;&gt;1),"""",SUM(FILTER($K$2:$K905,$A$2:$A905=A522,$S$2:$S905=S522,$H$2:$H905&lt;&gt;""OB"")))"),"")</f>
        <v/>
      </c>
      <c r="W522" s="10" t="str">
        <f t="shared" si="5"/>
        <v/>
      </c>
    </row>
    <row r="523" spans="1:23" ht="12.5">
      <c r="A523" s="23"/>
      <c r="B523" s="5" t="str">
        <f t="array" ref="B523">IF(W523=1,INDEX('Database Mitra'!$H$2:$H905,MATCH(A523,'Database Mitra'!AK$2:AK905,0)),"")</f>
        <v/>
      </c>
      <c r="C523" s="5" t="str">
        <f t="array" ref="C523">IF(W523=1,INDEX('Database Mitra'!$E$2:$E905,MATCH(A523,'Database Mitra'!AK$2:AK905,0)),"")</f>
        <v/>
      </c>
      <c r="D523" s="23"/>
      <c r="E523" s="5" t="str">
        <f t="array" ref="E523">IF(W523=1,INDEX('Input Kegiatan'!B$2:B905,MATCH($D523,'Input Kegiatan'!$A$2:$A905,0)),"")</f>
        <v/>
      </c>
      <c r="F523" s="5" t="str">
        <f t="array" ref="F523">IF(W523=1,INDEX('Input Kegiatan'!D$2:D905,MATCH($D523,'Input Kegiatan'!$A$2:$A905,0)),"")</f>
        <v/>
      </c>
      <c r="G523" s="5" t="str">
        <f t="array" ref="G523">IF(W523=1,INDEX('Input Kegiatan'!E$2:E905,MATCH($D523,'Input Kegiatan'!$A$2:$A905,0)),"")</f>
        <v/>
      </c>
      <c r="H523" s="5" t="str">
        <f t="array" ref="H523">IF(W523=1,INDEX(Honor!$H$2:$H905,MATCH($D523&amp;"-"&amp;R523,Honor!$K$2:$K905,0)),"")</f>
        <v/>
      </c>
      <c r="I523" s="8" t="str">
        <f>IF(W523=1,SUMIFS(Honor!$I$2:$I905,Honor!$K$2:$K905,$D523&amp;"-"&amp;R523),"")</f>
        <v/>
      </c>
      <c r="J523" s="9" t="str">
        <f t="shared" si="6"/>
        <v/>
      </c>
      <c r="K523" s="10" t="str">
        <f t="shared" si="0"/>
        <v/>
      </c>
      <c r="L523" s="10" t="str">
        <f t="shared" si="1"/>
        <v/>
      </c>
      <c r="M523" s="10" t="str">
        <f>IF(W523=1,IF(AND(U523&lt;2,INT(V523)&lt;='Batasan Honor'!$B$2),1,0),"")</f>
        <v/>
      </c>
      <c r="O523" s="10" t="str">
        <f t="shared" si="2"/>
        <v/>
      </c>
      <c r="P523" s="10" t="str">
        <f t="shared" si="3"/>
        <v/>
      </c>
      <c r="R523" s="23"/>
      <c r="S523" s="10" t="str">
        <f t="shared" si="4"/>
        <v/>
      </c>
      <c r="U523" s="10" t="str">
        <f ca="1">IFERROR(__xludf.DUMMYFUNCTION("if(W523=1,COUNTIFS(FILTER($H$2:$H905,$H$2:$H905=""OB"",$S$2:$S905=S523),""OB""),"""")"),"")</f>
        <v/>
      </c>
      <c r="V523" s="10" t="str">
        <f ca="1">IFERROR(__xludf.DUMMYFUNCTION("IF(OR(ISNA(SUM(FILTER($K$2:$K905,$A$2:$A905=A523,$S$2:$S905=S523,$H$2:$H905&lt;&gt;""OB""))),W523&lt;&gt;1),"""",SUM(FILTER($K$2:$K905,$A$2:$A905=A523,$S$2:$S905=S523,$H$2:$H905&lt;&gt;""OB"")))"),"")</f>
        <v/>
      </c>
      <c r="W523" s="10" t="str">
        <f t="shared" si="5"/>
        <v/>
      </c>
    </row>
    <row r="524" spans="1:23" ht="12.5">
      <c r="A524" s="23"/>
      <c r="B524" s="5" t="str">
        <f t="array" ref="B524">IF(W524=1,INDEX('Database Mitra'!$H$2:$H905,MATCH(A524,'Database Mitra'!AK$2:AK905,0)),"")</f>
        <v/>
      </c>
      <c r="C524" s="5" t="str">
        <f t="array" ref="C524">IF(W524=1,INDEX('Database Mitra'!$E$2:$E905,MATCH(A524,'Database Mitra'!AK$2:AK905,0)),"")</f>
        <v/>
      </c>
      <c r="D524" s="23"/>
      <c r="E524" s="5" t="str">
        <f t="array" ref="E524">IF(W524=1,INDEX('Input Kegiatan'!B$2:B905,MATCH($D524,'Input Kegiatan'!$A$2:$A905,0)),"")</f>
        <v/>
      </c>
      <c r="F524" s="5" t="str">
        <f t="array" ref="F524">IF(W524=1,INDEX('Input Kegiatan'!D$2:D905,MATCH($D524,'Input Kegiatan'!$A$2:$A905,0)),"")</f>
        <v/>
      </c>
      <c r="G524" s="5" t="str">
        <f t="array" ref="G524">IF(W524=1,INDEX('Input Kegiatan'!E$2:E905,MATCH($D524,'Input Kegiatan'!$A$2:$A905,0)),"")</f>
        <v/>
      </c>
      <c r="H524" s="5" t="str">
        <f t="array" ref="H524">IF(W524=1,INDEX(Honor!$H$2:$H905,MATCH($D524&amp;"-"&amp;R524,Honor!$K$2:$K905,0)),"")</f>
        <v/>
      </c>
      <c r="I524" s="8" t="str">
        <f>IF(W524=1,SUMIFS(Honor!$I$2:$I905,Honor!$K$2:$K905,$D524&amp;"-"&amp;R524),"")</f>
        <v/>
      </c>
      <c r="J524" s="9" t="str">
        <f t="shared" si="6"/>
        <v/>
      </c>
      <c r="K524" s="10" t="str">
        <f t="shared" si="0"/>
        <v/>
      </c>
      <c r="L524" s="10" t="str">
        <f t="shared" si="1"/>
        <v/>
      </c>
      <c r="M524" s="10" t="str">
        <f>IF(W524=1,IF(AND(U524&lt;2,INT(V524)&lt;='Batasan Honor'!$B$2),1,0),"")</f>
        <v/>
      </c>
      <c r="O524" s="10" t="str">
        <f t="shared" si="2"/>
        <v/>
      </c>
      <c r="P524" s="10" t="str">
        <f t="shared" si="3"/>
        <v/>
      </c>
      <c r="R524" s="23"/>
      <c r="S524" s="10" t="str">
        <f t="shared" si="4"/>
        <v/>
      </c>
      <c r="U524" s="10" t="str">
        <f ca="1">IFERROR(__xludf.DUMMYFUNCTION("if(W524=1,COUNTIFS(FILTER($H$2:$H905,$H$2:$H905=""OB"",$S$2:$S905=S524),""OB""),"""")"),"")</f>
        <v/>
      </c>
      <c r="V524" s="10" t="str">
        <f ca="1">IFERROR(__xludf.DUMMYFUNCTION("IF(OR(ISNA(SUM(FILTER($K$2:$K905,$A$2:$A905=A524,$S$2:$S905=S524,$H$2:$H905&lt;&gt;""OB""))),W524&lt;&gt;1),"""",SUM(FILTER($K$2:$K905,$A$2:$A905=A524,$S$2:$S905=S524,$H$2:$H905&lt;&gt;""OB"")))"),"")</f>
        <v/>
      </c>
      <c r="W524" s="10" t="str">
        <f t="shared" si="5"/>
        <v/>
      </c>
    </row>
    <row r="525" spans="1:23" ht="12.5">
      <c r="A525" s="23"/>
      <c r="B525" s="5" t="str">
        <f t="array" ref="B525">IF(W525=1,INDEX('Database Mitra'!$H$2:$H905,MATCH(A525,'Database Mitra'!AK$2:AK905,0)),"")</f>
        <v/>
      </c>
      <c r="C525" s="5" t="str">
        <f t="array" ref="C525">IF(W525=1,INDEX('Database Mitra'!$E$2:$E905,MATCH(A525,'Database Mitra'!AK$2:AK905,0)),"")</f>
        <v/>
      </c>
      <c r="D525" s="23"/>
      <c r="E525" s="5" t="str">
        <f t="array" ref="E525">IF(W525=1,INDEX('Input Kegiatan'!B$2:B905,MATCH($D525,'Input Kegiatan'!$A$2:$A905,0)),"")</f>
        <v/>
      </c>
      <c r="F525" s="5" t="str">
        <f t="array" ref="F525">IF(W525=1,INDEX('Input Kegiatan'!D$2:D905,MATCH($D525,'Input Kegiatan'!$A$2:$A905,0)),"")</f>
        <v/>
      </c>
      <c r="G525" s="5" t="str">
        <f t="array" ref="G525">IF(W525=1,INDEX('Input Kegiatan'!E$2:E905,MATCH($D525,'Input Kegiatan'!$A$2:$A905,0)),"")</f>
        <v/>
      </c>
      <c r="H525" s="5" t="str">
        <f t="array" ref="H525">IF(W525=1,INDEX(Honor!$H$2:$H905,MATCH($D525&amp;"-"&amp;R525,Honor!$K$2:$K905,0)),"")</f>
        <v/>
      </c>
      <c r="I525" s="8" t="str">
        <f>IF(W525=1,SUMIFS(Honor!$I$2:$I905,Honor!$K$2:$K905,$D525&amp;"-"&amp;R525),"")</f>
        <v/>
      </c>
      <c r="J525" s="9" t="str">
        <f t="shared" si="6"/>
        <v/>
      </c>
      <c r="K525" s="10" t="str">
        <f t="shared" si="0"/>
        <v/>
      </c>
      <c r="L525" s="10" t="str">
        <f t="shared" si="1"/>
        <v/>
      </c>
      <c r="M525" s="10" t="str">
        <f>IF(W525=1,IF(AND(U525&lt;2,INT(V525)&lt;='Batasan Honor'!$B$2),1,0),"")</f>
        <v/>
      </c>
      <c r="O525" s="10" t="str">
        <f t="shared" si="2"/>
        <v/>
      </c>
      <c r="P525" s="10" t="str">
        <f t="shared" si="3"/>
        <v/>
      </c>
      <c r="R525" s="23"/>
      <c r="S525" s="10" t="str">
        <f t="shared" si="4"/>
        <v/>
      </c>
      <c r="U525" s="10" t="str">
        <f ca="1">IFERROR(__xludf.DUMMYFUNCTION("if(W525=1,COUNTIFS(FILTER($H$2:$H905,$H$2:$H905=""OB"",$S$2:$S905=S525),""OB""),"""")"),"")</f>
        <v/>
      </c>
      <c r="V525" s="10" t="str">
        <f ca="1">IFERROR(__xludf.DUMMYFUNCTION("IF(OR(ISNA(SUM(FILTER($K$2:$K905,$A$2:$A905=A525,$S$2:$S905=S525,$H$2:$H905&lt;&gt;""OB""))),W525&lt;&gt;1),"""",SUM(FILTER($K$2:$K905,$A$2:$A905=A525,$S$2:$S905=S525,$H$2:$H905&lt;&gt;""OB"")))"),"")</f>
        <v/>
      </c>
      <c r="W525" s="10" t="str">
        <f t="shared" si="5"/>
        <v/>
      </c>
    </row>
    <row r="526" spans="1:23" ht="12.5">
      <c r="A526" s="23"/>
      <c r="B526" s="5" t="str">
        <f t="array" ref="B526">IF(W526=1,INDEX('Database Mitra'!$H$2:$H905,MATCH(A526,'Database Mitra'!AK$2:AK905,0)),"")</f>
        <v/>
      </c>
      <c r="C526" s="5" t="str">
        <f t="array" ref="C526">IF(W526=1,INDEX('Database Mitra'!$E$2:$E905,MATCH(A526,'Database Mitra'!AK$2:AK905,0)),"")</f>
        <v/>
      </c>
      <c r="D526" s="23"/>
      <c r="E526" s="5" t="str">
        <f t="array" ref="E526">IF(W526=1,INDEX('Input Kegiatan'!B$2:B905,MATCH($D526,'Input Kegiatan'!$A$2:$A905,0)),"")</f>
        <v/>
      </c>
      <c r="F526" s="5" t="str">
        <f t="array" ref="F526">IF(W526=1,INDEX('Input Kegiatan'!D$2:D905,MATCH($D526,'Input Kegiatan'!$A$2:$A905,0)),"")</f>
        <v/>
      </c>
      <c r="G526" s="5" t="str">
        <f t="array" ref="G526">IF(W526=1,INDEX('Input Kegiatan'!E$2:E905,MATCH($D526,'Input Kegiatan'!$A$2:$A905,0)),"")</f>
        <v/>
      </c>
      <c r="H526" s="5" t="str">
        <f t="array" ref="H526">IF(W526=1,INDEX(Honor!$H$2:$H905,MATCH($D526&amp;"-"&amp;R526,Honor!$K$2:$K905,0)),"")</f>
        <v/>
      </c>
      <c r="I526" s="8" t="str">
        <f>IF(W526=1,SUMIFS(Honor!$I$2:$I905,Honor!$K$2:$K905,$D526&amp;"-"&amp;R526),"")</f>
        <v/>
      </c>
      <c r="J526" s="9" t="str">
        <f t="shared" si="6"/>
        <v/>
      </c>
      <c r="K526" s="10" t="str">
        <f t="shared" si="0"/>
        <v/>
      </c>
      <c r="L526" s="10" t="str">
        <f t="shared" si="1"/>
        <v/>
      </c>
      <c r="M526" s="10" t="str">
        <f>IF(W526=1,IF(AND(U526&lt;2,INT(V526)&lt;='Batasan Honor'!$B$2),1,0),"")</f>
        <v/>
      </c>
      <c r="O526" s="10" t="str">
        <f t="shared" si="2"/>
        <v/>
      </c>
      <c r="P526" s="10" t="str">
        <f t="shared" si="3"/>
        <v/>
      </c>
      <c r="R526" s="23"/>
      <c r="S526" s="10" t="str">
        <f t="shared" si="4"/>
        <v/>
      </c>
      <c r="U526" s="10" t="str">
        <f ca="1">IFERROR(__xludf.DUMMYFUNCTION("if(W526=1,COUNTIFS(FILTER($H$2:$H905,$H$2:$H905=""OB"",$S$2:$S905=S526),""OB""),"""")"),"")</f>
        <v/>
      </c>
      <c r="V526" s="10" t="str">
        <f ca="1">IFERROR(__xludf.DUMMYFUNCTION("IF(OR(ISNA(SUM(FILTER($K$2:$K905,$A$2:$A905=A526,$S$2:$S905=S526,$H$2:$H905&lt;&gt;""OB""))),W526&lt;&gt;1),"""",SUM(FILTER($K$2:$K905,$A$2:$A905=A526,$S$2:$S905=S526,$H$2:$H905&lt;&gt;""OB"")))"),"")</f>
        <v/>
      </c>
      <c r="W526" s="10" t="str">
        <f t="shared" si="5"/>
        <v/>
      </c>
    </row>
    <row r="527" spans="1:23" ht="12.5">
      <c r="A527" s="23"/>
      <c r="B527" s="5" t="str">
        <f t="array" ref="B527">IF(W527=1,INDEX('Database Mitra'!$H$2:$H905,MATCH(A527,'Database Mitra'!AK$2:AK905,0)),"")</f>
        <v/>
      </c>
      <c r="C527" s="5" t="str">
        <f t="array" ref="C527">IF(W527=1,INDEX('Database Mitra'!$E$2:$E905,MATCH(A527,'Database Mitra'!AK$2:AK905,0)),"")</f>
        <v/>
      </c>
      <c r="D527" s="23"/>
      <c r="E527" s="5" t="str">
        <f t="array" ref="E527">IF(W527=1,INDEX('Input Kegiatan'!B$2:B905,MATCH($D527,'Input Kegiatan'!$A$2:$A905,0)),"")</f>
        <v/>
      </c>
      <c r="F527" s="5" t="str">
        <f t="array" ref="F527">IF(W527=1,INDEX('Input Kegiatan'!D$2:D905,MATCH($D527,'Input Kegiatan'!$A$2:$A905,0)),"")</f>
        <v/>
      </c>
      <c r="G527" s="5" t="str">
        <f t="array" ref="G527">IF(W527=1,INDEX('Input Kegiatan'!E$2:E905,MATCH($D527,'Input Kegiatan'!$A$2:$A905,0)),"")</f>
        <v/>
      </c>
      <c r="H527" s="5" t="str">
        <f t="array" ref="H527">IF(W527=1,INDEX(Honor!$H$2:$H905,MATCH($D527&amp;"-"&amp;R527,Honor!$K$2:$K905,0)),"")</f>
        <v/>
      </c>
      <c r="I527" s="8" t="str">
        <f>IF(W527=1,SUMIFS(Honor!$I$2:$I905,Honor!$K$2:$K905,$D527&amp;"-"&amp;R527),"")</f>
        <v/>
      </c>
      <c r="J527" s="9" t="str">
        <f t="shared" si="6"/>
        <v/>
      </c>
      <c r="K527" s="10" t="str">
        <f t="shared" si="0"/>
        <v/>
      </c>
      <c r="L527" s="10" t="str">
        <f t="shared" si="1"/>
        <v/>
      </c>
      <c r="M527" s="10" t="str">
        <f>IF(W527=1,IF(AND(U527&lt;2,INT(V527)&lt;='Batasan Honor'!$B$2),1,0),"")</f>
        <v/>
      </c>
      <c r="O527" s="10" t="str">
        <f t="shared" si="2"/>
        <v/>
      </c>
      <c r="P527" s="10" t="str">
        <f t="shared" si="3"/>
        <v/>
      </c>
      <c r="R527" s="23"/>
      <c r="S527" s="10" t="str">
        <f t="shared" si="4"/>
        <v/>
      </c>
      <c r="U527" s="10" t="str">
        <f ca="1">IFERROR(__xludf.DUMMYFUNCTION("if(W527=1,COUNTIFS(FILTER($H$2:$H905,$H$2:$H905=""OB"",$S$2:$S905=S527),""OB""),"""")"),"")</f>
        <v/>
      </c>
      <c r="V527" s="10" t="str">
        <f ca="1">IFERROR(__xludf.DUMMYFUNCTION("IF(OR(ISNA(SUM(FILTER($K$2:$K905,$A$2:$A905=A527,$S$2:$S905=S527,$H$2:$H905&lt;&gt;""OB""))),W527&lt;&gt;1),"""",SUM(FILTER($K$2:$K905,$A$2:$A905=A527,$S$2:$S905=S527,$H$2:$H905&lt;&gt;""OB"")))"),"")</f>
        <v/>
      </c>
      <c r="W527" s="10" t="str">
        <f t="shared" si="5"/>
        <v/>
      </c>
    </row>
    <row r="528" spans="1:23" ht="12.5">
      <c r="A528" s="23"/>
      <c r="B528" s="5" t="str">
        <f t="array" ref="B528">IF(W528=1,INDEX('Database Mitra'!$H$2:$H905,MATCH(A528,'Database Mitra'!AK$2:AK905,0)),"")</f>
        <v/>
      </c>
      <c r="C528" s="5" t="str">
        <f t="array" ref="C528">IF(W528=1,INDEX('Database Mitra'!$E$2:$E905,MATCH(A528,'Database Mitra'!AK$2:AK905,0)),"")</f>
        <v/>
      </c>
      <c r="D528" s="23"/>
      <c r="E528" s="5" t="str">
        <f t="array" ref="E528">IF(W528=1,INDEX('Input Kegiatan'!B$2:B905,MATCH($D528,'Input Kegiatan'!$A$2:$A905,0)),"")</f>
        <v/>
      </c>
      <c r="F528" s="5" t="str">
        <f t="array" ref="F528">IF(W528=1,INDEX('Input Kegiatan'!D$2:D905,MATCH($D528,'Input Kegiatan'!$A$2:$A905,0)),"")</f>
        <v/>
      </c>
      <c r="G528" s="5" t="str">
        <f t="array" ref="G528">IF(W528=1,INDEX('Input Kegiatan'!E$2:E905,MATCH($D528,'Input Kegiatan'!$A$2:$A905,0)),"")</f>
        <v/>
      </c>
      <c r="H528" s="5" t="str">
        <f t="array" ref="H528">IF(W528=1,INDEX(Honor!$H$2:$H905,MATCH($D528&amp;"-"&amp;R528,Honor!$K$2:$K905,0)),"")</f>
        <v/>
      </c>
      <c r="I528" s="8" t="str">
        <f>IF(W528=1,SUMIFS(Honor!$I$2:$I905,Honor!$K$2:$K905,$D528&amp;"-"&amp;R528),"")</f>
        <v/>
      </c>
      <c r="J528" s="9" t="str">
        <f t="shared" si="6"/>
        <v/>
      </c>
      <c r="K528" s="10" t="str">
        <f t="shared" si="0"/>
        <v/>
      </c>
      <c r="L528" s="10" t="str">
        <f t="shared" si="1"/>
        <v/>
      </c>
      <c r="M528" s="10" t="str">
        <f>IF(W528=1,IF(AND(U528&lt;2,INT(V528)&lt;='Batasan Honor'!$B$2),1,0),"")</f>
        <v/>
      </c>
      <c r="O528" s="10" t="str">
        <f t="shared" si="2"/>
        <v/>
      </c>
      <c r="P528" s="10" t="str">
        <f t="shared" si="3"/>
        <v/>
      </c>
      <c r="R528" s="23"/>
      <c r="S528" s="10" t="str">
        <f t="shared" si="4"/>
        <v/>
      </c>
      <c r="U528" s="10" t="str">
        <f ca="1">IFERROR(__xludf.DUMMYFUNCTION("if(W528=1,COUNTIFS(FILTER($H$2:$H905,$H$2:$H905=""OB"",$S$2:$S905=S528),""OB""),"""")"),"")</f>
        <v/>
      </c>
      <c r="V528" s="10" t="str">
        <f ca="1">IFERROR(__xludf.DUMMYFUNCTION("IF(OR(ISNA(SUM(FILTER($K$2:$K905,$A$2:$A905=A528,$S$2:$S905=S528,$H$2:$H905&lt;&gt;""OB""))),W528&lt;&gt;1),"""",SUM(FILTER($K$2:$K905,$A$2:$A905=A528,$S$2:$S905=S528,$H$2:$H905&lt;&gt;""OB"")))"),"")</f>
        <v/>
      </c>
      <c r="W528" s="10" t="str">
        <f t="shared" si="5"/>
        <v/>
      </c>
    </row>
    <row r="529" spans="1:23" ht="12.5">
      <c r="A529" s="23"/>
      <c r="B529" s="5" t="str">
        <f t="array" ref="B529">IF(W529=1,INDEX('Database Mitra'!$H$2:$H905,MATCH(A529,'Database Mitra'!AK$2:AK905,0)),"")</f>
        <v/>
      </c>
      <c r="C529" s="5" t="str">
        <f t="array" ref="C529">IF(W529=1,INDEX('Database Mitra'!$E$2:$E905,MATCH(A529,'Database Mitra'!AK$2:AK905,0)),"")</f>
        <v/>
      </c>
      <c r="D529" s="23"/>
      <c r="E529" s="5" t="str">
        <f t="array" ref="E529">IF(W529=1,INDEX('Input Kegiatan'!B$2:B905,MATCH($D529,'Input Kegiatan'!$A$2:$A905,0)),"")</f>
        <v/>
      </c>
      <c r="F529" s="5" t="str">
        <f t="array" ref="F529">IF(W529=1,INDEX('Input Kegiatan'!D$2:D905,MATCH($D529,'Input Kegiatan'!$A$2:$A905,0)),"")</f>
        <v/>
      </c>
      <c r="G529" s="5" t="str">
        <f t="array" ref="G529">IF(W529=1,INDEX('Input Kegiatan'!E$2:E905,MATCH($D529,'Input Kegiatan'!$A$2:$A905,0)),"")</f>
        <v/>
      </c>
      <c r="H529" s="5" t="str">
        <f t="array" ref="H529">IF(W529=1,INDEX(Honor!$H$2:$H905,MATCH($D529&amp;"-"&amp;R529,Honor!$K$2:$K905,0)),"")</f>
        <v/>
      </c>
      <c r="I529" s="8" t="str">
        <f>IF(W529=1,SUMIFS(Honor!$I$2:$I905,Honor!$K$2:$K905,$D529&amp;"-"&amp;R529),"")</f>
        <v/>
      </c>
      <c r="J529" s="9" t="str">
        <f t="shared" si="6"/>
        <v/>
      </c>
      <c r="K529" s="10" t="str">
        <f t="shared" si="0"/>
        <v/>
      </c>
      <c r="L529" s="10" t="str">
        <f t="shared" si="1"/>
        <v/>
      </c>
      <c r="M529" s="10" t="str">
        <f>IF(W529=1,IF(AND(U529&lt;2,INT(V529)&lt;='Batasan Honor'!$B$2),1,0),"")</f>
        <v/>
      </c>
      <c r="O529" s="10" t="str">
        <f t="shared" si="2"/>
        <v/>
      </c>
      <c r="P529" s="10" t="str">
        <f t="shared" si="3"/>
        <v/>
      </c>
      <c r="R529" s="23"/>
      <c r="S529" s="10" t="str">
        <f t="shared" si="4"/>
        <v/>
      </c>
      <c r="U529" s="10" t="str">
        <f ca="1">IFERROR(__xludf.DUMMYFUNCTION("if(W529=1,COUNTIFS(FILTER($H$2:$H905,$H$2:$H905=""OB"",$S$2:$S905=S529),""OB""),"""")"),"")</f>
        <v/>
      </c>
      <c r="V529" s="10" t="str">
        <f ca="1">IFERROR(__xludf.DUMMYFUNCTION("IF(OR(ISNA(SUM(FILTER($K$2:$K905,$A$2:$A905=A529,$S$2:$S905=S529,$H$2:$H905&lt;&gt;""OB""))),W529&lt;&gt;1),"""",SUM(FILTER($K$2:$K905,$A$2:$A905=A529,$S$2:$S905=S529,$H$2:$H905&lt;&gt;""OB"")))"),"")</f>
        <v/>
      </c>
      <c r="W529" s="10" t="str">
        <f t="shared" si="5"/>
        <v/>
      </c>
    </row>
    <row r="530" spans="1:23" ht="12.5">
      <c r="A530" s="23"/>
      <c r="B530" s="5" t="str">
        <f t="array" ref="B530">IF(W530=1,INDEX('Database Mitra'!$H$2:$H905,MATCH(A530,'Database Mitra'!AK$2:AK905,0)),"")</f>
        <v/>
      </c>
      <c r="C530" s="5" t="str">
        <f t="array" ref="C530">IF(W530=1,INDEX('Database Mitra'!$E$2:$E905,MATCH(A530,'Database Mitra'!AK$2:AK905,0)),"")</f>
        <v/>
      </c>
      <c r="D530" s="23"/>
      <c r="E530" s="5" t="str">
        <f t="array" ref="E530">IF(W530=1,INDEX('Input Kegiatan'!B$2:B905,MATCH($D530,'Input Kegiatan'!$A$2:$A905,0)),"")</f>
        <v/>
      </c>
      <c r="F530" s="5" t="str">
        <f t="array" ref="F530">IF(W530=1,INDEX('Input Kegiatan'!D$2:D905,MATCH($D530,'Input Kegiatan'!$A$2:$A905,0)),"")</f>
        <v/>
      </c>
      <c r="G530" s="5" t="str">
        <f t="array" ref="G530">IF(W530=1,INDEX('Input Kegiatan'!E$2:E905,MATCH($D530,'Input Kegiatan'!$A$2:$A905,0)),"")</f>
        <v/>
      </c>
      <c r="H530" s="5" t="str">
        <f t="array" ref="H530">IF(W530=1,INDEX(Honor!$H$2:$H905,MATCH($D530&amp;"-"&amp;R530,Honor!$K$2:$K905,0)),"")</f>
        <v/>
      </c>
      <c r="I530" s="8" t="str">
        <f>IF(W530=1,SUMIFS(Honor!$I$2:$I905,Honor!$K$2:$K905,$D530&amp;"-"&amp;R530),"")</f>
        <v/>
      </c>
      <c r="J530" s="9" t="str">
        <f t="shared" si="6"/>
        <v/>
      </c>
      <c r="K530" s="10" t="str">
        <f t="shared" si="0"/>
        <v/>
      </c>
      <c r="L530" s="10" t="str">
        <f t="shared" si="1"/>
        <v/>
      </c>
      <c r="M530" s="10" t="str">
        <f>IF(W530=1,IF(AND(U530&lt;2,INT(V530)&lt;='Batasan Honor'!$B$2),1,0),"")</f>
        <v/>
      </c>
      <c r="O530" s="10" t="str">
        <f t="shared" si="2"/>
        <v/>
      </c>
      <c r="P530" s="10" t="str">
        <f t="shared" si="3"/>
        <v/>
      </c>
      <c r="R530" s="23"/>
      <c r="S530" s="10" t="str">
        <f t="shared" si="4"/>
        <v/>
      </c>
      <c r="U530" s="10" t="str">
        <f ca="1">IFERROR(__xludf.DUMMYFUNCTION("if(W530=1,COUNTIFS(FILTER($H$2:$H905,$H$2:$H905=""OB"",$S$2:$S905=S530),""OB""),"""")"),"")</f>
        <v/>
      </c>
      <c r="V530" s="10" t="str">
        <f ca="1">IFERROR(__xludf.DUMMYFUNCTION("IF(OR(ISNA(SUM(FILTER($K$2:$K905,$A$2:$A905=A530,$S$2:$S905=S530,$H$2:$H905&lt;&gt;""OB""))),W530&lt;&gt;1),"""",SUM(FILTER($K$2:$K905,$A$2:$A905=A530,$S$2:$S905=S530,$H$2:$H905&lt;&gt;""OB"")))"),"")</f>
        <v/>
      </c>
      <c r="W530" s="10" t="str">
        <f t="shared" si="5"/>
        <v/>
      </c>
    </row>
    <row r="531" spans="1:23" ht="12.5">
      <c r="A531" s="23"/>
      <c r="B531" s="5" t="str">
        <f t="array" ref="B531">IF(W531=1,INDEX('Database Mitra'!$H$2:$H905,MATCH(A531,'Database Mitra'!AK$2:AK905,0)),"")</f>
        <v/>
      </c>
      <c r="C531" s="5" t="str">
        <f t="array" ref="C531">IF(W531=1,INDEX('Database Mitra'!$E$2:$E905,MATCH(A531,'Database Mitra'!AK$2:AK905,0)),"")</f>
        <v/>
      </c>
      <c r="D531" s="23"/>
      <c r="E531" s="5" t="str">
        <f t="array" ref="E531">IF(W531=1,INDEX('Input Kegiatan'!B$2:B905,MATCH($D531,'Input Kegiatan'!$A$2:$A905,0)),"")</f>
        <v/>
      </c>
      <c r="F531" s="5" t="str">
        <f t="array" ref="F531">IF(W531=1,INDEX('Input Kegiatan'!D$2:D905,MATCH($D531,'Input Kegiatan'!$A$2:$A905,0)),"")</f>
        <v/>
      </c>
      <c r="G531" s="5" t="str">
        <f t="array" ref="G531">IF(W531=1,INDEX('Input Kegiatan'!E$2:E905,MATCH($D531,'Input Kegiatan'!$A$2:$A905,0)),"")</f>
        <v/>
      </c>
      <c r="H531" s="5" t="str">
        <f t="array" ref="H531">IF(W531=1,INDEX(Honor!$H$2:$H905,MATCH($D531&amp;"-"&amp;R531,Honor!$K$2:$K905,0)),"")</f>
        <v/>
      </c>
      <c r="I531" s="8" t="str">
        <f>IF(W531=1,SUMIFS(Honor!$I$2:$I905,Honor!$K$2:$K905,$D531&amp;"-"&amp;R531),"")</f>
        <v/>
      </c>
      <c r="J531" s="9" t="str">
        <f t="shared" si="6"/>
        <v/>
      </c>
      <c r="K531" s="10" t="str">
        <f t="shared" si="0"/>
        <v/>
      </c>
      <c r="L531" s="10" t="str">
        <f t="shared" si="1"/>
        <v/>
      </c>
      <c r="M531" s="10" t="str">
        <f>IF(W531=1,IF(AND(U531&lt;2,INT(V531)&lt;='Batasan Honor'!$B$2),1,0),"")</f>
        <v/>
      </c>
      <c r="O531" s="10" t="str">
        <f t="shared" si="2"/>
        <v/>
      </c>
      <c r="P531" s="10" t="str">
        <f t="shared" si="3"/>
        <v/>
      </c>
      <c r="R531" s="23"/>
      <c r="S531" s="10" t="str">
        <f t="shared" si="4"/>
        <v/>
      </c>
      <c r="U531" s="10" t="str">
        <f ca="1">IFERROR(__xludf.DUMMYFUNCTION("if(W531=1,COUNTIFS(FILTER($H$2:$H905,$H$2:$H905=""OB"",$S$2:$S905=S531),""OB""),"""")"),"")</f>
        <v/>
      </c>
      <c r="V531" s="10" t="str">
        <f ca="1">IFERROR(__xludf.DUMMYFUNCTION("IF(OR(ISNA(SUM(FILTER($K$2:$K905,$A$2:$A905=A531,$S$2:$S905=S531,$H$2:$H905&lt;&gt;""OB""))),W531&lt;&gt;1),"""",SUM(FILTER($K$2:$K905,$A$2:$A905=A531,$S$2:$S905=S531,$H$2:$H905&lt;&gt;""OB"")))"),"")</f>
        <v/>
      </c>
      <c r="W531" s="10" t="str">
        <f t="shared" si="5"/>
        <v/>
      </c>
    </row>
    <row r="532" spans="1:23" ht="12.5">
      <c r="A532" s="23"/>
      <c r="B532" s="5" t="str">
        <f t="array" ref="B532">IF(W532=1,INDEX('Database Mitra'!$H$2:$H905,MATCH(A532,'Database Mitra'!AK$2:AK905,0)),"")</f>
        <v/>
      </c>
      <c r="C532" s="5" t="str">
        <f t="array" ref="C532">IF(W532=1,INDEX('Database Mitra'!$E$2:$E905,MATCH(A532,'Database Mitra'!AK$2:AK905,0)),"")</f>
        <v/>
      </c>
      <c r="D532" s="23"/>
      <c r="E532" s="5" t="str">
        <f t="array" ref="E532">IF(W532=1,INDEX('Input Kegiatan'!B$2:B905,MATCH($D532,'Input Kegiatan'!$A$2:$A905,0)),"")</f>
        <v/>
      </c>
      <c r="F532" s="5" t="str">
        <f t="array" ref="F532">IF(W532=1,INDEX('Input Kegiatan'!D$2:D905,MATCH($D532,'Input Kegiatan'!$A$2:$A905,0)),"")</f>
        <v/>
      </c>
      <c r="G532" s="5" t="str">
        <f t="array" ref="G532">IF(W532=1,INDEX('Input Kegiatan'!E$2:E905,MATCH($D532,'Input Kegiatan'!$A$2:$A905,0)),"")</f>
        <v/>
      </c>
      <c r="H532" s="5" t="str">
        <f t="array" ref="H532">IF(W532=1,INDEX(Honor!$H$2:$H905,MATCH($D532&amp;"-"&amp;R532,Honor!$K$2:$K905,0)),"")</f>
        <v/>
      </c>
      <c r="I532" s="8" t="str">
        <f>IF(W532=1,SUMIFS(Honor!$I$2:$I905,Honor!$K$2:$K905,$D532&amp;"-"&amp;R532),"")</f>
        <v/>
      </c>
      <c r="J532" s="9" t="str">
        <f t="shared" si="6"/>
        <v/>
      </c>
      <c r="K532" s="10" t="str">
        <f t="shared" si="0"/>
        <v/>
      </c>
      <c r="L532" s="10" t="str">
        <f t="shared" si="1"/>
        <v/>
      </c>
      <c r="M532" s="10" t="str">
        <f>IF(W532=1,IF(AND(U532&lt;2,INT(V532)&lt;='Batasan Honor'!$B$2),1,0),"")</f>
        <v/>
      </c>
      <c r="O532" s="10" t="str">
        <f t="shared" si="2"/>
        <v/>
      </c>
      <c r="P532" s="10" t="str">
        <f t="shared" si="3"/>
        <v/>
      </c>
      <c r="R532" s="23"/>
      <c r="S532" s="10" t="str">
        <f t="shared" si="4"/>
        <v/>
      </c>
      <c r="U532" s="10" t="str">
        <f ca="1">IFERROR(__xludf.DUMMYFUNCTION("if(W532=1,COUNTIFS(FILTER($H$2:$H905,$H$2:$H905=""OB"",$S$2:$S905=S532),""OB""),"""")"),"")</f>
        <v/>
      </c>
      <c r="V532" s="10" t="str">
        <f ca="1">IFERROR(__xludf.DUMMYFUNCTION("IF(OR(ISNA(SUM(FILTER($K$2:$K905,$A$2:$A905=A532,$S$2:$S905=S532,$H$2:$H905&lt;&gt;""OB""))),W532&lt;&gt;1),"""",SUM(FILTER($K$2:$K905,$A$2:$A905=A532,$S$2:$S905=S532,$H$2:$H905&lt;&gt;""OB"")))"),"")</f>
        <v/>
      </c>
      <c r="W532" s="10" t="str">
        <f t="shared" si="5"/>
        <v/>
      </c>
    </row>
    <row r="533" spans="1:23" ht="12.5">
      <c r="A533" s="23"/>
      <c r="B533" s="5" t="str">
        <f t="array" ref="B533">IF(W533=1,INDEX('Database Mitra'!$H$2:$H905,MATCH(A533,'Database Mitra'!AK$2:AK905,0)),"")</f>
        <v/>
      </c>
      <c r="C533" s="5" t="str">
        <f t="array" ref="C533">IF(W533=1,INDEX('Database Mitra'!$E$2:$E905,MATCH(A533,'Database Mitra'!AK$2:AK905,0)),"")</f>
        <v/>
      </c>
      <c r="D533" s="23"/>
      <c r="E533" s="5" t="str">
        <f t="array" ref="E533">IF(W533=1,INDEX('Input Kegiatan'!B$2:B905,MATCH($D533,'Input Kegiatan'!$A$2:$A905,0)),"")</f>
        <v/>
      </c>
      <c r="F533" s="5" t="str">
        <f t="array" ref="F533">IF(W533=1,INDEX('Input Kegiatan'!D$2:D905,MATCH($D533,'Input Kegiatan'!$A$2:$A905,0)),"")</f>
        <v/>
      </c>
      <c r="G533" s="5" t="str">
        <f t="array" ref="G533">IF(W533=1,INDEX('Input Kegiatan'!E$2:E905,MATCH($D533,'Input Kegiatan'!$A$2:$A905,0)),"")</f>
        <v/>
      </c>
      <c r="H533" s="5" t="str">
        <f t="array" ref="H533">IF(W533=1,INDEX(Honor!$H$2:$H905,MATCH($D533&amp;"-"&amp;R533,Honor!$K$2:$K905,0)),"")</f>
        <v/>
      </c>
      <c r="I533" s="8" t="str">
        <f>IF(W533=1,SUMIFS(Honor!$I$2:$I905,Honor!$K$2:$K905,$D533&amp;"-"&amp;R533),"")</f>
        <v/>
      </c>
      <c r="J533" s="9" t="str">
        <f t="shared" si="6"/>
        <v/>
      </c>
      <c r="K533" s="10" t="str">
        <f t="shared" si="0"/>
        <v/>
      </c>
      <c r="L533" s="10" t="str">
        <f t="shared" si="1"/>
        <v/>
      </c>
      <c r="M533" s="10" t="str">
        <f>IF(W533=1,IF(AND(U533&lt;2,INT(V533)&lt;='Batasan Honor'!$B$2),1,0),"")</f>
        <v/>
      </c>
      <c r="O533" s="10" t="str">
        <f t="shared" si="2"/>
        <v/>
      </c>
      <c r="P533" s="10" t="str">
        <f t="shared" si="3"/>
        <v/>
      </c>
      <c r="R533" s="23"/>
      <c r="S533" s="10" t="str">
        <f t="shared" si="4"/>
        <v/>
      </c>
      <c r="U533" s="10" t="str">
        <f ca="1">IFERROR(__xludf.DUMMYFUNCTION("if(W533=1,COUNTIFS(FILTER($H$2:$H905,$H$2:$H905=""OB"",$S$2:$S905=S533),""OB""),"""")"),"")</f>
        <v/>
      </c>
      <c r="V533" s="10" t="str">
        <f ca="1">IFERROR(__xludf.DUMMYFUNCTION("IF(OR(ISNA(SUM(FILTER($K$2:$K905,$A$2:$A905=A533,$S$2:$S905=S533,$H$2:$H905&lt;&gt;""OB""))),W533&lt;&gt;1),"""",SUM(FILTER($K$2:$K905,$A$2:$A905=A533,$S$2:$S905=S533,$H$2:$H905&lt;&gt;""OB"")))"),"")</f>
        <v/>
      </c>
      <c r="W533" s="10" t="str">
        <f t="shared" si="5"/>
        <v/>
      </c>
    </row>
    <row r="534" spans="1:23" ht="12.5">
      <c r="A534" s="23"/>
      <c r="B534" s="5" t="str">
        <f t="array" ref="B534">IF(W534=1,INDEX('Database Mitra'!$H$2:$H905,MATCH(A534,'Database Mitra'!AK$2:AK905,0)),"")</f>
        <v/>
      </c>
      <c r="C534" s="5" t="str">
        <f t="array" ref="C534">IF(W534=1,INDEX('Database Mitra'!$E$2:$E905,MATCH(A534,'Database Mitra'!AK$2:AK905,0)),"")</f>
        <v/>
      </c>
      <c r="D534" s="23"/>
      <c r="E534" s="5" t="str">
        <f t="array" ref="E534">IF(W534=1,INDEX('Input Kegiatan'!B$2:B905,MATCH($D534,'Input Kegiatan'!$A$2:$A905,0)),"")</f>
        <v/>
      </c>
      <c r="F534" s="5" t="str">
        <f t="array" ref="F534">IF(W534=1,INDEX('Input Kegiatan'!D$2:D905,MATCH($D534,'Input Kegiatan'!$A$2:$A905,0)),"")</f>
        <v/>
      </c>
      <c r="G534" s="5" t="str">
        <f t="array" ref="G534">IF(W534=1,INDEX('Input Kegiatan'!E$2:E905,MATCH($D534,'Input Kegiatan'!$A$2:$A905,0)),"")</f>
        <v/>
      </c>
      <c r="H534" s="5" t="str">
        <f t="array" ref="H534">IF(W534=1,INDEX(Honor!$H$2:$H905,MATCH($D534&amp;"-"&amp;R534,Honor!$K$2:$K905,0)),"")</f>
        <v/>
      </c>
      <c r="I534" s="8" t="str">
        <f>IF(W534=1,SUMIFS(Honor!$I$2:$I905,Honor!$K$2:$K905,$D534&amp;"-"&amp;R534),"")</f>
        <v/>
      </c>
      <c r="J534" s="9" t="str">
        <f t="shared" si="6"/>
        <v/>
      </c>
      <c r="K534" s="10" t="str">
        <f t="shared" si="0"/>
        <v/>
      </c>
      <c r="L534" s="10" t="str">
        <f t="shared" si="1"/>
        <v/>
      </c>
      <c r="M534" s="10" t="str">
        <f>IF(W534=1,IF(AND(U534&lt;2,INT(V534)&lt;='Batasan Honor'!$B$2),1,0),"")</f>
        <v/>
      </c>
      <c r="O534" s="10" t="str">
        <f t="shared" si="2"/>
        <v/>
      </c>
      <c r="P534" s="10" t="str">
        <f t="shared" si="3"/>
        <v/>
      </c>
      <c r="R534" s="23"/>
      <c r="S534" s="10" t="str">
        <f t="shared" si="4"/>
        <v/>
      </c>
      <c r="U534" s="10" t="str">
        <f ca="1">IFERROR(__xludf.DUMMYFUNCTION("if(W534=1,COUNTIFS(FILTER($H$2:$H905,$H$2:$H905=""OB"",$S$2:$S905=S534),""OB""),"""")"),"")</f>
        <v/>
      </c>
      <c r="V534" s="10" t="str">
        <f ca="1">IFERROR(__xludf.DUMMYFUNCTION("IF(OR(ISNA(SUM(FILTER($K$2:$K905,$A$2:$A905=A534,$S$2:$S905=S534,$H$2:$H905&lt;&gt;""OB""))),W534&lt;&gt;1),"""",SUM(FILTER($K$2:$K905,$A$2:$A905=A534,$S$2:$S905=S534,$H$2:$H905&lt;&gt;""OB"")))"),"")</f>
        <v/>
      </c>
      <c r="W534" s="10" t="str">
        <f t="shared" si="5"/>
        <v/>
      </c>
    </row>
    <row r="535" spans="1:23" ht="12.5">
      <c r="A535" s="23"/>
      <c r="B535" s="5" t="str">
        <f t="array" ref="B535">IF(W535=1,INDEX('Database Mitra'!$H$2:$H905,MATCH(A535,'Database Mitra'!AK$2:AK905,0)),"")</f>
        <v/>
      </c>
      <c r="C535" s="5" t="str">
        <f t="array" ref="C535">IF(W535=1,INDEX('Database Mitra'!$E$2:$E905,MATCH(A535,'Database Mitra'!AK$2:AK905,0)),"")</f>
        <v/>
      </c>
      <c r="D535" s="23"/>
      <c r="E535" s="5" t="str">
        <f t="array" ref="E535">IF(W535=1,INDEX('Input Kegiatan'!B$2:B905,MATCH($D535,'Input Kegiatan'!$A$2:$A905,0)),"")</f>
        <v/>
      </c>
      <c r="F535" s="5" t="str">
        <f t="array" ref="F535">IF(W535=1,INDEX('Input Kegiatan'!D$2:D905,MATCH($D535,'Input Kegiatan'!$A$2:$A905,0)),"")</f>
        <v/>
      </c>
      <c r="G535" s="5" t="str">
        <f t="array" ref="G535">IF(W535=1,INDEX('Input Kegiatan'!E$2:E905,MATCH($D535,'Input Kegiatan'!$A$2:$A905,0)),"")</f>
        <v/>
      </c>
      <c r="H535" s="5" t="str">
        <f t="array" ref="H535">IF(W535=1,INDEX(Honor!$H$2:$H905,MATCH($D535&amp;"-"&amp;R535,Honor!$K$2:$K905,0)),"")</f>
        <v/>
      </c>
      <c r="I535" s="8" t="str">
        <f>IF(W535=1,SUMIFS(Honor!$I$2:$I905,Honor!$K$2:$K905,$D535&amp;"-"&amp;R535),"")</f>
        <v/>
      </c>
      <c r="J535" s="9" t="str">
        <f t="shared" si="6"/>
        <v/>
      </c>
      <c r="K535" s="10" t="str">
        <f t="shared" si="0"/>
        <v/>
      </c>
      <c r="L535" s="10" t="str">
        <f t="shared" si="1"/>
        <v/>
      </c>
      <c r="M535" s="10" t="str">
        <f>IF(W535=1,IF(AND(U535&lt;2,INT(V535)&lt;='Batasan Honor'!$B$2),1,0),"")</f>
        <v/>
      </c>
      <c r="O535" s="10" t="str">
        <f t="shared" si="2"/>
        <v/>
      </c>
      <c r="P535" s="10" t="str">
        <f t="shared" si="3"/>
        <v/>
      </c>
      <c r="R535" s="23"/>
      <c r="S535" s="10" t="str">
        <f t="shared" si="4"/>
        <v/>
      </c>
      <c r="U535" s="10" t="str">
        <f ca="1">IFERROR(__xludf.DUMMYFUNCTION("if(W535=1,COUNTIFS(FILTER($H$2:$H905,$H$2:$H905=""OB"",$S$2:$S905=S535),""OB""),"""")"),"")</f>
        <v/>
      </c>
      <c r="V535" s="10" t="str">
        <f ca="1">IFERROR(__xludf.DUMMYFUNCTION("IF(OR(ISNA(SUM(FILTER($K$2:$K905,$A$2:$A905=A535,$S$2:$S905=S535,$H$2:$H905&lt;&gt;""OB""))),W535&lt;&gt;1),"""",SUM(FILTER($K$2:$K905,$A$2:$A905=A535,$S$2:$S905=S535,$H$2:$H905&lt;&gt;""OB"")))"),"")</f>
        <v/>
      </c>
      <c r="W535" s="10" t="str">
        <f t="shared" si="5"/>
        <v/>
      </c>
    </row>
    <row r="536" spans="1:23" ht="12.5">
      <c r="A536" s="23"/>
      <c r="B536" s="5" t="str">
        <f t="array" ref="B536">IF(W536=1,INDEX('Database Mitra'!$H$2:$H905,MATCH(A536,'Database Mitra'!AK$2:AK905,0)),"")</f>
        <v/>
      </c>
      <c r="C536" s="5" t="str">
        <f t="array" ref="C536">IF(W536=1,INDEX('Database Mitra'!$E$2:$E905,MATCH(A536,'Database Mitra'!AK$2:AK905,0)),"")</f>
        <v/>
      </c>
      <c r="D536" s="23"/>
      <c r="E536" s="5" t="str">
        <f t="array" ref="E536">IF(W536=1,INDEX('Input Kegiatan'!B$2:B905,MATCH($D536,'Input Kegiatan'!$A$2:$A905,0)),"")</f>
        <v/>
      </c>
      <c r="F536" s="5" t="str">
        <f t="array" ref="F536">IF(W536=1,INDEX('Input Kegiatan'!D$2:D905,MATCH($D536,'Input Kegiatan'!$A$2:$A905,0)),"")</f>
        <v/>
      </c>
      <c r="G536" s="5" t="str">
        <f t="array" ref="G536">IF(W536=1,INDEX('Input Kegiatan'!E$2:E905,MATCH($D536,'Input Kegiatan'!$A$2:$A905,0)),"")</f>
        <v/>
      </c>
      <c r="H536" s="5" t="str">
        <f t="array" ref="H536">IF(W536=1,INDEX(Honor!$H$2:$H905,MATCH($D536&amp;"-"&amp;R536,Honor!$K$2:$K905,0)),"")</f>
        <v/>
      </c>
      <c r="I536" s="8" t="str">
        <f>IF(W536=1,SUMIFS(Honor!$I$2:$I905,Honor!$K$2:$K905,$D536&amp;"-"&amp;R536),"")</f>
        <v/>
      </c>
      <c r="J536" s="9" t="str">
        <f t="shared" si="6"/>
        <v/>
      </c>
      <c r="K536" s="10" t="str">
        <f t="shared" si="0"/>
        <v/>
      </c>
      <c r="L536" s="10" t="str">
        <f t="shared" si="1"/>
        <v/>
      </c>
      <c r="M536" s="10" t="str">
        <f>IF(W536=1,IF(AND(U536&lt;2,INT(V536)&lt;='Batasan Honor'!$B$2),1,0),"")</f>
        <v/>
      </c>
      <c r="O536" s="10" t="str">
        <f t="shared" si="2"/>
        <v/>
      </c>
      <c r="P536" s="10" t="str">
        <f t="shared" si="3"/>
        <v/>
      </c>
      <c r="R536" s="23"/>
      <c r="S536" s="10" t="str">
        <f t="shared" si="4"/>
        <v/>
      </c>
      <c r="U536" s="10" t="str">
        <f ca="1">IFERROR(__xludf.DUMMYFUNCTION("if(W536=1,COUNTIFS(FILTER($H$2:$H905,$H$2:$H905=""OB"",$S$2:$S905=S536),""OB""),"""")"),"")</f>
        <v/>
      </c>
      <c r="V536" s="10" t="str">
        <f ca="1">IFERROR(__xludf.DUMMYFUNCTION("IF(OR(ISNA(SUM(FILTER($K$2:$K905,$A$2:$A905=A536,$S$2:$S905=S536,$H$2:$H905&lt;&gt;""OB""))),W536&lt;&gt;1),"""",SUM(FILTER($K$2:$K905,$A$2:$A905=A536,$S$2:$S905=S536,$H$2:$H905&lt;&gt;""OB"")))"),"")</f>
        <v/>
      </c>
      <c r="W536" s="10" t="str">
        <f t="shared" si="5"/>
        <v/>
      </c>
    </row>
    <row r="537" spans="1:23" ht="12.5">
      <c r="A537" s="23"/>
      <c r="B537" s="5" t="str">
        <f t="array" ref="B537">IF(W537=1,INDEX('Database Mitra'!$H$2:$H905,MATCH(A537,'Database Mitra'!AK$2:AK905,0)),"")</f>
        <v/>
      </c>
      <c r="C537" s="5" t="str">
        <f t="array" ref="C537">IF(W537=1,INDEX('Database Mitra'!$E$2:$E905,MATCH(A537,'Database Mitra'!AK$2:AK905,0)),"")</f>
        <v/>
      </c>
      <c r="D537" s="23"/>
      <c r="E537" s="5" t="str">
        <f t="array" ref="E537">IF(W537=1,INDEX('Input Kegiatan'!B$2:B905,MATCH($D537,'Input Kegiatan'!$A$2:$A905,0)),"")</f>
        <v/>
      </c>
      <c r="F537" s="5" t="str">
        <f t="array" ref="F537">IF(W537=1,INDEX('Input Kegiatan'!D$2:D905,MATCH($D537,'Input Kegiatan'!$A$2:$A905,0)),"")</f>
        <v/>
      </c>
      <c r="G537" s="5" t="str">
        <f t="array" ref="G537">IF(W537=1,INDEX('Input Kegiatan'!E$2:E905,MATCH($D537,'Input Kegiatan'!$A$2:$A905,0)),"")</f>
        <v/>
      </c>
      <c r="H537" s="5" t="str">
        <f t="array" ref="H537">IF(W537=1,INDEX(Honor!$H$2:$H905,MATCH($D537&amp;"-"&amp;R537,Honor!$K$2:$K905,0)),"")</f>
        <v/>
      </c>
      <c r="I537" s="8" t="str">
        <f>IF(W537=1,SUMIFS(Honor!$I$2:$I905,Honor!$K$2:$K905,$D537&amp;"-"&amp;R537),"")</f>
        <v/>
      </c>
      <c r="J537" s="9" t="str">
        <f t="shared" si="6"/>
        <v/>
      </c>
      <c r="K537" s="10" t="str">
        <f t="shared" si="0"/>
        <v/>
      </c>
      <c r="L537" s="10" t="str">
        <f t="shared" si="1"/>
        <v/>
      </c>
      <c r="M537" s="10" t="str">
        <f>IF(W537=1,IF(AND(U537&lt;2,INT(V537)&lt;='Batasan Honor'!$B$2),1,0),"")</f>
        <v/>
      </c>
      <c r="O537" s="10" t="str">
        <f t="shared" si="2"/>
        <v/>
      </c>
      <c r="P537" s="10" t="str">
        <f t="shared" si="3"/>
        <v/>
      </c>
      <c r="R537" s="23"/>
      <c r="S537" s="10" t="str">
        <f t="shared" si="4"/>
        <v/>
      </c>
      <c r="U537" s="10" t="str">
        <f ca="1">IFERROR(__xludf.DUMMYFUNCTION("if(W537=1,COUNTIFS(FILTER($H$2:$H905,$H$2:$H905=""OB"",$S$2:$S905=S537),""OB""),"""")"),"")</f>
        <v/>
      </c>
      <c r="V537" s="10" t="str">
        <f ca="1">IFERROR(__xludf.DUMMYFUNCTION("IF(OR(ISNA(SUM(FILTER($K$2:$K905,$A$2:$A905=A537,$S$2:$S905=S537,$H$2:$H905&lt;&gt;""OB""))),W537&lt;&gt;1),"""",SUM(FILTER($K$2:$K905,$A$2:$A905=A537,$S$2:$S905=S537,$H$2:$H905&lt;&gt;""OB"")))"),"")</f>
        <v/>
      </c>
      <c r="W537" s="10" t="str">
        <f t="shared" si="5"/>
        <v/>
      </c>
    </row>
    <row r="538" spans="1:23" ht="12.5">
      <c r="A538" s="23"/>
      <c r="B538" s="5" t="str">
        <f t="array" ref="B538">IF(W538=1,INDEX('Database Mitra'!$H$2:$H905,MATCH(A538,'Database Mitra'!AK$2:AK905,0)),"")</f>
        <v/>
      </c>
      <c r="C538" s="5" t="str">
        <f t="array" ref="C538">IF(W538=1,INDEX('Database Mitra'!$E$2:$E905,MATCH(A538,'Database Mitra'!AK$2:AK905,0)),"")</f>
        <v/>
      </c>
      <c r="D538" s="23"/>
      <c r="E538" s="5" t="str">
        <f t="array" ref="E538">IF(W538=1,INDEX('Input Kegiatan'!B$2:B905,MATCH($D538,'Input Kegiatan'!$A$2:$A905,0)),"")</f>
        <v/>
      </c>
      <c r="F538" s="5" t="str">
        <f t="array" ref="F538">IF(W538=1,INDEX('Input Kegiatan'!D$2:D905,MATCH($D538,'Input Kegiatan'!$A$2:$A905,0)),"")</f>
        <v/>
      </c>
      <c r="G538" s="5" t="str">
        <f t="array" ref="G538">IF(W538=1,INDEX('Input Kegiatan'!E$2:E905,MATCH($D538,'Input Kegiatan'!$A$2:$A905,0)),"")</f>
        <v/>
      </c>
      <c r="H538" s="5" t="str">
        <f t="array" ref="H538">IF(W538=1,INDEX(Honor!$H$2:$H905,MATCH($D538&amp;"-"&amp;R538,Honor!$K$2:$K905,0)),"")</f>
        <v/>
      </c>
      <c r="I538" s="8" t="str">
        <f>IF(W538=1,SUMIFS(Honor!$I$2:$I905,Honor!$K$2:$K905,$D538&amp;"-"&amp;R538),"")</f>
        <v/>
      </c>
      <c r="J538" s="9" t="str">
        <f t="shared" si="6"/>
        <v/>
      </c>
      <c r="K538" s="10" t="str">
        <f t="shared" si="0"/>
        <v/>
      </c>
      <c r="L538" s="10" t="str">
        <f t="shared" si="1"/>
        <v/>
      </c>
      <c r="M538" s="10" t="str">
        <f>IF(W538=1,IF(AND(U538&lt;2,INT(V538)&lt;='Batasan Honor'!$B$2),1,0),"")</f>
        <v/>
      </c>
      <c r="O538" s="10" t="str">
        <f t="shared" si="2"/>
        <v/>
      </c>
      <c r="P538" s="10" t="str">
        <f t="shared" si="3"/>
        <v/>
      </c>
      <c r="R538" s="23"/>
      <c r="S538" s="10" t="str">
        <f t="shared" si="4"/>
        <v/>
      </c>
      <c r="U538" s="10" t="str">
        <f ca="1">IFERROR(__xludf.DUMMYFUNCTION("if(W538=1,COUNTIFS(FILTER($H$2:$H905,$H$2:$H905=""OB"",$S$2:$S905=S538),""OB""),"""")"),"")</f>
        <v/>
      </c>
      <c r="V538" s="10" t="str">
        <f ca="1">IFERROR(__xludf.DUMMYFUNCTION("IF(OR(ISNA(SUM(FILTER($K$2:$K905,$A$2:$A905=A538,$S$2:$S905=S538,$H$2:$H905&lt;&gt;""OB""))),W538&lt;&gt;1),"""",SUM(FILTER($K$2:$K905,$A$2:$A905=A538,$S$2:$S905=S538,$H$2:$H905&lt;&gt;""OB"")))"),"")</f>
        <v/>
      </c>
      <c r="W538" s="10" t="str">
        <f t="shared" si="5"/>
        <v/>
      </c>
    </row>
    <row r="539" spans="1:23" ht="12.5">
      <c r="A539" s="23"/>
      <c r="B539" s="5" t="str">
        <f t="array" ref="B539">IF(W539=1,INDEX('Database Mitra'!$H$2:$H905,MATCH(A539,'Database Mitra'!AK$2:AK905,0)),"")</f>
        <v/>
      </c>
      <c r="C539" s="5" t="str">
        <f t="array" ref="C539">IF(W539=1,INDEX('Database Mitra'!$E$2:$E905,MATCH(A539,'Database Mitra'!AK$2:AK905,0)),"")</f>
        <v/>
      </c>
      <c r="D539" s="23"/>
      <c r="E539" s="5" t="str">
        <f t="array" ref="E539">IF(W539=1,INDEX('Input Kegiatan'!B$2:B905,MATCH($D539,'Input Kegiatan'!$A$2:$A905,0)),"")</f>
        <v/>
      </c>
      <c r="F539" s="5" t="str">
        <f t="array" ref="F539">IF(W539=1,INDEX('Input Kegiatan'!D$2:D905,MATCH($D539,'Input Kegiatan'!$A$2:$A905,0)),"")</f>
        <v/>
      </c>
      <c r="G539" s="5" t="str">
        <f t="array" ref="G539">IF(W539=1,INDEX('Input Kegiatan'!E$2:E905,MATCH($D539,'Input Kegiatan'!$A$2:$A905,0)),"")</f>
        <v/>
      </c>
      <c r="H539" s="5" t="str">
        <f t="array" ref="H539">IF(W539=1,INDEX(Honor!$H$2:$H905,MATCH($D539&amp;"-"&amp;R539,Honor!$K$2:$K905,0)),"")</f>
        <v/>
      </c>
      <c r="I539" s="8" t="str">
        <f>IF(W539=1,SUMIFS(Honor!$I$2:$I905,Honor!$K$2:$K905,$D539&amp;"-"&amp;R539),"")</f>
        <v/>
      </c>
      <c r="J539" s="9" t="str">
        <f t="shared" si="6"/>
        <v/>
      </c>
      <c r="K539" s="10" t="str">
        <f t="shared" si="0"/>
        <v/>
      </c>
      <c r="L539" s="10" t="str">
        <f t="shared" si="1"/>
        <v/>
      </c>
      <c r="M539" s="10" t="str">
        <f>IF(W539=1,IF(AND(U539&lt;2,INT(V539)&lt;='Batasan Honor'!$B$2),1,0),"")</f>
        <v/>
      </c>
      <c r="O539" s="10" t="str">
        <f t="shared" si="2"/>
        <v/>
      </c>
      <c r="P539" s="10" t="str">
        <f t="shared" si="3"/>
        <v/>
      </c>
      <c r="R539" s="23"/>
      <c r="S539" s="10" t="str">
        <f t="shared" si="4"/>
        <v/>
      </c>
      <c r="U539" s="10" t="str">
        <f ca="1">IFERROR(__xludf.DUMMYFUNCTION("if(W539=1,COUNTIFS(FILTER($H$2:$H905,$H$2:$H905=""OB"",$S$2:$S905=S539),""OB""),"""")"),"")</f>
        <v/>
      </c>
      <c r="V539" s="10" t="str">
        <f ca="1">IFERROR(__xludf.DUMMYFUNCTION("IF(OR(ISNA(SUM(FILTER($K$2:$K905,$A$2:$A905=A539,$S$2:$S905=S539,$H$2:$H905&lt;&gt;""OB""))),W539&lt;&gt;1),"""",SUM(FILTER($K$2:$K905,$A$2:$A905=A539,$S$2:$S905=S539,$H$2:$H905&lt;&gt;""OB"")))"),"")</f>
        <v/>
      </c>
      <c r="W539" s="10" t="str">
        <f t="shared" si="5"/>
        <v/>
      </c>
    </row>
    <row r="540" spans="1:23" ht="12.5">
      <c r="A540" s="23"/>
      <c r="B540" s="5" t="str">
        <f t="array" ref="B540">IF(W540=1,INDEX('Database Mitra'!$H$2:$H905,MATCH(A540,'Database Mitra'!AK$2:AK905,0)),"")</f>
        <v/>
      </c>
      <c r="C540" s="5" t="str">
        <f t="array" ref="C540">IF(W540=1,INDEX('Database Mitra'!$E$2:$E905,MATCH(A540,'Database Mitra'!AK$2:AK905,0)),"")</f>
        <v/>
      </c>
      <c r="D540" s="23"/>
      <c r="E540" s="5" t="str">
        <f t="array" ref="E540">IF(W540=1,INDEX('Input Kegiatan'!B$2:B905,MATCH($D540,'Input Kegiatan'!$A$2:$A905,0)),"")</f>
        <v/>
      </c>
      <c r="F540" s="5" t="str">
        <f t="array" ref="F540">IF(W540=1,INDEX('Input Kegiatan'!D$2:D905,MATCH($D540,'Input Kegiatan'!$A$2:$A905,0)),"")</f>
        <v/>
      </c>
      <c r="G540" s="5" t="str">
        <f t="array" ref="G540">IF(W540=1,INDEX('Input Kegiatan'!E$2:E905,MATCH($D540,'Input Kegiatan'!$A$2:$A905,0)),"")</f>
        <v/>
      </c>
      <c r="H540" s="5" t="str">
        <f t="array" ref="H540">IF(W540=1,INDEX(Honor!$H$2:$H905,MATCH($D540&amp;"-"&amp;R540,Honor!$K$2:$K905,0)),"")</f>
        <v/>
      </c>
      <c r="I540" s="8" t="str">
        <f>IF(W540=1,SUMIFS(Honor!$I$2:$I905,Honor!$K$2:$K905,$D540&amp;"-"&amp;R540),"")</f>
        <v/>
      </c>
      <c r="J540" s="9" t="str">
        <f t="shared" si="6"/>
        <v/>
      </c>
      <c r="K540" s="10" t="str">
        <f t="shared" si="0"/>
        <v/>
      </c>
      <c r="L540" s="10" t="str">
        <f t="shared" si="1"/>
        <v/>
      </c>
      <c r="M540" s="10" t="str">
        <f>IF(W540=1,IF(AND(U540&lt;2,INT(V540)&lt;='Batasan Honor'!$B$2),1,0),"")</f>
        <v/>
      </c>
      <c r="O540" s="10" t="str">
        <f t="shared" si="2"/>
        <v/>
      </c>
      <c r="P540" s="10" t="str">
        <f t="shared" si="3"/>
        <v/>
      </c>
      <c r="R540" s="23"/>
      <c r="S540" s="10" t="str">
        <f t="shared" si="4"/>
        <v/>
      </c>
      <c r="U540" s="10" t="str">
        <f ca="1">IFERROR(__xludf.DUMMYFUNCTION("if(W540=1,COUNTIFS(FILTER($H$2:$H905,$H$2:$H905=""OB"",$S$2:$S905=S540),""OB""),"""")"),"")</f>
        <v/>
      </c>
      <c r="V540" s="10" t="str">
        <f ca="1">IFERROR(__xludf.DUMMYFUNCTION("IF(OR(ISNA(SUM(FILTER($K$2:$K905,$A$2:$A905=A540,$S$2:$S905=S540,$H$2:$H905&lt;&gt;""OB""))),W540&lt;&gt;1),"""",SUM(FILTER($K$2:$K905,$A$2:$A905=A540,$S$2:$S905=S540,$H$2:$H905&lt;&gt;""OB"")))"),"")</f>
        <v/>
      </c>
      <c r="W540" s="10" t="str">
        <f t="shared" si="5"/>
        <v/>
      </c>
    </row>
    <row r="541" spans="1:23" ht="12.5">
      <c r="A541" s="23"/>
      <c r="B541" s="5" t="str">
        <f t="array" ref="B541">IF(W541=1,INDEX('Database Mitra'!$H$2:$H905,MATCH(A541,'Database Mitra'!AK$2:AK905,0)),"")</f>
        <v/>
      </c>
      <c r="C541" s="5" t="str">
        <f t="array" ref="C541">IF(W541=1,INDEX('Database Mitra'!$E$2:$E905,MATCH(A541,'Database Mitra'!AK$2:AK905,0)),"")</f>
        <v/>
      </c>
      <c r="D541" s="23"/>
      <c r="E541" s="5" t="str">
        <f t="array" ref="E541">IF(W541=1,INDEX('Input Kegiatan'!B$2:B905,MATCH($D541,'Input Kegiatan'!$A$2:$A905,0)),"")</f>
        <v/>
      </c>
      <c r="F541" s="5" t="str">
        <f t="array" ref="F541">IF(W541=1,INDEX('Input Kegiatan'!D$2:D905,MATCH($D541,'Input Kegiatan'!$A$2:$A905,0)),"")</f>
        <v/>
      </c>
      <c r="G541" s="5" t="str">
        <f t="array" ref="G541">IF(W541=1,INDEX('Input Kegiatan'!E$2:E905,MATCH($D541,'Input Kegiatan'!$A$2:$A905,0)),"")</f>
        <v/>
      </c>
      <c r="H541" s="5" t="str">
        <f t="array" ref="H541">IF(W541=1,INDEX(Honor!$H$2:$H905,MATCH($D541&amp;"-"&amp;R541,Honor!$K$2:$K905,0)),"")</f>
        <v/>
      </c>
      <c r="I541" s="8" t="str">
        <f>IF(W541=1,SUMIFS(Honor!$I$2:$I905,Honor!$K$2:$K905,$D541&amp;"-"&amp;R541),"")</f>
        <v/>
      </c>
      <c r="J541" s="9" t="str">
        <f t="shared" si="6"/>
        <v/>
      </c>
      <c r="K541" s="10" t="str">
        <f t="shared" si="0"/>
        <v/>
      </c>
      <c r="L541" s="10" t="str">
        <f t="shared" si="1"/>
        <v/>
      </c>
      <c r="M541" s="10" t="str">
        <f>IF(W541=1,IF(AND(U541&lt;2,INT(V541)&lt;='Batasan Honor'!$B$2),1,0),"")</f>
        <v/>
      </c>
      <c r="O541" s="10" t="str">
        <f t="shared" si="2"/>
        <v/>
      </c>
      <c r="P541" s="10" t="str">
        <f t="shared" si="3"/>
        <v/>
      </c>
      <c r="R541" s="23"/>
      <c r="S541" s="10" t="str">
        <f t="shared" si="4"/>
        <v/>
      </c>
      <c r="U541" s="10" t="str">
        <f ca="1">IFERROR(__xludf.DUMMYFUNCTION("if(W541=1,COUNTIFS(FILTER($H$2:$H905,$H$2:$H905=""OB"",$S$2:$S905=S541),""OB""),"""")"),"")</f>
        <v/>
      </c>
      <c r="V541" s="10" t="str">
        <f ca="1">IFERROR(__xludf.DUMMYFUNCTION("IF(OR(ISNA(SUM(FILTER($K$2:$K905,$A$2:$A905=A541,$S$2:$S905=S541,$H$2:$H905&lt;&gt;""OB""))),W541&lt;&gt;1),"""",SUM(FILTER($K$2:$K905,$A$2:$A905=A541,$S$2:$S905=S541,$H$2:$H905&lt;&gt;""OB"")))"),"")</f>
        <v/>
      </c>
      <c r="W541" s="10" t="str">
        <f t="shared" si="5"/>
        <v/>
      </c>
    </row>
    <row r="542" spans="1:23" ht="12.5">
      <c r="A542" s="23"/>
      <c r="B542" s="5" t="str">
        <f t="array" ref="B542">IF(W542=1,INDEX('Database Mitra'!$H$2:$H905,MATCH(A542,'Database Mitra'!AK$2:AK905,0)),"")</f>
        <v/>
      </c>
      <c r="C542" s="5" t="str">
        <f t="array" ref="C542">IF(W542=1,INDEX('Database Mitra'!$E$2:$E905,MATCH(A542,'Database Mitra'!AK$2:AK905,0)),"")</f>
        <v/>
      </c>
      <c r="D542" s="23"/>
      <c r="E542" s="5" t="str">
        <f t="array" ref="E542">IF(W542=1,INDEX('Input Kegiatan'!B$2:B905,MATCH($D542,'Input Kegiatan'!$A$2:$A905,0)),"")</f>
        <v/>
      </c>
      <c r="F542" s="5" t="str">
        <f t="array" ref="F542">IF(W542=1,INDEX('Input Kegiatan'!D$2:D905,MATCH($D542,'Input Kegiatan'!$A$2:$A905,0)),"")</f>
        <v/>
      </c>
      <c r="G542" s="5" t="str">
        <f t="array" ref="G542">IF(W542=1,INDEX('Input Kegiatan'!E$2:E905,MATCH($D542,'Input Kegiatan'!$A$2:$A905,0)),"")</f>
        <v/>
      </c>
      <c r="H542" s="5" t="str">
        <f t="array" ref="H542">IF(W542=1,INDEX(Honor!$H$2:$H905,MATCH($D542&amp;"-"&amp;R542,Honor!$K$2:$K905,0)),"")</f>
        <v/>
      </c>
      <c r="I542" s="8" t="str">
        <f>IF(W542=1,SUMIFS(Honor!$I$2:$I905,Honor!$K$2:$K905,$D542&amp;"-"&amp;R542),"")</f>
        <v/>
      </c>
      <c r="J542" s="9" t="str">
        <f t="shared" si="6"/>
        <v/>
      </c>
      <c r="K542" s="10" t="str">
        <f t="shared" si="0"/>
        <v/>
      </c>
      <c r="L542" s="10" t="str">
        <f t="shared" si="1"/>
        <v/>
      </c>
      <c r="M542" s="10" t="str">
        <f>IF(W542=1,IF(AND(U542&lt;2,INT(V542)&lt;='Batasan Honor'!$B$2),1,0),"")</f>
        <v/>
      </c>
      <c r="O542" s="10" t="str">
        <f t="shared" si="2"/>
        <v/>
      </c>
      <c r="P542" s="10" t="str">
        <f t="shared" si="3"/>
        <v/>
      </c>
      <c r="R542" s="23"/>
      <c r="S542" s="10" t="str">
        <f t="shared" si="4"/>
        <v/>
      </c>
      <c r="U542" s="10" t="str">
        <f ca="1">IFERROR(__xludf.DUMMYFUNCTION("if(W542=1,COUNTIFS(FILTER($H$2:$H905,$H$2:$H905=""OB"",$S$2:$S905=S542),""OB""),"""")"),"")</f>
        <v/>
      </c>
      <c r="V542" s="10" t="str">
        <f ca="1">IFERROR(__xludf.DUMMYFUNCTION("IF(OR(ISNA(SUM(FILTER($K$2:$K905,$A$2:$A905=A542,$S$2:$S905=S542,$H$2:$H905&lt;&gt;""OB""))),W542&lt;&gt;1),"""",SUM(FILTER($K$2:$K905,$A$2:$A905=A542,$S$2:$S905=S542,$H$2:$H905&lt;&gt;""OB"")))"),"")</f>
        <v/>
      </c>
      <c r="W542" s="10" t="str">
        <f t="shared" si="5"/>
        <v/>
      </c>
    </row>
    <row r="543" spans="1:23" ht="12.5">
      <c r="A543" s="23"/>
      <c r="B543" s="5" t="str">
        <f t="array" ref="B543">IF(W543=1,INDEX('Database Mitra'!$H$2:$H905,MATCH(A543,'Database Mitra'!AK$2:AK905,0)),"")</f>
        <v/>
      </c>
      <c r="C543" s="5" t="str">
        <f t="array" ref="C543">IF(W543=1,INDEX('Database Mitra'!$E$2:$E905,MATCH(A543,'Database Mitra'!AK$2:AK905,0)),"")</f>
        <v/>
      </c>
      <c r="D543" s="23"/>
      <c r="E543" s="5" t="str">
        <f t="array" ref="E543">IF(W543=1,INDEX('Input Kegiatan'!B$2:B905,MATCH($D543,'Input Kegiatan'!$A$2:$A905,0)),"")</f>
        <v/>
      </c>
      <c r="F543" s="5" t="str">
        <f t="array" ref="F543">IF(W543=1,INDEX('Input Kegiatan'!D$2:D905,MATCH($D543,'Input Kegiatan'!$A$2:$A905,0)),"")</f>
        <v/>
      </c>
      <c r="G543" s="5" t="str">
        <f t="array" ref="G543">IF(W543=1,INDEX('Input Kegiatan'!E$2:E905,MATCH($D543,'Input Kegiatan'!$A$2:$A905,0)),"")</f>
        <v/>
      </c>
      <c r="H543" s="5" t="str">
        <f t="array" ref="H543">IF(W543=1,INDEX(Honor!$H$2:$H905,MATCH($D543&amp;"-"&amp;R543,Honor!$K$2:$K905,0)),"")</f>
        <v/>
      </c>
      <c r="I543" s="8" t="str">
        <f>IF(W543=1,SUMIFS(Honor!$I$2:$I905,Honor!$K$2:$K905,$D543&amp;"-"&amp;R543),"")</f>
        <v/>
      </c>
      <c r="J543" s="9" t="str">
        <f t="shared" si="6"/>
        <v/>
      </c>
      <c r="K543" s="10" t="str">
        <f t="shared" si="0"/>
        <v/>
      </c>
      <c r="L543" s="10" t="str">
        <f t="shared" si="1"/>
        <v/>
      </c>
      <c r="M543" s="10" t="str">
        <f>IF(W543=1,IF(AND(U543&lt;2,INT(V543)&lt;='Batasan Honor'!$B$2),1,0),"")</f>
        <v/>
      </c>
      <c r="O543" s="10" t="str">
        <f t="shared" si="2"/>
        <v/>
      </c>
      <c r="P543" s="10" t="str">
        <f t="shared" si="3"/>
        <v/>
      </c>
      <c r="R543" s="23"/>
      <c r="S543" s="10" t="str">
        <f t="shared" si="4"/>
        <v/>
      </c>
      <c r="U543" s="10" t="str">
        <f ca="1">IFERROR(__xludf.DUMMYFUNCTION("if(W543=1,COUNTIFS(FILTER($H$2:$H905,$H$2:$H905=""OB"",$S$2:$S905=S543),""OB""),"""")"),"")</f>
        <v/>
      </c>
      <c r="V543" s="10" t="str">
        <f ca="1">IFERROR(__xludf.DUMMYFUNCTION("IF(OR(ISNA(SUM(FILTER($K$2:$K905,$A$2:$A905=A543,$S$2:$S905=S543,$H$2:$H905&lt;&gt;""OB""))),W543&lt;&gt;1),"""",SUM(FILTER($K$2:$K905,$A$2:$A905=A543,$S$2:$S905=S543,$H$2:$H905&lt;&gt;""OB"")))"),"")</f>
        <v/>
      </c>
      <c r="W543" s="10" t="str">
        <f t="shared" si="5"/>
        <v/>
      </c>
    </row>
    <row r="544" spans="1:23" ht="12.5">
      <c r="A544" s="23"/>
      <c r="B544" s="5" t="str">
        <f t="array" ref="B544">IF(W544=1,INDEX('Database Mitra'!$H$2:$H905,MATCH(A544,'Database Mitra'!AK$2:AK905,0)),"")</f>
        <v/>
      </c>
      <c r="C544" s="5" t="str">
        <f t="array" ref="C544">IF(W544=1,INDEX('Database Mitra'!$E$2:$E905,MATCH(A544,'Database Mitra'!AK$2:AK905,0)),"")</f>
        <v/>
      </c>
      <c r="D544" s="23"/>
      <c r="E544" s="5" t="str">
        <f t="array" ref="E544">IF(W544=1,INDEX('Input Kegiatan'!B$2:B905,MATCH($D544,'Input Kegiatan'!$A$2:$A905,0)),"")</f>
        <v/>
      </c>
      <c r="F544" s="5" t="str">
        <f t="array" ref="F544">IF(W544=1,INDEX('Input Kegiatan'!D$2:D905,MATCH($D544,'Input Kegiatan'!$A$2:$A905,0)),"")</f>
        <v/>
      </c>
      <c r="G544" s="5" t="str">
        <f t="array" ref="G544">IF(W544=1,INDEX('Input Kegiatan'!E$2:E905,MATCH($D544,'Input Kegiatan'!$A$2:$A905,0)),"")</f>
        <v/>
      </c>
      <c r="H544" s="5" t="str">
        <f t="array" ref="H544">IF(W544=1,INDEX(Honor!$H$2:$H905,MATCH($D544&amp;"-"&amp;R544,Honor!$K$2:$K905,0)),"")</f>
        <v/>
      </c>
      <c r="I544" s="8" t="str">
        <f>IF(W544=1,SUMIFS(Honor!$I$2:$I905,Honor!$K$2:$K905,$D544&amp;"-"&amp;R544),"")</f>
        <v/>
      </c>
      <c r="J544" s="9" t="str">
        <f t="shared" si="6"/>
        <v/>
      </c>
      <c r="K544" s="10" t="str">
        <f t="shared" si="0"/>
        <v/>
      </c>
      <c r="L544" s="10" t="str">
        <f t="shared" si="1"/>
        <v/>
      </c>
      <c r="M544" s="10" t="str">
        <f>IF(W544=1,IF(AND(U544&lt;2,INT(V544)&lt;='Batasan Honor'!$B$2),1,0),"")</f>
        <v/>
      </c>
      <c r="O544" s="10" t="str">
        <f t="shared" si="2"/>
        <v/>
      </c>
      <c r="P544" s="10" t="str">
        <f t="shared" si="3"/>
        <v/>
      </c>
      <c r="R544" s="23"/>
      <c r="S544" s="10" t="str">
        <f t="shared" si="4"/>
        <v/>
      </c>
      <c r="U544" s="10" t="str">
        <f ca="1">IFERROR(__xludf.DUMMYFUNCTION("if(W544=1,COUNTIFS(FILTER($H$2:$H905,$H$2:$H905=""OB"",$S$2:$S905=S544),""OB""),"""")"),"")</f>
        <v/>
      </c>
      <c r="V544" s="10" t="str">
        <f ca="1">IFERROR(__xludf.DUMMYFUNCTION("IF(OR(ISNA(SUM(FILTER($K$2:$K905,$A$2:$A905=A544,$S$2:$S905=S544,$H$2:$H905&lt;&gt;""OB""))),W544&lt;&gt;1),"""",SUM(FILTER($K$2:$K905,$A$2:$A905=A544,$S$2:$S905=S544,$H$2:$H905&lt;&gt;""OB"")))"),"")</f>
        <v/>
      </c>
      <c r="W544" s="10" t="str">
        <f t="shared" si="5"/>
        <v/>
      </c>
    </row>
    <row r="545" spans="1:23" ht="12.5">
      <c r="A545" s="23"/>
      <c r="B545" s="5" t="str">
        <f t="array" ref="B545">IF(W545=1,INDEX('Database Mitra'!$H$2:$H905,MATCH(A545,'Database Mitra'!AK$2:AK905,0)),"")</f>
        <v/>
      </c>
      <c r="C545" s="5" t="str">
        <f t="array" ref="C545">IF(W545=1,INDEX('Database Mitra'!$E$2:$E905,MATCH(A545,'Database Mitra'!AK$2:AK905,0)),"")</f>
        <v/>
      </c>
      <c r="D545" s="23"/>
      <c r="E545" s="5" t="str">
        <f t="array" ref="E545">IF(W545=1,INDEX('Input Kegiatan'!B$2:B905,MATCH($D545,'Input Kegiatan'!$A$2:$A905,0)),"")</f>
        <v/>
      </c>
      <c r="F545" s="5" t="str">
        <f t="array" ref="F545">IF(W545=1,INDEX('Input Kegiatan'!D$2:D905,MATCH($D545,'Input Kegiatan'!$A$2:$A905,0)),"")</f>
        <v/>
      </c>
      <c r="G545" s="5" t="str">
        <f t="array" ref="G545">IF(W545=1,INDEX('Input Kegiatan'!E$2:E905,MATCH($D545,'Input Kegiatan'!$A$2:$A905,0)),"")</f>
        <v/>
      </c>
      <c r="H545" s="5" t="str">
        <f t="array" ref="H545">IF(W545=1,INDEX(Honor!$H$2:$H905,MATCH($D545&amp;"-"&amp;R545,Honor!$K$2:$K905,0)),"")</f>
        <v/>
      </c>
      <c r="I545" s="8" t="str">
        <f>IF(W545=1,SUMIFS(Honor!$I$2:$I905,Honor!$K$2:$K905,$D545&amp;"-"&amp;R545),"")</f>
        <v/>
      </c>
      <c r="J545" s="9" t="str">
        <f t="shared" si="6"/>
        <v/>
      </c>
      <c r="K545" s="10" t="str">
        <f t="shared" si="0"/>
        <v/>
      </c>
      <c r="L545" s="10" t="str">
        <f t="shared" si="1"/>
        <v/>
      </c>
      <c r="M545" s="10" t="str">
        <f>IF(W545=1,IF(AND(U545&lt;2,INT(V545)&lt;='Batasan Honor'!$B$2),1,0),"")</f>
        <v/>
      </c>
      <c r="O545" s="10" t="str">
        <f t="shared" si="2"/>
        <v/>
      </c>
      <c r="P545" s="10" t="str">
        <f t="shared" si="3"/>
        <v/>
      </c>
      <c r="R545" s="23"/>
      <c r="S545" s="10" t="str">
        <f t="shared" si="4"/>
        <v/>
      </c>
      <c r="U545" s="10" t="str">
        <f ca="1">IFERROR(__xludf.DUMMYFUNCTION("if(W545=1,COUNTIFS(FILTER($H$2:$H905,$H$2:$H905=""OB"",$S$2:$S905=S545),""OB""),"""")"),"")</f>
        <v/>
      </c>
      <c r="V545" s="10" t="str">
        <f ca="1">IFERROR(__xludf.DUMMYFUNCTION("IF(OR(ISNA(SUM(FILTER($K$2:$K905,$A$2:$A905=A545,$S$2:$S905=S545,$H$2:$H905&lt;&gt;""OB""))),W545&lt;&gt;1),"""",SUM(FILTER($K$2:$K905,$A$2:$A905=A545,$S$2:$S905=S545,$H$2:$H905&lt;&gt;""OB"")))"),"")</f>
        <v/>
      </c>
      <c r="W545" s="10" t="str">
        <f t="shared" si="5"/>
        <v/>
      </c>
    </row>
    <row r="546" spans="1:23" ht="12.5">
      <c r="A546" s="23"/>
      <c r="B546" s="5" t="str">
        <f t="array" ref="B546">IF(W546=1,INDEX('Database Mitra'!$H$2:$H905,MATCH(A546,'Database Mitra'!AK$2:AK905,0)),"")</f>
        <v/>
      </c>
      <c r="C546" s="5" t="str">
        <f t="array" ref="C546">IF(W546=1,INDEX('Database Mitra'!$E$2:$E905,MATCH(A546,'Database Mitra'!AK$2:AK905,0)),"")</f>
        <v/>
      </c>
      <c r="D546" s="23"/>
      <c r="E546" s="5" t="str">
        <f t="array" ref="E546">IF(W546=1,INDEX('Input Kegiatan'!B$2:B905,MATCH($D546,'Input Kegiatan'!$A$2:$A905,0)),"")</f>
        <v/>
      </c>
      <c r="F546" s="5" t="str">
        <f t="array" ref="F546">IF(W546=1,INDEX('Input Kegiatan'!D$2:D905,MATCH($D546,'Input Kegiatan'!$A$2:$A905,0)),"")</f>
        <v/>
      </c>
      <c r="G546" s="5" t="str">
        <f t="array" ref="G546">IF(W546=1,INDEX('Input Kegiatan'!E$2:E905,MATCH($D546,'Input Kegiatan'!$A$2:$A905,0)),"")</f>
        <v/>
      </c>
      <c r="H546" s="5" t="str">
        <f t="array" ref="H546">IF(W546=1,INDEX(Honor!$H$2:$H905,MATCH($D546&amp;"-"&amp;R546,Honor!$K$2:$K905,0)),"")</f>
        <v/>
      </c>
      <c r="I546" s="8" t="str">
        <f>IF(W546=1,SUMIFS(Honor!$I$2:$I905,Honor!$K$2:$K905,$D546&amp;"-"&amp;R546),"")</f>
        <v/>
      </c>
      <c r="J546" s="9" t="str">
        <f t="shared" si="6"/>
        <v/>
      </c>
      <c r="K546" s="10" t="str">
        <f t="shared" si="0"/>
        <v/>
      </c>
      <c r="L546" s="10" t="str">
        <f t="shared" si="1"/>
        <v/>
      </c>
      <c r="M546" s="10" t="str">
        <f>IF(W546=1,IF(AND(U546&lt;2,INT(V546)&lt;='Batasan Honor'!$B$2),1,0),"")</f>
        <v/>
      </c>
      <c r="O546" s="10" t="str">
        <f t="shared" si="2"/>
        <v/>
      </c>
      <c r="P546" s="10" t="str">
        <f t="shared" si="3"/>
        <v/>
      </c>
      <c r="R546" s="23"/>
      <c r="S546" s="10" t="str">
        <f t="shared" si="4"/>
        <v/>
      </c>
      <c r="U546" s="10" t="str">
        <f ca="1">IFERROR(__xludf.DUMMYFUNCTION("if(W546=1,COUNTIFS(FILTER($H$2:$H905,$H$2:$H905=""OB"",$S$2:$S905=S546),""OB""),"""")"),"")</f>
        <v/>
      </c>
      <c r="V546" s="10" t="str">
        <f ca="1">IFERROR(__xludf.DUMMYFUNCTION("IF(OR(ISNA(SUM(FILTER($K$2:$K905,$A$2:$A905=A546,$S$2:$S905=S546,$H$2:$H905&lt;&gt;""OB""))),W546&lt;&gt;1),"""",SUM(FILTER($K$2:$K905,$A$2:$A905=A546,$S$2:$S905=S546,$H$2:$H905&lt;&gt;""OB"")))"),"")</f>
        <v/>
      </c>
      <c r="W546" s="10" t="str">
        <f t="shared" si="5"/>
        <v/>
      </c>
    </row>
    <row r="547" spans="1:23" ht="12.5">
      <c r="A547" s="23"/>
      <c r="B547" s="5" t="str">
        <f t="array" ref="B547">IF(W547=1,INDEX('Database Mitra'!$H$2:$H905,MATCH(A547,'Database Mitra'!AK$2:AK905,0)),"")</f>
        <v/>
      </c>
      <c r="C547" s="5" t="str">
        <f t="array" ref="C547">IF(W547=1,INDEX('Database Mitra'!$E$2:$E905,MATCH(A547,'Database Mitra'!AK$2:AK905,0)),"")</f>
        <v/>
      </c>
      <c r="D547" s="23"/>
      <c r="E547" s="5" t="str">
        <f t="array" ref="E547">IF(W547=1,INDEX('Input Kegiatan'!B$2:B905,MATCH($D547,'Input Kegiatan'!$A$2:$A905,0)),"")</f>
        <v/>
      </c>
      <c r="F547" s="5" t="str">
        <f t="array" ref="F547">IF(W547=1,INDEX('Input Kegiatan'!D$2:D905,MATCH($D547,'Input Kegiatan'!$A$2:$A905,0)),"")</f>
        <v/>
      </c>
      <c r="G547" s="5" t="str">
        <f t="array" ref="G547">IF(W547=1,INDEX('Input Kegiatan'!E$2:E905,MATCH($D547,'Input Kegiatan'!$A$2:$A905,0)),"")</f>
        <v/>
      </c>
      <c r="H547" s="5" t="str">
        <f t="array" ref="H547">IF(W547=1,INDEX(Honor!$H$2:$H905,MATCH($D547&amp;"-"&amp;R547,Honor!$K$2:$K905,0)),"")</f>
        <v/>
      </c>
      <c r="I547" s="8" t="str">
        <f>IF(W547=1,SUMIFS(Honor!$I$2:$I905,Honor!$K$2:$K905,$D547&amp;"-"&amp;R547),"")</f>
        <v/>
      </c>
      <c r="J547" s="9" t="str">
        <f t="shared" si="6"/>
        <v/>
      </c>
      <c r="K547" s="10" t="str">
        <f t="shared" si="0"/>
        <v/>
      </c>
      <c r="L547" s="10" t="str">
        <f t="shared" si="1"/>
        <v/>
      </c>
      <c r="M547" s="10" t="str">
        <f>IF(W547=1,IF(AND(U547&lt;2,INT(V547)&lt;='Batasan Honor'!$B$2),1,0),"")</f>
        <v/>
      </c>
      <c r="O547" s="10" t="str">
        <f t="shared" si="2"/>
        <v/>
      </c>
      <c r="P547" s="10" t="str">
        <f t="shared" si="3"/>
        <v/>
      </c>
      <c r="R547" s="23"/>
      <c r="S547" s="10" t="str">
        <f t="shared" si="4"/>
        <v/>
      </c>
      <c r="U547" s="10" t="str">
        <f ca="1">IFERROR(__xludf.DUMMYFUNCTION("if(W547=1,COUNTIFS(FILTER($H$2:$H905,$H$2:$H905=""OB"",$S$2:$S905=S547),""OB""),"""")"),"")</f>
        <v/>
      </c>
      <c r="V547" s="10" t="str">
        <f ca="1">IFERROR(__xludf.DUMMYFUNCTION("IF(OR(ISNA(SUM(FILTER($K$2:$K905,$A$2:$A905=A547,$S$2:$S905=S547,$H$2:$H905&lt;&gt;""OB""))),W547&lt;&gt;1),"""",SUM(FILTER($K$2:$K905,$A$2:$A905=A547,$S$2:$S905=S547,$H$2:$H905&lt;&gt;""OB"")))"),"")</f>
        <v/>
      </c>
      <c r="W547" s="10" t="str">
        <f t="shared" si="5"/>
        <v/>
      </c>
    </row>
    <row r="548" spans="1:23" ht="12.5">
      <c r="A548" s="23"/>
      <c r="B548" s="5" t="str">
        <f t="array" ref="B548">IF(W548=1,INDEX('Database Mitra'!$H$2:$H905,MATCH(A548,'Database Mitra'!AK$2:AK905,0)),"")</f>
        <v/>
      </c>
      <c r="C548" s="5" t="str">
        <f t="array" ref="C548">IF(W548=1,INDEX('Database Mitra'!$E$2:$E905,MATCH(A548,'Database Mitra'!AK$2:AK905,0)),"")</f>
        <v/>
      </c>
      <c r="D548" s="23"/>
      <c r="E548" s="5" t="str">
        <f t="array" ref="E548">IF(W548=1,INDEX('Input Kegiatan'!B$2:B905,MATCH($D548,'Input Kegiatan'!$A$2:$A905,0)),"")</f>
        <v/>
      </c>
      <c r="F548" s="5" t="str">
        <f t="array" ref="F548">IF(W548=1,INDEX('Input Kegiatan'!D$2:D905,MATCH($D548,'Input Kegiatan'!$A$2:$A905,0)),"")</f>
        <v/>
      </c>
      <c r="G548" s="5" t="str">
        <f t="array" ref="G548">IF(W548=1,INDEX('Input Kegiatan'!E$2:E905,MATCH($D548,'Input Kegiatan'!$A$2:$A905,0)),"")</f>
        <v/>
      </c>
      <c r="H548" s="5" t="str">
        <f t="array" ref="H548">IF(W548=1,INDEX(Honor!$H$2:$H905,MATCH($D548&amp;"-"&amp;R548,Honor!$K$2:$K905,0)),"")</f>
        <v/>
      </c>
      <c r="I548" s="8" t="str">
        <f>IF(W548=1,SUMIFS(Honor!$I$2:$I905,Honor!$K$2:$K905,$D548&amp;"-"&amp;R548),"")</f>
        <v/>
      </c>
      <c r="J548" s="9" t="str">
        <f t="shared" si="6"/>
        <v/>
      </c>
      <c r="K548" s="10" t="str">
        <f t="shared" si="0"/>
        <v/>
      </c>
      <c r="L548" s="10" t="str">
        <f t="shared" si="1"/>
        <v/>
      </c>
      <c r="M548" s="10" t="str">
        <f>IF(W548=1,IF(AND(U548&lt;2,INT(V548)&lt;='Batasan Honor'!$B$2),1,0),"")</f>
        <v/>
      </c>
      <c r="O548" s="10" t="str">
        <f t="shared" si="2"/>
        <v/>
      </c>
      <c r="P548" s="10" t="str">
        <f t="shared" si="3"/>
        <v/>
      </c>
      <c r="R548" s="23"/>
      <c r="S548" s="10" t="str">
        <f t="shared" si="4"/>
        <v/>
      </c>
      <c r="U548" s="10" t="str">
        <f ca="1">IFERROR(__xludf.DUMMYFUNCTION("if(W548=1,COUNTIFS(FILTER($H$2:$H905,$H$2:$H905=""OB"",$S$2:$S905=S548),""OB""),"""")"),"")</f>
        <v/>
      </c>
      <c r="V548" s="10" t="str">
        <f ca="1">IFERROR(__xludf.DUMMYFUNCTION("IF(OR(ISNA(SUM(FILTER($K$2:$K905,$A$2:$A905=A548,$S$2:$S905=S548,$H$2:$H905&lt;&gt;""OB""))),W548&lt;&gt;1),"""",SUM(FILTER($K$2:$K905,$A$2:$A905=A548,$S$2:$S905=S548,$H$2:$H905&lt;&gt;""OB"")))"),"")</f>
        <v/>
      </c>
      <c r="W548" s="10" t="str">
        <f t="shared" si="5"/>
        <v/>
      </c>
    </row>
    <row r="549" spans="1:23" ht="12.5">
      <c r="A549" s="23"/>
      <c r="B549" s="5" t="str">
        <f t="array" ref="B549">IF(W549=1,INDEX('Database Mitra'!$H$2:$H905,MATCH(A549,'Database Mitra'!AK$2:AK905,0)),"")</f>
        <v/>
      </c>
      <c r="C549" s="5" t="str">
        <f t="array" ref="C549">IF(W549=1,INDEX('Database Mitra'!$E$2:$E905,MATCH(A549,'Database Mitra'!AK$2:AK905,0)),"")</f>
        <v/>
      </c>
      <c r="D549" s="23"/>
      <c r="E549" s="5" t="str">
        <f t="array" ref="E549">IF(W549=1,INDEX('Input Kegiatan'!B$2:B905,MATCH($D549,'Input Kegiatan'!$A$2:$A905,0)),"")</f>
        <v/>
      </c>
      <c r="F549" s="5" t="str">
        <f t="array" ref="F549">IF(W549=1,INDEX('Input Kegiatan'!D$2:D905,MATCH($D549,'Input Kegiatan'!$A$2:$A905,0)),"")</f>
        <v/>
      </c>
      <c r="G549" s="5" t="str">
        <f t="array" ref="G549">IF(W549=1,INDEX('Input Kegiatan'!E$2:E905,MATCH($D549,'Input Kegiatan'!$A$2:$A905,0)),"")</f>
        <v/>
      </c>
      <c r="H549" s="5" t="str">
        <f t="array" ref="H549">IF(W549=1,INDEX(Honor!$H$2:$H905,MATCH($D549&amp;"-"&amp;R549,Honor!$K$2:$K905,0)),"")</f>
        <v/>
      </c>
      <c r="I549" s="8" t="str">
        <f>IF(W549=1,SUMIFS(Honor!$I$2:$I905,Honor!$K$2:$K905,$D549&amp;"-"&amp;R549),"")</f>
        <v/>
      </c>
      <c r="J549" s="9" t="str">
        <f t="shared" si="6"/>
        <v/>
      </c>
      <c r="K549" s="10" t="str">
        <f t="shared" si="0"/>
        <v/>
      </c>
      <c r="L549" s="10" t="str">
        <f t="shared" si="1"/>
        <v/>
      </c>
      <c r="M549" s="10" t="str">
        <f>IF(W549=1,IF(AND(U549&lt;2,INT(V549)&lt;='Batasan Honor'!$B$2),1,0),"")</f>
        <v/>
      </c>
      <c r="O549" s="10" t="str">
        <f t="shared" si="2"/>
        <v/>
      </c>
      <c r="P549" s="10" t="str">
        <f t="shared" si="3"/>
        <v/>
      </c>
      <c r="R549" s="23"/>
      <c r="S549" s="10" t="str">
        <f t="shared" si="4"/>
        <v/>
      </c>
      <c r="U549" s="10" t="str">
        <f ca="1">IFERROR(__xludf.DUMMYFUNCTION("if(W549=1,COUNTIFS(FILTER($H$2:$H905,$H$2:$H905=""OB"",$S$2:$S905=S549),""OB""),"""")"),"")</f>
        <v/>
      </c>
      <c r="V549" s="10" t="str">
        <f ca="1">IFERROR(__xludf.DUMMYFUNCTION("IF(OR(ISNA(SUM(FILTER($K$2:$K905,$A$2:$A905=A549,$S$2:$S905=S549,$H$2:$H905&lt;&gt;""OB""))),W549&lt;&gt;1),"""",SUM(FILTER($K$2:$K905,$A$2:$A905=A549,$S$2:$S905=S549,$H$2:$H905&lt;&gt;""OB"")))"),"")</f>
        <v/>
      </c>
      <c r="W549" s="10" t="str">
        <f t="shared" si="5"/>
        <v/>
      </c>
    </row>
    <row r="550" spans="1:23" ht="12.5">
      <c r="A550" s="23"/>
      <c r="B550" s="5" t="str">
        <f t="array" ref="B550">IF(W550=1,INDEX('Database Mitra'!$H$2:$H905,MATCH(A550,'Database Mitra'!AK$2:AK905,0)),"")</f>
        <v/>
      </c>
      <c r="C550" s="5" t="str">
        <f t="array" ref="C550">IF(W550=1,INDEX('Database Mitra'!$E$2:$E905,MATCH(A550,'Database Mitra'!AK$2:AK905,0)),"")</f>
        <v/>
      </c>
      <c r="D550" s="23"/>
      <c r="E550" s="5" t="str">
        <f t="array" ref="E550">IF(W550=1,INDEX('Input Kegiatan'!B$2:B905,MATCH($D550,'Input Kegiatan'!$A$2:$A905,0)),"")</f>
        <v/>
      </c>
      <c r="F550" s="5" t="str">
        <f t="array" ref="F550">IF(W550=1,INDEX('Input Kegiatan'!D$2:D905,MATCH($D550,'Input Kegiatan'!$A$2:$A905,0)),"")</f>
        <v/>
      </c>
      <c r="G550" s="5" t="str">
        <f t="array" ref="G550">IF(W550=1,INDEX('Input Kegiatan'!E$2:E905,MATCH($D550,'Input Kegiatan'!$A$2:$A905,0)),"")</f>
        <v/>
      </c>
      <c r="H550" s="5" t="str">
        <f t="array" ref="H550">IF(W550=1,INDEX(Honor!$H$2:$H905,MATCH($D550&amp;"-"&amp;R550,Honor!$K$2:$K905,0)),"")</f>
        <v/>
      </c>
      <c r="I550" s="8" t="str">
        <f>IF(W550=1,SUMIFS(Honor!$I$2:$I905,Honor!$K$2:$K905,$D550&amp;"-"&amp;R550),"")</f>
        <v/>
      </c>
      <c r="J550" s="9" t="str">
        <f t="shared" si="6"/>
        <v/>
      </c>
      <c r="K550" s="10" t="str">
        <f t="shared" si="0"/>
        <v/>
      </c>
      <c r="L550" s="10" t="str">
        <f t="shared" si="1"/>
        <v/>
      </c>
      <c r="M550" s="10" t="str">
        <f>IF(W550=1,IF(AND(U550&lt;2,INT(V550)&lt;='Batasan Honor'!$B$2),1,0),"")</f>
        <v/>
      </c>
      <c r="O550" s="10" t="str">
        <f t="shared" si="2"/>
        <v/>
      </c>
      <c r="P550" s="10" t="str">
        <f t="shared" si="3"/>
        <v/>
      </c>
      <c r="R550" s="23"/>
      <c r="S550" s="10" t="str">
        <f t="shared" si="4"/>
        <v/>
      </c>
      <c r="U550" s="10" t="str">
        <f ca="1">IFERROR(__xludf.DUMMYFUNCTION("if(W550=1,COUNTIFS(FILTER($H$2:$H905,$H$2:$H905=""OB"",$S$2:$S905=S550),""OB""),"""")"),"")</f>
        <v/>
      </c>
      <c r="V550" s="10" t="str">
        <f ca="1">IFERROR(__xludf.DUMMYFUNCTION("IF(OR(ISNA(SUM(FILTER($K$2:$K905,$A$2:$A905=A550,$S$2:$S905=S550,$H$2:$H905&lt;&gt;""OB""))),W550&lt;&gt;1),"""",SUM(FILTER($K$2:$K905,$A$2:$A905=A550,$S$2:$S905=S550,$H$2:$H905&lt;&gt;""OB"")))"),"")</f>
        <v/>
      </c>
      <c r="W550" s="10" t="str">
        <f t="shared" si="5"/>
        <v/>
      </c>
    </row>
    <row r="551" spans="1:23" ht="12.5">
      <c r="A551" s="23"/>
      <c r="B551" s="5" t="str">
        <f t="array" ref="B551">IF(W551=1,INDEX('Database Mitra'!$H$2:$H905,MATCH(A551,'Database Mitra'!AK$2:AK905,0)),"")</f>
        <v/>
      </c>
      <c r="C551" s="5" t="str">
        <f t="array" ref="C551">IF(W551=1,INDEX('Database Mitra'!$E$2:$E905,MATCH(A551,'Database Mitra'!AK$2:AK905,0)),"")</f>
        <v/>
      </c>
      <c r="D551" s="23"/>
      <c r="E551" s="5" t="str">
        <f t="array" ref="E551">IF(W551=1,INDEX('Input Kegiatan'!B$2:B905,MATCH($D551,'Input Kegiatan'!$A$2:$A905,0)),"")</f>
        <v/>
      </c>
      <c r="F551" s="5" t="str">
        <f t="array" ref="F551">IF(W551=1,INDEX('Input Kegiatan'!D$2:D905,MATCH($D551,'Input Kegiatan'!$A$2:$A905,0)),"")</f>
        <v/>
      </c>
      <c r="G551" s="5" t="str">
        <f t="array" ref="G551">IF(W551=1,INDEX('Input Kegiatan'!E$2:E905,MATCH($D551,'Input Kegiatan'!$A$2:$A905,0)),"")</f>
        <v/>
      </c>
      <c r="H551" s="5" t="str">
        <f t="array" ref="H551">IF(W551=1,INDEX(Honor!$H$2:$H905,MATCH($D551&amp;"-"&amp;R551,Honor!$K$2:$K905,0)),"")</f>
        <v/>
      </c>
      <c r="I551" s="8" t="str">
        <f>IF(W551=1,SUMIFS(Honor!$I$2:$I905,Honor!$K$2:$K905,$D551&amp;"-"&amp;R551),"")</f>
        <v/>
      </c>
      <c r="J551" s="9" t="str">
        <f t="shared" si="6"/>
        <v/>
      </c>
      <c r="K551" s="10" t="str">
        <f t="shared" si="0"/>
        <v/>
      </c>
      <c r="L551" s="10" t="str">
        <f t="shared" si="1"/>
        <v/>
      </c>
      <c r="M551" s="10" t="str">
        <f>IF(W551=1,IF(AND(U551&lt;2,INT(V551)&lt;='Batasan Honor'!$B$2),1,0),"")</f>
        <v/>
      </c>
      <c r="O551" s="10" t="str">
        <f t="shared" si="2"/>
        <v/>
      </c>
      <c r="P551" s="10" t="str">
        <f t="shared" si="3"/>
        <v/>
      </c>
      <c r="R551" s="23"/>
      <c r="S551" s="10" t="str">
        <f t="shared" si="4"/>
        <v/>
      </c>
      <c r="U551" s="10" t="str">
        <f ca="1">IFERROR(__xludf.DUMMYFUNCTION("if(W551=1,COUNTIFS(FILTER($H$2:$H905,$H$2:$H905=""OB"",$S$2:$S905=S551),""OB""),"""")"),"")</f>
        <v/>
      </c>
      <c r="V551" s="10" t="str">
        <f ca="1">IFERROR(__xludf.DUMMYFUNCTION("IF(OR(ISNA(SUM(FILTER($K$2:$K905,$A$2:$A905=A551,$S$2:$S905=S551,$H$2:$H905&lt;&gt;""OB""))),W551&lt;&gt;1),"""",SUM(FILTER($K$2:$K905,$A$2:$A905=A551,$S$2:$S905=S551,$H$2:$H905&lt;&gt;""OB"")))"),"")</f>
        <v/>
      </c>
      <c r="W551" s="10" t="str">
        <f t="shared" si="5"/>
        <v/>
      </c>
    </row>
    <row r="552" spans="1:23" ht="12.5">
      <c r="A552" s="23"/>
      <c r="B552" s="5" t="str">
        <f t="array" ref="B552">IF(W552=1,INDEX('Database Mitra'!$H$2:$H905,MATCH(A552,'Database Mitra'!AK$2:AK905,0)),"")</f>
        <v/>
      </c>
      <c r="C552" s="5" t="str">
        <f t="array" ref="C552">IF(W552=1,INDEX('Database Mitra'!$E$2:$E905,MATCH(A552,'Database Mitra'!AK$2:AK905,0)),"")</f>
        <v/>
      </c>
      <c r="D552" s="23"/>
      <c r="E552" s="5" t="str">
        <f t="array" ref="E552">IF(W552=1,INDEX('Input Kegiatan'!B$2:B905,MATCH($D552,'Input Kegiatan'!$A$2:$A905,0)),"")</f>
        <v/>
      </c>
      <c r="F552" s="5" t="str">
        <f t="array" ref="F552">IF(W552=1,INDEX('Input Kegiatan'!D$2:D905,MATCH($D552,'Input Kegiatan'!$A$2:$A905,0)),"")</f>
        <v/>
      </c>
      <c r="G552" s="5" t="str">
        <f t="array" ref="G552">IF(W552=1,INDEX('Input Kegiatan'!E$2:E905,MATCH($D552,'Input Kegiatan'!$A$2:$A905,0)),"")</f>
        <v/>
      </c>
      <c r="H552" s="5" t="str">
        <f t="array" ref="H552">IF(W552=1,INDEX(Honor!$H$2:$H905,MATCH($D552&amp;"-"&amp;R552,Honor!$K$2:$K905,0)),"")</f>
        <v/>
      </c>
      <c r="I552" s="8" t="str">
        <f>IF(W552=1,SUMIFS(Honor!$I$2:$I905,Honor!$K$2:$K905,$D552&amp;"-"&amp;R552),"")</f>
        <v/>
      </c>
      <c r="J552" s="9" t="str">
        <f t="shared" si="6"/>
        <v/>
      </c>
      <c r="K552" s="10" t="str">
        <f t="shared" si="0"/>
        <v/>
      </c>
      <c r="L552" s="10" t="str">
        <f t="shared" si="1"/>
        <v/>
      </c>
      <c r="M552" s="10" t="str">
        <f>IF(W552=1,IF(AND(U552&lt;2,INT(V552)&lt;='Batasan Honor'!$B$2),1,0),"")</f>
        <v/>
      </c>
      <c r="O552" s="10" t="str">
        <f t="shared" si="2"/>
        <v/>
      </c>
      <c r="P552" s="10" t="str">
        <f t="shared" si="3"/>
        <v/>
      </c>
      <c r="R552" s="23"/>
      <c r="S552" s="10" t="str">
        <f t="shared" si="4"/>
        <v/>
      </c>
      <c r="U552" s="10" t="str">
        <f ca="1">IFERROR(__xludf.DUMMYFUNCTION("if(W552=1,COUNTIFS(FILTER($H$2:$H905,$H$2:$H905=""OB"",$S$2:$S905=S552),""OB""),"""")"),"")</f>
        <v/>
      </c>
      <c r="V552" s="10" t="str">
        <f ca="1">IFERROR(__xludf.DUMMYFUNCTION("IF(OR(ISNA(SUM(FILTER($K$2:$K905,$A$2:$A905=A552,$S$2:$S905=S552,$H$2:$H905&lt;&gt;""OB""))),W552&lt;&gt;1),"""",SUM(FILTER($K$2:$K905,$A$2:$A905=A552,$S$2:$S905=S552,$H$2:$H905&lt;&gt;""OB"")))"),"")</f>
        <v/>
      </c>
      <c r="W552" s="10" t="str">
        <f t="shared" si="5"/>
        <v/>
      </c>
    </row>
    <row r="553" spans="1:23" ht="12.5">
      <c r="A553" s="23"/>
      <c r="B553" s="5" t="str">
        <f t="array" ref="B553">IF(W553=1,INDEX('Database Mitra'!$H$2:$H905,MATCH(A553,'Database Mitra'!AK$2:AK905,0)),"")</f>
        <v/>
      </c>
      <c r="C553" s="5" t="str">
        <f t="array" ref="C553">IF(W553=1,INDEX('Database Mitra'!$E$2:$E905,MATCH(A553,'Database Mitra'!AK$2:AK905,0)),"")</f>
        <v/>
      </c>
      <c r="D553" s="23"/>
      <c r="E553" s="5" t="str">
        <f t="array" ref="E553">IF(W553=1,INDEX('Input Kegiatan'!B$2:B905,MATCH($D553,'Input Kegiatan'!$A$2:$A905,0)),"")</f>
        <v/>
      </c>
      <c r="F553" s="5" t="str">
        <f t="array" ref="F553">IF(W553=1,INDEX('Input Kegiatan'!D$2:D905,MATCH($D553,'Input Kegiatan'!$A$2:$A905,0)),"")</f>
        <v/>
      </c>
      <c r="G553" s="5" t="str">
        <f t="array" ref="G553">IF(W553=1,INDEX('Input Kegiatan'!E$2:E905,MATCH($D553,'Input Kegiatan'!$A$2:$A905,0)),"")</f>
        <v/>
      </c>
      <c r="H553" s="5" t="str">
        <f t="array" ref="H553">IF(W553=1,INDEX(Honor!$H$2:$H905,MATCH($D553&amp;"-"&amp;R553,Honor!$K$2:$K905,0)),"")</f>
        <v/>
      </c>
      <c r="I553" s="8" t="str">
        <f>IF(W553=1,SUMIFS(Honor!$I$2:$I905,Honor!$K$2:$K905,$D553&amp;"-"&amp;R553),"")</f>
        <v/>
      </c>
      <c r="J553" s="9" t="str">
        <f t="shared" si="6"/>
        <v/>
      </c>
      <c r="K553" s="10" t="str">
        <f t="shared" si="0"/>
        <v/>
      </c>
      <c r="L553" s="10" t="str">
        <f t="shared" si="1"/>
        <v/>
      </c>
      <c r="M553" s="10" t="str">
        <f>IF(W553=1,IF(AND(U553&lt;2,INT(V553)&lt;='Batasan Honor'!$B$2),1,0),"")</f>
        <v/>
      </c>
      <c r="O553" s="10" t="str">
        <f t="shared" si="2"/>
        <v/>
      </c>
      <c r="P553" s="10" t="str">
        <f t="shared" si="3"/>
        <v/>
      </c>
      <c r="R553" s="23"/>
      <c r="S553" s="10" t="str">
        <f t="shared" si="4"/>
        <v/>
      </c>
      <c r="U553" s="10" t="str">
        <f ca="1">IFERROR(__xludf.DUMMYFUNCTION("if(W553=1,COUNTIFS(FILTER($H$2:$H905,$H$2:$H905=""OB"",$S$2:$S905=S553),""OB""),"""")"),"")</f>
        <v/>
      </c>
      <c r="V553" s="10" t="str">
        <f ca="1">IFERROR(__xludf.DUMMYFUNCTION("IF(OR(ISNA(SUM(FILTER($K$2:$K905,$A$2:$A905=A553,$S$2:$S905=S553,$H$2:$H905&lt;&gt;""OB""))),W553&lt;&gt;1),"""",SUM(FILTER($K$2:$K905,$A$2:$A905=A553,$S$2:$S905=S553,$H$2:$H905&lt;&gt;""OB"")))"),"")</f>
        <v/>
      </c>
      <c r="W553" s="10" t="str">
        <f t="shared" si="5"/>
        <v/>
      </c>
    </row>
    <row r="554" spans="1:23" ht="12.5">
      <c r="A554" s="23"/>
      <c r="B554" s="5" t="str">
        <f t="array" ref="B554">IF(W554=1,INDEX('Database Mitra'!$H$2:$H905,MATCH(A554,'Database Mitra'!AK$2:AK905,0)),"")</f>
        <v/>
      </c>
      <c r="C554" s="5" t="str">
        <f t="array" ref="C554">IF(W554=1,INDEX('Database Mitra'!$E$2:$E905,MATCH(A554,'Database Mitra'!AK$2:AK905,0)),"")</f>
        <v/>
      </c>
      <c r="D554" s="23"/>
      <c r="E554" s="5" t="str">
        <f t="array" ref="E554">IF(W554=1,INDEX('Input Kegiatan'!B$2:B905,MATCH($D554,'Input Kegiatan'!$A$2:$A905,0)),"")</f>
        <v/>
      </c>
      <c r="F554" s="5" t="str">
        <f t="array" ref="F554">IF(W554=1,INDEX('Input Kegiatan'!D$2:D905,MATCH($D554,'Input Kegiatan'!$A$2:$A905,0)),"")</f>
        <v/>
      </c>
      <c r="G554" s="5" t="str">
        <f t="array" ref="G554">IF(W554=1,INDEX('Input Kegiatan'!E$2:E905,MATCH($D554,'Input Kegiatan'!$A$2:$A905,0)),"")</f>
        <v/>
      </c>
      <c r="H554" s="5" t="str">
        <f t="array" ref="H554">IF(W554=1,INDEX(Honor!$H$2:$H905,MATCH($D554&amp;"-"&amp;R554,Honor!$K$2:$K905,0)),"")</f>
        <v/>
      </c>
      <c r="I554" s="8" t="str">
        <f>IF(W554=1,SUMIFS(Honor!$I$2:$I905,Honor!$K$2:$K905,$D554&amp;"-"&amp;R554),"")</f>
        <v/>
      </c>
      <c r="J554" s="9" t="str">
        <f t="shared" si="6"/>
        <v/>
      </c>
      <c r="K554" s="10" t="str">
        <f t="shared" si="0"/>
        <v/>
      </c>
      <c r="L554" s="10" t="str">
        <f t="shared" si="1"/>
        <v/>
      </c>
      <c r="M554" s="10" t="str">
        <f>IF(W554=1,IF(AND(U554&lt;2,INT(V554)&lt;='Batasan Honor'!$B$2),1,0),"")</f>
        <v/>
      </c>
      <c r="O554" s="10" t="str">
        <f t="shared" si="2"/>
        <v/>
      </c>
      <c r="P554" s="10" t="str">
        <f t="shared" si="3"/>
        <v/>
      </c>
      <c r="R554" s="23"/>
      <c r="S554" s="10" t="str">
        <f t="shared" si="4"/>
        <v/>
      </c>
      <c r="U554" s="10" t="str">
        <f ca="1">IFERROR(__xludf.DUMMYFUNCTION("if(W554=1,COUNTIFS(FILTER($H$2:$H905,$H$2:$H905=""OB"",$S$2:$S905=S554),""OB""),"""")"),"")</f>
        <v/>
      </c>
      <c r="V554" s="10" t="str">
        <f ca="1">IFERROR(__xludf.DUMMYFUNCTION("IF(OR(ISNA(SUM(FILTER($K$2:$K905,$A$2:$A905=A554,$S$2:$S905=S554,$H$2:$H905&lt;&gt;""OB""))),W554&lt;&gt;1),"""",SUM(FILTER($K$2:$K905,$A$2:$A905=A554,$S$2:$S905=S554,$H$2:$H905&lt;&gt;""OB"")))"),"")</f>
        <v/>
      </c>
      <c r="W554" s="10" t="str">
        <f t="shared" si="5"/>
        <v/>
      </c>
    </row>
    <row r="555" spans="1:23" ht="12.5">
      <c r="A555" s="23"/>
      <c r="B555" s="5" t="str">
        <f t="array" ref="B555">IF(W555=1,INDEX('Database Mitra'!$H$2:$H905,MATCH(A555,'Database Mitra'!AK$2:AK905,0)),"")</f>
        <v/>
      </c>
      <c r="C555" s="5" t="str">
        <f t="array" ref="C555">IF(W555=1,INDEX('Database Mitra'!$E$2:$E905,MATCH(A555,'Database Mitra'!AK$2:AK905,0)),"")</f>
        <v/>
      </c>
      <c r="D555" s="23"/>
      <c r="E555" s="5" t="str">
        <f t="array" ref="E555">IF(W555=1,INDEX('Input Kegiatan'!B$2:B905,MATCH($D555,'Input Kegiatan'!$A$2:$A905,0)),"")</f>
        <v/>
      </c>
      <c r="F555" s="5" t="str">
        <f t="array" ref="F555">IF(W555=1,INDEX('Input Kegiatan'!D$2:D905,MATCH($D555,'Input Kegiatan'!$A$2:$A905,0)),"")</f>
        <v/>
      </c>
      <c r="G555" s="5" t="str">
        <f t="array" ref="G555">IF(W555=1,INDEX('Input Kegiatan'!E$2:E905,MATCH($D555,'Input Kegiatan'!$A$2:$A905,0)),"")</f>
        <v/>
      </c>
      <c r="H555" s="5" t="str">
        <f t="array" ref="H555">IF(W555=1,INDEX(Honor!$H$2:$H905,MATCH($D555&amp;"-"&amp;R555,Honor!$K$2:$K905,0)),"")</f>
        <v/>
      </c>
      <c r="I555" s="8" t="str">
        <f>IF(W555=1,SUMIFS(Honor!$I$2:$I905,Honor!$K$2:$K905,$D555&amp;"-"&amp;R555),"")</f>
        <v/>
      </c>
      <c r="J555" s="9" t="str">
        <f t="shared" si="6"/>
        <v/>
      </c>
      <c r="K555" s="10" t="str">
        <f t="shared" si="0"/>
        <v/>
      </c>
      <c r="L555" s="10" t="str">
        <f t="shared" si="1"/>
        <v/>
      </c>
      <c r="M555" s="10" t="str">
        <f>IF(W555=1,IF(AND(U555&lt;2,INT(V555)&lt;='Batasan Honor'!$B$2),1,0),"")</f>
        <v/>
      </c>
      <c r="O555" s="10" t="str">
        <f t="shared" si="2"/>
        <v/>
      </c>
      <c r="P555" s="10" t="str">
        <f t="shared" si="3"/>
        <v/>
      </c>
      <c r="R555" s="23"/>
      <c r="S555" s="10" t="str">
        <f t="shared" si="4"/>
        <v/>
      </c>
      <c r="U555" s="10" t="str">
        <f ca="1">IFERROR(__xludf.DUMMYFUNCTION("if(W555=1,COUNTIFS(FILTER($H$2:$H905,$H$2:$H905=""OB"",$S$2:$S905=S555),""OB""),"""")"),"")</f>
        <v/>
      </c>
      <c r="V555" s="10" t="str">
        <f ca="1">IFERROR(__xludf.DUMMYFUNCTION("IF(OR(ISNA(SUM(FILTER($K$2:$K905,$A$2:$A905=A555,$S$2:$S905=S555,$H$2:$H905&lt;&gt;""OB""))),W555&lt;&gt;1),"""",SUM(FILTER($K$2:$K905,$A$2:$A905=A555,$S$2:$S905=S555,$H$2:$H905&lt;&gt;""OB"")))"),"")</f>
        <v/>
      </c>
      <c r="W555" s="10" t="str">
        <f t="shared" si="5"/>
        <v/>
      </c>
    </row>
    <row r="556" spans="1:23" ht="12.5">
      <c r="A556" s="23"/>
      <c r="B556" s="5" t="str">
        <f t="array" ref="B556">IF(W556=1,INDEX('Database Mitra'!$H$2:$H905,MATCH(A556,'Database Mitra'!AK$2:AK905,0)),"")</f>
        <v/>
      </c>
      <c r="C556" s="5" t="str">
        <f t="array" ref="C556">IF(W556=1,INDEX('Database Mitra'!$E$2:$E905,MATCH(A556,'Database Mitra'!AK$2:AK905,0)),"")</f>
        <v/>
      </c>
      <c r="D556" s="23"/>
      <c r="E556" s="5" t="str">
        <f t="array" ref="E556">IF(W556=1,INDEX('Input Kegiatan'!B$2:B905,MATCH($D556,'Input Kegiatan'!$A$2:$A905,0)),"")</f>
        <v/>
      </c>
      <c r="F556" s="5" t="str">
        <f t="array" ref="F556">IF(W556=1,INDEX('Input Kegiatan'!D$2:D905,MATCH($D556,'Input Kegiatan'!$A$2:$A905,0)),"")</f>
        <v/>
      </c>
      <c r="G556" s="5" t="str">
        <f t="array" ref="G556">IF(W556=1,INDEX('Input Kegiatan'!E$2:E905,MATCH($D556,'Input Kegiatan'!$A$2:$A905,0)),"")</f>
        <v/>
      </c>
      <c r="H556" s="5" t="str">
        <f t="array" ref="H556">IF(W556=1,INDEX(Honor!$H$2:$H905,MATCH($D556&amp;"-"&amp;R556,Honor!$K$2:$K905,0)),"")</f>
        <v/>
      </c>
      <c r="I556" s="8" t="str">
        <f>IF(W556=1,SUMIFS(Honor!$I$2:$I905,Honor!$K$2:$K905,$D556&amp;"-"&amp;R556),"")</f>
        <v/>
      </c>
      <c r="J556" s="9" t="str">
        <f t="shared" si="6"/>
        <v/>
      </c>
      <c r="K556" s="10" t="str">
        <f t="shared" si="0"/>
        <v/>
      </c>
      <c r="L556" s="10" t="str">
        <f t="shared" si="1"/>
        <v/>
      </c>
      <c r="M556" s="10" t="str">
        <f>IF(W556=1,IF(AND(U556&lt;2,INT(V556)&lt;='Batasan Honor'!$B$2),1,0),"")</f>
        <v/>
      </c>
      <c r="O556" s="10" t="str">
        <f t="shared" si="2"/>
        <v/>
      </c>
      <c r="P556" s="10" t="str">
        <f t="shared" si="3"/>
        <v/>
      </c>
      <c r="R556" s="23"/>
      <c r="S556" s="10" t="str">
        <f t="shared" si="4"/>
        <v/>
      </c>
      <c r="U556" s="10" t="str">
        <f ca="1">IFERROR(__xludf.DUMMYFUNCTION("if(W556=1,COUNTIFS(FILTER($H$2:$H905,$H$2:$H905=""OB"",$S$2:$S905=S556),""OB""),"""")"),"")</f>
        <v/>
      </c>
      <c r="V556" s="10" t="str">
        <f ca="1">IFERROR(__xludf.DUMMYFUNCTION("IF(OR(ISNA(SUM(FILTER($K$2:$K905,$A$2:$A905=A556,$S$2:$S905=S556,$H$2:$H905&lt;&gt;""OB""))),W556&lt;&gt;1),"""",SUM(FILTER($K$2:$K905,$A$2:$A905=A556,$S$2:$S905=S556,$H$2:$H905&lt;&gt;""OB"")))"),"")</f>
        <v/>
      </c>
      <c r="W556" s="10" t="str">
        <f t="shared" si="5"/>
        <v/>
      </c>
    </row>
    <row r="557" spans="1:23" ht="12.5">
      <c r="A557" s="23"/>
      <c r="B557" s="5" t="str">
        <f t="array" ref="B557">IF(W557=1,INDEX('Database Mitra'!$H$2:$H905,MATCH(A557,'Database Mitra'!AK$2:AK905,0)),"")</f>
        <v/>
      </c>
      <c r="C557" s="5" t="str">
        <f t="array" ref="C557">IF(W557=1,INDEX('Database Mitra'!$E$2:$E905,MATCH(A557,'Database Mitra'!AK$2:AK905,0)),"")</f>
        <v/>
      </c>
      <c r="D557" s="23"/>
      <c r="E557" s="5" t="str">
        <f t="array" ref="E557">IF(W557=1,INDEX('Input Kegiatan'!B$2:B905,MATCH($D557,'Input Kegiatan'!$A$2:$A905,0)),"")</f>
        <v/>
      </c>
      <c r="F557" s="5" t="str">
        <f t="array" ref="F557">IF(W557=1,INDEX('Input Kegiatan'!D$2:D905,MATCH($D557,'Input Kegiatan'!$A$2:$A905,0)),"")</f>
        <v/>
      </c>
      <c r="G557" s="5" t="str">
        <f t="array" ref="G557">IF(W557=1,INDEX('Input Kegiatan'!E$2:E905,MATCH($D557,'Input Kegiatan'!$A$2:$A905,0)),"")</f>
        <v/>
      </c>
      <c r="H557" s="5" t="str">
        <f t="array" ref="H557">IF(W557=1,INDEX(Honor!$H$2:$H905,MATCH($D557&amp;"-"&amp;R557,Honor!$K$2:$K905,0)),"")</f>
        <v/>
      </c>
      <c r="I557" s="8" t="str">
        <f>IF(W557=1,SUMIFS(Honor!$I$2:$I905,Honor!$K$2:$K905,$D557&amp;"-"&amp;R557),"")</f>
        <v/>
      </c>
      <c r="J557" s="9" t="str">
        <f t="shared" si="6"/>
        <v/>
      </c>
      <c r="K557" s="10" t="str">
        <f t="shared" si="0"/>
        <v/>
      </c>
      <c r="L557" s="10" t="str">
        <f t="shared" si="1"/>
        <v/>
      </c>
      <c r="M557" s="10" t="str">
        <f>IF(W557=1,IF(AND(U557&lt;2,INT(V557)&lt;='Batasan Honor'!$B$2),1,0),"")</f>
        <v/>
      </c>
      <c r="O557" s="10" t="str">
        <f t="shared" si="2"/>
        <v/>
      </c>
      <c r="P557" s="10" t="str">
        <f t="shared" si="3"/>
        <v/>
      </c>
      <c r="R557" s="23"/>
      <c r="S557" s="10" t="str">
        <f t="shared" si="4"/>
        <v/>
      </c>
      <c r="U557" s="10" t="str">
        <f ca="1">IFERROR(__xludf.DUMMYFUNCTION("if(W557=1,COUNTIFS(FILTER($H$2:$H905,$H$2:$H905=""OB"",$S$2:$S905=S557),""OB""),"""")"),"")</f>
        <v/>
      </c>
      <c r="V557" s="10" t="str">
        <f ca="1">IFERROR(__xludf.DUMMYFUNCTION("IF(OR(ISNA(SUM(FILTER($K$2:$K905,$A$2:$A905=A557,$S$2:$S905=S557,$H$2:$H905&lt;&gt;""OB""))),W557&lt;&gt;1),"""",SUM(FILTER($K$2:$K905,$A$2:$A905=A557,$S$2:$S905=S557,$H$2:$H905&lt;&gt;""OB"")))"),"")</f>
        <v/>
      </c>
      <c r="W557" s="10" t="str">
        <f t="shared" si="5"/>
        <v/>
      </c>
    </row>
    <row r="558" spans="1:23" ht="12.5">
      <c r="A558" s="23"/>
      <c r="B558" s="5" t="str">
        <f t="array" ref="B558">IF(W558=1,INDEX('Database Mitra'!$H$2:$H905,MATCH(A558,'Database Mitra'!AK$2:AK905,0)),"")</f>
        <v/>
      </c>
      <c r="C558" s="5" t="str">
        <f t="array" ref="C558">IF(W558=1,INDEX('Database Mitra'!$E$2:$E905,MATCH(A558,'Database Mitra'!AK$2:AK905,0)),"")</f>
        <v/>
      </c>
      <c r="D558" s="23"/>
      <c r="E558" s="5" t="str">
        <f t="array" ref="E558">IF(W558=1,INDEX('Input Kegiatan'!B$2:B905,MATCH($D558,'Input Kegiatan'!$A$2:$A905,0)),"")</f>
        <v/>
      </c>
      <c r="F558" s="5" t="str">
        <f t="array" ref="F558">IF(W558=1,INDEX('Input Kegiatan'!D$2:D905,MATCH($D558,'Input Kegiatan'!$A$2:$A905,0)),"")</f>
        <v/>
      </c>
      <c r="G558" s="5" t="str">
        <f t="array" ref="G558">IF(W558=1,INDEX('Input Kegiatan'!E$2:E905,MATCH($D558,'Input Kegiatan'!$A$2:$A905,0)),"")</f>
        <v/>
      </c>
      <c r="H558" s="5" t="str">
        <f t="array" ref="H558">IF(W558=1,INDEX(Honor!$H$2:$H905,MATCH($D558&amp;"-"&amp;R558,Honor!$K$2:$K905,0)),"")</f>
        <v/>
      </c>
      <c r="I558" s="8" t="str">
        <f>IF(W558=1,SUMIFS(Honor!$I$2:$I905,Honor!$K$2:$K905,$D558&amp;"-"&amp;R558),"")</f>
        <v/>
      </c>
      <c r="J558" s="9" t="str">
        <f t="shared" si="6"/>
        <v/>
      </c>
      <c r="K558" s="10" t="str">
        <f t="shared" si="0"/>
        <v/>
      </c>
      <c r="L558" s="10" t="str">
        <f t="shared" si="1"/>
        <v/>
      </c>
      <c r="M558" s="10" t="str">
        <f>IF(W558=1,IF(AND(U558&lt;2,INT(V558)&lt;='Batasan Honor'!$B$2),1,0),"")</f>
        <v/>
      </c>
      <c r="O558" s="10" t="str">
        <f t="shared" si="2"/>
        <v/>
      </c>
      <c r="P558" s="10" t="str">
        <f t="shared" si="3"/>
        <v/>
      </c>
      <c r="R558" s="23"/>
      <c r="S558" s="10" t="str">
        <f t="shared" si="4"/>
        <v/>
      </c>
      <c r="U558" s="10" t="str">
        <f ca="1">IFERROR(__xludf.DUMMYFUNCTION("if(W558=1,COUNTIFS(FILTER($H$2:$H905,$H$2:$H905=""OB"",$S$2:$S905=S558),""OB""),"""")"),"")</f>
        <v/>
      </c>
      <c r="V558" s="10" t="str">
        <f ca="1">IFERROR(__xludf.DUMMYFUNCTION("IF(OR(ISNA(SUM(FILTER($K$2:$K905,$A$2:$A905=A558,$S$2:$S905=S558,$H$2:$H905&lt;&gt;""OB""))),W558&lt;&gt;1),"""",SUM(FILTER($K$2:$K905,$A$2:$A905=A558,$S$2:$S905=S558,$H$2:$H905&lt;&gt;""OB"")))"),"")</f>
        <v/>
      </c>
      <c r="W558" s="10" t="str">
        <f t="shared" si="5"/>
        <v/>
      </c>
    </row>
    <row r="559" spans="1:23" ht="12.5">
      <c r="A559" s="23"/>
      <c r="B559" s="5" t="str">
        <f t="array" ref="B559">IF(W559=1,INDEX('Database Mitra'!$H$2:$H905,MATCH(A559,'Database Mitra'!AK$2:AK905,0)),"")</f>
        <v/>
      </c>
      <c r="C559" s="5" t="str">
        <f t="array" ref="C559">IF(W559=1,INDEX('Database Mitra'!$E$2:$E905,MATCH(A559,'Database Mitra'!AK$2:AK905,0)),"")</f>
        <v/>
      </c>
      <c r="D559" s="23"/>
      <c r="E559" s="5" t="str">
        <f t="array" ref="E559">IF(W559=1,INDEX('Input Kegiatan'!B$2:B905,MATCH($D559,'Input Kegiatan'!$A$2:$A905,0)),"")</f>
        <v/>
      </c>
      <c r="F559" s="5" t="str">
        <f t="array" ref="F559">IF(W559=1,INDEX('Input Kegiatan'!D$2:D905,MATCH($D559,'Input Kegiatan'!$A$2:$A905,0)),"")</f>
        <v/>
      </c>
      <c r="G559" s="5" t="str">
        <f t="array" ref="G559">IF(W559=1,INDEX('Input Kegiatan'!E$2:E905,MATCH($D559,'Input Kegiatan'!$A$2:$A905,0)),"")</f>
        <v/>
      </c>
      <c r="H559" s="5" t="str">
        <f t="array" ref="H559">IF(W559=1,INDEX(Honor!$H$2:$H905,MATCH($D559&amp;"-"&amp;R559,Honor!$K$2:$K905,0)),"")</f>
        <v/>
      </c>
      <c r="I559" s="8" t="str">
        <f>IF(W559=1,SUMIFS(Honor!$I$2:$I905,Honor!$K$2:$K905,$D559&amp;"-"&amp;R559),"")</f>
        <v/>
      </c>
      <c r="J559" s="9" t="str">
        <f t="shared" si="6"/>
        <v/>
      </c>
      <c r="K559" s="10" t="str">
        <f t="shared" si="0"/>
        <v/>
      </c>
      <c r="L559" s="10" t="str">
        <f t="shared" si="1"/>
        <v/>
      </c>
      <c r="M559" s="10" t="str">
        <f>IF(W559=1,IF(AND(U559&lt;2,INT(V559)&lt;='Batasan Honor'!$B$2),1,0),"")</f>
        <v/>
      </c>
      <c r="O559" s="10" t="str">
        <f t="shared" si="2"/>
        <v/>
      </c>
      <c r="P559" s="10" t="str">
        <f t="shared" si="3"/>
        <v/>
      </c>
      <c r="R559" s="23"/>
      <c r="S559" s="10" t="str">
        <f t="shared" si="4"/>
        <v/>
      </c>
      <c r="U559" s="10" t="str">
        <f ca="1">IFERROR(__xludf.DUMMYFUNCTION("if(W559=1,COUNTIFS(FILTER($H$2:$H905,$H$2:$H905=""OB"",$S$2:$S905=S559),""OB""),"""")"),"")</f>
        <v/>
      </c>
      <c r="V559" s="10" t="str">
        <f ca="1">IFERROR(__xludf.DUMMYFUNCTION("IF(OR(ISNA(SUM(FILTER($K$2:$K905,$A$2:$A905=A559,$S$2:$S905=S559,$H$2:$H905&lt;&gt;""OB""))),W559&lt;&gt;1),"""",SUM(FILTER($K$2:$K905,$A$2:$A905=A559,$S$2:$S905=S559,$H$2:$H905&lt;&gt;""OB"")))"),"")</f>
        <v/>
      </c>
      <c r="W559" s="10" t="str">
        <f t="shared" si="5"/>
        <v/>
      </c>
    </row>
    <row r="560" spans="1:23" ht="12.5">
      <c r="A560" s="23"/>
      <c r="B560" s="5" t="str">
        <f t="array" ref="B560">IF(W560=1,INDEX('Database Mitra'!$H$2:$H905,MATCH(A560,'Database Mitra'!AK$2:AK905,0)),"")</f>
        <v/>
      </c>
      <c r="C560" s="5" t="str">
        <f t="array" ref="C560">IF(W560=1,INDEX('Database Mitra'!$E$2:$E905,MATCH(A560,'Database Mitra'!AK$2:AK905,0)),"")</f>
        <v/>
      </c>
      <c r="D560" s="23"/>
      <c r="E560" s="5" t="str">
        <f t="array" ref="E560">IF(W560=1,INDEX('Input Kegiatan'!B$2:B905,MATCH($D560,'Input Kegiatan'!$A$2:$A905,0)),"")</f>
        <v/>
      </c>
      <c r="F560" s="5" t="str">
        <f t="array" ref="F560">IF(W560=1,INDEX('Input Kegiatan'!D$2:D905,MATCH($D560,'Input Kegiatan'!$A$2:$A905,0)),"")</f>
        <v/>
      </c>
      <c r="G560" s="5" t="str">
        <f t="array" ref="G560">IF(W560=1,INDEX('Input Kegiatan'!E$2:E905,MATCH($D560,'Input Kegiatan'!$A$2:$A905,0)),"")</f>
        <v/>
      </c>
      <c r="H560" s="5" t="str">
        <f t="array" ref="H560">IF(W560=1,INDEX(Honor!$H$2:$H905,MATCH($D560&amp;"-"&amp;R560,Honor!$K$2:$K905,0)),"")</f>
        <v/>
      </c>
      <c r="I560" s="8" t="str">
        <f>IF(W560=1,SUMIFS(Honor!$I$2:$I905,Honor!$K$2:$K905,$D560&amp;"-"&amp;R560),"")</f>
        <v/>
      </c>
      <c r="J560" s="9" t="str">
        <f t="shared" si="6"/>
        <v/>
      </c>
      <c r="K560" s="10" t="str">
        <f t="shared" si="0"/>
        <v/>
      </c>
      <c r="L560" s="10" t="str">
        <f t="shared" si="1"/>
        <v/>
      </c>
      <c r="M560" s="10" t="str">
        <f>IF(W560=1,IF(AND(U560&lt;2,INT(V560)&lt;='Batasan Honor'!$B$2),1,0),"")</f>
        <v/>
      </c>
      <c r="O560" s="10" t="str">
        <f t="shared" si="2"/>
        <v/>
      </c>
      <c r="P560" s="10" t="str">
        <f t="shared" si="3"/>
        <v/>
      </c>
      <c r="R560" s="23"/>
      <c r="S560" s="10" t="str">
        <f t="shared" si="4"/>
        <v/>
      </c>
      <c r="U560" s="10" t="str">
        <f ca="1">IFERROR(__xludf.DUMMYFUNCTION("if(W560=1,COUNTIFS(FILTER($H$2:$H905,$H$2:$H905=""OB"",$S$2:$S905=S560),""OB""),"""")"),"")</f>
        <v/>
      </c>
      <c r="V560" s="10" t="str">
        <f ca="1">IFERROR(__xludf.DUMMYFUNCTION("IF(OR(ISNA(SUM(FILTER($K$2:$K905,$A$2:$A905=A560,$S$2:$S905=S560,$H$2:$H905&lt;&gt;""OB""))),W560&lt;&gt;1),"""",SUM(FILTER($K$2:$K905,$A$2:$A905=A560,$S$2:$S905=S560,$H$2:$H905&lt;&gt;""OB"")))"),"")</f>
        <v/>
      </c>
      <c r="W560" s="10" t="str">
        <f t="shared" si="5"/>
        <v/>
      </c>
    </row>
    <row r="561" spans="1:23" ht="12.5">
      <c r="A561" s="23"/>
      <c r="B561" s="5" t="str">
        <f t="array" ref="B561">IF(W561=1,INDEX('Database Mitra'!$H$2:$H905,MATCH(A561,'Database Mitra'!AK$2:AK905,0)),"")</f>
        <v/>
      </c>
      <c r="C561" s="5" t="str">
        <f t="array" ref="C561">IF(W561=1,INDEX('Database Mitra'!$E$2:$E905,MATCH(A561,'Database Mitra'!AK$2:AK905,0)),"")</f>
        <v/>
      </c>
      <c r="D561" s="23"/>
      <c r="E561" s="5" t="str">
        <f t="array" ref="E561">IF(W561=1,INDEX('Input Kegiatan'!B$2:B905,MATCH($D561,'Input Kegiatan'!$A$2:$A905,0)),"")</f>
        <v/>
      </c>
      <c r="F561" s="5" t="str">
        <f t="array" ref="F561">IF(W561=1,INDEX('Input Kegiatan'!D$2:D905,MATCH($D561,'Input Kegiatan'!$A$2:$A905,0)),"")</f>
        <v/>
      </c>
      <c r="G561" s="5" t="str">
        <f t="array" ref="G561">IF(W561=1,INDEX('Input Kegiatan'!E$2:E905,MATCH($D561,'Input Kegiatan'!$A$2:$A905,0)),"")</f>
        <v/>
      </c>
      <c r="H561" s="5" t="str">
        <f t="array" ref="H561">IF(W561=1,INDEX(Honor!$H$2:$H905,MATCH($D561&amp;"-"&amp;R561,Honor!$K$2:$K905,0)),"")</f>
        <v/>
      </c>
      <c r="I561" s="8" t="str">
        <f>IF(W561=1,SUMIFS(Honor!$I$2:$I905,Honor!$K$2:$K905,$D561&amp;"-"&amp;R561),"")</f>
        <v/>
      </c>
      <c r="J561" s="9" t="str">
        <f t="shared" si="6"/>
        <v/>
      </c>
      <c r="K561" s="10" t="str">
        <f t="shared" si="0"/>
        <v/>
      </c>
      <c r="L561" s="10" t="str">
        <f t="shared" si="1"/>
        <v/>
      </c>
      <c r="M561" s="10" t="str">
        <f>IF(W561=1,IF(AND(U561&lt;2,INT(V561)&lt;='Batasan Honor'!$B$2),1,0),"")</f>
        <v/>
      </c>
      <c r="O561" s="10" t="str">
        <f t="shared" si="2"/>
        <v/>
      </c>
      <c r="P561" s="10" t="str">
        <f t="shared" si="3"/>
        <v/>
      </c>
      <c r="R561" s="23"/>
      <c r="S561" s="10" t="str">
        <f t="shared" si="4"/>
        <v/>
      </c>
      <c r="U561" s="10" t="str">
        <f ca="1">IFERROR(__xludf.DUMMYFUNCTION("if(W561=1,COUNTIFS(FILTER($H$2:$H905,$H$2:$H905=""OB"",$S$2:$S905=S561),""OB""),"""")"),"")</f>
        <v/>
      </c>
      <c r="V561" s="10" t="str">
        <f ca="1">IFERROR(__xludf.DUMMYFUNCTION("IF(OR(ISNA(SUM(FILTER($K$2:$K905,$A$2:$A905=A561,$S$2:$S905=S561,$H$2:$H905&lt;&gt;""OB""))),W561&lt;&gt;1),"""",SUM(FILTER($K$2:$K905,$A$2:$A905=A561,$S$2:$S905=S561,$H$2:$H905&lt;&gt;""OB"")))"),"")</f>
        <v/>
      </c>
      <c r="W561" s="10" t="str">
        <f t="shared" si="5"/>
        <v/>
      </c>
    </row>
    <row r="562" spans="1:23" ht="12.5">
      <c r="A562" s="23"/>
      <c r="B562" s="5" t="str">
        <f t="array" ref="B562">IF(W562=1,INDEX('Database Mitra'!$H$2:$H905,MATCH(A562,'Database Mitra'!AK$2:AK905,0)),"")</f>
        <v/>
      </c>
      <c r="C562" s="5" t="str">
        <f t="array" ref="C562">IF(W562=1,INDEX('Database Mitra'!$E$2:$E905,MATCH(A562,'Database Mitra'!AK$2:AK905,0)),"")</f>
        <v/>
      </c>
      <c r="D562" s="23"/>
      <c r="E562" s="5" t="str">
        <f t="array" ref="E562">IF(W562=1,INDEX('Input Kegiatan'!B$2:B905,MATCH($D562,'Input Kegiatan'!$A$2:$A905,0)),"")</f>
        <v/>
      </c>
      <c r="F562" s="5" t="str">
        <f t="array" ref="F562">IF(W562=1,INDEX('Input Kegiatan'!D$2:D905,MATCH($D562,'Input Kegiatan'!$A$2:$A905,0)),"")</f>
        <v/>
      </c>
      <c r="G562" s="5" t="str">
        <f t="array" ref="G562">IF(W562=1,INDEX('Input Kegiatan'!E$2:E905,MATCH($D562,'Input Kegiatan'!$A$2:$A905,0)),"")</f>
        <v/>
      </c>
      <c r="H562" s="5" t="str">
        <f t="array" ref="H562">IF(W562=1,INDEX(Honor!$H$2:$H905,MATCH($D562&amp;"-"&amp;R562,Honor!$K$2:$K905,0)),"")</f>
        <v/>
      </c>
      <c r="I562" s="8" t="str">
        <f>IF(W562=1,SUMIFS(Honor!$I$2:$I905,Honor!$K$2:$K905,$D562&amp;"-"&amp;R562),"")</f>
        <v/>
      </c>
      <c r="J562" s="9" t="str">
        <f t="shared" si="6"/>
        <v/>
      </c>
      <c r="K562" s="10" t="str">
        <f t="shared" si="0"/>
        <v/>
      </c>
      <c r="L562" s="10" t="str">
        <f t="shared" si="1"/>
        <v/>
      </c>
      <c r="M562" s="10" t="str">
        <f>IF(W562=1,IF(AND(U562&lt;2,INT(V562)&lt;='Batasan Honor'!$B$2),1,0),"")</f>
        <v/>
      </c>
      <c r="O562" s="10" t="str">
        <f t="shared" si="2"/>
        <v/>
      </c>
      <c r="P562" s="10" t="str">
        <f t="shared" si="3"/>
        <v/>
      </c>
      <c r="R562" s="23"/>
      <c r="S562" s="10" t="str">
        <f t="shared" si="4"/>
        <v/>
      </c>
      <c r="U562" s="10" t="str">
        <f ca="1">IFERROR(__xludf.DUMMYFUNCTION("if(W562=1,COUNTIFS(FILTER($H$2:$H905,$H$2:$H905=""OB"",$S$2:$S905=S562),""OB""),"""")"),"")</f>
        <v/>
      </c>
      <c r="V562" s="10" t="str">
        <f ca="1">IFERROR(__xludf.DUMMYFUNCTION("IF(OR(ISNA(SUM(FILTER($K$2:$K905,$A$2:$A905=A562,$S$2:$S905=S562,$H$2:$H905&lt;&gt;""OB""))),W562&lt;&gt;1),"""",SUM(FILTER($K$2:$K905,$A$2:$A905=A562,$S$2:$S905=S562,$H$2:$H905&lt;&gt;""OB"")))"),"")</f>
        <v/>
      </c>
      <c r="W562" s="10" t="str">
        <f t="shared" si="5"/>
        <v/>
      </c>
    </row>
    <row r="563" spans="1:23" ht="12.5">
      <c r="A563" s="23"/>
      <c r="B563" s="5" t="str">
        <f t="array" ref="B563">IF(W563=1,INDEX('Database Mitra'!$H$2:$H905,MATCH(A563,'Database Mitra'!AK$2:AK905,0)),"")</f>
        <v/>
      </c>
      <c r="C563" s="5" t="str">
        <f t="array" ref="C563">IF(W563=1,INDEX('Database Mitra'!$E$2:$E905,MATCH(A563,'Database Mitra'!AK$2:AK905,0)),"")</f>
        <v/>
      </c>
      <c r="D563" s="23"/>
      <c r="E563" s="5" t="str">
        <f t="array" ref="E563">IF(W563=1,INDEX('Input Kegiatan'!B$2:B905,MATCH($D563,'Input Kegiatan'!$A$2:$A905,0)),"")</f>
        <v/>
      </c>
      <c r="F563" s="5" t="str">
        <f t="array" ref="F563">IF(W563=1,INDEX('Input Kegiatan'!D$2:D905,MATCH($D563,'Input Kegiatan'!$A$2:$A905,0)),"")</f>
        <v/>
      </c>
      <c r="G563" s="5" t="str">
        <f t="array" ref="G563">IF(W563=1,INDEX('Input Kegiatan'!E$2:E905,MATCH($D563,'Input Kegiatan'!$A$2:$A905,0)),"")</f>
        <v/>
      </c>
      <c r="H563" s="5" t="str">
        <f t="array" ref="H563">IF(W563=1,INDEX(Honor!$H$2:$H905,MATCH($D563&amp;"-"&amp;R563,Honor!$K$2:$K905,0)),"")</f>
        <v/>
      </c>
      <c r="I563" s="8" t="str">
        <f>IF(W563=1,SUMIFS(Honor!$I$2:$I905,Honor!$K$2:$K905,$D563&amp;"-"&amp;R563),"")</f>
        <v/>
      </c>
      <c r="J563" s="9" t="str">
        <f t="shared" si="6"/>
        <v/>
      </c>
      <c r="K563" s="10" t="str">
        <f t="shared" si="0"/>
        <v/>
      </c>
      <c r="L563" s="10" t="str">
        <f t="shared" si="1"/>
        <v/>
      </c>
      <c r="M563" s="10" t="str">
        <f>IF(W563=1,IF(AND(U563&lt;2,INT(V563)&lt;='Batasan Honor'!$B$2),1,0),"")</f>
        <v/>
      </c>
      <c r="O563" s="10" t="str">
        <f t="shared" si="2"/>
        <v/>
      </c>
      <c r="P563" s="10" t="str">
        <f t="shared" si="3"/>
        <v/>
      </c>
      <c r="R563" s="23"/>
      <c r="S563" s="10" t="str">
        <f t="shared" si="4"/>
        <v/>
      </c>
      <c r="U563" s="10" t="str">
        <f ca="1">IFERROR(__xludf.DUMMYFUNCTION("if(W563=1,COUNTIFS(FILTER($H$2:$H905,$H$2:$H905=""OB"",$S$2:$S905=S563),""OB""),"""")"),"")</f>
        <v/>
      </c>
      <c r="V563" s="10" t="str">
        <f ca="1">IFERROR(__xludf.DUMMYFUNCTION("IF(OR(ISNA(SUM(FILTER($K$2:$K905,$A$2:$A905=A563,$S$2:$S905=S563,$H$2:$H905&lt;&gt;""OB""))),W563&lt;&gt;1),"""",SUM(FILTER($K$2:$K905,$A$2:$A905=A563,$S$2:$S905=S563,$H$2:$H905&lt;&gt;""OB"")))"),"")</f>
        <v/>
      </c>
      <c r="W563" s="10" t="str">
        <f t="shared" si="5"/>
        <v/>
      </c>
    </row>
    <row r="564" spans="1:23" ht="12.5">
      <c r="A564" s="23"/>
      <c r="B564" s="5" t="str">
        <f t="array" ref="B564">IF(W564=1,INDEX('Database Mitra'!$H$2:$H905,MATCH(A564,'Database Mitra'!AK$2:AK905,0)),"")</f>
        <v/>
      </c>
      <c r="C564" s="5" t="str">
        <f t="array" ref="C564">IF(W564=1,INDEX('Database Mitra'!$E$2:$E905,MATCH(A564,'Database Mitra'!AK$2:AK905,0)),"")</f>
        <v/>
      </c>
      <c r="D564" s="23"/>
      <c r="E564" s="5" t="str">
        <f t="array" ref="E564">IF(W564=1,INDEX('Input Kegiatan'!B$2:B905,MATCH($D564,'Input Kegiatan'!$A$2:$A905,0)),"")</f>
        <v/>
      </c>
      <c r="F564" s="5" t="str">
        <f t="array" ref="F564">IF(W564=1,INDEX('Input Kegiatan'!D$2:D905,MATCH($D564,'Input Kegiatan'!$A$2:$A905,0)),"")</f>
        <v/>
      </c>
      <c r="G564" s="5" t="str">
        <f t="array" ref="G564">IF(W564=1,INDEX('Input Kegiatan'!E$2:E905,MATCH($D564,'Input Kegiatan'!$A$2:$A905,0)),"")</f>
        <v/>
      </c>
      <c r="H564" s="5" t="str">
        <f t="array" ref="H564">IF(W564=1,INDEX(Honor!$H$2:$H905,MATCH($D564&amp;"-"&amp;R564,Honor!$K$2:$K905,0)),"")</f>
        <v/>
      </c>
      <c r="I564" s="8" t="str">
        <f>IF(W564=1,SUMIFS(Honor!$I$2:$I905,Honor!$K$2:$K905,$D564&amp;"-"&amp;R564),"")</f>
        <v/>
      </c>
      <c r="J564" s="9" t="str">
        <f t="shared" si="6"/>
        <v/>
      </c>
      <c r="K564" s="10" t="str">
        <f t="shared" si="0"/>
        <v/>
      </c>
      <c r="L564" s="10" t="str">
        <f t="shared" si="1"/>
        <v/>
      </c>
      <c r="M564" s="10" t="str">
        <f>IF(W564=1,IF(AND(U564&lt;2,INT(V564)&lt;='Batasan Honor'!$B$2),1,0),"")</f>
        <v/>
      </c>
      <c r="O564" s="10" t="str">
        <f t="shared" si="2"/>
        <v/>
      </c>
      <c r="P564" s="10" t="str">
        <f t="shared" si="3"/>
        <v/>
      </c>
      <c r="R564" s="23"/>
      <c r="S564" s="10" t="str">
        <f t="shared" si="4"/>
        <v/>
      </c>
      <c r="U564" s="10" t="str">
        <f ca="1">IFERROR(__xludf.DUMMYFUNCTION("if(W564=1,COUNTIFS(FILTER($H$2:$H905,$H$2:$H905=""OB"",$S$2:$S905=S564),""OB""),"""")"),"")</f>
        <v/>
      </c>
      <c r="V564" s="10" t="str">
        <f ca="1">IFERROR(__xludf.DUMMYFUNCTION("IF(OR(ISNA(SUM(FILTER($K$2:$K905,$A$2:$A905=A564,$S$2:$S905=S564,$H$2:$H905&lt;&gt;""OB""))),W564&lt;&gt;1),"""",SUM(FILTER($K$2:$K905,$A$2:$A905=A564,$S$2:$S905=S564,$H$2:$H905&lt;&gt;""OB"")))"),"")</f>
        <v/>
      </c>
      <c r="W564" s="10" t="str">
        <f t="shared" si="5"/>
        <v/>
      </c>
    </row>
    <row r="565" spans="1:23" ht="12.5">
      <c r="A565" s="23"/>
      <c r="B565" s="5" t="str">
        <f t="array" ref="B565">IF(W565=1,INDEX('Database Mitra'!$H$2:$H905,MATCH(A565,'Database Mitra'!AK$2:AK905,0)),"")</f>
        <v/>
      </c>
      <c r="C565" s="5" t="str">
        <f t="array" ref="C565">IF(W565=1,INDEX('Database Mitra'!$E$2:$E905,MATCH(A565,'Database Mitra'!AK$2:AK905,0)),"")</f>
        <v/>
      </c>
      <c r="D565" s="23"/>
      <c r="E565" s="5" t="str">
        <f t="array" ref="E565">IF(W565=1,INDEX('Input Kegiatan'!B$2:B905,MATCH($D565,'Input Kegiatan'!$A$2:$A905,0)),"")</f>
        <v/>
      </c>
      <c r="F565" s="5" t="str">
        <f t="array" ref="F565">IF(W565=1,INDEX('Input Kegiatan'!D$2:D905,MATCH($D565,'Input Kegiatan'!$A$2:$A905,0)),"")</f>
        <v/>
      </c>
      <c r="G565" s="5" t="str">
        <f t="array" ref="G565">IF(W565=1,INDEX('Input Kegiatan'!E$2:E905,MATCH($D565,'Input Kegiatan'!$A$2:$A905,0)),"")</f>
        <v/>
      </c>
      <c r="H565" s="5" t="str">
        <f t="array" ref="H565">IF(W565=1,INDEX(Honor!$H$2:$H905,MATCH($D565&amp;"-"&amp;R565,Honor!$K$2:$K905,0)),"")</f>
        <v/>
      </c>
      <c r="I565" s="8" t="str">
        <f>IF(W565=1,SUMIFS(Honor!$I$2:$I905,Honor!$K$2:$K905,$D565&amp;"-"&amp;R565),"")</f>
        <v/>
      </c>
      <c r="J565" s="9" t="str">
        <f t="shared" si="6"/>
        <v/>
      </c>
      <c r="K565" s="10" t="str">
        <f t="shared" si="0"/>
        <v/>
      </c>
      <c r="L565" s="10" t="str">
        <f t="shared" si="1"/>
        <v/>
      </c>
      <c r="M565" s="10" t="str">
        <f>IF(W565=1,IF(AND(U565&lt;2,INT(V565)&lt;='Batasan Honor'!$B$2),1,0),"")</f>
        <v/>
      </c>
      <c r="O565" s="10" t="str">
        <f t="shared" si="2"/>
        <v/>
      </c>
      <c r="P565" s="10" t="str">
        <f t="shared" si="3"/>
        <v/>
      </c>
      <c r="R565" s="23"/>
      <c r="S565" s="10" t="str">
        <f t="shared" si="4"/>
        <v/>
      </c>
      <c r="U565" s="10" t="str">
        <f ca="1">IFERROR(__xludf.DUMMYFUNCTION("if(W565=1,COUNTIFS(FILTER($H$2:$H905,$H$2:$H905=""OB"",$S$2:$S905=S565),""OB""),"""")"),"")</f>
        <v/>
      </c>
      <c r="V565" s="10" t="str">
        <f ca="1">IFERROR(__xludf.DUMMYFUNCTION("IF(OR(ISNA(SUM(FILTER($K$2:$K905,$A$2:$A905=A565,$S$2:$S905=S565,$H$2:$H905&lt;&gt;""OB""))),W565&lt;&gt;1),"""",SUM(FILTER($K$2:$K905,$A$2:$A905=A565,$S$2:$S905=S565,$H$2:$H905&lt;&gt;""OB"")))"),"")</f>
        <v/>
      </c>
      <c r="W565" s="10" t="str">
        <f t="shared" si="5"/>
        <v/>
      </c>
    </row>
    <row r="566" spans="1:23" ht="12.5">
      <c r="A566" s="23"/>
      <c r="B566" s="5" t="str">
        <f t="array" ref="B566">IF(W566=1,INDEX('Database Mitra'!$H$2:$H905,MATCH(A566,'Database Mitra'!AK$2:AK905,0)),"")</f>
        <v/>
      </c>
      <c r="C566" s="5" t="str">
        <f t="array" ref="C566">IF(W566=1,INDEX('Database Mitra'!$E$2:$E905,MATCH(A566,'Database Mitra'!AK$2:AK905,0)),"")</f>
        <v/>
      </c>
      <c r="D566" s="23"/>
      <c r="E566" s="5" t="str">
        <f t="array" ref="E566">IF(W566=1,INDEX('Input Kegiatan'!B$2:B905,MATCH($D566,'Input Kegiatan'!$A$2:$A905,0)),"")</f>
        <v/>
      </c>
      <c r="F566" s="5" t="str">
        <f t="array" ref="F566">IF(W566=1,INDEX('Input Kegiatan'!D$2:D905,MATCH($D566,'Input Kegiatan'!$A$2:$A905,0)),"")</f>
        <v/>
      </c>
      <c r="G566" s="5" t="str">
        <f t="array" ref="G566">IF(W566=1,INDEX('Input Kegiatan'!E$2:E905,MATCH($D566,'Input Kegiatan'!$A$2:$A905,0)),"")</f>
        <v/>
      </c>
      <c r="H566" s="5" t="str">
        <f t="array" ref="H566">IF(W566=1,INDEX(Honor!$H$2:$H905,MATCH($D566&amp;"-"&amp;R566,Honor!$K$2:$K905,0)),"")</f>
        <v/>
      </c>
      <c r="I566" s="8" t="str">
        <f>IF(W566=1,SUMIFS(Honor!$I$2:$I905,Honor!$K$2:$K905,$D566&amp;"-"&amp;R566),"")</f>
        <v/>
      </c>
      <c r="J566" s="9" t="str">
        <f t="shared" si="6"/>
        <v/>
      </c>
      <c r="K566" s="10" t="str">
        <f t="shared" si="0"/>
        <v/>
      </c>
      <c r="L566" s="10" t="str">
        <f t="shared" si="1"/>
        <v/>
      </c>
      <c r="M566" s="10" t="str">
        <f>IF(W566=1,IF(AND(U566&lt;2,INT(V566)&lt;='Batasan Honor'!$B$2),1,0),"")</f>
        <v/>
      </c>
      <c r="O566" s="10" t="str">
        <f t="shared" si="2"/>
        <v/>
      </c>
      <c r="P566" s="10" t="str">
        <f t="shared" si="3"/>
        <v/>
      </c>
      <c r="R566" s="23"/>
      <c r="S566" s="10" t="str">
        <f t="shared" si="4"/>
        <v/>
      </c>
      <c r="U566" s="10" t="str">
        <f ca="1">IFERROR(__xludf.DUMMYFUNCTION("if(W566=1,COUNTIFS(FILTER($H$2:$H905,$H$2:$H905=""OB"",$S$2:$S905=S566),""OB""),"""")"),"")</f>
        <v/>
      </c>
      <c r="V566" s="10" t="str">
        <f ca="1">IFERROR(__xludf.DUMMYFUNCTION("IF(OR(ISNA(SUM(FILTER($K$2:$K905,$A$2:$A905=A566,$S$2:$S905=S566,$H$2:$H905&lt;&gt;""OB""))),W566&lt;&gt;1),"""",SUM(FILTER($K$2:$K905,$A$2:$A905=A566,$S$2:$S905=S566,$H$2:$H905&lt;&gt;""OB"")))"),"")</f>
        <v/>
      </c>
      <c r="W566" s="10" t="str">
        <f t="shared" si="5"/>
        <v/>
      </c>
    </row>
    <row r="567" spans="1:23" ht="12.5">
      <c r="A567" s="23"/>
      <c r="B567" s="5" t="str">
        <f t="array" ref="B567">IF(W567=1,INDEX('Database Mitra'!$H$2:$H905,MATCH(A567,'Database Mitra'!AK$2:AK905,0)),"")</f>
        <v/>
      </c>
      <c r="C567" s="5" t="str">
        <f t="array" ref="C567">IF(W567=1,INDEX('Database Mitra'!$E$2:$E905,MATCH(A567,'Database Mitra'!AK$2:AK905,0)),"")</f>
        <v/>
      </c>
      <c r="D567" s="23"/>
      <c r="E567" s="5" t="str">
        <f t="array" ref="E567">IF(W567=1,INDEX('Input Kegiatan'!B$2:B905,MATCH($D567,'Input Kegiatan'!$A$2:$A905,0)),"")</f>
        <v/>
      </c>
      <c r="F567" s="5" t="str">
        <f t="array" ref="F567">IF(W567=1,INDEX('Input Kegiatan'!D$2:D905,MATCH($D567,'Input Kegiatan'!$A$2:$A905,0)),"")</f>
        <v/>
      </c>
      <c r="G567" s="5" t="str">
        <f t="array" ref="G567">IF(W567=1,INDEX('Input Kegiatan'!E$2:E905,MATCH($D567,'Input Kegiatan'!$A$2:$A905,0)),"")</f>
        <v/>
      </c>
      <c r="H567" s="5" t="str">
        <f t="array" ref="H567">IF(W567=1,INDEX(Honor!$H$2:$H905,MATCH($D567&amp;"-"&amp;R567,Honor!$K$2:$K905,0)),"")</f>
        <v/>
      </c>
      <c r="I567" s="8" t="str">
        <f>IF(W567=1,SUMIFS(Honor!$I$2:$I905,Honor!$K$2:$K905,$D567&amp;"-"&amp;R567),"")</f>
        <v/>
      </c>
      <c r="J567" s="9" t="str">
        <f t="shared" si="6"/>
        <v/>
      </c>
      <c r="K567" s="10" t="str">
        <f t="shared" si="0"/>
        <v/>
      </c>
      <c r="L567" s="10" t="str">
        <f t="shared" si="1"/>
        <v/>
      </c>
      <c r="M567" s="10" t="str">
        <f>IF(W567=1,IF(AND(U567&lt;2,INT(V567)&lt;='Batasan Honor'!$B$2),1,0),"")</f>
        <v/>
      </c>
      <c r="O567" s="10" t="str">
        <f t="shared" si="2"/>
        <v/>
      </c>
      <c r="P567" s="10" t="str">
        <f t="shared" si="3"/>
        <v/>
      </c>
      <c r="R567" s="23"/>
      <c r="S567" s="10" t="str">
        <f t="shared" si="4"/>
        <v/>
      </c>
      <c r="U567" s="10" t="str">
        <f ca="1">IFERROR(__xludf.DUMMYFUNCTION("if(W567=1,COUNTIFS(FILTER($H$2:$H905,$H$2:$H905=""OB"",$S$2:$S905=S567),""OB""),"""")"),"")</f>
        <v/>
      </c>
      <c r="V567" s="10" t="str">
        <f ca="1">IFERROR(__xludf.DUMMYFUNCTION("IF(OR(ISNA(SUM(FILTER($K$2:$K905,$A$2:$A905=A567,$S$2:$S905=S567,$H$2:$H905&lt;&gt;""OB""))),W567&lt;&gt;1),"""",SUM(FILTER($K$2:$K905,$A$2:$A905=A567,$S$2:$S905=S567,$H$2:$H905&lt;&gt;""OB"")))"),"")</f>
        <v/>
      </c>
      <c r="W567" s="10" t="str">
        <f t="shared" si="5"/>
        <v/>
      </c>
    </row>
    <row r="568" spans="1:23" ht="12.5">
      <c r="A568" s="23"/>
      <c r="B568" s="5" t="str">
        <f t="array" ref="B568">IF(W568=1,INDEX('Database Mitra'!$H$2:$H905,MATCH(A568,'Database Mitra'!AK$2:AK905,0)),"")</f>
        <v/>
      </c>
      <c r="C568" s="5" t="str">
        <f t="array" ref="C568">IF(W568=1,INDEX('Database Mitra'!$E$2:$E905,MATCH(A568,'Database Mitra'!AK$2:AK905,0)),"")</f>
        <v/>
      </c>
      <c r="D568" s="23"/>
      <c r="E568" s="5" t="str">
        <f t="array" ref="E568">IF(W568=1,INDEX('Input Kegiatan'!B$2:B905,MATCH($D568,'Input Kegiatan'!$A$2:$A905,0)),"")</f>
        <v/>
      </c>
      <c r="F568" s="5" t="str">
        <f t="array" ref="F568">IF(W568=1,INDEX('Input Kegiatan'!D$2:D905,MATCH($D568,'Input Kegiatan'!$A$2:$A905,0)),"")</f>
        <v/>
      </c>
      <c r="G568" s="5" t="str">
        <f t="array" ref="G568">IF(W568=1,INDEX('Input Kegiatan'!E$2:E905,MATCH($D568,'Input Kegiatan'!$A$2:$A905,0)),"")</f>
        <v/>
      </c>
      <c r="H568" s="5" t="str">
        <f t="array" ref="H568">IF(W568=1,INDEX(Honor!$H$2:$H905,MATCH($D568&amp;"-"&amp;R568,Honor!$K$2:$K905,0)),"")</f>
        <v/>
      </c>
      <c r="I568" s="8" t="str">
        <f>IF(W568=1,SUMIFS(Honor!$I$2:$I905,Honor!$K$2:$K905,$D568&amp;"-"&amp;R568),"")</f>
        <v/>
      </c>
      <c r="J568" s="9" t="str">
        <f t="shared" si="6"/>
        <v/>
      </c>
      <c r="K568" s="10" t="str">
        <f t="shared" si="0"/>
        <v/>
      </c>
      <c r="L568" s="10" t="str">
        <f t="shared" si="1"/>
        <v/>
      </c>
      <c r="M568" s="10" t="str">
        <f>IF(W568=1,IF(AND(U568&lt;2,INT(V568)&lt;='Batasan Honor'!$B$2),1,0),"")</f>
        <v/>
      </c>
      <c r="O568" s="10" t="str">
        <f t="shared" si="2"/>
        <v/>
      </c>
      <c r="P568" s="10" t="str">
        <f t="shared" si="3"/>
        <v/>
      </c>
      <c r="R568" s="23"/>
      <c r="S568" s="10" t="str">
        <f t="shared" si="4"/>
        <v/>
      </c>
      <c r="U568" s="10" t="str">
        <f ca="1">IFERROR(__xludf.DUMMYFUNCTION("if(W568=1,COUNTIFS(FILTER($H$2:$H905,$H$2:$H905=""OB"",$S$2:$S905=S568),""OB""),"""")"),"")</f>
        <v/>
      </c>
      <c r="V568" s="10" t="str">
        <f ca="1">IFERROR(__xludf.DUMMYFUNCTION("IF(OR(ISNA(SUM(FILTER($K$2:$K905,$A$2:$A905=A568,$S$2:$S905=S568,$H$2:$H905&lt;&gt;""OB""))),W568&lt;&gt;1),"""",SUM(FILTER($K$2:$K905,$A$2:$A905=A568,$S$2:$S905=S568,$H$2:$H905&lt;&gt;""OB"")))"),"")</f>
        <v/>
      </c>
      <c r="W568" s="10" t="str">
        <f t="shared" si="5"/>
        <v/>
      </c>
    </row>
    <row r="569" spans="1:23" ht="12.5">
      <c r="A569" s="23"/>
      <c r="B569" s="5" t="str">
        <f t="array" ref="B569">IF(W569=1,INDEX('Database Mitra'!$H$2:$H905,MATCH(A569,'Database Mitra'!AK$2:AK905,0)),"")</f>
        <v/>
      </c>
      <c r="C569" s="5" t="str">
        <f t="array" ref="C569">IF(W569=1,INDEX('Database Mitra'!$E$2:$E905,MATCH(A569,'Database Mitra'!AK$2:AK905,0)),"")</f>
        <v/>
      </c>
      <c r="D569" s="23"/>
      <c r="E569" s="5" t="str">
        <f t="array" ref="E569">IF(W569=1,INDEX('Input Kegiatan'!B$2:B905,MATCH($D569,'Input Kegiatan'!$A$2:$A905,0)),"")</f>
        <v/>
      </c>
      <c r="F569" s="5" t="str">
        <f t="array" ref="F569">IF(W569=1,INDEX('Input Kegiatan'!D$2:D905,MATCH($D569,'Input Kegiatan'!$A$2:$A905,0)),"")</f>
        <v/>
      </c>
      <c r="G569" s="5" t="str">
        <f t="array" ref="G569">IF(W569=1,INDEX('Input Kegiatan'!E$2:E905,MATCH($D569,'Input Kegiatan'!$A$2:$A905,0)),"")</f>
        <v/>
      </c>
      <c r="H569" s="5" t="str">
        <f t="array" ref="H569">IF(W569=1,INDEX(Honor!$H$2:$H905,MATCH($D569&amp;"-"&amp;R569,Honor!$K$2:$K905,0)),"")</f>
        <v/>
      </c>
      <c r="I569" s="8" t="str">
        <f>IF(W569=1,SUMIFS(Honor!$I$2:$I905,Honor!$K$2:$K905,$D569&amp;"-"&amp;R569),"")</f>
        <v/>
      </c>
      <c r="J569" s="9" t="str">
        <f t="shared" si="6"/>
        <v/>
      </c>
      <c r="K569" s="10" t="str">
        <f t="shared" si="0"/>
        <v/>
      </c>
      <c r="L569" s="10" t="str">
        <f t="shared" si="1"/>
        <v/>
      </c>
      <c r="M569" s="10" t="str">
        <f>IF(W569=1,IF(AND(U569&lt;2,INT(V569)&lt;='Batasan Honor'!$B$2),1,0),"")</f>
        <v/>
      </c>
      <c r="O569" s="10" t="str">
        <f t="shared" si="2"/>
        <v/>
      </c>
      <c r="P569" s="10" t="str">
        <f t="shared" si="3"/>
        <v/>
      </c>
      <c r="R569" s="23"/>
      <c r="S569" s="10" t="str">
        <f t="shared" si="4"/>
        <v/>
      </c>
      <c r="U569" s="10" t="str">
        <f ca="1">IFERROR(__xludf.DUMMYFUNCTION("if(W569=1,COUNTIFS(FILTER($H$2:$H905,$H$2:$H905=""OB"",$S$2:$S905=S569),""OB""),"""")"),"")</f>
        <v/>
      </c>
      <c r="V569" s="10" t="str">
        <f ca="1">IFERROR(__xludf.DUMMYFUNCTION("IF(OR(ISNA(SUM(FILTER($K$2:$K905,$A$2:$A905=A569,$S$2:$S905=S569,$H$2:$H905&lt;&gt;""OB""))),W569&lt;&gt;1),"""",SUM(FILTER($K$2:$K905,$A$2:$A905=A569,$S$2:$S905=S569,$H$2:$H905&lt;&gt;""OB"")))"),"")</f>
        <v/>
      </c>
      <c r="W569" s="10" t="str">
        <f t="shared" si="5"/>
        <v/>
      </c>
    </row>
    <row r="570" spans="1:23" ht="12.5">
      <c r="A570" s="23"/>
      <c r="B570" s="5" t="str">
        <f t="array" ref="B570">IF(W570=1,INDEX('Database Mitra'!$H$2:$H905,MATCH(A570,'Database Mitra'!AK$2:AK905,0)),"")</f>
        <v/>
      </c>
      <c r="C570" s="5" t="str">
        <f t="array" ref="C570">IF(W570=1,INDEX('Database Mitra'!$E$2:$E905,MATCH(A570,'Database Mitra'!AK$2:AK905,0)),"")</f>
        <v/>
      </c>
      <c r="D570" s="23"/>
      <c r="E570" s="5" t="str">
        <f t="array" ref="E570">IF(W570=1,INDEX('Input Kegiatan'!B$2:B905,MATCH($D570,'Input Kegiatan'!$A$2:$A905,0)),"")</f>
        <v/>
      </c>
      <c r="F570" s="5" t="str">
        <f t="array" ref="F570">IF(W570=1,INDEX('Input Kegiatan'!D$2:D905,MATCH($D570,'Input Kegiatan'!$A$2:$A905,0)),"")</f>
        <v/>
      </c>
      <c r="G570" s="5" t="str">
        <f t="array" ref="G570">IF(W570=1,INDEX('Input Kegiatan'!E$2:E905,MATCH($D570,'Input Kegiatan'!$A$2:$A905,0)),"")</f>
        <v/>
      </c>
      <c r="H570" s="5" t="str">
        <f t="array" ref="H570">IF(W570=1,INDEX(Honor!$H$2:$H905,MATCH($D570&amp;"-"&amp;R570,Honor!$K$2:$K905,0)),"")</f>
        <v/>
      </c>
      <c r="I570" s="8" t="str">
        <f>IF(W570=1,SUMIFS(Honor!$I$2:$I905,Honor!$K$2:$K905,$D570&amp;"-"&amp;R570),"")</f>
        <v/>
      </c>
      <c r="J570" s="9" t="str">
        <f t="shared" si="6"/>
        <v/>
      </c>
      <c r="K570" s="10" t="str">
        <f t="shared" si="0"/>
        <v/>
      </c>
      <c r="L570" s="10" t="str">
        <f t="shared" si="1"/>
        <v/>
      </c>
      <c r="M570" s="10" t="str">
        <f>IF(W570=1,IF(AND(U570&lt;2,INT(V570)&lt;='Batasan Honor'!$B$2),1,0),"")</f>
        <v/>
      </c>
      <c r="O570" s="10" t="str">
        <f t="shared" si="2"/>
        <v/>
      </c>
      <c r="P570" s="10" t="str">
        <f t="shared" si="3"/>
        <v/>
      </c>
      <c r="R570" s="23"/>
      <c r="S570" s="10" t="str">
        <f t="shared" si="4"/>
        <v/>
      </c>
      <c r="U570" s="10" t="str">
        <f ca="1">IFERROR(__xludf.DUMMYFUNCTION("if(W570=1,COUNTIFS(FILTER($H$2:$H905,$H$2:$H905=""OB"",$S$2:$S905=S570),""OB""),"""")"),"")</f>
        <v/>
      </c>
      <c r="V570" s="10" t="str">
        <f ca="1">IFERROR(__xludf.DUMMYFUNCTION("IF(OR(ISNA(SUM(FILTER($K$2:$K905,$A$2:$A905=A570,$S$2:$S905=S570,$H$2:$H905&lt;&gt;""OB""))),W570&lt;&gt;1),"""",SUM(FILTER($K$2:$K905,$A$2:$A905=A570,$S$2:$S905=S570,$H$2:$H905&lt;&gt;""OB"")))"),"")</f>
        <v/>
      </c>
      <c r="W570" s="10" t="str">
        <f t="shared" si="5"/>
        <v/>
      </c>
    </row>
    <row r="571" spans="1:23" ht="12.5">
      <c r="A571" s="23"/>
      <c r="B571" s="5" t="str">
        <f t="array" ref="B571">IF(W571=1,INDEX('Database Mitra'!$H$2:$H905,MATCH(A571,'Database Mitra'!AK$2:AK905,0)),"")</f>
        <v/>
      </c>
      <c r="C571" s="5" t="str">
        <f t="array" ref="C571">IF(W571=1,INDEX('Database Mitra'!$E$2:$E905,MATCH(A571,'Database Mitra'!AK$2:AK905,0)),"")</f>
        <v/>
      </c>
      <c r="D571" s="23"/>
      <c r="E571" s="5" t="str">
        <f t="array" ref="E571">IF(W571=1,INDEX('Input Kegiatan'!B$2:B905,MATCH($D571,'Input Kegiatan'!$A$2:$A905,0)),"")</f>
        <v/>
      </c>
      <c r="F571" s="5" t="str">
        <f t="array" ref="F571">IF(W571=1,INDEX('Input Kegiatan'!D$2:D905,MATCH($D571,'Input Kegiatan'!$A$2:$A905,0)),"")</f>
        <v/>
      </c>
      <c r="G571" s="5" t="str">
        <f t="array" ref="G571">IF(W571=1,INDEX('Input Kegiatan'!E$2:E905,MATCH($D571,'Input Kegiatan'!$A$2:$A905,0)),"")</f>
        <v/>
      </c>
      <c r="H571" s="5" t="str">
        <f t="array" ref="H571">IF(W571=1,INDEX(Honor!$H$2:$H905,MATCH($D571&amp;"-"&amp;R571,Honor!$K$2:$K905,0)),"")</f>
        <v/>
      </c>
      <c r="I571" s="8" t="str">
        <f>IF(W571=1,SUMIFS(Honor!$I$2:$I905,Honor!$K$2:$K905,$D571&amp;"-"&amp;R571),"")</f>
        <v/>
      </c>
      <c r="J571" s="9" t="str">
        <f t="shared" si="6"/>
        <v/>
      </c>
      <c r="K571" s="10" t="str">
        <f t="shared" si="0"/>
        <v/>
      </c>
      <c r="L571" s="10" t="str">
        <f t="shared" si="1"/>
        <v/>
      </c>
      <c r="M571" s="10" t="str">
        <f>IF(W571=1,IF(AND(U571&lt;2,INT(V571)&lt;='Batasan Honor'!$B$2),1,0),"")</f>
        <v/>
      </c>
      <c r="O571" s="10" t="str">
        <f t="shared" si="2"/>
        <v/>
      </c>
      <c r="P571" s="10" t="str">
        <f t="shared" si="3"/>
        <v/>
      </c>
      <c r="R571" s="23"/>
      <c r="S571" s="10" t="str">
        <f t="shared" si="4"/>
        <v/>
      </c>
      <c r="U571" s="10" t="str">
        <f ca="1">IFERROR(__xludf.DUMMYFUNCTION("if(W571=1,COUNTIFS(FILTER($H$2:$H905,$H$2:$H905=""OB"",$S$2:$S905=S571),""OB""),"""")"),"")</f>
        <v/>
      </c>
      <c r="V571" s="10" t="str">
        <f ca="1">IFERROR(__xludf.DUMMYFUNCTION("IF(OR(ISNA(SUM(FILTER($K$2:$K905,$A$2:$A905=A571,$S$2:$S905=S571,$H$2:$H905&lt;&gt;""OB""))),W571&lt;&gt;1),"""",SUM(FILTER($K$2:$K905,$A$2:$A905=A571,$S$2:$S905=S571,$H$2:$H905&lt;&gt;""OB"")))"),"")</f>
        <v/>
      </c>
      <c r="W571" s="10" t="str">
        <f t="shared" si="5"/>
        <v/>
      </c>
    </row>
    <row r="572" spans="1:23" ht="12.5">
      <c r="A572" s="23"/>
      <c r="B572" s="5" t="str">
        <f t="array" ref="B572">IF(W572=1,INDEX('Database Mitra'!$H$2:$H905,MATCH(A572,'Database Mitra'!AK$2:AK905,0)),"")</f>
        <v/>
      </c>
      <c r="C572" s="5" t="str">
        <f t="array" ref="C572">IF(W572=1,INDEX('Database Mitra'!$E$2:$E905,MATCH(A572,'Database Mitra'!AK$2:AK905,0)),"")</f>
        <v/>
      </c>
      <c r="D572" s="23"/>
      <c r="E572" s="5" t="str">
        <f t="array" ref="E572">IF(W572=1,INDEX('Input Kegiatan'!B$2:B905,MATCH($D572,'Input Kegiatan'!$A$2:$A905,0)),"")</f>
        <v/>
      </c>
      <c r="F572" s="5" t="str">
        <f t="array" ref="F572">IF(W572=1,INDEX('Input Kegiatan'!D$2:D905,MATCH($D572,'Input Kegiatan'!$A$2:$A905,0)),"")</f>
        <v/>
      </c>
      <c r="G572" s="5" t="str">
        <f t="array" ref="G572">IF(W572=1,INDEX('Input Kegiatan'!E$2:E905,MATCH($D572,'Input Kegiatan'!$A$2:$A905,0)),"")</f>
        <v/>
      </c>
      <c r="H572" s="5" t="str">
        <f t="array" ref="H572">IF(W572=1,INDEX(Honor!$H$2:$H905,MATCH($D572&amp;"-"&amp;R572,Honor!$K$2:$K905,0)),"")</f>
        <v/>
      </c>
      <c r="I572" s="8" t="str">
        <f>IF(W572=1,SUMIFS(Honor!$I$2:$I905,Honor!$K$2:$K905,$D572&amp;"-"&amp;R572),"")</f>
        <v/>
      </c>
      <c r="J572" s="9" t="str">
        <f t="shared" si="6"/>
        <v/>
      </c>
      <c r="K572" s="10" t="str">
        <f t="shared" si="0"/>
        <v/>
      </c>
      <c r="L572" s="10" t="str">
        <f t="shared" si="1"/>
        <v/>
      </c>
      <c r="M572" s="10" t="str">
        <f>IF(W572=1,IF(AND(U572&lt;2,INT(V572)&lt;='Batasan Honor'!$B$2),1,0),"")</f>
        <v/>
      </c>
      <c r="O572" s="10" t="str">
        <f t="shared" si="2"/>
        <v/>
      </c>
      <c r="P572" s="10" t="str">
        <f t="shared" si="3"/>
        <v/>
      </c>
      <c r="R572" s="23"/>
      <c r="S572" s="10" t="str">
        <f t="shared" si="4"/>
        <v/>
      </c>
      <c r="U572" s="10" t="str">
        <f ca="1">IFERROR(__xludf.DUMMYFUNCTION("if(W572=1,COUNTIFS(FILTER($H$2:$H905,$H$2:$H905=""OB"",$S$2:$S905=S572),""OB""),"""")"),"")</f>
        <v/>
      </c>
      <c r="V572" s="10" t="str">
        <f ca="1">IFERROR(__xludf.DUMMYFUNCTION("IF(OR(ISNA(SUM(FILTER($K$2:$K905,$A$2:$A905=A572,$S$2:$S905=S572,$H$2:$H905&lt;&gt;""OB""))),W572&lt;&gt;1),"""",SUM(FILTER($K$2:$K905,$A$2:$A905=A572,$S$2:$S905=S572,$H$2:$H905&lt;&gt;""OB"")))"),"")</f>
        <v/>
      </c>
      <c r="W572" s="10" t="str">
        <f t="shared" si="5"/>
        <v/>
      </c>
    </row>
    <row r="573" spans="1:23" ht="12.5">
      <c r="A573" s="23"/>
      <c r="B573" s="5" t="str">
        <f t="array" ref="B573">IF(W573=1,INDEX('Database Mitra'!$H$2:$H905,MATCH(A573,'Database Mitra'!AK$2:AK905,0)),"")</f>
        <v/>
      </c>
      <c r="C573" s="5" t="str">
        <f t="array" ref="C573">IF(W573=1,INDEX('Database Mitra'!$E$2:$E905,MATCH(A573,'Database Mitra'!AK$2:AK905,0)),"")</f>
        <v/>
      </c>
      <c r="D573" s="23"/>
      <c r="E573" s="5" t="str">
        <f t="array" ref="E573">IF(W573=1,INDEX('Input Kegiatan'!B$2:B905,MATCH($D573,'Input Kegiatan'!$A$2:$A905,0)),"")</f>
        <v/>
      </c>
      <c r="F573" s="5" t="str">
        <f t="array" ref="F573">IF(W573=1,INDEX('Input Kegiatan'!D$2:D905,MATCH($D573,'Input Kegiatan'!$A$2:$A905,0)),"")</f>
        <v/>
      </c>
      <c r="G573" s="5" t="str">
        <f t="array" ref="G573">IF(W573=1,INDEX('Input Kegiatan'!E$2:E905,MATCH($D573,'Input Kegiatan'!$A$2:$A905,0)),"")</f>
        <v/>
      </c>
      <c r="H573" s="5" t="str">
        <f t="array" ref="H573">IF(W573=1,INDEX(Honor!$H$2:$H905,MATCH($D573&amp;"-"&amp;R573,Honor!$K$2:$K905,0)),"")</f>
        <v/>
      </c>
      <c r="I573" s="8" t="str">
        <f>IF(W573=1,SUMIFS(Honor!$I$2:$I905,Honor!$K$2:$K905,$D573&amp;"-"&amp;R573),"")</f>
        <v/>
      </c>
      <c r="J573" s="9" t="str">
        <f t="shared" si="6"/>
        <v/>
      </c>
      <c r="K573" s="10" t="str">
        <f t="shared" si="0"/>
        <v/>
      </c>
      <c r="L573" s="10" t="str">
        <f t="shared" si="1"/>
        <v/>
      </c>
      <c r="M573" s="10" t="str">
        <f>IF(W573=1,IF(AND(U573&lt;2,INT(V573)&lt;='Batasan Honor'!$B$2),1,0),"")</f>
        <v/>
      </c>
      <c r="O573" s="10" t="str">
        <f t="shared" si="2"/>
        <v/>
      </c>
      <c r="P573" s="10" t="str">
        <f t="shared" si="3"/>
        <v/>
      </c>
      <c r="R573" s="23"/>
      <c r="S573" s="10" t="str">
        <f t="shared" si="4"/>
        <v/>
      </c>
      <c r="U573" s="10" t="str">
        <f ca="1">IFERROR(__xludf.DUMMYFUNCTION("if(W573=1,COUNTIFS(FILTER($H$2:$H905,$H$2:$H905=""OB"",$S$2:$S905=S573),""OB""),"""")"),"")</f>
        <v/>
      </c>
      <c r="V573" s="10" t="str">
        <f ca="1">IFERROR(__xludf.DUMMYFUNCTION("IF(OR(ISNA(SUM(FILTER($K$2:$K905,$A$2:$A905=A573,$S$2:$S905=S573,$H$2:$H905&lt;&gt;""OB""))),W573&lt;&gt;1),"""",SUM(FILTER($K$2:$K905,$A$2:$A905=A573,$S$2:$S905=S573,$H$2:$H905&lt;&gt;""OB"")))"),"")</f>
        <v/>
      </c>
      <c r="W573" s="10" t="str">
        <f t="shared" si="5"/>
        <v/>
      </c>
    </row>
    <row r="574" spans="1:23" ht="12.5">
      <c r="A574" s="23"/>
      <c r="B574" s="5" t="str">
        <f t="array" ref="B574">IF(W574=1,INDEX('Database Mitra'!$H$2:$H905,MATCH(A574,'Database Mitra'!AK$2:AK905,0)),"")</f>
        <v/>
      </c>
      <c r="C574" s="5" t="str">
        <f t="array" ref="C574">IF(W574=1,INDEX('Database Mitra'!$E$2:$E905,MATCH(A574,'Database Mitra'!AK$2:AK905,0)),"")</f>
        <v/>
      </c>
      <c r="D574" s="23"/>
      <c r="E574" s="5" t="str">
        <f t="array" ref="E574">IF(W574=1,INDEX('Input Kegiatan'!B$2:B905,MATCH($D574,'Input Kegiatan'!$A$2:$A905,0)),"")</f>
        <v/>
      </c>
      <c r="F574" s="5" t="str">
        <f t="array" ref="F574">IF(W574=1,INDEX('Input Kegiatan'!D$2:D905,MATCH($D574,'Input Kegiatan'!$A$2:$A905,0)),"")</f>
        <v/>
      </c>
      <c r="G574" s="5" t="str">
        <f t="array" ref="G574">IF(W574=1,INDEX('Input Kegiatan'!E$2:E905,MATCH($D574,'Input Kegiatan'!$A$2:$A905,0)),"")</f>
        <v/>
      </c>
      <c r="H574" s="5" t="str">
        <f t="array" ref="H574">IF(W574=1,INDEX(Honor!$H$2:$H905,MATCH($D574&amp;"-"&amp;R574,Honor!$K$2:$K905,0)),"")</f>
        <v/>
      </c>
      <c r="I574" s="8" t="str">
        <f>IF(W574=1,SUMIFS(Honor!$I$2:$I905,Honor!$K$2:$K905,$D574&amp;"-"&amp;R574),"")</f>
        <v/>
      </c>
      <c r="J574" s="9" t="str">
        <f t="shared" si="6"/>
        <v/>
      </c>
      <c r="K574" s="10" t="str">
        <f t="shared" si="0"/>
        <v/>
      </c>
      <c r="L574" s="10" t="str">
        <f t="shared" si="1"/>
        <v/>
      </c>
      <c r="M574" s="10" t="str">
        <f>IF(W574=1,IF(AND(U574&lt;2,INT(V574)&lt;='Batasan Honor'!$B$2),1,0),"")</f>
        <v/>
      </c>
      <c r="O574" s="10" t="str">
        <f t="shared" si="2"/>
        <v/>
      </c>
      <c r="P574" s="10" t="str">
        <f t="shared" si="3"/>
        <v/>
      </c>
      <c r="R574" s="23"/>
      <c r="S574" s="10" t="str">
        <f t="shared" si="4"/>
        <v/>
      </c>
      <c r="U574" s="10" t="str">
        <f ca="1">IFERROR(__xludf.DUMMYFUNCTION("if(W574=1,COUNTIFS(FILTER($H$2:$H905,$H$2:$H905=""OB"",$S$2:$S905=S574),""OB""),"""")"),"")</f>
        <v/>
      </c>
      <c r="V574" s="10" t="str">
        <f ca="1">IFERROR(__xludf.DUMMYFUNCTION("IF(OR(ISNA(SUM(FILTER($K$2:$K905,$A$2:$A905=A574,$S$2:$S905=S574,$H$2:$H905&lt;&gt;""OB""))),W574&lt;&gt;1),"""",SUM(FILTER($K$2:$K905,$A$2:$A905=A574,$S$2:$S905=S574,$H$2:$H905&lt;&gt;""OB"")))"),"")</f>
        <v/>
      </c>
      <c r="W574" s="10" t="str">
        <f t="shared" si="5"/>
        <v/>
      </c>
    </row>
    <row r="575" spans="1:23" ht="12.5">
      <c r="A575" s="23"/>
      <c r="B575" s="5" t="str">
        <f t="array" ref="B575">IF(W575=1,INDEX('Database Mitra'!$H$2:$H905,MATCH(A575,'Database Mitra'!AK$2:AK905,0)),"")</f>
        <v/>
      </c>
      <c r="C575" s="5" t="str">
        <f t="array" ref="C575">IF(W575=1,INDEX('Database Mitra'!$E$2:$E905,MATCH(A575,'Database Mitra'!AK$2:AK905,0)),"")</f>
        <v/>
      </c>
      <c r="D575" s="23"/>
      <c r="E575" s="5" t="str">
        <f t="array" ref="E575">IF(W575=1,INDEX('Input Kegiatan'!B$2:B905,MATCH($D575,'Input Kegiatan'!$A$2:$A905,0)),"")</f>
        <v/>
      </c>
      <c r="F575" s="5" t="str">
        <f t="array" ref="F575">IF(W575=1,INDEX('Input Kegiatan'!D$2:D905,MATCH($D575,'Input Kegiatan'!$A$2:$A905,0)),"")</f>
        <v/>
      </c>
      <c r="G575" s="5" t="str">
        <f t="array" ref="G575">IF(W575=1,INDEX('Input Kegiatan'!E$2:E905,MATCH($D575,'Input Kegiatan'!$A$2:$A905,0)),"")</f>
        <v/>
      </c>
      <c r="H575" s="5" t="str">
        <f t="array" ref="H575">IF(W575=1,INDEX(Honor!$H$2:$H905,MATCH($D575&amp;"-"&amp;R575,Honor!$K$2:$K905,0)),"")</f>
        <v/>
      </c>
      <c r="I575" s="8" t="str">
        <f>IF(W575=1,SUMIFS(Honor!$I$2:$I905,Honor!$K$2:$K905,$D575&amp;"-"&amp;R575),"")</f>
        <v/>
      </c>
      <c r="J575" s="9" t="str">
        <f t="shared" si="6"/>
        <v/>
      </c>
      <c r="K575" s="10" t="str">
        <f t="shared" si="0"/>
        <v/>
      </c>
      <c r="L575" s="10" t="str">
        <f t="shared" si="1"/>
        <v/>
      </c>
      <c r="M575" s="10" t="str">
        <f>IF(W575=1,IF(AND(U575&lt;2,INT(V575)&lt;='Batasan Honor'!$B$2),1,0),"")</f>
        <v/>
      </c>
      <c r="O575" s="10" t="str">
        <f t="shared" si="2"/>
        <v/>
      </c>
      <c r="P575" s="10" t="str">
        <f t="shared" si="3"/>
        <v/>
      </c>
      <c r="R575" s="23"/>
      <c r="S575" s="10" t="str">
        <f t="shared" si="4"/>
        <v/>
      </c>
      <c r="U575" s="10" t="str">
        <f ca="1">IFERROR(__xludf.DUMMYFUNCTION("if(W575=1,COUNTIFS(FILTER($H$2:$H905,$H$2:$H905=""OB"",$S$2:$S905=S575),""OB""),"""")"),"")</f>
        <v/>
      </c>
      <c r="V575" s="10" t="str">
        <f ca="1">IFERROR(__xludf.DUMMYFUNCTION("IF(OR(ISNA(SUM(FILTER($K$2:$K905,$A$2:$A905=A575,$S$2:$S905=S575,$H$2:$H905&lt;&gt;""OB""))),W575&lt;&gt;1),"""",SUM(FILTER($K$2:$K905,$A$2:$A905=A575,$S$2:$S905=S575,$H$2:$H905&lt;&gt;""OB"")))"),"")</f>
        <v/>
      </c>
      <c r="W575" s="10" t="str">
        <f t="shared" si="5"/>
        <v/>
      </c>
    </row>
    <row r="576" spans="1:23" ht="12.5">
      <c r="A576" s="23"/>
      <c r="B576" s="5" t="str">
        <f t="array" ref="B576">IF(W576=1,INDEX('Database Mitra'!$H$2:$H905,MATCH(A576,'Database Mitra'!AK$2:AK905,0)),"")</f>
        <v/>
      </c>
      <c r="C576" s="5" t="str">
        <f t="array" ref="C576">IF(W576=1,INDEX('Database Mitra'!$E$2:$E905,MATCH(A576,'Database Mitra'!AK$2:AK905,0)),"")</f>
        <v/>
      </c>
      <c r="D576" s="23"/>
      <c r="E576" s="5" t="str">
        <f t="array" ref="E576">IF(W576=1,INDEX('Input Kegiatan'!B$2:B905,MATCH($D576,'Input Kegiatan'!$A$2:$A905,0)),"")</f>
        <v/>
      </c>
      <c r="F576" s="5" t="str">
        <f t="array" ref="F576">IF(W576=1,INDEX('Input Kegiatan'!D$2:D905,MATCH($D576,'Input Kegiatan'!$A$2:$A905,0)),"")</f>
        <v/>
      </c>
      <c r="G576" s="5" t="str">
        <f t="array" ref="G576">IF(W576=1,INDEX('Input Kegiatan'!E$2:E905,MATCH($D576,'Input Kegiatan'!$A$2:$A905,0)),"")</f>
        <v/>
      </c>
      <c r="H576" s="5" t="str">
        <f t="array" ref="H576">IF(W576=1,INDEX(Honor!$H$2:$H905,MATCH($D576&amp;"-"&amp;R576,Honor!$K$2:$K905,0)),"")</f>
        <v/>
      </c>
      <c r="I576" s="8" t="str">
        <f>IF(W576=1,SUMIFS(Honor!$I$2:$I905,Honor!$K$2:$K905,$D576&amp;"-"&amp;R576),"")</f>
        <v/>
      </c>
      <c r="J576" s="9" t="str">
        <f t="shared" si="6"/>
        <v/>
      </c>
      <c r="K576" s="10" t="str">
        <f t="shared" si="0"/>
        <v/>
      </c>
      <c r="L576" s="10" t="str">
        <f t="shared" si="1"/>
        <v/>
      </c>
      <c r="M576" s="10" t="str">
        <f>IF(W576=1,IF(AND(U576&lt;2,INT(V576)&lt;='Batasan Honor'!$B$2),1,0),"")</f>
        <v/>
      </c>
      <c r="O576" s="10" t="str">
        <f t="shared" si="2"/>
        <v/>
      </c>
      <c r="P576" s="10" t="str">
        <f t="shared" si="3"/>
        <v/>
      </c>
      <c r="R576" s="23"/>
      <c r="S576" s="10" t="str">
        <f t="shared" si="4"/>
        <v/>
      </c>
      <c r="U576" s="10" t="str">
        <f ca="1">IFERROR(__xludf.DUMMYFUNCTION("if(W576=1,COUNTIFS(FILTER($H$2:$H905,$H$2:$H905=""OB"",$S$2:$S905=S576),""OB""),"""")"),"")</f>
        <v/>
      </c>
      <c r="V576" s="10" t="str">
        <f ca="1">IFERROR(__xludf.DUMMYFUNCTION("IF(OR(ISNA(SUM(FILTER($K$2:$K905,$A$2:$A905=A576,$S$2:$S905=S576,$H$2:$H905&lt;&gt;""OB""))),W576&lt;&gt;1),"""",SUM(FILTER($K$2:$K905,$A$2:$A905=A576,$S$2:$S905=S576,$H$2:$H905&lt;&gt;""OB"")))"),"")</f>
        <v/>
      </c>
      <c r="W576" s="10" t="str">
        <f t="shared" si="5"/>
        <v/>
      </c>
    </row>
    <row r="577" spans="1:23" ht="12.5">
      <c r="A577" s="23"/>
      <c r="B577" s="5" t="str">
        <f t="array" ref="B577">IF(W577=1,INDEX('Database Mitra'!$H$2:$H905,MATCH(A577,'Database Mitra'!AK$2:AK905,0)),"")</f>
        <v/>
      </c>
      <c r="C577" s="5" t="str">
        <f t="array" ref="C577">IF(W577=1,INDEX('Database Mitra'!$E$2:$E905,MATCH(A577,'Database Mitra'!AK$2:AK905,0)),"")</f>
        <v/>
      </c>
      <c r="D577" s="23"/>
      <c r="E577" s="5" t="str">
        <f t="array" ref="E577">IF(W577=1,INDEX('Input Kegiatan'!B$2:B905,MATCH($D577,'Input Kegiatan'!$A$2:$A905,0)),"")</f>
        <v/>
      </c>
      <c r="F577" s="5" t="str">
        <f t="array" ref="F577">IF(W577=1,INDEX('Input Kegiatan'!D$2:D905,MATCH($D577,'Input Kegiatan'!$A$2:$A905,0)),"")</f>
        <v/>
      </c>
      <c r="G577" s="5" t="str">
        <f t="array" ref="G577">IF(W577=1,INDEX('Input Kegiatan'!E$2:E905,MATCH($D577,'Input Kegiatan'!$A$2:$A905,0)),"")</f>
        <v/>
      </c>
      <c r="H577" s="5" t="str">
        <f t="array" ref="H577">IF(W577=1,INDEX(Honor!$H$2:$H905,MATCH($D577&amp;"-"&amp;R577,Honor!$K$2:$K905,0)),"")</f>
        <v/>
      </c>
      <c r="I577" s="8" t="str">
        <f>IF(W577=1,SUMIFS(Honor!$I$2:$I905,Honor!$K$2:$K905,$D577&amp;"-"&amp;R577),"")</f>
        <v/>
      </c>
      <c r="J577" s="9" t="str">
        <f t="shared" si="6"/>
        <v/>
      </c>
      <c r="K577" s="10" t="str">
        <f t="shared" si="0"/>
        <v/>
      </c>
      <c r="L577" s="10" t="str">
        <f t="shared" si="1"/>
        <v/>
      </c>
      <c r="M577" s="10" t="str">
        <f>IF(W577=1,IF(AND(U577&lt;2,INT(V577)&lt;='Batasan Honor'!$B$2),1,0),"")</f>
        <v/>
      </c>
      <c r="O577" s="10" t="str">
        <f t="shared" si="2"/>
        <v/>
      </c>
      <c r="P577" s="10" t="str">
        <f t="shared" si="3"/>
        <v/>
      </c>
      <c r="R577" s="23"/>
      <c r="S577" s="10" t="str">
        <f t="shared" si="4"/>
        <v/>
      </c>
      <c r="U577" s="10" t="str">
        <f ca="1">IFERROR(__xludf.DUMMYFUNCTION("if(W577=1,COUNTIFS(FILTER($H$2:$H905,$H$2:$H905=""OB"",$S$2:$S905=S577),""OB""),"""")"),"")</f>
        <v/>
      </c>
      <c r="V577" s="10" t="str">
        <f ca="1">IFERROR(__xludf.DUMMYFUNCTION("IF(OR(ISNA(SUM(FILTER($K$2:$K905,$A$2:$A905=A577,$S$2:$S905=S577,$H$2:$H905&lt;&gt;""OB""))),W577&lt;&gt;1),"""",SUM(FILTER($K$2:$K905,$A$2:$A905=A577,$S$2:$S905=S577,$H$2:$H905&lt;&gt;""OB"")))"),"")</f>
        <v/>
      </c>
      <c r="W577" s="10" t="str">
        <f t="shared" si="5"/>
        <v/>
      </c>
    </row>
    <row r="578" spans="1:23" ht="12.5">
      <c r="A578" s="23"/>
      <c r="B578" s="5" t="str">
        <f t="array" ref="B578">IF(W578=1,INDEX('Database Mitra'!$H$2:$H905,MATCH(A578,'Database Mitra'!AK$2:AK905,0)),"")</f>
        <v/>
      </c>
      <c r="C578" s="5" t="str">
        <f t="array" ref="C578">IF(W578=1,INDEX('Database Mitra'!$E$2:$E905,MATCH(A578,'Database Mitra'!AK$2:AK905,0)),"")</f>
        <v/>
      </c>
      <c r="D578" s="23"/>
      <c r="E578" s="5" t="str">
        <f t="array" ref="E578">IF(W578=1,INDEX('Input Kegiatan'!B$2:B905,MATCH($D578,'Input Kegiatan'!$A$2:$A905,0)),"")</f>
        <v/>
      </c>
      <c r="F578" s="5" t="str">
        <f t="array" ref="F578">IF(W578=1,INDEX('Input Kegiatan'!D$2:D905,MATCH($D578,'Input Kegiatan'!$A$2:$A905,0)),"")</f>
        <v/>
      </c>
      <c r="G578" s="5" t="str">
        <f t="array" ref="G578">IF(W578=1,INDEX('Input Kegiatan'!E$2:E905,MATCH($D578,'Input Kegiatan'!$A$2:$A905,0)),"")</f>
        <v/>
      </c>
      <c r="H578" s="5" t="str">
        <f t="array" ref="H578">IF(W578=1,INDEX(Honor!$H$2:$H905,MATCH($D578&amp;"-"&amp;R578,Honor!$K$2:$K905,0)),"")</f>
        <v/>
      </c>
      <c r="I578" s="8" t="str">
        <f>IF(W578=1,SUMIFS(Honor!$I$2:$I905,Honor!$K$2:$K905,$D578&amp;"-"&amp;R578),"")</f>
        <v/>
      </c>
      <c r="J578" s="9" t="str">
        <f t="shared" si="6"/>
        <v/>
      </c>
      <c r="K578" s="10" t="str">
        <f t="shared" si="0"/>
        <v/>
      </c>
      <c r="L578" s="10" t="str">
        <f t="shared" si="1"/>
        <v/>
      </c>
      <c r="M578" s="10" t="str">
        <f>IF(W578=1,IF(AND(U578&lt;2,INT(V578)&lt;='Batasan Honor'!$B$2),1,0),"")</f>
        <v/>
      </c>
      <c r="O578" s="10" t="str">
        <f t="shared" si="2"/>
        <v/>
      </c>
      <c r="P578" s="10" t="str">
        <f t="shared" si="3"/>
        <v/>
      </c>
      <c r="R578" s="23"/>
      <c r="S578" s="10" t="str">
        <f t="shared" si="4"/>
        <v/>
      </c>
      <c r="U578" s="10" t="str">
        <f ca="1">IFERROR(__xludf.DUMMYFUNCTION("if(W578=1,COUNTIFS(FILTER($H$2:$H905,$H$2:$H905=""OB"",$S$2:$S905=S578),""OB""),"""")"),"")</f>
        <v/>
      </c>
      <c r="V578" s="10" t="str">
        <f ca="1">IFERROR(__xludf.DUMMYFUNCTION("IF(OR(ISNA(SUM(FILTER($K$2:$K905,$A$2:$A905=A578,$S$2:$S905=S578,$H$2:$H905&lt;&gt;""OB""))),W578&lt;&gt;1),"""",SUM(FILTER($K$2:$K905,$A$2:$A905=A578,$S$2:$S905=S578,$H$2:$H905&lt;&gt;""OB"")))"),"")</f>
        <v/>
      </c>
      <c r="W578" s="10" t="str">
        <f t="shared" si="5"/>
        <v/>
      </c>
    </row>
    <row r="579" spans="1:23" ht="12.5">
      <c r="A579" s="23"/>
      <c r="B579" s="5" t="str">
        <f t="array" ref="B579">IF(W579=1,INDEX('Database Mitra'!$H$2:$H905,MATCH(A579,'Database Mitra'!AK$2:AK905,0)),"")</f>
        <v/>
      </c>
      <c r="C579" s="5" t="str">
        <f t="array" ref="C579">IF(W579=1,INDEX('Database Mitra'!$E$2:$E905,MATCH(A579,'Database Mitra'!AK$2:AK905,0)),"")</f>
        <v/>
      </c>
      <c r="D579" s="23"/>
      <c r="E579" s="5" t="str">
        <f t="array" ref="E579">IF(W579=1,INDEX('Input Kegiatan'!B$2:B905,MATCH($D579,'Input Kegiatan'!$A$2:$A905,0)),"")</f>
        <v/>
      </c>
      <c r="F579" s="5" t="str">
        <f t="array" ref="F579">IF(W579=1,INDEX('Input Kegiatan'!D$2:D905,MATCH($D579,'Input Kegiatan'!$A$2:$A905,0)),"")</f>
        <v/>
      </c>
      <c r="G579" s="5" t="str">
        <f t="array" ref="G579">IF(W579=1,INDEX('Input Kegiatan'!E$2:E905,MATCH($D579,'Input Kegiatan'!$A$2:$A905,0)),"")</f>
        <v/>
      </c>
      <c r="H579" s="5" t="str">
        <f t="array" ref="H579">IF(W579=1,INDEX(Honor!$H$2:$H905,MATCH($D579&amp;"-"&amp;R579,Honor!$K$2:$K905,0)),"")</f>
        <v/>
      </c>
      <c r="I579" s="8" t="str">
        <f>IF(W579=1,SUMIFS(Honor!$I$2:$I905,Honor!$K$2:$K905,$D579&amp;"-"&amp;R579),"")</f>
        <v/>
      </c>
      <c r="J579" s="9" t="str">
        <f t="shared" si="6"/>
        <v/>
      </c>
      <c r="K579" s="10" t="str">
        <f t="shared" si="0"/>
        <v/>
      </c>
      <c r="L579" s="10" t="str">
        <f t="shared" si="1"/>
        <v/>
      </c>
      <c r="M579" s="10" t="str">
        <f>IF(W579=1,IF(AND(U579&lt;2,INT(V579)&lt;='Batasan Honor'!$B$2),1,0),"")</f>
        <v/>
      </c>
      <c r="O579" s="10" t="str">
        <f t="shared" si="2"/>
        <v/>
      </c>
      <c r="P579" s="10" t="str">
        <f t="shared" si="3"/>
        <v/>
      </c>
      <c r="R579" s="23"/>
      <c r="S579" s="10" t="str">
        <f t="shared" si="4"/>
        <v/>
      </c>
      <c r="U579" s="10" t="str">
        <f ca="1">IFERROR(__xludf.DUMMYFUNCTION("if(W579=1,COUNTIFS(FILTER($H$2:$H905,$H$2:$H905=""OB"",$S$2:$S905=S579),""OB""),"""")"),"")</f>
        <v/>
      </c>
      <c r="V579" s="10" t="str">
        <f ca="1">IFERROR(__xludf.DUMMYFUNCTION("IF(OR(ISNA(SUM(FILTER($K$2:$K905,$A$2:$A905=A579,$S$2:$S905=S579,$H$2:$H905&lt;&gt;""OB""))),W579&lt;&gt;1),"""",SUM(FILTER($K$2:$K905,$A$2:$A905=A579,$S$2:$S905=S579,$H$2:$H905&lt;&gt;""OB"")))"),"")</f>
        <v/>
      </c>
      <c r="W579" s="10" t="str">
        <f t="shared" si="5"/>
        <v/>
      </c>
    </row>
    <row r="580" spans="1:23" ht="12.5">
      <c r="A580" s="23"/>
      <c r="B580" s="5" t="str">
        <f t="array" ref="B580">IF(W580=1,INDEX('Database Mitra'!$H$2:$H905,MATCH(A580,'Database Mitra'!AK$2:AK905,0)),"")</f>
        <v/>
      </c>
      <c r="C580" s="5" t="str">
        <f t="array" ref="C580">IF(W580=1,INDEX('Database Mitra'!$E$2:$E905,MATCH(A580,'Database Mitra'!AK$2:AK905,0)),"")</f>
        <v/>
      </c>
      <c r="D580" s="23"/>
      <c r="E580" s="5" t="str">
        <f t="array" ref="E580">IF(W580=1,INDEX('Input Kegiatan'!B$2:B905,MATCH($D580,'Input Kegiatan'!$A$2:$A905,0)),"")</f>
        <v/>
      </c>
      <c r="F580" s="5" t="str">
        <f t="array" ref="F580">IF(W580=1,INDEX('Input Kegiatan'!D$2:D905,MATCH($D580,'Input Kegiatan'!$A$2:$A905,0)),"")</f>
        <v/>
      </c>
      <c r="G580" s="5" t="str">
        <f t="array" ref="G580">IF(W580=1,INDEX('Input Kegiatan'!E$2:E905,MATCH($D580,'Input Kegiatan'!$A$2:$A905,0)),"")</f>
        <v/>
      </c>
      <c r="H580" s="5" t="str">
        <f t="array" ref="H580">IF(W580=1,INDEX(Honor!$H$2:$H905,MATCH($D580&amp;"-"&amp;R580,Honor!$K$2:$K905,0)),"")</f>
        <v/>
      </c>
      <c r="I580" s="8" t="str">
        <f>IF(W580=1,SUMIFS(Honor!$I$2:$I905,Honor!$K$2:$K905,$D580&amp;"-"&amp;R580),"")</f>
        <v/>
      </c>
      <c r="J580" s="9" t="str">
        <f t="shared" si="6"/>
        <v/>
      </c>
      <c r="K580" s="10" t="str">
        <f t="shared" si="0"/>
        <v/>
      </c>
      <c r="L580" s="10" t="str">
        <f t="shared" si="1"/>
        <v/>
      </c>
      <c r="M580" s="10" t="str">
        <f>IF(W580=1,IF(AND(U580&lt;2,INT(V580)&lt;='Batasan Honor'!$B$2),1,0),"")</f>
        <v/>
      </c>
      <c r="O580" s="10" t="str">
        <f t="shared" si="2"/>
        <v/>
      </c>
      <c r="P580" s="10" t="str">
        <f t="shared" si="3"/>
        <v/>
      </c>
      <c r="R580" s="23"/>
      <c r="S580" s="10" t="str">
        <f t="shared" si="4"/>
        <v/>
      </c>
      <c r="U580" s="10" t="str">
        <f ca="1">IFERROR(__xludf.DUMMYFUNCTION("if(W580=1,COUNTIFS(FILTER($H$2:$H905,$H$2:$H905=""OB"",$S$2:$S905=S580),""OB""),"""")"),"")</f>
        <v/>
      </c>
      <c r="V580" s="10" t="str">
        <f ca="1">IFERROR(__xludf.DUMMYFUNCTION("IF(OR(ISNA(SUM(FILTER($K$2:$K905,$A$2:$A905=A580,$S$2:$S905=S580,$H$2:$H905&lt;&gt;""OB""))),W580&lt;&gt;1),"""",SUM(FILTER($K$2:$K905,$A$2:$A905=A580,$S$2:$S905=S580,$H$2:$H905&lt;&gt;""OB"")))"),"")</f>
        <v/>
      </c>
      <c r="W580" s="10" t="str">
        <f t="shared" si="5"/>
        <v/>
      </c>
    </row>
    <row r="581" spans="1:23" ht="12.5">
      <c r="A581" s="23"/>
      <c r="B581" s="5" t="str">
        <f t="array" ref="B581">IF(W581=1,INDEX('Database Mitra'!$H$2:$H905,MATCH(A581,'Database Mitra'!AK$2:AK905,0)),"")</f>
        <v/>
      </c>
      <c r="C581" s="5" t="str">
        <f t="array" ref="C581">IF(W581=1,INDEX('Database Mitra'!$E$2:$E905,MATCH(A581,'Database Mitra'!AK$2:AK905,0)),"")</f>
        <v/>
      </c>
      <c r="D581" s="23"/>
      <c r="E581" s="5" t="str">
        <f t="array" ref="E581">IF(W581=1,INDEX('Input Kegiatan'!B$2:B905,MATCH($D581,'Input Kegiatan'!$A$2:$A905,0)),"")</f>
        <v/>
      </c>
      <c r="F581" s="5" t="str">
        <f t="array" ref="F581">IF(W581=1,INDEX('Input Kegiatan'!D$2:D905,MATCH($D581,'Input Kegiatan'!$A$2:$A905,0)),"")</f>
        <v/>
      </c>
      <c r="G581" s="5" t="str">
        <f t="array" ref="G581">IF(W581=1,INDEX('Input Kegiatan'!E$2:E905,MATCH($D581,'Input Kegiatan'!$A$2:$A905,0)),"")</f>
        <v/>
      </c>
      <c r="H581" s="5" t="str">
        <f t="array" ref="H581">IF(W581=1,INDEX(Honor!$H$2:$H905,MATCH($D581&amp;"-"&amp;R581,Honor!$K$2:$K905,0)),"")</f>
        <v/>
      </c>
      <c r="I581" s="8" t="str">
        <f>IF(W581=1,SUMIFS(Honor!$I$2:$I905,Honor!$K$2:$K905,$D581&amp;"-"&amp;R581),"")</f>
        <v/>
      </c>
      <c r="J581" s="9" t="str">
        <f t="shared" si="6"/>
        <v/>
      </c>
      <c r="K581" s="10" t="str">
        <f t="shared" si="0"/>
        <v/>
      </c>
      <c r="L581" s="10" t="str">
        <f t="shared" si="1"/>
        <v/>
      </c>
      <c r="M581" s="10" t="str">
        <f>IF(W581=1,IF(AND(U581&lt;2,INT(V581)&lt;='Batasan Honor'!$B$2),1,0),"")</f>
        <v/>
      </c>
      <c r="O581" s="10" t="str">
        <f t="shared" si="2"/>
        <v/>
      </c>
      <c r="P581" s="10" t="str">
        <f t="shared" si="3"/>
        <v/>
      </c>
      <c r="R581" s="23"/>
      <c r="S581" s="10" t="str">
        <f t="shared" si="4"/>
        <v/>
      </c>
      <c r="U581" s="10" t="str">
        <f ca="1">IFERROR(__xludf.DUMMYFUNCTION("if(W581=1,COUNTIFS(FILTER($H$2:$H905,$H$2:$H905=""OB"",$S$2:$S905=S581),""OB""),"""")"),"")</f>
        <v/>
      </c>
      <c r="V581" s="10" t="str">
        <f ca="1">IFERROR(__xludf.DUMMYFUNCTION("IF(OR(ISNA(SUM(FILTER($K$2:$K905,$A$2:$A905=A581,$S$2:$S905=S581,$H$2:$H905&lt;&gt;""OB""))),W581&lt;&gt;1),"""",SUM(FILTER($K$2:$K905,$A$2:$A905=A581,$S$2:$S905=S581,$H$2:$H905&lt;&gt;""OB"")))"),"")</f>
        <v/>
      </c>
      <c r="W581" s="10" t="str">
        <f t="shared" si="5"/>
        <v/>
      </c>
    </row>
    <row r="582" spans="1:23" ht="12.5">
      <c r="A582" s="23"/>
      <c r="B582" s="5" t="str">
        <f t="array" ref="B582">IF(W582=1,INDEX('Database Mitra'!$H$2:$H905,MATCH(A582,'Database Mitra'!AK$2:AK905,0)),"")</f>
        <v/>
      </c>
      <c r="C582" s="5" t="str">
        <f t="array" ref="C582">IF(W582=1,INDEX('Database Mitra'!$E$2:$E905,MATCH(A582,'Database Mitra'!AK$2:AK905,0)),"")</f>
        <v/>
      </c>
      <c r="D582" s="23"/>
      <c r="E582" s="5" t="str">
        <f t="array" ref="E582">IF(W582=1,INDEX('Input Kegiatan'!B$2:B905,MATCH($D582,'Input Kegiatan'!$A$2:$A905,0)),"")</f>
        <v/>
      </c>
      <c r="F582" s="5" t="str">
        <f t="array" ref="F582">IF(W582=1,INDEX('Input Kegiatan'!D$2:D905,MATCH($D582,'Input Kegiatan'!$A$2:$A905,0)),"")</f>
        <v/>
      </c>
      <c r="G582" s="5" t="str">
        <f t="array" ref="G582">IF(W582=1,INDEX('Input Kegiatan'!E$2:E905,MATCH($D582,'Input Kegiatan'!$A$2:$A905,0)),"")</f>
        <v/>
      </c>
      <c r="H582" s="5" t="str">
        <f t="array" ref="H582">IF(W582=1,INDEX(Honor!$H$2:$H905,MATCH($D582&amp;"-"&amp;R582,Honor!$K$2:$K905,0)),"")</f>
        <v/>
      </c>
      <c r="I582" s="8" t="str">
        <f>IF(W582=1,SUMIFS(Honor!$I$2:$I905,Honor!$K$2:$K905,$D582&amp;"-"&amp;R582),"")</f>
        <v/>
      </c>
      <c r="J582" s="9" t="str">
        <f t="shared" si="6"/>
        <v/>
      </c>
      <c r="K582" s="10" t="str">
        <f t="shared" si="0"/>
        <v/>
      </c>
      <c r="L582" s="10" t="str">
        <f t="shared" si="1"/>
        <v/>
      </c>
      <c r="M582" s="10" t="str">
        <f>IF(W582=1,IF(AND(U582&lt;2,INT(V582)&lt;='Batasan Honor'!$B$2),1,0),"")</f>
        <v/>
      </c>
      <c r="O582" s="10" t="str">
        <f t="shared" si="2"/>
        <v/>
      </c>
      <c r="P582" s="10" t="str">
        <f t="shared" si="3"/>
        <v/>
      </c>
      <c r="R582" s="23"/>
      <c r="S582" s="10" t="str">
        <f t="shared" si="4"/>
        <v/>
      </c>
      <c r="U582" s="10" t="str">
        <f ca="1">IFERROR(__xludf.DUMMYFUNCTION("if(W582=1,COUNTIFS(FILTER($H$2:$H905,$H$2:$H905=""OB"",$S$2:$S905=S582),""OB""),"""")"),"")</f>
        <v/>
      </c>
      <c r="V582" s="10" t="str">
        <f ca="1">IFERROR(__xludf.DUMMYFUNCTION("IF(OR(ISNA(SUM(FILTER($K$2:$K905,$A$2:$A905=A582,$S$2:$S905=S582,$H$2:$H905&lt;&gt;""OB""))),W582&lt;&gt;1),"""",SUM(FILTER($K$2:$K905,$A$2:$A905=A582,$S$2:$S905=S582,$H$2:$H905&lt;&gt;""OB"")))"),"")</f>
        <v/>
      </c>
      <c r="W582" s="10" t="str">
        <f t="shared" si="5"/>
        <v/>
      </c>
    </row>
    <row r="583" spans="1:23" ht="12.5">
      <c r="A583" s="23"/>
      <c r="B583" s="5" t="str">
        <f t="array" ref="B583">IF(W583=1,INDEX('Database Mitra'!$H$2:$H905,MATCH(A583,'Database Mitra'!AK$2:AK905,0)),"")</f>
        <v/>
      </c>
      <c r="C583" s="5" t="str">
        <f t="array" ref="C583">IF(W583=1,INDEX('Database Mitra'!$E$2:$E905,MATCH(A583,'Database Mitra'!AK$2:AK905,0)),"")</f>
        <v/>
      </c>
      <c r="D583" s="23"/>
      <c r="E583" s="5" t="str">
        <f t="array" ref="E583">IF(W583=1,INDEX('Input Kegiatan'!B$2:B905,MATCH($D583,'Input Kegiatan'!$A$2:$A905,0)),"")</f>
        <v/>
      </c>
      <c r="F583" s="5" t="str">
        <f t="array" ref="F583">IF(W583=1,INDEX('Input Kegiatan'!D$2:D905,MATCH($D583,'Input Kegiatan'!$A$2:$A905,0)),"")</f>
        <v/>
      </c>
      <c r="G583" s="5" t="str">
        <f t="array" ref="G583">IF(W583=1,INDEX('Input Kegiatan'!E$2:E905,MATCH($D583,'Input Kegiatan'!$A$2:$A905,0)),"")</f>
        <v/>
      </c>
      <c r="H583" s="5" t="str">
        <f t="array" ref="H583">IF(W583=1,INDEX(Honor!$H$2:$H905,MATCH($D583&amp;"-"&amp;R583,Honor!$K$2:$K905,0)),"")</f>
        <v/>
      </c>
      <c r="I583" s="8" t="str">
        <f>IF(W583=1,SUMIFS(Honor!$I$2:$I905,Honor!$K$2:$K905,$D583&amp;"-"&amp;R583),"")</f>
        <v/>
      </c>
      <c r="J583" s="9" t="str">
        <f t="shared" si="6"/>
        <v/>
      </c>
      <c r="K583" s="10" t="str">
        <f t="shared" si="0"/>
        <v/>
      </c>
      <c r="L583" s="10" t="str">
        <f t="shared" si="1"/>
        <v/>
      </c>
      <c r="M583" s="10" t="str">
        <f>IF(W583=1,IF(AND(U583&lt;2,INT(V583)&lt;='Batasan Honor'!$B$2),1,0),"")</f>
        <v/>
      </c>
      <c r="O583" s="10" t="str">
        <f t="shared" si="2"/>
        <v/>
      </c>
      <c r="P583" s="10" t="str">
        <f t="shared" si="3"/>
        <v/>
      </c>
      <c r="R583" s="23"/>
      <c r="S583" s="10" t="str">
        <f t="shared" si="4"/>
        <v/>
      </c>
      <c r="U583" s="10" t="str">
        <f ca="1">IFERROR(__xludf.DUMMYFUNCTION("if(W583=1,COUNTIFS(FILTER($H$2:$H905,$H$2:$H905=""OB"",$S$2:$S905=S583),""OB""),"""")"),"")</f>
        <v/>
      </c>
      <c r="V583" s="10" t="str">
        <f ca="1">IFERROR(__xludf.DUMMYFUNCTION("IF(OR(ISNA(SUM(FILTER($K$2:$K905,$A$2:$A905=A583,$S$2:$S905=S583,$H$2:$H905&lt;&gt;""OB""))),W583&lt;&gt;1),"""",SUM(FILTER($K$2:$K905,$A$2:$A905=A583,$S$2:$S905=S583,$H$2:$H905&lt;&gt;""OB"")))"),"")</f>
        <v/>
      </c>
      <c r="W583" s="10" t="str">
        <f t="shared" si="5"/>
        <v/>
      </c>
    </row>
    <row r="584" spans="1:23" ht="12.5">
      <c r="A584" s="23"/>
      <c r="B584" s="5" t="str">
        <f t="array" ref="B584">IF(W584=1,INDEX('Database Mitra'!$H$2:$H905,MATCH(A584,'Database Mitra'!AK$2:AK905,0)),"")</f>
        <v/>
      </c>
      <c r="C584" s="5" t="str">
        <f t="array" ref="C584">IF(W584=1,INDEX('Database Mitra'!$E$2:$E905,MATCH(A584,'Database Mitra'!AK$2:AK905,0)),"")</f>
        <v/>
      </c>
      <c r="D584" s="23"/>
      <c r="E584" s="5" t="str">
        <f t="array" ref="E584">IF(W584=1,INDEX('Input Kegiatan'!B$2:B905,MATCH($D584,'Input Kegiatan'!$A$2:$A905,0)),"")</f>
        <v/>
      </c>
      <c r="F584" s="5" t="str">
        <f t="array" ref="F584">IF(W584=1,INDEX('Input Kegiatan'!D$2:D905,MATCH($D584,'Input Kegiatan'!$A$2:$A905,0)),"")</f>
        <v/>
      </c>
      <c r="G584" s="5" t="str">
        <f t="array" ref="G584">IF(W584=1,INDEX('Input Kegiatan'!E$2:E905,MATCH($D584,'Input Kegiatan'!$A$2:$A905,0)),"")</f>
        <v/>
      </c>
      <c r="H584" s="5" t="str">
        <f t="array" ref="H584">IF(W584=1,INDEX(Honor!$H$2:$H905,MATCH($D584&amp;"-"&amp;R584,Honor!$K$2:$K905,0)),"")</f>
        <v/>
      </c>
      <c r="I584" s="8" t="str">
        <f>IF(W584=1,SUMIFS(Honor!$I$2:$I905,Honor!$K$2:$K905,$D584&amp;"-"&amp;R584),"")</f>
        <v/>
      </c>
      <c r="J584" s="9" t="str">
        <f t="shared" si="6"/>
        <v/>
      </c>
      <c r="K584" s="10" t="str">
        <f t="shared" si="0"/>
        <v/>
      </c>
      <c r="L584" s="10" t="str">
        <f t="shared" si="1"/>
        <v/>
      </c>
      <c r="M584" s="10" t="str">
        <f>IF(W584=1,IF(AND(U584&lt;2,INT(V584)&lt;='Batasan Honor'!$B$2),1,0),"")</f>
        <v/>
      </c>
      <c r="O584" s="10" t="str">
        <f t="shared" si="2"/>
        <v/>
      </c>
      <c r="P584" s="10" t="str">
        <f t="shared" si="3"/>
        <v/>
      </c>
      <c r="R584" s="23"/>
      <c r="S584" s="10" t="str">
        <f t="shared" si="4"/>
        <v/>
      </c>
      <c r="U584" s="10" t="str">
        <f ca="1">IFERROR(__xludf.DUMMYFUNCTION("if(W584=1,COUNTIFS(FILTER($H$2:$H905,$H$2:$H905=""OB"",$S$2:$S905=S584),""OB""),"""")"),"")</f>
        <v/>
      </c>
      <c r="V584" s="10" t="str">
        <f ca="1">IFERROR(__xludf.DUMMYFUNCTION("IF(OR(ISNA(SUM(FILTER($K$2:$K905,$A$2:$A905=A584,$S$2:$S905=S584,$H$2:$H905&lt;&gt;""OB""))),W584&lt;&gt;1),"""",SUM(FILTER($K$2:$K905,$A$2:$A905=A584,$S$2:$S905=S584,$H$2:$H905&lt;&gt;""OB"")))"),"")</f>
        <v/>
      </c>
      <c r="W584" s="10" t="str">
        <f t="shared" si="5"/>
        <v/>
      </c>
    </row>
    <row r="585" spans="1:23" ht="12.5">
      <c r="A585" s="23"/>
      <c r="B585" s="5" t="str">
        <f t="array" ref="B585">IF(W585=1,INDEX('Database Mitra'!$H$2:$H905,MATCH(A585,'Database Mitra'!AK$2:AK905,0)),"")</f>
        <v/>
      </c>
      <c r="C585" s="5" t="str">
        <f t="array" ref="C585">IF(W585=1,INDEX('Database Mitra'!$E$2:$E905,MATCH(A585,'Database Mitra'!AK$2:AK905,0)),"")</f>
        <v/>
      </c>
      <c r="D585" s="23"/>
      <c r="E585" s="5" t="str">
        <f t="array" ref="E585">IF(W585=1,INDEX('Input Kegiatan'!B$2:B905,MATCH($D585,'Input Kegiatan'!$A$2:$A905,0)),"")</f>
        <v/>
      </c>
      <c r="F585" s="5" t="str">
        <f t="array" ref="F585">IF(W585=1,INDEX('Input Kegiatan'!D$2:D905,MATCH($D585,'Input Kegiatan'!$A$2:$A905,0)),"")</f>
        <v/>
      </c>
      <c r="G585" s="5" t="str">
        <f t="array" ref="G585">IF(W585=1,INDEX('Input Kegiatan'!E$2:E905,MATCH($D585,'Input Kegiatan'!$A$2:$A905,0)),"")</f>
        <v/>
      </c>
      <c r="H585" s="5" t="str">
        <f t="array" ref="H585">IF(W585=1,INDEX(Honor!$H$2:$H905,MATCH($D585&amp;"-"&amp;R585,Honor!$K$2:$K905,0)),"")</f>
        <v/>
      </c>
      <c r="I585" s="8" t="str">
        <f>IF(W585=1,SUMIFS(Honor!$I$2:$I905,Honor!$K$2:$K905,$D585&amp;"-"&amp;R585),"")</f>
        <v/>
      </c>
      <c r="J585" s="9" t="str">
        <f t="shared" si="6"/>
        <v/>
      </c>
      <c r="K585" s="10" t="str">
        <f t="shared" si="0"/>
        <v/>
      </c>
      <c r="L585" s="10" t="str">
        <f t="shared" si="1"/>
        <v/>
      </c>
      <c r="M585" s="10" t="str">
        <f>IF(W585=1,IF(AND(U585&lt;2,INT(V585)&lt;='Batasan Honor'!$B$2),1,0),"")</f>
        <v/>
      </c>
      <c r="O585" s="10" t="str">
        <f t="shared" si="2"/>
        <v/>
      </c>
      <c r="P585" s="10" t="str">
        <f t="shared" si="3"/>
        <v/>
      </c>
      <c r="R585" s="23"/>
      <c r="S585" s="10" t="str">
        <f t="shared" si="4"/>
        <v/>
      </c>
      <c r="U585" s="10" t="str">
        <f ca="1">IFERROR(__xludf.DUMMYFUNCTION("if(W585=1,COUNTIFS(FILTER($H$2:$H905,$H$2:$H905=""OB"",$S$2:$S905=S585),""OB""),"""")"),"")</f>
        <v/>
      </c>
      <c r="V585" s="10" t="str">
        <f ca="1">IFERROR(__xludf.DUMMYFUNCTION("IF(OR(ISNA(SUM(FILTER($K$2:$K905,$A$2:$A905=A585,$S$2:$S905=S585,$H$2:$H905&lt;&gt;""OB""))),W585&lt;&gt;1),"""",SUM(FILTER($K$2:$K905,$A$2:$A905=A585,$S$2:$S905=S585,$H$2:$H905&lt;&gt;""OB"")))"),"")</f>
        <v/>
      </c>
      <c r="W585" s="10" t="str">
        <f t="shared" si="5"/>
        <v/>
      </c>
    </row>
    <row r="586" spans="1:23" ht="12.5">
      <c r="A586" s="23"/>
      <c r="B586" s="5" t="str">
        <f t="array" ref="B586">IF(W586=1,INDEX('Database Mitra'!$H$2:$H905,MATCH(A586,'Database Mitra'!AK$2:AK905,0)),"")</f>
        <v/>
      </c>
      <c r="C586" s="5" t="str">
        <f t="array" ref="C586">IF(W586=1,INDEX('Database Mitra'!$E$2:$E905,MATCH(A586,'Database Mitra'!AK$2:AK905,0)),"")</f>
        <v/>
      </c>
      <c r="D586" s="23"/>
      <c r="E586" s="5" t="str">
        <f t="array" ref="E586">IF(W586=1,INDEX('Input Kegiatan'!B$2:B905,MATCH($D586,'Input Kegiatan'!$A$2:$A905,0)),"")</f>
        <v/>
      </c>
      <c r="F586" s="5" t="str">
        <f t="array" ref="F586">IF(W586=1,INDEX('Input Kegiatan'!D$2:D905,MATCH($D586,'Input Kegiatan'!$A$2:$A905,0)),"")</f>
        <v/>
      </c>
      <c r="G586" s="5" t="str">
        <f t="array" ref="G586">IF(W586=1,INDEX('Input Kegiatan'!E$2:E905,MATCH($D586,'Input Kegiatan'!$A$2:$A905,0)),"")</f>
        <v/>
      </c>
      <c r="H586" s="5" t="str">
        <f t="array" ref="H586">IF(W586=1,INDEX(Honor!$H$2:$H905,MATCH($D586&amp;"-"&amp;R586,Honor!$K$2:$K905,0)),"")</f>
        <v/>
      </c>
      <c r="I586" s="8" t="str">
        <f>IF(W586=1,SUMIFS(Honor!$I$2:$I905,Honor!$K$2:$K905,$D586&amp;"-"&amp;R586),"")</f>
        <v/>
      </c>
      <c r="J586" s="9" t="str">
        <f t="shared" si="6"/>
        <v/>
      </c>
      <c r="K586" s="10" t="str">
        <f t="shared" si="0"/>
        <v/>
      </c>
      <c r="L586" s="10" t="str">
        <f t="shared" si="1"/>
        <v/>
      </c>
      <c r="M586" s="10" t="str">
        <f>IF(W586=1,IF(AND(U586&lt;2,INT(V586)&lt;='Batasan Honor'!$B$2),1,0),"")</f>
        <v/>
      </c>
      <c r="O586" s="10" t="str">
        <f t="shared" si="2"/>
        <v/>
      </c>
      <c r="P586" s="10" t="str">
        <f t="shared" si="3"/>
        <v/>
      </c>
      <c r="R586" s="23"/>
      <c r="S586" s="10" t="str">
        <f t="shared" si="4"/>
        <v/>
      </c>
      <c r="U586" s="10" t="str">
        <f ca="1">IFERROR(__xludf.DUMMYFUNCTION("if(W586=1,COUNTIFS(FILTER($H$2:$H905,$H$2:$H905=""OB"",$S$2:$S905=S586),""OB""),"""")"),"")</f>
        <v/>
      </c>
      <c r="V586" s="10" t="str">
        <f ca="1">IFERROR(__xludf.DUMMYFUNCTION("IF(OR(ISNA(SUM(FILTER($K$2:$K905,$A$2:$A905=A586,$S$2:$S905=S586,$H$2:$H905&lt;&gt;""OB""))),W586&lt;&gt;1),"""",SUM(FILTER($K$2:$K905,$A$2:$A905=A586,$S$2:$S905=S586,$H$2:$H905&lt;&gt;""OB"")))"),"")</f>
        <v/>
      </c>
      <c r="W586" s="10" t="str">
        <f t="shared" si="5"/>
        <v/>
      </c>
    </row>
    <row r="587" spans="1:23" ht="12.5">
      <c r="A587" s="23"/>
      <c r="B587" s="5" t="str">
        <f t="array" ref="B587">IF(W587=1,INDEX('Database Mitra'!$H$2:$H905,MATCH(A587,'Database Mitra'!AK$2:AK905,0)),"")</f>
        <v/>
      </c>
      <c r="C587" s="5" t="str">
        <f t="array" ref="C587">IF(W587=1,INDEX('Database Mitra'!$E$2:$E905,MATCH(A587,'Database Mitra'!AK$2:AK905,0)),"")</f>
        <v/>
      </c>
      <c r="D587" s="23"/>
      <c r="E587" s="5" t="str">
        <f t="array" ref="E587">IF(W587=1,INDEX('Input Kegiatan'!B$2:B905,MATCH($D587,'Input Kegiatan'!$A$2:$A905,0)),"")</f>
        <v/>
      </c>
      <c r="F587" s="5" t="str">
        <f t="array" ref="F587">IF(W587=1,INDEX('Input Kegiatan'!D$2:D905,MATCH($D587,'Input Kegiatan'!$A$2:$A905,0)),"")</f>
        <v/>
      </c>
      <c r="G587" s="5" t="str">
        <f t="array" ref="G587">IF(W587=1,INDEX('Input Kegiatan'!E$2:E905,MATCH($D587,'Input Kegiatan'!$A$2:$A905,0)),"")</f>
        <v/>
      </c>
      <c r="H587" s="5" t="str">
        <f t="array" ref="H587">IF(W587=1,INDEX(Honor!$H$2:$H905,MATCH($D587&amp;"-"&amp;R587,Honor!$K$2:$K905,0)),"")</f>
        <v/>
      </c>
      <c r="I587" s="8" t="str">
        <f>IF(W587=1,SUMIFS(Honor!$I$2:$I905,Honor!$K$2:$K905,$D587&amp;"-"&amp;R587),"")</f>
        <v/>
      </c>
      <c r="J587" s="9" t="str">
        <f t="shared" si="6"/>
        <v/>
      </c>
      <c r="K587" s="10" t="str">
        <f t="shared" si="0"/>
        <v/>
      </c>
      <c r="L587" s="10" t="str">
        <f t="shared" si="1"/>
        <v/>
      </c>
      <c r="M587" s="10" t="str">
        <f>IF(W587=1,IF(AND(U587&lt;2,INT(V587)&lt;='Batasan Honor'!$B$2),1,0),"")</f>
        <v/>
      </c>
      <c r="O587" s="10" t="str">
        <f t="shared" si="2"/>
        <v/>
      </c>
      <c r="P587" s="10" t="str">
        <f t="shared" si="3"/>
        <v/>
      </c>
      <c r="R587" s="23"/>
      <c r="S587" s="10" t="str">
        <f t="shared" si="4"/>
        <v/>
      </c>
      <c r="U587" s="10" t="str">
        <f ca="1">IFERROR(__xludf.DUMMYFUNCTION("if(W587=1,COUNTIFS(FILTER($H$2:$H905,$H$2:$H905=""OB"",$S$2:$S905=S587),""OB""),"""")"),"")</f>
        <v/>
      </c>
      <c r="V587" s="10" t="str">
        <f ca="1">IFERROR(__xludf.DUMMYFUNCTION("IF(OR(ISNA(SUM(FILTER($K$2:$K905,$A$2:$A905=A587,$S$2:$S905=S587,$H$2:$H905&lt;&gt;""OB""))),W587&lt;&gt;1),"""",SUM(FILTER($K$2:$K905,$A$2:$A905=A587,$S$2:$S905=S587,$H$2:$H905&lt;&gt;""OB"")))"),"")</f>
        <v/>
      </c>
      <c r="W587" s="10" t="str">
        <f t="shared" si="5"/>
        <v/>
      </c>
    </row>
    <row r="588" spans="1:23" ht="12.5">
      <c r="A588" s="23"/>
      <c r="B588" s="5" t="str">
        <f t="array" ref="B588">IF(W588=1,INDEX('Database Mitra'!$H$2:$H905,MATCH(A588,'Database Mitra'!AK$2:AK905,0)),"")</f>
        <v/>
      </c>
      <c r="C588" s="5" t="str">
        <f t="array" ref="C588">IF(W588=1,INDEX('Database Mitra'!$E$2:$E905,MATCH(A588,'Database Mitra'!AK$2:AK905,0)),"")</f>
        <v/>
      </c>
      <c r="D588" s="23"/>
      <c r="E588" s="5" t="str">
        <f t="array" ref="E588">IF(W588=1,INDEX('Input Kegiatan'!B$2:B905,MATCH($D588,'Input Kegiatan'!$A$2:$A905,0)),"")</f>
        <v/>
      </c>
      <c r="F588" s="5" t="str">
        <f t="array" ref="F588">IF(W588=1,INDEX('Input Kegiatan'!D$2:D905,MATCH($D588,'Input Kegiatan'!$A$2:$A905,0)),"")</f>
        <v/>
      </c>
      <c r="G588" s="5" t="str">
        <f t="array" ref="G588">IF(W588=1,INDEX('Input Kegiatan'!E$2:E905,MATCH($D588,'Input Kegiatan'!$A$2:$A905,0)),"")</f>
        <v/>
      </c>
      <c r="H588" s="5" t="str">
        <f t="array" ref="H588">IF(W588=1,INDEX(Honor!$H$2:$H905,MATCH($D588&amp;"-"&amp;R588,Honor!$K$2:$K905,0)),"")</f>
        <v/>
      </c>
      <c r="I588" s="8" t="str">
        <f>IF(W588=1,SUMIFS(Honor!$I$2:$I905,Honor!$K$2:$K905,$D588&amp;"-"&amp;R588),"")</f>
        <v/>
      </c>
      <c r="J588" s="9" t="str">
        <f t="shared" si="6"/>
        <v/>
      </c>
      <c r="K588" s="10" t="str">
        <f t="shared" si="0"/>
        <v/>
      </c>
      <c r="L588" s="10" t="str">
        <f t="shared" si="1"/>
        <v/>
      </c>
      <c r="M588" s="10" t="str">
        <f>IF(W588=1,IF(AND(U588&lt;2,INT(V588)&lt;='Batasan Honor'!$B$2),1,0),"")</f>
        <v/>
      </c>
      <c r="O588" s="10" t="str">
        <f t="shared" si="2"/>
        <v/>
      </c>
      <c r="P588" s="10" t="str">
        <f t="shared" si="3"/>
        <v/>
      </c>
      <c r="R588" s="23"/>
      <c r="S588" s="10" t="str">
        <f t="shared" si="4"/>
        <v/>
      </c>
      <c r="U588" s="10" t="str">
        <f ca="1">IFERROR(__xludf.DUMMYFUNCTION("if(W588=1,COUNTIFS(FILTER($H$2:$H905,$H$2:$H905=""OB"",$S$2:$S905=S588),""OB""),"""")"),"")</f>
        <v/>
      </c>
      <c r="V588" s="10" t="str">
        <f ca="1">IFERROR(__xludf.DUMMYFUNCTION("IF(OR(ISNA(SUM(FILTER($K$2:$K905,$A$2:$A905=A588,$S$2:$S905=S588,$H$2:$H905&lt;&gt;""OB""))),W588&lt;&gt;1),"""",SUM(FILTER($K$2:$K905,$A$2:$A905=A588,$S$2:$S905=S588,$H$2:$H905&lt;&gt;""OB"")))"),"")</f>
        <v/>
      </c>
      <c r="W588" s="10" t="str">
        <f t="shared" si="5"/>
        <v/>
      </c>
    </row>
    <row r="589" spans="1:23" ht="12.5">
      <c r="A589" s="23"/>
      <c r="B589" s="5" t="str">
        <f t="array" ref="B589">IF(W589=1,INDEX('Database Mitra'!$H$2:$H905,MATCH(A589,'Database Mitra'!AK$2:AK905,0)),"")</f>
        <v/>
      </c>
      <c r="C589" s="5" t="str">
        <f t="array" ref="C589">IF(W589=1,INDEX('Database Mitra'!$E$2:$E905,MATCH(A589,'Database Mitra'!AK$2:AK905,0)),"")</f>
        <v/>
      </c>
      <c r="D589" s="23"/>
      <c r="E589" s="5" t="str">
        <f t="array" ref="E589">IF(W589=1,INDEX('Input Kegiatan'!B$2:B905,MATCH($D589,'Input Kegiatan'!$A$2:$A905,0)),"")</f>
        <v/>
      </c>
      <c r="F589" s="5" t="str">
        <f t="array" ref="F589">IF(W589=1,INDEX('Input Kegiatan'!D$2:D905,MATCH($D589,'Input Kegiatan'!$A$2:$A905,0)),"")</f>
        <v/>
      </c>
      <c r="G589" s="5" t="str">
        <f t="array" ref="G589">IF(W589=1,INDEX('Input Kegiatan'!E$2:E905,MATCH($D589,'Input Kegiatan'!$A$2:$A905,0)),"")</f>
        <v/>
      </c>
      <c r="H589" s="5" t="str">
        <f t="array" ref="H589">IF(W589=1,INDEX(Honor!$H$2:$H905,MATCH($D589&amp;"-"&amp;R589,Honor!$K$2:$K905,0)),"")</f>
        <v/>
      </c>
      <c r="I589" s="8" t="str">
        <f>IF(W589=1,SUMIFS(Honor!$I$2:$I905,Honor!$K$2:$K905,$D589&amp;"-"&amp;R589),"")</f>
        <v/>
      </c>
      <c r="J589" s="9" t="str">
        <f t="shared" si="6"/>
        <v/>
      </c>
      <c r="K589" s="10" t="str">
        <f t="shared" si="0"/>
        <v/>
      </c>
      <c r="L589" s="10" t="str">
        <f t="shared" si="1"/>
        <v/>
      </c>
      <c r="M589" s="10" t="str">
        <f>IF(W589=1,IF(AND(U589&lt;2,INT(V589)&lt;='Batasan Honor'!$B$2),1,0),"")</f>
        <v/>
      </c>
      <c r="O589" s="10" t="str">
        <f t="shared" si="2"/>
        <v/>
      </c>
      <c r="P589" s="10" t="str">
        <f t="shared" si="3"/>
        <v/>
      </c>
      <c r="R589" s="23"/>
      <c r="S589" s="10" t="str">
        <f t="shared" si="4"/>
        <v/>
      </c>
      <c r="U589" s="10" t="str">
        <f ca="1">IFERROR(__xludf.DUMMYFUNCTION("if(W589=1,COUNTIFS(FILTER($H$2:$H905,$H$2:$H905=""OB"",$S$2:$S905=S589),""OB""),"""")"),"")</f>
        <v/>
      </c>
      <c r="V589" s="10" t="str">
        <f ca="1">IFERROR(__xludf.DUMMYFUNCTION("IF(OR(ISNA(SUM(FILTER($K$2:$K905,$A$2:$A905=A589,$S$2:$S905=S589,$H$2:$H905&lt;&gt;""OB""))),W589&lt;&gt;1),"""",SUM(FILTER($K$2:$K905,$A$2:$A905=A589,$S$2:$S905=S589,$H$2:$H905&lt;&gt;""OB"")))"),"")</f>
        <v/>
      </c>
      <c r="W589" s="10" t="str">
        <f t="shared" si="5"/>
        <v/>
      </c>
    </row>
    <row r="590" spans="1:23" ht="12.5">
      <c r="A590" s="23"/>
      <c r="B590" s="5" t="str">
        <f t="array" ref="B590">IF(W590=1,INDEX('Database Mitra'!$H$2:$H905,MATCH(A590,'Database Mitra'!AK$2:AK905,0)),"")</f>
        <v/>
      </c>
      <c r="C590" s="5" t="str">
        <f t="array" ref="C590">IF(W590=1,INDEX('Database Mitra'!$E$2:$E905,MATCH(A590,'Database Mitra'!AK$2:AK905,0)),"")</f>
        <v/>
      </c>
      <c r="D590" s="23"/>
      <c r="E590" s="5" t="str">
        <f t="array" ref="E590">IF(W590=1,INDEX('Input Kegiatan'!B$2:B905,MATCH($D590,'Input Kegiatan'!$A$2:$A905,0)),"")</f>
        <v/>
      </c>
      <c r="F590" s="5" t="str">
        <f t="array" ref="F590">IF(W590=1,INDEX('Input Kegiatan'!D$2:D905,MATCH($D590,'Input Kegiatan'!$A$2:$A905,0)),"")</f>
        <v/>
      </c>
      <c r="G590" s="5" t="str">
        <f t="array" ref="G590">IF(W590=1,INDEX('Input Kegiatan'!E$2:E905,MATCH($D590,'Input Kegiatan'!$A$2:$A905,0)),"")</f>
        <v/>
      </c>
      <c r="H590" s="5" t="str">
        <f t="array" ref="H590">IF(W590=1,INDEX(Honor!$H$2:$H905,MATCH($D590&amp;"-"&amp;R590,Honor!$K$2:$K905,0)),"")</f>
        <v/>
      </c>
      <c r="I590" s="8" t="str">
        <f>IF(W590=1,SUMIFS(Honor!$I$2:$I905,Honor!$K$2:$K905,$D590&amp;"-"&amp;R590),"")</f>
        <v/>
      </c>
      <c r="J590" s="9" t="str">
        <f t="shared" si="6"/>
        <v/>
      </c>
      <c r="K590" s="10" t="str">
        <f t="shared" si="0"/>
        <v/>
      </c>
      <c r="L590" s="10" t="str">
        <f t="shared" si="1"/>
        <v/>
      </c>
      <c r="M590" s="10" t="str">
        <f>IF(W590=1,IF(AND(U590&lt;2,INT(V590)&lt;='Batasan Honor'!$B$2),1,0),"")</f>
        <v/>
      </c>
      <c r="O590" s="10" t="str">
        <f t="shared" si="2"/>
        <v/>
      </c>
      <c r="P590" s="10" t="str">
        <f t="shared" si="3"/>
        <v/>
      </c>
      <c r="R590" s="23"/>
      <c r="S590" s="10" t="str">
        <f t="shared" si="4"/>
        <v/>
      </c>
      <c r="U590" s="10" t="str">
        <f ca="1">IFERROR(__xludf.DUMMYFUNCTION("if(W590=1,COUNTIFS(FILTER($H$2:$H905,$H$2:$H905=""OB"",$S$2:$S905=S590),""OB""),"""")"),"")</f>
        <v/>
      </c>
      <c r="V590" s="10" t="str">
        <f ca="1">IFERROR(__xludf.DUMMYFUNCTION("IF(OR(ISNA(SUM(FILTER($K$2:$K905,$A$2:$A905=A590,$S$2:$S905=S590,$H$2:$H905&lt;&gt;""OB""))),W590&lt;&gt;1),"""",SUM(FILTER($K$2:$K905,$A$2:$A905=A590,$S$2:$S905=S590,$H$2:$H905&lt;&gt;""OB"")))"),"")</f>
        <v/>
      </c>
      <c r="W590" s="10" t="str">
        <f t="shared" si="5"/>
        <v/>
      </c>
    </row>
    <row r="591" spans="1:23" ht="12.5">
      <c r="A591" s="23"/>
      <c r="B591" s="5" t="str">
        <f t="array" ref="B591">IF(W591=1,INDEX('Database Mitra'!$H$2:$H905,MATCH(A591,'Database Mitra'!AK$2:AK905,0)),"")</f>
        <v/>
      </c>
      <c r="C591" s="5" t="str">
        <f t="array" ref="C591">IF(W591=1,INDEX('Database Mitra'!$E$2:$E905,MATCH(A591,'Database Mitra'!AK$2:AK905,0)),"")</f>
        <v/>
      </c>
      <c r="D591" s="23"/>
      <c r="E591" s="5" t="str">
        <f t="array" ref="E591">IF(W591=1,INDEX('Input Kegiatan'!B$2:B905,MATCH($D591,'Input Kegiatan'!$A$2:$A905,0)),"")</f>
        <v/>
      </c>
      <c r="F591" s="5" t="str">
        <f t="array" ref="F591">IF(W591=1,INDEX('Input Kegiatan'!D$2:D905,MATCH($D591,'Input Kegiatan'!$A$2:$A905,0)),"")</f>
        <v/>
      </c>
      <c r="G591" s="5" t="str">
        <f t="array" ref="G591">IF(W591=1,INDEX('Input Kegiatan'!E$2:E905,MATCH($D591,'Input Kegiatan'!$A$2:$A905,0)),"")</f>
        <v/>
      </c>
      <c r="H591" s="5" t="str">
        <f t="array" ref="H591">IF(W591=1,INDEX(Honor!$H$2:$H905,MATCH($D591&amp;"-"&amp;R591,Honor!$K$2:$K905,0)),"")</f>
        <v/>
      </c>
      <c r="I591" s="8" t="str">
        <f>IF(W591=1,SUMIFS(Honor!$I$2:$I905,Honor!$K$2:$K905,$D591&amp;"-"&amp;R591),"")</f>
        <v/>
      </c>
      <c r="J591" s="9" t="str">
        <f t="shared" si="6"/>
        <v/>
      </c>
      <c r="K591" s="10" t="str">
        <f t="shared" si="0"/>
        <v/>
      </c>
      <c r="L591" s="10" t="str">
        <f t="shared" si="1"/>
        <v/>
      </c>
      <c r="M591" s="10" t="str">
        <f>IF(W591=1,IF(AND(U591&lt;2,INT(V591)&lt;='Batasan Honor'!$B$2),1,0),"")</f>
        <v/>
      </c>
      <c r="O591" s="10" t="str">
        <f t="shared" si="2"/>
        <v/>
      </c>
      <c r="P591" s="10" t="str">
        <f t="shared" si="3"/>
        <v/>
      </c>
      <c r="R591" s="23"/>
      <c r="S591" s="10" t="str">
        <f t="shared" si="4"/>
        <v/>
      </c>
      <c r="U591" s="10" t="str">
        <f ca="1">IFERROR(__xludf.DUMMYFUNCTION("if(W591=1,COUNTIFS(FILTER($H$2:$H905,$H$2:$H905=""OB"",$S$2:$S905=S591),""OB""),"""")"),"")</f>
        <v/>
      </c>
      <c r="V591" s="10" t="str">
        <f ca="1">IFERROR(__xludf.DUMMYFUNCTION("IF(OR(ISNA(SUM(FILTER($K$2:$K905,$A$2:$A905=A591,$S$2:$S905=S591,$H$2:$H905&lt;&gt;""OB""))),W591&lt;&gt;1),"""",SUM(FILTER($K$2:$K905,$A$2:$A905=A591,$S$2:$S905=S591,$H$2:$H905&lt;&gt;""OB"")))"),"")</f>
        <v/>
      </c>
      <c r="W591" s="10" t="str">
        <f t="shared" si="5"/>
        <v/>
      </c>
    </row>
    <row r="592" spans="1:23" ht="12.5">
      <c r="A592" s="23"/>
      <c r="B592" s="5" t="str">
        <f t="array" ref="B592">IF(W592=1,INDEX('Database Mitra'!$H$2:$H905,MATCH(A592,'Database Mitra'!AK$2:AK905,0)),"")</f>
        <v/>
      </c>
      <c r="C592" s="5" t="str">
        <f t="array" ref="C592">IF(W592=1,INDEX('Database Mitra'!$E$2:$E905,MATCH(A592,'Database Mitra'!AK$2:AK905,0)),"")</f>
        <v/>
      </c>
      <c r="D592" s="23"/>
      <c r="E592" s="5" t="str">
        <f t="array" ref="E592">IF(W592=1,INDEX('Input Kegiatan'!B$2:B905,MATCH($D592,'Input Kegiatan'!$A$2:$A905,0)),"")</f>
        <v/>
      </c>
      <c r="F592" s="5" t="str">
        <f t="array" ref="F592">IF(W592=1,INDEX('Input Kegiatan'!D$2:D905,MATCH($D592,'Input Kegiatan'!$A$2:$A905,0)),"")</f>
        <v/>
      </c>
      <c r="G592" s="5" t="str">
        <f t="array" ref="G592">IF(W592=1,INDEX('Input Kegiatan'!E$2:E905,MATCH($D592,'Input Kegiatan'!$A$2:$A905,0)),"")</f>
        <v/>
      </c>
      <c r="H592" s="5" t="str">
        <f t="array" ref="H592">IF(W592=1,INDEX(Honor!$H$2:$H905,MATCH($D592&amp;"-"&amp;R592,Honor!$K$2:$K905,0)),"")</f>
        <v/>
      </c>
      <c r="I592" s="8" t="str">
        <f>IF(W592=1,SUMIFS(Honor!$I$2:$I905,Honor!$K$2:$K905,$D592&amp;"-"&amp;R592),"")</f>
        <v/>
      </c>
      <c r="J592" s="9" t="str">
        <f t="shared" si="6"/>
        <v/>
      </c>
      <c r="K592" s="10" t="str">
        <f t="shared" si="0"/>
        <v/>
      </c>
      <c r="L592" s="10" t="str">
        <f t="shared" si="1"/>
        <v/>
      </c>
      <c r="M592" s="10" t="str">
        <f>IF(W592=1,IF(AND(U592&lt;2,INT(V592)&lt;='Batasan Honor'!$B$2),1,0),"")</f>
        <v/>
      </c>
      <c r="O592" s="10" t="str">
        <f t="shared" si="2"/>
        <v/>
      </c>
      <c r="P592" s="10" t="str">
        <f t="shared" si="3"/>
        <v/>
      </c>
      <c r="R592" s="23"/>
      <c r="S592" s="10" t="str">
        <f t="shared" si="4"/>
        <v/>
      </c>
      <c r="U592" s="10" t="str">
        <f ca="1">IFERROR(__xludf.DUMMYFUNCTION("if(W592=1,COUNTIFS(FILTER($H$2:$H905,$H$2:$H905=""OB"",$S$2:$S905=S592),""OB""),"""")"),"")</f>
        <v/>
      </c>
      <c r="V592" s="10" t="str">
        <f ca="1">IFERROR(__xludf.DUMMYFUNCTION("IF(OR(ISNA(SUM(FILTER($K$2:$K905,$A$2:$A905=A592,$S$2:$S905=S592,$H$2:$H905&lt;&gt;""OB""))),W592&lt;&gt;1),"""",SUM(FILTER($K$2:$K905,$A$2:$A905=A592,$S$2:$S905=S592,$H$2:$H905&lt;&gt;""OB"")))"),"")</f>
        <v/>
      </c>
      <c r="W592" s="10" t="str">
        <f t="shared" si="5"/>
        <v/>
      </c>
    </row>
    <row r="593" spans="1:23" ht="12.5">
      <c r="A593" s="23"/>
      <c r="B593" s="5" t="str">
        <f t="array" ref="B593">IF(W593=1,INDEX('Database Mitra'!$H$2:$H905,MATCH(A593,'Database Mitra'!AK$2:AK905,0)),"")</f>
        <v/>
      </c>
      <c r="C593" s="5" t="str">
        <f t="array" ref="C593">IF(W593=1,INDEX('Database Mitra'!$E$2:$E905,MATCH(A593,'Database Mitra'!AK$2:AK905,0)),"")</f>
        <v/>
      </c>
      <c r="D593" s="23"/>
      <c r="E593" s="5" t="str">
        <f t="array" ref="E593">IF(W593=1,INDEX('Input Kegiatan'!B$2:B905,MATCH($D593,'Input Kegiatan'!$A$2:$A905,0)),"")</f>
        <v/>
      </c>
      <c r="F593" s="5" t="str">
        <f t="array" ref="F593">IF(W593=1,INDEX('Input Kegiatan'!D$2:D905,MATCH($D593,'Input Kegiatan'!$A$2:$A905,0)),"")</f>
        <v/>
      </c>
      <c r="G593" s="5" t="str">
        <f t="array" ref="G593">IF(W593=1,INDEX('Input Kegiatan'!E$2:E905,MATCH($D593,'Input Kegiatan'!$A$2:$A905,0)),"")</f>
        <v/>
      </c>
      <c r="H593" s="5" t="str">
        <f t="array" ref="H593">IF(W593=1,INDEX(Honor!$H$2:$H905,MATCH($D593&amp;"-"&amp;R593,Honor!$K$2:$K905,0)),"")</f>
        <v/>
      </c>
      <c r="I593" s="8" t="str">
        <f>IF(W593=1,SUMIFS(Honor!$I$2:$I905,Honor!$K$2:$K905,$D593&amp;"-"&amp;R593),"")</f>
        <v/>
      </c>
      <c r="J593" s="9" t="str">
        <f t="shared" si="6"/>
        <v/>
      </c>
      <c r="K593" s="10" t="str">
        <f t="shared" si="0"/>
        <v/>
      </c>
      <c r="L593" s="10" t="str">
        <f t="shared" si="1"/>
        <v/>
      </c>
      <c r="M593" s="10" t="str">
        <f>IF(W593=1,IF(AND(U593&lt;2,INT(V593)&lt;='Batasan Honor'!$B$2),1,0),"")</f>
        <v/>
      </c>
      <c r="O593" s="10" t="str">
        <f t="shared" si="2"/>
        <v/>
      </c>
      <c r="P593" s="10" t="str">
        <f t="shared" si="3"/>
        <v/>
      </c>
      <c r="R593" s="23"/>
      <c r="S593" s="10" t="str">
        <f t="shared" si="4"/>
        <v/>
      </c>
      <c r="U593" s="10" t="str">
        <f ca="1">IFERROR(__xludf.DUMMYFUNCTION("if(W593=1,COUNTIFS(FILTER($H$2:$H905,$H$2:$H905=""OB"",$S$2:$S905=S593),""OB""),"""")"),"")</f>
        <v/>
      </c>
      <c r="V593" s="10" t="str">
        <f ca="1">IFERROR(__xludf.DUMMYFUNCTION("IF(OR(ISNA(SUM(FILTER($K$2:$K905,$A$2:$A905=A593,$S$2:$S905=S593,$H$2:$H905&lt;&gt;""OB""))),W593&lt;&gt;1),"""",SUM(FILTER($K$2:$K905,$A$2:$A905=A593,$S$2:$S905=S593,$H$2:$H905&lt;&gt;""OB"")))"),"")</f>
        <v/>
      </c>
      <c r="W593" s="10" t="str">
        <f t="shared" si="5"/>
        <v/>
      </c>
    </row>
    <row r="594" spans="1:23" ht="12.5">
      <c r="A594" s="23"/>
      <c r="B594" s="5" t="str">
        <f t="array" ref="B594">IF(W594=1,INDEX('Database Mitra'!$H$2:$H905,MATCH(A594,'Database Mitra'!AK$2:AK905,0)),"")</f>
        <v/>
      </c>
      <c r="C594" s="5" t="str">
        <f t="array" ref="C594">IF(W594=1,INDEX('Database Mitra'!$E$2:$E905,MATCH(A594,'Database Mitra'!AK$2:AK905,0)),"")</f>
        <v/>
      </c>
      <c r="D594" s="23"/>
      <c r="E594" s="5" t="str">
        <f t="array" ref="E594">IF(W594=1,INDEX('Input Kegiatan'!B$2:B905,MATCH($D594,'Input Kegiatan'!$A$2:$A905,0)),"")</f>
        <v/>
      </c>
      <c r="F594" s="5" t="str">
        <f t="array" ref="F594">IF(W594=1,INDEX('Input Kegiatan'!D$2:D905,MATCH($D594,'Input Kegiatan'!$A$2:$A905,0)),"")</f>
        <v/>
      </c>
      <c r="G594" s="5" t="str">
        <f t="array" ref="G594">IF(W594=1,INDEX('Input Kegiatan'!E$2:E905,MATCH($D594,'Input Kegiatan'!$A$2:$A905,0)),"")</f>
        <v/>
      </c>
      <c r="H594" s="5" t="str">
        <f t="array" ref="H594">IF(W594=1,INDEX(Honor!$H$2:$H905,MATCH($D594&amp;"-"&amp;R594,Honor!$K$2:$K905,0)),"")</f>
        <v/>
      </c>
      <c r="I594" s="8" t="str">
        <f>IF(W594=1,SUMIFS(Honor!$I$2:$I905,Honor!$K$2:$K905,$D594&amp;"-"&amp;R594),"")</f>
        <v/>
      </c>
      <c r="J594" s="9" t="str">
        <f t="shared" si="6"/>
        <v/>
      </c>
      <c r="K594" s="10" t="str">
        <f t="shared" si="0"/>
        <v/>
      </c>
      <c r="L594" s="10" t="str">
        <f t="shared" si="1"/>
        <v/>
      </c>
      <c r="M594" s="10" t="str">
        <f>IF(W594=1,IF(AND(U594&lt;2,INT(V594)&lt;='Batasan Honor'!$B$2),1,0),"")</f>
        <v/>
      </c>
      <c r="O594" s="10" t="str">
        <f t="shared" si="2"/>
        <v/>
      </c>
      <c r="P594" s="10" t="str">
        <f t="shared" si="3"/>
        <v/>
      </c>
      <c r="R594" s="23"/>
      <c r="S594" s="10" t="str">
        <f t="shared" si="4"/>
        <v/>
      </c>
      <c r="U594" s="10" t="str">
        <f ca="1">IFERROR(__xludf.DUMMYFUNCTION("if(W594=1,COUNTIFS(FILTER($H$2:$H905,$H$2:$H905=""OB"",$S$2:$S905=S594),""OB""),"""")"),"")</f>
        <v/>
      </c>
      <c r="V594" s="10" t="str">
        <f ca="1">IFERROR(__xludf.DUMMYFUNCTION("IF(OR(ISNA(SUM(FILTER($K$2:$K905,$A$2:$A905=A594,$S$2:$S905=S594,$H$2:$H905&lt;&gt;""OB""))),W594&lt;&gt;1),"""",SUM(FILTER($K$2:$K905,$A$2:$A905=A594,$S$2:$S905=S594,$H$2:$H905&lt;&gt;""OB"")))"),"")</f>
        <v/>
      </c>
      <c r="W594" s="10" t="str">
        <f t="shared" si="5"/>
        <v/>
      </c>
    </row>
    <row r="595" spans="1:23" ht="12.5">
      <c r="A595" s="23"/>
      <c r="B595" s="5" t="str">
        <f t="array" ref="B595">IF(W595=1,INDEX('Database Mitra'!$H$2:$H905,MATCH(A595,'Database Mitra'!AK$2:AK905,0)),"")</f>
        <v/>
      </c>
      <c r="C595" s="5" t="str">
        <f t="array" ref="C595">IF(W595=1,INDEX('Database Mitra'!$E$2:$E905,MATCH(A595,'Database Mitra'!AK$2:AK905,0)),"")</f>
        <v/>
      </c>
      <c r="D595" s="23"/>
      <c r="E595" s="5" t="str">
        <f t="array" ref="E595">IF(W595=1,INDEX('Input Kegiatan'!B$2:B905,MATCH($D595,'Input Kegiatan'!$A$2:$A905,0)),"")</f>
        <v/>
      </c>
      <c r="F595" s="5" t="str">
        <f t="array" ref="F595">IF(W595=1,INDEX('Input Kegiatan'!D$2:D905,MATCH($D595,'Input Kegiatan'!$A$2:$A905,0)),"")</f>
        <v/>
      </c>
      <c r="G595" s="5" t="str">
        <f t="array" ref="G595">IF(W595=1,INDEX('Input Kegiatan'!E$2:E905,MATCH($D595,'Input Kegiatan'!$A$2:$A905,0)),"")</f>
        <v/>
      </c>
      <c r="H595" s="5" t="str">
        <f t="array" ref="H595">IF(W595=1,INDEX(Honor!$H$2:$H905,MATCH($D595&amp;"-"&amp;R595,Honor!$K$2:$K905,0)),"")</f>
        <v/>
      </c>
      <c r="I595" s="8" t="str">
        <f>IF(W595=1,SUMIFS(Honor!$I$2:$I905,Honor!$K$2:$K905,$D595&amp;"-"&amp;R595),"")</f>
        <v/>
      </c>
      <c r="J595" s="9" t="str">
        <f t="shared" si="6"/>
        <v/>
      </c>
      <c r="K595" s="10" t="str">
        <f t="shared" si="0"/>
        <v/>
      </c>
      <c r="L595" s="10" t="str">
        <f t="shared" si="1"/>
        <v/>
      </c>
      <c r="M595" s="10" t="str">
        <f>IF(W595=1,IF(AND(U595&lt;2,INT(V595)&lt;='Batasan Honor'!$B$2),1,0),"")</f>
        <v/>
      </c>
      <c r="O595" s="10" t="str">
        <f t="shared" si="2"/>
        <v/>
      </c>
      <c r="P595" s="10" t="str">
        <f t="shared" si="3"/>
        <v/>
      </c>
      <c r="R595" s="23"/>
      <c r="S595" s="10" t="str">
        <f t="shared" si="4"/>
        <v/>
      </c>
      <c r="U595" s="10" t="str">
        <f ca="1">IFERROR(__xludf.DUMMYFUNCTION("if(W595=1,COUNTIFS(FILTER($H$2:$H905,$H$2:$H905=""OB"",$S$2:$S905=S595),""OB""),"""")"),"")</f>
        <v/>
      </c>
      <c r="V595" s="10" t="str">
        <f ca="1">IFERROR(__xludf.DUMMYFUNCTION("IF(OR(ISNA(SUM(FILTER($K$2:$K905,$A$2:$A905=A595,$S$2:$S905=S595,$H$2:$H905&lt;&gt;""OB""))),W595&lt;&gt;1),"""",SUM(FILTER($K$2:$K905,$A$2:$A905=A595,$S$2:$S905=S595,$H$2:$H905&lt;&gt;""OB"")))"),"")</f>
        <v/>
      </c>
      <c r="W595" s="10" t="str">
        <f t="shared" si="5"/>
        <v/>
      </c>
    </row>
    <row r="596" spans="1:23" ht="12.5">
      <c r="A596" s="23"/>
      <c r="B596" s="5" t="str">
        <f t="array" ref="B596">IF(W596=1,INDEX('Database Mitra'!$H$2:$H905,MATCH(A596,'Database Mitra'!AK$2:AK905,0)),"")</f>
        <v/>
      </c>
      <c r="C596" s="5" t="str">
        <f t="array" ref="C596">IF(W596=1,INDEX('Database Mitra'!$E$2:$E905,MATCH(A596,'Database Mitra'!AK$2:AK905,0)),"")</f>
        <v/>
      </c>
      <c r="D596" s="23"/>
      <c r="E596" s="5" t="str">
        <f t="array" ref="E596">IF(W596=1,INDEX('Input Kegiatan'!B$2:B905,MATCH($D596,'Input Kegiatan'!$A$2:$A905,0)),"")</f>
        <v/>
      </c>
      <c r="F596" s="5" t="str">
        <f t="array" ref="F596">IF(W596=1,INDEX('Input Kegiatan'!D$2:D905,MATCH($D596,'Input Kegiatan'!$A$2:$A905,0)),"")</f>
        <v/>
      </c>
      <c r="G596" s="5" t="str">
        <f t="array" ref="G596">IF(W596=1,INDEX('Input Kegiatan'!E$2:E905,MATCH($D596,'Input Kegiatan'!$A$2:$A905,0)),"")</f>
        <v/>
      </c>
      <c r="H596" s="5" t="str">
        <f t="array" ref="H596">IF(W596=1,INDEX(Honor!$H$2:$H905,MATCH($D596&amp;"-"&amp;R596,Honor!$K$2:$K905,0)),"")</f>
        <v/>
      </c>
      <c r="I596" s="8" t="str">
        <f>IF(W596=1,SUMIFS(Honor!$I$2:$I905,Honor!$K$2:$K905,$D596&amp;"-"&amp;R596),"")</f>
        <v/>
      </c>
      <c r="J596" s="9" t="str">
        <f t="shared" si="6"/>
        <v/>
      </c>
      <c r="K596" s="10" t="str">
        <f t="shared" si="0"/>
        <v/>
      </c>
      <c r="L596" s="10" t="str">
        <f t="shared" si="1"/>
        <v/>
      </c>
      <c r="M596" s="10" t="str">
        <f>IF(W596=1,IF(AND(U596&lt;2,INT(V596)&lt;='Batasan Honor'!$B$2),1,0),"")</f>
        <v/>
      </c>
      <c r="O596" s="10" t="str">
        <f t="shared" si="2"/>
        <v/>
      </c>
      <c r="P596" s="10" t="str">
        <f t="shared" si="3"/>
        <v/>
      </c>
      <c r="R596" s="23"/>
      <c r="S596" s="10" t="str">
        <f t="shared" si="4"/>
        <v/>
      </c>
      <c r="U596" s="10" t="str">
        <f ca="1">IFERROR(__xludf.DUMMYFUNCTION("if(W596=1,COUNTIFS(FILTER($H$2:$H905,$H$2:$H905=""OB"",$S$2:$S905=S596),""OB""),"""")"),"")</f>
        <v/>
      </c>
      <c r="V596" s="10" t="str">
        <f ca="1">IFERROR(__xludf.DUMMYFUNCTION("IF(OR(ISNA(SUM(FILTER($K$2:$K905,$A$2:$A905=A596,$S$2:$S905=S596,$H$2:$H905&lt;&gt;""OB""))),W596&lt;&gt;1),"""",SUM(FILTER($K$2:$K905,$A$2:$A905=A596,$S$2:$S905=S596,$H$2:$H905&lt;&gt;""OB"")))"),"")</f>
        <v/>
      </c>
      <c r="W596" s="10" t="str">
        <f t="shared" si="5"/>
        <v/>
      </c>
    </row>
    <row r="597" spans="1:23" ht="12.5">
      <c r="A597" s="23"/>
      <c r="B597" s="5" t="str">
        <f t="array" ref="B597">IF(W597=1,INDEX('Database Mitra'!$H$2:$H905,MATCH(A597,'Database Mitra'!AK$2:AK905,0)),"")</f>
        <v/>
      </c>
      <c r="C597" s="5" t="str">
        <f t="array" ref="C597">IF(W597=1,INDEX('Database Mitra'!$E$2:$E905,MATCH(A597,'Database Mitra'!AK$2:AK905,0)),"")</f>
        <v/>
      </c>
      <c r="D597" s="23"/>
      <c r="E597" s="5" t="str">
        <f t="array" ref="E597">IF(W597=1,INDEX('Input Kegiatan'!B$2:B905,MATCH($D597,'Input Kegiatan'!$A$2:$A905,0)),"")</f>
        <v/>
      </c>
      <c r="F597" s="5" t="str">
        <f t="array" ref="F597">IF(W597=1,INDEX('Input Kegiatan'!D$2:D905,MATCH($D597,'Input Kegiatan'!$A$2:$A905,0)),"")</f>
        <v/>
      </c>
      <c r="G597" s="5" t="str">
        <f t="array" ref="G597">IF(W597=1,INDEX('Input Kegiatan'!E$2:E905,MATCH($D597,'Input Kegiatan'!$A$2:$A905,0)),"")</f>
        <v/>
      </c>
      <c r="H597" s="5" t="str">
        <f t="array" ref="H597">IF(W597=1,INDEX(Honor!$H$2:$H905,MATCH($D597&amp;"-"&amp;R597,Honor!$K$2:$K905,0)),"")</f>
        <v/>
      </c>
      <c r="I597" s="8" t="str">
        <f>IF(W597=1,SUMIFS(Honor!$I$2:$I905,Honor!$K$2:$K905,$D597&amp;"-"&amp;R597),"")</f>
        <v/>
      </c>
      <c r="J597" s="9" t="str">
        <f t="shared" si="6"/>
        <v/>
      </c>
      <c r="K597" s="10" t="str">
        <f t="shared" si="0"/>
        <v/>
      </c>
      <c r="L597" s="10" t="str">
        <f t="shared" si="1"/>
        <v/>
      </c>
      <c r="M597" s="10" t="str">
        <f>IF(W597=1,IF(AND(U597&lt;2,INT(V597)&lt;='Batasan Honor'!$B$2),1,0),"")</f>
        <v/>
      </c>
      <c r="O597" s="10" t="str">
        <f t="shared" si="2"/>
        <v/>
      </c>
      <c r="P597" s="10" t="str">
        <f t="shared" si="3"/>
        <v/>
      </c>
      <c r="R597" s="23"/>
      <c r="S597" s="10" t="str">
        <f t="shared" si="4"/>
        <v/>
      </c>
      <c r="U597" s="10" t="str">
        <f ca="1">IFERROR(__xludf.DUMMYFUNCTION("if(W597=1,COUNTIFS(FILTER($H$2:$H905,$H$2:$H905=""OB"",$S$2:$S905=S597),""OB""),"""")"),"")</f>
        <v/>
      </c>
      <c r="V597" s="10" t="str">
        <f ca="1">IFERROR(__xludf.DUMMYFUNCTION("IF(OR(ISNA(SUM(FILTER($K$2:$K905,$A$2:$A905=A597,$S$2:$S905=S597,$H$2:$H905&lt;&gt;""OB""))),W597&lt;&gt;1),"""",SUM(FILTER($K$2:$K905,$A$2:$A905=A597,$S$2:$S905=S597,$H$2:$H905&lt;&gt;""OB"")))"),"")</f>
        <v/>
      </c>
      <c r="W597" s="10" t="str">
        <f t="shared" si="5"/>
        <v/>
      </c>
    </row>
    <row r="598" spans="1:23" ht="12.5">
      <c r="A598" s="23"/>
      <c r="B598" s="5" t="str">
        <f t="array" ref="B598">IF(W598=1,INDEX('Database Mitra'!$H$2:$H905,MATCH(A598,'Database Mitra'!AK$2:AK905,0)),"")</f>
        <v/>
      </c>
      <c r="C598" s="5" t="str">
        <f t="array" ref="C598">IF(W598=1,INDEX('Database Mitra'!$E$2:$E905,MATCH(A598,'Database Mitra'!AK$2:AK905,0)),"")</f>
        <v/>
      </c>
      <c r="D598" s="23"/>
      <c r="E598" s="5" t="str">
        <f t="array" ref="E598">IF(W598=1,INDEX('Input Kegiatan'!B$2:B905,MATCH($D598,'Input Kegiatan'!$A$2:$A905,0)),"")</f>
        <v/>
      </c>
      <c r="F598" s="5" t="str">
        <f t="array" ref="F598">IF(W598=1,INDEX('Input Kegiatan'!D$2:D905,MATCH($D598,'Input Kegiatan'!$A$2:$A905,0)),"")</f>
        <v/>
      </c>
      <c r="G598" s="5" t="str">
        <f t="array" ref="G598">IF(W598=1,INDEX('Input Kegiatan'!E$2:E905,MATCH($D598,'Input Kegiatan'!$A$2:$A905,0)),"")</f>
        <v/>
      </c>
      <c r="H598" s="5" t="str">
        <f t="array" ref="H598">IF(W598=1,INDEX(Honor!$H$2:$H905,MATCH($D598&amp;"-"&amp;R598,Honor!$K$2:$K905,0)),"")</f>
        <v/>
      </c>
      <c r="I598" s="8" t="str">
        <f>IF(W598=1,SUMIFS(Honor!$I$2:$I905,Honor!$K$2:$K905,$D598&amp;"-"&amp;R598),"")</f>
        <v/>
      </c>
      <c r="J598" s="9" t="str">
        <f t="shared" si="6"/>
        <v/>
      </c>
      <c r="K598" s="10" t="str">
        <f t="shared" si="0"/>
        <v/>
      </c>
      <c r="L598" s="10" t="str">
        <f t="shared" si="1"/>
        <v/>
      </c>
      <c r="M598" s="10" t="str">
        <f>IF(W598=1,IF(AND(U598&lt;2,INT(V598)&lt;='Batasan Honor'!$B$2),1,0),"")</f>
        <v/>
      </c>
      <c r="O598" s="10" t="str">
        <f t="shared" si="2"/>
        <v/>
      </c>
      <c r="P598" s="10" t="str">
        <f t="shared" si="3"/>
        <v/>
      </c>
      <c r="R598" s="23"/>
      <c r="S598" s="10" t="str">
        <f t="shared" si="4"/>
        <v/>
      </c>
      <c r="U598" s="10" t="str">
        <f ca="1">IFERROR(__xludf.DUMMYFUNCTION("if(W598=1,COUNTIFS(FILTER($H$2:$H905,$H$2:$H905=""OB"",$S$2:$S905=S598),""OB""),"""")"),"")</f>
        <v/>
      </c>
      <c r="V598" s="10" t="str">
        <f ca="1">IFERROR(__xludf.DUMMYFUNCTION("IF(OR(ISNA(SUM(FILTER($K$2:$K905,$A$2:$A905=A598,$S$2:$S905=S598,$H$2:$H905&lt;&gt;""OB""))),W598&lt;&gt;1),"""",SUM(FILTER($K$2:$K905,$A$2:$A905=A598,$S$2:$S905=S598,$H$2:$H905&lt;&gt;""OB"")))"),"")</f>
        <v/>
      </c>
      <c r="W598" s="10" t="str">
        <f t="shared" si="5"/>
        <v/>
      </c>
    </row>
    <row r="599" spans="1:23" ht="12.5">
      <c r="A599" s="23"/>
      <c r="B599" s="5" t="str">
        <f t="array" ref="B599">IF(W599=1,INDEX('Database Mitra'!$H$2:$H905,MATCH(A599,'Database Mitra'!AK$2:AK905,0)),"")</f>
        <v/>
      </c>
      <c r="C599" s="5" t="str">
        <f t="array" ref="C599">IF(W599=1,INDEX('Database Mitra'!$E$2:$E905,MATCH(A599,'Database Mitra'!AK$2:AK905,0)),"")</f>
        <v/>
      </c>
      <c r="D599" s="23"/>
      <c r="E599" s="5" t="str">
        <f t="array" ref="E599">IF(W599=1,INDEX('Input Kegiatan'!B$2:B905,MATCH($D599,'Input Kegiatan'!$A$2:$A905,0)),"")</f>
        <v/>
      </c>
      <c r="F599" s="5" t="str">
        <f t="array" ref="F599">IF(W599=1,INDEX('Input Kegiatan'!D$2:D905,MATCH($D599,'Input Kegiatan'!$A$2:$A905,0)),"")</f>
        <v/>
      </c>
      <c r="G599" s="5" t="str">
        <f t="array" ref="G599">IF(W599=1,INDEX('Input Kegiatan'!E$2:E905,MATCH($D599,'Input Kegiatan'!$A$2:$A905,0)),"")</f>
        <v/>
      </c>
      <c r="H599" s="5" t="str">
        <f t="array" ref="H599">IF(W599=1,INDEX(Honor!$H$2:$H905,MATCH($D599&amp;"-"&amp;R599,Honor!$K$2:$K905,0)),"")</f>
        <v/>
      </c>
      <c r="I599" s="8" t="str">
        <f>IF(W599=1,SUMIFS(Honor!$I$2:$I905,Honor!$K$2:$K905,$D599&amp;"-"&amp;R599),"")</f>
        <v/>
      </c>
      <c r="J599" s="9" t="str">
        <f t="shared" si="6"/>
        <v/>
      </c>
      <c r="K599" s="10" t="str">
        <f t="shared" si="0"/>
        <v/>
      </c>
      <c r="L599" s="10" t="str">
        <f t="shared" si="1"/>
        <v/>
      </c>
      <c r="M599" s="10" t="str">
        <f>IF(W599=1,IF(AND(U599&lt;2,INT(V599)&lt;='Batasan Honor'!$B$2),1,0),"")</f>
        <v/>
      </c>
      <c r="O599" s="10" t="str">
        <f t="shared" si="2"/>
        <v/>
      </c>
      <c r="P599" s="10" t="str">
        <f t="shared" si="3"/>
        <v/>
      </c>
      <c r="R599" s="23"/>
      <c r="S599" s="10" t="str">
        <f t="shared" si="4"/>
        <v/>
      </c>
      <c r="U599" s="10" t="str">
        <f ca="1">IFERROR(__xludf.DUMMYFUNCTION("if(W599=1,COUNTIFS(FILTER($H$2:$H905,$H$2:$H905=""OB"",$S$2:$S905=S599),""OB""),"""")"),"")</f>
        <v/>
      </c>
      <c r="V599" s="10" t="str">
        <f ca="1">IFERROR(__xludf.DUMMYFUNCTION("IF(OR(ISNA(SUM(FILTER($K$2:$K905,$A$2:$A905=A599,$S$2:$S905=S599,$H$2:$H905&lt;&gt;""OB""))),W599&lt;&gt;1),"""",SUM(FILTER($K$2:$K905,$A$2:$A905=A599,$S$2:$S905=S599,$H$2:$H905&lt;&gt;""OB"")))"),"")</f>
        <v/>
      </c>
      <c r="W599" s="10" t="str">
        <f t="shared" si="5"/>
        <v/>
      </c>
    </row>
    <row r="600" spans="1:23" ht="12.5">
      <c r="A600" s="23"/>
      <c r="B600" s="5" t="str">
        <f t="array" ref="B600">IF(W600=1,INDEX('Database Mitra'!$H$2:$H905,MATCH(A600,'Database Mitra'!AK$2:AK905,0)),"")</f>
        <v/>
      </c>
      <c r="C600" s="5" t="str">
        <f t="array" ref="C600">IF(W600=1,INDEX('Database Mitra'!$E$2:$E905,MATCH(A600,'Database Mitra'!AK$2:AK905,0)),"")</f>
        <v/>
      </c>
      <c r="D600" s="23"/>
      <c r="E600" s="5" t="str">
        <f t="array" ref="E600">IF(W600=1,INDEX('Input Kegiatan'!B$2:B905,MATCH($D600,'Input Kegiatan'!$A$2:$A905,0)),"")</f>
        <v/>
      </c>
      <c r="F600" s="5" t="str">
        <f t="array" ref="F600">IF(W600=1,INDEX('Input Kegiatan'!D$2:D905,MATCH($D600,'Input Kegiatan'!$A$2:$A905,0)),"")</f>
        <v/>
      </c>
      <c r="G600" s="5" t="str">
        <f t="array" ref="G600">IF(W600=1,INDEX('Input Kegiatan'!E$2:E905,MATCH($D600,'Input Kegiatan'!$A$2:$A905,0)),"")</f>
        <v/>
      </c>
      <c r="H600" s="5" t="str">
        <f t="array" ref="H600">IF(W600=1,INDEX(Honor!$H$2:$H905,MATCH($D600&amp;"-"&amp;R600,Honor!$K$2:$K905,0)),"")</f>
        <v/>
      </c>
      <c r="I600" s="8" t="str">
        <f>IF(W600=1,SUMIFS(Honor!$I$2:$I905,Honor!$K$2:$K905,$D600&amp;"-"&amp;R600),"")</f>
        <v/>
      </c>
      <c r="J600" s="9" t="str">
        <f t="shared" si="6"/>
        <v/>
      </c>
      <c r="K600" s="10" t="str">
        <f t="shared" si="0"/>
        <v/>
      </c>
      <c r="L600" s="10" t="str">
        <f t="shared" si="1"/>
        <v/>
      </c>
      <c r="M600" s="10" t="str">
        <f>IF(W600=1,IF(AND(U600&lt;2,INT(V600)&lt;='Batasan Honor'!$B$2),1,0),"")</f>
        <v/>
      </c>
      <c r="O600" s="10" t="str">
        <f t="shared" si="2"/>
        <v/>
      </c>
      <c r="P600" s="10" t="str">
        <f t="shared" si="3"/>
        <v/>
      </c>
      <c r="R600" s="23"/>
      <c r="S600" s="10" t="str">
        <f t="shared" si="4"/>
        <v/>
      </c>
      <c r="U600" s="10" t="str">
        <f ca="1">IFERROR(__xludf.DUMMYFUNCTION("if(W600=1,COUNTIFS(FILTER($H$2:$H905,$H$2:$H905=""OB"",$S$2:$S905=S600),""OB""),"""")"),"")</f>
        <v/>
      </c>
      <c r="V600" s="10" t="str">
        <f ca="1">IFERROR(__xludf.DUMMYFUNCTION("IF(OR(ISNA(SUM(FILTER($K$2:$K905,$A$2:$A905=A600,$S$2:$S905=S600,$H$2:$H905&lt;&gt;""OB""))),W600&lt;&gt;1),"""",SUM(FILTER($K$2:$K905,$A$2:$A905=A600,$S$2:$S905=S600,$H$2:$H905&lt;&gt;""OB"")))"),"")</f>
        <v/>
      </c>
      <c r="W600" s="10" t="str">
        <f t="shared" si="5"/>
        <v/>
      </c>
    </row>
    <row r="601" spans="1:23" ht="12.5">
      <c r="A601" s="23"/>
      <c r="B601" s="5" t="str">
        <f t="array" ref="B601">IF(W601=1,INDEX('Database Mitra'!$H$2:$H905,MATCH(A601,'Database Mitra'!AK$2:AK905,0)),"")</f>
        <v/>
      </c>
      <c r="C601" s="5" t="str">
        <f t="array" ref="C601">IF(W601=1,INDEX('Database Mitra'!$E$2:$E905,MATCH(A601,'Database Mitra'!AK$2:AK905,0)),"")</f>
        <v/>
      </c>
      <c r="D601" s="23"/>
      <c r="E601" s="5" t="str">
        <f t="array" ref="E601">IF(W601=1,INDEX('Input Kegiatan'!B$2:B905,MATCH($D601,'Input Kegiatan'!$A$2:$A905,0)),"")</f>
        <v/>
      </c>
      <c r="F601" s="5" t="str">
        <f t="array" ref="F601">IF(W601=1,INDEX('Input Kegiatan'!D$2:D905,MATCH($D601,'Input Kegiatan'!$A$2:$A905,0)),"")</f>
        <v/>
      </c>
      <c r="G601" s="5" t="str">
        <f t="array" ref="G601">IF(W601=1,INDEX('Input Kegiatan'!E$2:E905,MATCH($D601,'Input Kegiatan'!$A$2:$A905,0)),"")</f>
        <v/>
      </c>
      <c r="H601" s="5" t="str">
        <f t="array" ref="H601">IF(W601=1,INDEX(Honor!$H$2:$H905,MATCH($D601&amp;"-"&amp;R601,Honor!$K$2:$K905,0)),"")</f>
        <v/>
      </c>
      <c r="I601" s="8" t="str">
        <f>IF(W601=1,SUMIFS(Honor!$I$2:$I905,Honor!$K$2:$K905,$D601&amp;"-"&amp;R601),"")</f>
        <v/>
      </c>
      <c r="J601" s="9" t="str">
        <f t="shared" si="6"/>
        <v/>
      </c>
      <c r="K601" s="10" t="str">
        <f t="shared" si="0"/>
        <v/>
      </c>
      <c r="L601" s="10" t="str">
        <f t="shared" si="1"/>
        <v/>
      </c>
      <c r="M601" s="10" t="str">
        <f>IF(W601=1,IF(AND(U601&lt;2,INT(V601)&lt;='Batasan Honor'!$B$2),1,0),"")</f>
        <v/>
      </c>
      <c r="O601" s="10" t="str">
        <f t="shared" si="2"/>
        <v/>
      </c>
      <c r="P601" s="10" t="str">
        <f t="shared" si="3"/>
        <v/>
      </c>
      <c r="R601" s="23"/>
      <c r="S601" s="10" t="str">
        <f t="shared" si="4"/>
        <v/>
      </c>
      <c r="U601" s="10" t="str">
        <f ca="1">IFERROR(__xludf.DUMMYFUNCTION("if(W601=1,COUNTIFS(FILTER($H$2:$H905,$H$2:$H905=""OB"",$S$2:$S905=S601),""OB""),"""")"),"")</f>
        <v/>
      </c>
      <c r="V601" s="10" t="str">
        <f ca="1">IFERROR(__xludf.DUMMYFUNCTION("IF(OR(ISNA(SUM(FILTER($K$2:$K905,$A$2:$A905=A601,$S$2:$S905=S601,$H$2:$H905&lt;&gt;""OB""))),W601&lt;&gt;1),"""",SUM(FILTER($K$2:$K905,$A$2:$A905=A601,$S$2:$S905=S601,$H$2:$H905&lt;&gt;""OB"")))"),"")</f>
        <v/>
      </c>
      <c r="W601" s="10" t="str">
        <f t="shared" si="5"/>
        <v/>
      </c>
    </row>
    <row r="602" spans="1:23" ht="12.5">
      <c r="A602" s="23"/>
      <c r="B602" s="5" t="str">
        <f t="array" ref="B602">IF(W602=1,INDEX('Database Mitra'!$H$2:$H905,MATCH(A602,'Database Mitra'!AK$2:AK905,0)),"")</f>
        <v/>
      </c>
      <c r="C602" s="5" t="str">
        <f t="array" ref="C602">IF(W602=1,INDEX('Database Mitra'!$E$2:$E905,MATCH(A602,'Database Mitra'!AK$2:AK905,0)),"")</f>
        <v/>
      </c>
      <c r="D602" s="23"/>
      <c r="E602" s="5" t="str">
        <f t="array" ref="E602">IF(W602=1,INDEX('Input Kegiatan'!B$2:B905,MATCH($D602,'Input Kegiatan'!$A$2:$A905,0)),"")</f>
        <v/>
      </c>
      <c r="F602" s="5" t="str">
        <f t="array" ref="F602">IF(W602=1,INDEX('Input Kegiatan'!D$2:D905,MATCH($D602,'Input Kegiatan'!$A$2:$A905,0)),"")</f>
        <v/>
      </c>
      <c r="G602" s="5" t="str">
        <f t="array" ref="G602">IF(W602=1,INDEX('Input Kegiatan'!E$2:E905,MATCH($D602,'Input Kegiatan'!$A$2:$A905,0)),"")</f>
        <v/>
      </c>
      <c r="H602" s="5" t="str">
        <f t="array" ref="H602">IF(W602=1,INDEX(Honor!$H$2:$H905,MATCH($D602&amp;"-"&amp;R602,Honor!$K$2:$K905,0)),"")</f>
        <v/>
      </c>
      <c r="I602" s="8" t="str">
        <f>IF(W602=1,SUMIFS(Honor!$I$2:$I905,Honor!$K$2:$K905,$D602&amp;"-"&amp;R602),"")</f>
        <v/>
      </c>
      <c r="J602" s="9" t="str">
        <f t="shared" si="6"/>
        <v/>
      </c>
      <c r="K602" s="10" t="str">
        <f t="shared" si="0"/>
        <v/>
      </c>
      <c r="L602" s="10" t="str">
        <f t="shared" si="1"/>
        <v/>
      </c>
      <c r="M602" s="10" t="str">
        <f>IF(W602=1,IF(AND(U602&lt;2,INT(V602)&lt;='Batasan Honor'!$B$2),1,0),"")</f>
        <v/>
      </c>
      <c r="O602" s="10" t="str">
        <f t="shared" si="2"/>
        <v/>
      </c>
      <c r="P602" s="10" t="str">
        <f t="shared" si="3"/>
        <v/>
      </c>
      <c r="R602" s="23"/>
      <c r="S602" s="10" t="str">
        <f t="shared" si="4"/>
        <v/>
      </c>
      <c r="U602" s="10" t="str">
        <f ca="1">IFERROR(__xludf.DUMMYFUNCTION("if(W602=1,COUNTIFS(FILTER($H$2:$H905,$H$2:$H905=""OB"",$S$2:$S905=S602),""OB""),"""")"),"")</f>
        <v/>
      </c>
      <c r="V602" s="10" t="str">
        <f ca="1">IFERROR(__xludf.DUMMYFUNCTION("IF(OR(ISNA(SUM(FILTER($K$2:$K905,$A$2:$A905=A602,$S$2:$S905=S602,$H$2:$H905&lt;&gt;""OB""))),W602&lt;&gt;1),"""",SUM(FILTER($K$2:$K905,$A$2:$A905=A602,$S$2:$S905=S602,$H$2:$H905&lt;&gt;""OB"")))"),"")</f>
        <v/>
      </c>
      <c r="W602" s="10" t="str">
        <f t="shared" si="5"/>
        <v/>
      </c>
    </row>
    <row r="603" spans="1:23" ht="12.5">
      <c r="A603" s="23"/>
      <c r="B603" s="5" t="str">
        <f t="array" ref="B603">IF(W603=1,INDEX('Database Mitra'!$H$2:$H905,MATCH(A603,'Database Mitra'!AK$2:AK905,0)),"")</f>
        <v/>
      </c>
      <c r="C603" s="5" t="str">
        <f t="array" ref="C603">IF(W603=1,INDEX('Database Mitra'!$E$2:$E905,MATCH(A603,'Database Mitra'!AK$2:AK905,0)),"")</f>
        <v/>
      </c>
      <c r="D603" s="23"/>
      <c r="E603" s="5" t="str">
        <f t="array" ref="E603">IF(W603=1,INDEX('Input Kegiatan'!B$2:B905,MATCH($D603,'Input Kegiatan'!$A$2:$A905,0)),"")</f>
        <v/>
      </c>
      <c r="F603" s="5" t="str">
        <f t="array" ref="F603">IF(W603=1,INDEX('Input Kegiatan'!D$2:D905,MATCH($D603,'Input Kegiatan'!$A$2:$A905,0)),"")</f>
        <v/>
      </c>
      <c r="G603" s="5" t="str">
        <f t="array" ref="G603">IF(W603=1,INDEX('Input Kegiatan'!E$2:E905,MATCH($D603,'Input Kegiatan'!$A$2:$A905,0)),"")</f>
        <v/>
      </c>
      <c r="H603" s="5" t="str">
        <f t="array" ref="H603">IF(W603=1,INDEX(Honor!$H$2:$H905,MATCH($D603&amp;"-"&amp;R603,Honor!$K$2:$K905,0)),"")</f>
        <v/>
      </c>
      <c r="I603" s="8" t="str">
        <f>IF(W603=1,SUMIFS(Honor!$I$2:$I905,Honor!$K$2:$K905,$D603&amp;"-"&amp;R603),"")</f>
        <v/>
      </c>
      <c r="J603" s="9" t="str">
        <f t="shared" si="6"/>
        <v/>
      </c>
      <c r="K603" s="10" t="str">
        <f t="shared" si="0"/>
        <v/>
      </c>
      <c r="L603" s="10" t="str">
        <f t="shared" si="1"/>
        <v/>
      </c>
      <c r="M603" s="10" t="str">
        <f>IF(W603=1,IF(AND(U603&lt;2,INT(V603)&lt;='Batasan Honor'!$B$2),1,0),"")</f>
        <v/>
      </c>
      <c r="O603" s="10" t="str">
        <f t="shared" si="2"/>
        <v/>
      </c>
      <c r="P603" s="10" t="str">
        <f t="shared" si="3"/>
        <v/>
      </c>
      <c r="R603" s="23"/>
      <c r="S603" s="10" t="str">
        <f t="shared" si="4"/>
        <v/>
      </c>
      <c r="U603" s="10" t="str">
        <f ca="1">IFERROR(__xludf.DUMMYFUNCTION("if(W603=1,COUNTIFS(FILTER($H$2:$H905,$H$2:$H905=""OB"",$S$2:$S905=S603),""OB""),"""")"),"")</f>
        <v/>
      </c>
      <c r="V603" s="10" t="str">
        <f ca="1">IFERROR(__xludf.DUMMYFUNCTION("IF(OR(ISNA(SUM(FILTER($K$2:$K905,$A$2:$A905=A603,$S$2:$S905=S603,$H$2:$H905&lt;&gt;""OB""))),W603&lt;&gt;1),"""",SUM(FILTER($K$2:$K905,$A$2:$A905=A603,$S$2:$S905=S603,$H$2:$H905&lt;&gt;""OB"")))"),"")</f>
        <v/>
      </c>
      <c r="W603" s="10" t="str">
        <f t="shared" si="5"/>
        <v/>
      </c>
    </row>
    <row r="604" spans="1:23" ht="12.5">
      <c r="A604" s="23"/>
      <c r="B604" s="5" t="str">
        <f t="array" ref="B604">IF(W604=1,INDEX('Database Mitra'!$H$2:$H905,MATCH(A604,'Database Mitra'!AK$2:AK905,0)),"")</f>
        <v/>
      </c>
      <c r="C604" s="5" t="str">
        <f t="array" ref="C604">IF(W604=1,INDEX('Database Mitra'!$E$2:$E905,MATCH(A604,'Database Mitra'!AK$2:AK905,0)),"")</f>
        <v/>
      </c>
      <c r="D604" s="23"/>
      <c r="E604" s="5" t="str">
        <f t="array" ref="E604">IF(W604=1,INDEX('Input Kegiatan'!B$2:B905,MATCH($D604,'Input Kegiatan'!$A$2:$A905,0)),"")</f>
        <v/>
      </c>
      <c r="F604" s="5" t="str">
        <f t="array" ref="F604">IF(W604=1,INDEX('Input Kegiatan'!D$2:D905,MATCH($D604,'Input Kegiatan'!$A$2:$A905,0)),"")</f>
        <v/>
      </c>
      <c r="G604" s="5" t="str">
        <f t="array" ref="G604">IF(W604=1,INDEX('Input Kegiatan'!E$2:E905,MATCH($D604,'Input Kegiatan'!$A$2:$A905,0)),"")</f>
        <v/>
      </c>
      <c r="H604" s="5" t="str">
        <f t="array" ref="H604">IF(W604=1,INDEX(Honor!$H$2:$H905,MATCH($D604&amp;"-"&amp;R604,Honor!$K$2:$K905,0)),"")</f>
        <v/>
      </c>
      <c r="I604" s="8" t="str">
        <f>IF(W604=1,SUMIFS(Honor!$I$2:$I905,Honor!$K$2:$K905,$D604&amp;"-"&amp;R604),"")</f>
        <v/>
      </c>
      <c r="J604" s="9" t="str">
        <f t="shared" si="6"/>
        <v/>
      </c>
      <c r="K604" s="10" t="str">
        <f t="shared" si="0"/>
        <v/>
      </c>
      <c r="L604" s="10" t="str">
        <f t="shared" si="1"/>
        <v/>
      </c>
      <c r="M604" s="10" t="str">
        <f>IF(W604=1,IF(AND(U604&lt;2,INT(V604)&lt;='Batasan Honor'!$B$2),1,0),"")</f>
        <v/>
      </c>
      <c r="O604" s="10" t="str">
        <f t="shared" si="2"/>
        <v/>
      </c>
      <c r="P604" s="10" t="str">
        <f t="shared" si="3"/>
        <v/>
      </c>
      <c r="R604" s="23"/>
      <c r="S604" s="10" t="str">
        <f t="shared" si="4"/>
        <v/>
      </c>
      <c r="U604" s="10" t="str">
        <f ca="1">IFERROR(__xludf.DUMMYFUNCTION("if(W604=1,COUNTIFS(FILTER($H$2:$H905,$H$2:$H905=""OB"",$S$2:$S905=S604),""OB""),"""")"),"")</f>
        <v/>
      </c>
      <c r="V604" s="10" t="str">
        <f ca="1">IFERROR(__xludf.DUMMYFUNCTION("IF(OR(ISNA(SUM(FILTER($K$2:$K905,$A$2:$A905=A604,$S$2:$S905=S604,$H$2:$H905&lt;&gt;""OB""))),W604&lt;&gt;1),"""",SUM(FILTER($K$2:$K905,$A$2:$A905=A604,$S$2:$S905=S604,$H$2:$H905&lt;&gt;""OB"")))"),"")</f>
        <v/>
      </c>
      <c r="W604" s="10" t="str">
        <f t="shared" si="5"/>
        <v/>
      </c>
    </row>
    <row r="605" spans="1:23" ht="12.5">
      <c r="A605" s="23"/>
      <c r="B605" s="5" t="str">
        <f t="array" ref="B605">IF(W605=1,INDEX('Database Mitra'!$H$2:$H905,MATCH(A605,'Database Mitra'!AK$2:AK905,0)),"")</f>
        <v/>
      </c>
      <c r="C605" s="5" t="str">
        <f t="array" ref="C605">IF(W605=1,INDEX('Database Mitra'!$E$2:$E905,MATCH(A605,'Database Mitra'!AK$2:AK905,0)),"")</f>
        <v/>
      </c>
      <c r="D605" s="23"/>
      <c r="E605" s="5" t="str">
        <f t="array" ref="E605">IF(W605=1,INDEX('Input Kegiatan'!B$2:B905,MATCH($D605,'Input Kegiatan'!$A$2:$A905,0)),"")</f>
        <v/>
      </c>
      <c r="F605" s="5" t="str">
        <f t="array" ref="F605">IF(W605=1,INDEX('Input Kegiatan'!D$2:D905,MATCH($D605,'Input Kegiatan'!$A$2:$A905,0)),"")</f>
        <v/>
      </c>
      <c r="G605" s="5" t="str">
        <f t="array" ref="G605">IF(W605=1,INDEX('Input Kegiatan'!E$2:E905,MATCH($D605,'Input Kegiatan'!$A$2:$A905,0)),"")</f>
        <v/>
      </c>
      <c r="H605" s="5" t="str">
        <f t="array" ref="H605">IF(W605=1,INDEX(Honor!$H$2:$H905,MATCH($D605&amp;"-"&amp;R605,Honor!$K$2:$K905,0)),"")</f>
        <v/>
      </c>
      <c r="I605" s="8" t="str">
        <f>IF(W605=1,SUMIFS(Honor!$I$2:$I905,Honor!$K$2:$K905,$D605&amp;"-"&amp;R605),"")</f>
        <v/>
      </c>
      <c r="J605" s="9" t="str">
        <f t="shared" si="6"/>
        <v/>
      </c>
      <c r="K605" s="10" t="str">
        <f t="shared" si="0"/>
        <v/>
      </c>
      <c r="L605" s="10" t="str">
        <f t="shared" si="1"/>
        <v/>
      </c>
      <c r="M605" s="10" t="str">
        <f>IF(W605=1,IF(AND(U605&lt;2,INT(V605)&lt;='Batasan Honor'!$B$2),1,0),"")</f>
        <v/>
      </c>
      <c r="O605" s="10" t="str">
        <f t="shared" si="2"/>
        <v/>
      </c>
      <c r="P605" s="10" t="str">
        <f t="shared" si="3"/>
        <v/>
      </c>
      <c r="R605" s="23"/>
      <c r="S605" s="10" t="str">
        <f t="shared" si="4"/>
        <v/>
      </c>
      <c r="U605" s="10" t="str">
        <f ca="1">IFERROR(__xludf.DUMMYFUNCTION("if(W605=1,COUNTIFS(FILTER($H$2:$H905,$H$2:$H905=""OB"",$S$2:$S905=S605),""OB""),"""")"),"")</f>
        <v/>
      </c>
      <c r="V605" s="10" t="str">
        <f ca="1">IFERROR(__xludf.DUMMYFUNCTION("IF(OR(ISNA(SUM(FILTER($K$2:$K905,$A$2:$A905=A605,$S$2:$S905=S605,$H$2:$H905&lt;&gt;""OB""))),W605&lt;&gt;1),"""",SUM(FILTER($K$2:$K905,$A$2:$A905=A605,$S$2:$S905=S605,$H$2:$H905&lt;&gt;""OB"")))"),"")</f>
        <v/>
      </c>
      <c r="W605" s="10" t="str">
        <f t="shared" si="5"/>
        <v/>
      </c>
    </row>
    <row r="606" spans="1:23" ht="12.5">
      <c r="A606" s="23"/>
      <c r="B606" s="5" t="str">
        <f t="array" ref="B606">IF(W606=1,INDEX('Database Mitra'!$H$2:$H905,MATCH(A606,'Database Mitra'!AK$2:AK905,0)),"")</f>
        <v/>
      </c>
      <c r="C606" s="5" t="str">
        <f t="array" ref="C606">IF(W606=1,INDEX('Database Mitra'!$E$2:$E905,MATCH(A606,'Database Mitra'!AK$2:AK905,0)),"")</f>
        <v/>
      </c>
      <c r="D606" s="23"/>
      <c r="E606" s="5" t="str">
        <f t="array" ref="E606">IF(W606=1,INDEX('Input Kegiatan'!B$2:B905,MATCH($D606,'Input Kegiatan'!$A$2:$A905,0)),"")</f>
        <v/>
      </c>
      <c r="F606" s="5" t="str">
        <f t="array" ref="F606">IF(W606=1,INDEX('Input Kegiatan'!D$2:D905,MATCH($D606,'Input Kegiatan'!$A$2:$A905,0)),"")</f>
        <v/>
      </c>
      <c r="G606" s="5" t="str">
        <f t="array" ref="G606">IF(W606=1,INDEX('Input Kegiatan'!E$2:E905,MATCH($D606,'Input Kegiatan'!$A$2:$A905,0)),"")</f>
        <v/>
      </c>
      <c r="H606" s="5" t="str">
        <f t="array" ref="H606">IF(W606=1,INDEX(Honor!$H$2:$H905,MATCH($D606&amp;"-"&amp;R606,Honor!$K$2:$K905,0)),"")</f>
        <v/>
      </c>
      <c r="I606" s="8" t="str">
        <f>IF(W606=1,SUMIFS(Honor!$I$2:$I905,Honor!$K$2:$K905,$D606&amp;"-"&amp;R606),"")</f>
        <v/>
      </c>
      <c r="J606" s="9" t="str">
        <f t="shared" si="6"/>
        <v/>
      </c>
      <c r="K606" s="10" t="str">
        <f t="shared" si="0"/>
        <v/>
      </c>
      <c r="L606" s="10" t="str">
        <f t="shared" si="1"/>
        <v/>
      </c>
      <c r="M606" s="10" t="str">
        <f>IF(W606=1,IF(AND(U606&lt;2,INT(V606)&lt;='Batasan Honor'!$B$2),1,0),"")</f>
        <v/>
      </c>
      <c r="O606" s="10" t="str">
        <f t="shared" si="2"/>
        <v/>
      </c>
      <c r="P606" s="10" t="str">
        <f t="shared" si="3"/>
        <v/>
      </c>
      <c r="R606" s="23"/>
      <c r="S606" s="10" t="str">
        <f t="shared" si="4"/>
        <v/>
      </c>
      <c r="U606" s="10" t="str">
        <f ca="1">IFERROR(__xludf.DUMMYFUNCTION("if(W606=1,COUNTIFS(FILTER($H$2:$H905,$H$2:$H905=""OB"",$S$2:$S905=S606),""OB""),"""")"),"")</f>
        <v/>
      </c>
      <c r="V606" s="10" t="str">
        <f ca="1">IFERROR(__xludf.DUMMYFUNCTION("IF(OR(ISNA(SUM(FILTER($K$2:$K905,$A$2:$A905=A606,$S$2:$S905=S606,$H$2:$H905&lt;&gt;""OB""))),W606&lt;&gt;1),"""",SUM(FILTER($K$2:$K905,$A$2:$A905=A606,$S$2:$S905=S606,$H$2:$H905&lt;&gt;""OB"")))"),"")</f>
        <v/>
      </c>
      <c r="W606" s="10" t="str">
        <f t="shared" si="5"/>
        <v/>
      </c>
    </row>
    <row r="607" spans="1:23" ht="12.5">
      <c r="A607" s="23"/>
      <c r="B607" s="5" t="str">
        <f t="array" ref="B607">IF(W607=1,INDEX('Database Mitra'!$H$2:$H905,MATCH(A607,'Database Mitra'!AK$2:AK905,0)),"")</f>
        <v/>
      </c>
      <c r="C607" s="5" t="str">
        <f t="array" ref="C607">IF(W607=1,INDEX('Database Mitra'!$E$2:$E905,MATCH(A607,'Database Mitra'!AK$2:AK905,0)),"")</f>
        <v/>
      </c>
      <c r="D607" s="23"/>
      <c r="E607" s="5" t="str">
        <f t="array" ref="E607">IF(W607=1,INDEX('Input Kegiatan'!B$2:B905,MATCH($D607,'Input Kegiatan'!$A$2:$A905,0)),"")</f>
        <v/>
      </c>
      <c r="F607" s="5" t="str">
        <f t="array" ref="F607">IF(W607=1,INDEX('Input Kegiatan'!D$2:D905,MATCH($D607,'Input Kegiatan'!$A$2:$A905,0)),"")</f>
        <v/>
      </c>
      <c r="G607" s="5" t="str">
        <f t="array" ref="G607">IF(W607=1,INDEX('Input Kegiatan'!E$2:E905,MATCH($D607,'Input Kegiatan'!$A$2:$A905,0)),"")</f>
        <v/>
      </c>
      <c r="H607" s="5" t="str">
        <f t="array" ref="H607">IF(W607=1,INDEX(Honor!$H$2:$H905,MATCH($D607&amp;"-"&amp;R607,Honor!$K$2:$K905,0)),"")</f>
        <v/>
      </c>
      <c r="I607" s="8" t="str">
        <f>IF(W607=1,SUMIFS(Honor!$I$2:$I905,Honor!$K$2:$K905,$D607&amp;"-"&amp;R607),"")</f>
        <v/>
      </c>
      <c r="J607" s="9" t="str">
        <f t="shared" si="6"/>
        <v/>
      </c>
      <c r="K607" s="10" t="str">
        <f t="shared" si="0"/>
        <v/>
      </c>
      <c r="L607" s="10" t="str">
        <f t="shared" si="1"/>
        <v/>
      </c>
      <c r="M607" s="10" t="str">
        <f>IF(W607=1,IF(AND(U607&lt;2,INT(V607)&lt;='Batasan Honor'!$B$2),1,0),"")</f>
        <v/>
      </c>
      <c r="O607" s="10" t="str">
        <f t="shared" si="2"/>
        <v/>
      </c>
      <c r="P607" s="10" t="str">
        <f t="shared" si="3"/>
        <v/>
      </c>
      <c r="R607" s="23"/>
      <c r="S607" s="10" t="str">
        <f t="shared" si="4"/>
        <v/>
      </c>
      <c r="U607" s="10" t="str">
        <f ca="1">IFERROR(__xludf.DUMMYFUNCTION("if(W607=1,COUNTIFS(FILTER($H$2:$H905,$H$2:$H905=""OB"",$S$2:$S905=S607),""OB""),"""")"),"")</f>
        <v/>
      </c>
      <c r="V607" s="10" t="str">
        <f ca="1">IFERROR(__xludf.DUMMYFUNCTION("IF(OR(ISNA(SUM(FILTER($K$2:$K905,$A$2:$A905=A607,$S$2:$S905=S607,$H$2:$H905&lt;&gt;""OB""))),W607&lt;&gt;1),"""",SUM(FILTER($K$2:$K905,$A$2:$A905=A607,$S$2:$S905=S607,$H$2:$H905&lt;&gt;""OB"")))"),"")</f>
        <v/>
      </c>
      <c r="W607" s="10" t="str">
        <f t="shared" si="5"/>
        <v/>
      </c>
    </row>
    <row r="608" spans="1:23" ht="12.5">
      <c r="A608" s="23"/>
      <c r="B608" s="5" t="str">
        <f t="array" ref="B608">IF(W608=1,INDEX('Database Mitra'!$H$2:$H905,MATCH(A608,'Database Mitra'!AK$2:AK905,0)),"")</f>
        <v/>
      </c>
      <c r="C608" s="5" t="str">
        <f t="array" ref="C608">IF(W608=1,INDEX('Database Mitra'!$E$2:$E905,MATCH(A608,'Database Mitra'!AK$2:AK905,0)),"")</f>
        <v/>
      </c>
      <c r="D608" s="23"/>
      <c r="E608" s="5" t="str">
        <f t="array" ref="E608">IF(W608=1,INDEX('Input Kegiatan'!B$2:B905,MATCH($D608,'Input Kegiatan'!$A$2:$A905,0)),"")</f>
        <v/>
      </c>
      <c r="F608" s="5" t="str">
        <f t="array" ref="F608">IF(W608=1,INDEX('Input Kegiatan'!D$2:D905,MATCH($D608,'Input Kegiatan'!$A$2:$A905,0)),"")</f>
        <v/>
      </c>
      <c r="G608" s="5" t="str">
        <f t="array" ref="G608">IF(W608=1,INDEX('Input Kegiatan'!E$2:E905,MATCH($D608,'Input Kegiatan'!$A$2:$A905,0)),"")</f>
        <v/>
      </c>
      <c r="H608" s="5" t="str">
        <f t="array" ref="H608">IF(W608=1,INDEX(Honor!$H$2:$H905,MATCH($D608&amp;"-"&amp;R608,Honor!$K$2:$K905,0)),"")</f>
        <v/>
      </c>
      <c r="I608" s="8" t="str">
        <f>IF(W608=1,SUMIFS(Honor!$I$2:$I905,Honor!$K$2:$K905,$D608&amp;"-"&amp;R608),"")</f>
        <v/>
      </c>
      <c r="J608" s="9" t="str">
        <f t="shared" si="6"/>
        <v/>
      </c>
      <c r="K608" s="10" t="str">
        <f t="shared" si="0"/>
        <v/>
      </c>
      <c r="L608" s="10" t="str">
        <f t="shared" si="1"/>
        <v/>
      </c>
      <c r="M608" s="10" t="str">
        <f>IF(W608=1,IF(AND(U608&lt;2,INT(V608)&lt;='Batasan Honor'!$B$2),1,0),"")</f>
        <v/>
      </c>
      <c r="O608" s="10" t="str">
        <f t="shared" si="2"/>
        <v/>
      </c>
      <c r="P608" s="10" t="str">
        <f t="shared" si="3"/>
        <v/>
      </c>
      <c r="R608" s="23"/>
      <c r="S608" s="10" t="str">
        <f t="shared" si="4"/>
        <v/>
      </c>
      <c r="U608" s="10" t="str">
        <f ca="1">IFERROR(__xludf.DUMMYFUNCTION("if(W608=1,COUNTIFS(FILTER($H$2:$H905,$H$2:$H905=""OB"",$S$2:$S905=S608),""OB""),"""")"),"")</f>
        <v/>
      </c>
      <c r="V608" s="10" t="str">
        <f ca="1">IFERROR(__xludf.DUMMYFUNCTION("IF(OR(ISNA(SUM(FILTER($K$2:$K905,$A$2:$A905=A608,$S$2:$S905=S608,$H$2:$H905&lt;&gt;""OB""))),W608&lt;&gt;1),"""",SUM(FILTER($K$2:$K905,$A$2:$A905=A608,$S$2:$S905=S608,$H$2:$H905&lt;&gt;""OB"")))"),"")</f>
        <v/>
      </c>
      <c r="W608" s="10" t="str">
        <f t="shared" si="5"/>
        <v/>
      </c>
    </row>
    <row r="609" spans="1:23" ht="12.5">
      <c r="A609" s="23"/>
      <c r="B609" s="5" t="str">
        <f t="array" ref="B609">IF(W609=1,INDEX('Database Mitra'!$H$2:$H905,MATCH(A609,'Database Mitra'!AK$2:AK905,0)),"")</f>
        <v/>
      </c>
      <c r="C609" s="5" t="str">
        <f t="array" ref="C609">IF(W609=1,INDEX('Database Mitra'!$E$2:$E905,MATCH(A609,'Database Mitra'!AK$2:AK905,0)),"")</f>
        <v/>
      </c>
      <c r="D609" s="23"/>
      <c r="E609" s="5" t="str">
        <f t="array" ref="E609">IF(W609=1,INDEX('Input Kegiatan'!B$2:B905,MATCH($D609,'Input Kegiatan'!$A$2:$A905,0)),"")</f>
        <v/>
      </c>
      <c r="F609" s="5" t="str">
        <f t="array" ref="F609">IF(W609=1,INDEX('Input Kegiatan'!D$2:D905,MATCH($D609,'Input Kegiatan'!$A$2:$A905,0)),"")</f>
        <v/>
      </c>
      <c r="G609" s="5" t="str">
        <f t="array" ref="G609">IF(W609=1,INDEX('Input Kegiatan'!E$2:E905,MATCH($D609,'Input Kegiatan'!$A$2:$A905,0)),"")</f>
        <v/>
      </c>
      <c r="H609" s="5" t="str">
        <f t="array" ref="H609">IF(W609=1,INDEX(Honor!$H$2:$H905,MATCH($D609&amp;"-"&amp;R609,Honor!$K$2:$K905,0)),"")</f>
        <v/>
      </c>
      <c r="I609" s="8" t="str">
        <f>IF(W609=1,SUMIFS(Honor!$I$2:$I905,Honor!$K$2:$K905,$D609&amp;"-"&amp;R609),"")</f>
        <v/>
      </c>
      <c r="J609" s="9" t="str">
        <f t="shared" si="6"/>
        <v/>
      </c>
      <c r="K609" s="10" t="str">
        <f t="shared" si="0"/>
        <v/>
      </c>
      <c r="L609" s="10" t="str">
        <f t="shared" si="1"/>
        <v/>
      </c>
      <c r="M609" s="10" t="str">
        <f>IF(W609=1,IF(AND(U609&lt;2,INT(V609)&lt;='Batasan Honor'!$B$2),1,0),"")</f>
        <v/>
      </c>
      <c r="O609" s="10" t="str">
        <f t="shared" si="2"/>
        <v/>
      </c>
      <c r="P609" s="10" t="str">
        <f t="shared" si="3"/>
        <v/>
      </c>
      <c r="R609" s="23"/>
      <c r="S609" s="10" t="str">
        <f t="shared" si="4"/>
        <v/>
      </c>
      <c r="U609" s="10" t="str">
        <f ca="1">IFERROR(__xludf.DUMMYFUNCTION("if(W609=1,COUNTIFS(FILTER($H$2:$H905,$H$2:$H905=""OB"",$S$2:$S905=S609),""OB""),"""")"),"")</f>
        <v/>
      </c>
      <c r="V609" s="10" t="str">
        <f ca="1">IFERROR(__xludf.DUMMYFUNCTION("IF(OR(ISNA(SUM(FILTER($K$2:$K905,$A$2:$A905=A609,$S$2:$S905=S609,$H$2:$H905&lt;&gt;""OB""))),W609&lt;&gt;1),"""",SUM(FILTER($K$2:$K905,$A$2:$A905=A609,$S$2:$S905=S609,$H$2:$H905&lt;&gt;""OB"")))"),"")</f>
        <v/>
      </c>
      <c r="W609" s="10" t="str">
        <f t="shared" si="5"/>
        <v/>
      </c>
    </row>
    <row r="610" spans="1:23" ht="12.5">
      <c r="A610" s="23"/>
      <c r="B610" s="5" t="str">
        <f t="array" ref="B610">IF(W610=1,INDEX('Database Mitra'!$H$2:$H905,MATCH(A610,'Database Mitra'!AK$2:AK905,0)),"")</f>
        <v/>
      </c>
      <c r="C610" s="5" t="str">
        <f t="array" ref="C610">IF(W610=1,INDEX('Database Mitra'!$E$2:$E905,MATCH(A610,'Database Mitra'!AK$2:AK905,0)),"")</f>
        <v/>
      </c>
      <c r="D610" s="23"/>
      <c r="E610" s="5" t="str">
        <f t="array" ref="E610">IF(W610=1,INDEX('Input Kegiatan'!B$2:B905,MATCH($D610,'Input Kegiatan'!$A$2:$A905,0)),"")</f>
        <v/>
      </c>
      <c r="F610" s="5" t="str">
        <f t="array" ref="F610">IF(W610=1,INDEX('Input Kegiatan'!D$2:D905,MATCH($D610,'Input Kegiatan'!$A$2:$A905,0)),"")</f>
        <v/>
      </c>
      <c r="G610" s="5" t="str">
        <f t="array" ref="G610">IF(W610=1,INDEX('Input Kegiatan'!E$2:E905,MATCH($D610,'Input Kegiatan'!$A$2:$A905,0)),"")</f>
        <v/>
      </c>
      <c r="H610" s="5" t="str">
        <f t="array" ref="H610">IF(W610=1,INDEX(Honor!$H$2:$H905,MATCH($D610&amp;"-"&amp;R610,Honor!$K$2:$K905,0)),"")</f>
        <v/>
      </c>
      <c r="I610" s="8" t="str">
        <f>IF(W610=1,SUMIFS(Honor!$I$2:$I905,Honor!$K$2:$K905,$D610&amp;"-"&amp;R610),"")</f>
        <v/>
      </c>
      <c r="J610" s="9" t="str">
        <f t="shared" si="6"/>
        <v/>
      </c>
      <c r="K610" s="10" t="str">
        <f t="shared" si="0"/>
        <v/>
      </c>
      <c r="L610" s="10" t="str">
        <f t="shared" si="1"/>
        <v/>
      </c>
      <c r="M610" s="10" t="str">
        <f>IF(W610=1,IF(AND(U610&lt;2,INT(V610)&lt;='Batasan Honor'!$B$2),1,0),"")</f>
        <v/>
      </c>
      <c r="O610" s="10" t="str">
        <f t="shared" si="2"/>
        <v/>
      </c>
      <c r="P610" s="10" t="str">
        <f t="shared" si="3"/>
        <v/>
      </c>
      <c r="R610" s="23"/>
      <c r="S610" s="10" t="str">
        <f t="shared" si="4"/>
        <v/>
      </c>
      <c r="U610" s="10" t="str">
        <f ca="1">IFERROR(__xludf.DUMMYFUNCTION("if(W610=1,COUNTIFS(FILTER($H$2:$H905,$H$2:$H905=""OB"",$S$2:$S905=S610),""OB""),"""")"),"")</f>
        <v/>
      </c>
      <c r="V610" s="10" t="str">
        <f ca="1">IFERROR(__xludf.DUMMYFUNCTION("IF(OR(ISNA(SUM(FILTER($K$2:$K905,$A$2:$A905=A610,$S$2:$S905=S610,$H$2:$H905&lt;&gt;""OB""))),W610&lt;&gt;1),"""",SUM(FILTER($K$2:$K905,$A$2:$A905=A610,$S$2:$S905=S610,$H$2:$H905&lt;&gt;""OB"")))"),"")</f>
        <v/>
      </c>
      <c r="W610" s="10" t="str">
        <f t="shared" si="5"/>
        <v/>
      </c>
    </row>
    <row r="611" spans="1:23" ht="12.5">
      <c r="A611" s="23"/>
      <c r="B611" s="5" t="str">
        <f t="array" ref="B611">IF(W611=1,INDEX('Database Mitra'!$H$2:$H905,MATCH(A611,'Database Mitra'!AK$2:AK905,0)),"")</f>
        <v/>
      </c>
      <c r="C611" s="5" t="str">
        <f t="array" ref="C611">IF(W611=1,INDEX('Database Mitra'!$E$2:$E905,MATCH(A611,'Database Mitra'!AK$2:AK905,0)),"")</f>
        <v/>
      </c>
      <c r="D611" s="23"/>
      <c r="E611" s="5" t="str">
        <f t="array" ref="E611">IF(W611=1,INDEX('Input Kegiatan'!B$2:B905,MATCH($D611,'Input Kegiatan'!$A$2:$A905,0)),"")</f>
        <v/>
      </c>
      <c r="F611" s="5" t="str">
        <f t="array" ref="F611">IF(W611=1,INDEX('Input Kegiatan'!D$2:D905,MATCH($D611,'Input Kegiatan'!$A$2:$A905,0)),"")</f>
        <v/>
      </c>
      <c r="G611" s="5" t="str">
        <f t="array" ref="G611">IF(W611=1,INDEX('Input Kegiatan'!E$2:E905,MATCH($D611,'Input Kegiatan'!$A$2:$A905,0)),"")</f>
        <v/>
      </c>
      <c r="H611" s="5" t="str">
        <f t="array" ref="H611">IF(W611=1,INDEX(Honor!$H$2:$H905,MATCH($D611&amp;"-"&amp;R611,Honor!$K$2:$K905,0)),"")</f>
        <v/>
      </c>
      <c r="I611" s="8" t="str">
        <f>IF(W611=1,SUMIFS(Honor!$I$2:$I905,Honor!$K$2:$K905,$D611&amp;"-"&amp;R611),"")</f>
        <v/>
      </c>
      <c r="J611" s="9" t="str">
        <f t="shared" si="6"/>
        <v/>
      </c>
      <c r="K611" s="10" t="str">
        <f t="shared" si="0"/>
        <v/>
      </c>
      <c r="L611" s="10" t="str">
        <f t="shared" si="1"/>
        <v/>
      </c>
      <c r="M611" s="10" t="str">
        <f>IF(W611=1,IF(AND(U611&lt;2,INT(V611)&lt;='Batasan Honor'!$B$2),1,0),"")</f>
        <v/>
      </c>
      <c r="O611" s="10" t="str">
        <f t="shared" si="2"/>
        <v/>
      </c>
      <c r="P611" s="10" t="str">
        <f t="shared" si="3"/>
        <v/>
      </c>
      <c r="R611" s="23"/>
      <c r="S611" s="10" t="str">
        <f t="shared" si="4"/>
        <v/>
      </c>
      <c r="U611" s="10" t="str">
        <f ca="1">IFERROR(__xludf.DUMMYFUNCTION("if(W611=1,COUNTIFS(FILTER($H$2:$H905,$H$2:$H905=""OB"",$S$2:$S905=S611),""OB""),"""")"),"")</f>
        <v/>
      </c>
      <c r="V611" s="10" t="str">
        <f ca="1">IFERROR(__xludf.DUMMYFUNCTION("IF(OR(ISNA(SUM(FILTER($K$2:$K905,$A$2:$A905=A611,$S$2:$S905=S611,$H$2:$H905&lt;&gt;""OB""))),W611&lt;&gt;1),"""",SUM(FILTER($K$2:$K905,$A$2:$A905=A611,$S$2:$S905=S611,$H$2:$H905&lt;&gt;""OB"")))"),"")</f>
        <v/>
      </c>
      <c r="W611" s="10" t="str">
        <f t="shared" si="5"/>
        <v/>
      </c>
    </row>
    <row r="612" spans="1:23" ht="12.5">
      <c r="A612" s="23"/>
      <c r="B612" s="5" t="str">
        <f t="array" ref="B612">IF(W612=1,INDEX('Database Mitra'!$H$2:$H905,MATCH(A612,'Database Mitra'!AK$2:AK905,0)),"")</f>
        <v/>
      </c>
      <c r="C612" s="5" t="str">
        <f t="array" ref="C612">IF(W612=1,INDEX('Database Mitra'!$E$2:$E905,MATCH(A612,'Database Mitra'!AK$2:AK905,0)),"")</f>
        <v/>
      </c>
      <c r="D612" s="23"/>
      <c r="E612" s="5" t="str">
        <f t="array" ref="E612">IF(W612=1,INDEX('Input Kegiatan'!B$2:B905,MATCH($D612,'Input Kegiatan'!$A$2:$A905,0)),"")</f>
        <v/>
      </c>
      <c r="F612" s="5" t="str">
        <f t="array" ref="F612">IF(W612=1,INDEX('Input Kegiatan'!D$2:D905,MATCH($D612,'Input Kegiatan'!$A$2:$A905,0)),"")</f>
        <v/>
      </c>
      <c r="G612" s="5" t="str">
        <f t="array" ref="G612">IF(W612=1,INDEX('Input Kegiatan'!E$2:E905,MATCH($D612,'Input Kegiatan'!$A$2:$A905,0)),"")</f>
        <v/>
      </c>
      <c r="H612" s="5" t="str">
        <f t="array" ref="H612">IF(W612=1,INDEX(Honor!$H$2:$H905,MATCH($D612&amp;"-"&amp;R612,Honor!$K$2:$K905,0)),"")</f>
        <v/>
      </c>
      <c r="I612" s="8" t="str">
        <f>IF(W612=1,SUMIFS(Honor!$I$2:$I905,Honor!$K$2:$K905,$D612&amp;"-"&amp;R612),"")</f>
        <v/>
      </c>
      <c r="J612" s="9" t="str">
        <f t="shared" si="6"/>
        <v/>
      </c>
      <c r="K612" s="10" t="str">
        <f t="shared" si="0"/>
        <v/>
      </c>
      <c r="L612" s="10" t="str">
        <f t="shared" si="1"/>
        <v/>
      </c>
      <c r="M612" s="10" t="str">
        <f>IF(W612=1,IF(AND(U612&lt;2,INT(V612)&lt;='Batasan Honor'!$B$2),1,0),"")</f>
        <v/>
      </c>
      <c r="O612" s="10" t="str">
        <f t="shared" si="2"/>
        <v/>
      </c>
      <c r="P612" s="10" t="str">
        <f t="shared" si="3"/>
        <v/>
      </c>
      <c r="R612" s="23"/>
      <c r="S612" s="10" t="str">
        <f t="shared" si="4"/>
        <v/>
      </c>
      <c r="U612" s="10" t="str">
        <f ca="1">IFERROR(__xludf.DUMMYFUNCTION("if(W612=1,COUNTIFS(FILTER($H$2:$H905,$H$2:$H905=""OB"",$S$2:$S905=S612),""OB""),"""")"),"")</f>
        <v/>
      </c>
      <c r="V612" s="10" t="str">
        <f ca="1">IFERROR(__xludf.DUMMYFUNCTION("IF(OR(ISNA(SUM(FILTER($K$2:$K905,$A$2:$A905=A612,$S$2:$S905=S612,$H$2:$H905&lt;&gt;""OB""))),W612&lt;&gt;1),"""",SUM(FILTER($K$2:$K905,$A$2:$A905=A612,$S$2:$S905=S612,$H$2:$H905&lt;&gt;""OB"")))"),"")</f>
        <v/>
      </c>
      <c r="W612" s="10" t="str">
        <f t="shared" si="5"/>
        <v/>
      </c>
    </row>
    <row r="613" spans="1:23" ht="12.5">
      <c r="A613" s="23"/>
      <c r="B613" s="5" t="str">
        <f t="array" ref="B613">IF(W613=1,INDEX('Database Mitra'!$H$2:$H905,MATCH(A613,'Database Mitra'!AK$2:AK905,0)),"")</f>
        <v/>
      </c>
      <c r="C613" s="5" t="str">
        <f t="array" ref="C613">IF(W613=1,INDEX('Database Mitra'!$E$2:$E905,MATCH(A613,'Database Mitra'!AK$2:AK905,0)),"")</f>
        <v/>
      </c>
      <c r="D613" s="23"/>
      <c r="E613" s="5" t="str">
        <f t="array" ref="E613">IF(W613=1,INDEX('Input Kegiatan'!B$2:B905,MATCH($D613,'Input Kegiatan'!$A$2:$A905,0)),"")</f>
        <v/>
      </c>
      <c r="F613" s="5" t="str">
        <f t="array" ref="F613">IF(W613=1,INDEX('Input Kegiatan'!D$2:D905,MATCH($D613,'Input Kegiatan'!$A$2:$A905,0)),"")</f>
        <v/>
      </c>
      <c r="G613" s="5" t="str">
        <f t="array" ref="G613">IF(W613=1,INDEX('Input Kegiatan'!E$2:E905,MATCH($D613,'Input Kegiatan'!$A$2:$A905,0)),"")</f>
        <v/>
      </c>
      <c r="H613" s="5" t="str">
        <f t="array" ref="H613">IF(W613=1,INDEX(Honor!$H$2:$H905,MATCH($D613&amp;"-"&amp;R613,Honor!$K$2:$K905,0)),"")</f>
        <v/>
      </c>
      <c r="I613" s="8" t="str">
        <f>IF(W613=1,SUMIFS(Honor!$I$2:$I905,Honor!$K$2:$K905,$D613&amp;"-"&amp;R613),"")</f>
        <v/>
      </c>
      <c r="J613" s="9" t="str">
        <f t="shared" si="6"/>
        <v/>
      </c>
      <c r="K613" s="10" t="str">
        <f t="shared" si="0"/>
        <v/>
      </c>
      <c r="L613" s="10" t="str">
        <f t="shared" si="1"/>
        <v/>
      </c>
      <c r="M613" s="10" t="str">
        <f>IF(W613=1,IF(AND(U613&lt;2,INT(V613)&lt;='Batasan Honor'!$B$2),1,0),"")</f>
        <v/>
      </c>
      <c r="O613" s="10" t="str">
        <f t="shared" si="2"/>
        <v/>
      </c>
      <c r="P613" s="10" t="str">
        <f t="shared" si="3"/>
        <v/>
      </c>
      <c r="R613" s="23"/>
      <c r="S613" s="10" t="str">
        <f t="shared" si="4"/>
        <v/>
      </c>
      <c r="U613" s="10" t="str">
        <f ca="1">IFERROR(__xludf.DUMMYFUNCTION("if(W613=1,COUNTIFS(FILTER($H$2:$H905,$H$2:$H905=""OB"",$S$2:$S905=S613),""OB""),"""")"),"")</f>
        <v/>
      </c>
      <c r="V613" s="10" t="str">
        <f ca="1">IFERROR(__xludf.DUMMYFUNCTION("IF(OR(ISNA(SUM(FILTER($K$2:$K905,$A$2:$A905=A613,$S$2:$S905=S613,$H$2:$H905&lt;&gt;""OB""))),W613&lt;&gt;1),"""",SUM(FILTER($K$2:$K905,$A$2:$A905=A613,$S$2:$S905=S613,$H$2:$H905&lt;&gt;""OB"")))"),"")</f>
        <v/>
      </c>
      <c r="W613" s="10" t="str">
        <f t="shared" si="5"/>
        <v/>
      </c>
    </row>
    <row r="614" spans="1:23" ht="12.5">
      <c r="A614" s="23"/>
      <c r="B614" s="5" t="str">
        <f t="array" ref="B614">IF(W614=1,INDEX('Database Mitra'!$H$2:$H905,MATCH(A614,'Database Mitra'!AK$2:AK905,0)),"")</f>
        <v/>
      </c>
      <c r="C614" s="5" t="str">
        <f t="array" ref="C614">IF(W614=1,INDEX('Database Mitra'!$E$2:$E905,MATCH(A614,'Database Mitra'!AK$2:AK905,0)),"")</f>
        <v/>
      </c>
      <c r="D614" s="23"/>
      <c r="E614" s="5" t="str">
        <f t="array" ref="E614">IF(W614=1,INDEX('Input Kegiatan'!B$2:B905,MATCH($D614,'Input Kegiatan'!$A$2:$A905,0)),"")</f>
        <v/>
      </c>
      <c r="F614" s="5" t="str">
        <f t="array" ref="F614">IF(W614=1,INDEX('Input Kegiatan'!D$2:D905,MATCH($D614,'Input Kegiatan'!$A$2:$A905,0)),"")</f>
        <v/>
      </c>
      <c r="G614" s="5" t="str">
        <f t="array" ref="G614">IF(W614=1,INDEX('Input Kegiatan'!E$2:E905,MATCH($D614,'Input Kegiatan'!$A$2:$A905,0)),"")</f>
        <v/>
      </c>
      <c r="H614" s="5" t="str">
        <f t="array" ref="H614">IF(W614=1,INDEX(Honor!$H$2:$H905,MATCH($D614&amp;"-"&amp;R614,Honor!$K$2:$K905,0)),"")</f>
        <v/>
      </c>
      <c r="I614" s="8" t="str">
        <f>IF(W614=1,SUMIFS(Honor!$I$2:$I905,Honor!$K$2:$K905,$D614&amp;"-"&amp;R614),"")</f>
        <v/>
      </c>
      <c r="J614" s="9" t="str">
        <f t="shared" si="6"/>
        <v/>
      </c>
      <c r="K614" s="10" t="str">
        <f t="shared" si="0"/>
        <v/>
      </c>
      <c r="L614" s="10" t="str">
        <f t="shared" si="1"/>
        <v/>
      </c>
      <c r="M614" s="10" t="str">
        <f>IF(W614=1,IF(AND(U614&lt;2,INT(V614)&lt;='Batasan Honor'!$B$2),1,0),"")</f>
        <v/>
      </c>
      <c r="O614" s="10" t="str">
        <f t="shared" si="2"/>
        <v/>
      </c>
      <c r="P614" s="10" t="str">
        <f t="shared" si="3"/>
        <v/>
      </c>
      <c r="R614" s="23"/>
      <c r="S614" s="10" t="str">
        <f t="shared" si="4"/>
        <v/>
      </c>
      <c r="U614" s="10" t="str">
        <f ca="1">IFERROR(__xludf.DUMMYFUNCTION("if(W614=1,COUNTIFS(FILTER($H$2:$H905,$H$2:$H905=""OB"",$S$2:$S905=S614),""OB""),"""")"),"")</f>
        <v/>
      </c>
      <c r="V614" s="10" t="str">
        <f ca="1">IFERROR(__xludf.DUMMYFUNCTION("IF(OR(ISNA(SUM(FILTER($K$2:$K905,$A$2:$A905=A614,$S$2:$S905=S614,$H$2:$H905&lt;&gt;""OB""))),W614&lt;&gt;1),"""",SUM(FILTER($K$2:$K905,$A$2:$A905=A614,$S$2:$S905=S614,$H$2:$H905&lt;&gt;""OB"")))"),"")</f>
        <v/>
      </c>
      <c r="W614" s="10" t="str">
        <f t="shared" si="5"/>
        <v/>
      </c>
    </row>
    <row r="615" spans="1:23" ht="12.5">
      <c r="A615" s="23"/>
      <c r="B615" s="5" t="str">
        <f t="array" ref="B615">IF(W615=1,INDEX('Database Mitra'!$H$2:$H905,MATCH(A615,'Database Mitra'!AK$2:AK905,0)),"")</f>
        <v/>
      </c>
      <c r="C615" s="5" t="str">
        <f t="array" ref="C615">IF(W615=1,INDEX('Database Mitra'!$E$2:$E905,MATCH(A615,'Database Mitra'!AK$2:AK905,0)),"")</f>
        <v/>
      </c>
      <c r="D615" s="23"/>
      <c r="E615" s="5" t="str">
        <f t="array" ref="E615">IF(W615=1,INDEX('Input Kegiatan'!B$2:B905,MATCH($D615,'Input Kegiatan'!$A$2:$A905,0)),"")</f>
        <v/>
      </c>
      <c r="F615" s="5" t="str">
        <f t="array" ref="F615">IF(W615=1,INDEX('Input Kegiatan'!D$2:D905,MATCH($D615,'Input Kegiatan'!$A$2:$A905,0)),"")</f>
        <v/>
      </c>
      <c r="G615" s="5" t="str">
        <f t="array" ref="G615">IF(W615=1,INDEX('Input Kegiatan'!E$2:E905,MATCH($D615,'Input Kegiatan'!$A$2:$A905,0)),"")</f>
        <v/>
      </c>
      <c r="H615" s="5" t="str">
        <f t="array" ref="H615">IF(W615=1,INDEX(Honor!$H$2:$H905,MATCH($D615&amp;"-"&amp;R615,Honor!$K$2:$K905,0)),"")</f>
        <v/>
      </c>
      <c r="I615" s="8" t="str">
        <f>IF(W615=1,SUMIFS(Honor!$I$2:$I905,Honor!$K$2:$K905,$D615&amp;"-"&amp;R615),"")</f>
        <v/>
      </c>
      <c r="J615" s="9" t="str">
        <f t="shared" si="6"/>
        <v/>
      </c>
      <c r="K615" s="10" t="str">
        <f t="shared" si="0"/>
        <v/>
      </c>
      <c r="L615" s="10" t="str">
        <f t="shared" si="1"/>
        <v/>
      </c>
      <c r="M615" s="10" t="str">
        <f>IF(W615=1,IF(AND(U615&lt;2,INT(V615)&lt;='Batasan Honor'!$B$2),1,0),"")</f>
        <v/>
      </c>
      <c r="O615" s="10" t="str">
        <f t="shared" si="2"/>
        <v/>
      </c>
      <c r="P615" s="10" t="str">
        <f t="shared" si="3"/>
        <v/>
      </c>
      <c r="R615" s="23"/>
      <c r="S615" s="10" t="str">
        <f t="shared" si="4"/>
        <v/>
      </c>
      <c r="U615" s="10" t="str">
        <f ca="1">IFERROR(__xludf.DUMMYFUNCTION("if(W615=1,COUNTIFS(FILTER($H$2:$H905,$H$2:$H905=""OB"",$S$2:$S905=S615),""OB""),"""")"),"")</f>
        <v/>
      </c>
      <c r="V615" s="10" t="str">
        <f ca="1">IFERROR(__xludf.DUMMYFUNCTION("IF(OR(ISNA(SUM(FILTER($K$2:$K905,$A$2:$A905=A615,$S$2:$S905=S615,$H$2:$H905&lt;&gt;""OB""))),W615&lt;&gt;1),"""",SUM(FILTER($K$2:$K905,$A$2:$A905=A615,$S$2:$S905=S615,$H$2:$H905&lt;&gt;""OB"")))"),"")</f>
        <v/>
      </c>
      <c r="W615" s="10" t="str">
        <f t="shared" si="5"/>
        <v/>
      </c>
    </row>
    <row r="616" spans="1:23" ht="12.5">
      <c r="A616" s="23"/>
      <c r="B616" s="5" t="str">
        <f t="array" ref="B616">IF(W616=1,INDEX('Database Mitra'!$H$2:$H905,MATCH(A616,'Database Mitra'!AK$2:AK905,0)),"")</f>
        <v/>
      </c>
      <c r="C616" s="5" t="str">
        <f t="array" ref="C616">IF(W616=1,INDEX('Database Mitra'!$E$2:$E905,MATCH(A616,'Database Mitra'!AK$2:AK905,0)),"")</f>
        <v/>
      </c>
      <c r="D616" s="23"/>
      <c r="E616" s="5" t="str">
        <f t="array" ref="E616">IF(W616=1,INDEX('Input Kegiatan'!B$2:B905,MATCH($D616,'Input Kegiatan'!$A$2:$A905,0)),"")</f>
        <v/>
      </c>
      <c r="F616" s="5" t="str">
        <f t="array" ref="F616">IF(W616=1,INDEX('Input Kegiatan'!D$2:D905,MATCH($D616,'Input Kegiatan'!$A$2:$A905,0)),"")</f>
        <v/>
      </c>
      <c r="G616" s="5" t="str">
        <f t="array" ref="G616">IF(W616=1,INDEX('Input Kegiatan'!E$2:E905,MATCH($D616,'Input Kegiatan'!$A$2:$A905,0)),"")</f>
        <v/>
      </c>
      <c r="H616" s="5" t="str">
        <f t="array" ref="H616">IF(W616=1,INDEX(Honor!$H$2:$H905,MATCH($D616&amp;"-"&amp;R616,Honor!$K$2:$K905,0)),"")</f>
        <v/>
      </c>
      <c r="I616" s="8" t="str">
        <f>IF(W616=1,SUMIFS(Honor!$I$2:$I905,Honor!$K$2:$K905,$D616&amp;"-"&amp;R616),"")</f>
        <v/>
      </c>
      <c r="J616" s="9" t="str">
        <f t="shared" si="6"/>
        <v/>
      </c>
      <c r="K616" s="10" t="str">
        <f t="shared" si="0"/>
        <v/>
      </c>
      <c r="L616" s="10" t="str">
        <f t="shared" si="1"/>
        <v/>
      </c>
      <c r="M616" s="10" t="str">
        <f>IF(W616=1,IF(AND(U616&lt;2,INT(V616)&lt;='Batasan Honor'!$B$2),1,0),"")</f>
        <v/>
      </c>
      <c r="O616" s="10" t="str">
        <f t="shared" si="2"/>
        <v/>
      </c>
      <c r="P616" s="10" t="str">
        <f t="shared" si="3"/>
        <v/>
      </c>
      <c r="R616" s="23"/>
      <c r="S616" s="10" t="str">
        <f t="shared" si="4"/>
        <v/>
      </c>
      <c r="U616" s="10" t="str">
        <f ca="1">IFERROR(__xludf.DUMMYFUNCTION("if(W616=1,COUNTIFS(FILTER($H$2:$H905,$H$2:$H905=""OB"",$S$2:$S905=S616),""OB""),"""")"),"")</f>
        <v/>
      </c>
      <c r="V616" s="10" t="str">
        <f ca="1">IFERROR(__xludf.DUMMYFUNCTION("IF(OR(ISNA(SUM(FILTER($K$2:$K905,$A$2:$A905=A616,$S$2:$S905=S616,$H$2:$H905&lt;&gt;""OB""))),W616&lt;&gt;1),"""",SUM(FILTER($K$2:$K905,$A$2:$A905=A616,$S$2:$S905=S616,$H$2:$H905&lt;&gt;""OB"")))"),"")</f>
        <v/>
      </c>
      <c r="W616" s="10" t="str">
        <f t="shared" si="5"/>
        <v/>
      </c>
    </row>
    <row r="617" spans="1:23" ht="12.5">
      <c r="A617" s="23"/>
      <c r="B617" s="5" t="str">
        <f t="array" ref="B617">IF(W617=1,INDEX('Database Mitra'!$H$2:$H905,MATCH(A617,'Database Mitra'!AK$2:AK905,0)),"")</f>
        <v/>
      </c>
      <c r="C617" s="5" t="str">
        <f t="array" ref="C617">IF(W617=1,INDEX('Database Mitra'!$E$2:$E905,MATCH(A617,'Database Mitra'!AK$2:AK905,0)),"")</f>
        <v/>
      </c>
      <c r="D617" s="23"/>
      <c r="E617" s="5" t="str">
        <f t="array" ref="E617">IF(W617=1,INDEX('Input Kegiatan'!B$2:B905,MATCH($D617,'Input Kegiatan'!$A$2:$A905,0)),"")</f>
        <v/>
      </c>
      <c r="F617" s="5" t="str">
        <f t="array" ref="F617">IF(W617=1,INDEX('Input Kegiatan'!D$2:D905,MATCH($D617,'Input Kegiatan'!$A$2:$A905,0)),"")</f>
        <v/>
      </c>
      <c r="G617" s="5" t="str">
        <f t="array" ref="G617">IF(W617=1,INDEX('Input Kegiatan'!E$2:E905,MATCH($D617,'Input Kegiatan'!$A$2:$A905,0)),"")</f>
        <v/>
      </c>
      <c r="H617" s="5" t="str">
        <f t="array" ref="H617">IF(W617=1,INDEX(Honor!$H$2:$H905,MATCH($D617&amp;"-"&amp;R617,Honor!$K$2:$K905,0)),"")</f>
        <v/>
      </c>
      <c r="I617" s="8" t="str">
        <f>IF(W617=1,SUMIFS(Honor!$I$2:$I905,Honor!$K$2:$K905,$D617&amp;"-"&amp;R617),"")</f>
        <v/>
      </c>
      <c r="J617" s="9" t="str">
        <f t="shared" si="6"/>
        <v/>
      </c>
      <c r="K617" s="10" t="str">
        <f t="shared" si="0"/>
        <v/>
      </c>
      <c r="L617" s="10" t="str">
        <f t="shared" si="1"/>
        <v/>
      </c>
      <c r="M617" s="10" t="str">
        <f>IF(W617=1,IF(AND(U617&lt;2,INT(V617)&lt;='Batasan Honor'!$B$2),1,0),"")</f>
        <v/>
      </c>
      <c r="O617" s="10" t="str">
        <f t="shared" si="2"/>
        <v/>
      </c>
      <c r="P617" s="10" t="str">
        <f t="shared" si="3"/>
        <v/>
      </c>
      <c r="R617" s="23"/>
      <c r="S617" s="10" t="str">
        <f t="shared" si="4"/>
        <v/>
      </c>
      <c r="U617" s="10" t="str">
        <f ca="1">IFERROR(__xludf.DUMMYFUNCTION("if(W617=1,COUNTIFS(FILTER($H$2:$H905,$H$2:$H905=""OB"",$S$2:$S905=S617),""OB""),"""")"),"")</f>
        <v/>
      </c>
      <c r="V617" s="10" t="str">
        <f ca="1">IFERROR(__xludf.DUMMYFUNCTION("IF(OR(ISNA(SUM(FILTER($K$2:$K905,$A$2:$A905=A617,$S$2:$S905=S617,$H$2:$H905&lt;&gt;""OB""))),W617&lt;&gt;1),"""",SUM(FILTER($K$2:$K905,$A$2:$A905=A617,$S$2:$S905=S617,$H$2:$H905&lt;&gt;""OB"")))"),"")</f>
        <v/>
      </c>
      <c r="W617" s="10" t="str">
        <f t="shared" si="5"/>
        <v/>
      </c>
    </row>
    <row r="618" spans="1:23" ht="12.5">
      <c r="A618" s="23"/>
      <c r="B618" s="5" t="str">
        <f t="array" ref="B618">IF(W618=1,INDEX('Database Mitra'!$H$2:$H905,MATCH(A618,'Database Mitra'!AK$2:AK905,0)),"")</f>
        <v/>
      </c>
      <c r="C618" s="5" t="str">
        <f t="array" ref="C618">IF(W618=1,INDEX('Database Mitra'!$E$2:$E905,MATCH(A618,'Database Mitra'!AK$2:AK905,0)),"")</f>
        <v/>
      </c>
      <c r="D618" s="23"/>
      <c r="E618" s="5" t="str">
        <f t="array" ref="E618">IF(W618=1,INDEX('Input Kegiatan'!B$2:B905,MATCH($D618,'Input Kegiatan'!$A$2:$A905,0)),"")</f>
        <v/>
      </c>
      <c r="F618" s="5" t="str">
        <f t="array" ref="F618">IF(W618=1,INDEX('Input Kegiatan'!D$2:D905,MATCH($D618,'Input Kegiatan'!$A$2:$A905,0)),"")</f>
        <v/>
      </c>
      <c r="G618" s="5" t="str">
        <f t="array" ref="G618">IF(W618=1,INDEX('Input Kegiatan'!E$2:E905,MATCH($D618,'Input Kegiatan'!$A$2:$A905,0)),"")</f>
        <v/>
      </c>
      <c r="H618" s="5" t="str">
        <f t="array" ref="H618">IF(W618=1,INDEX(Honor!$H$2:$H905,MATCH($D618&amp;"-"&amp;R618,Honor!$K$2:$K905,0)),"")</f>
        <v/>
      </c>
      <c r="I618" s="8" t="str">
        <f>IF(W618=1,SUMIFS(Honor!$I$2:$I905,Honor!$K$2:$K905,$D618&amp;"-"&amp;R618),"")</f>
        <v/>
      </c>
      <c r="J618" s="9" t="str">
        <f t="shared" si="6"/>
        <v/>
      </c>
      <c r="K618" s="10" t="str">
        <f t="shared" si="0"/>
        <v/>
      </c>
      <c r="L618" s="10" t="str">
        <f t="shared" si="1"/>
        <v/>
      </c>
      <c r="M618" s="10" t="str">
        <f>IF(W618=1,IF(AND(U618&lt;2,INT(V618)&lt;='Batasan Honor'!$B$2),1,0),"")</f>
        <v/>
      </c>
      <c r="O618" s="10" t="str">
        <f t="shared" si="2"/>
        <v/>
      </c>
      <c r="P618" s="10" t="str">
        <f t="shared" si="3"/>
        <v/>
      </c>
      <c r="R618" s="23"/>
      <c r="S618" s="10" t="str">
        <f t="shared" si="4"/>
        <v/>
      </c>
      <c r="U618" s="10" t="str">
        <f ca="1">IFERROR(__xludf.DUMMYFUNCTION("if(W618=1,COUNTIFS(FILTER($H$2:$H905,$H$2:$H905=""OB"",$S$2:$S905=S618),""OB""),"""")"),"")</f>
        <v/>
      </c>
      <c r="V618" s="10" t="str">
        <f ca="1">IFERROR(__xludf.DUMMYFUNCTION("IF(OR(ISNA(SUM(FILTER($K$2:$K905,$A$2:$A905=A618,$S$2:$S905=S618,$H$2:$H905&lt;&gt;""OB""))),W618&lt;&gt;1),"""",SUM(FILTER($K$2:$K905,$A$2:$A905=A618,$S$2:$S905=S618,$H$2:$H905&lt;&gt;""OB"")))"),"")</f>
        <v/>
      </c>
      <c r="W618" s="10" t="str">
        <f t="shared" si="5"/>
        <v/>
      </c>
    </row>
    <row r="619" spans="1:23" ht="12.5">
      <c r="A619" s="23"/>
      <c r="B619" s="5" t="str">
        <f t="array" ref="B619">IF(W619=1,INDEX('Database Mitra'!$H$2:$H905,MATCH(A619,'Database Mitra'!AK$2:AK905,0)),"")</f>
        <v/>
      </c>
      <c r="C619" s="5" t="str">
        <f t="array" ref="C619">IF(W619=1,INDEX('Database Mitra'!$E$2:$E905,MATCH(A619,'Database Mitra'!AK$2:AK905,0)),"")</f>
        <v/>
      </c>
      <c r="D619" s="23"/>
      <c r="E619" s="5" t="str">
        <f t="array" ref="E619">IF(W619=1,INDEX('Input Kegiatan'!B$2:B905,MATCH($D619,'Input Kegiatan'!$A$2:$A905,0)),"")</f>
        <v/>
      </c>
      <c r="F619" s="5" t="str">
        <f t="array" ref="F619">IF(W619=1,INDEX('Input Kegiatan'!D$2:D905,MATCH($D619,'Input Kegiatan'!$A$2:$A905,0)),"")</f>
        <v/>
      </c>
      <c r="G619" s="5" t="str">
        <f t="array" ref="G619">IF(W619=1,INDEX('Input Kegiatan'!E$2:E905,MATCH($D619,'Input Kegiatan'!$A$2:$A905,0)),"")</f>
        <v/>
      </c>
      <c r="H619" s="5" t="str">
        <f t="array" ref="H619">IF(W619=1,INDEX(Honor!$H$2:$H905,MATCH($D619&amp;"-"&amp;R619,Honor!$K$2:$K905,0)),"")</f>
        <v/>
      </c>
      <c r="I619" s="8" t="str">
        <f>IF(W619=1,SUMIFS(Honor!$I$2:$I905,Honor!$K$2:$K905,$D619&amp;"-"&amp;R619),"")</f>
        <v/>
      </c>
      <c r="J619" s="9" t="str">
        <f t="shared" si="6"/>
        <v/>
      </c>
      <c r="K619" s="10" t="str">
        <f t="shared" si="0"/>
        <v/>
      </c>
      <c r="L619" s="10" t="str">
        <f t="shared" si="1"/>
        <v/>
      </c>
      <c r="M619" s="10" t="str">
        <f>IF(W619=1,IF(AND(U619&lt;2,INT(V619)&lt;='Batasan Honor'!$B$2),1,0),"")</f>
        <v/>
      </c>
      <c r="O619" s="10" t="str">
        <f t="shared" si="2"/>
        <v/>
      </c>
      <c r="P619" s="10" t="str">
        <f t="shared" si="3"/>
        <v/>
      </c>
      <c r="R619" s="23"/>
      <c r="S619" s="10" t="str">
        <f t="shared" si="4"/>
        <v/>
      </c>
      <c r="U619" s="10" t="str">
        <f ca="1">IFERROR(__xludf.DUMMYFUNCTION("if(W619=1,COUNTIFS(FILTER($H$2:$H905,$H$2:$H905=""OB"",$S$2:$S905=S619),""OB""),"""")"),"")</f>
        <v/>
      </c>
      <c r="V619" s="10" t="str">
        <f ca="1">IFERROR(__xludf.DUMMYFUNCTION("IF(OR(ISNA(SUM(FILTER($K$2:$K905,$A$2:$A905=A619,$S$2:$S905=S619,$H$2:$H905&lt;&gt;""OB""))),W619&lt;&gt;1),"""",SUM(FILTER($K$2:$K905,$A$2:$A905=A619,$S$2:$S905=S619,$H$2:$H905&lt;&gt;""OB"")))"),"")</f>
        <v/>
      </c>
      <c r="W619" s="10" t="str">
        <f t="shared" si="5"/>
        <v/>
      </c>
    </row>
    <row r="620" spans="1:23" ht="12.5">
      <c r="A620" s="23"/>
      <c r="B620" s="5" t="str">
        <f t="array" ref="B620">IF(W620=1,INDEX('Database Mitra'!$H$2:$H905,MATCH(A620,'Database Mitra'!AK$2:AK905,0)),"")</f>
        <v/>
      </c>
      <c r="C620" s="5" t="str">
        <f t="array" ref="C620">IF(W620=1,INDEX('Database Mitra'!$E$2:$E905,MATCH(A620,'Database Mitra'!AK$2:AK905,0)),"")</f>
        <v/>
      </c>
      <c r="D620" s="23"/>
      <c r="E620" s="5" t="str">
        <f t="array" ref="E620">IF(W620=1,INDEX('Input Kegiatan'!B$2:B905,MATCH($D620,'Input Kegiatan'!$A$2:$A905,0)),"")</f>
        <v/>
      </c>
      <c r="F620" s="5" t="str">
        <f t="array" ref="F620">IF(W620=1,INDEX('Input Kegiatan'!D$2:D905,MATCH($D620,'Input Kegiatan'!$A$2:$A905,0)),"")</f>
        <v/>
      </c>
      <c r="G620" s="5" t="str">
        <f t="array" ref="G620">IF(W620=1,INDEX('Input Kegiatan'!E$2:E905,MATCH($D620,'Input Kegiatan'!$A$2:$A905,0)),"")</f>
        <v/>
      </c>
      <c r="H620" s="5" t="str">
        <f t="array" ref="H620">IF(W620=1,INDEX(Honor!$H$2:$H905,MATCH($D620&amp;"-"&amp;R620,Honor!$K$2:$K905,0)),"")</f>
        <v/>
      </c>
      <c r="I620" s="8" t="str">
        <f>IF(W620=1,SUMIFS(Honor!$I$2:$I905,Honor!$K$2:$K905,$D620&amp;"-"&amp;R620),"")</f>
        <v/>
      </c>
      <c r="J620" s="9" t="str">
        <f t="shared" si="6"/>
        <v/>
      </c>
      <c r="K620" s="10" t="str">
        <f t="shared" si="0"/>
        <v/>
      </c>
      <c r="L620" s="10" t="str">
        <f t="shared" si="1"/>
        <v/>
      </c>
      <c r="M620" s="10" t="str">
        <f>IF(W620=1,IF(AND(U620&lt;2,INT(V620)&lt;='Batasan Honor'!$B$2),1,0),"")</f>
        <v/>
      </c>
      <c r="O620" s="10" t="str">
        <f t="shared" si="2"/>
        <v/>
      </c>
      <c r="P620" s="10" t="str">
        <f t="shared" si="3"/>
        <v/>
      </c>
      <c r="R620" s="23"/>
      <c r="S620" s="10" t="str">
        <f t="shared" si="4"/>
        <v/>
      </c>
      <c r="U620" s="10" t="str">
        <f ca="1">IFERROR(__xludf.DUMMYFUNCTION("if(W620=1,COUNTIFS(FILTER($H$2:$H905,$H$2:$H905=""OB"",$S$2:$S905=S620),""OB""),"""")"),"")</f>
        <v/>
      </c>
      <c r="V620" s="10" t="str">
        <f ca="1">IFERROR(__xludf.DUMMYFUNCTION("IF(OR(ISNA(SUM(FILTER($K$2:$K905,$A$2:$A905=A620,$S$2:$S905=S620,$H$2:$H905&lt;&gt;""OB""))),W620&lt;&gt;1),"""",SUM(FILTER($K$2:$K905,$A$2:$A905=A620,$S$2:$S905=S620,$H$2:$H905&lt;&gt;""OB"")))"),"")</f>
        <v/>
      </c>
      <c r="W620" s="10" t="str">
        <f t="shared" si="5"/>
        <v/>
      </c>
    </row>
    <row r="621" spans="1:23" ht="12.5">
      <c r="A621" s="23"/>
      <c r="B621" s="5" t="str">
        <f t="array" ref="B621">IF(W621=1,INDEX('Database Mitra'!$H$2:$H905,MATCH(A621,'Database Mitra'!AK$2:AK905,0)),"")</f>
        <v/>
      </c>
      <c r="C621" s="5" t="str">
        <f t="array" ref="C621">IF(W621=1,INDEX('Database Mitra'!$E$2:$E905,MATCH(A621,'Database Mitra'!AK$2:AK905,0)),"")</f>
        <v/>
      </c>
      <c r="D621" s="23"/>
      <c r="E621" s="5" t="str">
        <f t="array" ref="E621">IF(W621=1,INDEX('Input Kegiatan'!B$2:B905,MATCH($D621,'Input Kegiatan'!$A$2:$A905,0)),"")</f>
        <v/>
      </c>
      <c r="F621" s="5" t="str">
        <f t="array" ref="F621">IF(W621=1,INDEX('Input Kegiatan'!D$2:D905,MATCH($D621,'Input Kegiatan'!$A$2:$A905,0)),"")</f>
        <v/>
      </c>
      <c r="G621" s="5" t="str">
        <f t="array" ref="G621">IF(W621=1,INDEX('Input Kegiatan'!E$2:E905,MATCH($D621,'Input Kegiatan'!$A$2:$A905,0)),"")</f>
        <v/>
      </c>
      <c r="H621" s="5" t="str">
        <f t="array" ref="H621">IF(W621=1,INDEX(Honor!$H$2:$H905,MATCH($D621&amp;"-"&amp;R621,Honor!$K$2:$K905,0)),"")</f>
        <v/>
      </c>
      <c r="I621" s="8" t="str">
        <f>IF(W621=1,SUMIFS(Honor!$I$2:$I905,Honor!$K$2:$K905,$D621&amp;"-"&amp;R621),"")</f>
        <v/>
      </c>
      <c r="J621" s="9" t="str">
        <f t="shared" si="6"/>
        <v/>
      </c>
      <c r="K621" s="10" t="str">
        <f t="shared" si="0"/>
        <v/>
      </c>
      <c r="L621" s="10" t="str">
        <f t="shared" si="1"/>
        <v/>
      </c>
      <c r="M621" s="10" t="str">
        <f>IF(W621=1,IF(AND(U621&lt;2,INT(V621)&lt;='Batasan Honor'!$B$2),1,0),"")</f>
        <v/>
      </c>
      <c r="O621" s="10" t="str">
        <f t="shared" si="2"/>
        <v/>
      </c>
      <c r="P621" s="10" t="str">
        <f t="shared" si="3"/>
        <v/>
      </c>
      <c r="R621" s="23"/>
      <c r="S621" s="10" t="str">
        <f t="shared" si="4"/>
        <v/>
      </c>
      <c r="U621" s="10" t="str">
        <f ca="1">IFERROR(__xludf.DUMMYFUNCTION("if(W621=1,COUNTIFS(FILTER($H$2:$H905,$H$2:$H905=""OB"",$S$2:$S905=S621),""OB""),"""")"),"")</f>
        <v/>
      </c>
      <c r="V621" s="10" t="str">
        <f ca="1">IFERROR(__xludf.DUMMYFUNCTION("IF(OR(ISNA(SUM(FILTER($K$2:$K905,$A$2:$A905=A621,$S$2:$S905=S621,$H$2:$H905&lt;&gt;""OB""))),W621&lt;&gt;1),"""",SUM(FILTER($K$2:$K905,$A$2:$A905=A621,$S$2:$S905=S621,$H$2:$H905&lt;&gt;""OB"")))"),"")</f>
        <v/>
      </c>
      <c r="W621" s="10" t="str">
        <f t="shared" si="5"/>
        <v/>
      </c>
    </row>
    <row r="622" spans="1:23" ht="12.5">
      <c r="A622" s="23"/>
      <c r="B622" s="5" t="str">
        <f t="array" ref="B622">IF(W622=1,INDEX('Database Mitra'!$H$2:$H905,MATCH(A622,'Database Mitra'!AK$2:AK905,0)),"")</f>
        <v/>
      </c>
      <c r="C622" s="5" t="str">
        <f t="array" ref="C622">IF(W622=1,INDEX('Database Mitra'!$E$2:$E905,MATCH(A622,'Database Mitra'!AK$2:AK905,0)),"")</f>
        <v/>
      </c>
      <c r="D622" s="23"/>
      <c r="E622" s="5" t="str">
        <f t="array" ref="E622">IF(W622=1,INDEX('Input Kegiatan'!B$2:B905,MATCH($D622,'Input Kegiatan'!$A$2:$A905,0)),"")</f>
        <v/>
      </c>
      <c r="F622" s="5" t="str">
        <f t="array" ref="F622">IF(W622=1,INDEX('Input Kegiatan'!D$2:D905,MATCH($D622,'Input Kegiatan'!$A$2:$A905,0)),"")</f>
        <v/>
      </c>
      <c r="G622" s="5" t="str">
        <f t="array" ref="G622">IF(W622=1,INDEX('Input Kegiatan'!E$2:E905,MATCH($D622,'Input Kegiatan'!$A$2:$A905,0)),"")</f>
        <v/>
      </c>
      <c r="H622" s="5" t="str">
        <f t="array" ref="H622">IF(W622=1,INDEX(Honor!$H$2:$H905,MATCH($D622&amp;"-"&amp;R622,Honor!$K$2:$K905,0)),"")</f>
        <v/>
      </c>
      <c r="I622" s="8" t="str">
        <f>IF(W622=1,SUMIFS(Honor!$I$2:$I905,Honor!$K$2:$K905,$D622&amp;"-"&amp;R622),"")</f>
        <v/>
      </c>
      <c r="J622" s="9" t="str">
        <f t="shared" si="6"/>
        <v/>
      </c>
      <c r="K622" s="10" t="str">
        <f t="shared" si="0"/>
        <v/>
      </c>
      <c r="L622" s="10" t="str">
        <f t="shared" si="1"/>
        <v/>
      </c>
      <c r="M622" s="10" t="str">
        <f>IF(W622=1,IF(AND(U622&lt;2,INT(V622)&lt;='Batasan Honor'!$B$2),1,0),"")</f>
        <v/>
      </c>
      <c r="O622" s="10" t="str">
        <f t="shared" si="2"/>
        <v/>
      </c>
      <c r="P622" s="10" t="str">
        <f t="shared" si="3"/>
        <v/>
      </c>
      <c r="R622" s="23"/>
      <c r="S622" s="10" t="str">
        <f t="shared" si="4"/>
        <v/>
      </c>
      <c r="U622" s="10" t="str">
        <f ca="1">IFERROR(__xludf.DUMMYFUNCTION("if(W622=1,COUNTIFS(FILTER($H$2:$H905,$H$2:$H905=""OB"",$S$2:$S905=S622),""OB""),"""")"),"")</f>
        <v/>
      </c>
      <c r="V622" s="10" t="str">
        <f ca="1">IFERROR(__xludf.DUMMYFUNCTION("IF(OR(ISNA(SUM(FILTER($K$2:$K905,$A$2:$A905=A622,$S$2:$S905=S622,$H$2:$H905&lt;&gt;""OB""))),W622&lt;&gt;1),"""",SUM(FILTER($K$2:$K905,$A$2:$A905=A622,$S$2:$S905=S622,$H$2:$H905&lt;&gt;""OB"")))"),"")</f>
        <v/>
      </c>
      <c r="W622" s="10" t="str">
        <f t="shared" si="5"/>
        <v/>
      </c>
    </row>
    <row r="623" spans="1:23" ht="12.5">
      <c r="A623" s="23"/>
      <c r="B623" s="5" t="str">
        <f t="array" ref="B623">IF(W623=1,INDEX('Database Mitra'!$H$2:$H905,MATCH(A623,'Database Mitra'!AK$2:AK905,0)),"")</f>
        <v/>
      </c>
      <c r="C623" s="5" t="str">
        <f t="array" ref="C623">IF(W623=1,INDEX('Database Mitra'!$E$2:$E905,MATCH(A623,'Database Mitra'!AK$2:AK905,0)),"")</f>
        <v/>
      </c>
      <c r="D623" s="23"/>
      <c r="E623" s="5" t="str">
        <f t="array" ref="E623">IF(W623=1,INDEX('Input Kegiatan'!B$2:B905,MATCH($D623,'Input Kegiatan'!$A$2:$A905,0)),"")</f>
        <v/>
      </c>
      <c r="F623" s="5" t="str">
        <f t="array" ref="F623">IF(W623=1,INDEX('Input Kegiatan'!D$2:D905,MATCH($D623,'Input Kegiatan'!$A$2:$A905,0)),"")</f>
        <v/>
      </c>
      <c r="G623" s="5" t="str">
        <f t="array" ref="G623">IF(W623=1,INDEX('Input Kegiatan'!E$2:E905,MATCH($D623,'Input Kegiatan'!$A$2:$A905,0)),"")</f>
        <v/>
      </c>
      <c r="H623" s="5" t="str">
        <f t="array" ref="H623">IF(W623=1,INDEX(Honor!$H$2:$H905,MATCH($D623&amp;"-"&amp;R623,Honor!$K$2:$K905,0)),"")</f>
        <v/>
      </c>
      <c r="I623" s="8" t="str">
        <f>IF(W623=1,SUMIFS(Honor!$I$2:$I905,Honor!$K$2:$K905,$D623&amp;"-"&amp;R623),"")</f>
        <v/>
      </c>
      <c r="J623" s="9" t="str">
        <f t="shared" si="6"/>
        <v/>
      </c>
      <c r="K623" s="10" t="str">
        <f t="shared" si="0"/>
        <v/>
      </c>
      <c r="L623" s="10" t="str">
        <f t="shared" si="1"/>
        <v/>
      </c>
      <c r="M623" s="10" t="str">
        <f>IF(W623=1,IF(AND(U623&lt;2,INT(V623)&lt;='Batasan Honor'!$B$2),1,0),"")</f>
        <v/>
      </c>
      <c r="O623" s="10" t="str">
        <f t="shared" si="2"/>
        <v/>
      </c>
      <c r="P623" s="10" t="str">
        <f t="shared" si="3"/>
        <v/>
      </c>
      <c r="R623" s="23"/>
      <c r="S623" s="10" t="str">
        <f t="shared" si="4"/>
        <v/>
      </c>
      <c r="U623" s="10" t="str">
        <f ca="1">IFERROR(__xludf.DUMMYFUNCTION("if(W623=1,COUNTIFS(FILTER($H$2:$H905,$H$2:$H905=""OB"",$S$2:$S905=S623),""OB""),"""")"),"")</f>
        <v/>
      </c>
      <c r="V623" s="10" t="str">
        <f ca="1">IFERROR(__xludf.DUMMYFUNCTION("IF(OR(ISNA(SUM(FILTER($K$2:$K905,$A$2:$A905=A623,$S$2:$S905=S623,$H$2:$H905&lt;&gt;""OB""))),W623&lt;&gt;1),"""",SUM(FILTER($K$2:$K905,$A$2:$A905=A623,$S$2:$S905=S623,$H$2:$H905&lt;&gt;""OB"")))"),"")</f>
        <v/>
      </c>
      <c r="W623" s="10" t="str">
        <f t="shared" si="5"/>
        <v/>
      </c>
    </row>
    <row r="624" spans="1:23" ht="12.5">
      <c r="A624" s="23"/>
      <c r="B624" s="5" t="str">
        <f t="array" ref="B624">IF(W624=1,INDEX('Database Mitra'!$H$2:$H905,MATCH(A624,'Database Mitra'!AK$2:AK905,0)),"")</f>
        <v/>
      </c>
      <c r="C624" s="5" t="str">
        <f t="array" ref="C624">IF(W624=1,INDEX('Database Mitra'!$E$2:$E905,MATCH(A624,'Database Mitra'!AK$2:AK905,0)),"")</f>
        <v/>
      </c>
      <c r="D624" s="23"/>
      <c r="E624" s="5" t="str">
        <f t="array" ref="E624">IF(W624=1,INDEX('Input Kegiatan'!B$2:B905,MATCH($D624,'Input Kegiatan'!$A$2:$A905,0)),"")</f>
        <v/>
      </c>
      <c r="F624" s="5" t="str">
        <f t="array" ref="F624">IF(W624=1,INDEX('Input Kegiatan'!D$2:D905,MATCH($D624,'Input Kegiatan'!$A$2:$A905,0)),"")</f>
        <v/>
      </c>
      <c r="G624" s="5" t="str">
        <f t="array" ref="G624">IF(W624=1,INDEX('Input Kegiatan'!E$2:E905,MATCH($D624,'Input Kegiatan'!$A$2:$A905,0)),"")</f>
        <v/>
      </c>
      <c r="H624" s="5" t="str">
        <f t="array" ref="H624">IF(W624=1,INDEX(Honor!$H$2:$H905,MATCH($D624&amp;"-"&amp;R624,Honor!$K$2:$K905,0)),"")</f>
        <v/>
      </c>
      <c r="I624" s="8" t="str">
        <f>IF(W624=1,SUMIFS(Honor!$I$2:$I905,Honor!$K$2:$K905,$D624&amp;"-"&amp;R624),"")</f>
        <v/>
      </c>
      <c r="J624" s="9" t="str">
        <f t="shared" si="6"/>
        <v/>
      </c>
      <c r="K624" s="10" t="str">
        <f t="shared" si="0"/>
        <v/>
      </c>
      <c r="L624" s="10" t="str">
        <f t="shared" si="1"/>
        <v/>
      </c>
      <c r="M624" s="10" t="str">
        <f>IF(W624=1,IF(AND(U624&lt;2,INT(V624)&lt;='Batasan Honor'!$B$2),1,0),"")</f>
        <v/>
      </c>
      <c r="O624" s="10" t="str">
        <f t="shared" si="2"/>
        <v/>
      </c>
      <c r="P624" s="10" t="str">
        <f t="shared" si="3"/>
        <v/>
      </c>
      <c r="R624" s="23"/>
      <c r="S624" s="10" t="str">
        <f t="shared" si="4"/>
        <v/>
      </c>
      <c r="U624" s="10" t="str">
        <f ca="1">IFERROR(__xludf.DUMMYFUNCTION("if(W624=1,COUNTIFS(FILTER($H$2:$H905,$H$2:$H905=""OB"",$S$2:$S905=S624),""OB""),"""")"),"")</f>
        <v/>
      </c>
      <c r="V624" s="10" t="str">
        <f ca="1">IFERROR(__xludf.DUMMYFUNCTION("IF(OR(ISNA(SUM(FILTER($K$2:$K905,$A$2:$A905=A624,$S$2:$S905=S624,$H$2:$H905&lt;&gt;""OB""))),W624&lt;&gt;1),"""",SUM(FILTER($K$2:$K905,$A$2:$A905=A624,$S$2:$S905=S624,$H$2:$H905&lt;&gt;""OB"")))"),"")</f>
        <v/>
      </c>
      <c r="W624" s="10" t="str">
        <f t="shared" si="5"/>
        <v/>
      </c>
    </row>
    <row r="625" spans="1:23" ht="12.5">
      <c r="A625" s="23"/>
      <c r="B625" s="5" t="str">
        <f t="array" ref="B625">IF(W625=1,INDEX('Database Mitra'!$H$2:$H905,MATCH(A625,'Database Mitra'!AK$2:AK905,0)),"")</f>
        <v/>
      </c>
      <c r="C625" s="5" t="str">
        <f t="array" ref="C625">IF(W625=1,INDEX('Database Mitra'!$E$2:$E905,MATCH(A625,'Database Mitra'!AK$2:AK905,0)),"")</f>
        <v/>
      </c>
      <c r="D625" s="23"/>
      <c r="E625" s="5" t="str">
        <f t="array" ref="E625">IF(W625=1,INDEX('Input Kegiatan'!B$2:B905,MATCH($D625,'Input Kegiatan'!$A$2:$A905,0)),"")</f>
        <v/>
      </c>
      <c r="F625" s="5" t="str">
        <f t="array" ref="F625">IF(W625=1,INDEX('Input Kegiatan'!D$2:D905,MATCH($D625,'Input Kegiatan'!$A$2:$A905,0)),"")</f>
        <v/>
      </c>
      <c r="G625" s="5" t="str">
        <f t="array" ref="G625">IF(W625=1,INDEX('Input Kegiatan'!E$2:E905,MATCH($D625,'Input Kegiatan'!$A$2:$A905,0)),"")</f>
        <v/>
      </c>
      <c r="H625" s="5" t="str">
        <f t="array" ref="H625">IF(W625=1,INDEX(Honor!$H$2:$H905,MATCH($D625&amp;"-"&amp;R625,Honor!$K$2:$K905,0)),"")</f>
        <v/>
      </c>
      <c r="I625" s="8" t="str">
        <f>IF(W625=1,SUMIFS(Honor!$I$2:$I905,Honor!$K$2:$K905,$D625&amp;"-"&amp;R625),"")</f>
        <v/>
      </c>
      <c r="J625" s="9" t="str">
        <f t="shared" si="6"/>
        <v/>
      </c>
      <c r="K625" s="10" t="str">
        <f t="shared" si="0"/>
        <v/>
      </c>
      <c r="L625" s="10" t="str">
        <f t="shared" si="1"/>
        <v/>
      </c>
      <c r="M625" s="10" t="str">
        <f>IF(W625=1,IF(AND(U625&lt;2,INT(V625)&lt;='Batasan Honor'!$B$2),1,0),"")</f>
        <v/>
      </c>
      <c r="O625" s="10" t="str">
        <f t="shared" si="2"/>
        <v/>
      </c>
      <c r="P625" s="10" t="str">
        <f t="shared" si="3"/>
        <v/>
      </c>
      <c r="R625" s="23"/>
      <c r="S625" s="10" t="str">
        <f t="shared" si="4"/>
        <v/>
      </c>
      <c r="U625" s="10" t="str">
        <f ca="1">IFERROR(__xludf.DUMMYFUNCTION("if(W625=1,COUNTIFS(FILTER($H$2:$H905,$H$2:$H905=""OB"",$S$2:$S905=S625),""OB""),"""")"),"")</f>
        <v/>
      </c>
      <c r="V625" s="10" t="str">
        <f ca="1">IFERROR(__xludf.DUMMYFUNCTION("IF(OR(ISNA(SUM(FILTER($K$2:$K905,$A$2:$A905=A625,$S$2:$S905=S625,$H$2:$H905&lt;&gt;""OB""))),W625&lt;&gt;1),"""",SUM(FILTER($K$2:$K905,$A$2:$A905=A625,$S$2:$S905=S625,$H$2:$H905&lt;&gt;""OB"")))"),"")</f>
        <v/>
      </c>
      <c r="W625" s="10" t="str">
        <f t="shared" si="5"/>
        <v/>
      </c>
    </row>
    <row r="626" spans="1:23" ht="12.5">
      <c r="A626" s="23"/>
      <c r="B626" s="5" t="str">
        <f t="array" ref="B626">IF(W626=1,INDEX('Database Mitra'!$H$2:$H905,MATCH(A626,'Database Mitra'!AK$2:AK905,0)),"")</f>
        <v/>
      </c>
      <c r="C626" s="5" t="str">
        <f t="array" ref="C626">IF(W626=1,INDEX('Database Mitra'!$E$2:$E905,MATCH(A626,'Database Mitra'!AK$2:AK905,0)),"")</f>
        <v/>
      </c>
      <c r="D626" s="23"/>
      <c r="E626" s="5" t="str">
        <f t="array" ref="E626">IF(W626=1,INDEX('Input Kegiatan'!B$2:B905,MATCH($D626,'Input Kegiatan'!$A$2:$A905,0)),"")</f>
        <v/>
      </c>
      <c r="F626" s="5" t="str">
        <f t="array" ref="F626">IF(W626=1,INDEX('Input Kegiatan'!D$2:D905,MATCH($D626,'Input Kegiatan'!$A$2:$A905,0)),"")</f>
        <v/>
      </c>
      <c r="G626" s="5" t="str">
        <f t="array" ref="G626">IF(W626=1,INDEX('Input Kegiatan'!E$2:E905,MATCH($D626,'Input Kegiatan'!$A$2:$A905,0)),"")</f>
        <v/>
      </c>
      <c r="H626" s="5" t="str">
        <f t="array" ref="H626">IF(W626=1,INDEX(Honor!$H$2:$H905,MATCH($D626&amp;"-"&amp;R626,Honor!$K$2:$K905,0)),"")</f>
        <v/>
      </c>
      <c r="I626" s="8" t="str">
        <f>IF(W626=1,SUMIFS(Honor!$I$2:$I905,Honor!$K$2:$K905,$D626&amp;"-"&amp;R626),"")</f>
        <v/>
      </c>
      <c r="J626" s="9" t="str">
        <f t="shared" si="6"/>
        <v/>
      </c>
      <c r="K626" s="10" t="str">
        <f t="shared" si="0"/>
        <v/>
      </c>
      <c r="L626" s="10" t="str">
        <f t="shared" si="1"/>
        <v/>
      </c>
      <c r="M626" s="10" t="str">
        <f>IF(W626=1,IF(AND(U626&lt;2,INT(V626)&lt;='Batasan Honor'!$B$2),1,0),"")</f>
        <v/>
      </c>
      <c r="O626" s="10" t="str">
        <f t="shared" si="2"/>
        <v/>
      </c>
      <c r="P626" s="10" t="str">
        <f t="shared" si="3"/>
        <v/>
      </c>
      <c r="R626" s="23"/>
      <c r="S626" s="10" t="str">
        <f t="shared" si="4"/>
        <v/>
      </c>
      <c r="U626" s="10" t="str">
        <f ca="1">IFERROR(__xludf.DUMMYFUNCTION("if(W626=1,COUNTIFS(FILTER($H$2:$H905,$H$2:$H905=""OB"",$S$2:$S905=S626),""OB""),"""")"),"")</f>
        <v/>
      </c>
      <c r="V626" s="10" t="str">
        <f ca="1">IFERROR(__xludf.DUMMYFUNCTION("IF(OR(ISNA(SUM(FILTER($K$2:$K905,$A$2:$A905=A626,$S$2:$S905=S626,$H$2:$H905&lt;&gt;""OB""))),W626&lt;&gt;1),"""",SUM(FILTER($K$2:$K905,$A$2:$A905=A626,$S$2:$S905=S626,$H$2:$H905&lt;&gt;""OB"")))"),"")</f>
        <v/>
      </c>
      <c r="W626" s="10" t="str">
        <f t="shared" si="5"/>
        <v/>
      </c>
    </row>
    <row r="627" spans="1:23" ht="12.5">
      <c r="A627" s="23"/>
      <c r="B627" s="5" t="str">
        <f t="array" ref="B627">IF(W627=1,INDEX('Database Mitra'!$H$2:$H905,MATCH(A627,'Database Mitra'!AK$2:AK905,0)),"")</f>
        <v/>
      </c>
      <c r="C627" s="5" t="str">
        <f t="array" ref="C627">IF(W627=1,INDEX('Database Mitra'!$E$2:$E905,MATCH(A627,'Database Mitra'!AK$2:AK905,0)),"")</f>
        <v/>
      </c>
      <c r="D627" s="23"/>
      <c r="E627" s="5" t="str">
        <f t="array" ref="E627">IF(W627=1,INDEX('Input Kegiatan'!B$2:B905,MATCH($D627,'Input Kegiatan'!$A$2:$A905,0)),"")</f>
        <v/>
      </c>
      <c r="F627" s="5" t="str">
        <f t="array" ref="F627">IF(W627=1,INDEX('Input Kegiatan'!D$2:D905,MATCH($D627,'Input Kegiatan'!$A$2:$A905,0)),"")</f>
        <v/>
      </c>
      <c r="G627" s="5" t="str">
        <f t="array" ref="G627">IF(W627=1,INDEX('Input Kegiatan'!E$2:E905,MATCH($D627,'Input Kegiatan'!$A$2:$A905,0)),"")</f>
        <v/>
      </c>
      <c r="H627" s="5" t="str">
        <f t="array" ref="H627">IF(W627=1,INDEX(Honor!$H$2:$H905,MATCH($D627&amp;"-"&amp;R627,Honor!$K$2:$K905,0)),"")</f>
        <v/>
      </c>
      <c r="I627" s="8" t="str">
        <f>IF(W627=1,SUMIFS(Honor!$I$2:$I905,Honor!$K$2:$K905,$D627&amp;"-"&amp;R627),"")</f>
        <v/>
      </c>
      <c r="J627" s="9" t="str">
        <f t="shared" si="6"/>
        <v/>
      </c>
      <c r="K627" s="10" t="str">
        <f t="shared" si="0"/>
        <v/>
      </c>
      <c r="L627" s="10" t="str">
        <f t="shared" si="1"/>
        <v/>
      </c>
      <c r="M627" s="10" t="str">
        <f>IF(W627=1,IF(AND(U627&lt;2,INT(V627)&lt;='Batasan Honor'!$B$2),1,0),"")</f>
        <v/>
      </c>
      <c r="O627" s="10" t="str">
        <f t="shared" si="2"/>
        <v/>
      </c>
      <c r="P627" s="10" t="str">
        <f t="shared" si="3"/>
        <v/>
      </c>
      <c r="R627" s="23"/>
      <c r="S627" s="10" t="str">
        <f t="shared" si="4"/>
        <v/>
      </c>
      <c r="U627" s="10" t="str">
        <f ca="1">IFERROR(__xludf.DUMMYFUNCTION("if(W627=1,COUNTIFS(FILTER($H$2:$H905,$H$2:$H905=""OB"",$S$2:$S905=S627),""OB""),"""")"),"")</f>
        <v/>
      </c>
      <c r="V627" s="10" t="str">
        <f ca="1">IFERROR(__xludf.DUMMYFUNCTION("IF(OR(ISNA(SUM(FILTER($K$2:$K905,$A$2:$A905=A627,$S$2:$S905=S627,$H$2:$H905&lt;&gt;""OB""))),W627&lt;&gt;1),"""",SUM(FILTER($K$2:$K905,$A$2:$A905=A627,$S$2:$S905=S627,$H$2:$H905&lt;&gt;""OB"")))"),"")</f>
        <v/>
      </c>
      <c r="W627" s="10" t="str">
        <f t="shared" si="5"/>
        <v/>
      </c>
    </row>
    <row r="628" spans="1:23" ht="12.5">
      <c r="A628" s="23"/>
      <c r="B628" s="5" t="str">
        <f t="array" ref="B628">IF(W628=1,INDEX('Database Mitra'!$H$2:$H905,MATCH(A628,'Database Mitra'!AK$2:AK905,0)),"")</f>
        <v/>
      </c>
      <c r="C628" s="5" t="str">
        <f t="array" ref="C628">IF(W628=1,INDEX('Database Mitra'!$E$2:$E905,MATCH(A628,'Database Mitra'!AK$2:AK905,0)),"")</f>
        <v/>
      </c>
      <c r="D628" s="23"/>
      <c r="E628" s="5" t="str">
        <f t="array" ref="E628">IF(W628=1,INDEX('Input Kegiatan'!B$2:B905,MATCH($D628,'Input Kegiatan'!$A$2:$A905,0)),"")</f>
        <v/>
      </c>
      <c r="F628" s="5" t="str">
        <f t="array" ref="F628">IF(W628=1,INDEX('Input Kegiatan'!D$2:D905,MATCH($D628,'Input Kegiatan'!$A$2:$A905,0)),"")</f>
        <v/>
      </c>
      <c r="G628" s="5" t="str">
        <f t="array" ref="G628">IF(W628=1,INDEX('Input Kegiatan'!E$2:E905,MATCH($D628,'Input Kegiatan'!$A$2:$A905,0)),"")</f>
        <v/>
      </c>
      <c r="H628" s="5" t="str">
        <f t="array" ref="H628">IF(W628=1,INDEX(Honor!$H$2:$H905,MATCH($D628&amp;"-"&amp;R628,Honor!$K$2:$K905,0)),"")</f>
        <v/>
      </c>
      <c r="I628" s="8" t="str">
        <f>IF(W628=1,SUMIFS(Honor!$I$2:$I905,Honor!$K$2:$K905,$D628&amp;"-"&amp;R628),"")</f>
        <v/>
      </c>
      <c r="J628" s="9" t="str">
        <f t="shared" si="6"/>
        <v/>
      </c>
      <c r="K628" s="10" t="str">
        <f t="shared" si="0"/>
        <v/>
      </c>
      <c r="L628" s="10" t="str">
        <f t="shared" si="1"/>
        <v/>
      </c>
      <c r="M628" s="10" t="str">
        <f>IF(W628=1,IF(AND(U628&lt;2,INT(V628)&lt;='Batasan Honor'!$B$2),1,0),"")</f>
        <v/>
      </c>
      <c r="O628" s="10" t="str">
        <f t="shared" si="2"/>
        <v/>
      </c>
      <c r="P628" s="10" t="str">
        <f t="shared" si="3"/>
        <v/>
      </c>
      <c r="R628" s="23"/>
      <c r="S628" s="10" t="str">
        <f t="shared" si="4"/>
        <v/>
      </c>
      <c r="U628" s="10" t="str">
        <f ca="1">IFERROR(__xludf.DUMMYFUNCTION("if(W628=1,COUNTIFS(FILTER($H$2:$H905,$H$2:$H905=""OB"",$S$2:$S905=S628),""OB""),"""")"),"")</f>
        <v/>
      </c>
      <c r="V628" s="10" t="str">
        <f ca="1">IFERROR(__xludf.DUMMYFUNCTION("IF(OR(ISNA(SUM(FILTER($K$2:$K905,$A$2:$A905=A628,$S$2:$S905=S628,$H$2:$H905&lt;&gt;""OB""))),W628&lt;&gt;1),"""",SUM(FILTER($K$2:$K905,$A$2:$A905=A628,$S$2:$S905=S628,$H$2:$H905&lt;&gt;""OB"")))"),"")</f>
        <v/>
      </c>
      <c r="W628" s="10" t="str">
        <f t="shared" si="5"/>
        <v/>
      </c>
    </row>
    <row r="629" spans="1:23" ht="12.5">
      <c r="A629" s="23"/>
      <c r="B629" s="5" t="str">
        <f t="array" ref="B629">IF(W629=1,INDEX('Database Mitra'!$H$2:$H905,MATCH(A629,'Database Mitra'!AK$2:AK905,0)),"")</f>
        <v/>
      </c>
      <c r="C629" s="5" t="str">
        <f t="array" ref="C629">IF(W629=1,INDEX('Database Mitra'!$E$2:$E905,MATCH(A629,'Database Mitra'!AK$2:AK905,0)),"")</f>
        <v/>
      </c>
      <c r="D629" s="23"/>
      <c r="E629" s="5" t="str">
        <f t="array" ref="E629">IF(W629=1,INDEX('Input Kegiatan'!B$2:B905,MATCH($D629,'Input Kegiatan'!$A$2:$A905,0)),"")</f>
        <v/>
      </c>
      <c r="F629" s="5" t="str">
        <f t="array" ref="F629">IF(W629=1,INDEX('Input Kegiatan'!D$2:D905,MATCH($D629,'Input Kegiatan'!$A$2:$A905,0)),"")</f>
        <v/>
      </c>
      <c r="G629" s="5" t="str">
        <f t="array" ref="G629">IF(W629=1,INDEX('Input Kegiatan'!E$2:E905,MATCH($D629,'Input Kegiatan'!$A$2:$A905,0)),"")</f>
        <v/>
      </c>
      <c r="H629" s="5" t="str">
        <f t="array" ref="H629">IF(W629=1,INDEX(Honor!$H$2:$H905,MATCH($D629&amp;"-"&amp;R629,Honor!$K$2:$K905,0)),"")</f>
        <v/>
      </c>
      <c r="I629" s="8" t="str">
        <f>IF(W629=1,SUMIFS(Honor!$I$2:$I905,Honor!$K$2:$K905,$D629&amp;"-"&amp;R629),"")</f>
        <v/>
      </c>
      <c r="J629" s="9" t="str">
        <f t="shared" si="6"/>
        <v/>
      </c>
      <c r="K629" s="10" t="str">
        <f t="shared" si="0"/>
        <v/>
      </c>
      <c r="L629" s="10" t="str">
        <f t="shared" si="1"/>
        <v/>
      </c>
      <c r="M629" s="10" t="str">
        <f>IF(W629=1,IF(AND(U629&lt;2,INT(V629)&lt;='Batasan Honor'!$B$2),1,0),"")</f>
        <v/>
      </c>
      <c r="O629" s="10" t="str">
        <f t="shared" si="2"/>
        <v/>
      </c>
      <c r="P629" s="10" t="str">
        <f t="shared" si="3"/>
        <v/>
      </c>
      <c r="R629" s="23"/>
      <c r="S629" s="10" t="str">
        <f t="shared" si="4"/>
        <v/>
      </c>
      <c r="U629" s="10" t="str">
        <f ca="1">IFERROR(__xludf.DUMMYFUNCTION("if(W629=1,COUNTIFS(FILTER($H$2:$H905,$H$2:$H905=""OB"",$S$2:$S905=S629),""OB""),"""")"),"")</f>
        <v/>
      </c>
      <c r="V629" s="10" t="str">
        <f ca="1">IFERROR(__xludf.DUMMYFUNCTION("IF(OR(ISNA(SUM(FILTER($K$2:$K905,$A$2:$A905=A629,$S$2:$S905=S629,$H$2:$H905&lt;&gt;""OB""))),W629&lt;&gt;1),"""",SUM(FILTER($K$2:$K905,$A$2:$A905=A629,$S$2:$S905=S629,$H$2:$H905&lt;&gt;""OB"")))"),"")</f>
        <v/>
      </c>
      <c r="W629" s="10" t="str">
        <f t="shared" si="5"/>
        <v/>
      </c>
    </row>
    <row r="630" spans="1:23" ht="12.5">
      <c r="A630" s="23"/>
      <c r="B630" s="5" t="str">
        <f t="array" ref="B630">IF(W630=1,INDEX('Database Mitra'!$H$2:$H905,MATCH(A630,'Database Mitra'!AK$2:AK905,0)),"")</f>
        <v/>
      </c>
      <c r="C630" s="5" t="str">
        <f t="array" ref="C630">IF(W630=1,INDEX('Database Mitra'!$E$2:$E905,MATCH(A630,'Database Mitra'!AK$2:AK905,0)),"")</f>
        <v/>
      </c>
      <c r="D630" s="23"/>
      <c r="E630" s="5" t="str">
        <f t="array" ref="E630">IF(W630=1,INDEX('Input Kegiatan'!B$2:B905,MATCH($D630,'Input Kegiatan'!$A$2:$A905,0)),"")</f>
        <v/>
      </c>
      <c r="F630" s="5" t="str">
        <f t="array" ref="F630">IF(W630=1,INDEX('Input Kegiatan'!D$2:D905,MATCH($D630,'Input Kegiatan'!$A$2:$A905,0)),"")</f>
        <v/>
      </c>
      <c r="G630" s="5" t="str">
        <f t="array" ref="G630">IF(W630=1,INDEX('Input Kegiatan'!E$2:E905,MATCH($D630,'Input Kegiatan'!$A$2:$A905,0)),"")</f>
        <v/>
      </c>
      <c r="H630" s="5" t="str">
        <f t="array" ref="H630">IF(W630=1,INDEX(Honor!$H$2:$H905,MATCH($D630&amp;"-"&amp;R630,Honor!$K$2:$K905,0)),"")</f>
        <v/>
      </c>
      <c r="I630" s="8" t="str">
        <f>IF(W630=1,SUMIFS(Honor!$I$2:$I905,Honor!$K$2:$K905,$D630&amp;"-"&amp;R630),"")</f>
        <v/>
      </c>
      <c r="J630" s="9" t="str">
        <f t="shared" si="6"/>
        <v/>
      </c>
      <c r="K630" s="10" t="str">
        <f t="shared" si="0"/>
        <v/>
      </c>
      <c r="L630" s="10" t="str">
        <f t="shared" si="1"/>
        <v/>
      </c>
      <c r="M630" s="10" t="str">
        <f>IF(W630=1,IF(AND(U630&lt;2,INT(V630)&lt;='Batasan Honor'!$B$2),1,0),"")</f>
        <v/>
      </c>
      <c r="O630" s="10" t="str">
        <f t="shared" si="2"/>
        <v/>
      </c>
      <c r="P630" s="10" t="str">
        <f t="shared" si="3"/>
        <v/>
      </c>
      <c r="R630" s="23"/>
      <c r="S630" s="10" t="str">
        <f t="shared" si="4"/>
        <v/>
      </c>
      <c r="U630" s="10" t="str">
        <f ca="1">IFERROR(__xludf.DUMMYFUNCTION("if(W630=1,COUNTIFS(FILTER($H$2:$H905,$H$2:$H905=""OB"",$S$2:$S905=S630),""OB""),"""")"),"")</f>
        <v/>
      </c>
      <c r="V630" s="10" t="str">
        <f ca="1">IFERROR(__xludf.DUMMYFUNCTION("IF(OR(ISNA(SUM(FILTER($K$2:$K905,$A$2:$A905=A630,$S$2:$S905=S630,$H$2:$H905&lt;&gt;""OB""))),W630&lt;&gt;1),"""",SUM(FILTER($K$2:$K905,$A$2:$A905=A630,$S$2:$S905=S630,$H$2:$H905&lt;&gt;""OB"")))"),"")</f>
        <v/>
      </c>
      <c r="W630" s="10" t="str">
        <f t="shared" si="5"/>
        <v/>
      </c>
    </row>
    <row r="631" spans="1:23" ht="12.5">
      <c r="A631" s="23"/>
      <c r="B631" s="5" t="str">
        <f t="array" ref="B631">IF(W631=1,INDEX('Database Mitra'!$H$2:$H905,MATCH(A631,'Database Mitra'!AK$2:AK905,0)),"")</f>
        <v/>
      </c>
      <c r="C631" s="5" t="str">
        <f t="array" ref="C631">IF(W631=1,INDEX('Database Mitra'!$E$2:$E905,MATCH(A631,'Database Mitra'!AK$2:AK905,0)),"")</f>
        <v/>
      </c>
      <c r="D631" s="23"/>
      <c r="E631" s="5" t="str">
        <f t="array" ref="E631">IF(W631=1,INDEX('Input Kegiatan'!B$2:B905,MATCH($D631,'Input Kegiatan'!$A$2:$A905,0)),"")</f>
        <v/>
      </c>
      <c r="F631" s="5" t="str">
        <f t="array" ref="F631">IF(W631=1,INDEX('Input Kegiatan'!D$2:D905,MATCH($D631,'Input Kegiatan'!$A$2:$A905,0)),"")</f>
        <v/>
      </c>
      <c r="G631" s="5" t="str">
        <f t="array" ref="G631">IF(W631=1,INDEX('Input Kegiatan'!E$2:E905,MATCH($D631,'Input Kegiatan'!$A$2:$A905,0)),"")</f>
        <v/>
      </c>
      <c r="H631" s="5" t="str">
        <f t="array" ref="H631">IF(W631=1,INDEX(Honor!$H$2:$H905,MATCH($D631&amp;"-"&amp;R631,Honor!$K$2:$K905,0)),"")</f>
        <v/>
      </c>
      <c r="I631" s="8" t="str">
        <f>IF(W631=1,SUMIFS(Honor!$I$2:$I905,Honor!$K$2:$K905,$D631&amp;"-"&amp;R631),"")</f>
        <v/>
      </c>
      <c r="J631" s="9" t="str">
        <f t="shared" si="6"/>
        <v/>
      </c>
      <c r="K631" s="10" t="str">
        <f t="shared" si="0"/>
        <v/>
      </c>
      <c r="L631" s="10" t="str">
        <f t="shared" si="1"/>
        <v/>
      </c>
      <c r="M631" s="10" t="str">
        <f>IF(W631=1,IF(AND(U631&lt;2,INT(V631)&lt;='Batasan Honor'!$B$2),1,0),"")</f>
        <v/>
      </c>
      <c r="O631" s="10" t="str">
        <f t="shared" si="2"/>
        <v/>
      </c>
      <c r="P631" s="10" t="str">
        <f t="shared" si="3"/>
        <v/>
      </c>
      <c r="R631" s="23"/>
      <c r="S631" s="10" t="str">
        <f t="shared" si="4"/>
        <v/>
      </c>
      <c r="U631" s="10" t="str">
        <f ca="1">IFERROR(__xludf.DUMMYFUNCTION("if(W631=1,COUNTIFS(FILTER($H$2:$H905,$H$2:$H905=""OB"",$S$2:$S905=S631),""OB""),"""")"),"")</f>
        <v/>
      </c>
      <c r="V631" s="10" t="str">
        <f ca="1">IFERROR(__xludf.DUMMYFUNCTION("IF(OR(ISNA(SUM(FILTER($K$2:$K905,$A$2:$A905=A631,$S$2:$S905=S631,$H$2:$H905&lt;&gt;""OB""))),W631&lt;&gt;1),"""",SUM(FILTER($K$2:$K905,$A$2:$A905=A631,$S$2:$S905=S631,$H$2:$H905&lt;&gt;""OB"")))"),"")</f>
        <v/>
      </c>
      <c r="W631" s="10" t="str">
        <f t="shared" si="5"/>
        <v/>
      </c>
    </row>
    <row r="632" spans="1:23" ht="12.5">
      <c r="A632" s="23"/>
      <c r="B632" s="5" t="str">
        <f t="array" ref="B632">IF(W632=1,INDEX('Database Mitra'!$H$2:$H905,MATCH(A632,'Database Mitra'!AK$2:AK905,0)),"")</f>
        <v/>
      </c>
      <c r="C632" s="5" t="str">
        <f t="array" ref="C632">IF(W632=1,INDEX('Database Mitra'!$E$2:$E905,MATCH(A632,'Database Mitra'!AK$2:AK905,0)),"")</f>
        <v/>
      </c>
      <c r="D632" s="23"/>
      <c r="E632" s="5" t="str">
        <f t="array" ref="E632">IF(W632=1,INDEX('Input Kegiatan'!B$2:B905,MATCH($D632,'Input Kegiatan'!$A$2:$A905,0)),"")</f>
        <v/>
      </c>
      <c r="F632" s="5" t="str">
        <f t="array" ref="F632">IF(W632=1,INDEX('Input Kegiatan'!D$2:D905,MATCH($D632,'Input Kegiatan'!$A$2:$A905,0)),"")</f>
        <v/>
      </c>
      <c r="G632" s="5" t="str">
        <f t="array" ref="G632">IF(W632=1,INDEX('Input Kegiatan'!E$2:E905,MATCH($D632,'Input Kegiatan'!$A$2:$A905,0)),"")</f>
        <v/>
      </c>
      <c r="H632" s="5" t="str">
        <f t="array" ref="H632">IF(W632=1,INDEX(Honor!$H$2:$H905,MATCH($D632&amp;"-"&amp;R632,Honor!$K$2:$K905,0)),"")</f>
        <v/>
      </c>
      <c r="I632" s="8" t="str">
        <f>IF(W632=1,SUMIFS(Honor!$I$2:$I905,Honor!$K$2:$K905,$D632&amp;"-"&amp;R632),"")</f>
        <v/>
      </c>
      <c r="J632" s="9" t="str">
        <f t="shared" si="6"/>
        <v/>
      </c>
      <c r="K632" s="10" t="str">
        <f t="shared" si="0"/>
        <v/>
      </c>
      <c r="L632" s="10" t="str">
        <f t="shared" si="1"/>
        <v/>
      </c>
      <c r="M632" s="10" t="str">
        <f>IF(W632=1,IF(AND(U632&lt;2,INT(V632)&lt;='Batasan Honor'!$B$2),1,0),"")</f>
        <v/>
      </c>
      <c r="O632" s="10" t="str">
        <f t="shared" si="2"/>
        <v/>
      </c>
      <c r="P632" s="10" t="str">
        <f t="shared" si="3"/>
        <v/>
      </c>
      <c r="R632" s="23"/>
      <c r="S632" s="10" t="str">
        <f t="shared" si="4"/>
        <v/>
      </c>
      <c r="U632" s="10" t="str">
        <f ca="1">IFERROR(__xludf.DUMMYFUNCTION("if(W632=1,COUNTIFS(FILTER($H$2:$H905,$H$2:$H905=""OB"",$S$2:$S905=S632),""OB""),"""")"),"")</f>
        <v/>
      </c>
      <c r="V632" s="10" t="str">
        <f ca="1">IFERROR(__xludf.DUMMYFUNCTION("IF(OR(ISNA(SUM(FILTER($K$2:$K905,$A$2:$A905=A632,$S$2:$S905=S632,$H$2:$H905&lt;&gt;""OB""))),W632&lt;&gt;1),"""",SUM(FILTER($K$2:$K905,$A$2:$A905=A632,$S$2:$S905=S632,$H$2:$H905&lt;&gt;""OB"")))"),"")</f>
        <v/>
      </c>
      <c r="W632" s="10" t="str">
        <f t="shared" si="5"/>
        <v/>
      </c>
    </row>
    <row r="633" spans="1:23" ht="12.5">
      <c r="A633" s="23"/>
      <c r="B633" s="5" t="str">
        <f t="array" ref="B633">IF(W633=1,INDEX('Database Mitra'!$H$2:$H905,MATCH(A633,'Database Mitra'!AK$2:AK905,0)),"")</f>
        <v/>
      </c>
      <c r="C633" s="5" t="str">
        <f t="array" ref="C633">IF(W633=1,INDEX('Database Mitra'!$E$2:$E905,MATCH(A633,'Database Mitra'!AK$2:AK905,0)),"")</f>
        <v/>
      </c>
      <c r="D633" s="23"/>
      <c r="E633" s="5" t="str">
        <f t="array" ref="E633">IF(W633=1,INDEX('Input Kegiatan'!B$2:B905,MATCH($D633,'Input Kegiatan'!$A$2:$A905,0)),"")</f>
        <v/>
      </c>
      <c r="F633" s="5" t="str">
        <f t="array" ref="F633">IF(W633=1,INDEX('Input Kegiatan'!D$2:D905,MATCH($D633,'Input Kegiatan'!$A$2:$A905,0)),"")</f>
        <v/>
      </c>
      <c r="G633" s="5" t="str">
        <f t="array" ref="G633">IF(W633=1,INDEX('Input Kegiatan'!E$2:E905,MATCH($D633,'Input Kegiatan'!$A$2:$A905,0)),"")</f>
        <v/>
      </c>
      <c r="H633" s="5" t="str">
        <f t="array" ref="H633">IF(W633=1,INDEX(Honor!$H$2:$H905,MATCH($D633&amp;"-"&amp;R633,Honor!$K$2:$K905,0)),"")</f>
        <v/>
      </c>
      <c r="I633" s="8" t="str">
        <f>IF(W633=1,SUMIFS(Honor!$I$2:$I905,Honor!$K$2:$K905,$D633&amp;"-"&amp;R633),"")</f>
        <v/>
      </c>
      <c r="J633" s="9" t="str">
        <f t="shared" si="6"/>
        <v/>
      </c>
      <c r="K633" s="10" t="str">
        <f t="shared" si="0"/>
        <v/>
      </c>
      <c r="L633" s="10" t="str">
        <f t="shared" si="1"/>
        <v/>
      </c>
      <c r="M633" s="10" t="str">
        <f>IF(W633=1,IF(AND(U633&lt;2,INT(V633)&lt;='Batasan Honor'!$B$2),1,0),"")</f>
        <v/>
      </c>
      <c r="O633" s="10" t="str">
        <f t="shared" si="2"/>
        <v/>
      </c>
      <c r="P633" s="10" t="str">
        <f t="shared" si="3"/>
        <v/>
      </c>
      <c r="R633" s="23"/>
      <c r="S633" s="10" t="str">
        <f t="shared" si="4"/>
        <v/>
      </c>
      <c r="U633" s="10" t="str">
        <f ca="1">IFERROR(__xludf.DUMMYFUNCTION("if(W633=1,COUNTIFS(FILTER($H$2:$H905,$H$2:$H905=""OB"",$S$2:$S905=S633),""OB""),"""")"),"")</f>
        <v/>
      </c>
      <c r="V633" s="10" t="str">
        <f ca="1">IFERROR(__xludf.DUMMYFUNCTION("IF(OR(ISNA(SUM(FILTER($K$2:$K905,$A$2:$A905=A633,$S$2:$S905=S633,$H$2:$H905&lt;&gt;""OB""))),W633&lt;&gt;1),"""",SUM(FILTER($K$2:$K905,$A$2:$A905=A633,$S$2:$S905=S633,$H$2:$H905&lt;&gt;""OB"")))"),"")</f>
        <v/>
      </c>
      <c r="W633" s="10" t="str">
        <f t="shared" si="5"/>
        <v/>
      </c>
    </row>
    <row r="634" spans="1:23" ht="12.5">
      <c r="A634" s="23"/>
      <c r="B634" s="5" t="str">
        <f t="array" ref="B634">IF(W634=1,INDEX('Database Mitra'!$H$2:$H905,MATCH(A634,'Database Mitra'!AK$2:AK905,0)),"")</f>
        <v/>
      </c>
      <c r="C634" s="5" t="str">
        <f t="array" ref="C634">IF(W634=1,INDEX('Database Mitra'!$E$2:$E905,MATCH(A634,'Database Mitra'!AK$2:AK905,0)),"")</f>
        <v/>
      </c>
      <c r="D634" s="23"/>
      <c r="E634" s="5" t="str">
        <f t="array" ref="E634">IF(W634=1,INDEX('Input Kegiatan'!B$2:B905,MATCH($D634,'Input Kegiatan'!$A$2:$A905,0)),"")</f>
        <v/>
      </c>
      <c r="F634" s="5" t="str">
        <f t="array" ref="F634">IF(W634=1,INDEX('Input Kegiatan'!D$2:D905,MATCH($D634,'Input Kegiatan'!$A$2:$A905,0)),"")</f>
        <v/>
      </c>
      <c r="G634" s="5" t="str">
        <f t="array" ref="G634">IF(W634=1,INDEX('Input Kegiatan'!E$2:E905,MATCH($D634,'Input Kegiatan'!$A$2:$A905,0)),"")</f>
        <v/>
      </c>
      <c r="H634" s="5" t="str">
        <f t="array" ref="H634">IF(W634=1,INDEX(Honor!$H$2:$H905,MATCH($D634&amp;"-"&amp;R634,Honor!$K$2:$K905,0)),"")</f>
        <v/>
      </c>
      <c r="I634" s="8" t="str">
        <f>IF(W634=1,SUMIFS(Honor!$I$2:$I905,Honor!$K$2:$K905,$D634&amp;"-"&amp;R634),"")</f>
        <v/>
      </c>
      <c r="J634" s="9" t="str">
        <f t="shared" si="6"/>
        <v/>
      </c>
      <c r="K634" s="10" t="str">
        <f t="shared" si="0"/>
        <v/>
      </c>
      <c r="L634" s="10" t="str">
        <f t="shared" si="1"/>
        <v/>
      </c>
      <c r="M634" s="10" t="str">
        <f>IF(W634=1,IF(AND(U634&lt;2,INT(V634)&lt;='Batasan Honor'!$B$2),1,0),"")</f>
        <v/>
      </c>
      <c r="O634" s="10" t="str">
        <f t="shared" si="2"/>
        <v/>
      </c>
      <c r="P634" s="10" t="str">
        <f t="shared" si="3"/>
        <v/>
      </c>
      <c r="R634" s="23"/>
      <c r="S634" s="10" t="str">
        <f t="shared" si="4"/>
        <v/>
      </c>
      <c r="U634" s="10" t="str">
        <f ca="1">IFERROR(__xludf.DUMMYFUNCTION("if(W634=1,COUNTIFS(FILTER($H$2:$H905,$H$2:$H905=""OB"",$S$2:$S905=S634),""OB""),"""")"),"")</f>
        <v/>
      </c>
      <c r="V634" s="10" t="str">
        <f ca="1">IFERROR(__xludf.DUMMYFUNCTION("IF(OR(ISNA(SUM(FILTER($K$2:$K905,$A$2:$A905=A634,$S$2:$S905=S634,$H$2:$H905&lt;&gt;""OB""))),W634&lt;&gt;1),"""",SUM(FILTER($K$2:$K905,$A$2:$A905=A634,$S$2:$S905=S634,$H$2:$H905&lt;&gt;""OB"")))"),"")</f>
        <v/>
      </c>
      <c r="W634" s="10" t="str">
        <f t="shared" si="5"/>
        <v/>
      </c>
    </row>
    <row r="635" spans="1:23" ht="12.5">
      <c r="A635" s="23"/>
      <c r="B635" s="5" t="str">
        <f t="array" ref="B635">IF(W635=1,INDEX('Database Mitra'!$H$2:$H905,MATCH(A635,'Database Mitra'!AK$2:AK905,0)),"")</f>
        <v/>
      </c>
      <c r="C635" s="5" t="str">
        <f t="array" ref="C635">IF(W635=1,INDEX('Database Mitra'!$E$2:$E905,MATCH(A635,'Database Mitra'!AK$2:AK905,0)),"")</f>
        <v/>
      </c>
      <c r="D635" s="23"/>
      <c r="E635" s="5" t="str">
        <f t="array" ref="E635">IF(W635=1,INDEX('Input Kegiatan'!B$2:B905,MATCH($D635,'Input Kegiatan'!$A$2:$A905,0)),"")</f>
        <v/>
      </c>
      <c r="F635" s="5" t="str">
        <f t="array" ref="F635">IF(W635=1,INDEX('Input Kegiatan'!D$2:D905,MATCH($D635,'Input Kegiatan'!$A$2:$A905,0)),"")</f>
        <v/>
      </c>
      <c r="G635" s="5" t="str">
        <f t="array" ref="G635">IF(W635=1,INDEX('Input Kegiatan'!E$2:E905,MATCH($D635,'Input Kegiatan'!$A$2:$A905,0)),"")</f>
        <v/>
      </c>
      <c r="H635" s="5" t="str">
        <f t="array" ref="H635">IF(W635=1,INDEX(Honor!$H$2:$H905,MATCH($D635&amp;"-"&amp;R635,Honor!$K$2:$K905,0)),"")</f>
        <v/>
      </c>
      <c r="I635" s="8" t="str">
        <f>IF(W635=1,SUMIFS(Honor!$I$2:$I905,Honor!$K$2:$K905,$D635&amp;"-"&amp;R635),"")</f>
        <v/>
      </c>
      <c r="J635" s="9" t="str">
        <f t="shared" si="6"/>
        <v/>
      </c>
      <c r="K635" s="10" t="str">
        <f t="shared" si="0"/>
        <v/>
      </c>
      <c r="L635" s="10" t="str">
        <f t="shared" si="1"/>
        <v/>
      </c>
      <c r="M635" s="10" t="str">
        <f>IF(W635=1,IF(AND(U635&lt;2,INT(V635)&lt;='Batasan Honor'!$B$2),1,0),"")</f>
        <v/>
      </c>
      <c r="O635" s="10" t="str">
        <f t="shared" si="2"/>
        <v/>
      </c>
      <c r="P635" s="10" t="str">
        <f t="shared" si="3"/>
        <v/>
      </c>
      <c r="R635" s="23"/>
      <c r="S635" s="10" t="str">
        <f t="shared" si="4"/>
        <v/>
      </c>
      <c r="U635" s="10" t="str">
        <f ca="1">IFERROR(__xludf.DUMMYFUNCTION("if(W635=1,COUNTIFS(FILTER($H$2:$H905,$H$2:$H905=""OB"",$S$2:$S905=S635),""OB""),"""")"),"")</f>
        <v/>
      </c>
      <c r="V635" s="10" t="str">
        <f ca="1">IFERROR(__xludf.DUMMYFUNCTION("IF(OR(ISNA(SUM(FILTER($K$2:$K905,$A$2:$A905=A635,$S$2:$S905=S635,$H$2:$H905&lt;&gt;""OB""))),W635&lt;&gt;1),"""",SUM(FILTER($K$2:$K905,$A$2:$A905=A635,$S$2:$S905=S635,$H$2:$H905&lt;&gt;""OB"")))"),"")</f>
        <v/>
      </c>
      <c r="W635" s="10" t="str">
        <f t="shared" si="5"/>
        <v/>
      </c>
    </row>
    <row r="636" spans="1:23" ht="12.5">
      <c r="A636" s="23"/>
      <c r="B636" s="5" t="str">
        <f t="array" ref="B636">IF(W636=1,INDEX('Database Mitra'!$H$2:$H905,MATCH(A636,'Database Mitra'!AK$2:AK905,0)),"")</f>
        <v/>
      </c>
      <c r="C636" s="5" t="str">
        <f t="array" ref="C636">IF(W636=1,INDEX('Database Mitra'!$E$2:$E905,MATCH(A636,'Database Mitra'!AK$2:AK905,0)),"")</f>
        <v/>
      </c>
      <c r="D636" s="23"/>
      <c r="E636" s="5" t="str">
        <f t="array" ref="E636">IF(W636=1,INDEX('Input Kegiatan'!B$2:B905,MATCH($D636,'Input Kegiatan'!$A$2:$A905,0)),"")</f>
        <v/>
      </c>
      <c r="F636" s="5" t="str">
        <f t="array" ref="F636">IF(W636=1,INDEX('Input Kegiatan'!D$2:D905,MATCH($D636,'Input Kegiatan'!$A$2:$A905,0)),"")</f>
        <v/>
      </c>
      <c r="G636" s="5" t="str">
        <f t="array" ref="G636">IF(W636=1,INDEX('Input Kegiatan'!E$2:E905,MATCH($D636,'Input Kegiatan'!$A$2:$A905,0)),"")</f>
        <v/>
      </c>
      <c r="H636" s="5" t="str">
        <f t="array" ref="H636">IF(W636=1,INDEX(Honor!$H$2:$H905,MATCH($D636&amp;"-"&amp;R636,Honor!$K$2:$K905,0)),"")</f>
        <v/>
      </c>
      <c r="I636" s="8" t="str">
        <f>IF(W636=1,SUMIFS(Honor!$I$2:$I905,Honor!$K$2:$K905,$D636&amp;"-"&amp;R636),"")</f>
        <v/>
      </c>
      <c r="J636" s="9" t="str">
        <f t="shared" si="6"/>
        <v/>
      </c>
      <c r="K636" s="10" t="str">
        <f t="shared" si="0"/>
        <v/>
      </c>
      <c r="L636" s="10" t="str">
        <f t="shared" si="1"/>
        <v/>
      </c>
      <c r="M636" s="10" t="str">
        <f>IF(W636=1,IF(AND(U636&lt;2,INT(V636)&lt;='Batasan Honor'!$B$2),1,0),"")</f>
        <v/>
      </c>
      <c r="O636" s="10" t="str">
        <f t="shared" si="2"/>
        <v/>
      </c>
      <c r="P636" s="10" t="str">
        <f t="shared" si="3"/>
        <v/>
      </c>
      <c r="R636" s="23"/>
      <c r="S636" s="10" t="str">
        <f t="shared" si="4"/>
        <v/>
      </c>
      <c r="U636" s="10" t="str">
        <f ca="1">IFERROR(__xludf.DUMMYFUNCTION("if(W636=1,COUNTIFS(FILTER($H$2:$H905,$H$2:$H905=""OB"",$S$2:$S905=S636),""OB""),"""")"),"")</f>
        <v/>
      </c>
      <c r="V636" s="10" t="str">
        <f ca="1">IFERROR(__xludf.DUMMYFUNCTION("IF(OR(ISNA(SUM(FILTER($K$2:$K905,$A$2:$A905=A636,$S$2:$S905=S636,$H$2:$H905&lt;&gt;""OB""))),W636&lt;&gt;1),"""",SUM(FILTER($K$2:$K905,$A$2:$A905=A636,$S$2:$S905=S636,$H$2:$H905&lt;&gt;""OB"")))"),"")</f>
        <v/>
      </c>
      <c r="W636" s="10" t="str">
        <f t="shared" si="5"/>
        <v/>
      </c>
    </row>
    <row r="637" spans="1:23" ht="12.5">
      <c r="A637" s="23"/>
      <c r="B637" s="5" t="str">
        <f t="array" ref="B637">IF(W637=1,INDEX('Database Mitra'!$H$2:$H905,MATCH(A637,'Database Mitra'!AK$2:AK905,0)),"")</f>
        <v/>
      </c>
      <c r="C637" s="5" t="str">
        <f t="array" ref="C637">IF(W637=1,INDEX('Database Mitra'!$E$2:$E905,MATCH(A637,'Database Mitra'!AK$2:AK905,0)),"")</f>
        <v/>
      </c>
      <c r="D637" s="23"/>
      <c r="E637" s="5" t="str">
        <f t="array" ref="E637">IF(W637=1,INDEX('Input Kegiatan'!B$2:B905,MATCH($D637,'Input Kegiatan'!$A$2:$A905,0)),"")</f>
        <v/>
      </c>
      <c r="F637" s="5" t="str">
        <f t="array" ref="F637">IF(W637=1,INDEX('Input Kegiatan'!D$2:D905,MATCH($D637,'Input Kegiatan'!$A$2:$A905,0)),"")</f>
        <v/>
      </c>
      <c r="G637" s="5" t="str">
        <f t="array" ref="G637">IF(W637=1,INDEX('Input Kegiatan'!E$2:E905,MATCH($D637,'Input Kegiatan'!$A$2:$A905,0)),"")</f>
        <v/>
      </c>
      <c r="H637" s="5" t="str">
        <f t="array" ref="H637">IF(W637=1,INDEX(Honor!$H$2:$H905,MATCH($D637&amp;"-"&amp;R637,Honor!$K$2:$K905,0)),"")</f>
        <v/>
      </c>
      <c r="I637" s="8" t="str">
        <f>IF(W637=1,SUMIFS(Honor!$I$2:$I905,Honor!$K$2:$K905,$D637&amp;"-"&amp;R637),"")</f>
        <v/>
      </c>
      <c r="J637" s="9" t="str">
        <f t="shared" si="6"/>
        <v/>
      </c>
      <c r="K637" s="10" t="str">
        <f t="shared" si="0"/>
        <v/>
      </c>
      <c r="L637" s="10" t="str">
        <f t="shared" si="1"/>
        <v/>
      </c>
      <c r="M637" s="10" t="str">
        <f>IF(W637=1,IF(AND(U637&lt;2,INT(V637)&lt;='Batasan Honor'!$B$2),1,0),"")</f>
        <v/>
      </c>
      <c r="O637" s="10" t="str">
        <f t="shared" si="2"/>
        <v/>
      </c>
      <c r="P637" s="10" t="str">
        <f t="shared" si="3"/>
        <v/>
      </c>
      <c r="R637" s="23"/>
      <c r="S637" s="10" t="str">
        <f t="shared" si="4"/>
        <v/>
      </c>
      <c r="U637" s="10" t="str">
        <f ca="1">IFERROR(__xludf.DUMMYFUNCTION("if(W637=1,COUNTIFS(FILTER($H$2:$H905,$H$2:$H905=""OB"",$S$2:$S905=S637),""OB""),"""")"),"")</f>
        <v/>
      </c>
      <c r="V637" s="10" t="str">
        <f ca="1">IFERROR(__xludf.DUMMYFUNCTION("IF(OR(ISNA(SUM(FILTER($K$2:$K905,$A$2:$A905=A637,$S$2:$S905=S637,$H$2:$H905&lt;&gt;""OB""))),W637&lt;&gt;1),"""",SUM(FILTER($K$2:$K905,$A$2:$A905=A637,$S$2:$S905=S637,$H$2:$H905&lt;&gt;""OB"")))"),"")</f>
        <v/>
      </c>
      <c r="W637" s="10" t="str">
        <f t="shared" si="5"/>
        <v/>
      </c>
    </row>
    <row r="638" spans="1:23" ht="12.5">
      <c r="A638" s="23"/>
      <c r="B638" s="5" t="str">
        <f t="array" ref="B638">IF(W638=1,INDEX('Database Mitra'!$H$2:$H905,MATCH(A638,'Database Mitra'!AK$2:AK905,0)),"")</f>
        <v/>
      </c>
      <c r="C638" s="5" t="str">
        <f t="array" ref="C638">IF(W638=1,INDEX('Database Mitra'!$E$2:$E905,MATCH(A638,'Database Mitra'!AK$2:AK905,0)),"")</f>
        <v/>
      </c>
      <c r="D638" s="23"/>
      <c r="E638" s="5" t="str">
        <f t="array" ref="E638">IF(W638=1,INDEX('Input Kegiatan'!B$2:B905,MATCH($D638,'Input Kegiatan'!$A$2:$A905,0)),"")</f>
        <v/>
      </c>
      <c r="F638" s="5" t="str">
        <f t="array" ref="F638">IF(W638=1,INDEX('Input Kegiatan'!D$2:D905,MATCH($D638,'Input Kegiatan'!$A$2:$A905,0)),"")</f>
        <v/>
      </c>
      <c r="G638" s="5" t="str">
        <f t="array" ref="G638">IF(W638=1,INDEX('Input Kegiatan'!E$2:E905,MATCH($D638,'Input Kegiatan'!$A$2:$A905,0)),"")</f>
        <v/>
      </c>
      <c r="H638" s="5" t="str">
        <f t="array" ref="H638">IF(W638=1,INDEX(Honor!$H$2:$H905,MATCH($D638&amp;"-"&amp;R638,Honor!$K$2:$K905,0)),"")</f>
        <v/>
      </c>
      <c r="I638" s="8" t="str">
        <f>IF(W638=1,SUMIFS(Honor!$I$2:$I905,Honor!$K$2:$K905,$D638&amp;"-"&amp;R638),"")</f>
        <v/>
      </c>
      <c r="J638" s="9" t="str">
        <f t="shared" si="6"/>
        <v/>
      </c>
      <c r="K638" s="10" t="str">
        <f t="shared" si="0"/>
        <v/>
      </c>
      <c r="L638" s="10" t="str">
        <f t="shared" si="1"/>
        <v/>
      </c>
      <c r="M638" s="10" t="str">
        <f>IF(W638=1,IF(AND(U638&lt;2,INT(V638)&lt;='Batasan Honor'!$B$2),1,0),"")</f>
        <v/>
      </c>
      <c r="O638" s="10" t="str">
        <f t="shared" si="2"/>
        <v/>
      </c>
      <c r="P638" s="10" t="str">
        <f t="shared" si="3"/>
        <v/>
      </c>
      <c r="R638" s="23"/>
      <c r="S638" s="10" t="str">
        <f t="shared" si="4"/>
        <v/>
      </c>
      <c r="U638" s="10" t="str">
        <f ca="1">IFERROR(__xludf.DUMMYFUNCTION("if(W638=1,COUNTIFS(FILTER($H$2:$H905,$H$2:$H905=""OB"",$S$2:$S905=S638),""OB""),"""")"),"")</f>
        <v/>
      </c>
      <c r="V638" s="10" t="str">
        <f ca="1">IFERROR(__xludf.DUMMYFUNCTION("IF(OR(ISNA(SUM(FILTER($K$2:$K905,$A$2:$A905=A638,$S$2:$S905=S638,$H$2:$H905&lt;&gt;""OB""))),W638&lt;&gt;1),"""",SUM(FILTER($K$2:$K905,$A$2:$A905=A638,$S$2:$S905=S638,$H$2:$H905&lt;&gt;""OB"")))"),"")</f>
        <v/>
      </c>
      <c r="W638" s="10" t="str">
        <f t="shared" si="5"/>
        <v/>
      </c>
    </row>
    <row r="639" spans="1:23" ht="12.5">
      <c r="A639" s="23"/>
      <c r="B639" s="5" t="str">
        <f t="array" ref="B639">IF(W639=1,INDEX('Database Mitra'!$H$2:$H905,MATCH(A639,'Database Mitra'!AK$2:AK905,0)),"")</f>
        <v/>
      </c>
      <c r="C639" s="5" t="str">
        <f t="array" ref="C639">IF(W639=1,INDEX('Database Mitra'!$E$2:$E905,MATCH(A639,'Database Mitra'!AK$2:AK905,0)),"")</f>
        <v/>
      </c>
      <c r="D639" s="23"/>
      <c r="E639" s="5" t="str">
        <f t="array" ref="E639">IF(W639=1,INDEX('Input Kegiatan'!B$2:B905,MATCH($D639,'Input Kegiatan'!$A$2:$A905,0)),"")</f>
        <v/>
      </c>
      <c r="F639" s="5" t="str">
        <f t="array" ref="F639">IF(W639=1,INDEX('Input Kegiatan'!D$2:D905,MATCH($D639,'Input Kegiatan'!$A$2:$A905,0)),"")</f>
        <v/>
      </c>
      <c r="G639" s="5" t="str">
        <f t="array" ref="G639">IF(W639=1,INDEX('Input Kegiatan'!E$2:E905,MATCH($D639,'Input Kegiatan'!$A$2:$A905,0)),"")</f>
        <v/>
      </c>
      <c r="H639" s="5" t="str">
        <f t="array" ref="H639">IF(W639=1,INDEX(Honor!$H$2:$H905,MATCH($D639&amp;"-"&amp;R639,Honor!$K$2:$K905,0)),"")</f>
        <v/>
      </c>
      <c r="I639" s="8" t="str">
        <f>IF(W639=1,SUMIFS(Honor!$I$2:$I905,Honor!$K$2:$K905,$D639&amp;"-"&amp;R639),"")</f>
        <v/>
      </c>
      <c r="J639" s="9" t="str">
        <f t="shared" si="6"/>
        <v/>
      </c>
      <c r="K639" s="10" t="str">
        <f t="shared" si="0"/>
        <v/>
      </c>
      <c r="L639" s="10" t="str">
        <f t="shared" si="1"/>
        <v/>
      </c>
      <c r="M639" s="10" t="str">
        <f>IF(W639=1,IF(AND(U639&lt;2,INT(V639)&lt;='Batasan Honor'!$B$2),1,0),"")</f>
        <v/>
      </c>
      <c r="O639" s="10" t="str">
        <f t="shared" si="2"/>
        <v/>
      </c>
      <c r="P639" s="10" t="str">
        <f t="shared" si="3"/>
        <v/>
      </c>
      <c r="R639" s="23"/>
      <c r="S639" s="10" t="str">
        <f t="shared" si="4"/>
        <v/>
      </c>
      <c r="U639" s="10" t="str">
        <f ca="1">IFERROR(__xludf.DUMMYFUNCTION("if(W639=1,COUNTIFS(FILTER($H$2:$H905,$H$2:$H905=""OB"",$S$2:$S905=S639),""OB""),"""")"),"")</f>
        <v/>
      </c>
      <c r="V639" s="10" t="str">
        <f ca="1">IFERROR(__xludf.DUMMYFUNCTION("IF(OR(ISNA(SUM(FILTER($K$2:$K905,$A$2:$A905=A639,$S$2:$S905=S639,$H$2:$H905&lt;&gt;""OB""))),W639&lt;&gt;1),"""",SUM(FILTER($K$2:$K905,$A$2:$A905=A639,$S$2:$S905=S639,$H$2:$H905&lt;&gt;""OB"")))"),"")</f>
        <v/>
      </c>
      <c r="W639" s="10" t="str">
        <f t="shared" si="5"/>
        <v/>
      </c>
    </row>
    <row r="640" spans="1:23" ht="12.5">
      <c r="A640" s="23"/>
      <c r="B640" s="5" t="str">
        <f t="array" ref="B640">IF(W640=1,INDEX('Database Mitra'!$H$2:$H905,MATCH(A640,'Database Mitra'!AK$2:AK905,0)),"")</f>
        <v/>
      </c>
      <c r="C640" s="5" t="str">
        <f t="array" ref="C640">IF(W640=1,INDEX('Database Mitra'!$E$2:$E905,MATCH(A640,'Database Mitra'!AK$2:AK905,0)),"")</f>
        <v/>
      </c>
      <c r="D640" s="23"/>
      <c r="E640" s="5" t="str">
        <f t="array" ref="E640">IF(W640=1,INDEX('Input Kegiatan'!B$2:B905,MATCH($D640,'Input Kegiatan'!$A$2:$A905,0)),"")</f>
        <v/>
      </c>
      <c r="F640" s="5" t="str">
        <f t="array" ref="F640">IF(W640=1,INDEX('Input Kegiatan'!D$2:D905,MATCH($D640,'Input Kegiatan'!$A$2:$A905,0)),"")</f>
        <v/>
      </c>
      <c r="G640" s="5" t="str">
        <f t="array" ref="G640">IF(W640=1,INDEX('Input Kegiatan'!E$2:E905,MATCH($D640,'Input Kegiatan'!$A$2:$A905,0)),"")</f>
        <v/>
      </c>
      <c r="H640" s="5" t="str">
        <f t="array" ref="H640">IF(W640=1,INDEX(Honor!$H$2:$H905,MATCH($D640&amp;"-"&amp;R640,Honor!$K$2:$K905,0)),"")</f>
        <v/>
      </c>
      <c r="I640" s="8" t="str">
        <f>IF(W640=1,SUMIFS(Honor!$I$2:$I905,Honor!$K$2:$K905,$D640&amp;"-"&amp;R640),"")</f>
        <v/>
      </c>
      <c r="J640" s="9" t="str">
        <f t="shared" si="6"/>
        <v/>
      </c>
      <c r="K640" s="10" t="str">
        <f t="shared" si="0"/>
        <v/>
      </c>
      <c r="L640" s="10" t="str">
        <f t="shared" si="1"/>
        <v/>
      </c>
      <c r="M640" s="10" t="str">
        <f>IF(W640=1,IF(AND(U640&lt;2,INT(V640)&lt;='Batasan Honor'!$B$2),1,0),"")</f>
        <v/>
      </c>
      <c r="O640" s="10" t="str">
        <f t="shared" si="2"/>
        <v/>
      </c>
      <c r="P640" s="10" t="str">
        <f t="shared" si="3"/>
        <v/>
      </c>
      <c r="R640" s="23"/>
      <c r="S640" s="10" t="str">
        <f t="shared" si="4"/>
        <v/>
      </c>
      <c r="U640" s="10" t="str">
        <f ca="1">IFERROR(__xludf.DUMMYFUNCTION("if(W640=1,COUNTIFS(FILTER($H$2:$H905,$H$2:$H905=""OB"",$S$2:$S905=S640),""OB""),"""")"),"")</f>
        <v/>
      </c>
      <c r="V640" s="10" t="str">
        <f ca="1">IFERROR(__xludf.DUMMYFUNCTION("IF(OR(ISNA(SUM(FILTER($K$2:$K905,$A$2:$A905=A640,$S$2:$S905=S640,$H$2:$H905&lt;&gt;""OB""))),W640&lt;&gt;1),"""",SUM(FILTER($K$2:$K905,$A$2:$A905=A640,$S$2:$S905=S640,$H$2:$H905&lt;&gt;""OB"")))"),"")</f>
        <v/>
      </c>
      <c r="W640" s="10" t="str">
        <f t="shared" si="5"/>
        <v/>
      </c>
    </row>
    <row r="641" spans="1:23" ht="12.5">
      <c r="A641" s="23"/>
      <c r="B641" s="5" t="str">
        <f t="array" ref="B641">IF(W641=1,INDEX('Database Mitra'!$H$2:$H905,MATCH(A641,'Database Mitra'!AK$2:AK905,0)),"")</f>
        <v/>
      </c>
      <c r="C641" s="5" t="str">
        <f t="array" ref="C641">IF(W641=1,INDEX('Database Mitra'!$E$2:$E905,MATCH(A641,'Database Mitra'!AK$2:AK905,0)),"")</f>
        <v/>
      </c>
      <c r="D641" s="23"/>
      <c r="E641" s="5" t="str">
        <f t="array" ref="E641">IF(W641=1,INDEX('Input Kegiatan'!B$2:B905,MATCH($D641,'Input Kegiatan'!$A$2:$A905,0)),"")</f>
        <v/>
      </c>
      <c r="F641" s="5" t="str">
        <f t="array" ref="F641">IF(W641=1,INDEX('Input Kegiatan'!D$2:D905,MATCH($D641,'Input Kegiatan'!$A$2:$A905,0)),"")</f>
        <v/>
      </c>
      <c r="G641" s="5" t="str">
        <f t="array" ref="G641">IF(W641=1,INDEX('Input Kegiatan'!E$2:E905,MATCH($D641,'Input Kegiatan'!$A$2:$A905,0)),"")</f>
        <v/>
      </c>
      <c r="H641" s="5" t="str">
        <f t="array" ref="H641">IF(W641=1,INDEX(Honor!$H$2:$H905,MATCH($D641&amp;"-"&amp;R641,Honor!$K$2:$K905,0)),"")</f>
        <v/>
      </c>
      <c r="I641" s="8" t="str">
        <f>IF(W641=1,SUMIFS(Honor!$I$2:$I905,Honor!$K$2:$K905,$D641&amp;"-"&amp;R641),"")</f>
        <v/>
      </c>
      <c r="J641" s="9" t="str">
        <f t="shared" si="6"/>
        <v/>
      </c>
      <c r="K641" s="10" t="str">
        <f t="shared" si="0"/>
        <v/>
      </c>
      <c r="L641" s="10" t="str">
        <f t="shared" si="1"/>
        <v/>
      </c>
      <c r="M641" s="10" t="str">
        <f>IF(W641=1,IF(AND(U641&lt;2,INT(V641)&lt;='Batasan Honor'!$B$2),1,0),"")</f>
        <v/>
      </c>
      <c r="O641" s="10" t="str">
        <f t="shared" si="2"/>
        <v/>
      </c>
      <c r="P641" s="10" t="str">
        <f t="shared" si="3"/>
        <v/>
      </c>
      <c r="R641" s="23"/>
      <c r="S641" s="10" t="str">
        <f t="shared" si="4"/>
        <v/>
      </c>
      <c r="U641" s="10" t="str">
        <f ca="1">IFERROR(__xludf.DUMMYFUNCTION("if(W641=1,COUNTIFS(FILTER($H$2:$H905,$H$2:$H905=""OB"",$S$2:$S905=S641),""OB""),"""")"),"")</f>
        <v/>
      </c>
      <c r="V641" s="10" t="str">
        <f ca="1">IFERROR(__xludf.DUMMYFUNCTION("IF(OR(ISNA(SUM(FILTER($K$2:$K905,$A$2:$A905=A641,$S$2:$S905=S641,$H$2:$H905&lt;&gt;""OB""))),W641&lt;&gt;1),"""",SUM(FILTER($K$2:$K905,$A$2:$A905=A641,$S$2:$S905=S641,$H$2:$H905&lt;&gt;""OB"")))"),"")</f>
        <v/>
      </c>
      <c r="W641" s="10" t="str">
        <f t="shared" si="5"/>
        <v/>
      </c>
    </row>
    <row r="642" spans="1:23" ht="12.5">
      <c r="A642" s="23"/>
      <c r="B642" s="5" t="str">
        <f t="array" ref="B642">IF(W642=1,INDEX('Database Mitra'!$H$2:$H905,MATCH(A642,'Database Mitra'!AK$2:AK905,0)),"")</f>
        <v/>
      </c>
      <c r="C642" s="5" t="str">
        <f t="array" ref="C642">IF(W642=1,INDEX('Database Mitra'!$E$2:$E905,MATCH(A642,'Database Mitra'!AK$2:AK905,0)),"")</f>
        <v/>
      </c>
      <c r="D642" s="23"/>
      <c r="E642" s="5" t="str">
        <f t="array" ref="E642">IF(W642=1,INDEX('Input Kegiatan'!B$2:B905,MATCH($D642,'Input Kegiatan'!$A$2:$A905,0)),"")</f>
        <v/>
      </c>
      <c r="F642" s="5" t="str">
        <f t="array" ref="F642">IF(W642=1,INDEX('Input Kegiatan'!D$2:D905,MATCH($D642,'Input Kegiatan'!$A$2:$A905,0)),"")</f>
        <v/>
      </c>
      <c r="G642" s="5" t="str">
        <f t="array" ref="G642">IF(W642=1,INDEX('Input Kegiatan'!E$2:E905,MATCH($D642,'Input Kegiatan'!$A$2:$A905,0)),"")</f>
        <v/>
      </c>
      <c r="H642" s="5" t="str">
        <f t="array" ref="H642">IF(W642=1,INDEX(Honor!$H$2:$H905,MATCH($D642&amp;"-"&amp;R642,Honor!$K$2:$K905,0)),"")</f>
        <v/>
      </c>
      <c r="I642" s="8" t="str">
        <f>IF(W642=1,SUMIFS(Honor!$I$2:$I905,Honor!$K$2:$K905,$D642&amp;"-"&amp;R642),"")</f>
        <v/>
      </c>
      <c r="J642" s="9" t="str">
        <f t="shared" si="6"/>
        <v/>
      </c>
      <c r="K642" s="10" t="str">
        <f t="shared" si="0"/>
        <v/>
      </c>
      <c r="L642" s="10" t="str">
        <f t="shared" si="1"/>
        <v/>
      </c>
      <c r="M642" s="10" t="str">
        <f>IF(W642=1,IF(AND(U642&lt;2,INT(V642)&lt;='Batasan Honor'!$B$2),1,0),"")</f>
        <v/>
      </c>
      <c r="O642" s="10" t="str">
        <f t="shared" si="2"/>
        <v/>
      </c>
      <c r="P642" s="10" t="str">
        <f t="shared" si="3"/>
        <v/>
      </c>
      <c r="R642" s="23"/>
      <c r="S642" s="10" t="str">
        <f t="shared" si="4"/>
        <v/>
      </c>
      <c r="U642" s="10" t="str">
        <f ca="1">IFERROR(__xludf.DUMMYFUNCTION("if(W642=1,COUNTIFS(FILTER($H$2:$H905,$H$2:$H905=""OB"",$S$2:$S905=S642),""OB""),"""")"),"")</f>
        <v/>
      </c>
      <c r="V642" s="10" t="str">
        <f ca="1">IFERROR(__xludf.DUMMYFUNCTION("IF(OR(ISNA(SUM(FILTER($K$2:$K905,$A$2:$A905=A642,$S$2:$S905=S642,$H$2:$H905&lt;&gt;""OB""))),W642&lt;&gt;1),"""",SUM(FILTER($K$2:$K905,$A$2:$A905=A642,$S$2:$S905=S642,$H$2:$H905&lt;&gt;""OB"")))"),"")</f>
        <v/>
      </c>
      <c r="W642" s="10" t="str">
        <f t="shared" si="5"/>
        <v/>
      </c>
    </row>
    <row r="643" spans="1:23" ht="12.5">
      <c r="A643" s="23"/>
      <c r="B643" s="5" t="str">
        <f t="array" ref="B643">IF(W643=1,INDEX('Database Mitra'!$H$2:$H905,MATCH(A643,'Database Mitra'!AK$2:AK905,0)),"")</f>
        <v/>
      </c>
      <c r="C643" s="5" t="str">
        <f t="array" ref="C643">IF(W643=1,INDEX('Database Mitra'!$E$2:$E905,MATCH(A643,'Database Mitra'!AK$2:AK905,0)),"")</f>
        <v/>
      </c>
      <c r="D643" s="23"/>
      <c r="E643" s="5" t="str">
        <f t="array" ref="E643">IF(W643=1,INDEX('Input Kegiatan'!B$2:B905,MATCH($D643,'Input Kegiatan'!$A$2:$A905,0)),"")</f>
        <v/>
      </c>
      <c r="F643" s="5" t="str">
        <f t="array" ref="F643">IF(W643=1,INDEX('Input Kegiatan'!D$2:D905,MATCH($D643,'Input Kegiatan'!$A$2:$A905,0)),"")</f>
        <v/>
      </c>
      <c r="G643" s="5" t="str">
        <f t="array" ref="G643">IF(W643=1,INDEX('Input Kegiatan'!E$2:E905,MATCH($D643,'Input Kegiatan'!$A$2:$A905,0)),"")</f>
        <v/>
      </c>
      <c r="H643" s="5" t="str">
        <f t="array" ref="H643">IF(W643=1,INDEX(Honor!$H$2:$H905,MATCH($D643&amp;"-"&amp;R643,Honor!$K$2:$K905,0)),"")</f>
        <v/>
      </c>
      <c r="I643" s="8" t="str">
        <f>IF(W643=1,SUMIFS(Honor!$I$2:$I905,Honor!$K$2:$K905,$D643&amp;"-"&amp;R643),"")</f>
        <v/>
      </c>
      <c r="J643" s="9" t="str">
        <f t="shared" si="6"/>
        <v/>
      </c>
      <c r="K643" s="10" t="str">
        <f t="shared" si="0"/>
        <v/>
      </c>
      <c r="L643" s="10" t="str">
        <f t="shared" si="1"/>
        <v/>
      </c>
      <c r="M643" s="10" t="str">
        <f>IF(W643=1,IF(AND(U643&lt;2,INT(V643)&lt;='Batasan Honor'!$B$2),1,0),"")</f>
        <v/>
      </c>
      <c r="O643" s="10" t="str">
        <f t="shared" si="2"/>
        <v/>
      </c>
      <c r="P643" s="10" t="str">
        <f t="shared" si="3"/>
        <v/>
      </c>
      <c r="R643" s="23"/>
      <c r="S643" s="10" t="str">
        <f t="shared" si="4"/>
        <v/>
      </c>
      <c r="U643" s="10" t="str">
        <f ca="1">IFERROR(__xludf.DUMMYFUNCTION("if(W643=1,COUNTIFS(FILTER($H$2:$H905,$H$2:$H905=""OB"",$S$2:$S905=S643),""OB""),"""")"),"")</f>
        <v/>
      </c>
      <c r="V643" s="10" t="str">
        <f ca="1">IFERROR(__xludf.DUMMYFUNCTION("IF(OR(ISNA(SUM(FILTER($K$2:$K905,$A$2:$A905=A643,$S$2:$S905=S643,$H$2:$H905&lt;&gt;""OB""))),W643&lt;&gt;1),"""",SUM(FILTER($K$2:$K905,$A$2:$A905=A643,$S$2:$S905=S643,$H$2:$H905&lt;&gt;""OB"")))"),"")</f>
        <v/>
      </c>
      <c r="W643" s="10" t="str">
        <f t="shared" si="5"/>
        <v/>
      </c>
    </row>
    <row r="644" spans="1:23" ht="12.5">
      <c r="A644" s="23"/>
      <c r="B644" s="5" t="str">
        <f t="array" ref="B644">IF(W644=1,INDEX('Database Mitra'!$H$2:$H905,MATCH(A644,'Database Mitra'!AK$2:AK905,0)),"")</f>
        <v/>
      </c>
      <c r="C644" s="5" t="str">
        <f t="array" ref="C644">IF(W644=1,INDEX('Database Mitra'!$E$2:$E905,MATCH(A644,'Database Mitra'!AK$2:AK905,0)),"")</f>
        <v/>
      </c>
      <c r="D644" s="23"/>
      <c r="E644" s="5" t="str">
        <f t="array" ref="E644">IF(W644=1,INDEX('Input Kegiatan'!B$2:B905,MATCH($D644,'Input Kegiatan'!$A$2:$A905,0)),"")</f>
        <v/>
      </c>
      <c r="F644" s="5" t="str">
        <f t="array" ref="F644">IF(W644=1,INDEX('Input Kegiatan'!D$2:D905,MATCH($D644,'Input Kegiatan'!$A$2:$A905,0)),"")</f>
        <v/>
      </c>
      <c r="G644" s="5" t="str">
        <f t="array" ref="G644">IF(W644=1,INDEX('Input Kegiatan'!E$2:E905,MATCH($D644,'Input Kegiatan'!$A$2:$A905,0)),"")</f>
        <v/>
      </c>
      <c r="H644" s="5" t="str">
        <f t="array" ref="H644">IF(W644=1,INDEX(Honor!$H$2:$H905,MATCH($D644&amp;"-"&amp;R644,Honor!$K$2:$K905,0)),"")</f>
        <v/>
      </c>
      <c r="I644" s="8" t="str">
        <f>IF(W644=1,SUMIFS(Honor!$I$2:$I905,Honor!$K$2:$K905,$D644&amp;"-"&amp;R644),"")</f>
        <v/>
      </c>
      <c r="J644" s="9" t="str">
        <f t="shared" si="6"/>
        <v/>
      </c>
      <c r="K644" s="10" t="str">
        <f t="shared" si="0"/>
        <v/>
      </c>
      <c r="L644" s="10" t="str">
        <f t="shared" si="1"/>
        <v/>
      </c>
      <c r="M644" s="10" t="str">
        <f>IF(W644=1,IF(AND(U644&lt;2,INT(V644)&lt;='Batasan Honor'!$B$2),1,0),"")</f>
        <v/>
      </c>
      <c r="O644" s="10" t="str">
        <f t="shared" si="2"/>
        <v/>
      </c>
      <c r="P644" s="10" t="str">
        <f t="shared" si="3"/>
        <v/>
      </c>
      <c r="R644" s="23"/>
      <c r="S644" s="10" t="str">
        <f t="shared" si="4"/>
        <v/>
      </c>
      <c r="U644" s="10" t="str">
        <f ca="1">IFERROR(__xludf.DUMMYFUNCTION("if(W644=1,COUNTIFS(FILTER($H$2:$H905,$H$2:$H905=""OB"",$S$2:$S905=S644),""OB""),"""")"),"")</f>
        <v/>
      </c>
      <c r="V644" s="10" t="str">
        <f ca="1">IFERROR(__xludf.DUMMYFUNCTION("IF(OR(ISNA(SUM(FILTER($K$2:$K905,$A$2:$A905=A644,$S$2:$S905=S644,$H$2:$H905&lt;&gt;""OB""))),W644&lt;&gt;1),"""",SUM(FILTER($K$2:$K905,$A$2:$A905=A644,$S$2:$S905=S644,$H$2:$H905&lt;&gt;""OB"")))"),"")</f>
        <v/>
      </c>
      <c r="W644" s="10" t="str">
        <f t="shared" si="5"/>
        <v/>
      </c>
    </row>
    <row r="645" spans="1:23" ht="12.5">
      <c r="A645" s="23"/>
      <c r="B645" s="5" t="str">
        <f t="array" ref="B645">IF(W645=1,INDEX('Database Mitra'!$H$2:$H905,MATCH(A645,'Database Mitra'!AK$2:AK905,0)),"")</f>
        <v/>
      </c>
      <c r="C645" s="5" t="str">
        <f t="array" ref="C645">IF(W645=1,INDEX('Database Mitra'!$E$2:$E905,MATCH(A645,'Database Mitra'!AK$2:AK905,0)),"")</f>
        <v/>
      </c>
      <c r="D645" s="23"/>
      <c r="E645" s="5" t="str">
        <f t="array" ref="E645">IF(W645=1,INDEX('Input Kegiatan'!B$2:B905,MATCH($D645,'Input Kegiatan'!$A$2:$A905,0)),"")</f>
        <v/>
      </c>
      <c r="F645" s="5" t="str">
        <f t="array" ref="F645">IF(W645=1,INDEX('Input Kegiatan'!D$2:D905,MATCH($D645,'Input Kegiatan'!$A$2:$A905,0)),"")</f>
        <v/>
      </c>
      <c r="G645" s="5" t="str">
        <f t="array" ref="G645">IF(W645=1,INDEX('Input Kegiatan'!E$2:E905,MATCH($D645,'Input Kegiatan'!$A$2:$A905,0)),"")</f>
        <v/>
      </c>
      <c r="H645" s="5" t="str">
        <f t="array" ref="H645">IF(W645=1,INDEX(Honor!$H$2:$H905,MATCH($D645&amp;"-"&amp;R645,Honor!$K$2:$K905,0)),"")</f>
        <v/>
      </c>
      <c r="I645" s="8" t="str">
        <f>IF(W645=1,SUMIFS(Honor!$I$2:$I905,Honor!$K$2:$K905,$D645&amp;"-"&amp;R645),"")</f>
        <v/>
      </c>
      <c r="J645" s="9" t="str">
        <f t="shared" si="6"/>
        <v/>
      </c>
      <c r="K645" s="10" t="str">
        <f t="shared" si="0"/>
        <v/>
      </c>
      <c r="L645" s="10" t="str">
        <f t="shared" si="1"/>
        <v/>
      </c>
      <c r="M645" s="10" t="str">
        <f>IF(W645=1,IF(AND(U645&lt;2,INT(V645)&lt;='Batasan Honor'!$B$2),1,0),"")</f>
        <v/>
      </c>
      <c r="O645" s="10" t="str">
        <f t="shared" si="2"/>
        <v/>
      </c>
      <c r="P645" s="10" t="str">
        <f t="shared" si="3"/>
        <v/>
      </c>
      <c r="R645" s="23"/>
      <c r="S645" s="10" t="str">
        <f t="shared" si="4"/>
        <v/>
      </c>
      <c r="U645" s="10" t="str">
        <f ca="1">IFERROR(__xludf.DUMMYFUNCTION("if(W645=1,COUNTIFS(FILTER($H$2:$H905,$H$2:$H905=""OB"",$S$2:$S905=S645),""OB""),"""")"),"")</f>
        <v/>
      </c>
      <c r="V645" s="10" t="str">
        <f ca="1">IFERROR(__xludf.DUMMYFUNCTION("IF(OR(ISNA(SUM(FILTER($K$2:$K905,$A$2:$A905=A645,$S$2:$S905=S645,$H$2:$H905&lt;&gt;""OB""))),W645&lt;&gt;1),"""",SUM(FILTER($K$2:$K905,$A$2:$A905=A645,$S$2:$S905=S645,$H$2:$H905&lt;&gt;""OB"")))"),"")</f>
        <v/>
      </c>
      <c r="W645" s="10" t="str">
        <f t="shared" si="5"/>
        <v/>
      </c>
    </row>
    <row r="646" spans="1:23" ht="12.5">
      <c r="A646" s="23"/>
      <c r="B646" s="5" t="str">
        <f t="array" ref="B646">IF(W646=1,INDEX('Database Mitra'!$H$2:$H905,MATCH(A646,'Database Mitra'!AK$2:AK905,0)),"")</f>
        <v/>
      </c>
      <c r="C646" s="5" t="str">
        <f t="array" ref="C646">IF(W646=1,INDEX('Database Mitra'!$E$2:$E905,MATCH(A646,'Database Mitra'!AK$2:AK905,0)),"")</f>
        <v/>
      </c>
      <c r="D646" s="23"/>
      <c r="E646" s="5" t="str">
        <f t="array" ref="E646">IF(W646=1,INDEX('Input Kegiatan'!B$2:B905,MATCH($D646,'Input Kegiatan'!$A$2:$A905,0)),"")</f>
        <v/>
      </c>
      <c r="F646" s="5" t="str">
        <f t="array" ref="F646">IF(W646=1,INDEX('Input Kegiatan'!D$2:D905,MATCH($D646,'Input Kegiatan'!$A$2:$A905,0)),"")</f>
        <v/>
      </c>
      <c r="G646" s="5" t="str">
        <f t="array" ref="G646">IF(W646=1,INDEX('Input Kegiatan'!E$2:E905,MATCH($D646,'Input Kegiatan'!$A$2:$A905,0)),"")</f>
        <v/>
      </c>
      <c r="H646" s="5" t="str">
        <f t="array" ref="H646">IF(W646=1,INDEX(Honor!$H$2:$H905,MATCH($D646&amp;"-"&amp;R646,Honor!$K$2:$K905,0)),"")</f>
        <v/>
      </c>
      <c r="I646" s="8" t="str">
        <f>IF(W646=1,SUMIFS(Honor!$I$2:$I905,Honor!$K$2:$K905,$D646&amp;"-"&amp;R646),"")</f>
        <v/>
      </c>
      <c r="J646" s="9" t="str">
        <f t="shared" si="6"/>
        <v/>
      </c>
      <c r="K646" s="10" t="str">
        <f t="shared" si="0"/>
        <v/>
      </c>
      <c r="L646" s="10" t="str">
        <f t="shared" si="1"/>
        <v/>
      </c>
      <c r="M646" s="10" t="str">
        <f>IF(W646=1,IF(AND(U646&lt;2,INT(V646)&lt;='Batasan Honor'!$B$2),1,0),"")</f>
        <v/>
      </c>
      <c r="O646" s="10" t="str">
        <f t="shared" si="2"/>
        <v/>
      </c>
      <c r="P646" s="10" t="str">
        <f t="shared" si="3"/>
        <v/>
      </c>
      <c r="R646" s="23"/>
      <c r="S646" s="10" t="str">
        <f t="shared" si="4"/>
        <v/>
      </c>
      <c r="U646" s="10" t="str">
        <f ca="1">IFERROR(__xludf.DUMMYFUNCTION("if(W646=1,COUNTIFS(FILTER($H$2:$H905,$H$2:$H905=""OB"",$S$2:$S905=S646),""OB""),"""")"),"")</f>
        <v/>
      </c>
      <c r="V646" s="10" t="str">
        <f ca="1">IFERROR(__xludf.DUMMYFUNCTION("IF(OR(ISNA(SUM(FILTER($K$2:$K905,$A$2:$A905=A646,$S$2:$S905=S646,$H$2:$H905&lt;&gt;""OB""))),W646&lt;&gt;1),"""",SUM(FILTER($K$2:$K905,$A$2:$A905=A646,$S$2:$S905=S646,$H$2:$H905&lt;&gt;""OB"")))"),"")</f>
        <v/>
      </c>
      <c r="W646" s="10" t="str">
        <f t="shared" si="5"/>
        <v/>
      </c>
    </row>
    <row r="647" spans="1:23" ht="12.5">
      <c r="A647" s="23"/>
      <c r="B647" s="5" t="str">
        <f t="array" ref="B647">IF(W647=1,INDEX('Database Mitra'!$H$2:$H905,MATCH(A647,'Database Mitra'!AK$2:AK905,0)),"")</f>
        <v/>
      </c>
      <c r="C647" s="5" t="str">
        <f t="array" ref="C647">IF(W647=1,INDEX('Database Mitra'!$E$2:$E905,MATCH(A647,'Database Mitra'!AK$2:AK905,0)),"")</f>
        <v/>
      </c>
      <c r="D647" s="23"/>
      <c r="E647" s="5" t="str">
        <f t="array" ref="E647">IF(W647=1,INDEX('Input Kegiatan'!B$2:B905,MATCH($D647,'Input Kegiatan'!$A$2:$A905,0)),"")</f>
        <v/>
      </c>
      <c r="F647" s="5" t="str">
        <f t="array" ref="F647">IF(W647=1,INDEX('Input Kegiatan'!D$2:D905,MATCH($D647,'Input Kegiatan'!$A$2:$A905,0)),"")</f>
        <v/>
      </c>
      <c r="G647" s="5" t="str">
        <f t="array" ref="G647">IF(W647=1,INDEX('Input Kegiatan'!E$2:E905,MATCH($D647,'Input Kegiatan'!$A$2:$A905,0)),"")</f>
        <v/>
      </c>
      <c r="H647" s="5" t="str">
        <f t="array" ref="H647">IF(W647=1,INDEX(Honor!$H$2:$H905,MATCH($D647&amp;"-"&amp;R647,Honor!$K$2:$K905,0)),"")</f>
        <v/>
      </c>
      <c r="I647" s="8" t="str">
        <f>IF(W647=1,SUMIFS(Honor!$I$2:$I905,Honor!$K$2:$K905,$D647&amp;"-"&amp;R647),"")</f>
        <v/>
      </c>
      <c r="J647" s="9" t="str">
        <f t="shared" si="6"/>
        <v/>
      </c>
      <c r="K647" s="10" t="str">
        <f t="shared" si="0"/>
        <v/>
      </c>
      <c r="L647" s="10" t="str">
        <f t="shared" si="1"/>
        <v/>
      </c>
      <c r="M647" s="10" t="str">
        <f>IF(W647=1,IF(AND(U647&lt;2,INT(V647)&lt;='Batasan Honor'!$B$2),1,0),"")</f>
        <v/>
      </c>
      <c r="O647" s="10" t="str">
        <f t="shared" si="2"/>
        <v/>
      </c>
      <c r="P647" s="10" t="str">
        <f t="shared" si="3"/>
        <v/>
      </c>
      <c r="R647" s="23"/>
      <c r="S647" s="10" t="str">
        <f t="shared" si="4"/>
        <v/>
      </c>
      <c r="U647" s="10" t="str">
        <f ca="1">IFERROR(__xludf.DUMMYFUNCTION("if(W647=1,COUNTIFS(FILTER($H$2:$H905,$H$2:$H905=""OB"",$S$2:$S905=S647),""OB""),"""")"),"")</f>
        <v/>
      </c>
      <c r="V647" s="10" t="str">
        <f ca="1">IFERROR(__xludf.DUMMYFUNCTION("IF(OR(ISNA(SUM(FILTER($K$2:$K905,$A$2:$A905=A647,$S$2:$S905=S647,$H$2:$H905&lt;&gt;""OB""))),W647&lt;&gt;1),"""",SUM(FILTER($K$2:$K905,$A$2:$A905=A647,$S$2:$S905=S647,$H$2:$H905&lt;&gt;""OB"")))"),"")</f>
        <v/>
      </c>
      <c r="W647" s="10" t="str">
        <f t="shared" si="5"/>
        <v/>
      </c>
    </row>
    <row r="648" spans="1:23" ht="12.5">
      <c r="A648" s="23"/>
      <c r="B648" s="5" t="str">
        <f t="array" ref="B648">IF(W648=1,INDEX('Database Mitra'!$H$2:$H905,MATCH(A648,'Database Mitra'!AK$2:AK905,0)),"")</f>
        <v/>
      </c>
      <c r="C648" s="5" t="str">
        <f t="array" ref="C648">IF(W648=1,INDEX('Database Mitra'!$E$2:$E905,MATCH(A648,'Database Mitra'!AK$2:AK905,0)),"")</f>
        <v/>
      </c>
      <c r="D648" s="23"/>
      <c r="E648" s="5" t="str">
        <f t="array" ref="E648">IF(W648=1,INDEX('Input Kegiatan'!B$2:B905,MATCH($D648,'Input Kegiatan'!$A$2:$A905,0)),"")</f>
        <v/>
      </c>
      <c r="F648" s="5" t="str">
        <f t="array" ref="F648">IF(W648=1,INDEX('Input Kegiatan'!D$2:D905,MATCH($D648,'Input Kegiatan'!$A$2:$A905,0)),"")</f>
        <v/>
      </c>
      <c r="G648" s="5" t="str">
        <f t="array" ref="G648">IF(W648=1,INDEX('Input Kegiatan'!E$2:E905,MATCH($D648,'Input Kegiatan'!$A$2:$A905,0)),"")</f>
        <v/>
      </c>
      <c r="H648" s="5" t="str">
        <f t="array" ref="H648">IF(W648=1,INDEX(Honor!$H$2:$H905,MATCH($D648&amp;"-"&amp;R648,Honor!$K$2:$K905,0)),"")</f>
        <v/>
      </c>
      <c r="I648" s="8" t="str">
        <f>IF(W648=1,SUMIFS(Honor!$I$2:$I905,Honor!$K$2:$K905,$D648&amp;"-"&amp;R648),"")</f>
        <v/>
      </c>
      <c r="J648" s="9" t="str">
        <f t="shared" si="6"/>
        <v/>
      </c>
      <c r="K648" s="10" t="str">
        <f t="shared" si="0"/>
        <v/>
      </c>
      <c r="L648" s="10" t="str">
        <f t="shared" si="1"/>
        <v/>
      </c>
      <c r="M648" s="10" t="str">
        <f>IF(W648=1,IF(AND(U648&lt;2,INT(V648)&lt;='Batasan Honor'!$B$2),1,0),"")</f>
        <v/>
      </c>
      <c r="O648" s="10" t="str">
        <f t="shared" si="2"/>
        <v/>
      </c>
      <c r="P648" s="10" t="str">
        <f t="shared" si="3"/>
        <v/>
      </c>
      <c r="R648" s="23"/>
      <c r="S648" s="10" t="str">
        <f t="shared" si="4"/>
        <v/>
      </c>
      <c r="U648" s="10" t="str">
        <f ca="1">IFERROR(__xludf.DUMMYFUNCTION("if(W648=1,COUNTIFS(FILTER($H$2:$H905,$H$2:$H905=""OB"",$S$2:$S905=S648),""OB""),"""")"),"")</f>
        <v/>
      </c>
      <c r="V648" s="10" t="str">
        <f ca="1">IFERROR(__xludf.DUMMYFUNCTION("IF(OR(ISNA(SUM(FILTER($K$2:$K905,$A$2:$A905=A648,$S$2:$S905=S648,$H$2:$H905&lt;&gt;""OB""))),W648&lt;&gt;1),"""",SUM(FILTER($K$2:$K905,$A$2:$A905=A648,$S$2:$S905=S648,$H$2:$H905&lt;&gt;""OB"")))"),"")</f>
        <v/>
      </c>
      <c r="W648" s="10" t="str">
        <f t="shared" si="5"/>
        <v/>
      </c>
    </row>
    <row r="649" spans="1:23" ht="12.5">
      <c r="A649" s="23"/>
      <c r="B649" s="5" t="str">
        <f t="array" ref="B649">IF(W649=1,INDEX('Database Mitra'!$H$2:$H905,MATCH(A649,'Database Mitra'!AK$2:AK905,0)),"")</f>
        <v/>
      </c>
      <c r="C649" s="5" t="str">
        <f t="array" ref="C649">IF(W649=1,INDEX('Database Mitra'!$E$2:$E905,MATCH(A649,'Database Mitra'!AK$2:AK905,0)),"")</f>
        <v/>
      </c>
      <c r="D649" s="23"/>
      <c r="E649" s="5" t="str">
        <f t="array" ref="E649">IF(W649=1,INDEX('Input Kegiatan'!B$2:B905,MATCH($D649,'Input Kegiatan'!$A$2:$A905,0)),"")</f>
        <v/>
      </c>
      <c r="F649" s="5" t="str">
        <f t="array" ref="F649">IF(W649=1,INDEX('Input Kegiatan'!D$2:D905,MATCH($D649,'Input Kegiatan'!$A$2:$A905,0)),"")</f>
        <v/>
      </c>
      <c r="G649" s="5" t="str">
        <f t="array" ref="G649">IF(W649=1,INDEX('Input Kegiatan'!E$2:E905,MATCH($D649,'Input Kegiatan'!$A$2:$A905,0)),"")</f>
        <v/>
      </c>
      <c r="H649" s="5" t="str">
        <f t="array" ref="H649">IF(W649=1,INDEX(Honor!$H$2:$H905,MATCH($D649&amp;"-"&amp;R649,Honor!$K$2:$K905,0)),"")</f>
        <v/>
      </c>
      <c r="I649" s="8" t="str">
        <f>IF(W649=1,SUMIFS(Honor!$I$2:$I905,Honor!$K$2:$K905,$D649&amp;"-"&amp;R649),"")</f>
        <v/>
      </c>
      <c r="J649" s="9" t="str">
        <f t="shared" si="6"/>
        <v/>
      </c>
      <c r="K649" s="10" t="str">
        <f t="shared" si="0"/>
        <v/>
      </c>
      <c r="L649" s="10" t="str">
        <f t="shared" si="1"/>
        <v/>
      </c>
      <c r="M649" s="10" t="str">
        <f>IF(W649=1,IF(AND(U649&lt;2,INT(V649)&lt;='Batasan Honor'!$B$2),1,0),"")</f>
        <v/>
      </c>
      <c r="O649" s="10" t="str">
        <f t="shared" si="2"/>
        <v/>
      </c>
      <c r="P649" s="10" t="str">
        <f t="shared" si="3"/>
        <v/>
      </c>
      <c r="R649" s="23"/>
      <c r="S649" s="10" t="str">
        <f t="shared" si="4"/>
        <v/>
      </c>
      <c r="U649" s="10" t="str">
        <f ca="1">IFERROR(__xludf.DUMMYFUNCTION("if(W649=1,COUNTIFS(FILTER($H$2:$H905,$H$2:$H905=""OB"",$S$2:$S905=S649),""OB""),"""")"),"")</f>
        <v/>
      </c>
      <c r="V649" s="10" t="str">
        <f ca="1">IFERROR(__xludf.DUMMYFUNCTION("IF(OR(ISNA(SUM(FILTER($K$2:$K905,$A$2:$A905=A649,$S$2:$S905=S649,$H$2:$H905&lt;&gt;""OB""))),W649&lt;&gt;1),"""",SUM(FILTER($K$2:$K905,$A$2:$A905=A649,$S$2:$S905=S649,$H$2:$H905&lt;&gt;""OB"")))"),"")</f>
        <v/>
      </c>
      <c r="W649" s="10" t="str">
        <f t="shared" si="5"/>
        <v/>
      </c>
    </row>
    <row r="650" spans="1:23" ht="12.5">
      <c r="A650" s="23"/>
      <c r="B650" s="5" t="str">
        <f t="array" ref="B650">IF(W650=1,INDEX('Database Mitra'!$H$2:$H905,MATCH(A650,'Database Mitra'!AK$2:AK905,0)),"")</f>
        <v/>
      </c>
      <c r="C650" s="5" t="str">
        <f t="array" ref="C650">IF(W650=1,INDEX('Database Mitra'!$E$2:$E905,MATCH(A650,'Database Mitra'!AK$2:AK905,0)),"")</f>
        <v/>
      </c>
      <c r="D650" s="23"/>
      <c r="E650" s="5" t="str">
        <f t="array" ref="E650">IF(W650=1,INDEX('Input Kegiatan'!B$2:B905,MATCH($D650,'Input Kegiatan'!$A$2:$A905,0)),"")</f>
        <v/>
      </c>
      <c r="F650" s="5" t="str">
        <f t="array" ref="F650">IF(W650=1,INDEX('Input Kegiatan'!D$2:D905,MATCH($D650,'Input Kegiatan'!$A$2:$A905,0)),"")</f>
        <v/>
      </c>
      <c r="G650" s="5" t="str">
        <f t="array" ref="G650">IF(W650=1,INDEX('Input Kegiatan'!E$2:E905,MATCH($D650,'Input Kegiatan'!$A$2:$A905,0)),"")</f>
        <v/>
      </c>
      <c r="H650" s="5" t="str">
        <f t="array" ref="H650">IF(W650=1,INDEX(Honor!$H$2:$H905,MATCH($D650&amp;"-"&amp;R650,Honor!$K$2:$K905,0)),"")</f>
        <v/>
      </c>
      <c r="I650" s="8" t="str">
        <f>IF(W650=1,SUMIFS(Honor!$I$2:$I905,Honor!$K$2:$K905,$D650&amp;"-"&amp;R650),"")</f>
        <v/>
      </c>
      <c r="J650" s="9" t="str">
        <f t="shared" si="6"/>
        <v/>
      </c>
      <c r="K650" s="10" t="str">
        <f t="shared" si="0"/>
        <v/>
      </c>
      <c r="L650" s="10" t="str">
        <f t="shared" si="1"/>
        <v/>
      </c>
      <c r="M650" s="10" t="str">
        <f>IF(W650=1,IF(AND(U650&lt;2,INT(V650)&lt;='Batasan Honor'!$B$2),1,0),"")</f>
        <v/>
      </c>
      <c r="O650" s="10" t="str">
        <f t="shared" si="2"/>
        <v/>
      </c>
      <c r="P650" s="10" t="str">
        <f t="shared" si="3"/>
        <v/>
      </c>
      <c r="R650" s="23"/>
      <c r="S650" s="10" t="str">
        <f t="shared" si="4"/>
        <v/>
      </c>
      <c r="U650" s="10" t="str">
        <f ca="1">IFERROR(__xludf.DUMMYFUNCTION("if(W650=1,COUNTIFS(FILTER($H$2:$H905,$H$2:$H905=""OB"",$S$2:$S905=S650),""OB""),"""")"),"")</f>
        <v/>
      </c>
      <c r="V650" s="10" t="str">
        <f ca="1">IFERROR(__xludf.DUMMYFUNCTION("IF(OR(ISNA(SUM(FILTER($K$2:$K905,$A$2:$A905=A650,$S$2:$S905=S650,$H$2:$H905&lt;&gt;""OB""))),W650&lt;&gt;1),"""",SUM(FILTER($K$2:$K905,$A$2:$A905=A650,$S$2:$S905=S650,$H$2:$H905&lt;&gt;""OB"")))"),"")</f>
        <v/>
      </c>
      <c r="W650" s="10" t="str">
        <f t="shared" si="5"/>
        <v/>
      </c>
    </row>
    <row r="651" spans="1:23" ht="12.5">
      <c r="A651" s="23"/>
      <c r="B651" s="5" t="str">
        <f t="array" ref="B651">IF(W651=1,INDEX('Database Mitra'!$H$2:$H905,MATCH(A651,'Database Mitra'!AK$2:AK905,0)),"")</f>
        <v/>
      </c>
      <c r="C651" s="5" t="str">
        <f t="array" ref="C651">IF(W651=1,INDEX('Database Mitra'!$E$2:$E905,MATCH(A651,'Database Mitra'!AK$2:AK905,0)),"")</f>
        <v/>
      </c>
      <c r="D651" s="23"/>
      <c r="E651" s="5" t="str">
        <f t="array" ref="E651">IF(W651=1,INDEX('Input Kegiatan'!B$2:B905,MATCH($D651,'Input Kegiatan'!$A$2:$A905,0)),"")</f>
        <v/>
      </c>
      <c r="F651" s="5" t="str">
        <f t="array" ref="F651">IF(W651=1,INDEX('Input Kegiatan'!D$2:D905,MATCH($D651,'Input Kegiatan'!$A$2:$A905,0)),"")</f>
        <v/>
      </c>
      <c r="G651" s="5" t="str">
        <f t="array" ref="G651">IF(W651=1,INDEX('Input Kegiatan'!E$2:E905,MATCH($D651,'Input Kegiatan'!$A$2:$A905,0)),"")</f>
        <v/>
      </c>
      <c r="H651" s="5" t="str">
        <f t="array" ref="H651">IF(W651=1,INDEX(Honor!$H$2:$H905,MATCH($D651&amp;"-"&amp;R651,Honor!$K$2:$K905,0)),"")</f>
        <v/>
      </c>
      <c r="I651" s="8" t="str">
        <f>IF(W651=1,SUMIFS(Honor!$I$2:$I905,Honor!$K$2:$K905,$D651&amp;"-"&amp;R651),"")</f>
        <v/>
      </c>
      <c r="J651" s="9" t="str">
        <f t="shared" si="6"/>
        <v/>
      </c>
      <c r="K651" s="10" t="str">
        <f t="shared" si="0"/>
        <v/>
      </c>
      <c r="L651" s="10" t="str">
        <f t="shared" si="1"/>
        <v/>
      </c>
      <c r="M651" s="10" t="str">
        <f>IF(W651=1,IF(AND(U651&lt;2,INT(V651)&lt;='Batasan Honor'!$B$2),1,0),"")</f>
        <v/>
      </c>
      <c r="O651" s="10" t="str">
        <f t="shared" si="2"/>
        <v/>
      </c>
      <c r="P651" s="10" t="str">
        <f t="shared" si="3"/>
        <v/>
      </c>
      <c r="R651" s="23"/>
      <c r="S651" s="10" t="str">
        <f t="shared" si="4"/>
        <v/>
      </c>
      <c r="U651" s="10" t="str">
        <f ca="1">IFERROR(__xludf.DUMMYFUNCTION("if(W651=1,COUNTIFS(FILTER($H$2:$H905,$H$2:$H905=""OB"",$S$2:$S905=S651),""OB""),"""")"),"")</f>
        <v/>
      </c>
      <c r="V651" s="10" t="str">
        <f ca="1">IFERROR(__xludf.DUMMYFUNCTION("IF(OR(ISNA(SUM(FILTER($K$2:$K905,$A$2:$A905=A651,$S$2:$S905=S651,$H$2:$H905&lt;&gt;""OB""))),W651&lt;&gt;1),"""",SUM(FILTER($K$2:$K905,$A$2:$A905=A651,$S$2:$S905=S651,$H$2:$H905&lt;&gt;""OB"")))"),"")</f>
        <v/>
      </c>
      <c r="W651" s="10" t="str">
        <f t="shared" si="5"/>
        <v/>
      </c>
    </row>
    <row r="652" spans="1:23" ht="12.5">
      <c r="A652" s="23"/>
      <c r="B652" s="5" t="str">
        <f t="array" ref="B652">IF(W652=1,INDEX('Database Mitra'!$H$2:$H905,MATCH(A652,'Database Mitra'!AK$2:AK905,0)),"")</f>
        <v/>
      </c>
      <c r="C652" s="5" t="str">
        <f t="array" ref="C652">IF(W652=1,INDEX('Database Mitra'!$E$2:$E905,MATCH(A652,'Database Mitra'!AK$2:AK905,0)),"")</f>
        <v/>
      </c>
      <c r="D652" s="23"/>
      <c r="E652" s="5" t="str">
        <f t="array" ref="E652">IF(W652=1,INDEX('Input Kegiatan'!B$2:B905,MATCH($D652,'Input Kegiatan'!$A$2:$A905,0)),"")</f>
        <v/>
      </c>
      <c r="F652" s="5" t="str">
        <f t="array" ref="F652">IF(W652=1,INDEX('Input Kegiatan'!D$2:D905,MATCH($D652,'Input Kegiatan'!$A$2:$A905,0)),"")</f>
        <v/>
      </c>
      <c r="G652" s="5" t="str">
        <f t="array" ref="G652">IF(W652=1,INDEX('Input Kegiatan'!E$2:E905,MATCH($D652,'Input Kegiatan'!$A$2:$A905,0)),"")</f>
        <v/>
      </c>
      <c r="H652" s="5" t="str">
        <f t="array" ref="H652">IF(W652=1,INDEX(Honor!$H$2:$H905,MATCH($D652&amp;"-"&amp;R652,Honor!$K$2:$K905,0)),"")</f>
        <v/>
      </c>
      <c r="I652" s="8" t="str">
        <f>IF(W652=1,SUMIFS(Honor!$I$2:$I905,Honor!$K$2:$K905,$D652&amp;"-"&amp;R652),"")</f>
        <v/>
      </c>
      <c r="J652" s="9" t="str">
        <f t="shared" si="6"/>
        <v/>
      </c>
      <c r="K652" s="10" t="str">
        <f t="shared" si="0"/>
        <v/>
      </c>
      <c r="L652" s="10" t="str">
        <f t="shared" si="1"/>
        <v/>
      </c>
      <c r="M652" s="10" t="str">
        <f>IF(W652=1,IF(AND(U652&lt;2,INT(V652)&lt;='Batasan Honor'!$B$2),1,0),"")</f>
        <v/>
      </c>
      <c r="O652" s="10" t="str">
        <f t="shared" si="2"/>
        <v/>
      </c>
      <c r="P652" s="10" t="str">
        <f t="shared" si="3"/>
        <v/>
      </c>
      <c r="R652" s="23"/>
      <c r="S652" s="10" t="str">
        <f t="shared" si="4"/>
        <v/>
      </c>
      <c r="U652" s="10" t="str">
        <f ca="1">IFERROR(__xludf.DUMMYFUNCTION("if(W652=1,COUNTIFS(FILTER($H$2:$H905,$H$2:$H905=""OB"",$S$2:$S905=S652),""OB""),"""")"),"")</f>
        <v/>
      </c>
      <c r="V652" s="10" t="str">
        <f ca="1">IFERROR(__xludf.DUMMYFUNCTION("IF(OR(ISNA(SUM(FILTER($K$2:$K905,$A$2:$A905=A652,$S$2:$S905=S652,$H$2:$H905&lt;&gt;""OB""))),W652&lt;&gt;1),"""",SUM(FILTER($K$2:$K905,$A$2:$A905=A652,$S$2:$S905=S652,$H$2:$H905&lt;&gt;""OB"")))"),"")</f>
        <v/>
      </c>
      <c r="W652" s="10" t="str">
        <f t="shared" si="5"/>
        <v/>
      </c>
    </row>
    <row r="653" spans="1:23" ht="12.5">
      <c r="A653" s="23"/>
      <c r="B653" s="5" t="str">
        <f t="array" ref="B653">IF(W653=1,INDEX('Database Mitra'!$H$2:$H905,MATCH(A653,'Database Mitra'!AK$2:AK905,0)),"")</f>
        <v/>
      </c>
      <c r="C653" s="5" t="str">
        <f t="array" ref="C653">IF(W653=1,INDEX('Database Mitra'!$E$2:$E905,MATCH(A653,'Database Mitra'!AK$2:AK905,0)),"")</f>
        <v/>
      </c>
      <c r="D653" s="23"/>
      <c r="E653" s="5" t="str">
        <f t="array" ref="E653">IF(W653=1,INDEX('Input Kegiatan'!B$2:B905,MATCH($D653,'Input Kegiatan'!$A$2:$A905,0)),"")</f>
        <v/>
      </c>
      <c r="F653" s="5" t="str">
        <f t="array" ref="F653">IF(W653=1,INDEX('Input Kegiatan'!D$2:D905,MATCH($D653,'Input Kegiatan'!$A$2:$A905,0)),"")</f>
        <v/>
      </c>
      <c r="G653" s="5" t="str">
        <f t="array" ref="G653">IF(W653=1,INDEX('Input Kegiatan'!E$2:E905,MATCH($D653,'Input Kegiatan'!$A$2:$A905,0)),"")</f>
        <v/>
      </c>
      <c r="H653" s="5" t="str">
        <f t="array" ref="H653">IF(W653=1,INDEX(Honor!$H$2:$H905,MATCH($D653&amp;"-"&amp;R653,Honor!$K$2:$K905,0)),"")</f>
        <v/>
      </c>
      <c r="I653" s="8" t="str">
        <f>IF(W653=1,SUMIFS(Honor!$I$2:$I905,Honor!$K$2:$K905,$D653&amp;"-"&amp;R653),"")</f>
        <v/>
      </c>
      <c r="J653" s="9" t="str">
        <f t="shared" si="6"/>
        <v/>
      </c>
      <c r="K653" s="10" t="str">
        <f t="shared" si="0"/>
        <v/>
      </c>
      <c r="L653" s="10" t="str">
        <f t="shared" si="1"/>
        <v/>
      </c>
      <c r="M653" s="10" t="str">
        <f>IF(W653=1,IF(AND(U653&lt;2,INT(V653)&lt;='Batasan Honor'!$B$2),1,0),"")</f>
        <v/>
      </c>
      <c r="O653" s="10" t="str">
        <f t="shared" si="2"/>
        <v/>
      </c>
      <c r="P653" s="10" t="str">
        <f t="shared" si="3"/>
        <v/>
      </c>
      <c r="R653" s="23"/>
      <c r="S653" s="10" t="str">
        <f t="shared" si="4"/>
        <v/>
      </c>
      <c r="U653" s="10" t="str">
        <f ca="1">IFERROR(__xludf.DUMMYFUNCTION("if(W653=1,COUNTIFS(FILTER($H$2:$H905,$H$2:$H905=""OB"",$S$2:$S905=S653),""OB""),"""")"),"")</f>
        <v/>
      </c>
      <c r="V653" s="10" t="str">
        <f ca="1">IFERROR(__xludf.DUMMYFUNCTION("IF(OR(ISNA(SUM(FILTER($K$2:$K905,$A$2:$A905=A653,$S$2:$S905=S653,$H$2:$H905&lt;&gt;""OB""))),W653&lt;&gt;1),"""",SUM(FILTER($K$2:$K905,$A$2:$A905=A653,$S$2:$S905=S653,$H$2:$H905&lt;&gt;""OB"")))"),"")</f>
        <v/>
      </c>
      <c r="W653" s="10" t="str">
        <f t="shared" si="5"/>
        <v/>
      </c>
    </row>
    <row r="654" spans="1:23" ht="12.5">
      <c r="A654" s="23"/>
      <c r="B654" s="5" t="str">
        <f t="array" ref="B654">IF(W654=1,INDEX('Database Mitra'!$H$2:$H905,MATCH(A654,'Database Mitra'!AK$2:AK905,0)),"")</f>
        <v/>
      </c>
      <c r="C654" s="5" t="str">
        <f t="array" ref="C654">IF(W654=1,INDEX('Database Mitra'!$E$2:$E905,MATCH(A654,'Database Mitra'!AK$2:AK905,0)),"")</f>
        <v/>
      </c>
      <c r="D654" s="23"/>
      <c r="E654" s="5" t="str">
        <f t="array" ref="E654">IF(W654=1,INDEX('Input Kegiatan'!B$2:B905,MATCH($D654,'Input Kegiatan'!$A$2:$A905,0)),"")</f>
        <v/>
      </c>
      <c r="F654" s="5" t="str">
        <f t="array" ref="F654">IF(W654=1,INDEX('Input Kegiatan'!D$2:D905,MATCH($D654,'Input Kegiatan'!$A$2:$A905,0)),"")</f>
        <v/>
      </c>
      <c r="G654" s="5" t="str">
        <f t="array" ref="G654">IF(W654=1,INDEX('Input Kegiatan'!E$2:E905,MATCH($D654,'Input Kegiatan'!$A$2:$A905,0)),"")</f>
        <v/>
      </c>
      <c r="H654" s="5" t="str">
        <f t="array" ref="H654">IF(W654=1,INDEX(Honor!$H$2:$H905,MATCH($D654&amp;"-"&amp;R654,Honor!$K$2:$K905,0)),"")</f>
        <v/>
      </c>
      <c r="I654" s="8" t="str">
        <f>IF(W654=1,SUMIFS(Honor!$I$2:$I905,Honor!$K$2:$K905,$D654&amp;"-"&amp;R654),"")</f>
        <v/>
      </c>
      <c r="J654" s="9" t="str">
        <f t="shared" si="6"/>
        <v/>
      </c>
      <c r="K654" s="10" t="str">
        <f t="shared" si="0"/>
        <v/>
      </c>
      <c r="L654" s="10" t="str">
        <f t="shared" si="1"/>
        <v/>
      </c>
      <c r="M654" s="10" t="str">
        <f>IF(W654=1,IF(AND(U654&lt;2,INT(V654)&lt;='Batasan Honor'!$B$2),1,0),"")</f>
        <v/>
      </c>
      <c r="O654" s="10" t="str">
        <f t="shared" si="2"/>
        <v/>
      </c>
      <c r="P654" s="10" t="str">
        <f t="shared" si="3"/>
        <v/>
      </c>
      <c r="R654" s="23"/>
      <c r="S654" s="10" t="str">
        <f t="shared" si="4"/>
        <v/>
      </c>
      <c r="U654" s="10" t="str">
        <f ca="1">IFERROR(__xludf.DUMMYFUNCTION("if(W654=1,COUNTIFS(FILTER($H$2:$H905,$H$2:$H905=""OB"",$S$2:$S905=S654),""OB""),"""")"),"")</f>
        <v/>
      </c>
      <c r="V654" s="10" t="str">
        <f ca="1">IFERROR(__xludf.DUMMYFUNCTION("IF(OR(ISNA(SUM(FILTER($K$2:$K905,$A$2:$A905=A654,$S$2:$S905=S654,$H$2:$H905&lt;&gt;""OB""))),W654&lt;&gt;1),"""",SUM(FILTER($K$2:$K905,$A$2:$A905=A654,$S$2:$S905=S654,$H$2:$H905&lt;&gt;""OB"")))"),"")</f>
        <v/>
      </c>
      <c r="W654" s="10" t="str">
        <f t="shared" si="5"/>
        <v/>
      </c>
    </row>
    <row r="655" spans="1:23" ht="12.5">
      <c r="A655" s="23"/>
      <c r="B655" s="5" t="str">
        <f t="array" ref="B655">IF(W655=1,INDEX('Database Mitra'!$H$2:$H905,MATCH(A655,'Database Mitra'!AK$2:AK905,0)),"")</f>
        <v/>
      </c>
      <c r="C655" s="5" t="str">
        <f t="array" ref="C655">IF(W655=1,INDEX('Database Mitra'!$E$2:$E905,MATCH(A655,'Database Mitra'!AK$2:AK905,0)),"")</f>
        <v/>
      </c>
      <c r="D655" s="23"/>
      <c r="E655" s="5" t="str">
        <f t="array" ref="E655">IF(W655=1,INDEX('Input Kegiatan'!B$2:B905,MATCH($D655,'Input Kegiatan'!$A$2:$A905,0)),"")</f>
        <v/>
      </c>
      <c r="F655" s="5" t="str">
        <f t="array" ref="F655">IF(W655=1,INDEX('Input Kegiatan'!D$2:D905,MATCH($D655,'Input Kegiatan'!$A$2:$A905,0)),"")</f>
        <v/>
      </c>
      <c r="G655" s="5" t="str">
        <f t="array" ref="G655">IF(W655=1,INDEX('Input Kegiatan'!E$2:E905,MATCH($D655,'Input Kegiatan'!$A$2:$A905,0)),"")</f>
        <v/>
      </c>
      <c r="H655" s="5" t="str">
        <f t="array" ref="H655">IF(W655=1,INDEX(Honor!$H$2:$H905,MATCH($D655&amp;"-"&amp;R655,Honor!$K$2:$K905,0)),"")</f>
        <v/>
      </c>
      <c r="I655" s="8" t="str">
        <f>IF(W655=1,SUMIFS(Honor!$I$2:$I905,Honor!$K$2:$K905,$D655&amp;"-"&amp;R655),"")</f>
        <v/>
      </c>
      <c r="J655" s="9" t="str">
        <f t="shared" si="6"/>
        <v/>
      </c>
      <c r="K655" s="10" t="str">
        <f t="shared" si="0"/>
        <v/>
      </c>
      <c r="L655" s="10" t="str">
        <f t="shared" si="1"/>
        <v/>
      </c>
      <c r="M655" s="10" t="str">
        <f>IF(W655=1,IF(AND(U655&lt;2,INT(V655)&lt;='Batasan Honor'!$B$2),1,0),"")</f>
        <v/>
      </c>
      <c r="O655" s="10" t="str">
        <f t="shared" si="2"/>
        <v/>
      </c>
      <c r="P655" s="10" t="str">
        <f t="shared" si="3"/>
        <v/>
      </c>
      <c r="R655" s="23"/>
      <c r="S655" s="10" t="str">
        <f t="shared" si="4"/>
        <v/>
      </c>
      <c r="U655" s="10" t="str">
        <f ca="1">IFERROR(__xludf.DUMMYFUNCTION("if(W655=1,COUNTIFS(FILTER($H$2:$H905,$H$2:$H905=""OB"",$S$2:$S905=S655),""OB""),"""")"),"")</f>
        <v/>
      </c>
      <c r="V655" s="10" t="str">
        <f ca="1">IFERROR(__xludf.DUMMYFUNCTION("IF(OR(ISNA(SUM(FILTER($K$2:$K905,$A$2:$A905=A655,$S$2:$S905=S655,$H$2:$H905&lt;&gt;""OB""))),W655&lt;&gt;1),"""",SUM(FILTER($K$2:$K905,$A$2:$A905=A655,$S$2:$S905=S655,$H$2:$H905&lt;&gt;""OB"")))"),"")</f>
        <v/>
      </c>
      <c r="W655" s="10" t="str">
        <f t="shared" si="5"/>
        <v/>
      </c>
    </row>
    <row r="656" spans="1:23" ht="12.5">
      <c r="A656" s="23"/>
      <c r="B656" s="5" t="str">
        <f t="array" ref="B656">IF(W656=1,INDEX('Database Mitra'!$H$2:$H905,MATCH(A656,'Database Mitra'!AK$2:AK905,0)),"")</f>
        <v/>
      </c>
      <c r="C656" s="5" t="str">
        <f t="array" ref="C656">IF(W656=1,INDEX('Database Mitra'!$E$2:$E905,MATCH(A656,'Database Mitra'!AK$2:AK905,0)),"")</f>
        <v/>
      </c>
      <c r="D656" s="23"/>
      <c r="E656" s="5" t="str">
        <f t="array" ref="E656">IF(W656=1,INDEX('Input Kegiatan'!B$2:B905,MATCH($D656,'Input Kegiatan'!$A$2:$A905,0)),"")</f>
        <v/>
      </c>
      <c r="F656" s="5" t="str">
        <f t="array" ref="F656">IF(W656=1,INDEX('Input Kegiatan'!D$2:D905,MATCH($D656,'Input Kegiatan'!$A$2:$A905,0)),"")</f>
        <v/>
      </c>
      <c r="G656" s="5" t="str">
        <f t="array" ref="G656">IF(W656=1,INDEX('Input Kegiatan'!E$2:E905,MATCH($D656,'Input Kegiatan'!$A$2:$A905,0)),"")</f>
        <v/>
      </c>
      <c r="H656" s="5" t="str">
        <f t="array" ref="H656">IF(W656=1,INDEX(Honor!$H$2:$H905,MATCH($D656&amp;"-"&amp;R656,Honor!$K$2:$K905,0)),"")</f>
        <v/>
      </c>
      <c r="I656" s="8" t="str">
        <f>IF(W656=1,SUMIFS(Honor!$I$2:$I905,Honor!$K$2:$K905,$D656&amp;"-"&amp;R656),"")</f>
        <v/>
      </c>
      <c r="J656" s="9" t="str">
        <f t="shared" si="6"/>
        <v/>
      </c>
      <c r="K656" s="10" t="str">
        <f t="shared" si="0"/>
        <v/>
      </c>
      <c r="L656" s="10" t="str">
        <f t="shared" si="1"/>
        <v/>
      </c>
      <c r="M656" s="10" t="str">
        <f>IF(W656=1,IF(AND(U656&lt;2,INT(V656)&lt;='Batasan Honor'!$B$2),1,0),"")</f>
        <v/>
      </c>
      <c r="O656" s="10" t="str">
        <f t="shared" si="2"/>
        <v/>
      </c>
      <c r="P656" s="10" t="str">
        <f t="shared" si="3"/>
        <v/>
      </c>
      <c r="R656" s="23"/>
      <c r="S656" s="10" t="str">
        <f t="shared" si="4"/>
        <v/>
      </c>
      <c r="U656" s="10" t="str">
        <f ca="1">IFERROR(__xludf.DUMMYFUNCTION("if(W656=1,COUNTIFS(FILTER($H$2:$H905,$H$2:$H905=""OB"",$S$2:$S905=S656),""OB""),"""")"),"")</f>
        <v/>
      </c>
      <c r="V656" s="10" t="str">
        <f ca="1">IFERROR(__xludf.DUMMYFUNCTION("IF(OR(ISNA(SUM(FILTER($K$2:$K905,$A$2:$A905=A656,$S$2:$S905=S656,$H$2:$H905&lt;&gt;""OB""))),W656&lt;&gt;1),"""",SUM(FILTER($K$2:$K905,$A$2:$A905=A656,$S$2:$S905=S656,$H$2:$H905&lt;&gt;""OB"")))"),"")</f>
        <v/>
      </c>
      <c r="W656" s="10" t="str">
        <f t="shared" si="5"/>
        <v/>
      </c>
    </row>
    <row r="657" spans="1:23" ht="12.5">
      <c r="A657" s="23"/>
      <c r="B657" s="5" t="str">
        <f t="array" ref="B657">IF(W657=1,INDEX('Database Mitra'!$H$2:$H905,MATCH(A657,'Database Mitra'!AK$2:AK905,0)),"")</f>
        <v/>
      </c>
      <c r="C657" s="5" t="str">
        <f t="array" ref="C657">IF(W657=1,INDEX('Database Mitra'!$E$2:$E905,MATCH(A657,'Database Mitra'!AK$2:AK905,0)),"")</f>
        <v/>
      </c>
      <c r="D657" s="23"/>
      <c r="E657" s="5" t="str">
        <f t="array" ref="E657">IF(W657=1,INDEX('Input Kegiatan'!B$2:B905,MATCH($D657,'Input Kegiatan'!$A$2:$A905,0)),"")</f>
        <v/>
      </c>
      <c r="F657" s="5" t="str">
        <f t="array" ref="F657">IF(W657=1,INDEX('Input Kegiatan'!D$2:D905,MATCH($D657,'Input Kegiatan'!$A$2:$A905,0)),"")</f>
        <v/>
      </c>
      <c r="G657" s="5" t="str">
        <f t="array" ref="G657">IF(W657=1,INDEX('Input Kegiatan'!E$2:E905,MATCH($D657,'Input Kegiatan'!$A$2:$A905,0)),"")</f>
        <v/>
      </c>
      <c r="H657" s="5" t="str">
        <f t="array" ref="H657">IF(W657=1,INDEX(Honor!$H$2:$H905,MATCH($D657&amp;"-"&amp;R657,Honor!$K$2:$K905,0)),"")</f>
        <v/>
      </c>
      <c r="I657" s="8" t="str">
        <f>IF(W657=1,SUMIFS(Honor!$I$2:$I905,Honor!$K$2:$K905,$D657&amp;"-"&amp;R657),"")</f>
        <v/>
      </c>
      <c r="J657" s="9" t="str">
        <f t="shared" si="6"/>
        <v/>
      </c>
      <c r="K657" s="10" t="str">
        <f t="shared" si="0"/>
        <v/>
      </c>
      <c r="L657" s="10" t="str">
        <f t="shared" si="1"/>
        <v/>
      </c>
      <c r="M657" s="10" t="str">
        <f>IF(W657=1,IF(AND(U657&lt;2,INT(V657)&lt;='Batasan Honor'!$B$2),1,0),"")</f>
        <v/>
      </c>
      <c r="O657" s="10" t="str">
        <f t="shared" si="2"/>
        <v/>
      </c>
      <c r="P657" s="10" t="str">
        <f t="shared" si="3"/>
        <v/>
      </c>
      <c r="R657" s="23"/>
      <c r="S657" s="10" t="str">
        <f t="shared" si="4"/>
        <v/>
      </c>
      <c r="U657" s="10" t="str">
        <f ca="1">IFERROR(__xludf.DUMMYFUNCTION("if(W657=1,COUNTIFS(FILTER($H$2:$H905,$H$2:$H905=""OB"",$S$2:$S905=S657),""OB""),"""")"),"")</f>
        <v/>
      </c>
      <c r="V657" s="10" t="str">
        <f ca="1">IFERROR(__xludf.DUMMYFUNCTION("IF(OR(ISNA(SUM(FILTER($K$2:$K905,$A$2:$A905=A657,$S$2:$S905=S657,$H$2:$H905&lt;&gt;""OB""))),W657&lt;&gt;1),"""",SUM(FILTER($K$2:$K905,$A$2:$A905=A657,$S$2:$S905=S657,$H$2:$H905&lt;&gt;""OB"")))"),"")</f>
        <v/>
      </c>
      <c r="W657" s="10" t="str">
        <f t="shared" si="5"/>
        <v/>
      </c>
    </row>
    <row r="658" spans="1:23" ht="12.5">
      <c r="A658" s="23"/>
      <c r="B658" s="5" t="str">
        <f t="array" ref="B658">IF(W658=1,INDEX('Database Mitra'!$H$2:$H905,MATCH(A658,'Database Mitra'!AK$2:AK905,0)),"")</f>
        <v/>
      </c>
      <c r="C658" s="5" t="str">
        <f t="array" ref="C658">IF(W658=1,INDEX('Database Mitra'!$E$2:$E905,MATCH(A658,'Database Mitra'!AK$2:AK905,0)),"")</f>
        <v/>
      </c>
      <c r="D658" s="23"/>
      <c r="E658" s="5" t="str">
        <f t="array" ref="E658">IF(W658=1,INDEX('Input Kegiatan'!B$2:B905,MATCH($D658,'Input Kegiatan'!$A$2:$A905,0)),"")</f>
        <v/>
      </c>
      <c r="F658" s="5" t="str">
        <f t="array" ref="F658">IF(W658=1,INDEX('Input Kegiatan'!D$2:D905,MATCH($D658,'Input Kegiatan'!$A$2:$A905,0)),"")</f>
        <v/>
      </c>
      <c r="G658" s="5" t="str">
        <f t="array" ref="G658">IF(W658=1,INDEX('Input Kegiatan'!E$2:E905,MATCH($D658,'Input Kegiatan'!$A$2:$A905,0)),"")</f>
        <v/>
      </c>
      <c r="H658" s="5" t="str">
        <f t="array" ref="H658">IF(W658=1,INDEX(Honor!$H$2:$H905,MATCH($D658&amp;"-"&amp;R658,Honor!$K$2:$K905,0)),"")</f>
        <v/>
      </c>
      <c r="I658" s="8" t="str">
        <f>IF(W658=1,SUMIFS(Honor!$I$2:$I905,Honor!$K$2:$K905,$D658&amp;"-"&amp;R658),"")</f>
        <v/>
      </c>
      <c r="J658" s="9" t="str">
        <f t="shared" si="6"/>
        <v/>
      </c>
      <c r="K658" s="10" t="str">
        <f t="shared" si="0"/>
        <v/>
      </c>
      <c r="L658" s="10" t="str">
        <f t="shared" si="1"/>
        <v/>
      </c>
      <c r="M658" s="10" t="str">
        <f>IF(W658=1,IF(AND(U658&lt;2,INT(V658)&lt;='Batasan Honor'!$B$2),1,0),"")</f>
        <v/>
      </c>
      <c r="O658" s="10" t="str">
        <f t="shared" si="2"/>
        <v/>
      </c>
      <c r="P658" s="10" t="str">
        <f t="shared" si="3"/>
        <v/>
      </c>
      <c r="R658" s="23"/>
      <c r="S658" s="10" t="str">
        <f t="shared" si="4"/>
        <v/>
      </c>
      <c r="U658" s="10" t="str">
        <f ca="1">IFERROR(__xludf.DUMMYFUNCTION("if(W658=1,COUNTIFS(FILTER($H$2:$H905,$H$2:$H905=""OB"",$S$2:$S905=S658),""OB""),"""")"),"")</f>
        <v/>
      </c>
      <c r="V658" s="10" t="str">
        <f ca="1">IFERROR(__xludf.DUMMYFUNCTION("IF(OR(ISNA(SUM(FILTER($K$2:$K905,$A$2:$A905=A658,$S$2:$S905=S658,$H$2:$H905&lt;&gt;""OB""))),W658&lt;&gt;1),"""",SUM(FILTER($K$2:$K905,$A$2:$A905=A658,$S$2:$S905=S658,$H$2:$H905&lt;&gt;""OB"")))"),"")</f>
        <v/>
      </c>
      <c r="W658" s="10" t="str">
        <f t="shared" si="5"/>
        <v/>
      </c>
    </row>
    <row r="659" spans="1:23" ht="12.5">
      <c r="A659" s="23"/>
      <c r="B659" s="5" t="str">
        <f t="array" ref="B659">IF(W659=1,INDEX('Database Mitra'!$H$2:$H905,MATCH(A659,'Database Mitra'!AK$2:AK905,0)),"")</f>
        <v/>
      </c>
      <c r="C659" s="5" t="str">
        <f t="array" ref="C659">IF(W659=1,INDEX('Database Mitra'!$E$2:$E905,MATCH(A659,'Database Mitra'!AK$2:AK905,0)),"")</f>
        <v/>
      </c>
      <c r="D659" s="23"/>
      <c r="E659" s="5" t="str">
        <f t="array" ref="E659">IF(W659=1,INDEX('Input Kegiatan'!B$2:B905,MATCH($D659,'Input Kegiatan'!$A$2:$A905,0)),"")</f>
        <v/>
      </c>
      <c r="F659" s="5" t="str">
        <f t="array" ref="F659">IF(W659=1,INDEX('Input Kegiatan'!D$2:D905,MATCH($D659,'Input Kegiatan'!$A$2:$A905,0)),"")</f>
        <v/>
      </c>
      <c r="G659" s="5" t="str">
        <f t="array" ref="G659">IF(W659=1,INDEX('Input Kegiatan'!E$2:E905,MATCH($D659,'Input Kegiatan'!$A$2:$A905,0)),"")</f>
        <v/>
      </c>
      <c r="H659" s="5" t="str">
        <f t="array" ref="H659">IF(W659=1,INDEX(Honor!$H$2:$H905,MATCH($D659&amp;"-"&amp;R659,Honor!$K$2:$K905,0)),"")</f>
        <v/>
      </c>
      <c r="I659" s="8" t="str">
        <f>IF(W659=1,SUMIFS(Honor!$I$2:$I905,Honor!$K$2:$K905,$D659&amp;"-"&amp;R659),"")</f>
        <v/>
      </c>
      <c r="J659" s="9" t="str">
        <f t="shared" si="6"/>
        <v/>
      </c>
      <c r="K659" s="10" t="str">
        <f t="shared" si="0"/>
        <v/>
      </c>
      <c r="L659" s="10" t="str">
        <f t="shared" si="1"/>
        <v/>
      </c>
      <c r="M659" s="10" t="str">
        <f>IF(W659=1,IF(AND(U659&lt;2,INT(V659)&lt;='Batasan Honor'!$B$2),1,0),"")</f>
        <v/>
      </c>
      <c r="O659" s="10" t="str">
        <f t="shared" si="2"/>
        <v/>
      </c>
      <c r="P659" s="10" t="str">
        <f t="shared" si="3"/>
        <v/>
      </c>
      <c r="R659" s="23"/>
      <c r="S659" s="10" t="str">
        <f t="shared" si="4"/>
        <v/>
      </c>
      <c r="U659" s="10" t="str">
        <f ca="1">IFERROR(__xludf.DUMMYFUNCTION("if(W659=1,COUNTIFS(FILTER($H$2:$H905,$H$2:$H905=""OB"",$S$2:$S905=S659),""OB""),"""")"),"")</f>
        <v/>
      </c>
      <c r="V659" s="10" t="str">
        <f ca="1">IFERROR(__xludf.DUMMYFUNCTION("IF(OR(ISNA(SUM(FILTER($K$2:$K905,$A$2:$A905=A659,$S$2:$S905=S659,$H$2:$H905&lt;&gt;""OB""))),W659&lt;&gt;1),"""",SUM(FILTER($K$2:$K905,$A$2:$A905=A659,$S$2:$S905=S659,$H$2:$H905&lt;&gt;""OB"")))"),"")</f>
        <v/>
      </c>
      <c r="W659" s="10" t="str">
        <f t="shared" si="5"/>
        <v/>
      </c>
    </row>
    <row r="660" spans="1:23" ht="12.5">
      <c r="A660" s="23"/>
      <c r="B660" s="5" t="str">
        <f t="array" ref="B660">IF(W660=1,INDEX('Database Mitra'!$H$2:$H905,MATCH(A660,'Database Mitra'!AK$2:AK905,0)),"")</f>
        <v/>
      </c>
      <c r="C660" s="5" t="str">
        <f t="array" ref="C660">IF(W660=1,INDEX('Database Mitra'!$E$2:$E905,MATCH(A660,'Database Mitra'!AK$2:AK905,0)),"")</f>
        <v/>
      </c>
      <c r="D660" s="23"/>
      <c r="E660" s="5" t="str">
        <f t="array" ref="E660">IF(W660=1,INDEX('Input Kegiatan'!B$2:B905,MATCH($D660,'Input Kegiatan'!$A$2:$A905,0)),"")</f>
        <v/>
      </c>
      <c r="F660" s="5" t="str">
        <f t="array" ref="F660">IF(W660=1,INDEX('Input Kegiatan'!D$2:D905,MATCH($D660,'Input Kegiatan'!$A$2:$A905,0)),"")</f>
        <v/>
      </c>
      <c r="G660" s="5" t="str">
        <f t="array" ref="G660">IF(W660=1,INDEX('Input Kegiatan'!E$2:E905,MATCH($D660,'Input Kegiatan'!$A$2:$A905,0)),"")</f>
        <v/>
      </c>
      <c r="H660" s="5" t="str">
        <f t="array" ref="H660">IF(W660=1,INDEX(Honor!$H$2:$H905,MATCH($D660&amp;"-"&amp;R660,Honor!$K$2:$K905,0)),"")</f>
        <v/>
      </c>
      <c r="I660" s="8" t="str">
        <f>IF(W660=1,SUMIFS(Honor!$I$2:$I905,Honor!$K$2:$K905,$D660&amp;"-"&amp;R660),"")</f>
        <v/>
      </c>
      <c r="J660" s="9" t="str">
        <f t="shared" si="6"/>
        <v/>
      </c>
      <c r="K660" s="10" t="str">
        <f t="shared" si="0"/>
        <v/>
      </c>
      <c r="L660" s="10" t="str">
        <f t="shared" si="1"/>
        <v/>
      </c>
      <c r="M660" s="10" t="str">
        <f>IF(W660=1,IF(AND(U660&lt;2,INT(V660)&lt;='Batasan Honor'!$B$2),1,0),"")</f>
        <v/>
      </c>
      <c r="O660" s="10" t="str">
        <f t="shared" si="2"/>
        <v/>
      </c>
      <c r="P660" s="10" t="str">
        <f t="shared" si="3"/>
        <v/>
      </c>
      <c r="R660" s="23"/>
      <c r="S660" s="10" t="str">
        <f t="shared" si="4"/>
        <v/>
      </c>
      <c r="U660" s="10" t="str">
        <f ca="1">IFERROR(__xludf.DUMMYFUNCTION("if(W660=1,COUNTIFS(FILTER($H$2:$H905,$H$2:$H905=""OB"",$S$2:$S905=S660),""OB""),"""")"),"")</f>
        <v/>
      </c>
      <c r="V660" s="10" t="str">
        <f ca="1">IFERROR(__xludf.DUMMYFUNCTION("IF(OR(ISNA(SUM(FILTER($K$2:$K905,$A$2:$A905=A660,$S$2:$S905=S660,$H$2:$H905&lt;&gt;""OB""))),W660&lt;&gt;1),"""",SUM(FILTER($K$2:$K905,$A$2:$A905=A660,$S$2:$S905=S660,$H$2:$H905&lt;&gt;""OB"")))"),"")</f>
        <v/>
      </c>
      <c r="W660" s="10" t="str">
        <f t="shared" si="5"/>
        <v/>
      </c>
    </row>
    <row r="661" spans="1:23" ht="12.5">
      <c r="A661" s="23"/>
      <c r="B661" s="5" t="str">
        <f t="array" ref="B661">IF(W661=1,INDEX('Database Mitra'!$H$2:$H905,MATCH(A661,'Database Mitra'!AK$2:AK905,0)),"")</f>
        <v/>
      </c>
      <c r="C661" s="5" t="str">
        <f t="array" ref="C661">IF(W661=1,INDEX('Database Mitra'!$E$2:$E905,MATCH(A661,'Database Mitra'!AK$2:AK905,0)),"")</f>
        <v/>
      </c>
      <c r="D661" s="23"/>
      <c r="E661" s="5" t="str">
        <f t="array" ref="E661">IF(W661=1,INDEX('Input Kegiatan'!B$2:B905,MATCH($D661,'Input Kegiatan'!$A$2:$A905,0)),"")</f>
        <v/>
      </c>
      <c r="F661" s="5" t="str">
        <f t="array" ref="F661">IF(W661=1,INDEX('Input Kegiatan'!D$2:D905,MATCH($D661,'Input Kegiatan'!$A$2:$A905,0)),"")</f>
        <v/>
      </c>
      <c r="G661" s="5" t="str">
        <f t="array" ref="G661">IF(W661=1,INDEX('Input Kegiatan'!E$2:E905,MATCH($D661,'Input Kegiatan'!$A$2:$A905,0)),"")</f>
        <v/>
      </c>
      <c r="H661" s="5" t="str">
        <f t="array" ref="H661">IF(W661=1,INDEX(Honor!$H$2:$H905,MATCH($D661&amp;"-"&amp;R661,Honor!$K$2:$K905,0)),"")</f>
        <v/>
      </c>
      <c r="I661" s="8" t="str">
        <f>IF(W661=1,SUMIFS(Honor!$I$2:$I905,Honor!$K$2:$K905,$D661&amp;"-"&amp;R661),"")</f>
        <v/>
      </c>
      <c r="J661" s="9" t="str">
        <f t="shared" si="6"/>
        <v/>
      </c>
      <c r="K661" s="10" t="str">
        <f t="shared" si="0"/>
        <v/>
      </c>
      <c r="L661" s="10" t="str">
        <f t="shared" si="1"/>
        <v/>
      </c>
      <c r="M661" s="10" t="str">
        <f>IF(W661=1,IF(AND(U661&lt;2,INT(V661)&lt;='Batasan Honor'!$B$2),1,0),"")</f>
        <v/>
      </c>
      <c r="O661" s="10" t="str">
        <f t="shared" si="2"/>
        <v/>
      </c>
      <c r="P661" s="10" t="str">
        <f t="shared" si="3"/>
        <v/>
      </c>
      <c r="R661" s="23"/>
      <c r="S661" s="10" t="str">
        <f t="shared" si="4"/>
        <v/>
      </c>
      <c r="U661" s="10" t="str">
        <f ca="1">IFERROR(__xludf.DUMMYFUNCTION("if(W661=1,COUNTIFS(FILTER($H$2:$H905,$H$2:$H905=""OB"",$S$2:$S905=S661),""OB""),"""")"),"")</f>
        <v/>
      </c>
      <c r="V661" s="10" t="str">
        <f ca="1">IFERROR(__xludf.DUMMYFUNCTION("IF(OR(ISNA(SUM(FILTER($K$2:$K905,$A$2:$A905=A661,$S$2:$S905=S661,$H$2:$H905&lt;&gt;""OB""))),W661&lt;&gt;1),"""",SUM(FILTER($K$2:$K905,$A$2:$A905=A661,$S$2:$S905=S661,$H$2:$H905&lt;&gt;""OB"")))"),"")</f>
        <v/>
      </c>
      <c r="W661" s="10" t="str">
        <f t="shared" si="5"/>
        <v/>
      </c>
    </row>
    <row r="662" spans="1:23" ht="12.5">
      <c r="A662" s="23"/>
      <c r="B662" s="5" t="str">
        <f t="array" ref="B662">IF(W662=1,INDEX('Database Mitra'!$H$2:$H905,MATCH(A662,'Database Mitra'!AK$2:AK905,0)),"")</f>
        <v/>
      </c>
      <c r="C662" s="5" t="str">
        <f t="array" ref="C662">IF(W662=1,INDEX('Database Mitra'!$E$2:$E905,MATCH(A662,'Database Mitra'!AK$2:AK905,0)),"")</f>
        <v/>
      </c>
      <c r="D662" s="23"/>
      <c r="E662" s="5" t="str">
        <f t="array" ref="E662">IF(W662=1,INDEX('Input Kegiatan'!B$2:B905,MATCH($D662,'Input Kegiatan'!$A$2:$A905,0)),"")</f>
        <v/>
      </c>
      <c r="F662" s="5" t="str">
        <f t="array" ref="F662">IF(W662=1,INDEX('Input Kegiatan'!D$2:D905,MATCH($D662,'Input Kegiatan'!$A$2:$A905,0)),"")</f>
        <v/>
      </c>
      <c r="G662" s="5" t="str">
        <f t="array" ref="G662">IF(W662=1,INDEX('Input Kegiatan'!E$2:E905,MATCH($D662,'Input Kegiatan'!$A$2:$A905,0)),"")</f>
        <v/>
      </c>
      <c r="H662" s="5" t="str">
        <f t="array" ref="H662">IF(W662=1,INDEX(Honor!$H$2:$H905,MATCH($D662&amp;"-"&amp;R662,Honor!$K$2:$K905,0)),"")</f>
        <v/>
      </c>
      <c r="I662" s="8" t="str">
        <f>IF(W662=1,SUMIFS(Honor!$I$2:$I905,Honor!$K$2:$K905,$D662&amp;"-"&amp;R662),"")</f>
        <v/>
      </c>
      <c r="J662" s="9" t="str">
        <f t="shared" si="6"/>
        <v/>
      </c>
      <c r="K662" s="10" t="str">
        <f t="shared" si="0"/>
        <v/>
      </c>
      <c r="L662" s="10" t="str">
        <f t="shared" si="1"/>
        <v/>
      </c>
      <c r="M662" s="10" t="str">
        <f>IF(W662=1,IF(AND(U662&lt;2,INT(V662)&lt;='Batasan Honor'!$B$2),1,0),"")</f>
        <v/>
      </c>
      <c r="O662" s="10" t="str">
        <f t="shared" si="2"/>
        <v/>
      </c>
      <c r="P662" s="10" t="str">
        <f t="shared" si="3"/>
        <v/>
      </c>
      <c r="R662" s="23"/>
      <c r="S662" s="10" t="str">
        <f t="shared" si="4"/>
        <v/>
      </c>
      <c r="U662" s="10" t="str">
        <f ca="1">IFERROR(__xludf.DUMMYFUNCTION("if(W662=1,COUNTIFS(FILTER($H$2:$H905,$H$2:$H905=""OB"",$S$2:$S905=S662),""OB""),"""")"),"")</f>
        <v/>
      </c>
      <c r="V662" s="10" t="str">
        <f ca="1">IFERROR(__xludf.DUMMYFUNCTION("IF(OR(ISNA(SUM(FILTER($K$2:$K905,$A$2:$A905=A662,$S$2:$S905=S662,$H$2:$H905&lt;&gt;""OB""))),W662&lt;&gt;1),"""",SUM(FILTER($K$2:$K905,$A$2:$A905=A662,$S$2:$S905=S662,$H$2:$H905&lt;&gt;""OB"")))"),"")</f>
        <v/>
      </c>
      <c r="W662" s="10" t="str">
        <f t="shared" si="5"/>
        <v/>
      </c>
    </row>
    <row r="663" spans="1:23" ht="12.5">
      <c r="A663" s="23"/>
      <c r="B663" s="5" t="str">
        <f t="array" ref="B663">IF(W663=1,INDEX('Database Mitra'!$H$2:$H905,MATCH(A663,'Database Mitra'!AK$2:AK905,0)),"")</f>
        <v/>
      </c>
      <c r="C663" s="5" t="str">
        <f t="array" ref="C663">IF(W663=1,INDEX('Database Mitra'!$E$2:$E905,MATCH(A663,'Database Mitra'!AK$2:AK905,0)),"")</f>
        <v/>
      </c>
      <c r="D663" s="23"/>
      <c r="E663" s="5" t="str">
        <f t="array" ref="E663">IF(W663=1,INDEX('Input Kegiatan'!B$2:B905,MATCH($D663,'Input Kegiatan'!$A$2:$A905,0)),"")</f>
        <v/>
      </c>
      <c r="F663" s="5" t="str">
        <f t="array" ref="F663">IF(W663=1,INDEX('Input Kegiatan'!D$2:D905,MATCH($D663,'Input Kegiatan'!$A$2:$A905,0)),"")</f>
        <v/>
      </c>
      <c r="G663" s="5" t="str">
        <f t="array" ref="G663">IF(W663=1,INDEX('Input Kegiatan'!E$2:E905,MATCH($D663,'Input Kegiatan'!$A$2:$A905,0)),"")</f>
        <v/>
      </c>
      <c r="H663" s="5" t="str">
        <f t="array" ref="H663">IF(W663=1,INDEX(Honor!$H$2:$H905,MATCH($D663&amp;"-"&amp;R663,Honor!$K$2:$K905,0)),"")</f>
        <v/>
      </c>
      <c r="I663" s="8" t="str">
        <f>IF(W663=1,SUMIFS(Honor!$I$2:$I905,Honor!$K$2:$K905,$D663&amp;"-"&amp;R663),"")</f>
        <v/>
      </c>
      <c r="J663" s="9" t="str">
        <f t="shared" si="6"/>
        <v/>
      </c>
      <c r="K663" s="10" t="str">
        <f t="shared" si="0"/>
        <v/>
      </c>
      <c r="L663" s="10" t="str">
        <f t="shared" si="1"/>
        <v/>
      </c>
      <c r="M663" s="10" t="str">
        <f>IF(W663=1,IF(AND(U663&lt;2,INT(V663)&lt;='Batasan Honor'!$B$2),1,0),"")</f>
        <v/>
      </c>
      <c r="O663" s="10" t="str">
        <f t="shared" si="2"/>
        <v/>
      </c>
      <c r="P663" s="10" t="str">
        <f t="shared" si="3"/>
        <v/>
      </c>
      <c r="R663" s="23"/>
      <c r="S663" s="10" t="str">
        <f t="shared" si="4"/>
        <v/>
      </c>
      <c r="U663" s="10" t="str">
        <f ca="1">IFERROR(__xludf.DUMMYFUNCTION("if(W663=1,COUNTIFS(FILTER($H$2:$H905,$H$2:$H905=""OB"",$S$2:$S905=S663),""OB""),"""")"),"")</f>
        <v/>
      </c>
      <c r="V663" s="10" t="str">
        <f ca="1">IFERROR(__xludf.DUMMYFUNCTION("IF(OR(ISNA(SUM(FILTER($K$2:$K905,$A$2:$A905=A663,$S$2:$S905=S663,$H$2:$H905&lt;&gt;""OB""))),W663&lt;&gt;1),"""",SUM(FILTER($K$2:$K905,$A$2:$A905=A663,$S$2:$S905=S663,$H$2:$H905&lt;&gt;""OB"")))"),"")</f>
        <v/>
      </c>
      <c r="W663" s="10" t="str">
        <f t="shared" si="5"/>
        <v/>
      </c>
    </row>
    <row r="664" spans="1:23" ht="12.5">
      <c r="A664" s="23"/>
      <c r="B664" s="5" t="str">
        <f t="array" ref="B664">IF(W664=1,INDEX('Database Mitra'!$H$2:$H905,MATCH(A664,'Database Mitra'!AK$2:AK905,0)),"")</f>
        <v/>
      </c>
      <c r="C664" s="5" t="str">
        <f t="array" ref="C664">IF(W664=1,INDEX('Database Mitra'!$E$2:$E905,MATCH(A664,'Database Mitra'!AK$2:AK905,0)),"")</f>
        <v/>
      </c>
      <c r="D664" s="23"/>
      <c r="E664" s="5" t="str">
        <f t="array" ref="E664">IF(W664=1,INDEX('Input Kegiatan'!B$2:B905,MATCH($D664,'Input Kegiatan'!$A$2:$A905,0)),"")</f>
        <v/>
      </c>
      <c r="F664" s="5" t="str">
        <f t="array" ref="F664">IF(W664=1,INDEX('Input Kegiatan'!D$2:D905,MATCH($D664,'Input Kegiatan'!$A$2:$A905,0)),"")</f>
        <v/>
      </c>
      <c r="G664" s="5" t="str">
        <f t="array" ref="G664">IF(W664=1,INDEX('Input Kegiatan'!E$2:E905,MATCH($D664,'Input Kegiatan'!$A$2:$A905,0)),"")</f>
        <v/>
      </c>
      <c r="H664" s="5" t="str">
        <f t="array" ref="H664">IF(W664=1,INDEX(Honor!$H$2:$H905,MATCH($D664&amp;"-"&amp;R664,Honor!$K$2:$K905,0)),"")</f>
        <v/>
      </c>
      <c r="I664" s="8" t="str">
        <f>IF(W664=1,SUMIFS(Honor!$I$2:$I905,Honor!$K$2:$K905,$D664&amp;"-"&amp;R664),"")</f>
        <v/>
      </c>
      <c r="J664" s="9" t="str">
        <f t="shared" si="6"/>
        <v/>
      </c>
      <c r="K664" s="10" t="str">
        <f t="shared" si="0"/>
        <v/>
      </c>
      <c r="L664" s="10" t="str">
        <f t="shared" si="1"/>
        <v/>
      </c>
      <c r="M664" s="10" t="str">
        <f>IF(W664=1,IF(AND(U664&lt;2,INT(V664)&lt;='Batasan Honor'!$B$2),1,0),"")</f>
        <v/>
      </c>
      <c r="O664" s="10" t="str">
        <f t="shared" si="2"/>
        <v/>
      </c>
      <c r="P664" s="10" t="str">
        <f t="shared" si="3"/>
        <v/>
      </c>
      <c r="R664" s="23"/>
      <c r="S664" s="10" t="str">
        <f t="shared" si="4"/>
        <v/>
      </c>
      <c r="U664" s="10" t="str">
        <f ca="1">IFERROR(__xludf.DUMMYFUNCTION("if(W664=1,COUNTIFS(FILTER($H$2:$H905,$H$2:$H905=""OB"",$S$2:$S905=S664),""OB""),"""")"),"")</f>
        <v/>
      </c>
      <c r="V664" s="10" t="str">
        <f ca="1">IFERROR(__xludf.DUMMYFUNCTION("IF(OR(ISNA(SUM(FILTER($K$2:$K905,$A$2:$A905=A664,$S$2:$S905=S664,$H$2:$H905&lt;&gt;""OB""))),W664&lt;&gt;1),"""",SUM(FILTER($K$2:$K905,$A$2:$A905=A664,$S$2:$S905=S664,$H$2:$H905&lt;&gt;""OB"")))"),"")</f>
        <v/>
      </c>
      <c r="W664" s="10" t="str">
        <f t="shared" si="5"/>
        <v/>
      </c>
    </row>
    <row r="665" spans="1:23" ht="12.5">
      <c r="A665" s="23"/>
      <c r="B665" s="5" t="str">
        <f t="array" ref="B665">IF(W665=1,INDEX('Database Mitra'!$H$2:$H905,MATCH(A665,'Database Mitra'!AK$2:AK905,0)),"")</f>
        <v/>
      </c>
      <c r="C665" s="5" t="str">
        <f t="array" ref="C665">IF(W665=1,INDEX('Database Mitra'!$E$2:$E905,MATCH(A665,'Database Mitra'!AK$2:AK905,0)),"")</f>
        <v/>
      </c>
      <c r="D665" s="23"/>
      <c r="E665" s="5" t="str">
        <f t="array" ref="E665">IF(W665=1,INDEX('Input Kegiatan'!B$2:B905,MATCH($D665,'Input Kegiatan'!$A$2:$A905,0)),"")</f>
        <v/>
      </c>
      <c r="F665" s="5" t="str">
        <f t="array" ref="F665">IF(W665=1,INDEX('Input Kegiatan'!D$2:D905,MATCH($D665,'Input Kegiatan'!$A$2:$A905,0)),"")</f>
        <v/>
      </c>
      <c r="G665" s="5" t="str">
        <f t="array" ref="G665">IF(W665=1,INDEX('Input Kegiatan'!E$2:E905,MATCH($D665,'Input Kegiatan'!$A$2:$A905,0)),"")</f>
        <v/>
      </c>
      <c r="H665" s="5" t="str">
        <f t="array" ref="H665">IF(W665=1,INDEX(Honor!$H$2:$H905,MATCH($D665&amp;"-"&amp;R665,Honor!$K$2:$K905,0)),"")</f>
        <v/>
      </c>
      <c r="I665" s="8" t="str">
        <f>IF(W665=1,SUMIFS(Honor!$I$2:$I905,Honor!$K$2:$K905,$D665&amp;"-"&amp;R665),"")</f>
        <v/>
      </c>
      <c r="J665" s="9" t="str">
        <f t="shared" si="6"/>
        <v/>
      </c>
      <c r="K665" s="10" t="str">
        <f t="shared" si="0"/>
        <v/>
      </c>
      <c r="L665" s="10" t="str">
        <f t="shared" si="1"/>
        <v/>
      </c>
      <c r="M665" s="10" t="str">
        <f>IF(W665=1,IF(AND(U665&lt;2,INT(V665)&lt;='Batasan Honor'!$B$2),1,0),"")</f>
        <v/>
      </c>
      <c r="O665" s="10" t="str">
        <f t="shared" si="2"/>
        <v/>
      </c>
      <c r="P665" s="10" t="str">
        <f t="shared" si="3"/>
        <v/>
      </c>
      <c r="R665" s="23"/>
      <c r="S665" s="10" t="str">
        <f t="shared" si="4"/>
        <v/>
      </c>
      <c r="U665" s="10" t="str">
        <f ca="1">IFERROR(__xludf.DUMMYFUNCTION("if(W665=1,COUNTIFS(FILTER($H$2:$H905,$H$2:$H905=""OB"",$S$2:$S905=S665),""OB""),"""")"),"")</f>
        <v/>
      </c>
      <c r="V665" s="10" t="str">
        <f ca="1">IFERROR(__xludf.DUMMYFUNCTION("IF(OR(ISNA(SUM(FILTER($K$2:$K905,$A$2:$A905=A665,$S$2:$S905=S665,$H$2:$H905&lt;&gt;""OB""))),W665&lt;&gt;1),"""",SUM(FILTER($K$2:$K905,$A$2:$A905=A665,$S$2:$S905=S665,$H$2:$H905&lt;&gt;""OB"")))"),"")</f>
        <v/>
      </c>
      <c r="W665" s="10" t="str">
        <f t="shared" si="5"/>
        <v/>
      </c>
    </row>
    <row r="666" spans="1:23" ht="12.5">
      <c r="A666" s="23"/>
      <c r="B666" s="5" t="str">
        <f t="array" ref="B666">IF(W666=1,INDEX('Database Mitra'!$H$2:$H905,MATCH(A666,'Database Mitra'!AK$2:AK905,0)),"")</f>
        <v/>
      </c>
      <c r="C666" s="5" t="str">
        <f t="array" ref="C666">IF(W666=1,INDEX('Database Mitra'!$E$2:$E905,MATCH(A666,'Database Mitra'!AK$2:AK905,0)),"")</f>
        <v/>
      </c>
      <c r="D666" s="23"/>
      <c r="E666" s="5" t="str">
        <f t="array" ref="E666">IF(W666=1,INDEX('Input Kegiatan'!B$2:B905,MATCH($D666,'Input Kegiatan'!$A$2:$A905,0)),"")</f>
        <v/>
      </c>
      <c r="F666" s="5" t="str">
        <f t="array" ref="F666">IF(W666=1,INDEX('Input Kegiatan'!D$2:D905,MATCH($D666,'Input Kegiatan'!$A$2:$A905,0)),"")</f>
        <v/>
      </c>
      <c r="G666" s="5" t="str">
        <f t="array" ref="G666">IF(W666=1,INDEX('Input Kegiatan'!E$2:E905,MATCH($D666,'Input Kegiatan'!$A$2:$A905,0)),"")</f>
        <v/>
      </c>
      <c r="H666" s="5" t="str">
        <f t="array" ref="H666">IF(W666=1,INDEX(Honor!$H$2:$H905,MATCH($D666&amp;"-"&amp;R666,Honor!$K$2:$K905,0)),"")</f>
        <v/>
      </c>
      <c r="I666" s="8" t="str">
        <f>IF(W666=1,SUMIFS(Honor!$I$2:$I905,Honor!$K$2:$K905,$D666&amp;"-"&amp;R666),"")</f>
        <v/>
      </c>
      <c r="J666" s="9" t="str">
        <f t="shared" si="6"/>
        <v/>
      </c>
      <c r="K666" s="10" t="str">
        <f t="shared" si="0"/>
        <v/>
      </c>
      <c r="L666" s="10" t="str">
        <f t="shared" si="1"/>
        <v/>
      </c>
      <c r="M666" s="10" t="str">
        <f>IF(W666=1,IF(AND(U666&lt;2,INT(V666)&lt;='Batasan Honor'!$B$2),1,0),"")</f>
        <v/>
      </c>
      <c r="O666" s="10" t="str">
        <f t="shared" si="2"/>
        <v/>
      </c>
      <c r="P666" s="10" t="str">
        <f t="shared" si="3"/>
        <v/>
      </c>
      <c r="R666" s="23"/>
      <c r="S666" s="10" t="str">
        <f t="shared" si="4"/>
        <v/>
      </c>
      <c r="U666" s="10" t="str">
        <f ca="1">IFERROR(__xludf.DUMMYFUNCTION("if(W666=1,COUNTIFS(FILTER($H$2:$H905,$H$2:$H905=""OB"",$S$2:$S905=S666),""OB""),"""")"),"")</f>
        <v/>
      </c>
      <c r="V666" s="10" t="str">
        <f ca="1">IFERROR(__xludf.DUMMYFUNCTION("IF(OR(ISNA(SUM(FILTER($K$2:$K905,$A$2:$A905=A666,$S$2:$S905=S666,$H$2:$H905&lt;&gt;""OB""))),W666&lt;&gt;1),"""",SUM(FILTER($K$2:$K905,$A$2:$A905=A666,$S$2:$S905=S666,$H$2:$H905&lt;&gt;""OB"")))"),"")</f>
        <v/>
      </c>
      <c r="W666" s="10" t="str">
        <f t="shared" si="5"/>
        <v/>
      </c>
    </row>
    <row r="667" spans="1:23" ht="12.5">
      <c r="A667" s="23"/>
      <c r="B667" s="5" t="str">
        <f t="array" ref="B667">IF(W667=1,INDEX('Database Mitra'!$H$2:$H905,MATCH(A667,'Database Mitra'!AK$2:AK905,0)),"")</f>
        <v/>
      </c>
      <c r="C667" s="5" t="str">
        <f t="array" ref="C667">IF(W667=1,INDEX('Database Mitra'!$E$2:$E905,MATCH(A667,'Database Mitra'!AK$2:AK905,0)),"")</f>
        <v/>
      </c>
      <c r="D667" s="23"/>
      <c r="E667" s="5" t="str">
        <f t="array" ref="E667">IF(W667=1,INDEX('Input Kegiatan'!B$2:B905,MATCH($D667,'Input Kegiatan'!$A$2:$A905,0)),"")</f>
        <v/>
      </c>
      <c r="F667" s="5" t="str">
        <f t="array" ref="F667">IF(W667=1,INDEX('Input Kegiatan'!D$2:D905,MATCH($D667,'Input Kegiatan'!$A$2:$A905,0)),"")</f>
        <v/>
      </c>
      <c r="G667" s="5" t="str">
        <f t="array" ref="G667">IF(W667=1,INDEX('Input Kegiatan'!E$2:E905,MATCH($D667,'Input Kegiatan'!$A$2:$A905,0)),"")</f>
        <v/>
      </c>
      <c r="H667" s="5" t="str">
        <f t="array" ref="H667">IF(W667=1,INDEX(Honor!$H$2:$H905,MATCH($D667&amp;"-"&amp;R667,Honor!$K$2:$K905,0)),"")</f>
        <v/>
      </c>
      <c r="I667" s="8" t="str">
        <f>IF(W667=1,SUMIFS(Honor!$I$2:$I905,Honor!$K$2:$K905,$D667&amp;"-"&amp;R667),"")</f>
        <v/>
      </c>
      <c r="J667" s="9" t="str">
        <f t="shared" si="6"/>
        <v/>
      </c>
      <c r="K667" s="10" t="str">
        <f t="shared" si="0"/>
        <v/>
      </c>
      <c r="L667" s="10" t="str">
        <f t="shared" si="1"/>
        <v/>
      </c>
      <c r="M667" s="10" t="str">
        <f>IF(W667=1,IF(AND(U667&lt;2,INT(V667)&lt;='Batasan Honor'!$B$2),1,0),"")</f>
        <v/>
      </c>
      <c r="O667" s="10" t="str">
        <f t="shared" si="2"/>
        <v/>
      </c>
      <c r="P667" s="10" t="str">
        <f t="shared" si="3"/>
        <v/>
      </c>
      <c r="R667" s="23"/>
      <c r="S667" s="10" t="str">
        <f t="shared" si="4"/>
        <v/>
      </c>
      <c r="U667" s="10" t="str">
        <f ca="1">IFERROR(__xludf.DUMMYFUNCTION("if(W667=1,COUNTIFS(FILTER($H$2:$H905,$H$2:$H905=""OB"",$S$2:$S905=S667),""OB""),"""")"),"")</f>
        <v/>
      </c>
      <c r="V667" s="10" t="str">
        <f ca="1">IFERROR(__xludf.DUMMYFUNCTION("IF(OR(ISNA(SUM(FILTER($K$2:$K905,$A$2:$A905=A667,$S$2:$S905=S667,$H$2:$H905&lt;&gt;""OB""))),W667&lt;&gt;1),"""",SUM(FILTER($K$2:$K905,$A$2:$A905=A667,$S$2:$S905=S667,$H$2:$H905&lt;&gt;""OB"")))"),"")</f>
        <v/>
      </c>
      <c r="W667" s="10" t="str">
        <f t="shared" si="5"/>
        <v/>
      </c>
    </row>
    <row r="668" spans="1:23" ht="12.5">
      <c r="A668" s="23"/>
      <c r="B668" s="5" t="str">
        <f t="array" ref="B668">IF(W668=1,INDEX('Database Mitra'!$H$2:$H905,MATCH(A668,'Database Mitra'!AK$2:AK905,0)),"")</f>
        <v/>
      </c>
      <c r="C668" s="5" t="str">
        <f t="array" ref="C668">IF(W668=1,INDEX('Database Mitra'!$E$2:$E905,MATCH(A668,'Database Mitra'!AK$2:AK905,0)),"")</f>
        <v/>
      </c>
      <c r="D668" s="23"/>
      <c r="E668" s="5" t="str">
        <f t="array" ref="E668">IF(W668=1,INDEX('Input Kegiatan'!B$2:B905,MATCH($D668,'Input Kegiatan'!$A$2:$A905,0)),"")</f>
        <v/>
      </c>
      <c r="F668" s="5" t="str">
        <f t="array" ref="F668">IF(W668=1,INDEX('Input Kegiatan'!D$2:D905,MATCH($D668,'Input Kegiatan'!$A$2:$A905,0)),"")</f>
        <v/>
      </c>
      <c r="G668" s="5" t="str">
        <f t="array" ref="G668">IF(W668=1,INDEX('Input Kegiatan'!E$2:E905,MATCH($D668,'Input Kegiatan'!$A$2:$A905,0)),"")</f>
        <v/>
      </c>
      <c r="H668" s="5" t="str">
        <f t="array" ref="H668">IF(W668=1,INDEX(Honor!$H$2:$H905,MATCH($D668&amp;"-"&amp;R668,Honor!$K$2:$K905,0)),"")</f>
        <v/>
      </c>
      <c r="I668" s="8" t="str">
        <f>IF(W668=1,SUMIFS(Honor!$I$2:$I905,Honor!$K$2:$K905,$D668&amp;"-"&amp;R668),"")</f>
        <v/>
      </c>
      <c r="J668" s="9" t="str">
        <f t="shared" si="6"/>
        <v/>
      </c>
      <c r="K668" s="10" t="str">
        <f t="shared" si="0"/>
        <v/>
      </c>
      <c r="L668" s="10" t="str">
        <f t="shared" si="1"/>
        <v/>
      </c>
      <c r="M668" s="10" t="str">
        <f>IF(W668=1,IF(AND(U668&lt;2,INT(V668)&lt;='Batasan Honor'!$B$2),1,0),"")</f>
        <v/>
      </c>
      <c r="O668" s="10" t="str">
        <f t="shared" si="2"/>
        <v/>
      </c>
      <c r="P668" s="10" t="str">
        <f t="shared" si="3"/>
        <v/>
      </c>
      <c r="R668" s="23"/>
      <c r="S668" s="10" t="str">
        <f t="shared" si="4"/>
        <v/>
      </c>
      <c r="U668" s="10" t="str">
        <f ca="1">IFERROR(__xludf.DUMMYFUNCTION("if(W668=1,COUNTIFS(FILTER($H$2:$H905,$H$2:$H905=""OB"",$S$2:$S905=S668),""OB""),"""")"),"")</f>
        <v/>
      </c>
      <c r="V668" s="10" t="str">
        <f ca="1">IFERROR(__xludf.DUMMYFUNCTION("IF(OR(ISNA(SUM(FILTER($K$2:$K905,$A$2:$A905=A668,$S$2:$S905=S668,$H$2:$H905&lt;&gt;""OB""))),W668&lt;&gt;1),"""",SUM(FILTER($K$2:$K905,$A$2:$A905=A668,$S$2:$S905=S668,$H$2:$H905&lt;&gt;""OB"")))"),"")</f>
        <v/>
      </c>
      <c r="W668" s="10" t="str">
        <f t="shared" si="5"/>
        <v/>
      </c>
    </row>
    <row r="669" spans="1:23" ht="12.5">
      <c r="A669" s="23"/>
      <c r="B669" s="5" t="str">
        <f t="array" ref="B669">IF(W669=1,INDEX('Database Mitra'!$H$2:$H905,MATCH(A669,'Database Mitra'!AK$2:AK905,0)),"")</f>
        <v/>
      </c>
      <c r="C669" s="5" t="str">
        <f t="array" ref="C669">IF(W669=1,INDEX('Database Mitra'!$E$2:$E905,MATCH(A669,'Database Mitra'!AK$2:AK905,0)),"")</f>
        <v/>
      </c>
      <c r="D669" s="23"/>
      <c r="E669" s="5" t="str">
        <f t="array" ref="E669">IF(W669=1,INDEX('Input Kegiatan'!B$2:B905,MATCH($D669,'Input Kegiatan'!$A$2:$A905,0)),"")</f>
        <v/>
      </c>
      <c r="F669" s="5" t="str">
        <f t="array" ref="F669">IF(W669=1,INDEX('Input Kegiatan'!D$2:D905,MATCH($D669,'Input Kegiatan'!$A$2:$A905,0)),"")</f>
        <v/>
      </c>
      <c r="G669" s="5" t="str">
        <f t="array" ref="G669">IF(W669=1,INDEX('Input Kegiatan'!E$2:E905,MATCH($D669,'Input Kegiatan'!$A$2:$A905,0)),"")</f>
        <v/>
      </c>
      <c r="H669" s="5" t="str">
        <f t="array" ref="H669">IF(W669=1,INDEX(Honor!$H$2:$H905,MATCH($D669&amp;"-"&amp;R669,Honor!$K$2:$K905,0)),"")</f>
        <v/>
      </c>
      <c r="I669" s="8" t="str">
        <f>IF(W669=1,SUMIFS(Honor!$I$2:$I905,Honor!$K$2:$K905,$D669&amp;"-"&amp;R669),"")</f>
        <v/>
      </c>
      <c r="J669" s="9" t="str">
        <f t="shared" si="6"/>
        <v/>
      </c>
      <c r="K669" s="10" t="str">
        <f t="shared" si="0"/>
        <v/>
      </c>
      <c r="L669" s="10" t="str">
        <f t="shared" si="1"/>
        <v/>
      </c>
      <c r="M669" s="10" t="str">
        <f>IF(W669=1,IF(AND(U669&lt;2,INT(V669)&lt;='Batasan Honor'!$B$2),1,0),"")</f>
        <v/>
      </c>
      <c r="O669" s="10" t="str">
        <f t="shared" si="2"/>
        <v/>
      </c>
      <c r="P669" s="10" t="str">
        <f t="shared" si="3"/>
        <v/>
      </c>
      <c r="R669" s="23"/>
      <c r="S669" s="10" t="str">
        <f t="shared" si="4"/>
        <v/>
      </c>
      <c r="U669" s="10" t="str">
        <f ca="1">IFERROR(__xludf.DUMMYFUNCTION("if(W669=1,COUNTIFS(FILTER($H$2:$H905,$H$2:$H905=""OB"",$S$2:$S905=S669),""OB""),"""")"),"")</f>
        <v/>
      </c>
      <c r="V669" s="10" t="str">
        <f ca="1">IFERROR(__xludf.DUMMYFUNCTION("IF(OR(ISNA(SUM(FILTER($K$2:$K905,$A$2:$A905=A669,$S$2:$S905=S669,$H$2:$H905&lt;&gt;""OB""))),W669&lt;&gt;1),"""",SUM(FILTER($K$2:$K905,$A$2:$A905=A669,$S$2:$S905=S669,$H$2:$H905&lt;&gt;""OB"")))"),"")</f>
        <v/>
      </c>
      <c r="W669" s="10" t="str">
        <f t="shared" si="5"/>
        <v/>
      </c>
    </row>
    <row r="670" spans="1:23" ht="12.5">
      <c r="A670" s="23"/>
      <c r="B670" s="5" t="str">
        <f t="array" ref="B670">IF(W670=1,INDEX('Database Mitra'!$H$2:$H905,MATCH(A670,'Database Mitra'!AK$2:AK905,0)),"")</f>
        <v/>
      </c>
      <c r="C670" s="5" t="str">
        <f t="array" ref="C670">IF(W670=1,INDEX('Database Mitra'!$E$2:$E905,MATCH(A670,'Database Mitra'!AK$2:AK905,0)),"")</f>
        <v/>
      </c>
      <c r="D670" s="23"/>
      <c r="E670" s="5" t="str">
        <f t="array" ref="E670">IF(W670=1,INDEX('Input Kegiatan'!B$2:B905,MATCH($D670,'Input Kegiatan'!$A$2:$A905,0)),"")</f>
        <v/>
      </c>
      <c r="F670" s="5" t="str">
        <f t="array" ref="F670">IF(W670=1,INDEX('Input Kegiatan'!D$2:D905,MATCH($D670,'Input Kegiatan'!$A$2:$A905,0)),"")</f>
        <v/>
      </c>
      <c r="G670" s="5" t="str">
        <f t="array" ref="G670">IF(W670=1,INDEX('Input Kegiatan'!E$2:E905,MATCH($D670,'Input Kegiatan'!$A$2:$A905,0)),"")</f>
        <v/>
      </c>
      <c r="H670" s="5" t="str">
        <f t="array" ref="H670">IF(W670=1,INDEX(Honor!$H$2:$H905,MATCH($D670&amp;"-"&amp;R670,Honor!$K$2:$K905,0)),"")</f>
        <v/>
      </c>
      <c r="I670" s="8" t="str">
        <f>IF(W670=1,SUMIFS(Honor!$I$2:$I905,Honor!$K$2:$K905,$D670&amp;"-"&amp;R670),"")</f>
        <v/>
      </c>
      <c r="J670" s="9" t="str">
        <f t="shared" si="6"/>
        <v/>
      </c>
      <c r="K670" s="10" t="str">
        <f t="shared" si="0"/>
        <v/>
      </c>
      <c r="L670" s="10" t="str">
        <f t="shared" si="1"/>
        <v/>
      </c>
      <c r="M670" s="10" t="str">
        <f>IF(W670=1,IF(AND(U670&lt;2,INT(V670)&lt;='Batasan Honor'!$B$2),1,0),"")</f>
        <v/>
      </c>
      <c r="O670" s="10" t="str">
        <f t="shared" si="2"/>
        <v/>
      </c>
      <c r="P670" s="10" t="str">
        <f t="shared" si="3"/>
        <v/>
      </c>
      <c r="R670" s="23"/>
      <c r="S670" s="10" t="str">
        <f t="shared" si="4"/>
        <v/>
      </c>
      <c r="U670" s="10" t="str">
        <f ca="1">IFERROR(__xludf.DUMMYFUNCTION("if(W670=1,COUNTIFS(FILTER($H$2:$H905,$H$2:$H905=""OB"",$S$2:$S905=S670),""OB""),"""")"),"")</f>
        <v/>
      </c>
      <c r="V670" s="10" t="str">
        <f ca="1">IFERROR(__xludf.DUMMYFUNCTION("IF(OR(ISNA(SUM(FILTER($K$2:$K905,$A$2:$A905=A670,$S$2:$S905=S670,$H$2:$H905&lt;&gt;""OB""))),W670&lt;&gt;1),"""",SUM(FILTER($K$2:$K905,$A$2:$A905=A670,$S$2:$S905=S670,$H$2:$H905&lt;&gt;""OB"")))"),"")</f>
        <v/>
      </c>
      <c r="W670" s="10" t="str">
        <f t="shared" si="5"/>
        <v/>
      </c>
    </row>
    <row r="671" spans="1:23" ht="12.5">
      <c r="A671" s="23"/>
      <c r="B671" s="5" t="str">
        <f t="array" ref="B671">IF(W671=1,INDEX('Database Mitra'!$H$2:$H905,MATCH(A671,'Database Mitra'!AK$2:AK905,0)),"")</f>
        <v/>
      </c>
      <c r="C671" s="5" t="str">
        <f t="array" ref="C671">IF(W671=1,INDEX('Database Mitra'!$E$2:$E905,MATCH(A671,'Database Mitra'!AK$2:AK905,0)),"")</f>
        <v/>
      </c>
      <c r="D671" s="23"/>
      <c r="E671" s="5" t="str">
        <f t="array" ref="E671">IF(W671=1,INDEX('Input Kegiatan'!B$2:B905,MATCH($D671,'Input Kegiatan'!$A$2:$A905,0)),"")</f>
        <v/>
      </c>
      <c r="F671" s="5" t="str">
        <f t="array" ref="F671">IF(W671=1,INDEX('Input Kegiatan'!D$2:D905,MATCH($D671,'Input Kegiatan'!$A$2:$A905,0)),"")</f>
        <v/>
      </c>
      <c r="G671" s="5" t="str">
        <f t="array" ref="G671">IF(W671=1,INDEX('Input Kegiatan'!E$2:E905,MATCH($D671,'Input Kegiatan'!$A$2:$A905,0)),"")</f>
        <v/>
      </c>
      <c r="H671" s="5" t="str">
        <f t="array" ref="H671">IF(W671=1,INDEX(Honor!$H$2:$H905,MATCH($D671&amp;"-"&amp;R671,Honor!$K$2:$K905,0)),"")</f>
        <v/>
      </c>
      <c r="I671" s="8" t="str">
        <f>IF(W671=1,SUMIFS(Honor!$I$2:$I905,Honor!$K$2:$K905,$D671&amp;"-"&amp;R671),"")</f>
        <v/>
      </c>
      <c r="J671" s="9" t="str">
        <f t="shared" si="6"/>
        <v/>
      </c>
      <c r="K671" s="10" t="str">
        <f t="shared" si="0"/>
        <v/>
      </c>
      <c r="L671" s="10" t="str">
        <f t="shared" si="1"/>
        <v/>
      </c>
      <c r="M671" s="10" t="str">
        <f>IF(W671=1,IF(AND(U671&lt;2,INT(V671)&lt;='Batasan Honor'!$B$2),1,0),"")</f>
        <v/>
      </c>
      <c r="O671" s="10" t="str">
        <f t="shared" si="2"/>
        <v/>
      </c>
      <c r="P671" s="10" t="str">
        <f t="shared" si="3"/>
        <v/>
      </c>
      <c r="R671" s="23"/>
      <c r="S671" s="10" t="str">
        <f t="shared" si="4"/>
        <v/>
      </c>
      <c r="U671" s="10" t="str">
        <f ca="1">IFERROR(__xludf.DUMMYFUNCTION("if(W671=1,COUNTIFS(FILTER($H$2:$H905,$H$2:$H905=""OB"",$S$2:$S905=S671),""OB""),"""")"),"")</f>
        <v/>
      </c>
      <c r="V671" s="10" t="str">
        <f ca="1">IFERROR(__xludf.DUMMYFUNCTION("IF(OR(ISNA(SUM(FILTER($K$2:$K905,$A$2:$A905=A671,$S$2:$S905=S671,$H$2:$H905&lt;&gt;""OB""))),W671&lt;&gt;1),"""",SUM(FILTER($K$2:$K905,$A$2:$A905=A671,$S$2:$S905=S671,$H$2:$H905&lt;&gt;""OB"")))"),"")</f>
        <v/>
      </c>
      <c r="W671" s="10" t="str">
        <f t="shared" si="5"/>
        <v/>
      </c>
    </row>
    <row r="672" spans="1:23" ht="12.5">
      <c r="A672" s="23"/>
      <c r="B672" s="5" t="str">
        <f t="array" ref="B672">IF(W672=1,INDEX('Database Mitra'!$H$2:$H905,MATCH(A672,'Database Mitra'!AK$2:AK905,0)),"")</f>
        <v/>
      </c>
      <c r="C672" s="5" t="str">
        <f t="array" ref="C672">IF(W672=1,INDEX('Database Mitra'!$E$2:$E905,MATCH(A672,'Database Mitra'!AK$2:AK905,0)),"")</f>
        <v/>
      </c>
      <c r="D672" s="23"/>
      <c r="E672" s="5" t="str">
        <f t="array" ref="E672">IF(W672=1,INDEX('Input Kegiatan'!B$2:B905,MATCH($D672,'Input Kegiatan'!$A$2:$A905,0)),"")</f>
        <v/>
      </c>
      <c r="F672" s="5" t="str">
        <f t="array" ref="F672">IF(W672=1,INDEX('Input Kegiatan'!D$2:D905,MATCH($D672,'Input Kegiatan'!$A$2:$A905,0)),"")</f>
        <v/>
      </c>
      <c r="G672" s="5" t="str">
        <f t="array" ref="G672">IF(W672=1,INDEX('Input Kegiatan'!E$2:E905,MATCH($D672,'Input Kegiatan'!$A$2:$A905,0)),"")</f>
        <v/>
      </c>
      <c r="H672" s="5" t="str">
        <f t="array" ref="H672">IF(W672=1,INDEX(Honor!$H$2:$H905,MATCH($D672&amp;"-"&amp;R672,Honor!$K$2:$K905,0)),"")</f>
        <v/>
      </c>
      <c r="I672" s="8" t="str">
        <f>IF(W672=1,SUMIFS(Honor!$I$2:$I905,Honor!$K$2:$K905,$D672&amp;"-"&amp;R672),"")</f>
        <v/>
      </c>
      <c r="J672" s="9" t="str">
        <f t="shared" si="6"/>
        <v/>
      </c>
      <c r="K672" s="10" t="str">
        <f t="shared" si="0"/>
        <v/>
      </c>
      <c r="L672" s="10" t="str">
        <f t="shared" si="1"/>
        <v/>
      </c>
      <c r="M672" s="10" t="str">
        <f>IF(W672=1,IF(AND(U672&lt;2,INT(V672)&lt;='Batasan Honor'!$B$2),1,0),"")</f>
        <v/>
      </c>
      <c r="O672" s="10" t="str">
        <f t="shared" si="2"/>
        <v/>
      </c>
      <c r="P672" s="10" t="str">
        <f t="shared" si="3"/>
        <v/>
      </c>
      <c r="R672" s="23"/>
      <c r="S672" s="10" t="str">
        <f t="shared" si="4"/>
        <v/>
      </c>
      <c r="U672" s="10" t="str">
        <f ca="1">IFERROR(__xludf.DUMMYFUNCTION("if(W672=1,COUNTIFS(FILTER($H$2:$H905,$H$2:$H905=""OB"",$S$2:$S905=S672),""OB""),"""")"),"")</f>
        <v/>
      </c>
      <c r="V672" s="10" t="str">
        <f ca="1">IFERROR(__xludf.DUMMYFUNCTION("IF(OR(ISNA(SUM(FILTER($K$2:$K905,$A$2:$A905=A672,$S$2:$S905=S672,$H$2:$H905&lt;&gt;""OB""))),W672&lt;&gt;1),"""",SUM(FILTER($K$2:$K905,$A$2:$A905=A672,$S$2:$S905=S672,$H$2:$H905&lt;&gt;""OB"")))"),"")</f>
        <v/>
      </c>
      <c r="W672" s="10" t="str">
        <f t="shared" si="5"/>
        <v/>
      </c>
    </row>
    <row r="673" spans="1:23" ht="12.5">
      <c r="A673" s="23"/>
      <c r="B673" s="5" t="str">
        <f t="array" ref="B673">IF(W673=1,INDEX('Database Mitra'!$H$2:$H905,MATCH(A673,'Database Mitra'!AK$2:AK905,0)),"")</f>
        <v/>
      </c>
      <c r="C673" s="5" t="str">
        <f t="array" ref="C673">IF(W673=1,INDEX('Database Mitra'!$E$2:$E905,MATCH(A673,'Database Mitra'!AK$2:AK905,0)),"")</f>
        <v/>
      </c>
      <c r="D673" s="23"/>
      <c r="E673" s="5" t="str">
        <f t="array" ref="E673">IF(W673=1,INDEX('Input Kegiatan'!B$2:B905,MATCH($D673,'Input Kegiatan'!$A$2:$A905,0)),"")</f>
        <v/>
      </c>
      <c r="F673" s="5" t="str">
        <f t="array" ref="F673">IF(W673=1,INDEX('Input Kegiatan'!D$2:D905,MATCH($D673,'Input Kegiatan'!$A$2:$A905,0)),"")</f>
        <v/>
      </c>
      <c r="G673" s="5" t="str">
        <f t="array" ref="G673">IF(W673=1,INDEX('Input Kegiatan'!E$2:E905,MATCH($D673,'Input Kegiatan'!$A$2:$A905,0)),"")</f>
        <v/>
      </c>
      <c r="H673" s="5" t="str">
        <f t="array" ref="H673">IF(W673=1,INDEX(Honor!$H$2:$H905,MATCH($D673&amp;"-"&amp;R673,Honor!$K$2:$K905,0)),"")</f>
        <v/>
      </c>
      <c r="I673" s="8" t="str">
        <f>IF(W673=1,SUMIFS(Honor!$I$2:$I905,Honor!$K$2:$K905,$D673&amp;"-"&amp;R673),"")</f>
        <v/>
      </c>
      <c r="J673" s="9" t="str">
        <f t="shared" si="6"/>
        <v/>
      </c>
      <c r="K673" s="10" t="str">
        <f t="shared" si="0"/>
        <v/>
      </c>
      <c r="L673" s="10" t="str">
        <f t="shared" si="1"/>
        <v/>
      </c>
      <c r="M673" s="10" t="str">
        <f>IF(W673=1,IF(AND(U673&lt;2,INT(V673)&lt;='Batasan Honor'!$B$2),1,0),"")</f>
        <v/>
      </c>
      <c r="O673" s="10" t="str">
        <f t="shared" si="2"/>
        <v/>
      </c>
      <c r="P673" s="10" t="str">
        <f t="shared" si="3"/>
        <v/>
      </c>
      <c r="R673" s="23"/>
      <c r="S673" s="10" t="str">
        <f t="shared" si="4"/>
        <v/>
      </c>
      <c r="U673" s="10" t="str">
        <f ca="1">IFERROR(__xludf.DUMMYFUNCTION("if(W673=1,COUNTIFS(FILTER($H$2:$H905,$H$2:$H905=""OB"",$S$2:$S905=S673),""OB""),"""")"),"")</f>
        <v/>
      </c>
      <c r="V673" s="10" t="str">
        <f ca="1">IFERROR(__xludf.DUMMYFUNCTION("IF(OR(ISNA(SUM(FILTER($K$2:$K905,$A$2:$A905=A673,$S$2:$S905=S673,$H$2:$H905&lt;&gt;""OB""))),W673&lt;&gt;1),"""",SUM(FILTER($K$2:$K905,$A$2:$A905=A673,$S$2:$S905=S673,$H$2:$H905&lt;&gt;""OB"")))"),"")</f>
        <v/>
      </c>
      <c r="W673" s="10" t="str">
        <f t="shared" si="5"/>
        <v/>
      </c>
    </row>
    <row r="674" spans="1:23" ht="12.5">
      <c r="A674" s="23"/>
      <c r="B674" s="5" t="str">
        <f t="array" ref="B674">IF(W674=1,INDEX('Database Mitra'!$H$2:$H905,MATCH(A674,'Database Mitra'!AK$2:AK905,0)),"")</f>
        <v/>
      </c>
      <c r="C674" s="5" t="str">
        <f t="array" ref="C674">IF(W674=1,INDEX('Database Mitra'!$E$2:$E905,MATCH(A674,'Database Mitra'!AK$2:AK905,0)),"")</f>
        <v/>
      </c>
      <c r="D674" s="23"/>
      <c r="E674" s="5" t="str">
        <f t="array" ref="E674">IF(W674=1,INDEX('Input Kegiatan'!B$2:B905,MATCH($D674,'Input Kegiatan'!$A$2:$A905,0)),"")</f>
        <v/>
      </c>
      <c r="F674" s="5" t="str">
        <f t="array" ref="F674">IF(W674=1,INDEX('Input Kegiatan'!D$2:D905,MATCH($D674,'Input Kegiatan'!$A$2:$A905,0)),"")</f>
        <v/>
      </c>
      <c r="G674" s="5" t="str">
        <f t="array" ref="G674">IF(W674=1,INDEX('Input Kegiatan'!E$2:E905,MATCH($D674,'Input Kegiatan'!$A$2:$A905,0)),"")</f>
        <v/>
      </c>
      <c r="H674" s="5" t="str">
        <f t="array" ref="H674">IF(W674=1,INDEX(Honor!$H$2:$H905,MATCH($D674&amp;"-"&amp;R674,Honor!$K$2:$K905,0)),"")</f>
        <v/>
      </c>
      <c r="I674" s="8" t="str">
        <f>IF(W674=1,SUMIFS(Honor!$I$2:$I905,Honor!$K$2:$K905,$D674&amp;"-"&amp;R674),"")</f>
        <v/>
      </c>
      <c r="J674" s="9" t="str">
        <f t="shared" si="6"/>
        <v/>
      </c>
      <c r="K674" s="10" t="str">
        <f t="shared" si="0"/>
        <v/>
      </c>
      <c r="L674" s="10" t="str">
        <f t="shared" si="1"/>
        <v/>
      </c>
      <c r="M674" s="10" t="str">
        <f>IF(W674=1,IF(AND(U674&lt;2,INT(V674)&lt;='Batasan Honor'!$B$2),1,0),"")</f>
        <v/>
      </c>
      <c r="O674" s="10" t="str">
        <f t="shared" si="2"/>
        <v/>
      </c>
      <c r="P674" s="10" t="str">
        <f t="shared" si="3"/>
        <v/>
      </c>
      <c r="R674" s="23"/>
      <c r="S674" s="10" t="str">
        <f t="shared" si="4"/>
        <v/>
      </c>
      <c r="U674" s="10" t="str">
        <f ca="1">IFERROR(__xludf.DUMMYFUNCTION("if(W674=1,COUNTIFS(FILTER($H$2:$H905,$H$2:$H905=""OB"",$S$2:$S905=S674),""OB""),"""")"),"")</f>
        <v/>
      </c>
      <c r="V674" s="10" t="str">
        <f ca="1">IFERROR(__xludf.DUMMYFUNCTION("IF(OR(ISNA(SUM(FILTER($K$2:$K905,$A$2:$A905=A674,$S$2:$S905=S674,$H$2:$H905&lt;&gt;""OB""))),W674&lt;&gt;1),"""",SUM(FILTER($K$2:$K905,$A$2:$A905=A674,$S$2:$S905=S674,$H$2:$H905&lt;&gt;""OB"")))"),"")</f>
        <v/>
      </c>
      <c r="W674" s="10" t="str">
        <f t="shared" si="5"/>
        <v/>
      </c>
    </row>
    <row r="675" spans="1:23" ht="12.5">
      <c r="A675" s="23"/>
      <c r="B675" s="5" t="str">
        <f t="array" ref="B675">IF(W675=1,INDEX('Database Mitra'!$H$2:$H905,MATCH(A675,'Database Mitra'!AK$2:AK905,0)),"")</f>
        <v/>
      </c>
      <c r="C675" s="5" t="str">
        <f t="array" ref="C675">IF(W675=1,INDEX('Database Mitra'!$E$2:$E905,MATCH(A675,'Database Mitra'!AK$2:AK905,0)),"")</f>
        <v/>
      </c>
      <c r="D675" s="23"/>
      <c r="E675" s="5" t="str">
        <f t="array" ref="E675">IF(W675=1,INDEX('Input Kegiatan'!B$2:B905,MATCH($D675,'Input Kegiatan'!$A$2:$A905,0)),"")</f>
        <v/>
      </c>
      <c r="F675" s="5" t="str">
        <f t="array" ref="F675">IF(W675=1,INDEX('Input Kegiatan'!D$2:D905,MATCH($D675,'Input Kegiatan'!$A$2:$A905,0)),"")</f>
        <v/>
      </c>
      <c r="G675" s="5" t="str">
        <f t="array" ref="G675">IF(W675=1,INDEX('Input Kegiatan'!E$2:E905,MATCH($D675,'Input Kegiatan'!$A$2:$A905,0)),"")</f>
        <v/>
      </c>
      <c r="H675" s="5" t="str">
        <f t="array" ref="H675">IF(W675=1,INDEX(Honor!$H$2:$H905,MATCH($D675&amp;"-"&amp;R675,Honor!$K$2:$K905,0)),"")</f>
        <v/>
      </c>
      <c r="I675" s="8" t="str">
        <f>IF(W675=1,SUMIFS(Honor!$I$2:$I905,Honor!$K$2:$K905,$D675&amp;"-"&amp;R675),"")</f>
        <v/>
      </c>
      <c r="J675" s="9" t="str">
        <f t="shared" si="6"/>
        <v/>
      </c>
      <c r="K675" s="10" t="str">
        <f t="shared" si="0"/>
        <v/>
      </c>
      <c r="L675" s="10" t="str">
        <f t="shared" si="1"/>
        <v/>
      </c>
      <c r="M675" s="10" t="str">
        <f>IF(W675=1,IF(AND(U675&lt;2,INT(V675)&lt;='Batasan Honor'!$B$2),1,0),"")</f>
        <v/>
      </c>
      <c r="O675" s="10" t="str">
        <f t="shared" si="2"/>
        <v/>
      </c>
      <c r="P675" s="10" t="str">
        <f t="shared" si="3"/>
        <v/>
      </c>
      <c r="R675" s="23"/>
      <c r="S675" s="10" t="str">
        <f t="shared" si="4"/>
        <v/>
      </c>
      <c r="U675" s="10" t="str">
        <f ca="1">IFERROR(__xludf.DUMMYFUNCTION("if(W675=1,COUNTIFS(FILTER($H$2:$H905,$H$2:$H905=""OB"",$S$2:$S905=S675),""OB""),"""")"),"")</f>
        <v/>
      </c>
      <c r="V675" s="10" t="str">
        <f ca="1">IFERROR(__xludf.DUMMYFUNCTION("IF(OR(ISNA(SUM(FILTER($K$2:$K905,$A$2:$A905=A675,$S$2:$S905=S675,$H$2:$H905&lt;&gt;""OB""))),W675&lt;&gt;1),"""",SUM(FILTER($K$2:$K905,$A$2:$A905=A675,$S$2:$S905=S675,$H$2:$H905&lt;&gt;""OB"")))"),"")</f>
        <v/>
      </c>
      <c r="W675" s="10" t="str">
        <f t="shared" si="5"/>
        <v/>
      </c>
    </row>
    <row r="676" spans="1:23" ht="12.5">
      <c r="A676" s="23"/>
      <c r="B676" s="5" t="str">
        <f t="array" ref="B676">IF(W676=1,INDEX('Database Mitra'!$H$2:$H905,MATCH(A676,'Database Mitra'!AK$2:AK905,0)),"")</f>
        <v/>
      </c>
      <c r="C676" s="5" t="str">
        <f t="array" ref="C676">IF(W676=1,INDEX('Database Mitra'!$E$2:$E905,MATCH(A676,'Database Mitra'!AK$2:AK905,0)),"")</f>
        <v/>
      </c>
      <c r="D676" s="23"/>
      <c r="E676" s="5" t="str">
        <f t="array" ref="E676">IF(W676=1,INDEX('Input Kegiatan'!B$2:B905,MATCH($D676,'Input Kegiatan'!$A$2:$A905,0)),"")</f>
        <v/>
      </c>
      <c r="F676" s="5" t="str">
        <f t="array" ref="F676">IF(W676=1,INDEX('Input Kegiatan'!D$2:D905,MATCH($D676,'Input Kegiatan'!$A$2:$A905,0)),"")</f>
        <v/>
      </c>
      <c r="G676" s="5" t="str">
        <f t="array" ref="G676">IF(W676=1,INDEX('Input Kegiatan'!E$2:E905,MATCH($D676,'Input Kegiatan'!$A$2:$A905,0)),"")</f>
        <v/>
      </c>
      <c r="H676" s="5" t="str">
        <f t="array" ref="H676">IF(W676=1,INDEX(Honor!$H$2:$H905,MATCH($D676&amp;"-"&amp;R676,Honor!$K$2:$K905,0)),"")</f>
        <v/>
      </c>
      <c r="I676" s="8" t="str">
        <f>IF(W676=1,SUMIFS(Honor!$I$2:$I905,Honor!$K$2:$K905,$D676&amp;"-"&amp;R676),"")</f>
        <v/>
      </c>
      <c r="J676" s="9" t="str">
        <f t="shared" si="6"/>
        <v/>
      </c>
      <c r="K676" s="10" t="str">
        <f t="shared" si="0"/>
        <v/>
      </c>
      <c r="L676" s="10" t="str">
        <f t="shared" si="1"/>
        <v/>
      </c>
      <c r="M676" s="10" t="str">
        <f>IF(W676=1,IF(AND(U676&lt;2,INT(V676)&lt;='Batasan Honor'!$B$2),1,0),"")</f>
        <v/>
      </c>
      <c r="O676" s="10" t="str">
        <f t="shared" si="2"/>
        <v/>
      </c>
      <c r="P676" s="10" t="str">
        <f t="shared" si="3"/>
        <v/>
      </c>
      <c r="R676" s="23"/>
      <c r="S676" s="10" t="str">
        <f t="shared" si="4"/>
        <v/>
      </c>
      <c r="U676" s="10" t="str">
        <f ca="1">IFERROR(__xludf.DUMMYFUNCTION("if(W676=1,COUNTIFS(FILTER($H$2:$H905,$H$2:$H905=""OB"",$S$2:$S905=S676),""OB""),"""")"),"")</f>
        <v/>
      </c>
      <c r="V676" s="10" t="str">
        <f ca="1">IFERROR(__xludf.DUMMYFUNCTION("IF(OR(ISNA(SUM(FILTER($K$2:$K905,$A$2:$A905=A676,$S$2:$S905=S676,$H$2:$H905&lt;&gt;""OB""))),W676&lt;&gt;1),"""",SUM(FILTER($K$2:$K905,$A$2:$A905=A676,$S$2:$S905=S676,$H$2:$H905&lt;&gt;""OB"")))"),"")</f>
        <v/>
      </c>
      <c r="W676" s="10" t="str">
        <f t="shared" si="5"/>
        <v/>
      </c>
    </row>
    <row r="677" spans="1:23" ht="12.5">
      <c r="A677" s="23"/>
      <c r="B677" s="5" t="str">
        <f t="array" ref="B677">IF(W677=1,INDEX('Database Mitra'!$H$2:$H905,MATCH(A677,'Database Mitra'!AK$2:AK905,0)),"")</f>
        <v/>
      </c>
      <c r="C677" s="5" t="str">
        <f t="array" ref="C677">IF(W677=1,INDEX('Database Mitra'!$E$2:$E905,MATCH(A677,'Database Mitra'!AK$2:AK905,0)),"")</f>
        <v/>
      </c>
      <c r="D677" s="23"/>
      <c r="E677" s="5" t="str">
        <f t="array" ref="E677">IF(W677=1,INDEX('Input Kegiatan'!B$2:B905,MATCH($D677,'Input Kegiatan'!$A$2:$A905,0)),"")</f>
        <v/>
      </c>
      <c r="F677" s="5" t="str">
        <f t="array" ref="F677">IF(W677=1,INDEX('Input Kegiatan'!D$2:D905,MATCH($D677,'Input Kegiatan'!$A$2:$A905,0)),"")</f>
        <v/>
      </c>
      <c r="G677" s="5" t="str">
        <f t="array" ref="G677">IF(W677=1,INDEX('Input Kegiatan'!E$2:E905,MATCH($D677,'Input Kegiatan'!$A$2:$A905,0)),"")</f>
        <v/>
      </c>
      <c r="H677" s="5" t="str">
        <f t="array" ref="H677">IF(W677=1,INDEX(Honor!$H$2:$H905,MATCH($D677&amp;"-"&amp;R677,Honor!$K$2:$K905,0)),"")</f>
        <v/>
      </c>
      <c r="I677" s="8" t="str">
        <f>IF(W677=1,SUMIFS(Honor!$I$2:$I905,Honor!$K$2:$K905,$D677&amp;"-"&amp;R677),"")</f>
        <v/>
      </c>
      <c r="J677" s="9" t="str">
        <f t="shared" si="6"/>
        <v/>
      </c>
      <c r="K677" s="10" t="str">
        <f t="shared" si="0"/>
        <v/>
      </c>
      <c r="L677" s="10" t="str">
        <f t="shared" si="1"/>
        <v/>
      </c>
      <c r="M677" s="10" t="str">
        <f>IF(W677=1,IF(AND(U677&lt;2,INT(V677)&lt;='Batasan Honor'!$B$2),1,0),"")</f>
        <v/>
      </c>
      <c r="O677" s="10" t="str">
        <f t="shared" si="2"/>
        <v/>
      </c>
      <c r="P677" s="10" t="str">
        <f t="shared" si="3"/>
        <v/>
      </c>
      <c r="R677" s="23"/>
      <c r="S677" s="10" t="str">
        <f t="shared" si="4"/>
        <v/>
      </c>
      <c r="U677" s="10" t="str">
        <f ca="1">IFERROR(__xludf.DUMMYFUNCTION("if(W677=1,COUNTIFS(FILTER($H$2:$H905,$H$2:$H905=""OB"",$S$2:$S905=S677),""OB""),"""")"),"")</f>
        <v/>
      </c>
      <c r="V677" s="10" t="str">
        <f ca="1">IFERROR(__xludf.DUMMYFUNCTION("IF(OR(ISNA(SUM(FILTER($K$2:$K905,$A$2:$A905=A677,$S$2:$S905=S677,$H$2:$H905&lt;&gt;""OB""))),W677&lt;&gt;1),"""",SUM(FILTER($K$2:$K905,$A$2:$A905=A677,$S$2:$S905=S677,$H$2:$H905&lt;&gt;""OB"")))"),"")</f>
        <v/>
      </c>
      <c r="W677" s="10" t="str">
        <f t="shared" si="5"/>
        <v/>
      </c>
    </row>
    <row r="678" spans="1:23" ht="12.5">
      <c r="A678" s="23"/>
      <c r="B678" s="5" t="str">
        <f t="array" ref="B678">IF(W678=1,INDEX('Database Mitra'!$H$2:$H905,MATCH(A678,'Database Mitra'!AK$2:AK905,0)),"")</f>
        <v/>
      </c>
      <c r="C678" s="5" t="str">
        <f t="array" ref="C678">IF(W678=1,INDEX('Database Mitra'!$E$2:$E905,MATCH(A678,'Database Mitra'!AK$2:AK905,0)),"")</f>
        <v/>
      </c>
      <c r="D678" s="23"/>
      <c r="E678" s="5" t="str">
        <f t="array" ref="E678">IF(W678=1,INDEX('Input Kegiatan'!B$2:B905,MATCH($D678,'Input Kegiatan'!$A$2:$A905,0)),"")</f>
        <v/>
      </c>
      <c r="F678" s="5" t="str">
        <f t="array" ref="F678">IF(W678=1,INDEX('Input Kegiatan'!D$2:D905,MATCH($D678,'Input Kegiatan'!$A$2:$A905,0)),"")</f>
        <v/>
      </c>
      <c r="G678" s="5" t="str">
        <f t="array" ref="G678">IF(W678=1,INDEX('Input Kegiatan'!E$2:E905,MATCH($D678,'Input Kegiatan'!$A$2:$A905,0)),"")</f>
        <v/>
      </c>
      <c r="H678" s="5" t="str">
        <f t="array" ref="H678">IF(W678=1,INDEX(Honor!$H$2:$H905,MATCH($D678&amp;"-"&amp;R678,Honor!$K$2:$K905,0)),"")</f>
        <v/>
      </c>
      <c r="I678" s="8" t="str">
        <f>IF(W678=1,SUMIFS(Honor!$I$2:$I905,Honor!$K$2:$K905,$D678&amp;"-"&amp;R678),"")</f>
        <v/>
      </c>
      <c r="J678" s="9" t="str">
        <f t="shared" si="6"/>
        <v/>
      </c>
      <c r="K678" s="10" t="str">
        <f t="shared" si="0"/>
        <v/>
      </c>
      <c r="L678" s="10" t="str">
        <f t="shared" si="1"/>
        <v/>
      </c>
      <c r="M678" s="10" t="str">
        <f>IF(W678=1,IF(AND(U678&lt;2,INT(V678)&lt;='Batasan Honor'!$B$2),1,0),"")</f>
        <v/>
      </c>
      <c r="O678" s="10" t="str">
        <f t="shared" si="2"/>
        <v/>
      </c>
      <c r="P678" s="10" t="str">
        <f t="shared" si="3"/>
        <v/>
      </c>
      <c r="R678" s="23"/>
      <c r="S678" s="10" t="str">
        <f t="shared" si="4"/>
        <v/>
      </c>
      <c r="U678" s="10" t="str">
        <f ca="1">IFERROR(__xludf.DUMMYFUNCTION("if(W678=1,COUNTIFS(FILTER($H$2:$H905,$H$2:$H905=""OB"",$S$2:$S905=S678),""OB""),"""")"),"")</f>
        <v/>
      </c>
      <c r="V678" s="10" t="str">
        <f ca="1">IFERROR(__xludf.DUMMYFUNCTION("IF(OR(ISNA(SUM(FILTER($K$2:$K905,$A$2:$A905=A678,$S$2:$S905=S678,$H$2:$H905&lt;&gt;""OB""))),W678&lt;&gt;1),"""",SUM(FILTER($K$2:$K905,$A$2:$A905=A678,$S$2:$S905=S678,$H$2:$H905&lt;&gt;""OB"")))"),"")</f>
        <v/>
      </c>
      <c r="W678" s="10" t="str">
        <f t="shared" si="5"/>
        <v/>
      </c>
    </row>
    <row r="679" spans="1:23" ht="12.5">
      <c r="A679" s="23"/>
      <c r="B679" s="5" t="str">
        <f t="array" ref="B679">IF(W679=1,INDEX('Database Mitra'!$H$2:$H905,MATCH(A679,'Database Mitra'!AK$2:AK905,0)),"")</f>
        <v/>
      </c>
      <c r="C679" s="5" t="str">
        <f t="array" ref="C679">IF(W679=1,INDEX('Database Mitra'!$E$2:$E905,MATCH(A679,'Database Mitra'!AK$2:AK905,0)),"")</f>
        <v/>
      </c>
      <c r="D679" s="23"/>
      <c r="E679" s="5" t="str">
        <f t="array" ref="E679">IF(W679=1,INDEX('Input Kegiatan'!B$2:B905,MATCH($D679,'Input Kegiatan'!$A$2:$A905,0)),"")</f>
        <v/>
      </c>
      <c r="F679" s="5" t="str">
        <f t="array" ref="F679">IF(W679=1,INDEX('Input Kegiatan'!D$2:D905,MATCH($D679,'Input Kegiatan'!$A$2:$A905,0)),"")</f>
        <v/>
      </c>
      <c r="G679" s="5" t="str">
        <f t="array" ref="G679">IF(W679=1,INDEX('Input Kegiatan'!E$2:E905,MATCH($D679,'Input Kegiatan'!$A$2:$A905,0)),"")</f>
        <v/>
      </c>
      <c r="H679" s="5" t="str">
        <f t="array" ref="H679">IF(W679=1,INDEX(Honor!$H$2:$H905,MATCH($D679&amp;"-"&amp;R679,Honor!$K$2:$K905,0)),"")</f>
        <v/>
      </c>
      <c r="I679" s="8" t="str">
        <f>IF(W679=1,SUMIFS(Honor!$I$2:$I905,Honor!$K$2:$K905,$D679&amp;"-"&amp;R679),"")</f>
        <v/>
      </c>
      <c r="J679" s="9" t="str">
        <f t="shared" si="6"/>
        <v/>
      </c>
      <c r="K679" s="10" t="str">
        <f t="shared" si="0"/>
        <v/>
      </c>
      <c r="L679" s="10" t="str">
        <f t="shared" si="1"/>
        <v/>
      </c>
      <c r="M679" s="10" t="str">
        <f>IF(W679=1,IF(AND(U679&lt;2,INT(V679)&lt;='Batasan Honor'!$B$2),1,0),"")</f>
        <v/>
      </c>
      <c r="O679" s="10" t="str">
        <f t="shared" si="2"/>
        <v/>
      </c>
      <c r="P679" s="10" t="str">
        <f t="shared" si="3"/>
        <v/>
      </c>
      <c r="R679" s="23"/>
      <c r="S679" s="10" t="str">
        <f t="shared" si="4"/>
        <v/>
      </c>
      <c r="U679" s="10" t="str">
        <f ca="1">IFERROR(__xludf.DUMMYFUNCTION("if(W679=1,COUNTIFS(FILTER($H$2:$H905,$H$2:$H905=""OB"",$S$2:$S905=S679),""OB""),"""")"),"")</f>
        <v/>
      </c>
      <c r="V679" s="10" t="str">
        <f ca="1">IFERROR(__xludf.DUMMYFUNCTION("IF(OR(ISNA(SUM(FILTER($K$2:$K905,$A$2:$A905=A679,$S$2:$S905=S679,$H$2:$H905&lt;&gt;""OB""))),W679&lt;&gt;1),"""",SUM(FILTER($K$2:$K905,$A$2:$A905=A679,$S$2:$S905=S679,$H$2:$H905&lt;&gt;""OB"")))"),"")</f>
        <v/>
      </c>
      <c r="W679" s="10" t="str">
        <f t="shared" si="5"/>
        <v/>
      </c>
    </row>
    <row r="680" spans="1:23" ht="12.5">
      <c r="A680" s="23"/>
      <c r="B680" s="5" t="str">
        <f t="array" ref="B680">IF(W680=1,INDEX('Database Mitra'!$H$2:$H905,MATCH(A680,'Database Mitra'!AK$2:AK905,0)),"")</f>
        <v/>
      </c>
      <c r="C680" s="5" t="str">
        <f t="array" ref="C680">IF(W680=1,INDEX('Database Mitra'!$E$2:$E905,MATCH(A680,'Database Mitra'!AK$2:AK905,0)),"")</f>
        <v/>
      </c>
      <c r="D680" s="23"/>
      <c r="E680" s="5" t="str">
        <f t="array" ref="E680">IF(W680=1,INDEX('Input Kegiatan'!B$2:B905,MATCH($D680,'Input Kegiatan'!$A$2:$A905,0)),"")</f>
        <v/>
      </c>
      <c r="F680" s="5" t="str">
        <f t="array" ref="F680">IF(W680=1,INDEX('Input Kegiatan'!D$2:D905,MATCH($D680,'Input Kegiatan'!$A$2:$A905,0)),"")</f>
        <v/>
      </c>
      <c r="G680" s="5" t="str">
        <f t="array" ref="G680">IF(W680=1,INDEX('Input Kegiatan'!E$2:E905,MATCH($D680,'Input Kegiatan'!$A$2:$A905,0)),"")</f>
        <v/>
      </c>
      <c r="H680" s="5" t="str">
        <f t="array" ref="H680">IF(W680=1,INDEX(Honor!$H$2:$H905,MATCH($D680&amp;"-"&amp;R680,Honor!$K$2:$K905,0)),"")</f>
        <v/>
      </c>
      <c r="I680" s="8" t="str">
        <f>IF(W680=1,SUMIFS(Honor!$I$2:$I905,Honor!$K$2:$K905,$D680&amp;"-"&amp;R680),"")</f>
        <v/>
      </c>
      <c r="J680" s="9" t="str">
        <f t="shared" si="6"/>
        <v/>
      </c>
      <c r="K680" s="10" t="str">
        <f t="shared" si="0"/>
        <v/>
      </c>
      <c r="L680" s="10" t="str">
        <f t="shared" si="1"/>
        <v/>
      </c>
      <c r="M680" s="10" t="str">
        <f>IF(W680=1,IF(AND(U680&lt;2,INT(V680)&lt;='Batasan Honor'!$B$2),1,0),"")</f>
        <v/>
      </c>
      <c r="O680" s="10" t="str">
        <f t="shared" si="2"/>
        <v/>
      </c>
      <c r="P680" s="10" t="str">
        <f t="shared" si="3"/>
        <v/>
      </c>
      <c r="R680" s="23"/>
      <c r="S680" s="10" t="str">
        <f t="shared" si="4"/>
        <v/>
      </c>
      <c r="U680" s="10" t="str">
        <f ca="1">IFERROR(__xludf.DUMMYFUNCTION("if(W680=1,COUNTIFS(FILTER($H$2:$H905,$H$2:$H905=""OB"",$S$2:$S905=S680),""OB""),"""")"),"")</f>
        <v/>
      </c>
      <c r="V680" s="10" t="str">
        <f ca="1">IFERROR(__xludf.DUMMYFUNCTION("IF(OR(ISNA(SUM(FILTER($K$2:$K905,$A$2:$A905=A680,$S$2:$S905=S680,$H$2:$H905&lt;&gt;""OB""))),W680&lt;&gt;1),"""",SUM(FILTER($K$2:$K905,$A$2:$A905=A680,$S$2:$S905=S680,$H$2:$H905&lt;&gt;""OB"")))"),"")</f>
        <v/>
      </c>
      <c r="W680" s="10" t="str">
        <f t="shared" si="5"/>
        <v/>
      </c>
    </row>
    <row r="681" spans="1:23" ht="12.5">
      <c r="A681" s="23"/>
      <c r="B681" s="5" t="str">
        <f t="array" ref="B681">IF(W681=1,INDEX('Database Mitra'!$H$2:$H905,MATCH(A681,'Database Mitra'!AK$2:AK905,0)),"")</f>
        <v/>
      </c>
      <c r="C681" s="5" t="str">
        <f t="array" ref="C681">IF(W681=1,INDEX('Database Mitra'!$E$2:$E905,MATCH(A681,'Database Mitra'!AK$2:AK905,0)),"")</f>
        <v/>
      </c>
      <c r="D681" s="23"/>
      <c r="E681" s="5" t="str">
        <f t="array" ref="E681">IF(W681=1,INDEX('Input Kegiatan'!B$2:B905,MATCH($D681,'Input Kegiatan'!$A$2:$A905,0)),"")</f>
        <v/>
      </c>
      <c r="F681" s="5" t="str">
        <f t="array" ref="F681">IF(W681=1,INDEX('Input Kegiatan'!D$2:D905,MATCH($D681,'Input Kegiatan'!$A$2:$A905,0)),"")</f>
        <v/>
      </c>
      <c r="G681" s="5" t="str">
        <f t="array" ref="G681">IF(W681=1,INDEX('Input Kegiatan'!E$2:E905,MATCH($D681,'Input Kegiatan'!$A$2:$A905,0)),"")</f>
        <v/>
      </c>
      <c r="H681" s="5" t="str">
        <f t="array" ref="H681">IF(W681=1,INDEX(Honor!$H$2:$H905,MATCH($D681&amp;"-"&amp;R681,Honor!$K$2:$K905,0)),"")</f>
        <v/>
      </c>
      <c r="I681" s="8" t="str">
        <f>IF(W681=1,SUMIFS(Honor!$I$2:$I905,Honor!$K$2:$K905,$D681&amp;"-"&amp;R681),"")</f>
        <v/>
      </c>
      <c r="J681" s="9" t="str">
        <f t="shared" si="6"/>
        <v/>
      </c>
      <c r="K681" s="10" t="str">
        <f t="shared" si="0"/>
        <v/>
      </c>
      <c r="L681" s="10" t="str">
        <f t="shared" si="1"/>
        <v/>
      </c>
      <c r="M681" s="10" t="str">
        <f>IF(W681=1,IF(AND(U681&lt;2,INT(V681)&lt;='Batasan Honor'!$B$2),1,0),"")</f>
        <v/>
      </c>
      <c r="O681" s="10" t="str">
        <f t="shared" si="2"/>
        <v/>
      </c>
      <c r="P681" s="10" t="str">
        <f t="shared" si="3"/>
        <v/>
      </c>
      <c r="R681" s="23"/>
      <c r="S681" s="10" t="str">
        <f t="shared" si="4"/>
        <v/>
      </c>
      <c r="U681" s="10" t="str">
        <f ca="1">IFERROR(__xludf.DUMMYFUNCTION("if(W681=1,COUNTIFS(FILTER($H$2:$H905,$H$2:$H905=""OB"",$S$2:$S905=S681),""OB""),"""")"),"")</f>
        <v/>
      </c>
      <c r="V681" s="10" t="str">
        <f ca="1">IFERROR(__xludf.DUMMYFUNCTION("IF(OR(ISNA(SUM(FILTER($K$2:$K905,$A$2:$A905=A681,$S$2:$S905=S681,$H$2:$H905&lt;&gt;""OB""))),W681&lt;&gt;1),"""",SUM(FILTER($K$2:$K905,$A$2:$A905=A681,$S$2:$S905=S681,$H$2:$H905&lt;&gt;""OB"")))"),"")</f>
        <v/>
      </c>
      <c r="W681" s="10" t="str">
        <f t="shared" si="5"/>
        <v/>
      </c>
    </row>
    <row r="682" spans="1:23" ht="12.5">
      <c r="A682" s="23"/>
      <c r="B682" s="5" t="str">
        <f t="array" ref="B682">IF(W682=1,INDEX('Database Mitra'!$H$2:$H905,MATCH(A682,'Database Mitra'!AK$2:AK905,0)),"")</f>
        <v/>
      </c>
      <c r="C682" s="5" t="str">
        <f t="array" ref="C682">IF(W682=1,INDEX('Database Mitra'!$E$2:$E905,MATCH(A682,'Database Mitra'!AK$2:AK905,0)),"")</f>
        <v/>
      </c>
      <c r="D682" s="23"/>
      <c r="E682" s="5" t="str">
        <f t="array" ref="E682">IF(W682=1,INDEX('Input Kegiatan'!B$2:B905,MATCH($D682,'Input Kegiatan'!$A$2:$A905,0)),"")</f>
        <v/>
      </c>
      <c r="F682" s="5" t="str">
        <f t="array" ref="F682">IF(W682=1,INDEX('Input Kegiatan'!D$2:D905,MATCH($D682,'Input Kegiatan'!$A$2:$A905,0)),"")</f>
        <v/>
      </c>
      <c r="G682" s="5" t="str">
        <f t="array" ref="G682">IF(W682=1,INDEX('Input Kegiatan'!E$2:E905,MATCH($D682,'Input Kegiatan'!$A$2:$A905,0)),"")</f>
        <v/>
      </c>
      <c r="H682" s="5" t="str">
        <f t="array" ref="H682">IF(W682=1,INDEX(Honor!$H$2:$H905,MATCH($D682&amp;"-"&amp;R682,Honor!$K$2:$K905,0)),"")</f>
        <v/>
      </c>
      <c r="I682" s="8" t="str">
        <f>IF(W682=1,SUMIFS(Honor!$I$2:$I905,Honor!$K$2:$K905,$D682&amp;"-"&amp;R682),"")</f>
        <v/>
      </c>
      <c r="J682" s="9" t="str">
        <f t="shared" si="6"/>
        <v/>
      </c>
      <c r="K682" s="10" t="str">
        <f t="shared" si="0"/>
        <v/>
      </c>
      <c r="L682" s="10" t="str">
        <f t="shared" si="1"/>
        <v/>
      </c>
      <c r="M682" s="10" t="str">
        <f>IF(W682=1,IF(AND(U682&lt;2,INT(V682)&lt;='Batasan Honor'!$B$2),1,0),"")</f>
        <v/>
      </c>
      <c r="O682" s="10" t="str">
        <f t="shared" si="2"/>
        <v/>
      </c>
      <c r="P682" s="10" t="str">
        <f t="shared" si="3"/>
        <v/>
      </c>
      <c r="R682" s="23"/>
      <c r="S682" s="10" t="str">
        <f t="shared" si="4"/>
        <v/>
      </c>
      <c r="U682" s="10" t="str">
        <f ca="1">IFERROR(__xludf.DUMMYFUNCTION("if(W682=1,COUNTIFS(FILTER($H$2:$H905,$H$2:$H905=""OB"",$S$2:$S905=S682),""OB""),"""")"),"")</f>
        <v/>
      </c>
      <c r="V682" s="10" t="str">
        <f ca="1">IFERROR(__xludf.DUMMYFUNCTION("IF(OR(ISNA(SUM(FILTER($K$2:$K905,$A$2:$A905=A682,$S$2:$S905=S682,$H$2:$H905&lt;&gt;""OB""))),W682&lt;&gt;1),"""",SUM(FILTER($K$2:$K905,$A$2:$A905=A682,$S$2:$S905=S682,$H$2:$H905&lt;&gt;""OB"")))"),"")</f>
        <v/>
      </c>
      <c r="W682" s="10" t="str">
        <f t="shared" si="5"/>
        <v/>
      </c>
    </row>
    <row r="683" spans="1:23" ht="12.5">
      <c r="A683" s="23"/>
      <c r="B683" s="5" t="str">
        <f t="array" ref="B683">IF(W683=1,INDEX('Database Mitra'!$H$2:$H905,MATCH(A683,'Database Mitra'!AK$2:AK905,0)),"")</f>
        <v/>
      </c>
      <c r="C683" s="5" t="str">
        <f t="array" ref="C683">IF(W683=1,INDEX('Database Mitra'!$E$2:$E905,MATCH(A683,'Database Mitra'!AK$2:AK905,0)),"")</f>
        <v/>
      </c>
      <c r="D683" s="23"/>
      <c r="E683" s="5" t="str">
        <f t="array" ref="E683">IF(W683=1,INDEX('Input Kegiatan'!B$2:B905,MATCH($D683,'Input Kegiatan'!$A$2:$A905,0)),"")</f>
        <v/>
      </c>
      <c r="F683" s="5" t="str">
        <f t="array" ref="F683">IF(W683=1,INDEX('Input Kegiatan'!D$2:D905,MATCH($D683,'Input Kegiatan'!$A$2:$A905,0)),"")</f>
        <v/>
      </c>
      <c r="G683" s="5" t="str">
        <f t="array" ref="G683">IF(W683=1,INDEX('Input Kegiatan'!E$2:E905,MATCH($D683,'Input Kegiatan'!$A$2:$A905,0)),"")</f>
        <v/>
      </c>
      <c r="H683" s="5" t="str">
        <f t="array" ref="H683">IF(W683=1,INDEX(Honor!$H$2:$H905,MATCH($D683&amp;"-"&amp;R683,Honor!$K$2:$K905,0)),"")</f>
        <v/>
      </c>
      <c r="I683" s="8" t="str">
        <f>IF(W683=1,SUMIFS(Honor!$I$2:$I905,Honor!$K$2:$K905,$D683&amp;"-"&amp;R683),"")</f>
        <v/>
      </c>
      <c r="J683" s="9" t="str">
        <f t="shared" si="6"/>
        <v/>
      </c>
      <c r="K683" s="10" t="str">
        <f t="shared" si="0"/>
        <v/>
      </c>
      <c r="L683" s="10" t="str">
        <f t="shared" si="1"/>
        <v/>
      </c>
      <c r="M683" s="10" t="str">
        <f>IF(W683=1,IF(AND(U683&lt;2,INT(V683)&lt;='Batasan Honor'!$B$2),1,0),"")</f>
        <v/>
      </c>
      <c r="O683" s="10" t="str">
        <f t="shared" si="2"/>
        <v/>
      </c>
      <c r="P683" s="10" t="str">
        <f t="shared" si="3"/>
        <v/>
      </c>
      <c r="R683" s="23"/>
      <c r="S683" s="10" t="str">
        <f t="shared" si="4"/>
        <v/>
      </c>
      <c r="U683" s="10" t="str">
        <f ca="1">IFERROR(__xludf.DUMMYFUNCTION("if(W683=1,COUNTIFS(FILTER($H$2:$H905,$H$2:$H905=""OB"",$S$2:$S905=S683),""OB""),"""")"),"")</f>
        <v/>
      </c>
      <c r="V683" s="10" t="str">
        <f ca="1">IFERROR(__xludf.DUMMYFUNCTION("IF(OR(ISNA(SUM(FILTER($K$2:$K905,$A$2:$A905=A683,$S$2:$S905=S683,$H$2:$H905&lt;&gt;""OB""))),W683&lt;&gt;1),"""",SUM(FILTER($K$2:$K905,$A$2:$A905=A683,$S$2:$S905=S683,$H$2:$H905&lt;&gt;""OB"")))"),"")</f>
        <v/>
      </c>
      <c r="W683" s="10" t="str">
        <f t="shared" si="5"/>
        <v/>
      </c>
    </row>
    <row r="684" spans="1:23" ht="12.5">
      <c r="A684" s="23"/>
      <c r="B684" s="5" t="str">
        <f t="array" ref="B684">IF(W684=1,INDEX('Database Mitra'!$H$2:$H905,MATCH(A684,'Database Mitra'!AK$2:AK905,0)),"")</f>
        <v/>
      </c>
      <c r="C684" s="5" t="str">
        <f t="array" ref="C684">IF(W684=1,INDEX('Database Mitra'!$E$2:$E905,MATCH(A684,'Database Mitra'!AK$2:AK905,0)),"")</f>
        <v/>
      </c>
      <c r="D684" s="23"/>
      <c r="E684" s="5" t="str">
        <f t="array" ref="E684">IF(W684=1,INDEX('Input Kegiatan'!B$2:B905,MATCH($D684,'Input Kegiatan'!$A$2:$A905,0)),"")</f>
        <v/>
      </c>
      <c r="F684" s="5" t="str">
        <f t="array" ref="F684">IF(W684=1,INDEX('Input Kegiatan'!D$2:D905,MATCH($D684,'Input Kegiatan'!$A$2:$A905,0)),"")</f>
        <v/>
      </c>
      <c r="G684" s="5" t="str">
        <f t="array" ref="G684">IF(W684=1,INDEX('Input Kegiatan'!E$2:E905,MATCH($D684,'Input Kegiatan'!$A$2:$A905,0)),"")</f>
        <v/>
      </c>
      <c r="H684" s="5" t="str">
        <f t="array" ref="H684">IF(W684=1,INDEX(Honor!$H$2:$H905,MATCH($D684&amp;"-"&amp;R684,Honor!$K$2:$K905,0)),"")</f>
        <v/>
      </c>
      <c r="I684" s="8" t="str">
        <f>IF(W684=1,SUMIFS(Honor!$I$2:$I905,Honor!$K$2:$K905,$D684&amp;"-"&amp;R684),"")</f>
        <v/>
      </c>
      <c r="J684" s="9" t="str">
        <f t="shared" si="6"/>
        <v/>
      </c>
      <c r="K684" s="10" t="str">
        <f t="shared" si="0"/>
        <v/>
      </c>
      <c r="L684" s="10" t="str">
        <f t="shared" si="1"/>
        <v/>
      </c>
      <c r="M684" s="10" t="str">
        <f>IF(W684=1,IF(AND(U684&lt;2,INT(V684)&lt;='Batasan Honor'!$B$2),1,0),"")</f>
        <v/>
      </c>
      <c r="O684" s="10" t="str">
        <f t="shared" si="2"/>
        <v/>
      </c>
      <c r="P684" s="10" t="str">
        <f t="shared" si="3"/>
        <v/>
      </c>
      <c r="R684" s="23"/>
      <c r="S684" s="10" t="str">
        <f t="shared" si="4"/>
        <v/>
      </c>
      <c r="U684" s="10" t="str">
        <f ca="1">IFERROR(__xludf.DUMMYFUNCTION("if(W684=1,COUNTIFS(FILTER($H$2:$H905,$H$2:$H905=""OB"",$S$2:$S905=S684),""OB""),"""")"),"")</f>
        <v/>
      </c>
      <c r="V684" s="10" t="str">
        <f ca="1">IFERROR(__xludf.DUMMYFUNCTION("IF(OR(ISNA(SUM(FILTER($K$2:$K905,$A$2:$A905=A684,$S$2:$S905=S684,$H$2:$H905&lt;&gt;""OB""))),W684&lt;&gt;1),"""",SUM(FILTER($K$2:$K905,$A$2:$A905=A684,$S$2:$S905=S684,$H$2:$H905&lt;&gt;""OB"")))"),"")</f>
        <v/>
      </c>
      <c r="W684" s="10" t="str">
        <f t="shared" si="5"/>
        <v/>
      </c>
    </row>
    <row r="685" spans="1:23" ht="12.5">
      <c r="A685" s="23"/>
      <c r="B685" s="5" t="str">
        <f t="array" ref="B685">IF(W685=1,INDEX('Database Mitra'!$H$2:$H905,MATCH(A685,'Database Mitra'!AK$2:AK905,0)),"")</f>
        <v/>
      </c>
      <c r="C685" s="5" t="str">
        <f t="array" ref="C685">IF(W685=1,INDEX('Database Mitra'!$E$2:$E905,MATCH(A685,'Database Mitra'!AK$2:AK905,0)),"")</f>
        <v/>
      </c>
      <c r="D685" s="23"/>
      <c r="E685" s="5" t="str">
        <f t="array" ref="E685">IF(W685=1,INDEX('Input Kegiatan'!B$2:B905,MATCH($D685,'Input Kegiatan'!$A$2:$A905,0)),"")</f>
        <v/>
      </c>
      <c r="F685" s="5" t="str">
        <f t="array" ref="F685">IF(W685=1,INDEX('Input Kegiatan'!D$2:D905,MATCH($D685,'Input Kegiatan'!$A$2:$A905,0)),"")</f>
        <v/>
      </c>
      <c r="G685" s="5" t="str">
        <f t="array" ref="G685">IF(W685=1,INDEX('Input Kegiatan'!E$2:E905,MATCH($D685,'Input Kegiatan'!$A$2:$A905,0)),"")</f>
        <v/>
      </c>
      <c r="H685" s="5" t="str">
        <f t="array" ref="H685">IF(W685=1,INDEX(Honor!$H$2:$H905,MATCH($D685&amp;"-"&amp;R685,Honor!$K$2:$K905,0)),"")</f>
        <v/>
      </c>
      <c r="I685" s="8" t="str">
        <f>IF(W685=1,SUMIFS(Honor!$I$2:$I905,Honor!$K$2:$K905,$D685&amp;"-"&amp;R685),"")</f>
        <v/>
      </c>
      <c r="J685" s="9" t="str">
        <f t="shared" si="6"/>
        <v/>
      </c>
      <c r="K685" s="10" t="str">
        <f t="shared" si="0"/>
        <v/>
      </c>
      <c r="L685" s="10" t="str">
        <f t="shared" si="1"/>
        <v/>
      </c>
      <c r="M685" s="10" t="str">
        <f>IF(W685=1,IF(AND(U685&lt;2,INT(V685)&lt;='Batasan Honor'!$B$2),1,0),"")</f>
        <v/>
      </c>
      <c r="O685" s="10" t="str">
        <f t="shared" si="2"/>
        <v/>
      </c>
      <c r="P685" s="10" t="str">
        <f t="shared" si="3"/>
        <v/>
      </c>
      <c r="R685" s="23"/>
      <c r="S685" s="10" t="str">
        <f t="shared" si="4"/>
        <v/>
      </c>
      <c r="U685" s="10" t="str">
        <f ca="1">IFERROR(__xludf.DUMMYFUNCTION("if(W685=1,COUNTIFS(FILTER($H$2:$H905,$H$2:$H905=""OB"",$S$2:$S905=S685),""OB""),"""")"),"")</f>
        <v/>
      </c>
      <c r="V685" s="10" t="str">
        <f ca="1">IFERROR(__xludf.DUMMYFUNCTION("IF(OR(ISNA(SUM(FILTER($K$2:$K905,$A$2:$A905=A685,$S$2:$S905=S685,$H$2:$H905&lt;&gt;""OB""))),W685&lt;&gt;1),"""",SUM(FILTER($K$2:$K905,$A$2:$A905=A685,$S$2:$S905=S685,$H$2:$H905&lt;&gt;""OB"")))"),"")</f>
        <v/>
      </c>
      <c r="W685" s="10" t="str">
        <f t="shared" si="5"/>
        <v/>
      </c>
    </row>
    <row r="686" spans="1:23" ht="12.5">
      <c r="A686" s="23"/>
      <c r="B686" s="5" t="str">
        <f t="array" ref="B686">IF(W686=1,INDEX('Database Mitra'!$H$2:$H905,MATCH(A686,'Database Mitra'!AK$2:AK905,0)),"")</f>
        <v/>
      </c>
      <c r="C686" s="5" t="str">
        <f t="array" ref="C686">IF(W686=1,INDEX('Database Mitra'!$E$2:$E905,MATCH(A686,'Database Mitra'!AK$2:AK905,0)),"")</f>
        <v/>
      </c>
      <c r="D686" s="23"/>
      <c r="E686" s="5" t="str">
        <f t="array" ref="E686">IF(W686=1,INDEX('Input Kegiatan'!B$2:B905,MATCH($D686,'Input Kegiatan'!$A$2:$A905,0)),"")</f>
        <v/>
      </c>
      <c r="F686" s="5" t="str">
        <f t="array" ref="F686">IF(W686=1,INDEX('Input Kegiatan'!D$2:D905,MATCH($D686,'Input Kegiatan'!$A$2:$A905,0)),"")</f>
        <v/>
      </c>
      <c r="G686" s="5" t="str">
        <f t="array" ref="G686">IF(W686=1,INDEX('Input Kegiatan'!E$2:E905,MATCH($D686,'Input Kegiatan'!$A$2:$A905,0)),"")</f>
        <v/>
      </c>
      <c r="H686" s="5" t="str">
        <f t="array" ref="H686">IF(W686=1,INDEX(Honor!$H$2:$H905,MATCH($D686&amp;"-"&amp;R686,Honor!$K$2:$K905,0)),"")</f>
        <v/>
      </c>
      <c r="I686" s="8" t="str">
        <f>IF(W686=1,SUMIFS(Honor!$I$2:$I905,Honor!$K$2:$K905,$D686&amp;"-"&amp;R686),"")</f>
        <v/>
      </c>
      <c r="J686" s="9" t="str">
        <f t="shared" si="6"/>
        <v/>
      </c>
      <c r="K686" s="10" t="str">
        <f t="shared" si="0"/>
        <v/>
      </c>
      <c r="L686" s="10" t="str">
        <f t="shared" si="1"/>
        <v/>
      </c>
      <c r="M686" s="10" t="str">
        <f>IF(W686=1,IF(AND(U686&lt;2,INT(V686)&lt;='Batasan Honor'!$B$2),1,0),"")</f>
        <v/>
      </c>
      <c r="O686" s="10" t="str">
        <f t="shared" si="2"/>
        <v/>
      </c>
      <c r="P686" s="10" t="str">
        <f t="shared" si="3"/>
        <v/>
      </c>
      <c r="R686" s="23"/>
      <c r="S686" s="10" t="str">
        <f t="shared" si="4"/>
        <v/>
      </c>
      <c r="U686" s="10" t="str">
        <f ca="1">IFERROR(__xludf.DUMMYFUNCTION("if(W686=1,COUNTIFS(FILTER($H$2:$H905,$H$2:$H905=""OB"",$S$2:$S905=S686),""OB""),"""")"),"")</f>
        <v/>
      </c>
      <c r="V686" s="10" t="str">
        <f ca="1">IFERROR(__xludf.DUMMYFUNCTION("IF(OR(ISNA(SUM(FILTER($K$2:$K905,$A$2:$A905=A686,$S$2:$S905=S686,$H$2:$H905&lt;&gt;""OB""))),W686&lt;&gt;1),"""",SUM(FILTER($K$2:$K905,$A$2:$A905=A686,$S$2:$S905=S686,$H$2:$H905&lt;&gt;""OB"")))"),"")</f>
        <v/>
      </c>
      <c r="W686" s="10" t="str">
        <f t="shared" si="5"/>
        <v/>
      </c>
    </row>
    <row r="687" spans="1:23" ht="12.5">
      <c r="A687" s="23"/>
      <c r="B687" s="5" t="str">
        <f t="array" ref="B687">IF(W687=1,INDEX('Database Mitra'!$H$2:$H905,MATCH(A687,'Database Mitra'!AK$2:AK905,0)),"")</f>
        <v/>
      </c>
      <c r="C687" s="5" t="str">
        <f t="array" ref="C687">IF(W687=1,INDEX('Database Mitra'!$E$2:$E905,MATCH(A687,'Database Mitra'!AK$2:AK905,0)),"")</f>
        <v/>
      </c>
      <c r="D687" s="23"/>
      <c r="E687" s="5" t="str">
        <f t="array" ref="E687">IF(W687=1,INDEX('Input Kegiatan'!B$2:B905,MATCH($D687,'Input Kegiatan'!$A$2:$A905,0)),"")</f>
        <v/>
      </c>
      <c r="F687" s="5" t="str">
        <f t="array" ref="F687">IF(W687=1,INDEX('Input Kegiatan'!D$2:D905,MATCH($D687,'Input Kegiatan'!$A$2:$A905,0)),"")</f>
        <v/>
      </c>
      <c r="G687" s="5" t="str">
        <f t="array" ref="G687">IF(W687=1,INDEX('Input Kegiatan'!E$2:E905,MATCH($D687,'Input Kegiatan'!$A$2:$A905,0)),"")</f>
        <v/>
      </c>
      <c r="H687" s="5" t="str">
        <f t="array" ref="H687">IF(W687=1,INDEX(Honor!$H$2:$H905,MATCH($D687&amp;"-"&amp;R687,Honor!$K$2:$K905,0)),"")</f>
        <v/>
      </c>
      <c r="I687" s="8" t="str">
        <f>IF(W687=1,SUMIFS(Honor!$I$2:$I905,Honor!$K$2:$K905,$D687&amp;"-"&amp;R687),"")</f>
        <v/>
      </c>
      <c r="J687" s="9" t="str">
        <f t="shared" si="6"/>
        <v/>
      </c>
      <c r="K687" s="10" t="str">
        <f t="shared" si="0"/>
        <v/>
      </c>
      <c r="L687" s="10" t="str">
        <f t="shared" si="1"/>
        <v/>
      </c>
      <c r="M687" s="10" t="str">
        <f>IF(W687=1,IF(AND(U687&lt;2,INT(V687)&lt;='Batasan Honor'!$B$2),1,0),"")</f>
        <v/>
      </c>
      <c r="O687" s="10" t="str">
        <f t="shared" si="2"/>
        <v/>
      </c>
      <c r="P687" s="10" t="str">
        <f t="shared" si="3"/>
        <v/>
      </c>
      <c r="R687" s="23"/>
      <c r="S687" s="10" t="str">
        <f t="shared" si="4"/>
        <v/>
      </c>
      <c r="U687" s="10" t="str">
        <f ca="1">IFERROR(__xludf.DUMMYFUNCTION("if(W687=1,COUNTIFS(FILTER($H$2:$H905,$H$2:$H905=""OB"",$S$2:$S905=S687),""OB""),"""")"),"")</f>
        <v/>
      </c>
      <c r="V687" s="10" t="str">
        <f ca="1">IFERROR(__xludf.DUMMYFUNCTION("IF(OR(ISNA(SUM(FILTER($K$2:$K905,$A$2:$A905=A687,$S$2:$S905=S687,$H$2:$H905&lt;&gt;""OB""))),W687&lt;&gt;1),"""",SUM(FILTER($K$2:$K905,$A$2:$A905=A687,$S$2:$S905=S687,$H$2:$H905&lt;&gt;""OB"")))"),"")</f>
        <v/>
      </c>
      <c r="W687" s="10" t="str">
        <f t="shared" si="5"/>
        <v/>
      </c>
    </row>
    <row r="688" spans="1:23" ht="12.5">
      <c r="A688" s="23"/>
      <c r="B688" s="5" t="str">
        <f t="array" ref="B688">IF(W688=1,INDEX('Database Mitra'!$H$2:$H905,MATCH(A688,'Database Mitra'!AK$2:AK905,0)),"")</f>
        <v/>
      </c>
      <c r="C688" s="5" t="str">
        <f t="array" ref="C688">IF(W688=1,INDEX('Database Mitra'!$E$2:$E905,MATCH(A688,'Database Mitra'!AK$2:AK905,0)),"")</f>
        <v/>
      </c>
      <c r="D688" s="23"/>
      <c r="E688" s="5" t="str">
        <f t="array" ref="E688">IF(W688=1,INDEX('Input Kegiatan'!B$2:B905,MATCH($D688,'Input Kegiatan'!$A$2:$A905,0)),"")</f>
        <v/>
      </c>
      <c r="F688" s="5" t="str">
        <f t="array" ref="F688">IF(W688=1,INDEX('Input Kegiatan'!D$2:D905,MATCH($D688,'Input Kegiatan'!$A$2:$A905,0)),"")</f>
        <v/>
      </c>
      <c r="G688" s="5" t="str">
        <f t="array" ref="G688">IF(W688=1,INDEX('Input Kegiatan'!E$2:E905,MATCH($D688,'Input Kegiatan'!$A$2:$A905,0)),"")</f>
        <v/>
      </c>
      <c r="H688" s="5" t="str">
        <f t="array" ref="H688">IF(W688=1,INDEX(Honor!$H$2:$H905,MATCH($D688&amp;"-"&amp;R688,Honor!$K$2:$K905,0)),"")</f>
        <v/>
      </c>
      <c r="I688" s="8" t="str">
        <f>IF(W688=1,SUMIFS(Honor!$I$2:$I905,Honor!$K$2:$K905,$D688&amp;"-"&amp;R688),"")</f>
        <v/>
      </c>
      <c r="J688" s="9" t="str">
        <f t="shared" si="6"/>
        <v/>
      </c>
      <c r="K688" s="10" t="str">
        <f t="shared" si="0"/>
        <v/>
      </c>
      <c r="L688" s="10" t="str">
        <f t="shared" si="1"/>
        <v/>
      </c>
      <c r="M688" s="10" t="str">
        <f>IF(W688=1,IF(AND(U688&lt;2,INT(V688)&lt;='Batasan Honor'!$B$2),1,0),"")</f>
        <v/>
      </c>
      <c r="O688" s="10" t="str">
        <f t="shared" si="2"/>
        <v/>
      </c>
      <c r="P688" s="10" t="str">
        <f t="shared" si="3"/>
        <v/>
      </c>
      <c r="R688" s="23"/>
      <c r="S688" s="10" t="str">
        <f t="shared" si="4"/>
        <v/>
      </c>
      <c r="U688" s="10" t="str">
        <f ca="1">IFERROR(__xludf.DUMMYFUNCTION("if(W688=1,COUNTIFS(FILTER($H$2:$H905,$H$2:$H905=""OB"",$S$2:$S905=S688),""OB""),"""")"),"")</f>
        <v/>
      </c>
      <c r="V688" s="10" t="str">
        <f ca="1">IFERROR(__xludf.DUMMYFUNCTION("IF(OR(ISNA(SUM(FILTER($K$2:$K905,$A$2:$A905=A688,$S$2:$S905=S688,$H$2:$H905&lt;&gt;""OB""))),W688&lt;&gt;1),"""",SUM(FILTER($K$2:$K905,$A$2:$A905=A688,$S$2:$S905=S688,$H$2:$H905&lt;&gt;""OB"")))"),"")</f>
        <v/>
      </c>
      <c r="W688" s="10" t="str">
        <f t="shared" si="5"/>
        <v/>
      </c>
    </row>
    <row r="689" spans="1:23" ht="12.5">
      <c r="A689" s="23"/>
      <c r="B689" s="5" t="str">
        <f t="array" ref="B689">IF(W689=1,INDEX('Database Mitra'!$H$2:$H905,MATCH(A689,'Database Mitra'!AK$2:AK905,0)),"")</f>
        <v/>
      </c>
      <c r="C689" s="5" t="str">
        <f t="array" ref="C689">IF(W689=1,INDEX('Database Mitra'!$E$2:$E905,MATCH(A689,'Database Mitra'!AK$2:AK905,0)),"")</f>
        <v/>
      </c>
      <c r="D689" s="23"/>
      <c r="E689" s="5" t="str">
        <f t="array" ref="E689">IF(W689=1,INDEX('Input Kegiatan'!B$2:B905,MATCH($D689,'Input Kegiatan'!$A$2:$A905,0)),"")</f>
        <v/>
      </c>
      <c r="F689" s="5" t="str">
        <f t="array" ref="F689">IF(W689=1,INDEX('Input Kegiatan'!D$2:D905,MATCH($D689,'Input Kegiatan'!$A$2:$A905,0)),"")</f>
        <v/>
      </c>
      <c r="G689" s="5" t="str">
        <f t="array" ref="G689">IF(W689=1,INDEX('Input Kegiatan'!E$2:E905,MATCH($D689,'Input Kegiatan'!$A$2:$A905,0)),"")</f>
        <v/>
      </c>
      <c r="H689" s="5" t="str">
        <f t="array" ref="H689">IF(W689=1,INDEX(Honor!$H$2:$H905,MATCH($D689&amp;"-"&amp;R689,Honor!$K$2:$K905,0)),"")</f>
        <v/>
      </c>
      <c r="I689" s="8" t="str">
        <f>IF(W689=1,SUMIFS(Honor!$I$2:$I905,Honor!$K$2:$K905,$D689&amp;"-"&amp;R689),"")</f>
        <v/>
      </c>
      <c r="J689" s="9" t="str">
        <f t="shared" si="6"/>
        <v/>
      </c>
      <c r="K689" s="10" t="str">
        <f t="shared" si="0"/>
        <v/>
      </c>
      <c r="L689" s="10" t="str">
        <f t="shared" si="1"/>
        <v/>
      </c>
      <c r="M689" s="10" t="str">
        <f>IF(W689=1,IF(AND(U689&lt;2,INT(V689)&lt;='Batasan Honor'!$B$2),1,0),"")</f>
        <v/>
      </c>
      <c r="O689" s="10" t="str">
        <f t="shared" si="2"/>
        <v/>
      </c>
      <c r="P689" s="10" t="str">
        <f t="shared" si="3"/>
        <v/>
      </c>
      <c r="R689" s="23"/>
      <c r="S689" s="10" t="str">
        <f t="shared" si="4"/>
        <v/>
      </c>
      <c r="U689" s="10" t="str">
        <f ca="1">IFERROR(__xludf.DUMMYFUNCTION("if(W689=1,COUNTIFS(FILTER($H$2:$H905,$H$2:$H905=""OB"",$S$2:$S905=S689),""OB""),"""")"),"")</f>
        <v/>
      </c>
      <c r="V689" s="10" t="str">
        <f ca="1">IFERROR(__xludf.DUMMYFUNCTION("IF(OR(ISNA(SUM(FILTER($K$2:$K905,$A$2:$A905=A689,$S$2:$S905=S689,$H$2:$H905&lt;&gt;""OB""))),W689&lt;&gt;1),"""",SUM(FILTER($K$2:$K905,$A$2:$A905=A689,$S$2:$S905=S689,$H$2:$H905&lt;&gt;""OB"")))"),"")</f>
        <v/>
      </c>
      <c r="W689" s="10" t="str">
        <f t="shared" si="5"/>
        <v/>
      </c>
    </row>
    <row r="690" spans="1:23" ht="12.5">
      <c r="A690" s="23"/>
      <c r="B690" s="5" t="str">
        <f t="array" ref="B690">IF(W690=1,INDEX('Database Mitra'!$H$2:$H905,MATCH(A690,'Database Mitra'!AK$2:AK905,0)),"")</f>
        <v/>
      </c>
      <c r="C690" s="5" t="str">
        <f t="array" ref="C690">IF(W690=1,INDEX('Database Mitra'!$E$2:$E905,MATCH(A690,'Database Mitra'!AK$2:AK905,0)),"")</f>
        <v/>
      </c>
      <c r="D690" s="23"/>
      <c r="E690" s="5" t="str">
        <f t="array" ref="E690">IF(W690=1,INDEX('Input Kegiatan'!B$2:B905,MATCH($D690,'Input Kegiatan'!$A$2:$A905,0)),"")</f>
        <v/>
      </c>
      <c r="F690" s="5" t="str">
        <f t="array" ref="F690">IF(W690=1,INDEX('Input Kegiatan'!D$2:D905,MATCH($D690,'Input Kegiatan'!$A$2:$A905,0)),"")</f>
        <v/>
      </c>
      <c r="G690" s="5" t="str">
        <f t="array" ref="G690">IF(W690=1,INDEX('Input Kegiatan'!E$2:E905,MATCH($D690,'Input Kegiatan'!$A$2:$A905,0)),"")</f>
        <v/>
      </c>
      <c r="H690" s="5" t="str">
        <f t="array" ref="H690">IF(W690=1,INDEX(Honor!$H$2:$H905,MATCH($D690&amp;"-"&amp;R690,Honor!$K$2:$K905,0)),"")</f>
        <v/>
      </c>
      <c r="I690" s="8" t="str">
        <f>IF(W690=1,SUMIFS(Honor!$I$2:$I905,Honor!$K$2:$K905,$D690&amp;"-"&amp;R690),"")</f>
        <v/>
      </c>
      <c r="J690" s="9" t="str">
        <f t="shared" si="6"/>
        <v/>
      </c>
      <c r="K690" s="10" t="str">
        <f t="shared" si="0"/>
        <v/>
      </c>
      <c r="L690" s="10" t="str">
        <f t="shared" si="1"/>
        <v/>
      </c>
      <c r="M690" s="10" t="str">
        <f>IF(W690=1,IF(AND(U690&lt;2,INT(V690)&lt;='Batasan Honor'!$B$2),1,0),"")</f>
        <v/>
      </c>
      <c r="O690" s="10" t="str">
        <f t="shared" si="2"/>
        <v/>
      </c>
      <c r="P690" s="10" t="str">
        <f t="shared" si="3"/>
        <v/>
      </c>
      <c r="R690" s="23"/>
      <c r="S690" s="10" t="str">
        <f t="shared" si="4"/>
        <v/>
      </c>
      <c r="U690" s="10" t="str">
        <f ca="1">IFERROR(__xludf.DUMMYFUNCTION("if(W690=1,COUNTIFS(FILTER($H$2:$H905,$H$2:$H905=""OB"",$S$2:$S905=S690),""OB""),"""")"),"")</f>
        <v/>
      </c>
      <c r="V690" s="10" t="str">
        <f ca="1">IFERROR(__xludf.DUMMYFUNCTION("IF(OR(ISNA(SUM(FILTER($K$2:$K905,$A$2:$A905=A690,$S$2:$S905=S690,$H$2:$H905&lt;&gt;""OB""))),W690&lt;&gt;1),"""",SUM(FILTER($K$2:$K905,$A$2:$A905=A690,$S$2:$S905=S690,$H$2:$H905&lt;&gt;""OB"")))"),"")</f>
        <v/>
      </c>
      <c r="W690" s="10" t="str">
        <f t="shared" si="5"/>
        <v/>
      </c>
    </row>
    <row r="691" spans="1:23" ht="12.5">
      <c r="A691" s="23"/>
      <c r="B691" s="5" t="str">
        <f t="array" ref="B691">IF(W691=1,INDEX('Database Mitra'!$H$2:$H905,MATCH(A691,'Database Mitra'!AK$2:AK905,0)),"")</f>
        <v/>
      </c>
      <c r="C691" s="5" t="str">
        <f t="array" ref="C691">IF(W691=1,INDEX('Database Mitra'!$E$2:$E905,MATCH(A691,'Database Mitra'!AK$2:AK905,0)),"")</f>
        <v/>
      </c>
      <c r="D691" s="23"/>
      <c r="E691" s="5" t="str">
        <f t="array" ref="E691">IF(W691=1,INDEX('Input Kegiatan'!B$2:B905,MATCH($D691,'Input Kegiatan'!$A$2:$A905,0)),"")</f>
        <v/>
      </c>
      <c r="F691" s="5" t="str">
        <f t="array" ref="F691">IF(W691=1,INDEX('Input Kegiatan'!D$2:D905,MATCH($D691,'Input Kegiatan'!$A$2:$A905,0)),"")</f>
        <v/>
      </c>
      <c r="G691" s="5" t="str">
        <f t="array" ref="G691">IF(W691=1,INDEX('Input Kegiatan'!E$2:E905,MATCH($D691,'Input Kegiatan'!$A$2:$A905,0)),"")</f>
        <v/>
      </c>
      <c r="H691" s="5" t="str">
        <f t="array" ref="H691">IF(W691=1,INDEX(Honor!$H$2:$H905,MATCH($D691&amp;"-"&amp;R691,Honor!$K$2:$K905,0)),"")</f>
        <v/>
      </c>
      <c r="I691" s="8" t="str">
        <f>IF(W691=1,SUMIFS(Honor!$I$2:$I905,Honor!$K$2:$K905,$D691&amp;"-"&amp;R691),"")</f>
        <v/>
      </c>
      <c r="J691" s="9" t="str">
        <f t="shared" si="6"/>
        <v/>
      </c>
      <c r="K691" s="10" t="str">
        <f t="shared" si="0"/>
        <v/>
      </c>
      <c r="L691" s="10" t="str">
        <f t="shared" si="1"/>
        <v/>
      </c>
      <c r="M691" s="10" t="str">
        <f>IF(W691=1,IF(AND(U691&lt;2,INT(V691)&lt;='Batasan Honor'!$B$2),1,0),"")</f>
        <v/>
      </c>
      <c r="O691" s="10" t="str">
        <f t="shared" si="2"/>
        <v/>
      </c>
      <c r="P691" s="10" t="str">
        <f t="shared" si="3"/>
        <v/>
      </c>
      <c r="R691" s="23"/>
      <c r="S691" s="10" t="str">
        <f t="shared" si="4"/>
        <v/>
      </c>
      <c r="U691" s="10" t="str">
        <f ca="1">IFERROR(__xludf.DUMMYFUNCTION("if(W691=1,COUNTIFS(FILTER($H$2:$H905,$H$2:$H905=""OB"",$S$2:$S905=S691),""OB""),"""")"),"")</f>
        <v/>
      </c>
      <c r="V691" s="10" t="str">
        <f ca="1">IFERROR(__xludf.DUMMYFUNCTION("IF(OR(ISNA(SUM(FILTER($K$2:$K905,$A$2:$A905=A691,$S$2:$S905=S691,$H$2:$H905&lt;&gt;""OB""))),W691&lt;&gt;1),"""",SUM(FILTER($K$2:$K905,$A$2:$A905=A691,$S$2:$S905=S691,$H$2:$H905&lt;&gt;""OB"")))"),"")</f>
        <v/>
      </c>
      <c r="W691" s="10" t="str">
        <f t="shared" si="5"/>
        <v/>
      </c>
    </row>
    <row r="692" spans="1:23" ht="12.5">
      <c r="A692" s="23"/>
      <c r="B692" s="5" t="str">
        <f t="array" ref="B692">IF(W692=1,INDEX('Database Mitra'!$H$2:$H905,MATCH(A692,'Database Mitra'!AK$2:AK905,0)),"")</f>
        <v/>
      </c>
      <c r="C692" s="5" t="str">
        <f t="array" ref="C692">IF(W692=1,INDEX('Database Mitra'!$E$2:$E905,MATCH(A692,'Database Mitra'!AK$2:AK905,0)),"")</f>
        <v/>
      </c>
      <c r="D692" s="23"/>
      <c r="E692" s="5" t="str">
        <f t="array" ref="E692">IF(W692=1,INDEX('Input Kegiatan'!B$2:B905,MATCH($D692,'Input Kegiatan'!$A$2:$A905,0)),"")</f>
        <v/>
      </c>
      <c r="F692" s="5" t="str">
        <f t="array" ref="F692">IF(W692=1,INDEX('Input Kegiatan'!D$2:D905,MATCH($D692,'Input Kegiatan'!$A$2:$A905,0)),"")</f>
        <v/>
      </c>
      <c r="G692" s="5" t="str">
        <f t="array" ref="G692">IF(W692=1,INDEX('Input Kegiatan'!E$2:E905,MATCH($D692,'Input Kegiatan'!$A$2:$A905,0)),"")</f>
        <v/>
      </c>
      <c r="H692" s="5" t="str">
        <f t="array" ref="H692">IF(W692=1,INDEX(Honor!$H$2:$H905,MATCH($D692&amp;"-"&amp;R692,Honor!$K$2:$K905,0)),"")</f>
        <v/>
      </c>
      <c r="I692" s="8" t="str">
        <f>IF(W692=1,SUMIFS(Honor!$I$2:$I905,Honor!$K$2:$K905,$D692&amp;"-"&amp;R692),"")</f>
        <v/>
      </c>
      <c r="J692" s="9" t="str">
        <f t="shared" si="6"/>
        <v/>
      </c>
      <c r="K692" s="10" t="str">
        <f t="shared" si="0"/>
        <v/>
      </c>
      <c r="L692" s="10" t="str">
        <f t="shared" si="1"/>
        <v/>
      </c>
      <c r="M692" s="10" t="str">
        <f>IF(W692=1,IF(AND(U692&lt;2,INT(V692)&lt;='Batasan Honor'!$B$2),1,0),"")</f>
        <v/>
      </c>
      <c r="O692" s="10" t="str">
        <f t="shared" si="2"/>
        <v/>
      </c>
      <c r="P692" s="10" t="str">
        <f t="shared" si="3"/>
        <v/>
      </c>
      <c r="R692" s="23"/>
      <c r="S692" s="10" t="str">
        <f t="shared" si="4"/>
        <v/>
      </c>
      <c r="U692" s="10" t="str">
        <f ca="1">IFERROR(__xludf.DUMMYFUNCTION("if(W692=1,COUNTIFS(FILTER($H$2:$H905,$H$2:$H905=""OB"",$S$2:$S905=S692),""OB""),"""")"),"")</f>
        <v/>
      </c>
      <c r="V692" s="10" t="str">
        <f ca="1">IFERROR(__xludf.DUMMYFUNCTION("IF(OR(ISNA(SUM(FILTER($K$2:$K905,$A$2:$A905=A692,$S$2:$S905=S692,$H$2:$H905&lt;&gt;""OB""))),W692&lt;&gt;1),"""",SUM(FILTER($K$2:$K905,$A$2:$A905=A692,$S$2:$S905=S692,$H$2:$H905&lt;&gt;""OB"")))"),"")</f>
        <v/>
      </c>
      <c r="W692" s="10" t="str">
        <f t="shared" si="5"/>
        <v/>
      </c>
    </row>
    <row r="693" spans="1:23" ht="12.5">
      <c r="A693" s="23"/>
      <c r="B693" s="5" t="str">
        <f t="array" ref="B693">IF(W693=1,INDEX('Database Mitra'!$H$2:$H905,MATCH(A693,'Database Mitra'!AK$2:AK905,0)),"")</f>
        <v/>
      </c>
      <c r="C693" s="5" t="str">
        <f t="array" ref="C693">IF(W693=1,INDEX('Database Mitra'!$E$2:$E905,MATCH(A693,'Database Mitra'!AK$2:AK905,0)),"")</f>
        <v/>
      </c>
      <c r="D693" s="23"/>
      <c r="E693" s="5" t="str">
        <f t="array" ref="E693">IF(W693=1,INDEX('Input Kegiatan'!B$2:B905,MATCH($D693,'Input Kegiatan'!$A$2:$A905,0)),"")</f>
        <v/>
      </c>
      <c r="F693" s="5" t="str">
        <f t="array" ref="F693">IF(W693=1,INDEX('Input Kegiatan'!D$2:D905,MATCH($D693,'Input Kegiatan'!$A$2:$A905,0)),"")</f>
        <v/>
      </c>
      <c r="G693" s="5" t="str">
        <f t="array" ref="G693">IF(W693=1,INDEX('Input Kegiatan'!E$2:E905,MATCH($D693,'Input Kegiatan'!$A$2:$A905,0)),"")</f>
        <v/>
      </c>
      <c r="H693" s="5" t="str">
        <f t="array" ref="H693">IF(W693=1,INDEX(Honor!$H$2:$H905,MATCH($D693&amp;"-"&amp;R693,Honor!$K$2:$K905,0)),"")</f>
        <v/>
      </c>
      <c r="I693" s="8" t="str">
        <f>IF(W693=1,SUMIFS(Honor!$I$2:$I905,Honor!$K$2:$K905,$D693&amp;"-"&amp;R693),"")</f>
        <v/>
      </c>
      <c r="J693" s="9" t="str">
        <f t="shared" si="6"/>
        <v/>
      </c>
      <c r="K693" s="10" t="str">
        <f t="shared" si="0"/>
        <v/>
      </c>
      <c r="L693" s="10" t="str">
        <f t="shared" si="1"/>
        <v/>
      </c>
      <c r="M693" s="10" t="str">
        <f>IF(W693=1,IF(AND(U693&lt;2,INT(V693)&lt;='Batasan Honor'!$B$2),1,0),"")</f>
        <v/>
      </c>
      <c r="O693" s="10" t="str">
        <f t="shared" si="2"/>
        <v/>
      </c>
      <c r="P693" s="10" t="str">
        <f t="shared" si="3"/>
        <v/>
      </c>
      <c r="R693" s="23"/>
      <c r="S693" s="10" t="str">
        <f t="shared" si="4"/>
        <v/>
      </c>
      <c r="U693" s="10" t="str">
        <f ca="1">IFERROR(__xludf.DUMMYFUNCTION("if(W693=1,COUNTIFS(FILTER($H$2:$H905,$H$2:$H905=""OB"",$S$2:$S905=S693),""OB""),"""")"),"")</f>
        <v/>
      </c>
      <c r="V693" s="10" t="str">
        <f ca="1">IFERROR(__xludf.DUMMYFUNCTION("IF(OR(ISNA(SUM(FILTER($K$2:$K905,$A$2:$A905=A693,$S$2:$S905=S693,$H$2:$H905&lt;&gt;""OB""))),W693&lt;&gt;1),"""",SUM(FILTER($K$2:$K905,$A$2:$A905=A693,$S$2:$S905=S693,$H$2:$H905&lt;&gt;""OB"")))"),"")</f>
        <v/>
      </c>
      <c r="W693" s="10" t="str">
        <f t="shared" si="5"/>
        <v/>
      </c>
    </row>
    <row r="694" spans="1:23" ht="12.5">
      <c r="A694" s="23"/>
      <c r="B694" s="5" t="str">
        <f t="array" ref="B694">IF(W694=1,INDEX('Database Mitra'!$H$2:$H905,MATCH(A694,'Database Mitra'!AK$2:AK905,0)),"")</f>
        <v/>
      </c>
      <c r="C694" s="5" t="str">
        <f t="array" ref="C694">IF(W694=1,INDEX('Database Mitra'!$E$2:$E905,MATCH(A694,'Database Mitra'!AK$2:AK905,0)),"")</f>
        <v/>
      </c>
      <c r="D694" s="23"/>
      <c r="E694" s="5" t="str">
        <f t="array" ref="E694">IF(W694=1,INDEX('Input Kegiatan'!B$2:B905,MATCH($D694,'Input Kegiatan'!$A$2:$A905,0)),"")</f>
        <v/>
      </c>
      <c r="F694" s="5" t="str">
        <f t="array" ref="F694">IF(W694=1,INDEX('Input Kegiatan'!D$2:D905,MATCH($D694,'Input Kegiatan'!$A$2:$A905,0)),"")</f>
        <v/>
      </c>
      <c r="G694" s="5" t="str">
        <f t="array" ref="G694">IF(W694=1,INDEX('Input Kegiatan'!E$2:E905,MATCH($D694,'Input Kegiatan'!$A$2:$A905,0)),"")</f>
        <v/>
      </c>
      <c r="H694" s="5" t="str">
        <f t="array" ref="H694">IF(W694=1,INDEX(Honor!$H$2:$H905,MATCH($D694&amp;"-"&amp;R694,Honor!$K$2:$K905,0)),"")</f>
        <v/>
      </c>
      <c r="I694" s="8" t="str">
        <f>IF(W694=1,SUMIFS(Honor!$I$2:$I905,Honor!$K$2:$K905,$D694&amp;"-"&amp;R694),"")</f>
        <v/>
      </c>
      <c r="J694" s="9" t="str">
        <f t="shared" si="6"/>
        <v/>
      </c>
      <c r="K694" s="10" t="str">
        <f t="shared" si="0"/>
        <v/>
      </c>
      <c r="L694" s="10" t="str">
        <f t="shared" si="1"/>
        <v/>
      </c>
      <c r="M694" s="10" t="str">
        <f>IF(W694=1,IF(AND(U694&lt;2,INT(V694)&lt;='Batasan Honor'!$B$2),1,0),"")</f>
        <v/>
      </c>
      <c r="O694" s="10" t="str">
        <f t="shared" si="2"/>
        <v/>
      </c>
      <c r="P694" s="10" t="str">
        <f t="shared" si="3"/>
        <v/>
      </c>
      <c r="R694" s="23"/>
      <c r="S694" s="10" t="str">
        <f t="shared" si="4"/>
        <v/>
      </c>
      <c r="U694" s="10" t="str">
        <f ca="1">IFERROR(__xludf.DUMMYFUNCTION("if(W694=1,COUNTIFS(FILTER($H$2:$H905,$H$2:$H905=""OB"",$S$2:$S905=S694),""OB""),"""")"),"")</f>
        <v/>
      </c>
      <c r="V694" s="10" t="str">
        <f ca="1">IFERROR(__xludf.DUMMYFUNCTION("IF(OR(ISNA(SUM(FILTER($K$2:$K905,$A$2:$A905=A694,$S$2:$S905=S694,$H$2:$H905&lt;&gt;""OB""))),W694&lt;&gt;1),"""",SUM(FILTER($K$2:$K905,$A$2:$A905=A694,$S$2:$S905=S694,$H$2:$H905&lt;&gt;""OB"")))"),"")</f>
        <v/>
      </c>
      <c r="W694" s="10" t="str">
        <f t="shared" si="5"/>
        <v/>
      </c>
    </row>
    <row r="695" spans="1:23" ht="12.5">
      <c r="A695" s="23"/>
      <c r="B695" s="5" t="str">
        <f t="array" ref="B695">IF(W695=1,INDEX('Database Mitra'!$H$2:$H905,MATCH(A695,'Database Mitra'!AK$2:AK905,0)),"")</f>
        <v/>
      </c>
      <c r="C695" s="5" t="str">
        <f t="array" ref="C695">IF(W695=1,INDEX('Database Mitra'!$E$2:$E905,MATCH(A695,'Database Mitra'!AK$2:AK905,0)),"")</f>
        <v/>
      </c>
      <c r="D695" s="23"/>
      <c r="E695" s="5" t="str">
        <f t="array" ref="E695">IF(W695=1,INDEX('Input Kegiatan'!B$2:B905,MATCH($D695,'Input Kegiatan'!$A$2:$A905,0)),"")</f>
        <v/>
      </c>
      <c r="F695" s="5" t="str">
        <f t="array" ref="F695">IF(W695=1,INDEX('Input Kegiatan'!D$2:D905,MATCH($D695,'Input Kegiatan'!$A$2:$A905,0)),"")</f>
        <v/>
      </c>
      <c r="G695" s="5" t="str">
        <f t="array" ref="G695">IF(W695=1,INDEX('Input Kegiatan'!E$2:E905,MATCH($D695,'Input Kegiatan'!$A$2:$A905,0)),"")</f>
        <v/>
      </c>
      <c r="H695" s="5" t="str">
        <f t="array" ref="H695">IF(W695=1,INDEX(Honor!$H$2:$H905,MATCH($D695&amp;"-"&amp;R695,Honor!$K$2:$K905,0)),"")</f>
        <v/>
      </c>
      <c r="I695" s="8" t="str">
        <f>IF(W695=1,SUMIFS(Honor!$I$2:$I905,Honor!$K$2:$K905,$D695&amp;"-"&amp;R695),"")</f>
        <v/>
      </c>
      <c r="J695" s="9" t="str">
        <f t="shared" si="6"/>
        <v/>
      </c>
      <c r="K695" s="10" t="str">
        <f t="shared" si="0"/>
        <v/>
      </c>
      <c r="L695" s="10" t="str">
        <f t="shared" si="1"/>
        <v/>
      </c>
      <c r="M695" s="10" t="str">
        <f>IF(W695=1,IF(AND(U695&lt;2,INT(V695)&lt;='Batasan Honor'!$B$2),1,0),"")</f>
        <v/>
      </c>
      <c r="O695" s="10" t="str">
        <f t="shared" si="2"/>
        <v/>
      </c>
      <c r="P695" s="10" t="str">
        <f t="shared" si="3"/>
        <v/>
      </c>
      <c r="R695" s="23"/>
      <c r="S695" s="10" t="str">
        <f t="shared" si="4"/>
        <v/>
      </c>
      <c r="U695" s="10" t="str">
        <f ca="1">IFERROR(__xludf.DUMMYFUNCTION("if(W695=1,COUNTIFS(FILTER($H$2:$H905,$H$2:$H905=""OB"",$S$2:$S905=S695),""OB""),"""")"),"")</f>
        <v/>
      </c>
      <c r="V695" s="10" t="str">
        <f ca="1">IFERROR(__xludf.DUMMYFUNCTION("IF(OR(ISNA(SUM(FILTER($K$2:$K905,$A$2:$A905=A695,$S$2:$S905=S695,$H$2:$H905&lt;&gt;""OB""))),W695&lt;&gt;1),"""",SUM(FILTER($K$2:$K905,$A$2:$A905=A695,$S$2:$S905=S695,$H$2:$H905&lt;&gt;""OB"")))"),"")</f>
        <v/>
      </c>
      <c r="W695" s="10" t="str">
        <f t="shared" si="5"/>
        <v/>
      </c>
    </row>
    <row r="696" spans="1:23" ht="12.5">
      <c r="A696" s="23"/>
      <c r="B696" s="5" t="str">
        <f t="array" ref="B696">IF(W696=1,INDEX('Database Mitra'!$H$2:$H905,MATCH(A696,'Database Mitra'!AK$2:AK905,0)),"")</f>
        <v/>
      </c>
      <c r="C696" s="5" t="str">
        <f t="array" ref="C696">IF(W696=1,INDEX('Database Mitra'!$E$2:$E905,MATCH(A696,'Database Mitra'!AK$2:AK905,0)),"")</f>
        <v/>
      </c>
      <c r="D696" s="23"/>
      <c r="E696" s="5" t="str">
        <f t="array" ref="E696">IF(W696=1,INDEX('Input Kegiatan'!B$2:B905,MATCH($D696,'Input Kegiatan'!$A$2:$A905,0)),"")</f>
        <v/>
      </c>
      <c r="F696" s="5" t="str">
        <f t="array" ref="F696">IF(W696=1,INDEX('Input Kegiatan'!D$2:D905,MATCH($D696,'Input Kegiatan'!$A$2:$A905,0)),"")</f>
        <v/>
      </c>
      <c r="G696" s="5" t="str">
        <f t="array" ref="G696">IF(W696=1,INDEX('Input Kegiatan'!E$2:E905,MATCH($D696,'Input Kegiatan'!$A$2:$A905,0)),"")</f>
        <v/>
      </c>
      <c r="H696" s="5" t="str">
        <f t="array" ref="H696">IF(W696=1,INDEX(Honor!$H$2:$H905,MATCH($D696&amp;"-"&amp;R696,Honor!$K$2:$K905,0)),"")</f>
        <v/>
      </c>
      <c r="I696" s="8" t="str">
        <f>IF(W696=1,SUMIFS(Honor!$I$2:$I905,Honor!$K$2:$K905,$D696&amp;"-"&amp;R696),"")</f>
        <v/>
      </c>
      <c r="J696" s="9" t="str">
        <f t="shared" si="6"/>
        <v/>
      </c>
      <c r="K696" s="10" t="str">
        <f t="shared" si="0"/>
        <v/>
      </c>
      <c r="L696" s="10" t="str">
        <f t="shared" si="1"/>
        <v/>
      </c>
      <c r="M696" s="10" t="str">
        <f>IF(W696=1,IF(AND(U696&lt;2,INT(V696)&lt;='Batasan Honor'!$B$2),1,0),"")</f>
        <v/>
      </c>
      <c r="O696" s="10" t="str">
        <f t="shared" si="2"/>
        <v/>
      </c>
      <c r="P696" s="10" t="str">
        <f t="shared" si="3"/>
        <v/>
      </c>
      <c r="R696" s="23"/>
      <c r="S696" s="10" t="str">
        <f t="shared" si="4"/>
        <v/>
      </c>
      <c r="U696" s="10" t="str">
        <f ca="1">IFERROR(__xludf.DUMMYFUNCTION("if(W696=1,COUNTIFS(FILTER($H$2:$H905,$H$2:$H905=""OB"",$S$2:$S905=S696),""OB""),"""")"),"")</f>
        <v/>
      </c>
      <c r="V696" s="10" t="str">
        <f ca="1">IFERROR(__xludf.DUMMYFUNCTION("IF(OR(ISNA(SUM(FILTER($K$2:$K905,$A$2:$A905=A696,$S$2:$S905=S696,$H$2:$H905&lt;&gt;""OB""))),W696&lt;&gt;1),"""",SUM(FILTER($K$2:$K905,$A$2:$A905=A696,$S$2:$S905=S696,$H$2:$H905&lt;&gt;""OB"")))"),"")</f>
        <v/>
      </c>
      <c r="W696" s="10" t="str">
        <f t="shared" si="5"/>
        <v/>
      </c>
    </row>
    <row r="697" spans="1:23" ht="12.5">
      <c r="A697" s="23"/>
      <c r="B697" s="5" t="str">
        <f t="array" ref="B697">IF(W697=1,INDEX('Database Mitra'!$H$2:$H905,MATCH(A697,'Database Mitra'!AK$2:AK905,0)),"")</f>
        <v/>
      </c>
      <c r="C697" s="5" t="str">
        <f t="array" ref="C697">IF(W697=1,INDEX('Database Mitra'!$E$2:$E905,MATCH(A697,'Database Mitra'!AK$2:AK905,0)),"")</f>
        <v/>
      </c>
      <c r="D697" s="23"/>
      <c r="E697" s="5" t="str">
        <f t="array" ref="E697">IF(W697=1,INDEX('Input Kegiatan'!B$2:B905,MATCH($D697,'Input Kegiatan'!$A$2:$A905,0)),"")</f>
        <v/>
      </c>
      <c r="F697" s="5" t="str">
        <f t="array" ref="F697">IF(W697=1,INDEX('Input Kegiatan'!D$2:D905,MATCH($D697,'Input Kegiatan'!$A$2:$A905,0)),"")</f>
        <v/>
      </c>
      <c r="G697" s="5" t="str">
        <f t="array" ref="G697">IF(W697=1,INDEX('Input Kegiatan'!E$2:E905,MATCH($D697,'Input Kegiatan'!$A$2:$A905,0)),"")</f>
        <v/>
      </c>
      <c r="H697" s="5" t="str">
        <f t="array" ref="H697">IF(W697=1,INDEX(Honor!$H$2:$H905,MATCH($D697&amp;"-"&amp;R697,Honor!$K$2:$K905,0)),"")</f>
        <v/>
      </c>
      <c r="I697" s="8" t="str">
        <f>IF(W697=1,SUMIFS(Honor!$I$2:$I905,Honor!$K$2:$K905,$D697&amp;"-"&amp;R697),"")</f>
        <v/>
      </c>
      <c r="J697" s="9" t="str">
        <f t="shared" si="6"/>
        <v/>
      </c>
      <c r="K697" s="10" t="str">
        <f t="shared" si="0"/>
        <v/>
      </c>
      <c r="L697" s="10" t="str">
        <f t="shared" si="1"/>
        <v/>
      </c>
      <c r="M697" s="10" t="str">
        <f>IF(W697=1,IF(AND(U697&lt;2,INT(V697)&lt;='Batasan Honor'!$B$2),1,0),"")</f>
        <v/>
      </c>
      <c r="O697" s="10" t="str">
        <f t="shared" si="2"/>
        <v/>
      </c>
      <c r="P697" s="10" t="str">
        <f t="shared" si="3"/>
        <v/>
      </c>
      <c r="R697" s="23"/>
      <c r="S697" s="10" t="str">
        <f t="shared" si="4"/>
        <v/>
      </c>
      <c r="U697" s="10" t="str">
        <f ca="1">IFERROR(__xludf.DUMMYFUNCTION("if(W697=1,COUNTIFS(FILTER($H$2:$H905,$H$2:$H905=""OB"",$S$2:$S905=S697),""OB""),"""")"),"")</f>
        <v/>
      </c>
      <c r="V697" s="10" t="str">
        <f ca="1">IFERROR(__xludf.DUMMYFUNCTION("IF(OR(ISNA(SUM(FILTER($K$2:$K905,$A$2:$A905=A697,$S$2:$S905=S697,$H$2:$H905&lt;&gt;""OB""))),W697&lt;&gt;1),"""",SUM(FILTER($K$2:$K905,$A$2:$A905=A697,$S$2:$S905=S697,$H$2:$H905&lt;&gt;""OB"")))"),"")</f>
        <v/>
      </c>
      <c r="W697" s="10" t="str">
        <f t="shared" si="5"/>
        <v/>
      </c>
    </row>
    <row r="698" spans="1:23" ht="12.5">
      <c r="A698" s="23"/>
      <c r="B698" s="5" t="str">
        <f t="array" ref="B698">IF(W698=1,INDEX('Database Mitra'!$H$2:$H905,MATCH(A698,'Database Mitra'!AK$2:AK905,0)),"")</f>
        <v/>
      </c>
      <c r="C698" s="5" t="str">
        <f t="array" ref="C698">IF(W698=1,INDEX('Database Mitra'!$E$2:$E905,MATCH(A698,'Database Mitra'!AK$2:AK905,0)),"")</f>
        <v/>
      </c>
      <c r="D698" s="23"/>
      <c r="E698" s="5" t="str">
        <f t="array" ref="E698">IF(W698=1,INDEX('Input Kegiatan'!B$2:B905,MATCH($D698,'Input Kegiatan'!$A$2:$A905,0)),"")</f>
        <v/>
      </c>
      <c r="F698" s="5" t="str">
        <f t="array" ref="F698">IF(W698=1,INDEX('Input Kegiatan'!D$2:D905,MATCH($D698,'Input Kegiatan'!$A$2:$A905,0)),"")</f>
        <v/>
      </c>
      <c r="G698" s="5" t="str">
        <f t="array" ref="G698">IF(W698=1,INDEX('Input Kegiatan'!E$2:E905,MATCH($D698,'Input Kegiatan'!$A$2:$A905,0)),"")</f>
        <v/>
      </c>
      <c r="H698" s="5" t="str">
        <f t="array" ref="H698">IF(W698=1,INDEX(Honor!$H$2:$H905,MATCH($D698&amp;"-"&amp;R698,Honor!$K$2:$K905,0)),"")</f>
        <v/>
      </c>
      <c r="I698" s="8" t="str">
        <f>IF(W698=1,SUMIFS(Honor!$I$2:$I905,Honor!$K$2:$K905,$D698&amp;"-"&amp;R698),"")</f>
        <v/>
      </c>
      <c r="J698" s="9" t="str">
        <f t="shared" si="6"/>
        <v/>
      </c>
      <c r="K698" s="10" t="str">
        <f t="shared" si="0"/>
        <v/>
      </c>
      <c r="L698" s="10" t="str">
        <f t="shared" si="1"/>
        <v/>
      </c>
      <c r="M698" s="10" t="str">
        <f>IF(W698=1,IF(AND(U698&lt;2,INT(V698)&lt;='Batasan Honor'!$B$2),1,0),"")</f>
        <v/>
      </c>
      <c r="O698" s="10" t="str">
        <f t="shared" si="2"/>
        <v/>
      </c>
      <c r="P698" s="10" t="str">
        <f t="shared" si="3"/>
        <v/>
      </c>
      <c r="R698" s="23"/>
      <c r="S698" s="10" t="str">
        <f t="shared" si="4"/>
        <v/>
      </c>
      <c r="U698" s="10" t="str">
        <f ca="1">IFERROR(__xludf.DUMMYFUNCTION("if(W698=1,COUNTIFS(FILTER($H$2:$H905,$H$2:$H905=""OB"",$S$2:$S905=S698),""OB""),"""")"),"")</f>
        <v/>
      </c>
      <c r="V698" s="10" t="str">
        <f ca="1">IFERROR(__xludf.DUMMYFUNCTION("IF(OR(ISNA(SUM(FILTER($K$2:$K905,$A$2:$A905=A698,$S$2:$S905=S698,$H$2:$H905&lt;&gt;""OB""))),W698&lt;&gt;1),"""",SUM(FILTER($K$2:$K905,$A$2:$A905=A698,$S$2:$S905=S698,$H$2:$H905&lt;&gt;""OB"")))"),"")</f>
        <v/>
      </c>
      <c r="W698" s="10" t="str">
        <f t="shared" si="5"/>
        <v/>
      </c>
    </row>
    <row r="699" spans="1:23" ht="12.5">
      <c r="A699" s="23"/>
      <c r="B699" s="5" t="str">
        <f t="array" ref="B699">IF(W699=1,INDEX('Database Mitra'!$H$2:$H905,MATCH(A699,'Database Mitra'!AK$2:AK905,0)),"")</f>
        <v/>
      </c>
      <c r="C699" s="5" t="str">
        <f t="array" ref="C699">IF(W699=1,INDEX('Database Mitra'!$E$2:$E905,MATCH(A699,'Database Mitra'!AK$2:AK905,0)),"")</f>
        <v/>
      </c>
      <c r="D699" s="23"/>
      <c r="E699" s="5" t="str">
        <f t="array" ref="E699">IF(W699=1,INDEX('Input Kegiatan'!B$2:B905,MATCH($D699,'Input Kegiatan'!$A$2:$A905,0)),"")</f>
        <v/>
      </c>
      <c r="F699" s="5" t="str">
        <f t="array" ref="F699">IF(W699=1,INDEX('Input Kegiatan'!D$2:D905,MATCH($D699,'Input Kegiatan'!$A$2:$A905,0)),"")</f>
        <v/>
      </c>
      <c r="G699" s="5" t="str">
        <f t="array" ref="G699">IF(W699=1,INDEX('Input Kegiatan'!E$2:E905,MATCH($D699,'Input Kegiatan'!$A$2:$A905,0)),"")</f>
        <v/>
      </c>
      <c r="H699" s="5" t="str">
        <f t="array" ref="H699">IF(W699=1,INDEX(Honor!$H$2:$H905,MATCH($D699&amp;"-"&amp;R699,Honor!$K$2:$K905,0)),"")</f>
        <v/>
      </c>
      <c r="I699" s="8" t="str">
        <f>IF(W699=1,SUMIFS(Honor!$I$2:$I905,Honor!$K$2:$K905,$D699&amp;"-"&amp;R699),"")</f>
        <v/>
      </c>
      <c r="J699" s="9" t="str">
        <f t="shared" si="6"/>
        <v/>
      </c>
      <c r="K699" s="10" t="str">
        <f t="shared" si="0"/>
        <v/>
      </c>
      <c r="L699" s="10" t="str">
        <f t="shared" si="1"/>
        <v/>
      </c>
      <c r="M699" s="10" t="str">
        <f>IF(W699=1,IF(AND(U699&lt;2,INT(V699)&lt;='Batasan Honor'!$B$2),1,0),"")</f>
        <v/>
      </c>
      <c r="O699" s="10" t="str">
        <f t="shared" si="2"/>
        <v/>
      </c>
      <c r="P699" s="10" t="str">
        <f t="shared" si="3"/>
        <v/>
      </c>
      <c r="R699" s="23"/>
      <c r="S699" s="10" t="str">
        <f t="shared" si="4"/>
        <v/>
      </c>
      <c r="U699" s="10" t="str">
        <f ca="1">IFERROR(__xludf.DUMMYFUNCTION("if(W699=1,COUNTIFS(FILTER($H$2:$H905,$H$2:$H905=""OB"",$S$2:$S905=S699),""OB""),"""")"),"")</f>
        <v/>
      </c>
      <c r="V699" s="10" t="str">
        <f ca="1">IFERROR(__xludf.DUMMYFUNCTION("IF(OR(ISNA(SUM(FILTER($K$2:$K905,$A$2:$A905=A699,$S$2:$S905=S699,$H$2:$H905&lt;&gt;""OB""))),W699&lt;&gt;1),"""",SUM(FILTER($K$2:$K905,$A$2:$A905=A699,$S$2:$S905=S699,$H$2:$H905&lt;&gt;""OB"")))"),"")</f>
        <v/>
      </c>
      <c r="W699" s="10" t="str">
        <f t="shared" si="5"/>
        <v/>
      </c>
    </row>
    <row r="700" spans="1:23" ht="12.5">
      <c r="A700" s="23"/>
      <c r="B700" s="5" t="str">
        <f t="array" ref="B700">IF(W700=1,INDEX('Database Mitra'!$H$2:$H905,MATCH(A700,'Database Mitra'!AK$2:AK905,0)),"")</f>
        <v/>
      </c>
      <c r="C700" s="5" t="str">
        <f t="array" ref="C700">IF(W700=1,INDEX('Database Mitra'!$E$2:$E905,MATCH(A700,'Database Mitra'!AK$2:AK905,0)),"")</f>
        <v/>
      </c>
      <c r="D700" s="23"/>
      <c r="E700" s="5" t="str">
        <f t="array" ref="E700">IF(W700=1,INDEX('Input Kegiatan'!B$2:B905,MATCH($D700,'Input Kegiatan'!$A$2:$A905,0)),"")</f>
        <v/>
      </c>
      <c r="F700" s="5" t="str">
        <f t="array" ref="F700">IF(W700=1,INDEX('Input Kegiatan'!D$2:D905,MATCH($D700,'Input Kegiatan'!$A$2:$A905,0)),"")</f>
        <v/>
      </c>
      <c r="G700" s="5" t="str">
        <f t="array" ref="G700">IF(W700=1,INDEX('Input Kegiatan'!E$2:E905,MATCH($D700,'Input Kegiatan'!$A$2:$A905,0)),"")</f>
        <v/>
      </c>
      <c r="H700" s="5" t="str">
        <f t="array" ref="H700">IF(W700=1,INDEX(Honor!$H$2:$H905,MATCH($D700&amp;"-"&amp;R700,Honor!$K$2:$K905,0)),"")</f>
        <v/>
      </c>
      <c r="I700" s="8" t="str">
        <f>IF(W700=1,SUMIFS(Honor!$I$2:$I905,Honor!$K$2:$K905,$D700&amp;"-"&amp;R700),"")</f>
        <v/>
      </c>
      <c r="J700" s="9" t="str">
        <f t="shared" si="6"/>
        <v/>
      </c>
      <c r="K700" s="10" t="str">
        <f t="shared" si="0"/>
        <v/>
      </c>
      <c r="L700" s="10" t="str">
        <f t="shared" si="1"/>
        <v/>
      </c>
      <c r="M700" s="10" t="str">
        <f>IF(W700=1,IF(AND(U700&lt;2,INT(V700)&lt;='Batasan Honor'!$B$2),1,0),"")</f>
        <v/>
      </c>
      <c r="O700" s="10" t="str">
        <f t="shared" si="2"/>
        <v/>
      </c>
      <c r="P700" s="10" t="str">
        <f t="shared" si="3"/>
        <v/>
      </c>
      <c r="R700" s="23"/>
      <c r="S700" s="10" t="str">
        <f t="shared" si="4"/>
        <v/>
      </c>
      <c r="U700" s="10" t="str">
        <f ca="1">IFERROR(__xludf.DUMMYFUNCTION("if(W700=1,COUNTIFS(FILTER($H$2:$H905,$H$2:$H905=""OB"",$S$2:$S905=S700),""OB""),"""")"),"")</f>
        <v/>
      </c>
      <c r="V700" s="10" t="str">
        <f ca="1">IFERROR(__xludf.DUMMYFUNCTION("IF(OR(ISNA(SUM(FILTER($K$2:$K905,$A$2:$A905=A700,$S$2:$S905=S700,$H$2:$H905&lt;&gt;""OB""))),W700&lt;&gt;1),"""",SUM(FILTER($K$2:$K905,$A$2:$A905=A700,$S$2:$S905=S700,$H$2:$H905&lt;&gt;""OB"")))"),"")</f>
        <v/>
      </c>
      <c r="W700" s="10" t="str">
        <f t="shared" si="5"/>
        <v/>
      </c>
    </row>
    <row r="701" spans="1:23" ht="12.5">
      <c r="A701" s="23"/>
      <c r="B701" s="5" t="str">
        <f t="array" ref="B701">IF(W701=1,INDEX('Database Mitra'!$H$2:$H905,MATCH(A701,'Database Mitra'!AK$2:AK905,0)),"")</f>
        <v/>
      </c>
      <c r="C701" s="5" t="str">
        <f t="array" ref="C701">IF(W701=1,INDEX('Database Mitra'!$E$2:$E905,MATCH(A701,'Database Mitra'!AK$2:AK905,0)),"")</f>
        <v/>
      </c>
      <c r="D701" s="23"/>
      <c r="E701" s="5" t="str">
        <f t="array" ref="E701">IF(W701=1,INDEX('Input Kegiatan'!B$2:B905,MATCH($D701,'Input Kegiatan'!$A$2:$A905,0)),"")</f>
        <v/>
      </c>
      <c r="F701" s="5" t="str">
        <f t="array" ref="F701">IF(W701=1,INDEX('Input Kegiatan'!D$2:D905,MATCH($D701,'Input Kegiatan'!$A$2:$A905,0)),"")</f>
        <v/>
      </c>
      <c r="G701" s="5" t="str">
        <f t="array" ref="G701">IF(W701=1,INDEX('Input Kegiatan'!E$2:E905,MATCH($D701,'Input Kegiatan'!$A$2:$A905,0)),"")</f>
        <v/>
      </c>
      <c r="H701" s="5" t="str">
        <f t="array" ref="H701">IF(W701=1,INDEX(Honor!$H$2:$H905,MATCH($D701&amp;"-"&amp;R701,Honor!$K$2:$K905,0)),"")</f>
        <v/>
      </c>
      <c r="I701" s="8" t="str">
        <f>IF(W701=1,SUMIFS(Honor!$I$2:$I905,Honor!$K$2:$K905,$D701&amp;"-"&amp;R701),"")</f>
        <v/>
      </c>
      <c r="J701" s="9" t="str">
        <f t="shared" si="6"/>
        <v/>
      </c>
      <c r="K701" s="10" t="str">
        <f t="shared" si="0"/>
        <v/>
      </c>
      <c r="L701" s="10" t="str">
        <f t="shared" si="1"/>
        <v/>
      </c>
      <c r="M701" s="10" t="str">
        <f>IF(W701=1,IF(AND(U701&lt;2,INT(V701)&lt;='Batasan Honor'!$B$2),1,0),"")</f>
        <v/>
      </c>
      <c r="O701" s="10" t="str">
        <f t="shared" si="2"/>
        <v/>
      </c>
      <c r="P701" s="10" t="str">
        <f t="shared" si="3"/>
        <v/>
      </c>
      <c r="R701" s="23"/>
      <c r="S701" s="10" t="str">
        <f t="shared" si="4"/>
        <v/>
      </c>
      <c r="U701" s="10" t="str">
        <f ca="1">IFERROR(__xludf.DUMMYFUNCTION("if(W701=1,COUNTIFS(FILTER($H$2:$H905,$H$2:$H905=""OB"",$S$2:$S905=S701),""OB""),"""")"),"")</f>
        <v/>
      </c>
      <c r="V701" s="10" t="str">
        <f ca="1">IFERROR(__xludf.DUMMYFUNCTION("IF(OR(ISNA(SUM(FILTER($K$2:$K905,$A$2:$A905=A701,$S$2:$S905=S701,$H$2:$H905&lt;&gt;""OB""))),W701&lt;&gt;1),"""",SUM(FILTER($K$2:$K905,$A$2:$A905=A701,$S$2:$S905=S701,$H$2:$H905&lt;&gt;""OB"")))"),"")</f>
        <v/>
      </c>
      <c r="W701" s="10" t="str">
        <f t="shared" si="5"/>
        <v/>
      </c>
    </row>
    <row r="702" spans="1:23" ht="12.5">
      <c r="A702" s="23"/>
      <c r="B702" s="5" t="str">
        <f t="array" ref="B702">IF(W702=1,INDEX('Database Mitra'!$H$2:$H905,MATCH(A702,'Database Mitra'!AK$2:AK905,0)),"")</f>
        <v/>
      </c>
      <c r="C702" s="5" t="str">
        <f t="array" ref="C702">IF(W702=1,INDEX('Database Mitra'!$E$2:$E905,MATCH(A702,'Database Mitra'!AK$2:AK905,0)),"")</f>
        <v/>
      </c>
      <c r="D702" s="23"/>
      <c r="E702" s="5" t="str">
        <f t="array" ref="E702">IF(W702=1,INDEX('Input Kegiatan'!B$2:B905,MATCH($D702,'Input Kegiatan'!$A$2:$A905,0)),"")</f>
        <v/>
      </c>
      <c r="F702" s="5" t="str">
        <f t="array" ref="F702">IF(W702=1,INDEX('Input Kegiatan'!D$2:D905,MATCH($D702,'Input Kegiatan'!$A$2:$A905,0)),"")</f>
        <v/>
      </c>
      <c r="G702" s="5" t="str">
        <f t="array" ref="G702">IF(W702=1,INDEX('Input Kegiatan'!E$2:E905,MATCH($D702,'Input Kegiatan'!$A$2:$A905,0)),"")</f>
        <v/>
      </c>
      <c r="H702" s="5" t="str">
        <f t="array" ref="H702">IF(W702=1,INDEX(Honor!$H$2:$H905,MATCH($D702&amp;"-"&amp;R702,Honor!$K$2:$K905,0)),"")</f>
        <v/>
      </c>
      <c r="I702" s="8" t="str">
        <f>IF(W702=1,SUMIFS(Honor!$I$2:$I905,Honor!$K$2:$K905,$D702&amp;"-"&amp;R702),"")</f>
        <v/>
      </c>
      <c r="J702" s="9" t="str">
        <f t="shared" si="6"/>
        <v/>
      </c>
      <c r="K702" s="10" t="str">
        <f t="shared" si="0"/>
        <v/>
      </c>
      <c r="L702" s="10" t="str">
        <f t="shared" si="1"/>
        <v/>
      </c>
      <c r="M702" s="10" t="str">
        <f>IF(W702=1,IF(AND(U702&lt;2,INT(V702)&lt;='Batasan Honor'!$B$2),1,0),"")</f>
        <v/>
      </c>
      <c r="O702" s="10" t="str">
        <f t="shared" si="2"/>
        <v/>
      </c>
      <c r="P702" s="10" t="str">
        <f t="shared" si="3"/>
        <v/>
      </c>
      <c r="R702" s="23"/>
      <c r="S702" s="10" t="str">
        <f t="shared" si="4"/>
        <v/>
      </c>
      <c r="U702" s="10" t="str">
        <f ca="1">IFERROR(__xludf.DUMMYFUNCTION("if(W702=1,COUNTIFS(FILTER($H$2:$H905,$H$2:$H905=""OB"",$S$2:$S905=S702),""OB""),"""")"),"")</f>
        <v/>
      </c>
      <c r="V702" s="10" t="str">
        <f ca="1">IFERROR(__xludf.DUMMYFUNCTION("IF(OR(ISNA(SUM(FILTER($K$2:$K905,$A$2:$A905=A702,$S$2:$S905=S702,$H$2:$H905&lt;&gt;""OB""))),W702&lt;&gt;1),"""",SUM(FILTER($K$2:$K905,$A$2:$A905=A702,$S$2:$S905=S702,$H$2:$H905&lt;&gt;""OB"")))"),"")</f>
        <v/>
      </c>
      <c r="W702" s="10" t="str">
        <f t="shared" si="5"/>
        <v/>
      </c>
    </row>
    <row r="703" spans="1:23" ht="12.5">
      <c r="A703" s="23"/>
      <c r="B703" s="5" t="str">
        <f t="array" ref="B703">IF(W703=1,INDEX('Database Mitra'!$H$2:$H905,MATCH(A703,'Database Mitra'!AK$2:AK905,0)),"")</f>
        <v/>
      </c>
      <c r="C703" s="5" t="str">
        <f t="array" ref="C703">IF(W703=1,INDEX('Database Mitra'!$E$2:$E905,MATCH(A703,'Database Mitra'!AK$2:AK905,0)),"")</f>
        <v/>
      </c>
      <c r="D703" s="23"/>
      <c r="E703" s="5" t="str">
        <f t="array" ref="E703">IF(W703=1,INDEX('Input Kegiatan'!B$2:B905,MATCH($D703,'Input Kegiatan'!$A$2:$A905,0)),"")</f>
        <v/>
      </c>
      <c r="F703" s="5" t="str">
        <f t="array" ref="F703">IF(W703=1,INDEX('Input Kegiatan'!D$2:D905,MATCH($D703,'Input Kegiatan'!$A$2:$A905,0)),"")</f>
        <v/>
      </c>
      <c r="G703" s="5" t="str">
        <f t="array" ref="G703">IF(W703=1,INDEX('Input Kegiatan'!E$2:E905,MATCH($D703,'Input Kegiatan'!$A$2:$A905,0)),"")</f>
        <v/>
      </c>
      <c r="H703" s="5" t="str">
        <f t="array" ref="H703">IF(W703=1,INDEX(Honor!$H$2:$H905,MATCH($D703&amp;"-"&amp;R703,Honor!$K$2:$K905,0)),"")</f>
        <v/>
      </c>
      <c r="I703" s="8" t="str">
        <f>IF(W703=1,SUMIFS(Honor!$I$2:$I905,Honor!$K$2:$K905,$D703&amp;"-"&amp;R703),"")</f>
        <v/>
      </c>
      <c r="J703" s="9" t="str">
        <f t="shared" si="6"/>
        <v/>
      </c>
      <c r="K703" s="10" t="str">
        <f t="shared" si="0"/>
        <v/>
      </c>
      <c r="L703" s="10" t="str">
        <f t="shared" si="1"/>
        <v/>
      </c>
      <c r="M703" s="10" t="str">
        <f>IF(W703=1,IF(AND(U703&lt;2,INT(V703)&lt;='Batasan Honor'!$B$2),1,0),"")</f>
        <v/>
      </c>
      <c r="O703" s="10" t="str">
        <f t="shared" si="2"/>
        <v/>
      </c>
      <c r="P703" s="10" t="str">
        <f t="shared" si="3"/>
        <v/>
      </c>
      <c r="R703" s="23"/>
      <c r="S703" s="10" t="str">
        <f t="shared" si="4"/>
        <v/>
      </c>
      <c r="U703" s="10" t="str">
        <f ca="1">IFERROR(__xludf.DUMMYFUNCTION("if(W703=1,COUNTIFS(FILTER($H$2:$H905,$H$2:$H905=""OB"",$S$2:$S905=S703),""OB""),"""")"),"")</f>
        <v/>
      </c>
      <c r="V703" s="10" t="str">
        <f ca="1">IFERROR(__xludf.DUMMYFUNCTION("IF(OR(ISNA(SUM(FILTER($K$2:$K905,$A$2:$A905=A703,$S$2:$S905=S703,$H$2:$H905&lt;&gt;""OB""))),W703&lt;&gt;1),"""",SUM(FILTER($K$2:$K905,$A$2:$A905=A703,$S$2:$S905=S703,$H$2:$H905&lt;&gt;""OB"")))"),"")</f>
        <v/>
      </c>
      <c r="W703" s="10" t="str">
        <f t="shared" si="5"/>
        <v/>
      </c>
    </row>
    <row r="704" spans="1:23" ht="12.5">
      <c r="A704" s="23"/>
      <c r="B704" s="5" t="str">
        <f t="array" ref="B704">IF(W704=1,INDEX('Database Mitra'!$H$2:$H905,MATCH(A704,'Database Mitra'!AK$2:AK905,0)),"")</f>
        <v/>
      </c>
      <c r="C704" s="5" t="str">
        <f t="array" ref="C704">IF(W704=1,INDEX('Database Mitra'!$E$2:$E905,MATCH(A704,'Database Mitra'!AK$2:AK905,0)),"")</f>
        <v/>
      </c>
      <c r="D704" s="23"/>
      <c r="E704" s="5" t="str">
        <f t="array" ref="E704">IF(W704=1,INDEX('Input Kegiatan'!B$2:B905,MATCH($D704,'Input Kegiatan'!$A$2:$A905,0)),"")</f>
        <v/>
      </c>
      <c r="F704" s="5" t="str">
        <f t="array" ref="F704">IF(W704=1,INDEX('Input Kegiatan'!D$2:D905,MATCH($D704,'Input Kegiatan'!$A$2:$A905,0)),"")</f>
        <v/>
      </c>
      <c r="G704" s="5" t="str">
        <f t="array" ref="G704">IF(W704=1,INDEX('Input Kegiatan'!E$2:E905,MATCH($D704,'Input Kegiatan'!$A$2:$A905,0)),"")</f>
        <v/>
      </c>
      <c r="H704" s="5" t="str">
        <f t="array" ref="H704">IF(W704=1,INDEX(Honor!$H$2:$H905,MATCH($D704&amp;"-"&amp;R704,Honor!$K$2:$K905,0)),"")</f>
        <v/>
      </c>
      <c r="I704" s="8" t="str">
        <f>IF(W704=1,SUMIFS(Honor!$I$2:$I905,Honor!$K$2:$K905,$D704&amp;"-"&amp;R704),"")</f>
        <v/>
      </c>
      <c r="J704" s="9" t="str">
        <f t="shared" si="6"/>
        <v/>
      </c>
      <c r="K704" s="10" t="str">
        <f t="shared" si="0"/>
        <v/>
      </c>
      <c r="L704" s="10" t="str">
        <f t="shared" si="1"/>
        <v/>
      </c>
      <c r="M704" s="10" t="str">
        <f>IF(W704=1,IF(AND(U704&lt;2,INT(V704)&lt;='Batasan Honor'!$B$2),1,0),"")</f>
        <v/>
      </c>
      <c r="O704" s="10" t="str">
        <f t="shared" si="2"/>
        <v/>
      </c>
      <c r="P704" s="10" t="str">
        <f t="shared" si="3"/>
        <v/>
      </c>
      <c r="R704" s="23"/>
      <c r="S704" s="10" t="str">
        <f t="shared" si="4"/>
        <v/>
      </c>
      <c r="U704" s="10" t="str">
        <f ca="1">IFERROR(__xludf.DUMMYFUNCTION("if(W704=1,COUNTIFS(FILTER($H$2:$H905,$H$2:$H905=""OB"",$S$2:$S905=S704),""OB""),"""")"),"")</f>
        <v/>
      </c>
      <c r="V704" s="10" t="str">
        <f ca="1">IFERROR(__xludf.DUMMYFUNCTION("IF(OR(ISNA(SUM(FILTER($K$2:$K905,$A$2:$A905=A704,$S$2:$S905=S704,$H$2:$H905&lt;&gt;""OB""))),W704&lt;&gt;1),"""",SUM(FILTER($K$2:$K905,$A$2:$A905=A704,$S$2:$S905=S704,$H$2:$H905&lt;&gt;""OB"")))"),"")</f>
        <v/>
      </c>
      <c r="W704" s="10" t="str">
        <f t="shared" si="5"/>
        <v/>
      </c>
    </row>
    <row r="705" spans="1:23" ht="12.5">
      <c r="A705" s="23"/>
      <c r="B705" s="5" t="str">
        <f t="array" ref="B705">IF(W705=1,INDEX('Database Mitra'!$H$2:$H905,MATCH(A705,'Database Mitra'!AK$2:AK905,0)),"")</f>
        <v/>
      </c>
      <c r="C705" s="5" t="str">
        <f t="array" ref="C705">IF(W705=1,INDEX('Database Mitra'!$E$2:$E905,MATCH(A705,'Database Mitra'!AK$2:AK905,0)),"")</f>
        <v/>
      </c>
      <c r="D705" s="23"/>
      <c r="E705" s="5" t="str">
        <f t="array" ref="E705">IF(W705=1,INDEX('Input Kegiatan'!B$2:B905,MATCH($D705,'Input Kegiatan'!$A$2:$A905,0)),"")</f>
        <v/>
      </c>
      <c r="F705" s="5" t="str">
        <f t="array" ref="F705">IF(W705=1,INDEX('Input Kegiatan'!D$2:D905,MATCH($D705,'Input Kegiatan'!$A$2:$A905,0)),"")</f>
        <v/>
      </c>
      <c r="G705" s="5" t="str">
        <f t="array" ref="G705">IF(W705=1,INDEX('Input Kegiatan'!E$2:E905,MATCH($D705,'Input Kegiatan'!$A$2:$A905,0)),"")</f>
        <v/>
      </c>
      <c r="H705" s="5" t="str">
        <f t="array" ref="H705">IF(W705=1,INDEX(Honor!$H$2:$H905,MATCH($D705&amp;"-"&amp;R705,Honor!$K$2:$K905,0)),"")</f>
        <v/>
      </c>
      <c r="I705" s="8" t="str">
        <f>IF(W705=1,SUMIFS(Honor!$I$2:$I905,Honor!$K$2:$K905,$D705&amp;"-"&amp;R705),"")</f>
        <v/>
      </c>
      <c r="J705" s="9" t="str">
        <f t="shared" si="6"/>
        <v/>
      </c>
      <c r="K705" s="10" t="str">
        <f t="shared" si="0"/>
        <v/>
      </c>
      <c r="L705" s="10" t="str">
        <f t="shared" si="1"/>
        <v/>
      </c>
      <c r="M705" s="10" t="str">
        <f>IF(W705=1,IF(AND(U705&lt;2,INT(V705)&lt;='Batasan Honor'!$B$2),1,0),"")</f>
        <v/>
      </c>
      <c r="O705" s="10" t="str">
        <f t="shared" si="2"/>
        <v/>
      </c>
      <c r="P705" s="10" t="str">
        <f t="shared" si="3"/>
        <v/>
      </c>
      <c r="R705" s="23"/>
      <c r="S705" s="10" t="str">
        <f t="shared" si="4"/>
        <v/>
      </c>
      <c r="U705" s="10" t="str">
        <f ca="1">IFERROR(__xludf.DUMMYFUNCTION("if(W705=1,COUNTIFS(FILTER($H$2:$H905,$H$2:$H905=""OB"",$S$2:$S905=S705),""OB""),"""")"),"")</f>
        <v/>
      </c>
      <c r="V705" s="10" t="str">
        <f ca="1">IFERROR(__xludf.DUMMYFUNCTION("IF(OR(ISNA(SUM(FILTER($K$2:$K905,$A$2:$A905=A705,$S$2:$S905=S705,$H$2:$H905&lt;&gt;""OB""))),W705&lt;&gt;1),"""",SUM(FILTER($K$2:$K905,$A$2:$A905=A705,$S$2:$S905=S705,$H$2:$H905&lt;&gt;""OB"")))"),"")</f>
        <v/>
      </c>
      <c r="W705" s="10" t="str">
        <f t="shared" si="5"/>
        <v/>
      </c>
    </row>
    <row r="706" spans="1:23" ht="12.5">
      <c r="A706" s="23"/>
      <c r="B706" s="5" t="str">
        <f t="array" ref="B706">IF(W706=1,INDEX('Database Mitra'!$H$2:$H905,MATCH(A706,'Database Mitra'!AK$2:AK905,0)),"")</f>
        <v/>
      </c>
      <c r="C706" s="5" t="str">
        <f t="array" ref="C706">IF(W706=1,INDEX('Database Mitra'!$E$2:$E905,MATCH(A706,'Database Mitra'!AK$2:AK905,0)),"")</f>
        <v/>
      </c>
      <c r="D706" s="23"/>
      <c r="E706" s="5" t="str">
        <f t="array" ref="E706">IF(W706=1,INDEX('Input Kegiatan'!B$2:B905,MATCH($D706,'Input Kegiatan'!$A$2:$A905,0)),"")</f>
        <v/>
      </c>
      <c r="F706" s="5" t="str">
        <f t="array" ref="F706">IF(W706=1,INDEX('Input Kegiatan'!D$2:D905,MATCH($D706,'Input Kegiatan'!$A$2:$A905,0)),"")</f>
        <v/>
      </c>
      <c r="G706" s="5" t="str">
        <f t="array" ref="G706">IF(W706=1,INDEX('Input Kegiatan'!E$2:E905,MATCH($D706,'Input Kegiatan'!$A$2:$A905,0)),"")</f>
        <v/>
      </c>
      <c r="H706" s="5" t="str">
        <f t="array" ref="H706">IF(W706=1,INDEX(Honor!$H$2:$H905,MATCH($D706&amp;"-"&amp;R706,Honor!$K$2:$K905,0)),"")</f>
        <v/>
      </c>
      <c r="I706" s="8" t="str">
        <f>IF(W706=1,SUMIFS(Honor!$I$2:$I905,Honor!$K$2:$K905,$D706&amp;"-"&amp;R706),"")</f>
        <v/>
      </c>
      <c r="J706" s="9" t="str">
        <f t="shared" si="6"/>
        <v/>
      </c>
      <c r="K706" s="10" t="str">
        <f t="shared" si="0"/>
        <v/>
      </c>
      <c r="L706" s="10" t="str">
        <f t="shared" si="1"/>
        <v/>
      </c>
      <c r="M706" s="10" t="str">
        <f>IF(W706=1,IF(AND(U706&lt;2,INT(V706)&lt;='Batasan Honor'!$B$2),1,0),"")</f>
        <v/>
      </c>
      <c r="O706" s="10" t="str">
        <f t="shared" si="2"/>
        <v/>
      </c>
      <c r="P706" s="10" t="str">
        <f t="shared" si="3"/>
        <v/>
      </c>
      <c r="R706" s="23"/>
      <c r="S706" s="10" t="str">
        <f t="shared" si="4"/>
        <v/>
      </c>
      <c r="U706" s="10" t="str">
        <f ca="1">IFERROR(__xludf.DUMMYFUNCTION("if(W706=1,COUNTIFS(FILTER($H$2:$H905,$H$2:$H905=""OB"",$S$2:$S905=S706),""OB""),"""")"),"")</f>
        <v/>
      </c>
      <c r="V706" s="10" t="str">
        <f ca="1">IFERROR(__xludf.DUMMYFUNCTION("IF(OR(ISNA(SUM(FILTER($K$2:$K905,$A$2:$A905=A706,$S$2:$S905=S706,$H$2:$H905&lt;&gt;""OB""))),W706&lt;&gt;1),"""",SUM(FILTER($K$2:$K905,$A$2:$A905=A706,$S$2:$S905=S706,$H$2:$H905&lt;&gt;""OB"")))"),"")</f>
        <v/>
      </c>
      <c r="W706" s="10" t="str">
        <f t="shared" si="5"/>
        <v/>
      </c>
    </row>
    <row r="707" spans="1:23" ht="12.5">
      <c r="A707" s="23"/>
      <c r="B707" s="5" t="str">
        <f t="array" ref="B707">IF(W707=1,INDEX('Database Mitra'!$H$2:$H905,MATCH(A707,'Database Mitra'!AK$2:AK905,0)),"")</f>
        <v/>
      </c>
      <c r="C707" s="5" t="str">
        <f t="array" ref="C707">IF(W707=1,INDEX('Database Mitra'!$E$2:$E905,MATCH(A707,'Database Mitra'!AK$2:AK905,0)),"")</f>
        <v/>
      </c>
      <c r="D707" s="23"/>
      <c r="E707" s="5" t="str">
        <f t="array" ref="E707">IF(W707=1,INDEX('Input Kegiatan'!B$2:B905,MATCH($D707,'Input Kegiatan'!$A$2:$A905,0)),"")</f>
        <v/>
      </c>
      <c r="F707" s="5" t="str">
        <f t="array" ref="F707">IF(W707=1,INDEX('Input Kegiatan'!D$2:D905,MATCH($D707,'Input Kegiatan'!$A$2:$A905,0)),"")</f>
        <v/>
      </c>
      <c r="G707" s="5" t="str">
        <f t="array" ref="G707">IF(W707=1,INDEX('Input Kegiatan'!E$2:E905,MATCH($D707,'Input Kegiatan'!$A$2:$A905,0)),"")</f>
        <v/>
      </c>
      <c r="H707" s="5" t="str">
        <f t="array" ref="H707">IF(W707=1,INDEX(Honor!$H$2:$H905,MATCH($D707&amp;"-"&amp;R707,Honor!$K$2:$K905,0)),"")</f>
        <v/>
      </c>
      <c r="I707" s="8" t="str">
        <f>IF(W707=1,SUMIFS(Honor!$I$2:$I905,Honor!$K$2:$K905,$D707&amp;"-"&amp;R707),"")</f>
        <v/>
      </c>
      <c r="J707" s="9" t="str">
        <f t="shared" si="6"/>
        <v/>
      </c>
      <c r="K707" s="10" t="str">
        <f t="shared" si="0"/>
        <v/>
      </c>
      <c r="L707" s="10" t="str">
        <f t="shared" si="1"/>
        <v/>
      </c>
      <c r="M707" s="10" t="str">
        <f>IF(W707=1,IF(AND(U707&lt;2,INT(V707)&lt;='Batasan Honor'!$B$2),1,0),"")</f>
        <v/>
      </c>
      <c r="O707" s="10" t="str">
        <f t="shared" si="2"/>
        <v/>
      </c>
      <c r="P707" s="10" t="str">
        <f t="shared" si="3"/>
        <v/>
      </c>
      <c r="R707" s="23"/>
      <c r="S707" s="10" t="str">
        <f t="shared" si="4"/>
        <v/>
      </c>
      <c r="U707" s="10" t="str">
        <f ca="1">IFERROR(__xludf.DUMMYFUNCTION("if(W707=1,COUNTIFS(FILTER($H$2:$H905,$H$2:$H905=""OB"",$S$2:$S905=S707),""OB""),"""")"),"")</f>
        <v/>
      </c>
      <c r="V707" s="10" t="str">
        <f ca="1">IFERROR(__xludf.DUMMYFUNCTION("IF(OR(ISNA(SUM(FILTER($K$2:$K905,$A$2:$A905=A707,$S$2:$S905=S707,$H$2:$H905&lt;&gt;""OB""))),W707&lt;&gt;1),"""",SUM(FILTER($K$2:$K905,$A$2:$A905=A707,$S$2:$S905=S707,$H$2:$H905&lt;&gt;""OB"")))"),"")</f>
        <v/>
      </c>
      <c r="W707" s="10" t="str">
        <f t="shared" si="5"/>
        <v/>
      </c>
    </row>
    <row r="708" spans="1:23" ht="12.5">
      <c r="A708" s="23"/>
      <c r="B708" s="5" t="str">
        <f t="array" ref="B708">IF(W708=1,INDEX('Database Mitra'!$H$2:$H905,MATCH(A708,'Database Mitra'!AK$2:AK905,0)),"")</f>
        <v/>
      </c>
      <c r="C708" s="5" t="str">
        <f t="array" ref="C708">IF(W708=1,INDEX('Database Mitra'!$E$2:$E905,MATCH(A708,'Database Mitra'!AK$2:AK905,0)),"")</f>
        <v/>
      </c>
      <c r="D708" s="23"/>
      <c r="E708" s="5" t="str">
        <f t="array" ref="E708">IF(W708=1,INDEX('Input Kegiatan'!B$2:B905,MATCH($D708,'Input Kegiatan'!$A$2:$A905,0)),"")</f>
        <v/>
      </c>
      <c r="F708" s="5" t="str">
        <f t="array" ref="F708">IF(W708=1,INDEX('Input Kegiatan'!D$2:D905,MATCH($D708,'Input Kegiatan'!$A$2:$A905,0)),"")</f>
        <v/>
      </c>
      <c r="G708" s="5" t="str">
        <f t="array" ref="G708">IF(W708=1,INDEX('Input Kegiatan'!E$2:E905,MATCH($D708,'Input Kegiatan'!$A$2:$A905,0)),"")</f>
        <v/>
      </c>
      <c r="H708" s="5" t="str">
        <f t="array" ref="H708">IF(W708=1,INDEX(Honor!$H$2:$H905,MATCH($D708&amp;"-"&amp;R708,Honor!$K$2:$K905,0)),"")</f>
        <v/>
      </c>
      <c r="I708" s="8" t="str">
        <f>IF(W708=1,SUMIFS(Honor!$I$2:$I905,Honor!$K$2:$K905,$D708&amp;"-"&amp;R708),"")</f>
        <v/>
      </c>
      <c r="J708" s="9" t="str">
        <f t="shared" si="6"/>
        <v/>
      </c>
      <c r="K708" s="10" t="str">
        <f t="shared" si="0"/>
        <v/>
      </c>
      <c r="L708" s="10" t="str">
        <f t="shared" si="1"/>
        <v/>
      </c>
      <c r="M708" s="10" t="str">
        <f>IF(W708=1,IF(AND(U708&lt;2,INT(V708)&lt;='Batasan Honor'!$B$2),1,0),"")</f>
        <v/>
      </c>
      <c r="O708" s="10" t="str">
        <f t="shared" si="2"/>
        <v/>
      </c>
      <c r="P708" s="10" t="str">
        <f t="shared" si="3"/>
        <v/>
      </c>
      <c r="R708" s="23"/>
      <c r="S708" s="10" t="str">
        <f t="shared" si="4"/>
        <v/>
      </c>
      <c r="U708" s="10" t="str">
        <f ca="1">IFERROR(__xludf.DUMMYFUNCTION("if(W708=1,COUNTIFS(FILTER($H$2:$H905,$H$2:$H905=""OB"",$S$2:$S905=S708),""OB""),"""")"),"")</f>
        <v/>
      </c>
      <c r="V708" s="10" t="str">
        <f ca="1">IFERROR(__xludf.DUMMYFUNCTION("IF(OR(ISNA(SUM(FILTER($K$2:$K905,$A$2:$A905=A708,$S$2:$S905=S708,$H$2:$H905&lt;&gt;""OB""))),W708&lt;&gt;1),"""",SUM(FILTER($K$2:$K905,$A$2:$A905=A708,$S$2:$S905=S708,$H$2:$H905&lt;&gt;""OB"")))"),"")</f>
        <v/>
      </c>
      <c r="W708" s="10" t="str">
        <f t="shared" si="5"/>
        <v/>
      </c>
    </row>
    <row r="709" spans="1:23" ht="12.5">
      <c r="A709" s="23"/>
      <c r="B709" s="5" t="str">
        <f t="array" ref="B709">IF(W709=1,INDEX('Database Mitra'!$H$2:$H905,MATCH(A709,'Database Mitra'!AK$2:AK905,0)),"")</f>
        <v/>
      </c>
      <c r="C709" s="5" t="str">
        <f t="array" ref="C709">IF(W709=1,INDEX('Database Mitra'!$E$2:$E905,MATCH(A709,'Database Mitra'!AK$2:AK905,0)),"")</f>
        <v/>
      </c>
      <c r="D709" s="23"/>
      <c r="E709" s="5" t="str">
        <f t="array" ref="E709">IF(W709=1,INDEX('Input Kegiatan'!B$2:B905,MATCH($D709,'Input Kegiatan'!$A$2:$A905,0)),"")</f>
        <v/>
      </c>
      <c r="F709" s="5" t="str">
        <f t="array" ref="F709">IF(W709=1,INDEX('Input Kegiatan'!D$2:D905,MATCH($D709,'Input Kegiatan'!$A$2:$A905,0)),"")</f>
        <v/>
      </c>
      <c r="G709" s="5" t="str">
        <f t="array" ref="G709">IF(W709=1,INDEX('Input Kegiatan'!E$2:E905,MATCH($D709,'Input Kegiatan'!$A$2:$A905,0)),"")</f>
        <v/>
      </c>
      <c r="H709" s="5" t="str">
        <f t="array" ref="H709">IF(W709=1,INDEX(Honor!$H$2:$H905,MATCH($D709&amp;"-"&amp;R709,Honor!$K$2:$K905,0)),"")</f>
        <v/>
      </c>
      <c r="I709" s="8" t="str">
        <f>IF(W709=1,SUMIFS(Honor!$I$2:$I905,Honor!$K$2:$K905,$D709&amp;"-"&amp;R709),"")</f>
        <v/>
      </c>
      <c r="J709" s="9" t="str">
        <f t="shared" si="6"/>
        <v/>
      </c>
      <c r="K709" s="10" t="str">
        <f t="shared" si="0"/>
        <v/>
      </c>
      <c r="L709" s="10" t="str">
        <f t="shared" si="1"/>
        <v/>
      </c>
      <c r="M709" s="10" t="str">
        <f>IF(W709=1,IF(AND(U709&lt;2,INT(V709)&lt;='Batasan Honor'!$B$2),1,0),"")</f>
        <v/>
      </c>
      <c r="O709" s="10" t="str">
        <f t="shared" si="2"/>
        <v/>
      </c>
      <c r="P709" s="10" t="str">
        <f t="shared" si="3"/>
        <v/>
      </c>
      <c r="R709" s="23"/>
      <c r="S709" s="10" t="str">
        <f t="shared" si="4"/>
        <v/>
      </c>
      <c r="U709" s="10" t="str">
        <f ca="1">IFERROR(__xludf.DUMMYFUNCTION("if(W709=1,COUNTIFS(FILTER($H$2:$H905,$H$2:$H905=""OB"",$S$2:$S905=S709),""OB""),"""")"),"")</f>
        <v/>
      </c>
      <c r="V709" s="10" t="str">
        <f ca="1">IFERROR(__xludf.DUMMYFUNCTION("IF(OR(ISNA(SUM(FILTER($K$2:$K905,$A$2:$A905=A709,$S$2:$S905=S709,$H$2:$H905&lt;&gt;""OB""))),W709&lt;&gt;1),"""",SUM(FILTER($K$2:$K905,$A$2:$A905=A709,$S$2:$S905=S709,$H$2:$H905&lt;&gt;""OB"")))"),"")</f>
        <v/>
      </c>
      <c r="W709" s="10" t="str">
        <f t="shared" si="5"/>
        <v/>
      </c>
    </row>
    <row r="710" spans="1:23" ht="12.5">
      <c r="A710" s="23"/>
      <c r="B710" s="5" t="str">
        <f t="array" ref="B710">IF(W710=1,INDEX('Database Mitra'!$H$2:$H905,MATCH(A710,'Database Mitra'!AK$2:AK905,0)),"")</f>
        <v/>
      </c>
      <c r="C710" s="5" t="str">
        <f t="array" ref="C710">IF(W710=1,INDEX('Database Mitra'!$E$2:$E905,MATCH(A710,'Database Mitra'!AK$2:AK905,0)),"")</f>
        <v/>
      </c>
      <c r="D710" s="23"/>
      <c r="E710" s="5" t="str">
        <f t="array" ref="E710">IF(W710=1,INDEX('Input Kegiatan'!B$2:B905,MATCH($D710,'Input Kegiatan'!$A$2:$A905,0)),"")</f>
        <v/>
      </c>
      <c r="F710" s="5" t="str">
        <f t="array" ref="F710">IF(W710=1,INDEX('Input Kegiatan'!D$2:D905,MATCH($D710,'Input Kegiatan'!$A$2:$A905,0)),"")</f>
        <v/>
      </c>
      <c r="G710" s="5" t="str">
        <f t="array" ref="G710">IF(W710=1,INDEX('Input Kegiatan'!E$2:E905,MATCH($D710,'Input Kegiatan'!$A$2:$A905,0)),"")</f>
        <v/>
      </c>
      <c r="H710" s="5" t="str">
        <f t="array" ref="H710">IF(W710=1,INDEX(Honor!$H$2:$H905,MATCH($D710&amp;"-"&amp;R710,Honor!$K$2:$K905,0)),"")</f>
        <v/>
      </c>
      <c r="I710" s="8" t="str">
        <f>IF(W710=1,SUMIFS(Honor!$I$2:$I905,Honor!$K$2:$K905,$D710&amp;"-"&amp;R710),"")</f>
        <v/>
      </c>
      <c r="J710" s="9" t="str">
        <f t="shared" si="6"/>
        <v/>
      </c>
      <c r="K710" s="10" t="str">
        <f t="shared" si="0"/>
        <v/>
      </c>
      <c r="L710" s="10" t="str">
        <f t="shared" si="1"/>
        <v/>
      </c>
      <c r="M710" s="10" t="str">
        <f>IF(W710=1,IF(AND(U710&lt;2,INT(V710)&lt;='Batasan Honor'!$B$2),1,0),"")</f>
        <v/>
      </c>
      <c r="O710" s="10" t="str">
        <f t="shared" si="2"/>
        <v/>
      </c>
      <c r="P710" s="10" t="str">
        <f t="shared" si="3"/>
        <v/>
      </c>
      <c r="R710" s="23"/>
      <c r="S710" s="10" t="str">
        <f t="shared" si="4"/>
        <v/>
      </c>
      <c r="U710" s="10" t="str">
        <f ca="1">IFERROR(__xludf.DUMMYFUNCTION("if(W710=1,COUNTIFS(FILTER($H$2:$H905,$H$2:$H905=""OB"",$S$2:$S905=S710),""OB""),"""")"),"")</f>
        <v/>
      </c>
      <c r="V710" s="10" t="str">
        <f ca="1">IFERROR(__xludf.DUMMYFUNCTION("IF(OR(ISNA(SUM(FILTER($K$2:$K905,$A$2:$A905=A710,$S$2:$S905=S710,$H$2:$H905&lt;&gt;""OB""))),W710&lt;&gt;1),"""",SUM(FILTER($K$2:$K905,$A$2:$A905=A710,$S$2:$S905=S710,$H$2:$H905&lt;&gt;""OB"")))"),"")</f>
        <v/>
      </c>
      <c r="W710" s="10" t="str">
        <f t="shared" si="5"/>
        <v/>
      </c>
    </row>
    <row r="711" spans="1:23" ht="12.5">
      <c r="A711" s="23"/>
      <c r="B711" s="5" t="str">
        <f t="array" ref="B711">IF(W711=1,INDEX('Database Mitra'!$H$2:$H905,MATCH(A711,'Database Mitra'!AK$2:AK905,0)),"")</f>
        <v/>
      </c>
      <c r="C711" s="5" t="str">
        <f t="array" ref="C711">IF(W711=1,INDEX('Database Mitra'!$E$2:$E905,MATCH(A711,'Database Mitra'!AK$2:AK905,0)),"")</f>
        <v/>
      </c>
      <c r="D711" s="23"/>
      <c r="E711" s="5" t="str">
        <f t="array" ref="E711">IF(W711=1,INDEX('Input Kegiatan'!B$2:B905,MATCH($D711,'Input Kegiatan'!$A$2:$A905,0)),"")</f>
        <v/>
      </c>
      <c r="F711" s="5" t="str">
        <f t="array" ref="F711">IF(W711=1,INDEX('Input Kegiatan'!D$2:D905,MATCH($D711,'Input Kegiatan'!$A$2:$A905,0)),"")</f>
        <v/>
      </c>
      <c r="G711" s="5" t="str">
        <f t="array" ref="G711">IF(W711=1,INDEX('Input Kegiatan'!E$2:E905,MATCH($D711,'Input Kegiatan'!$A$2:$A905,0)),"")</f>
        <v/>
      </c>
      <c r="H711" s="5" t="str">
        <f t="array" ref="H711">IF(W711=1,INDEX(Honor!$H$2:$H905,MATCH($D711&amp;"-"&amp;R711,Honor!$K$2:$K905,0)),"")</f>
        <v/>
      </c>
      <c r="I711" s="8" t="str">
        <f>IF(W711=1,SUMIFS(Honor!$I$2:$I905,Honor!$K$2:$K905,$D711&amp;"-"&amp;R711),"")</f>
        <v/>
      </c>
      <c r="J711" s="9" t="str">
        <f t="shared" si="6"/>
        <v/>
      </c>
      <c r="K711" s="10" t="str">
        <f t="shared" si="0"/>
        <v/>
      </c>
      <c r="L711" s="10" t="str">
        <f t="shared" si="1"/>
        <v/>
      </c>
      <c r="M711" s="10" t="str">
        <f>IF(W711=1,IF(AND(U711&lt;2,INT(V711)&lt;='Batasan Honor'!$B$2),1,0),"")</f>
        <v/>
      </c>
      <c r="O711" s="10" t="str">
        <f t="shared" si="2"/>
        <v/>
      </c>
      <c r="P711" s="10" t="str">
        <f t="shared" si="3"/>
        <v/>
      </c>
      <c r="R711" s="23"/>
      <c r="S711" s="10" t="str">
        <f t="shared" si="4"/>
        <v/>
      </c>
      <c r="U711" s="10" t="str">
        <f ca="1">IFERROR(__xludf.DUMMYFUNCTION("if(W711=1,COUNTIFS(FILTER($H$2:$H905,$H$2:$H905=""OB"",$S$2:$S905=S711),""OB""),"""")"),"")</f>
        <v/>
      </c>
      <c r="V711" s="10" t="str">
        <f ca="1">IFERROR(__xludf.DUMMYFUNCTION("IF(OR(ISNA(SUM(FILTER($K$2:$K905,$A$2:$A905=A711,$S$2:$S905=S711,$H$2:$H905&lt;&gt;""OB""))),W711&lt;&gt;1),"""",SUM(FILTER($K$2:$K905,$A$2:$A905=A711,$S$2:$S905=S711,$H$2:$H905&lt;&gt;""OB"")))"),"")</f>
        <v/>
      </c>
      <c r="W711" s="10" t="str">
        <f t="shared" si="5"/>
        <v/>
      </c>
    </row>
    <row r="712" spans="1:23" ht="12.5">
      <c r="A712" s="23"/>
      <c r="B712" s="5" t="str">
        <f t="array" ref="B712">IF(W712=1,INDEX('Database Mitra'!$H$2:$H905,MATCH(A712,'Database Mitra'!AK$2:AK905,0)),"")</f>
        <v/>
      </c>
      <c r="C712" s="5" t="str">
        <f t="array" ref="C712">IF(W712=1,INDEX('Database Mitra'!$E$2:$E905,MATCH(A712,'Database Mitra'!AK$2:AK905,0)),"")</f>
        <v/>
      </c>
      <c r="D712" s="23"/>
      <c r="E712" s="5" t="str">
        <f t="array" ref="E712">IF(W712=1,INDEX('Input Kegiatan'!B$2:B905,MATCH($D712,'Input Kegiatan'!$A$2:$A905,0)),"")</f>
        <v/>
      </c>
      <c r="F712" s="5" t="str">
        <f t="array" ref="F712">IF(W712=1,INDEX('Input Kegiatan'!D$2:D905,MATCH($D712,'Input Kegiatan'!$A$2:$A905,0)),"")</f>
        <v/>
      </c>
      <c r="G712" s="5" t="str">
        <f t="array" ref="G712">IF(W712=1,INDEX('Input Kegiatan'!E$2:E905,MATCH($D712,'Input Kegiatan'!$A$2:$A905,0)),"")</f>
        <v/>
      </c>
      <c r="H712" s="5" t="str">
        <f t="array" ref="H712">IF(W712=1,INDEX(Honor!$H$2:$H905,MATCH($D712&amp;"-"&amp;R712,Honor!$K$2:$K905,0)),"")</f>
        <v/>
      </c>
      <c r="I712" s="8" t="str">
        <f>IF(W712=1,SUMIFS(Honor!$I$2:$I905,Honor!$K$2:$K905,$D712&amp;"-"&amp;R712),"")</f>
        <v/>
      </c>
      <c r="J712" s="9" t="str">
        <f t="shared" si="6"/>
        <v/>
      </c>
      <c r="K712" s="10" t="str">
        <f t="shared" si="0"/>
        <v/>
      </c>
      <c r="L712" s="10" t="str">
        <f t="shared" si="1"/>
        <v/>
      </c>
      <c r="M712" s="10" t="str">
        <f>IF(W712=1,IF(AND(U712&lt;2,INT(V712)&lt;='Batasan Honor'!$B$2),1,0),"")</f>
        <v/>
      </c>
      <c r="O712" s="10" t="str">
        <f t="shared" si="2"/>
        <v/>
      </c>
      <c r="P712" s="10" t="str">
        <f t="shared" si="3"/>
        <v/>
      </c>
      <c r="R712" s="23"/>
      <c r="S712" s="10" t="str">
        <f t="shared" si="4"/>
        <v/>
      </c>
      <c r="U712" s="10" t="str">
        <f ca="1">IFERROR(__xludf.DUMMYFUNCTION("if(W712=1,COUNTIFS(FILTER($H$2:$H905,$H$2:$H905=""OB"",$S$2:$S905=S712),""OB""),"""")"),"")</f>
        <v/>
      </c>
      <c r="V712" s="10" t="str">
        <f ca="1">IFERROR(__xludf.DUMMYFUNCTION("IF(OR(ISNA(SUM(FILTER($K$2:$K905,$A$2:$A905=A712,$S$2:$S905=S712,$H$2:$H905&lt;&gt;""OB""))),W712&lt;&gt;1),"""",SUM(FILTER($K$2:$K905,$A$2:$A905=A712,$S$2:$S905=S712,$H$2:$H905&lt;&gt;""OB"")))"),"")</f>
        <v/>
      </c>
      <c r="W712" s="10" t="str">
        <f t="shared" si="5"/>
        <v/>
      </c>
    </row>
    <row r="713" spans="1:23" ht="12.5">
      <c r="A713" s="23"/>
      <c r="B713" s="5" t="str">
        <f t="array" ref="B713">IF(W713=1,INDEX('Database Mitra'!$H$2:$H905,MATCH(A713,'Database Mitra'!AK$2:AK905,0)),"")</f>
        <v/>
      </c>
      <c r="C713" s="5" t="str">
        <f t="array" ref="C713">IF(W713=1,INDEX('Database Mitra'!$E$2:$E905,MATCH(A713,'Database Mitra'!AK$2:AK905,0)),"")</f>
        <v/>
      </c>
      <c r="D713" s="23"/>
      <c r="E713" s="5" t="str">
        <f t="array" ref="E713">IF(W713=1,INDEX('Input Kegiatan'!B$2:B905,MATCH($D713,'Input Kegiatan'!$A$2:$A905,0)),"")</f>
        <v/>
      </c>
      <c r="F713" s="5" t="str">
        <f t="array" ref="F713">IF(W713=1,INDEX('Input Kegiatan'!D$2:D905,MATCH($D713,'Input Kegiatan'!$A$2:$A905,0)),"")</f>
        <v/>
      </c>
      <c r="G713" s="5" t="str">
        <f t="array" ref="G713">IF(W713=1,INDEX('Input Kegiatan'!E$2:E905,MATCH($D713,'Input Kegiatan'!$A$2:$A905,0)),"")</f>
        <v/>
      </c>
      <c r="H713" s="5" t="str">
        <f t="array" ref="H713">IF(W713=1,INDEX(Honor!$H$2:$H905,MATCH($D713&amp;"-"&amp;R713,Honor!$K$2:$K905,0)),"")</f>
        <v/>
      </c>
      <c r="I713" s="8" t="str">
        <f>IF(W713=1,SUMIFS(Honor!$I$2:$I905,Honor!$K$2:$K905,$D713&amp;"-"&amp;R713),"")</f>
        <v/>
      </c>
      <c r="J713" s="9" t="str">
        <f t="shared" si="6"/>
        <v/>
      </c>
      <c r="K713" s="10" t="str">
        <f t="shared" si="0"/>
        <v/>
      </c>
      <c r="L713" s="10" t="str">
        <f t="shared" si="1"/>
        <v/>
      </c>
      <c r="M713" s="10" t="str">
        <f>IF(W713=1,IF(AND(U713&lt;2,INT(V713)&lt;='Batasan Honor'!$B$2),1,0),"")</f>
        <v/>
      </c>
      <c r="O713" s="10" t="str">
        <f t="shared" si="2"/>
        <v/>
      </c>
      <c r="P713" s="10" t="str">
        <f t="shared" si="3"/>
        <v/>
      </c>
      <c r="R713" s="23"/>
      <c r="S713" s="10" t="str">
        <f t="shared" si="4"/>
        <v/>
      </c>
      <c r="U713" s="10" t="str">
        <f ca="1">IFERROR(__xludf.DUMMYFUNCTION("if(W713=1,COUNTIFS(FILTER($H$2:$H905,$H$2:$H905=""OB"",$S$2:$S905=S713),""OB""),"""")"),"")</f>
        <v/>
      </c>
      <c r="V713" s="10" t="str">
        <f ca="1">IFERROR(__xludf.DUMMYFUNCTION("IF(OR(ISNA(SUM(FILTER($K$2:$K905,$A$2:$A905=A713,$S$2:$S905=S713,$H$2:$H905&lt;&gt;""OB""))),W713&lt;&gt;1),"""",SUM(FILTER($K$2:$K905,$A$2:$A905=A713,$S$2:$S905=S713,$H$2:$H905&lt;&gt;""OB"")))"),"")</f>
        <v/>
      </c>
      <c r="W713" s="10" t="str">
        <f t="shared" si="5"/>
        <v/>
      </c>
    </row>
    <row r="714" spans="1:23" ht="12.5">
      <c r="A714" s="23"/>
      <c r="B714" s="5" t="str">
        <f t="array" ref="B714">IF(W714=1,INDEX('Database Mitra'!$H$2:$H905,MATCH(A714,'Database Mitra'!AK$2:AK905,0)),"")</f>
        <v/>
      </c>
      <c r="C714" s="5" t="str">
        <f t="array" ref="C714">IF(W714=1,INDEX('Database Mitra'!$E$2:$E905,MATCH(A714,'Database Mitra'!AK$2:AK905,0)),"")</f>
        <v/>
      </c>
      <c r="D714" s="23"/>
      <c r="E714" s="5" t="str">
        <f t="array" ref="E714">IF(W714=1,INDEX('Input Kegiatan'!B$2:B905,MATCH($D714,'Input Kegiatan'!$A$2:$A905,0)),"")</f>
        <v/>
      </c>
      <c r="F714" s="5" t="str">
        <f t="array" ref="F714">IF(W714=1,INDEX('Input Kegiatan'!D$2:D905,MATCH($D714,'Input Kegiatan'!$A$2:$A905,0)),"")</f>
        <v/>
      </c>
      <c r="G714" s="5" t="str">
        <f t="array" ref="G714">IF(W714=1,INDEX('Input Kegiatan'!E$2:E905,MATCH($D714,'Input Kegiatan'!$A$2:$A905,0)),"")</f>
        <v/>
      </c>
      <c r="H714" s="5" t="str">
        <f t="array" ref="H714">IF(W714=1,INDEX(Honor!$H$2:$H905,MATCH($D714&amp;"-"&amp;R714,Honor!$K$2:$K905,0)),"")</f>
        <v/>
      </c>
      <c r="I714" s="8" t="str">
        <f>IF(W714=1,SUMIFS(Honor!$I$2:$I905,Honor!$K$2:$K905,$D714&amp;"-"&amp;R714),"")</f>
        <v/>
      </c>
      <c r="J714" s="9" t="str">
        <f t="shared" si="6"/>
        <v/>
      </c>
      <c r="K714" s="10" t="str">
        <f t="shared" si="0"/>
        <v/>
      </c>
      <c r="L714" s="10" t="str">
        <f t="shared" si="1"/>
        <v/>
      </c>
      <c r="M714" s="10" t="str">
        <f>IF(W714=1,IF(AND(U714&lt;2,INT(V714)&lt;='Batasan Honor'!$B$2),1,0),"")</f>
        <v/>
      </c>
      <c r="O714" s="10" t="str">
        <f t="shared" si="2"/>
        <v/>
      </c>
      <c r="P714" s="10" t="str">
        <f t="shared" si="3"/>
        <v/>
      </c>
      <c r="R714" s="23"/>
      <c r="S714" s="10" t="str">
        <f t="shared" si="4"/>
        <v/>
      </c>
      <c r="U714" s="10" t="str">
        <f ca="1">IFERROR(__xludf.DUMMYFUNCTION("if(W714=1,COUNTIFS(FILTER($H$2:$H905,$H$2:$H905=""OB"",$S$2:$S905=S714),""OB""),"""")"),"")</f>
        <v/>
      </c>
      <c r="V714" s="10" t="str">
        <f ca="1">IFERROR(__xludf.DUMMYFUNCTION("IF(OR(ISNA(SUM(FILTER($K$2:$K905,$A$2:$A905=A714,$S$2:$S905=S714,$H$2:$H905&lt;&gt;""OB""))),W714&lt;&gt;1),"""",SUM(FILTER($K$2:$K905,$A$2:$A905=A714,$S$2:$S905=S714,$H$2:$H905&lt;&gt;""OB"")))"),"")</f>
        <v/>
      </c>
      <c r="W714" s="10" t="str">
        <f t="shared" si="5"/>
        <v/>
      </c>
    </row>
    <row r="715" spans="1:23" ht="12.5">
      <c r="A715" s="23"/>
      <c r="B715" s="5" t="str">
        <f t="array" ref="B715">IF(W715=1,INDEX('Database Mitra'!$H$2:$H905,MATCH(A715,'Database Mitra'!AK$2:AK905,0)),"")</f>
        <v/>
      </c>
      <c r="C715" s="5" t="str">
        <f t="array" ref="C715">IF(W715=1,INDEX('Database Mitra'!$E$2:$E905,MATCH(A715,'Database Mitra'!AK$2:AK905,0)),"")</f>
        <v/>
      </c>
      <c r="D715" s="23"/>
      <c r="E715" s="5" t="str">
        <f t="array" ref="E715">IF(W715=1,INDEX('Input Kegiatan'!B$2:B905,MATCH($D715,'Input Kegiatan'!$A$2:$A905,0)),"")</f>
        <v/>
      </c>
      <c r="F715" s="5" t="str">
        <f t="array" ref="F715">IF(W715=1,INDEX('Input Kegiatan'!D$2:D905,MATCH($D715,'Input Kegiatan'!$A$2:$A905,0)),"")</f>
        <v/>
      </c>
      <c r="G715" s="5" t="str">
        <f t="array" ref="G715">IF(W715=1,INDEX('Input Kegiatan'!E$2:E905,MATCH($D715,'Input Kegiatan'!$A$2:$A905,0)),"")</f>
        <v/>
      </c>
      <c r="H715" s="5" t="str">
        <f t="array" ref="H715">IF(W715=1,INDEX(Honor!$H$2:$H905,MATCH($D715&amp;"-"&amp;R715,Honor!$K$2:$K905,0)),"")</f>
        <v/>
      </c>
      <c r="I715" s="8" t="str">
        <f>IF(W715=1,SUMIFS(Honor!$I$2:$I905,Honor!$K$2:$K905,$D715&amp;"-"&amp;R715),"")</f>
        <v/>
      </c>
      <c r="J715" s="9" t="str">
        <f t="shared" si="6"/>
        <v/>
      </c>
      <c r="K715" s="10" t="str">
        <f t="shared" si="0"/>
        <v/>
      </c>
      <c r="L715" s="10" t="str">
        <f t="shared" si="1"/>
        <v/>
      </c>
      <c r="M715" s="10" t="str">
        <f>IF(W715=1,IF(AND(U715&lt;2,INT(V715)&lt;='Batasan Honor'!$B$2),1,0),"")</f>
        <v/>
      </c>
      <c r="O715" s="10" t="str">
        <f t="shared" si="2"/>
        <v/>
      </c>
      <c r="P715" s="10" t="str">
        <f t="shared" si="3"/>
        <v/>
      </c>
      <c r="R715" s="23"/>
      <c r="S715" s="10" t="str">
        <f t="shared" si="4"/>
        <v/>
      </c>
      <c r="U715" s="10" t="str">
        <f ca="1">IFERROR(__xludf.DUMMYFUNCTION("if(W715=1,COUNTIFS(FILTER($H$2:$H905,$H$2:$H905=""OB"",$S$2:$S905=S715),""OB""),"""")"),"")</f>
        <v/>
      </c>
      <c r="V715" s="10" t="str">
        <f ca="1">IFERROR(__xludf.DUMMYFUNCTION("IF(OR(ISNA(SUM(FILTER($K$2:$K905,$A$2:$A905=A715,$S$2:$S905=S715,$H$2:$H905&lt;&gt;""OB""))),W715&lt;&gt;1),"""",SUM(FILTER($K$2:$K905,$A$2:$A905=A715,$S$2:$S905=S715,$H$2:$H905&lt;&gt;""OB"")))"),"")</f>
        <v/>
      </c>
      <c r="W715" s="10" t="str">
        <f t="shared" si="5"/>
        <v/>
      </c>
    </row>
    <row r="716" spans="1:23" ht="12.5">
      <c r="A716" s="23"/>
      <c r="B716" s="5" t="str">
        <f t="array" ref="B716">IF(W716=1,INDEX('Database Mitra'!$H$2:$H905,MATCH(A716,'Database Mitra'!AK$2:AK905,0)),"")</f>
        <v/>
      </c>
      <c r="C716" s="5" t="str">
        <f t="array" ref="C716">IF(W716=1,INDEX('Database Mitra'!$E$2:$E905,MATCH(A716,'Database Mitra'!AK$2:AK905,0)),"")</f>
        <v/>
      </c>
      <c r="D716" s="23"/>
      <c r="E716" s="5" t="str">
        <f t="array" ref="E716">IF(W716=1,INDEX('Input Kegiatan'!B$2:B905,MATCH($D716,'Input Kegiatan'!$A$2:$A905,0)),"")</f>
        <v/>
      </c>
      <c r="F716" s="5" t="str">
        <f t="array" ref="F716">IF(W716=1,INDEX('Input Kegiatan'!D$2:D905,MATCH($D716,'Input Kegiatan'!$A$2:$A905,0)),"")</f>
        <v/>
      </c>
      <c r="G716" s="5" t="str">
        <f t="array" ref="G716">IF(W716=1,INDEX('Input Kegiatan'!E$2:E905,MATCH($D716,'Input Kegiatan'!$A$2:$A905,0)),"")</f>
        <v/>
      </c>
      <c r="H716" s="5" t="str">
        <f t="array" ref="H716">IF(W716=1,INDEX(Honor!$H$2:$H905,MATCH($D716&amp;"-"&amp;R716,Honor!$K$2:$K905,0)),"")</f>
        <v/>
      </c>
      <c r="I716" s="8" t="str">
        <f>IF(W716=1,SUMIFS(Honor!$I$2:$I905,Honor!$K$2:$K905,$D716&amp;"-"&amp;R716),"")</f>
        <v/>
      </c>
      <c r="J716" s="9" t="str">
        <f t="shared" si="6"/>
        <v/>
      </c>
      <c r="K716" s="10" t="str">
        <f t="shared" si="0"/>
        <v/>
      </c>
      <c r="L716" s="10" t="str">
        <f t="shared" si="1"/>
        <v/>
      </c>
      <c r="M716" s="10" t="str">
        <f>IF(W716=1,IF(AND(U716&lt;2,INT(V716)&lt;='Batasan Honor'!$B$2),1,0),"")</f>
        <v/>
      </c>
      <c r="O716" s="10" t="str">
        <f t="shared" si="2"/>
        <v/>
      </c>
      <c r="P716" s="10" t="str">
        <f t="shared" si="3"/>
        <v/>
      </c>
      <c r="R716" s="23"/>
      <c r="S716" s="10" t="str">
        <f t="shared" si="4"/>
        <v/>
      </c>
      <c r="U716" s="10" t="str">
        <f ca="1">IFERROR(__xludf.DUMMYFUNCTION("if(W716=1,COUNTIFS(FILTER($H$2:$H905,$H$2:$H905=""OB"",$S$2:$S905=S716),""OB""),"""")"),"")</f>
        <v/>
      </c>
      <c r="V716" s="10" t="str">
        <f ca="1">IFERROR(__xludf.DUMMYFUNCTION("IF(OR(ISNA(SUM(FILTER($K$2:$K905,$A$2:$A905=A716,$S$2:$S905=S716,$H$2:$H905&lt;&gt;""OB""))),W716&lt;&gt;1),"""",SUM(FILTER($K$2:$K905,$A$2:$A905=A716,$S$2:$S905=S716,$H$2:$H905&lt;&gt;""OB"")))"),"")</f>
        <v/>
      </c>
      <c r="W716" s="10" t="str">
        <f t="shared" si="5"/>
        <v/>
      </c>
    </row>
    <row r="717" spans="1:23" ht="12.5">
      <c r="A717" s="23"/>
      <c r="B717" s="5" t="str">
        <f t="array" ref="B717">IF(W717=1,INDEX('Database Mitra'!$H$2:$H905,MATCH(A717,'Database Mitra'!AK$2:AK905,0)),"")</f>
        <v/>
      </c>
      <c r="C717" s="5" t="str">
        <f t="array" ref="C717">IF(W717=1,INDEX('Database Mitra'!$E$2:$E905,MATCH(A717,'Database Mitra'!AK$2:AK905,0)),"")</f>
        <v/>
      </c>
      <c r="D717" s="23"/>
      <c r="E717" s="5" t="str">
        <f t="array" ref="E717">IF(W717=1,INDEX('Input Kegiatan'!B$2:B905,MATCH($D717,'Input Kegiatan'!$A$2:$A905,0)),"")</f>
        <v/>
      </c>
      <c r="F717" s="5" t="str">
        <f t="array" ref="F717">IF(W717=1,INDEX('Input Kegiatan'!D$2:D905,MATCH($D717,'Input Kegiatan'!$A$2:$A905,0)),"")</f>
        <v/>
      </c>
      <c r="G717" s="5" t="str">
        <f t="array" ref="G717">IF(W717=1,INDEX('Input Kegiatan'!E$2:E905,MATCH($D717,'Input Kegiatan'!$A$2:$A905,0)),"")</f>
        <v/>
      </c>
      <c r="H717" s="5" t="str">
        <f t="array" ref="H717">IF(W717=1,INDEX(Honor!$H$2:$H905,MATCH($D717&amp;"-"&amp;R717,Honor!$K$2:$K905,0)),"")</f>
        <v/>
      </c>
      <c r="I717" s="8" t="str">
        <f>IF(W717=1,SUMIFS(Honor!$I$2:$I905,Honor!$K$2:$K905,$D717&amp;"-"&amp;R717),"")</f>
        <v/>
      </c>
      <c r="J717" s="9" t="str">
        <f t="shared" si="6"/>
        <v/>
      </c>
      <c r="K717" s="10" t="str">
        <f t="shared" si="0"/>
        <v/>
      </c>
      <c r="L717" s="10" t="str">
        <f t="shared" si="1"/>
        <v/>
      </c>
      <c r="M717" s="10" t="str">
        <f>IF(W717=1,IF(AND(U717&lt;2,INT(V717)&lt;='Batasan Honor'!$B$2),1,0),"")</f>
        <v/>
      </c>
      <c r="O717" s="10" t="str">
        <f t="shared" si="2"/>
        <v/>
      </c>
      <c r="P717" s="10" t="str">
        <f t="shared" si="3"/>
        <v/>
      </c>
      <c r="R717" s="23"/>
      <c r="S717" s="10" t="str">
        <f t="shared" si="4"/>
        <v/>
      </c>
      <c r="U717" s="10" t="str">
        <f ca="1">IFERROR(__xludf.DUMMYFUNCTION("if(W717=1,COUNTIFS(FILTER($H$2:$H905,$H$2:$H905=""OB"",$S$2:$S905=S717),""OB""),"""")"),"")</f>
        <v/>
      </c>
      <c r="V717" s="10" t="str">
        <f ca="1">IFERROR(__xludf.DUMMYFUNCTION("IF(OR(ISNA(SUM(FILTER($K$2:$K905,$A$2:$A905=A717,$S$2:$S905=S717,$H$2:$H905&lt;&gt;""OB""))),W717&lt;&gt;1),"""",SUM(FILTER($K$2:$K905,$A$2:$A905=A717,$S$2:$S905=S717,$H$2:$H905&lt;&gt;""OB"")))"),"")</f>
        <v/>
      </c>
      <c r="W717" s="10" t="str">
        <f t="shared" si="5"/>
        <v/>
      </c>
    </row>
    <row r="718" spans="1:23" ht="12.5">
      <c r="A718" s="23"/>
      <c r="B718" s="5" t="str">
        <f t="array" ref="B718">IF(W718=1,INDEX('Database Mitra'!$H$2:$H905,MATCH(A718,'Database Mitra'!AK$2:AK905,0)),"")</f>
        <v/>
      </c>
      <c r="C718" s="5" t="str">
        <f t="array" ref="C718">IF(W718=1,INDEX('Database Mitra'!$E$2:$E905,MATCH(A718,'Database Mitra'!AK$2:AK905,0)),"")</f>
        <v/>
      </c>
      <c r="D718" s="23"/>
      <c r="E718" s="5" t="str">
        <f t="array" ref="E718">IF(W718=1,INDEX('Input Kegiatan'!B$2:B905,MATCH($D718,'Input Kegiatan'!$A$2:$A905,0)),"")</f>
        <v/>
      </c>
      <c r="F718" s="5" t="str">
        <f t="array" ref="F718">IF(W718=1,INDEX('Input Kegiatan'!D$2:D905,MATCH($D718,'Input Kegiatan'!$A$2:$A905,0)),"")</f>
        <v/>
      </c>
      <c r="G718" s="5" t="str">
        <f t="array" ref="G718">IF(W718=1,INDEX('Input Kegiatan'!E$2:E905,MATCH($D718,'Input Kegiatan'!$A$2:$A905,0)),"")</f>
        <v/>
      </c>
      <c r="H718" s="5" t="str">
        <f t="array" ref="H718">IF(W718=1,INDEX(Honor!$H$2:$H905,MATCH($D718&amp;"-"&amp;R718,Honor!$K$2:$K905,0)),"")</f>
        <v/>
      </c>
      <c r="I718" s="8" t="str">
        <f>IF(W718=1,SUMIFS(Honor!$I$2:$I905,Honor!$K$2:$K905,$D718&amp;"-"&amp;R718),"")</f>
        <v/>
      </c>
      <c r="J718" s="9" t="str">
        <f t="shared" si="6"/>
        <v/>
      </c>
      <c r="K718" s="10" t="str">
        <f t="shared" si="0"/>
        <v/>
      </c>
      <c r="L718" s="10" t="str">
        <f t="shared" si="1"/>
        <v/>
      </c>
      <c r="M718" s="10" t="str">
        <f>IF(W718=1,IF(AND(U718&lt;2,INT(V718)&lt;='Batasan Honor'!$B$2),1,0),"")</f>
        <v/>
      </c>
      <c r="O718" s="10" t="str">
        <f t="shared" si="2"/>
        <v/>
      </c>
      <c r="P718" s="10" t="str">
        <f t="shared" si="3"/>
        <v/>
      </c>
      <c r="R718" s="23"/>
      <c r="S718" s="10" t="str">
        <f t="shared" si="4"/>
        <v/>
      </c>
      <c r="U718" s="10" t="str">
        <f ca="1">IFERROR(__xludf.DUMMYFUNCTION("if(W718=1,COUNTIFS(FILTER($H$2:$H905,$H$2:$H905=""OB"",$S$2:$S905=S718),""OB""),"""")"),"")</f>
        <v/>
      </c>
      <c r="V718" s="10" t="str">
        <f ca="1">IFERROR(__xludf.DUMMYFUNCTION("IF(OR(ISNA(SUM(FILTER($K$2:$K905,$A$2:$A905=A718,$S$2:$S905=S718,$H$2:$H905&lt;&gt;""OB""))),W718&lt;&gt;1),"""",SUM(FILTER($K$2:$K905,$A$2:$A905=A718,$S$2:$S905=S718,$H$2:$H905&lt;&gt;""OB"")))"),"")</f>
        <v/>
      </c>
      <c r="W718" s="10" t="str">
        <f t="shared" si="5"/>
        <v/>
      </c>
    </row>
    <row r="719" spans="1:23" ht="12.5">
      <c r="A719" s="23"/>
      <c r="B719" s="5" t="str">
        <f t="array" ref="B719">IF(W719=1,INDEX('Database Mitra'!$H$2:$H905,MATCH(A719,'Database Mitra'!AK$2:AK905,0)),"")</f>
        <v/>
      </c>
      <c r="C719" s="5" t="str">
        <f t="array" ref="C719">IF(W719=1,INDEX('Database Mitra'!$E$2:$E905,MATCH(A719,'Database Mitra'!AK$2:AK905,0)),"")</f>
        <v/>
      </c>
      <c r="D719" s="23"/>
      <c r="E719" s="5" t="str">
        <f t="array" ref="E719">IF(W719=1,INDEX('Input Kegiatan'!B$2:B905,MATCH($D719,'Input Kegiatan'!$A$2:$A905,0)),"")</f>
        <v/>
      </c>
      <c r="F719" s="5" t="str">
        <f t="array" ref="F719">IF(W719=1,INDEX('Input Kegiatan'!D$2:D905,MATCH($D719,'Input Kegiatan'!$A$2:$A905,0)),"")</f>
        <v/>
      </c>
      <c r="G719" s="5" t="str">
        <f t="array" ref="G719">IF(W719=1,INDEX('Input Kegiatan'!E$2:E905,MATCH($D719,'Input Kegiatan'!$A$2:$A905,0)),"")</f>
        <v/>
      </c>
      <c r="H719" s="5" t="str">
        <f t="array" ref="H719">IF(W719=1,INDEX(Honor!$H$2:$H905,MATCH($D719&amp;"-"&amp;R719,Honor!$K$2:$K905,0)),"")</f>
        <v/>
      </c>
      <c r="I719" s="8" t="str">
        <f>IF(W719=1,SUMIFS(Honor!$I$2:$I905,Honor!$K$2:$K905,$D719&amp;"-"&amp;R719),"")</f>
        <v/>
      </c>
      <c r="J719" s="9" t="str">
        <f t="shared" si="6"/>
        <v/>
      </c>
      <c r="K719" s="10" t="str">
        <f t="shared" si="0"/>
        <v/>
      </c>
      <c r="L719" s="10" t="str">
        <f t="shared" si="1"/>
        <v/>
      </c>
      <c r="M719" s="10" t="str">
        <f>IF(W719=1,IF(AND(U719&lt;2,INT(V719)&lt;='Batasan Honor'!$B$2),1,0),"")</f>
        <v/>
      </c>
      <c r="O719" s="10" t="str">
        <f t="shared" si="2"/>
        <v/>
      </c>
      <c r="P719" s="10" t="str">
        <f t="shared" si="3"/>
        <v/>
      </c>
      <c r="R719" s="23"/>
      <c r="S719" s="10" t="str">
        <f t="shared" si="4"/>
        <v/>
      </c>
      <c r="U719" s="10" t="str">
        <f ca="1">IFERROR(__xludf.DUMMYFUNCTION("if(W719=1,COUNTIFS(FILTER($H$2:$H905,$H$2:$H905=""OB"",$S$2:$S905=S719),""OB""),"""")"),"")</f>
        <v/>
      </c>
      <c r="V719" s="10" t="str">
        <f ca="1">IFERROR(__xludf.DUMMYFUNCTION("IF(OR(ISNA(SUM(FILTER($K$2:$K905,$A$2:$A905=A719,$S$2:$S905=S719,$H$2:$H905&lt;&gt;""OB""))),W719&lt;&gt;1),"""",SUM(FILTER($K$2:$K905,$A$2:$A905=A719,$S$2:$S905=S719,$H$2:$H905&lt;&gt;""OB"")))"),"")</f>
        <v/>
      </c>
      <c r="W719" s="10" t="str">
        <f t="shared" si="5"/>
        <v/>
      </c>
    </row>
    <row r="720" spans="1:23" ht="12.5">
      <c r="A720" s="23"/>
      <c r="B720" s="5" t="str">
        <f t="array" ref="B720">IF(W720=1,INDEX('Database Mitra'!$H$2:$H905,MATCH(A720,'Database Mitra'!AK$2:AK905,0)),"")</f>
        <v/>
      </c>
      <c r="C720" s="5" t="str">
        <f t="array" ref="C720">IF(W720=1,INDEX('Database Mitra'!$E$2:$E905,MATCH(A720,'Database Mitra'!AK$2:AK905,0)),"")</f>
        <v/>
      </c>
      <c r="D720" s="23"/>
      <c r="E720" s="5" t="str">
        <f t="array" ref="E720">IF(W720=1,INDEX('Input Kegiatan'!B$2:B905,MATCH($D720,'Input Kegiatan'!$A$2:$A905,0)),"")</f>
        <v/>
      </c>
      <c r="F720" s="5" t="str">
        <f t="array" ref="F720">IF(W720=1,INDEX('Input Kegiatan'!D$2:D905,MATCH($D720,'Input Kegiatan'!$A$2:$A905,0)),"")</f>
        <v/>
      </c>
      <c r="G720" s="5" t="str">
        <f t="array" ref="G720">IF(W720=1,INDEX('Input Kegiatan'!E$2:E905,MATCH($D720,'Input Kegiatan'!$A$2:$A905,0)),"")</f>
        <v/>
      </c>
      <c r="H720" s="5" t="str">
        <f t="array" ref="H720">IF(W720=1,INDEX(Honor!$H$2:$H905,MATCH($D720&amp;"-"&amp;R720,Honor!$K$2:$K905,0)),"")</f>
        <v/>
      </c>
      <c r="I720" s="8" t="str">
        <f>IF(W720=1,SUMIFS(Honor!$I$2:$I905,Honor!$K$2:$K905,$D720&amp;"-"&amp;R720),"")</f>
        <v/>
      </c>
      <c r="J720" s="9" t="str">
        <f t="shared" si="6"/>
        <v/>
      </c>
      <c r="K720" s="10" t="str">
        <f t="shared" si="0"/>
        <v/>
      </c>
      <c r="L720" s="10" t="str">
        <f t="shared" si="1"/>
        <v/>
      </c>
      <c r="M720" s="10" t="str">
        <f>IF(W720=1,IF(AND(U720&lt;2,INT(V720)&lt;='Batasan Honor'!$B$2),1,0),"")</f>
        <v/>
      </c>
      <c r="O720" s="10" t="str">
        <f t="shared" si="2"/>
        <v/>
      </c>
      <c r="P720" s="10" t="str">
        <f t="shared" si="3"/>
        <v/>
      </c>
      <c r="R720" s="23"/>
      <c r="S720" s="10" t="str">
        <f t="shared" si="4"/>
        <v/>
      </c>
      <c r="U720" s="10" t="str">
        <f ca="1">IFERROR(__xludf.DUMMYFUNCTION("if(W720=1,COUNTIFS(FILTER($H$2:$H905,$H$2:$H905=""OB"",$S$2:$S905=S720),""OB""),"""")"),"")</f>
        <v/>
      </c>
      <c r="V720" s="10" t="str">
        <f ca="1">IFERROR(__xludf.DUMMYFUNCTION("IF(OR(ISNA(SUM(FILTER($K$2:$K905,$A$2:$A905=A720,$S$2:$S905=S720,$H$2:$H905&lt;&gt;""OB""))),W720&lt;&gt;1),"""",SUM(FILTER($K$2:$K905,$A$2:$A905=A720,$S$2:$S905=S720,$H$2:$H905&lt;&gt;""OB"")))"),"")</f>
        <v/>
      </c>
      <c r="W720" s="10" t="str">
        <f t="shared" si="5"/>
        <v/>
      </c>
    </row>
    <row r="721" spans="1:23" ht="12.5">
      <c r="A721" s="23"/>
      <c r="B721" s="5" t="str">
        <f t="array" ref="B721">IF(W721=1,INDEX('Database Mitra'!$H$2:$H905,MATCH(A721,'Database Mitra'!AK$2:AK905,0)),"")</f>
        <v/>
      </c>
      <c r="C721" s="5" t="str">
        <f t="array" ref="C721">IF(W721=1,INDEX('Database Mitra'!$E$2:$E905,MATCH(A721,'Database Mitra'!AK$2:AK905,0)),"")</f>
        <v/>
      </c>
      <c r="D721" s="23"/>
      <c r="E721" s="5" t="str">
        <f t="array" ref="E721">IF(W721=1,INDEX('Input Kegiatan'!B$2:B905,MATCH($D721,'Input Kegiatan'!$A$2:$A905,0)),"")</f>
        <v/>
      </c>
      <c r="F721" s="5" t="str">
        <f t="array" ref="F721">IF(W721=1,INDEX('Input Kegiatan'!D$2:D905,MATCH($D721,'Input Kegiatan'!$A$2:$A905,0)),"")</f>
        <v/>
      </c>
      <c r="G721" s="5" t="str">
        <f t="array" ref="G721">IF(W721=1,INDEX('Input Kegiatan'!E$2:E905,MATCH($D721,'Input Kegiatan'!$A$2:$A905,0)),"")</f>
        <v/>
      </c>
      <c r="H721" s="5" t="str">
        <f t="array" ref="H721">IF(W721=1,INDEX(Honor!$H$2:$H905,MATCH($D721&amp;"-"&amp;R721,Honor!$K$2:$K905,0)),"")</f>
        <v/>
      </c>
      <c r="I721" s="8" t="str">
        <f>IF(W721=1,SUMIFS(Honor!$I$2:$I905,Honor!$K$2:$K905,$D721&amp;"-"&amp;R721),"")</f>
        <v/>
      </c>
      <c r="J721" s="9" t="str">
        <f t="shared" si="6"/>
        <v/>
      </c>
      <c r="K721" s="10" t="str">
        <f t="shared" si="0"/>
        <v/>
      </c>
      <c r="L721" s="10" t="str">
        <f t="shared" si="1"/>
        <v/>
      </c>
      <c r="M721" s="10" t="str">
        <f>IF(W721=1,IF(AND(U721&lt;2,INT(V721)&lt;='Batasan Honor'!$B$2),1,0),"")</f>
        <v/>
      </c>
      <c r="O721" s="10" t="str">
        <f t="shared" si="2"/>
        <v/>
      </c>
      <c r="P721" s="10" t="str">
        <f t="shared" si="3"/>
        <v/>
      </c>
      <c r="R721" s="23"/>
      <c r="S721" s="10" t="str">
        <f t="shared" si="4"/>
        <v/>
      </c>
      <c r="U721" s="10" t="str">
        <f ca="1">IFERROR(__xludf.DUMMYFUNCTION("if(W721=1,COUNTIFS(FILTER($H$2:$H905,$H$2:$H905=""OB"",$S$2:$S905=S721),""OB""),"""")"),"")</f>
        <v/>
      </c>
      <c r="V721" s="10" t="str">
        <f ca="1">IFERROR(__xludf.DUMMYFUNCTION("IF(OR(ISNA(SUM(FILTER($K$2:$K905,$A$2:$A905=A721,$S$2:$S905=S721,$H$2:$H905&lt;&gt;""OB""))),W721&lt;&gt;1),"""",SUM(FILTER($K$2:$K905,$A$2:$A905=A721,$S$2:$S905=S721,$H$2:$H905&lt;&gt;""OB"")))"),"")</f>
        <v/>
      </c>
      <c r="W721" s="10" t="str">
        <f t="shared" si="5"/>
        <v/>
      </c>
    </row>
    <row r="722" spans="1:23" ht="12.5">
      <c r="A722" s="23"/>
      <c r="B722" s="5" t="str">
        <f t="array" ref="B722">IF(W722=1,INDEX('Database Mitra'!$H$2:$H905,MATCH(A722,'Database Mitra'!AK$2:AK905,0)),"")</f>
        <v/>
      </c>
      <c r="C722" s="5" t="str">
        <f t="array" ref="C722">IF(W722=1,INDEX('Database Mitra'!$E$2:$E905,MATCH(A722,'Database Mitra'!AK$2:AK905,0)),"")</f>
        <v/>
      </c>
      <c r="D722" s="23"/>
      <c r="E722" s="5" t="str">
        <f t="array" ref="E722">IF(W722=1,INDEX('Input Kegiatan'!B$2:B905,MATCH($D722,'Input Kegiatan'!$A$2:$A905,0)),"")</f>
        <v/>
      </c>
      <c r="F722" s="5" t="str">
        <f t="array" ref="F722">IF(W722=1,INDEX('Input Kegiatan'!D$2:D905,MATCH($D722,'Input Kegiatan'!$A$2:$A905,0)),"")</f>
        <v/>
      </c>
      <c r="G722" s="5" t="str">
        <f t="array" ref="G722">IF(W722=1,INDEX('Input Kegiatan'!E$2:E905,MATCH($D722,'Input Kegiatan'!$A$2:$A905,0)),"")</f>
        <v/>
      </c>
      <c r="H722" s="5" t="str">
        <f t="array" ref="H722">IF(W722=1,INDEX(Honor!$H$2:$H905,MATCH($D722&amp;"-"&amp;R722,Honor!$K$2:$K905,0)),"")</f>
        <v/>
      </c>
      <c r="I722" s="8" t="str">
        <f>IF(W722=1,SUMIFS(Honor!$I$2:$I905,Honor!$K$2:$K905,$D722&amp;"-"&amp;R722),"")</f>
        <v/>
      </c>
      <c r="J722" s="9" t="str">
        <f t="shared" si="6"/>
        <v/>
      </c>
      <c r="K722" s="10" t="str">
        <f t="shared" si="0"/>
        <v/>
      </c>
      <c r="L722" s="10" t="str">
        <f t="shared" si="1"/>
        <v/>
      </c>
      <c r="M722" s="10" t="str">
        <f>IF(W722=1,IF(AND(U722&lt;2,INT(V722)&lt;='Batasan Honor'!$B$2),1,0),"")</f>
        <v/>
      </c>
      <c r="O722" s="10" t="str">
        <f t="shared" si="2"/>
        <v/>
      </c>
      <c r="P722" s="10" t="str">
        <f t="shared" si="3"/>
        <v/>
      </c>
      <c r="R722" s="23"/>
      <c r="S722" s="10" t="str">
        <f t="shared" si="4"/>
        <v/>
      </c>
      <c r="U722" s="10" t="str">
        <f ca="1">IFERROR(__xludf.DUMMYFUNCTION("if(W722=1,COUNTIFS(FILTER($H$2:$H905,$H$2:$H905=""OB"",$S$2:$S905=S722),""OB""),"""")"),"")</f>
        <v/>
      </c>
      <c r="V722" s="10" t="str">
        <f ca="1">IFERROR(__xludf.DUMMYFUNCTION("IF(OR(ISNA(SUM(FILTER($K$2:$K905,$A$2:$A905=A722,$S$2:$S905=S722,$H$2:$H905&lt;&gt;""OB""))),W722&lt;&gt;1),"""",SUM(FILTER($K$2:$K905,$A$2:$A905=A722,$S$2:$S905=S722,$H$2:$H905&lt;&gt;""OB"")))"),"")</f>
        <v/>
      </c>
      <c r="W722" s="10" t="str">
        <f t="shared" si="5"/>
        <v/>
      </c>
    </row>
    <row r="723" spans="1:23" ht="12.5">
      <c r="A723" s="23"/>
      <c r="B723" s="5" t="str">
        <f t="array" ref="B723">IF(W723=1,INDEX('Database Mitra'!$H$2:$H905,MATCH(A723,'Database Mitra'!AK$2:AK905,0)),"")</f>
        <v/>
      </c>
      <c r="C723" s="5" t="str">
        <f t="array" ref="C723">IF(W723=1,INDEX('Database Mitra'!$E$2:$E905,MATCH(A723,'Database Mitra'!AK$2:AK905,0)),"")</f>
        <v/>
      </c>
      <c r="D723" s="23"/>
      <c r="E723" s="5" t="str">
        <f t="array" ref="E723">IF(W723=1,INDEX('Input Kegiatan'!B$2:B905,MATCH($D723,'Input Kegiatan'!$A$2:$A905,0)),"")</f>
        <v/>
      </c>
      <c r="F723" s="5" t="str">
        <f t="array" ref="F723">IF(W723=1,INDEX('Input Kegiatan'!D$2:D905,MATCH($D723,'Input Kegiatan'!$A$2:$A905,0)),"")</f>
        <v/>
      </c>
      <c r="G723" s="5" t="str">
        <f t="array" ref="G723">IF(W723=1,INDEX('Input Kegiatan'!E$2:E905,MATCH($D723,'Input Kegiatan'!$A$2:$A905,0)),"")</f>
        <v/>
      </c>
      <c r="H723" s="5" t="str">
        <f t="array" ref="H723">IF(W723=1,INDEX(Honor!$H$2:$H905,MATCH($D723&amp;"-"&amp;R723,Honor!$K$2:$K905,0)),"")</f>
        <v/>
      </c>
      <c r="I723" s="8" t="str">
        <f>IF(W723=1,SUMIFS(Honor!$I$2:$I905,Honor!$K$2:$K905,$D723&amp;"-"&amp;R723),"")</f>
        <v/>
      </c>
      <c r="J723" s="9" t="str">
        <f t="shared" si="6"/>
        <v/>
      </c>
      <c r="K723" s="10" t="str">
        <f t="shared" si="0"/>
        <v/>
      </c>
      <c r="L723" s="10" t="str">
        <f t="shared" si="1"/>
        <v/>
      </c>
      <c r="M723" s="10" t="str">
        <f>IF(W723=1,IF(AND(U723&lt;2,INT(V723)&lt;='Batasan Honor'!$B$2),1,0),"")</f>
        <v/>
      </c>
      <c r="O723" s="10" t="str">
        <f t="shared" si="2"/>
        <v/>
      </c>
      <c r="P723" s="10" t="str">
        <f t="shared" si="3"/>
        <v/>
      </c>
      <c r="R723" s="23"/>
      <c r="S723" s="10" t="str">
        <f t="shared" si="4"/>
        <v/>
      </c>
      <c r="U723" s="10" t="str">
        <f ca="1">IFERROR(__xludf.DUMMYFUNCTION("if(W723=1,COUNTIFS(FILTER($H$2:$H905,$H$2:$H905=""OB"",$S$2:$S905=S723),""OB""),"""")"),"")</f>
        <v/>
      </c>
      <c r="V723" s="10" t="str">
        <f ca="1">IFERROR(__xludf.DUMMYFUNCTION("IF(OR(ISNA(SUM(FILTER($K$2:$K905,$A$2:$A905=A723,$S$2:$S905=S723,$H$2:$H905&lt;&gt;""OB""))),W723&lt;&gt;1),"""",SUM(FILTER($K$2:$K905,$A$2:$A905=A723,$S$2:$S905=S723,$H$2:$H905&lt;&gt;""OB"")))"),"")</f>
        <v/>
      </c>
      <c r="W723" s="10" t="str">
        <f t="shared" si="5"/>
        <v/>
      </c>
    </row>
    <row r="724" spans="1:23" ht="12.5">
      <c r="A724" s="23"/>
      <c r="B724" s="5" t="str">
        <f t="array" ref="B724">IF(W724=1,INDEX('Database Mitra'!$H$2:$H905,MATCH(A724,'Database Mitra'!AK$2:AK905,0)),"")</f>
        <v/>
      </c>
      <c r="C724" s="5" t="str">
        <f t="array" ref="C724">IF(W724=1,INDEX('Database Mitra'!$E$2:$E905,MATCH(A724,'Database Mitra'!AK$2:AK905,0)),"")</f>
        <v/>
      </c>
      <c r="D724" s="23"/>
      <c r="E724" s="5" t="str">
        <f t="array" ref="E724">IF(W724=1,INDEX('Input Kegiatan'!B$2:B905,MATCH($D724,'Input Kegiatan'!$A$2:$A905,0)),"")</f>
        <v/>
      </c>
      <c r="F724" s="5" t="str">
        <f t="array" ref="F724">IF(W724=1,INDEX('Input Kegiatan'!D$2:D905,MATCH($D724,'Input Kegiatan'!$A$2:$A905,0)),"")</f>
        <v/>
      </c>
      <c r="G724" s="5" t="str">
        <f t="array" ref="G724">IF(W724=1,INDEX('Input Kegiatan'!E$2:E905,MATCH($D724,'Input Kegiatan'!$A$2:$A905,0)),"")</f>
        <v/>
      </c>
      <c r="H724" s="5" t="str">
        <f t="array" ref="H724">IF(W724=1,INDEX(Honor!$H$2:$H905,MATCH($D724&amp;"-"&amp;R724,Honor!$K$2:$K905,0)),"")</f>
        <v/>
      </c>
      <c r="I724" s="8" t="str">
        <f>IF(W724=1,SUMIFS(Honor!$I$2:$I905,Honor!$K$2:$K905,$D724&amp;"-"&amp;R724),"")</f>
        <v/>
      </c>
      <c r="J724" s="9" t="str">
        <f t="shared" si="6"/>
        <v/>
      </c>
      <c r="K724" s="10" t="str">
        <f t="shared" si="0"/>
        <v/>
      </c>
      <c r="L724" s="10" t="str">
        <f t="shared" si="1"/>
        <v/>
      </c>
      <c r="M724" s="10" t="str">
        <f>IF(W724=1,IF(AND(U724&lt;2,INT(V724)&lt;='Batasan Honor'!$B$2),1,0),"")</f>
        <v/>
      </c>
      <c r="O724" s="10" t="str">
        <f t="shared" si="2"/>
        <v/>
      </c>
      <c r="P724" s="10" t="str">
        <f t="shared" si="3"/>
        <v/>
      </c>
      <c r="R724" s="23"/>
      <c r="S724" s="10" t="str">
        <f t="shared" si="4"/>
        <v/>
      </c>
      <c r="U724" s="10" t="str">
        <f ca="1">IFERROR(__xludf.DUMMYFUNCTION("if(W724=1,COUNTIFS(FILTER($H$2:$H905,$H$2:$H905=""OB"",$S$2:$S905=S724),""OB""),"""")"),"")</f>
        <v/>
      </c>
      <c r="V724" s="10" t="str">
        <f ca="1">IFERROR(__xludf.DUMMYFUNCTION("IF(OR(ISNA(SUM(FILTER($K$2:$K905,$A$2:$A905=A724,$S$2:$S905=S724,$H$2:$H905&lt;&gt;""OB""))),W724&lt;&gt;1),"""",SUM(FILTER($K$2:$K905,$A$2:$A905=A724,$S$2:$S905=S724,$H$2:$H905&lt;&gt;""OB"")))"),"")</f>
        <v/>
      </c>
      <c r="W724" s="10" t="str">
        <f t="shared" si="5"/>
        <v/>
      </c>
    </row>
    <row r="725" spans="1:23" ht="12.5">
      <c r="A725" s="23"/>
      <c r="B725" s="5" t="str">
        <f t="array" ref="B725">IF(W725=1,INDEX('Database Mitra'!$H$2:$H905,MATCH(A725,'Database Mitra'!AK$2:AK905,0)),"")</f>
        <v/>
      </c>
      <c r="C725" s="5" t="str">
        <f t="array" ref="C725">IF(W725=1,INDEX('Database Mitra'!$E$2:$E905,MATCH(A725,'Database Mitra'!AK$2:AK905,0)),"")</f>
        <v/>
      </c>
      <c r="D725" s="23"/>
      <c r="E725" s="5" t="str">
        <f t="array" ref="E725">IF(W725=1,INDEX('Input Kegiatan'!B$2:B905,MATCH($D725,'Input Kegiatan'!$A$2:$A905,0)),"")</f>
        <v/>
      </c>
      <c r="F725" s="5" t="str">
        <f t="array" ref="F725">IF(W725=1,INDEX('Input Kegiatan'!D$2:D905,MATCH($D725,'Input Kegiatan'!$A$2:$A905,0)),"")</f>
        <v/>
      </c>
      <c r="G725" s="5" t="str">
        <f t="array" ref="G725">IF(W725=1,INDEX('Input Kegiatan'!E$2:E905,MATCH($D725,'Input Kegiatan'!$A$2:$A905,0)),"")</f>
        <v/>
      </c>
      <c r="H725" s="5" t="str">
        <f t="array" ref="H725">IF(W725=1,INDEX(Honor!$H$2:$H905,MATCH($D725&amp;"-"&amp;R725,Honor!$K$2:$K905,0)),"")</f>
        <v/>
      </c>
      <c r="I725" s="8" t="str">
        <f>IF(W725=1,SUMIFS(Honor!$I$2:$I905,Honor!$K$2:$K905,$D725&amp;"-"&amp;R725),"")</f>
        <v/>
      </c>
      <c r="J725" s="9" t="str">
        <f t="shared" si="6"/>
        <v/>
      </c>
      <c r="K725" s="10" t="str">
        <f t="shared" si="0"/>
        <v/>
      </c>
      <c r="L725" s="10" t="str">
        <f t="shared" si="1"/>
        <v/>
      </c>
      <c r="M725" s="10" t="str">
        <f>IF(W725=1,IF(AND(U725&lt;2,INT(V725)&lt;='Batasan Honor'!$B$2),1,0),"")</f>
        <v/>
      </c>
      <c r="O725" s="10" t="str">
        <f t="shared" si="2"/>
        <v/>
      </c>
      <c r="P725" s="10" t="str">
        <f t="shared" si="3"/>
        <v/>
      </c>
      <c r="R725" s="23"/>
      <c r="S725" s="10" t="str">
        <f t="shared" si="4"/>
        <v/>
      </c>
      <c r="U725" s="10" t="str">
        <f ca="1">IFERROR(__xludf.DUMMYFUNCTION("if(W725=1,COUNTIFS(FILTER($H$2:$H905,$H$2:$H905=""OB"",$S$2:$S905=S725),""OB""),"""")"),"")</f>
        <v/>
      </c>
      <c r="V725" s="10" t="str">
        <f ca="1">IFERROR(__xludf.DUMMYFUNCTION("IF(OR(ISNA(SUM(FILTER($K$2:$K905,$A$2:$A905=A725,$S$2:$S905=S725,$H$2:$H905&lt;&gt;""OB""))),W725&lt;&gt;1),"""",SUM(FILTER($K$2:$K905,$A$2:$A905=A725,$S$2:$S905=S725,$H$2:$H905&lt;&gt;""OB"")))"),"")</f>
        <v/>
      </c>
      <c r="W725" s="10" t="str">
        <f t="shared" si="5"/>
        <v/>
      </c>
    </row>
    <row r="726" spans="1:23" ht="12.5">
      <c r="A726" s="23"/>
      <c r="B726" s="5" t="str">
        <f t="array" ref="B726">IF(W726=1,INDEX('Database Mitra'!$H$2:$H905,MATCH(A726,'Database Mitra'!AK$2:AK905,0)),"")</f>
        <v/>
      </c>
      <c r="C726" s="5" t="str">
        <f t="array" ref="C726">IF(W726=1,INDEX('Database Mitra'!$E$2:$E905,MATCH(A726,'Database Mitra'!AK$2:AK905,0)),"")</f>
        <v/>
      </c>
      <c r="D726" s="23"/>
      <c r="E726" s="5" t="str">
        <f t="array" ref="E726">IF(W726=1,INDEX('Input Kegiatan'!B$2:B905,MATCH($D726,'Input Kegiatan'!$A$2:$A905,0)),"")</f>
        <v/>
      </c>
      <c r="F726" s="5" t="str">
        <f t="array" ref="F726">IF(W726=1,INDEX('Input Kegiatan'!D$2:D905,MATCH($D726,'Input Kegiatan'!$A$2:$A905,0)),"")</f>
        <v/>
      </c>
      <c r="G726" s="5" t="str">
        <f t="array" ref="G726">IF(W726=1,INDEX('Input Kegiatan'!E$2:E905,MATCH($D726,'Input Kegiatan'!$A$2:$A905,0)),"")</f>
        <v/>
      </c>
      <c r="H726" s="5" t="str">
        <f t="array" ref="H726">IF(W726=1,INDEX(Honor!$H$2:$H905,MATCH($D726&amp;"-"&amp;R726,Honor!$K$2:$K905,0)),"")</f>
        <v/>
      </c>
      <c r="I726" s="8" t="str">
        <f>IF(W726=1,SUMIFS(Honor!$I$2:$I905,Honor!$K$2:$K905,$D726&amp;"-"&amp;R726),"")</f>
        <v/>
      </c>
      <c r="J726" s="9" t="str">
        <f t="shared" si="6"/>
        <v/>
      </c>
      <c r="K726" s="10" t="str">
        <f t="shared" si="0"/>
        <v/>
      </c>
      <c r="L726" s="10" t="str">
        <f t="shared" si="1"/>
        <v/>
      </c>
      <c r="M726" s="10" t="str">
        <f>IF(W726=1,IF(AND(U726&lt;2,INT(V726)&lt;='Batasan Honor'!$B$2),1,0),"")</f>
        <v/>
      </c>
      <c r="O726" s="10" t="str">
        <f t="shared" si="2"/>
        <v/>
      </c>
      <c r="P726" s="10" t="str">
        <f t="shared" si="3"/>
        <v/>
      </c>
      <c r="R726" s="23"/>
      <c r="S726" s="10" t="str">
        <f t="shared" si="4"/>
        <v/>
      </c>
      <c r="U726" s="10" t="str">
        <f ca="1">IFERROR(__xludf.DUMMYFUNCTION("if(W726=1,COUNTIFS(FILTER($H$2:$H905,$H$2:$H905=""OB"",$S$2:$S905=S726),""OB""),"""")"),"")</f>
        <v/>
      </c>
      <c r="V726" s="10" t="str">
        <f ca="1">IFERROR(__xludf.DUMMYFUNCTION("IF(OR(ISNA(SUM(FILTER($K$2:$K905,$A$2:$A905=A726,$S$2:$S905=S726,$H$2:$H905&lt;&gt;""OB""))),W726&lt;&gt;1),"""",SUM(FILTER($K$2:$K905,$A$2:$A905=A726,$S$2:$S905=S726,$H$2:$H905&lt;&gt;""OB"")))"),"")</f>
        <v/>
      </c>
      <c r="W726" s="10" t="str">
        <f t="shared" si="5"/>
        <v/>
      </c>
    </row>
    <row r="727" spans="1:23" ht="12.5">
      <c r="A727" s="23"/>
      <c r="B727" s="5" t="str">
        <f t="array" ref="B727">IF(W727=1,INDEX('Database Mitra'!$H$2:$H905,MATCH(A727,'Database Mitra'!AK$2:AK905,0)),"")</f>
        <v/>
      </c>
      <c r="C727" s="5" t="str">
        <f t="array" ref="C727">IF(W727=1,INDEX('Database Mitra'!$E$2:$E905,MATCH(A727,'Database Mitra'!AK$2:AK905,0)),"")</f>
        <v/>
      </c>
      <c r="D727" s="23"/>
      <c r="E727" s="5" t="str">
        <f t="array" ref="E727">IF(W727=1,INDEX('Input Kegiatan'!B$2:B905,MATCH($D727,'Input Kegiatan'!$A$2:$A905,0)),"")</f>
        <v/>
      </c>
      <c r="F727" s="5" t="str">
        <f t="array" ref="F727">IF(W727=1,INDEX('Input Kegiatan'!D$2:D905,MATCH($D727,'Input Kegiatan'!$A$2:$A905,0)),"")</f>
        <v/>
      </c>
      <c r="G727" s="5" t="str">
        <f t="array" ref="G727">IF(W727=1,INDEX('Input Kegiatan'!E$2:E905,MATCH($D727,'Input Kegiatan'!$A$2:$A905,0)),"")</f>
        <v/>
      </c>
      <c r="H727" s="5" t="str">
        <f t="array" ref="H727">IF(W727=1,INDEX(Honor!$H$2:$H905,MATCH($D727&amp;"-"&amp;R727,Honor!$K$2:$K905,0)),"")</f>
        <v/>
      </c>
      <c r="I727" s="8" t="str">
        <f>IF(W727=1,SUMIFS(Honor!$I$2:$I905,Honor!$K$2:$K905,$D727&amp;"-"&amp;R727),"")</f>
        <v/>
      </c>
      <c r="J727" s="9" t="str">
        <f t="shared" si="6"/>
        <v/>
      </c>
      <c r="K727" s="10" t="str">
        <f t="shared" si="0"/>
        <v/>
      </c>
      <c r="L727" s="10" t="str">
        <f t="shared" si="1"/>
        <v/>
      </c>
      <c r="M727" s="10" t="str">
        <f>IF(W727=1,IF(AND(U727&lt;2,INT(V727)&lt;='Batasan Honor'!$B$2),1,0),"")</f>
        <v/>
      </c>
      <c r="O727" s="10" t="str">
        <f t="shared" si="2"/>
        <v/>
      </c>
      <c r="P727" s="10" t="str">
        <f t="shared" si="3"/>
        <v/>
      </c>
      <c r="R727" s="23"/>
      <c r="S727" s="10" t="str">
        <f t="shared" si="4"/>
        <v/>
      </c>
      <c r="U727" s="10" t="str">
        <f ca="1">IFERROR(__xludf.DUMMYFUNCTION("if(W727=1,COUNTIFS(FILTER($H$2:$H905,$H$2:$H905=""OB"",$S$2:$S905=S727),""OB""),"""")"),"")</f>
        <v/>
      </c>
      <c r="V727" s="10" t="str">
        <f ca="1">IFERROR(__xludf.DUMMYFUNCTION("IF(OR(ISNA(SUM(FILTER($K$2:$K905,$A$2:$A905=A727,$S$2:$S905=S727,$H$2:$H905&lt;&gt;""OB""))),W727&lt;&gt;1),"""",SUM(FILTER($K$2:$K905,$A$2:$A905=A727,$S$2:$S905=S727,$H$2:$H905&lt;&gt;""OB"")))"),"")</f>
        <v/>
      </c>
      <c r="W727" s="10" t="str">
        <f t="shared" si="5"/>
        <v/>
      </c>
    </row>
    <row r="728" spans="1:23" ht="12.5">
      <c r="A728" s="23"/>
      <c r="B728" s="5" t="str">
        <f t="array" ref="B728">IF(W728=1,INDEX('Database Mitra'!$H$2:$H905,MATCH(A728,'Database Mitra'!AK$2:AK905,0)),"")</f>
        <v/>
      </c>
      <c r="C728" s="5" t="str">
        <f t="array" ref="C728">IF(W728=1,INDEX('Database Mitra'!$E$2:$E905,MATCH(A728,'Database Mitra'!AK$2:AK905,0)),"")</f>
        <v/>
      </c>
      <c r="D728" s="23"/>
      <c r="E728" s="5" t="str">
        <f t="array" ref="E728">IF(W728=1,INDEX('Input Kegiatan'!B$2:B905,MATCH($D728,'Input Kegiatan'!$A$2:$A905,0)),"")</f>
        <v/>
      </c>
      <c r="F728" s="5" t="str">
        <f t="array" ref="F728">IF(W728=1,INDEX('Input Kegiatan'!D$2:D905,MATCH($D728,'Input Kegiatan'!$A$2:$A905,0)),"")</f>
        <v/>
      </c>
      <c r="G728" s="5" t="str">
        <f t="array" ref="G728">IF(W728=1,INDEX('Input Kegiatan'!E$2:E905,MATCH($D728,'Input Kegiatan'!$A$2:$A905,0)),"")</f>
        <v/>
      </c>
      <c r="H728" s="5" t="str">
        <f t="array" ref="H728">IF(W728=1,INDEX(Honor!$H$2:$H905,MATCH($D728&amp;"-"&amp;R728,Honor!$K$2:$K905,0)),"")</f>
        <v/>
      </c>
      <c r="I728" s="8" t="str">
        <f>IF(W728=1,SUMIFS(Honor!$I$2:$I905,Honor!$K$2:$K905,$D728&amp;"-"&amp;R728),"")</f>
        <v/>
      </c>
      <c r="J728" s="9" t="str">
        <f t="shared" si="6"/>
        <v/>
      </c>
      <c r="K728" s="10" t="str">
        <f t="shared" si="0"/>
        <v/>
      </c>
      <c r="L728" s="10" t="str">
        <f t="shared" si="1"/>
        <v/>
      </c>
      <c r="M728" s="10" t="str">
        <f>IF(W728=1,IF(AND(U728&lt;2,INT(V728)&lt;='Batasan Honor'!$B$2),1,0),"")</f>
        <v/>
      </c>
      <c r="O728" s="10" t="str">
        <f t="shared" si="2"/>
        <v/>
      </c>
      <c r="P728" s="10" t="str">
        <f t="shared" si="3"/>
        <v/>
      </c>
      <c r="R728" s="23"/>
      <c r="S728" s="10" t="str">
        <f t="shared" si="4"/>
        <v/>
      </c>
      <c r="U728" s="10" t="str">
        <f ca="1">IFERROR(__xludf.DUMMYFUNCTION("if(W728=1,COUNTIFS(FILTER($H$2:$H905,$H$2:$H905=""OB"",$S$2:$S905=S728),""OB""),"""")"),"")</f>
        <v/>
      </c>
      <c r="V728" s="10" t="str">
        <f ca="1">IFERROR(__xludf.DUMMYFUNCTION("IF(OR(ISNA(SUM(FILTER($K$2:$K905,$A$2:$A905=A728,$S$2:$S905=S728,$H$2:$H905&lt;&gt;""OB""))),W728&lt;&gt;1),"""",SUM(FILTER($K$2:$K905,$A$2:$A905=A728,$S$2:$S905=S728,$H$2:$H905&lt;&gt;""OB"")))"),"")</f>
        <v/>
      </c>
      <c r="W728" s="10" t="str">
        <f t="shared" si="5"/>
        <v/>
      </c>
    </row>
    <row r="729" spans="1:23" ht="12.5">
      <c r="A729" s="23"/>
      <c r="B729" s="5" t="str">
        <f t="array" ref="B729">IF(W729=1,INDEX('Database Mitra'!$H$2:$H905,MATCH(A729,'Database Mitra'!AK$2:AK905,0)),"")</f>
        <v/>
      </c>
      <c r="C729" s="5" t="str">
        <f t="array" ref="C729">IF(W729=1,INDEX('Database Mitra'!$E$2:$E905,MATCH(A729,'Database Mitra'!AK$2:AK905,0)),"")</f>
        <v/>
      </c>
      <c r="D729" s="23"/>
      <c r="E729" s="5" t="str">
        <f t="array" ref="E729">IF(W729=1,INDEX('Input Kegiatan'!B$2:B905,MATCH($D729,'Input Kegiatan'!$A$2:$A905,0)),"")</f>
        <v/>
      </c>
      <c r="F729" s="5" t="str">
        <f t="array" ref="F729">IF(W729=1,INDEX('Input Kegiatan'!D$2:D905,MATCH($D729,'Input Kegiatan'!$A$2:$A905,0)),"")</f>
        <v/>
      </c>
      <c r="G729" s="5" t="str">
        <f t="array" ref="G729">IF(W729=1,INDEX('Input Kegiatan'!E$2:E905,MATCH($D729,'Input Kegiatan'!$A$2:$A905,0)),"")</f>
        <v/>
      </c>
      <c r="H729" s="5" t="str">
        <f t="array" ref="H729">IF(W729=1,INDEX(Honor!$H$2:$H905,MATCH($D729&amp;"-"&amp;R729,Honor!$K$2:$K905,0)),"")</f>
        <v/>
      </c>
      <c r="I729" s="8" t="str">
        <f>IF(W729=1,SUMIFS(Honor!$I$2:$I905,Honor!$K$2:$K905,$D729&amp;"-"&amp;R729),"")</f>
        <v/>
      </c>
      <c r="J729" s="9" t="str">
        <f t="shared" si="6"/>
        <v/>
      </c>
      <c r="K729" s="10" t="str">
        <f t="shared" si="0"/>
        <v/>
      </c>
      <c r="L729" s="10" t="str">
        <f t="shared" si="1"/>
        <v/>
      </c>
      <c r="M729" s="10" t="str">
        <f>IF(W729=1,IF(AND(U729&lt;2,INT(V729)&lt;='Batasan Honor'!$B$2),1,0),"")</f>
        <v/>
      </c>
      <c r="O729" s="10" t="str">
        <f t="shared" si="2"/>
        <v/>
      </c>
      <c r="P729" s="10" t="str">
        <f t="shared" si="3"/>
        <v/>
      </c>
      <c r="R729" s="23"/>
      <c r="S729" s="10" t="str">
        <f t="shared" si="4"/>
        <v/>
      </c>
      <c r="U729" s="10" t="str">
        <f ca="1">IFERROR(__xludf.DUMMYFUNCTION("if(W729=1,COUNTIFS(FILTER($H$2:$H905,$H$2:$H905=""OB"",$S$2:$S905=S729),""OB""),"""")"),"")</f>
        <v/>
      </c>
      <c r="V729" s="10" t="str">
        <f ca="1">IFERROR(__xludf.DUMMYFUNCTION("IF(OR(ISNA(SUM(FILTER($K$2:$K905,$A$2:$A905=A729,$S$2:$S905=S729,$H$2:$H905&lt;&gt;""OB""))),W729&lt;&gt;1),"""",SUM(FILTER($K$2:$K905,$A$2:$A905=A729,$S$2:$S905=S729,$H$2:$H905&lt;&gt;""OB"")))"),"")</f>
        <v/>
      </c>
      <c r="W729" s="10" t="str">
        <f t="shared" si="5"/>
        <v/>
      </c>
    </row>
    <row r="730" spans="1:23" ht="12.5">
      <c r="A730" s="23"/>
      <c r="B730" s="5" t="str">
        <f t="array" ref="B730">IF(W730=1,INDEX('Database Mitra'!$H$2:$H905,MATCH(A730,'Database Mitra'!AK$2:AK905,0)),"")</f>
        <v/>
      </c>
      <c r="C730" s="5" t="str">
        <f t="array" ref="C730">IF(W730=1,INDEX('Database Mitra'!$E$2:$E905,MATCH(A730,'Database Mitra'!AK$2:AK905,0)),"")</f>
        <v/>
      </c>
      <c r="D730" s="23"/>
      <c r="E730" s="5" t="str">
        <f t="array" ref="E730">IF(W730=1,INDEX('Input Kegiatan'!B$2:B905,MATCH($D730,'Input Kegiatan'!$A$2:$A905,0)),"")</f>
        <v/>
      </c>
      <c r="F730" s="5" t="str">
        <f t="array" ref="F730">IF(W730=1,INDEX('Input Kegiatan'!D$2:D905,MATCH($D730,'Input Kegiatan'!$A$2:$A905,0)),"")</f>
        <v/>
      </c>
      <c r="G730" s="5" t="str">
        <f t="array" ref="G730">IF(W730=1,INDEX('Input Kegiatan'!E$2:E905,MATCH($D730,'Input Kegiatan'!$A$2:$A905,0)),"")</f>
        <v/>
      </c>
      <c r="H730" s="5" t="str">
        <f t="array" ref="H730">IF(W730=1,INDEX(Honor!$H$2:$H905,MATCH($D730&amp;"-"&amp;R730,Honor!$K$2:$K905,0)),"")</f>
        <v/>
      </c>
      <c r="I730" s="8" t="str">
        <f>IF(W730=1,SUMIFS(Honor!$I$2:$I905,Honor!$K$2:$K905,$D730&amp;"-"&amp;R730),"")</f>
        <v/>
      </c>
      <c r="J730" s="9" t="str">
        <f t="shared" si="6"/>
        <v/>
      </c>
      <c r="K730" s="10" t="str">
        <f t="shared" si="0"/>
        <v/>
      </c>
      <c r="L730" s="10" t="str">
        <f t="shared" si="1"/>
        <v/>
      </c>
      <c r="M730" s="10" t="str">
        <f>IF(W730=1,IF(AND(U730&lt;2,INT(V730)&lt;='Batasan Honor'!$B$2),1,0),"")</f>
        <v/>
      </c>
      <c r="O730" s="10" t="str">
        <f t="shared" si="2"/>
        <v/>
      </c>
      <c r="P730" s="10" t="str">
        <f t="shared" si="3"/>
        <v/>
      </c>
      <c r="R730" s="23"/>
      <c r="S730" s="10" t="str">
        <f t="shared" si="4"/>
        <v/>
      </c>
      <c r="U730" s="10" t="str">
        <f ca="1">IFERROR(__xludf.DUMMYFUNCTION("if(W730=1,COUNTIFS(FILTER($H$2:$H905,$H$2:$H905=""OB"",$S$2:$S905=S730),""OB""),"""")"),"")</f>
        <v/>
      </c>
      <c r="V730" s="10" t="str">
        <f ca="1">IFERROR(__xludf.DUMMYFUNCTION("IF(OR(ISNA(SUM(FILTER($K$2:$K905,$A$2:$A905=A730,$S$2:$S905=S730,$H$2:$H905&lt;&gt;""OB""))),W730&lt;&gt;1),"""",SUM(FILTER($K$2:$K905,$A$2:$A905=A730,$S$2:$S905=S730,$H$2:$H905&lt;&gt;""OB"")))"),"")</f>
        <v/>
      </c>
      <c r="W730" s="10" t="str">
        <f t="shared" si="5"/>
        <v/>
      </c>
    </row>
    <row r="731" spans="1:23" ht="12.5">
      <c r="A731" s="23"/>
      <c r="B731" s="5" t="str">
        <f t="array" ref="B731">IF(W731=1,INDEX('Database Mitra'!$H$2:$H905,MATCH(A731,'Database Mitra'!AK$2:AK905,0)),"")</f>
        <v/>
      </c>
      <c r="C731" s="5" t="str">
        <f t="array" ref="C731">IF(W731=1,INDEX('Database Mitra'!$E$2:$E905,MATCH(A731,'Database Mitra'!AK$2:AK905,0)),"")</f>
        <v/>
      </c>
      <c r="D731" s="23"/>
      <c r="E731" s="5" t="str">
        <f t="array" ref="E731">IF(W731=1,INDEX('Input Kegiatan'!B$2:B905,MATCH($D731,'Input Kegiatan'!$A$2:$A905,0)),"")</f>
        <v/>
      </c>
      <c r="F731" s="5" t="str">
        <f t="array" ref="F731">IF(W731=1,INDEX('Input Kegiatan'!D$2:D905,MATCH($D731,'Input Kegiatan'!$A$2:$A905,0)),"")</f>
        <v/>
      </c>
      <c r="G731" s="5" t="str">
        <f t="array" ref="G731">IF(W731=1,INDEX('Input Kegiatan'!E$2:E905,MATCH($D731,'Input Kegiatan'!$A$2:$A905,0)),"")</f>
        <v/>
      </c>
      <c r="H731" s="5" t="str">
        <f t="array" ref="H731">IF(W731=1,INDEX(Honor!$H$2:$H905,MATCH($D731&amp;"-"&amp;R731,Honor!$K$2:$K905,0)),"")</f>
        <v/>
      </c>
      <c r="I731" s="8" t="str">
        <f>IF(W731=1,SUMIFS(Honor!$I$2:$I905,Honor!$K$2:$K905,$D731&amp;"-"&amp;R731),"")</f>
        <v/>
      </c>
      <c r="J731" s="9" t="str">
        <f t="shared" si="6"/>
        <v/>
      </c>
      <c r="K731" s="10" t="str">
        <f t="shared" si="0"/>
        <v/>
      </c>
      <c r="L731" s="10" t="str">
        <f t="shared" si="1"/>
        <v/>
      </c>
      <c r="M731" s="10" t="str">
        <f>IF(W731=1,IF(AND(U731&lt;2,INT(V731)&lt;='Batasan Honor'!$B$2),1,0),"")</f>
        <v/>
      </c>
      <c r="O731" s="10" t="str">
        <f t="shared" si="2"/>
        <v/>
      </c>
      <c r="P731" s="10" t="str">
        <f t="shared" si="3"/>
        <v/>
      </c>
      <c r="R731" s="23"/>
      <c r="S731" s="10" t="str">
        <f t="shared" si="4"/>
        <v/>
      </c>
      <c r="U731" s="10" t="str">
        <f ca="1">IFERROR(__xludf.DUMMYFUNCTION("if(W731=1,COUNTIFS(FILTER($H$2:$H905,$H$2:$H905=""OB"",$S$2:$S905=S731),""OB""),"""")"),"")</f>
        <v/>
      </c>
      <c r="V731" s="10" t="str">
        <f ca="1">IFERROR(__xludf.DUMMYFUNCTION("IF(OR(ISNA(SUM(FILTER($K$2:$K905,$A$2:$A905=A731,$S$2:$S905=S731,$H$2:$H905&lt;&gt;""OB""))),W731&lt;&gt;1),"""",SUM(FILTER($K$2:$K905,$A$2:$A905=A731,$S$2:$S905=S731,$H$2:$H905&lt;&gt;""OB"")))"),"")</f>
        <v/>
      </c>
      <c r="W731" s="10" t="str">
        <f t="shared" si="5"/>
        <v/>
      </c>
    </row>
    <row r="732" spans="1:23" ht="12.5">
      <c r="A732" s="23"/>
      <c r="B732" s="5" t="str">
        <f t="array" ref="B732">IF(W732=1,INDEX('Database Mitra'!$H$2:$H905,MATCH(A732,'Database Mitra'!AK$2:AK905,0)),"")</f>
        <v/>
      </c>
      <c r="C732" s="5" t="str">
        <f t="array" ref="C732">IF(W732=1,INDEX('Database Mitra'!$E$2:$E905,MATCH(A732,'Database Mitra'!AK$2:AK905,0)),"")</f>
        <v/>
      </c>
      <c r="D732" s="23"/>
      <c r="E732" s="5" t="str">
        <f t="array" ref="E732">IF(W732=1,INDEX('Input Kegiatan'!B$2:B905,MATCH($D732,'Input Kegiatan'!$A$2:$A905,0)),"")</f>
        <v/>
      </c>
      <c r="F732" s="5" t="str">
        <f t="array" ref="F732">IF(W732=1,INDEX('Input Kegiatan'!D$2:D905,MATCH($D732,'Input Kegiatan'!$A$2:$A905,0)),"")</f>
        <v/>
      </c>
      <c r="G732" s="5" t="str">
        <f t="array" ref="G732">IF(W732=1,INDEX('Input Kegiatan'!E$2:E905,MATCH($D732,'Input Kegiatan'!$A$2:$A905,0)),"")</f>
        <v/>
      </c>
      <c r="H732" s="5" t="str">
        <f t="array" ref="H732">IF(W732=1,INDEX(Honor!$H$2:$H905,MATCH($D732&amp;"-"&amp;R732,Honor!$K$2:$K905,0)),"")</f>
        <v/>
      </c>
      <c r="I732" s="8" t="str">
        <f>IF(W732=1,SUMIFS(Honor!$I$2:$I905,Honor!$K$2:$K905,$D732&amp;"-"&amp;R732),"")</f>
        <v/>
      </c>
      <c r="J732" s="9" t="str">
        <f t="shared" si="6"/>
        <v/>
      </c>
      <c r="K732" s="10" t="str">
        <f t="shared" si="0"/>
        <v/>
      </c>
      <c r="L732" s="10" t="str">
        <f t="shared" si="1"/>
        <v/>
      </c>
      <c r="M732" s="10" t="str">
        <f>IF(W732=1,IF(AND(U732&lt;2,INT(V732)&lt;='Batasan Honor'!$B$2),1,0),"")</f>
        <v/>
      </c>
      <c r="O732" s="10" t="str">
        <f t="shared" si="2"/>
        <v/>
      </c>
      <c r="P732" s="10" t="str">
        <f t="shared" si="3"/>
        <v/>
      </c>
      <c r="R732" s="23"/>
      <c r="S732" s="10" t="str">
        <f t="shared" si="4"/>
        <v/>
      </c>
      <c r="U732" s="10" t="str">
        <f ca="1">IFERROR(__xludf.DUMMYFUNCTION("if(W732=1,COUNTIFS(FILTER($H$2:$H905,$H$2:$H905=""OB"",$S$2:$S905=S732),""OB""),"""")"),"")</f>
        <v/>
      </c>
      <c r="V732" s="10" t="str">
        <f ca="1">IFERROR(__xludf.DUMMYFUNCTION("IF(OR(ISNA(SUM(FILTER($K$2:$K905,$A$2:$A905=A732,$S$2:$S905=S732,$H$2:$H905&lt;&gt;""OB""))),W732&lt;&gt;1),"""",SUM(FILTER($K$2:$K905,$A$2:$A905=A732,$S$2:$S905=S732,$H$2:$H905&lt;&gt;""OB"")))"),"")</f>
        <v/>
      </c>
      <c r="W732" s="10" t="str">
        <f t="shared" si="5"/>
        <v/>
      </c>
    </row>
    <row r="733" spans="1:23" ht="12.5">
      <c r="A733" s="23"/>
      <c r="B733" s="5" t="str">
        <f t="array" ref="B733">IF(W733=1,INDEX('Database Mitra'!$H$2:$H905,MATCH(A733,'Database Mitra'!AK$2:AK905,0)),"")</f>
        <v/>
      </c>
      <c r="C733" s="5" t="str">
        <f t="array" ref="C733">IF(W733=1,INDEX('Database Mitra'!$E$2:$E905,MATCH(A733,'Database Mitra'!AK$2:AK905,0)),"")</f>
        <v/>
      </c>
      <c r="D733" s="23"/>
      <c r="E733" s="5" t="str">
        <f t="array" ref="E733">IF(W733=1,INDEX('Input Kegiatan'!B$2:B905,MATCH($D733,'Input Kegiatan'!$A$2:$A905,0)),"")</f>
        <v/>
      </c>
      <c r="F733" s="5" t="str">
        <f t="array" ref="F733">IF(W733=1,INDEX('Input Kegiatan'!D$2:D905,MATCH($D733,'Input Kegiatan'!$A$2:$A905,0)),"")</f>
        <v/>
      </c>
      <c r="G733" s="5" t="str">
        <f t="array" ref="G733">IF(W733=1,INDEX('Input Kegiatan'!E$2:E905,MATCH($D733,'Input Kegiatan'!$A$2:$A905,0)),"")</f>
        <v/>
      </c>
      <c r="H733" s="5" t="str">
        <f t="array" ref="H733">IF(W733=1,INDEX(Honor!$H$2:$H905,MATCH($D733&amp;"-"&amp;R733,Honor!$K$2:$K905,0)),"")</f>
        <v/>
      </c>
      <c r="I733" s="8" t="str">
        <f>IF(W733=1,SUMIFS(Honor!$I$2:$I905,Honor!$K$2:$K905,$D733&amp;"-"&amp;R733),"")</f>
        <v/>
      </c>
      <c r="J733" s="9" t="str">
        <f t="shared" si="6"/>
        <v/>
      </c>
      <c r="K733" s="10" t="str">
        <f t="shared" si="0"/>
        <v/>
      </c>
      <c r="L733" s="10" t="str">
        <f t="shared" si="1"/>
        <v/>
      </c>
      <c r="M733" s="10" t="str">
        <f>IF(W733=1,IF(AND(U733&lt;2,INT(V733)&lt;='Batasan Honor'!$B$2),1,0),"")</f>
        <v/>
      </c>
      <c r="O733" s="10" t="str">
        <f t="shared" si="2"/>
        <v/>
      </c>
      <c r="P733" s="10" t="str">
        <f t="shared" si="3"/>
        <v/>
      </c>
      <c r="R733" s="23"/>
      <c r="S733" s="10" t="str">
        <f t="shared" si="4"/>
        <v/>
      </c>
      <c r="U733" s="10" t="str">
        <f ca="1">IFERROR(__xludf.DUMMYFUNCTION("if(W733=1,COUNTIFS(FILTER($H$2:$H905,$H$2:$H905=""OB"",$S$2:$S905=S733),""OB""),"""")"),"")</f>
        <v/>
      </c>
      <c r="V733" s="10" t="str">
        <f ca="1">IFERROR(__xludf.DUMMYFUNCTION("IF(OR(ISNA(SUM(FILTER($K$2:$K905,$A$2:$A905=A733,$S$2:$S905=S733,$H$2:$H905&lt;&gt;""OB""))),W733&lt;&gt;1),"""",SUM(FILTER($K$2:$K905,$A$2:$A905=A733,$S$2:$S905=S733,$H$2:$H905&lt;&gt;""OB"")))"),"")</f>
        <v/>
      </c>
      <c r="W733" s="10" t="str">
        <f t="shared" si="5"/>
        <v/>
      </c>
    </row>
    <row r="734" spans="1:23" ht="12.5">
      <c r="A734" s="23"/>
      <c r="B734" s="5" t="str">
        <f t="array" ref="B734">IF(W734=1,INDEX('Database Mitra'!$H$2:$H905,MATCH(A734,'Database Mitra'!AK$2:AK905,0)),"")</f>
        <v/>
      </c>
      <c r="C734" s="5" t="str">
        <f t="array" ref="C734">IF(W734=1,INDEX('Database Mitra'!$E$2:$E905,MATCH(A734,'Database Mitra'!AK$2:AK905,0)),"")</f>
        <v/>
      </c>
      <c r="D734" s="23"/>
      <c r="E734" s="5" t="str">
        <f t="array" ref="E734">IF(W734=1,INDEX('Input Kegiatan'!B$2:B905,MATCH($D734,'Input Kegiatan'!$A$2:$A905,0)),"")</f>
        <v/>
      </c>
      <c r="F734" s="5" t="str">
        <f t="array" ref="F734">IF(W734=1,INDEX('Input Kegiatan'!D$2:D905,MATCH($D734,'Input Kegiatan'!$A$2:$A905,0)),"")</f>
        <v/>
      </c>
      <c r="G734" s="5" t="str">
        <f t="array" ref="G734">IF(W734=1,INDEX('Input Kegiatan'!E$2:E905,MATCH($D734,'Input Kegiatan'!$A$2:$A905,0)),"")</f>
        <v/>
      </c>
      <c r="H734" s="5" t="str">
        <f t="array" ref="H734">IF(W734=1,INDEX(Honor!$H$2:$H905,MATCH($D734&amp;"-"&amp;R734,Honor!$K$2:$K905,0)),"")</f>
        <v/>
      </c>
      <c r="I734" s="8" t="str">
        <f>IF(W734=1,SUMIFS(Honor!$I$2:$I905,Honor!$K$2:$K905,$D734&amp;"-"&amp;R734),"")</f>
        <v/>
      </c>
      <c r="J734" s="9" t="str">
        <f t="shared" si="6"/>
        <v/>
      </c>
      <c r="K734" s="10" t="str">
        <f t="shared" si="0"/>
        <v/>
      </c>
      <c r="L734" s="10" t="str">
        <f t="shared" si="1"/>
        <v/>
      </c>
      <c r="M734" s="10" t="str">
        <f>IF(W734=1,IF(AND(U734&lt;2,INT(V734)&lt;='Batasan Honor'!$B$2),1,0),"")</f>
        <v/>
      </c>
      <c r="O734" s="10" t="str">
        <f t="shared" si="2"/>
        <v/>
      </c>
      <c r="P734" s="10" t="str">
        <f t="shared" si="3"/>
        <v/>
      </c>
      <c r="R734" s="23"/>
      <c r="S734" s="10" t="str">
        <f t="shared" si="4"/>
        <v/>
      </c>
      <c r="U734" s="10" t="str">
        <f ca="1">IFERROR(__xludf.DUMMYFUNCTION("if(W734=1,COUNTIFS(FILTER($H$2:$H905,$H$2:$H905=""OB"",$S$2:$S905=S734),""OB""),"""")"),"")</f>
        <v/>
      </c>
      <c r="V734" s="10" t="str">
        <f ca="1">IFERROR(__xludf.DUMMYFUNCTION("IF(OR(ISNA(SUM(FILTER($K$2:$K905,$A$2:$A905=A734,$S$2:$S905=S734,$H$2:$H905&lt;&gt;""OB""))),W734&lt;&gt;1),"""",SUM(FILTER($K$2:$K905,$A$2:$A905=A734,$S$2:$S905=S734,$H$2:$H905&lt;&gt;""OB"")))"),"")</f>
        <v/>
      </c>
      <c r="W734" s="10" t="str">
        <f t="shared" si="5"/>
        <v/>
      </c>
    </row>
    <row r="735" spans="1:23" ht="12.5">
      <c r="A735" s="23"/>
      <c r="B735" s="5" t="str">
        <f t="array" ref="B735">IF(W735=1,INDEX('Database Mitra'!$H$2:$H905,MATCH(A735,'Database Mitra'!AK$2:AK905,0)),"")</f>
        <v/>
      </c>
      <c r="C735" s="5" t="str">
        <f t="array" ref="C735">IF(W735=1,INDEX('Database Mitra'!$E$2:$E905,MATCH(A735,'Database Mitra'!AK$2:AK905,0)),"")</f>
        <v/>
      </c>
      <c r="D735" s="23"/>
      <c r="E735" s="5" t="str">
        <f t="array" ref="E735">IF(W735=1,INDEX('Input Kegiatan'!B$2:B905,MATCH($D735,'Input Kegiatan'!$A$2:$A905,0)),"")</f>
        <v/>
      </c>
      <c r="F735" s="5" t="str">
        <f t="array" ref="F735">IF(W735=1,INDEX('Input Kegiatan'!D$2:D905,MATCH($D735,'Input Kegiatan'!$A$2:$A905,0)),"")</f>
        <v/>
      </c>
      <c r="G735" s="5" t="str">
        <f t="array" ref="G735">IF(W735=1,INDEX('Input Kegiatan'!E$2:E905,MATCH($D735,'Input Kegiatan'!$A$2:$A905,0)),"")</f>
        <v/>
      </c>
      <c r="H735" s="5" t="str">
        <f t="array" ref="H735">IF(W735=1,INDEX(Honor!$H$2:$H905,MATCH($D735&amp;"-"&amp;R735,Honor!$K$2:$K905,0)),"")</f>
        <v/>
      </c>
      <c r="I735" s="8" t="str">
        <f>IF(W735=1,SUMIFS(Honor!$I$2:$I905,Honor!$K$2:$K905,$D735&amp;"-"&amp;R735),"")</f>
        <v/>
      </c>
      <c r="J735" s="9" t="str">
        <f t="shared" si="6"/>
        <v/>
      </c>
      <c r="K735" s="10" t="str">
        <f t="shared" si="0"/>
        <v/>
      </c>
      <c r="L735" s="10" t="str">
        <f t="shared" si="1"/>
        <v/>
      </c>
      <c r="M735" s="10" t="str">
        <f>IF(W735=1,IF(AND(U735&lt;2,INT(V735)&lt;='Batasan Honor'!$B$2),1,0),"")</f>
        <v/>
      </c>
      <c r="O735" s="10" t="str">
        <f t="shared" si="2"/>
        <v/>
      </c>
      <c r="P735" s="10" t="str">
        <f t="shared" si="3"/>
        <v/>
      </c>
      <c r="R735" s="23"/>
      <c r="S735" s="10" t="str">
        <f t="shared" si="4"/>
        <v/>
      </c>
      <c r="U735" s="10" t="str">
        <f ca="1">IFERROR(__xludf.DUMMYFUNCTION("if(W735=1,COUNTIFS(FILTER($H$2:$H905,$H$2:$H905=""OB"",$S$2:$S905=S735),""OB""),"""")"),"")</f>
        <v/>
      </c>
      <c r="V735" s="10" t="str">
        <f ca="1">IFERROR(__xludf.DUMMYFUNCTION("IF(OR(ISNA(SUM(FILTER($K$2:$K905,$A$2:$A905=A735,$S$2:$S905=S735,$H$2:$H905&lt;&gt;""OB""))),W735&lt;&gt;1),"""",SUM(FILTER($K$2:$K905,$A$2:$A905=A735,$S$2:$S905=S735,$H$2:$H905&lt;&gt;""OB"")))"),"")</f>
        <v/>
      </c>
      <c r="W735" s="10" t="str">
        <f t="shared" si="5"/>
        <v/>
      </c>
    </row>
    <row r="736" spans="1:23" ht="12.5">
      <c r="A736" s="23"/>
      <c r="B736" s="5" t="str">
        <f t="array" ref="B736">IF(W736=1,INDEX('Database Mitra'!$H$2:$H905,MATCH(A736,'Database Mitra'!AK$2:AK905,0)),"")</f>
        <v/>
      </c>
      <c r="C736" s="5" t="str">
        <f t="array" ref="C736">IF(W736=1,INDEX('Database Mitra'!$E$2:$E905,MATCH(A736,'Database Mitra'!AK$2:AK905,0)),"")</f>
        <v/>
      </c>
      <c r="D736" s="23"/>
      <c r="E736" s="5" t="str">
        <f t="array" ref="E736">IF(W736=1,INDEX('Input Kegiatan'!B$2:B905,MATCH($D736,'Input Kegiatan'!$A$2:$A905,0)),"")</f>
        <v/>
      </c>
      <c r="F736" s="5" t="str">
        <f t="array" ref="F736">IF(W736=1,INDEX('Input Kegiatan'!D$2:D905,MATCH($D736,'Input Kegiatan'!$A$2:$A905,0)),"")</f>
        <v/>
      </c>
      <c r="G736" s="5" t="str">
        <f t="array" ref="G736">IF(W736=1,INDEX('Input Kegiatan'!E$2:E905,MATCH($D736,'Input Kegiatan'!$A$2:$A905,0)),"")</f>
        <v/>
      </c>
      <c r="H736" s="5" t="str">
        <f t="array" ref="H736">IF(W736=1,INDEX(Honor!$H$2:$H905,MATCH($D736&amp;"-"&amp;R736,Honor!$K$2:$K905,0)),"")</f>
        <v/>
      </c>
      <c r="I736" s="8" t="str">
        <f>IF(W736=1,SUMIFS(Honor!$I$2:$I905,Honor!$K$2:$K905,$D736&amp;"-"&amp;R736),"")</f>
        <v/>
      </c>
      <c r="J736" s="9" t="str">
        <f t="shared" si="6"/>
        <v/>
      </c>
      <c r="K736" s="10" t="str">
        <f t="shared" si="0"/>
        <v/>
      </c>
      <c r="L736" s="10" t="str">
        <f t="shared" si="1"/>
        <v/>
      </c>
      <c r="M736" s="10" t="str">
        <f>IF(W736=1,IF(AND(U736&lt;2,INT(V736)&lt;='Batasan Honor'!$B$2),1,0),"")</f>
        <v/>
      </c>
      <c r="O736" s="10" t="str">
        <f t="shared" si="2"/>
        <v/>
      </c>
      <c r="P736" s="10" t="str">
        <f t="shared" si="3"/>
        <v/>
      </c>
      <c r="R736" s="23"/>
      <c r="S736" s="10" t="str">
        <f t="shared" si="4"/>
        <v/>
      </c>
      <c r="U736" s="10" t="str">
        <f ca="1">IFERROR(__xludf.DUMMYFUNCTION("if(W736=1,COUNTIFS(FILTER($H$2:$H905,$H$2:$H905=""OB"",$S$2:$S905=S736),""OB""),"""")"),"")</f>
        <v/>
      </c>
      <c r="V736" s="10" t="str">
        <f ca="1">IFERROR(__xludf.DUMMYFUNCTION("IF(OR(ISNA(SUM(FILTER($K$2:$K905,$A$2:$A905=A736,$S$2:$S905=S736,$H$2:$H905&lt;&gt;""OB""))),W736&lt;&gt;1),"""",SUM(FILTER($K$2:$K905,$A$2:$A905=A736,$S$2:$S905=S736,$H$2:$H905&lt;&gt;""OB"")))"),"")</f>
        <v/>
      </c>
      <c r="W736" s="10" t="str">
        <f t="shared" si="5"/>
        <v/>
      </c>
    </row>
    <row r="737" spans="1:23" ht="12.5">
      <c r="A737" s="23"/>
      <c r="B737" s="5" t="str">
        <f t="array" ref="B737">IF(W737=1,INDEX('Database Mitra'!$H$2:$H905,MATCH(A737,'Database Mitra'!AK$2:AK905,0)),"")</f>
        <v/>
      </c>
      <c r="C737" s="5" t="str">
        <f t="array" ref="C737">IF(W737=1,INDEX('Database Mitra'!$E$2:$E905,MATCH(A737,'Database Mitra'!AK$2:AK905,0)),"")</f>
        <v/>
      </c>
      <c r="D737" s="23"/>
      <c r="E737" s="5" t="str">
        <f t="array" ref="E737">IF(W737=1,INDEX('Input Kegiatan'!B$2:B905,MATCH($D737,'Input Kegiatan'!$A$2:$A905,0)),"")</f>
        <v/>
      </c>
      <c r="F737" s="5" t="str">
        <f t="array" ref="F737">IF(W737=1,INDEX('Input Kegiatan'!D$2:D905,MATCH($D737,'Input Kegiatan'!$A$2:$A905,0)),"")</f>
        <v/>
      </c>
      <c r="G737" s="5" t="str">
        <f t="array" ref="G737">IF(W737=1,INDEX('Input Kegiatan'!E$2:E905,MATCH($D737,'Input Kegiatan'!$A$2:$A905,0)),"")</f>
        <v/>
      </c>
      <c r="H737" s="5" t="str">
        <f t="array" ref="H737">IF(W737=1,INDEX(Honor!$H$2:$H905,MATCH($D737&amp;"-"&amp;R737,Honor!$K$2:$K905,0)),"")</f>
        <v/>
      </c>
      <c r="I737" s="8" t="str">
        <f>IF(W737=1,SUMIFS(Honor!$I$2:$I905,Honor!$K$2:$K905,$D737&amp;"-"&amp;R737),"")</f>
        <v/>
      </c>
      <c r="J737" s="9" t="str">
        <f t="shared" si="6"/>
        <v/>
      </c>
      <c r="K737" s="10" t="str">
        <f t="shared" si="0"/>
        <v/>
      </c>
      <c r="L737" s="10" t="str">
        <f t="shared" si="1"/>
        <v/>
      </c>
      <c r="M737" s="10" t="str">
        <f>IF(W737=1,IF(AND(U737&lt;2,INT(V737)&lt;='Batasan Honor'!$B$2),1,0),"")</f>
        <v/>
      </c>
      <c r="O737" s="10" t="str">
        <f t="shared" si="2"/>
        <v/>
      </c>
      <c r="P737" s="10" t="str">
        <f t="shared" si="3"/>
        <v/>
      </c>
      <c r="R737" s="23"/>
      <c r="S737" s="10" t="str">
        <f t="shared" si="4"/>
        <v/>
      </c>
      <c r="U737" s="10" t="str">
        <f ca="1">IFERROR(__xludf.DUMMYFUNCTION("if(W737=1,COUNTIFS(FILTER($H$2:$H905,$H$2:$H905=""OB"",$S$2:$S905=S737),""OB""),"""")"),"")</f>
        <v/>
      </c>
      <c r="V737" s="10" t="str">
        <f ca="1">IFERROR(__xludf.DUMMYFUNCTION("IF(OR(ISNA(SUM(FILTER($K$2:$K905,$A$2:$A905=A737,$S$2:$S905=S737,$H$2:$H905&lt;&gt;""OB""))),W737&lt;&gt;1),"""",SUM(FILTER($K$2:$K905,$A$2:$A905=A737,$S$2:$S905=S737,$H$2:$H905&lt;&gt;""OB"")))"),"")</f>
        <v/>
      </c>
      <c r="W737" s="10" t="str">
        <f t="shared" si="5"/>
        <v/>
      </c>
    </row>
    <row r="738" spans="1:23" ht="12.5">
      <c r="A738" s="23"/>
      <c r="B738" s="5" t="str">
        <f t="array" ref="B738">IF(W738=1,INDEX('Database Mitra'!$H$2:$H905,MATCH(A738,'Database Mitra'!AK$2:AK905,0)),"")</f>
        <v/>
      </c>
      <c r="C738" s="5" t="str">
        <f t="array" ref="C738">IF(W738=1,INDEX('Database Mitra'!$E$2:$E905,MATCH(A738,'Database Mitra'!AK$2:AK905,0)),"")</f>
        <v/>
      </c>
      <c r="D738" s="23"/>
      <c r="E738" s="5" t="str">
        <f t="array" ref="E738">IF(W738=1,INDEX('Input Kegiatan'!B$2:B905,MATCH($D738,'Input Kegiatan'!$A$2:$A905,0)),"")</f>
        <v/>
      </c>
      <c r="F738" s="5" t="str">
        <f t="array" ref="F738">IF(W738=1,INDEX('Input Kegiatan'!D$2:D905,MATCH($D738,'Input Kegiatan'!$A$2:$A905,0)),"")</f>
        <v/>
      </c>
      <c r="G738" s="5" t="str">
        <f t="array" ref="G738">IF(W738=1,INDEX('Input Kegiatan'!E$2:E905,MATCH($D738,'Input Kegiatan'!$A$2:$A905,0)),"")</f>
        <v/>
      </c>
      <c r="H738" s="5" t="str">
        <f t="array" ref="H738">IF(W738=1,INDEX(Honor!$H$2:$H905,MATCH($D738&amp;"-"&amp;R738,Honor!$K$2:$K905,0)),"")</f>
        <v/>
      </c>
      <c r="I738" s="8" t="str">
        <f>IF(W738=1,SUMIFS(Honor!$I$2:$I905,Honor!$K$2:$K905,$D738&amp;"-"&amp;R738),"")</f>
        <v/>
      </c>
      <c r="J738" s="9" t="str">
        <f t="shared" si="6"/>
        <v/>
      </c>
      <c r="K738" s="10" t="str">
        <f t="shared" si="0"/>
        <v/>
      </c>
      <c r="L738" s="10" t="str">
        <f t="shared" si="1"/>
        <v/>
      </c>
      <c r="M738" s="10" t="str">
        <f>IF(W738=1,IF(AND(U738&lt;2,INT(V738)&lt;='Batasan Honor'!$B$2),1,0),"")</f>
        <v/>
      </c>
      <c r="O738" s="10" t="str">
        <f t="shared" si="2"/>
        <v/>
      </c>
      <c r="P738" s="10" t="str">
        <f t="shared" si="3"/>
        <v/>
      </c>
      <c r="R738" s="23"/>
      <c r="S738" s="10" t="str">
        <f t="shared" si="4"/>
        <v/>
      </c>
      <c r="U738" s="10" t="str">
        <f ca="1">IFERROR(__xludf.DUMMYFUNCTION("if(W738=1,COUNTIFS(FILTER($H$2:$H905,$H$2:$H905=""OB"",$S$2:$S905=S738),""OB""),"""")"),"")</f>
        <v/>
      </c>
      <c r="V738" s="10" t="str">
        <f ca="1">IFERROR(__xludf.DUMMYFUNCTION("IF(OR(ISNA(SUM(FILTER($K$2:$K905,$A$2:$A905=A738,$S$2:$S905=S738,$H$2:$H905&lt;&gt;""OB""))),W738&lt;&gt;1),"""",SUM(FILTER($K$2:$K905,$A$2:$A905=A738,$S$2:$S905=S738,$H$2:$H905&lt;&gt;""OB"")))"),"")</f>
        <v/>
      </c>
      <c r="W738" s="10" t="str">
        <f t="shared" si="5"/>
        <v/>
      </c>
    </row>
    <row r="739" spans="1:23" ht="12.5">
      <c r="A739" s="23"/>
      <c r="B739" s="5" t="str">
        <f t="array" ref="B739">IF(W739=1,INDEX('Database Mitra'!$H$2:$H905,MATCH(A739,'Database Mitra'!AK$2:AK905,0)),"")</f>
        <v/>
      </c>
      <c r="C739" s="5" t="str">
        <f t="array" ref="C739">IF(W739=1,INDEX('Database Mitra'!$E$2:$E905,MATCH(A739,'Database Mitra'!AK$2:AK905,0)),"")</f>
        <v/>
      </c>
      <c r="D739" s="23"/>
      <c r="E739" s="5" t="str">
        <f t="array" ref="E739">IF(W739=1,INDEX('Input Kegiatan'!B$2:B905,MATCH($D739,'Input Kegiatan'!$A$2:$A905,0)),"")</f>
        <v/>
      </c>
      <c r="F739" s="5" t="str">
        <f t="array" ref="F739">IF(W739=1,INDEX('Input Kegiatan'!D$2:D905,MATCH($D739,'Input Kegiatan'!$A$2:$A905,0)),"")</f>
        <v/>
      </c>
      <c r="G739" s="5" t="str">
        <f t="array" ref="G739">IF(W739=1,INDEX('Input Kegiatan'!E$2:E905,MATCH($D739,'Input Kegiatan'!$A$2:$A905,0)),"")</f>
        <v/>
      </c>
      <c r="H739" s="5" t="str">
        <f t="array" ref="H739">IF(W739=1,INDEX(Honor!$H$2:$H905,MATCH($D739&amp;"-"&amp;R739,Honor!$K$2:$K905,0)),"")</f>
        <v/>
      </c>
      <c r="I739" s="8" t="str">
        <f>IF(W739=1,SUMIFS(Honor!$I$2:$I905,Honor!$K$2:$K905,$D739&amp;"-"&amp;R739),"")</f>
        <v/>
      </c>
      <c r="J739" s="9" t="str">
        <f t="shared" si="6"/>
        <v/>
      </c>
      <c r="K739" s="10" t="str">
        <f t="shared" si="0"/>
        <v/>
      </c>
      <c r="L739" s="10" t="str">
        <f t="shared" si="1"/>
        <v/>
      </c>
      <c r="M739" s="10" t="str">
        <f>IF(W739=1,IF(AND(U739&lt;2,INT(V739)&lt;='Batasan Honor'!$B$2),1,0),"")</f>
        <v/>
      </c>
      <c r="O739" s="10" t="str">
        <f t="shared" si="2"/>
        <v/>
      </c>
      <c r="P739" s="10" t="str">
        <f t="shared" si="3"/>
        <v/>
      </c>
      <c r="R739" s="23"/>
      <c r="S739" s="10" t="str">
        <f t="shared" si="4"/>
        <v/>
      </c>
      <c r="U739" s="10" t="str">
        <f ca="1">IFERROR(__xludf.DUMMYFUNCTION("if(W739=1,COUNTIFS(FILTER($H$2:$H905,$H$2:$H905=""OB"",$S$2:$S905=S739),""OB""),"""")"),"")</f>
        <v/>
      </c>
      <c r="V739" s="10" t="str">
        <f ca="1">IFERROR(__xludf.DUMMYFUNCTION("IF(OR(ISNA(SUM(FILTER($K$2:$K905,$A$2:$A905=A739,$S$2:$S905=S739,$H$2:$H905&lt;&gt;""OB""))),W739&lt;&gt;1),"""",SUM(FILTER($K$2:$K905,$A$2:$A905=A739,$S$2:$S905=S739,$H$2:$H905&lt;&gt;""OB"")))"),"")</f>
        <v/>
      </c>
      <c r="W739" s="10" t="str">
        <f t="shared" si="5"/>
        <v/>
      </c>
    </row>
    <row r="740" spans="1:23" ht="12.5">
      <c r="A740" s="23"/>
      <c r="B740" s="5" t="str">
        <f t="array" ref="B740">IF(W740=1,INDEX('Database Mitra'!$H$2:$H905,MATCH(A740,'Database Mitra'!AK$2:AK905,0)),"")</f>
        <v/>
      </c>
      <c r="C740" s="5" t="str">
        <f t="array" ref="C740">IF(W740=1,INDEX('Database Mitra'!$E$2:$E905,MATCH(A740,'Database Mitra'!AK$2:AK905,0)),"")</f>
        <v/>
      </c>
      <c r="D740" s="23"/>
      <c r="E740" s="5" t="str">
        <f t="array" ref="E740">IF(W740=1,INDEX('Input Kegiatan'!B$2:B905,MATCH($D740,'Input Kegiatan'!$A$2:$A905,0)),"")</f>
        <v/>
      </c>
      <c r="F740" s="5" t="str">
        <f t="array" ref="F740">IF(W740=1,INDEX('Input Kegiatan'!D$2:D905,MATCH($D740,'Input Kegiatan'!$A$2:$A905,0)),"")</f>
        <v/>
      </c>
      <c r="G740" s="5" t="str">
        <f t="array" ref="G740">IF(W740=1,INDEX('Input Kegiatan'!E$2:E905,MATCH($D740,'Input Kegiatan'!$A$2:$A905,0)),"")</f>
        <v/>
      </c>
      <c r="H740" s="5" t="str">
        <f t="array" ref="H740">IF(W740=1,INDEX(Honor!$H$2:$H905,MATCH($D740&amp;"-"&amp;R740,Honor!$K$2:$K905,0)),"")</f>
        <v/>
      </c>
      <c r="I740" s="8" t="str">
        <f>IF(W740=1,SUMIFS(Honor!$I$2:$I905,Honor!$K$2:$K905,$D740&amp;"-"&amp;R740),"")</f>
        <v/>
      </c>
      <c r="J740" s="9" t="str">
        <f t="shared" si="6"/>
        <v/>
      </c>
      <c r="K740" s="10" t="str">
        <f t="shared" si="0"/>
        <v/>
      </c>
      <c r="L740" s="10" t="str">
        <f t="shared" si="1"/>
        <v/>
      </c>
      <c r="M740" s="10" t="str">
        <f>IF(W740=1,IF(AND(U740&lt;2,INT(V740)&lt;='Batasan Honor'!$B$2),1,0),"")</f>
        <v/>
      </c>
      <c r="O740" s="10" t="str">
        <f t="shared" si="2"/>
        <v/>
      </c>
      <c r="P740" s="10" t="str">
        <f t="shared" si="3"/>
        <v/>
      </c>
      <c r="R740" s="23"/>
      <c r="S740" s="10" t="str">
        <f t="shared" si="4"/>
        <v/>
      </c>
      <c r="U740" s="10" t="str">
        <f ca="1">IFERROR(__xludf.DUMMYFUNCTION("if(W740=1,COUNTIFS(FILTER($H$2:$H905,$H$2:$H905=""OB"",$S$2:$S905=S740),""OB""),"""")"),"")</f>
        <v/>
      </c>
      <c r="V740" s="10" t="str">
        <f ca="1">IFERROR(__xludf.DUMMYFUNCTION("IF(OR(ISNA(SUM(FILTER($K$2:$K905,$A$2:$A905=A740,$S$2:$S905=S740,$H$2:$H905&lt;&gt;""OB""))),W740&lt;&gt;1),"""",SUM(FILTER($K$2:$K905,$A$2:$A905=A740,$S$2:$S905=S740,$H$2:$H905&lt;&gt;""OB"")))"),"")</f>
        <v/>
      </c>
      <c r="W740" s="10" t="str">
        <f t="shared" si="5"/>
        <v/>
      </c>
    </row>
    <row r="741" spans="1:23" ht="12.5">
      <c r="A741" s="23"/>
      <c r="B741" s="5" t="str">
        <f t="array" ref="B741">IF(W741=1,INDEX('Database Mitra'!$H$2:$H905,MATCH(A741,'Database Mitra'!AK$2:AK905,0)),"")</f>
        <v/>
      </c>
      <c r="C741" s="5" t="str">
        <f t="array" ref="C741">IF(W741=1,INDEX('Database Mitra'!$E$2:$E905,MATCH(A741,'Database Mitra'!AK$2:AK905,0)),"")</f>
        <v/>
      </c>
      <c r="D741" s="23"/>
      <c r="E741" s="5" t="str">
        <f t="array" ref="E741">IF(W741=1,INDEX('Input Kegiatan'!B$2:B905,MATCH($D741,'Input Kegiatan'!$A$2:$A905,0)),"")</f>
        <v/>
      </c>
      <c r="F741" s="5" t="str">
        <f t="array" ref="F741">IF(W741=1,INDEX('Input Kegiatan'!D$2:D905,MATCH($D741,'Input Kegiatan'!$A$2:$A905,0)),"")</f>
        <v/>
      </c>
      <c r="G741" s="5" t="str">
        <f t="array" ref="G741">IF(W741=1,INDEX('Input Kegiatan'!E$2:E905,MATCH($D741,'Input Kegiatan'!$A$2:$A905,0)),"")</f>
        <v/>
      </c>
      <c r="H741" s="5" t="str">
        <f t="array" ref="H741">IF(W741=1,INDEX(Honor!$H$2:$H905,MATCH($D741&amp;"-"&amp;R741,Honor!$K$2:$K905,0)),"")</f>
        <v/>
      </c>
      <c r="I741" s="8" t="str">
        <f>IF(W741=1,SUMIFS(Honor!$I$2:$I905,Honor!$K$2:$K905,$D741&amp;"-"&amp;R741),"")</f>
        <v/>
      </c>
      <c r="J741" s="9" t="str">
        <f t="shared" si="6"/>
        <v/>
      </c>
      <c r="K741" s="10" t="str">
        <f t="shared" si="0"/>
        <v/>
      </c>
      <c r="L741" s="10" t="str">
        <f t="shared" si="1"/>
        <v/>
      </c>
      <c r="M741" s="10" t="str">
        <f>IF(W741=1,IF(AND(U741&lt;2,INT(V741)&lt;='Batasan Honor'!$B$2),1,0),"")</f>
        <v/>
      </c>
      <c r="O741" s="10" t="str">
        <f t="shared" si="2"/>
        <v/>
      </c>
      <c r="P741" s="10" t="str">
        <f t="shared" si="3"/>
        <v/>
      </c>
      <c r="R741" s="23"/>
      <c r="S741" s="10" t="str">
        <f t="shared" si="4"/>
        <v/>
      </c>
      <c r="U741" s="10" t="str">
        <f ca="1">IFERROR(__xludf.DUMMYFUNCTION("if(W741=1,COUNTIFS(FILTER($H$2:$H905,$H$2:$H905=""OB"",$S$2:$S905=S741),""OB""),"""")"),"")</f>
        <v/>
      </c>
      <c r="V741" s="10" t="str">
        <f ca="1">IFERROR(__xludf.DUMMYFUNCTION("IF(OR(ISNA(SUM(FILTER($K$2:$K905,$A$2:$A905=A741,$S$2:$S905=S741,$H$2:$H905&lt;&gt;""OB""))),W741&lt;&gt;1),"""",SUM(FILTER($K$2:$K905,$A$2:$A905=A741,$S$2:$S905=S741,$H$2:$H905&lt;&gt;""OB"")))"),"")</f>
        <v/>
      </c>
      <c r="W741" s="10" t="str">
        <f t="shared" si="5"/>
        <v/>
      </c>
    </row>
    <row r="742" spans="1:23" ht="12.5">
      <c r="A742" s="23"/>
      <c r="B742" s="5" t="str">
        <f t="array" ref="B742">IF(W742=1,INDEX('Database Mitra'!$H$2:$H905,MATCH(A742,'Database Mitra'!AK$2:AK905,0)),"")</f>
        <v/>
      </c>
      <c r="C742" s="5" t="str">
        <f t="array" ref="C742">IF(W742=1,INDEX('Database Mitra'!$E$2:$E905,MATCH(A742,'Database Mitra'!AK$2:AK905,0)),"")</f>
        <v/>
      </c>
      <c r="D742" s="23"/>
      <c r="E742" s="5" t="str">
        <f t="array" ref="E742">IF(W742=1,INDEX('Input Kegiatan'!B$2:B905,MATCH($D742,'Input Kegiatan'!$A$2:$A905,0)),"")</f>
        <v/>
      </c>
      <c r="F742" s="5" t="str">
        <f t="array" ref="F742">IF(W742=1,INDEX('Input Kegiatan'!D$2:D905,MATCH($D742,'Input Kegiatan'!$A$2:$A905,0)),"")</f>
        <v/>
      </c>
      <c r="G742" s="5" t="str">
        <f t="array" ref="G742">IF(W742=1,INDEX('Input Kegiatan'!E$2:E905,MATCH($D742,'Input Kegiatan'!$A$2:$A905,0)),"")</f>
        <v/>
      </c>
      <c r="H742" s="5" t="str">
        <f t="array" ref="H742">IF(W742=1,INDEX(Honor!$H$2:$H905,MATCH($D742&amp;"-"&amp;R742,Honor!$K$2:$K905,0)),"")</f>
        <v/>
      </c>
      <c r="I742" s="8" t="str">
        <f>IF(W742=1,SUMIFS(Honor!$I$2:$I905,Honor!$K$2:$K905,$D742&amp;"-"&amp;R742),"")</f>
        <v/>
      </c>
      <c r="J742" s="9" t="str">
        <f t="shared" si="6"/>
        <v/>
      </c>
      <c r="K742" s="10" t="str">
        <f t="shared" si="0"/>
        <v/>
      </c>
      <c r="L742" s="10" t="str">
        <f t="shared" si="1"/>
        <v/>
      </c>
      <c r="M742" s="10" t="str">
        <f>IF(W742=1,IF(AND(U742&lt;2,INT(V742)&lt;='Batasan Honor'!$B$2),1,0),"")</f>
        <v/>
      </c>
      <c r="O742" s="10" t="str">
        <f t="shared" si="2"/>
        <v/>
      </c>
      <c r="P742" s="10" t="str">
        <f t="shared" si="3"/>
        <v/>
      </c>
      <c r="R742" s="23"/>
      <c r="S742" s="10" t="str">
        <f t="shared" si="4"/>
        <v/>
      </c>
      <c r="U742" s="10" t="str">
        <f ca="1">IFERROR(__xludf.DUMMYFUNCTION("if(W742=1,COUNTIFS(FILTER($H$2:$H905,$H$2:$H905=""OB"",$S$2:$S905=S742),""OB""),"""")"),"")</f>
        <v/>
      </c>
      <c r="V742" s="10" t="str">
        <f ca="1">IFERROR(__xludf.DUMMYFUNCTION("IF(OR(ISNA(SUM(FILTER($K$2:$K905,$A$2:$A905=A742,$S$2:$S905=S742,$H$2:$H905&lt;&gt;""OB""))),W742&lt;&gt;1),"""",SUM(FILTER($K$2:$K905,$A$2:$A905=A742,$S$2:$S905=S742,$H$2:$H905&lt;&gt;""OB"")))"),"")</f>
        <v/>
      </c>
      <c r="W742" s="10" t="str">
        <f t="shared" si="5"/>
        <v/>
      </c>
    </row>
    <row r="743" spans="1:23" ht="12.5">
      <c r="A743" s="23"/>
      <c r="B743" s="5" t="str">
        <f t="array" ref="B743">IF(W743=1,INDEX('Database Mitra'!$H$2:$H905,MATCH(A743,'Database Mitra'!AK$2:AK905,0)),"")</f>
        <v/>
      </c>
      <c r="C743" s="5" t="str">
        <f t="array" ref="C743">IF(W743=1,INDEX('Database Mitra'!$E$2:$E905,MATCH(A743,'Database Mitra'!AK$2:AK905,0)),"")</f>
        <v/>
      </c>
      <c r="D743" s="23"/>
      <c r="E743" s="5" t="str">
        <f t="array" ref="E743">IF(W743=1,INDEX('Input Kegiatan'!B$2:B905,MATCH($D743,'Input Kegiatan'!$A$2:$A905,0)),"")</f>
        <v/>
      </c>
      <c r="F743" s="5" t="str">
        <f t="array" ref="F743">IF(W743=1,INDEX('Input Kegiatan'!D$2:D905,MATCH($D743,'Input Kegiatan'!$A$2:$A905,0)),"")</f>
        <v/>
      </c>
      <c r="G743" s="5" t="str">
        <f t="array" ref="G743">IF(W743=1,INDEX('Input Kegiatan'!E$2:E905,MATCH($D743,'Input Kegiatan'!$A$2:$A905,0)),"")</f>
        <v/>
      </c>
      <c r="H743" s="5" t="str">
        <f t="array" ref="H743">IF(W743=1,INDEX(Honor!$H$2:$H905,MATCH($D743&amp;"-"&amp;R743,Honor!$K$2:$K905,0)),"")</f>
        <v/>
      </c>
      <c r="I743" s="8" t="str">
        <f>IF(W743=1,SUMIFS(Honor!$I$2:$I905,Honor!$K$2:$K905,$D743&amp;"-"&amp;R743),"")</f>
        <v/>
      </c>
      <c r="J743" s="9" t="str">
        <f t="shared" si="6"/>
        <v/>
      </c>
      <c r="K743" s="10" t="str">
        <f t="shared" si="0"/>
        <v/>
      </c>
      <c r="L743" s="10" t="str">
        <f t="shared" si="1"/>
        <v/>
      </c>
      <c r="M743" s="10" t="str">
        <f>IF(W743=1,IF(AND(U743&lt;2,INT(V743)&lt;='Batasan Honor'!$B$2),1,0),"")</f>
        <v/>
      </c>
      <c r="O743" s="10" t="str">
        <f t="shared" si="2"/>
        <v/>
      </c>
      <c r="P743" s="10" t="str">
        <f t="shared" si="3"/>
        <v/>
      </c>
      <c r="R743" s="23"/>
      <c r="S743" s="10" t="str">
        <f t="shared" si="4"/>
        <v/>
      </c>
      <c r="U743" s="10" t="str">
        <f ca="1">IFERROR(__xludf.DUMMYFUNCTION("if(W743=1,COUNTIFS(FILTER($H$2:$H905,$H$2:$H905=""OB"",$S$2:$S905=S743),""OB""),"""")"),"")</f>
        <v/>
      </c>
      <c r="V743" s="10" t="str">
        <f ca="1">IFERROR(__xludf.DUMMYFUNCTION("IF(OR(ISNA(SUM(FILTER($K$2:$K905,$A$2:$A905=A743,$S$2:$S905=S743,$H$2:$H905&lt;&gt;""OB""))),W743&lt;&gt;1),"""",SUM(FILTER($K$2:$K905,$A$2:$A905=A743,$S$2:$S905=S743,$H$2:$H905&lt;&gt;""OB"")))"),"")</f>
        <v/>
      </c>
      <c r="W743" s="10" t="str">
        <f t="shared" si="5"/>
        <v/>
      </c>
    </row>
    <row r="744" spans="1:23" ht="12.5">
      <c r="A744" s="23"/>
      <c r="B744" s="5" t="str">
        <f t="array" ref="B744">IF(W744=1,INDEX('Database Mitra'!$H$2:$H905,MATCH(A744,'Database Mitra'!AK$2:AK905,0)),"")</f>
        <v/>
      </c>
      <c r="C744" s="5" t="str">
        <f t="array" ref="C744">IF(W744=1,INDEX('Database Mitra'!$E$2:$E905,MATCH(A744,'Database Mitra'!AK$2:AK905,0)),"")</f>
        <v/>
      </c>
      <c r="D744" s="23"/>
      <c r="E744" s="5" t="str">
        <f t="array" ref="E744">IF(W744=1,INDEX('Input Kegiatan'!B$2:B905,MATCH($D744,'Input Kegiatan'!$A$2:$A905,0)),"")</f>
        <v/>
      </c>
      <c r="F744" s="5" t="str">
        <f t="array" ref="F744">IF(W744=1,INDEX('Input Kegiatan'!D$2:D905,MATCH($D744,'Input Kegiatan'!$A$2:$A905,0)),"")</f>
        <v/>
      </c>
      <c r="G744" s="5" t="str">
        <f t="array" ref="G744">IF(W744=1,INDEX('Input Kegiatan'!E$2:E905,MATCH($D744,'Input Kegiatan'!$A$2:$A905,0)),"")</f>
        <v/>
      </c>
      <c r="H744" s="5" t="str">
        <f t="array" ref="H744">IF(W744=1,INDEX(Honor!$H$2:$H905,MATCH($D744&amp;"-"&amp;R744,Honor!$K$2:$K905,0)),"")</f>
        <v/>
      </c>
      <c r="I744" s="8" t="str">
        <f>IF(W744=1,SUMIFS(Honor!$I$2:$I905,Honor!$K$2:$K905,$D744&amp;"-"&amp;R744),"")</f>
        <v/>
      </c>
      <c r="J744" s="9" t="str">
        <f t="shared" si="6"/>
        <v/>
      </c>
      <c r="K744" s="10" t="str">
        <f t="shared" si="0"/>
        <v/>
      </c>
      <c r="L744" s="10" t="str">
        <f t="shared" si="1"/>
        <v/>
      </c>
      <c r="M744" s="10" t="str">
        <f>IF(W744=1,IF(AND(U744&lt;2,INT(V744)&lt;='Batasan Honor'!$B$2),1,0),"")</f>
        <v/>
      </c>
      <c r="O744" s="10" t="str">
        <f t="shared" si="2"/>
        <v/>
      </c>
      <c r="P744" s="10" t="str">
        <f t="shared" si="3"/>
        <v/>
      </c>
      <c r="R744" s="23"/>
      <c r="S744" s="10" t="str">
        <f t="shared" si="4"/>
        <v/>
      </c>
      <c r="U744" s="10" t="str">
        <f ca="1">IFERROR(__xludf.DUMMYFUNCTION("if(W744=1,COUNTIFS(FILTER($H$2:$H905,$H$2:$H905=""OB"",$S$2:$S905=S744),""OB""),"""")"),"")</f>
        <v/>
      </c>
      <c r="V744" s="10" t="str">
        <f ca="1">IFERROR(__xludf.DUMMYFUNCTION("IF(OR(ISNA(SUM(FILTER($K$2:$K905,$A$2:$A905=A744,$S$2:$S905=S744,$H$2:$H905&lt;&gt;""OB""))),W744&lt;&gt;1),"""",SUM(FILTER($K$2:$K905,$A$2:$A905=A744,$S$2:$S905=S744,$H$2:$H905&lt;&gt;""OB"")))"),"")</f>
        <v/>
      </c>
      <c r="W744" s="10" t="str">
        <f t="shared" si="5"/>
        <v/>
      </c>
    </row>
    <row r="745" spans="1:23" ht="12.5">
      <c r="A745" s="23"/>
      <c r="B745" s="5" t="str">
        <f t="array" ref="B745">IF(W745=1,INDEX('Database Mitra'!$H$2:$H905,MATCH(A745,'Database Mitra'!AK$2:AK905,0)),"")</f>
        <v/>
      </c>
      <c r="C745" s="5" t="str">
        <f t="array" ref="C745">IF(W745=1,INDEX('Database Mitra'!$E$2:$E905,MATCH(A745,'Database Mitra'!AK$2:AK905,0)),"")</f>
        <v/>
      </c>
      <c r="D745" s="23"/>
      <c r="E745" s="5" t="str">
        <f t="array" ref="E745">IF(W745=1,INDEX('Input Kegiatan'!B$2:B905,MATCH($D745,'Input Kegiatan'!$A$2:$A905,0)),"")</f>
        <v/>
      </c>
      <c r="F745" s="5" t="str">
        <f t="array" ref="F745">IF(W745=1,INDEX('Input Kegiatan'!D$2:D905,MATCH($D745,'Input Kegiatan'!$A$2:$A905,0)),"")</f>
        <v/>
      </c>
      <c r="G745" s="5" t="str">
        <f t="array" ref="G745">IF(W745=1,INDEX('Input Kegiatan'!E$2:E905,MATCH($D745,'Input Kegiatan'!$A$2:$A905,0)),"")</f>
        <v/>
      </c>
      <c r="H745" s="5" t="str">
        <f t="array" ref="H745">IF(W745=1,INDEX(Honor!$H$2:$H905,MATCH($D745&amp;"-"&amp;R745,Honor!$K$2:$K905,0)),"")</f>
        <v/>
      </c>
      <c r="I745" s="8" t="str">
        <f>IF(W745=1,SUMIFS(Honor!$I$2:$I905,Honor!$K$2:$K905,$D745&amp;"-"&amp;R745),"")</f>
        <v/>
      </c>
      <c r="J745" s="9" t="str">
        <f t="shared" si="6"/>
        <v/>
      </c>
      <c r="K745" s="10" t="str">
        <f t="shared" si="0"/>
        <v/>
      </c>
      <c r="L745" s="10" t="str">
        <f t="shared" si="1"/>
        <v/>
      </c>
      <c r="M745" s="10" t="str">
        <f>IF(W745=1,IF(AND(U745&lt;2,INT(V745)&lt;='Batasan Honor'!$B$2),1,0),"")</f>
        <v/>
      </c>
      <c r="O745" s="10" t="str">
        <f t="shared" si="2"/>
        <v/>
      </c>
      <c r="P745" s="10" t="str">
        <f t="shared" si="3"/>
        <v/>
      </c>
      <c r="R745" s="23"/>
      <c r="S745" s="10" t="str">
        <f t="shared" si="4"/>
        <v/>
      </c>
      <c r="U745" s="10" t="str">
        <f ca="1">IFERROR(__xludf.DUMMYFUNCTION("if(W745=1,COUNTIFS(FILTER($H$2:$H905,$H$2:$H905=""OB"",$S$2:$S905=S745),""OB""),"""")"),"")</f>
        <v/>
      </c>
      <c r="V745" s="10" t="str">
        <f ca="1">IFERROR(__xludf.DUMMYFUNCTION("IF(OR(ISNA(SUM(FILTER($K$2:$K905,$A$2:$A905=A745,$S$2:$S905=S745,$H$2:$H905&lt;&gt;""OB""))),W745&lt;&gt;1),"""",SUM(FILTER($K$2:$K905,$A$2:$A905=A745,$S$2:$S905=S745,$H$2:$H905&lt;&gt;""OB"")))"),"")</f>
        <v/>
      </c>
      <c r="W745" s="10" t="str">
        <f t="shared" si="5"/>
        <v/>
      </c>
    </row>
    <row r="746" spans="1:23" ht="12.5">
      <c r="A746" s="23"/>
      <c r="B746" s="5" t="str">
        <f t="array" ref="B746">IF(W746=1,INDEX('Database Mitra'!$H$2:$H905,MATCH(A746,'Database Mitra'!AK$2:AK905,0)),"")</f>
        <v/>
      </c>
      <c r="C746" s="5" t="str">
        <f t="array" ref="C746">IF(W746=1,INDEX('Database Mitra'!$E$2:$E905,MATCH(A746,'Database Mitra'!AK$2:AK905,0)),"")</f>
        <v/>
      </c>
      <c r="D746" s="23"/>
      <c r="E746" s="5" t="str">
        <f t="array" ref="E746">IF(W746=1,INDEX('Input Kegiatan'!B$2:B905,MATCH($D746,'Input Kegiatan'!$A$2:$A905,0)),"")</f>
        <v/>
      </c>
      <c r="F746" s="5" t="str">
        <f t="array" ref="F746">IF(W746=1,INDEX('Input Kegiatan'!D$2:D905,MATCH($D746,'Input Kegiatan'!$A$2:$A905,0)),"")</f>
        <v/>
      </c>
      <c r="G746" s="5" t="str">
        <f t="array" ref="G746">IF(W746=1,INDEX('Input Kegiatan'!E$2:E905,MATCH($D746,'Input Kegiatan'!$A$2:$A905,0)),"")</f>
        <v/>
      </c>
      <c r="H746" s="5" t="str">
        <f t="array" ref="H746">IF(W746=1,INDEX(Honor!$H$2:$H905,MATCH($D746&amp;"-"&amp;R746,Honor!$K$2:$K905,0)),"")</f>
        <v/>
      </c>
      <c r="I746" s="8" t="str">
        <f>IF(W746=1,SUMIFS(Honor!$I$2:$I905,Honor!$K$2:$K905,$D746&amp;"-"&amp;R746),"")</f>
        <v/>
      </c>
      <c r="J746" s="9" t="str">
        <f t="shared" si="6"/>
        <v/>
      </c>
      <c r="K746" s="10" t="str">
        <f t="shared" si="0"/>
        <v/>
      </c>
      <c r="L746" s="10" t="str">
        <f t="shared" si="1"/>
        <v/>
      </c>
      <c r="M746" s="10" t="str">
        <f>IF(W746=1,IF(AND(U746&lt;2,INT(V746)&lt;='Batasan Honor'!$B$2),1,0),"")</f>
        <v/>
      </c>
      <c r="O746" s="10" t="str">
        <f t="shared" si="2"/>
        <v/>
      </c>
      <c r="P746" s="10" t="str">
        <f t="shared" si="3"/>
        <v/>
      </c>
      <c r="R746" s="23"/>
      <c r="S746" s="10" t="str">
        <f t="shared" si="4"/>
        <v/>
      </c>
      <c r="U746" s="10" t="str">
        <f ca="1">IFERROR(__xludf.DUMMYFUNCTION("if(W746=1,COUNTIFS(FILTER($H$2:$H905,$H$2:$H905=""OB"",$S$2:$S905=S746),""OB""),"""")"),"")</f>
        <v/>
      </c>
      <c r="V746" s="10" t="str">
        <f ca="1">IFERROR(__xludf.DUMMYFUNCTION("IF(OR(ISNA(SUM(FILTER($K$2:$K905,$A$2:$A905=A746,$S$2:$S905=S746,$H$2:$H905&lt;&gt;""OB""))),W746&lt;&gt;1),"""",SUM(FILTER($K$2:$K905,$A$2:$A905=A746,$S$2:$S905=S746,$H$2:$H905&lt;&gt;""OB"")))"),"")</f>
        <v/>
      </c>
      <c r="W746" s="10" t="str">
        <f t="shared" si="5"/>
        <v/>
      </c>
    </row>
    <row r="747" spans="1:23" ht="12.5">
      <c r="A747" s="23"/>
      <c r="B747" s="5" t="str">
        <f t="array" ref="B747">IF(W747=1,INDEX('Database Mitra'!$H$2:$H905,MATCH(A747,'Database Mitra'!AK$2:AK905,0)),"")</f>
        <v/>
      </c>
      <c r="C747" s="5" t="str">
        <f t="array" ref="C747">IF(W747=1,INDEX('Database Mitra'!$E$2:$E905,MATCH(A747,'Database Mitra'!AK$2:AK905,0)),"")</f>
        <v/>
      </c>
      <c r="D747" s="23"/>
      <c r="E747" s="5" t="str">
        <f t="array" ref="E747">IF(W747=1,INDEX('Input Kegiatan'!B$2:B905,MATCH($D747,'Input Kegiatan'!$A$2:$A905,0)),"")</f>
        <v/>
      </c>
      <c r="F747" s="5" t="str">
        <f t="array" ref="F747">IF(W747=1,INDEX('Input Kegiatan'!D$2:D905,MATCH($D747,'Input Kegiatan'!$A$2:$A905,0)),"")</f>
        <v/>
      </c>
      <c r="G747" s="5" t="str">
        <f t="array" ref="G747">IF(W747=1,INDEX('Input Kegiatan'!E$2:E905,MATCH($D747,'Input Kegiatan'!$A$2:$A905,0)),"")</f>
        <v/>
      </c>
      <c r="H747" s="5" t="str">
        <f t="array" ref="H747">IF(W747=1,INDEX(Honor!$H$2:$H905,MATCH($D747&amp;"-"&amp;R747,Honor!$K$2:$K905,0)),"")</f>
        <v/>
      </c>
      <c r="I747" s="8" t="str">
        <f>IF(W747=1,SUMIFS(Honor!$I$2:$I905,Honor!$K$2:$K905,$D747&amp;"-"&amp;R747),"")</f>
        <v/>
      </c>
      <c r="J747" s="9" t="str">
        <f t="shared" si="6"/>
        <v/>
      </c>
      <c r="K747" s="10" t="str">
        <f t="shared" si="0"/>
        <v/>
      </c>
      <c r="L747" s="10" t="str">
        <f t="shared" si="1"/>
        <v/>
      </c>
      <c r="M747" s="10" t="str">
        <f>IF(W747=1,IF(AND(U747&lt;2,INT(V747)&lt;='Batasan Honor'!$B$2),1,0),"")</f>
        <v/>
      </c>
      <c r="O747" s="10" t="str">
        <f t="shared" si="2"/>
        <v/>
      </c>
      <c r="P747" s="10" t="str">
        <f t="shared" si="3"/>
        <v/>
      </c>
      <c r="R747" s="23"/>
      <c r="S747" s="10" t="str">
        <f t="shared" si="4"/>
        <v/>
      </c>
      <c r="U747" s="10" t="str">
        <f ca="1">IFERROR(__xludf.DUMMYFUNCTION("if(W747=1,COUNTIFS(FILTER($H$2:$H905,$H$2:$H905=""OB"",$S$2:$S905=S747),""OB""),"""")"),"")</f>
        <v/>
      </c>
      <c r="V747" s="10" t="str">
        <f ca="1">IFERROR(__xludf.DUMMYFUNCTION("IF(OR(ISNA(SUM(FILTER($K$2:$K905,$A$2:$A905=A747,$S$2:$S905=S747,$H$2:$H905&lt;&gt;""OB""))),W747&lt;&gt;1),"""",SUM(FILTER($K$2:$K905,$A$2:$A905=A747,$S$2:$S905=S747,$H$2:$H905&lt;&gt;""OB"")))"),"")</f>
        <v/>
      </c>
      <c r="W747" s="10" t="str">
        <f t="shared" si="5"/>
        <v/>
      </c>
    </row>
    <row r="748" spans="1:23" ht="12.5">
      <c r="A748" s="23"/>
      <c r="B748" s="5" t="str">
        <f t="array" ref="B748">IF(W748=1,INDEX('Database Mitra'!$H$2:$H905,MATCH(A748,'Database Mitra'!AK$2:AK905,0)),"")</f>
        <v/>
      </c>
      <c r="C748" s="5" t="str">
        <f t="array" ref="C748">IF(W748=1,INDEX('Database Mitra'!$E$2:$E905,MATCH(A748,'Database Mitra'!AK$2:AK905,0)),"")</f>
        <v/>
      </c>
      <c r="D748" s="23"/>
      <c r="E748" s="5" t="str">
        <f t="array" ref="E748">IF(W748=1,INDEX('Input Kegiatan'!B$2:B905,MATCH($D748,'Input Kegiatan'!$A$2:$A905,0)),"")</f>
        <v/>
      </c>
      <c r="F748" s="5" t="str">
        <f t="array" ref="F748">IF(W748=1,INDEX('Input Kegiatan'!D$2:D905,MATCH($D748,'Input Kegiatan'!$A$2:$A905,0)),"")</f>
        <v/>
      </c>
      <c r="G748" s="5" t="str">
        <f t="array" ref="G748">IF(W748=1,INDEX('Input Kegiatan'!E$2:E905,MATCH($D748,'Input Kegiatan'!$A$2:$A905,0)),"")</f>
        <v/>
      </c>
      <c r="H748" s="5" t="str">
        <f t="array" ref="H748">IF(W748=1,INDEX(Honor!$H$2:$H905,MATCH($D748&amp;"-"&amp;R748,Honor!$K$2:$K905,0)),"")</f>
        <v/>
      </c>
      <c r="I748" s="8" t="str">
        <f>IF(W748=1,SUMIFS(Honor!$I$2:$I905,Honor!$K$2:$K905,$D748&amp;"-"&amp;R748),"")</f>
        <v/>
      </c>
      <c r="J748" s="9" t="str">
        <f t="shared" si="6"/>
        <v/>
      </c>
      <c r="K748" s="10" t="str">
        <f t="shared" si="0"/>
        <v/>
      </c>
      <c r="L748" s="10" t="str">
        <f t="shared" si="1"/>
        <v/>
      </c>
      <c r="M748" s="10" t="str">
        <f>IF(W748=1,IF(AND(U748&lt;2,INT(V748)&lt;='Batasan Honor'!$B$2),1,0),"")</f>
        <v/>
      </c>
      <c r="O748" s="10" t="str">
        <f t="shared" si="2"/>
        <v/>
      </c>
      <c r="P748" s="10" t="str">
        <f t="shared" si="3"/>
        <v/>
      </c>
      <c r="R748" s="23"/>
      <c r="S748" s="10" t="str">
        <f t="shared" si="4"/>
        <v/>
      </c>
      <c r="U748" s="10" t="str">
        <f ca="1">IFERROR(__xludf.DUMMYFUNCTION("if(W748=1,COUNTIFS(FILTER($H$2:$H905,$H$2:$H905=""OB"",$S$2:$S905=S748),""OB""),"""")"),"")</f>
        <v/>
      </c>
      <c r="V748" s="10" t="str">
        <f ca="1">IFERROR(__xludf.DUMMYFUNCTION("IF(OR(ISNA(SUM(FILTER($K$2:$K905,$A$2:$A905=A748,$S$2:$S905=S748,$H$2:$H905&lt;&gt;""OB""))),W748&lt;&gt;1),"""",SUM(FILTER($K$2:$K905,$A$2:$A905=A748,$S$2:$S905=S748,$H$2:$H905&lt;&gt;""OB"")))"),"")</f>
        <v/>
      </c>
      <c r="W748" s="10" t="str">
        <f t="shared" si="5"/>
        <v/>
      </c>
    </row>
    <row r="749" spans="1:23" ht="12.5">
      <c r="A749" s="23"/>
      <c r="B749" s="5" t="str">
        <f t="array" ref="B749">IF(W749=1,INDEX('Database Mitra'!$H$2:$H905,MATCH(A749,'Database Mitra'!AK$2:AK905,0)),"")</f>
        <v/>
      </c>
      <c r="C749" s="5" t="str">
        <f t="array" ref="C749">IF(W749=1,INDEX('Database Mitra'!$E$2:$E905,MATCH(A749,'Database Mitra'!AK$2:AK905,0)),"")</f>
        <v/>
      </c>
      <c r="D749" s="23"/>
      <c r="E749" s="5" t="str">
        <f t="array" ref="E749">IF(W749=1,INDEX('Input Kegiatan'!B$2:B905,MATCH($D749,'Input Kegiatan'!$A$2:$A905,0)),"")</f>
        <v/>
      </c>
      <c r="F749" s="5" t="str">
        <f t="array" ref="F749">IF(W749=1,INDEX('Input Kegiatan'!D$2:D905,MATCH($D749,'Input Kegiatan'!$A$2:$A905,0)),"")</f>
        <v/>
      </c>
      <c r="G749" s="5" t="str">
        <f t="array" ref="G749">IF(W749=1,INDEX('Input Kegiatan'!E$2:E905,MATCH($D749,'Input Kegiatan'!$A$2:$A905,0)),"")</f>
        <v/>
      </c>
      <c r="H749" s="5" t="str">
        <f t="array" ref="H749">IF(W749=1,INDEX(Honor!$H$2:$H905,MATCH($D749&amp;"-"&amp;R749,Honor!$K$2:$K905,0)),"")</f>
        <v/>
      </c>
      <c r="I749" s="8" t="str">
        <f>IF(W749=1,SUMIFS(Honor!$I$2:$I905,Honor!$K$2:$K905,$D749&amp;"-"&amp;R749),"")</f>
        <v/>
      </c>
      <c r="J749" s="9" t="str">
        <f t="shared" si="6"/>
        <v/>
      </c>
      <c r="K749" s="10" t="str">
        <f t="shared" si="0"/>
        <v/>
      </c>
      <c r="L749" s="10" t="str">
        <f t="shared" si="1"/>
        <v/>
      </c>
      <c r="M749" s="10" t="str">
        <f>IF(W749=1,IF(AND(U749&lt;2,INT(V749)&lt;='Batasan Honor'!$B$2),1,0),"")</f>
        <v/>
      </c>
      <c r="O749" s="10" t="str">
        <f t="shared" si="2"/>
        <v/>
      </c>
      <c r="P749" s="10" t="str">
        <f t="shared" si="3"/>
        <v/>
      </c>
      <c r="R749" s="23"/>
      <c r="S749" s="10" t="str">
        <f t="shared" si="4"/>
        <v/>
      </c>
      <c r="U749" s="10" t="str">
        <f ca="1">IFERROR(__xludf.DUMMYFUNCTION("if(W749=1,COUNTIFS(FILTER($H$2:$H905,$H$2:$H905=""OB"",$S$2:$S905=S749),""OB""),"""")"),"")</f>
        <v/>
      </c>
      <c r="V749" s="10" t="str">
        <f ca="1">IFERROR(__xludf.DUMMYFUNCTION("IF(OR(ISNA(SUM(FILTER($K$2:$K905,$A$2:$A905=A749,$S$2:$S905=S749,$H$2:$H905&lt;&gt;""OB""))),W749&lt;&gt;1),"""",SUM(FILTER($K$2:$K905,$A$2:$A905=A749,$S$2:$S905=S749,$H$2:$H905&lt;&gt;""OB"")))"),"")</f>
        <v/>
      </c>
      <c r="W749" s="10" t="str">
        <f t="shared" si="5"/>
        <v/>
      </c>
    </row>
    <row r="750" spans="1:23" ht="12.5">
      <c r="A750" s="23"/>
      <c r="B750" s="5" t="str">
        <f t="array" ref="B750">IF(W750=1,INDEX('Database Mitra'!$H$2:$H905,MATCH(A750,'Database Mitra'!AK$2:AK905,0)),"")</f>
        <v/>
      </c>
      <c r="C750" s="5" t="str">
        <f t="array" ref="C750">IF(W750=1,INDEX('Database Mitra'!$E$2:$E905,MATCH(A750,'Database Mitra'!AK$2:AK905,0)),"")</f>
        <v/>
      </c>
      <c r="D750" s="23"/>
      <c r="E750" s="5" t="str">
        <f t="array" ref="E750">IF(W750=1,INDEX('Input Kegiatan'!B$2:B905,MATCH($D750,'Input Kegiatan'!$A$2:$A905,0)),"")</f>
        <v/>
      </c>
      <c r="F750" s="5" t="str">
        <f t="array" ref="F750">IF(W750=1,INDEX('Input Kegiatan'!D$2:D905,MATCH($D750,'Input Kegiatan'!$A$2:$A905,0)),"")</f>
        <v/>
      </c>
      <c r="G750" s="5" t="str">
        <f t="array" ref="G750">IF(W750=1,INDEX('Input Kegiatan'!E$2:E905,MATCH($D750,'Input Kegiatan'!$A$2:$A905,0)),"")</f>
        <v/>
      </c>
      <c r="H750" s="5" t="str">
        <f t="array" ref="H750">IF(W750=1,INDEX(Honor!$H$2:$H905,MATCH($D750&amp;"-"&amp;R750,Honor!$K$2:$K905,0)),"")</f>
        <v/>
      </c>
      <c r="I750" s="8" t="str">
        <f>IF(W750=1,SUMIFS(Honor!$I$2:$I905,Honor!$K$2:$K905,$D750&amp;"-"&amp;R750),"")</f>
        <v/>
      </c>
      <c r="J750" s="9" t="str">
        <f t="shared" si="6"/>
        <v/>
      </c>
      <c r="K750" s="10" t="str">
        <f t="shared" si="0"/>
        <v/>
      </c>
      <c r="L750" s="10" t="str">
        <f t="shared" si="1"/>
        <v/>
      </c>
      <c r="M750" s="10" t="str">
        <f>IF(W750=1,IF(AND(U750&lt;2,INT(V750)&lt;='Batasan Honor'!$B$2),1,0),"")</f>
        <v/>
      </c>
      <c r="O750" s="10" t="str">
        <f t="shared" si="2"/>
        <v/>
      </c>
      <c r="P750" s="10" t="str">
        <f t="shared" si="3"/>
        <v/>
      </c>
      <c r="R750" s="23"/>
      <c r="S750" s="10" t="str">
        <f t="shared" si="4"/>
        <v/>
      </c>
      <c r="U750" s="10" t="str">
        <f ca="1">IFERROR(__xludf.DUMMYFUNCTION("if(W750=1,COUNTIFS(FILTER($H$2:$H905,$H$2:$H905=""OB"",$S$2:$S905=S750),""OB""),"""")"),"")</f>
        <v/>
      </c>
      <c r="V750" s="10" t="str">
        <f ca="1">IFERROR(__xludf.DUMMYFUNCTION("IF(OR(ISNA(SUM(FILTER($K$2:$K905,$A$2:$A905=A750,$S$2:$S905=S750,$H$2:$H905&lt;&gt;""OB""))),W750&lt;&gt;1),"""",SUM(FILTER($K$2:$K905,$A$2:$A905=A750,$S$2:$S905=S750,$H$2:$H905&lt;&gt;""OB"")))"),"")</f>
        <v/>
      </c>
      <c r="W750" s="10" t="str">
        <f t="shared" si="5"/>
        <v/>
      </c>
    </row>
    <row r="751" spans="1:23" ht="12.5">
      <c r="A751" s="23"/>
      <c r="B751" s="5" t="str">
        <f t="array" ref="B751">IF(W751=1,INDEX('Database Mitra'!$H$2:$H905,MATCH(A751,'Database Mitra'!AK$2:AK905,0)),"")</f>
        <v/>
      </c>
      <c r="C751" s="5" t="str">
        <f t="array" ref="C751">IF(W751=1,INDEX('Database Mitra'!$E$2:$E905,MATCH(A751,'Database Mitra'!AK$2:AK905,0)),"")</f>
        <v/>
      </c>
      <c r="D751" s="23"/>
      <c r="E751" s="5" t="str">
        <f t="array" ref="E751">IF(W751=1,INDEX('Input Kegiatan'!B$2:B905,MATCH($D751,'Input Kegiatan'!$A$2:$A905,0)),"")</f>
        <v/>
      </c>
      <c r="F751" s="5" t="str">
        <f t="array" ref="F751">IF(W751=1,INDEX('Input Kegiatan'!D$2:D905,MATCH($D751,'Input Kegiatan'!$A$2:$A905,0)),"")</f>
        <v/>
      </c>
      <c r="G751" s="5" t="str">
        <f t="array" ref="G751">IF(W751=1,INDEX('Input Kegiatan'!E$2:E905,MATCH($D751,'Input Kegiatan'!$A$2:$A905,0)),"")</f>
        <v/>
      </c>
      <c r="H751" s="5" t="str">
        <f t="array" ref="H751">IF(W751=1,INDEX(Honor!$H$2:$H905,MATCH($D751&amp;"-"&amp;R751,Honor!$K$2:$K905,0)),"")</f>
        <v/>
      </c>
      <c r="I751" s="8" t="str">
        <f>IF(W751=1,SUMIFS(Honor!$I$2:$I905,Honor!$K$2:$K905,$D751&amp;"-"&amp;R751),"")</f>
        <v/>
      </c>
      <c r="J751" s="9" t="str">
        <f t="shared" si="6"/>
        <v/>
      </c>
      <c r="K751" s="10" t="str">
        <f t="shared" si="0"/>
        <v/>
      </c>
      <c r="L751" s="10" t="str">
        <f t="shared" si="1"/>
        <v/>
      </c>
      <c r="M751" s="10" t="str">
        <f>IF(W751=1,IF(AND(U751&lt;2,INT(V751)&lt;='Batasan Honor'!$B$2),1,0),"")</f>
        <v/>
      </c>
      <c r="O751" s="10" t="str">
        <f t="shared" si="2"/>
        <v/>
      </c>
      <c r="P751" s="10" t="str">
        <f t="shared" si="3"/>
        <v/>
      </c>
      <c r="R751" s="23"/>
      <c r="S751" s="10" t="str">
        <f t="shared" si="4"/>
        <v/>
      </c>
      <c r="U751" s="10" t="str">
        <f ca="1">IFERROR(__xludf.DUMMYFUNCTION("if(W751=1,COUNTIFS(FILTER($H$2:$H905,$H$2:$H905=""OB"",$S$2:$S905=S751),""OB""),"""")"),"")</f>
        <v/>
      </c>
      <c r="V751" s="10" t="str">
        <f ca="1">IFERROR(__xludf.DUMMYFUNCTION("IF(OR(ISNA(SUM(FILTER($K$2:$K905,$A$2:$A905=A751,$S$2:$S905=S751,$H$2:$H905&lt;&gt;""OB""))),W751&lt;&gt;1),"""",SUM(FILTER($K$2:$K905,$A$2:$A905=A751,$S$2:$S905=S751,$H$2:$H905&lt;&gt;""OB"")))"),"")</f>
        <v/>
      </c>
      <c r="W751" s="10" t="str">
        <f t="shared" si="5"/>
        <v/>
      </c>
    </row>
    <row r="752" spans="1:23" ht="12.5">
      <c r="A752" s="23"/>
      <c r="B752" s="5" t="str">
        <f t="array" ref="B752">IF(W752=1,INDEX('Database Mitra'!$H$2:$H905,MATCH(A752,'Database Mitra'!AK$2:AK905,0)),"")</f>
        <v/>
      </c>
      <c r="C752" s="5" t="str">
        <f t="array" ref="C752">IF(W752=1,INDEX('Database Mitra'!$E$2:$E905,MATCH(A752,'Database Mitra'!AK$2:AK905,0)),"")</f>
        <v/>
      </c>
      <c r="D752" s="23"/>
      <c r="E752" s="5" t="str">
        <f t="array" ref="E752">IF(W752=1,INDEX('Input Kegiatan'!B$2:B905,MATCH($D752,'Input Kegiatan'!$A$2:$A905,0)),"")</f>
        <v/>
      </c>
      <c r="F752" s="5" t="str">
        <f t="array" ref="F752">IF(W752=1,INDEX('Input Kegiatan'!D$2:D905,MATCH($D752,'Input Kegiatan'!$A$2:$A905,0)),"")</f>
        <v/>
      </c>
      <c r="G752" s="5" t="str">
        <f t="array" ref="G752">IF(W752=1,INDEX('Input Kegiatan'!E$2:E905,MATCH($D752,'Input Kegiatan'!$A$2:$A905,0)),"")</f>
        <v/>
      </c>
      <c r="H752" s="5" t="str">
        <f t="array" ref="H752">IF(W752=1,INDEX(Honor!$H$2:$H905,MATCH($D752&amp;"-"&amp;R752,Honor!$K$2:$K905,0)),"")</f>
        <v/>
      </c>
      <c r="I752" s="8" t="str">
        <f>IF(W752=1,SUMIFS(Honor!$I$2:$I905,Honor!$K$2:$K905,$D752&amp;"-"&amp;R752),"")</f>
        <v/>
      </c>
      <c r="J752" s="9" t="str">
        <f t="shared" si="6"/>
        <v/>
      </c>
      <c r="K752" s="10" t="str">
        <f t="shared" si="0"/>
        <v/>
      </c>
      <c r="L752" s="10" t="str">
        <f t="shared" si="1"/>
        <v/>
      </c>
      <c r="M752" s="10" t="str">
        <f>IF(W752=1,IF(AND(U752&lt;2,INT(V752)&lt;='Batasan Honor'!$B$2),1,0),"")</f>
        <v/>
      </c>
      <c r="O752" s="10" t="str">
        <f t="shared" si="2"/>
        <v/>
      </c>
      <c r="P752" s="10" t="str">
        <f t="shared" si="3"/>
        <v/>
      </c>
      <c r="R752" s="23"/>
      <c r="S752" s="10" t="str">
        <f t="shared" si="4"/>
        <v/>
      </c>
      <c r="U752" s="10" t="str">
        <f ca="1">IFERROR(__xludf.DUMMYFUNCTION("if(W752=1,COUNTIFS(FILTER($H$2:$H905,$H$2:$H905=""OB"",$S$2:$S905=S752),""OB""),"""")"),"")</f>
        <v/>
      </c>
      <c r="V752" s="10" t="str">
        <f ca="1">IFERROR(__xludf.DUMMYFUNCTION("IF(OR(ISNA(SUM(FILTER($K$2:$K905,$A$2:$A905=A752,$S$2:$S905=S752,$H$2:$H905&lt;&gt;""OB""))),W752&lt;&gt;1),"""",SUM(FILTER($K$2:$K905,$A$2:$A905=A752,$S$2:$S905=S752,$H$2:$H905&lt;&gt;""OB"")))"),"")</f>
        <v/>
      </c>
      <c r="W752" s="10" t="str">
        <f t="shared" si="5"/>
        <v/>
      </c>
    </row>
    <row r="753" spans="1:23" ht="12.5">
      <c r="A753" s="23"/>
      <c r="B753" s="5" t="str">
        <f t="array" ref="B753">IF(W753=1,INDEX('Database Mitra'!$H$2:$H905,MATCH(A753,'Database Mitra'!AK$2:AK905,0)),"")</f>
        <v/>
      </c>
      <c r="C753" s="5" t="str">
        <f t="array" ref="C753">IF(W753=1,INDEX('Database Mitra'!$E$2:$E905,MATCH(A753,'Database Mitra'!AK$2:AK905,0)),"")</f>
        <v/>
      </c>
      <c r="D753" s="23"/>
      <c r="E753" s="5" t="str">
        <f t="array" ref="E753">IF(W753=1,INDEX('Input Kegiatan'!B$2:B905,MATCH($D753,'Input Kegiatan'!$A$2:$A905,0)),"")</f>
        <v/>
      </c>
      <c r="F753" s="5" t="str">
        <f t="array" ref="F753">IF(W753=1,INDEX('Input Kegiatan'!D$2:D905,MATCH($D753,'Input Kegiatan'!$A$2:$A905,0)),"")</f>
        <v/>
      </c>
      <c r="G753" s="5" t="str">
        <f t="array" ref="G753">IF(W753=1,INDEX('Input Kegiatan'!E$2:E905,MATCH($D753,'Input Kegiatan'!$A$2:$A905,0)),"")</f>
        <v/>
      </c>
      <c r="H753" s="5" t="str">
        <f t="array" ref="H753">IF(W753=1,INDEX(Honor!$H$2:$H905,MATCH($D753&amp;"-"&amp;R753,Honor!$K$2:$K905,0)),"")</f>
        <v/>
      </c>
      <c r="I753" s="8" t="str">
        <f>IF(W753=1,SUMIFS(Honor!$I$2:$I905,Honor!$K$2:$K905,$D753&amp;"-"&amp;R753),"")</f>
        <v/>
      </c>
      <c r="J753" s="9" t="str">
        <f t="shared" si="6"/>
        <v/>
      </c>
      <c r="K753" s="10" t="str">
        <f t="shared" si="0"/>
        <v/>
      </c>
      <c r="L753" s="10" t="str">
        <f t="shared" si="1"/>
        <v/>
      </c>
      <c r="M753" s="10" t="str">
        <f>IF(W753=1,IF(AND(U753&lt;2,INT(V753)&lt;='Batasan Honor'!$B$2),1,0),"")</f>
        <v/>
      </c>
      <c r="O753" s="10" t="str">
        <f t="shared" si="2"/>
        <v/>
      </c>
      <c r="P753" s="10" t="str">
        <f t="shared" si="3"/>
        <v/>
      </c>
      <c r="R753" s="23"/>
      <c r="S753" s="10" t="str">
        <f t="shared" si="4"/>
        <v/>
      </c>
      <c r="U753" s="10" t="str">
        <f ca="1">IFERROR(__xludf.DUMMYFUNCTION("if(W753=1,COUNTIFS(FILTER($H$2:$H905,$H$2:$H905=""OB"",$S$2:$S905=S753),""OB""),"""")"),"")</f>
        <v/>
      </c>
      <c r="V753" s="10" t="str">
        <f ca="1">IFERROR(__xludf.DUMMYFUNCTION("IF(OR(ISNA(SUM(FILTER($K$2:$K905,$A$2:$A905=A753,$S$2:$S905=S753,$H$2:$H905&lt;&gt;""OB""))),W753&lt;&gt;1),"""",SUM(FILTER($K$2:$K905,$A$2:$A905=A753,$S$2:$S905=S753,$H$2:$H905&lt;&gt;""OB"")))"),"")</f>
        <v/>
      </c>
      <c r="W753" s="10" t="str">
        <f t="shared" si="5"/>
        <v/>
      </c>
    </row>
    <row r="754" spans="1:23" ht="12.5">
      <c r="A754" s="23"/>
      <c r="B754" s="5" t="str">
        <f t="array" ref="B754">IF(W754=1,INDEX('Database Mitra'!$H$2:$H905,MATCH(A754,'Database Mitra'!AK$2:AK905,0)),"")</f>
        <v/>
      </c>
      <c r="C754" s="5" t="str">
        <f t="array" ref="C754">IF(W754=1,INDEX('Database Mitra'!$E$2:$E905,MATCH(A754,'Database Mitra'!AK$2:AK905,0)),"")</f>
        <v/>
      </c>
      <c r="D754" s="23"/>
      <c r="E754" s="5" t="str">
        <f t="array" ref="E754">IF(W754=1,INDEX('Input Kegiatan'!B$2:B905,MATCH($D754,'Input Kegiatan'!$A$2:$A905,0)),"")</f>
        <v/>
      </c>
      <c r="F754" s="5" t="str">
        <f t="array" ref="F754">IF(W754=1,INDEX('Input Kegiatan'!D$2:D905,MATCH($D754,'Input Kegiatan'!$A$2:$A905,0)),"")</f>
        <v/>
      </c>
      <c r="G754" s="5" t="str">
        <f t="array" ref="G754">IF(W754=1,INDEX('Input Kegiatan'!E$2:E905,MATCH($D754,'Input Kegiatan'!$A$2:$A905,0)),"")</f>
        <v/>
      </c>
      <c r="H754" s="5" t="str">
        <f t="array" ref="H754">IF(W754=1,INDEX(Honor!$H$2:$H905,MATCH($D754&amp;"-"&amp;R754,Honor!$K$2:$K905,0)),"")</f>
        <v/>
      </c>
      <c r="I754" s="8" t="str">
        <f>IF(W754=1,SUMIFS(Honor!$I$2:$I905,Honor!$K$2:$K905,$D754&amp;"-"&amp;R754),"")</f>
        <v/>
      </c>
      <c r="J754" s="9" t="str">
        <f t="shared" si="6"/>
        <v/>
      </c>
      <c r="K754" s="10" t="str">
        <f t="shared" si="0"/>
        <v/>
      </c>
      <c r="L754" s="10" t="str">
        <f t="shared" si="1"/>
        <v/>
      </c>
      <c r="M754" s="10" t="str">
        <f>IF(W754=1,IF(AND(U754&lt;2,INT(V754)&lt;='Batasan Honor'!$B$2),1,0),"")</f>
        <v/>
      </c>
      <c r="O754" s="10" t="str">
        <f t="shared" si="2"/>
        <v/>
      </c>
      <c r="P754" s="10" t="str">
        <f t="shared" si="3"/>
        <v/>
      </c>
      <c r="R754" s="23"/>
      <c r="S754" s="10" t="str">
        <f t="shared" si="4"/>
        <v/>
      </c>
      <c r="U754" s="10" t="str">
        <f ca="1">IFERROR(__xludf.DUMMYFUNCTION("if(W754=1,COUNTIFS(FILTER($H$2:$H905,$H$2:$H905=""OB"",$S$2:$S905=S754),""OB""),"""")"),"")</f>
        <v/>
      </c>
      <c r="V754" s="10" t="str">
        <f ca="1">IFERROR(__xludf.DUMMYFUNCTION("IF(OR(ISNA(SUM(FILTER($K$2:$K905,$A$2:$A905=A754,$S$2:$S905=S754,$H$2:$H905&lt;&gt;""OB""))),W754&lt;&gt;1),"""",SUM(FILTER($K$2:$K905,$A$2:$A905=A754,$S$2:$S905=S754,$H$2:$H905&lt;&gt;""OB"")))"),"")</f>
        <v/>
      </c>
      <c r="W754" s="10" t="str">
        <f t="shared" si="5"/>
        <v/>
      </c>
    </row>
    <row r="755" spans="1:23" ht="12.5">
      <c r="A755" s="23"/>
      <c r="B755" s="5" t="str">
        <f t="array" ref="B755">IF(W755=1,INDEX('Database Mitra'!$H$2:$H905,MATCH(A755,'Database Mitra'!AK$2:AK905,0)),"")</f>
        <v/>
      </c>
      <c r="C755" s="5" t="str">
        <f t="array" ref="C755">IF(W755=1,INDEX('Database Mitra'!$E$2:$E905,MATCH(A755,'Database Mitra'!AK$2:AK905,0)),"")</f>
        <v/>
      </c>
      <c r="D755" s="23"/>
      <c r="E755" s="5" t="str">
        <f t="array" ref="E755">IF(W755=1,INDEX('Input Kegiatan'!B$2:B905,MATCH($D755,'Input Kegiatan'!$A$2:$A905,0)),"")</f>
        <v/>
      </c>
      <c r="F755" s="5" t="str">
        <f t="array" ref="F755">IF(W755=1,INDEX('Input Kegiatan'!D$2:D905,MATCH($D755,'Input Kegiatan'!$A$2:$A905,0)),"")</f>
        <v/>
      </c>
      <c r="G755" s="5" t="str">
        <f t="array" ref="G755">IF(W755=1,INDEX('Input Kegiatan'!E$2:E905,MATCH($D755,'Input Kegiatan'!$A$2:$A905,0)),"")</f>
        <v/>
      </c>
      <c r="H755" s="5" t="str">
        <f t="array" ref="H755">IF(W755=1,INDEX(Honor!$H$2:$H905,MATCH($D755&amp;"-"&amp;R755,Honor!$K$2:$K905,0)),"")</f>
        <v/>
      </c>
      <c r="I755" s="8" t="str">
        <f>IF(W755=1,SUMIFS(Honor!$I$2:$I905,Honor!$K$2:$K905,$D755&amp;"-"&amp;R755),"")</f>
        <v/>
      </c>
      <c r="J755" s="9" t="str">
        <f t="shared" si="6"/>
        <v/>
      </c>
      <c r="K755" s="10" t="str">
        <f t="shared" si="0"/>
        <v/>
      </c>
      <c r="L755" s="10" t="str">
        <f t="shared" si="1"/>
        <v/>
      </c>
      <c r="M755" s="10" t="str">
        <f>IF(W755=1,IF(AND(U755&lt;2,INT(V755)&lt;='Batasan Honor'!$B$2),1,0),"")</f>
        <v/>
      </c>
      <c r="O755" s="10" t="str">
        <f t="shared" si="2"/>
        <v/>
      </c>
      <c r="P755" s="10" t="str">
        <f t="shared" si="3"/>
        <v/>
      </c>
      <c r="R755" s="23"/>
      <c r="S755" s="10" t="str">
        <f t="shared" si="4"/>
        <v/>
      </c>
      <c r="U755" s="10" t="str">
        <f ca="1">IFERROR(__xludf.DUMMYFUNCTION("if(W755=1,COUNTIFS(FILTER($H$2:$H905,$H$2:$H905=""OB"",$S$2:$S905=S755),""OB""),"""")"),"")</f>
        <v/>
      </c>
      <c r="V755" s="10" t="str">
        <f ca="1">IFERROR(__xludf.DUMMYFUNCTION("IF(OR(ISNA(SUM(FILTER($K$2:$K905,$A$2:$A905=A755,$S$2:$S905=S755,$H$2:$H905&lt;&gt;""OB""))),W755&lt;&gt;1),"""",SUM(FILTER($K$2:$K905,$A$2:$A905=A755,$S$2:$S905=S755,$H$2:$H905&lt;&gt;""OB"")))"),"")</f>
        <v/>
      </c>
      <c r="W755" s="10" t="str">
        <f t="shared" si="5"/>
        <v/>
      </c>
    </row>
    <row r="756" spans="1:23" ht="12.5">
      <c r="A756" s="23"/>
      <c r="B756" s="5" t="str">
        <f t="array" ref="B756">IF(W756=1,INDEX('Database Mitra'!$H$2:$H905,MATCH(A756,'Database Mitra'!AK$2:AK905,0)),"")</f>
        <v/>
      </c>
      <c r="C756" s="5" t="str">
        <f t="array" ref="C756">IF(W756=1,INDEX('Database Mitra'!$E$2:$E905,MATCH(A756,'Database Mitra'!AK$2:AK905,0)),"")</f>
        <v/>
      </c>
      <c r="D756" s="23"/>
      <c r="E756" s="5" t="str">
        <f t="array" ref="E756">IF(W756=1,INDEX('Input Kegiatan'!B$2:B905,MATCH($D756,'Input Kegiatan'!$A$2:$A905,0)),"")</f>
        <v/>
      </c>
      <c r="F756" s="5" t="str">
        <f t="array" ref="F756">IF(W756=1,INDEX('Input Kegiatan'!D$2:D905,MATCH($D756,'Input Kegiatan'!$A$2:$A905,0)),"")</f>
        <v/>
      </c>
      <c r="G756" s="5" t="str">
        <f t="array" ref="G756">IF(W756=1,INDEX('Input Kegiatan'!E$2:E905,MATCH($D756,'Input Kegiatan'!$A$2:$A905,0)),"")</f>
        <v/>
      </c>
      <c r="H756" s="5" t="str">
        <f t="array" ref="H756">IF(W756=1,INDEX(Honor!$H$2:$H905,MATCH($D756&amp;"-"&amp;R756,Honor!$K$2:$K905,0)),"")</f>
        <v/>
      </c>
      <c r="I756" s="8" t="str">
        <f>IF(W756=1,SUMIFS(Honor!$I$2:$I905,Honor!$K$2:$K905,$D756&amp;"-"&amp;R756),"")</f>
        <v/>
      </c>
      <c r="J756" s="9" t="str">
        <f t="shared" si="6"/>
        <v/>
      </c>
      <c r="K756" s="10" t="str">
        <f t="shared" si="0"/>
        <v/>
      </c>
      <c r="L756" s="10" t="str">
        <f t="shared" si="1"/>
        <v/>
      </c>
      <c r="M756" s="10" t="str">
        <f>IF(W756=1,IF(AND(U756&lt;2,INT(V756)&lt;='Batasan Honor'!$B$2),1,0),"")</f>
        <v/>
      </c>
      <c r="O756" s="10" t="str">
        <f t="shared" si="2"/>
        <v/>
      </c>
      <c r="P756" s="10" t="str">
        <f t="shared" si="3"/>
        <v/>
      </c>
      <c r="R756" s="23"/>
      <c r="S756" s="10" t="str">
        <f t="shared" si="4"/>
        <v/>
      </c>
      <c r="U756" s="10" t="str">
        <f ca="1">IFERROR(__xludf.DUMMYFUNCTION("if(W756=1,COUNTIFS(FILTER($H$2:$H905,$H$2:$H905=""OB"",$S$2:$S905=S756),""OB""),"""")"),"")</f>
        <v/>
      </c>
      <c r="V756" s="10" t="str">
        <f ca="1">IFERROR(__xludf.DUMMYFUNCTION("IF(OR(ISNA(SUM(FILTER($K$2:$K905,$A$2:$A905=A756,$S$2:$S905=S756,$H$2:$H905&lt;&gt;""OB""))),W756&lt;&gt;1),"""",SUM(FILTER($K$2:$K905,$A$2:$A905=A756,$S$2:$S905=S756,$H$2:$H905&lt;&gt;""OB"")))"),"")</f>
        <v/>
      </c>
      <c r="W756" s="10" t="str">
        <f t="shared" si="5"/>
        <v/>
      </c>
    </row>
    <row r="757" spans="1:23" ht="12.5">
      <c r="A757" s="23"/>
      <c r="B757" s="5" t="str">
        <f t="array" ref="B757">IF(W757=1,INDEX('Database Mitra'!$H$2:$H905,MATCH(A757,'Database Mitra'!AK$2:AK905,0)),"")</f>
        <v/>
      </c>
      <c r="C757" s="5" t="str">
        <f t="array" ref="C757">IF(W757=1,INDEX('Database Mitra'!$E$2:$E905,MATCH(A757,'Database Mitra'!AK$2:AK905,0)),"")</f>
        <v/>
      </c>
      <c r="D757" s="23"/>
      <c r="E757" s="5" t="str">
        <f t="array" ref="E757">IF(W757=1,INDEX('Input Kegiatan'!B$2:B905,MATCH($D757,'Input Kegiatan'!$A$2:$A905,0)),"")</f>
        <v/>
      </c>
      <c r="F757" s="5" t="str">
        <f t="array" ref="F757">IF(W757=1,INDEX('Input Kegiatan'!D$2:D905,MATCH($D757,'Input Kegiatan'!$A$2:$A905,0)),"")</f>
        <v/>
      </c>
      <c r="G757" s="5" t="str">
        <f t="array" ref="G757">IF(W757=1,INDEX('Input Kegiatan'!E$2:E905,MATCH($D757,'Input Kegiatan'!$A$2:$A905,0)),"")</f>
        <v/>
      </c>
      <c r="H757" s="5" t="str">
        <f t="array" ref="H757">IF(W757=1,INDEX(Honor!$H$2:$H905,MATCH($D757&amp;"-"&amp;R757,Honor!$K$2:$K905,0)),"")</f>
        <v/>
      </c>
      <c r="I757" s="8" t="str">
        <f>IF(W757=1,SUMIFS(Honor!$I$2:$I905,Honor!$K$2:$K905,$D757&amp;"-"&amp;R757),"")</f>
        <v/>
      </c>
      <c r="J757" s="9" t="str">
        <f t="shared" si="6"/>
        <v/>
      </c>
      <c r="K757" s="10" t="str">
        <f t="shared" si="0"/>
        <v/>
      </c>
      <c r="L757" s="10" t="str">
        <f t="shared" si="1"/>
        <v/>
      </c>
      <c r="M757" s="10" t="str">
        <f>IF(W757=1,IF(AND(U757&lt;2,INT(V757)&lt;='Batasan Honor'!$B$2),1,0),"")</f>
        <v/>
      </c>
      <c r="O757" s="10" t="str">
        <f t="shared" si="2"/>
        <v/>
      </c>
      <c r="P757" s="10" t="str">
        <f t="shared" si="3"/>
        <v/>
      </c>
      <c r="R757" s="23"/>
      <c r="S757" s="10" t="str">
        <f t="shared" si="4"/>
        <v/>
      </c>
      <c r="U757" s="10" t="str">
        <f ca="1">IFERROR(__xludf.DUMMYFUNCTION("if(W757=1,COUNTIFS(FILTER($H$2:$H905,$H$2:$H905=""OB"",$S$2:$S905=S757),""OB""),"""")"),"")</f>
        <v/>
      </c>
      <c r="V757" s="10" t="str">
        <f ca="1">IFERROR(__xludf.DUMMYFUNCTION("IF(OR(ISNA(SUM(FILTER($K$2:$K905,$A$2:$A905=A757,$S$2:$S905=S757,$H$2:$H905&lt;&gt;""OB""))),W757&lt;&gt;1),"""",SUM(FILTER($K$2:$K905,$A$2:$A905=A757,$S$2:$S905=S757,$H$2:$H905&lt;&gt;""OB"")))"),"")</f>
        <v/>
      </c>
      <c r="W757" s="10" t="str">
        <f t="shared" si="5"/>
        <v/>
      </c>
    </row>
    <row r="758" spans="1:23" ht="12.5">
      <c r="A758" s="23"/>
      <c r="B758" s="5" t="str">
        <f t="array" ref="B758">IF(W758=1,INDEX('Database Mitra'!$H$2:$H905,MATCH(A758,'Database Mitra'!AK$2:AK905,0)),"")</f>
        <v/>
      </c>
      <c r="C758" s="5" t="str">
        <f t="array" ref="C758">IF(W758=1,INDEX('Database Mitra'!$E$2:$E905,MATCH(A758,'Database Mitra'!AK$2:AK905,0)),"")</f>
        <v/>
      </c>
      <c r="D758" s="23"/>
      <c r="E758" s="5" t="str">
        <f t="array" ref="E758">IF(W758=1,INDEX('Input Kegiatan'!B$2:B905,MATCH($D758,'Input Kegiatan'!$A$2:$A905,0)),"")</f>
        <v/>
      </c>
      <c r="F758" s="5" t="str">
        <f t="array" ref="F758">IF(W758=1,INDEX('Input Kegiatan'!D$2:D905,MATCH($D758,'Input Kegiatan'!$A$2:$A905,0)),"")</f>
        <v/>
      </c>
      <c r="G758" s="5" t="str">
        <f t="array" ref="G758">IF(W758=1,INDEX('Input Kegiatan'!E$2:E905,MATCH($D758,'Input Kegiatan'!$A$2:$A905,0)),"")</f>
        <v/>
      </c>
      <c r="H758" s="5" t="str">
        <f t="array" ref="H758">IF(W758=1,INDEX(Honor!$H$2:$H905,MATCH($D758&amp;"-"&amp;R758,Honor!$K$2:$K905,0)),"")</f>
        <v/>
      </c>
      <c r="I758" s="8" t="str">
        <f>IF(W758=1,SUMIFS(Honor!$I$2:$I905,Honor!$K$2:$K905,$D758&amp;"-"&amp;R758),"")</f>
        <v/>
      </c>
      <c r="J758" s="9" t="str">
        <f t="shared" si="6"/>
        <v/>
      </c>
      <c r="K758" s="10" t="str">
        <f t="shared" si="0"/>
        <v/>
      </c>
      <c r="L758" s="10" t="str">
        <f t="shared" si="1"/>
        <v/>
      </c>
      <c r="M758" s="10" t="str">
        <f>IF(W758=1,IF(AND(U758&lt;2,INT(V758)&lt;='Batasan Honor'!$B$2),1,0),"")</f>
        <v/>
      </c>
      <c r="O758" s="10" t="str">
        <f t="shared" si="2"/>
        <v/>
      </c>
      <c r="P758" s="10" t="str">
        <f t="shared" si="3"/>
        <v/>
      </c>
      <c r="R758" s="23"/>
      <c r="S758" s="10" t="str">
        <f t="shared" si="4"/>
        <v/>
      </c>
      <c r="U758" s="10" t="str">
        <f ca="1">IFERROR(__xludf.DUMMYFUNCTION("if(W758=1,COUNTIFS(FILTER($H$2:$H905,$H$2:$H905=""OB"",$S$2:$S905=S758),""OB""),"""")"),"")</f>
        <v/>
      </c>
      <c r="V758" s="10" t="str">
        <f ca="1">IFERROR(__xludf.DUMMYFUNCTION("IF(OR(ISNA(SUM(FILTER($K$2:$K905,$A$2:$A905=A758,$S$2:$S905=S758,$H$2:$H905&lt;&gt;""OB""))),W758&lt;&gt;1),"""",SUM(FILTER($K$2:$K905,$A$2:$A905=A758,$S$2:$S905=S758,$H$2:$H905&lt;&gt;""OB"")))"),"")</f>
        <v/>
      </c>
      <c r="W758" s="10" t="str">
        <f t="shared" si="5"/>
        <v/>
      </c>
    </row>
    <row r="759" spans="1:23" ht="12.5">
      <c r="A759" s="23"/>
      <c r="B759" s="5" t="str">
        <f t="array" ref="B759">IF(W759=1,INDEX('Database Mitra'!$H$2:$H905,MATCH(A759,'Database Mitra'!AK$2:AK905,0)),"")</f>
        <v/>
      </c>
      <c r="C759" s="5" t="str">
        <f t="array" ref="C759">IF(W759=1,INDEX('Database Mitra'!$E$2:$E905,MATCH(A759,'Database Mitra'!AK$2:AK905,0)),"")</f>
        <v/>
      </c>
      <c r="D759" s="23"/>
      <c r="E759" s="5" t="str">
        <f t="array" ref="E759">IF(W759=1,INDEX('Input Kegiatan'!B$2:B905,MATCH($D759,'Input Kegiatan'!$A$2:$A905,0)),"")</f>
        <v/>
      </c>
      <c r="F759" s="5" t="str">
        <f t="array" ref="F759">IF(W759=1,INDEX('Input Kegiatan'!D$2:D905,MATCH($D759,'Input Kegiatan'!$A$2:$A905,0)),"")</f>
        <v/>
      </c>
      <c r="G759" s="5" t="str">
        <f t="array" ref="G759">IF(W759=1,INDEX('Input Kegiatan'!E$2:E905,MATCH($D759,'Input Kegiatan'!$A$2:$A905,0)),"")</f>
        <v/>
      </c>
      <c r="H759" s="5" t="str">
        <f t="array" ref="H759">IF(W759=1,INDEX(Honor!$H$2:$H905,MATCH($D759&amp;"-"&amp;R759,Honor!$K$2:$K905,0)),"")</f>
        <v/>
      </c>
      <c r="I759" s="8" t="str">
        <f>IF(W759=1,SUMIFS(Honor!$I$2:$I905,Honor!$K$2:$K905,$D759&amp;"-"&amp;R759),"")</f>
        <v/>
      </c>
      <c r="J759" s="9" t="str">
        <f t="shared" si="6"/>
        <v/>
      </c>
      <c r="K759" s="10" t="str">
        <f t="shared" si="0"/>
        <v/>
      </c>
      <c r="L759" s="10" t="str">
        <f t="shared" si="1"/>
        <v/>
      </c>
      <c r="M759" s="10" t="str">
        <f>IF(W759=1,IF(AND(U759&lt;2,INT(V759)&lt;='Batasan Honor'!$B$2),1,0),"")</f>
        <v/>
      </c>
      <c r="O759" s="10" t="str">
        <f t="shared" si="2"/>
        <v/>
      </c>
      <c r="P759" s="10" t="str">
        <f t="shared" si="3"/>
        <v/>
      </c>
      <c r="R759" s="23"/>
      <c r="S759" s="10" t="str">
        <f t="shared" si="4"/>
        <v/>
      </c>
      <c r="U759" s="10" t="str">
        <f ca="1">IFERROR(__xludf.DUMMYFUNCTION("if(W759=1,COUNTIFS(FILTER($H$2:$H905,$H$2:$H905=""OB"",$S$2:$S905=S759),""OB""),"""")"),"")</f>
        <v/>
      </c>
      <c r="V759" s="10" t="str">
        <f ca="1">IFERROR(__xludf.DUMMYFUNCTION("IF(OR(ISNA(SUM(FILTER($K$2:$K905,$A$2:$A905=A759,$S$2:$S905=S759,$H$2:$H905&lt;&gt;""OB""))),W759&lt;&gt;1),"""",SUM(FILTER($K$2:$K905,$A$2:$A905=A759,$S$2:$S905=S759,$H$2:$H905&lt;&gt;""OB"")))"),"")</f>
        <v/>
      </c>
      <c r="W759" s="10" t="str">
        <f t="shared" si="5"/>
        <v/>
      </c>
    </row>
    <row r="760" spans="1:23" ht="12.5">
      <c r="A760" s="23"/>
      <c r="B760" s="5" t="str">
        <f t="array" ref="B760">IF(W760=1,INDEX('Database Mitra'!$H$2:$H905,MATCH(A760,'Database Mitra'!AK$2:AK905,0)),"")</f>
        <v/>
      </c>
      <c r="C760" s="5" t="str">
        <f t="array" ref="C760">IF(W760=1,INDEX('Database Mitra'!$E$2:$E905,MATCH(A760,'Database Mitra'!AK$2:AK905,0)),"")</f>
        <v/>
      </c>
      <c r="D760" s="23"/>
      <c r="E760" s="5" t="str">
        <f t="array" ref="E760">IF(W760=1,INDEX('Input Kegiatan'!B$2:B905,MATCH($D760,'Input Kegiatan'!$A$2:$A905,0)),"")</f>
        <v/>
      </c>
      <c r="F760" s="5" t="str">
        <f t="array" ref="F760">IF(W760=1,INDEX('Input Kegiatan'!D$2:D905,MATCH($D760,'Input Kegiatan'!$A$2:$A905,0)),"")</f>
        <v/>
      </c>
      <c r="G760" s="5" t="str">
        <f t="array" ref="G760">IF(W760=1,INDEX('Input Kegiatan'!E$2:E905,MATCH($D760,'Input Kegiatan'!$A$2:$A905,0)),"")</f>
        <v/>
      </c>
      <c r="H760" s="5" t="str">
        <f t="array" ref="H760">IF(W760=1,INDEX(Honor!$H$2:$H905,MATCH($D760&amp;"-"&amp;R760,Honor!$K$2:$K905,0)),"")</f>
        <v/>
      </c>
      <c r="I760" s="8" t="str">
        <f>IF(W760=1,SUMIFS(Honor!$I$2:$I905,Honor!$K$2:$K905,$D760&amp;"-"&amp;R760),"")</f>
        <v/>
      </c>
      <c r="J760" s="9" t="str">
        <f t="shared" si="6"/>
        <v/>
      </c>
      <c r="K760" s="10" t="str">
        <f t="shared" si="0"/>
        <v/>
      </c>
      <c r="L760" s="10" t="str">
        <f t="shared" si="1"/>
        <v/>
      </c>
      <c r="M760" s="10" t="str">
        <f>IF(W760=1,IF(AND(U760&lt;2,INT(V760)&lt;='Batasan Honor'!$B$2),1,0),"")</f>
        <v/>
      </c>
      <c r="O760" s="10" t="str">
        <f t="shared" si="2"/>
        <v/>
      </c>
      <c r="P760" s="10" t="str">
        <f t="shared" si="3"/>
        <v/>
      </c>
      <c r="R760" s="23"/>
      <c r="S760" s="10" t="str">
        <f t="shared" si="4"/>
        <v/>
      </c>
      <c r="U760" s="10" t="str">
        <f ca="1">IFERROR(__xludf.DUMMYFUNCTION("if(W760=1,COUNTIFS(FILTER($H$2:$H905,$H$2:$H905=""OB"",$S$2:$S905=S760),""OB""),"""")"),"")</f>
        <v/>
      </c>
      <c r="V760" s="10" t="str">
        <f ca="1">IFERROR(__xludf.DUMMYFUNCTION("IF(OR(ISNA(SUM(FILTER($K$2:$K905,$A$2:$A905=A760,$S$2:$S905=S760,$H$2:$H905&lt;&gt;""OB""))),W760&lt;&gt;1),"""",SUM(FILTER($K$2:$K905,$A$2:$A905=A760,$S$2:$S905=S760,$H$2:$H905&lt;&gt;""OB"")))"),"")</f>
        <v/>
      </c>
      <c r="W760" s="10" t="str">
        <f t="shared" si="5"/>
        <v/>
      </c>
    </row>
    <row r="761" spans="1:23" ht="12.5">
      <c r="A761" s="23"/>
      <c r="B761" s="5" t="str">
        <f t="array" ref="B761">IF(W761=1,INDEX('Database Mitra'!$H$2:$H905,MATCH(A761,'Database Mitra'!AK$2:AK905,0)),"")</f>
        <v/>
      </c>
      <c r="C761" s="5" t="str">
        <f t="array" ref="C761">IF(W761=1,INDEX('Database Mitra'!$E$2:$E905,MATCH(A761,'Database Mitra'!AK$2:AK905,0)),"")</f>
        <v/>
      </c>
      <c r="D761" s="23"/>
      <c r="E761" s="5" t="str">
        <f t="array" ref="E761">IF(W761=1,INDEX('Input Kegiatan'!B$2:B905,MATCH($D761,'Input Kegiatan'!$A$2:$A905,0)),"")</f>
        <v/>
      </c>
      <c r="F761" s="5" t="str">
        <f t="array" ref="F761">IF(W761=1,INDEX('Input Kegiatan'!D$2:D905,MATCH($D761,'Input Kegiatan'!$A$2:$A905,0)),"")</f>
        <v/>
      </c>
      <c r="G761" s="5" t="str">
        <f t="array" ref="G761">IF(W761=1,INDEX('Input Kegiatan'!E$2:E905,MATCH($D761,'Input Kegiatan'!$A$2:$A905,0)),"")</f>
        <v/>
      </c>
      <c r="H761" s="5" t="str">
        <f t="array" ref="H761">IF(W761=1,INDEX(Honor!$H$2:$H905,MATCH($D761&amp;"-"&amp;R761,Honor!$K$2:$K905,0)),"")</f>
        <v/>
      </c>
      <c r="I761" s="8" t="str">
        <f>IF(W761=1,SUMIFS(Honor!$I$2:$I905,Honor!$K$2:$K905,$D761&amp;"-"&amp;R761),"")</f>
        <v/>
      </c>
      <c r="J761" s="9" t="str">
        <f t="shared" si="6"/>
        <v/>
      </c>
      <c r="K761" s="10" t="str">
        <f t="shared" si="0"/>
        <v/>
      </c>
      <c r="L761" s="10" t="str">
        <f t="shared" si="1"/>
        <v/>
      </c>
      <c r="M761" s="10" t="str">
        <f>IF(W761=1,IF(AND(U761&lt;2,INT(V761)&lt;='Batasan Honor'!$B$2),1,0),"")</f>
        <v/>
      </c>
      <c r="O761" s="10" t="str">
        <f t="shared" si="2"/>
        <v/>
      </c>
      <c r="P761" s="10" t="str">
        <f t="shared" si="3"/>
        <v/>
      </c>
      <c r="R761" s="23"/>
      <c r="S761" s="10" t="str">
        <f t="shared" si="4"/>
        <v/>
      </c>
      <c r="U761" s="10" t="str">
        <f ca="1">IFERROR(__xludf.DUMMYFUNCTION("if(W761=1,COUNTIFS(FILTER($H$2:$H905,$H$2:$H905=""OB"",$S$2:$S905=S761),""OB""),"""")"),"")</f>
        <v/>
      </c>
      <c r="V761" s="10" t="str">
        <f ca="1">IFERROR(__xludf.DUMMYFUNCTION("IF(OR(ISNA(SUM(FILTER($K$2:$K905,$A$2:$A905=A761,$S$2:$S905=S761,$H$2:$H905&lt;&gt;""OB""))),W761&lt;&gt;1),"""",SUM(FILTER($K$2:$K905,$A$2:$A905=A761,$S$2:$S905=S761,$H$2:$H905&lt;&gt;""OB"")))"),"")</f>
        <v/>
      </c>
      <c r="W761" s="10" t="str">
        <f t="shared" si="5"/>
        <v/>
      </c>
    </row>
    <row r="762" spans="1:23" ht="12.5">
      <c r="A762" s="23"/>
      <c r="B762" s="5" t="str">
        <f t="array" ref="B762">IF(W762=1,INDEX('Database Mitra'!$H$2:$H905,MATCH(A762,'Database Mitra'!AK$2:AK905,0)),"")</f>
        <v/>
      </c>
      <c r="C762" s="5" t="str">
        <f t="array" ref="C762">IF(W762=1,INDEX('Database Mitra'!$E$2:$E905,MATCH(A762,'Database Mitra'!AK$2:AK905,0)),"")</f>
        <v/>
      </c>
      <c r="D762" s="23"/>
      <c r="E762" s="5" t="str">
        <f t="array" ref="E762">IF(W762=1,INDEX('Input Kegiatan'!B$2:B905,MATCH($D762,'Input Kegiatan'!$A$2:$A905,0)),"")</f>
        <v/>
      </c>
      <c r="F762" s="5" t="str">
        <f t="array" ref="F762">IF(W762=1,INDEX('Input Kegiatan'!D$2:D905,MATCH($D762,'Input Kegiatan'!$A$2:$A905,0)),"")</f>
        <v/>
      </c>
      <c r="G762" s="5" t="str">
        <f t="array" ref="G762">IF(W762=1,INDEX('Input Kegiatan'!E$2:E905,MATCH($D762,'Input Kegiatan'!$A$2:$A905,0)),"")</f>
        <v/>
      </c>
      <c r="H762" s="5" t="str">
        <f t="array" ref="H762">IF(W762=1,INDEX(Honor!$H$2:$H905,MATCH($D762&amp;"-"&amp;R762,Honor!$K$2:$K905,0)),"")</f>
        <v/>
      </c>
      <c r="I762" s="8" t="str">
        <f>IF(W762=1,SUMIFS(Honor!$I$2:$I905,Honor!$K$2:$K905,$D762&amp;"-"&amp;R762),"")</f>
        <v/>
      </c>
      <c r="J762" s="9" t="str">
        <f t="shared" si="6"/>
        <v/>
      </c>
      <c r="K762" s="10" t="str">
        <f t="shared" si="0"/>
        <v/>
      </c>
      <c r="L762" s="10" t="str">
        <f t="shared" si="1"/>
        <v/>
      </c>
      <c r="M762" s="10" t="str">
        <f>IF(W762=1,IF(AND(U762&lt;2,INT(V762)&lt;='Batasan Honor'!$B$2),1,0),"")</f>
        <v/>
      </c>
      <c r="O762" s="10" t="str">
        <f t="shared" si="2"/>
        <v/>
      </c>
      <c r="P762" s="10" t="str">
        <f t="shared" si="3"/>
        <v/>
      </c>
      <c r="R762" s="23"/>
      <c r="S762" s="10" t="str">
        <f t="shared" si="4"/>
        <v/>
      </c>
      <c r="U762" s="10" t="str">
        <f ca="1">IFERROR(__xludf.DUMMYFUNCTION("if(W762=1,COUNTIFS(FILTER($H$2:$H905,$H$2:$H905=""OB"",$S$2:$S905=S762),""OB""),"""")"),"")</f>
        <v/>
      </c>
      <c r="V762" s="10" t="str">
        <f ca="1">IFERROR(__xludf.DUMMYFUNCTION("IF(OR(ISNA(SUM(FILTER($K$2:$K905,$A$2:$A905=A762,$S$2:$S905=S762,$H$2:$H905&lt;&gt;""OB""))),W762&lt;&gt;1),"""",SUM(FILTER($K$2:$K905,$A$2:$A905=A762,$S$2:$S905=S762,$H$2:$H905&lt;&gt;""OB"")))"),"")</f>
        <v/>
      </c>
      <c r="W762" s="10" t="str">
        <f t="shared" si="5"/>
        <v/>
      </c>
    </row>
    <row r="763" spans="1:23" ht="12.5">
      <c r="A763" s="23"/>
      <c r="B763" s="5" t="str">
        <f t="array" ref="B763">IF(W763=1,INDEX('Database Mitra'!$H$2:$H905,MATCH(A763,'Database Mitra'!AK$2:AK905,0)),"")</f>
        <v/>
      </c>
      <c r="C763" s="5" t="str">
        <f t="array" ref="C763">IF(W763=1,INDEX('Database Mitra'!$E$2:$E905,MATCH(A763,'Database Mitra'!AK$2:AK905,0)),"")</f>
        <v/>
      </c>
      <c r="D763" s="23"/>
      <c r="E763" s="5" t="str">
        <f t="array" ref="E763">IF(W763=1,INDEX('Input Kegiatan'!B$2:B905,MATCH($D763,'Input Kegiatan'!$A$2:$A905,0)),"")</f>
        <v/>
      </c>
      <c r="F763" s="5" t="str">
        <f t="array" ref="F763">IF(W763=1,INDEX('Input Kegiatan'!D$2:D905,MATCH($D763,'Input Kegiatan'!$A$2:$A905,0)),"")</f>
        <v/>
      </c>
      <c r="G763" s="5" t="str">
        <f t="array" ref="G763">IF(W763=1,INDEX('Input Kegiatan'!E$2:E905,MATCH($D763,'Input Kegiatan'!$A$2:$A905,0)),"")</f>
        <v/>
      </c>
      <c r="H763" s="5" t="str">
        <f t="array" ref="H763">IF(W763=1,INDEX(Honor!$H$2:$H905,MATCH($D763&amp;"-"&amp;R763,Honor!$K$2:$K905,0)),"")</f>
        <v/>
      </c>
      <c r="I763" s="8" t="str">
        <f>IF(W763=1,SUMIFS(Honor!$I$2:$I905,Honor!$K$2:$K905,$D763&amp;"-"&amp;R763),"")</f>
        <v/>
      </c>
      <c r="J763" s="9" t="str">
        <f t="shared" si="6"/>
        <v/>
      </c>
      <c r="K763" s="10" t="str">
        <f t="shared" si="0"/>
        <v/>
      </c>
      <c r="L763" s="10" t="str">
        <f t="shared" si="1"/>
        <v/>
      </c>
      <c r="M763" s="10" t="str">
        <f>IF(W763=1,IF(AND(U763&lt;2,INT(V763)&lt;='Batasan Honor'!$B$2),1,0),"")</f>
        <v/>
      </c>
      <c r="O763" s="10" t="str">
        <f t="shared" si="2"/>
        <v/>
      </c>
      <c r="P763" s="10" t="str">
        <f t="shared" si="3"/>
        <v/>
      </c>
      <c r="R763" s="23"/>
      <c r="S763" s="10" t="str">
        <f t="shared" si="4"/>
        <v/>
      </c>
      <c r="U763" s="10" t="str">
        <f ca="1">IFERROR(__xludf.DUMMYFUNCTION("if(W763=1,COUNTIFS(FILTER($H$2:$H905,$H$2:$H905=""OB"",$S$2:$S905=S763),""OB""),"""")"),"")</f>
        <v/>
      </c>
      <c r="V763" s="10" t="str">
        <f ca="1">IFERROR(__xludf.DUMMYFUNCTION("IF(OR(ISNA(SUM(FILTER($K$2:$K905,$A$2:$A905=A763,$S$2:$S905=S763,$H$2:$H905&lt;&gt;""OB""))),W763&lt;&gt;1),"""",SUM(FILTER($K$2:$K905,$A$2:$A905=A763,$S$2:$S905=S763,$H$2:$H905&lt;&gt;""OB"")))"),"")</f>
        <v/>
      </c>
      <c r="W763" s="10" t="str">
        <f t="shared" si="5"/>
        <v/>
      </c>
    </row>
    <row r="764" spans="1:23" ht="12.5">
      <c r="A764" s="23"/>
      <c r="B764" s="5" t="str">
        <f t="array" ref="B764">IF(W764=1,INDEX('Database Mitra'!$H$2:$H905,MATCH(A764,'Database Mitra'!AK$2:AK905,0)),"")</f>
        <v/>
      </c>
      <c r="C764" s="5" t="str">
        <f t="array" ref="C764">IF(W764=1,INDEX('Database Mitra'!$E$2:$E905,MATCH(A764,'Database Mitra'!AK$2:AK905,0)),"")</f>
        <v/>
      </c>
      <c r="D764" s="23"/>
      <c r="E764" s="5" t="str">
        <f t="array" ref="E764">IF(W764=1,INDEX('Input Kegiatan'!B$2:B905,MATCH($D764,'Input Kegiatan'!$A$2:$A905,0)),"")</f>
        <v/>
      </c>
      <c r="F764" s="5" t="str">
        <f t="array" ref="F764">IF(W764=1,INDEX('Input Kegiatan'!D$2:D905,MATCH($D764,'Input Kegiatan'!$A$2:$A905,0)),"")</f>
        <v/>
      </c>
      <c r="G764" s="5" t="str">
        <f t="array" ref="G764">IF(W764=1,INDEX('Input Kegiatan'!E$2:E905,MATCH($D764,'Input Kegiatan'!$A$2:$A905,0)),"")</f>
        <v/>
      </c>
      <c r="H764" s="5" t="str">
        <f t="array" ref="H764">IF(W764=1,INDEX(Honor!$H$2:$H905,MATCH($D764&amp;"-"&amp;R764,Honor!$K$2:$K905,0)),"")</f>
        <v/>
      </c>
      <c r="I764" s="8" t="str">
        <f>IF(W764=1,SUMIFS(Honor!$I$2:$I905,Honor!$K$2:$K905,$D764&amp;"-"&amp;R764),"")</f>
        <v/>
      </c>
      <c r="J764" s="9" t="str">
        <f t="shared" si="6"/>
        <v/>
      </c>
      <c r="K764" s="10" t="str">
        <f t="shared" si="0"/>
        <v/>
      </c>
      <c r="L764" s="10" t="str">
        <f t="shared" si="1"/>
        <v/>
      </c>
      <c r="M764" s="10" t="str">
        <f>IF(W764=1,IF(AND(U764&lt;2,INT(V764)&lt;='Batasan Honor'!$B$2),1,0),"")</f>
        <v/>
      </c>
      <c r="O764" s="10" t="str">
        <f t="shared" si="2"/>
        <v/>
      </c>
      <c r="P764" s="10" t="str">
        <f t="shared" si="3"/>
        <v/>
      </c>
      <c r="R764" s="23"/>
      <c r="S764" s="10" t="str">
        <f t="shared" si="4"/>
        <v/>
      </c>
      <c r="U764" s="10" t="str">
        <f ca="1">IFERROR(__xludf.DUMMYFUNCTION("if(W764=1,COUNTIFS(FILTER($H$2:$H905,$H$2:$H905=""OB"",$S$2:$S905=S764),""OB""),"""")"),"")</f>
        <v/>
      </c>
      <c r="V764" s="10" t="str">
        <f ca="1">IFERROR(__xludf.DUMMYFUNCTION("IF(OR(ISNA(SUM(FILTER($K$2:$K905,$A$2:$A905=A764,$S$2:$S905=S764,$H$2:$H905&lt;&gt;""OB""))),W764&lt;&gt;1),"""",SUM(FILTER($K$2:$K905,$A$2:$A905=A764,$S$2:$S905=S764,$H$2:$H905&lt;&gt;""OB"")))"),"")</f>
        <v/>
      </c>
      <c r="W764" s="10" t="str">
        <f t="shared" si="5"/>
        <v/>
      </c>
    </row>
    <row r="765" spans="1:23" ht="12.5">
      <c r="A765" s="23"/>
      <c r="B765" s="5" t="str">
        <f t="array" ref="B765">IF(W765=1,INDEX('Database Mitra'!$H$2:$H905,MATCH(A765,'Database Mitra'!AK$2:AK905,0)),"")</f>
        <v/>
      </c>
      <c r="C765" s="5" t="str">
        <f t="array" ref="C765">IF(W765=1,INDEX('Database Mitra'!$E$2:$E905,MATCH(A765,'Database Mitra'!AK$2:AK905,0)),"")</f>
        <v/>
      </c>
      <c r="D765" s="23"/>
      <c r="E765" s="5" t="str">
        <f t="array" ref="E765">IF(W765=1,INDEX('Input Kegiatan'!B$2:B905,MATCH($D765,'Input Kegiatan'!$A$2:$A905,0)),"")</f>
        <v/>
      </c>
      <c r="F765" s="5" t="str">
        <f t="array" ref="F765">IF(W765=1,INDEX('Input Kegiatan'!D$2:D905,MATCH($D765,'Input Kegiatan'!$A$2:$A905,0)),"")</f>
        <v/>
      </c>
      <c r="G765" s="5" t="str">
        <f t="array" ref="G765">IF(W765=1,INDEX('Input Kegiatan'!E$2:E905,MATCH($D765,'Input Kegiatan'!$A$2:$A905,0)),"")</f>
        <v/>
      </c>
      <c r="H765" s="5" t="str">
        <f t="array" ref="H765">IF(W765=1,INDEX(Honor!$H$2:$H905,MATCH($D765&amp;"-"&amp;R765,Honor!$K$2:$K905,0)),"")</f>
        <v/>
      </c>
      <c r="I765" s="8" t="str">
        <f>IF(W765=1,SUMIFS(Honor!$I$2:$I905,Honor!$K$2:$K905,$D765&amp;"-"&amp;R765),"")</f>
        <v/>
      </c>
      <c r="J765" s="9" t="str">
        <f t="shared" si="6"/>
        <v/>
      </c>
      <c r="K765" s="10" t="str">
        <f t="shared" si="0"/>
        <v/>
      </c>
      <c r="L765" s="10" t="str">
        <f t="shared" si="1"/>
        <v/>
      </c>
      <c r="M765" s="10" t="str">
        <f>IF(W765=1,IF(AND(U765&lt;2,INT(V765)&lt;='Batasan Honor'!$B$2),1,0),"")</f>
        <v/>
      </c>
      <c r="O765" s="10" t="str">
        <f t="shared" si="2"/>
        <v/>
      </c>
      <c r="P765" s="10" t="str">
        <f t="shared" si="3"/>
        <v/>
      </c>
      <c r="R765" s="23"/>
      <c r="S765" s="10" t="str">
        <f t="shared" si="4"/>
        <v/>
      </c>
      <c r="U765" s="10" t="str">
        <f ca="1">IFERROR(__xludf.DUMMYFUNCTION("if(W765=1,COUNTIFS(FILTER($H$2:$H905,$H$2:$H905=""OB"",$S$2:$S905=S765),""OB""),"""")"),"")</f>
        <v/>
      </c>
      <c r="V765" s="10" t="str">
        <f ca="1">IFERROR(__xludf.DUMMYFUNCTION("IF(OR(ISNA(SUM(FILTER($K$2:$K905,$A$2:$A905=A765,$S$2:$S905=S765,$H$2:$H905&lt;&gt;""OB""))),W765&lt;&gt;1),"""",SUM(FILTER($K$2:$K905,$A$2:$A905=A765,$S$2:$S905=S765,$H$2:$H905&lt;&gt;""OB"")))"),"")</f>
        <v/>
      </c>
      <c r="W765" s="10" t="str">
        <f t="shared" si="5"/>
        <v/>
      </c>
    </row>
    <row r="766" spans="1:23" ht="12.5">
      <c r="A766" s="23"/>
      <c r="B766" s="5" t="str">
        <f t="array" ref="B766">IF(W766=1,INDEX('Database Mitra'!$H$2:$H905,MATCH(A766,'Database Mitra'!AK$2:AK905,0)),"")</f>
        <v/>
      </c>
      <c r="C766" s="5" t="str">
        <f t="array" ref="C766">IF(W766=1,INDEX('Database Mitra'!$E$2:$E905,MATCH(A766,'Database Mitra'!AK$2:AK905,0)),"")</f>
        <v/>
      </c>
      <c r="D766" s="23"/>
      <c r="E766" s="5" t="str">
        <f t="array" ref="E766">IF(W766=1,INDEX('Input Kegiatan'!B$2:B905,MATCH($D766,'Input Kegiatan'!$A$2:$A905,0)),"")</f>
        <v/>
      </c>
      <c r="F766" s="5" t="str">
        <f t="array" ref="F766">IF(W766=1,INDEX('Input Kegiatan'!D$2:D905,MATCH($D766,'Input Kegiatan'!$A$2:$A905,0)),"")</f>
        <v/>
      </c>
      <c r="G766" s="5" t="str">
        <f t="array" ref="G766">IF(W766=1,INDEX('Input Kegiatan'!E$2:E905,MATCH($D766,'Input Kegiatan'!$A$2:$A905,0)),"")</f>
        <v/>
      </c>
      <c r="H766" s="5" t="str">
        <f t="array" ref="H766">IF(W766=1,INDEX(Honor!$H$2:$H905,MATCH($D766&amp;"-"&amp;R766,Honor!$K$2:$K905,0)),"")</f>
        <v/>
      </c>
      <c r="I766" s="8" t="str">
        <f>IF(W766=1,SUMIFS(Honor!$I$2:$I905,Honor!$K$2:$K905,$D766&amp;"-"&amp;R766),"")</f>
        <v/>
      </c>
      <c r="J766" s="9" t="str">
        <f t="shared" si="6"/>
        <v/>
      </c>
      <c r="K766" s="10" t="str">
        <f t="shared" si="0"/>
        <v/>
      </c>
      <c r="L766" s="10" t="str">
        <f t="shared" si="1"/>
        <v/>
      </c>
      <c r="M766" s="10" t="str">
        <f>IF(W766=1,IF(AND(U766&lt;2,INT(V766)&lt;='Batasan Honor'!$B$2),1,0),"")</f>
        <v/>
      </c>
      <c r="O766" s="10" t="str">
        <f t="shared" si="2"/>
        <v/>
      </c>
      <c r="P766" s="10" t="str">
        <f t="shared" si="3"/>
        <v/>
      </c>
      <c r="R766" s="23"/>
      <c r="S766" s="10" t="str">
        <f t="shared" si="4"/>
        <v/>
      </c>
      <c r="U766" s="10" t="str">
        <f ca="1">IFERROR(__xludf.DUMMYFUNCTION("if(W766=1,COUNTIFS(FILTER($H$2:$H905,$H$2:$H905=""OB"",$S$2:$S905=S766),""OB""),"""")"),"")</f>
        <v/>
      </c>
      <c r="V766" s="10" t="str">
        <f ca="1">IFERROR(__xludf.DUMMYFUNCTION("IF(OR(ISNA(SUM(FILTER($K$2:$K905,$A$2:$A905=A766,$S$2:$S905=S766,$H$2:$H905&lt;&gt;""OB""))),W766&lt;&gt;1),"""",SUM(FILTER($K$2:$K905,$A$2:$A905=A766,$S$2:$S905=S766,$H$2:$H905&lt;&gt;""OB"")))"),"")</f>
        <v/>
      </c>
      <c r="W766" s="10" t="str">
        <f t="shared" si="5"/>
        <v/>
      </c>
    </row>
    <row r="767" spans="1:23" ht="12.5">
      <c r="A767" s="23"/>
      <c r="B767" s="5" t="str">
        <f t="array" ref="B767">IF(W767=1,INDEX('Database Mitra'!$H$2:$H905,MATCH(A767,'Database Mitra'!AK$2:AK905,0)),"")</f>
        <v/>
      </c>
      <c r="C767" s="5" t="str">
        <f t="array" ref="C767">IF(W767=1,INDEX('Database Mitra'!$E$2:$E905,MATCH(A767,'Database Mitra'!AK$2:AK905,0)),"")</f>
        <v/>
      </c>
      <c r="D767" s="23"/>
      <c r="E767" s="5" t="str">
        <f t="array" ref="E767">IF(W767=1,INDEX('Input Kegiatan'!B$2:B905,MATCH($D767,'Input Kegiatan'!$A$2:$A905,0)),"")</f>
        <v/>
      </c>
      <c r="F767" s="5" t="str">
        <f t="array" ref="F767">IF(W767=1,INDEX('Input Kegiatan'!D$2:D905,MATCH($D767,'Input Kegiatan'!$A$2:$A905,0)),"")</f>
        <v/>
      </c>
      <c r="G767" s="5" t="str">
        <f t="array" ref="G767">IF(W767=1,INDEX('Input Kegiatan'!E$2:E905,MATCH($D767,'Input Kegiatan'!$A$2:$A905,0)),"")</f>
        <v/>
      </c>
      <c r="H767" s="5" t="str">
        <f t="array" ref="H767">IF(W767=1,INDEX(Honor!$H$2:$H905,MATCH($D767&amp;"-"&amp;R767,Honor!$K$2:$K905,0)),"")</f>
        <v/>
      </c>
      <c r="I767" s="8" t="str">
        <f>IF(W767=1,SUMIFS(Honor!$I$2:$I905,Honor!$K$2:$K905,$D767&amp;"-"&amp;R767),"")</f>
        <v/>
      </c>
      <c r="J767" s="9" t="str">
        <f t="shared" si="6"/>
        <v/>
      </c>
      <c r="K767" s="10" t="str">
        <f t="shared" si="0"/>
        <v/>
      </c>
      <c r="L767" s="10" t="str">
        <f t="shared" si="1"/>
        <v/>
      </c>
      <c r="M767" s="10" t="str">
        <f>IF(W767=1,IF(AND(U767&lt;2,INT(V767)&lt;='Batasan Honor'!$B$2),1,0),"")</f>
        <v/>
      </c>
      <c r="O767" s="10" t="str">
        <f t="shared" si="2"/>
        <v/>
      </c>
      <c r="P767" s="10" t="str">
        <f t="shared" si="3"/>
        <v/>
      </c>
      <c r="R767" s="23"/>
      <c r="S767" s="10" t="str">
        <f t="shared" si="4"/>
        <v/>
      </c>
      <c r="U767" s="10" t="str">
        <f ca="1">IFERROR(__xludf.DUMMYFUNCTION("if(W767=1,COUNTIFS(FILTER($H$2:$H905,$H$2:$H905=""OB"",$S$2:$S905=S767),""OB""),"""")"),"")</f>
        <v/>
      </c>
      <c r="V767" s="10" t="str">
        <f ca="1">IFERROR(__xludf.DUMMYFUNCTION("IF(OR(ISNA(SUM(FILTER($K$2:$K905,$A$2:$A905=A767,$S$2:$S905=S767,$H$2:$H905&lt;&gt;""OB""))),W767&lt;&gt;1),"""",SUM(FILTER($K$2:$K905,$A$2:$A905=A767,$S$2:$S905=S767,$H$2:$H905&lt;&gt;""OB"")))"),"")</f>
        <v/>
      </c>
      <c r="W767" s="10" t="str">
        <f t="shared" si="5"/>
        <v/>
      </c>
    </row>
    <row r="768" spans="1:23" ht="12.5">
      <c r="A768" s="23"/>
      <c r="B768" s="5" t="str">
        <f t="array" ref="B768">IF(W768=1,INDEX('Database Mitra'!$H$2:$H905,MATCH(A768,'Database Mitra'!AK$2:AK905,0)),"")</f>
        <v/>
      </c>
      <c r="C768" s="5" t="str">
        <f t="array" ref="C768">IF(W768=1,INDEX('Database Mitra'!$E$2:$E905,MATCH(A768,'Database Mitra'!AK$2:AK905,0)),"")</f>
        <v/>
      </c>
      <c r="D768" s="23"/>
      <c r="E768" s="5" t="str">
        <f t="array" ref="E768">IF(W768=1,INDEX('Input Kegiatan'!B$2:B905,MATCH($D768,'Input Kegiatan'!$A$2:$A905,0)),"")</f>
        <v/>
      </c>
      <c r="F768" s="5" t="str">
        <f t="array" ref="F768">IF(W768=1,INDEX('Input Kegiatan'!D$2:D905,MATCH($D768,'Input Kegiatan'!$A$2:$A905,0)),"")</f>
        <v/>
      </c>
      <c r="G768" s="5" t="str">
        <f t="array" ref="G768">IF(W768=1,INDEX('Input Kegiatan'!E$2:E905,MATCH($D768,'Input Kegiatan'!$A$2:$A905,0)),"")</f>
        <v/>
      </c>
      <c r="H768" s="5" t="str">
        <f t="array" ref="H768">IF(W768=1,INDEX(Honor!$H$2:$H905,MATCH($D768&amp;"-"&amp;R768,Honor!$K$2:$K905,0)),"")</f>
        <v/>
      </c>
      <c r="I768" s="8" t="str">
        <f>IF(W768=1,SUMIFS(Honor!$I$2:$I905,Honor!$K$2:$K905,$D768&amp;"-"&amp;R768),"")</f>
        <v/>
      </c>
      <c r="J768" s="9" t="str">
        <f t="shared" si="6"/>
        <v/>
      </c>
      <c r="K768" s="10" t="str">
        <f t="shared" si="0"/>
        <v/>
      </c>
      <c r="L768" s="10" t="str">
        <f t="shared" si="1"/>
        <v/>
      </c>
      <c r="M768" s="10" t="str">
        <f>IF(W768=1,IF(AND(U768&lt;2,INT(V768)&lt;='Batasan Honor'!$B$2),1,0),"")</f>
        <v/>
      </c>
      <c r="O768" s="10" t="str">
        <f t="shared" si="2"/>
        <v/>
      </c>
      <c r="P768" s="10" t="str">
        <f t="shared" si="3"/>
        <v/>
      </c>
      <c r="R768" s="23"/>
      <c r="S768" s="10" t="str">
        <f t="shared" si="4"/>
        <v/>
      </c>
      <c r="U768" s="10" t="str">
        <f ca="1">IFERROR(__xludf.DUMMYFUNCTION("if(W768=1,COUNTIFS(FILTER($H$2:$H905,$H$2:$H905=""OB"",$S$2:$S905=S768),""OB""),"""")"),"")</f>
        <v/>
      </c>
      <c r="V768" s="10" t="str">
        <f ca="1">IFERROR(__xludf.DUMMYFUNCTION("IF(OR(ISNA(SUM(FILTER($K$2:$K905,$A$2:$A905=A768,$S$2:$S905=S768,$H$2:$H905&lt;&gt;""OB""))),W768&lt;&gt;1),"""",SUM(FILTER($K$2:$K905,$A$2:$A905=A768,$S$2:$S905=S768,$H$2:$H905&lt;&gt;""OB"")))"),"")</f>
        <v/>
      </c>
      <c r="W768" s="10" t="str">
        <f t="shared" si="5"/>
        <v/>
      </c>
    </row>
    <row r="769" spans="1:23" ht="12.5">
      <c r="A769" s="23"/>
      <c r="B769" s="5" t="str">
        <f t="array" ref="B769">IF(W769=1,INDEX('Database Mitra'!$H$2:$H905,MATCH(A769,'Database Mitra'!AK$2:AK905,0)),"")</f>
        <v/>
      </c>
      <c r="C769" s="5" t="str">
        <f t="array" ref="C769">IF(W769=1,INDEX('Database Mitra'!$E$2:$E905,MATCH(A769,'Database Mitra'!AK$2:AK905,0)),"")</f>
        <v/>
      </c>
      <c r="D769" s="23"/>
      <c r="E769" s="5" t="str">
        <f t="array" ref="E769">IF(W769=1,INDEX('Input Kegiatan'!B$2:B905,MATCH($D769,'Input Kegiatan'!$A$2:$A905,0)),"")</f>
        <v/>
      </c>
      <c r="F769" s="5" t="str">
        <f t="array" ref="F769">IF(W769=1,INDEX('Input Kegiatan'!D$2:D905,MATCH($D769,'Input Kegiatan'!$A$2:$A905,0)),"")</f>
        <v/>
      </c>
      <c r="G769" s="5" t="str">
        <f t="array" ref="G769">IF(W769=1,INDEX('Input Kegiatan'!E$2:E905,MATCH($D769,'Input Kegiatan'!$A$2:$A905,0)),"")</f>
        <v/>
      </c>
      <c r="H769" s="5" t="str">
        <f t="array" ref="H769">IF(W769=1,INDEX(Honor!$H$2:$H905,MATCH($D769&amp;"-"&amp;R769,Honor!$K$2:$K905,0)),"")</f>
        <v/>
      </c>
      <c r="I769" s="8" t="str">
        <f>IF(W769=1,SUMIFS(Honor!$I$2:$I905,Honor!$K$2:$K905,$D769&amp;"-"&amp;R769),"")</f>
        <v/>
      </c>
      <c r="J769" s="9" t="str">
        <f t="shared" si="6"/>
        <v/>
      </c>
      <c r="K769" s="10" t="str">
        <f t="shared" si="0"/>
        <v/>
      </c>
      <c r="L769" s="10" t="str">
        <f t="shared" si="1"/>
        <v/>
      </c>
      <c r="M769" s="10" t="str">
        <f>IF(W769=1,IF(AND(U769&lt;2,INT(V769)&lt;='Batasan Honor'!$B$2),1,0),"")</f>
        <v/>
      </c>
      <c r="O769" s="10" t="str">
        <f t="shared" si="2"/>
        <v/>
      </c>
      <c r="P769" s="10" t="str">
        <f t="shared" si="3"/>
        <v/>
      </c>
      <c r="R769" s="23"/>
      <c r="S769" s="10" t="str">
        <f t="shared" si="4"/>
        <v/>
      </c>
      <c r="U769" s="10" t="str">
        <f ca="1">IFERROR(__xludf.DUMMYFUNCTION("if(W769=1,COUNTIFS(FILTER($H$2:$H905,$H$2:$H905=""OB"",$S$2:$S905=S769),""OB""),"""")"),"")</f>
        <v/>
      </c>
      <c r="V769" s="10" t="str">
        <f ca="1">IFERROR(__xludf.DUMMYFUNCTION("IF(OR(ISNA(SUM(FILTER($K$2:$K905,$A$2:$A905=A769,$S$2:$S905=S769,$H$2:$H905&lt;&gt;""OB""))),W769&lt;&gt;1),"""",SUM(FILTER($K$2:$K905,$A$2:$A905=A769,$S$2:$S905=S769,$H$2:$H905&lt;&gt;""OB"")))"),"")</f>
        <v/>
      </c>
      <c r="W769" s="10" t="str">
        <f t="shared" si="5"/>
        <v/>
      </c>
    </row>
    <row r="770" spans="1:23" ht="12.5">
      <c r="A770" s="23"/>
      <c r="B770" s="5" t="str">
        <f t="array" ref="B770">IF(W770=1,INDEX('Database Mitra'!$H$2:$H905,MATCH(A770,'Database Mitra'!AK$2:AK905,0)),"")</f>
        <v/>
      </c>
      <c r="C770" s="5" t="str">
        <f t="array" ref="C770">IF(W770=1,INDEX('Database Mitra'!$E$2:$E905,MATCH(A770,'Database Mitra'!AK$2:AK905,0)),"")</f>
        <v/>
      </c>
      <c r="D770" s="23"/>
      <c r="E770" s="5" t="str">
        <f t="array" ref="E770">IF(W770=1,INDEX('Input Kegiatan'!B$2:B905,MATCH($D770,'Input Kegiatan'!$A$2:$A905,0)),"")</f>
        <v/>
      </c>
      <c r="F770" s="5" t="str">
        <f t="array" ref="F770">IF(W770=1,INDEX('Input Kegiatan'!D$2:D905,MATCH($D770,'Input Kegiatan'!$A$2:$A905,0)),"")</f>
        <v/>
      </c>
      <c r="G770" s="5" t="str">
        <f t="array" ref="G770">IF(W770=1,INDEX('Input Kegiatan'!E$2:E905,MATCH($D770,'Input Kegiatan'!$A$2:$A905,0)),"")</f>
        <v/>
      </c>
      <c r="H770" s="5" t="str">
        <f t="array" ref="H770">IF(W770=1,INDEX(Honor!$H$2:$H905,MATCH($D770&amp;"-"&amp;R770,Honor!$K$2:$K905,0)),"")</f>
        <v/>
      </c>
      <c r="I770" s="8" t="str">
        <f>IF(W770=1,SUMIFS(Honor!$I$2:$I905,Honor!$K$2:$K905,$D770&amp;"-"&amp;R770),"")</f>
        <v/>
      </c>
      <c r="J770" s="9" t="str">
        <f t="shared" si="6"/>
        <v/>
      </c>
      <c r="K770" s="10" t="str">
        <f t="shared" si="0"/>
        <v/>
      </c>
      <c r="L770" s="10" t="str">
        <f t="shared" si="1"/>
        <v/>
      </c>
      <c r="M770" s="10" t="str">
        <f>IF(W770=1,IF(AND(U770&lt;2,INT(V770)&lt;='Batasan Honor'!$B$2),1,0),"")</f>
        <v/>
      </c>
      <c r="O770" s="10" t="str">
        <f t="shared" si="2"/>
        <v/>
      </c>
      <c r="P770" s="10" t="str">
        <f t="shared" si="3"/>
        <v/>
      </c>
      <c r="R770" s="23"/>
      <c r="S770" s="10" t="str">
        <f t="shared" si="4"/>
        <v/>
      </c>
      <c r="U770" s="10" t="str">
        <f ca="1">IFERROR(__xludf.DUMMYFUNCTION("if(W770=1,COUNTIFS(FILTER($H$2:$H905,$H$2:$H905=""OB"",$S$2:$S905=S770),""OB""),"""")"),"")</f>
        <v/>
      </c>
      <c r="V770" s="10" t="str">
        <f ca="1">IFERROR(__xludf.DUMMYFUNCTION("IF(OR(ISNA(SUM(FILTER($K$2:$K905,$A$2:$A905=A770,$S$2:$S905=S770,$H$2:$H905&lt;&gt;""OB""))),W770&lt;&gt;1),"""",SUM(FILTER($K$2:$K905,$A$2:$A905=A770,$S$2:$S905=S770,$H$2:$H905&lt;&gt;""OB"")))"),"")</f>
        <v/>
      </c>
      <c r="W770" s="10" t="str">
        <f t="shared" si="5"/>
        <v/>
      </c>
    </row>
    <row r="771" spans="1:23" ht="12.5">
      <c r="A771" s="23"/>
      <c r="B771" s="5" t="str">
        <f t="array" ref="B771">IF(W771=1,INDEX('Database Mitra'!$H$2:$H905,MATCH(A771,'Database Mitra'!AK$2:AK905,0)),"")</f>
        <v/>
      </c>
      <c r="C771" s="5" t="str">
        <f t="array" ref="C771">IF(W771=1,INDEX('Database Mitra'!$E$2:$E905,MATCH(A771,'Database Mitra'!AK$2:AK905,0)),"")</f>
        <v/>
      </c>
      <c r="D771" s="23"/>
      <c r="E771" s="5" t="str">
        <f t="array" ref="E771">IF(W771=1,INDEX('Input Kegiatan'!B$2:B905,MATCH($D771,'Input Kegiatan'!$A$2:$A905,0)),"")</f>
        <v/>
      </c>
      <c r="F771" s="5" t="str">
        <f t="array" ref="F771">IF(W771=1,INDEX('Input Kegiatan'!D$2:D905,MATCH($D771,'Input Kegiatan'!$A$2:$A905,0)),"")</f>
        <v/>
      </c>
      <c r="G771" s="5" t="str">
        <f t="array" ref="G771">IF(W771=1,INDEX('Input Kegiatan'!E$2:E905,MATCH($D771,'Input Kegiatan'!$A$2:$A905,0)),"")</f>
        <v/>
      </c>
      <c r="H771" s="5" t="str">
        <f t="array" ref="H771">IF(W771=1,INDEX(Honor!$H$2:$H905,MATCH($D771&amp;"-"&amp;R771,Honor!$K$2:$K905,0)),"")</f>
        <v/>
      </c>
      <c r="I771" s="8" t="str">
        <f>IF(W771=1,SUMIFS(Honor!$I$2:$I905,Honor!$K$2:$K905,$D771&amp;"-"&amp;R771),"")</f>
        <v/>
      </c>
      <c r="J771" s="9" t="str">
        <f t="shared" si="6"/>
        <v/>
      </c>
      <c r="K771" s="10" t="str">
        <f t="shared" si="0"/>
        <v/>
      </c>
      <c r="L771" s="10" t="str">
        <f t="shared" si="1"/>
        <v/>
      </c>
      <c r="M771" s="10" t="str">
        <f>IF(W771=1,IF(AND(U771&lt;2,INT(V771)&lt;='Batasan Honor'!$B$2),1,0),"")</f>
        <v/>
      </c>
      <c r="O771" s="10" t="str">
        <f t="shared" si="2"/>
        <v/>
      </c>
      <c r="P771" s="10" t="str">
        <f t="shared" si="3"/>
        <v/>
      </c>
      <c r="R771" s="23"/>
      <c r="S771" s="10" t="str">
        <f t="shared" si="4"/>
        <v/>
      </c>
      <c r="U771" s="10" t="str">
        <f ca="1">IFERROR(__xludf.DUMMYFUNCTION("if(W771=1,COUNTIFS(FILTER($H$2:$H905,$H$2:$H905=""OB"",$S$2:$S905=S771),""OB""),"""")"),"")</f>
        <v/>
      </c>
      <c r="V771" s="10" t="str">
        <f ca="1">IFERROR(__xludf.DUMMYFUNCTION("IF(OR(ISNA(SUM(FILTER($K$2:$K905,$A$2:$A905=A771,$S$2:$S905=S771,$H$2:$H905&lt;&gt;""OB""))),W771&lt;&gt;1),"""",SUM(FILTER($K$2:$K905,$A$2:$A905=A771,$S$2:$S905=S771,$H$2:$H905&lt;&gt;""OB"")))"),"")</f>
        <v/>
      </c>
      <c r="W771" s="10" t="str">
        <f t="shared" si="5"/>
        <v/>
      </c>
    </row>
    <row r="772" spans="1:23" ht="12.5">
      <c r="A772" s="23"/>
      <c r="B772" s="5" t="str">
        <f t="array" ref="B772">IF(W772=1,INDEX('Database Mitra'!$H$2:$H905,MATCH(A772,'Database Mitra'!AK$2:AK905,0)),"")</f>
        <v/>
      </c>
      <c r="C772" s="5" t="str">
        <f t="array" ref="C772">IF(W772=1,INDEX('Database Mitra'!$E$2:$E905,MATCH(A772,'Database Mitra'!AK$2:AK905,0)),"")</f>
        <v/>
      </c>
      <c r="D772" s="23"/>
      <c r="E772" s="5" t="str">
        <f t="array" ref="E772">IF(W772=1,INDEX('Input Kegiatan'!B$2:B905,MATCH($D772,'Input Kegiatan'!$A$2:$A905,0)),"")</f>
        <v/>
      </c>
      <c r="F772" s="5" t="str">
        <f t="array" ref="F772">IF(W772=1,INDEX('Input Kegiatan'!D$2:D905,MATCH($D772,'Input Kegiatan'!$A$2:$A905,0)),"")</f>
        <v/>
      </c>
      <c r="G772" s="5" t="str">
        <f t="array" ref="G772">IF(W772=1,INDEX('Input Kegiatan'!E$2:E905,MATCH($D772,'Input Kegiatan'!$A$2:$A905,0)),"")</f>
        <v/>
      </c>
      <c r="H772" s="5" t="str">
        <f t="array" ref="H772">IF(W772=1,INDEX(Honor!$H$2:$H905,MATCH($D772&amp;"-"&amp;R772,Honor!$K$2:$K905,0)),"")</f>
        <v/>
      </c>
      <c r="I772" s="8" t="str">
        <f>IF(W772=1,SUMIFS(Honor!$I$2:$I905,Honor!$K$2:$K905,$D772&amp;"-"&amp;R772),"")</f>
        <v/>
      </c>
      <c r="J772" s="9" t="str">
        <f t="shared" si="6"/>
        <v/>
      </c>
      <c r="K772" s="10" t="str">
        <f t="shared" si="0"/>
        <v/>
      </c>
      <c r="L772" s="10" t="str">
        <f t="shared" si="1"/>
        <v/>
      </c>
      <c r="M772" s="10" t="str">
        <f>IF(W772=1,IF(AND(U772&lt;2,INT(V772)&lt;='Batasan Honor'!$B$2),1,0),"")</f>
        <v/>
      </c>
      <c r="O772" s="10" t="str">
        <f t="shared" si="2"/>
        <v/>
      </c>
      <c r="P772" s="10" t="str">
        <f t="shared" si="3"/>
        <v/>
      </c>
      <c r="R772" s="23"/>
      <c r="S772" s="10" t="str">
        <f t="shared" si="4"/>
        <v/>
      </c>
      <c r="U772" s="10" t="str">
        <f ca="1">IFERROR(__xludf.DUMMYFUNCTION("if(W772=1,COUNTIFS(FILTER($H$2:$H905,$H$2:$H905=""OB"",$S$2:$S905=S772),""OB""),"""")"),"")</f>
        <v/>
      </c>
      <c r="V772" s="10" t="str">
        <f ca="1">IFERROR(__xludf.DUMMYFUNCTION("IF(OR(ISNA(SUM(FILTER($K$2:$K905,$A$2:$A905=A772,$S$2:$S905=S772,$H$2:$H905&lt;&gt;""OB""))),W772&lt;&gt;1),"""",SUM(FILTER($K$2:$K905,$A$2:$A905=A772,$S$2:$S905=S772,$H$2:$H905&lt;&gt;""OB"")))"),"")</f>
        <v/>
      </c>
      <c r="W772" s="10" t="str">
        <f t="shared" si="5"/>
        <v/>
      </c>
    </row>
    <row r="773" spans="1:23" ht="12.5">
      <c r="A773" s="23"/>
      <c r="B773" s="5" t="str">
        <f t="array" ref="B773">IF(W773=1,INDEX('Database Mitra'!$H$2:$H905,MATCH(A773,'Database Mitra'!AK$2:AK905,0)),"")</f>
        <v/>
      </c>
      <c r="C773" s="5" t="str">
        <f t="array" ref="C773">IF(W773=1,INDEX('Database Mitra'!$E$2:$E905,MATCH(A773,'Database Mitra'!AK$2:AK905,0)),"")</f>
        <v/>
      </c>
      <c r="D773" s="23"/>
      <c r="E773" s="5" t="str">
        <f t="array" ref="E773">IF(W773=1,INDEX('Input Kegiatan'!B$2:B905,MATCH($D773,'Input Kegiatan'!$A$2:$A905,0)),"")</f>
        <v/>
      </c>
      <c r="F773" s="5" t="str">
        <f t="array" ref="F773">IF(W773=1,INDEX('Input Kegiatan'!D$2:D905,MATCH($D773,'Input Kegiatan'!$A$2:$A905,0)),"")</f>
        <v/>
      </c>
      <c r="G773" s="5" t="str">
        <f t="array" ref="G773">IF(W773=1,INDEX('Input Kegiatan'!E$2:E905,MATCH($D773,'Input Kegiatan'!$A$2:$A905,0)),"")</f>
        <v/>
      </c>
      <c r="H773" s="5" t="str">
        <f t="array" ref="H773">IF(W773=1,INDEX(Honor!$H$2:$H905,MATCH($D773&amp;"-"&amp;R773,Honor!$K$2:$K905,0)),"")</f>
        <v/>
      </c>
      <c r="I773" s="8" t="str">
        <f>IF(W773=1,SUMIFS(Honor!$I$2:$I905,Honor!$K$2:$K905,$D773&amp;"-"&amp;R773),"")</f>
        <v/>
      </c>
      <c r="J773" s="9" t="str">
        <f t="shared" si="6"/>
        <v/>
      </c>
      <c r="K773" s="10" t="str">
        <f t="shared" si="0"/>
        <v/>
      </c>
      <c r="L773" s="10" t="str">
        <f t="shared" si="1"/>
        <v/>
      </c>
      <c r="M773" s="10" t="str">
        <f>IF(W773=1,IF(AND(U773&lt;2,INT(V773)&lt;='Batasan Honor'!$B$2),1,0),"")</f>
        <v/>
      </c>
      <c r="O773" s="10" t="str">
        <f t="shared" si="2"/>
        <v/>
      </c>
      <c r="P773" s="10" t="str">
        <f t="shared" si="3"/>
        <v/>
      </c>
      <c r="R773" s="23"/>
      <c r="S773" s="10" t="str">
        <f t="shared" si="4"/>
        <v/>
      </c>
      <c r="U773" s="10" t="str">
        <f ca="1">IFERROR(__xludf.DUMMYFUNCTION("if(W773=1,COUNTIFS(FILTER($H$2:$H905,$H$2:$H905=""OB"",$S$2:$S905=S773),""OB""),"""")"),"")</f>
        <v/>
      </c>
      <c r="V773" s="10" t="str">
        <f ca="1">IFERROR(__xludf.DUMMYFUNCTION("IF(OR(ISNA(SUM(FILTER($K$2:$K905,$A$2:$A905=A773,$S$2:$S905=S773,$H$2:$H905&lt;&gt;""OB""))),W773&lt;&gt;1),"""",SUM(FILTER($K$2:$K905,$A$2:$A905=A773,$S$2:$S905=S773,$H$2:$H905&lt;&gt;""OB"")))"),"")</f>
        <v/>
      </c>
      <c r="W773" s="10" t="str">
        <f t="shared" si="5"/>
        <v/>
      </c>
    </row>
    <row r="774" spans="1:23" ht="12.5">
      <c r="A774" s="23"/>
      <c r="B774" s="5" t="str">
        <f t="array" ref="B774">IF(W774=1,INDEX('Database Mitra'!$H$2:$H905,MATCH(A774,'Database Mitra'!AK$2:AK905,0)),"")</f>
        <v/>
      </c>
      <c r="C774" s="5" t="str">
        <f t="array" ref="C774">IF(W774=1,INDEX('Database Mitra'!$E$2:$E905,MATCH(A774,'Database Mitra'!AK$2:AK905,0)),"")</f>
        <v/>
      </c>
      <c r="D774" s="23"/>
      <c r="E774" s="5" t="str">
        <f t="array" ref="E774">IF(W774=1,INDEX('Input Kegiatan'!B$2:B905,MATCH($D774,'Input Kegiatan'!$A$2:$A905,0)),"")</f>
        <v/>
      </c>
      <c r="F774" s="5" t="str">
        <f t="array" ref="F774">IF(W774=1,INDEX('Input Kegiatan'!D$2:D905,MATCH($D774,'Input Kegiatan'!$A$2:$A905,0)),"")</f>
        <v/>
      </c>
      <c r="G774" s="5" t="str">
        <f t="array" ref="G774">IF(W774=1,INDEX('Input Kegiatan'!E$2:E905,MATCH($D774,'Input Kegiatan'!$A$2:$A905,0)),"")</f>
        <v/>
      </c>
      <c r="H774" s="5" t="str">
        <f t="array" ref="H774">IF(W774=1,INDEX(Honor!$H$2:$H905,MATCH($D774&amp;"-"&amp;R774,Honor!$K$2:$K905,0)),"")</f>
        <v/>
      </c>
      <c r="I774" s="8" t="str">
        <f>IF(W774=1,SUMIFS(Honor!$I$2:$I905,Honor!$K$2:$K905,$D774&amp;"-"&amp;R774),"")</f>
        <v/>
      </c>
      <c r="J774" s="9" t="str">
        <f t="shared" si="6"/>
        <v/>
      </c>
      <c r="K774" s="10" t="str">
        <f t="shared" si="0"/>
        <v/>
      </c>
      <c r="L774" s="10" t="str">
        <f t="shared" si="1"/>
        <v/>
      </c>
      <c r="M774" s="10" t="str">
        <f>IF(W774=1,IF(AND(U774&lt;2,INT(V774)&lt;='Batasan Honor'!$B$2),1,0),"")</f>
        <v/>
      </c>
      <c r="O774" s="10" t="str">
        <f t="shared" si="2"/>
        <v/>
      </c>
      <c r="P774" s="10" t="str">
        <f t="shared" si="3"/>
        <v/>
      </c>
      <c r="R774" s="23"/>
      <c r="S774" s="10" t="str">
        <f t="shared" si="4"/>
        <v/>
      </c>
      <c r="U774" s="10" t="str">
        <f ca="1">IFERROR(__xludf.DUMMYFUNCTION("if(W774=1,COUNTIFS(FILTER($H$2:$H905,$H$2:$H905=""OB"",$S$2:$S905=S774),""OB""),"""")"),"")</f>
        <v/>
      </c>
      <c r="V774" s="10" t="str">
        <f ca="1">IFERROR(__xludf.DUMMYFUNCTION("IF(OR(ISNA(SUM(FILTER($K$2:$K905,$A$2:$A905=A774,$S$2:$S905=S774,$H$2:$H905&lt;&gt;""OB""))),W774&lt;&gt;1),"""",SUM(FILTER($K$2:$K905,$A$2:$A905=A774,$S$2:$S905=S774,$H$2:$H905&lt;&gt;""OB"")))"),"")</f>
        <v/>
      </c>
      <c r="W774" s="10" t="str">
        <f t="shared" si="5"/>
        <v/>
      </c>
    </row>
    <row r="775" spans="1:23" ht="12.5">
      <c r="A775" s="23"/>
      <c r="B775" s="5" t="str">
        <f t="array" ref="B775">IF(W775=1,INDEX('Database Mitra'!$H$2:$H905,MATCH(A775,'Database Mitra'!AK$2:AK905,0)),"")</f>
        <v/>
      </c>
      <c r="C775" s="5" t="str">
        <f t="array" ref="C775">IF(W775=1,INDEX('Database Mitra'!$E$2:$E905,MATCH(A775,'Database Mitra'!AK$2:AK905,0)),"")</f>
        <v/>
      </c>
      <c r="D775" s="23"/>
      <c r="E775" s="5" t="str">
        <f t="array" ref="E775">IF(W775=1,INDEX('Input Kegiatan'!B$2:B905,MATCH($D775,'Input Kegiatan'!$A$2:$A905,0)),"")</f>
        <v/>
      </c>
      <c r="F775" s="5" t="str">
        <f t="array" ref="F775">IF(W775=1,INDEX('Input Kegiatan'!D$2:D905,MATCH($D775,'Input Kegiatan'!$A$2:$A905,0)),"")</f>
        <v/>
      </c>
      <c r="G775" s="5" t="str">
        <f t="array" ref="G775">IF(W775=1,INDEX('Input Kegiatan'!E$2:E905,MATCH($D775,'Input Kegiatan'!$A$2:$A905,0)),"")</f>
        <v/>
      </c>
      <c r="H775" s="5" t="str">
        <f t="array" ref="H775">IF(W775=1,INDEX(Honor!$H$2:$H905,MATCH($D775&amp;"-"&amp;R775,Honor!$K$2:$K905,0)),"")</f>
        <v/>
      </c>
      <c r="I775" s="8" t="str">
        <f>IF(W775=1,SUMIFS(Honor!$I$2:$I905,Honor!$K$2:$K905,$D775&amp;"-"&amp;R775),"")</f>
        <v/>
      </c>
      <c r="J775" s="9" t="str">
        <f t="shared" si="6"/>
        <v/>
      </c>
      <c r="K775" s="10" t="str">
        <f t="shared" si="0"/>
        <v/>
      </c>
      <c r="L775" s="10" t="str">
        <f t="shared" si="1"/>
        <v/>
      </c>
      <c r="M775" s="10" t="str">
        <f>IF(W775=1,IF(AND(U775&lt;2,INT(V775)&lt;='Batasan Honor'!$B$2),1,0),"")</f>
        <v/>
      </c>
      <c r="O775" s="10" t="str">
        <f t="shared" si="2"/>
        <v/>
      </c>
      <c r="P775" s="10" t="str">
        <f t="shared" si="3"/>
        <v/>
      </c>
      <c r="R775" s="23"/>
      <c r="S775" s="10" t="str">
        <f t="shared" si="4"/>
        <v/>
      </c>
      <c r="U775" s="10" t="str">
        <f ca="1">IFERROR(__xludf.DUMMYFUNCTION("if(W775=1,COUNTIFS(FILTER($H$2:$H905,$H$2:$H905=""OB"",$S$2:$S905=S775),""OB""),"""")"),"")</f>
        <v/>
      </c>
      <c r="V775" s="10" t="str">
        <f ca="1">IFERROR(__xludf.DUMMYFUNCTION("IF(OR(ISNA(SUM(FILTER($K$2:$K905,$A$2:$A905=A775,$S$2:$S905=S775,$H$2:$H905&lt;&gt;""OB""))),W775&lt;&gt;1),"""",SUM(FILTER($K$2:$K905,$A$2:$A905=A775,$S$2:$S905=S775,$H$2:$H905&lt;&gt;""OB"")))"),"")</f>
        <v/>
      </c>
      <c r="W775" s="10" t="str">
        <f t="shared" si="5"/>
        <v/>
      </c>
    </row>
    <row r="776" spans="1:23" ht="12.5">
      <c r="A776" s="23"/>
      <c r="B776" s="5" t="str">
        <f t="array" ref="B776">IF(W776=1,INDEX('Database Mitra'!$H$2:$H905,MATCH(A776,'Database Mitra'!AK$2:AK905,0)),"")</f>
        <v/>
      </c>
      <c r="C776" s="5" t="str">
        <f t="array" ref="C776">IF(W776=1,INDEX('Database Mitra'!$E$2:$E905,MATCH(A776,'Database Mitra'!AK$2:AK905,0)),"")</f>
        <v/>
      </c>
      <c r="D776" s="23"/>
      <c r="E776" s="5" t="str">
        <f t="array" ref="E776">IF(W776=1,INDEX('Input Kegiatan'!B$2:B905,MATCH($D776,'Input Kegiatan'!$A$2:$A905,0)),"")</f>
        <v/>
      </c>
      <c r="F776" s="5" t="str">
        <f t="array" ref="F776">IF(W776=1,INDEX('Input Kegiatan'!D$2:D905,MATCH($D776,'Input Kegiatan'!$A$2:$A905,0)),"")</f>
        <v/>
      </c>
      <c r="G776" s="5" t="str">
        <f t="array" ref="G776">IF(W776=1,INDEX('Input Kegiatan'!E$2:E905,MATCH($D776,'Input Kegiatan'!$A$2:$A905,0)),"")</f>
        <v/>
      </c>
      <c r="H776" s="5" t="str">
        <f t="array" ref="H776">IF(W776=1,INDEX(Honor!$H$2:$H905,MATCH($D776&amp;"-"&amp;R776,Honor!$K$2:$K905,0)),"")</f>
        <v/>
      </c>
      <c r="I776" s="8" t="str">
        <f>IF(W776=1,SUMIFS(Honor!$I$2:$I905,Honor!$K$2:$K905,$D776&amp;"-"&amp;R776),"")</f>
        <v/>
      </c>
      <c r="J776" s="9" t="str">
        <f t="shared" si="6"/>
        <v/>
      </c>
      <c r="K776" s="10" t="str">
        <f t="shared" si="0"/>
        <v/>
      </c>
      <c r="L776" s="10" t="str">
        <f t="shared" si="1"/>
        <v/>
      </c>
      <c r="M776" s="10" t="str">
        <f>IF(W776=1,IF(AND(U776&lt;2,INT(V776)&lt;='Batasan Honor'!$B$2),1,0),"")</f>
        <v/>
      </c>
      <c r="O776" s="10" t="str">
        <f t="shared" si="2"/>
        <v/>
      </c>
      <c r="P776" s="10" t="str">
        <f t="shared" si="3"/>
        <v/>
      </c>
      <c r="R776" s="23"/>
      <c r="S776" s="10" t="str">
        <f t="shared" si="4"/>
        <v/>
      </c>
      <c r="U776" s="10" t="str">
        <f ca="1">IFERROR(__xludf.DUMMYFUNCTION("if(W776=1,COUNTIFS(FILTER($H$2:$H905,$H$2:$H905=""OB"",$S$2:$S905=S776),""OB""),"""")"),"")</f>
        <v/>
      </c>
      <c r="V776" s="10" t="str">
        <f ca="1">IFERROR(__xludf.DUMMYFUNCTION("IF(OR(ISNA(SUM(FILTER($K$2:$K905,$A$2:$A905=A776,$S$2:$S905=S776,$H$2:$H905&lt;&gt;""OB""))),W776&lt;&gt;1),"""",SUM(FILTER($K$2:$K905,$A$2:$A905=A776,$S$2:$S905=S776,$H$2:$H905&lt;&gt;""OB"")))"),"")</f>
        <v/>
      </c>
      <c r="W776" s="10" t="str">
        <f t="shared" si="5"/>
        <v/>
      </c>
    </row>
    <row r="777" spans="1:23" ht="12.5">
      <c r="A777" s="23"/>
      <c r="B777" s="5" t="str">
        <f t="array" ref="B777">IF(W777=1,INDEX('Database Mitra'!$H$2:$H905,MATCH(A777,'Database Mitra'!AK$2:AK905,0)),"")</f>
        <v/>
      </c>
      <c r="C777" s="5" t="str">
        <f t="array" ref="C777">IF(W777=1,INDEX('Database Mitra'!$E$2:$E905,MATCH(A777,'Database Mitra'!AK$2:AK905,0)),"")</f>
        <v/>
      </c>
      <c r="D777" s="23"/>
      <c r="E777" s="5" t="str">
        <f t="array" ref="E777">IF(W777=1,INDEX('Input Kegiatan'!B$2:B905,MATCH($D777,'Input Kegiatan'!$A$2:$A905,0)),"")</f>
        <v/>
      </c>
      <c r="F777" s="5" t="str">
        <f t="array" ref="F777">IF(W777=1,INDEX('Input Kegiatan'!D$2:D905,MATCH($D777,'Input Kegiatan'!$A$2:$A905,0)),"")</f>
        <v/>
      </c>
      <c r="G777" s="5" t="str">
        <f t="array" ref="G777">IF(W777=1,INDEX('Input Kegiatan'!E$2:E905,MATCH($D777,'Input Kegiatan'!$A$2:$A905,0)),"")</f>
        <v/>
      </c>
      <c r="H777" s="5" t="str">
        <f t="array" ref="H777">IF(W777=1,INDEX(Honor!$H$2:$H905,MATCH($D777&amp;"-"&amp;R777,Honor!$K$2:$K905,0)),"")</f>
        <v/>
      </c>
      <c r="I777" s="8" t="str">
        <f>IF(W777=1,SUMIFS(Honor!$I$2:$I905,Honor!$K$2:$K905,$D777&amp;"-"&amp;R777),"")</f>
        <v/>
      </c>
      <c r="J777" s="9" t="str">
        <f t="shared" si="6"/>
        <v/>
      </c>
      <c r="K777" s="10" t="str">
        <f t="shared" si="0"/>
        <v/>
      </c>
      <c r="L777" s="10" t="str">
        <f t="shared" si="1"/>
        <v/>
      </c>
      <c r="M777" s="10" t="str">
        <f>IF(W777=1,IF(AND(U777&lt;2,INT(V777)&lt;='Batasan Honor'!$B$2),1,0),"")</f>
        <v/>
      </c>
      <c r="O777" s="10" t="str">
        <f t="shared" si="2"/>
        <v/>
      </c>
      <c r="P777" s="10" t="str">
        <f t="shared" si="3"/>
        <v/>
      </c>
      <c r="R777" s="23"/>
      <c r="S777" s="10" t="str">
        <f t="shared" si="4"/>
        <v/>
      </c>
      <c r="U777" s="10" t="str">
        <f ca="1">IFERROR(__xludf.DUMMYFUNCTION("if(W777=1,COUNTIFS(FILTER($H$2:$H905,$H$2:$H905=""OB"",$S$2:$S905=S777),""OB""),"""")"),"")</f>
        <v/>
      </c>
      <c r="V777" s="10" t="str">
        <f ca="1">IFERROR(__xludf.DUMMYFUNCTION("IF(OR(ISNA(SUM(FILTER($K$2:$K905,$A$2:$A905=A777,$S$2:$S905=S777,$H$2:$H905&lt;&gt;""OB""))),W777&lt;&gt;1),"""",SUM(FILTER($K$2:$K905,$A$2:$A905=A777,$S$2:$S905=S777,$H$2:$H905&lt;&gt;""OB"")))"),"")</f>
        <v/>
      </c>
      <c r="W777" s="10" t="str">
        <f t="shared" si="5"/>
        <v/>
      </c>
    </row>
    <row r="778" spans="1:23" ht="12.5">
      <c r="A778" s="23"/>
      <c r="B778" s="5" t="str">
        <f t="array" ref="B778">IF(W778=1,INDEX('Database Mitra'!$H$2:$H905,MATCH(A778,'Database Mitra'!AK$2:AK905,0)),"")</f>
        <v/>
      </c>
      <c r="C778" s="5" t="str">
        <f t="array" ref="C778">IF(W778=1,INDEX('Database Mitra'!$E$2:$E905,MATCH(A778,'Database Mitra'!AK$2:AK905,0)),"")</f>
        <v/>
      </c>
      <c r="D778" s="23"/>
      <c r="E778" s="5" t="str">
        <f t="array" ref="E778">IF(W778=1,INDEX('Input Kegiatan'!B$2:B905,MATCH($D778,'Input Kegiatan'!$A$2:$A905,0)),"")</f>
        <v/>
      </c>
      <c r="F778" s="5" t="str">
        <f t="array" ref="F778">IF(W778=1,INDEX('Input Kegiatan'!D$2:D905,MATCH($D778,'Input Kegiatan'!$A$2:$A905,0)),"")</f>
        <v/>
      </c>
      <c r="G778" s="5" t="str">
        <f t="array" ref="G778">IF(W778=1,INDEX('Input Kegiatan'!E$2:E905,MATCH($D778,'Input Kegiatan'!$A$2:$A905,0)),"")</f>
        <v/>
      </c>
      <c r="H778" s="5" t="str">
        <f t="array" ref="H778">IF(W778=1,INDEX(Honor!$H$2:$H905,MATCH($D778&amp;"-"&amp;R778,Honor!$K$2:$K905,0)),"")</f>
        <v/>
      </c>
      <c r="I778" s="8" t="str">
        <f>IF(W778=1,SUMIFS(Honor!$I$2:$I905,Honor!$K$2:$K905,$D778&amp;"-"&amp;R778),"")</f>
        <v/>
      </c>
      <c r="J778" s="9" t="str">
        <f t="shared" si="6"/>
        <v/>
      </c>
      <c r="K778" s="10" t="str">
        <f t="shared" si="0"/>
        <v/>
      </c>
      <c r="L778" s="10" t="str">
        <f t="shared" si="1"/>
        <v/>
      </c>
      <c r="M778" s="10" t="str">
        <f>IF(W778=1,IF(AND(U778&lt;2,INT(V778)&lt;='Batasan Honor'!$B$2),1,0),"")</f>
        <v/>
      </c>
      <c r="O778" s="10" t="str">
        <f t="shared" si="2"/>
        <v/>
      </c>
      <c r="P778" s="10" t="str">
        <f t="shared" si="3"/>
        <v/>
      </c>
      <c r="R778" s="23"/>
      <c r="S778" s="10" t="str">
        <f t="shared" si="4"/>
        <v/>
      </c>
      <c r="U778" s="10" t="str">
        <f ca="1">IFERROR(__xludf.DUMMYFUNCTION("if(W778=1,COUNTIFS(FILTER($H$2:$H905,$H$2:$H905=""OB"",$S$2:$S905=S778),""OB""),"""")"),"")</f>
        <v/>
      </c>
      <c r="V778" s="10" t="str">
        <f ca="1">IFERROR(__xludf.DUMMYFUNCTION("IF(OR(ISNA(SUM(FILTER($K$2:$K905,$A$2:$A905=A778,$S$2:$S905=S778,$H$2:$H905&lt;&gt;""OB""))),W778&lt;&gt;1),"""",SUM(FILTER($K$2:$K905,$A$2:$A905=A778,$S$2:$S905=S778,$H$2:$H905&lt;&gt;""OB"")))"),"")</f>
        <v/>
      </c>
      <c r="W778" s="10" t="str">
        <f t="shared" si="5"/>
        <v/>
      </c>
    </row>
    <row r="779" spans="1:23" ht="12.5">
      <c r="A779" s="23"/>
      <c r="B779" s="5" t="str">
        <f t="array" ref="B779">IF(W779=1,INDEX('Database Mitra'!$H$2:$H905,MATCH(A779,'Database Mitra'!AK$2:AK905,0)),"")</f>
        <v/>
      </c>
      <c r="C779" s="5" t="str">
        <f t="array" ref="C779">IF(W779=1,INDEX('Database Mitra'!$E$2:$E905,MATCH(A779,'Database Mitra'!AK$2:AK905,0)),"")</f>
        <v/>
      </c>
      <c r="D779" s="23"/>
      <c r="E779" s="5" t="str">
        <f t="array" ref="E779">IF(W779=1,INDEX('Input Kegiatan'!B$2:B905,MATCH($D779,'Input Kegiatan'!$A$2:$A905,0)),"")</f>
        <v/>
      </c>
      <c r="F779" s="5" t="str">
        <f t="array" ref="F779">IF(W779=1,INDEX('Input Kegiatan'!D$2:D905,MATCH($D779,'Input Kegiatan'!$A$2:$A905,0)),"")</f>
        <v/>
      </c>
      <c r="G779" s="5" t="str">
        <f t="array" ref="G779">IF(W779=1,INDEX('Input Kegiatan'!E$2:E905,MATCH($D779,'Input Kegiatan'!$A$2:$A905,0)),"")</f>
        <v/>
      </c>
      <c r="H779" s="5" t="str">
        <f t="array" ref="H779">IF(W779=1,INDEX(Honor!$H$2:$H905,MATCH($D779&amp;"-"&amp;R779,Honor!$K$2:$K905,0)),"")</f>
        <v/>
      </c>
      <c r="I779" s="8" t="str">
        <f>IF(W779=1,SUMIFS(Honor!$I$2:$I905,Honor!$K$2:$K905,$D779&amp;"-"&amp;R779),"")</f>
        <v/>
      </c>
      <c r="J779" s="9" t="str">
        <f t="shared" si="6"/>
        <v/>
      </c>
      <c r="K779" s="10" t="str">
        <f t="shared" si="0"/>
        <v/>
      </c>
      <c r="L779" s="10" t="str">
        <f t="shared" si="1"/>
        <v/>
      </c>
      <c r="M779" s="10" t="str">
        <f>IF(W779=1,IF(AND(U779&lt;2,INT(V779)&lt;='Batasan Honor'!$B$2),1,0),"")</f>
        <v/>
      </c>
      <c r="O779" s="10" t="str">
        <f t="shared" si="2"/>
        <v/>
      </c>
      <c r="P779" s="10" t="str">
        <f t="shared" si="3"/>
        <v/>
      </c>
      <c r="R779" s="23"/>
      <c r="S779" s="10" t="str">
        <f t="shared" si="4"/>
        <v/>
      </c>
      <c r="U779" s="10" t="str">
        <f ca="1">IFERROR(__xludf.DUMMYFUNCTION("if(W779=1,COUNTIFS(FILTER($H$2:$H905,$H$2:$H905=""OB"",$S$2:$S905=S779),""OB""),"""")"),"")</f>
        <v/>
      </c>
      <c r="V779" s="10" t="str">
        <f ca="1">IFERROR(__xludf.DUMMYFUNCTION("IF(OR(ISNA(SUM(FILTER($K$2:$K905,$A$2:$A905=A779,$S$2:$S905=S779,$H$2:$H905&lt;&gt;""OB""))),W779&lt;&gt;1),"""",SUM(FILTER($K$2:$K905,$A$2:$A905=A779,$S$2:$S905=S779,$H$2:$H905&lt;&gt;""OB"")))"),"")</f>
        <v/>
      </c>
      <c r="W779" s="10" t="str">
        <f t="shared" si="5"/>
        <v/>
      </c>
    </row>
    <row r="780" spans="1:23" ht="12.5">
      <c r="A780" s="23"/>
      <c r="B780" s="5" t="str">
        <f t="array" ref="B780">IF(W780=1,INDEX('Database Mitra'!$H$2:$H905,MATCH(A780,'Database Mitra'!AK$2:AK905,0)),"")</f>
        <v/>
      </c>
      <c r="C780" s="5" t="str">
        <f t="array" ref="C780">IF(W780=1,INDEX('Database Mitra'!$E$2:$E905,MATCH(A780,'Database Mitra'!AK$2:AK905,0)),"")</f>
        <v/>
      </c>
      <c r="D780" s="23"/>
      <c r="E780" s="5" t="str">
        <f t="array" ref="E780">IF(W780=1,INDEX('Input Kegiatan'!B$2:B905,MATCH($D780,'Input Kegiatan'!$A$2:$A905,0)),"")</f>
        <v/>
      </c>
      <c r="F780" s="5" t="str">
        <f t="array" ref="F780">IF(W780=1,INDEX('Input Kegiatan'!D$2:D905,MATCH($D780,'Input Kegiatan'!$A$2:$A905,0)),"")</f>
        <v/>
      </c>
      <c r="G780" s="5" t="str">
        <f t="array" ref="G780">IF(W780=1,INDEX('Input Kegiatan'!E$2:E905,MATCH($D780,'Input Kegiatan'!$A$2:$A905,0)),"")</f>
        <v/>
      </c>
      <c r="H780" s="5" t="str">
        <f t="array" ref="H780">IF(W780=1,INDEX(Honor!$H$2:$H905,MATCH($D780&amp;"-"&amp;R780,Honor!$K$2:$K905,0)),"")</f>
        <v/>
      </c>
      <c r="I780" s="8" t="str">
        <f>IF(W780=1,SUMIFS(Honor!$I$2:$I905,Honor!$K$2:$K905,$D780&amp;"-"&amp;R780),"")</f>
        <v/>
      </c>
      <c r="J780" s="9" t="str">
        <f t="shared" si="6"/>
        <v/>
      </c>
      <c r="K780" s="10" t="str">
        <f t="shared" si="0"/>
        <v/>
      </c>
      <c r="L780" s="10" t="str">
        <f t="shared" si="1"/>
        <v/>
      </c>
      <c r="M780" s="10" t="str">
        <f>IF(W780=1,IF(AND(U780&lt;2,INT(V780)&lt;='Batasan Honor'!$B$2),1,0),"")</f>
        <v/>
      </c>
      <c r="O780" s="10" t="str">
        <f t="shared" si="2"/>
        <v/>
      </c>
      <c r="P780" s="10" t="str">
        <f t="shared" si="3"/>
        <v/>
      </c>
      <c r="R780" s="23"/>
      <c r="S780" s="10" t="str">
        <f t="shared" si="4"/>
        <v/>
      </c>
      <c r="U780" s="10" t="str">
        <f ca="1">IFERROR(__xludf.DUMMYFUNCTION("if(W780=1,COUNTIFS(FILTER($H$2:$H905,$H$2:$H905=""OB"",$S$2:$S905=S780),""OB""),"""")"),"")</f>
        <v/>
      </c>
      <c r="V780" s="10" t="str">
        <f ca="1">IFERROR(__xludf.DUMMYFUNCTION("IF(OR(ISNA(SUM(FILTER($K$2:$K905,$A$2:$A905=A780,$S$2:$S905=S780,$H$2:$H905&lt;&gt;""OB""))),W780&lt;&gt;1),"""",SUM(FILTER($K$2:$K905,$A$2:$A905=A780,$S$2:$S905=S780,$H$2:$H905&lt;&gt;""OB"")))"),"")</f>
        <v/>
      </c>
      <c r="W780" s="10" t="str">
        <f t="shared" si="5"/>
        <v/>
      </c>
    </row>
    <row r="781" spans="1:23" ht="12.5">
      <c r="A781" s="23"/>
      <c r="B781" s="5" t="str">
        <f t="array" ref="B781">IF(W781=1,INDEX('Database Mitra'!$H$2:$H905,MATCH(A781,'Database Mitra'!AK$2:AK905,0)),"")</f>
        <v/>
      </c>
      <c r="C781" s="5" t="str">
        <f t="array" ref="C781">IF(W781=1,INDEX('Database Mitra'!$E$2:$E905,MATCH(A781,'Database Mitra'!AK$2:AK905,0)),"")</f>
        <v/>
      </c>
      <c r="D781" s="23"/>
      <c r="E781" s="5" t="str">
        <f t="array" ref="E781">IF(W781=1,INDEX('Input Kegiatan'!B$2:B905,MATCH($D781,'Input Kegiatan'!$A$2:$A905,0)),"")</f>
        <v/>
      </c>
      <c r="F781" s="5" t="str">
        <f t="array" ref="F781">IF(W781=1,INDEX('Input Kegiatan'!D$2:D905,MATCH($D781,'Input Kegiatan'!$A$2:$A905,0)),"")</f>
        <v/>
      </c>
      <c r="G781" s="5" t="str">
        <f t="array" ref="G781">IF(W781=1,INDEX('Input Kegiatan'!E$2:E905,MATCH($D781,'Input Kegiatan'!$A$2:$A905,0)),"")</f>
        <v/>
      </c>
      <c r="H781" s="5" t="str">
        <f t="array" ref="H781">IF(W781=1,INDEX(Honor!$H$2:$H905,MATCH($D781&amp;"-"&amp;R781,Honor!$K$2:$K905,0)),"")</f>
        <v/>
      </c>
      <c r="I781" s="8" t="str">
        <f>IF(W781=1,SUMIFS(Honor!$I$2:$I905,Honor!$K$2:$K905,$D781&amp;"-"&amp;R781),"")</f>
        <v/>
      </c>
      <c r="J781" s="9" t="str">
        <f t="shared" si="6"/>
        <v/>
      </c>
      <c r="K781" s="10" t="str">
        <f t="shared" si="0"/>
        <v/>
      </c>
      <c r="L781" s="10" t="str">
        <f t="shared" si="1"/>
        <v/>
      </c>
      <c r="M781" s="10" t="str">
        <f>IF(W781=1,IF(AND(U781&lt;2,INT(V781)&lt;='Batasan Honor'!$B$2),1,0),"")</f>
        <v/>
      </c>
      <c r="O781" s="10" t="str">
        <f t="shared" si="2"/>
        <v/>
      </c>
      <c r="P781" s="10" t="str">
        <f t="shared" si="3"/>
        <v/>
      </c>
      <c r="R781" s="23"/>
      <c r="S781" s="10" t="str">
        <f t="shared" si="4"/>
        <v/>
      </c>
      <c r="U781" s="10" t="str">
        <f ca="1">IFERROR(__xludf.DUMMYFUNCTION("if(W781=1,COUNTIFS(FILTER($H$2:$H905,$H$2:$H905=""OB"",$S$2:$S905=S781),""OB""),"""")"),"")</f>
        <v/>
      </c>
      <c r="V781" s="10" t="str">
        <f ca="1">IFERROR(__xludf.DUMMYFUNCTION("IF(OR(ISNA(SUM(FILTER($K$2:$K905,$A$2:$A905=A781,$S$2:$S905=S781,$H$2:$H905&lt;&gt;""OB""))),W781&lt;&gt;1),"""",SUM(FILTER($K$2:$K905,$A$2:$A905=A781,$S$2:$S905=S781,$H$2:$H905&lt;&gt;""OB"")))"),"")</f>
        <v/>
      </c>
      <c r="W781" s="10" t="str">
        <f t="shared" si="5"/>
        <v/>
      </c>
    </row>
    <row r="782" spans="1:23" ht="12.5">
      <c r="A782" s="23"/>
      <c r="B782" s="5" t="str">
        <f t="array" ref="B782">IF(W782=1,INDEX('Database Mitra'!$H$2:$H905,MATCH(A782,'Database Mitra'!AK$2:AK905,0)),"")</f>
        <v/>
      </c>
      <c r="C782" s="5" t="str">
        <f t="array" ref="C782">IF(W782=1,INDEX('Database Mitra'!$E$2:$E905,MATCH(A782,'Database Mitra'!AK$2:AK905,0)),"")</f>
        <v/>
      </c>
      <c r="D782" s="23"/>
      <c r="E782" s="5" t="str">
        <f t="array" ref="E782">IF(W782=1,INDEX('Input Kegiatan'!B$2:B905,MATCH($D782,'Input Kegiatan'!$A$2:$A905,0)),"")</f>
        <v/>
      </c>
      <c r="F782" s="5" t="str">
        <f t="array" ref="F782">IF(W782=1,INDEX('Input Kegiatan'!D$2:D905,MATCH($D782,'Input Kegiatan'!$A$2:$A905,0)),"")</f>
        <v/>
      </c>
      <c r="G782" s="5" t="str">
        <f t="array" ref="G782">IF(W782=1,INDEX('Input Kegiatan'!E$2:E905,MATCH($D782,'Input Kegiatan'!$A$2:$A905,0)),"")</f>
        <v/>
      </c>
      <c r="H782" s="5" t="str">
        <f t="array" ref="H782">IF(W782=1,INDEX(Honor!$H$2:$H905,MATCH($D782&amp;"-"&amp;R782,Honor!$K$2:$K905,0)),"")</f>
        <v/>
      </c>
      <c r="I782" s="8" t="str">
        <f>IF(W782=1,SUMIFS(Honor!$I$2:$I905,Honor!$K$2:$K905,$D782&amp;"-"&amp;R782),"")</f>
        <v/>
      </c>
      <c r="J782" s="9" t="str">
        <f t="shared" si="6"/>
        <v/>
      </c>
      <c r="K782" s="10" t="str">
        <f t="shared" si="0"/>
        <v/>
      </c>
      <c r="L782" s="10" t="str">
        <f t="shared" si="1"/>
        <v/>
      </c>
      <c r="M782" s="10" t="str">
        <f>IF(W782=1,IF(AND(U782&lt;2,INT(V782)&lt;='Batasan Honor'!$B$2),1,0),"")</f>
        <v/>
      </c>
      <c r="O782" s="10" t="str">
        <f t="shared" si="2"/>
        <v/>
      </c>
      <c r="P782" s="10" t="str">
        <f t="shared" si="3"/>
        <v/>
      </c>
      <c r="R782" s="23"/>
      <c r="S782" s="10" t="str">
        <f t="shared" si="4"/>
        <v/>
      </c>
      <c r="U782" s="10" t="str">
        <f ca="1">IFERROR(__xludf.DUMMYFUNCTION("if(W782=1,COUNTIFS(FILTER($H$2:$H905,$H$2:$H905=""OB"",$S$2:$S905=S782),""OB""),"""")"),"")</f>
        <v/>
      </c>
      <c r="V782" s="10" t="str">
        <f ca="1">IFERROR(__xludf.DUMMYFUNCTION("IF(OR(ISNA(SUM(FILTER($K$2:$K905,$A$2:$A905=A782,$S$2:$S905=S782,$H$2:$H905&lt;&gt;""OB""))),W782&lt;&gt;1),"""",SUM(FILTER($K$2:$K905,$A$2:$A905=A782,$S$2:$S905=S782,$H$2:$H905&lt;&gt;""OB"")))"),"")</f>
        <v/>
      </c>
      <c r="W782" s="10" t="str">
        <f t="shared" si="5"/>
        <v/>
      </c>
    </row>
    <row r="783" spans="1:23" ht="12.5">
      <c r="A783" s="23"/>
      <c r="B783" s="5" t="str">
        <f t="array" ref="B783">IF(W783=1,INDEX('Database Mitra'!$H$2:$H905,MATCH(A783,'Database Mitra'!AK$2:AK905,0)),"")</f>
        <v/>
      </c>
      <c r="C783" s="5" t="str">
        <f t="array" ref="C783">IF(W783=1,INDEX('Database Mitra'!$E$2:$E905,MATCH(A783,'Database Mitra'!AK$2:AK905,0)),"")</f>
        <v/>
      </c>
      <c r="D783" s="23"/>
      <c r="E783" s="5" t="str">
        <f t="array" ref="E783">IF(W783=1,INDEX('Input Kegiatan'!B$2:B905,MATCH($D783,'Input Kegiatan'!$A$2:$A905,0)),"")</f>
        <v/>
      </c>
      <c r="F783" s="5" t="str">
        <f t="array" ref="F783">IF(W783=1,INDEX('Input Kegiatan'!D$2:D905,MATCH($D783,'Input Kegiatan'!$A$2:$A905,0)),"")</f>
        <v/>
      </c>
      <c r="G783" s="5" t="str">
        <f t="array" ref="G783">IF(W783=1,INDEX('Input Kegiatan'!E$2:E905,MATCH($D783,'Input Kegiatan'!$A$2:$A905,0)),"")</f>
        <v/>
      </c>
      <c r="H783" s="5" t="str">
        <f t="array" ref="H783">IF(W783=1,INDEX(Honor!$H$2:$H905,MATCH($D783&amp;"-"&amp;R783,Honor!$K$2:$K905,0)),"")</f>
        <v/>
      </c>
      <c r="I783" s="8" t="str">
        <f>IF(W783=1,SUMIFS(Honor!$I$2:$I905,Honor!$K$2:$K905,$D783&amp;"-"&amp;R783),"")</f>
        <v/>
      </c>
      <c r="J783" s="9" t="str">
        <f t="shared" si="6"/>
        <v/>
      </c>
      <c r="K783" s="10" t="str">
        <f t="shared" si="0"/>
        <v/>
      </c>
      <c r="L783" s="10" t="str">
        <f t="shared" si="1"/>
        <v/>
      </c>
      <c r="M783" s="10" t="str">
        <f>IF(W783=1,IF(AND(U783&lt;2,INT(V783)&lt;='Batasan Honor'!$B$2),1,0),"")</f>
        <v/>
      </c>
      <c r="O783" s="10" t="str">
        <f t="shared" si="2"/>
        <v/>
      </c>
      <c r="P783" s="10" t="str">
        <f t="shared" si="3"/>
        <v/>
      </c>
      <c r="R783" s="23"/>
      <c r="S783" s="10" t="str">
        <f t="shared" si="4"/>
        <v/>
      </c>
      <c r="U783" s="10" t="str">
        <f ca="1">IFERROR(__xludf.DUMMYFUNCTION("if(W783=1,COUNTIFS(FILTER($H$2:$H905,$H$2:$H905=""OB"",$S$2:$S905=S783),""OB""),"""")"),"")</f>
        <v/>
      </c>
      <c r="V783" s="10" t="str">
        <f ca="1">IFERROR(__xludf.DUMMYFUNCTION("IF(OR(ISNA(SUM(FILTER($K$2:$K905,$A$2:$A905=A783,$S$2:$S905=S783,$H$2:$H905&lt;&gt;""OB""))),W783&lt;&gt;1),"""",SUM(FILTER($K$2:$K905,$A$2:$A905=A783,$S$2:$S905=S783,$H$2:$H905&lt;&gt;""OB"")))"),"")</f>
        <v/>
      </c>
      <c r="W783" s="10" t="str">
        <f t="shared" si="5"/>
        <v/>
      </c>
    </row>
    <row r="784" spans="1:23" ht="12.5">
      <c r="A784" s="23"/>
      <c r="B784" s="5" t="str">
        <f t="array" ref="B784">IF(W784=1,INDEX('Database Mitra'!$H$2:$H905,MATCH(A784,'Database Mitra'!AK$2:AK905,0)),"")</f>
        <v/>
      </c>
      <c r="C784" s="5" t="str">
        <f t="array" ref="C784">IF(W784=1,INDEX('Database Mitra'!$E$2:$E905,MATCH(A784,'Database Mitra'!AK$2:AK905,0)),"")</f>
        <v/>
      </c>
      <c r="D784" s="23"/>
      <c r="E784" s="5" t="str">
        <f t="array" ref="E784">IF(W784=1,INDEX('Input Kegiatan'!B$2:B905,MATCH($D784,'Input Kegiatan'!$A$2:$A905,0)),"")</f>
        <v/>
      </c>
      <c r="F784" s="5" t="str">
        <f t="array" ref="F784">IF(W784=1,INDEX('Input Kegiatan'!D$2:D905,MATCH($D784,'Input Kegiatan'!$A$2:$A905,0)),"")</f>
        <v/>
      </c>
      <c r="G784" s="5" t="str">
        <f t="array" ref="G784">IF(W784=1,INDEX('Input Kegiatan'!E$2:E905,MATCH($D784,'Input Kegiatan'!$A$2:$A905,0)),"")</f>
        <v/>
      </c>
      <c r="H784" s="5" t="str">
        <f t="array" ref="H784">IF(W784=1,INDEX(Honor!$H$2:$H905,MATCH($D784&amp;"-"&amp;R784,Honor!$K$2:$K905,0)),"")</f>
        <v/>
      </c>
      <c r="I784" s="8" t="str">
        <f>IF(W784=1,SUMIFS(Honor!$I$2:$I905,Honor!$K$2:$K905,$D784&amp;"-"&amp;R784),"")</f>
        <v/>
      </c>
      <c r="J784" s="9" t="str">
        <f t="shared" si="6"/>
        <v/>
      </c>
      <c r="K784" s="10" t="str">
        <f t="shared" si="0"/>
        <v/>
      </c>
      <c r="L784" s="10" t="str">
        <f t="shared" si="1"/>
        <v/>
      </c>
      <c r="M784" s="10" t="str">
        <f>IF(W784=1,IF(AND(U784&lt;2,INT(V784)&lt;='Batasan Honor'!$B$2),1,0),"")</f>
        <v/>
      </c>
      <c r="O784" s="10" t="str">
        <f t="shared" si="2"/>
        <v/>
      </c>
      <c r="P784" s="10" t="str">
        <f t="shared" si="3"/>
        <v/>
      </c>
      <c r="R784" s="23"/>
      <c r="S784" s="10" t="str">
        <f t="shared" si="4"/>
        <v/>
      </c>
      <c r="U784" s="10" t="str">
        <f ca="1">IFERROR(__xludf.DUMMYFUNCTION("if(W784=1,COUNTIFS(FILTER($H$2:$H905,$H$2:$H905=""OB"",$S$2:$S905=S784),""OB""),"""")"),"")</f>
        <v/>
      </c>
      <c r="V784" s="10" t="str">
        <f ca="1">IFERROR(__xludf.DUMMYFUNCTION("IF(OR(ISNA(SUM(FILTER($K$2:$K905,$A$2:$A905=A784,$S$2:$S905=S784,$H$2:$H905&lt;&gt;""OB""))),W784&lt;&gt;1),"""",SUM(FILTER($K$2:$K905,$A$2:$A905=A784,$S$2:$S905=S784,$H$2:$H905&lt;&gt;""OB"")))"),"")</f>
        <v/>
      </c>
      <c r="W784" s="10" t="str">
        <f t="shared" si="5"/>
        <v/>
      </c>
    </row>
    <row r="785" spans="1:23" ht="12.5">
      <c r="A785" s="23"/>
      <c r="B785" s="5" t="str">
        <f t="array" ref="B785">IF(W785=1,INDEX('Database Mitra'!$H$2:$H905,MATCH(A785,'Database Mitra'!AK$2:AK905,0)),"")</f>
        <v/>
      </c>
      <c r="C785" s="5" t="str">
        <f t="array" ref="C785">IF(W785=1,INDEX('Database Mitra'!$E$2:$E905,MATCH(A785,'Database Mitra'!AK$2:AK905,0)),"")</f>
        <v/>
      </c>
      <c r="D785" s="23"/>
      <c r="E785" s="5" t="str">
        <f t="array" ref="E785">IF(W785=1,INDEX('Input Kegiatan'!B$2:B905,MATCH($D785,'Input Kegiatan'!$A$2:$A905,0)),"")</f>
        <v/>
      </c>
      <c r="F785" s="5" t="str">
        <f t="array" ref="F785">IF(W785=1,INDEX('Input Kegiatan'!D$2:D905,MATCH($D785,'Input Kegiatan'!$A$2:$A905,0)),"")</f>
        <v/>
      </c>
      <c r="G785" s="5" t="str">
        <f t="array" ref="G785">IF(W785=1,INDEX('Input Kegiatan'!E$2:E905,MATCH($D785,'Input Kegiatan'!$A$2:$A905,0)),"")</f>
        <v/>
      </c>
      <c r="H785" s="5" t="str">
        <f t="array" ref="H785">IF(W785=1,INDEX(Honor!$H$2:$H905,MATCH($D785&amp;"-"&amp;R785,Honor!$K$2:$K905,0)),"")</f>
        <v/>
      </c>
      <c r="I785" s="8" t="str">
        <f>IF(W785=1,SUMIFS(Honor!$I$2:$I905,Honor!$K$2:$K905,$D785&amp;"-"&amp;R785),"")</f>
        <v/>
      </c>
      <c r="J785" s="9" t="str">
        <f t="shared" si="6"/>
        <v/>
      </c>
      <c r="K785" s="10" t="str">
        <f t="shared" si="0"/>
        <v/>
      </c>
      <c r="L785" s="10" t="str">
        <f t="shared" si="1"/>
        <v/>
      </c>
      <c r="M785" s="10" t="str">
        <f>IF(W785=1,IF(AND(U785&lt;2,INT(V785)&lt;='Batasan Honor'!$B$2),1,0),"")</f>
        <v/>
      </c>
      <c r="O785" s="10" t="str">
        <f t="shared" si="2"/>
        <v/>
      </c>
      <c r="P785" s="10" t="str">
        <f t="shared" si="3"/>
        <v/>
      </c>
      <c r="R785" s="23"/>
      <c r="S785" s="10" t="str">
        <f t="shared" si="4"/>
        <v/>
      </c>
      <c r="U785" s="10" t="str">
        <f ca="1">IFERROR(__xludf.DUMMYFUNCTION("if(W785=1,COUNTIFS(FILTER($H$2:$H905,$H$2:$H905=""OB"",$S$2:$S905=S785),""OB""),"""")"),"")</f>
        <v/>
      </c>
      <c r="V785" s="10" t="str">
        <f ca="1">IFERROR(__xludf.DUMMYFUNCTION("IF(OR(ISNA(SUM(FILTER($K$2:$K905,$A$2:$A905=A785,$S$2:$S905=S785,$H$2:$H905&lt;&gt;""OB""))),W785&lt;&gt;1),"""",SUM(FILTER($K$2:$K905,$A$2:$A905=A785,$S$2:$S905=S785,$H$2:$H905&lt;&gt;""OB"")))"),"")</f>
        <v/>
      </c>
      <c r="W785" s="10" t="str">
        <f t="shared" si="5"/>
        <v/>
      </c>
    </row>
    <row r="786" spans="1:23" ht="12.5">
      <c r="A786" s="23"/>
      <c r="B786" s="5" t="str">
        <f t="array" ref="B786">IF(W786=1,INDEX('Database Mitra'!$H$2:$H905,MATCH(A786,'Database Mitra'!AK$2:AK905,0)),"")</f>
        <v/>
      </c>
      <c r="C786" s="5" t="str">
        <f t="array" ref="C786">IF(W786=1,INDEX('Database Mitra'!$E$2:$E905,MATCH(A786,'Database Mitra'!AK$2:AK905,0)),"")</f>
        <v/>
      </c>
      <c r="D786" s="23"/>
      <c r="E786" s="5" t="str">
        <f t="array" ref="E786">IF(W786=1,INDEX('Input Kegiatan'!B$2:B905,MATCH($D786,'Input Kegiatan'!$A$2:$A905,0)),"")</f>
        <v/>
      </c>
      <c r="F786" s="5" t="str">
        <f t="array" ref="F786">IF(W786=1,INDEX('Input Kegiatan'!D$2:D905,MATCH($D786,'Input Kegiatan'!$A$2:$A905,0)),"")</f>
        <v/>
      </c>
      <c r="G786" s="5" t="str">
        <f t="array" ref="G786">IF(W786=1,INDEX('Input Kegiatan'!E$2:E905,MATCH($D786,'Input Kegiatan'!$A$2:$A905,0)),"")</f>
        <v/>
      </c>
      <c r="H786" s="5" t="str">
        <f t="array" ref="H786">IF(W786=1,INDEX(Honor!$H$2:$H905,MATCH($D786&amp;"-"&amp;R786,Honor!$K$2:$K905,0)),"")</f>
        <v/>
      </c>
      <c r="I786" s="8" t="str">
        <f>IF(W786=1,SUMIFS(Honor!$I$2:$I905,Honor!$K$2:$K905,$D786&amp;"-"&amp;R786),"")</f>
        <v/>
      </c>
      <c r="J786" s="9" t="str">
        <f t="shared" si="6"/>
        <v/>
      </c>
      <c r="K786" s="10" t="str">
        <f t="shared" si="0"/>
        <v/>
      </c>
      <c r="L786" s="10" t="str">
        <f t="shared" si="1"/>
        <v/>
      </c>
      <c r="M786" s="10" t="str">
        <f>IF(W786=1,IF(AND(U786&lt;2,INT(V786)&lt;='Batasan Honor'!$B$2),1,0),"")</f>
        <v/>
      </c>
      <c r="O786" s="10" t="str">
        <f t="shared" si="2"/>
        <v/>
      </c>
      <c r="P786" s="10" t="str">
        <f t="shared" si="3"/>
        <v/>
      </c>
      <c r="R786" s="23"/>
      <c r="S786" s="10" t="str">
        <f t="shared" si="4"/>
        <v/>
      </c>
      <c r="U786" s="10" t="str">
        <f ca="1">IFERROR(__xludf.DUMMYFUNCTION("if(W786=1,COUNTIFS(FILTER($H$2:$H905,$H$2:$H905=""OB"",$S$2:$S905=S786),""OB""),"""")"),"")</f>
        <v/>
      </c>
      <c r="V786" s="10" t="str">
        <f ca="1">IFERROR(__xludf.DUMMYFUNCTION("IF(OR(ISNA(SUM(FILTER($K$2:$K905,$A$2:$A905=A786,$S$2:$S905=S786,$H$2:$H905&lt;&gt;""OB""))),W786&lt;&gt;1),"""",SUM(FILTER($K$2:$K905,$A$2:$A905=A786,$S$2:$S905=S786,$H$2:$H905&lt;&gt;""OB"")))"),"")</f>
        <v/>
      </c>
      <c r="W786" s="10" t="str">
        <f t="shared" si="5"/>
        <v/>
      </c>
    </row>
    <row r="787" spans="1:23" ht="12.5">
      <c r="A787" s="23"/>
      <c r="B787" s="5" t="str">
        <f t="array" ref="B787">IF(W787=1,INDEX('Database Mitra'!$H$2:$H905,MATCH(A787,'Database Mitra'!AK$2:AK905,0)),"")</f>
        <v/>
      </c>
      <c r="C787" s="5" t="str">
        <f t="array" ref="C787">IF(W787=1,INDEX('Database Mitra'!$E$2:$E905,MATCH(A787,'Database Mitra'!AK$2:AK905,0)),"")</f>
        <v/>
      </c>
      <c r="D787" s="23"/>
      <c r="E787" s="5" t="str">
        <f t="array" ref="E787">IF(W787=1,INDEX('Input Kegiatan'!B$2:B905,MATCH($D787,'Input Kegiatan'!$A$2:$A905,0)),"")</f>
        <v/>
      </c>
      <c r="F787" s="5" t="str">
        <f t="array" ref="F787">IF(W787=1,INDEX('Input Kegiatan'!D$2:D905,MATCH($D787,'Input Kegiatan'!$A$2:$A905,0)),"")</f>
        <v/>
      </c>
      <c r="G787" s="5" t="str">
        <f t="array" ref="G787">IF(W787=1,INDEX('Input Kegiatan'!E$2:E905,MATCH($D787,'Input Kegiatan'!$A$2:$A905,0)),"")</f>
        <v/>
      </c>
      <c r="H787" s="5" t="str">
        <f t="array" ref="H787">IF(W787=1,INDEX(Honor!$H$2:$H905,MATCH($D787&amp;"-"&amp;R787,Honor!$K$2:$K905,0)),"")</f>
        <v/>
      </c>
      <c r="I787" s="8" t="str">
        <f>IF(W787=1,SUMIFS(Honor!$I$2:$I905,Honor!$K$2:$K905,$D787&amp;"-"&amp;R787),"")</f>
        <v/>
      </c>
      <c r="J787" s="9" t="str">
        <f t="shared" si="6"/>
        <v/>
      </c>
      <c r="K787" s="10" t="str">
        <f t="shared" si="0"/>
        <v/>
      </c>
      <c r="L787" s="10" t="str">
        <f t="shared" si="1"/>
        <v/>
      </c>
      <c r="M787" s="10" t="str">
        <f>IF(W787=1,IF(AND(U787&lt;2,INT(V787)&lt;='Batasan Honor'!$B$2),1,0),"")</f>
        <v/>
      </c>
      <c r="O787" s="10" t="str">
        <f t="shared" si="2"/>
        <v/>
      </c>
      <c r="P787" s="10" t="str">
        <f t="shared" si="3"/>
        <v/>
      </c>
      <c r="R787" s="23"/>
      <c r="S787" s="10" t="str">
        <f t="shared" si="4"/>
        <v/>
      </c>
      <c r="U787" s="10" t="str">
        <f ca="1">IFERROR(__xludf.DUMMYFUNCTION("if(W787=1,COUNTIFS(FILTER($H$2:$H905,$H$2:$H905=""OB"",$S$2:$S905=S787),""OB""),"""")"),"")</f>
        <v/>
      </c>
      <c r="V787" s="10" t="str">
        <f ca="1">IFERROR(__xludf.DUMMYFUNCTION("IF(OR(ISNA(SUM(FILTER($K$2:$K905,$A$2:$A905=A787,$S$2:$S905=S787,$H$2:$H905&lt;&gt;""OB""))),W787&lt;&gt;1),"""",SUM(FILTER($K$2:$K905,$A$2:$A905=A787,$S$2:$S905=S787,$H$2:$H905&lt;&gt;""OB"")))"),"")</f>
        <v/>
      </c>
      <c r="W787" s="10" t="str">
        <f t="shared" si="5"/>
        <v/>
      </c>
    </row>
    <row r="788" spans="1:23" ht="12.5">
      <c r="A788" s="23"/>
      <c r="B788" s="5" t="str">
        <f t="array" ref="B788">IF(W788=1,INDEX('Database Mitra'!$H$2:$H905,MATCH(A788,'Database Mitra'!AK$2:AK905,0)),"")</f>
        <v/>
      </c>
      <c r="C788" s="5" t="str">
        <f t="array" ref="C788">IF(W788=1,INDEX('Database Mitra'!$E$2:$E905,MATCH(A788,'Database Mitra'!AK$2:AK905,0)),"")</f>
        <v/>
      </c>
      <c r="D788" s="23"/>
      <c r="E788" s="5" t="str">
        <f t="array" ref="E788">IF(W788=1,INDEX('Input Kegiatan'!B$2:B905,MATCH($D788,'Input Kegiatan'!$A$2:$A905,0)),"")</f>
        <v/>
      </c>
      <c r="F788" s="5" t="str">
        <f t="array" ref="F788">IF(W788=1,INDEX('Input Kegiatan'!D$2:D905,MATCH($D788,'Input Kegiatan'!$A$2:$A905,0)),"")</f>
        <v/>
      </c>
      <c r="G788" s="5" t="str">
        <f t="array" ref="G788">IF(W788=1,INDEX('Input Kegiatan'!E$2:E905,MATCH($D788,'Input Kegiatan'!$A$2:$A905,0)),"")</f>
        <v/>
      </c>
      <c r="H788" s="5" t="str">
        <f t="array" ref="H788">IF(W788=1,INDEX(Honor!$H$2:$H905,MATCH($D788&amp;"-"&amp;R788,Honor!$K$2:$K905,0)),"")</f>
        <v/>
      </c>
      <c r="I788" s="8" t="str">
        <f>IF(W788=1,SUMIFS(Honor!$I$2:$I905,Honor!$K$2:$K905,$D788&amp;"-"&amp;R788),"")</f>
        <v/>
      </c>
      <c r="J788" s="9" t="str">
        <f t="shared" si="6"/>
        <v/>
      </c>
      <c r="K788" s="10" t="str">
        <f t="shared" si="0"/>
        <v/>
      </c>
      <c r="L788" s="10" t="str">
        <f t="shared" si="1"/>
        <v/>
      </c>
      <c r="M788" s="10" t="str">
        <f>IF(W788=1,IF(AND(U788&lt;2,INT(V788)&lt;='Batasan Honor'!$B$2),1,0),"")</f>
        <v/>
      </c>
      <c r="O788" s="10" t="str">
        <f t="shared" si="2"/>
        <v/>
      </c>
      <c r="P788" s="10" t="str">
        <f t="shared" si="3"/>
        <v/>
      </c>
      <c r="R788" s="23"/>
      <c r="S788" s="10" t="str">
        <f t="shared" si="4"/>
        <v/>
      </c>
      <c r="U788" s="10" t="str">
        <f ca="1">IFERROR(__xludf.DUMMYFUNCTION("if(W788=1,COUNTIFS(FILTER($H$2:$H905,$H$2:$H905=""OB"",$S$2:$S905=S788),""OB""),"""")"),"")</f>
        <v/>
      </c>
      <c r="V788" s="10" t="str">
        <f ca="1">IFERROR(__xludf.DUMMYFUNCTION("IF(OR(ISNA(SUM(FILTER($K$2:$K905,$A$2:$A905=A788,$S$2:$S905=S788,$H$2:$H905&lt;&gt;""OB""))),W788&lt;&gt;1),"""",SUM(FILTER($K$2:$K905,$A$2:$A905=A788,$S$2:$S905=S788,$H$2:$H905&lt;&gt;""OB"")))"),"")</f>
        <v/>
      </c>
      <c r="W788" s="10" t="str">
        <f t="shared" si="5"/>
        <v/>
      </c>
    </row>
    <row r="789" spans="1:23" ht="12.5">
      <c r="A789" s="23"/>
      <c r="B789" s="5" t="str">
        <f t="array" ref="B789">IF(W789=1,INDEX('Database Mitra'!$H$2:$H905,MATCH(A789,'Database Mitra'!AK$2:AK905,0)),"")</f>
        <v/>
      </c>
      <c r="C789" s="5" t="str">
        <f t="array" ref="C789">IF(W789=1,INDEX('Database Mitra'!$E$2:$E905,MATCH(A789,'Database Mitra'!AK$2:AK905,0)),"")</f>
        <v/>
      </c>
      <c r="D789" s="23"/>
      <c r="E789" s="5" t="str">
        <f t="array" ref="E789">IF(W789=1,INDEX('Input Kegiatan'!B$2:B905,MATCH($D789,'Input Kegiatan'!$A$2:$A905,0)),"")</f>
        <v/>
      </c>
      <c r="F789" s="5" t="str">
        <f t="array" ref="F789">IF(W789=1,INDEX('Input Kegiatan'!D$2:D905,MATCH($D789,'Input Kegiatan'!$A$2:$A905,0)),"")</f>
        <v/>
      </c>
      <c r="G789" s="5" t="str">
        <f t="array" ref="G789">IF(W789=1,INDEX('Input Kegiatan'!E$2:E905,MATCH($D789,'Input Kegiatan'!$A$2:$A905,0)),"")</f>
        <v/>
      </c>
      <c r="H789" s="5" t="str">
        <f t="array" ref="H789">IF(W789=1,INDEX(Honor!$H$2:$H905,MATCH($D789&amp;"-"&amp;R789,Honor!$K$2:$K905,0)),"")</f>
        <v/>
      </c>
      <c r="I789" s="8" t="str">
        <f>IF(W789=1,SUMIFS(Honor!$I$2:$I905,Honor!$K$2:$K905,$D789&amp;"-"&amp;R789),"")</f>
        <v/>
      </c>
      <c r="J789" s="9" t="str">
        <f t="shared" si="6"/>
        <v/>
      </c>
      <c r="K789" s="10" t="str">
        <f t="shared" si="0"/>
        <v/>
      </c>
      <c r="L789" s="10" t="str">
        <f t="shared" si="1"/>
        <v/>
      </c>
      <c r="M789" s="10" t="str">
        <f>IF(W789=1,IF(AND(U789&lt;2,INT(V789)&lt;='Batasan Honor'!$B$2),1,0),"")</f>
        <v/>
      </c>
      <c r="O789" s="10" t="str">
        <f t="shared" si="2"/>
        <v/>
      </c>
      <c r="P789" s="10" t="str">
        <f t="shared" si="3"/>
        <v/>
      </c>
      <c r="R789" s="23"/>
      <c r="S789" s="10" t="str">
        <f t="shared" si="4"/>
        <v/>
      </c>
      <c r="U789" s="10" t="str">
        <f ca="1">IFERROR(__xludf.DUMMYFUNCTION("if(W789=1,COUNTIFS(FILTER($H$2:$H905,$H$2:$H905=""OB"",$S$2:$S905=S789),""OB""),"""")"),"")</f>
        <v/>
      </c>
      <c r="V789" s="10" t="str">
        <f ca="1">IFERROR(__xludf.DUMMYFUNCTION("IF(OR(ISNA(SUM(FILTER($K$2:$K905,$A$2:$A905=A789,$S$2:$S905=S789,$H$2:$H905&lt;&gt;""OB""))),W789&lt;&gt;1),"""",SUM(FILTER($K$2:$K905,$A$2:$A905=A789,$S$2:$S905=S789,$H$2:$H905&lt;&gt;""OB"")))"),"")</f>
        <v/>
      </c>
      <c r="W789" s="10" t="str">
        <f t="shared" si="5"/>
        <v/>
      </c>
    </row>
    <row r="790" spans="1:23" ht="12.5">
      <c r="A790" s="23"/>
      <c r="B790" s="5" t="str">
        <f t="array" ref="B790">IF(W790=1,INDEX('Database Mitra'!$H$2:$H905,MATCH(A790,'Database Mitra'!AK$2:AK905,0)),"")</f>
        <v/>
      </c>
      <c r="C790" s="5" t="str">
        <f t="array" ref="C790">IF(W790=1,INDEX('Database Mitra'!$E$2:$E905,MATCH(A790,'Database Mitra'!AK$2:AK905,0)),"")</f>
        <v/>
      </c>
      <c r="D790" s="23"/>
      <c r="E790" s="5" t="str">
        <f t="array" ref="E790">IF(W790=1,INDEX('Input Kegiatan'!B$2:B905,MATCH($D790,'Input Kegiatan'!$A$2:$A905,0)),"")</f>
        <v/>
      </c>
      <c r="F790" s="5" t="str">
        <f t="array" ref="F790">IF(W790=1,INDEX('Input Kegiatan'!D$2:D905,MATCH($D790,'Input Kegiatan'!$A$2:$A905,0)),"")</f>
        <v/>
      </c>
      <c r="G790" s="5" t="str">
        <f t="array" ref="G790">IF(W790=1,INDEX('Input Kegiatan'!E$2:E905,MATCH($D790,'Input Kegiatan'!$A$2:$A905,0)),"")</f>
        <v/>
      </c>
      <c r="H790" s="5" t="str">
        <f t="array" ref="H790">IF(W790=1,INDEX(Honor!$H$2:$H905,MATCH($D790&amp;"-"&amp;R790,Honor!$K$2:$K905,0)),"")</f>
        <v/>
      </c>
      <c r="I790" s="8" t="str">
        <f>IF(W790=1,SUMIFS(Honor!$I$2:$I905,Honor!$K$2:$K905,$D790&amp;"-"&amp;R790),"")</f>
        <v/>
      </c>
      <c r="J790" s="9" t="str">
        <f t="shared" si="6"/>
        <v/>
      </c>
      <c r="K790" s="10" t="str">
        <f t="shared" si="0"/>
        <v/>
      </c>
      <c r="L790" s="10" t="str">
        <f t="shared" si="1"/>
        <v/>
      </c>
      <c r="M790" s="10" t="str">
        <f>IF(W790=1,IF(AND(U790&lt;2,INT(V790)&lt;='Batasan Honor'!$B$2),1,0),"")</f>
        <v/>
      </c>
      <c r="O790" s="10" t="str">
        <f t="shared" si="2"/>
        <v/>
      </c>
      <c r="P790" s="10" t="str">
        <f t="shared" si="3"/>
        <v/>
      </c>
      <c r="R790" s="23"/>
      <c r="S790" s="10" t="str">
        <f t="shared" si="4"/>
        <v/>
      </c>
      <c r="U790" s="10" t="str">
        <f ca="1">IFERROR(__xludf.DUMMYFUNCTION("if(W790=1,COUNTIFS(FILTER($H$2:$H905,$H$2:$H905=""OB"",$S$2:$S905=S790),""OB""),"""")"),"")</f>
        <v/>
      </c>
      <c r="V790" s="10" t="str">
        <f ca="1">IFERROR(__xludf.DUMMYFUNCTION("IF(OR(ISNA(SUM(FILTER($K$2:$K905,$A$2:$A905=A790,$S$2:$S905=S790,$H$2:$H905&lt;&gt;""OB""))),W790&lt;&gt;1),"""",SUM(FILTER($K$2:$K905,$A$2:$A905=A790,$S$2:$S905=S790,$H$2:$H905&lt;&gt;""OB"")))"),"")</f>
        <v/>
      </c>
      <c r="W790" s="10" t="str">
        <f t="shared" si="5"/>
        <v/>
      </c>
    </row>
    <row r="791" spans="1:23" ht="12.5">
      <c r="A791" s="23"/>
      <c r="B791" s="5" t="str">
        <f t="array" ref="B791">IF(W791=1,INDEX('Database Mitra'!$H$2:$H905,MATCH(A791,'Database Mitra'!AK$2:AK905,0)),"")</f>
        <v/>
      </c>
      <c r="C791" s="5" t="str">
        <f t="array" ref="C791">IF(W791=1,INDEX('Database Mitra'!$E$2:$E905,MATCH(A791,'Database Mitra'!AK$2:AK905,0)),"")</f>
        <v/>
      </c>
      <c r="D791" s="23"/>
      <c r="E791" s="5" t="str">
        <f t="array" ref="E791">IF(W791=1,INDEX('Input Kegiatan'!B$2:B905,MATCH($D791,'Input Kegiatan'!$A$2:$A905,0)),"")</f>
        <v/>
      </c>
      <c r="F791" s="5" t="str">
        <f t="array" ref="F791">IF(W791=1,INDEX('Input Kegiatan'!D$2:D905,MATCH($D791,'Input Kegiatan'!$A$2:$A905,0)),"")</f>
        <v/>
      </c>
      <c r="G791" s="5" t="str">
        <f t="array" ref="G791">IF(W791=1,INDEX('Input Kegiatan'!E$2:E905,MATCH($D791,'Input Kegiatan'!$A$2:$A905,0)),"")</f>
        <v/>
      </c>
      <c r="H791" s="5" t="str">
        <f t="array" ref="H791">IF(W791=1,INDEX(Honor!$H$2:$H905,MATCH($D791&amp;"-"&amp;R791,Honor!$K$2:$K905,0)),"")</f>
        <v/>
      </c>
      <c r="I791" s="8" t="str">
        <f>IF(W791=1,SUMIFS(Honor!$I$2:$I905,Honor!$K$2:$K905,$D791&amp;"-"&amp;R791),"")</f>
        <v/>
      </c>
      <c r="J791" s="9" t="str">
        <f t="shared" si="6"/>
        <v/>
      </c>
      <c r="K791" s="10" t="str">
        <f t="shared" si="0"/>
        <v/>
      </c>
      <c r="L791" s="10" t="str">
        <f t="shared" si="1"/>
        <v/>
      </c>
      <c r="M791" s="10" t="str">
        <f>IF(W791=1,IF(AND(U791&lt;2,INT(V791)&lt;='Batasan Honor'!$B$2),1,0),"")</f>
        <v/>
      </c>
      <c r="O791" s="10" t="str">
        <f t="shared" si="2"/>
        <v/>
      </c>
      <c r="P791" s="10" t="str">
        <f t="shared" si="3"/>
        <v/>
      </c>
      <c r="R791" s="23"/>
      <c r="S791" s="10" t="str">
        <f t="shared" si="4"/>
        <v/>
      </c>
      <c r="U791" s="10" t="str">
        <f ca="1">IFERROR(__xludf.DUMMYFUNCTION("if(W791=1,COUNTIFS(FILTER($H$2:$H905,$H$2:$H905=""OB"",$S$2:$S905=S791),""OB""),"""")"),"")</f>
        <v/>
      </c>
      <c r="V791" s="10" t="str">
        <f ca="1">IFERROR(__xludf.DUMMYFUNCTION("IF(OR(ISNA(SUM(FILTER($K$2:$K905,$A$2:$A905=A791,$S$2:$S905=S791,$H$2:$H905&lt;&gt;""OB""))),W791&lt;&gt;1),"""",SUM(FILTER($K$2:$K905,$A$2:$A905=A791,$S$2:$S905=S791,$H$2:$H905&lt;&gt;""OB"")))"),"")</f>
        <v/>
      </c>
      <c r="W791" s="10" t="str">
        <f t="shared" si="5"/>
        <v/>
      </c>
    </row>
    <row r="792" spans="1:23" ht="12.5">
      <c r="A792" s="23"/>
      <c r="B792" s="5" t="str">
        <f t="array" ref="B792">IF(W792=1,INDEX('Database Mitra'!$H$2:$H905,MATCH(A792,'Database Mitra'!AK$2:AK905,0)),"")</f>
        <v/>
      </c>
      <c r="C792" s="5" t="str">
        <f t="array" ref="C792">IF(W792=1,INDEX('Database Mitra'!$E$2:$E905,MATCH(A792,'Database Mitra'!AK$2:AK905,0)),"")</f>
        <v/>
      </c>
      <c r="D792" s="23"/>
      <c r="E792" s="5" t="str">
        <f t="array" ref="E792">IF(W792=1,INDEX('Input Kegiatan'!B$2:B905,MATCH($D792,'Input Kegiatan'!$A$2:$A905,0)),"")</f>
        <v/>
      </c>
      <c r="F792" s="5" t="str">
        <f t="array" ref="F792">IF(W792=1,INDEX('Input Kegiatan'!D$2:D905,MATCH($D792,'Input Kegiatan'!$A$2:$A905,0)),"")</f>
        <v/>
      </c>
      <c r="G792" s="5" t="str">
        <f t="array" ref="G792">IF(W792=1,INDEX('Input Kegiatan'!E$2:E905,MATCH($D792,'Input Kegiatan'!$A$2:$A905,0)),"")</f>
        <v/>
      </c>
      <c r="H792" s="5" t="str">
        <f t="array" ref="H792">IF(W792=1,INDEX(Honor!$H$2:$H905,MATCH($D792&amp;"-"&amp;R792,Honor!$K$2:$K905,0)),"")</f>
        <v/>
      </c>
      <c r="I792" s="8" t="str">
        <f>IF(W792=1,SUMIFS(Honor!$I$2:$I905,Honor!$K$2:$K905,$D792&amp;"-"&amp;R792),"")</f>
        <v/>
      </c>
      <c r="J792" s="9" t="str">
        <f t="shared" si="6"/>
        <v/>
      </c>
      <c r="K792" s="10" t="str">
        <f t="shared" si="0"/>
        <v/>
      </c>
      <c r="L792" s="10" t="str">
        <f t="shared" si="1"/>
        <v/>
      </c>
      <c r="M792" s="10" t="str">
        <f>IF(W792=1,IF(AND(U792&lt;2,INT(V792)&lt;='Batasan Honor'!$B$2),1,0),"")</f>
        <v/>
      </c>
      <c r="O792" s="10" t="str">
        <f t="shared" si="2"/>
        <v/>
      </c>
      <c r="P792" s="10" t="str">
        <f t="shared" si="3"/>
        <v/>
      </c>
      <c r="R792" s="23"/>
      <c r="S792" s="10" t="str">
        <f t="shared" si="4"/>
        <v/>
      </c>
      <c r="U792" s="10" t="str">
        <f ca="1">IFERROR(__xludf.DUMMYFUNCTION("if(W792=1,COUNTIFS(FILTER($H$2:$H905,$H$2:$H905=""OB"",$S$2:$S905=S792),""OB""),"""")"),"")</f>
        <v/>
      </c>
      <c r="V792" s="10" t="str">
        <f ca="1">IFERROR(__xludf.DUMMYFUNCTION("IF(OR(ISNA(SUM(FILTER($K$2:$K905,$A$2:$A905=A792,$S$2:$S905=S792,$H$2:$H905&lt;&gt;""OB""))),W792&lt;&gt;1),"""",SUM(FILTER($K$2:$K905,$A$2:$A905=A792,$S$2:$S905=S792,$H$2:$H905&lt;&gt;""OB"")))"),"")</f>
        <v/>
      </c>
      <c r="W792" s="10" t="str">
        <f t="shared" si="5"/>
        <v/>
      </c>
    </row>
    <row r="793" spans="1:23" ht="12.5">
      <c r="A793" s="23"/>
      <c r="B793" s="5" t="str">
        <f t="array" ref="B793">IF(W793=1,INDEX('Database Mitra'!$H$2:$H905,MATCH(A793,'Database Mitra'!AK$2:AK905,0)),"")</f>
        <v/>
      </c>
      <c r="C793" s="5" t="str">
        <f t="array" ref="C793">IF(W793=1,INDEX('Database Mitra'!$E$2:$E905,MATCH(A793,'Database Mitra'!AK$2:AK905,0)),"")</f>
        <v/>
      </c>
      <c r="D793" s="23"/>
      <c r="E793" s="5" t="str">
        <f t="array" ref="E793">IF(W793=1,INDEX('Input Kegiatan'!B$2:B905,MATCH($D793,'Input Kegiatan'!$A$2:$A905,0)),"")</f>
        <v/>
      </c>
      <c r="F793" s="5" t="str">
        <f t="array" ref="F793">IF(W793=1,INDEX('Input Kegiatan'!D$2:D905,MATCH($D793,'Input Kegiatan'!$A$2:$A905,0)),"")</f>
        <v/>
      </c>
      <c r="G793" s="5" t="str">
        <f t="array" ref="G793">IF(W793=1,INDEX('Input Kegiatan'!E$2:E905,MATCH($D793,'Input Kegiatan'!$A$2:$A905,0)),"")</f>
        <v/>
      </c>
      <c r="H793" s="5" t="str">
        <f t="array" ref="H793">IF(W793=1,INDEX(Honor!$H$2:$H905,MATCH($D793&amp;"-"&amp;R793,Honor!$K$2:$K905,0)),"")</f>
        <v/>
      </c>
      <c r="I793" s="8" t="str">
        <f>IF(W793=1,SUMIFS(Honor!$I$2:$I905,Honor!$K$2:$K905,$D793&amp;"-"&amp;R793),"")</f>
        <v/>
      </c>
      <c r="J793" s="9" t="str">
        <f t="shared" si="6"/>
        <v/>
      </c>
      <c r="K793" s="10" t="str">
        <f t="shared" si="0"/>
        <v/>
      </c>
      <c r="L793" s="10" t="str">
        <f t="shared" si="1"/>
        <v/>
      </c>
      <c r="M793" s="10" t="str">
        <f>IF(W793=1,IF(AND(U793&lt;2,INT(V793)&lt;='Batasan Honor'!$B$2),1,0),"")</f>
        <v/>
      </c>
      <c r="O793" s="10" t="str">
        <f t="shared" si="2"/>
        <v/>
      </c>
      <c r="P793" s="10" t="str">
        <f t="shared" si="3"/>
        <v/>
      </c>
      <c r="R793" s="23"/>
      <c r="S793" s="10" t="str">
        <f t="shared" si="4"/>
        <v/>
      </c>
      <c r="U793" s="10" t="str">
        <f ca="1">IFERROR(__xludf.DUMMYFUNCTION("if(W793=1,COUNTIFS(FILTER($H$2:$H905,$H$2:$H905=""OB"",$S$2:$S905=S793),""OB""),"""")"),"")</f>
        <v/>
      </c>
      <c r="V793" s="10" t="str">
        <f ca="1">IFERROR(__xludf.DUMMYFUNCTION("IF(OR(ISNA(SUM(FILTER($K$2:$K905,$A$2:$A905=A793,$S$2:$S905=S793,$H$2:$H905&lt;&gt;""OB""))),W793&lt;&gt;1),"""",SUM(FILTER($K$2:$K905,$A$2:$A905=A793,$S$2:$S905=S793,$H$2:$H905&lt;&gt;""OB"")))"),"")</f>
        <v/>
      </c>
      <c r="W793" s="10" t="str">
        <f t="shared" si="5"/>
        <v/>
      </c>
    </row>
    <row r="794" spans="1:23" ht="12.5">
      <c r="A794" s="23"/>
      <c r="B794" s="5" t="str">
        <f t="array" ref="B794">IF(W794=1,INDEX('Database Mitra'!$H$2:$H905,MATCH(A794,'Database Mitra'!AK$2:AK905,0)),"")</f>
        <v/>
      </c>
      <c r="C794" s="5" t="str">
        <f t="array" ref="C794">IF(W794=1,INDEX('Database Mitra'!$E$2:$E905,MATCH(A794,'Database Mitra'!AK$2:AK905,0)),"")</f>
        <v/>
      </c>
      <c r="D794" s="23"/>
      <c r="E794" s="5" t="str">
        <f t="array" ref="E794">IF(W794=1,INDEX('Input Kegiatan'!B$2:B905,MATCH($D794,'Input Kegiatan'!$A$2:$A905,0)),"")</f>
        <v/>
      </c>
      <c r="F794" s="5" t="str">
        <f t="array" ref="F794">IF(W794=1,INDEX('Input Kegiatan'!D$2:D905,MATCH($D794,'Input Kegiatan'!$A$2:$A905,0)),"")</f>
        <v/>
      </c>
      <c r="G794" s="5" t="str">
        <f t="array" ref="G794">IF(W794=1,INDEX('Input Kegiatan'!E$2:E905,MATCH($D794,'Input Kegiatan'!$A$2:$A905,0)),"")</f>
        <v/>
      </c>
      <c r="H794" s="5" t="str">
        <f t="array" ref="H794">IF(W794=1,INDEX(Honor!$H$2:$H905,MATCH($D794&amp;"-"&amp;R794,Honor!$K$2:$K905,0)),"")</f>
        <v/>
      </c>
      <c r="I794" s="8" t="str">
        <f>IF(W794=1,SUMIFS(Honor!$I$2:$I905,Honor!$K$2:$K905,$D794&amp;"-"&amp;R794),"")</f>
        <v/>
      </c>
      <c r="J794" s="9" t="str">
        <f t="shared" si="6"/>
        <v/>
      </c>
      <c r="K794" s="10" t="str">
        <f t="shared" si="0"/>
        <v/>
      </c>
      <c r="L794" s="10" t="str">
        <f t="shared" si="1"/>
        <v/>
      </c>
      <c r="M794" s="10" t="str">
        <f>IF(W794=1,IF(AND(U794&lt;2,INT(V794)&lt;='Batasan Honor'!$B$2),1,0),"")</f>
        <v/>
      </c>
      <c r="O794" s="10" t="str">
        <f t="shared" si="2"/>
        <v/>
      </c>
      <c r="P794" s="10" t="str">
        <f t="shared" si="3"/>
        <v/>
      </c>
      <c r="R794" s="23"/>
      <c r="S794" s="10" t="str">
        <f t="shared" si="4"/>
        <v/>
      </c>
      <c r="U794" s="10" t="str">
        <f ca="1">IFERROR(__xludf.DUMMYFUNCTION("if(W794=1,COUNTIFS(FILTER($H$2:$H905,$H$2:$H905=""OB"",$S$2:$S905=S794),""OB""),"""")"),"")</f>
        <v/>
      </c>
      <c r="V794" s="10" t="str">
        <f ca="1">IFERROR(__xludf.DUMMYFUNCTION("IF(OR(ISNA(SUM(FILTER($K$2:$K905,$A$2:$A905=A794,$S$2:$S905=S794,$H$2:$H905&lt;&gt;""OB""))),W794&lt;&gt;1),"""",SUM(FILTER($K$2:$K905,$A$2:$A905=A794,$S$2:$S905=S794,$H$2:$H905&lt;&gt;""OB"")))"),"")</f>
        <v/>
      </c>
      <c r="W794" s="10" t="str">
        <f t="shared" si="5"/>
        <v/>
      </c>
    </row>
    <row r="795" spans="1:23" ht="12.5">
      <c r="A795" s="23"/>
      <c r="B795" s="5" t="str">
        <f t="array" ref="B795">IF(W795=1,INDEX('Database Mitra'!$H$2:$H905,MATCH(A795,'Database Mitra'!AK$2:AK905,0)),"")</f>
        <v/>
      </c>
      <c r="C795" s="5" t="str">
        <f t="array" ref="C795">IF(W795=1,INDEX('Database Mitra'!$E$2:$E905,MATCH(A795,'Database Mitra'!AK$2:AK905,0)),"")</f>
        <v/>
      </c>
      <c r="D795" s="23"/>
      <c r="E795" s="5" t="str">
        <f t="array" ref="E795">IF(W795=1,INDEX('Input Kegiatan'!B$2:B905,MATCH($D795,'Input Kegiatan'!$A$2:$A905,0)),"")</f>
        <v/>
      </c>
      <c r="F795" s="5" t="str">
        <f t="array" ref="F795">IF(W795=1,INDEX('Input Kegiatan'!D$2:D905,MATCH($D795,'Input Kegiatan'!$A$2:$A905,0)),"")</f>
        <v/>
      </c>
      <c r="G795" s="5" t="str">
        <f t="array" ref="G795">IF(W795=1,INDEX('Input Kegiatan'!E$2:E905,MATCH($D795,'Input Kegiatan'!$A$2:$A905,0)),"")</f>
        <v/>
      </c>
      <c r="H795" s="5" t="str">
        <f t="array" ref="H795">IF(W795=1,INDEX(Honor!$H$2:$H905,MATCH($D795&amp;"-"&amp;R795,Honor!$K$2:$K905,0)),"")</f>
        <v/>
      </c>
      <c r="I795" s="8" t="str">
        <f>IF(W795=1,SUMIFS(Honor!$I$2:$I905,Honor!$K$2:$K905,$D795&amp;"-"&amp;R795),"")</f>
        <v/>
      </c>
      <c r="J795" s="9" t="str">
        <f t="shared" si="6"/>
        <v/>
      </c>
      <c r="K795" s="10" t="str">
        <f t="shared" si="0"/>
        <v/>
      </c>
      <c r="L795" s="10" t="str">
        <f t="shared" si="1"/>
        <v/>
      </c>
      <c r="M795" s="10" t="str">
        <f>IF(W795=1,IF(AND(U795&lt;2,INT(V795)&lt;='Batasan Honor'!$B$2),1,0),"")</f>
        <v/>
      </c>
      <c r="O795" s="10" t="str">
        <f t="shared" si="2"/>
        <v/>
      </c>
      <c r="P795" s="10" t="str">
        <f t="shared" si="3"/>
        <v/>
      </c>
      <c r="R795" s="23"/>
      <c r="S795" s="10" t="str">
        <f t="shared" si="4"/>
        <v/>
      </c>
      <c r="U795" s="10" t="str">
        <f ca="1">IFERROR(__xludf.DUMMYFUNCTION("if(W795=1,COUNTIFS(FILTER($H$2:$H905,$H$2:$H905=""OB"",$S$2:$S905=S795),""OB""),"""")"),"")</f>
        <v/>
      </c>
      <c r="V795" s="10" t="str">
        <f ca="1">IFERROR(__xludf.DUMMYFUNCTION("IF(OR(ISNA(SUM(FILTER($K$2:$K905,$A$2:$A905=A795,$S$2:$S905=S795,$H$2:$H905&lt;&gt;""OB""))),W795&lt;&gt;1),"""",SUM(FILTER($K$2:$K905,$A$2:$A905=A795,$S$2:$S905=S795,$H$2:$H905&lt;&gt;""OB"")))"),"")</f>
        <v/>
      </c>
      <c r="W795" s="10" t="str">
        <f t="shared" si="5"/>
        <v/>
      </c>
    </row>
    <row r="796" spans="1:23" ht="12.5">
      <c r="A796" s="23"/>
      <c r="B796" s="5" t="str">
        <f t="array" ref="B796">IF(W796=1,INDEX('Database Mitra'!$H$2:$H905,MATCH(A796,'Database Mitra'!AK$2:AK905,0)),"")</f>
        <v/>
      </c>
      <c r="C796" s="5" t="str">
        <f t="array" ref="C796">IF(W796=1,INDEX('Database Mitra'!$E$2:$E905,MATCH(A796,'Database Mitra'!AK$2:AK905,0)),"")</f>
        <v/>
      </c>
      <c r="D796" s="23"/>
      <c r="E796" s="5" t="str">
        <f t="array" ref="E796">IF(W796=1,INDEX('Input Kegiatan'!B$2:B905,MATCH($D796,'Input Kegiatan'!$A$2:$A905,0)),"")</f>
        <v/>
      </c>
      <c r="F796" s="5" t="str">
        <f t="array" ref="F796">IF(W796=1,INDEX('Input Kegiatan'!D$2:D905,MATCH($D796,'Input Kegiatan'!$A$2:$A905,0)),"")</f>
        <v/>
      </c>
      <c r="G796" s="5" t="str">
        <f t="array" ref="G796">IF(W796=1,INDEX('Input Kegiatan'!E$2:E905,MATCH($D796,'Input Kegiatan'!$A$2:$A905,0)),"")</f>
        <v/>
      </c>
      <c r="H796" s="5" t="str">
        <f t="array" ref="H796">IF(W796=1,INDEX(Honor!$H$2:$H905,MATCH($D796&amp;"-"&amp;R796,Honor!$K$2:$K905,0)),"")</f>
        <v/>
      </c>
      <c r="I796" s="8" t="str">
        <f>IF(W796=1,SUMIFS(Honor!$I$2:$I905,Honor!$K$2:$K905,$D796&amp;"-"&amp;R796),"")</f>
        <v/>
      </c>
      <c r="J796" s="9" t="str">
        <f t="shared" si="6"/>
        <v/>
      </c>
      <c r="K796" s="10" t="str">
        <f t="shared" si="0"/>
        <v/>
      </c>
      <c r="L796" s="10" t="str">
        <f t="shared" si="1"/>
        <v/>
      </c>
      <c r="M796" s="10" t="str">
        <f>IF(W796=1,IF(AND(U796&lt;2,INT(V796)&lt;='Batasan Honor'!$B$2),1,0),"")</f>
        <v/>
      </c>
      <c r="O796" s="10" t="str">
        <f t="shared" si="2"/>
        <v/>
      </c>
      <c r="P796" s="10" t="str">
        <f t="shared" si="3"/>
        <v/>
      </c>
      <c r="R796" s="23"/>
      <c r="S796" s="10" t="str">
        <f t="shared" si="4"/>
        <v/>
      </c>
      <c r="U796" s="10" t="str">
        <f ca="1">IFERROR(__xludf.DUMMYFUNCTION("if(W796=1,COUNTIFS(FILTER($H$2:$H905,$H$2:$H905=""OB"",$S$2:$S905=S796),""OB""),"""")"),"")</f>
        <v/>
      </c>
      <c r="V796" s="10" t="str">
        <f ca="1">IFERROR(__xludf.DUMMYFUNCTION("IF(OR(ISNA(SUM(FILTER($K$2:$K905,$A$2:$A905=A796,$S$2:$S905=S796,$H$2:$H905&lt;&gt;""OB""))),W796&lt;&gt;1),"""",SUM(FILTER($K$2:$K905,$A$2:$A905=A796,$S$2:$S905=S796,$H$2:$H905&lt;&gt;""OB"")))"),"")</f>
        <v/>
      </c>
      <c r="W796" s="10" t="str">
        <f t="shared" si="5"/>
        <v/>
      </c>
    </row>
    <row r="797" spans="1:23" ht="12.5">
      <c r="A797" s="23"/>
      <c r="B797" s="5" t="str">
        <f t="array" ref="B797">IF(W797=1,INDEX('Database Mitra'!$H$2:$H905,MATCH(A797,'Database Mitra'!AK$2:AK905,0)),"")</f>
        <v/>
      </c>
      <c r="C797" s="5" t="str">
        <f t="array" ref="C797">IF(W797=1,INDEX('Database Mitra'!$E$2:$E905,MATCH(A797,'Database Mitra'!AK$2:AK905,0)),"")</f>
        <v/>
      </c>
      <c r="D797" s="23"/>
      <c r="E797" s="5" t="str">
        <f t="array" ref="E797">IF(W797=1,INDEX('Input Kegiatan'!B$2:B905,MATCH($D797,'Input Kegiatan'!$A$2:$A905,0)),"")</f>
        <v/>
      </c>
      <c r="F797" s="5" t="str">
        <f t="array" ref="F797">IF(W797=1,INDEX('Input Kegiatan'!D$2:D905,MATCH($D797,'Input Kegiatan'!$A$2:$A905,0)),"")</f>
        <v/>
      </c>
      <c r="G797" s="5" t="str">
        <f t="array" ref="G797">IF(W797=1,INDEX('Input Kegiatan'!E$2:E905,MATCH($D797,'Input Kegiatan'!$A$2:$A905,0)),"")</f>
        <v/>
      </c>
      <c r="H797" s="5" t="str">
        <f t="array" ref="H797">IF(W797=1,INDEX(Honor!$H$2:$H905,MATCH($D797&amp;"-"&amp;R797,Honor!$K$2:$K905,0)),"")</f>
        <v/>
      </c>
      <c r="I797" s="8" t="str">
        <f>IF(W797=1,SUMIFS(Honor!$I$2:$I905,Honor!$K$2:$K905,$D797&amp;"-"&amp;R797),"")</f>
        <v/>
      </c>
      <c r="J797" s="9" t="str">
        <f t="shared" si="6"/>
        <v/>
      </c>
      <c r="K797" s="10" t="str">
        <f t="shared" si="0"/>
        <v/>
      </c>
      <c r="L797" s="10" t="str">
        <f t="shared" si="1"/>
        <v/>
      </c>
      <c r="M797" s="10" t="str">
        <f>IF(W797=1,IF(AND(U797&lt;2,INT(V797)&lt;='Batasan Honor'!$B$2),1,0),"")</f>
        <v/>
      </c>
      <c r="O797" s="10" t="str">
        <f t="shared" si="2"/>
        <v/>
      </c>
      <c r="P797" s="10" t="str">
        <f t="shared" si="3"/>
        <v/>
      </c>
      <c r="R797" s="23"/>
      <c r="S797" s="10" t="str">
        <f t="shared" si="4"/>
        <v/>
      </c>
      <c r="U797" s="10" t="str">
        <f ca="1">IFERROR(__xludf.DUMMYFUNCTION("if(W797=1,COUNTIFS(FILTER($H$2:$H905,$H$2:$H905=""OB"",$S$2:$S905=S797),""OB""),"""")"),"")</f>
        <v/>
      </c>
      <c r="V797" s="10" t="str">
        <f ca="1">IFERROR(__xludf.DUMMYFUNCTION("IF(OR(ISNA(SUM(FILTER($K$2:$K905,$A$2:$A905=A797,$S$2:$S905=S797,$H$2:$H905&lt;&gt;""OB""))),W797&lt;&gt;1),"""",SUM(FILTER($K$2:$K905,$A$2:$A905=A797,$S$2:$S905=S797,$H$2:$H905&lt;&gt;""OB"")))"),"")</f>
        <v/>
      </c>
      <c r="W797" s="10" t="str">
        <f t="shared" si="5"/>
        <v/>
      </c>
    </row>
    <row r="798" spans="1:23" ht="12.5">
      <c r="A798" s="23"/>
      <c r="B798" s="5" t="str">
        <f t="array" ref="B798">IF(W798=1,INDEX('Database Mitra'!$H$2:$H905,MATCH(A798,'Database Mitra'!AK$2:AK905,0)),"")</f>
        <v/>
      </c>
      <c r="C798" s="5" t="str">
        <f t="array" ref="C798">IF(W798=1,INDEX('Database Mitra'!$E$2:$E905,MATCH(A798,'Database Mitra'!AK$2:AK905,0)),"")</f>
        <v/>
      </c>
      <c r="D798" s="23"/>
      <c r="E798" s="5" t="str">
        <f t="array" ref="E798">IF(W798=1,INDEX('Input Kegiatan'!B$2:B905,MATCH($D798,'Input Kegiatan'!$A$2:$A905,0)),"")</f>
        <v/>
      </c>
      <c r="F798" s="5" t="str">
        <f t="array" ref="F798">IF(W798=1,INDEX('Input Kegiatan'!D$2:D905,MATCH($D798,'Input Kegiatan'!$A$2:$A905,0)),"")</f>
        <v/>
      </c>
      <c r="G798" s="5" t="str">
        <f t="array" ref="G798">IF(W798=1,INDEX('Input Kegiatan'!E$2:E905,MATCH($D798,'Input Kegiatan'!$A$2:$A905,0)),"")</f>
        <v/>
      </c>
      <c r="H798" s="5" t="str">
        <f t="array" ref="H798">IF(W798=1,INDEX(Honor!$H$2:$H905,MATCH($D798&amp;"-"&amp;R798,Honor!$K$2:$K905,0)),"")</f>
        <v/>
      </c>
      <c r="I798" s="8" t="str">
        <f>IF(W798=1,SUMIFS(Honor!$I$2:$I905,Honor!$K$2:$K905,$D798&amp;"-"&amp;R798),"")</f>
        <v/>
      </c>
      <c r="J798" s="9" t="str">
        <f t="shared" si="6"/>
        <v/>
      </c>
      <c r="K798" s="10" t="str">
        <f t="shared" si="0"/>
        <v/>
      </c>
      <c r="L798" s="10" t="str">
        <f t="shared" si="1"/>
        <v/>
      </c>
      <c r="M798" s="10" t="str">
        <f>IF(W798=1,IF(AND(U798&lt;2,INT(V798)&lt;='Batasan Honor'!$B$2),1,0),"")</f>
        <v/>
      </c>
      <c r="O798" s="10" t="str">
        <f t="shared" si="2"/>
        <v/>
      </c>
      <c r="P798" s="10" t="str">
        <f t="shared" si="3"/>
        <v/>
      </c>
      <c r="R798" s="23"/>
      <c r="S798" s="10" t="str">
        <f t="shared" si="4"/>
        <v/>
      </c>
      <c r="U798" s="10" t="str">
        <f ca="1">IFERROR(__xludf.DUMMYFUNCTION("if(W798=1,COUNTIFS(FILTER($H$2:$H905,$H$2:$H905=""OB"",$S$2:$S905=S798),""OB""),"""")"),"")</f>
        <v/>
      </c>
      <c r="V798" s="10" t="str">
        <f ca="1">IFERROR(__xludf.DUMMYFUNCTION("IF(OR(ISNA(SUM(FILTER($K$2:$K905,$A$2:$A905=A798,$S$2:$S905=S798,$H$2:$H905&lt;&gt;""OB""))),W798&lt;&gt;1),"""",SUM(FILTER($K$2:$K905,$A$2:$A905=A798,$S$2:$S905=S798,$H$2:$H905&lt;&gt;""OB"")))"),"")</f>
        <v/>
      </c>
      <c r="W798" s="10" t="str">
        <f t="shared" si="5"/>
        <v/>
      </c>
    </row>
    <row r="799" spans="1:23" ht="12.5">
      <c r="A799" s="23"/>
      <c r="B799" s="5" t="str">
        <f t="array" ref="B799">IF(W799=1,INDEX('Database Mitra'!$H$2:$H905,MATCH(A799,'Database Mitra'!AK$2:AK905,0)),"")</f>
        <v/>
      </c>
      <c r="C799" s="5" t="str">
        <f t="array" ref="C799">IF(W799=1,INDEX('Database Mitra'!$E$2:$E905,MATCH(A799,'Database Mitra'!AK$2:AK905,0)),"")</f>
        <v/>
      </c>
      <c r="D799" s="23"/>
      <c r="E799" s="5" t="str">
        <f t="array" ref="E799">IF(W799=1,INDEX('Input Kegiatan'!B$2:B905,MATCH($D799,'Input Kegiatan'!$A$2:$A905,0)),"")</f>
        <v/>
      </c>
      <c r="F799" s="5" t="str">
        <f t="array" ref="F799">IF(W799=1,INDEX('Input Kegiatan'!D$2:D905,MATCH($D799,'Input Kegiatan'!$A$2:$A905,0)),"")</f>
        <v/>
      </c>
      <c r="G799" s="5" t="str">
        <f t="array" ref="G799">IF(W799=1,INDEX('Input Kegiatan'!E$2:E905,MATCH($D799,'Input Kegiatan'!$A$2:$A905,0)),"")</f>
        <v/>
      </c>
      <c r="H799" s="5" t="str">
        <f t="array" ref="H799">IF(W799=1,INDEX(Honor!$H$2:$H905,MATCH($D799&amp;"-"&amp;R799,Honor!$K$2:$K905,0)),"")</f>
        <v/>
      </c>
      <c r="I799" s="8" t="str">
        <f>IF(W799=1,SUMIFS(Honor!$I$2:$I905,Honor!$K$2:$K905,$D799&amp;"-"&amp;R799),"")</f>
        <v/>
      </c>
      <c r="J799" s="9" t="str">
        <f t="shared" si="6"/>
        <v/>
      </c>
      <c r="K799" s="10" t="str">
        <f t="shared" si="0"/>
        <v/>
      </c>
      <c r="L799" s="10" t="str">
        <f t="shared" si="1"/>
        <v/>
      </c>
      <c r="M799" s="10" t="str">
        <f>IF(W799=1,IF(AND(U799&lt;2,INT(V799)&lt;='Batasan Honor'!$B$2),1,0),"")</f>
        <v/>
      </c>
      <c r="O799" s="10" t="str">
        <f t="shared" si="2"/>
        <v/>
      </c>
      <c r="P799" s="10" t="str">
        <f t="shared" si="3"/>
        <v/>
      </c>
      <c r="R799" s="23"/>
      <c r="S799" s="10" t="str">
        <f t="shared" si="4"/>
        <v/>
      </c>
      <c r="U799" s="10" t="str">
        <f ca="1">IFERROR(__xludf.DUMMYFUNCTION("if(W799=1,COUNTIFS(FILTER($H$2:$H905,$H$2:$H905=""OB"",$S$2:$S905=S799),""OB""),"""")"),"")</f>
        <v/>
      </c>
      <c r="V799" s="10" t="str">
        <f ca="1">IFERROR(__xludf.DUMMYFUNCTION("IF(OR(ISNA(SUM(FILTER($K$2:$K905,$A$2:$A905=A799,$S$2:$S905=S799,$H$2:$H905&lt;&gt;""OB""))),W799&lt;&gt;1),"""",SUM(FILTER($K$2:$K905,$A$2:$A905=A799,$S$2:$S905=S799,$H$2:$H905&lt;&gt;""OB"")))"),"")</f>
        <v/>
      </c>
      <c r="W799" s="10" t="str">
        <f t="shared" si="5"/>
        <v/>
      </c>
    </row>
    <row r="800" spans="1:23" ht="12.5">
      <c r="A800" s="23"/>
      <c r="B800" s="5" t="str">
        <f t="array" ref="B800">IF(W800=1,INDEX('Database Mitra'!$H$2:$H905,MATCH(A800,'Database Mitra'!AK$2:AK905,0)),"")</f>
        <v/>
      </c>
      <c r="C800" s="5" t="str">
        <f t="array" ref="C800">IF(W800=1,INDEX('Database Mitra'!$E$2:$E905,MATCH(A800,'Database Mitra'!AK$2:AK905,0)),"")</f>
        <v/>
      </c>
      <c r="D800" s="23"/>
      <c r="E800" s="5" t="str">
        <f t="array" ref="E800">IF(W800=1,INDEX('Input Kegiatan'!B$2:B905,MATCH($D800,'Input Kegiatan'!$A$2:$A905,0)),"")</f>
        <v/>
      </c>
      <c r="F800" s="5" t="str">
        <f t="array" ref="F800">IF(W800=1,INDEX('Input Kegiatan'!D$2:D905,MATCH($D800,'Input Kegiatan'!$A$2:$A905,0)),"")</f>
        <v/>
      </c>
      <c r="G800" s="5" t="str">
        <f t="array" ref="G800">IF(W800=1,INDEX('Input Kegiatan'!E$2:E905,MATCH($D800,'Input Kegiatan'!$A$2:$A905,0)),"")</f>
        <v/>
      </c>
      <c r="H800" s="5" t="str">
        <f t="array" ref="H800">IF(W800=1,INDEX(Honor!$H$2:$H905,MATCH($D800&amp;"-"&amp;R800,Honor!$K$2:$K905,0)),"")</f>
        <v/>
      </c>
      <c r="I800" s="8" t="str">
        <f>IF(W800=1,SUMIFS(Honor!$I$2:$I905,Honor!$K$2:$K905,$D800&amp;"-"&amp;R800),"")</f>
        <v/>
      </c>
      <c r="J800" s="9" t="str">
        <f t="shared" si="6"/>
        <v/>
      </c>
      <c r="K800" s="10" t="str">
        <f t="shared" si="0"/>
        <v/>
      </c>
      <c r="L800" s="10" t="str">
        <f t="shared" si="1"/>
        <v/>
      </c>
      <c r="M800" s="10" t="str">
        <f>IF(W800=1,IF(AND(U800&lt;2,INT(V800)&lt;='Batasan Honor'!$B$2),1,0),"")</f>
        <v/>
      </c>
      <c r="O800" s="10" t="str">
        <f t="shared" si="2"/>
        <v/>
      </c>
      <c r="P800" s="10" t="str">
        <f t="shared" si="3"/>
        <v/>
      </c>
      <c r="R800" s="23"/>
      <c r="S800" s="10" t="str">
        <f t="shared" si="4"/>
        <v/>
      </c>
      <c r="U800" s="10" t="str">
        <f ca="1">IFERROR(__xludf.DUMMYFUNCTION("if(W800=1,COUNTIFS(FILTER($H$2:$H905,$H$2:$H905=""OB"",$S$2:$S905=S800),""OB""),"""")"),"")</f>
        <v/>
      </c>
      <c r="V800" s="10" t="str">
        <f ca="1">IFERROR(__xludf.DUMMYFUNCTION("IF(OR(ISNA(SUM(FILTER($K$2:$K905,$A$2:$A905=A800,$S$2:$S905=S800,$H$2:$H905&lt;&gt;""OB""))),W800&lt;&gt;1),"""",SUM(FILTER($K$2:$K905,$A$2:$A905=A800,$S$2:$S905=S800,$H$2:$H905&lt;&gt;""OB"")))"),"")</f>
        <v/>
      </c>
      <c r="W800" s="10" t="str">
        <f t="shared" si="5"/>
        <v/>
      </c>
    </row>
    <row r="801" spans="1:23" ht="12.5">
      <c r="A801" s="23"/>
      <c r="B801" s="5" t="str">
        <f t="array" ref="B801">IF(W801=1,INDEX('Database Mitra'!$H$2:$H905,MATCH(A801,'Database Mitra'!AK$2:AK905,0)),"")</f>
        <v/>
      </c>
      <c r="C801" s="5" t="str">
        <f t="array" ref="C801">IF(W801=1,INDEX('Database Mitra'!$E$2:$E905,MATCH(A801,'Database Mitra'!AK$2:AK905,0)),"")</f>
        <v/>
      </c>
      <c r="D801" s="23"/>
      <c r="E801" s="5" t="str">
        <f t="array" ref="E801">IF(W801=1,INDEX('Input Kegiatan'!B$2:B905,MATCH($D801,'Input Kegiatan'!$A$2:$A905,0)),"")</f>
        <v/>
      </c>
      <c r="F801" s="5" t="str">
        <f t="array" ref="F801">IF(W801=1,INDEX('Input Kegiatan'!D$2:D905,MATCH($D801,'Input Kegiatan'!$A$2:$A905,0)),"")</f>
        <v/>
      </c>
      <c r="G801" s="5" t="str">
        <f t="array" ref="G801">IF(W801=1,INDEX('Input Kegiatan'!E$2:E905,MATCH($D801,'Input Kegiatan'!$A$2:$A905,0)),"")</f>
        <v/>
      </c>
      <c r="H801" s="5" t="str">
        <f t="array" ref="H801">IF(W801=1,INDEX(Honor!$H$2:$H905,MATCH($D801&amp;"-"&amp;R801,Honor!$K$2:$K905,0)),"")</f>
        <v/>
      </c>
      <c r="I801" s="8" t="str">
        <f>IF(W801=1,SUMIFS(Honor!$I$2:$I905,Honor!$K$2:$K905,$D801&amp;"-"&amp;R801),"")</f>
        <v/>
      </c>
      <c r="J801" s="9" t="str">
        <f t="shared" si="6"/>
        <v/>
      </c>
      <c r="K801" s="10" t="str">
        <f t="shared" si="0"/>
        <v/>
      </c>
      <c r="L801" s="10" t="str">
        <f t="shared" si="1"/>
        <v/>
      </c>
      <c r="M801" s="10" t="str">
        <f>IF(W801=1,IF(AND(U801&lt;2,INT(V801)&lt;='Batasan Honor'!$B$2),1,0),"")</f>
        <v/>
      </c>
      <c r="O801" s="10" t="str">
        <f t="shared" si="2"/>
        <v/>
      </c>
      <c r="P801" s="10" t="str">
        <f t="shared" si="3"/>
        <v/>
      </c>
      <c r="R801" s="23"/>
      <c r="S801" s="10" t="str">
        <f t="shared" si="4"/>
        <v/>
      </c>
      <c r="U801" s="10" t="str">
        <f ca="1">IFERROR(__xludf.DUMMYFUNCTION("if(W801=1,COUNTIFS(FILTER($H$2:$H905,$H$2:$H905=""OB"",$S$2:$S905=S801),""OB""),"""")"),"")</f>
        <v/>
      </c>
      <c r="V801" s="10" t="str">
        <f ca="1">IFERROR(__xludf.DUMMYFUNCTION("IF(OR(ISNA(SUM(FILTER($K$2:$K905,$A$2:$A905=A801,$S$2:$S905=S801,$H$2:$H905&lt;&gt;""OB""))),W801&lt;&gt;1),"""",SUM(FILTER($K$2:$K905,$A$2:$A905=A801,$S$2:$S905=S801,$H$2:$H905&lt;&gt;""OB"")))"),"")</f>
        <v/>
      </c>
      <c r="W801" s="10" t="str">
        <f t="shared" si="5"/>
        <v/>
      </c>
    </row>
    <row r="802" spans="1:23" ht="12.5">
      <c r="A802" s="23"/>
      <c r="B802" s="5" t="str">
        <f t="array" ref="B802">IF(W802=1,INDEX('Database Mitra'!$H$2:$H905,MATCH(A802,'Database Mitra'!AK$2:AK905,0)),"")</f>
        <v/>
      </c>
      <c r="C802" s="5" t="str">
        <f t="array" ref="C802">IF(W802=1,INDEX('Database Mitra'!$E$2:$E905,MATCH(A802,'Database Mitra'!AK$2:AK905,0)),"")</f>
        <v/>
      </c>
      <c r="D802" s="23"/>
      <c r="E802" s="5" t="str">
        <f t="array" ref="E802">IF(W802=1,INDEX('Input Kegiatan'!B$2:B905,MATCH($D802,'Input Kegiatan'!$A$2:$A905,0)),"")</f>
        <v/>
      </c>
      <c r="F802" s="5" t="str">
        <f t="array" ref="F802">IF(W802=1,INDEX('Input Kegiatan'!D$2:D905,MATCH($D802,'Input Kegiatan'!$A$2:$A905,0)),"")</f>
        <v/>
      </c>
      <c r="G802" s="5" t="str">
        <f t="array" ref="G802">IF(W802=1,INDEX('Input Kegiatan'!E$2:E905,MATCH($D802,'Input Kegiatan'!$A$2:$A905,0)),"")</f>
        <v/>
      </c>
      <c r="H802" s="5" t="str">
        <f t="array" ref="H802">IF(W802=1,INDEX(Honor!$H$2:$H905,MATCH($D802&amp;"-"&amp;R802,Honor!$K$2:$K905,0)),"")</f>
        <v/>
      </c>
      <c r="I802" s="8" t="str">
        <f>IF(W802=1,SUMIFS(Honor!$I$2:$I905,Honor!$K$2:$K905,$D802&amp;"-"&amp;R802),"")</f>
        <v/>
      </c>
      <c r="J802" s="9" t="str">
        <f t="shared" si="6"/>
        <v/>
      </c>
      <c r="K802" s="10" t="str">
        <f t="shared" si="0"/>
        <v/>
      </c>
      <c r="L802" s="10" t="str">
        <f t="shared" si="1"/>
        <v/>
      </c>
      <c r="M802" s="10" t="str">
        <f>IF(W802=1,IF(AND(U802&lt;2,INT(V802)&lt;='Batasan Honor'!$B$2),1,0),"")</f>
        <v/>
      </c>
      <c r="O802" s="10" t="str">
        <f t="shared" si="2"/>
        <v/>
      </c>
      <c r="P802" s="10" t="str">
        <f t="shared" si="3"/>
        <v/>
      </c>
      <c r="R802" s="23"/>
      <c r="S802" s="10" t="str">
        <f t="shared" si="4"/>
        <v/>
      </c>
      <c r="U802" s="10" t="str">
        <f ca="1">IFERROR(__xludf.DUMMYFUNCTION("if(W802=1,COUNTIFS(FILTER($H$2:$H905,$H$2:$H905=""OB"",$S$2:$S905=S802),""OB""),"""")"),"")</f>
        <v/>
      </c>
      <c r="V802" s="10" t="str">
        <f ca="1">IFERROR(__xludf.DUMMYFUNCTION("IF(OR(ISNA(SUM(FILTER($K$2:$K905,$A$2:$A905=A802,$S$2:$S905=S802,$H$2:$H905&lt;&gt;""OB""))),W802&lt;&gt;1),"""",SUM(FILTER($K$2:$K905,$A$2:$A905=A802,$S$2:$S905=S802,$H$2:$H905&lt;&gt;""OB"")))"),"")</f>
        <v/>
      </c>
      <c r="W802" s="10" t="str">
        <f t="shared" si="5"/>
        <v/>
      </c>
    </row>
    <row r="803" spans="1:23" ht="12.5">
      <c r="A803" s="23"/>
      <c r="B803" s="5" t="str">
        <f t="array" ref="B803">IF(W803=1,INDEX('Database Mitra'!$H$2:$H905,MATCH(A803,'Database Mitra'!AK$2:AK905,0)),"")</f>
        <v/>
      </c>
      <c r="C803" s="5" t="str">
        <f t="array" ref="C803">IF(W803=1,INDEX('Database Mitra'!$E$2:$E905,MATCH(A803,'Database Mitra'!AK$2:AK905,0)),"")</f>
        <v/>
      </c>
      <c r="D803" s="23"/>
      <c r="E803" s="5" t="str">
        <f t="array" ref="E803">IF(W803=1,INDEX('Input Kegiatan'!B$2:B905,MATCH($D803,'Input Kegiatan'!$A$2:$A905,0)),"")</f>
        <v/>
      </c>
      <c r="F803" s="5" t="str">
        <f t="array" ref="F803">IF(W803=1,INDEX('Input Kegiatan'!D$2:D905,MATCH($D803,'Input Kegiatan'!$A$2:$A905,0)),"")</f>
        <v/>
      </c>
      <c r="G803" s="5" t="str">
        <f t="array" ref="G803">IF(W803=1,INDEX('Input Kegiatan'!E$2:E905,MATCH($D803,'Input Kegiatan'!$A$2:$A905,0)),"")</f>
        <v/>
      </c>
      <c r="H803" s="5" t="str">
        <f t="array" ref="H803">IF(W803=1,INDEX(Honor!$H$2:$H905,MATCH($D803&amp;"-"&amp;R803,Honor!$K$2:$K905,0)),"")</f>
        <v/>
      </c>
      <c r="I803" s="8" t="str">
        <f>IF(W803=1,SUMIFS(Honor!$I$2:$I905,Honor!$K$2:$K905,$D803&amp;"-"&amp;R803),"")</f>
        <v/>
      </c>
      <c r="J803" s="9" t="str">
        <f t="shared" si="6"/>
        <v/>
      </c>
      <c r="K803" s="10" t="str">
        <f t="shared" si="0"/>
        <v/>
      </c>
      <c r="L803" s="10" t="str">
        <f t="shared" si="1"/>
        <v/>
      </c>
      <c r="M803" s="10" t="str">
        <f>IF(W803=1,IF(AND(U803&lt;2,INT(V803)&lt;='Batasan Honor'!$B$2),1,0),"")</f>
        <v/>
      </c>
      <c r="O803" s="10" t="str">
        <f t="shared" si="2"/>
        <v/>
      </c>
      <c r="P803" s="10" t="str">
        <f t="shared" si="3"/>
        <v/>
      </c>
      <c r="R803" s="23"/>
      <c r="S803" s="10" t="str">
        <f t="shared" si="4"/>
        <v/>
      </c>
      <c r="U803" s="10" t="str">
        <f ca="1">IFERROR(__xludf.DUMMYFUNCTION("if(W803=1,COUNTIFS(FILTER($H$2:$H905,$H$2:$H905=""OB"",$S$2:$S905=S803),""OB""),"""")"),"")</f>
        <v/>
      </c>
      <c r="V803" s="10" t="str">
        <f ca="1">IFERROR(__xludf.DUMMYFUNCTION("IF(OR(ISNA(SUM(FILTER($K$2:$K905,$A$2:$A905=A803,$S$2:$S905=S803,$H$2:$H905&lt;&gt;""OB""))),W803&lt;&gt;1),"""",SUM(FILTER($K$2:$K905,$A$2:$A905=A803,$S$2:$S905=S803,$H$2:$H905&lt;&gt;""OB"")))"),"")</f>
        <v/>
      </c>
      <c r="W803" s="10" t="str">
        <f t="shared" si="5"/>
        <v/>
      </c>
    </row>
    <row r="804" spans="1:23" ht="12.5">
      <c r="A804" s="23"/>
      <c r="B804" s="5" t="str">
        <f t="array" ref="B804">IF(W804=1,INDEX('Database Mitra'!$H$2:$H905,MATCH(A804,'Database Mitra'!AK$2:AK905,0)),"")</f>
        <v/>
      </c>
      <c r="C804" s="5" t="str">
        <f t="array" ref="C804">IF(W804=1,INDEX('Database Mitra'!$E$2:$E905,MATCH(A804,'Database Mitra'!AK$2:AK905,0)),"")</f>
        <v/>
      </c>
      <c r="D804" s="23"/>
      <c r="E804" s="5" t="str">
        <f t="array" ref="E804">IF(W804=1,INDEX('Input Kegiatan'!B$2:B905,MATCH($D804,'Input Kegiatan'!$A$2:$A905,0)),"")</f>
        <v/>
      </c>
      <c r="F804" s="5" t="str">
        <f t="array" ref="F804">IF(W804=1,INDEX('Input Kegiatan'!D$2:D905,MATCH($D804,'Input Kegiatan'!$A$2:$A905,0)),"")</f>
        <v/>
      </c>
      <c r="G804" s="5" t="str">
        <f t="array" ref="G804">IF(W804=1,INDEX('Input Kegiatan'!E$2:E905,MATCH($D804,'Input Kegiatan'!$A$2:$A905,0)),"")</f>
        <v/>
      </c>
      <c r="H804" s="5" t="str">
        <f t="array" ref="H804">IF(W804=1,INDEX(Honor!$H$2:$H905,MATCH($D804&amp;"-"&amp;R804,Honor!$K$2:$K905,0)),"")</f>
        <v/>
      </c>
      <c r="I804" s="8" t="str">
        <f>IF(W804=1,SUMIFS(Honor!$I$2:$I905,Honor!$K$2:$K905,$D804&amp;"-"&amp;R804),"")</f>
        <v/>
      </c>
      <c r="J804" s="9" t="str">
        <f t="shared" si="6"/>
        <v/>
      </c>
      <c r="K804" s="10" t="str">
        <f t="shared" si="0"/>
        <v/>
      </c>
      <c r="L804" s="10" t="str">
        <f t="shared" si="1"/>
        <v/>
      </c>
      <c r="M804" s="10" t="str">
        <f>IF(W804=1,IF(AND(U804&lt;2,INT(V804)&lt;='Batasan Honor'!$B$2),1,0),"")</f>
        <v/>
      </c>
      <c r="O804" s="10" t="str">
        <f t="shared" si="2"/>
        <v/>
      </c>
      <c r="P804" s="10" t="str">
        <f t="shared" si="3"/>
        <v/>
      </c>
      <c r="R804" s="23"/>
      <c r="S804" s="10" t="str">
        <f t="shared" si="4"/>
        <v/>
      </c>
      <c r="U804" s="10" t="str">
        <f ca="1">IFERROR(__xludf.DUMMYFUNCTION("if(W804=1,COUNTIFS(FILTER($H$2:$H905,$H$2:$H905=""OB"",$S$2:$S905=S804),""OB""),"""")"),"")</f>
        <v/>
      </c>
      <c r="V804" s="10" t="str">
        <f ca="1">IFERROR(__xludf.DUMMYFUNCTION("IF(OR(ISNA(SUM(FILTER($K$2:$K905,$A$2:$A905=A804,$S$2:$S905=S804,$H$2:$H905&lt;&gt;""OB""))),W804&lt;&gt;1),"""",SUM(FILTER($K$2:$K905,$A$2:$A905=A804,$S$2:$S905=S804,$H$2:$H905&lt;&gt;""OB"")))"),"")</f>
        <v/>
      </c>
      <c r="W804" s="10" t="str">
        <f t="shared" si="5"/>
        <v/>
      </c>
    </row>
    <row r="805" spans="1:23" ht="12.5">
      <c r="A805" s="23"/>
      <c r="B805" s="5" t="str">
        <f t="array" ref="B805">IF(W805=1,INDEX('Database Mitra'!$H$2:$H905,MATCH(A805,'Database Mitra'!AK$2:AK905,0)),"")</f>
        <v/>
      </c>
      <c r="C805" s="5" t="str">
        <f t="array" ref="C805">IF(W805=1,INDEX('Database Mitra'!$E$2:$E905,MATCH(A805,'Database Mitra'!AK$2:AK905,0)),"")</f>
        <v/>
      </c>
      <c r="D805" s="23"/>
      <c r="E805" s="5" t="str">
        <f t="array" ref="E805">IF(W805=1,INDEX('Input Kegiatan'!B$2:B905,MATCH($D805,'Input Kegiatan'!$A$2:$A905,0)),"")</f>
        <v/>
      </c>
      <c r="F805" s="5" t="str">
        <f t="array" ref="F805">IF(W805=1,INDEX('Input Kegiatan'!D$2:D905,MATCH($D805,'Input Kegiatan'!$A$2:$A905,0)),"")</f>
        <v/>
      </c>
      <c r="G805" s="5" t="str">
        <f t="array" ref="G805">IF(W805=1,INDEX('Input Kegiatan'!E$2:E905,MATCH($D805,'Input Kegiatan'!$A$2:$A905,0)),"")</f>
        <v/>
      </c>
      <c r="H805" s="5" t="str">
        <f t="array" ref="H805">IF(W805=1,INDEX(Honor!$H$2:$H905,MATCH($D805&amp;"-"&amp;R805,Honor!$K$2:$K905,0)),"")</f>
        <v/>
      </c>
      <c r="I805" s="8" t="str">
        <f>IF(W805=1,SUMIFS(Honor!$I$2:$I905,Honor!$K$2:$K905,$D805&amp;"-"&amp;R805),"")</f>
        <v/>
      </c>
      <c r="J805" s="9" t="str">
        <f t="shared" si="6"/>
        <v/>
      </c>
      <c r="K805" s="10" t="str">
        <f t="shared" si="0"/>
        <v/>
      </c>
      <c r="L805" s="10" t="str">
        <f t="shared" si="1"/>
        <v/>
      </c>
      <c r="M805" s="10" t="str">
        <f>IF(W805=1,IF(AND(U805&lt;2,INT(V805)&lt;='Batasan Honor'!$B$2),1,0),"")</f>
        <v/>
      </c>
      <c r="O805" s="10" t="str">
        <f t="shared" si="2"/>
        <v/>
      </c>
      <c r="P805" s="10" t="str">
        <f t="shared" si="3"/>
        <v/>
      </c>
      <c r="R805" s="23"/>
      <c r="S805" s="10" t="str">
        <f t="shared" si="4"/>
        <v/>
      </c>
      <c r="U805" s="10" t="str">
        <f ca="1">IFERROR(__xludf.DUMMYFUNCTION("if(W805=1,COUNTIFS(FILTER($H$2:$H905,$H$2:$H905=""OB"",$S$2:$S905=S805),""OB""),"""")"),"")</f>
        <v/>
      </c>
      <c r="V805" s="10" t="str">
        <f ca="1">IFERROR(__xludf.DUMMYFUNCTION("IF(OR(ISNA(SUM(FILTER($K$2:$K905,$A$2:$A905=A805,$S$2:$S905=S805,$H$2:$H905&lt;&gt;""OB""))),W805&lt;&gt;1),"""",SUM(FILTER($K$2:$K905,$A$2:$A905=A805,$S$2:$S905=S805,$H$2:$H905&lt;&gt;""OB"")))"),"")</f>
        <v/>
      </c>
      <c r="W805" s="10" t="str">
        <f t="shared" si="5"/>
        <v/>
      </c>
    </row>
    <row r="806" spans="1:23" ht="12.5">
      <c r="A806" s="23"/>
      <c r="B806" s="5" t="str">
        <f t="array" ref="B806">IF(W806=1,INDEX('Database Mitra'!$H$2:$H905,MATCH(A806,'Database Mitra'!AK$2:AK905,0)),"")</f>
        <v/>
      </c>
      <c r="C806" s="5" t="str">
        <f t="array" ref="C806">IF(W806=1,INDEX('Database Mitra'!$E$2:$E905,MATCH(A806,'Database Mitra'!AK$2:AK905,0)),"")</f>
        <v/>
      </c>
      <c r="D806" s="23"/>
      <c r="E806" s="5" t="str">
        <f t="array" ref="E806">IF(W806=1,INDEX('Input Kegiatan'!B$2:B905,MATCH($D806,'Input Kegiatan'!$A$2:$A905,0)),"")</f>
        <v/>
      </c>
      <c r="F806" s="5" t="str">
        <f t="array" ref="F806">IF(W806=1,INDEX('Input Kegiatan'!D$2:D905,MATCH($D806,'Input Kegiatan'!$A$2:$A905,0)),"")</f>
        <v/>
      </c>
      <c r="G806" s="5" t="str">
        <f t="array" ref="G806">IF(W806=1,INDEX('Input Kegiatan'!E$2:E905,MATCH($D806,'Input Kegiatan'!$A$2:$A905,0)),"")</f>
        <v/>
      </c>
      <c r="H806" s="5" t="str">
        <f t="array" ref="H806">IF(W806=1,INDEX(Honor!$H$2:$H905,MATCH($D806&amp;"-"&amp;R806,Honor!$K$2:$K905,0)),"")</f>
        <v/>
      </c>
      <c r="I806" s="8" t="str">
        <f>IF(W806=1,SUMIFS(Honor!$I$2:$I905,Honor!$K$2:$K905,$D806&amp;"-"&amp;R806),"")</f>
        <v/>
      </c>
      <c r="J806" s="9" t="str">
        <f t="shared" si="6"/>
        <v/>
      </c>
      <c r="K806" s="10" t="str">
        <f t="shared" si="0"/>
        <v/>
      </c>
      <c r="L806" s="10" t="str">
        <f t="shared" si="1"/>
        <v/>
      </c>
      <c r="M806" s="10" t="str">
        <f>IF(W806=1,IF(AND(U806&lt;2,INT(V806)&lt;='Batasan Honor'!$B$2),1,0),"")</f>
        <v/>
      </c>
      <c r="O806" s="10" t="str">
        <f t="shared" si="2"/>
        <v/>
      </c>
      <c r="P806" s="10" t="str">
        <f t="shared" si="3"/>
        <v/>
      </c>
      <c r="R806" s="23"/>
      <c r="S806" s="10" t="str">
        <f t="shared" si="4"/>
        <v/>
      </c>
      <c r="U806" s="10" t="str">
        <f ca="1">IFERROR(__xludf.DUMMYFUNCTION("if(W806=1,COUNTIFS(FILTER($H$2:$H905,$H$2:$H905=""OB"",$S$2:$S905=S806),""OB""),"""")"),"")</f>
        <v/>
      </c>
      <c r="V806" s="10" t="str">
        <f ca="1">IFERROR(__xludf.DUMMYFUNCTION("IF(OR(ISNA(SUM(FILTER($K$2:$K905,$A$2:$A905=A806,$S$2:$S905=S806,$H$2:$H905&lt;&gt;""OB""))),W806&lt;&gt;1),"""",SUM(FILTER($K$2:$K905,$A$2:$A905=A806,$S$2:$S905=S806,$H$2:$H905&lt;&gt;""OB"")))"),"")</f>
        <v/>
      </c>
      <c r="W806" s="10" t="str">
        <f t="shared" si="5"/>
        <v/>
      </c>
    </row>
    <row r="807" spans="1:23" ht="12.5">
      <c r="A807" s="23"/>
      <c r="B807" s="5" t="str">
        <f t="array" ref="B807">IF(W807=1,INDEX('Database Mitra'!$H$2:$H905,MATCH(A807,'Database Mitra'!AK$2:AK905,0)),"")</f>
        <v/>
      </c>
      <c r="C807" s="5" t="str">
        <f t="array" ref="C807">IF(W807=1,INDEX('Database Mitra'!$E$2:$E905,MATCH(A807,'Database Mitra'!AK$2:AK905,0)),"")</f>
        <v/>
      </c>
      <c r="D807" s="23"/>
      <c r="E807" s="5" t="str">
        <f t="array" ref="E807">IF(W807=1,INDEX('Input Kegiatan'!B$2:B905,MATCH($D807,'Input Kegiatan'!$A$2:$A905,0)),"")</f>
        <v/>
      </c>
      <c r="F807" s="5" t="str">
        <f t="array" ref="F807">IF(W807=1,INDEX('Input Kegiatan'!D$2:D905,MATCH($D807,'Input Kegiatan'!$A$2:$A905,0)),"")</f>
        <v/>
      </c>
      <c r="G807" s="5" t="str">
        <f t="array" ref="G807">IF(W807=1,INDEX('Input Kegiatan'!E$2:E905,MATCH($D807,'Input Kegiatan'!$A$2:$A905,0)),"")</f>
        <v/>
      </c>
      <c r="H807" s="5" t="str">
        <f t="array" ref="H807">IF(W807=1,INDEX(Honor!$H$2:$H905,MATCH($D807&amp;"-"&amp;R807,Honor!$K$2:$K905,0)),"")</f>
        <v/>
      </c>
      <c r="I807" s="8" t="str">
        <f>IF(W807=1,SUMIFS(Honor!$I$2:$I905,Honor!$K$2:$K905,$D807&amp;"-"&amp;R807),"")</f>
        <v/>
      </c>
      <c r="J807" s="9" t="str">
        <f t="shared" si="6"/>
        <v/>
      </c>
      <c r="K807" s="10" t="str">
        <f t="shared" si="0"/>
        <v/>
      </c>
      <c r="L807" s="10" t="str">
        <f t="shared" si="1"/>
        <v/>
      </c>
      <c r="M807" s="10" t="str">
        <f>IF(W807=1,IF(AND(U807&lt;2,INT(V807)&lt;='Batasan Honor'!$B$2),1,0),"")</f>
        <v/>
      </c>
      <c r="O807" s="10" t="str">
        <f t="shared" si="2"/>
        <v/>
      </c>
      <c r="P807" s="10" t="str">
        <f t="shared" si="3"/>
        <v/>
      </c>
      <c r="R807" s="23"/>
      <c r="S807" s="10" t="str">
        <f t="shared" si="4"/>
        <v/>
      </c>
      <c r="U807" s="10" t="str">
        <f ca="1">IFERROR(__xludf.DUMMYFUNCTION("if(W807=1,COUNTIFS(FILTER($H$2:$H905,$H$2:$H905=""OB"",$S$2:$S905=S807),""OB""),"""")"),"")</f>
        <v/>
      </c>
      <c r="V807" s="10" t="str">
        <f ca="1">IFERROR(__xludf.DUMMYFUNCTION("IF(OR(ISNA(SUM(FILTER($K$2:$K905,$A$2:$A905=A807,$S$2:$S905=S807,$H$2:$H905&lt;&gt;""OB""))),W807&lt;&gt;1),"""",SUM(FILTER($K$2:$K905,$A$2:$A905=A807,$S$2:$S905=S807,$H$2:$H905&lt;&gt;""OB"")))"),"")</f>
        <v/>
      </c>
      <c r="W807" s="10" t="str">
        <f t="shared" si="5"/>
        <v/>
      </c>
    </row>
    <row r="808" spans="1:23" ht="12.5">
      <c r="A808" s="23"/>
      <c r="B808" s="5" t="str">
        <f t="array" ref="B808">IF(W808=1,INDEX('Database Mitra'!$H$2:$H905,MATCH(A808,'Database Mitra'!AK$2:AK905,0)),"")</f>
        <v/>
      </c>
      <c r="C808" s="5" t="str">
        <f t="array" ref="C808">IF(W808=1,INDEX('Database Mitra'!$E$2:$E905,MATCH(A808,'Database Mitra'!AK$2:AK905,0)),"")</f>
        <v/>
      </c>
      <c r="D808" s="23"/>
      <c r="E808" s="5" t="str">
        <f t="array" ref="E808">IF(W808=1,INDEX('Input Kegiatan'!B$2:B905,MATCH($D808,'Input Kegiatan'!$A$2:$A905,0)),"")</f>
        <v/>
      </c>
      <c r="F808" s="5" t="str">
        <f t="array" ref="F808">IF(W808=1,INDEX('Input Kegiatan'!D$2:D905,MATCH($D808,'Input Kegiatan'!$A$2:$A905,0)),"")</f>
        <v/>
      </c>
      <c r="G808" s="5" t="str">
        <f t="array" ref="G808">IF(W808=1,INDEX('Input Kegiatan'!E$2:E905,MATCH($D808,'Input Kegiatan'!$A$2:$A905,0)),"")</f>
        <v/>
      </c>
      <c r="H808" s="5" t="str">
        <f t="array" ref="H808">IF(W808=1,INDEX(Honor!$H$2:$H905,MATCH($D808&amp;"-"&amp;R808,Honor!$K$2:$K905,0)),"")</f>
        <v/>
      </c>
      <c r="I808" s="8" t="str">
        <f>IF(W808=1,SUMIFS(Honor!$I$2:$I905,Honor!$K$2:$K905,$D808&amp;"-"&amp;R808),"")</f>
        <v/>
      </c>
      <c r="J808" s="9" t="str">
        <f t="shared" si="6"/>
        <v/>
      </c>
      <c r="K808" s="10" t="str">
        <f t="shared" si="0"/>
        <v/>
      </c>
      <c r="L808" s="10" t="str">
        <f t="shared" si="1"/>
        <v/>
      </c>
      <c r="M808" s="10" t="str">
        <f>IF(W808=1,IF(AND(U808&lt;2,INT(V808)&lt;='Batasan Honor'!$B$2),1,0),"")</f>
        <v/>
      </c>
      <c r="O808" s="10" t="str">
        <f t="shared" si="2"/>
        <v/>
      </c>
      <c r="P808" s="10" t="str">
        <f t="shared" si="3"/>
        <v/>
      </c>
      <c r="R808" s="23"/>
      <c r="S808" s="10" t="str">
        <f t="shared" si="4"/>
        <v/>
      </c>
      <c r="U808" s="10" t="str">
        <f ca="1">IFERROR(__xludf.DUMMYFUNCTION("if(W808=1,COUNTIFS(FILTER($H$2:$H905,$H$2:$H905=""OB"",$S$2:$S905=S808),""OB""),"""")"),"")</f>
        <v/>
      </c>
      <c r="V808" s="10" t="str">
        <f ca="1">IFERROR(__xludf.DUMMYFUNCTION("IF(OR(ISNA(SUM(FILTER($K$2:$K905,$A$2:$A905=A808,$S$2:$S905=S808,$H$2:$H905&lt;&gt;""OB""))),W808&lt;&gt;1),"""",SUM(FILTER($K$2:$K905,$A$2:$A905=A808,$S$2:$S905=S808,$H$2:$H905&lt;&gt;""OB"")))"),"")</f>
        <v/>
      </c>
      <c r="W808" s="10" t="str">
        <f t="shared" si="5"/>
        <v/>
      </c>
    </row>
    <row r="809" spans="1:23" ht="12.5">
      <c r="A809" s="23"/>
      <c r="B809" s="5" t="str">
        <f t="array" ref="B809">IF(W809=1,INDEX('Database Mitra'!$H$2:$H905,MATCH(A809,'Database Mitra'!AK$2:AK905,0)),"")</f>
        <v/>
      </c>
      <c r="C809" s="5" t="str">
        <f t="array" ref="C809">IF(W809=1,INDEX('Database Mitra'!$E$2:$E905,MATCH(A809,'Database Mitra'!AK$2:AK905,0)),"")</f>
        <v/>
      </c>
      <c r="D809" s="23"/>
      <c r="E809" s="5" t="str">
        <f t="array" ref="E809">IF(W809=1,INDEX('Input Kegiatan'!B$2:B905,MATCH($D809,'Input Kegiatan'!$A$2:$A905,0)),"")</f>
        <v/>
      </c>
      <c r="F809" s="5" t="str">
        <f t="array" ref="F809">IF(W809=1,INDEX('Input Kegiatan'!D$2:D905,MATCH($D809,'Input Kegiatan'!$A$2:$A905,0)),"")</f>
        <v/>
      </c>
      <c r="G809" s="5" t="str">
        <f t="array" ref="G809">IF(W809=1,INDEX('Input Kegiatan'!E$2:E905,MATCH($D809,'Input Kegiatan'!$A$2:$A905,0)),"")</f>
        <v/>
      </c>
      <c r="H809" s="5" t="str">
        <f t="array" ref="H809">IF(W809=1,INDEX(Honor!$H$2:$H905,MATCH($D809&amp;"-"&amp;R809,Honor!$K$2:$K905,0)),"")</f>
        <v/>
      </c>
      <c r="I809" s="8" t="str">
        <f>IF(W809=1,SUMIFS(Honor!$I$2:$I905,Honor!$K$2:$K905,$D809&amp;"-"&amp;R809),"")</f>
        <v/>
      </c>
      <c r="J809" s="9" t="str">
        <f t="shared" si="6"/>
        <v/>
      </c>
      <c r="K809" s="10" t="str">
        <f t="shared" si="0"/>
        <v/>
      </c>
      <c r="L809" s="10" t="str">
        <f t="shared" si="1"/>
        <v/>
      </c>
      <c r="M809" s="10" t="str">
        <f>IF(W809=1,IF(AND(U809&lt;2,INT(V809)&lt;='Batasan Honor'!$B$2),1,0),"")</f>
        <v/>
      </c>
      <c r="O809" s="10" t="str">
        <f t="shared" si="2"/>
        <v/>
      </c>
      <c r="P809" s="10" t="str">
        <f t="shared" si="3"/>
        <v/>
      </c>
      <c r="R809" s="23"/>
      <c r="S809" s="10" t="str">
        <f t="shared" si="4"/>
        <v/>
      </c>
      <c r="U809" s="10" t="str">
        <f ca="1">IFERROR(__xludf.DUMMYFUNCTION("if(W809=1,COUNTIFS(FILTER($H$2:$H905,$H$2:$H905=""OB"",$S$2:$S905=S809),""OB""),"""")"),"")</f>
        <v/>
      </c>
      <c r="V809" s="10" t="str">
        <f ca="1">IFERROR(__xludf.DUMMYFUNCTION("IF(OR(ISNA(SUM(FILTER($K$2:$K905,$A$2:$A905=A809,$S$2:$S905=S809,$H$2:$H905&lt;&gt;""OB""))),W809&lt;&gt;1),"""",SUM(FILTER($K$2:$K905,$A$2:$A905=A809,$S$2:$S905=S809,$H$2:$H905&lt;&gt;""OB"")))"),"")</f>
        <v/>
      </c>
      <c r="W809" s="10" t="str">
        <f t="shared" si="5"/>
        <v/>
      </c>
    </row>
    <row r="810" spans="1:23" ht="12.5">
      <c r="A810" s="23"/>
      <c r="B810" s="5" t="str">
        <f t="array" ref="B810">IF(W810=1,INDEX('Database Mitra'!$H$2:$H905,MATCH(A810,'Database Mitra'!AK$2:AK905,0)),"")</f>
        <v/>
      </c>
      <c r="C810" s="5" t="str">
        <f t="array" ref="C810">IF(W810=1,INDEX('Database Mitra'!$E$2:$E905,MATCH(A810,'Database Mitra'!AK$2:AK905,0)),"")</f>
        <v/>
      </c>
      <c r="D810" s="23"/>
      <c r="E810" s="5" t="str">
        <f t="array" ref="E810">IF(W810=1,INDEX('Input Kegiatan'!B$2:B905,MATCH($D810,'Input Kegiatan'!$A$2:$A905,0)),"")</f>
        <v/>
      </c>
      <c r="F810" s="5" t="str">
        <f t="array" ref="F810">IF(W810=1,INDEX('Input Kegiatan'!D$2:D905,MATCH($D810,'Input Kegiatan'!$A$2:$A905,0)),"")</f>
        <v/>
      </c>
      <c r="G810" s="5" t="str">
        <f t="array" ref="G810">IF(W810=1,INDEX('Input Kegiatan'!E$2:E905,MATCH($D810,'Input Kegiatan'!$A$2:$A905,0)),"")</f>
        <v/>
      </c>
      <c r="H810" s="5" t="str">
        <f t="array" ref="H810">IF(W810=1,INDEX(Honor!$H$2:$H905,MATCH($D810&amp;"-"&amp;R810,Honor!$K$2:$K905,0)),"")</f>
        <v/>
      </c>
      <c r="I810" s="8" t="str">
        <f>IF(W810=1,SUMIFS(Honor!$I$2:$I905,Honor!$K$2:$K905,$D810&amp;"-"&amp;R810),"")</f>
        <v/>
      </c>
      <c r="J810" s="9" t="str">
        <f t="shared" si="6"/>
        <v/>
      </c>
      <c r="K810" s="10" t="str">
        <f t="shared" si="0"/>
        <v/>
      </c>
      <c r="L810" s="10" t="str">
        <f t="shared" si="1"/>
        <v/>
      </c>
      <c r="M810" s="10" t="str">
        <f>IF(W810=1,IF(AND(U810&lt;2,INT(V810)&lt;='Batasan Honor'!$B$2),1,0),"")</f>
        <v/>
      </c>
      <c r="O810" s="10" t="str">
        <f t="shared" si="2"/>
        <v/>
      </c>
      <c r="P810" s="10" t="str">
        <f t="shared" si="3"/>
        <v/>
      </c>
      <c r="R810" s="23"/>
      <c r="S810" s="10" t="str">
        <f t="shared" si="4"/>
        <v/>
      </c>
      <c r="U810" s="10" t="str">
        <f ca="1">IFERROR(__xludf.DUMMYFUNCTION("if(W810=1,COUNTIFS(FILTER($H$2:$H905,$H$2:$H905=""OB"",$S$2:$S905=S810),""OB""),"""")"),"")</f>
        <v/>
      </c>
      <c r="V810" s="10" t="str">
        <f ca="1">IFERROR(__xludf.DUMMYFUNCTION("IF(OR(ISNA(SUM(FILTER($K$2:$K905,$A$2:$A905=A810,$S$2:$S905=S810,$H$2:$H905&lt;&gt;""OB""))),W810&lt;&gt;1),"""",SUM(FILTER($K$2:$K905,$A$2:$A905=A810,$S$2:$S905=S810,$H$2:$H905&lt;&gt;""OB"")))"),"")</f>
        <v/>
      </c>
      <c r="W810" s="10" t="str">
        <f t="shared" si="5"/>
        <v/>
      </c>
    </row>
    <row r="811" spans="1:23" ht="12.5">
      <c r="A811" s="23"/>
      <c r="B811" s="5" t="str">
        <f t="array" ref="B811">IF(W811=1,INDEX('Database Mitra'!$H$2:$H905,MATCH(A811,'Database Mitra'!AK$2:AK905,0)),"")</f>
        <v/>
      </c>
      <c r="C811" s="5" t="str">
        <f t="array" ref="C811">IF(W811=1,INDEX('Database Mitra'!$E$2:$E905,MATCH(A811,'Database Mitra'!AK$2:AK905,0)),"")</f>
        <v/>
      </c>
      <c r="D811" s="23"/>
      <c r="E811" s="5" t="str">
        <f t="array" ref="E811">IF(W811=1,INDEX('Input Kegiatan'!B$2:B905,MATCH($D811,'Input Kegiatan'!$A$2:$A905,0)),"")</f>
        <v/>
      </c>
      <c r="F811" s="5" t="str">
        <f t="array" ref="F811">IF(W811=1,INDEX('Input Kegiatan'!D$2:D905,MATCH($D811,'Input Kegiatan'!$A$2:$A905,0)),"")</f>
        <v/>
      </c>
      <c r="G811" s="5" t="str">
        <f t="array" ref="G811">IF(W811=1,INDEX('Input Kegiatan'!E$2:E905,MATCH($D811,'Input Kegiatan'!$A$2:$A905,0)),"")</f>
        <v/>
      </c>
      <c r="H811" s="5" t="str">
        <f t="array" ref="H811">IF(W811=1,INDEX(Honor!$H$2:$H905,MATCH($D811&amp;"-"&amp;R811,Honor!$K$2:$K905,0)),"")</f>
        <v/>
      </c>
      <c r="I811" s="8" t="str">
        <f>IF(W811=1,SUMIFS(Honor!$I$2:$I905,Honor!$K$2:$K905,$D811&amp;"-"&amp;R811),"")</f>
        <v/>
      </c>
      <c r="J811" s="9" t="str">
        <f t="shared" si="6"/>
        <v/>
      </c>
      <c r="K811" s="10" t="str">
        <f t="shared" si="0"/>
        <v/>
      </c>
      <c r="L811" s="10" t="str">
        <f t="shared" si="1"/>
        <v/>
      </c>
      <c r="M811" s="10" t="str">
        <f>IF(W811=1,IF(AND(U811&lt;2,INT(V811)&lt;='Batasan Honor'!$B$2),1,0),"")</f>
        <v/>
      </c>
      <c r="O811" s="10" t="str">
        <f t="shared" si="2"/>
        <v/>
      </c>
      <c r="P811" s="10" t="str">
        <f t="shared" si="3"/>
        <v/>
      </c>
      <c r="R811" s="23"/>
      <c r="S811" s="10" t="str">
        <f t="shared" si="4"/>
        <v/>
      </c>
      <c r="U811" s="10" t="str">
        <f ca="1">IFERROR(__xludf.DUMMYFUNCTION("if(W811=1,COUNTIFS(FILTER($H$2:$H905,$H$2:$H905=""OB"",$S$2:$S905=S811),""OB""),"""")"),"")</f>
        <v/>
      </c>
      <c r="V811" s="10" t="str">
        <f ca="1">IFERROR(__xludf.DUMMYFUNCTION("IF(OR(ISNA(SUM(FILTER($K$2:$K905,$A$2:$A905=A811,$S$2:$S905=S811,$H$2:$H905&lt;&gt;""OB""))),W811&lt;&gt;1),"""",SUM(FILTER($K$2:$K905,$A$2:$A905=A811,$S$2:$S905=S811,$H$2:$H905&lt;&gt;""OB"")))"),"")</f>
        <v/>
      </c>
      <c r="W811" s="10" t="str">
        <f t="shared" si="5"/>
        <v/>
      </c>
    </row>
    <row r="812" spans="1:23" ht="12.5">
      <c r="A812" s="23"/>
      <c r="B812" s="5" t="str">
        <f t="array" ref="B812">IF(W812=1,INDEX('Database Mitra'!$H$2:$H905,MATCH(A812,'Database Mitra'!AK$2:AK905,0)),"")</f>
        <v/>
      </c>
      <c r="C812" s="5" t="str">
        <f t="array" ref="C812">IF(W812=1,INDEX('Database Mitra'!$E$2:$E905,MATCH(A812,'Database Mitra'!AK$2:AK905,0)),"")</f>
        <v/>
      </c>
      <c r="D812" s="23"/>
      <c r="E812" s="5" t="str">
        <f t="array" ref="E812">IF(W812=1,INDEX('Input Kegiatan'!B$2:B905,MATCH($D812,'Input Kegiatan'!$A$2:$A905,0)),"")</f>
        <v/>
      </c>
      <c r="F812" s="5" t="str">
        <f t="array" ref="F812">IF(W812=1,INDEX('Input Kegiatan'!D$2:D905,MATCH($D812,'Input Kegiatan'!$A$2:$A905,0)),"")</f>
        <v/>
      </c>
      <c r="G812" s="5" t="str">
        <f t="array" ref="G812">IF(W812=1,INDEX('Input Kegiatan'!E$2:E905,MATCH($D812,'Input Kegiatan'!$A$2:$A905,0)),"")</f>
        <v/>
      </c>
      <c r="H812" s="5" t="str">
        <f t="array" ref="H812">IF(W812=1,INDEX(Honor!$H$2:$H905,MATCH($D812&amp;"-"&amp;R812,Honor!$K$2:$K905,0)),"")</f>
        <v/>
      </c>
      <c r="I812" s="8" t="str">
        <f>IF(W812=1,SUMIFS(Honor!$I$2:$I905,Honor!$K$2:$K905,$D812&amp;"-"&amp;R812),"")</f>
        <v/>
      </c>
      <c r="J812" s="9" t="str">
        <f t="shared" si="6"/>
        <v/>
      </c>
      <c r="K812" s="10" t="str">
        <f t="shared" si="0"/>
        <v/>
      </c>
      <c r="L812" s="10" t="str">
        <f t="shared" si="1"/>
        <v/>
      </c>
      <c r="M812" s="10" t="str">
        <f>IF(W812=1,IF(AND(U812&lt;2,INT(V812)&lt;='Batasan Honor'!$B$2),1,0),"")</f>
        <v/>
      </c>
      <c r="O812" s="10" t="str">
        <f t="shared" si="2"/>
        <v/>
      </c>
      <c r="P812" s="10" t="str">
        <f t="shared" si="3"/>
        <v/>
      </c>
      <c r="R812" s="23"/>
      <c r="S812" s="10" t="str">
        <f t="shared" si="4"/>
        <v/>
      </c>
      <c r="U812" s="10" t="str">
        <f ca="1">IFERROR(__xludf.DUMMYFUNCTION("if(W812=1,COUNTIFS(FILTER($H$2:$H905,$H$2:$H905=""OB"",$S$2:$S905=S812),""OB""),"""")"),"")</f>
        <v/>
      </c>
      <c r="V812" s="10" t="str">
        <f ca="1">IFERROR(__xludf.DUMMYFUNCTION("IF(OR(ISNA(SUM(FILTER($K$2:$K905,$A$2:$A905=A812,$S$2:$S905=S812,$H$2:$H905&lt;&gt;""OB""))),W812&lt;&gt;1),"""",SUM(FILTER($K$2:$K905,$A$2:$A905=A812,$S$2:$S905=S812,$H$2:$H905&lt;&gt;""OB"")))"),"")</f>
        <v/>
      </c>
      <c r="W812" s="10" t="str">
        <f t="shared" si="5"/>
        <v/>
      </c>
    </row>
    <row r="813" spans="1:23" ht="12.5">
      <c r="A813" s="23"/>
      <c r="B813" s="5" t="str">
        <f t="array" ref="B813">IF(W813=1,INDEX('Database Mitra'!$H$2:$H905,MATCH(A813,'Database Mitra'!AK$2:AK905,0)),"")</f>
        <v/>
      </c>
      <c r="C813" s="5" t="str">
        <f t="array" ref="C813">IF(W813=1,INDEX('Database Mitra'!$E$2:$E905,MATCH(A813,'Database Mitra'!AK$2:AK905,0)),"")</f>
        <v/>
      </c>
      <c r="D813" s="23"/>
      <c r="E813" s="5" t="str">
        <f t="array" ref="E813">IF(W813=1,INDEX('Input Kegiatan'!B$2:B905,MATCH($D813,'Input Kegiatan'!$A$2:$A905,0)),"")</f>
        <v/>
      </c>
      <c r="F813" s="5" t="str">
        <f t="array" ref="F813">IF(W813=1,INDEX('Input Kegiatan'!D$2:D905,MATCH($D813,'Input Kegiatan'!$A$2:$A905,0)),"")</f>
        <v/>
      </c>
      <c r="G813" s="5" t="str">
        <f t="array" ref="G813">IF(W813=1,INDEX('Input Kegiatan'!E$2:E905,MATCH($D813,'Input Kegiatan'!$A$2:$A905,0)),"")</f>
        <v/>
      </c>
      <c r="H813" s="5" t="str">
        <f t="array" ref="H813">IF(W813=1,INDEX(Honor!$H$2:$H905,MATCH($D813&amp;"-"&amp;R813,Honor!$K$2:$K905,0)),"")</f>
        <v/>
      </c>
      <c r="I813" s="8" t="str">
        <f>IF(W813=1,SUMIFS(Honor!$I$2:$I905,Honor!$K$2:$K905,$D813&amp;"-"&amp;R813),"")</f>
        <v/>
      </c>
      <c r="J813" s="9" t="str">
        <f t="shared" si="6"/>
        <v/>
      </c>
      <c r="K813" s="10" t="str">
        <f t="shared" si="0"/>
        <v/>
      </c>
      <c r="L813" s="10" t="str">
        <f t="shared" si="1"/>
        <v/>
      </c>
      <c r="M813" s="10" t="str">
        <f>IF(W813=1,IF(AND(U813&lt;2,INT(V813)&lt;='Batasan Honor'!$B$2),1,0),"")</f>
        <v/>
      </c>
      <c r="O813" s="10" t="str">
        <f t="shared" si="2"/>
        <v/>
      </c>
      <c r="P813" s="10" t="str">
        <f t="shared" si="3"/>
        <v/>
      </c>
      <c r="R813" s="23"/>
      <c r="S813" s="10" t="str">
        <f t="shared" si="4"/>
        <v/>
      </c>
      <c r="U813" s="10" t="str">
        <f ca="1">IFERROR(__xludf.DUMMYFUNCTION("if(W813=1,COUNTIFS(FILTER($H$2:$H905,$H$2:$H905=""OB"",$S$2:$S905=S813),""OB""),"""")"),"")</f>
        <v/>
      </c>
      <c r="V813" s="10" t="str">
        <f ca="1">IFERROR(__xludf.DUMMYFUNCTION("IF(OR(ISNA(SUM(FILTER($K$2:$K905,$A$2:$A905=A813,$S$2:$S905=S813,$H$2:$H905&lt;&gt;""OB""))),W813&lt;&gt;1),"""",SUM(FILTER($K$2:$K905,$A$2:$A905=A813,$S$2:$S905=S813,$H$2:$H905&lt;&gt;""OB"")))"),"")</f>
        <v/>
      </c>
      <c r="W813" s="10" t="str">
        <f t="shared" si="5"/>
        <v/>
      </c>
    </row>
    <row r="814" spans="1:23" ht="12.5">
      <c r="A814" s="23"/>
      <c r="B814" s="5" t="str">
        <f t="array" ref="B814">IF(W814=1,INDEX('Database Mitra'!$H$2:$H905,MATCH(A814,'Database Mitra'!AK$2:AK905,0)),"")</f>
        <v/>
      </c>
      <c r="C814" s="5" t="str">
        <f t="array" ref="C814">IF(W814=1,INDEX('Database Mitra'!$E$2:$E905,MATCH(A814,'Database Mitra'!AK$2:AK905,0)),"")</f>
        <v/>
      </c>
      <c r="D814" s="23"/>
      <c r="E814" s="5" t="str">
        <f t="array" ref="E814">IF(W814=1,INDEX('Input Kegiatan'!B$2:B905,MATCH($D814,'Input Kegiatan'!$A$2:$A905,0)),"")</f>
        <v/>
      </c>
      <c r="F814" s="5" t="str">
        <f t="array" ref="F814">IF(W814=1,INDEX('Input Kegiatan'!D$2:D905,MATCH($D814,'Input Kegiatan'!$A$2:$A905,0)),"")</f>
        <v/>
      </c>
      <c r="G814" s="5" t="str">
        <f t="array" ref="G814">IF(W814=1,INDEX('Input Kegiatan'!E$2:E905,MATCH($D814,'Input Kegiatan'!$A$2:$A905,0)),"")</f>
        <v/>
      </c>
      <c r="H814" s="5" t="str">
        <f t="array" ref="H814">IF(W814=1,INDEX(Honor!$H$2:$H905,MATCH($D814&amp;"-"&amp;R814,Honor!$K$2:$K905,0)),"")</f>
        <v/>
      </c>
      <c r="I814" s="8" t="str">
        <f>IF(W814=1,SUMIFS(Honor!$I$2:$I905,Honor!$K$2:$K905,$D814&amp;"-"&amp;R814),"")</f>
        <v/>
      </c>
      <c r="J814" s="9" t="str">
        <f t="shared" si="6"/>
        <v/>
      </c>
      <c r="K814" s="10" t="str">
        <f t="shared" si="0"/>
        <v/>
      </c>
      <c r="L814" s="10" t="str">
        <f t="shared" si="1"/>
        <v/>
      </c>
      <c r="M814" s="10" t="str">
        <f>IF(W814=1,IF(AND(U814&lt;2,INT(V814)&lt;='Batasan Honor'!$B$2),1,0),"")</f>
        <v/>
      </c>
      <c r="O814" s="10" t="str">
        <f t="shared" si="2"/>
        <v/>
      </c>
      <c r="P814" s="10" t="str">
        <f t="shared" si="3"/>
        <v/>
      </c>
      <c r="R814" s="23"/>
      <c r="S814" s="10" t="str">
        <f t="shared" si="4"/>
        <v/>
      </c>
      <c r="U814" s="10" t="str">
        <f ca="1">IFERROR(__xludf.DUMMYFUNCTION("if(W814=1,COUNTIFS(FILTER($H$2:$H905,$H$2:$H905=""OB"",$S$2:$S905=S814),""OB""),"""")"),"")</f>
        <v/>
      </c>
      <c r="V814" s="10" t="str">
        <f ca="1">IFERROR(__xludf.DUMMYFUNCTION("IF(OR(ISNA(SUM(FILTER($K$2:$K905,$A$2:$A905=A814,$S$2:$S905=S814,$H$2:$H905&lt;&gt;""OB""))),W814&lt;&gt;1),"""",SUM(FILTER($K$2:$K905,$A$2:$A905=A814,$S$2:$S905=S814,$H$2:$H905&lt;&gt;""OB"")))"),"")</f>
        <v/>
      </c>
      <c r="W814" s="10" t="str">
        <f t="shared" si="5"/>
        <v/>
      </c>
    </row>
    <row r="815" spans="1:23" ht="12.5">
      <c r="A815" s="23"/>
      <c r="B815" s="5" t="str">
        <f t="array" ref="B815">IF(W815=1,INDEX('Database Mitra'!$H$2:$H905,MATCH(A815,'Database Mitra'!AK$2:AK905,0)),"")</f>
        <v/>
      </c>
      <c r="C815" s="5" t="str">
        <f t="array" ref="C815">IF(W815=1,INDEX('Database Mitra'!$E$2:$E905,MATCH(A815,'Database Mitra'!AK$2:AK905,0)),"")</f>
        <v/>
      </c>
      <c r="D815" s="23"/>
      <c r="E815" s="5" t="str">
        <f t="array" ref="E815">IF(W815=1,INDEX('Input Kegiatan'!B$2:B905,MATCH($D815,'Input Kegiatan'!$A$2:$A905,0)),"")</f>
        <v/>
      </c>
      <c r="F815" s="5" t="str">
        <f t="array" ref="F815">IF(W815=1,INDEX('Input Kegiatan'!D$2:D905,MATCH($D815,'Input Kegiatan'!$A$2:$A905,0)),"")</f>
        <v/>
      </c>
      <c r="G815" s="5" t="str">
        <f t="array" ref="G815">IF(W815=1,INDEX('Input Kegiatan'!E$2:E905,MATCH($D815,'Input Kegiatan'!$A$2:$A905,0)),"")</f>
        <v/>
      </c>
      <c r="H815" s="5" t="str">
        <f t="array" ref="H815">IF(W815=1,INDEX(Honor!$H$2:$H905,MATCH($D815&amp;"-"&amp;R815,Honor!$K$2:$K905,0)),"")</f>
        <v/>
      </c>
      <c r="I815" s="8" t="str">
        <f>IF(W815=1,SUMIFS(Honor!$I$2:$I905,Honor!$K$2:$K905,$D815&amp;"-"&amp;R815),"")</f>
        <v/>
      </c>
      <c r="J815" s="9" t="str">
        <f t="shared" si="6"/>
        <v/>
      </c>
      <c r="K815" s="10" t="str">
        <f t="shared" si="0"/>
        <v/>
      </c>
      <c r="L815" s="10" t="str">
        <f t="shared" si="1"/>
        <v/>
      </c>
      <c r="M815" s="10" t="str">
        <f>IF(W815=1,IF(AND(U815&lt;2,INT(V815)&lt;='Batasan Honor'!$B$2),1,0),"")</f>
        <v/>
      </c>
      <c r="O815" s="10" t="str">
        <f t="shared" si="2"/>
        <v/>
      </c>
      <c r="P815" s="10" t="str">
        <f t="shared" si="3"/>
        <v/>
      </c>
      <c r="R815" s="23"/>
      <c r="S815" s="10" t="str">
        <f t="shared" si="4"/>
        <v/>
      </c>
      <c r="U815" s="10" t="str">
        <f ca="1">IFERROR(__xludf.DUMMYFUNCTION("if(W815=1,COUNTIFS(FILTER($H$2:$H905,$H$2:$H905=""OB"",$S$2:$S905=S815),""OB""),"""")"),"")</f>
        <v/>
      </c>
      <c r="V815" s="10" t="str">
        <f ca="1">IFERROR(__xludf.DUMMYFUNCTION("IF(OR(ISNA(SUM(FILTER($K$2:$K905,$A$2:$A905=A815,$S$2:$S905=S815,$H$2:$H905&lt;&gt;""OB""))),W815&lt;&gt;1),"""",SUM(FILTER($K$2:$K905,$A$2:$A905=A815,$S$2:$S905=S815,$H$2:$H905&lt;&gt;""OB"")))"),"")</f>
        <v/>
      </c>
      <c r="W815" s="10" t="str">
        <f t="shared" si="5"/>
        <v/>
      </c>
    </row>
    <row r="816" spans="1:23" ht="12.5">
      <c r="A816" s="23"/>
      <c r="B816" s="5" t="str">
        <f t="array" ref="B816">IF(W816=1,INDEX('Database Mitra'!$H$2:$H905,MATCH(A816,'Database Mitra'!AK$2:AK905,0)),"")</f>
        <v/>
      </c>
      <c r="C816" s="5" t="str">
        <f t="array" ref="C816">IF(W816=1,INDEX('Database Mitra'!$E$2:$E905,MATCH(A816,'Database Mitra'!AK$2:AK905,0)),"")</f>
        <v/>
      </c>
      <c r="D816" s="23"/>
      <c r="E816" s="5" t="str">
        <f t="array" ref="E816">IF(W816=1,INDEX('Input Kegiatan'!B$2:B905,MATCH($D816,'Input Kegiatan'!$A$2:$A905,0)),"")</f>
        <v/>
      </c>
      <c r="F816" s="5" t="str">
        <f t="array" ref="F816">IF(W816=1,INDEX('Input Kegiatan'!D$2:D905,MATCH($D816,'Input Kegiatan'!$A$2:$A905,0)),"")</f>
        <v/>
      </c>
      <c r="G816" s="5" t="str">
        <f t="array" ref="G816">IF(W816=1,INDEX('Input Kegiatan'!E$2:E905,MATCH($D816,'Input Kegiatan'!$A$2:$A905,0)),"")</f>
        <v/>
      </c>
      <c r="H816" s="5" t="str">
        <f t="array" ref="H816">IF(W816=1,INDEX(Honor!$H$2:$H905,MATCH($D816&amp;"-"&amp;R816,Honor!$K$2:$K905,0)),"")</f>
        <v/>
      </c>
      <c r="I816" s="8" t="str">
        <f>IF(W816=1,SUMIFS(Honor!$I$2:$I905,Honor!$K$2:$K905,$D816&amp;"-"&amp;R816),"")</f>
        <v/>
      </c>
      <c r="J816" s="9" t="str">
        <f t="shared" si="6"/>
        <v/>
      </c>
      <c r="K816" s="10" t="str">
        <f t="shared" si="0"/>
        <v/>
      </c>
      <c r="L816" s="10" t="str">
        <f t="shared" si="1"/>
        <v/>
      </c>
      <c r="M816" s="10" t="str">
        <f>IF(W816=1,IF(AND(U816&lt;2,INT(V816)&lt;='Batasan Honor'!$B$2),1,0),"")</f>
        <v/>
      </c>
      <c r="O816" s="10" t="str">
        <f t="shared" si="2"/>
        <v/>
      </c>
      <c r="P816" s="10" t="str">
        <f t="shared" si="3"/>
        <v/>
      </c>
      <c r="R816" s="23"/>
      <c r="S816" s="10" t="str">
        <f t="shared" si="4"/>
        <v/>
      </c>
      <c r="U816" s="10" t="str">
        <f ca="1">IFERROR(__xludf.DUMMYFUNCTION("if(W816=1,COUNTIFS(FILTER($H$2:$H905,$H$2:$H905=""OB"",$S$2:$S905=S816),""OB""),"""")"),"")</f>
        <v/>
      </c>
      <c r="V816" s="10" t="str">
        <f ca="1">IFERROR(__xludf.DUMMYFUNCTION("IF(OR(ISNA(SUM(FILTER($K$2:$K905,$A$2:$A905=A816,$S$2:$S905=S816,$H$2:$H905&lt;&gt;""OB""))),W816&lt;&gt;1),"""",SUM(FILTER($K$2:$K905,$A$2:$A905=A816,$S$2:$S905=S816,$H$2:$H905&lt;&gt;""OB"")))"),"")</f>
        <v/>
      </c>
      <c r="W816" s="10" t="str">
        <f t="shared" si="5"/>
        <v/>
      </c>
    </row>
    <row r="817" spans="1:23" ht="12.5">
      <c r="A817" s="23"/>
      <c r="B817" s="5" t="str">
        <f t="array" ref="B817">IF(W817=1,INDEX('Database Mitra'!$H$2:$H905,MATCH(A817,'Database Mitra'!AK$2:AK905,0)),"")</f>
        <v/>
      </c>
      <c r="C817" s="5" t="str">
        <f t="array" ref="C817">IF(W817=1,INDEX('Database Mitra'!$E$2:$E905,MATCH(A817,'Database Mitra'!AK$2:AK905,0)),"")</f>
        <v/>
      </c>
      <c r="D817" s="23"/>
      <c r="E817" s="5" t="str">
        <f t="array" ref="E817">IF(W817=1,INDEX('Input Kegiatan'!B$2:B905,MATCH($D817,'Input Kegiatan'!$A$2:$A905,0)),"")</f>
        <v/>
      </c>
      <c r="F817" s="5" t="str">
        <f t="array" ref="F817">IF(W817=1,INDEX('Input Kegiatan'!D$2:D905,MATCH($D817,'Input Kegiatan'!$A$2:$A905,0)),"")</f>
        <v/>
      </c>
      <c r="G817" s="5" t="str">
        <f t="array" ref="G817">IF(W817=1,INDEX('Input Kegiatan'!E$2:E905,MATCH($D817,'Input Kegiatan'!$A$2:$A905,0)),"")</f>
        <v/>
      </c>
      <c r="H817" s="5" t="str">
        <f t="array" ref="H817">IF(W817=1,INDEX(Honor!$H$2:$H905,MATCH($D817&amp;"-"&amp;R817,Honor!$K$2:$K905,0)),"")</f>
        <v/>
      </c>
      <c r="I817" s="8" t="str">
        <f>IF(W817=1,SUMIFS(Honor!$I$2:$I905,Honor!$K$2:$K905,$D817&amp;"-"&amp;R817),"")</f>
        <v/>
      </c>
      <c r="J817" s="9" t="str">
        <f t="shared" si="6"/>
        <v/>
      </c>
      <c r="K817" s="10" t="str">
        <f t="shared" si="0"/>
        <v/>
      </c>
      <c r="L817" s="10" t="str">
        <f t="shared" si="1"/>
        <v/>
      </c>
      <c r="M817" s="10" t="str">
        <f>IF(W817=1,IF(AND(U817&lt;2,INT(V817)&lt;='Batasan Honor'!$B$2),1,0),"")</f>
        <v/>
      </c>
      <c r="O817" s="10" t="str">
        <f t="shared" si="2"/>
        <v/>
      </c>
      <c r="P817" s="10" t="str">
        <f t="shared" si="3"/>
        <v/>
      </c>
      <c r="R817" s="23"/>
      <c r="S817" s="10" t="str">
        <f t="shared" si="4"/>
        <v/>
      </c>
      <c r="U817" s="10" t="str">
        <f ca="1">IFERROR(__xludf.DUMMYFUNCTION("if(W817=1,COUNTIFS(FILTER($H$2:$H905,$H$2:$H905=""OB"",$S$2:$S905=S817),""OB""),"""")"),"")</f>
        <v/>
      </c>
      <c r="V817" s="10" t="str">
        <f ca="1">IFERROR(__xludf.DUMMYFUNCTION("IF(OR(ISNA(SUM(FILTER($K$2:$K905,$A$2:$A905=A817,$S$2:$S905=S817,$H$2:$H905&lt;&gt;""OB""))),W817&lt;&gt;1),"""",SUM(FILTER($K$2:$K905,$A$2:$A905=A817,$S$2:$S905=S817,$H$2:$H905&lt;&gt;""OB"")))"),"")</f>
        <v/>
      </c>
      <c r="W817" s="10" t="str">
        <f t="shared" si="5"/>
        <v/>
      </c>
    </row>
    <row r="818" spans="1:23" ht="12.5">
      <c r="A818" s="23"/>
      <c r="B818" s="5" t="str">
        <f t="array" ref="B818">IF(W818=1,INDEX('Database Mitra'!$H$2:$H905,MATCH(A818,'Database Mitra'!AK$2:AK905,0)),"")</f>
        <v/>
      </c>
      <c r="C818" s="5" t="str">
        <f t="array" ref="C818">IF(W818=1,INDEX('Database Mitra'!$E$2:$E905,MATCH(A818,'Database Mitra'!AK$2:AK905,0)),"")</f>
        <v/>
      </c>
      <c r="D818" s="23"/>
      <c r="E818" s="5" t="str">
        <f t="array" ref="E818">IF(W818=1,INDEX('Input Kegiatan'!B$2:B905,MATCH($D818,'Input Kegiatan'!$A$2:$A905,0)),"")</f>
        <v/>
      </c>
      <c r="F818" s="5" t="str">
        <f t="array" ref="F818">IF(W818=1,INDEX('Input Kegiatan'!D$2:D905,MATCH($D818,'Input Kegiatan'!$A$2:$A905,0)),"")</f>
        <v/>
      </c>
      <c r="G818" s="5" t="str">
        <f t="array" ref="G818">IF(W818=1,INDEX('Input Kegiatan'!E$2:E905,MATCH($D818,'Input Kegiatan'!$A$2:$A905,0)),"")</f>
        <v/>
      </c>
      <c r="H818" s="5" t="str">
        <f t="array" ref="H818">IF(W818=1,INDEX(Honor!$H$2:$H905,MATCH($D818&amp;"-"&amp;R818,Honor!$K$2:$K905,0)),"")</f>
        <v/>
      </c>
      <c r="I818" s="8" t="str">
        <f>IF(W818=1,SUMIFS(Honor!$I$2:$I905,Honor!$K$2:$K905,$D818&amp;"-"&amp;R818),"")</f>
        <v/>
      </c>
      <c r="J818" s="9" t="str">
        <f t="shared" si="6"/>
        <v/>
      </c>
      <c r="K818" s="10" t="str">
        <f t="shared" si="0"/>
        <v/>
      </c>
      <c r="L818" s="10" t="str">
        <f t="shared" si="1"/>
        <v/>
      </c>
      <c r="M818" s="10" t="str">
        <f>IF(W818=1,IF(AND(U818&lt;2,INT(V818)&lt;='Batasan Honor'!$B$2),1,0),"")</f>
        <v/>
      </c>
      <c r="O818" s="10" t="str">
        <f t="shared" si="2"/>
        <v/>
      </c>
      <c r="P818" s="10" t="str">
        <f t="shared" si="3"/>
        <v/>
      </c>
      <c r="R818" s="23"/>
      <c r="S818" s="10" t="str">
        <f t="shared" si="4"/>
        <v/>
      </c>
      <c r="U818" s="10" t="str">
        <f ca="1">IFERROR(__xludf.DUMMYFUNCTION("if(W818=1,COUNTIFS(FILTER($H$2:$H905,$H$2:$H905=""OB"",$S$2:$S905=S818),""OB""),"""")"),"")</f>
        <v/>
      </c>
      <c r="V818" s="10" t="str">
        <f ca="1">IFERROR(__xludf.DUMMYFUNCTION("IF(OR(ISNA(SUM(FILTER($K$2:$K905,$A$2:$A905=A818,$S$2:$S905=S818,$H$2:$H905&lt;&gt;""OB""))),W818&lt;&gt;1),"""",SUM(FILTER($K$2:$K905,$A$2:$A905=A818,$S$2:$S905=S818,$H$2:$H905&lt;&gt;""OB"")))"),"")</f>
        <v/>
      </c>
      <c r="W818" s="10" t="str">
        <f t="shared" si="5"/>
        <v/>
      </c>
    </row>
    <row r="819" spans="1:23" ht="12.5">
      <c r="A819" s="23"/>
      <c r="B819" s="5" t="str">
        <f t="array" ref="B819">IF(W819=1,INDEX('Database Mitra'!$H$2:$H905,MATCH(A819,'Database Mitra'!AK$2:AK905,0)),"")</f>
        <v/>
      </c>
      <c r="C819" s="5" t="str">
        <f t="array" ref="C819">IF(W819=1,INDEX('Database Mitra'!$E$2:$E905,MATCH(A819,'Database Mitra'!AK$2:AK905,0)),"")</f>
        <v/>
      </c>
      <c r="D819" s="23"/>
      <c r="E819" s="5" t="str">
        <f t="array" ref="E819">IF(W819=1,INDEX('Input Kegiatan'!B$2:B905,MATCH($D819,'Input Kegiatan'!$A$2:$A905,0)),"")</f>
        <v/>
      </c>
      <c r="F819" s="5" t="str">
        <f t="array" ref="F819">IF(W819=1,INDEX('Input Kegiatan'!D$2:D905,MATCH($D819,'Input Kegiatan'!$A$2:$A905,0)),"")</f>
        <v/>
      </c>
      <c r="G819" s="5" t="str">
        <f t="array" ref="G819">IF(W819=1,INDEX('Input Kegiatan'!E$2:E905,MATCH($D819,'Input Kegiatan'!$A$2:$A905,0)),"")</f>
        <v/>
      </c>
      <c r="H819" s="5" t="str">
        <f t="array" ref="H819">IF(W819=1,INDEX(Honor!$H$2:$H905,MATCH($D819&amp;"-"&amp;R819,Honor!$K$2:$K905,0)),"")</f>
        <v/>
      </c>
      <c r="I819" s="8" t="str">
        <f>IF(W819=1,SUMIFS(Honor!$I$2:$I905,Honor!$K$2:$K905,$D819&amp;"-"&amp;R819),"")</f>
        <v/>
      </c>
      <c r="J819" s="9" t="str">
        <f t="shared" si="6"/>
        <v/>
      </c>
      <c r="K819" s="10" t="str">
        <f t="shared" si="0"/>
        <v/>
      </c>
      <c r="L819" s="10" t="str">
        <f t="shared" si="1"/>
        <v/>
      </c>
      <c r="M819" s="10" t="str">
        <f>IF(W819=1,IF(AND(U819&lt;2,INT(V819)&lt;='Batasan Honor'!$B$2),1,0),"")</f>
        <v/>
      </c>
      <c r="O819" s="10" t="str">
        <f t="shared" si="2"/>
        <v/>
      </c>
      <c r="P819" s="10" t="str">
        <f t="shared" si="3"/>
        <v/>
      </c>
      <c r="R819" s="23"/>
      <c r="S819" s="10" t="str">
        <f t="shared" si="4"/>
        <v/>
      </c>
      <c r="U819" s="10" t="str">
        <f ca="1">IFERROR(__xludf.DUMMYFUNCTION("if(W819=1,COUNTIFS(FILTER($H$2:$H905,$H$2:$H905=""OB"",$S$2:$S905=S819),""OB""),"""")"),"")</f>
        <v/>
      </c>
      <c r="V819" s="10" t="str">
        <f ca="1">IFERROR(__xludf.DUMMYFUNCTION("IF(OR(ISNA(SUM(FILTER($K$2:$K905,$A$2:$A905=A819,$S$2:$S905=S819,$H$2:$H905&lt;&gt;""OB""))),W819&lt;&gt;1),"""",SUM(FILTER($K$2:$K905,$A$2:$A905=A819,$S$2:$S905=S819,$H$2:$H905&lt;&gt;""OB"")))"),"")</f>
        <v/>
      </c>
      <c r="W819" s="10" t="str">
        <f t="shared" si="5"/>
        <v/>
      </c>
    </row>
    <row r="820" spans="1:23" ht="12.5">
      <c r="A820" s="23"/>
      <c r="B820" s="5" t="str">
        <f t="array" ref="B820">IF(W820=1,INDEX('Database Mitra'!$H$2:$H905,MATCH(A820,'Database Mitra'!AK$2:AK905,0)),"")</f>
        <v/>
      </c>
      <c r="C820" s="5" t="str">
        <f t="array" ref="C820">IF(W820=1,INDEX('Database Mitra'!$E$2:$E905,MATCH(A820,'Database Mitra'!AK$2:AK905,0)),"")</f>
        <v/>
      </c>
      <c r="D820" s="23"/>
      <c r="E820" s="5" t="str">
        <f t="array" ref="E820">IF(W820=1,INDEX('Input Kegiatan'!B$2:B905,MATCH($D820,'Input Kegiatan'!$A$2:$A905,0)),"")</f>
        <v/>
      </c>
      <c r="F820" s="5" t="str">
        <f t="array" ref="F820">IF(W820=1,INDEX('Input Kegiatan'!D$2:D905,MATCH($D820,'Input Kegiatan'!$A$2:$A905,0)),"")</f>
        <v/>
      </c>
      <c r="G820" s="5" t="str">
        <f t="array" ref="G820">IF(W820=1,INDEX('Input Kegiatan'!E$2:E905,MATCH($D820,'Input Kegiatan'!$A$2:$A905,0)),"")</f>
        <v/>
      </c>
      <c r="H820" s="5" t="str">
        <f t="array" ref="H820">IF(W820=1,INDEX(Honor!$H$2:$H905,MATCH($D820&amp;"-"&amp;R820,Honor!$K$2:$K905,0)),"")</f>
        <v/>
      </c>
      <c r="I820" s="8" t="str">
        <f>IF(W820=1,SUMIFS(Honor!$I$2:$I905,Honor!$K$2:$K905,$D820&amp;"-"&amp;R820),"")</f>
        <v/>
      </c>
      <c r="J820" s="9" t="str">
        <f t="shared" si="6"/>
        <v/>
      </c>
      <c r="K820" s="10" t="str">
        <f t="shared" si="0"/>
        <v/>
      </c>
      <c r="L820" s="10" t="str">
        <f t="shared" si="1"/>
        <v/>
      </c>
      <c r="M820" s="10" t="str">
        <f>IF(W820=1,IF(AND(U820&lt;2,INT(V820)&lt;='Batasan Honor'!$B$2),1,0),"")</f>
        <v/>
      </c>
      <c r="O820" s="10" t="str">
        <f t="shared" si="2"/>
        <v/>
      </c>
      <c r="P820" s="10" t="str">
        <f t="shared" si="3"/>
        <v/>
      </c>
      <c r="R820" s="23"/>
      <c r="S820" s="10" t="str">
        <f t="shared" si="4"/>
        <v/>
      </c>
      <c r="U820" s="10" t="str">
        <f ca="1">IFERROR(__xludf.DUMMYFUNCTION("if(W820=1,COUNTIFS(FILTER($H$2:$H905,$H$2:$H905=""OB"",$S$2:$S905=S820),""OB""),"""")"),"")</f>
        <v/>
      </c>
      <c r="V820" s="10" t="str">
        <f ca="1">IFERROR(__xludf.DUMMYFUNCTION("IF(OR(ISNA(SUM(FILTER($K$2:$K905,$A$2:$A905=A820,$S$2:$S905=S820,$H$2:$H905&lt;&gt;""OB""))),W820&lt;&gt;1),"""",SUM(FILTER($K$2:$K905,$A$2:$A905=A820,$S$2:$S905=S820,$H$2:$H905&lt;&gt;""OB"")))"),"")</f>
        <v/>
      </c>
      <c r="W820" s="10" t="str">
        <f t="shared" si="5"/>
        <v/>
      </c>
    </row>
    <row r="821" spans="1:23" ht="12.5">
      <c r="A821" s="23"/>
      <c r="B821" s="5" t="str">
        <f t="array" ref="B821">IF(W821=1,INDEX('Database Mitra'!$H$2:$H905,MATCH(A821,'Database Mitra'!AK$2:AK905,0)),"")</f>
        <v/>
      </c>
      <c r="C821" s="5" t="str">
        <f t="array" ref="C821">IF(W821=1,INDEX('Database Mitra'!$E$2:$E905,MATCH(A821,'Database Mitra'!AK$2:AK905,0)),"")</f>
        <v/>
      </c>
      <c r="D821" s="23"/>
      <c r="E821" s="5" t="str">
        <f t="array" ref="E821">IF(W821=1,INDEX('Input Kegiatan'!B$2:B905,MATCH($D821,'Input Kegiatan'!$A$2:$A905,0)),"")</f>
        <v/>
      </c>
      <c r="F821" s="5" t="str">
        <f t="array" ref="F821">IF(W821=1,INDEX('Input Kegiatan'!D$2:D905,MATCH($D821,'Input Kegiatan'!$A$2:$A905,0)),"")</f>
        <v/>
      </c>
      <c r="G821" s="5" t="str">
        <f t="array" ref="G821">IF(W821=1,INDEX('Input Kegiatan'!E$2:E905,MATCH($D821,'Input Kegiatan'!$A$2:$A905,0)),"")</f>
        <v/>
      </c>
      <c r="H821" s="5" t="str">
        <f t="array" ref="H821">IF(W821=1,INDEX(Honor!$H$2:$H905,MATCH($D821&amp;"-"&amp;R821,Honor!$K$2:$K905,0)),"")</f>
        <v/>
      </c>
      <c r="I821" s="8" t="str">
        <f>IF(W821=1,SUMIFS(Honor!$I$2:$I905,Honor!$K$2:$K905,$D821&amp;"-"&amp;R821),"")</f>
        <v/>
      </c>
      <c r="J821" s="9" t="str">
        <f t="shared" si="6"/>
        <v/>
      </c>
      <c r="K821" s="10" t="str">
        <f t="shared" si="0"/>
        <v/>
      </c>
      <c r="L821" s="10" t="str">
        <f t="shared" si="1"/>
        <v/>
      </c>
      <c r="M821" s="10" t="str">
        <f>IF(W821=1,IF(AND(U821&lt;2,INT(V821)&lt;='Batasan Honor'!$B$2),1,0),"")</f>
        <v/>
      </c>
      <c r="O821" s="10" t="str">
        <f t="shared" si="2"/>
        <v/>
      </c>
      <c r="P821" s="10" t="str">
        <f t="shared" si="3"/>
        <v/>
      </c>
      <c r="R821" s="23"/>
      <c r="S821" s="10" t="str">
        <f t="shared" si="4"/>
        <v/>
      </c>
      <c r="U821" s="10" t="str">
        <f ca="1">IFERROR(__xludf.DUMMYFUNCTION("if(W821=1,COUNTIFS(FILTER($H$2:$H905,$H$2:$H905=""OB"",$S$2:$S905=S821),""OB""),"""")"),"")</f>
        <v/>
      </c>
      <c r="V821" s="10" t="str">
        <f ca="1">IFERROR(__xludf.DUMMYFUNCTION("IF(OR(ISNA(SUM(FILTER($K$2:$K905,$A$2:$A905=A821,$S$2:$S905=S821,$H$2:$H905&lt;&gt;""OB""))),W821&lt;&gt;1),"""",SUM(FILTER($K$2:$K905,$A$2:$A905=A821,$S$2:$S905=S821,$H$2:$H905&lt;&gt;""OB"")))"),"")</f>
        <v/>
      </c>
      <c r="W821" s="10" t="str">
        <f t="shared" si="5"/>
        <v/>
      </c>
    </row>
    <row r="822" spans="1:23" ht="12.5">
      <c r="A822" s="23"/>
      <c r="B822" s="5" t="str">
        <f t="array" ref="B822">IF(W822=1,INDEX('Database Mitra'!$H$2:$H905,MATCH(A822,'Database Mitra'!AK$2:AK905,0)),"")</f>
        <v/>
      </c>
      <c r="C822" s="5" t="str">
        <f t="array" ref="C822">IF(W822=1,INDEX('Database Mitra'!$E$2:$E905,MATCH(A822,'Database Mitra'!AK$2:AK905,0)),"")</f>
        <v/>
      </c>
      <c r="D822" s="23"/>
      <c r="E822" s="5" t="str">
        <f t="array" ref="E822">IF(W822=1,INDEX('Input Kegiatan'!B$2:B905,MATCH($D822,'Input Kegiatan'!$A$2:$A905,0)),"")</f>
        <v/>
      </c>
      <c r="F822" s="5" t="str">
        <f t="array" ref="F822">IF(W822=1,INDEX('Input Kegiatan'!D$2:D905,MATCH($D822,'Input Kegiatan'!$A$2:$A905,0)),"")</f>
        <v/>
      </c>
      <c r="G822" s="5" t="str">
        <f t="array" ref="G822">IF(W822=1,INDEX('Input Kegiatan'!E$2:E905,MATCH($D822,'Input Kegiatan'!$A$2:$A905,0)),"")</f>
        <v/>
      </c>
      <c r="H822" s="5" t="str">
        <f t="array" ref="H822">IF(W822=1,INDEX(Honor!$H$2:$H905,MATCH($D822&amp;"-"&amp;R822,Honor!$K$2:$K905,0)),"")</f>
        <v/>
      </c>
      <c r="I822" s="8" t="str">
        <f>IF(W822=1,SUMIFS(Honor!$I$2:$I905,Honor!$K$2:$K905,$D822&amp;"-"&amp;R822),"")</f>
        <v/>
      </c>
      <c r="J822" s="9" t="str">
        <f t="shared" si="6"/>
        <v/>
      </c>
      <c r="K822" s="10" t="str">
        <f t="shared" si="0"/>
        <v/>
      </c>
      <c r="L822" s="10" t="str">
        <f t="shared" si="1"/>
        <v/>
      </c>
      <c r="M822" s="10" t="str">
        <f>IF(W822=1,IF(AND(U822&lt;2,INT(V822)&lt;='Batasan Honor'!$B$2),1,0),"")</f>
        <v/>
      </c>
      <c r="O822" s="10" t="str">
        <f t="shared" si="2"/>
        <v/>
      </c>
      <c r="P822" s="10" t="str">
        <f t="shared" si="3"/>
        <v/>
      </c>
      <c r="R822" s="23"/>
      <c r="S822" s="10" t="str">
        <f t="shared" si="4"/>
        <v/>
      </c>
      <c r="U822" s="10" t="str">
        <f ca="1">IFERROR(__xludf.DUMMYFUNCTION("if(W822=1,COUNTIFS(FILTER($H$2:$H905,$H$2:$H905=""OB"",$S$2:$S905=S822),""OB""),"""")"),"")</f>
        <v/>
      </c>
      <c r="V822" s="10" t="str">
        <f ca="1">IFERROR(__xludf.DUMMYFUNCTION("IF(OR(ISNA(SUM(FILTER($K$2:$K905,$A$2:$A905=A822,$S$2:$S905=S822,$H$2:$H905&lt;&gt;""OB""))),W822&lt;&gt;1),"""",SUM(FILTER($K$2:$K905,$A$2:$A905=A822,$S$2:$S905=S822,$H$2:$H905&lt;&gt;""OB"")))"),"")</f>
        <v/>
      </c>
      <c r="W822" s="10" t="str">
        <f t="shared" si="5"/>
        <v/>
      </c>
    </row>
    <row r="823" spans="1:23" ht="12.5">
      <c r="A823" s="23"/>
      <c r="B823" s="5" t="str">
        <f t="array" ref="B823">IF(W823=1,INDEX('Database Mitra'!$H$2:$H905,MATCH(A823,'Database Mitra'!AK$2:AK905,0)),"")</f>
        <v/>
      </c>
      <c r="C823" s="5" t="str">
        <f t="array" ref="C823">IF(W823=1,INDEX('Database Mitra'!$E$2:$E905,MATCH(A823,'Database Mitra'!AK$2:AK905,0)),"")</f>
        <v/>
      </c>
      <c r="D823" s="23"/>
      <c r="E823" s="5" t="str">
        <f t="array" ref="E823">IF(W823=1,INDEX('Input Kegiatan'!B$2:B905,MATCH($D823,'Input Kegiatan'!$A$2:$A905,0)),"")</f>
        <v/>
      </c>
      <c r="F823" s="5" t="str">
        <f t="array" ref="F823">IF(W823=1,INDEX('Input Kegiatan'!D$2:D905,MATCH($D823,'Input Kegiatan'!$A$2:$A905,0)),"")</f>
        <v/>
      </c>
      <c r="G823" s="5" t="str">
        <f t="array" ref="G823">IF(W823=1,INDEX('Input Kegiatan'!E$2:E905,MATCH($D823,'Input Kegiatan'!$A$2:$A905,0)),"")</f>
        <v/>
      </c>
      <c r="H823" s="5" t="str">
        <f t="array" ref="H823">IF(W823=1,INDEX(Honor!$H$2:$H905,MATCH($D823&amp;"-"&amp;R823,Honor!$K$2:$K905,0)),"")</f>
        <v/>
      </c>
      <c r="I823" s="8" t="str">
        <f>IF(W823=1,SUMIFS(Honor!$I$2:$I905,Honor!$K$2:$K905,$D823&amp;"-"&amp;R823),"")</f>
        <v/>
      </c>
      <c r="J823" s="9" t="str">
        <f t="shared" si="6"/>
        <v/>
      </c>
      <c r="K823" s="10" t="str">
        <f t="shared" si="0"/>
        <v/>
      </c>
      <c r="L823" s="10" t="str">
        <f t="shared" si="1"/>
        <v/>
      </c>
      <c r="M823" s="10" t="str">
        <f>IF(W823=1,IF(AND(U823&lt;2,INT(V823)&lt;='Batasan Honor'!$B$2),1,0),"")</f>
        <v/>
      </c>
      <c r="O823" s="10" t="str">
        <f t="shared" si="2"/>
        <v/>
      </c>
      <c r="P823" s="10" t="str">
        <f t="shared" si="3"/>
        <v/>
      </c>
      <c r="R823" s="23"/>
      <c r="S823" s="10" t="str">
        <f t="shared" si="4"/>
        <v/>
      </c>
      <c r="U823" s="10" t="str">
        <f ca="1">IFERROR(__xludf.DUMMYFUNCTION("if(W823=1,COUNTIFS(FILTER($H$2:$H905,$H$2:$H905=""OB"",$S$2:$S905=S823),""OB""),"""")"),"")</f>
        <v/>
      </c>
      <c r="V823" s="10" t="str">
        <f ca="1">IFERROR(__xludf.DUMMYFUNCTION("IF(OR(ISNA(SUM(FILTER($K$2:$K905,$A$2:$A905=A823,$S$2:$S905=S823,$H$2:$H905&lt;&gt;""OB""))),W823&lt;&gt;1),"""",SUM(FILTER($K$2:$K905,$A$2:$A905=A823,$S$2:$S905=S823,$H$2:$H905&lt;&gt;""OB"")))"),"")</f>
        <v/>
      </c>
      <c r="W823" s="10" t="str">
        <f t="shared" si="5"/>
        <v/>
      </c>
    </row>
    <row r="824" spans="1:23" ht="12.5">
      <c r="A824" s="23"/>
      <c r="B824" s="5" t="str">
        <f t="array" ref="B824">IF(W824=1,INDEX('Database Mitra'!$H$2:$H905,MATCH(A824,'Database Mitra'!AK$2:AK905,0)),"")</f>
        <v/>
      </c>
      <c r="C824" s="5" t="str">
        <f t="array" ref="C824">IF(W824=1,INDEX('Database Mitra'!$E$2:$E905,MATCH(A824,'Database Mitra'!AK$2:AK905,0)),"")</f>
        <v/>
      </c>
      <c r="D824" s="23"/>
      <c r="E824" s="5" t="str">
        <f t="array" ref="E824">IF(W824=1,INDEX('Input Kegiatan'!B$2:B905,MATCH($D824,'Input Kegiatan'!$A$2:$A905,0)),"")</f>
        <v/>
      </c>
      <c r="F824" s="5" t="str">
        <f t="array" ref="F824">IF(W824=1,INDEX('Input Kegiatan'!D$2:D905,MATCH($D824,'Input Kegiatan'!$A$2:$A905,0)),"")</f>
        <v/>
      </c>
      <c r="G824" s="5" t="str">
        <f t="array" ref="G824">IF(W824=1,INDEX('Input Kegiatan'!E$2:E905,MATCH($D824,'Input Kegiatan'!$A$2:$A905,0)),"")</f>
        <v/>
      </c>
      <c r="H824" s="5" t="str">
        <f t="array" ref="H824">IF(W824=1,INDEX(Honor!$H$2:$H905,MATCH($D824&amp;"-"&amp;R824,Honor!$K$2:$K905,0)),"")</f>
        <v/>
      </c>
      <c r="I824" s="8" t="str">
        <f>IF(W824=1,SUMIFS(Honor!$I$2:$I905,Honor!$K$2:$K905,$D824&amp;"-"&amp;R824),"")</f>
        <v/>
      </c>
      <c r="J824" s="9" t="str">
        <f t="shared" si="6"/>
        <v/>
      </c>
      <c r="K824" s="10" t="str">
        <f t="shared" si="0"/>
        <v/>
      </c>
      <c r="L824" s="10" t="str">
        <f t="shared" si="1"/>
        <v/>
      </c>
      <c r="M824" s="10" t="str">
        <f>IF(W824=1,IF(AND(U824&lt;2,INT(V824)&lt;='Batasan Honor'!$B$2),1,0),"")</f>
        <v/>
      </c>
      <c r="O824" s="10" t="str">
        <f t="shared" si="2"/>
        <v/>
      </c>
      <c r="P824" s="10" t="str">
        <f t="shared" si="3"/>
        <v/>
      </c>
      <c r="R824" s="23"/>
      <c r="S824" s="10" t="str">
        <f t="shared" si="4"/>
        <v/>
      </c>
      <c r="U824" s="10" t="str">
        <f ca="1">IFERROR(__xludf.DUMMYFUNCTION("if(W824=1,COUNTIFS(FILTER($H$2:$H905,$H$2:$H905=""OB"",$S$2:$S905=S824),""OB""),"""")"),"")</f>
        <v/>
      </c>
      <c r="V824" s="10" t="str">
        <f ca="1">IFERROR(__xludf.DUMMYFUNCTION("IF(OR(ISNA(SUM(FILTER($K$2:$K905,$A$2:$A905=A824,$S$2:$S905=S824,$H$2:$H905&lt;&gt;""OB""))),W824&lt;&gt;1),"""",SUM(FILTER($K$2:$K905,$A$2:$A905=A824,$S$2:$S905=S824,$H$2:$H905&lt;&gt;""OB"")))"),"")</f>
        <v/>
      </c>
      <c r="W824" s="10" t="str">
        <f t="shared" si="5"/>
        <v/>
      </c>
    </row>
    <row r="825" spans="1:23" ht="12.5">
      <c r="A825" s="23"/>
      <c r="B825" s="5" t="str">
        <f t="array" ref="B825">IF(W825=1,INDEX('Database Mitra'!$H$2:$H905,MATCH(A825,'Database Mitra'!AK$2:AK905,0)),"")</f>
        <v/>
      </c>
      <c r="C825" s="5" t="str">
        <f t="array" ref="C825">IF(W825=1,INDEX('Database Mitra'!$E$2:$E905,MATCH(A825,'Database Mitra'!AK$2:AK905,0)),"")</f>
        <v/>
      </c>
      <c r="D825" s="23"/>
      <c r="E825" s="5" t="str">
        <f t="array" ref="E825">IF(W825=1,INDEX('Input Kegiatan'!B$2:B905,MATCH($D825,'Input Kegiatan'!$A$2:$A905,0)),"")</f>
        <v/>
      </c>
      <c r="F825" s="5" t="str">
        <f t="array" ref="F825">IF(W825=1,INDEX('Input Kegiatan'!D$2:D905,MATCH($D825,'Input Kegiatan'!$A$2:$A905,0)),"")</f>
        <v/>
      </c>
      <c r="G825" s="5" t="str">
        <f t="array" ref="G825">IF(W825=1,INDEX('Input Kegiatan'!E$2:E905,MATCH($D825,'Input Kegiatan'!$A$2:$A905,0)),"")</f>
        <v/>
      </c>
      <c r="H825" s="5" t="str">
        <f t="array" ref="H825">IF(W825=1,INDEX(Honor!$H$2:$H905,MATCH($D825&amp;"-"&amp;R825,Honor!$K$2:$K905,0)),"")</f>
        <v/>
      </c>
      <c r="I825" s="8" t="str">
        <f>IF(W825=1,SUMIFS(Honor!$I$2:$I905,Honor!$K$2:$K905,$D825&amp;"-"&amp;R825),"")</f>
        <v/>
      </c>
      <c r="J825" s="9" t="str">
        <f t="shared" si="6"/>
        <v/>
      </c>
      <c r="K825" s="10" t="str">
        <f t="shared" si="0"/>
        <v/>
      </c>
      <c r="L825" s="10" t="str">
        <f t="shared" si="1"/>
        <v/>
      </c>
      <c r="M825" s="10" t="str">
        <f>IF(W825=1,IF(AND(U825&lt;2,INT(V825)&lt;='Batasan Honor'!$B$2),1,0),"")</f>
        <v/>
      </c>
      <c r="O825" s="10" t="str">
        <f t="shared" si="2"/>
        <v/>
      </c>
      <c r="P825" s="10" t="str">
        <f t="shared" si="3"/>
        <v/>
      </c>
      <c r="R825" s="23"/>
      <c r="S825" s="10" t="str">
        <f t="shared" si="4"/>
        <v/>
      </c>
      <c r="U825" s="10" t="str">
        <f ca="1">IFERROR(__xludf.DUMMYFUNCTION("if(W825=1,COUNTIFS(FILTER($H$2:$H905,$H$2:$H905=""OB"",$S$2:$S905=S825),""OB""),"""")"),"")</f>
        <v/>
      </c>
      <c r="V825" s="10" t="str">
        <f ca="1">IFERROR(__xludf.DUMMYFUNCTION("IF(OR(ISNA(SUM(FILTER($K$2:$K905,$A$2:$A905=A825,$S$2:$S905=S825,$H$2:$H905&lt;&gt;""OB""))),W825&lt;&gt;1),"""",SUM(FILTER($K$2:$K905,$A$2:$A905=A825,$S$2:$S905=S825,$H$2:$H905&lt;&gt;""OB"")))"),"")</f>
        <v/>
      </c>
      <c r="W825" s="10" t="str">
        <f t="shared" si="5"/>
        <v/>
      </c>
    </row>
    <row r="826" spans="1:23" ht="12.5">
      <c r="A826" s="23"/>
      <c r="B826" s="5" t="str">
        <f t="array" ref="B826">IF(W826=1,INDEX('Database Mitra'!$H$2:$H905,MATCH(A826,'Database Mitra'!AK$2:AK905,0)),"")</f>
        <v/>
      </c>
      <c r="C826" s="5" t="str">
        <f t="array" ref="C826">IF(W826=1,INDEX('Database Mitra'!$E$2:$E905,MATCH(A826,'Database Mitra'!AK$2:AK905,0)),"")</f>
        <v/>
      </c>
      <c r="D826" s="23"/>
      <c r="E826" s="5" t="str">
        <f t="array" ref="E826">IF(W826=1,INDEX('Input Kegiatan'!B$2:B905,MATCH($D826,'Input Kegiatan'!$A$2:$A905,0)),"")</f>
        <v/>
      </c>
      <c r="F826" s="5" t="str">
        <f t="array" ref="F826">IF(W826=1,INDEX('Input Kegiatan'!D$2:D905,MATCH($D826,'Input Kegiatan'!$A$2:$A905,0)),"")</f>
        <v/>
      </c>
      <c r="G826" s="5" t="str">
        <f t="array" ref="G826">IF(W826=1,INDEX('Input Kegiatan'!E$2:E905,MATCH($D826,'Input Kegiatan'!$A$2:$A905,0)),"")</f>
        <v/>
      </c>
      <c r="H826" s="5" t="str">
        <f t="array" ref="H826">IF(W826=1,INDEX(Honor!$H$2:$H905,MATCH($D826&amp;"-"&amp;R826,Honor!$K$2:$K905,0)),"")</f>
        <v/>
      </c>
      <c r="I826" s="8" t="str">
        <f>IF(W826=1,SUMIFS(Honor!$I$2:$I905,Honor!$K$2:$K905,$D826&amp;"-"&amp;R826),"")</f>
        <v/>
      </c>
      <c r="J826" s="9" t="str">
        <f t="shared" si="6"/>
        <v/>
      </c>
      <c r="K826" s="10" t="str">
        <f t="shared" si="0"/>
        <v/>
      </c>
      <c r="L826" s="10" t="str">
        <f t="shared" si="1"/>
        <v/>
      </c>
      <c r="M826" s="10" t="str">
        <f>IF(W826=1,IF(AND(U826&lt;2,INT(V826)&lt;='Batasan Honor'!$B$2),1,0),"")</f>
        <v/>
      </c>
      <c r="O826" s="10" t="str">
        <f t="shared" si="2"/>
        <v/>
      </c>
      <c r="P826" s="10" t="str">
        <f t="shared" si="3"/>
        <v/>
      </c>
      <c r="R826" s="23"/>
      <c r="S826" s="10" t="str">
        <f t="shared" si="4"/>
        <v/>
      </c>
      <c r="U826" s="10" t="str">
        <f ca="1">IFERROR(__xludf.DUMMYFUNCTION("if(W826=1,COUNTIFS(FILTER($H$2:$H905,$H$2:$H905=""OB"",$S$2:$S905=S826),""OB""),"""")"),"")</f>
        <v/>
      </c>
      <c r="V826" s="10" t="str">
        <f ca="1">IFERROR(__xludf.DUMMYFUNCTION("IF(OR(ISNA(SUM(FILTER($K$2:$K905,$A$2:$A905=A826,$S$2:$S905=S826,$H$2:$H905&lt;&gt;""OB""))),W826&lt;&gt;1),"""",SUM(FILTER($K$2:$K905,$A$2:$A905=A826,$S$2:$S905=S826,$H$2:$H905&lt;&gt;""OB"")))"),"")</f>
        <v/>
      </c>
      <c r="W826" s="10" t="str">
        <f t="shared" si="5"/>
        <v/>
      </c>
    </row>
    <row r="827" spans="1:23" ht="12.5">
      <c r="A827" s="23"/>
      <c r="B827" s="5" t="str">
        <f t="array" ref="B827">IF(W827=1,INDEX('Database Mitra'!$H$2:$H905,MATCH(A827,'Database Mitra'!AK$2:AK905,0)),"")</f>
        <v/>
      </c>
      <c r="C827" s="5" t="str">
        <f t="array" ref="C827">IF(W827=1,INDEX('Database Mitra'!$E$2:$E905,MATCH(A827,'Database Mitra'!AK$2:AK905,0)),"")</f>
        <v/>
      </c>
      <c r="D827" s="23"/>
      <c r="E827" s="5" t="str">
        <f t="array" ref="E827">IF(W827=1,INDEX('Input Kegiatan'!B$2:B905,MATCH($D827,'Input Kegiatan'!$A$2:$A905,0)),"")</f>
        <v/>
      </c>
      <c r="F827" s="5" t="str">
        <f t="array" ref="F827">IF(W827=1,INDEX('Input Kegiatan'!D$2:D905,MATCH($D827,'Input Kegiatan'!$A$2:$A905,0)),"")</f>
        <v/>
      </c>
      <c r="G827" s="5" t="str">
        <f t="array" ref="G827">IF(W827=1,INDEX('Input Kegiatan'!E$2:E905,MATCH($D827,'Input Kegiatan'!$A$2:$A905,0)),"")</f>
        <v/>
      </c>
      <c r="H827" s="5" t="str">
        <f t="array" ref="H827">IF(W827=1,INDEX(Honor!$H$2:$H905,MATCH($D827&amp;"-"&amp;R827,Honor!$K$2:$K905,0)),"")</f>
        <v/>
      </c>
      <c r="I827" s="8" t="str">
        <f>IF(W827=1,SUMIFS(Honor!$I$2:$I905,Honor!$K$2:$K905,$D827&amp;"-"&amp;R827),"")</f>
        <v/>
      </c>
      <c r="J827" s="9" t="str">
        <f t="shared" si="6"/>
        <v/>
      </c>
      <c r="K827" s="10" t="str">
        <f t="shared" si="0"/>
        <v/>
      </c>
      <c r="L827" s="10" t="str">
        <f t="shared" si="1"/>
        <v/>
      </c>
      <c r="M827" s="10" t="str">
        <f>IF(W827=1,IF(AND(U827&lt;2,INT(V827)&lt;='Batasan Honor'!$B$2),1,0),"")</f>
        <v/>
      </c>
      <c r="O827" s="10" t="str">
        <f t="shared" si="2"/>
        <v/>
      </c>
      <c r="P827" s="10" t="str">
        <f t="shared" si="3"/>
        <v/>
      </c>
      <c r="R827" s="23"/>
      <c r="S827" s="10" t="str">
        <f t="shared" si="4"/>
        <v/>
      </c>
      <c r="U827" s="10" t="str">
        <f ca="1">IFERROR(__xludf.DUMMYFUNCTION("if(W827=1,COUNTIFS(FILTER($H$2:$H905,$H$2:$H905=""OB"",$S$2:$S905=S827),""OB""),"""")"),"")</f>
        <v/>
      </c>
      <c r="V827" s="10" t="str">
        <f ca="1">IFERROR(__xludf.DUMMYFUNCTION("IF(OR(ISNA(SUM(FILTER($K$2:$K905,$A$2:$A905=A827,$S$2:$S905=S827,$H$2:$H905&lt;&gt;""OB""))),W827&lt;&gt;1),"""",SUM(FILTER($K$2:$K905,$A$2:$A905=A827,$S$2:$S905=S827,$H$2:$H905&lt;&gt;""OB"")))"),"")</f>
        <v/>
      </c>
      <c r="W827" s="10" t="str">
        <f t="shared" si="5"/>
        <v/>
      </c>
    </row>
    <row r="828" spans="1:23" ht="12.5">
      <c r="A828" s="23"/>
      <c r="B828" s="5" t="str">
        <f t="array" ref="B828">IF(W828=1,INDEX('Database Mitra'!$H$2:$H905,MATCH(A828,'Database Mitra'!AK$2:AK905,0)),"")</f>
        <v/>
      </c>
      <c r="C828" s="5" t="str">
        <f t="array" ref="C828">IF(W828=1,INDEX('Database Mitra'!$E$2:$E905,MATCH(A828,'Database Mitra'!AK$2:AK905,0)),"")</f>
        <v/>
      </c>
      <c r="D828" s="23"/>
      <c r="E828" s="5" t="str">
        <f t="array" ref="E828">IF(W828=1,INDEX('Input Kegiatan'!B$2:B905,MATCH($D828,'Input Kegiatan'!$A$2:$A905,0)),"")</f>
        <v/>
      </c>
      <c r="F828" s="5" t="str">
        <f t="array" ref="F828">IF(W828=1,INDEX('Input Kegiatan'!D$2:D905,MATCH($D828,'Input Kegiatan'!$A$2:$A905,0)),"")</f>
        <v/>
      </c>
      <c r="G828" s="5" t="str">
        <f t="array" ref="G828">IF(W828=1,INDEX('Input Kegiatan'!E$2:E905,MATCH($D828,'Input Kegiatan'!$A$2:$A905,0)),"")</f>
        <v/>
      </c>
      <c r="H828" s="5" t="str">
        <f t="array" ref="H828">IF(W828=1,INDEX(Honor!$H$2:$H905,MATCH($D828&amp;"-"&amp;R828,Honor!$K$2:$K905,0)),"")</f>
        <v/>
      </c>
      <c r="I828" s="8" t="str">
        <f>IF(W828=1,SUMIFS(Honor!$I$2:$I905,Honor!$K$2:$K905,$D828&amp;"-"&amp;R828),"")</f>
        <v/>
      </c>
      <c r="J828" s="9" t="str">
        <f t="shared" si="6"/>
        <v/>
      </c>
      <c r="K828" s="10" t="str">
        <f t="shared" si="0"/>
        <v/>
      </c>
      <c r="L828" s="10" t="str">
        <f t="shared" si="1"/>
        <v/>
      </c>
      <c r="M828" s="10" t="str">
        <f>IF(W828=1,IF(AND(U828&lt;2,INT(V828)&lt;='Batasan Honor'!$B$2),1,0),"")</f>
        <v/>
      </c>
      <c r="O828" s="10" t="str">
        <f t="shared" si="2"/>
        <v/>
      </c>
      <c r="P828" s="10" t="str">
        <f t="shared" si="3"/>
        <v/>
      </c>
      <c r="R828" s="23"/>
      <c r="S828" s="10" t="str">
        <f t="shared" si="4"/>
        <v/>
      </c>
      <c r="U828" s="10" t="str">
        <f ca="1">IFERROR(__xludf.DUMMYFUNCTION("if(W828=1,COUNTIFS(FILTER($H$2:$H905,$H$2:$H905=""OB"",$S$2:$S905=S828),""OB""),"""")"),"")</f>
        <v/>
      </c>
      <c r="V828" s="10" t="str">
        <f ca="1">IFERROR(__xludf.DUMMYFUNCTION("IF(OR(ISNA(SUM(FILTER($K$2:$K905,$A$2:$A905=A828,$S$2:$S905=S828,$H$2:$H905&lt;&gt;""OB""))),W828&lt;&gt;1),"""",SUM(FILTER($K$2:$K905,$A$2:$A905=A828,$S$2:$S905=S828,$H$2:$H905&lt;&gt;""OB"")))"),"")</f>
        <v/>
      </c>
      <c r="W828" s="10" t="str">
        <f t="shared" si="5"/>
        <v/>
      </c>
    </row>
    <row r="829" spans="1:23" ht="12.5">
      <c r="A829" s="23"/>
      <c r="B829" s="5" t="str">
        <f t="array" ref="B829">IF(W829=1,INDEX('Database Mitra'!$H$2:$H905,MATCH(A829,'Database Mitra'!AK$2:AK905,0)),"")</f>
        <v/>
      </c>
      <c r="C829" s="5" t="str">
        <f t="array" ref="C829">IF(W829=1,INDEX('Database Mitra'!$E$2:$E905,MATCH(A829,'Database Mitra'!AK$2:AK905,0)),"")</f>
        <v/>
      </c>
      <c r="D829" s="23"/>
      <c r="E829" s="5" t="str">
        <f t="array" ref="E829">IF(W829=1,INDEX('Input Kegiatan'!B$2:B905,MATCH($D829,'Input Kegiatan'!$A$2:$A905,0)),"")</f>
        <v/>
      </c>
      <c r="F829" s="5" t="str">
        <f t="array" ref="F829">IF(W829=1,INDEX('Input Kegiatan'!D$2:D905,MATCH($D829,'Input Kegiatan'!$A$2:$A905,0)),"")</f>
        <v/>
      </c>
      <c r="G829" s="5" t="str">
        <f t="array" ref="G829">IF(W829=1,INDEX('Input Kegiatan'!E$2:E905,MATCH($D829,'Input Kegiatan'!$A$2:$A905,0)),"")</f>
        <v/>
      </c>
      <c r="H829" s="5" t="str">
        <f t="array" ref="H829">IF(W829=1,INDEX(Honor!$H$2:$H905,MATCH($D829&amp;"-"&amp;R829,Honor!$K$2:$K905,0)),"")</f>
        <v/>
      </c>
      <c r="I829" s="8" t="str">
        <f>IF(W829=1,SUMIFS(Honor!$I$2:$I905,Honor!$K$2:$K905,$D829&amp;"-"&amp;R829),"")</f>
        <v/>
      </c>
      <c r="J829" s="9" t="str">
        <f t="shared" si="6"/>
        <v/>
      </c>
      <c r="K829" s="10" t="str">
        <f t="shared" si="0"/>
        <v/>
      </c>
      <c r="L829" s="10" t="str">
        <f t="shared" si="1"/>
        <v/>
      </c>
      <c r="M829" s="10" t="str">
        <f>IF(W829=1,IF(AND(U829&lt;2,INT(V829)&lt;='Batasan Honor'!$B$2),1,0),"")</f>
        <v/>
      </c>
      <c r="O829" s="10" t="str">
        <f t="shared" si="2"/>
        <v/>
      </c>
      <c r="P829" s="10" t="str">
        <f t="shared" si="3"/>
        <v/>
      </c>
      <c r="R829" s="23"/>
      <c r="S829" s="10" t="str">
        <f t="shared" si="4"/>
        <v/>
      </c>
      <c r="U829" s="10" t="str">
        <f ca="1">IFERROR(__xludf.DUMMYFUNCTION("if(W829=1,COUNTIFS(FILTER($H$2:$H905,$H$2:$H905=""OB"",$S$2:$S905=S829),""OB""),"""")"),"")</f>
        <v/>
      </c>
      <c r="V829" s="10" t="str">
        <f ca="1">IFERROR(__xludf.DUMMYFUNCTION("IF(OR(ISNA(SUM(FILTER($K$2:$K905,$A$2:$A905=A829,$S$2:$S905=S829,$H$2:$H905&lt;&gt;""OB""))),W829&lt;&gt;1),"""",SUM(FILTER($K$2:$K905,$A$2:$A905=A829,$S$2:$S905=S829,$H$2:$H905&lt;&gt;""OB"")))"),"")</f>
        <v/>
      </c>
      <c r="W829" s="10" t="str">
        <f t="shared" si="5"/>
        <v/>
      </c>
    </row>
    <row r="830" spans="1:23" ht="12.5">
      <c r="A830" s="23"/>
      <c r="B830" s="5" t="str">
        <f t="array" ref="B830">IF(W830=1,INDEX('Database Mitra'!$H$2:$H905,MATCH(A830,'Database Mitra'!AK$2:AK905,0)),"")</f>
        <v/>
      </c>
      <c r="C830" s="5" t="str">
        <f t="array" ref="C830">IF(W830=1,INDEX('Database Mitra'!$E$2:$E905,MATCH(A830,'Database Mitra'!AK$2:AK905,0)),"")</f>
        <v/>
      </c>
      <c r="D830" s="23"/>
      <c r="E830" s="5" t="str">
        <f t="array" ref="E830">IF(W830=1,INDEX('Input Kegiatan'!B$2:B905,MATCH($D830,'Input Kegiatan'!$A$2:$A905,0)),"")</f>
        <v/>
      </c>
      <c r="F830" s="5" t="str">
        <f t="array" ref="F830">IF(W830=1,INDEX('Input Kegiatan'!D$2:D905,MATCH($D830,'Input Kegiatan'!$A$2:$A905,0)),"")</f>
        <v/>
      </c>
      <c r="G830" s="5" t="str">
        <f t="array" ref="G830">IF(W830=1,INDEX('Input Kegiatan'!E$2:E905,MATCH($D830,'Input Kegiatan'!$A$2:$A905,0)),"")</f>
        <v/>
      </c>
      <c r="H830" s="5" t="str">
        <f t="array" ref="H830">IF(W830=1,INDEX(Honor!$H$2:$H905,MATCH($D830&amp;"-"&amp;R830,Honor!$K$2:$K905,0)),"")</f>
        <v/>
      </c>
      <c r="I830" s="8" t="str">
        <f>IF(W830=1,SUMIFS(Honor!$I$2:$I905,Honor!$K$2:$K905,$D830&amp;"-"&amp;R830),"")</f>
        <v/>
      </c>
      <c r="J830" s="9" t="str">
        <f t="shared" si="6"/>
        <v/>
      </c>
      <c r="K830" s="10" t="str">
        <f t="shared" si="0"/>
        <v/>
      </c>
      <c r="L830" s="10" t="str">
        <f t="shared" si="1"/>
        <v/>
      </c>
      <c r="M830" s="10" t="str">
        <f>IF(W830=1,IF(AND(U830&lt;2,INT(V830)&lt;='Batasan Honor'!$B$2),1,0),"")</f>
        <v/>
      </c>
      <c r="O830" s="10" t="str">
        <f t="shared" si="2"/>
        <v/>
      </c>
      <c r="P830" s="10" t="str">
        <f t="shared" si="3"/>
        <v/>
      </c>
      <c r="R830" s="23"/>
      <c r="S830" s="10" t="str">
        <f t="shared" si="4"/>
        <v/>
      </c>
      <c r="U830" s="10" t="str">
        <f ca="1">IFERROR(__xludf.DUMMYFUNCTION("if(W830=1,COUNTIFS(FILTER($H$2:$H905,$H$2:$H905=""OB"",$S$2:$S905=S830),""OB""),"""")"),"")</f>
        <v/>
      </c>
      <c r="V830" s="10" t="str">
        <f ca="1">IFERROR(__xludf.DUMMYFUNCTION("IF(OR(ISNA(SUM(FILTER($K$2:$K905,$A$2:$A905=A830,$S$2:$S905=S830,$H$2:$H905&lt;&gt;""OB""))),W830&lt;&gt;1),"""",SUM(FILTER($K$2:$K905,$A$2:$A905=A830,$S$2:$S905=S830,$H$2:$H905&lt;&gt;""OB"")))"),"")</f>
        <v/>
      </c>
      <c r="W830" s="10" t="str">
        <f t="shared" si="5"/>
        <v/>
      </c>
    </row>
    <row r="831" spans="1:23" ht="12.5">
      <c r="A831" s="23"/>
      <c r="B831" s="5" t="str">
        <f t="array" ref="B831">IF(W831=1,INDEX('Database Mitra'!$H$2:$H905,MATCH(A831,'Database Mitra'!AK$2:AK905,0)),"")</f>
        <v/>
      </c>
      <c r="C831" s="5" t="str">
        <f t="array" ref="C831">IF(W831=1,INDEX('Database Mitra'!$E$2:$E905,MATCH(A831,'Database Mitra'!AK$2:AK905,0)),"")</f>
        <v/>
      </c>
      <c r="D831" s="23"/>
      <c r="E831" s="5" t="str">
        <f t="array" ref="E831">IF(W831=1,INDEX('Input Kegiatan'!B$2:B905,MATCH($D831,'Input Kegiatan'!$A$2:$A905,0)),"")</f>
        <v/>
      </c>
      <c r="F831" s="5" t="str">
        <f t="array" ref="F831">IF(W831=1,INDEX('Input Kegiatan'!D$2:D905,MATCH($D831,'Input Kegiatan'!$A$2:$A905,0)),"")</f>
        <v/>
      </c>
      <c r="G831" s="5" t="str">
        <f t="array" ref="G831">IF(W831=1,INDEX('Input Kegiatan'!E$2:E905,MATCH($D831,'Input Kegiatan'!$A$2:$A905,0)),"")</f>
        <v/>
      </c>
      <c r="H831" s="5" t="str">
        <f t="array" ref="H831">IF(W831=1,INDEX(Honor!$H$2:$H905,MATCH($D831&amp;"-"&amp;R831,Honor!$K$2:$K905,0)),"")</f>
        <v/>
      </c>
      <c r="I831" s="8" t="str">
        <f>IF(W831=1,SUMIFS(Honor!$I$2:$I905,Honor!$K$2:$K905,$D831&amp;"-"&amp;R831),"")</f>
        <v/>
      </c>
      <c r="J831" s="9" t="str">
        <f t="shared" si="6"/>
        <v/>
      </c>
      <c r="K831" s="10" t="str">
        <f t="shared" si="0"/>
        <v/>
      </c>
      <c r="L831" s="10" t="str">
        <f t="shared" si="1"/>
        <v/>
      </c>
      <c r="M831" s="10" t="str">
        <f>IF(W831=1,IF(AND(U831&lt;2,INT(V831)&lt;='Batasan Honor'!$B$2),1,0),"")</f>
        <v/>
      </c>
      <c r="O831" s="10" t="str">
        <f t="shared" si="2"/>
        <v/>
      </c>
      <c r="P831" s="10" t="str">
        <f t="shared" si="3"/>
        <v/>
      </c>
      <c r="R831" s="23"/>
      <c r="S831" s="10" t="str">
        <f t="shared" si="4"/>
        <v/>
      </c>
      <c r="U831" s="10" t="str">
        <f ca="1">IFERROR(__xludf.DUMMYFUNCTION("if(W831=1,COUNTIFS(FILTER($H$2:$H905,$H$2:$H905=""OB"",$S$2:$S905=S831),""OB""),"""")"),"")</f>
        <v/>
      </c>
      <c r="V831" s="10" t="str">
        <f ca="1">IFERROR(__xludf.DUMMYFUNCTION("IF(OR(ISNA(SUM(FILTER($K$2:$K905,$A$2:$A905=A831,$S$2:$S905=S831,$H$2:$H905&lt;&gt;""OB""))),W831&lt;&gt;1),"""",SUM(FILTER($K$2:$K905,$A$2:$A905=A831,$S$2:$S905=S831,$H$2:$H905&lt;&gt;""OB"")))"),"")</f>
        <v/>
      </c>
      <c r="W831" s="10" t="str">
        <f t="shared" si="5"/>
        <v/>
      </c>
    </row>
    <row r="832" spans="1:23" ht="12.5">
      <c r="A832" s="23"/>
      <c r="B832" s="5" t="str">
        <f t="array" ref="B832">IF(W832=1,INDEX('Database Mitra'!$H$2:$H905,MATCH(A832,'Database Mitra'!AK$2:AK905,0)),"")</f>
        <v/>
      </c>
      <c r="C832" s="5" t="str">
        <f t="array" ref="C832">IF(W832=1,INDEX('Database Mitra'!$E$2:$E905,MATCH(A832,'Database Mitra'!AK$2:AK905,0)),"")</f>
        <v/>
      </c>
      <c r="D832" s="23"/>
      <c r="E832" s="5" t="str">
        <f t="array" ref="E832">IF(W832=1,INDEX('Input Kegiatan'!B$2:B905,MATCH($D832,'Input Kegiatan'!$A$2:$A905,0)),"")</f>
        <v/>
      </c>
      <c r="F832" s="5" t="str">
        <f t="array" ref="F832">IF(W832=1,INDEX('Input Kegiatan'!D$2:D905,MATCH($D832,'Input Kegiatan'!$A$2:$A905,0)),"")</f>
        <v/>
      </c>
      <c r="G832" s="5" t="str">
        <f t="array" ref="G832">IF(W832=1,INDEX('Input Kegiatan'!E$2:E905,MATCH($D832,'Input Kegiatan'!$A$2:$A905,0)),"")</f>
        <v/>
      </c>
      <c r="H832" s="5" t="str">
        <f t="array" ref="H832">IF(W832=1,INDEX(Honor!$H$2:$H905,MATCH($D832&amp;"-"&amp;R832,Honor!$K$2:$K905,0)),"")</f>
        <v/>
      </c>
      <c r="I832" s="8" t="str">
        <f>IF(W832=1,SUMIFS(Honor!$I$2:$I905,Honor!$K$2:$K905,$D832&amp;"-"&amp;R832),"")</f>
        <v/>
      </c>
      <c r="J832" s="9" t="str">
        <f t="shared" si="6"/>
        <v/>
      </c>
      <c r="K832" s="10" t="str">
        <f t="shared" si="0"/>
        <v/>
      </c>
      <c r="L832" s="10" t="str">
        <f t="shared" si="1"/>
        <v/>
      </c>
      <c r="M832" s="10" t="str">
        <f>IF(W832=1,IF(AND(U832&lt;2,INT(V832)&lt;='Batasan Honor'!$B$2),1,0),"")</f>
        <v/>
      </c>
      <c r="O832" s="10" t="str">
        <f t="shared" si="2"/>
        <v/>
      </c>
      <c r="P832" s="10" t="str">
        <f t="shared" si="3"/>
        <v/>
      </c>
      <c r="R832" s="23"/>
      <c r="S832" s="10" t="str">
        <f t="shared" si="4"/>
        <v/>
      </c>
      <c r="U832" s="10" t="str">
        <f ca="1">IFERROR(__xludf.DUMMYFUNCTION("if(W832=1,COUNTIFS(FILTER($H$2:$H905,$H$2:$H905=""OB"",$S$2:$S905=S832),""OB""),"""")"),"")</f>
        <v/>
      </c>
      <c r="V832" s="10" t="str">
        <f ca="1">IFERROR(__xludf.DUMMYFUNCTION("IF(OR(ISNA(SUM(FILTER($K$2:$K905,$A$2:$A905=A832,$S$2:$S905=S832,$H$2:$H905&lt;&gt;""OB""))),W832&lt;&gt;1),"""",SUM(FILTER($K$2:$K905,$A$2:$A905=A832,$S$2:$S905=S832,$H$2:$H905&lt;&gt;""OB"")))"),"")</f>
        <v/>
      </c>
      <c r="W832" s="10" t="str">
        <f t="shared" si="5"/>
        <v/>
      </c>
    </row>
    <row r="833" spans="1:23" ht="12.5">
      <c r="A833" s="23"/>
      <c r="B833" s="5" t="str">
        <f t="array" ref="B833">IF(W833=1,INDEX('Database Mitra'!$H$2:$H905,MATCH(A833,'Database Mitra'!AK$2:AK905,0)),"")</f>
        <v/>
      </c>
      <c r="C833" s="5" t="str">
        <f t="array" ref="C833">IF(W833=1,INDEX('Database Mitra'!$E$2:$E905,MATCH(A833,'Database Mitra'!AK$2:AK905,0)),"")</f>
        <v/>
      </c>
      <c r="D833" s="23"/>
      <c r="E833" s="5" t="str">
        <f t="array" ref="E833">IF(W833=1,INDEX('Input Kegiatan'!B$2:B905,MATCH($D833,'Input Kegiatan'!$A$2:$A905,0)),"")</f>
        <v/>
      </c>
      <c r="F833" s="5" t="str">
        <f t="array" ref="F833">IF(W833=1,INDEX('Input Kegiatan'!D$2:D905,MATCH($D833,'Input Kegiatan'!$A$2:$A905,0)),"")</f>
        <v/>
      </c>
      <c r="G833" s="5" t="str">
        <f t="array" ref="G833">IF(W833=1,INDEX('Input Kegiatan'!E$2:E905,MATCH($D833,'Input Kegiatan'!$A$2:$A905,0)),"")</f>
        <v/>
      </c>
      <c r="H833" s="5" t="str">
        <f t="array" ref="H833">IF(W833=1,INDEX(Honor!$H$2:$H905,MATCH($D833&amp;"-"&amp;R833,Honor!$K$2:$K905,0)),"")</f>
        <v/>
      </c>
      <c r="I833" s="8" t="str">
        <f>IF(W833=1,SUMIFS(Honor!$I$2:$I905,Honor!$K$2:$K905,$D833&amp;"-"&amp;R833),"")</f>
        <v/>
      </c>
      <c r="J833" s="9" t="str">
        <f t="shared" si="6"/>
        <v/>
      </c>
      <c r="K833" s="10" t="str">
        <f t="shared" si="0"/>
        <v/>
      </c>
      <c r="L833" s="10" t="str">
        <f t="shared" si="1"/>
        <v/>
      </c>
      <c r="M833" s="10" t="str">
        <f>IF(W833=1,IF(AND(U833&lt;2,INT(V833)&lt;='Batasan Honor'!$B$2),1,0),"")</f>
        <v/>
      </c>
      <c r="O833" s="10" t="str">
        <f t="shared" si="2"/>
        <v/>
      </c>
      <c r="P833" s="10" t="str">
        <f t="shared" si="3"/>
        <v/>
      </c>
      <c r="R833" s="23"/>
      <c r="S833" s="10" t="str">
        <f t="shared" si="4"/>
        <v/>
      </c>
      <c r="U833" s="10" t="str">
        <f ca="1">IFERROR(__xludf.DUMMYFUNCTION("if(W833=1,COUNTIFS(FILTER($H$2:$H905,$H$2:$H905=""OB"",$S$2:$S905=S833),""OB""),"""")"),"")</f>
        <v/>
      </c>
      <c r="V833" s="10" t="str">
        <f ca="1">IFERROR(__xludf.DUMMYFUNCTION("IF(OR(ISNA(SUM(FILTER($K$2:$K905,$A$2:$A905=A833,$S$2:$S905=S833,$H$2:$H905&lt;&gt;""OB""))),W833&lt;&gt;1),"""",SUM(FILTER($K$2:$K905,$A$2:$A905=A833,$S$2:$S905=S833,$H$2:$H905&lt;&gt;""OB"")))"),"")</f>
        <v/>
      </c>
      <c r="W833" s="10" t="str">
        <f t="shared" si="5"/>
        <v/>
      </c>
    </row>
    <row r="834" spans="1:23" ht="12.5">
      <c r="A834" s="23"/>
      <c r="B834" s="5" t="str">
        <f t="array" ref="B834">IF(W834=1,INDEX('Database Mitra'!$H$2:$H905,MATCH(A834,'Database Mitra'!AK$2:AK905,0)),"")</f>
        <v/>
      </c>
      <c r="C834" s="5" t="str">
        <f t="array" ref="C834">IF(W834=1,INDEX('Database Mitra'!$E$2:$E905,MATCH(A834,'Database Mitra'!AK$2:AK905,0)),"")</f>
        <v/>
      </c>
      <c r="D834" s="23"/>
      <c r="E834" s="5" t="str">
        <f t="array" ref="E834">IF(W834=1,INDEX('Input Kegiatan'!B$2:B905,MATCH($D834,'Input Kegiatan'!$A$2:$A905,0)),"")</f>
        <v/>
      </c>
      <c r="F834" s="5" t="str">
        <f t="array" ref="F834">IF(W834=1,INDEX('Input Kegiatan'!D$2:D905,MATCH($D834,'Input Kegiatan'!$A$2:$A905,0)),"")</f>
        <v/>
      </c>
      <c r="G834" s="5" t="str">
        <f t="array" ref="G834">IF(W834=1,INDEX('Input Kegiatan'!E$2:E905,MATCH($D834,'Input Kegiatan'!$A$2:$A905,0)),"")</f>
        <v/>
      </c>
      <c r="H834" s="5" t="str">
        <f t="array" ref="H834">IF(W834=1,INDEX(Honor!$H$2:$H905,MATCH($D834&amp;"-"&amp;R834,Honor!$K$2:$K905,0)),"")</f>
        <v/>
      </c>
      <c r="I834" s="8" t="str">
        <f>IF(W834=1,SUMIFS(Honor!$I$2:$I905,Honor!$K$2:$K905,$D834&amp;"-"&amp;R834),"")</f>
        <v/>
      </c>
      <c r="J834" s="9" t="str">
        <f t="shared" si="6"/>
        <v/>
      </c>
      <c r="K834" s="10" t="str">
        <f t="shared" si="0"/>
        <v/>
      </c>
      <c r="L834" s="10" t="str">
        <f t="shared" si="1"/>
        <v/>
      </c>
      <c r="M834" s="10" t="str">
        <f>IF(W834=1,IF(AND(U834&lt;2,INT(V834)&lt;='Batasan Honor'!$B$2),1,0),"")</f>
        <v/>
      </c>
      <c r="O834" s="10" t="str">
        <f t="shared" si="2"/>
        <v/>
      </c>
      <c r="P834" s="10" t="str">
        <f t="shared" si="3"/>
        <v/>
      </c>
      <c r="R834" s="23"/>
      <c r="S834" s="10" t="str">
        <f t="shared" si="4"/>
        <v/>
      </c>
      <c r="U834" s="10" t="str">
        <f ca="1">IFERROR(__xludf.DUMMYFUNCTION("if(W834=1,COUNTIFS(FILTER($H$2:$H905,$H$2:$H905=""OB"",$S$2:$S905=S834),""OB""),"""")"),"")</f>
        <v/>
      </c>
      <c r="V834" s="10" t="str">
        <f ca="1">IFERROR(__xludf.DUMMYFUNCTION("IF(OR(ISNA(SUM(FILTER($K$2:$K905,$A$2:$A905=A834,$S$2:$S905=S834,$H$2:$H905&lt;&gt;""OB""))),W834&lt;&gt;1),"""",SUM(FILTER($K$2:$K905,$A$2:$A905=A834,$S$2:$S905=S834,$H$2:$H905&lt;&gt;""OB"")))"),"")</f>
        <v/>
      </c>
      <c r="W834" s="10" t="str">
        <f t="shared" si="5"/>
        <v/>
      </c>
    </row>
    <row r="835" spans="1:23" ht="12.5">
      <c r="A835" s="23"/>
      <c r="B835" s="5" t="str">
        <f t="array" ref="B835">IF(W835=1,INDEX('Database Mitra'!$H$2:$H905,MATCH(A835,'Database Mitra'!AK$2:AK905,0)),"")</f>
        <v/>
      </c>
      <c r="C835" s="5" t="str">
        <f t="array" ref="C835">IF(W835=1,INDEX('Database Mitra'!$E$2:$E905,MATCH(A835,'Database Mitra'!AK$2:AK905,0)),"")</f>
        <v/>
      </c>
      <c r="D835" s="23"/>
      <c r="E835" s="5" t="str">
        <f t="array" ref="E835">IF(W835=1,INDEX('Input Kegiatan'!B$2:B905,MATCH($D835,'Input Kegiatan'!$A$2:$A905,0)),"")</f>
        <v/>
      </c>
      <c r="F835" s="5" t="str">
        <f t="array" ref="F835">IF(W835=1,INDEX('Input Kegiatan'!D$2:D905,MATCH($D835,'Input Kegiatan'!$A$2:$A905,0)),"")</f>
        <v/>
      </c>
      <c r="G835" s="5" t="str">
        <f t="array" ref="G835">IF(W835=1,INDEX('Input Kegiatan'!E$2:E905,MATCH($D835,'Input Kegiatan'!$A$2:$A905,0)),"")</f>
        <v/>
      </c>
      <c r="H835" s="5" t="str">
        <f t="array" ref="H835">IF(W835=1,INDEX(Honor!$H$2:$H905,MATCH($D835&amp;"-"&amp;R835,Honor!$K$2:$K905,0)),"")</f>
        <v/>
      </c>
      <c r="I835" s="8" t="str">
        <f>IF(W835=1,SUMIFS(Honor!$I$2:$I905,Honor!$K$2:$K905,$D835&amp;"-"&amp;R835),"")</f>
        <v/>
      </c>
      <c r="J835" s="9" t="str">
        <f t="shared" si="6"/>
        <v/>
      </c>
      <c r="K835" s="10" t="str">
        <f t="shared" si="0"/>
        <v/>
      </c>
      <c r="L835" s="10" t="str">
        <f t="shared" si="1"/>
        <v/>
      </c>
      <c r="M835" s="10" t="str">
        <f>IF(W835=1,IF(AND(U835&lt;2,INT(V835)&lt;='Batasan Honor'!$B$2),1,0),"")</f>
        <v/>
      </c>
      <c r="O835" s="10" t="str">
        <f t="shared" si="2"/>
        <v/>
      </c>
      <c r="P835" s="10" t="str">
        <f t="shared" si="3"/>
        <v/>
      </c>
      <c r="R835" s="23"/>
      <c r="S835" s="10" t="str">
        <f t="shared" si="4"/>
        <v/>
      </c>
      <c r="U835" s="10" t="str">
        <f ca="1">IFERROR(__xludf.DUMMYFUNCTION("if(W835=1,COUNTIFS(FILTER($H$2:$H905,$H$2:$H905=""OB"",$S$2:$S905=S835),""OB""),"""")"),"")</f>
        <v/>
      </c>
      <c r="V835" s="10" t="str">
        <f ca="1">IFERROR(__xludf.DUMMYFUNCTION("IF(OR(ISNA(SUM(FILTER($K$2:$K905,$A$2:$A905=A835,$S$2:$S905=S835,$H$2:$H905&lt;&gt;""OB""))),W835&lt;&gt;1),"""",SUM(FILTER($K$2:$K905,$A$2:$A905=A835,$S$2:$S905=S835,$H$2:$H905&lt;&gt;""OB"")))"),"")</f>
        <v/>
      </c>
      <c r="W835" s="10" t="str">
        <f t="shared" si="5"/>
        <v/>
      </c>
    </row>
    <row r="836" spans="1:23" ht="12.5">
      <c r="A836" s="23"/>
      <c r="B836" s="5" t="str">
        <f t="array" ref="B836">IF(W836=1,INDEX('Database Mitra'!$H$2:$H905,MATCH(A836,'Database Mitra'!AK$2:AK905,0)),"")</f>
        <v/>
      </c>
      <c r="C836" s="5" t="str">
        <f t="array" ref="C836">IF(W836=1,INDEX('Database Mitra'!$E$2:$E905,MATCH(A836,'Database Mitra'!AK$2:AK905,0)),"")</f>
        <v/>
      </c>
      <c r="D836" s="23"/>
      <c r="E836" s="5" t="str">
        <f t="array" ref="E836">IF(W836=1,INDEX('Input Kegiatan'!B$2:B905,MATCH($D836,'Input Kegiatan'!$A$2:$A905,0)),"")</f>
        <v/>
      </c>
      <c r="F836" s="5" t="str">
        <f t="array" ref="F836">IF(W836=1,INDEX('Input Kegiatan'!D$2:D905,MATCH($D836,'Input Kegiatan'!$A$2:$A905,0)),"")</f>
        <v/>
      </c>
      <c r="G836" s="5" t="str">
        <f t="array" ref="G836">IF(W836=1,INDEX('Input Kegiatan'!E$2:E905,MATCH($D836,'Input Kegiatan'!$A$2:$A905,0)),"")</f>
        <v/>
      </c>
      <c r="H836" s="5" t="str">
        <f t="array" ref="H836">IF(W836=1,INDEX(Honor!$H$2:$H905,MATCH($D836&amp;"-"&amp;R836,Honor!$K$2:$K905,0)),"")</f>
        <v/>
      </c>
      <c r="I836" s="8" t="str">
        <f>IF(W836=1,SUMIFS(Honor!$I$2:$I905,Honor!$K$2:$K905,$D836&amp;"-"&amp;R836),"")</f>
        <v/>
      </c>
      <c r="J836" s="9" t="str">
        <f t="shared" si="6"/>
        <v/>
      </c>
      <c r="K836" s="10" t="str">
        <f t="shared" si="0"/>
        <v/>
      </c>
      <c r="L836" s="10" t="str">
        <f t="shared" si="1"/>
        <v/>
      </c>
      <c r="M836" s="10" t="str">
        <f>IF(W836=1,IF(AND(U836&lt;2,INT(V836)&lt;='Batasan Honor'!$B$2),1,0),"")</f>
        <v/>
      </c>
      <c r="O836" s="10" t="str">
        <f t="shared" si="2"/>
        <v/>
      </c>
      <c r="P836" s="10" t="str">
        <f t="shared" si="3"/>
        <v/>
      </c>
      <c r="R836" s="23"/>
      <c r="S836" s="10" t="str">
        <f t="shared" si="4"/>
        <v/>
      </c>
      <c r="U836" s="10" t="str">
        <f ca="1">IFERROR(__xludf.DUMMYFUNCTION("if(W836=1,COUNTIFS(FILTER($H$2:$H905,$H$2:$H905=""OB"",$S$2:$S905=S836),""OB""),"""")"),"")</f>
        <v/>
      </c>
      <c r="V836" s="10" t="str">
        <f ca="1">IFERROR(__xludf.DUMMYFUNCTION("IF(OR(ISNA(SUM(FILTER($K$2:$K905,$A$2:$A905=A836,$S$2:$S905=S836,$H$2:$H905&lt;&gt;""OB""))),W836&lt;&gt;1),"""",SUM(FILTER($K$2:$K905,$A$2:$A905=A836,$S$2:$S905=S836,$H$2:$H905&lt;&gt;""OB"")))"),"")</f>
        <v/>
      </c>
      <c r="W836" s="10" t="str">
        <f t="shared" si="5"/>
        <v/>
      </c>
    </row>
    <row r="837" spans="1:23" ht="12.5">
      <c r="A837" s="23"/>
      <c r="B837" s="5" t="str">
        <f t="array" ref="B837">IF(W837=1,INDEX('Database Mitra'!$H$2:$H905,MATCH(A837,'Database Mitra'!AK$2:AK905,0)),"")</f>
        <v/>
      </c>
      <c r="C837" s="5" t="str">
        <f t="array" ref="C837">IF(W837=1,INDEX('Database Mitra'!$E$2:$E905,MATCH(A837,'Database Mitra'!AK$2:AK905,0)),"")</f>
        <v/>
      </c>
      <c r="D837" s="23"/>
      <c r="E837" s="5" t="str">
        <f t="array" ref="E837">IF(W837=1,INDEX('Input Kegiatan'!B$2:B905,MATCH($D837,'Input Kegiatan'!$A$2:$A905,0)),"")</f>
        <v/>
      </c>
      <c r="F837" s="5" t="str">
        <f t="array" ref="F837">IF(W837=1,INDEX('Input Kegiatan'!D$2:D905,MATCH($D837,'Input Kegiatan'!$A$2:$A905,0)),"")</f>
        <v/>
      </c>
      <c r="G837" s="5" t="str">
        <f t="array" ref="G837">IF(W837=1,INDEX('Input Kegiatan'!E$2:E905,MATCH($D837,'Input Kegiatan'!$A$2:$A905,0)),"")</f>
        <v/>
      </c>
      <c r="H837" s="5" t="str">
        <f t="array" ref="H837">IF(W837=1,INDEX(Honor!$H$2:$H905,MATCH($D837&amp;"-"&amp;R837,Honor!$K$2:$K905,0)),"")</f>
        <v/>
      </c>
      <c r="I837" s="8" t="str">
        <f>IF(W837=1,SUMIFS(Honor!$I$2:$I905,Honor!$K$2:$K905,$D837&amp;"-"&amp;R837),"")</f>
        <v/>
      </c>
      <c r="J837" s="9" t="str">
        <f t="shared" si="6"/>
        <v/>
      </c>
      <c r="K837" s="10" t="str">
        <f t="shared" si="0"/>
        <v/>
      </c>
      <c r="L837" s="10" t="str">
        <f t="shared" si="1"/>
        <v/>
      </c>
      <c r="M837" s="10" t="str">
        <f>IF(W837=1,IF(AND(U837&lt;2,INT(V837)&lt;='Batasan Honor'!$B$2),1,0),"")</f>
        <v/>
      </c>
      <c r="O837" s="10" t="str">
        <f t="shared" si="2"/>
        <v/>
      </c>
      <c r="P837" s="10" t="str">
        <f t="shared" si="3"/>
        <v/>
      </c>
      <c r="R837" s="23"/>
      <c r="S837" s="10" t="str">
        <f t="shared" si="4"/>
        <v/>
      </c>
      <c r="U837" s="10" t="str">
        <f ca="1">IFERROR(__xludf.DUMMYFUNCTION("if(W837=1,COUNTIFS(FILTER($H$2:$H905,$H$2:$H905=""OB"",$S$2:$S905=S837),""OB""),"""")"),"")</f>
        <v/>
      </c>
      <c r="V837" s="10" t="str">
        <f ca="1">IFERROR(__xludf.DUMMYFUNCTION("IF(OR(ISNA(SUM(FILTER($K$2:$K905,$A$2:$A905=A837,$S$2:$S905=S837,$H$2:$H905&lt;&gt;""OB""))),W837&lt;&gt;1),"""",SUM(FILTER($K$2:$K905,$A$2:$A905=A837,$S$2:$S905=S837,$H$2:$H905&lt;&gt;""OB"")))"),"")</f>
        <v/>
      </c>
      <c r="W837" s="10" t="str">
        <f t="shared" si="5"/>
        <v/>
      </c>
    </row>
    <row r="838" spans="1:23" ht="12.5">
      <c r="A838" s="23"/>
      <c r="B838" s="5" t="str">
        <f t="array" ref="B838">IF(W838=1,INDEX('Database Mitra'!$H$2:$H905,MATCH(A838,'Database Mitra'!AK$2:AK905,0)),"")</f>
        <v/>
      </c>
      <c r="C838" s="5" t="str">
        <f t="array" ref="C838">IF(W838=1,INDEX('Database Mitra'!$E$2:$E905,MATCH(A838,'Database Mitra'!AK$2:AK905,0)),"")</f>
        <v/>
      </c>
      <c r="D838" s="23"/>
      <c r="E838" s="5" t="str">
        <f t="array" ref="E838">IF(W838=1,INDEX('Input Kegiatan'!B$2:B905,MATCH($D838,'Input Kegiatan'!$A$2:$A905,0)),"")</f>
        <v/>
      </c>
      <c r="F838" s="5" t="str">
        <f t="array" ref="F838">IF(W838=1,INDEX('Input Kegiatan'!D$2:D905,MATCH($D838,'Input Kegiatan'!$A$2:$A905,0)),"")</f>
        <v/>
      </c>
      <c r="G838" s="5" t="str">
        <f t="array" ref="G838">IF(W838=1,INDEX('Input Kegiatan'!E$2:E905,MATCH($D838,'Input Kegiatan'!$A$2:$A905,0)),"")</f>
        <v/>
      </c>
      <c r="H838" s="5" t="str">
        <f t="array" ref="H838">IF(W838=1,INDEX(Honor!$H$2:$H905,MATCH($D838&amp;"-"&amp;R838,Honor!$K$2:$K905,0)),"")</f>
        <v/>
      </c>
      <c r="I838" s="8" t="str">
        <f>IF(W838=1,SUMIFS(Honor!$I$2:$I905,Honor!$K$2:$K905,$D838&amp;"-"&amp;R838),"")</f>
        <v/>
      </c>
      <c r="J838" s="9" t="str">
        <f t="shared" si="6"/>
        <v/>
      </c>
      <c r="K838" s="10" t="str">
        <f t="shared" si="0"/>
        <v/>
      </c>
      <c r="L838" s="10" t="str">
        <f t="shared" si="1"/>
        <v/>
      </c>
      <c r="M838" s="10" t="str">
        <f>IF(W838=1,IF(AND(U838&lt;2,INT(V838)&lt;='Batasan Honor'!$B$2),1,0),"")</f>
        <v/>
      </c>
      <c r="O838" s="10" t="str">
        <f t="shared" si="2"/>
        <v/>
      </c>
      <c r="P838" s="10" t="str">
        <f t="shared" si="3"/>
        <v/>
      </c>
      <c r="R838" s="23"/>
      <c r="S838" s="10" t="str">
        <f t="shared" si="4"/>
        <v/>
      </c>
      <c r="U838" s="10" t="str">
        <f ca="1">IFERROR(__xludf.DUMMYFUNCTION("if(W838=1,COUNTIFS(FILTER($H$2:$H905,$H$2:$H905=""OB"",$S$2:$S905=S838),""OB""),"""")"),"")</f>
        <v/>
      </c>
      <c r="V838" s="10" t="str">
        <f ca="1">IFERROR(__xludf.DUMMYFUNCTION("IF(OR(ISNA(SUM(FILTER($K$2:$K905,$A$2:$A905=A838,$S$2:$S905=S838,$H$2:$H905&lt;&gt;""OB""))),W838&lt;&gt;1),"""",SUM(FILTER($K$2:$K905,$A$2:$A905=A838,$S$2:$S905=S838,$H$2:$H905&lt;&gt;""OB"")))"),"")</f>
        <v/>
      </c>
      <c r="W838" s="10" t="str">
        <f t="shared" si="5"/>
        <v/>
      </c>
    </row>
    <row r="839" spans="1:23" ht="12.5">
      <c r="A839" s="23"/>
      <c r="B839" s="5" t="str">
        <f t="array" ref="B839">IF(W839=1,INDEX('Database Mitra'!$H$2:$H905,MATCH(A839,'Database Mitra'!AK$2:AK905,0)),"")</f>
        <v/>
      </c>
      <c r="C839" s="5" t="str">
        <f t="array" ref="C839">IF(W839=1,INDEX('Database Mitra'!$E$2:$E905,MATCH(A839,'Database Mitra'!AK$2:AK905,0)),"")</f>
        <v/>
      </c>
      <c r="D839" s="23"/>
      <c r="E839" s="5" t="str">
        <f t="array" ref="E839">IF(W839=1,INDEX('Input Kegiatan'!B$2:B905,MATCH($D839,'Input Kegiatan'!$A$2:$A905,0)),"")</f>
        <v/>
      </c>
      <c r="F839" s="5" t="str">
        <f t="array" ref="F839">IF(W839=1,INDEX('Input Kegiatan'!D$2:D905,MATCH($D839,'Input Kegiatan'!$A$2:$A905,0)),"")</f>
        <v/>
      </c>
      <c r="G839" s="5" t="str">
        <f t="array" ref="G839">IF(W839=1,INDEX('Input Kegiatan'!E$2:E905,MATCH($D839,'Input Kegiatan'!$A$2:$A905,0)),"")</f>
        <v/>
      </c>
      <c r="H839" s="5" t="str">
        <f t="array" ref="H839">IF(W839=1,INDEX(Honor!$H$2:$H905,MATCH($D839&amp;"-"&amp;R839,Honor!$K$2:$K905,0)),"")</f>
        <v/>
      </c>
      <c r="I839" s="8" t="str">
        <f>IF(W839=1,SUMIFS(Honor!$I$2:$I905,Honor!$K$2:$K905,$D839&amp;"-"&amp;R839),"")</f>
        <v/>
      </c>
      <c r="J839" s="9" t="str">
        <f t="shared" si="6"/>
        <v/>
      </c>
      <c r="K839" s="10" t="str">
        <f t="shared" si="0"/>
        <v/>
      </c>
      <c r="L839" s="10" t="str">
        <f t="shared" si="1"/>
        <v/>
      </c>
      <c r="M839" s="10" t="str">
        <f>IF(W839=1,IF(AND(U839&lt;2,INT(V839)&lt;='Batasan Honor'!$B$2),1,0),"")</f>
        <v/>
      </c>
      <c r="O839" s="10" t="str">
        <f t="shared" si="2"/>
        <v/>
      </c>
      <c r="P839" s="10" t="str">
        <f t="shared" si="3"/>
        <v/>
      </c>
      <c r="R839" s="23"/>
      <c r="S839" s="10" t="str">
        <f t="shared" si="4"/>
        <v/>
      </c>
      <c r="U839" s="10" t="str">
        <f ca="1">IFERROR(__xludf.DUMMYFUNCTION("if(W839=1,COUNTIFS(FILTER($H$2:$H905,$H$2:$H905=""OB"",$S$2:$S905=S839),""OB""),"""")"),"")</f>
        <v/>
      </c>
      <c r="V839" s="10" t="str">
        <f ca="1">IFERROR(__xludf.DUMMYFUNCTION("IF(OR(ISNA(SUM(FILTER($K$2:$K905,$A$2:$A905=A839,$S$2:$S905=S839,$H$2:$H905&lt;&gt;""OB""))),W839&lt;&gt;1),"""",SUM(FILTER($K$2:$K905,$A$2:$A905=A839,$S$2:$S905=S839,$H$2:$H905&lt;&gt;""OB"")))"),"")</f>
        <v/>
      </c>
      <c r="W839" s="10" t="str">
        <f t="shared" si="5"/>
        <v/>
      </c>
    </row>
    <row r="840" spans="1:23" ht="12.5">
      <c r="A840" s="23"/>
      <c r="B840" s="5" t="str">
        <f t="array" ref="B840">IF(W840=1,INDEX('Database Mitra'!$H$2:$H905,MATCH(A840,'Database Mitra'!AK$2:AK905,0)),"")</f>
        <v/>
      </c>
      <c r="C840" s="5" t="str">
        <f t="array" ref="C840">IF(W840=1,INDEX('Database Mitra'!$E$2:$E905,MATCH(A840,'Database Mitra'!AK$2:AK905,0)),"")</f>
        <v/>
      </c>
      <c r="D840" s="23"/>
      <c r="E840" s="5" t="str">
        <f t="array" ref="E840">IF(W840=1,INDEX('Input Kegiatan'!B$2:B905,MATCH($D840,'Input Kegiatan'!$A$2:$A905,0)),"")</f>
        <v/>
      </c>
      <c r="F840" s="5" t="str">
        <f t="array" ref="F840">IF(W840=1,INDEX('Input Kegiatan'!D$2:D905,MATCH($D840,'Input Kegiatan'!$A$2:$A905,0)),"")</f>
        <v/>
      </c>
      <c r="G840" s="5" t="str">
        <f t="array" ref="G840">IF(W840=1,INDEX('Input Kegiatan'!E$2:E905,MATCH($D840,'Input Kegiatan'!$A$2:$A905,0)),"")</f>
        <v/>
      </c>
      <c r="H840" s="5" t="str">
        <f t="array" ref="H840">IF(W840=1,INDEX(Honor!$H$2:$H905,MATCH($D840&amp;"-"&amp;R840,Honor!$K$2:$K905,0)),"")</f>
        <v/>
      </c>
      <c r="I840" s="8" t="str">
        <f>IF(W840=1,SUMIFS(Honor!$I$2:$I905,Honor!$K$2:$K905,$D840&amp;"-"&amp;R840),"")</f>
        <v/>
      </c>
      <c r="J840" s="9" t="str">
        <f t="shared" si="6"/>
        <v/>
      </c>
      <c r="K840" s="10" t="str">
        <f t="shared" si="0"/>
        <v/>
      </c>
      <c r="L840" s="10" t="str">
        <f t="shared" si="1"/>
        <v/>
      </c>
      <c r="M840" s="10" t="str">
        <f>IF(W840=1,IF(AND(U840&lt;2,INT(V840)&lt;='Batasan Honor'!$B$2),1,0),"")</f>
        <v/>
      </c>
      <c r="O840" s="10" t="str">
        <f t="shared" si="2"/>
        <v/>
      </c>
      <c r="P840" s="10" t="str">
        <f t="shared" si="3"/>
        <v/>
      </c>
      <c r="R840" s="23"/>
      <c r="S840" s="10" t="str">
        <f t="shared" si="4"/>
        <v/>
      </c>
      <c r="U840" s="10" t="str">
        <f ca="1">IFERROR(__xludf.DUMMYFUNCTION("if(W840=1,COUNTIFS(FILTER($H$2:$H905,$H$2:$H905=""OB"",$S$2:$S905=S840),""OB""),"""")"),"")</f>
        <v/>
      </c>
      <c r="V840" s="10" t="str">
        <f ca="1">IFERROR(__xludf.DUMMYFUNCTION("IF(OR(ISNA(SUM(FILTER($K$2:$K905,$A$2:$A905=A840,$S$2:$S905=S840,$H$2:$H905&lt;&gt;""OB""))),W840&lt;&gt;1),"""",SUM(FILTER($K$2:$K905,$A$2:$A905=A840,$S$2:$S905=S840,$H$2:$H905&lt;&gt;""OB"")))"),"")</f>
        <v/>
      </c>
      <c r="W840" s="10" t="str">
        <f t="shared" si="5"/>
        <v/>
      </c>
    </row>
    <row r="841" spans="1:23" ht="12.5">
      <c r="A841" s="23"/>
      <c r="B841" s="5" t="str">
        <f t="array" ref="B841">IF(W841=1,INDEX('Database Mitra'!$H$2:$H905,MATCH(A841,'Database Mitra'!AK$2:AK905,0)),"")</f>
        <v/>
      </c>
      <c r="C841" s="5" t="str">
        <f t="array" ref="C841">IF(W841=1,INDEX('Database Mitra'!$E$2:$E905,MATCH(A841,'Database Mitra'!AK$2:AK905,0)),"")</f>
        <v/>
      </c>
      <c r="D841" s="23"/>
      <c r="E841" s="5" t="str">
        <f t="array" ref="E841">IF(W841=1,INDEX('Input Kegiatan'!B$2:B905,MATCH($D841,'Input Kegiatan'!$A$2:$A905,0)),"")</f>
        <v/>
      </c>
      <c r="F841" s="5" t="str">
        <f t="array" ref="F841">IF(W841=1,INDEX('Input Kegiatan'!D$2:D905,MATCH($D841,'Input Kegiatan'!$A$2:$A905,0)),"")</f>
        <v/>
      </c>
      <c r="G841" s="5" t="str">
        <f t="array" ref="G841">IF(W841=1,INDEX('Input Kegiatan'!E$2:E905,MATCH($D841,'Input Kegiatan'!$A$2:$A905,0)),"")</f>
        <v/>
      </c>
      <c r="H841" s="5" t="str">
        <f t="array" ref="H841">IF(W841=1,INDEX(Honor!$H$2:$H905,MATCH($D841&amp;"-"&amp;R841,Honor!$K$2:$K905,0)),"")</f>
        <v/>
      </c>
      <c r="I841" s="8" t="str">
        <f>IF(W841=1,SUMIFS(Honor!$I$2:$I905,Honor!$K$2:$K905,$D841&amp;"-"&amp;R841),"")</f>
        <v/>
      </c>
      <c r="J841" s="9" t="str">
        <f t="shared" si="6"/>
        <v/>
      </c>
      <c r="K841" s="10" t="str">
        <f t="shared" si="0"/>
        <v/>
      </c>
      <c r="L841" s="10" t="str">
        <f t="shared" si="1"/>
        <v/>
      </c>
      <c r="M841" s="10" t="str">
        <f>IF(W841=1,IF(AND(U841&lt;2,INT(V841)&lt;='Batasan Honor'!$B$2),1,0),"")</f>
        <v/>
      </c>
      <c r="O841" s="10" t="str">
        <f t="shared" si="2"/>
        <v/>
      </c>
      <c r="P841" s="10" t="str">
        <f t="shared" si="3"/>
        <v/>
      </c>
      <c r="R841" s="23"/>
      <c r="S841" s="10" t="str">
        <f t="shared" si="4"/>
        <v/>
      </c>
      <c r="U841" s="10" t="str">
        <f ca="1">IFERROR(__xludf.DUMMYFUNCTION("if(W841=1,COUNTIFS(FILTER($H$2:$H905,$H$2:$H905=""OB"",$S$2:$S905=S841),""OB""),"""")"),"")</f>
        <v/>
      </c>
      <c r="V841" s="10" t="str">
        <f ca="1">IFERROR(__xludf.DUMMYFUNCTION("IF(OR(ISNA(SUM(FILTER($K$2:$K905,$A$2:$A905=A841,$S$2:$S905=S841,$H$2:$H905&lt;&gt;""OB""))),W841&lt;&gt;1),"""",SUM(FILTER($K$2:$K905,$A$2:$A905=A841,$S$2:$S905=S841,$H$2:$H905&lt;&gt;""OB"")))"),"")</f>
        <v/>
      </c>
      <c r="W841" s="10" t="str">
        <f t="shared" si="5"/>
        <v/>
      </c>
    </row>
    <row r="842" spans="1:23" ht="12.5">
      <c r="A842" s="23"/>
      <c r="B842" s="5" t="str">
        <f t="array" ref="B842">IF(W842=1,INDEX('Database Mitra'!$H$2:$H905,MATCH(A842,'Database Mitra'!AK$2:AK905,0)),"")</f>
        <v/>
      </c>
      <c r="C842" s="5" t="str">
        <f t="array" ref="C842">IF(W842=1,INDEX('Database Mitra'!$E$2:$E905,MATCH(A842,'Database Mitra'!AK$2:AK905,0)),"")</f>
        <v/>
      </c>
      <c r="D842" s="23"/>
      <c r="E842" s="5" t="str">
        <f t="array" ref="E842">IF(W842=1,INDEX('Input Kegiatan'!B$2:B905,MATCH($D842,'Input Kegiatan'!$A$2:$A905,0)),"")</f>
        <v/>
      </c>
      <c r="F842" s="5" t="str">
        <f t="array" ref="F842">IF(W842=1,INDEX('Input Kegiatan'!D$2:D905,MATCH($D842,'Input Kegiatan'!$A$2:$A905,0)),"")</f>
        <v/>
      </c>
      <c r="G842" s="5" t="str">
        <f t="array" ref="G842">IF(W842=1,INDEX('Input Kegiatan'!E$2:E905,MATCH($D842,'Input Kegiatan'!$A$2:$A905,0)),"")</f>
        <v/>
      </c>
      <c r="H842" s="5" t="str">
        <f t="array" ref="H842">IF(W842=1,INDEX(Honor!$H$2:$H905,MATCH($D842&amp;"-"&amp;R842,Honor!$K$2:$K905,0)),"")</f>
        <v/>
      </c>
      <c r="I842" s="8" t="str">
        <f>IF(W842=1,SUMIFS(Honor!$I$2:$I905,Honor!$K$2:$K905,$D842&amp;"-"&amp;R842),"")</f>
        <v/>
      </c>
      <c r="J842" s="9" t="str">
        <f t="shared" si="6"/>
        <v/>
      </c>
      <c r="K842" s="10" t="str">
        <f t="shared" si="0"/>
        <v/>
      </c>
      <c r="L842" s="10" t="str">
        <f t="shared" si="1"/>
        <v/>
      </c>
      <c r="M842" s="10" t="str">
        <f>IF(W842=1,IF(AND(U842&lt;2,INT(V842)&lt;='Batasan Honor'!$B$2),1,0),"")</f>
        <v/>
      </c>
      <c r="O842" s="10" t="str">
        <f t="shared" si="2"/>
        <v/>
      </c>
      <c r="P842" s="10" t="str">
        <f t="shared" si="3"/>
        <v/>
      </c>
      <c r="R842" s="23"/>
      <c r="S842" s="10" t="str">
        <f t="shared" si="4"/>
        <v/>
      </c>
      <c r="U842" s="10" t="str">
        <f ca="1">IFERROR(__xludf.DUMMYFUNCTION("if(W842=1,COUNTIFS(FILTER($H$2:$H905,$H$2:$H905=""OB"",$S$2:$S905=S842),""OB""),"""")"),"")</f>
        <v/>
      </c>
      <c r="V842" s="10" t="str">
        <f ca="1">IFERROR(__xludf.DUMMYFUNCTION("IF(OR(ISNA(SUM(FILTER($K$2:$K905,$A$2:$A905=A842,$S$2:$S905=S842,$H$2:$H905&lt;&gt;""OB""))),W842&lt;&gt;1),"""",SUM(FILTER($K$2:$K905,$A$2:$A905=A842,$S$2:$S905=S842,$H$2:$H905&lt;&gt;""OB"")))"),"")</f>
        <v/>
      </c>
      <c r="W842" s="10" t="str">
        <f t="shared" si="5"/>
        <v/>
      </c>
    </row>
    <row r="843" spans="1:23" ht="12.5">
      <c r="A843" s="23"/>
      <c r="B843" s="5" t="str">
        <f t="array" ref="B843">IF(W843=1,INDEX('Database Mitra'!$H$2:$H905,MATCH(A843,'Database Mitra'!AK$2:AK905,0)),"")</f>
        <v/>
      </c>
      <c r="C843" s="5" t="str">
        <f t="array" ref="C843">IF(W843=1,INDEX('Database Mitra'!$E$2:$E905,MATCH(A843,'Database Mitra'!AK$2:AK905,0)),"")</f>
        <v/>
      </c>
      <c r="D843" s="23"/>
      <c r="E843" s="5" t="str">
        <f t="array" ref="E843">IF(W843=1,INDEX('Input Kegiatan'!B$2:B905,MATCH($D843,'Input Kegiatan'!$A$2:$A905,0)),"")</f>
        <v/>
      </c>
      <c r="F843" s="5" t="str">
        <f t="array" ref="F843">IF(W843=1,INDEX('Input Kegiatan'!D$2:D905,MATCH($D843,'Input Kegiatan'!$A$2:$A905,0)),"")</f>
        <v/>
      </c>
      <c r="G843" s="5" t="str">
        <f t="array" ref="G843">IF(W843=1,INDEX('Input Kegiatan'!E$2:E905,MATCH($D843,'Input Kegiatan'!$A$2:$A905,0)),"")</f>
        <v/>
      </c>
      <c r="H843" s="5" t="str">
        <f t="array" ref="H843">IF(W843=1,INDEX(Honor!$H$2:$H905,MATCH($D843&amp;"-"&amp;R843,Honor!$K$2:$K905,0)),"")</f>
        <v/>
      </c>
      <c r="I843" s="8" t="str">
        <f>IF(W843=1,SUMIFS(Honor!$I$2:$I905,Honor!$K$2:$K905,$D843&amp;"-"&amp;R843),"")</f>
        <v/>
      </c>
      <c r="J843" s="9" t="str">
        <f t="shared" si="6"/>
        <v/>
      </c>
      <c r="K843" s="10" t="str">
        <f t="shared" si="0"/>
        <v/>
      </c>
      <c r="L843" s="10" t="str">
        <f t="shared" si="1"/>
        <v/>
      </c>
      <c r="M843" s="10" t="str">
        <f>IF(W843=1,IF(AND(U843&lt;2,INT(V843)&lt;='Batasan Honor'!$B$2),1,0),"")</f>
        <v/>
      </c>
      <c r="O843" s="10" t="str">
        <f t="shared" si="2"/>
        <v/>
      </c>
      <c r="P843" s="10" t="str">
        <f t="shared" si="3"/>
        <v/>
      </c>
      <c r="R843" s="23"/>
      <c r="S843" s="10" t="str">
        <f t="shared" si="4"/>
        <v/>
      </c>
      <c r="U843" s="10" t="str">
        <f ca="1">IFERROR(__xludf.DUMMYFUNCTION("if(W843=1,COUNTIFS(FILTER($H$2:$H905,$H$2:$H905=""OB"",$S$2:$S905=S843),""OB""),"""")"),"")</f>
        <v/>
      </c>
      <c r="V843" s="10" t="str">
        <f ca="1">IFERROR(__xludf.DUMMYFUNCTION("IF(OR(ISNA(SUM(FILTER($K$2:$K905,$A$2:$A905=A843,$S$2:$S905=S843,$H$2:$H905&lt;&gt;""OB""))),W843&lt;&gt;1),"""",SUM(FILTER($K$2:$K905,$A$2:$A905=A843,$S$2:$S905=S843,$H$2:$H905&lt;&gt;""OB"")))"),"")</f>
        <v/>
      </c>
      <c r="W843" s="10" t="str">
        <f t="shared" si="5"/>
        <v/>
      </c>
    </row>
    <row r="844" spans="1:23" ht="12.5">
      <c r="A844" s="23"/>
      <c r="B844" s="5" t="str">
        <f t="array" ref="B844">IF(W844=1,INDEX('Database Mitra'!$H$2:$H905,MATCH(A844,'Database Mitra'!AK$2:AK905,0)),"")</f>
        <v/>
      </c>
      <c r="C844" s="5" t="str">
        <f t="array" ref="C844">IF(W844=1,INDEX('Database Mitra'!$E$2:$E905,MATCH(A844,'Database Mitra'!AK$2:AK905,0)),"")</f>
        <v/>
      </c>
      <c r="D844" s="23"/>
      <c r="E844" s="5" t="str">
        <f t="array" ref="E844">IF(W844=1,INDEX('Input Kegiatan'!B$2:B905,MATCH($D844,'Input Kegiatan'!$A$2:$A905,0)),"")</f>
        <v/>
      </c>
      <c r="F844" s="5" t="str">
        <f t="array" ref="F844">IF(W844=1,INDEX('Input Kegiatan'!D$2:D905,MATCH($D844,'Input Kegiatan'!$A$2:$A905,0)),"")</f>
        <v/>
      </c>
      <c r="G844" s="5" t="str">
        <f t="array" ref="G844">IF(W844=1,INDEX('Input Kegiatan'!E$2:E905,MATCH($D844,'Input Kegiatan'!$A$2:$A905,0)),"")</f>
        <v/>
      </c>
      <c r="H844" s="5" t="str">
        <f t="array" ref="H844">IF(W844=1,INDEX(Honor!$H$2:$H905,MATCH($D844&amp;"-"&amp;R844,Honor!$K$2:$K905,0)),"")</f>
        <v/>
      </c>
      <c r="I844" s="8" t="str">
        <f>IF(W844=1,SUMIFS(Honor!$I$2:$I905,Honor!$K$2:$K905,$D844&amp;"-"&amp;R844),"")</f>
        <v/>
      </c>
      <c r="J844" s="9" t="str">
        <f t="shared" si="6"/>
        <v/>
      </c>
      <c r="K844" s="10" t="str">
        <f t="shared" si="0"/>
        <v/>
      </c>
      <c r="L844" s="10" t="str">
        <f t="shared" si="1"/>
        <v/>
      </c>
      <c r="M844" s="10" t="str">
        <f>IF(W844=1,IF(AND(U844&lt;2,INT(V844)&lt;='Batasan Honor'!$B$2),1,0),"")</f>
        <v/>
      </c>
      <c r="O844" s="10" t="str">
        <f t="shared" si="2"/>
        <v/>
      </c>
      <c r="P844" s="10" t="str">
        <f t="shared" si="3"/>
        <v/>
      </c>
      <c r="R844" s="23"/>
      <c r="S844" s="10" t="str">
        <f t="shared" si="4"/>
        <v/>
      </c>
      <c r="U844" s="10" t="str">
        <f ca="1">IFERROR(__xludf.DUMMYFUNCTION("if(W844=1,COUNTIFS(FILTER($H$2:$H905,$H$2:$H905=""OB"",$S$2:$S905=S844),""OB""),"""")"),"")</f>
        <v/>
      </c>
      <c r="V844" s="10" t="str">
        <f ca="1">IFERROR(__xludf.DUMMYFUNCTION("IF(OR(ISNA(SUM(FILTER($K$2:$K905,$A$2:$A905=A844,$S$2:$S905=S844,$H$2:$H905&lt;&gt;""OB""))),W844&lt;&gt;1),"""",SUM(FILTER($K$2:$K905,$A$2:$A905=A844,$S$2:$S905=S844,$H$2:$H905&lt;&gt;""OB"")))"),"")</f>
        <v/>
      </c>
      <c r="W844" s="10" t="str">
        <f t="shared" si="5"/>
        <v/>
      </c>
    </row>
    <row r="845" spans="1:23" ht="12.5">
      <c r="A845" s="23"/>
      <c r="B845" s="5" t="str">
        <f t="array" ref="B845">IF(W845=1,INDEX('Database Mitra'!$H$2:$H905,MATCH(A845,'Database Mitra'!AK$2:AK905,0)),"")</f>
        <v/>
      </c>
      <c r="C845" s="5" t="str">
        <f t="array" ref="C845">IF(W845=1,INDEX('Database Mitra'!$E$2:$E905,MATCH(A845,'Database Mitra'!AK$2:AK905,0)),"")</f>
        <v/>
      </c>
      <c r="D845" s="23"/>
      <c r="E845" s="5" t="str">
        <f t="array" ref="E845">IF(W845=1,INDEX('Input Kegiatan'!B$2:B905,MATCH($D845,'Input Kegiatan'!$A$2:$A905,0)),"")</f>
        <v/>
      </c>
      <c r="F845" s="5" t="str">
        <f t="array" ref="F845">IF(W845=1,INDEX('Input Kegiatan'!D$2:D905,MATCH($D845,'Input Kegiatan'!$A$2:$A905,0)),"")</f>
        <v/>
      </c>
      <c r="G845" s="5" t="str">
        <f t="array" ref="G845">IF(W845=1,INDEX('Input Kegiatan'!E$2:E905,MATCH($D845,'Input Kegiatan'!$A$2:$A905,0)),"")</f>
        <v/>
      </c>
      <c r="H845" s="5" t="str">
        <f t="array" ref="H845">IF(W845=1,INDEX(Honor!$H$2:$H905,MATCH($D845&amp;"-"&amp;R845,Honor!$K$2:$K905,0)),"")</f>
        <v/>
      </c>
      <c r="I845" s="8" t="str">
        <f>IF(W845=1,SUMIFS(Honor!$I$2:$I905,Honor!$K$2:$K905,$D845&amp;"-"&amp;R845),"")</f>
        <v/>
      </c>
      <c r="J845" s="9" t="str">
        <f t="shared" si="6"/>
        <v/>
      </c>
      <c r="K845" s="10" t="str">
        <f t="shared" si="0"/>
        <v/>
      </c>
      <c r="L845" s="10" t="str">
        <f t="shared" si="1"/>
        <v/>
      </c>
      <c r="M845" s="10" t="str">
        <f>IF(W845=1,IF(AND(U845&lt;2,INT(V845)&lt;='Batasan Honor'!$B$2),1,0),"")</f>
        <v/>
      </c>
      <c r="O845" s="10" t="str">
        <f t="shared" si="2"/>
        <v/>
      </c>
      <c r="P845" s="10" t="str">
        <f t="shared" si="3"/>
        <v/>
      </c>
      <c r="R845" s="23"/>
      <c r="S845" s="10" t="str">
        <f t="shared" si="4"/>
        <v/>
      </c>
      <c r="U845" s="10" t="str">
        <f ca="1">IFERROR(__xludf.DUMMYFUNCTION("if(W845=1,COUNTIFS(FILTER($H$2:$H905,$H$2:$H905=""OB"",$S$2:$S905=S845),""OB""),"""")"),"")</f>
        <v/>
      </c>
      <c r="V845" s="10" t="str">
        <f ca="1">IFERROR(__xludf.DUMMYFUNCTION("IF(OR(ISNA(SUM(FILTER($K$2:$K905,$A$2:$A905=A845,$S$2:$S905=S845,$H$2:$H905&lt;&gt;""OB""))),W845&lt;&gt;1),"""",SUM(FILTER($K$2:$K905,$A$2:$A905=A845,$S$2:$S905=S845,$H$2:$H905&lt;&gt;""OB"")))"),"")</f>
        <v/>
      </c>
      <c r="W845" s="10" t="str">
        <f t="shared" si="5"/>
        <v/>
      </c>
    </row>
    <row r="846" spans="1:23" ht="12.5">
      <c r="A846" s="23"/>
      <c r="B846" s="5" t="str">
        <f t="array" ref="B846">IF(W846=1,INDEX('Database Mitra'!$H$2:$H905,MATCH(A846,'Database Mitra'!AK$2:AK905,0)),"")</f>
        <v/>
      </c>
      <c r="C846" s="5" t="str">
        <f t="array" ref="C846">IF(W846=1,INDEX('Database Mitra'!$E$2:$E905,MATCH(A846,'Database Mitra'!AK$2:AK905,0)),"")</f>
        <v/>
      </c>
      <c r="D846" s="23"/>
      <c r="E846" s="5" t="str">
        <f t="array" ref="E846">IF(W846=1,INDEX('Input Kegiatan'!B$2:B905,MATCH($D846,'Input Kegiatan'!$A$2:$A905,0)),"")</f>
        <v/>
      </c>
      <c r="F846" s="5" t="str">
        <f t="array" ref="F846">IF(W846=1,INDEX('Input Kegiatan'!D$2:D905,MATCH($D846,'Input Kegiatan'!$A$2:$A905,0)),"")</f>
        <v/>
      </c>
      <c r="G846" s="5" t="str">
        <f t="array" ref="G846">IF(W846=1,INDEX('Input Kegiatan'!E$2:E905,MATCH($D846,'Input Kegiatan'!$A$2:$A905,0)),"")</f>
        <v/>
      </c>
      <c r="H846" s="5" t="str">
        <f t="array" ref="H846">IF(W846=1,INDEX(Honor!$H$2:$H905,MATCH($D846&amp;"-"&amp;R846,Honor!$K$2:$K905,0)),"")</f>
        <v/>
      </c>
      <c r="I846" s="8" t="str">
        <f>IF(W846=1,SUMIFS(Honor!$I$2:$I905,Honor!$K$2:$K905,$D846&amp;"-"&amp;R846),"")</f>
        <v/>
      </c>
      <c r="J846" s="9" t="str">
        <f t="shared" si="6"/>
        <v/>
      </c>
      <c r="K846" s="10" t="str">
        <f t="shared" si="0"/>
        <v/>
      </c>
      <c r="L846" s="10" t="str">
        <f t="shared" si="1"/>
        <v/>
      </c>
      <c r="M846" s="10" t="str">
        <f>IF(W846=1,IF(AND(U846&lt;2,INT(V846)&lt;='Batasan Honor'!$B$2),1,0),"")</f>
        <v/>
      </c>
      <c r="O846" s="10" t="str">
        <f t="shared" si="2"/>
        <v/>
      </c>
      <c r="P846" s="10" t="str">
        <f t="shared" si="3"/>
        <v/>
      </c>
      <c r="R846" s="23"/>
      <c r="S846" s="10" t="str">
        <f t="shared" si="4"/>
        <v/>
      </c>
      <c r="U846" s="10" t="str">
        <f ca="1">IFERROR(__xludf.DUMMYFUNCTION("if(W846=1,COUNTIFS(FILTER($H$2:$H905,$H$2:$H905=""OB"",$S$2:$S905=S846),""OB""),"""")"),"")</f>
        <v/>
      </c>
      <c r="V846" s="10" t="str">
        <f ca="1">IFERROR(__xludf.DUMMYFUNCTION("IF(OR(ISNA(SUM(FILTER($K$2:$K905,$A$2:$A905=A846,$S$2:$S905=S846,$H$2:$H905&lt;&gt;""OB""))),W846&lt;&gt;1),"""",SUM(FILTER($K$2:$K905,$A$2:$A905=A846,$S$2:$S905=S846,$H$2:$H905&lt;&gt;""OB"")))"),"")</f>
        <v/>
      </c>
      <c r="W846" s="10" t="str">
        <f t="shared" si="5"/>
        <v/>
      </c>
    </row>
    <row r="847" spans="1:23" ht="12.5">
      <c r="A847" s="23"/>
      <c r="B847" s="5" t="str">
        <f t="array" ref="B847">IF(W847=1,INDEX('Database Mitra'!$H$2:$H905,MATCH(A847,'Database Mitra'!AK$2:AK905,0)),"")</f>
        <v/>
      </c>
      <c r="C847" s="5" t="str">
        <f t="array" ref="C847">IF(W847=1,INDEX('Database Mitra'!$E$2:$E905,MATCH(A847,'Database Mitra'!AK$2:AK905,0)),"")</f>
        <v/>
      </c>
      <c r="D847" s="23"/>
      <c r="E847" s="5" t="str">
        <f t="array" ref="E847">IF(W847=1,INDEX('Input Kegiatan'!B$2:B905,MATCH($D847,'Input Kegiatan'!$A$2:$A905,0)),"")</f>
        <v/>
      </c>
      <c r="F847" s="5" t="str">
        <f t="array" ref="F847">IF(W847=1,INDEX('Input Kegiatan'!D$2:D905,MATCH($D847,'Input Kegiatan'!$A$2:$A905,0)),"")</f>
        <v/>
      </c>
      <c r="G847" s="5" t="str">
        <f t="array" ref="G847">IF(W847=1,INDEX('Input Kegiatan'!E$2:E905,MATCH($D847,'Input Kegiatan'!$A$2:$A905,0)),"")</f>
        <v/>
      </c>
      <c r="H847" s="5" t="str">
        <f t="array" ref="H847">IF(W847=1,INDEX(Honor!$H$2:$H905,MATCH($D847&amp;"-"&amp;R847,Honor!$K$2:$K905,0)),"")</f>
        <v/>
      </c>
      <c r="I847" s="8" t="str">
        <f>IF(W847=1,SUMIFS(Honor!$I$2:$I905,Honor!$K$2:$K905,$D847&amp;"-"&amp;R847),"")</f>
        <v/>
      </c>
      <c r="J847" s="9" t="str">
        <f t="shared" si="6"/>
        <v/>
      </c>
      <c r="K847" s="10" t="str">
        <f t="shared" si="0"/>
        <v/>
      </c>
      <c r="L847" s="10" t="str">
        <f t="shared" si="1"/>
        <v/>
      </c>
      <c r="M847" s="10" t="str">
        <f>IF(W847=1,IF(AND(U847&lt;2,INT(V847)&lt;='Batasan Honor'!$B$2),1,0),"")</f>
        <v/>
      </c>
      <c r="O847" s="10" t="str">
        <f t="shared" si="2"/>
        <v/>
      </c>
      <c r="P847" s="10" t="str">
        <f t="shared" si="3"/>
        <v/>
      </c>
      <c r="R847" s="23"/>
      <c r="S847" s="10" t="str">
        <f t="shared" si="4"/>
        <v/>
      </c>
      <c r="U847" s="10" t="str">
        <f ca="1">IFERROR(__xludf.DUMMYFUNCTION("if(W847=1,COUNTIFS(FILTER($H$2:$H905,$H$2:$H905=""OB"",$S$2:$S905=S847),""OB""),"""")"),"")</f>
        <v/>
      </c>
      <c r="V847" s="10" t="str">
        <f ca="1">IFERROR(__xludf.DUMMYFUNCTION("IF(OR(ISNA(SUM(FILTER($K$2:$K905,$A$2:$A905=A847,$S$2:$S905=S847,$H$2:$H905&lt;&gt;""OB""))),W847&lt;&gt;1),"""",SUM(FILTER($K$2:$K905,$A$2:$A905=A847,$S$2:$S905=S847,$H$2:$H905&lt;&gt;""OB"")))"),"")</f>
        <v/>
      </c>
      <c r="W847" s="10" t="str">
        <f t="shared" si="5"/>
        <v/>
      </c>
    </row>
    <row r="848" spans="1:23" ht="12.5">
      <c r="A848" s="23"/>
      <c r="B848" s="5" t="str">
        <f t="array" ref="B848">IF(W848=1,INDEX('Database Mitra'!$H$2:$H905,MATCH(A848,'Database Mitra'!AK$2:AK905,0)),"")</f>
        <v/>
      </c>
      <c r="C848" s="5" t="str">
        <f t="array" ref="C848">IF(W848=1,INDEX('Database Mitra'!$E$2:$E905,MATCH(A848,'Database Mitra'!AK$2:AK905,0)),"")</f>
        <v/>
      </c>
      <c r="D848" s="23"/>
      <c r="E848" s="5" t="str">
        <f t="array" ref="E848">IF(W848=1,INDEX('Input Kegiatan'!B$2:B905,MATCH($D848,'Input Kegiatan'!$A$2:$A905,0)),"")</f>
        <v/>
      </c>
      <c r="F848" s="5" t="str">
        <f t="array" ref="F848">IF(W848=1,INDEX('Input Kegiatan'!D$2:D905,MATCH($D848,'Input Kegiatan'!$A$2:$A905,0)),"")</f>
        <v/>
      </c>
      <c r="G848" s="5" t="str">
        <f t="array" ref="G848">IF(W848=1,INDEX('Input Kegiatan'!E$2:E905,MATCH($D848,'Input Kegiatan'!$A$2:$A905,0)),"")</f>
        <v/>
      </c>
      <c r="H848" s="5" t="str">
        <f t="array" ref="H848">IF(W848=1,INDEX(Honor!$H$2:$H905,MATCH($D848&amp;"-"&amp;R848,Honor!$K$2:$K905,0)),"")</f>
        <v/>
      </c>
      <c r="I848" s="8" t="str">
        <f>IF(W848=1,SUMIFS(Honor!$I$2:$I905,Honor!$K$2:$K905,$D848&amp;"-"&amp;R848),"")</f>
        <v/>
      </c>
      <c r="J848" s="9" t="str">
        <f t="shared" si="6"/>
        <v/>
      </c>
      <c r="K848" s="10" t="str">
        <f t="shared" si="0"/>
        <v/>
      </c>
      <c r="L848" s="10" t="str">
        <f t="shared" si="1"/>
        <v/>
      </c>
      <c r="M848" s="10" t="str">
        <f>IF(W848=1,IF(AND(U848&lt;2,INT(V848)&lt;='Batasan Honor'!$B$2),1,0),"")</f>
        <v/>
      </c>
      <c r="O848" s="10" t="str">
        <f t="shared" si="2"/>
        <v/>
      </c>
      <c r="P848" s="10" t="str">
        <f t="shared" si="3"/>
        <v/>
      </c>
      <c r="R848" s="23"/>
      <c r="S848" s="10" t="str">
        <f t="shared" si="4"/>
        <v/>
      </c>
      <c r="U848" s="10" t="str">
        <f ca="1">IFERROR(__xludf.DUMMYFUNCTION("if(W848=1,COUNTIFS(FILTER($H$2:$H905,$H$2:$H905=""OB"",$S$2:$S905=S848),""OB""),"""")"),"")</f>
        <v/>
      </c>
      <c r="V848" s="10" t="str">
        <f ca="1">IFERROR(__xludf.DUMMYFUNCTION("IF(OR(ISNA(SUM(FILTER($K$2:$K905,$A$2:$A905=A848,$S$2:$S905=S848,$H$2:$H905&lt;&gt;""OB""))),W848&lt;&gt;1),"""",SUM(FILTER($K$2:$K905,$A$2:$A905=A848,$S$2:$S905=S848,$H$2:$H905&lt;&gt;""OB"")))"),"")</f>
        <v/>
      </c>
      <c r="W848" s="10" t="str">
        <f t="shared" si="5"/>
        <v/>
      </c>
    </row>
    <row r="849" spans="1:23" ht="12.5">
      <c r="A849" s="23"/>
      <c r="B849" s="5" t="str">
        <f t="array" ref="B849">IF(W849=1,INDEX('Database Mitra'!$H$2:$H905,MATCH(A849,'Database Mitra'!AK$2:AK905,0)),"")</f>
        <v/>
      </c>
      <c r="C849" s="5" t="str">
        <f t="array" ref="C849">IF(W849=1,INDEX('Database Mitra'!$E$2:$E905,MATCH(A849,'Database Mitra'!AK$2:AK905,0)),"")</f>
        <v/>
      </c>
      <c r="D849" s="23"/>
      <c r="E849" s="5" t="str">
        <f t="array" ref="E849">IF(W849=1,INDEX('Input Kegiatan'!B$2:B905,MATCH($D849,'Input Kegiatan'!$A$2:$A905,0)),"")</f>
        <v/>
      </c>
      <c r="F849" s="5" t="str">
        <f t="array" ref="F849">IF(W849=1,INDEX('Input Kegiatan'!D$2:D905,MATCH($D849,'Input Kegiatan'!$A$2:$A905,0)),"")</f>
        <v/>
      </c>
      <c r="G849" s="5" t="str">
        <f t="array" ref="G849">IF(W849=1,INDEX('Input Kegiatan'!E$2:E905,MATCH($D849,'Input Kegiatan'!$A$2:$A905,0)),"")</f>
        <v/>
      </c>
      <c r="H849" s="5" t="str">
        <f t="array" ref="H849">IF(W849=1,INDEX(Honor!$H$2:$H905,MATCH($D849&amp;"-"&amp;R849,Honor!$K$2:$K905,0)),"")</f>
        <v/>
      </c>
      <c r="I849" s="8" t="str">
        <f>IF(W849=1,SUMIFS(Honor!$I$2:$I905,Honor!$K$2:$K905,$D849&amp;"-"&amp;R849),"")</f>
        <v/>
      </c>
      <c r="J849" s="9" t="str">
        <f t="shared" si="6"/>
        <v/>
      </c>
      <c r="K849" s="10" t="str">
        <f t="shared" si="0"/>
        <v/>
      </c>
      <c r="L849" s="10" t="str">
        <f t="shared" si="1"/>
        <v/>
      </c>
      <c r="M849" s="10" t="str">
        <f>IF(W849=1,IF(AND(U849&lt;2,INT(V849)&lt;='Batasan Honor'!$B$2),1,0),"")</f>
        <v/>
      </c>
      <c r="O849" s="10" t="str">
        <f t="shared" si="2"/>
        <v/>
      </c>
      <c r="P849" s="10" t="str">
        <f t="shared" si="3"/>
        <v/>
      </c>
      <c r="R849" s="23"/>
      <c r="S849" s="10" t="str">
        <f t="shared" si="4"/>
        <v/>
      </c>
      <c r="U849" s="10" t="str">
        <f ca="1">IFERROR(__xludf.DUMMYFUNCTION("if(W849=1,COUNTIFS(FILTER($H$2:$H905,$H$2:$H905=""OB"",$S$2:$S905=S849),""OB""),"""")"),"")</f>
        <v/>
      </c>
      <c r="V849" s="10" t="str">
        <f ca="1">IFERROR(__xludf.DUMMYFUNCTION("IF(OR(ISNA(SUM(FILTER($K$2:$K905,$A$2:$A905=A849,$S$2:$S905=S849,$H$2:$H905&lt;&gt;""OB""))),W849&lt;&gt;1),"""",SUM(FILTER($K$2:$K905,$A$2:$A905=A849,$S$2:$S905=S849,$H$2:$H905&lt;&gt;""OB"")))"),"")</f>
        <v/>
      </c>
      <c r="W849" s="10" t="str">
        <f t="shared" si="5"/>
        <v/>
      </c>
    </row>
    <row r="850" spans="1:23" ht="12.5">
      <c r="A850" s="23"/>
      <c r="B850" s="5" t="str">
        <f t="array" ref="B850">IF(W850=1,INDEX('Database Mitra'!$H$2:$H905,MATCH(A850,'Database Mitra'!AK$2:AK905,0)),"")</f>
        <v/>
      </c>
      <c r="C850" s="5" t="str">
        <f t="array" ref="C850">IF(W850=1,INDEX('Database Mitra'!$E$2:$E905,MATCH(A850,'Database Mitra'!AK$2:AK905,0)),"")</f>
        <v/>
      </c>
      <c r="D850" s="23"/>
      <c r="E850" s="5" t="str">
        <f t="array" ref="E850">IF(W850=1,INDEX('Input Kegiatan'!B$2:B905,MATCH($D850,'Input Kegiatan'!$A$2:$A905,0)),"")</f>
        <v/>
      </c>
      <c r="F850" s="5" t="str">
        <f t="array" ref="F850">IF(W850=1,INDEX('Input Kegiatan'!D$2:D905,MATCH($D850,'Input Kegiatan'!$A$2:$A905,0)),"")</f>
        <v/>
      </c>
      <c r="G850" s="5" t="str">
        <f t="array" ref="G850">IF(W850=1,INDEX('Input Kegiatan'!E$2:E905,MATCH($D850,'Input Kegiatan'!$A$2:$A905,0)),"")</f>
        <v/>
      </c>
      <c r="H850" s="5" t="str">
        <f t="array" ref="H850">IF(W850=1,INDEX(Honor!$H$2:$H905,MATCH($D850&amp;"-"&amp;R850,Honor!$K$2:$K905,0)),"")</f>
        <v/>
      </c>
      <c r="I850" s="8" t="str">
        <f>IF(W850=1,SUMIFS(Honor!$I$2:$I905,Honor!$K$2:$K905,$D850&amp;"-"&amp;R850),"")</f>
        <v/>
      </c>
      <c r="J850" s="9" t="str">
        <f t="shared" si="6"/>
        <v/>
      </c>
      <c r="K850" s="10" t="str">
        <f t="shared" si="0"/>
        <v/>
      </c>
      <c r="L850" s="10" t="str">
        <f t="shared" si="1"/>
        <v/>
      </c>
      <c r="M850" s="10" t="str">
        <f>IF(W850=1,IF(AND(U850&lt;2,INT(V850)&lt;='Batasan Honor'!$B$2),1,0),"")</f>
        <v/>
      </c>
      <c r="O850" s="10" t="str">
        <f t="shared" si="2"/>
        <v/>
      </c>
      <c r="P850" s="10" t="str">
        <f t="shared" si="3"/>
        <v/>
      </c>
      <c r="R850" s="23"/>
      <c r="S850" s="10" t="str">
        <f t="shared" si="4"/>
        <v/>
      </c>
      <c r="U850" s="10" t="str">
        <f ca="1">IFERROR(__xludf.DUMMYFUNCTION("if(W850=1,COUNTIFS(FILTER($H$2:$H905,$H$2:$H905=""OB"",$S$2:$S905=S850),""OB""),"""")"),"")</f>
        <v/>
      </c>
      <c r="V850" s="10" t="str">
        <f ca="1">IFERROR(__xludf.DUMMYFUNCTION("IF(OR(ISNA(SUM(FILTER($K$2:$K905,$A$2:$A905=A850,$S$2:$S905=S850,$H$2:$H905&lt;&gt;""OB""))),W850&lt;&gt;1),"""",SUM(FILTER($K$2:$K905,$A$2:$A905=A850,$S$2:$S905=S850,$H$2:$H905&lt;&gt;""OB"")))"),"")</f>
        <v/>
      </c>
      <c r="W850" s="10" t="str">
        <f t="shared" si="5"/>
        <v/>
      </c>
    </row>
    <row r="851" spans="1:23" ht="12.5">
      <c r="A851" s="23"/>
      <c r="B851" s="5" t="str">
        <f t="array" ref="B851">IF(W851=1,INDEX('Database Mitra'!$H$2:$H905,MATCH(A851,'Database Mitra'!AK$2:AK905,0)),"")</f>
        <v/>
      </c>
      <c r="C851" s="5" t="str">
        <f t="array" ref="C851">IF(W851=1,INDEX('Database Mitra'!$E$2:$E905,MATCH(A851,'Database Mitra'!AK$2:AK905,0)),"")</f>
        <v/>
      </c>
      <c r="D851" s="23"/>
      <c r="E851" s="5" t="str">
        <f t="array" ref="E851">IF(W851=1,INDEX('Input Kegiatan'!B$2:B905,MATCH($D851,'Input Kegiatan'!$A$2:$A905,0)),"")</f>
        <v/>
      </c>
      <c r="F851" s="5" t="str">
        <f t="array" ref="F851">IF(W851=1,INDEX('Input Kegiatan'!D$2:D905,MATCH($D851,'Input Kegiatan'!$A$2:$A905,0)),"")</f>
        <v/>
      </c>
      <c r="G851" s="5" t="str">
        <f t="array" ref="G851">IF(W851=1,INDEX('Input Kegiatan'!E$2:E905,MATCH($D851,'Input Kegiatan'!$A$2:$A905,0)),"")</f>
        <v/>
      </c>
      <c r="H851" s="5" t="str">
        <f t="array" ref="H851">IF(W851=1,INDEX(Honor!$H$2:$H905,MATCH($D851&amp;"-"&amp;R851,Honor!$K$2:$K905,0)),"")</f>
        <v/>
      </c>
      <c r="I851" s="8" t="str">
        <f>IF(W851=1,SUMIFS(Honor!$I$2:$I905,Honor!$K$2:$K905,$D851&amp;"-"&amp;R851),"")</f>
        <v/>
      </c>
      <c r="J851" s="9" t="str">
        <f t="shared" si="6"/>
        <v/>
      </c>
      <c r="K851" s="10" t="str">
        <f t="shared" si="0"/>
        <v/>
      </c>
      <c r="L851" s="10" t="str">
        <f t="shared" si="1"/>
        <v/>
      </c>
      <c r="M851" s="10" t="str">
        <f>IF(W851=1,IF(AND(U851&lt;2,INT(V851)&lt;='Batasan Honor'!$B$2),1,0),"")</f>
        <v/>
      </c>
      <c r="O851" s="10" t="str">
        <f t="shared" si="2"/>
        <v/>
      </c>
      <c r="P851" s="10" t="str">
        <f t="shared" si="3"/>
        <v/>
      </c>
      <c r="R851" s="23"/>
      <c r="S851" s="10" t="str">
        <f t="shared" si="4"/>
        <v/>
      </c>
      <c r="U851" s="10" t="str">
        <f ca="1">IFERROR(__xludf.DUMMYFUNCTION("if(W851=1,COUNTIFS(FILTER($H$2:$H905,$H$2:$H905=""OB"",$S$2:$S905=S851),""OB""),"""")"),"")</f>
        <v/>
      </c>
      <c r="V851" s="10" t="str">
        <f ca="1">IFERROR(__xludf.DUMMYFUNCTION("IF(OR(ISNA(SUM(FILTER($K$2:$K905,$A$2:$A905=A851,$S$2:$S905=S851,$H$2:$H905&lt;&gt;""OB""))),W851&lt;&gt;1),"""",SUM(FILTER($K$2:$K905,$A$2:$A905=A851,$S$2:$S905=S851,$H$2:$H905&lt;&gt;""OB"")))"),"")</f>
        <v/>
      </c>
      <c r="W851" s="10" t="str">
        <f t="shared" si="5"/>
        <v/>
      </c>
    </row>
    <row r="852" spans="1:23" ht="12.5">
      <c r="A852" s="23"/>
      <c r="B852" s="5" t="str">
        <f t="array" ref="B852">IF(W852=1,INDEX('Database Mitra'!$H$2:$H905,MATCH(A852,'Database Mitra'!AK$2:AK905,0)),"")</f>
        <v/>
      </c>
      <c r="C852" s="5" t="str">
        <f t="array" ref="C852">IF(W852=1,INDEX('Database Mitra'!$E$2:$E905,MATCH(A852,'Database Mitra'!AK$2:AK905,0)),"")</f>
        <v/>
      </c>
      <c r="D852" s="23"/>
      <c r="E852" s="5" t="str">
        <f t="array" ref="E852">IF(W852=1,INDEX('Input Kegiatan'!B$2:B905,MATCH($D852,'Input Kegiatan'!$A$2:$A905,0)),"")</f>
        <v/>
      </c>
      <c r="F852" s="5" t="str">
        <f t="array" ref="F852">IF(W852=1,INDEX('Input Kegiatan'!D$2:D905,MATCH($D852,'Input Kegiatan'!$A$2:$A905,0)),"")</f>
        <v/>
      </c>
      <c r="G852" s="5" t="str">
        <f t="array" ref="G852">IF(W852=1,INDEX('Input Kegiatan'!E$2:E905,MATCH($D852,'Input Kegiatan'!$A$2:$A905,0)),"")</f>
        <v/>
      </c>
      <c r="H852" s="5" t="str">
        <f t="array" ref="H852">IF(W852=1,INDEX(Honor!$H$2:$H905,MATCH($D852&amp;"-"&amp;R852,Honor!$K$2:$K905,0)),"")</f>
        <v/>
      </c>
      <c r="I852" s="8" t="str">
        <f>IF(W852=1,SUMIFS(Honor!$I$2:$I905,Honor!$K$2:$K905,$D852&amp;"-"&amp;R852),"")</f>
        <v/>
      </c>
      <c r="J852" s="9" t="str">
        <f t="shared" si="6"/>
        <v/>
      </c>
      <c r="K852" s="10" t="str">
        <f t="shared" si="0"/>
        <v/>
      </c>
      <c r="L852" s="10" t="str">
        <f t="shared" si="1"/>
        <v/>
      </c>
      <c r="M852" s="10" t="str">
        <f>IF(W852=1,IF(AND(U852&lt;2,INT(V852)&lt;='Batasan Honor'!$B$2),1,0),"")</f>
        <v/>
      </c>
      <c r="O852" s="10" t="str">
        <f t="shared" si="2"/>
        <v/>
      </c>
      <c r="P852" s="10" t="str">
        <f t="shared" si="3"/>
        <v/>
      </c>
      <c r="R852" s="23"/>
      <c r="S852" s="10" t="str">
        <f t="shared" si="4"/>
        <v/>
      </c>
      <c r="U852" s="10" t="str">
        <f ca="1">IFERROR(__xludf.DUMMYFUNCTION("if(W852=1,COUNTIFS(FILTER($H$2:$H905,$H$2:$H905=""OB"",$S$2:$S905=S852),""OB""),"""")"),"")</f>
        <v/>
      </c>
      <c r="V852" s="10" t="str">
        <f ca="1">IFERROR(__xludf.DUMMYFUNCTION("IF(OR(ISNA(SUM(FILTER($K$2:$K905,$A$2:$A905=A852,$S$2:$S905=S852,$H$2:$H905&lt;&gt;""OB""))),W852&lt;&gt;1),"""",SUM(FILTER($K$2:$K905,$A$2:$A905=A852,$S$2:$S905=S852,$H$2:$H905&lt;&gt;""OB"")))"),"")</f>
        <v/>
      </c>
      <c r="W852" s="10" t="str">
        <f t="shared" si="5"/>
        <v/>
      </c>
    </row>
    <row r="853" spans="1:23" ht="12.5">
      <c r="A853" s="23"/>
      <c r="B853" s="5" t="str">
        <f t="array" ref="B853">IF(W853=1,INDEX('Database Mitra'!$H$2:$H905,MATCH(A853,'Database Mitra'!AK$2:AK905,0)),"")</f>
        <v/>
      </c>
      <c r="C853" s="5" t="str">
        <f t="array" ref="C853">IF(W853=1,INDEX('Database Mitra'!$E$2:$E905,MATCH(A853,'Database Mitra'!AK$2:AK905,0)),"")</f>
        <v/>
      </c>
      <c r="D853" s="23"/>
      <c r="E853" s="5" t="str">
        <f t="array" ref="E853">IF(W853=1,INDEX('Input Kegiatan'!B$2:B905,MATCH($D853,'Input Kegiatan'!$A$2:$A905,0)),"")</f>
        <v/>
      </c>
      <c r="F853" s="5" t="str">
        <f t="array" ref="F853">IF(W853=1,INDEX('Input Kegiatan'!D$2:D905,MATCH($D853,'Input Kegiatan'!$A$2:$A905,0)),"")</f>
        <v/>
      </c>
      <c r="G853" s="5" t="str">
        <f t="array" ref="G853">IF(W853=1,INDEX('Input Kegiatan'!E$2:E905,MATCH($D853,'Input Kegiatan'!$A$2:$A905,0)),"")</f>
        <v/>
      </c>
      <c r="H853" s="5" t="str">
        <f t="array" ref="H853">IF(W853=1,INDEX(Honor!$H$2:$H905,MATCH($D853&amp;"-"&amp;R853,Honor!$K$2:$K905,0)),"")</f>
        <v/>
      </c>
      <c r="I853" s="8" t="str">
        <f>IF(W853=1,SUMIFS(Honor!$I$2:$I905,Honor!$K$2:$K905,$D853&amp;"-"&amp;R853),"")</f>
        <v/>
      </c>
      <c r="J853" s="9" t="str">
        <f t="shared" si="6"/>
        <v/>
      </c>
      <c r="K853" s="10" t="str">
        <f t="shared" si="0"/>
        <v/>
      </c>
      <c r="L853" s="10" t="str">
        <f t="shared" si="1"/>
        <v/>
      </c>
      <c r="M853" s="10" t="str">
        <f>IF(W853=1,IF(AND(U853&lt;2,INT(V853)&lt;='Batasan Honor'!$B$2),1,0),"")</f>
        <v/>
      </c>
      <c r="O853" s="10" t="str">
        <f t="shared" si="2"/>
        <v/>
      </c>
      <c r="P853" s="10" t="str">
        <f t="shared" si="3"/>
        <v/>
      </c>
      <c r="R853" s="23"/>
      <c r="S853" s="10" t="str">
        <f t="shared" si="4"/>
        <v/>
      </c>
      <c r="U853" s="10" t="str">
        <f ca="1">IFERROR(__xludf.DUMMYFUNCTION("if(W853=1,COUNTIFS(FILTER($H$2:$H905,$H$2:$H905=""OB"",$S$2:$S905=S853),""OB""),"""")"),"")</f>
        <v/>
      </c>
      <c r="V853" s="10" t="str">
        <f ca="1">IFERROR(__xludf.DUMMYFUNCTION("IF(OR(ISNA(SUM(FILTER($K$2:$K905,$A$2:$A905=A853,$S$2:$S905=S853,$H$2:$H905&lt;&gt;""OB""))),W853&lt;&gt;1),"""",SUM(FILTER($K$2:$K905,$A$2:$A905=A853,$S$2:$S905=S853,$H$2:$H905&lt;&gt;""OB"")))"),"")</f>
        <v/>
      </c>
      <c r="W853" s="10" t="str">
        <f t="shared" si="5"/>
        <v/>
      </c>
    </row>
    <row r="854" spans="1:23" ht="12.5">
      <c r="A854" s="23"/>
      <c r="B854" s="5" t="str">
        <f t="array" ref="B854">IF(W854=1,INDEX('Database Mitra'!$H$2:$H905,MATCH(A854,'Database Mitra'!AK$2:AK905,0)),"")</f>
        <v/>
      </c>
      <c r="C854" s="5" t="str">
        <f t="array" ref="C854">IF(W854=1,INDEX('Database Mitra'!$E$2:$E905,MATCH(A854,'Database Mitra'!AK$2:AK905,0)),"")</f>
        <v/>
      </c>
      <c r="D854" s="23"/>
      <c r="E854" s="5" t="str">
        <f t="array" ref="E854">IF(W854=1,INDEX('Input Kegiatan'!B$2:B905,MATCH($D854,'Input Kegiatan'!$A$2:$A905,0)),"")</f>
        <v/>
      </c>
      <c r="F854" s="5" t="str">
        <f t="array" ref="F854">IF(W854=1,INDEX('Input Kegiatan'!D$2:D905,MATCH($D854,'Input Kegiatan'!$A$2:$A905,0)),"")</f>
        <v/>
      </c>
      <c r="G854" s="5" t="str">
        <f t="array" ref="G854">IF(W854=1,INDEX('Input Kegiatan'!E$2:E905,MATCH($D854,'Input Kegiatan'!$A$2:$A905,0)),"")</f>
        <v/>
      </c>
      <c r="H854" s="5" t="str">
        <f t="array" ref="H854">IF(W854=1,INDEX(Honor!$H$2:$H905,MATCH($D854&amp;"-"&amp;R854,Honor!$K$2:$K905,0)),"")</f>
        <v/>
      </c>
      <c r="I854" s="8" t="str">
        <f>IF(W854=1,SUMIFS(Honor!$I$2:$I905,Honor!$K$2:$K905,$D854&amp;"-"&amp;R854),"")</f>
        <v/>
      </c>
      <c r="J854" s="9" t="str">
        <f t="shared" si="6"/>
        <v/>
      </c>
      <c r="K854" s="10" t="str">
        <f t="shared" si="0"/>
        <v/>
      </c>
      <c r="L854" s="10" t="str">
        <f t="shared" si="1"/>
        <v/>
      </c>
      <c r="M854" s="10" t="str">
        <f>IF(W854=1,IF(AND(U854&lt;2,INT(V854)&lt;='Batasan Honor'!$B$2),1,0),"")</f>
        <v/>
      </c>
      <c r="O854" s="10" t="str">
        <f t="shared" si="2"/>
        <v/>
      </c>
      <c r="P854" s="10" t="str">
        <f t="shared" si="3"/>
        <v/>
      </c>
      <c r="R854" s="23"/>
      <c r="S854" s="10" t="str">
        <f t="shared" si="4"/>
        <v/>
      </c>
      <c r="U854" s="10" t="str">
        <f ca="1">IFERROR(__xludf.DUMMYFUNCTION("if(W854=1,COUNTIFS(FILTER($H$2:$H905,$H$2:$H905=""OB"",$S$2:$S905=S854),""OB""),"""")"),"")</f>
        <v/>
      </c>
      <c r="V854" s="10" t="str">
        <f ca="1">IFERROR(__xludf.DUMMYFUNCTION("IF(OR(ISNA(SUM(FILTER($K$2:$K905,$A$2:$A905=A854,$S$2:$S905=S854,$H$2:$H905&lt;&gt;""OB""))),W854&lt;&gt;1),"""",SUM(FILTER($K$2:$K905,$A$2:$A905=A854,$S$2:$S905=S854,$H$2:$H905&lt;&gt;""OB"")))"),"")</f>
        <v/>
      </c>
      <c r="W854" s="10" t="str">
        <f t="shared" si="5"/>
        <v/>
      </c>
    </row>
    <row r="855" spans="1:23" ht="12.5">
      <c r="A855" s="23"/>
      <c r="B855" s="5" t="str">
        <f t="array" ref="B855">IF(W855=1,INDEX('Database Mitra'!$H$2:$H905,MATCH(A855,'Database Mitra'!AK$2:AK905,0)),"")</f>
        <v/>
      </c>
      <c r="C855" s="5" t="str">
        <f t="array" ref="C855">IF(W855=1,INDEX('Database Mitra'!$E$2:$E905,MATCH(A855,'Database Mitra'!AK$2:AK905,0)),"")</f>
        <v/>
      </c>
      <c r="D855" s="23"/>
      <c r="E855" s="5" t="str">
        <f t="array" ref="E855">IF(W855=1,INDEX('Input Kegiatan'!B$2:B905,MATCH($D855,'Input Kegiatan'!$A$2:$A905,0)),"")</f>
        <v/>
      </c>
      <c r="F855" s="5" t="str">
        <f t="array" ref="F855">IF(W855=1,INDEX('Input Kegiatan'!D$2:D905,MATCH($D855,'Input Kegiatan'!$A$2:$A905,0)),"")</f>
        <v/>
      </c>
      <c r="G855" s="5" t="str">
        <f t="array" ref="G855">IF(W855=1,INDEX('Input Kegiatan'!E$2:E905,MATCH($D855,'Input Kegiatan'!$A$2:$A905,0)),"")</f>
        <v/>
      </c>
      <c r="H855" s="5" t="str">
        <f t="array" ref="H855">IF(W855=1,INDEX(Honor!$H$2:$H905,MATCH($D855&amp;"-"&amp;R855,Honor!$K$2:$K905,0)),"")</f>
        <v/>
      </c>
      <c r="I855" s="8" t="str">
        <f>IF(W855=1,SUMIFS(Honor!$I$2:$I905,Honor!$K$2:$K905,$D855&amp;"-"&amp;R855),"")</f>
        <v/>
      </c>
      <c r="J855" s="9" t="str">
        <f t="shared" si="6"/>
        <v/>
      </c>
      <c r="K855" s="10" t="str">
        <f t="shared" si="0"/>
        <v/>
      </c>
      <c r="L855" s="10" t="str">
        <f t="shared" si="1"/>
        <v/>
      </c>
      <c r="M855" s="10" t="str">
        <f>IF(W855=1,IF(AND(U855&lt;2,INT(V855)&lt;='Batasan Honor'!$B$2),1,0),"")</f>
        <v/>
      </c>
      <c r="O855" s="10" t="str">
        <f t="shared" si="2"/>
        <v/>
      </c>
      <c r="P855" s="10" t="str">
        <f t="shared" si="3"/>
        <v/>
      </c>
      <c r="R855" s="23"/>
      <c r="S855" s="10" t="str">
        <f t="shared" si="4"/>
        <v/>
      </c>
      <c r="U855" s="10" t="str">
        <f ca="1">IFERROR(__xludf.DUMMYFUNCTION("if(W855=1,COUNTIFS(FILTER($H$2:$H905,$H$2:$H905=""OB"",$S$2:$S905=S855),""OB""),"""")"),"")</f>
        <v/>
      </c>
      <c r="V855" s="10" t="str">
        <f ca="1">IFERROR(__xludf.DUMMYFUNCTION("IF(OR(ISNA(SUM(FILTER($K$2:$K905,$A$2:$A905=A855,$S$2:$S905=S855,$H$2:$H905&lt;&gt;""OB""))),W855&lt;&gt;1),"""",SUM(FILTER($K$2:$K905,$A$2:$A905=A855,$S$2:$S905=S855,$H$2:$H905&lt;&gt;""OB"")))"),"")</f>
        <v/>
      </c>
      <c r="W855" s="10" t="str">
        <f t="shared" si="5"/>
        <v/>
      </c>
    </row>
    <row r="856" spans="1:23" ht="12.5">
      <c r="A856" s="23"/>
      <c r="B856" s="5" t="str">
        <f t="array" ref="B856">IF(W856=1,INDEX('Database Mitra'!$H$2:$H905,MATCH(A856,'Database Mitra'!AK$2:AK905,0)),"")</f>
        <v/>
      </c>
      <c r="C856" s="5" t="str">
        <f t="array" ref="C856">IF(W856=1,INDEX('Database Mitra'!$E$2:$E905,MATCH(A856,'Database Mitra'!AK$2:AK905,0)),"")</f>
        <v/>
      </c>
      <c r="D856" s="23"/>
      <c r="E856" s="5" t="str">
        <f t="array" ref="E856">IF(W856=1,INDEX('Input Kegiatan'!B$2:B905,MATCH($D856,'Input Kegiatan'!$A$2:$A905,0)),"")</f>
        <v/>
      </c>
      <c r="F856" s="5" t="str">
        <f t="array" ref="F856">IF(W856=1,INDEX('Input Kegiatan'!D$2:D905,MATCH($D856,'Input Kegiatan'!$A$2:$A905,0)),"")</f>
        <v/>
      </c>
      <c r="G856" s="5" t="str">
        <f t="array" ref="G856">IF(W856=1,INDEX('Input Kegiatan'!E$2:E905,MATCH($D856,'Input Kegiatan'!$A$2:$A905,0)),"")</f>
        <v/>
      </c>
      <c r="H856" s="5" t="str">
        <f t="array" ref="H856">IF(W856=1,INDEX(Honor!$H$2:$H905,MATCH($D856&amp;"-"&amp;R856,Honor!$K$2:$K905,0)),"")</f>
        <v/>
      </c>
      <c r="I856" s="8" t="str">
        <f>IF(W856=1,SUMIFS(Honor!$I$2:$I905,Honor!$K$2:$K905,$D856&amp;"-"&amp;R856),"")</f>
        <v/>
      </c>
      <c r="J856" s="9" t="str">
        <f t="shared" si="6"/>
        <v/>
      </c>
      <c r="K856" s="10" t="str">
        <f t="shared" si="0"/>
        <v/>
      </c>
      <c r="L856" s="10" t="str">
        <f t="shared" si="1"/>
        <v/>
      </c>
      <c r="M856" s="10" t="str">
        <f>IF(W856=1,IF(AND(U856&lt;2,INT(V856)&lt;='Batasan Honor'!$B$2),1,0),"")</f>
        <v/>
      </c>
      <c r="O856" s="10" t="str">
        <f t="shared" si="2"/>
        <v/>
      </c>
      <c r="P856" s="10" t="str">
        <f t="shared" si="3"/>
        <v/>
      </c>
      <c r="R856" s="23"/>
      <c r="S856" s="10" t="str">
        <f t="shared" si="4"/>
        <v/>
      </c>
      <c r="U856" s="10" t="str">
        <f ca="1">IFERROR(__xludf.DUMMYFUNCTION("if(W856=1,COUNTIFS(FILTER($H$2:$H905,$H$2:$H905=""OB"",$S$2:$S905=S856),""OB""),"""")"),"")</f>
        <v/>
      </c>
      <c r="V856" s="10" t="str">
        <f ca="1">IFERROR(__xludf.DUMMYFUNCTION("IF(OR(ISNA(SUM(FILTER($K$2:$K905,$A$2:$A905=A856,$S$2:$S905=S856,$H$2:$H905&lt;&gt;""OB""))),W856&lt;&gt;1),"""",SUM(FILTER($K$2:$K905,$A$2:$A905=A856,$S$2:$S905=S856,$H$2:$H905&lt;&gt;""OB"")))"),"")</f>
        <v/>
      </c>
      <c r="W856" s="10" t="str">
        <f t="shared" si="5"/>
        <v/>
      </c>
    </row>
    <row r="857" spans="1:23" ht="12.5">
      <c r="A857" s="23"/>
      <c r="B857" s="5" t="str">
        <f t="array" ref="B857">IF(W857=1,INDEX('Database Mitra'!$H$2:$H905,MATCH(A857,'Database Mitra'!AK$2:AK905,0)),"")</f>
        <v/>
      </c>
      <c r="C857" s="5" t="str">
        <f t="array" ref="C857">IF(W857=1,INDEX('Database Mitra'!$E$2:$E905,MATCH(A857,'Database Mitra'!AK$2:AK905,0)),"")</f>
        <v/>
      </c>
      <c r="D857" s="23"/>
      <c r="E857" s="5" t="str">
        <f t="array" ref="E857">IF(W857=1,INDEX('Input Kegiatan'!B$2:B905,MATCH($D857,'Input Kegiatan'!$A$2:$A905,0)),"")</f>
        <v/>
      </c>
      <c r="F857" s="5" t="str">
        <f t="array" ref="F857">IF(W857=1,INDEX('Input Kegiatan'!D$2:D905,MATCH($D857,'Input Kegiatan'!$A$2:$A905,0)),"")</f>
        <v/>
      </c>
      <c r="G857" s="5" t="str">
        <f t="array" ref="G857">IF(W857=1,INDEX('Input Kegiatan'!E$2:E905,MATCH($D857,'Input Kegiatan'!$A$2:$A905,0)),"")</f>
        <v/>
      </c>
      <c r="H857" s="5" t="str">
        <f t="array" ref="H857">IF(W857=1,INDEX(Honor!$H$2:$H905,MATCH($D857&amp;"-"&amp;R857,Honor!$K$2:$K905,0)),"")</f>
        <v/>
      </c>
      <c r="I857" s="8" t="str">
        <f>IF(W857=1,SUMIFS(Honor!$I$2:$I905,Honor!$K$2:$K905,$D857&amp;"-"&amp;R857),"")</f>
        <v/>
      </c>
      <c r="J857" s="9" t="str">
        <f t="shared" si="6"/>
        <v/>
      </c>
      <c r="K857" s="10" t="str">
        <f t="shared" si="0"/>
        <v/>
      </c>
      <c r="L857" s="10" t="str">
        <f t="shared" si="1"/>
        <v/>
      </c>
      <c r="M857" s="10" t="str">
        <f>IF(W857=1,IF(AND(U857&lt;2,INT(V857)&lt;='Batasan Honor'!$B$2),1,0),"")</f>
        <v/>
      </c>
      <c r="O857" s="10" t="str">
        <f t="shared" si="2"/>
        <v/>
      </c>
      <c r="P857" s="10" t="str">
        <f t="shared" si="3"/>
        <v/>
      </c>
      <c r="R857" s="23"/>
      <c r="S857" s="10" t="str">
        <f t="shared" si="4"/>
        <v/>
      </c>
      <c r="U857" s="10" t="str">
        <f ca="1">IFERROR(__xludf.DUMMYFUNCTION("if(W857=1,COUNTIFS(FILTER($H$2:$H905,$H$2:$H905=""OB"",$S$2:$S905=S857),""OB""),"""")"),"")</f>
        <v/>
      </c>
      <c r="V857" s="10" t="str">
        <f ca="1">IFERROR(__xludf.DUMMYFUNCTION("IF(OR(ISNA(SUM(FILTER($K$2:$K905,$A$2:$A905=A857,$S$2:$S905=S857,$H$2:$H905&lt;&gt;""OB""))),W857&lt;&gt;1),"""",SUM(FILTER($K$2:$K905,$A$2:$A905=A857,$S$2:$S905=S857,$H$2:$H905&lt;&gt;""OB"")))"),"")</f>
        <v/>
      </c>
      <c r="W857" s="10" t="str">
        <f t="shared" si="5"/>
        <v/>
      </c>
    </row>
    <row r="858" spans="1:23" ht="12.5">
      <c r="A858" s="23"/>
      <c r="B858" s="5" t="str">
        <f t="array" ref="B858">IF(W858=1,INDEX('Database Mitra'!$H$2:$H905,MATCH(A858,'Database Mitra'!AK$2:AK905,0)),"")</f>
        <v/>
      </c>
      <c r="C858" s="5" t="str">
        <f t="array" ref="C858">IF(W858=1,INDEX('Database Mitra'!$E$2:$E905,MATCH(A858,'Database Mitra'!AK$2:AK905,0)),"")</f>
        <v/>
      </c>
      <c r="D858" s="23"/>
      <c r="E858" s="5" t="str">
        <f t="array" ref="E858">IF(W858=1,INDEX('Input Kegiatan'!B$2:B905,MATCH($D858,'Input Kegiatan'!$A$2:$A905,0)),"")</f>
        <v/>
      </c>
      <c r="F858" s="5" t="str">
        <f t="array" ref="F858">IF(W858=1,INDEX('Input Kegiatan'!D$2:D905,MATCH($D858,'Input Kegiatan'!$A$2:$A905,0)),"")</f>
        <v/>
      </c>
      <c r="G858" s="5" t="str">
        <f t="array" ref="G858">IF(W858=1,INDEX('Input Kegiatan'!E$2:E905,MATCH($D858,'Input Kegiatan'!$A$2:$A905,0)),"")</f>
        <v/>
      </c>
      <c r="H858" s="5" t="str">
        <f t="array" ref="H858">IF(W858=1,INDEX(Honor!$H$2:$H905,MATCH($D858&amp;"-"&amp;R858,Honor!$K$2:$K905,0)),"")</f>
        <v/>
      </c>
      <c r="I858" s="8" t="str">
        <f>IF(W858=1,SUMIFS(Honor!$I$2:$I905,Honor!$K$2:$K905,$D858&amp;"-"&amp;R858),"")</f>
        <v/>
      </c>
      <c r="J858" s="9" t="str">
        <f t="shared" si="6"/>
        <v/>
      </c>
      <c r="K858" s="10" t="str">
        <f t="shared" si="0"/>
        <v/>
      </c>
      <c r="L858" s="10" t="str">
        <f t="shared" si="1"/>
        <v/>
      </c>
      <c r="M858" s="10" t="str">
        <f>IF(W858=1,IF(AND(U858&lt;2,INT(V858)&lt;='Batasan Honor'!$B$2),1,0),"")</f>
        <v/>
      </c>
      <c r="O858" s="10" t="str">
        <f t="shared" si="2"/>
        <v/>
      </c>
      <c r="P858" s="10" t="str">
        <f t="shared" si="3"/>
        <v/>
      </c>
      <c r="R858" s="23"/>
      <c r="S858" s="10" t="str">
        <f t="shared" si="4"/>
        <v/>
      </c>
      <c r="U858" s="10" t="str">
        <f ca="1">IFERROR(__xludf.DUMMYFUNCTION("if(W858=1,COUNTIFS(FILTER($H$2:$H905,$H$2:$H905=""OB"",$S$2:$S905=S858),""OB""),"""")"),"")</f>
        <v/>
      </c>
      <c r="V858" s="10" t="str">
        <f ca="1">IFERROR(__xludf.DUMMYFUNCTION("IF(OR(ISNA(SUM(FILTER($K$2:$K905,$A$2:$A905=A858,$S$2:$S905=S858,$H$2:$H905&lt;&gt;""OB""))),W858&lt;&gt;1),"""",SUM(FILTER($K$2:$K905,$A$2:$A905=A858,$S$2:$S905=S858,$H$2:$H905&lt;&gt;""OB"")))"),"")</f>
        <v/>
      </c>
      <c r="W858" s="10" t="str">
        <f t="shared" si="5"/>
        <v/>
      </c>
    </row>
    <row r="859" spans="1:23" ht="12.5">
      <c r="A859" s="23"/>
      <c r="B859" s="5" t="str">
        <f t="array" ref="B859">IF(W859=1,INDEX('Database Mitra'!$H$2:$H905,MATCH(A859,'Database Mitra'!AK$2:AK905,0)),"")</f>
        <v/>
      </c>
      <c r="C859" s="5" t="str">
        <f t="array" ref="C859">IF(W859=1,INDEX('Database Mitra'!$E$2:$E905,MATCH(A859,'Database Mitra'!AK$2:AK905,0)),"")</f>
        <v/>
      </c>
      <c r="D859" s="23"/>
      <c r="E859" s="5" t="str">
        <f t="array" ref="E859">IF(W859=1,INDEX('Input Kegiatan'!B$2:B905,MATCH($D859,'Input Kegiatan'!$A$2:$A905,0)),"")</f>
        <v/>
      </c>
      <c r="F859" s="5" t="str">
        <f t="array" ref="F859">IF(W859=1,INDEX('Input Kegiatan'!D$2:D905,MATCH($D859,'Input Kegiatan'!$A$2:$A905,0)),"")</f>
        <v/>
      </c>
      <c r="G859" s="5" t="str">
        <f t="array" ref="G859">IF(W859=1,INDEX('Input Kegiatan'!E$2:E905,MATCH($D859,'Input Kegiatan'!$A$2:$A905,0)),"")</f>
        <v/>
      </c>
      <c r="H859" s="5" t="str">
        <f t="array" ref="H859">IF(W859=1,INDEX(Honor!$H$2:$H905,MATCH($D859&amp;"-"&amp;R859,Honor!$K$2:$K905,0)),"")</f>
        <v/>
      </c>
      <c r="I859" s="8" t="str">
        <f>IF(W859=1,SUMIFS(Honor!$I$2:$I905,Honor!$K$2:$K905,$D859&amp;"-"&amp;R859),"")</f>
        <v/>
      </c>
      <c r="J859" s="9" t="str">
        <f t="shared" si="6"/>
        <v/>
      </c>
      <c r="K859" s="10" t="str">
        <f t="shared" si="0"/>
        <v/>
      </c>
      <c r="L859" s="10" t="str">
        <f t="shared" si="1"/>
        <v/>
      </c>
      <c r="M859" s="10" t="str">
        <f>IF(W859=1,IF(AND(U859&lt;2,INT(V859)&lt;='Batasan Honor'!$B$2),1,0),"")</f>
        <v/>
      </c>
      <c r="O859" s="10" t="str">
        <f t="shared" si="2"/>
        <v/>
      </c>
      <c r="P859" s="10" t="str">
        <f t="shared" si="3"/>
        <v/>
      </c>
      <c r="R859" s="23"/>
      <c r="S859" s="10" t="str">
        <f t="shared" si="4"/>
        <v/>
      </c>
      <c r="U859" s="10" t="str">
        <f ca="1">IFERROR(__xludf.DUMMYFUNCTION("if(W859=1,COUNTIFS(FILTER($H$2:$H905,$H$2:$H905=""OB"",$S$2:$S905=S859),""OB""),"""")"),"")</f>
        <v/>
      </c>
      <c r="V859" s="10" t="str">
        <f ca="1">IFERROR(__xludf.DUMMYFUNCTION("IF(OR(ISNA(SUM(FILTER($K$2:$K905,$A$2:$A905=A859,$S$2:$S905=S859,$H$2:$H905&lt;&gt;""OB""))),W859&lt;&gt;1),"""",SUM(FILTER($K$2:$K905,$A$2:$A905=A859,$S$2:$S905=S859,$H$2:$H905&lt;&gt;""OB"")))"),"")</f>
        <v/>
      </c>
      <c r="W859" s="10" t="str">
        <f t="shared" si="5"/>
        <v/>
      </c>
    </row>
    <row r="860" spans="1:23" ht="12.5">
      <c r="A860" s="23"/>
      <c r="B860" s="5" t="str">
        <f t="array" ref="B860">IF(W860=1,INDEX('Database Mitra'!$H$2:$H905,MATCH(A860,'Database Mitra'!AK$2:AK905,0)),"")</f>
        <v/>
      </c>
      <c r="C860" s="5" t="str">
        <f t="array" ref="C860">IF(W860=1,INDEX('Database Mitra'!$E$2:$E905,MATCH(A860,'Database Mitra'!AK$2:AK905,0)),"")</f>
        <v/>
      </c>
      <c r="D860" s="23"/>
      <c r="E860" s="5" t="str">
        <f t="array" ref="E860">IF(W860=1,INDEX('Input Kegiatan'!B$2:B905,MATCH($D860,'Input Kegiatan'!$A$2:$A905,0)),"")</f>
        <v/>
      </c>
      <c r="F860" s="5" t="str">
        <f t="array" ref="F860">IF(W860=1,INDEX('Input Kegiatan'!D$2:D905,MATCH($D860,'Input Kegiatan'!$A$2:$A905,0)),"")</f>
        <v/>
      </c>
      <c r="G860" s="5" t="str">
        <f t="array" ref="G860">IF(W860=1,INDEX('Input Kegiatan'!E$2:E905,MATCH($D860,'Input Kegiatan'!$A$2:$A905,0)),"")</f>
        <v/>
      </c>
      <c r="H860" s="5" t="str">
        <f t="array" ref="H860">IF(W860=1,INDEX(Honor!$H$2:$H905,MATCH($D860&amp;"-"&amp;R860,Honor!$K$2:$K905,0)),"")</f>
        <v/>
      </c>
      <c r="I860" s="8" t="str">
        <f>IF(W860=1,SUMIFS(Honor!$I$2:$I905,Honor!$K$2:$K905,$D860&amp;"-"&amp;R860),"")</f>
        <v/>
      </c>
      <c r="J860" s="9" t="str">
        <f t="shared" si="6"/>
        <v/>
      </c>
      <c r="K860" s="10" t="str">
        <f t="shared" si="0"/>
        <v/>
      </c>
      <c r="L860" s="10" t="str">
        <f t="shared" si="1"/>
        <v/>
      </c>
      <c r="M860" s="10" t="str">
        <f>IF(W860=1,IF(AND(U860&lt;2,INT(V860)&lt;='Batasan Honor'!$B$2),1,0),"")</f>
        <v/>
      </c>
      <c r="O860" s="10" t="str">
        <f t="shared" si="2"/>
        <v/>
      </c>
      <c r="P860" s="10" t="str">
        <f t="shared" si="3"/>
        <v/>
      </c>
      <c r="R860" s="23"/>
      <c r="S860" s="10" t="str">
        <f t="shared" si="4"/>
        <v/>
      </c>
      <c r="U860" s="10" t="str">
        <f ca="1">IFERROR(__xludf.DUMMYFUNCTION("if(W860=1,COUNTIFS(FILTER($H$2:$H905,$H$2:$H905=""OB"",$S$2:$S905=S860),""OB""),"""")"),"")</f>
        <v/>
      </c>
      <c r="V860" s="10" t="str">
        <f ca="1">IFERROR(__xludf.DUMMYFUNCTION("IF(OR(ISNA(SUM(FILTER($K$2:$K905,$A$2:$A905=A860,$S$2:$S905=S860,$H$2:$H905&lt;&gt;""OB""))),W860&lt;&gt;1),"""",SUM(FILTER($K$2:$K905,$A$2:$A905=A860,$S$2:$S905=S860,$H$2:$H905&lt;&gt;""OB"")))"),"")</f>
        <v/>
      </c>
      <c r="W860" s="10" t="str">
        <f t="shared" si="5"/>
        <v/>
      </c>
    </row>
    <row r="861" spans="1:23" ht="12.5">
      <c r="A861" s="23"/>
      <c r="B861" s="5" t="str">
        <f t="array" ref="B861">IF(W861=1,INDEX('Database Mitra'!$H$2:$H905,MATCH(A861,'Database Mitra'!AK$2:AK905,0)),"")</f>
        <v/>
      </c>
      <c r="C861" s="5" t="str">
        <f t="array" ref="C861">IF(W861=1,INDEX('Database Mitra'!$E$2:$E905,MATCH(A861,'Database Mitra'!AK$2:AK905,0)),"")</f>
        <v/>
      </c>
      <c r="D861" s="23"/>
      <c r="E861" s="5" t="str">
        <f t="array" ref="E861">IF(W861=1,INDEX('Input Kegiatan'!B$2:B905,MATCH($D861,'Input Kegiatan'!$A$2:$A905,0)),"")</f>
        <v/>
      </c>
      <c r="F861" s="5" t="str">
        <f t="array" ref="F861">IF(W861=1,INDEX('Input Kegiatan'!D$2:D905,MATCH($D861,'Input Kegiatan'!$A$2:$A905,0)),"")</f>
        <v/>
      </c>
      <c r="G861" s="5" t="str">
        <f t="array" ref="G861">IF(W861=1,INDEX('Input Kegiatan'!E$2:E905,MATCH($D861,'Input Kegiatan'!$A$2:$A905,0)),"")</f>
        <v/>
      </c>
      <c r="H861" s="5" t="str">
        <f t="array" ref="H861">IF(W861=1,INDEX(Honor!$H$2:$H905,MATCH($D861&amp;"-"&amp;R861,Honor!$K$2:$K905,0)),"")</f>
        <v/>
      </c>
      <c r="I861" s="8" t="str">
        <f>IF(W861=1,SUMIFS(Honor!$I$2:$I905,Honor!$K$2:$K905,$D861&amp;"-"&amp;R861),"")</f>
        <v/>
      </c>
      <c r="J861" s="9" t="str">
        <f t="shared" si="6"/>
        <v/>
      </c>
      <c r="K861" s="10" t="str">
        <f t="shared" si="0"/>
        <v/>
      </c>
      <c r="L861" s="10" t="str">
        <f t="shared" si="1"/>
        <v/>
      </c>
      <c r="M861" s="10" t="str">
        <f>IF(W861=1,IF(AND(U861&lt;2,INT(V861)&lt;='Batasan Honor'!$B$2),1,0),"")</f>
        <v/>
      </c>
      <c r="O861" s="10" t="str">
        <f t="shared" si="2"/>
        <v/>
      </c>
      <c r="P861" s="10" t="str">
        <f t="shared" si="3"/>
        <v/>
      </c>
      <c r="R861" s="23"/>
      <c r="S861" s="10" t="str">
        <f t="shared" si="4"/>
        <v/>
      </c>
      <c r="U861" s="10" t="str">
        <f ca="1">IFERROR(__xludf.DUMMYFUNCTION("if(W861=1,COUNTIFS(FILTER($H$2:$H905,$H$2:$H905=""OB"",$S$2:$S905=S861),""OB""),"""")"),"")</f>
        <v/>
      </c>
      <c r="V861" s="10" t="str">
        <f ca="1">IFERROR(__xludf.DUMMYFUNCTION("IF(OR(ISNA(SUM(FILTER($K$2:$K905,$A$2:$A905=A861,$S$2:$S905=S861,$H$2:$H905&lt;&gt;""OB""))),W861&lt;&gt;1),"""",SUM(FILTER($K$2:$K905,$A$2:$A905=A861,$S$2:$S905=S861,$H$2:$H905&lt;&gt;""OB"")))"),"")</f>
        <v/>
      </c>
      <c r="W861" s="10" t="str">
        <f t="shared" si="5"/>
        <v/>
      </c>
    </row>
    <row r="862" spans="1:23" ht="12.5">
      <c r="A862" s="23"/>
      <c r="B862" s="5" t="str">
        <f t="array" ref="B862">IF(W862=1,INDEX('Database Mitra'!$H$2:$H905,MATCH(A862,'Database Mitra'!AK$2:AK905,0)),"")</f>
        <v/>
      </c>
      <c r="C862" s="5" t="str">
        <f t="array" ref="C862">IF(W862=1,INDEX('Database Mitra'!$E$2:$E905,MATCH(A862,'Database Mitra'!AK$2:AK905,0)),"")</f>
        <v/>
      </c>
      <c r="D862" s="23"/>
      <c r="E862" s="5" t="str">
        <f t="array" ref="E862">IF(W862=1,INDEX('Input Kegiatan'!B$2:B905,MATCH($D862,'Input Kegiatan'!$A$2:$A905,0)),"")</f>
        <v/>
      </c>
      <c r="F862" s="5" t="str">
        <f t="array" ref="F862">IF(W862=1,INDEX('Input Kegiatan'!D$2:D905,MATCH($D862,'Input Kegiatan'!$A$2:$A905,0)),"")</f>
        <v/>
      </c>
      <c r="G862" s="5" t="str">
        <f t="array" ref="G862">IF(W862=1,INDEX('Input Kegiatan'!E$2:E905,MATCH($D862,'Input Kegiatan'!$A$2:$A905,0)),"")</f>
        <v/>
      </c>
      <c r="H862" s="5" t="str">
        <f t="array" ref="H862">IF(W862=1,INDEX(Honor!$H$2:$H905,MATCH($D862&amp;"-"&amp;R862,Honor!$K$2:$K905,0)),"")</f>
        <v/>
      </c>
      <c r="I862" s="8" t="str">
        <f>IF(W862=1,SUMIFS(Honor!$I$2:$I905,Honor!$K$2:$K905,$D862&amp;"-"&amp;R862),"")</f>
        <v/>
      </c>
      <c r="J862" s="9" t="str">
        <f t="shared" si="6"/>
        <v/>
      </c>
      <c r="K862" s="10" t="str">
        <f t="shared" si="0"/>
        <v/>
      </c>
      <c r="L862" s="10" t="str">
        <f t="shared" si="1"/>
        <v/>
      </c>
      <c r="M862" s="10" t="str">
        <f>IF(W862=1,IF(AND(U862&lt;2,INT(V862)&lt;='Batasan Honor'!$B$2),1,0),"")</f>
        <v/>
      </c>
      <c r="O862" s="10" t="str">
        <f t="shared" si="2"/>
        <v/>
      </c>
      <c r="P862" s="10" t="str">
        <f t="shared" si="3"/>
        <v/>
      </c>
      <c r="R862" s="23"/>
      <c r="S862" s="10" t="str">
        <f t="shared" si="4"/>
        <v/>
      </c>
      <c r="U862" s="10" t="str">
        <f ca="1">IFERROR(__xludf.DUMMYFUNCTION("if(W862=1,COUNTIFS(FILTER($H$2:$H905,$H$2:$H905=""OB"",$S$2:$S905=S862),""OB""),"""")"),"")</f>
        <v/>
      </c>
      <c r="V862" s="10" t="str">
        <f ca="1">IFERROR(__xludf.DUMMYFUNCTION("IF(OR(ISNA(SUM(FILTER($K$2:$K905,$A$2:$A905=A862,$S$2:$S905=S862,$H$2:$H905&lt;&gt;""OB""))),W862&lt;&gt;1),"""",SUM(FILTER($K$2:$K905,$A$2:$A905=A862,$S$2:$S905=S862,$H$2:$H905&lt;&gt;""OB"")))"),"")</f>
        <v/>
      </c>
      <c r="W862" s="10" t="str">
        <f t="shared" si="5"/>
        <v/>
      </c>
    </row>
    <row r="863" spans="1:23" ht="12.5">
      <c r="A863" s="23"/>
      <c r="B863" s="5" t="str">
        <f t="array" ref="B863">IF(W863=1,INDEX('Database Mitra'!$H$2:$H905,MATCH(A863,'Database Mitra'!AK$2:AK905,0)),"")</f>
        <v/>
      </c>
      <c r="C863" s="5" t="str">
        <f t="array" ref="C863">IF(W863=1,INDEX('Database Mitra'!$E$2:$E905,MATCH(A863,'Database Mitra'!AK$2:AK905,0)),"")</f>
        <v/>
      </c>
      <c r="D863" s="23"/>
      <c r="E863" s="5" t="str">
        <f t="array" ref="E863">IF(W863=1,INDEX('Input Kegiatan'!B$2:B905,MATCH($D863,'Input Kegiatan'!$A$2:$A905,0)),"")</f>
        <v/>
      </c>
      <c r="F863" s="5" t="str">
        <f t="array" ref="F863">IF(W863=1,INDEX('Input Kegiatan'!D$2:D905,MATCH($D863,'Input Kegiatan'!$A$2:$A905,0)),"")</f>
        <v/>
      </c>
      <c r="G863" s="5" t="str">
        <f t="array" ref="G863">IF(W863=1,INDEX('Input Kegiatan'!E$2:E905,MATCH($D863,'Input Kegiatan'!$A$2:$A905,0)),"")</f>
        <v/>
      </c>
      <c r="H863" s="5" t="str">
        <f t="array" ref="H863">IF(W863=1,INDEX(Honor!$H$2:$H905,MATCH($D863&amp;"-"&amp;R863,Honor!$K$2:$K905,0)),"")</f>
        <v/>
      </c>
      <c r="I863" s="8" t="str">
        <f>IF(W863=1,SUMIFS(Honor!$I$2:$I905,Honor!$K$2:$K905,$D863&amp;"-"&amp;R863),"")</f>
        <v/>
      </c>
      <c r="J863" s="9" t="str">
        <f t="shared" si="6"/>
        <v/>
      </c>
      <c r="K863" s="10" t="str">
        <f t="shared" si="0"/>
        <v/>
      </c>
      <c r="L863" s="10" t="str">
        <f t="shared" si="1"/>
        <v/>
      </c>
      <c r="M863" s="10" t="str">
        <f>IF(W863=1,IF(AND(U863&lt;2,INT(V863)&lt;='Batasan Honor'!$B$2),1,0),"")</f>
        <v/>
      </c>
      <c r="O863" s="10" t="str">
        <f t="shared" si="2"/>
        <v/>
      </c>
      <c r="P863" s="10" t="str">
        <f t="shared" si="3"/>
        <v/>
      </c>
      <c r="R863" s="23"/>
      <c r="S863" s="10" t="str">
        <f t="shared" si="4"/>
        <v/>
      </c>
      <c r="U863" s="10" t="str">
        <f ca="1">IFERROR(__xludf.DUMMYFUNCTION("if(W863=1,COUNTIFS(FILTER($H$2:$H905,$H$2:$H905=""OB"",$S$2:$S905=S863),""OB""),"""")"),"")</f>
        <v/>
      </c>
      <c r="V863" s="10" t="str">
        <f ca="1">IFERROR(__xludf.DUMMYFUNCTION("IF(OR(ISNA(SUM(FILTER($K$2:$K905,$A$2:$A905=A863,$S$2:$S905=S863,$H$2:$H905&lt;&gt;""OB""))),W863&lt;&gt;1),"""",SUM(FILTER($K$2:$K905,$A$2:$A905=A863,$S$2:$S905=S863,$H$2:$H905&lt;&gt;""OB"")))"),"")</f>
        <v/>
      </c>
      <c r="W863" s="10" t="str">
        <f t="shared" si="5"/>
        <v/>
      </c>
    </row>
    <row r="864" spans="1:23" ht="12.5">
      <c r="A864" s="23"/>
      <c r="B864" s="5" t="str">
        <f t="array" ref="B864">IF(W864=1,INDEX('Database Mitra'!$H$2:$H905,MATCH(A864,'Database Mitra'!AK$2:AK905,0)),"")</f>
        <v/>
      </c>
      <c r="C864" s="5" t="str">
        <f t="array" ref="C864">IF(W864=1,INDEX('Database Mitra'!$E$2:$E905,MATCH(A864,'Database Mitra'!AK$2:AK905,0)),"")</f>
        <v/>
      </c>
      <c r="D864" s="23"/>
      <c r="E864" s="5" t="str">
        <f t="array" ref="E864">IF(W864=1,INDEX('Input Kegiatan'!B$2:B905,MATCH($D864,'Input Kegiatan'!$A$2:$A905,0)),"")</f>
        <v/>
      </c>
      <c r="F864" s="5" t="str">
        <f t="array" ref="F864">IF(W864=1,INDEX('Input Kegiatan'!D$2:D905,MATCH($D864,'Input Kegiatan'!$A$2:$A905,0)),"")</f>
        <v/>
      </c>
      <c r="G864" s="5" t="str">
        <f t="array" ref="G864">IF(W864=1,INDEX('Input Kegiatan'!E$2:E905,MATCH($D864,'Input Kegiatan'!$A$2:$A905,0)),"")</f>
        <v/>
      </c>
      <c r="H864" s="5" t="str">
        <f t="array" ref="H864">IF(W864=1,INDEX(Honor!$H$2:$H905,MATCH($D864&amp;"-"&amp;R864,Honor!$K$2:$K905,0)),"")</f>
        <v/>
      </c>
      <c r="I864" s="8" t="str">
        <f>IF(W864=1,SUMIFS(Honor!$I$2:$I905,Honor!$K$2:$K905,$D864&amp;"-"&amp;R864),"")</f>
        <v/>
      </c>
      <c r="J864" s="9" t="str">
        <f t="shared" si="6"/>
        <v/>
      </c>
      <c r="K864" s="10" t="str">
        <f t="shared" si="0"/>
        <v/>
      </c>
      <c r="L864" s="10" t="str">
        <f t="shared" si="1"/>
        <v/>
      </c>
      <c r="M864" s="10" t="str">
        <f>IF(W864=1,IF(AND(U864&lt;2,INT(V864)&lt;='Batasan Honor'!$B$2),1,0),"")</f>
        <v/>
      </c>
      <c r="O864" s="10" t="str">
        <f t="shared" si="2"/>
        <v/>
      </c>
      <c r="P864" s="10" t="str">
        <f t="shared" si="3"/>
        <v/>
      </c>
      <c r="R864" s="23"/>
      <c r="S864" s="10" t="str">
        <f t="shared" si="4"/>
        <v/>
      </c>
      <c r="U864" s="10" t="str">
        <f ca="1">IFERROR(__xludf.DUMMYFUNCTION("if(W864=1,COUNTIFS(FILTER($H$2:$H905,$H$2:$H905=""OB"",$S$2:$S905=S864),""OB""),"""")"),"")</f>
        <v/>
      </c>
      <c r="V864" s="10" t="str">
        <f ca="1">IFERROR(__xludf.DUMMYFUNCTION("IF(OR(ISNA(SUM(FILTER($K$2:$K905,$A$2:$A905=A864,$S$2:$S905=S864,$H$2:$H905&lt;&gt;""OB""))),W864&lt;&gt;1),"""",SUM(FILTER($K$2:$K905,$A$2:$A905=A864,$S$2:$S905=S864,$H$2:$H905&lt;&gt;""OB"")))"),"")</f>
        <v/>
      </c>
      <c r="W864" s="10" t="str">
        <f t="shared" si="5"/>
        <v/>
      </c>
    </row>
    <row r="865" spans="1:23" ht="12.5">
      <c r="A865" s="23"/>
      <c r="B865" s="5" t="str">
        <f t="array" ref="B865">IF(W865=1,INDEX('Database Mitra'!$H$2:$H905,MATCH(A865,'Database Mitra'!AK$2:AK905,0)),"")</f>
        <v/>
      </c>
      <c r="C865" s="5" t="str">
        <f t="array" ref="C865">IF(W865=1,INDEX('Database Mitra'!$E$2:$E905,MATCH(A865,'Database Mitra'!AK$2:AK905,0)),"")</f>
        <v/>
      </c>
      <c r="D865" s="23"/>
      <c r="E865" s="5" t="str">
        <f t="array" ref="E865">IF(W865=1,INDEX('Input Kegiatan'!B$2:B905,MATCH($D865,'Input Kegiatan'!$A$2:$A905,0)),"")</f>
        <v/>
      </c>
      <c r="F865" s="5" t="str">
        <f t="array" ref="F865">IF(W865=1,INDEX('Input Kegiatan'!D$2:D905,MATCH($D865,'Input Kegiatan'!$A$2:$A905,0)),"")</f>
        <v/>
      </c>
      <c r="G865" s="5" t="str">
        <f t="array" ref="G865">IF(W865=1,INDEX('Input Kegiatan'!E$2:E905,MATCH($D865,'Input Kegiatan'!$A$2:$A905,0)),"")</f>
        <v/>
      </c>
      <c r="H865" s="5" t="str">
        <f t="array" ref="H865">IF(W865=1,INDEX(Honor!$H$2:$H905,MATCH($D865&amp;"-"&amp;R865,Honor!$K$2:$K905,0)),"")</f>
        <v/>
      </c>
      <c r="I865" s="8" t="str">
        <f>IF(W865=1,SUMIFS(Honor!$I$2:$I905,Honor!$K$2:$K905,$D865&amp;"-"&amp;R865),"")</f>
        <v/>
      </c>
      <c r="J865" s="9" t="str">
        <f t="shared" si="6"/>
        <v/>
      </c>
      <c r="K865" s="10" t="str">
        <f t="shared" si="0"/>
        <v/>
      </c>
      <c r="L865" s="10" t="str">
        <f t="shared" si="1"/>
        <v/>
      </c>
      <c r="M865" s="10" t="str">
        <f>IF(W865=1,IF(AND(U865&lt;2,INT(V865)&lt;='Batasan Honor'!$B$2),1,0),"")</f>
        <v/>
      </c>
      <c r="O865" s="10" t="str">
        <f t="shared" si="2"/>
        <v/>
      </c>
      <c r="P865" s="10" t="str">
        <f t="shared" si="3"/>
        <v/>
      </c>
      <c r="R865" s="23"/>
      <c r="S865" s="10" t="str">
        <f t="shared" si="4"/>
        <v/>
      </c>
      <c r="U865" s="10" t="str">
        <f ca="1">IFERROR(__xludf.DUMMYFUNCTION("if(W865=1,COUNTIFS(FILTER($H$2:$H905,$H$2:$H905=""OB"",$S$2:$S905=S865),""OB""),"""")"),"")</f>
        <v/>
      </c>
      <c r="V865" s="10" t="str">
        <f ca="1">IFERROR(__xludf.DUMMYFUNCTION("IF(OR(ISNA(SUM(FILTER($K$2:$K905,$A$2:$A905=A865,$S$2:$S905=S865,$H$2:$H905&lt;&gt;""OB""))),W865&lt;&gt;1),"""",SUM(FILTER($K$2:$K905,$A$2:$A905=A865,$S$2:$S905=S865,$H$2:$H905&lt;&gt;""OB"")))"),"")</f>
        <v/>
      </c>
      <c r="W865" s="10" t="str">
        <f t="shared" si="5"/>
        <v/>
      </c>
    </row>
    <row r="866" spans="1:23" ht="12.5">
      <c r="A866" s="23"/>
      <c r="B866" s="5" t="str">
        <f t="array" ref="B866">IF(W866=1,INDEX('Database Mitra'!$H$2:$H905,MATCH(A866,'Database Mitra'!AK$2:AK905,0)),"")</f>
        <v/>
      </c>
      <c r="C866" s="5" t="str">
        <f t="array" ref="C866">IF(W866=1,INDEX('Database Mitra'!$E$2:$E905,MATCH(A866,'Database Mitra'!AK$2:AK905,0)),"")</f>
        <v/>
      </c>
      <c r="D866" s="23"/>
      <c r="E866" s="5" t="str">
        <f t="array" ref="E866">IF(W866=1,INDEX('Input Kegiatan'!B$2:B905,MATCH($D866,'Input Kegiatan'!$A$2:$A905,0)),"")</f>
        <v/>
      </c>
      <c r="F866" s="5" t="str">
        <f t="array" ref="F866">IF(W866=1,INDEX('Input Kegiatan'!D$2:D905,MATCH($D866,'Input Kegiatan'!$A$2:$A905,0)),"")</f>
        <v/>
      </c>
      <c r="G866" s="5" t="str">
        <f t="array" ref="G866">IF(W866=1,INDEX('Input Kegiatan'!E$2:E905,MATCH($D866,'Input Kegiatan'!$A$2:$A905,0)),"")</f>
        <v/>
      </c>
      <c r="H866" s="5" t="str">
        <f t="array" ref="H866">IF(W866=1,INDEX(Honor!$H$2:$H905,MATCH($D866&amp;"-"&amp;R866,Honor!$K$2:$K905,0)),"")</f>
        <v/>
      </c>
      <c r="I866" s="8" t="str">
        <f>IF(W866=1,SUMIFS(Honor!$I$2:$I905,Honor!$K$2:$K905,$D866&amp;"-"&amp;R866),"")</f>
        <v/>
      </c>
      <c r="J866" s="9" t="str">
        <f t="shared" si="6"/>
        <v/>
      </c>
      <c r="K866" s="10" t="str">
        <f t="shared" si="0"/>
        <v/>
      </c>
      <c r="L866" s="10" t="str">
        <f t="shared" si="1"/>
        <v/>
      </c>
      <c r="M866" s="10" t="str">
        <f>IF(W866=1,IF(AND(U866&lt;2,INT(V866)&lt;='Batasan Honor'!$B$2),1,0),"")</f>
        <v/>
      </c>
      <c r="O866" s="10" t="str">
        <f t="shared" si="2"/>
        <v/>
      </c>
      <c r="P866" s="10" t="str">
        <f t="shared" si="3"/>
        <v/>
      </c>
      <c r="R866" s="23"/>
      <c r="S866" s="10" t="str">
        <f t="shared" si="4"/>
        <v/>
      </c>
      <c r="U866" s="10" t="str">
        <f ca="1">IFERROR(__xludf.DUMMYFUNCTION("if(W866=1,COUNTIFS(FILTER($H$2:$H905,$H$2:$H905=""OB"",$S$2:$S905=S866),""OB""),"""")"),"")</f>
        <v/>
      </c>
      <c r="V866" s="10" t="str">
        <f ca="1">IFERROR(__xludf.DUMMYFUNCTION("IF(OR(ISNA(SUM(FILTER($K$2:$K905,$A$2:$A905=A866,$S$2:$S905=S866,$H$2:$H905&lt;&gt;""OB""))),W866&lt;&gt;1),"""",SUM(FILTER($K$2:$K905,$A$2:$A905=A866,$S$2:$S905=S866,$H$2:$H905&lt;&gt;""OB"")))"),"")</f>
        <v/>
      </c>
      <c r="W866" s="10" t="str">
        <f t="shared" si="5"/>
        <v/>
      </c>
    </row>
    <row r="867" spans="1:23" ht="12.5">
      <c r="A867" s="23"/>
      <c r="B867" s="5" t="str">
        <f t="array" ref="B867">IF(W867=1,INDEX('Database Mitra'!$H$2:$H905,MATCH(A867,'Database Mitra'!AK$2:AK905,0)),"")</f>
        <v/>
      </c>
      <c r="C867" s="5" t="str">
        <f t="array" ref="C867">IF(W867=1,INDEX('Database Mitra'!$E$2:$E905,MATCH(A867,'Database Mitra'!AK$2:AK905,0)),"")</f>
        <v/>
      </c>
      <c r="D867" s="23"/>
      <c r="E867" s="5" t="str">
        <f t="array" ref="E867">IF(W867=1,INDEX('Input Kegiatan'!B$2:B905,MATCH($D867,'Input Kegiatan'!$A$2:$A905,0)),"")</f>
        <v/>
      </c>
      <c r="F867" s="5" t="str">
        <f t="array" ref="F867">IF(W867=1,INDEX('Input Kegiatan'!D$2:D905,MATCH($D867,'Input Kegiatan'!$A$2:$A905,0)),"")</f>
        <v/>
      </c>
      <c r="G867" s="5" t="str">
        <f t="array" ref="G867">IF(W867=1,INDEX('Input Kegiatan'!E$2:E905,MATCH($D867,'Input Kegiatan'!$A$2:$A905,0)),"")</f>
        <v/>
      </c>
      <c r="H867" s="5" t="str">
        <f t="array" ref="H867">IF(W867=1,INDEX(Honor!$H$2:$H905,MATCH($D867&amp;"-"&amp;R867,Honor!$K$2:$K905,0)),"")</f>
        <v/>
      </c>
      <c r="I867" s="8" t="str">
        <f>IF(W867=1,SUMIFS(Honor!$I$2:$I905,Honor!$K$2:$K905,$D867&amp;"-"&amp;R867),"")</f>
        <v/>
      </c>
      <c r="J867" s="9" t="str">
        <f t="shared" si="6"/>
        <v/>
      </c>
      <c r="K867" s="10" t="str">
        <f t="shared" si="0"/>
        <v/>
      </c>
      <c r="L867" s="10" t="str">
        <f t="shared" si="1"/>
        <v/>
      </c>
      <c r="M867" s="10" t="str">
        <f>IF(W867=1,IF(AND(U867&lt;2,INT(V867)&lt;='Batasan Honor'!$B$2),1,0),"")</f>
        <v/>
      </c>
      <c r="O867" s="10" t="str">
        <f t="shared" si="2"/>
        <v/>
      </c>
      <c r="P867" s="10" t="str">
        <f t="shared" si="3"/>
        <v/>
      </c>
      <c r="R867" s="23"/>
      <c r="S867" s="10" t="str">
        <f t="shared" si="4"/>
        <v/>
      </c>
      <c r="U867" s="10" t="str">
        <f ca="1">IFERROR(__xludf.DUMMYFUNCTION("if(W867=1,COUNTIFS(FILTER($H$2:$H905,$H$2:$H905=""OB"",$S$2:$S905=S867),""OB""),"""")"),"")</f>
        <v/>
      </c>
      <c r="V867" s="10" t="str">
        <f ca="1">IFERROR(__xludf.DUMMYFUNCTION("IF(OR(ISNA(SUM(FILTER($K$2:$K905,$A$2:$A905=A867,$S$2:$S905=S867,$H$2:$H905&lt;&gt;""OB""))),W867&lt;&gt;1),"""",SUM(FILTER($K$2:$K905,$A$2:$A905=A867,$S$2:$S905=S867,$H$2:$H905&lt;&gt;""OB"")))"),"")</f>
        <v/>
      </c>
      <c r="W867" s="10" t="str">
        <f t="shared" si="5"/>
        <v/>
      </c>
    </row>
    <row r="868" spans="1:23" ht="12.5">
      <c r="A868" s="23"/>
      <c r="B868" s="5" t="str">
        <f t="array" ref="B868">IF(W868=1,INDEX('Database Mitra'!$H$2:$H905,MATCH(A868,'Database Mitra'!AK$2:AK905,0)),"")</f>
        <v/>
      </c>
      <c r="C868" s="5" t="str">
        <f t="array" ref="C868">IF(W868=1,INDEX('Database Mitra'!$E$2:$E905,MATCH(A868,'Database Mitra'!AK$2:AK905,0)),"")</f>
        <v/>
      </c>
      <c r="D868" s="23"/>
      <c r="E868" s="5" t="str">
        <f t="array" ref="E868">IF(W868=1,INDEX('Input Kegiatan'!B$2:B905,MATCH($D868,'Input Kegiatan'!$A$2:$A905,0)),"")</f>
        <v/>
      </c>
      <c r="F868" s="5" t="str">
        <f t="array" ref="F868">IF(W868=1,INDEX('Input Kegiatan'!D$2:D905,MATCH($D868,'Input Kegiatan'!$A$2:$A905,0)),"")</f>
        <v/>
      </c>
      <c r="G868" s="5" t="str">
        <f t="array" ref="G868">IF(W868=1,INDEX('Input Kegiatan'!E$2:E905,MATCH($D868,'Input Kegiatan'!$A$2:$A905,0)),"")</f>
        <v/>
      </c>
      <c r="H868" s="5" t="str">
        <f t="array" ref="H868">IF(W868=1,INDEX(Honor!$H$2:$H905,MATCH($D868&amp;"-"&amp;R868,Honor!$K$2:$K905,0)),"")</f>
        <v/>
      </c>
      <c r="I868" s="8" t="str">
        <f>IF(W868=1,SUMIFS(Honor!$I$2:$I905,Honor!$K$2:$K905,$D868&amp;"-"&amp;R868),"")</f>
        <v/>
      </c>
      <c r="J868" s="9" t="str">
        <f t="shared" si="6"/>
        <v/>
      </c>
      <c r="K868" s="10" t="str">
        <f t="shared" si="0"/>
        <v/>
      </c>
      <c r="L868" s="10" t="str">
        <f t="shared" si="1"/>
        <v/>
      </c>
      <c r="M868" s="10" t="str">
        <f>IF(W868=1,IF(AND(U868&lt;2,INT(V868)&lt;='Batasan Honor'!$B$2),1,0),"")</f>
        <v/>
      </c>
      <c r="O868" s="10" t="str">
        <f t="shared" si="2"/>
        <v/>
      </c>
      <c r="P868" s="10" t="str">
        <f t="shared" si="3"/>
        <v/>
      </c>
      <c r="R868" s="23"/>
      <c r="S868" s="10" t="str">
        <f t="shared" si="4"/>
        <v/>
      </c>
      <c r="U868" s="10" t="str">
        <f ca="1">IFERROR(__xludf.DUMMYFUNCTION("if(W868=1,COUNTIFS(FILTER($H$2:$H905,$H$2:$H905=""OB"",$S$2:$S905=S868),""OB""),"""")"),"")</f>
        <v/>
      </c>
      <c r="V868" s="10" t="str">
        <f ca="1">IFERROR(__xludf.DUMMYFUNCTION("IF(OR(ISNA(SUM(FILTER($K$2:$K905,$A$2:$A905=A868,$S$2:$S905=S868,$H$2:$H905&lt;&gt;""OB""))),W868&lt;&gt;1),"""",SUM(FILTER($K$2:$K905,$A$2:$A905=A868,$S$2:$S905=S868,$H$2:$H905&lt;&gt;""OB"")))"),"")</f>
        <v/>
      </c>
      <c r="W868" s="10" t="str">
        <f t="shared" si="5"/>
        <v/>
      </c>
    </row>
    <row r="869" spans="1:23" ht="12.5">
      <c r="A869" s="23"/>
      <c r="B869" s="5" t="str">
        <f t="array" ref="B869">IF(W869=1,INDEX('Database Mitra'!$H$2:$H905,MATCH(A869,'Database Mitra'!AK$2:AK905,0)),"")</f>
        <v/>
      </c>
      <c r="C869" s="5" t="str">
        <f t="array" ref="C869">IF(W869=1,INDEX('Database Mitra'!$E$2:$E905,MATCH(A869,'Database Mitra'!AK$2:AK905,0)),"")</f>
        <v/>
      </c>
      <c r="D869" s="23"/>
      <c r="E869" s="5" t="str">
        <f t="array" ref="E869">IF(W869=1,INDEX('Input Kegiatan'!B$2:B905,MATCH($D869,'Input Kegiatan'!$A$2:$A905,0)),"")</f>
        <v/>
      </c>
      <c r="F869" s="5" t="str">
        <f t="array" ref="F869">IF(W869=1,INDEX('Input Kegiatan'!D$2:D905,MATCH($D869,'Input Kegiatan'!$A$2:$A905,0)),"")</f>
        <v/>
      </c>
      <c r="G869" s="5" t="str">
        <f t="array" ref="G869">IF(W869=1,INDEX('Input Kegiatan'!E$2:E905,MATCH($D869,'Input Kegiatan'!$A$2:$A905,0)),"")</f>
        <v/>
      </c>
      <c r="H869" s="5" t="str">
        <f t="array" ref="H869">IF(W869=1,INDEX(Honor!$H$2:$H905,MATCH($D869&amp;"-"&amp;R869,Honor!$K$2:$K905,0)),"")</f>
        <v/>
      </c>
      <c r="I869" s="8" t="str">
        <f>IF(W869=1,SUMIFS(Honor!$I$2:$I905,Honor!$K$2:$K905,$D869&amp;"-"&amp;R869),"")</f>
        <v/>
      </c>
      <c r="J869" s="9" t="str">
        <f t="shared" si="6"/>
        <v/>
      </c>
      <c r="K869" s="10" t="str">
        <f t="shared" si="0"/>
        <v/>
      </c>
      <c r="L869" s="10" t="str">
        <f t="shared" si="1"/>
        <v/>
      </c>
      <c r="M869" s="10" t="str">
        <f>IF(W869=1,IF(AND(U869&lt;2,INT(V869)&lt;='Batasan Honor'!$B$2),1,0),"")</f>
        <v/>
      </c>
      <c r="O869" s="10" t="str">
        <f t="shared" si="2"/>
        <v/>
      </c>
      <c r="P869" s="10" t="str">
        <f t="shared" si="3"/>
        <v/>
      </c>
      <c r="R869" s="23"/>
      <c r="S869" s="10" t="str">
        <f t="shared" si="4"/>
        <v/>
      </c>
      <c r="U869" s="10" t="str">
        <f ca="1">IFERROR(__xludf.DUMMYFUNCTION("if(W869=1,COUNTIFS(FILTER($H$2:$H905,$H$2:$H905=""OB"",$S$2:$S905=S869),""OB""),"""")"),"")</f>
        <v/>
      </c>
      <c r="V869" s="10" t="str">
        <f ca="1">IFERROR(__xludf.DUMMYFUNCTION("IF(OR(ISNA(SUM(FILTER($K$2:$K905,$A$2:$A905=A869,$S$2:$S905=S869,$H$2:$H905&lt;&gt;""OB""))),W869&lt;&gt;1),"""",SUM(FILTER($K$2:$K905,$A$2:$A905=A869,$S$2:$S905=S869,$H$2:$H905&lt;&gt;""OB"")))"),"")</f>
        <v/>
      </c>
      <c r="W869" s="10" t="str">
        <f t="shared" si="5"/>
        <v/>
      </c>
    </row>
    <row r="870" spans="1:23" ht="12.5">
      <c r="A870" s="23"/>
      <c r="B870" s="5" t="str">
        <f t="array" ref="B870">IF(W870=1,INDEX('Database Mitra'!$H$2:$H905,MATCH(A870,'Database Mitra'!AK$2:AK905,0)),"")</f>
        <v/>
      </c>
      <c r="C870" s="5" t="str">
        <f t="array" ref="C870">IF(W870=1,INDEX('Database Mitra'!$E$2:$E905,MATCH(A870,'Database Mitra'!AK$2:AK905,0)),"")</f>
        <v/>
      </c>
      <c r="D870" s="23"/>
      <c r="E870" s="5" t="str">
        <f t="array" ref="E870">IF(W870=1,INDEX('Input Kegiatan'!B$2:B905,MATCH($D870,'Input Kegiatan'!$A$2:$A905,0)),"")</f>
        <v/>
      </c>
      <c r="F870" s="5" t="str">
        <f t="array" ref="F870">IF(W870=1,INDEX('Input Kegiatan'!D$2:D905,MATCH($D870,'Input Kegiatan'!$A$2:$A905,0)),"")</f>
        <v/>
      </c>
      <c r="G870" s="5" t="str">
        <f t="array" ref="G870">IF(W870=1,INDEX('Input Kegiatan'!E$2:E905,MATCH($D870,'Input Kegiatan'!$A$2:$A905,0)),"")</f>
        <v/>
      </c>
      <c r="H870" s="5" t="str">
        <f t="array" ref="H870">IF(W870=1,INDEX(Honor!$H$2:$H905,MATCH($D870&amp;"-"&amp;R870,Honor!$K$2:$K905,0)),"")</f>
        <v/>
      </c>
      <c r="I870" s="8" t="str">
        <f>IF(W870=1,SUMIFS(Honor!$I$2:$I905,Honor!$K$2:$K905,$D870&amp;"-"&amp;R870),"")</f>
        <v/>
      </c>
      <c r="J870" s="9" t="str">
        <f t="shared" si="6"/>
        <v/>
      </c>
      <c r="K870" s="10" t="str">
        <f t="shared" si="0"/>
        <v/>
      </c>
      <c r="L870" s="10" t="str">
        <f t="shared" si="1"/>
        <v/>
      </c>
      <c r="M870" s="10" t="str">
        <f>IF(W870=1,IF(AND(U870&lt;2,INT(V870)&lt;='Batasan Honor'!$B$2),1,0),"")</f>
        <v/>
      </c>
      <c r="O870" s="10" t="str">
        <f t="shared" si="2"/>
        <v/>
      </c>
      <c r="P870" s="10" t="str">
        <f t="shared" si="3"/>
        <v/>
      </c>
      <c r="R870" s="23"/>
      <c r="S870" s="10" t="str">
        <f t="shared" si="4"/>
        <v/>
      </c>
      <c r="U870" s="10" t="str">
        <f ca="1">IFERROR(__xludf.DUMMYFUNCTION("if(W870=1,COUNTIFS(FILTER($H$2:$H905,$H$2:$H905=""OB"",$S$2:$S905=S870),""OB""),"""")"),"")</f>
        <v/>
      </c>
      <c r="V870" s="10" t="str">
        <f ca="1">IFERROR(__xludf.DUMMYFUNCTION("IF(OR(ISNA(SUM(FILTER($K$2:$K905,$A$2:$A905=A870,$S$2:$S905=S870,$H$2:$H905&lt;&gt;""OB""))),W870&lt;&gt;1),"""",SUM(FILTER($K$2:$K905,$A$2:$A905=A870,$S$2:$S905=S870,$H$2:$H905&lt;&gt;""OB"")))"),"")</f>
        <v/>
      </c>
      <c r="W870" s="10" t="str">
        <f t="shared" si="5"/>
        <v/>
      </c>
    </row>
    <row r="871" spans="1:23" ht="12.5">
      <c r="A871" s="23"/>
      <c r="B871" s="5" t="str">
        <f t="array" ref="B871">IF(W871=1,INDEX('Database Mitra'!$H$2:$H905,MATCH(A871,'Database Mitra'!AK$2:AK905,0)),"")</f>
        <v/>
      </c>
      <c r="C871" s="5" t="str">
        <f t="array" ref="C871">IF(W871=1,INDEX('Database Mitra'!$E$2:$E905,MATCH(A871,'Database Mitra'!AK$2:AK905,0)),"")</f>
        <v/>
      </c>
      <c r="D871" s="23"/>
      <c r="E871" s="5" t="str">
        <f t="array" ref="E871">IF(W871=1,INDEX('Input Kegiatan'!B$2:B905,MATCH($D871,'Input Kegiatan'!$A$2:$A905,0)),"")</f>
        <v/>
      </c>
      <c r="F871" s="5" t="str">
        <f t="array" ref="F871">IF(W871=1,INDEX('Input Kegiatan'!D$2:D905,MATCH($D871,'Input Kegiatan'!$A$2:$A905,0)),"")</f>
        <v/>
      </c>
      <c r="G871" s="5" t="str">
        <f t="array" ref="G871">IF(W871=1,INDEX('Input Kegiatan'!E$2:E905,MATCH($D871,'Input Kegiatan'!$A$2:$A905,0)),"")</f>
        <v/>
      </c>
      <c r="H871" s="5" t="str">
        <f t="array" ref="H871">IF(W871=1,INDEX(Honor!$H$2:$H905,MATCH($D871&amp;"-"&amp;R871,Honor!$K$2:$K905,0)),"")</f>
        <v/>
      </c>
      <c r="I871" s="8" t="str">
        <f>IF(W871=1,SUMIFS(Honor!$I$2:$I905,Honor!$K$2:$K905,$D871&amp;"-"&amp;R871),"")</f>
        <v/>
      </c>
      <c r="J871" s="9" t="str">
        <f t="shared" si="6"/>
        <v/>
      </c>
      <c r="K871" s="10" t="str">
        <f t="shared" si="0"/>
        <v/>
      </c>
      <c r="L871" s="10" t="str">
        <f t="shared" si="1"/>
        <v/>
      </c>
      <c r="M871" s="10" t="str">
        <f>IF(W871=1,IF(AND(U871&lt;2,INT(V871)&lt;='Batasan Honor'!$B$2),1,0),"")</f>
        <v/>
      </c>
      <c r="O871" s="10" t="str">
        <f t="shared" si="2"/>
        <v/>
      </c>
      <c r="P871" s="10" t="str">
        <f t="shared" si="3"/>
        <v/>
      </c>
      <c r="R871" s="23"/>
      <c r="S871" s="10" t="str">
        <f t="shared" si="4"/>
        <v/>
      </c>
      <c r="U871" s="10" t="str">
        <f ca="1">IFERROR(__xludf.DUMMYFUNCTION("if(W871=1,COUNTIFS(FILTER($H$2:$H905,$H$2:$H905=""OB"",$S$2:$S905=S871),""OB""),"""")"),"")</f>
        <v/>
      </c>
      <c r="V871" s="10" t="str">
        <f ca="1">IFERROR(__xludf.DUMMYFUNCTION("IF(OR(ISNA(SUM(FILTER($K$2:$K905,$A$2:$A905=A871,$S$2:$S905=S871,$H$2:$H905&lt;&gt;""OB""))),W871&lt;&gt;1),"""",SUM(FILTER($K$2:$K905,$A$2:$A905=A871,$S$2:$S905=S871,$H$2:$H905&lt;&gt;""OB"")))"),"")</f>
        <v/>
      </c>
      <c r="W871" s="10" t="str">
        <f t="shared" si="5"/>
        <v/>
      </c>
    </row>
    <row r="872" spans="1:23" ht="12.5">
      <c r="A872" s="23"/>
      <c r="B872" s="5" t="str">
        <f t="array" ref="B872">IF(W872=1,INDEX('Database Mitra'!$H$2:$H905,MATCH(A872,'Database Mitra'!AK$2:AK905,0)),"")</f>
        <v/>
      </c>
      <c r="C872" s="5" t="str">
        <f t="array" ref="C872">IF(W872=1,INDEX('Database Mitra'!$E$2:$E905,MATCH(A872,'Database Mitra'!AK$2:AK905,0)),"")</f>
        <v/>
      </c>
      <c r="D872" s="23"/>
      <c r="E872" s="5" t="str">
        <f t="array" ref="E872">IF(W872=1,INDEX('Input Kegiatan'!B$2:B905,MATCH($D872,'Input Kegiatan'!$A$2:$A905,0)),"")</f>
        <v/>
      </c>
      <c r="F872" s="5" t="str">
        <f t="array" ref="F872">IF(W872=1,INDEX('Input Kegiatan'!D$2:D905,MATCH($D872,'Input Kegiatan'!$A$2:$A905,0)),"")</f>
        <v/>
      </c>
      <c r="G872" s="5" t="str">
        <f t="array" ref="G872">IF(W872=1,INDEX('Input Kegiatan'!E$2:E905,MATCH($D872,'Input Kegiatan'!$A$2:$A905,0)),"")</f>
        <v/>
      </c>
      <c r="H872" s="5" t="str">
        <f t="array" ref="H872">IF(W872=1,INDEX(Honor!$H$2:$H905,MATCH($D872&amp;"-"&amp;R872,Honor!$K$2:$K905,0)),"")</f>
        <v/>
      </c>
      <c r="I872" s="8" t="str">
        <f>IF(W872=1,SUMIFS(Honor!$I$2:$I905,Honor!$K$2:$K905,$D872&amp;"-"&amp;R872),"")</f>
        <v/>
      </c>
      <c r="J872" s="9" t="str">
        <f t="shared" si="6"/>
        <v/>
      </c>
      <c r="K872" s="10" t="str">
        <f t="shared" si="0"/>
        <v/>
      </c>
      <c r="L872" s="10" t="str">
        <f t="shared" si="1"/>
        <v/>
      </c>
      <c r="M872" s="10" t="str">
        <f>IF(W872=1,IF(AND(U872&lt;2,INT(V872)&lt;='Batasan Honor'!$B$2),1,0),"")</f>
        <v/>
      </c>
      <c r="O872" s="10" t="str">
        <f t="shared" si="2"/>
        <v/>
      </c>
      <c r="P872" s="10" t="str">
        <f t="shared" si="3"/>
        <v/>
      </c>
      <c r="R872" s="23"/>
      <c r="S872" s="10" t="str">
        <f t="shared" si="4"/>
        <v/>
      </c>
      <c r="U872" s="10" t="str">
        <f ca="1">IFERROR(__xludf.DUMMYFUNCTION("if(W872=1,COUNTIFS(FILTER($H$2:$H905,$H$2:$H905=""OB"",$S$2:$S905=S872),""OB""),"""")"),"")</f>
        <v/>
      </c>
      <c r="V872" s="10" t="str">
        <f ca="1">IFERROR(__xludf.DUMMYFUNCTION("IF(OR(ISNA(SUM(FILTER($K$2:$K905,$A$2:$A905=A872,$S$2:$S905=S872,$H$2:$H905&lt;&gt;""OB""))),W872&lt;&gt;1),"""",SUM(FILTER($K$2:$K905,$A$2:$A905=A872,$S$2:$S905=S872,$H$2:$H905&lt;&gt;""OB"")))"),"")</f>
        <v/>
      </c>
      <c r="W872" s="10" t="str">
        <f t="shared" si="5"/>
        <v/>
      </c>
    </row>
    <row r="873" spans="1:23" ht="12.5">
      <c r="A873" s="23"/>
      <c r="B873" s="5" t="str">
        <f t="array" ref="B873">IF(W873=1,INDEX('Database Mitra'!$H$2:$H905,MATCH(A873,'Database Mitra'!AK$2:AK905,0)),"")</f>
        <v/>
      </c>
      <c r="C873" s="5" t="str">
        <f t="array" ref="C873">IF(W873=1,INDEX('Database Mitra'!$E$2:$E905,MATCH(A873,'Database Mitra'!AK$2:AK905,0)),"")</f>
        <v/>
      </c>
      <c r="D873" s="23"/>
      <c r="E873" s="5" t="str">
        <f t="array" ref="E873">IF(W873=1,INDEX('Input Kegiatan'!B$2:B905,MATCH($D873,'Input Kegiatan'!$A$2:$A905,0)),"")</f>
        <v/>
      </c>
      <c r="F873" s="5" t="str">
        <f t="array" ref="F873">IF(W873=1,INDEX('Input Kegiatan'!D$2:D905,MATCH($D873,'Input Kegiatan'!$A$2:$A905,0)),"")</f>
        <v/>
      </c>
      <c r="G873" s="5" t="str">
        <f t="array" ref="G873">IF(W873=1,INDEX('Input Kegiatan'!E$2:E905,MATCH($D873,'Input Kegiatan'!$A$2:$A905,0)),"")</f>
        <v/>
      </c>
      <c r="H873" s="5" t="str">
        <f t="array" ref="H873">IF(W873=1,INDEX(Honor!$H$2:$H905,MATCH($D873&amp;"-"&amp;R873,Honor!$K$2:$K905,0)),"")</f>
        <v/>
      </c>
      <c r="I873" s="8" t="str">
        <f>IF(W873=1,SUMIFS(Honor!$I$2:$I905,Honor!$K$2:$K905,$D873&amp;"-"&amp;R873),"")</f>
        <v/>
      </c>
      <c r="J873" s="9" t="str">
        <f t="shared" si="6"/>
        <v/>
      </c>
      <c r="K873" s="10" t="str">
        <f t="shared" si="0"/>
        <v/>
      </c>
      <c r="L873" s="10" t="str">
        <f t="shared" si="1"/>
        <v/>
      </c>
      <c r="M873" s="10" t="str">
        <f>IF(W873=1,IF(AND(U873&lt;2,INT(V873)&lt;='Batasan Honor'!$B$2),1,0),"")</f>
        <v/>
      </c>
      <c r="O873" s="10" t="str">
        <f t="shared" si="2"/>
        <v/>
      </c>
      <c r="P873" s="10" t="str">
        <f t="shared" si="3"/>
        <v/>
      </c>
      <c r="R873" s="23"/>
      <c r="S873" s="10" t="str">
        <f t="shared" si="4"/>
        <v/>
      </c>
      <c r="U873" s="10" t="str">
        <f ca="1">IFERROR(__xludf.DUMMYFUNCTION("if(W873=1,COUNTIFS(FILTER($H$2:$H905,$H$2:$H905=""OB"",$S$2:$S905=S873),""OB""),"""")"),"")</f>
        <v/>
      </c>
      <c r="V873" s="10" t="str">
        <f ca="1">IFERROR(__xludf.DUMMYFUNCTION("IF(OR(ISNA(SUM(FILTER($K$2:$K905,$A$2:$A905=A873,$S$2:$S905=S873,$H$2:$H905&lt;&gt;""OB""))),W873&lt;&gt;1),"""",SUM(FILTER($K$2:$K905,$A$2:$A905=A873,$S$2:$S905=S873,$H$2:$H905&lt;&gt;""OB"")))"),"")</f>
        <v/>
      </c>
      <c r="W873" s="10" t="str">
        <f t="shared" si="5"/>
        <v/>
      </c>
    </row>
    <row r="874" spans="1:23" ht="12.5">
      <c r="A874" s="23"/>
      <c r="B874" s="5" t="str">
        <f t="array" ref="B874">IF(W874=1,INDEX('Database Mitra'!$H$2:$H905,MATCH(A874,'Database Mitra'!AK$2:AK905,0)),"")</f>
        <v/>
      </c>
      <c r="C874" s="5" t="str">
        <f t="array" ref="C874">IF(W874=1,INDEX('Database Mitra'!$E$2:$E905,MATCH(A874,'Database Mitra'!AK$2:AK905,0)),"")</f>
        <v/>
      </c>
      <c r="D874" s="23"/>
      <c r="E874" s="5" t="str">
        <f t="array" ref="E874">IF(W874=1,INDEX('Input Kegiatan'!B$2:B905,MATCH($D874,'Input Kegiatan'!$A$2:$A905,0)),"")</f>
        <v/>
      </c>
      <c r="F874" s="5" t="str">
        <f t="array" ref="F874">IF(W874=1,INDEX('Input Kegiatan'!D$2:D905,MATCH($D874,'Input Kegiatan'!$A$2:$A905,0)),"")</f>
        <v/>
      </c>
      <c r="G874" s="5" t="str">
        <f t="array" ref="G874">IF(W874=1,INDEX('Input Kegiatan'!E$2:E905,MATCH($D874,'Input Kegiatan'!$A$2:$A905,0)),"")</f>
        <v/>
      </c>
      <c r="H874" s="5" t="str">
        <f t="array" ref="H874">IF(W874=1,INDEX(Honor!$H$2:$H905,MATCH($D874&amp;"-"&amp;R874,Honor!$K$2:$K905,0)),"")</f>
        <v/>
      </c>
      <c r="I874" s="8" t="str">
        <f>IF(W874=1,SUMIFS(Honor!$I$2:$I905,Honor!$K$2:$K905,$D874&amp;"-"&amp;R874),"")</f>
        <v/>
      </c>
      <c r="J874" s="9" t="str">
        <f t="shared" si="6"/>
        <v/>
      </c>
      <c r="K874" s="10" t="str">
        <f t="shared" si="0"/>
        <v/>
      </c>
      <c r="L874" s="10" t="str">
        <f t="shared" si="1"/>
        <v/>
      </c>
      <c r="M874" s="10" t="str">
        <f>IF(W874=1,IF(AND(U874&lt;2,INT(V874)&lt;='Batasan Honor'!$B$2),1,0),"")</f>
        <v/>
      </c>
      <c r="O874" s="10" t="str">
        <f t="shared" si="2"/>
        <v/>
      </c>
      <c r="P874" s="10" t="str">
        <f t="shared" si="3"/>
        <v/>
      </c>
      <c r="R874" s="23"/>
      <c r="S874" s="10" t="str">
        <f t="shared" si="4"/>
        <v/>
      </c>
      <c r="U874" s="10" t="str">
        <f ca="1">IFERROR(__xludf.DUMMYFUNCTION("if(W874=1,COUNTIFS(FILTER($H$2:$H905,$H$2:$H905=""OB"",$S$2:$S905=S874),""OB""),"""")"),"")</f>
        <v/>
      </c>
      <c r="V874" s="10" t="str">
        <f ca="1">IFERROR(__xludf.DUMMYFUNCTION("IF(OR(ISNA(SUM(FILTER($K$2:$K905,$A$2:$A905=A874,$S$2:$S905=S874,$H$2:$H905&lt;&gt;""OB""))),W874&lt;&gt;1),"""",SUM(FILTER($K$2:$K905,$A$2:$A905=A874,$S$2:$S905=S874,$H$2:$H905&lt;&gt;""OB"")))"),"")</f>
        <v/>
      </c>
      <c r="W874" s="10" t="str">
        <f t="shared" si="5"/>
        <v/>
      </c>
    </row>
    <row r="875" spans="1:23" ht="12.5">
      <c r="A875" s="23"/>
      <c r="B875" s="5" t="str">
        <f t="array" ref="B875">IF(W875=1,INDEX('Database Mitra'!$H$2:$H905,MATCH(A875,'Database Mitra'!AK$2:AK905,0)),"")</f>
        <v/>
      </c>
      <c r="C875" s="5" t="str">
        <f t="array" ref="C875">IF(W875=1,INDEX('Database Mitra'!$E$2:$E905,MATCH(A875,'Database Mitra'!AK$2:AK905,0)),"")</f>
        <v/>
      </c>
      <c r="D875" s="23"/>
      <c r="E875" s="5" t="str">
        <f t="array" ref="E875">IF(W875=1,INDEX('Input Kegiatan'!B$2:B905,MATCH($D875,'Input Kegiatan'!$A$2:$A905,0)),"")</f>
        <v/>
      </c>
      <c r="F875" s="5" t="str">
        <f t="array" ref="F875">IF(W875=1,INDEX('Input Kegiatan'!D$2:D905,MATCH($D875,'Input Kegiatan'!$A$2:$A905,0)),"")</f>
        <v/>
      </c>
      <c r="G875" s="5" t="str">
        <f t="array" ref="G875">IF(W875=1,INDEX('Input Kegiatan'!E$2:E905,MATCH($D875,'Input Kegiatan'!$A$2:$A905,0)),"")</f>
        <v/>
      </c>
      <c r="H875" s="5" t="str">
        <f t="array" ref="H875">IF(W875=1,INDEX(Honor!$H$2:$H905,MATCH($D875&amp;"-"&amp;R875,Honor!$K$2:$K905,0)),"")</f>
        <v/>
      </c>
      <c r="I875" s="8" t="str">
        <f>IF(W875=1,SUMIFS(Honor!$I$2:$I905,Honor!$K$2:$K905,$D875&amp;"-"&amp;R875),"")</f>
        <v/>
      </c>
      <c r="J875" s="9" t="str">
        <f t="shared" si="6"/>
        <v/>
      </c>
      <c r="K875" s="10" t="str">
        <f t="shared" si="0"/>
        <v/>
      </c>
      <c r="L875" s="10" t="str">
        <f t="shared" si="1"/>
        <v/>
      </c>
      <c r="M875" s="10" t="str">
        <f>IF(W875=1,IF(AND(U875&lt;2,INT(V875)&lt;='Batasan Honor'!$B$2),1,0),"")</f>
        <v/>
      </c>
      <c r="O875" s="10" t="str">
        <f t="shared" si="2"/>
        <v/>
      </c>
      <c r="P875" s="10" t="str">
        <f t="shared" si="3"/>
        <v/>
      </c>
      <c r="R875" s="23"/>
      <c r="S875" s="10" t="str">
        <f t="shared" si="4"/>
        <v/>
      </c>
      <c r="U875" s="10" t="str">
        <f ca="1">IFERROR(__xludf.DUMMYFUNCTION("if(W875=1,COUNTIFS(FILTER($H$2:$H905,$H$2:$H905=""OB"",$S$2:$S905=S875),""OB""),"""")"),"")</f>
        <v/>
      </c>
      <c r="V875" s="10" t="str">
        <f ca="1">IFERROR(__xludf.DUMMYFUNCTION("IF(OR(ISNA(SUM(FILTER($K$2:$K905,$A$2:$A905=A875,$S$2:$S905=S875,$H$2:$H905&lt;&gt;""OB""))),W875&lt;&gt;1),"""",SUM(FILTER($K$2:$K905,$A$2:$A905=A875,$S$2:$S905=S875,$H$2:$H905&lt;&gt;""OB"")))"),"")</f>
        <v/>
      </c>
      <c r="W875" s="10" t="str">
        <f t="shared" si="5"/>
        <v/>
      </c>
    </row>
    <row r="876" spans="1:23" ht="12.5">
      <c r="A876" s="23"/>
      <c r="B876" s="5" t="str">
        <f t="array" ref="B876">IF(W876=1,INDEX('Database Mitra'!$H$2:$H905,MATCH(A876,'Database Mitra'!AK$2:AK905,0)),"")</f>
        <v/>
      </c>
      <c r="C876" s="5" t="str">
        <f t="array" ref="C876">IF(W876=1,INDEX('Database Mitra'!$E$2:$E905,MATCH(A876,'Database Mitra'!AK$2:AK905,0)),"")</f>
        <v/>
      </c>
      <c r="D876" s="23"/>
      <c r="E876" s="5" t="str">
        <f t="array" ref="E876">IF(W876=1,INDEX('Input Kegiatan'!B$2:B905,MATCH($D876,'Input Kegiatan'!$A$2:$A905,0)),"")</f>
        <v/>
      </c>
      <c r="F876" s="5" t="str">
        <f t="array" ref="F876">IF(W876=1,INDEX('Input Kegiatan'!D$2:D905,MATCH($D876,'Input Kegiatan'!$A$2:$A905,0)),"")</f>
        <v/>
      </c>
      <c r="G876" s="5" t="str">
        <f t="array" ref="G876">IF(W876=1,INDEX('Input Kegiatan'!E$2:E905,MATCH($D876,'Input Kegiatan'!$A$2:$A905,0)),"")</f>
        <v/>
      </c>
      <c r="H876" s="5" t="str">
        <f t="array" ref="H876">IF(W876=1,INDEX(Honor!$H$2:$H905,MATCH($D876&amp;"-"&amp;R876,Honor!$K$2:$K905,0)),"")</f>
        <v/>
      </c>
      <c r="I876" s="8" t="str">
        <f>IF(W876=1,SUMIFS(Honor!$I$2:$I905,Honor!$K$2:$K905,$D876&amp;"-"&amp;R876),"")</f>
        <v/>
      </c>
      <c r="J876" s="9" t="str">
        <f t="shared" si="6"/>
        <v/>
      </c>
      <c r="K876" s="10" t="str">
        <f t="shared" si="0"/>
        <v/>
      </c>
      <c r="L876" s="10" t="str">
        <f t="shared" si="1"/>
        <v/>
      </c>
      <c r="M876" s="10" t="str">
        <f>IF(W876=1,IF(AND(U876&lt;2,INT(V876)&lt;='Batasan Honor'!$B$2),1,0),"")</f>
        <v/>
      </c>
      <c r="O876" s="10" t="str">
        <f t="shared" si="2"/>
        <v/>
      </c>
      <c r="P876" s="10" t="str">
        <f t="shared" si="3"/>
        <v/>
      </c>
      <c r="R876" s="23"/>
      <c r="S876" s="10" t="str">
        <f t="shared" si="4"/>
        <v/>
      </c>
      <c r="U876" s="10" t="str">
        <f ca="1">IFERROR(__xludf.DUMMYFUNCTION("if(W876=1,COUNTIFS(FILTER($H$2:$H905,$H$2:$H905=""OB"",$S$2:$S905=S876),""OB""),"""")"),"")</f>
        <v/>
      </c>
      <c r="V876" s="10" t="str">
        <f ca="1">IFERROR(__xludf.DUMMYFUNCTION("IF(OR(ISNA(SUM(FILTER($K$2:$K905,$A$2:$A905=A876,$S$2:$S905=S876,$H$2:$H905&lt;&gt;""OB""))),W876&lt;&gt;1),"""",SUM(FILTER($K$2:$K905,$A$2:$A905=A876,$S$2:$S905=S876,$H$2:$H905&lt;&gt;""OB"")))"),"")</f>
        <v/>
      </c>
      <c r="W876" s="10" t="str">
        <f t="shared" si="5"/>
        <v/>
      </c>
    </row>
    <row r="877" spans="1:23" ht="12.5">
      <c r="A877" s="23"/>
      <c r="B877" s="5" t="str">
        <f t="array" ref="B877">IF(W877=1,INDEX('Database Mitra'!$H$2:$H905,MATCH(A877,'Database Mitra'!AK$2:AK905,0)),"")</f>
        <v/>
      </c>
      <c r="C877" s="5" t="str">
        <f t="array" ref="C877">IF(W877=1,INDEX('Database Mitra'!$E$2:$E905,MATCH(A877,'Database Mitra'!AK$2:AK905,0)),"")</f>
        <v/>
      </c>
      <c r="D877" s="23"/>
      <c r="E877" s="5" t="str">
        <f t="array" ref="E877">IF(W877=1,INDEX('Input Kegiatan'!B$2:B905,MATCH($D877,'Input Kegiatan'!$A$2:$A905,0)),"")</f>
        <v/>
      </c>
      <c r="F877" s="5" t="str">
        <f t="array" ref="F877">IF(W877=1,INDEX('Input Kegiatan'!D$2:D905,MATCH($D877,'Input Kegiatan'!$A$2:$A905,0)),"")</f>
        <v/>
      </c>
      <c r="G877" s="5" t="str">
        <f t="array" ref="G877">IF(W877=1,INDEX('Input Kegiatan'!E$2:E905,MATCH($D877,'Input Kegiatan'!$A$2:$A905,0)),"")</f>
        <v/>
      </c>
      <c r="H877" s="5" t="str">
        <f t="array" ref="H877">IF(W877=1,INDEX(Honor!$H$2:$H905,MATCH($D877&amp;"-"&amp;R877,Honor!$K$2:$K905,0)),"")</f>
        <v/>
      </c>
      <c r="I877" s="8" t="str">
        <f>IF(W877=1,SUMIFS(Honor!$I$2:$I905,Honor!$K$2:$K905,$D877&amp;"-"&amp;R877),"")</f>
        <v/>
      </c>
      <c r="J877" s="9" t="str">
        <f t="shared" si="6"/>
        <v/>
      </c>
      <c r="K877" s="10" t="str">
        <f t="shared" si="0"/>
        <v/>
      </c>
      <c r="L877" s="10" t="str">
        <f t="shared" si="1"/>
        <v/>
      </c>
      <c r="M877" s="10" t="str">
        <f>IF(W877=1,IF(AND(U877&lt;2,INT(V877)&lt;='Batasan Honor'!$B$2),1,0),"")</f>
        <v/>
      </c>
      <c r="O877" s="10" t="str">
        <f t="shared" si="2"/>
        <v/>
      </c>
      <c r="P877" s="10" t="str">
        <f t="shared" si="3"/>
        <v/>
      </c>
      <c r="R877" s="23"/>
      <c r="S877" s="10" t="str">
        <f t="shared" si="4"/>
        <v/>
      </c>
      <c r="U877" s="10" t="str">
        <f ca="1">IFERROR(__xludf.DUMMYFUNCTION("if(W877=1,COUNTIFS(FILTER($H$2:$H905,$H$2:$H905=""OB"",$S$2:$S905=S877),""OB""),"""")"),"")</f>
        <v/>
      </c>
      <c r="V877" s="10" t="str">
        <f ca="1">IFERROR(__xludf.DUMMYFUNCTION("IF(OR(ISNA(SUM(FILTER($K$2:$K905,$A$2:$A905=A877,$S$2:$S905=S877,$H$2:$H905&lt;&gt;""OB""))),W877&lt;&gt;1),"""",SUM(FILTER($K$2:$K905,$A$2:$A905=A877,$S$2:$S905=S877,$H$2:$H905&lt;&gt;""OB"")))"),"")</f>
        <v/>
      </c>
      <c r="W877" s="10" t="str">
        <f t="shared" si="5"/>
        <v/>
      </c>
    </row>
    <row r="878" spans="1:23" ht="12.5">
      <c r="A878" s="23"/>
      <c r="B878" s="5" t="str">
        <f t="array" ref="B878">IF(W878=1,INDEX('Database Mitra'!$H$2:$H905,MATCH(A878,'Database Mitra'!AK$2:AK905,0)),"")</f>
        <v/>
      </c>
      <c r="C878" s="5" t="str">
        <f t="array" ref="C878">IF(W878=1,INDEX('Database Mitra'!$E$2:$E905,MATCH(A878,'Database Mitra'!AK$2:AK905,0)),"")</f>
        <v/>
      </c>
      <c r="D878" s="23"/>
      <c r="E878" s="5" t="str">
        <f t="array" ref="E878">IF(W878=1,INDEX('Input Kegiatan'!B$2:B905,MATCH($D878,'Input Kegiatan'!$A$2:$A905,0)),"")</f>
        <v/>
      </c>
      <c r="F878" s="5" t="str">
        <f t="array" ref="F878">IF(W878=1,INDEX('Input Kegiatan'!D$2:D905,MATCH($D878,'Input Kegiatan'!$A$2:$A905,0)),"")</f>
        <v/>
      </c>
      <c r="G878" s="5" t="str">
        <f t="array" ref="G878">IF(W878=1,INDEX('Input Kegiatan'!E$2:E905,MATCH($D878,'Input Kegiatan'!$A$2:$A905,0)),"")</f>
        <v/>
      </c>
      <c r="H878" s="5" t="str">
        <f t="array" ref="H878">IF(W878=1,INDEX(Honor!$H$2:$H905,MATCH($D878&amp;"-"&amp;R878,Honor!$K$2:$K905,0)),"")</f>
        <v/>
      </c>
      <c r="I878" s="8" t="str">
        <f>IF(W878=1,SUMIFS(Honor!$I$2:$I905,Honor!$K$2:$K905,$D878&amp;"-"&amp;R878),"")</f>
        <v/>
      </c>
      <c r="J878" s="9" t="str">
        <f t="shared" si="6"/>
        <v/>
      </c>
      <c r="K878" s="10" t="str">
        <f t="shared" si="0"/>
        <v/>
      </c>
      <c r="L878" s="10" t="str">
        <f t="shared" si="1"/>
        <v/>
      </c>
      <c r="M878" s="10" t="str">
        <f>IF(W878=1,IF(AND(U878&lt;2,INT(V878)&lt;='Batasan Honor'!$B$2),1,0),"")</f>
        <v/>
      </c>
      <c r="O878" s="10" t="str">
        <f t="shared" si="2"/>
        <v/>
      </c>
      <c r="P878" s="10" t="str">
        <f t="shared" si="3"/>
        <v/>
      </c>
      <c r="R878" s="23"/>
      <c r="S878" s="10" t="str">
        <f t="shared" si="4"/>
        <v/>
      </c>
      <c r="U878" s="10" t="str">
        <f ca="1">IFERROR(__xludf.DUMMYFUNCTION("if(W878=1,COUNTIFS(FILTER($H$2:$H905,$H$2:$H905=""OB"",$S$2:$S905=S878),""OB""),"""")"),"")</f>
        <v/>
      </c>
      <c r="V878" s="10" t="str">
        <f ca="1">IFERROR(__xludf.DUMMYFUNCTION("IF(OR(ISNA(SUM(FILTER($K$2:$K905,$A$2:$A905=A878,$S$2:$S905=S878,$H$2:$H905&lt;&gt;""OB""))),W878&lt;&gt;1),"""",SUM(FILTER($K$2:$K905,$A$2:$A905=A878,$S$2:$S905=S878,$H$2:$H905&lt;&gt;""OB"")))"),"")</f>
        <v/>
      </c>
      <c r="W878" s="10" t="str">
        <f t="shared" si="5"/>
        <v/>
      </c>
    </row>
    <row r="879" spans="1:23" ht="12.5">
      <c r="A879" s="23"/>
      <c r="B879" s="5" t="str">
        <f t="array" ref="B879">IF(W879=1,INDEX('Database Mitra'!$H$2:$H905,MATCH(A879,'Database Mitra'!AK$2:AK905,0)),"")</f>
        <v/>
      </c>
      <c r="C879" s="5" t="str">
        <f t="array" ref="C879">IF(W879=1,INDEX('Database Mitra'!$E$2:$E905,MATCH(A879,'Database Mitra'!AK$2:AK905,0)),"")</f>
        <v/>
      </c>
      <c r="D879" s="23"/>
      <c r="E879" s="5" t="str">
        <f t="array" ref="E879">IF(W879=1,INDEX('Input Kegiatan'!B$2:B905,MATCH($D879,'Input Kegiatan'!$A$2:$A905,0)),"")</f>
        <v/>
      </c>
      <c r="F879" s="5" t="str">
        <f t="array" ref="F879">IF(W879=1,INDEX('Input Kegiatan'!D$2:D905,MATCH($D879,'Input Kegiatan'!$A$2:$A905,0)),"")</f>
        <v/>
      </c>
      <c r="G879" s="5" t="str">
        <f t="array" ref="G879">IF(W879=1,INDEX('Input Kegiatan'!E$2:E905,MATCH($D879,'Input Kegiatan'!$A$2:$A905,0)),"")</f>
        <v/>
      </c>
      <c r="H879" s="5" t="str">
        <f t="array" ref="H879">IF(W879=1,INDEX(Honor!$H$2:$H905,MATCH($D879&amp;"-"&amp;R879,Honor!$K$2:$K905,0)),"")</f>
        <v/>
      </c>
      <c r="I879" s="8" t="str">
        <f>IF(W879=1,SUMIFS(Honor!$I$2:$I905,Honor!$K$2:$K905,$D879&amp;"-"&amp;R879),"")</f>
        <v/>
      </c>
      <c r="J879" s="9" t="str">
        <f t="shared" si="6"/>
        <v/>
      </c>
      <c r="K879" s="10" t="str">
        <f t="shared" si="0"/>
        <v/>
      </c>
      <c r="L879" s="10" t="str">
        <f t="shared" si="1"/>
        <v/>
      </c>
      <c r="M879" s="10" t="str">
        <f>IF(W879=1,IF(AND(U879&lt;2,INT(V879)&lt;='Batasan Honor'!$B$2),1,0),"")</f>
        <v/>
      </c>
      <c r="O879" s="10" t="str">
        <f t="shared" si="2"/>
        <v/>
      </c>
      <c r="P879" s="10" t="str">
        <f t="shared" si="3"/>
        <v/>
      </c>
      <c r="R879" s="23"/>
      <c r="S879" s="10" t="str">
        <f t="shared" si="4"/>
        <v/>
      </c>
      <c r="U879" s="10" t="str">
        <f ca="1">IFERROR(__xludf.DUMMYFUNCTION("if(W879=1,COUNTIFS(FILTER($H$2:$H905,$H$2:$H905=""OB"",$S$2:$S905=S879),""OB""),"""")"),"")</f>
        <v/>
      </c>
      <c r="V879" s="10" t="str">
        <f ca="1">IFERROR(__xludf.DUMMYFUNCTION("IF(OR(ISNA(SUM(FILTER($K$2:$K905,$A$2:$A905=A879,$S$2:$S905=S879,$H$2:$H905&lt;&gt;""OB""))),W879&lt;&gt;1),"""",SUM(FILTER($K$2:$K905,$A$2:$A905=A879,$S$2:$S905=S879,$H$2:$H905&lt;&gt;""OB"")))"),"")</f>
        <v/>
      </c>
      <c r="W879" s="10" t="str">
        <f t="shared" si="5"/>
        <v/>
      </c>
    </row>
    <row r="880" spans="1:23" ht="12.5">
      <c r="A880" s="23"/>
      <c r="B880" s="5" t="str">
        <f t="array" ref="B880">IF(W880=1,INDEX('Database Mitra'!$H$2:$H905,MATCH(A880,'Database Mitra'!AK$2:AK905,0)),"")</f>
        <v/>
      </c>
      <c r="C880" s="5" t="str">
        <f t="array" ref="C880">IF(W880=1,INDEX('Database Mitra'!$E$2:$E905,MATCH(A880,'Database Mitra'!AK$2:AK905,0)),"")</f>
        <v/>
      </c>
      <c r="D880" s="23"/>
      <c r="E880" s="5" t="str">
        <f t="array" ref="E880">IF(W880=1,INDEX('Input Kegiatan'!B$2:B905,MATCH($D880,'Input Kegiatan'!$A$2:$A905,0)),"")</f>
        <v/>
      </c>
      <c r="F880" s="5" t="str">
        <f t="array" ref="F880">IF(W880=1,INDEX('Input Kegiatan'!D$2:D905,MATCH($D880,'Input Kegiatan'!$A$2:$A905,0)),"")</f>
        <v/>
      </c>
      <c r="G880" s="5" t="str">
        <f t="array" ref="G880">IF(W880=1,INDEX('Input Kegiatan'!E$2:E905,MATCH($D880,'Input Kegiatan'!$A$2:$A905,0)),"")</f>
        <v/>
      </c>
      <c r="H880" s="5" t="str">
        <f t="array" ref="H880">IF(W880=1,INDEX(Honor!$H$2:$H905,MATCH($D880&amp;"-"&amp;R880,Honor!$K$2:$K905,0)),"")</f>
        <v/>
      </c>
      <c r="I880" s="8" t="str">
        <f>IF(W880=1,SUMIFS(Honor!$I$2:$I905,Honor!$K$2:$K905,$D880&amp;"-"&amp;R880),"")</f>
        <v/>
      </c>
      <c r="J880" s="9" t="str">
        <f t="shared" si="6"/>
        <v/>
      </c>
      <c r="K880" s="10" t="str">
        <f t="shared" si="0"/>
        <v/>
      </c>
      <c r="L880" s="10" t="str">
        <f t="shared" si="1"/>
        <v/>
      </c>
      <c r="M880" s="10" t="str">
        <f>IF(W880=1,IF(AND(U880&lt;2,INT(V880)&lt;='Batasan Honor'!$B$2),1,0),"")</f>
        <v/>
      </c>
      <c r="O880" s="10" t="str">
        <f t="shared" si="2"/>
        <v/>
      </c>
      <c r="P880" s="10" t="str">
        <f t="shared" si="3"/>
        <v/>
      </c>
      <c r="R880" s="23"/>
      <c r="S880" s="10" t="str">
        <f t="shared" si="4"/>
        <v/>
      </c>
      <c r="U880" s="10" t="str">
        <f ca="1">IFERROR(__xludf.DUMMYFUNCTION("if(W880=1,COUNTIFS(FILTER($H$2:$H905,$H$2:$H905=""OB"",$S$2:$S905=S880),""OB""),"""")"),"")</f>
        <v/>
      </c>
      <c r="V880" s="10" t="str">
        <f ca="1">IFERROR(__xludf.DUMMYFUNCTION("IF(OR(ISNA(SUM(FILTER($K$2:$K905,$A$2:$A905=A880,$S$2:$S905=S880,$H$2:$H905&lt;&gt;""OB""))),W880&lt;&gt;1),"""",SUM(FILTER($K$2:$K905,$A$2:$A905=A880,$S$2:$S905=S880,$H$2:$H905&lt;&gt;""OB"")))"),"")</f>
        <v/>
      </c>
      <c r="W880" s="10" t="str">
        <f t="shared" si="5"/>
        <v/>
      </c>
    </row>
    <row r="881" spans="1:23" ht="12.5">
      <c r="A881" s="23"/>
      <c r="B881" s="5" t="str">
        <f t="array" ref="B881">IF(W881=1,INDEX('Database Mitra'!$H$2:$H905,MATCH(A881,'Database Mitra'!AK$2:AK905,0)),"")</f>
        <v/>
      </c>
      <c r="C881" s="5" t="str">
        <f t="array" ref="C881">IF(W881=1,INDEX('Database Mitra'!$E$2:$E905,MATCH(A881,'Database Mitra'!AK$2:AK905,0)),"")</f>
        <v/>
      </c>
      <c r="D881" s="23"/>
      <c r="E881" s="5" t="str">
        <f t="array" ref="E881">IF(W881=1,INDEX('Input Kegiatan'!B$2:B905,MATCH($D881,'Input Kegiatan'!$A$2:$A905,0)),"")</f>
        <v/>
      </c>
      <c r="F881" s="5" t="str">
        <f t="array" ref="F881">IF(W881=1,INDEX('Input Kegiatan'!D$2:D905,MATCH($D881,'Input Kegiatan'!$A$2:$A905,0)),"")</f>
        <v/>
      </c>
      <c r="G881" s="5" t="str">
        <f t="array" ref="G881">IF(W881=1,INDEX('Input Kegiatan'!E$2:E905,MATCH($D881,'Input Kegiatan'!$A$2:$A905,0)),"")</f>
        <v/>
      </c>
      <c r="H881" s="5" t="str">
        <f t="array" ref="H881">IF(W881=1,INDEX(Honor!$H$2:$H905,MATCH($D881&amp;"-"&amp;R881,Honor!$K$2:$K905,0)),"")</f>
        <v/>
      </c>
      <c r="I881" s="8" t="str">
        <f>IF(W881=1,SUMIFS(Honor!$I$2:$I905,Honor!$K$2:$K905,$D881&amp;"-"&amp;R881),"")</f>
        <v/>
      </c>
      <c r="J881" s="9" t="str">
        <f t="shared" si="6"/>
        <v/>
      </c>
      <c r="K881" s="10" t="str">
        <f t="shared" si="0"/>
        <v/>
      </c>
      <c r="L881" s="10" t="str">
        <f t="shared" si="1"/>
        <v/>
      </c>
      <c r="M881" s="10" t="str">
        <f>IF(W881=1,IF(AND(U881&lt;2,INT(V881)&lt;='Batasan Honor'!$B$2),1,0),"")</f>
        <v/>
      </c>
      <c r="O881" s="10" t="str">
        <f t="shared" si="2"/>
        <v/>
      </c>
      <c r="P881" s="10" t="str">
        <f t="shared" si="3"/>
        <v/>
      </c>
      <c r="R881" s="23"/>
      <c r="S881" s="10" t="str">
        <f t="shared" si="4"/>
        <v/>
      </c>
      <c r="U881" s="10" t="str">
        <f ca="1">IFERROR(__xludf.DUMMYFUNCTION("if(W881=1,COUNTIFS(FILTER($H$2:$H905,$H$2:$H905=""OB"",$S$2:$S905=S881),""OB""),"""")"),"")</f>
        <v/>
      </c>
      <c r="V881" s="10" t="str">
        <f ca="1">IFERROR(__xludf.DUMMYFUNCTION("IF(OR(ISNA(SUM(FILTER($K$2:$K905,$A$2:$A905=A881,$S$2:$S905=S881,$H$2:$H905&lt;&gt;""OB""))),W881&lt;&gt;1),"""",SUM(FILTER($K$2:$K905,$A$2:$A905=A881,$S$2:$S905=S881,$H$2:$H905&lt;&gt;""OB"")))"),"")</f>
        <v/>
      </c>
      <c r="W881" s="10" t="str">
        <f t="shared" si="5"/>
        <v/>
      </c>
    </row>
    <row r="882" spans="1:23" ht="12.5">
      <c r="A882" s="23"/>
      <c r="B882" s="5" t="str">
        <f t="array" ref="B882">IF(W882=1,INDEX('Database Mitra'!$H$2:$H905,MATCH(A882,'Database Mitra'!AK$2:AK905,0)),"")</f>
        <v/>
      </c>
      <c r="C882" s="5" t="str">
        <f t="array" ref="C882">IF(W882=1,INDEX('Database Mitra'!$E$2:$E905,MATCH(A882,'Database Mitra'!AK$2:AK905,0)),"")</f>
        <v/>
      </c>
      <c r="D882" s="23"/>
      <c r="E882" s="5" t="str">
        <f t="array" ref="E882">IF(W882=1,INDEX('Input Kegiatan'!B$2:B905,MATCH($D882,'Input Kegiatan'!$A$2:$A905,0)),"")</f>
        <v/>
      </c>
      <c r="F882" s="5" t="str">
        <f t="array" ref="F882">IF(W882=1,INDEX('Input Kegiatan'!D$2:D905,MATCH($D882,'Input Kegiatan'!$A$2:$A905,0)),"")</f>
        <v/>
      </c>
      <c r="G882" s="5" t="str">
        <f t="array" ref="G882">IF(W882=1,INDEX('Input Kegiatan'!E$2:E905,MATCH($D882,'Input Kegiatan'!$A$2:$A905,0)),"")</f>
        <v/>
      </c>
      <c r="H882" s="5" t="str">
        <f t="array" ref="H882">IF(W882=1,INDEX(Honor!$H$2:$H905,MATCH($D882&amp;"-"&amp;R882,Honor!$K$2:$K905,0)),"")</f>
        <v/>
      </c>
      <c r="I882" s="8" t="str">
        <f>IF(W882=1,SUMIFS(Honor!$I$2:$I905,Honor!$K$2:$K905,$D882&amp;"-"&amp;R882),"")</f>
        <v/>
      </c>
      <c r="J882" s="9" t="str">
        <f t="shared" si="6"/>
        <v/>
      </c>
      <c r="K882" s="10" t="str">
        <f t="shared" si="0"/>
        <v/>
      </c>
      <c r="L882" s="10" t="str">
        <f t="shared" si="1"/>
        <v/>
      </c>
      <c r="M882" s="10" t="str">
        <f>IF(W882=1,IF(AND(U882&lt;2,INT(V882)&lt;='Batasan Honor'!$B$2),1,0),"")</f>
        <v/>
      </c>
      <c r="O882" s="10" t="str">
        <f t="shared" si="2"/>
        <v/>
      </c>
      <c r="P882" s="10" t="str">
        <f t="shared" si="3"/>
        <v/>
      </c>
      <c r="R882" s="23"/>
      <c r="S882" s="10" t="str">
        <f t="shared" si="4"/>
        <v/>
      </c>
      <c r="U882" s="10" t="str">
        <f ca="1">IFERROR(__xludf.DUMMYFUNCTION("if(W882=1,COUNTIFS(FILTER($H$2:$H905,$H$2:$H905=""OB"",$S$2:$S905=S882),""OB""),"""")"),"")</f>
        <v/>
      </c>
      <c r="V882" s="10" t="str">
        <f ca="1">IFERROR(__xludf.DUMMYFUNCTION("IF(OR(ISNA(SUM(FILTER($K$2:$K905,$A$2:$A905=A882,$S$2:$S905=S882,$H$2:$H905&lt;&gt;""OB""))),W882&lt;&gt;1),"""",SUM(FILTER($K$2:$K905,$A$2:$A905=A882,$S$2:$S905=S882,$H$2:$H905&lt;&gt;""OB"")))"),"")</f>
        <v/>
      </c>
      <c r="W882" s="10" t="str">
        <f t="shared" si="5"/>
        <v/>
      </c>
    </row>
    <row r="883" spans="1:23" ht="12.5">
      <c r="A883" s="23"/>
      <c r="B883" s="5" t="str">
        <f t="array" ref="B883">IF(W883=1,INDEX('Database Mitra'!$H$2:$H905,MATCH(A883,'Database Mitra'!AK$2:AK905,0)),"")</f>
        <v/>
      </c>
      <c r="C883" s="5" t="str">
        <f t="array" ref="C883">IF(W883=1,INDEX('Database Mitra'!$E$2:$E905,MATCH(A883,'Database Mitra'!AK$2:AK905,0)),"")</f>
        <v/>
      </c>
      <c r="D883" s="23"/>
      <c r="E883" s="5" t="str">
        <f t="array" ref="E883">IF(W883=1,INDEX('Input Kegiatan'!B$2:B905,MATCH($D883,'Input Kegiatan'!$A$2:$A905,0)),"")</f>
        <v/>
      </c>
      <c r="F883" s="5" t="str">
        <f t="array" ref="F883">IF(W883=1,INDEX('Input Kegiatan'!D$2:D905,MATCH($D883,'Input Kegiatan'!$A$2:$A905,0)),"")</f>
        <v/>
      </c>
      <c r="G883" s="5" t="str">
        <f t="array" ref="G883">IF(W883=1,INDEX('Input Kegiatan'!E$2:E905,MATCH($D883,'Input Kegiatan'!$A$2:$A905,0)),"")</f>
        <v/>
      </c>
      <c r="H883" s="5" t="str">
        <f t="array" ref="H883">IF(W883=1,INDEX(Honor!$H$2:$H905,MATCH($D883&amp;"-"&amp;R883,Honor!$K$2:$K905,0)),"")</f>
        <v/>
      </c>
      <c r="I883" s="8" t="str">
        <f>IF(W883=1,SUMIFS(Honor!$I$2:$I905,Honor!$K$2:$K905,$D883&amp;"-"&amp;R883),"")</f>
        <v/>
      </c>
      <c r="J883" s="9" t="str">
        <f t="shared" si="6"/>
        <v/>
      </c>
      <c r="K883" s="10" t="str">
        <f t="shared" si="0"/>
        <v/>
      </c>
      <c r="L883" s="10" t="str">
        <f t="shared" si="1"/>
        <v/>
      </c>
      <c r="M883" s="10" t="str">
        <f>IF(W883=1,IF(AND(U883&lt;2,INT(V883)&lt;='Batasan Honor'!$B$2),1,0),"")</f>
        <v/>
      </c>
      <c r="O883" s="10" t="str">
        <f t="shared" si="2"/>
        <v/>
      </c>
      <c r="P883" s="10" t="str">
        <f t="shared" si="3"/>
        <v/>
      </c>
      <c r="R883" s="23"/>
      <c r="S883" s="10" t="str">
        <f t="shared" si="4"/>
        <v/>
      </c>
      <c r="U883" s="10" t="str">
        <f ca="1">IFERROR(__xludf.DUMMYFUNCTION("if(W883=1,COUNTIFS(FILTER($H$2:$H905,$H$2:$H905=""OB"",$S$2:$S905=S883),""OB""),"""")"),"")</f>
        <v/>
      </c>
      <c r="V883" s="10" t="str">
        <f ca="1">IFERROR(__xludf.DUMMYFUNCTION("IF(OR(ISNA(SUM(FILTER($K$2:$K905,$A$2:$A905=A883,$S$2:$S905=S883,$H$2:$H905&lt;&gt;""OB""))),W883&lt;&gt;1),"""",SUM(FILTER($K$2:$K905,$A$2:$A905=A883,$S$2:$S905=S883,$H$2:$H905&lt;&gt;""OB"")))"),"")</f>
        <v/>
      </c>
      <c r="W883" s="10" t="str">
        <f t="shared" si="5"/>
        <v/>
      </c>
    </row>
    <row r="884" spans="1:23" ht="12.5">
      <c r="A884" s="23"/>
      <c r="B884" s="5" t="str">
        <f t="array" ref="B884">IF(W884=1,INDEX('Database Mitra'!$H$2:$H905,MATCH(A884,'Database Mitra'!AK$2:AK905,0)),"")</f>
        <v/>
      </c>
      <c r="C884" s="5" t="str">
        <f t="array" ref="C884">IF(W884=1,INDEX('Database Mitra'!$E$2:$E905,MATCH(A884,'Database Mitra'!AK$2:AK905,0)),"")</f>
        <v/>
      </c>
      <c r="D884" s="23"/>
      <c r="E884" s="5" t="str">
        <f t="array" ref="E884">IF(W884=1,INDEX('Input Kegiatan'!B$2:B905,MATCH($D884,'Input Kegiatan'!$A$2:$A905,0)),"")</f>
        <v/>
      </c>
      <c r="F884" s="5" t="str">
        <f t="array" ref="F884">IF(W884=1,INDEX('Input Kegiatan'!D$2:D905,MATCH($D884,'Input Kegiatan'!$A$2:$A905,0)),"")</f>
        <v/>
      </c>
      <c r="G884" s="5" t="str">
        <f t="array" ref="G884">IF(W884=1,INDEX('Input Kegiatan'!E$2:E905,MATCH($D884,'Input Kegiatan'!$A$2:$A905,0)),"")</f>
        <v/>
      </c>
      <c r="H884" s="5" t="str">
        <f t="array" ref="H884">IF(W884=1,INDEX(Honor!$H$2:$H905,MATCH($D884&amp;"-"&amp;R884,Honor!$K$2:$K905,0)),"")</f>
        <v/>
      </c>
      <c r="I884" s="8" t="str">
        <f>IF(W884=1,SUMIFS(Honor!$I$2:$I905,Honor!$K$2:$K905,$D884&amp;"-"&amp;R884),"")</f>
        <v/>
      </c>
      <c r="J884" s="9" t="str">
        <f t="shared" si="6"/>
        <v/>
      </c>
      <c r="K884" s="10" t="str">
        <f t="shared" si="0"/>
        <v/>
      </c>
      <c r="L884" s="10" t="str">
        <f t="shared" si="1"/>
        <v/>
      </c>
      <c r="M884" s="10" t="str">
        <f>IF(W884=1,IF(AND(U884&lt;2,INT(V884)&lt;='Batasan Honor'!$B$2),1,0),"")</f>
        <v/>
      </c>
      <c r="O884" s="10" t="str">
        <f t="shared" si="2"/>
        <v/>
      </c>
      <c r="P884" s="10" t="str">
        <f t="shared" si="3"/>
        <v/>
      </c>
      <c r="R884" s="23"/>
      <c r="S884" s="10" t="str">
        <f t="shared" si="4"/>
        <v/>
      </c>
      <c r="U884" s="10" t="str">
        <f ca="1">IFERROR(__xludf.DUMMYFUNCTION("if(W884=1,COUNTIFS(FILTER($H$2:$H905,$H$2:$H905=""OB"",$S$2:$S905=S884),""OB""),"""")"),"")</f>
        <v/>
      </c>
      <c r="V884" s="10" t="str">
        <f ca="1">IFERROR(__xludf.DUMMYFUNCTION("IF(OR(ISNA(SUM(FILTER($K$2:$K905,$A$2:$A905=A884,$S$2:$S905=S884,$H$2:$H905&lt;&gt;""OB""))),W884&lt;&gt;1),"""",SUM(FILTER($K$2:$K905,$A$2:$A905=A884,$S$2:$S905=S884,$H$2:$H905&lt;&gt;""OB"")))"),"")</f>
        <v/>
      </c>
      <c r="W884" s="10" t="str">
        <f t="shared" si="5"/>
        <v/>
      </c>
    </row>
    <row r="885" spans="1:23" ht="12.5">
      <c r="A885" s="23"/>
      <c r="B885" s="5" t="str">
        <f t="array" ref="B885">IF(W885=1,INDEX('Database Mitra'!$H$2:$H905,MATCH(A885,'Database Mitra'!AK$2:AK905,0)),"")</f>
        <v/>
      </c>
      <c r="C885" s="5" t="str">
        <f t="array" ref="C885">IF(W885=1,INDEX('Database Mitra'!$E$2:$E905,MATCH(A885,'Database Mitra'!AK$2:AK905,0)),"")</f>
        <v/>
      </c>
      <c r="D885" s="23"/>
      <c r="E885" s="5" t="str">
        <f t="array" ref="E885">IF(W885=1,INDEX('Input Kegiatan'!B$2:B905,MATCH($D885,'Input Kegiatan'!$A$2:$A905,0)),"")</f>
        <v/>
      </c>
      <c r="F885" s="5" t="str">
        <f t="array" ref="F885">IF(W885=1,INDEX('Input Kegiatan'!D$2:D905,MATCH($D885,'Input Kegiatan'!$A$2:$A905,0)),"")</f>
        <v/>
      </c>
      <c r="G885" s="5" t="str">
        <f t="array" ref="G885">IF(W885=1,INDEX('Input Kegiatan'!E$2:E905,MATCH($D885,'Input Kegiatan'!$A$2:$A905,0)),"")</f>
        <v/>
      </c>
      <c r="H885" s="5" t="str">
        <f t="array" ref="H885">IF(W885=1,INDEX(Honor!$H$2:$H905,MATCH($D885&amp;"-"&amp;R885,Honor!$K$2:$K905,0)),"")</f>
        <v/>
      </c>
      <c r="I885" s="8" t="str">
        <f>IF(W885=1,SUMIFS(Honor!$I$2:$I905,Honor!$K$2:$K905,$D885&amp;"-"&amp;R885),"")</f>
        <v/>
      </c>
      <c r="J885" s="9" t="str">
        <f t="shared" si="6"/>
        <v/>
      </c>
      <c r="K885" s="10" t="str">
        <f t="shared" si="0"/>
        <v/>
      </c>
      <c r="L885" s="10" t="str">
        <f t="shared" si="1"/>
        <v/>
      </c>
      <c r="M885" s="10" t="str">
        <f>IF(W885=1,IF(AND(U885&lt;2,INT(V885)&lt;='Batasan Honor'!$B$2),1,0),"")</f>
        <v/>
      </c>
      <c r="O885" s="10" t="str">
        <f t="shared" si="2"/>
        <v/>
      </c>
      <c r="P885" s="10" t="str">
        <f t="shared" si="3"/>
        <v/>
      </c>
      <c r="R885" s="23"/>
      <c r="S885" s="10" t="str">
        <f t="shared" si="4"/>
        <v/>
      </c>
      <c r="U885" s="10" t="str">
        <f ca="1">IFERROR(__xludf.DUMMYFUNCTION("if(W885=1,COUNTIFS(FILTER($H$2:$H905,$H$2:$H905=""OB"",$S$2:$S905=S885),""OB""),"""")"),"")</f>
        <v/>
      </c>
      <c r="V885" s="10" t="str">
        <f ca="1">IFERROR(__xludf.DUMMYFUNCTION("IF(OR(ISNA(SUM(FILTER($K$2:$K905,$A$2:$A905=A885,$S$2:$S905=S885,$H$2:$H905&lt;&gt;""OB""))),W885&lt;&gt;1),"""",SUM(FILTER($K$2:$K905,$A$2:$A905=A885,$S$2:$S905=S885,$H$2:$H905&lt;&gt;""OB"")))"),"")</f>
        <v/>
      </c>
      <c r="W885" s="10" t="str">
        <f t="shared" si="5"/>
        <v/>
      </c>
    </row>
    <row r="886" spans="1:23" ht="12.5">
      <c r="A886" s="23"/>
      <c r="B886" s="5" t="str">
        <f t="array" ref="B886">IF(W886=1,INDEX('Database Mitra'!$H$2:$H905,MATCH(A886,'Database Mitra'!AK$2:AK905,0)),"")</f>
        <v/>
      </c>
      <c r="C886" s="5" t="str">
        <f t="array" ref="C886">IF(W886=1,INDEX('Database Mitra'!$E$2:$E905,MATCH(A886,'Database Mitra'!AK$2:AK905,0)),"")</f>
        <v/>
      </c>
      <c r="D886" s="23"/>
      <c r="E886" s="5" t="str">
        <f t="array" ref="E886">IF(W886=1,INDEX('Input Kegiatan'!B$2:B905,MATCH($D886,'Input Kegiatan'!$A$2:$A905,0)),"")</f>
        <v/>
      </c>
      <c r="F886" s="5" t="str">
        <f t="array" ref="F886">IF(W886=1,INDEX('Input Kegiatan'!D$2:D905,MATCH($D886,'Input Kegiatan'!$A$2:$A905,0)),"")</f>
        <v/>
      </c>
      <c r="G886" s="5" t="str">
        <f t="array" ref="G886">IF(W886=1,INDEX('Input Kegiatan'!E$2:E905,MATCH($D886,'Input Kegiatan'!$A$2:$A905,0)),"")</f>
        <v/>
      </c>
      <c r="H886" s="5" t="str">
        <f t="array" ref="H886">IF(W886=1,INDEX(Honor!$H$2:$H905,MATCH($D886&amp;"-"&amp;R886,Honor!$K$2:$K905,0)),"")</f>
        <v/>
      </c>
      <c r="I886" s="8" t="str">
        <f>IF(W886=1,SUMIFS(Honor!$I$2:$I905,Honor!$K$2:$K905,$D886&amp;"-"&amp;R886),"")</f>
        <v/>
      </c>
      <c r="J886" s="9" t="str">
        <f t="shared" si="6"/>
        <v/>
      </c>
      <c r="K886" s="10" t="str">
        <f t="shared" si="0"/>
        <v/>
      </c>
      <c r="L886" s="10" t="str">
        <f t="shared" si="1"/>
        <v/>
      </c>
      <c r="M886" s="10" t="str">
        <f>IF(W886=1,IF(AND(U886&lt;2,INT(V886)&lt;='Batasan Honor'!$B$2),1,0),"")</f>
        <v/>
      </c>
      <c r="O886" s="10" t="str">
        <f t="shared" si="2"/>
        <v/>
      </c>
      <c r="P886" s="10" t="str">
        <f t="shared" si="3"/>
        <v/>
      </c>
      <c r="R886" s="23"/>
      <c r="S886" s="10" t="str">
        <f t="shared" si="4"/>
        <v/>
      </c>
      <c r="U886" s="10" t="str">
        <f ca="1">IFERROR(__xludf.DUMMYFUNCTION("if(W886=1,COUNTIFS(FILTER($H$2:$H905,$H$2:$H905=""OB"",$S$2:$S905=S886),""OB""),"""")"),"")</f>
        <v/>
      </c>
      <c r="V886" s="10" t="str">
        <f ca="1">IFERROR(__xludf.DUMMYFUNCTION("IF(OR(ISNA(SUM(FILTER($K$2:$K905,$A$2:$A905=A886,$S$2:$S905=S886,$H$2:$H905&lt;&gt;""OB""))),W886&lt;&gt;1),"""",SUM(FILTER($K$2:$K905,$A$2:$A905=A886,$S$2:$S905=S886,$H$2:$H905&lt;&gt;""OB"")))"),"")</f>
        <v/>
      </c>
      <c r="W886" s="10" t="str">
        <f t="shared" si="5"/>
        <v/>
      </c>
    </row>
    <row r="887" spans="1:23" ht="12.5">
      <c r="A887" s="23"/>
      <c r="B887" s="5" t="str">
        <f t="array" ref="B887">IF(W887=1,INDEX('Database Mitra'!$H$2:$H905,MATCH(A887,'Database Mitra'!AK$2:AK905,0)),"")</f>
        <v/>
      </c>
      <c r="C887" s="5" t="str">
        <f t="array" ref="C887">IF(W887=1,INDEX('Database Mitra'!$E$2:$E905,MATCH(A887,'Database Mitra'!AK$2:AK905,0)),"")</f>
        <v/>
      </c>
      <c r="D887" s="23"/>
      <c r="E887" s="5" t="str">
        <f t="array" ref="E887">IF(W887=1,INDEX('Input Kegiatan'!B$2:B905,MATCH($D887,'Input Kegiatan'!$A$2:$A905,0)),"")</f>
        <v/>
      </c>
      <c r="F887" s="5" t="str">
        <f t="array" ref="F887">IF(W887=1,INDEX('Input Kegiatan'!D$2:D905,MATCH($D887,'Input Kegiatan'!$A$2:$A905,0)),"")</f>
        <v/>
      </c>
      <c r="G887" s="5" t="str">
        <f t="array" ref="G887">IF(W887=1,INDEX('Input Kegiatan'!E$2:E905,MATCH($D887,'Input Kegiatan'!$A$2:$A905,0)),"")</f>
        <v/>
      </c>
      <c r="H887" s="5" t="str">
        <f t="array" ref="H887">IF(W887=1,INDEX(Honor!$H$2:$H905,MATCH($D887&amp;"-"&amp;R887,Honor!$K$2:$K905,0)),"")</f>
        <v/>
      </c>
      <c r="I887" s="8" t="str">
        <f>IF(W887=1,SUMIFS(Honor!$I$2:$I905,Honor!$K$2:$K905,$D887&amp;"-"&amp;R887),"")</f>
        <v/>
      </c>
      <c r="J887" s="9" t="str">
        <f t="shared" si="6"/>
        <v/>
      </c>
      <c r="K887" s="10" t="str">
        <f t="shared" si="0"/>
        <v/>
      </c>
      <c r="L887" s="10" t="str">
        <f t="shared" si="1"/>
        <v/>
      </c>
      <c r="M887" s="10" t="str">
        <f>IF(W887=1,IF(AND(U887&lt;2,INT(V887)&lt;='Batasan Honor'!$B$2),1,0),"")</f>
        <v/>
      </c>
      <c r="O887" s="10" t="str">
        <f t="shared" si="2"/>
        <v/>
      </c>
      <c r="P887" s="10" t="str">
        <f t="shared" si="3"/>
        <v/>
      </c>
      <c r="R887" s="23"/>
      <c r="S887" s="10" t="str">
        <f t="shared" si="4"/>
        <v/>
      </c>
      <c r="U887" s="10" t="str">
        <f ca="1">IFERROR(__xludf.DUMMYFUNCTION("if(W887=1,COUNTIFS(FILTER($H$2:$H905,$H$2:$H905=""OB"",$S$2:$S905=S887),""OB""),"""")"),"")</f>
        <v/>
      </c>
      <c r="V887" s="10" t="str">
        <f ca="1">IFERROR(__xludf.DUMMYFUNCTION("IF(OR(ISNA(SUM(FILTER($K$2:$K905,$A$2:$A905=A887,$S$2:$S905=S887,$H$2:$H905&lt;&gt;""OB""))),W887&lt;&gt;1),"""",SUM(FILTER($K$2:$K905,$A$2:$A905=A887,$S$2:$S905=S887,$H$2:$H905&lt;&gt;""OB"")))"),"")</f>
        <v/>
      </c>
      <c r="W887" s="10" t="str">
        <f t="shared" si="5"/>
        <v/>
      </c>
    </row>
    <row r="888" spans="1:23" ht="12.5">
      <c r="A888" s="23"/>
      <c r="B888" s="5" t="str">
        <f t="array" ref="B888">IF(W888=1,INDEX('Database Mitra'!$H$2:$H905,MATCH(A888,'Database Mitra'!AK$2:AK905,0)),"")</f>
        <v/>
      </c>
      <c r="C888" s="5" t="str">
        <f t="array" ref="C888">IF(W888=1,INDEX('Database Mitra'!$E$2:$E905,MATCH(A888,'Database Mitra'!AK$2:AK905,0)),"")</f>
        <v/>
      </c>
      <c r="D888" s="23"/>
      <c r="E888" s="5" t="str">
        <f t="array" ref="E888">IF(W888=1,INDEX('Input Kegiatan'!B$2:B905,MATCH($D888,'Input Kegiatan'!$A$2:$A905,0)),"")</f>
        <v/>
      </c>
      <c r="F888" s="5" t="str">
        <f t="array" ref="F888">IF(W888=1,INDEX('Input Kegiatan'!D$2:D905,MATCH($D888,'Input Kegiatan'!$A$2:$A905,0)),"")</f>
        <v/>
      </c>
      <c r="G888" s="5" t="str">
        <f t="array" ref="G888">IF(W888=1,INDEX('Input Kegiatan'!E$2:E905,MATCH($D888,'Input Kegiatan'!$A$2:$A905,0)),"")</f>
        <v/>
      </c>
      <c r="H888" s="5" t="str">
        <f t="array" ref="H888">IF(W888=1,INDEX(Honor!$H$2:$H905,MATCH($D888&amp;"-"&amp;R888,Honor!$K$2:$K905,0)),"")</f>
        <v/>
      </c>
      <c r="I888" s="8" t="str">
        <f>IF(W888=1,SUMIFS(Honor!$I$2:$I905,Honor!$K$2:$K905,$D888&amp;"-"&amp;R888),"")</f>
        <v/>
      </c>
      <c r="J888" s="9" t="str">
        <f t="shared" si="6"/>
        <v/>
      </c>
      <c r="K888" s="10" t="str">
        <f t="shared" si="0"/>
        <v/>
      </c>
      <c r="L888" s="10" t="str">
        <f t="shared" si="1"/>
        <v/>
      </c>
      <c r="M888" s="10" t="str">
        <f>IF(W888=1,IF(AND(U888&lt;2,INT(V888)&lt;='Batasan Honor'!$B$2),1,0),"")</f>
        <v/>
      </c>
      <c r="O888" s="10" t="str">
        <f t="shared" si="2"/>
        <v/>
      </c>
      <c r="P888" s="10" t="str">
        <f t="shared" si="3"/>
        <v/>
      </c>
      <c r="R888" s="23"/>
      <c r="S888" s="10" t="str">
        <f t="shared" si="4"/>
        <v/>
      </c>
      <c r="U888" s="10" t="str">
        <f ca="1">IFERROR(__xludf.DUMMYFUNCTION("if(W888=1,COUNTIFS(FILTER($H$2:$H905,$H$2:$H905=""OB"",$S$2:$S905=S888),""OB""),"""")"),"")</f>
        <v/>
      </c>
      <c r="V888" s="10" t="str">
        <f ca="1">IFERROR(__xludf.DUMMYFUNCTION("IF(OR(ISNA(SUM(FILTER($K$2:$K905,$A$2:$A905=A888,$S$2:$S905=S888,$H$2:$H905&lt;&gt;""OB""))),W888&lt;&gt;1),"""",SUM(FILTER($K$2:$K905,$A$2:$A905=A888,$S$2:$S905=S888,$H$2:$H905&lt;&gt;""OB"")))"),"")</f>
        <v/>
      </c>
      <c r="W888" s="10" t="str">
        <f t="shared" si="5"/>
        <v/>
      </c>
    </row>
    <row r="889" spans="1:23" ht="12.5">
      <c r="A889" s="23"/>
      <c r="B889" s="5" t="str">
        <f t="array" ref="B889">IF(W889=1,INDEX('Database Mitra'!$H$2:$H905,MATCH(A889,'Database Mitra'!AK$2:AK905,0)),"")</f>
        <v/>
      </c>
      <c r="C889" s="5" t="str">
        <f t="array" ref="C889">IF(W889=1,INDEX('Database Mitra'!$E$2:$E905,MATCH(A889,'Database Mitra'!AK$2:AK905,0)),"")</f>
        <v/>
      </c>
      <c r="D889" s="23"/>
      <c r="E889" s="5" t="str">
        <f t="array" ref="E889">IF(W889=1,INDEX('Input Kegiatan'!B$2:B905,MATCH($D889,'Input Kegiatan'!$A$2:$A905,0)),"")</f>
        <v/>
      </c>
      <c r="F889" s="5" t="str">
        <f t="array" ref="F889">IF(W889=1,INDEX('Input Kegiatan'!D$2:D905,MATCH($D889,'Input Kegiatan'!$A$2:$A905,0)),"")</f>
        <v/>
      </c>
      <c r="G889" s="5" t="str">
        <f t="array" ref="G889">IF(W889=1,INDEX('Input Kegiatan'!E$2:E905,MATCH($D889,'Input Kegiatan'!$A$2:$A905,0)),"")</f>
        <v/>
      </c>
      <c r="H889" s="5" t="str">
        <f t="array" ref="H889">IF(W889=1,INDEX(Honor!$H$2:$H905,MATCH($D889&amp;"-"&amp;R889,Honor!$K$2:$K905,0)),"")</f>
        <v/>
      </c>
      <c r="I889" s="8" t="str">
        <f>IF(W889=1,SUMIFS(Honor!$I$2:$I905,Honor!$K$2:$K905,$D889&amp;"-"&amp;R889),"")</f>
        <v/>
      </c>
      <c r="J889" s="9" t="str">
        <f t="shared" si="6"/>
        <v/>
      </c>
      <c r="K889" s="10" t="str">
        <f t="shared" si="0"/>
        <v/>
      </c>
      <c r="L889" s="10" t="str">
        <f t="shared" si="1"/>
        <v/>
      </c>
      <c r="M889" s="10" t="str">
        <f>IF(W889=1,IF(AND(U889&lt;2,INT(V889)&lt;='Batasan Honor'!$B$2),1,0),"")</f>
        <v/>
      </c>
      <c r="O889" s="10" t="str">
        <f t="shared" si="2"/>
        <v/>
      </c>
      <c r="P889" s="10" t="str">
        <f t="shared" si="3"/>
        <v/>
      </c>
      <c r="R889" s="23"/>
      <c r="S889" s="10" t="str">
        <f t="shared" si="4"/>
        <v/>
      </c>
      <c r="U889" s="10" t="str">
        <f ca="1">IFERROR(__xludf.DUMMYFUNCTION("if(W889=1,COUNTIFS(FILTER($H$2:$H905,$H$2:$H905=""OB"",$S$2:$S905=S889),""OB""),"""")"),"")</f>
        <v/>
      </c>
      <c r="V889" s="10" t="str">
        <f ca="1">IFERROR(__xludf.DUMMYFUNCTION("IF(OR(ISNA(SUM(FILTER($K$2:$K905,$A$2:$A905=A889,$S$2:$S905=S889,$H$2:$H905&lt;&gt;""OB""))),W889&lt;&gt;1),"""",SUM(FILTER($K$2:$K905,$A$2:$A905=A889,$S$2:$S905=S889,$H$2:$H905&lt;&gt;""OB"")))"),"")</f>
        <v/>
      </c>
      <c r="W889" s="10" t="str">
        <f t="shared" si="5"/>
        <v/>
      </c>
    </row>
    <row r="890" spans="1:23" ht="12.5">
      <c r="A890" s="23"/>
      <c r="B890" s="5" t="str">
        <f t="array" ref="B890">IF(W890=1,INDEX('Database Mitra'!$H$2:$H905,MATCH(A890,'Database Mitra'!AK$2:AK905,0)),"")</f>
        <v/>
      </c>
      <c r="C890" s="5" t="str">
        <f t="array" ref="C890">IF(W890=1,INDEX('Database Mitra'!$E$2:$E905,MATCH(A890,'Database Mitra'!AK$2:AK905,0)),"")</f>
        <v/>
      </c>
      <c r="D890" s="23"/>
      <c r="E890" s="5" t="str">
        <f t="array" ref="E890">IF(W890=1,INDEX('Input Kegiatan'!B$2:B905,MATCH($D890,'Input Kegiatan'!$A$2:$A905,0)),"")</f>
        <v/>
      </c>
      <c r="F890" s="5" t="str">
        <f t="array" ref="F890">IF(W890=1,INDEX('Input Kegiatan'!D$2:D905,MATCH($D890,'Input Kegiatan'!$A$2:$A905,0)),"")</f>
        <v/>
      </c>
      <c r="G890" s="5" t="str">
        <f t="array" ref="G890">IF(W890=1,INDEX('Input Kegiatan'!E$2:E905,MATCH($D890,'Input Kegiatan'!$A$2:$A905,0)),"")</f>
        <v/>
      </c>
      <c r="H890" s="5" t="str">
        <f t="array" ref="H890">IF(W890=1,INDEX(Honor!$H$2:$H905,MATCH($D890&amp;"-"&amp;R890,Honor!$K$2:$K905,0)),"")</f>
        <v/>
      </c>
      <c r="I890" s="8" t="str">
        <f>IF(W890=1,SUMIFS(Honor!$I$2:$I905,Honor!$K$2:$K905,$D890&amp;"-"&amp;R890),"")</f>
        <v/>
      </c>
      <c r="J890" s="9" t="str">
        <f t="shared" si="6"/>
        <v/>
      </c>
      <c r="K890" s="10" t="str">
        <f t="shared" si="0"/>
        <v/>
      </c>
      <c r="L890" s="10" t="str">
        <f t="shared" si="1"/>
        <v/>
      </c>
      <c r="M890" s="10" t="str">
        <f>IF(W890=1,IF(AND(U890&lt;2,INT(V890)&lt;='Batasan Honor'!$B$2),1,0),"")</f>
        <v/>
      </c>
      <c r="O890" s="10" t="str">
        <f t="shared" si="2"/>
        <v/>
      </c>
      <c r="P890" s="10" t="str">
        <f t="shared" si="3"/>
        <v/>
      </c>
      <c r="R890" s="23"/>
      <c r="S890" s="10" t="str">
        <f t="shared" si="4"/>
        <v/>
      </c>
      <c r="U890" s="10" t="str">
        <f ca="1">IFERROR(__xludf.DUMMYFUNCTION("if(W890=1,COUNTIFS(FILTER($H$2:$H905,$H$2:$H905=""OB"",$S$2:$S905=S890),""OB""),"""")"),"")</f>
        <v/>
      </c>
      <c r="V890" s="10" t="str">
        <f ca="1">IFERROR(__xludf.DUMMYFUNCTION("IF(OR(ISNA(SUM(FILTER($K$2:$K905,$A$2:$A905=A890,$S$2:$S905=S890,$H$2:$H905&lt;&gt;""OB""))),W890&lt;&gt;1),"""",SUM(FILTER($K$2:$K905,$A$2:$A905=A890,$S$2:$S905=S890,$H$2:$H905&lt;&gt;""OB"")))"),"")</f>
        <v/>
      </c>
      <c r="W890" s="10" t="str">
        <f t="shared" si="5"/>
        <v/>
      </c>
    </row>
    <row r="891" spans="1:23" ht="12.5">
      <c r="A891" s="23"/>
      <c r="B891" s="5" t="str">
        <f t="array" ref="B891">IF(W891=1,INDEX('Database Mitra'!$H$2:$H905,MATCH(A891,'Database Mitra'!AK$2:AK905,0)),"")</f>
        <v/>
      </c>
      <c r="C891" s="5" t="str">
        <f t="array" ref="C891">IF(W891=1,INDEX('Database Mitra'!$E$2:$E905,MATCH(A891,'Database Mitra'!AK$2:AK905,0)),"")</f>
        <v/>
      </c>
      <c r="D891" s="23"/>
      <c r="E891" s="5" t="str">
        <f t="array" ref="E891">IF(W891=1,INDEX('Input Kegiatan'!B$2:B905,MATCH($D891,'Input Kegiatan'!$A$2:$A905,0)),"")</f>
        <v/>
      </c>
      <c r="F891" s="5" t="str">
        <f t="array" ref="F891">IF(W891=1,INDEX('Input Kegiatan'!D$2:D905,MATCH($D891,'Input Kegiatan'!$A$2:$A905,0)),"")</f>
        <v/>
      </c>
      <c r="G891" s="5" t="str">
        <f t="array" ref="G891">IF(W891=1,INDEX('Input Kegiatan'!E$2:E905,MATCH($D891,'Input Kegiatan'!$A$2:$A905,0)),"")</f>
        <v/>
      </c>
      <c r="H891" s="5" t="str">
        <f t="array" ref="H891">IF(W891=1,INDEX(Honor!$H$2:$H905,MATCH($D891&amp;"-"&amp;R891,Honor!$K$2:$K905,0)),"")</f>
        <v/>
      </c>
      <c r="I891" s="8" t="str">
        <f>IF(W891=1,SUMIFS(Honor!$I$2:$I905,Honor!$K$2:$K905,$D891&amp;"-"&amp;R891),"")</f>
        <v/>
      </c>
      <c r="J891" s="9" t="str">
        <f t="shared" si="6"/>
        <v/>
      </c>
      <c r="K891" s="10" t="str">
        <f t="shared" si="0"/>
        <v/>
      </c>
      <c r="L891" s="10" t="str">
        <f t="shared" si="1"/>
        <v/>
      </c>
      <c r="M891" s="10" t="str">
        <f>IF(W891=1,IF(AND(U891&lt;2,INT(V891)&lt;='Batasan Honor'!$B$2),1,0),"")</f>
        <v/>
      </c>
      <c r="O891" s="10" t="str">
        <f t="shared" si="2"/>
        <v/>
      </c>
      <c r="P891" s="10" t="str">
        <f t="shared" si="3"/>
        <v/>
      </c>
      <c r="R891" s="23"/>
      <c r="S891" s="10" t="str">
        <f t="shared" si="4"/>
        <v/>
      </c>
      <c r="U891" s="10" t="str">
        <f ca="1">IFERROR(__xludf.DUMMYFUNCTION("if(W891=1,COUNTIFS(FILTER($H$2:$H905,$H$2:$H905=""OB"",$S$2:$S905=S891),""OB""),"""")"),"")</f>
        <v/>
      </c>
      <c r="V891" s="10" t="str">
        <f ca="1">IFERROR(__xludf.DUMMYFUNCTION("IF(OR(ISNA(SUM(FILTER($K$2:$K905,$A$2:$A905=A891,$S$2:$S905=S891,$H$2:$H905&lt;&gt;""OB""))),W891&lt;&gt;1),"""",SUM(FILTER($K$2:$K905,$A$2:$A905=A891,$S$2:$S905=S891,$H$2:$H905&lt;&gt;""OB"")))"),"")</f>
        <v/>
      </c>
      <c r="W891" s="10" t="str">
        <f t="shared" si="5"/>
        <v/>
      </c>
    </row>
    <row r="892" spans="1:23" ht="12.5">
      <c r="A892" s="23"/>
      <c r="B892" s="5" t="str">
        <f t="array" ref="B892">IF(W892=1,INDEX('Database Mitra'!$H$2:$H905,MATCH(A892,'Database Mitra'!AK$2:AK905,0)),"")</f>
        <v/>
      </c>
      <c r="C892" s="5" t="str">
        <f t="array" ref="C892">IF(W892=1,INDEX('Database Mitra'!$E$2:$E905,MATCH(A892,'Database Mitra'!AK$2:AK905,0)),"")</f>
        <v/>
      </c>
      <c r="D892" s="23"/>
      <c r="E892" s="5" t="str">
        <f t="array" ref="E892">IF(W892=1,INDEX('Input Kegiatan'!B$2:B905,MATCH($D892,'Input Kegiatan'!$A$2:$A905,0)),"")</f>
        <v/>
      </c>
      <c r="F892" s="5" t="str">
        <f t="array" ref="F892">IF(W892=1,INDEX('Input Kegiatan'!D$2:D905,MATCH($D892,'Input Kegiatan'!$A$2:$A905,0)),"")</f>
        <v/>
      </c>
      <c r="G892" s="5" t="str">
        <f t="array" ref="G892">IF(W892=1,INDEX('Input Kegiatan'!E$2:E905,MATCH($D892,'Input Kegiatan'!$A$2:$A905,0)),"")</f>
        <v/>
      </c>
      <c r="H892" s="5" t="str">
        <f t="array" ref="H892">IF(W892=1,INDEX(Honor!$H$2:$H905,MATCH($D892&amp;"-"&amp;R892,Honor!$K$2:$K905,0)),"")</f>
        <v/>
      </c>
      <c r="I892" s="8" t="str">
        <f>IF(W892=1,SUMIFS(Honor!$I$2:$I905,Honor!$K$2:$K905,$D892&amp;"-"&amp;R892),"")</f>
        <v/>
      </c>
      <c r="J892" s="9" t="str">
        <f t="shared" si="6"/>
        <v/>
      </c>
      <c r="K892" s="10" t="str">
        <f t="shared" si="0"/>
        <v/>
      </c>
      <c r="L892" s="10" t="str">
        <f t="shared" si="1"/>
        <v/>
      </c>
      <c r="M892" s="10" t="str">
        <f>IF(W892=1,IF(AND(U892&lt;2,INT(V892)&lt;='Batasan Honor'!$B$2),1,0),"")</f>
        <v/>
      </c>
      <c r="O892" s="10" t="str">
        <f t="shared" si="2"/>
        <v/>
      </c>
      <c r="P892" s="10" t="str">
        <f t="shared" si="3"/>
        <v/>
      </c>
      <c r="R892" s="23"/>
      <c r="S892" s="10" t="str">
        <f t="shared" si="4"/>
        <v/>
      </c>
      <c r="U892" s="10" t="str">
        <f ca="1">IFERROR(__xludf.DUMMYFUNCTION("if(W892=1,COUNTIFS(FILTER($H$2:$H905,$H$2:$H905=""OB"",$S$2:$S905=S892),""OB""),"""")"),"")</f>
        <v/>
      </c>
      <c r="V892" s="10" t="str">
        <f ca="1">IFERROR(__xludf.DUMMYFUNCTION("IF(OR(ISNA(SUM(FILTER($K$2:$K905,$A$2:$A905=A892,$S$2:$S905=S892,$H$2:$H905&lt;&gt;""OB""))),W892&lt;&gt;1),"""",SUM(FILTER($K$2:$K905,$A$2:$A905=A892,$S$2:$S905=S892,$H$2:$H905&lt;&gt;""OB"")))"),"")</f>
        <v/>
      </c>
      <c r="W892" s="10" t="str">
        <f t="shared" si="5"/>
        <v/>
      </c>
    </row>
    <row r="893" spans="1:23" ht="12.5">
      <c r="A893" s="23"/>
      <c r="B893" s="5" t="str">
        <f t="array" ref="B893">IF(W893=1,INDEX('Database Mitra'!$H$2:$H905,MATCH(A893,'Database Mitra'!AK$2:AK905,0)),"")</f>
        <v/>
      </c>
      <c r="C893" s="5" t="str">
        <f t="array" ref="C893">IF(W893=1,INDEX('Database Mitra'!$E$2:$E905,MATCH(A893,'Database Mitra'!AK$2:AK905,0)),"")</f>
        <v/>
      </c>
      <c r="D893" s="23"/>
      <c r="E893" s="5" t="str">
        <f t="array" ref="E893">IF(W893=1,INDEX('Input Kegiatan'!B$2:B905,MATCH($D893,'Input Kegiatan'!$A$2:$A905,0)),"")</f>
        <v/>
      </c>
      <c r="F893" s="5" t="str">
        <f t="array" ref="F893">IF(W893=1,INDEX('Input Kegiatan'!D$2:D905,MATCH($D893,'Input Kegiatan'!$A$2:$A905,0)),"")</f>
        <v/>
      </c>
      <c r="G893" s="5" t="str">
        <f t="array" ref="G893">IF(W893=1,INDEX('Input Kegiatan'!E$2:E905,MATCH($D893,'Input Kegiatan'!$A$2:$A905,0)),"")</f>
        <v/>
      </c>
      <c r="H893" s="5" t="str">
        <f t="array" ref="H893">IF(W893=1,INDEX(Honor!$H$2:$H905,MATCH($D893&amp;"-"&amp;R893,Honor!$K$2:$K905,0)),"")</f>
        <v/>
      </c>
      <c r="I893" s="8" t="str">
        <f>IF(W893=1,SUMIFS(Honor!$I$2:$I905,Honor!$K$2:$K905,$D893&amp;"-"&amp;R893),"")</f>
        <v/>
      </c>
      <c r="J893" s="9" t="str">
        <f t="shared" si="6"/>
        <v/>
      </c>
      <c r="K893" s="10" t="str">
        <f t="shared" si="0"/>
        <v/>
      </c>
      <c r="L893" s="10" t="str">
        <f t="shared" si="1"/>
        <v/>
      </c>
      <c r="M893" s="10" t="str">
        <f>IF(W893=1,IF(AND(U893&lt;2,INT(V893)&lt;='Batasan Honor'!$B$2),1,0),"")</f>
        <v/>
      </c>
      <c r="O893" s="10" t="str">
        <f t="shared" si="2"/>
        <v/>
      </c>
      <c r="P893" s="10" t="str">
        <f t="shared" si="3"/>
        <v/>
      </c>
      <c r="R893" s="23"/>
      <c r="S893" s="10" t="str">
        <f t="shared" si="4"/>
        <v/>
      </c>
      <c r="U893" s="10" t="str">
        <f ca="1">IFERROR(__xludf.DUMMYFUNCTION("if(W893=1,COUNTIFS(FILTER($H$2:$H905,$H$2:$H905=""OB"",$S$2:$S905=S893),""OB""),"""")"),"")</f>
        <v/>
      </c>
      <c r="V893" s="10" t="str">
        <f ca="1">IFERROR(__xludf.DUMMYFUNCTION("IF(OR(ISNA(SUM(FILTER($K$2:$K905,$A$2:$A905=A893,$S$2:$S905=S893,$H$2:$H905&lt;&gt;""OB""))),W893&lt;&gt;1),"""",SUM(FILTER($K$2:$K905,$A$2:$A905=A893,$S$2:$S905=S893,$H$2:$H905&lt;&gt;""OB"")))"),"")</f>
        <v/>
      </c>
      <c r="W893" s="10" t="str">
        <f t="shared" si="5"/>
        <v/>
      </c>
    </row>
    <row r="894" spans="1:23" ht="12.5">
      <c r="A894" s="23"/>
      <c r="B894" s="5" t="str">
        <f t="array" ref="B894">IF(W894=1,INDEX('Database Mitra'!$H$2:$H905,MATCH(A894,'Database Mitra'!AK$2:AK905,0)),"")</f>
        <v/>
      </c>
      <c r="C894" s="5" t="str">
        <f t="array" ref="C894">IF(W894=1,INDEX('Database Mitra'!$E$2:$E905,MATCH(A894,'Database Mitra'!AK$2:AK905,0)),"")</f>
        <v/>
      </c>
      <c r="D894" s="23"/>
      <c r="E894" s="5" t="str">
        <f t="array" ref="E894">IF(W894=1,INDEX('Input Kegiatan'!B$2:B905,MATCH($D894,'Input Kegiatan'!$A$2:$A905,0)),"")</f>
        <v/>
      </c>
      <c r="F894" s="5" t="str">
        <f t="array" ref="F894">IF(W894=1,INDEX('Input Kegiatan'!D$2:D905,MATCH($D894,'Input Kegiatan'!$A$2:$A905,0)),"")</f>
        <v/>
      </c>
      <c r="G894" s="5" t="str">
        <f t="array" ref="G894">IF(W894=1,INDEX('Input Kegiatan'!E$2:E905,MATCH($D894,'Input Kegiatan'!$A$2:$A905,0)),"")</f>
        <v/>
      </c>
      <c r="H894" s="5" t="str">
        <f t="array" ref="H894">IF(W894=1,INDEX(Honor!$H$2:$H905,MATCH($D894&amp;"-"&amp;R894,Honor!$K$2:$K905,0)),"")</f>
        <v/>
      </c>
      <c r="I894" s="8" t="str">
        <f>IF(W894=1,SUMIFS(Honor!$I$2:$I905,Honor!$K$2:$K905,$D894&amp;"-"&amp;R894),"")</f>
        <v/>
      </c>
      <c r="J894" s="9" t="str">
        <f t="shared" si="6"/>
        <v/>
      </c>
      <c r="K894" s="10" t="str">
        <f t="shared" si="0"/>
        <v/>
      </c>
      <c r="L894" s="10" t="str">
        <f t="shared" si="1"/>
        <v/>
      </c>
      <c r="M894" s="10" t="str">
        <f>IF(W894=1,IF(AND(U894&lt;2,INT(V894)&lt;='Batasan Honor'!$B$2),1,0),"")</f>
        <v/>
      </c>
      <c r="O894" s="10" t="str">
        <f t="shared" si="2"/>
        <v/>
      </c>
      <c r="P894" s="10" t="str">
        <f t="shared" si="3"/>
        <v/>
      </c>
      <c r="R894" s="23"/>
      <c r="S894" s="10" t="str">
        <f t="shared" si="4"/>
        <v/>
      </c>
      <c r="U894" s="10" t="str">
        <f ca="1">IFERROR(__xludf.DUMMYFUNCTION("if(W894=1,COUNTIFS(FILTER($H$2:$H905,$H$2:$H905=""OB"",$S$2:$S905=S894),""OB""),"""")"),"")</f>
        <v/>
      </c>
      <c r="V894" s="10" t="str">
        <f ca="1">IFERROR(__xludf.DUMMYFUNCTION("IF(OR(ISNA(SUM(FILTER($K$2:$K905,$A$2:$A905=A894,$S$2:$S905=S894,$H$2:$H905&lt;&gt;""OB""))),W894&lt;&gt;1),"""",SUM(FILTER($K$2:$K905,$A$2:$A905=A894,$S$2:$S905=S894,$H$2:$H905&lt;&gt;""OB"")))"),"")</f>
        <v/>
      </c>
      <c r="W894" s="10" t="str">
        <f t="shared" si="5"/>
        <v/>
      </c>
    </row>
    <row r="895" spans="1:23" ht="12.5">
      <c r="A895" s="23"/>
      <c r="B895" s="5" t="str">
        <f t="array" ref="B895">IF(W895=1,INDEX('Database Mitra'!$H$2:$H905,MATCH(A895,'Database Mitra'!AK$2:AK905,0)),"")</f>
        <v/>
      </c>
      <c r="C895" s="5" t="str">
        <f t="array" ref="C895">IF(W895=1,INDEX('Database Mitra'!$E$2:$E905,MATCH(A895,'Database Mitra'!AK$2:AK905,0)),"")</f>
        <v/>
      </c>
      <c r="D895" s="23"/>
      <c r="E895" s="5" t="str">
        <f t="array" ref="E895">IF(W895=1,INDEX('Input Kegiatan'!B$2:B905,MATCH($D895,'Input Kegiatan'!$A$2:$A905,0)),"")</f>
        <v/>
      </c>
      <c r="F895" s="5" t="str">
        <f t="array" ref="F895">IF(W895=1,INDEX('Input Kegiatan'!D$2:D905,MATCH($D895,'Input Kegiatan'!$A$2:$A905,0)),"")</f>
        <v/>
      </c>
      <c r="G895" s="5" t="str">
        <f t="array" ref="G895">IF(W895=1,INDEX('Input Kegiatan'!E$2:E905,MATCH($D895,'Input Kegiatan'!$A$2:$A905,0)),"")</f>
        <v/>
      </c>
      <c r="H895" s="5" t="str">
        <f t="array" ref="H895">IF(W895=1,INDEX(Honor!$H$2:$H905,MATCH($D895&amp;"-"&amp;R895,Honor!$K$2:$K905,0)),"")</f>
        <v/>
      </c>
      <c r="I895" s="8" t="str">
        <f>IF(W895=1,SUMIFS(Honor!$I$2:$I905,Honor!$K$2:$K905,$D895&amp;"-"&amp;R895),"")</f>
        <v/>
      </c>
      <c r="J895" s="9" t="str">
        <f t="shared" si="6"/>
        <v/>
      </c>
      <c r="K895" s="10" t="str">
        <f t="shared" si="0"/>
        <v/>
      </c>
      <c r="L895" s="10" t="str">
        <f t="shared" si="1"/>
        <v/>
      </c>
      <c r="M895" s="10" t="str">
        <f>IF(W895=1,IF(AND(U895&lt;2,INT(V895)&lt;='Batasan Honor'!$B$2),1,0),"")</f>
        <v/>
      </c>
      <c r="O895" s="10" t="str">
        <f t="shared" si="2"/>
        <v/>
      </c>
      <c r="P895" s="10" t="str">
        <f t="shared" si="3"/>
        <v/>
      </c>
      <c r="R895" s="23"/>
      <c r="S895" s="10" t="str">
        <f t="shared" si="4"/>
        <v/>
      </c>
      <c r="U895" s="10" t="str">
        <f ca="1">IFERROR(__xludf.DUMMYFUNCTION("if(W895=1,COUNTIFS(FILTER($H$2:$H905,$H$2:$H905=""OB"",$S$2:$S905=S895),""OB""),"""")"),"")</f>
        <v/>
      </c>
      <c r="V895" s="10" t="str">
        <f ca="1">IFERROR(__xludf.DUMMYFUNCTION("IF(OR(ISNA(SUM(FILTER($K$2:$K905,$A$2:$A905=A895,$S$2:$S905=S895,$H$2:$H905&lt;&gt;""OB""))),W895&lt;&gt;1),"""",SUM(FILTER($K$2:$K905,$A$2:$A905=A895,$S$2:$S905=S895,$H$2:$H905&lt;&gt;""OB"")))"),"")</f>
        <v/>
      </c>
      <c r="W895" s="10" t="str">
        <f t="shared" si="5"/>
        <v/>
      </c>
    </row>
    <row r="896" spans="1:23" ht="12.5">
      <c r="A896" s="23"/>
      <c r="B896" s="5" t="str">
        <f t="array" ref="B896">IF(W896=1,INDEX('Database Mitra'!$H$2:$H905,MATCH(A896,'Database Mitra'!AK$2:AK905,0)),"")</f>
        <v/>
      </c>
      <c r="C896" s="5" t="str">
        <f t="array" ref="C896">IF(W896=1,INDEX('Database Mitra'!$E$2:$E905,MATCH(A896,'Database Mitra'!AK$2:AK905,0)),"")</f>
        <v/>
      </c>
      <c r="D896" s="23"/>
      <c r="E896" s="5" t="str">
        <f t="array" ref="E896">IF(W896=1,INDEX('Input Kegiatan'!B$2:B905,MATCH($D896,'Input Kegiatan'!$A$2:$A905,0)),"")</f>
        <v/>
      </c>
      <c r="F896" s="5" t="str">
        <f t="array" ref="F896">IF(W896=1,INDEX('Input Kegiatan'!D$2:D905,MATCH($D896,'Input Kegiatan'!$A$2:$A905,0)),"")</f>
        <v/>
      </c>
      <c r="G896" s="5" t="str">
        <f t="array" ref="G896">IF(W896=1,INDEX('Input Kegiatan'!E$2:E905,MATCH($D896,'Input Kegiatan'!$A$2:$A905,0)),"")</f>
        <v/>
      </c>
      <c r="H896" s="5" t="str">
        <f t="array" ref="H896">IF(W896=1,INDEX(Honor!$H$2:$H905,MATCH($D896&amp;"-"&amp;R896,Honor!$K$2:$K905,0)),"")</f>
        <v/>
      </c>
      <c r="I896" s="8" t="str">
        <f>IF(W896=1,SUMIFS(Honor!$I$2:$I905,Honor!$K$2:$K905,$D896&amp;"-"&amp;R896),"")</f>
        <v/>
      </c>
      <c r="J896" s="9" t="str">
        <f t="shared" si="6"/>
        <v/>
      </c>
      <c r="K896" s="10" t="str">
        <f t="shared" si="0"/>
        <v/>
      </c>
      <c r="L896" s="10" t="str">
        <f t="shared" si="1"/>
        <v/>
      </c>
      <c r="M896" s="10" t="str">
        <f>IF(W896=1,IF(AND(U896&lt;2,INT(V896)&lt;='Batasan Honor'!$B$2),1,0),"")</f>
        <v/>
      </c>
      <c r="O896" s="10" t="str">
        <f t="shared" si="2"/>
        <v/>
      </c>
      <c r="P896" s="10" t="str">
        <f t="shared" si="3"/>
        <v/>
      </c>
      <c r="R896" s="23"/>
      <c r="S896" s="10" t="str">
        <f t="shared" si="4"/>
        <v/>
      </c>
      <c r="U896" s="10" t="str">
        <f ca="1">IFERROR(__xludf.DUMMYFUNCTION("if(W896=1,COUNTIFS(FILTER($H$2:$H905,$H$2:$H905=""OB"",$S$2:$S905=S896),""OB""),"""")"),"")</f>
        <v/>
      </c>
      <c r="V896" s="10" t="str">
        <f ca="1">IFERROR(__xludf.DUMMYFUNCTION("IF(OR(ISNA(SUM(FILTER($K$2:$K905,$A$2:$A905=A896,$S$2:$S905=S896,$H$2:$H905&lt;&gt;""OB""))),W896&lt;&gt;1),"""",SUM(FILTER($K$2:$K905,$A$2:$A905=A896,$S$2:$S905=S896,$H$2:$H905&lt;&gt;""OB"")))"),"")</f>
        <v/>
      </c>
      <c r="W896" s="10" t="str">
        <f t="shared" si="5"/>
        <v/>
      </c>
    </row>
    <row r="897" spans="1:23" ht="12.5">
      <c r="A897" s="23"/>
      <c r="B897" s="5" t="str">
        <f t="array" ref="B897">IF(W897=1,INDEX('Database Mitra'!$H$2:$H905,MATCH(A897,'Database Mitra'!AK$2:AK905,0)),"")</f>
        <v/>
      </c>
      <c r="C897" s="5" t="str">
        <f t="array" ref="C897">IF(W897=1,INDEX('Database Mitra'!$E$2:$E905,MATCH(A897,'Database Mitra'!AK$2:AK905,0)),"")</f>
        <v/>
      </c>
      <c r="D897" s="23"/>
      <c r="E897" s="5" t="str">
        <f t="array" ref="E897">IF(W897=1,INDEX('Input Kegiatan'!B$2:B905,MATCH($D897,'Input Kegiatan'!$A$2:$A905,0)),"")</f>
        <v/>
      </c>
      <c r="F897" s="5" t="str">
        <f t="array" ref="F897">IF(W897=1,INDEX('Input Kegiatan'!D$2:D905,MATCH($D897,'Input Kegiatan'!$A$2:$A905,0)),"")</f>
        <v/>
      </c>
      <c r="G897" s="5" t="str">
        <f t="array" ref="G897">IF(W897=1,INDEX('Input Kegiatan'!E$2:E905,MATCH($D897,'Input Kegiatan'!$A$2:$A905,0)),"")</f>
        <v/>
      </c>
      <c r="H897" s="5" t="str">
        <f t="array" ref="H897">IF(W897=1,INDEX(Honor!$H$2:$H905,MATCH($D897&amp;"-"&amp;R897,Honor!$K$2:$K905,0)),"")</f>
        <v/>
      </c>
      <c r="I897" s="8" t="str">
        <f>IF(W897=1,SUMIFS(Honor!$I$2:$I905,Honor!$K$2:$K905,$D897&amp;"-"&amp;R897),"")</f>
        <v/>
      </c>
      <c r="J897" s="9" t="str">
        <f t="shared" si="6"/>
        <v/>
      </c>
      <c r="K897" s="10" t="str">
        <f t="shared" si="0"/>
        <v/>
      </c>
      <c r="L897" s="10" t="str">
        <f t="shared" si="1"/>
        <v/>
      </c>
      <c r="M897" s="10" t="str">
        <f>IF(W897=1,IF(AND(U897&lt;2,INT(V897)&lt;='Batasan Honor'!$B$2),1,0),"")</f>
        <v/>
      </c>
      <c r="O897" s="10" t="str">
        <f t="shared" si="2"/>
        <v/>
      </c>
      <c r="P897" s="10" t="str">
        <f t="shared" si="3"/>
        <v/>
      </c>
      <c r="R897" s="23"/>
      <c r="S897" s="10" t="str">
        <f t="shared" si="4"/>
        <v/>
      </c>
      <c r="U897" s="10" t="str">
        <f ca="1">IFERROR(__xludf.DUMMYFUNCTION("if(W897=1,COUNTIFS(FILTER($H$2:$H905,$H$2:$H905=""OB"",$S$2:$S905=S897),""OB""),"""")"),"")</f>
        <v/>
      </c>
      <c r="V897" s="10" t="str">
        <f ca="1">IFERROR(__xludf.DUMMYFUNCTION("IF(OR(ISNA(SUM(FILTER($K$2:$K905,$A$2:$A905=A897,$S$2:$S905=S897,$H$2:$H905&lt;&gt;""OB""))),W897&lt;&gt;1),"""",SUM(FILTER($K$2:$K905,$A$2:$A905=A897,$S$2:$S905=S897,$H$2:$H905&lt;&gt;""OB"")))"),"")</f>
        <v/>
      </c>
      <c r="W897" s="10" t="str">
        <f t="shared" si="5"/>
        <v/>
      </c>
    </row>
    <row r="898" spans="1:23" ht="12.5">
      <c r="A898" s="23"/>
      <c r="B898" s="5" t="str">
        <f t="array" ref="B898">IF(W898=1,INDEX('Database Mitra'!$H$2:$H905,MATCH(A898,'Database Mitra'!AK$2:AK905,0)),"")</f>
        <v/>
      </c>
      <c r="C898" s="5" t="str">
        <f t="array" ref="C898">IF(W898=1,INDEX('Database Mitra'!$E$2:$E905,MATCH(A898,'Database Mitra'!AK$2:AK905,0)),"")</f>
        <v/>
      </c>
      <c r="D898" s="23"/>
      <c r="E898" s="5" t="str">
        <f t="array" ref="E898">IF(W898=1,INDEX('Input Kegiatan'!B$2:B905,MATCH($D898,'Input Kegiatan'!$A$2:$A905,0)),"")</f>
        <v/>
      </c>
      <c r="F898" s="5" t="str">
        <f t="array" ref="F898">IF(W898=1,INDEX('Input Kegiatan'!D$2:D905,MATCH($D898,'Input Kegiatan'!$A$2:$A905,0)),"")</f>
        <v/>
      </c>
      <c r="G898" s="5" t="str">
        <f t="array" ref="G898">IF(W898=1,INDEX('Input Kegiatan'!E$2:E905,MATCH($D898,'Input Kegiatan'!$A$2:$A905,0)),"")</f>
        <v/>
      </c>
      <c r="H898" s="5" t="str">
        <f t="array" ref="H898">IF(W898=1,INDEX(Honor!$H$2:$H905,MATCH($D898&amp;"-"&amp;R898,Honor!$K$2:$K905,0)),"")</f>
        <v/>
      </c>
      <c r="I898" s="8" t="str">
        <f>IF(W898=1,SUMIFS(Honor!$I$2:$I905,Honor!$K$2:$K905,$D898&amp;"-"&amp;R898),"")</f>
        <v/>
      </c>
      <c r="J898" s="9" t="str">
        <f t="shared" si="6"/>
        <v/>
      </c>
      <c r="K898" s="10" t="str">
        <f t="shared" si="0"/>
        <v/>
      </c>
      <c r="L898" s="10" t="str">
        <f t="shared" si="1"/>
        <v/>
      </c>
      <c r="M898" s="10" t="str">
        <f>IF(W898=1,IF(AND(U898&lt;2,INT(V898)&lt;='Batasan Honor'!$B$2),1,0),"")</f>
        <v/>
      </c>
      <c r="O898" s="10" t="str">
        <f t="shared" si="2"/>
        <v/>
      </c>
      <c r="P898" s="10" t="str">
        <f t="shared" si="3"/>
        <v/>
      </c>
      <c r="R898" s="23"/>
      <c r="S898" s="10" t="str">
        <f t="shared" si="4"/>
        <v/>
      </c>
      <c r="U898" s="10" t="str">
        <f ca="1">IFERROR(__xludf.DUMMYFUNCTION("if(W898=1,COUNTIFS(FILTER($H$2:$H905,$H$2:$H905=""OB"",$S$2:$S905=S898),""OB""),"""")"),"")</f>
        <v/>
      </c>
      <c r="V898" s="10" t="str">
        <f ca="1">IFERROR(__xludf.DUMMYFUNCTION("IF(OR(ISNA(SUM(FILTER($K$2:$K905,$A$2:$A905=A898,$S$2:$S905=S898,$H$2:$H905&lt;&gt;""OB""))),W898&lt;&gt;1),"""",SUM(FILTER($K$2:$K905,$A$2:$A905=A898,$S$2:$S905=S898,$H$2:$H905&lt;&gt;""OB"")))"),"")</f>
        <v/>
      </c>
      <c r="W898" s="10" t="str">
        <f t="shared" si="5"/>
        <v/>
      </c>
    </row>
    <row r="899" spans="1:23" ht="12.5">
      <c r="A899" s="23"/>
      <c r="B899" s="5" t="str">
        <f t="array" ref="B899">IF(W899=1,INDEX('Database Mitra'!$H$2:$H905,MATCH(A899,'Database Mitra'!AK$2:AK905,0)),"")</f>
        <v/>
      </c>
      <c r="C899" s="5" t="str">
        <f t="array" ref="C899">IF(W899=1,INDEX('Database Mitra'!$E$2:$E905,MATCH(A899,'Database Mitra'!AK$2:AK905,0)),"")</f>
        <v/>
      </c>
      <c r="D899" s="23"/>
      <c r="E899" s="5" t="str">
        <f t="array" ref="E899">IF(W899=1,INDEX('Input Kegiatan'!B$2:B905,MATCH($D899,'Input Kegiatan'!$A$2:$A905,0)),"")</f>
        <v/>
      </c>
      <c r="F899" s="5" t="str">
        <f t="array" ref="F899">IF(W899=1,INDEX('Input Kegiatan'!D$2:D905,MATCH($D899,'Input Kegiatan'!$A$2:$A905,0)),"")</f>
        <v/>
      </c>
      <c r="G899" s="5" t="str">
        <f t="array" ref="G899">IF(W899=1,INDEX('Input Kegiatan'!E$2:E905,MATCH($D899,'Input Kegiatan'!$A$2:$A905,0)),"")</f>
        <v/>
      </c>
      <c r="H899" s="5" t="str">
        <f t="array" ref="H899">IF(W899=1,INDEX(Honor!$H$2:$H905,MATCH($D899&amp;"-"&amp;R899,Honor!$K$2:$K905,0)),"")</f>
        <v/>
      </c>
      <c r="I899" s="8" t="str">
        <f>IF(W899=1,SUMIFS(Honor!$I$2:$I905,Honor!$K$2:$K905,$D899&amp;"-"&amp;R899),"")</f>
        <v/>
      </c>
      <c r="J899" s="9" t="str">
        <f t="shared" si="6"/>
        <v/>
      </c>
      <c r="K899" s="10" t="str">
        <f t="shared" si="0"/>
        <v/>
      </c>
      <c r="L899" s="10" t="str">
        <f t="shared" si="1"/>
        <v/>
      </c>
      <c r="M899" s="10" t="str">
        <f>IF(W899=1,IF(AND(U899&lt;2,INT(V899)&lt;='Batasan Honor'!$B$2),1,0),"")</f>
        <v/>
      </c>
      <c r="O899" s="10" t="str">
        <f t="shared" si="2"/>
        <v/>
      </c>
      <c r="P899" s="10" t="str">
        <f t="shared" si="3"/>
        <v/>
      </c>
      <c r="R899" s="23"/>
      <c r="S899" s="10" t="str">
        <f t="shared" si="4"/>
        <v/>
      </c>
      <c r="U899" s="10" t="str">
        <f ca="1">IFERROR(__xludf.DUMMYFUNCTION("if(W899=1,COUNTIFS(FILTER($H$2:$H905,$H$2:$H905=""OB"",$S$2:$S905=S899),""OB""),"""")"),"")</f>
        <v/>
      </c>
      <c r="V899" s="10" t="str">
        <f ca="1">IFERROR(__xludf.DUMMYFUNCTION("IF(OR(ISNA(SUM(FILTER($K$2:$K905,$A$2:$A905=A899,$S$2:$S905=S899,$H$2:$H905&lt;&gt;""OB""))),W899&lt;&gt;1),"""",SUM(FILTER($K$2:$K905,$A$2:$A905=A899,$S$2:$S905=S899,$H$2:$H905&lt;&gt;""OB"")))"),"")</f>
        <v/>
      </c>
      <c r="W899" s="10" t="str">
        <f t="shared" si="5"/>
        <v/>
      </c>
    </row>
    <row r="900" spans="1:23" ht="12.5">
      <c r="A900" s="23"/>
      <c r="B900" s="5" t="str">
        <f t="array" ref="B900">IF(W900=1,INDEX('Database Mitra'!$H$2:$H905,MATCH(A900,'Database Mitra'!AK$2:AK905,0)),"")</f>
        <v/>
      </c>
      <c r="C900" s="5" t="str">
        <f t="array" ref="C900">IF(W900=1,INDEX('Database Mitra'!$E$2:$E905,MATCH(A900,'Database Mitra'!AK$2:AK905,0)),"")</f>
        <v/>
      </c>
      <c r="D900" s="23"/>
      <c r="E900" s="5" t="str">
        <f t="array" ref="E900">IF(W900=1,INDEX('Input Kegiatan'!B$2:B905,MATCH($D900,'Input Kegiatan'!$A$2:$A905,0)),"")</f>
        <v/>
      </c>
      <c r="F900" s="5" t="str">
        <f t="array" ref="F900">IF(W900=1,INDEX('Input Kegiatan'!D$2:D905,MATCH($D900,'Input Kegiatan'!$A$2:$A905,0)),"")</f>
        <v/>
      </c>
      <c r="G900" s="5" t="str">
        <f t="array" ref="G900">IF(W900=1,INDEX('Input Kegiatan'!E$2:E905,MATCH($D900,'Input Kegiatan'!$A$2:$A905,0)),"")</f>
        <v/>
      </c>
      <c r="H900" s="5" t="str">
        <f t="array" ref="H900">IF(W900=1,INDEX(Honor!$H$2:$H905,MATCH($D900&amp;"-"&amp;R900,Honor!$K$2:$K905,0)),"")</f>
        <v/>
      </c>
      <c r="I900" s="8" t="str">
        <f>IF(W900=1,SUMIFS(Honor!$I$2:$I905,Honor!$K$2:$K905,$D900&amp;"-"&amp;R900),"")</f>
        <v/>
      </c>
      <c r="J900" s="9" t="str">
        <f t="shared" si="6"/>
        <v/>
      </c>
      <c r="K900" s="10" t="str">
        <f t="shared" si="0"/>
        <v/>
      </c>
      <c r="L900" s="10" t="str">
        <f t="shared" si="1"/>
        <v/>
      </c>
      <c r="M900" s="10" t="str">
        <f>IF(W900=1,IF(AND(U900&lt;2,INT(V900)&lt;='Batasan Honor'!$B$2),1,0),"")</f>
        <v/>
      </c>
      <c r="O900" s="10" t="str">
        <f t="shared" si="2"/>
        <v/>
      </c>
      <c r="P900" s="10" t="str">
        <f t="shared" si="3"/>
        <v/>
      </c>
      <c r="R900" s="23"/>
      <c r="S900" s="10" t="str">
        <f t="shared" si="4"/>
        <v/>
      </c>
      <c r="U900" s="10" t="str">
        <f ca="1">IFERROR(__xludf.DUMMYFUNCTION("if(W900=1,COUNTIFS(FILTER($H$2:$H905,$H$2:$H905=""OB"",$S$2:$S905=S900),""OB""),"""")"),"")</f>
        <v/>
      </c>
      <c r="V900" s="10" t="str">
        <f ca="1">IFERROR(__xludf.DUMMYFUNCTION("IF(OR(ISNA(SUM(FILTER($K$2:$K905,$A$2:$A905=A900,$S$2:$S905=S900,$H$2:$H905&lt;&gt;""OB""))),W900&lt;&gt;1),"""",SUM(FILTER($K$2:$K905,$A$2:$A905=A900,$S$2:$S905=S900,$H$2:$H905&lt;&gt;""OB"")))"),"")</f>
        <v/>
      </c>
      <c r="W900" s="10" t="str">
        <f t="shared" si="5"/>
        <v/>
      </c>
    </row>
    <row r="901" spans="1:23" ht="12.5">
      <c r="A901" s="23"/>
      <c r="B901" s="5" t="str">
        <f t="array" ref="B901">IF(W901=1,INDEX('Database Mitra'!$H$2:$H905,MATCH(A901,'Database Mitra'!AK$2:AK905,0)),"")</f>
        <v/>
      </c>
      <c r="C901" s="5" t="str">
        <f t="array" ref="C901">IF(W901=1,INDEX('Database Mitra'!$E$2:$E905,MATCH(A901,'Database Mitra'!AK$2:AK905,0)),"")</f>
        <v/>
      </c>
      <c r="D901" s="23"/>
      <c r="E901" s="5" t="str">
        <f t="array" ref="E901">IF(W901=1,INDEX('Input Kegiatan'!B$2:B905,MATCH($D901,'Input Kegiatan'!$A$2:$A905,0)),"")</f>
        <v/>
      </c>
      <c r="F901" s="5" t="str">
        <f t="array" ref="F901">IF(W901=1,INDEX('Input Kegiatan'!D$2:D905,MATCH($D901,'Input Kegiatan'!$A$2:$A905,0)),"")</f>
        <v/>
      </c>
      <c r="G901" s="5" t="str">
        <f t="array" ref="G901">IF(W901=1,INDEX('Input Kegiatan'!E$2:E905,MATCH($D901,'Input Kegiatan'!$A$2:$A905,0)),"")</f>
        <v/>
      </c>
      <c r="H901" s="5" t="str">
        <f t="array" ref="H901">IF(W901=1,INDEX(Honor!$H$2:$H905,MATCH($D901&amp;"-"&amp;R901,Honor!$K$2:$K905,0)),"")</f>
        <v/>
      </c>
      <c r="I901" s="8" t="str">
        <f>IF(W901=1,SUMIFS(Honor!$I$2:$I905,Honor!$K$2:$K905,$D901&amp;"-"&amp;R901),"")</f>
        <v/>
      </c>
      <c r="J901" s="9" t="str">
        <f t="shared" si="6"/>
        <v/>
      </c>
      <c r="K901" s="10" t="str">
        <f t="shared" si="0"/>
        <v/>
      </c>
      <c r="L901" s="10" t="str">
        <f t="shared" si="1"/>
        <v/>
      </c>
      <c r="M901" s="10" t="str">
        <f>IF(W901=1,IF(AND(U901&lt;2,INT(V901)&lt;='Batasan Honor'!$B$2),1,0),"")</f>
        <v/>
      </c>
      <c r="O901" s="10" t="str">
        <f t="shared" si="2"/>
        <v/>
      </c>
      <c r="P901" s="10" t="str">
        <f t="shared" si="3"/>
        <v/>
      </c>
      <c r="R901" s="23"/>
      <c r="S901" s="10" t="str">
        <f t="shared" si="4"/>
        <v/>
      </c>
      <c r="U901" s="10" t="str">
        <f ca="1">IFERROR(__xludf.DUMMYFUNCTION("if(W901=1,COUNTIFS(FILTER($H$2:$H905,$H$2:$H905=""OB"",$S$2:$S905=S901),""OB""),"""")"),"")</f>
        <v/>
      </c>
      <c r="V901" s="10" t="str">
        <f ca="1">IFERROR(__xludf.DUMMYFUNCTION("IF(OR(ISNA(SUM(FILTER($K$2:$K905,$A$2:$A905=A901,$S$2:$S905=S901,$H$2:$H905&lt;&gt;""OB""))),W901&lt;&gt;1),"""",SUM(FILTER($K$2:$K905,$A$2:$A905=A901,$S$2:$S905=S901,$H$2:$H905&lt;&gt;""OB"")))"),"")</f>
        <v/>
      </c>
      <c r="W901" s="10" t="str">
        <f t="shared" si="5"/>
        <v/>
      </c>
    </row>
    <row r="902" spans="1:23" ht="12.5">
      <c r="A902" s="23"/>
      <c r="B902" s="5" t="str">
        <f t="array" ref="B902">IF(W902=1,INDEX('Database Mitra'!$H$2:$H905,MATCH(A902,'Database Mitra'!AK$2:AK905,0)),"")</f>
        <v/>
      </c>
      <c r="C902" s="5" t="str">
        <f t="array" ref="C902">IF(W902=1,INDEX('Database Mitra'!$E$2:$E905,MATCH(A902,'Database Mitra'!AK$2:AK905,0)),"")</f>
        <v/>
      </c>
      <c r="D902" s="23"/>
      <c r="E902" s="5" t="str">
        <f t="array" ref="E902">IF(W902=1,INDEX('Input Kegiatan'!B$2:B905,MATCH($D902,'Input Kegiatan'!$A$2:$A905,0)),"")</f>
        <v/>
      </c>
      <c r="F902" s="5" t="str">
        <f t="array" ref="F902">IF(W902=1,INDEX('Input Kegiatan'!D$2:D905,MATCH($D902,'Input Kegiatan'!$A$2:$A905,0)),"")</f>
        <v/>
      </c>
      <c r="G902" s="5" t="str">
        <f t="array" ref="G902">IF(W902=1,INDEX('Input Kegiatan'!E$2:E905,MATCH($D902,'Input Kegiatan'!$A$2:$A905,0)),"")</f>
        <v/>
      </c>
      <c r="H902" s="5" t="str">
        <f t="array" ref="H902">IF(W902=1,INDEX(Honor!$H$2:$H905,MATCH($D902&amp;"-"&amp;R902,Honor!$K$2:$K905,0)),"")</f>
        <v/>
      </c>
      <c r="I902" s="8" t="str">
        <f>IF(W902=1,SUMIFS(Honor!$I$2:$I905,Honor!$K$2:$K905,$D902&amp;"-"&amp;R902),"")</f>
        <v/>
      </c>
      <c r="J902" s="9" t="str">
        <f t="shared" si="6"/>
        <v/>
      </c>
      <c r="K902" s="10" t="str">
        <f t="shared" si="0"/>
        <v/>
      </c>
      <c r="L902" s="10" t="str">
        <f t="shared" si="1"/>
        <v/>
      </c>
      <c r="M902" s="10" t="str">
        <f>IF(W902=1,IF(AND(U902&lt;2,INT(V902)&lt;='Batasan Honor'!$B$2),1,0),"")</f>
        <v/>
      </c>
      <c r="O902" s="10" t="str">
        <f t="shared" si="2"/>
        <v/>
      </c>
      <c r="P902" s="10" t="str">
        <f t="shared" si="3"/>
        <v/>
      </c>
      <c r="R902" s="23"/>
      <c r="S902" s="10" t="str">
        <f t="shared" si="4"/>
        <v/>
      </c>
      <c r="U902" s="10" t="str">
        <f ca="1">IFERROR(__xludf.DUMMYFUNCTION("if(W902=1,COUNTIFS(FILTER($H$2:$H905,$H$2:$H905=""OB"",$S$2:$S905=S902),""OB""),"""")"),"")</f>
        <v/>
      </c>
      <c r="V902" s="10" t="str">
        <f ca="1">IFERROR(__xludf.DUMMYFUNCTION("IF(OR(ISNA(SUM(FILTER($K$2:$K905,$A$2:$A905=A902,$S$2:$S905=S902,$H$2:$H905&lt;&gt;""OB""))),W902&lt;&gt;1),"""",SUM(FILTER($K$2:$K905,$A$2:$A905=A902,$S$2:$S905=S902,$H$2:$H905&lt;&gt;""OB"")))"),"")</f>
        <v/>
      </c>
      <c r="W902" s="10" t="str">
        <f t="shared" si="5"/>
        <v/>
      </c>
    </row>
    <row r="903" spans="1:23" ht="12.5">
      <c r="A903" s="23"/>
      <c r="B903" s="5" t="str">
        <f t="array" ref="B903">IF(W903=1,INDEX('Database Mitra'!$H$2:$H905,MATCH(A903,'Database Mitra'!AK$2:AK905,0)),"")</f>
        <v/>
      </c>
      <c r="C903" s="5" t="str">
        <f t="array" ref="C903">IF(W903=1,INDEX('Database Mitra'!$E$2:$E905,MATCH(A903,'Database Mitra'!AK$2:AK905,0)),"")</f>
        <v/>
      </c>
      <c r="D903" s="23"/>
      <c r="E903" s="5" t="str">
        <f t="array" ref="E903">IF(W903=1,INDEX('Input Kegiatan'!B$2:B905,MATCH($D903,'Input Kegiatan'!$A$2:$A905,0)),"")</f>
        <v/>
      </c>
      <c r="F903" s="5" t="str">
        <f t="array" ref="F903">IF(W903=1,INDEX('Input Kegiatan'!D$2:D905,MATCH($D903,'Input Kegiatan'!$A$2:$A905,0)),"")</f>
        <v/>
      </c>
      <c r="G903" s="5" t="str">
        <f t="array" ref="G903">IF(W903=1,INDEX('Input Kegiatan'!E$2:E905,MATCH($D903,'Input Kegiatan'!$A$2:$A905,0)),"")</f>
        <v/>
      </c>
      <c r="H903" s="5" t="str">
        <f t="array" ref="H903">IF(W903=1,INDEX(Honor!$H$2:$H905,MATCH($D903&amp;"-"&amp;R903,Honor!$K$2:$K905,0)),"")</f>
        <v/>
      </c>
      <c r="I903" s="8" t="str">
        <f>IF(W903=1,SUMIFS(Honor!$I$2:$I905,Honor!$K$2:$K905,$D903&amp;"-"&amp;R903),"")</f>
        <v/>
      </c>
      <c r="J903" s="9" t="str">
        <f t="shared" si="6"/>
        <v/>
      </c>
      <c r="K903" s="10" t="str">
        <f t="shared" si="0"/>
        <v/>
      </c>
      <c r="L903" s="10" t="str">
        <f t="shared" si="1"/>
        <v/>
      </c>
      <c r="M903" s="10" t="str">
        <f>IF(W903=1,IF(AND(U903&lt;2,INT(V903)&lt;='Batasan Honor'!$B$2),1,0),"")</f>
        <v/>
      </c>
      <c r="O903" s="10" t="str">
        <f t="shared" si="2"/>
        <v/>
      </c>
      <c r="P903" s="10" t="str">
        <f t="shared" si="3"/>
        <v/>
      </c>
      <c r="R903" s="23"/>
      <c r="S903" s="10" t="str">
        <f t="shared" si="4"/>
        <v/>
      </c>
      <c r="U903" s="10" t="str">
        <f ca="1">IFERROR(__xludf.DUMMYFUNCTION("if(W903=1,COUNTIFS(FILTER($H$2:$H905,$H$2:$H905=""OB"",$S$2:$S905=S903),""OB""),"""")"),"")</f>
        <v/>
      </c>
      <c r="V903" s="10" t="str">
        <f ca="1">IFERROR(__xludf.DUMMYFUNCTION("IF(OR(ISNA(SUM(FILTER($K$2:$K905,$A$2:$A905=A903,$S$2:$S905=S903,$H$2:$H905&lt;&gt;""OB""))),W903&lt;&gt;1),"""",SUM(FILTER($K$2:$K905,$A$2:$A905=A903,$S$2:$S905=S903,$H$2:$H905&lt;&gt;""OB"")))"),"")</f>
        <v/>
      </c>
      <c r="W903" s="10" t="str">
        <f t="shared" si="5"/>
        <v/>
      </c>
    </row>
    <row r="904" spans="1:23" ht="12.5">
      <c r="A904" s="23"/>
      <c r="B904" s="5" t="str">
        <f t="array" ref="B904">IF(W904=1,INDEX('Database Mitra'!$H$2:$H905,MATCH(A904,'Database Mitra'!AK$2:AK905,0)),"")</f>
        <v/>
      </c>
      <c r="C904" s="5" t="str">
        <f t="array" ref="C904">IF(W904=1,INDEX('Database Mitra'!$E$2:$E905,MATCH(A904,'Database Mitra'!AK$2:AK905,0)),"")</f>
        <v/>
      </c>
      <c r="D904" s="23"/>
      <c r="E904" s="5" t="str">
        <f t="array" ref="E904">IF(W904=1,INDEX('Input Kegiatan'!B$2:B905,MATCH($D904,'Input Kegiatan'!$A$2:$A905,0)),"")</f>
        <v/>
      </c>
      <c r="F904" s="5" t="str">
        <f t="array" ref="F904">IF(W904=1,INDEX('Input Kegiatan'!D$2:D905,MATCH($D904,'Input Kegiatan'!$A$2:$A905,0)),"")</f>
        <v/>
      </c>
      <c r="G904" s="5" t="str">
        <f t="array" ref="G904">IF(W904=1,INDEX('Input Kegiatan'!E$2:E905,MATCH($D904,'Input Kegiatan'!$A$2:$A905,0)),"")</f>
        <v/>
      </c>
      <c r="H904" s="5" t="str">
        <f t="array" ref="H904">IF(W904=1,INDEX(Honor!$H$2:$H905,MATCH($D904&amp;"-"&amp;R904,Honor!$K$2:$K905,0)),"")</f>
        <v/>
      </c>
      <c r="I904" s="8" t="str">
        <f>IF(W904=1,SUMIFS(Honor!$I$2:$I905,Honor!$K$2:$K905,$D904&amp;"-"&amp;R904),"")</f>
        <v/>
      </c>
      <c r="J904" s="9" t="str">
        <f t="shared" si="6"/>
        <v/>
      </c>
      <c r="K904" s="10" t="str">
        <f t="shared" si="0"/>
        <v/>
      </c>
      <c r="L904" s="10" t="str">
        <f t="shared" si="1"/>
        <v/>
      </c>
      <c r="M904" s="10" t="str">
        <f>IF(W904=1,IF(AND(U904&lt;2,INT(V904)&lt;='Batasan Honor'!$B$2),1,0),"")</f>
        <v/>
      </c>
      <c r="O904" s="10" t="str">
        <f t="shared" si="2"/>
        <v/>
      </c>
      <c r="P904" s="10" t="str">
        <f t="shared" si="3"/>
        <v/>
      </c>
      <c r="R904" s="23"/>
      <c r="S904" s="10" t="str">
        <f t="shared" si="4"/>
        <v/>
      </c>
      <c r="U904" s="10" t="str">
        <f ca="1">IFERROR(__xludf.DUMMYFUNCTION("if(W904=1,COUNTIFS(FILTER($H$2:$H905,$H$2:$H905=""OB"",$S$2:$S905=S904),""OB""),"""")"),"")</f>
        <v/>
      </c>
      <c r="V904" s="10" t="str">
        <f ca="1">IFERROR(__xludf.DUMMYFUNCTION("IF(OR(ISNA(SUM(FILTER($K$2:$K905,$A$2:$A905=A904,$S$2:$S905=S904,$H$2:$H905&lt;&gt;""OB""))),W904&lt;&gt;1),"""",SUM(FILTER($K$2:$K905,$A$2:$A905=A904,$S$2:$S905=S904,$H$2:$H905&lt;&gt;""OB"")))"),"")</f>
        <v/>
      </c>
      <c r="W904" s="10" t="str">
        <f t="shared" si="5"/>
        <v/>
      </c>
    </row>
    <row r="905" spans="1:23" ht="12.5">
      <c r="A905" s="23"/>
      <c r="B905" s="5" t="str">
        <f t="array" ref="B905">IF(W905=1,INDEX('Database Mitra'!$H$2:$H905,MATCH(A905,'Database Mitra'!AK$2:AK905,0)),"")</f>
        <v/>
      </c>
      <c r="C905" s="5" t="str">
        <f t="array" ref="C905">IF(W905=1,INDEX('Database Mitra'!$E$2:$E905,MATCH(A905,'Database Mitra'!AK$2:AK905,0)),"")</f>
        <v/>
      </c>
      <c r="D905" s="23"/>
      <c r="E905" s="5" t="str">
        <f t="array" ref="E905">IF(W905=1,INDEX('Input Kegiatan'!B$2:B905,MATCH($D905,'Input Kegiatan'!$A$2:$A905,0)),"")</f>
        <v/>
      </c>
      <c r="F905" s="5" t="str">
        <f t="array" ref="F905">IF(W905=1,INDEX('Input Kegiatan'!D$2:D905,MATCH($D905,'Input Kegiatan'!$A$2:$A905,0)),"")</f>
        <v/>
      </c>
      <c r="G905" s="5" t="str">
        <f t="array" ref="G905">IF(W905=1,INDEX('Input Kegiatan'!E$2:E905,MATCH($D905,'Input Kegiatan'!$A$2:$A905,0)),"")</f>
        <v/>
      </c>
      <c r="H905" s="5" t="str">
        <f t="array" ref="H905">IF(W905=1,INDEX(Honor!$H$2:$H905,MATCH($D905&amp;"-"&amp;R905,Honor!$K$2:$K905,0)),"")</f>
        <v/>
      </c>
      <c r="I905" s="8" t="str">
        <f>IF(W905=1,SUMIFS(Honor!$I$2:$I905,Honor!$K$2:$K905,$D905&amp;"-"&amp;R905),"")</f>
        <v/>
      </c>
      <c r="J905" s="9" t="str">
        <f t="shared" si="6"/>
        <v/>
      </c>
      <c r="K905" s="10" t="str">
        <f t="shared" si="0"/>
        <v/>
      </c>
      <c r="L905" s="10" t="str">
        <f t="shared" si="1"/>
        <v/>
      </c>
      <c r="M905" s="10" t="str">
        <f>IF(W905=1,IF(AND(U905&lt;2,INT(V905)&lt;='Batasan Honor'!$B$2),1,0),"")</f>
        <v/>
      </c>
      <c r="O905" s="10" t="str">
        <f t="shared" si="2"/>
        <v/>
      </c>
      <c r="P905" s="10" t="str">
        <f t="shared" si="3"/>
        <v/>
      </c>
      <c r="R905" s="23"/>
      <c r="S905" s="10" t="str">
        <f t="shared" si="4"/>
        <v/>
      </c>
      <c r="U905" s="10" t="str">
        <f ca="1">IFERROR(__xludf.DUMMYFUNCTION("if(W905=1,COUNTIFS(FILTER($H$2:$H905,$H$2:$H905=""OB"",$S$2:$S905=S905),""OB""),"""")"),"")</f>
        <v/>
      </c>
      <c r="V905" s="10" t="str">
        <f ca="1">IFERROR(__xludf.DUMMYFUNCTION("IF(OR(ISNA(SUM(FILTER($K$2:$K905,$A$2:$A905=A905,$S$2:$S905=S905,$H$2:$H905&lt;&gt;""OB""))),W905&lt;&gt;1),"""",SUM(FILTER($K$2:$K905,$A$2:$A905=A905,$S$2:$S905=S905,$H$2:$H905&lt;&gt;""OB"")))"),"")</f>
        <v/>
      </c>
      <c r="W905" s="10" t="str">
        <f t="shared" si="5"/>
        <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outlinePr summaryBelow="0" summaryRight="0"/>
  </sheetPr>
  <dimension ref="A1:X998"/>
  <sheetViews>
    <sheetView showGridLines="0" topLeftCell="A2" workbookViewId="0"/>
  </sheetViews>
  <sheetFormatPr defaultColWidth="12.6328125" defaultRowHeight="15.75" customHeight="1"/>
  <cols>
    <col min="1" max="1" width="4.90625" customWidth="1"/>
    <col min="2" max="2" width="5.6328125" customWidth="1"/>
    <col min="3" max="3" width="42.7265625" customWidth="1"/>
    <col min="4" max="4" width="12.90625" customWidth="1"/>
    <col min="5" max="5" width="29" customWidth="1"/>
    <col min="6" max="6" width="8.7265625" customWidth="1"/>
    <col min="7" max="7" width="77.6328125" customWidth="1"/>
    <col min="8" max="8" width="38.36328125" customWidth="1"/>
    <col min="9" max="9" width="10.453125" customWidth="1"/>
    <col min="10" max="10" width="13.08984375" customWidth="1"/>
    <col min="11" max="11" width="18.453125" customWidth="1"/>
    <col min="12" max="12" width="7.08984375" customWidth="1"/>
    <col min="13" max="13" width="8.26953125" customWidth="1"/>
  </cols>
  <sheetData>
    <row r="1" spans="1:24" ht="13" hidden="1">
      <c r="C1" s="24">
        <f ca="1">NOW()</f>
        <v>45575.41263240741</v>
      </c>
      <c r="D1" s="25">
        <f ca="1">DAY(C1)</f>
        <v>10</v>
      </c>
      <c r="E1" s="25"/>
      <c r="F1" s="25">
        <f ca="1">YEAR(C1)</f>
        <v>2024</v>
      </c>
      <c r="G1" s="25"/>
      <c r="H1" s="25"/>
      <c r="I1" s="25"/>
      <c r="J1" s="25"/>
      <c r="K1" s="25"/>
      <c r="L1" s="25"/>
      <c r="M1" s="25"/>
      <c r="N1" s="25"/>
      <c r="O1" s="25"/>
      <c r="P1" s="25"/>
      <c r="Q1" s="25"/>
      <c r="R1" s="25"/>
      <c r="S1" s="25"/>
      <c r="T1" s="25"/>
      <c r="U1" s="25"/>
      <c r="V1" s="25"/>
      <c r="W1" s="25"/>
      <c r="X1" s="25"/>
    </row>
    <row r="2" spans="1:24" ht="33.75" customHeight="1">
      <c r="A2" s="23"/>
      <c r="B2" s="23"/>
      <c r="C2" s="23"/>
      <c r="D2" s="23"/>
      <c r="E2" s="23"/>
      <c r="F2" s="23"/>
      <c r="G2" s="23"/>
      <c r="H2" s="23"/>
      <c r="I2" s="23"/>
      <c r="J2" s="23"/>
      <c r="K2" s="26"/>
      <c r="L2" s="26"/>
      <c r="M2" s="26"/>
      <c r="N2" s="25"/>
      <c r="O2" s="25"/>
      <c r="P2" s="25"/>
      <c r="Q2" s="25"/>
      <c r="R2" s="25"/>
      <c r="S2" s="25"/>
      <c r="T2" s="25"/>
      <c r="U2" s="25"/>
      <c r="V2" s="25"/>
      <c r="W2" s="25"/>
      <c r="X2" s="25"/>
    </row>
    <row r="3" spans="1:24" ht="13">
      <c r="A3" s="23"/>
      <c r="H3" s="27" t="s">
        <v>39</v>
      </c>
      <c r="L3" s="25"/>
      <c r="M3" s="26"/>
      <c r="N3" s="25"/>
      <c r="O3" s="25"/>
      <c r="P3" s="25"/>
      <c r="Q3" s="25"/>
      <c r="R3" s="25"/>
      <c r="S3" s="25"/>
      <c r="T3" s="25"/>
      <c r="U3" s="25"/>
      <c r="V3" s="25"/>
      <c r="W3" s="25"/>
      <c r="X3" s="25"/>
    </row>
    <row r="4" spans="1:24" ht="61.5" customHeight="1">
      <c r="A4" s="23"/>
      <c r="C4" s="28" t="s">
        <v>40</v>
      </c>
      <c r="D4" s="28" t="s">
        <v>41</v>
      </c>
      <c r="E4" s="28" t="s">
        <v>42</v>
      </c>
      <c r="G4" s="29" t="s">
        <v>43</v>
      </c>
      <c r="H4" s="30">
        <f ca="1">NOW()</f>
        <v>45575.41263240741</v>
      </c>
      <c r="K4" s="25"/>
      <c r="L4" s="25"/>
      <c r="M4" s="26"/>
      <c r="N4" s="25"/>
      <c r="O4" s="25"/>
      <c r="P4" s="25"/>
      <c r="Q4" s="25"/>
      <c r="R4" s="25"/>
      <c r="S4" s="25"/>
      <c r="T4" s="25"/>
      <c r="U4" s="25"/>
      <c r="V4" s="25"/>
      <c r="W4" s="25"/>
      <c r="X4" s="25"/>
    </row>
    <row r="5" spans="1:24" ht="36" customHeight="1">
      <c r="A5" s="23"/>
      <c r="C5" s="31" t="e">
        <f ca="1">COUNTUNIQUEIFS('Mitra per Bulan'!$C$2:$C998,'Mitra per Bulan'!$M$2:$M998,0)</f>
        <v>#NAME?</v>
      </c>
      <c r="D5" s="31">
        <f ca="1">IFERROR(__xludf.DUMMYFUNCTION("COUNTUNIQUE($G$12:$G998)"),14)</f>
        <v>14</v>
      </c>
      <c r="E5" s="31" t="str">
        <f ca="1">COUNTA('Matriks Bulanan'!$A$3:$A998)&amp;" dari "&amp;COUNTA('Database Mitra'!$B$2:$B998)&amp;" Mitra"</f>
        <v>89 dari 433 Mitra</v>
      </c>
      <c r="K5" s="25"/>
      <c r="L5" s="25"/>
      <c r="M5" s="26"/>
      <c r="N5" s="25"/>
      <c r="O5" s="25"/>
      <c r="P5" s="25"/>
      <c r="Q5" s="25"/>
      <c r="R5" s="25"/>
      <c r="S5" s="25"/>
      <c r="T5" s="25"/>
      <c r="U5" s="25"/>
      <c r="V5" s="25"/>
      <c r="W5" s="25"/>
      <c r="X5" s="25"/>
    </row>
    <row r="6" spans="1:24" ht="39" customHeight="1">
      <c r="A6" s="23"/>
      <c r="C6" s="28" t="s">
        <v>44</v>
      </c>
      <c r="D6" s="28" t="s">
        <v>45</v>
      </c>
      <c r="E6" s="28" t="s">
        <v>46</v>
      </c>
      <c r="G6" s="28" t="s">
        <v>47</v>
      </c>
      <c r="H6" s="28" t="s">
        <v>41</v>
      </c>
      <c r="K6" s="32"/>
      <c r="L6" s="25"/>
      <c r="M6" s="26"/>
      <c r="N6" s="25"/>
      <c r="O6" s="25"/>
      <c r="P6" s="25"/>
      <c r="Q6" s="25"/>
      <c r="R6" s="25"/>
      <c r="S6" s="25"/>
      <c r="T6" s="25"/>
      <c r="U6" s="25"/>
      <c r="V6" s="25"/>
      <c r="W6" s="25"/>
      <c r="X6" s="25"/>
    </row>
    <row r="7" spans="1:24" ht="38.25" customHeight="1">
      <c r="A7" s="23"/>
      <c r="C7" s="31" t="e">
        <f ca="1">COUNTUNIQUEIFS('Mitra per Bulan'!$A$2:$A998,'Mitra per Bulan'!$M$2:$M998,0)</f>
        <v>#NAME?</v>
      </c>
      <c r="D7" s="31">
        <f>COUNT($B$19:$B998)</f>
        <v>0</v>
      </c>
      <c r="E7" s="33">
        <f ca="1">'Matriks Bulanan'!D1</f>
        <v>500706000</v>
      </c>
      <c r="G7" s="34" t="e">
        <f t="array" aca="1" ref="G7" ca="1">INDEX($G$12:$G998,MATCH(MIN($K$12:$K998),$K12:$K998,0))</f>
        <v>#NAME?</v>
      </c>
      <c r="H7" s="31">
        <f ca="1">IFERROR(__xludf.DUMMYFUNCTION("COUNTUNIQUE($G$12:$G998)"),14)</f>
        <v>14</v>
      </c>
      <c r="K7" s="35"/>
      <c r="L7" s="25"/>
      <c r="M7" s="26"/>
      <c r="N7" s="25"/>
      <c r="O7" s="25"/>
      <c r="P7" s="25"/>
      <c r="Q7" s="25"/>
      <c r="R7" s="25"/>
      <c r="S7" s="25"/>
      <c r="T7" s="25"/>
      <c r="U7" s="25"/>
      <c r="V7" s="25"/>
      <c r="W7" s="25"/>
      <c r="X7" s="25"/>
    </row>
    <row r="8" spans="1:24" ht="13">
      <c r="A8" s="23"/>
      <c r="K8" s="35"/>
      <c r="L8" s="25"/>
      <c r="M8" s="26"/>
      <c r="N8" s="25"/>
      <c r="O8" s="25"/>
      <c r="P8" s="25"/>
      <c r="Q8" s="25"/>
      <c r="R8" s="25"/>
      <c r="S8" s="25"/>
      <c r="T8" s="25"/>
      <c r="U8" s="25"/>
      <c r="V8" s="25"/>
      <c r="W8" s="25"/>
      <c r="X8" s="25"/>
    </row>
    <row r="9" spans="1:24" ht="13">
      <c r="A9" s="23"/>
      <c r="K9" s="35"/>
      <c r="L9" s="25"/>
      <c r="M9" s="26"/>
      <c r="N9" s="25"/>
      <c r="O9" s="25"/>
      <c r="P9" s="25"/>
      <c r="Q9" s="25"/>
      <c r="R9" s="25"/>
      <c r="S9" s="25"/>
      <c r="T9" s="25"/>
      <c r="U9" s="25"/>
      <c r="V9" s="25"/>
      <c r="W9" s="25"/>
      <c r="X9" s="25"/>
    </row>
    <row r="10" spans="1:24" ht="38.25" customHeight="1">
      <c r="A10" s="23"/>
      <c r="C10" s="36" t="s">
        <v>48</v>
      </c>
      <c r="D10" s="37"/>
      <c r="E10" s="38" t="str">
        <f ca="1">COUNTA(C12:C998)&amp;" Kegiatan"</f>
        <v>41 Kegiatan</v>
      </c>
      <c r="F10" s="37"/>
      <c r="G10" s="36" t="s">
        <v>49</v>
      </c>
      <c r="H10" s="25"/>
      <c r="I10" s="25"/>
      <c r="J10" s="25"/>
      <c r="K10" s="25"/>
      <c r="L10" s="25"/>
      <c r="M10" s="26"/>
      <c r="N10" s="25"/>
      <c r="O10" s="25"/>
      <c r="P10" s="39" t="str">
        <f ca="1">IFERROR(__xludf.DUMMYFUNCTION("FILTER(Honor!$A$2:$A998,Honor!$O$2:$O998&lt;=20,Honor!$O$2:$O998=1)"),"#N/A")</f>
        <v>#N/A</v>
      </c>
      <c r="Q10" s="25"/>
      <c r="R10" s="25"/>
      <c r="S10" s="25"/>
      <c r="T10" s="25"/>
      <c r="U10" s="25"/>
      <c r="V10" s="25"/>
      <c r="W10" s="25"/>
      <c r="X10" s="25"/>
    </row>
    <row r="11" spans="1:24" ht="29">
      <c r="A11" s="40"/>
      <c r="B11" s="41"/>
      <c r="C11" s="42" t="s">
        <v>50</v>
      </c>
      <c r="D11" s="43" t="s">
        <v>51</v>
      </c>
      <c r="E11" s="43" t="s">
        <v>52</v>
      </c>
      <c r="F11" s="44"/>
      <c r="G11" s="45" t="s">
        <v>4</v>
      </c>
      <c r="H11" s="45" t="s">
        <v>53</v>
      </c>
      <c r="I11" s="45" t="s">
        <v>54</v>
      </c>
      <c r="J11" s="45" t="s">
        <v>55</v>
      </c>
      <c r="K11" s="45" t="s">
        <v>56</v>
      </c>
      <c r="L11" s="46"/>
      <c r="M11" s="47"/>
      <c r="N11" s="46"/>
      <c r="O11" s="46"/>
      <c r="P11" s="46"/>
      <c r="Q11" s="46"/>
      <c r="R11" s="46"/>
      <c r="S11" s="46"/>
      <c r="T11" s="46"/>
      <c r="U11" s="46"/>
      <c r="V11" s="46"/>
      <c r="W11" s="46"/>
      <c r="X11" s="46"/>
    </row>
    <row r="12" spans="1:24" ht="13">
      <c r="A12" s="23"/>
      <c r="B12" s="48"/>
      <c r="C12" s="49" t="str">
        <f ca="1">IFERROR(__xludf.DUMMYFUNCTION("IF(ISNA(FILTER(Honor!$A$2:$A998,Honor!$O$2:$O998&lt;=20,Honor!$E$2:$E998=1)),""(Belum ada yang masuk periode pencarian)"",FILTER(Honor!$A$2:$A998,Honor!$O$2:$O998&lt;=20,Honor!$E$2:$E998=1))"),"KSA24-LAPANGAN-AGUSTUS-PPL-KSA JAGUNG")</f>
        <v>KSA24-LAPANGAN-AGUSTUS-PPL-KSA JAGUNG</v>
      </c>
      <c r="D12" s="25">
        <f t="array" aca="1" ref="D12" ca="1">IF(OR(LEFT(C12,1)="(",COUNTA(C12)=0),"", INDEX(Honor!$B$2:$B998,MATCH(C12,Honor!$A$2:$A998,0)))</f>
        <v>5</v>
      </c>
      <c r="E12" s="25" t="e">
        <f t="array" aca="1" ref="E12" ca="1">IF(OR(LEFT(C12,1)="(",COUNTA(C12)=0),"",INDEX(Honor!$O$2:$O998,MATCH(C12,Honor!$A$2:$A998,0)))</f>
        <v>#NAME?</v>
      </c>
      <c r="F12" s="25"/>
      <c r="G12" s="25" t="str">
        <f ca="1">IFERROR(__xludf.DUMMYFUNCTION("IF(ISNA(FILTER('Input Kegiatan'!$B$2:$B998,'Input Kegiatan'!$D$2:$D998&lt;=C1,'Input Kegiatan'!$E$2:$E998&gt;=C1)),""(Belum ada kegiatan yang berjalan)"",FILTER('Input Kegiatan'!$B$2:$B998,'Input Kegiatan'!$D$2:$D998&lt;=C1,'Input Kegiatan'!$E$2:$E998&gt;=C1))"),"Kerangka Sampel Area (KSA) 2024 Oktober")</f>
        <v>Kerangka Sampel Area (KSA) 2024 Oktober</v>
      </c>
      <c r="H12" s="50">
        <f ca="1">IFERROR(__xludf.DUMMYFUNCTION("IF(OR(LEFT(G12)=""("",LEFT(G12)=""""),"""",FILTER('Input Kegiatan'!$D$2:$D998,'Input Kegiatan'!$D$2:$D998&lt;=C1,'Input Kegiatan'!$E$2:$E998&gt;=C1))"),45566)</f>
        <v>45566</v>
      </c>
      <c r="I12" s="50">
        <f ca="1">IFERROR(__xludf.DUMMYFUNCTION("IF(OR(LEFT(G12)=""("",LEFT(G12)=""""),"""",FILTER('Input Kegiatan'!$E$2:$E998,'Input Kegiatan'!$D$2:$D998&lt;=C1,'Input Kegiatan'!$E$2:$E998&gt;=C1))"),45596)</f>
        <v>45596</v>
      </c>
      <c r="J12" s="46" t="e">
        <f t="shared" ref="J12:J54" ca="1" si="0">IF(_xludf.DAYS(I12,H12)=0,"",_xludf.DAYS(I12,H12)&amp;" Hari")</f>
        <v>#NAME?</v>
      </c>
      <c r="K12" s="46" t="e">
        <f t="shared" ref="K12:K54" ca="1" si="1">IF(_xludf.DAYS(I12,$C$1)&lt;0,"",_xludf.DAYS(I12,$C$1))</f>
        <v>#NAME?</v>
      </c>
      <c r="L12" s="25"/>
      <c r="M12" s="26"/>
      <c r="N12" s="25"/>
      <c r="O12" s="25"/>
      <c r="P12" s="25"/>
      <c r="Q12" s="25"/>
      <c r="R12" s="25"/>
      <c r="S12" s="25"/>
      <c r="T12" s="25"/>
      <c r="U12" s="25"/>
      <c r="V12" s="25"/>
      <c r="W12" s="25"/>
      <c r="X12" s="25"/>
    </row>
    <row r="13" spans="1:24" ht="13">
      <c r="A13" s="23"/>
      <c r="C13" s="49" t="str">
        <f ca="1">IFERROR(__xludf.DUMMYFUNCTION("""COMPUTED_VALUE"""),"KSA24-LAPANGAN-AGUSTUS-PPL-KSA PADI")</f>
        <v>KSA24-LAPANGAN-AGUSTUS-PPL-KSA PADI</v>
      </c>
      <c r="D13" s="25">
        <f t="array" aca="1" ref="D13" ca="1">IF(OR(LEFT(C13,1)="(",COUNTA(C13)=0),"", INDEX(Honor!$B$2:$B998,MATCH(C13,Honor!$A$2:$A998,0)))</f>
        <v>8</v>
      </c>
      <c r="E13" s="25" t="e">
        <f t="array" aca="1" ref="E13" ca="1">IF(OR(LEFT(C13,1)="(",COUNTA(C13)=0),"",INDEX(Honor!$O$2:$O998,MATCH(C13,Honor!$A$2:$A998,0)))</f>
        <v>#NAME?</v>
      </c>
      <c r="F13" s="25"/>
      <c r="G13" s="25" t="str">
        <f ca="1">IFERROR(__xludf.DUMMYFUNCTION("""COMPUTED_VALUE"""),"Survei Harga Produsen Gabah (HPG24) Oktober")</f>
        <v>Survei Harga Produsen Gabah (HPG24) Oktober</v>
      </c>
      <c r="H13" s="50">
        <f ca="1">IFERROR(__xludf.DUMMYFUNCTION("""COMPUTED_VALUE"""),45566)</f>
        <v>45566</v>
      </c>
      <c r="I13" s="50">
        <f ca="1">IFERROR(__xludf.DUMMYFUNCTION("""COMPUTED_VALUE"""),45585)</f>
        <v>45585</v>
      </c>
      <c r="J13" s="46" t="e">
        <f t="shared" ca="1" si="0"/>
        <v>#NAME?</v>
      </c>
      <c r="K13" s="46" t="e">
        <f t="shared" ca="1" si="1"/>
        <v>#NAME?</v>
      </c>
      <c r="L13" s="25"/>
      <c r="M13" s="26"/>
      <c r="N13" s="25"/>
      <c r="O13" s="25"/>
      <c r="P13" s="25"/>
      <c r="Q13" s="25"/>
      <c r="R13" s="25"/>
      <c r="S13" s="25"/>
      <c r="T13" s="25"/>
      <c r="U13" s="25"/>
      <c r="V13" s="25"/>
      <c r="W13" s="25"/>
      <c r="X13" s="25"/>
    </row>
    <row r="14" spans="1:24" ht="13">
      <c r="A14" s="23"/>
      <c r="C14" s="51" t="str">
        <f ca="1">IFERROR(__xludf.DUMMYFUNCTION("""COMPUTED_VALUE"""),"KSA24-LAPANGAN-SEPTEMBER-PPL-KSA JAGUNG")</f>
        <v>KSA24-LAPANGAN-SEPTEMBER-PPL-KSA JAGUNG</v>
      </c>
      <c r="D14" s="25">
        <f t="array" aca="1" ref="D14" ca="1">IF(OR(LEFT(C14,1)="(",COUNTA(C14)=0),"", INDEX(Honor!$B$2:$B998,MATCH(C14,Honor!$A$2:$A998,0)))</f>
        <v>5</v>
      </c>
      <c r="E14" s="25" t="e">
        <f t="array" aca="1" ref="E14" ca="1">IF(OR(LEFT(C14,1)="(",COUNTA(C14)=0),"",INDEX(Honor!$O$2:$O998,MATCH(C14,Honor!$A$2:$A998,0)))</f>
        <v>#NAME?</v>
      </c>
      <c r="F14" s="25"/>
      <c r="G14" s="25" t="str">
        <f ca="1">IFERROR(__xludf.DUMMYFUNCTION("""COMPUTED_VALUE"""),"Survei Harga Perdagangan Besar (SHPB24) Oktober")</f>
        <v>Survei Harga Perdagangan Besar (SHPB24) Oktober</v>
      </c>
      <c r="H14" s="50">
        <f ca="1">IFERROR(__xludf.DUMMYFUNCTION("""COMPUTED_VALUE"""),45566)</f>
        <v>45566</v>
      </c>
      <c r="I14" s="50">
        <f ca="1">IFERROR(__xludf.DUMMYFUNCTION("""COMPUTED_VALUE"""),45585)</f>
        <v>45585</v>
      </c>
      <c r="J14" s="46" t="e">
        <f t="shared" ca="1" si="0"/>
        <v>#NAME?</v>
      </c>
      <c r="K14" s="46" t="e">
        <f t="shared" ca="1" si="1"/>
        <v>#NAME?</v>
      </c>
      <c r="L14" s="25"/>
      <c r="M14" s="26"/>
      <c r="N14" s="25"/>
      <c r="O14" s="25"/>
      <c r="P14" s="25"/>
      <c r="Q14" s="25"/>
      <c r="R14" s="25"/>
      <c r="S14" s="25"/>
      <c r="T14" s="25"/>
      <c r="U14" s="25"/>
      <c r="V14" s="25"/>
      <c r="W14" s="25"/>
      <c r="X14" s="25"/>
    </row>
    <row r="15" spans="1:24" ht="13">
      <c r="A15" s="23"/>
      <c r="C15" s="51" t="str">
        <f ca="1">IFERROR(__xludf.DUMMYFUNCTION("""COMPUTED_VALUE"""),"KSA24-LAPANGAN-SEPTEMBER-PPL-KSA PADI")</f>
        <v>KSA24-LAPANGAN-SEPTEMBER-PPL-KSA PADI</v>
      </c>
      <c r="D15" s="25">
        <f t="array" aca="1" ref="D15" ca="1">IF(OR(LEFT(C15,1)="(",COUNTA(C15)=0),"", INDEX(Honor!$B$2:$B998,MATCH(C15,Honor!$A$2:$A998,0)))</f>
        <v>9</v>
      </c>
      <c r="E15" s="25" t="e">
        <f t="array" aca="1" ref="E15" ca="1">IF(OR(LEFT(C15,1)="(",COUNTA(C15)=0),"",INDEX(Honor!$O$2:$O998,MATCH(C15,Honor!$A$2:$A998,0)))</f>
        <v>#NAME?</v>
      </c>
      <c r="F15" s="25"/>
      <c r="G15" s="25" t="str">
        <f ca="1">IFERROR(__xludf.DUMMYFUNCTION("""COMPUTED_VALUE"""),"Survei Harga Kemahalan Konstruksi (SHKK24) Oktober")</f>
        <v>Survei Harga Kemahalan Konstruksi (SHKK24) Oktober</v>
      </c>
      <c r="H15" s="50">
        <f ca="1">IFERROR(__xludf.DUMMYFUNCTION("""COMPUTED_VALUE"""),45566)</f>
        <v>45566</v>
      </c>
      <c r="I15" s="50">
        <f ca="1">IFERROR(__xludf.DUMMYFUNCTION("""COMPUTED_VALUE"""),45585)</f>
        <v>45585</v>
      </c>
      <c r="J15" s="46" t="e">
        <f t="shared" ca="1" si="0"/>
        <v>#NAME?</v>
      </c>
      <c r="K15" s="46" t="e">
        <f t="shared" ca="1" si="1"/>
        <v>#NAME?</v>
      </c>
      <c r="L15" s="25"/>
      <c r="M15" s="26"/>
      <c r="N15" s="25"/>
      <c r="O15" s="25"/>
      <c r="P15" s="25"/>
      <c r="Q15" s="25"/>
      <c r="R15" s="25"/>
      <c r="S15" s="25"/>
      <c r="T15" s="25"/>
      <c r="U15" s="25"/>
      <c r="V15" s="25"/>
      <c r="W15" s="25"/>
      <c r="X15" s="25"/>
    </row>
    <row r="16" spans="1:24" ht="13">
      <c r="A16" s="23"/>
      <c r="C16" s="51" t="str">
        <f ca="1">IFERROR(__xludf.DUMMYFUNCTION("""COMPUTED_VALUE"""),"HPG24-LAPANGAN-AGUSTUS-PPL-PENDATAAN")</f>
        <v>HPG24-LAPANGAN-AGUSTUS-PPL-PENDATAAN</v>
      </c>
      <c r="D16" s="25">
        <f t="array" aca="1" ref="D16" ca="1">IF(OR(LEFT(C16,1)="(",COUNTA(C16)=0),"", INDEX(Honor!$B$2:$B998,MATCH(C16,Honor!$A$2:$A998,0)))</f>
        <v>2</v>
      </c>
      <c r="E16" s="25" t="e">
        <f t="array" aca="1" ref="E16" ca="1">IF(OR(LEFT(C16,1)="(",COUNTA(C16)=0),"",INDEX(Honor!$O$2:$O998,MATCH(C16,Honor!$A$2:$A998,0)))</f>
        <v>#NAME?</v>
      </c>
      <c r="F16" s="25"/>
      <c r="G16" s="25" t="str">
        <f ca="1">IFERROR(__xludf.DUMMYFUNCTION("""COMPUTED_VALUE"""),"Survei Harga Perdesaan (SHPED24) Oktober")</f>
        <v>Survei Harga Perdesaan (SHPED24) Oktober</v>
      </c>
      <c r="H16" s="50">
        <f ca="1">IFERROR(__xludf.DUMMYFUNCTION("""COMPUTED_VALUE"""),45566)</f>
        <v>45566</v>
      </c>
      <c r="I16" s="50">
        <f ca="1">IFERROR(__xludf.DUMMYFUNCTION("""COMPUTED_VALUE"""),45585)</f>
        <v>45585</v>
      </c>
      <c r="J16" s="46" t="e">
        <f t="shared" ca="1" si="0"/>
        <v>#NAME?</v>
      </c>
      <c r="K16" s="46" t="e">
        <f t="shared" ca="1" si="1"/>
        <v>#NAME?</v>
      </c>
      <c r="L16" s="25"/>
      <c r="M16" s="26"/>
      <c r="N16" s="25"/>
      <c r="O16" s="25"/>
      <c r="P16" s="25"/>
      <c r="Q16" s="25"/>
      <c r="R16" s="25"/>
      <c r="S16" s="25"/>
      <c r="T16" s="25"/>
      <c r="U16" s="25"/>
      <c r="V16" s="25"/>
      <c r="W16" s="25"/>
      <c r="X16" s="25"/>
    </row>
    <row r="17" spans="1:24" ht="13">
      <c r="A17" s="23"/>
      <c r="C17" s="51" t="str">
        <f ca="1">IFERROR(__xludf.DUMMYFUNCTION("""COMPUTED_VALUE"""),"HPG24-LAPANGAN-SEPTEMBER-PPL-PENDATAAN")</f>
        <v>HPG24-LAPANGAN-SEPTEMBER-PPL-PENDATAAN</v>
      </c>
      <c r="D17" s="25">
        <f t="array" aca="1" ref="D17" ca="1">IF(OR(LEFT(C17,1)="(",COUNTA(C17)=0),"", INDEX(Honor!$B$2:$B998,MATCH(C17,Honor!$A$2:$A998,0)))</f>
        <v>2</v>
      </c>
      <c r="E17" s="25" t="e">
        <f t="array" aca="1" ref="E17" ca="1">IF(OR(LEFT(C17,1)="(",COUNTA(C17)=0),"",INDEX(Honor!$O$2:$O998,MATCH(C17,Honor!$A$2:$A998,0)))</f>
        <v>#NAME?</v>
      </c>
      <c r="F17" s="25"/>
      <c r="G17" s="25" t="str">
        <f ca="1">IFERROR(__xludf.DUMMYFUNCTION("""COMPUTED_VALUE"""),"Survei Harga Produsen Beras di Penggilingan 2024 (HPBG24) Oktober")</f>
        <v>Survei Harga Produsen Beras di Penggilingan 2024 (HPBG24) Oktober</v>
      </c>
      <c r="H17" s="50">
        <f ca="1">IFERROR(__xludf.DUMMYFUNCTION("""COMPUTED_VALUE"""),45566)</f>
        <v>45566</v>
      </c>
      <c r="I17" s="50">
        <f ca="1">IFERROR(__xludf.DUMMYFUNCTION("""COMPUTED_VALUE"""),45585)</f>
        <v>45585</v>
      </c>
      <c r="J17" s="46" t="e">
        <f t="shared" ca="1" si="0"/>
        <v>#NAME?</v>
      </c>
      <c r="K17" s="46" t="e">
        <f t="shared" ca="1" si="1"/>
        <v>#NAME?</v>
      </c>
      <c r="L17" s="25"/>
      <c r="M17" s="26"/>
      <c r="N17" s="25"/>
      <c r="O17" s="25"/>
      <c r="P17" s="25"/>
      <c r="Q17" s="25"/>
      <c r="R17" s="25"/>
      <c r="S17" s="25"/>
      <c r="T17" s="25"/>
      <c r="U17" s="25"/>
      <c r="V17" s="25"/>
      <c r="W17" s="25"/>
      <c r="X17" s="25"/>
    </row>
    <row r="18" spans="1:24" ht="13">
      <c r="A18" s="23"/>
      <c r="C18" s="51" t="str">
        <f ca="1">IFERROR(__xludf.DUMMYFUNCTION("""COMPUTED_VALUE"""),"SHPB24-LAPANGAN-AGUSTUS-PPL-PENDATAAN")</f>
        <v>SHPB24-LAPANGAN-AGUSTUS-PPL-PENDATAAN</v>
      </c>
      <c r="D18" s="25">
        <f t="array" aca="1" ref="D18" ca="1">IF(OR(LEFT(C18,1)="(",COUNTA(C18)=0),"", INDEX(Honor!$B$2:$B998,MATCH(C18,Honor!$A$2:$A998,0)))</f>
        <v>1</v>
      </c>
      <c r="E18" s="25" t="e">
        <f t="array" aca="1" ref="E18" ca="1">IF(OR(LEFT(C18,1)="(",COUNTA(C18)=0),"",INDEX(Honor!$O$2:$O998,MATCH(C18,Honor!$A$2:$A998,0)))</f>
        <v>#NAME?</v>
      </c>
      <c r="F18" s="25"/>
      <c r="G18" s="25" t="str">
        <f ca="1">IFERROR(__xludf.DUMMYFUNCTION("""COMPUTED_VALUE"""),"Survei Harga Produsen Jasa (HPJ24) Oktober")</f>
        <v>Survei Harga Produsen Jasa (HPJ24) Oktober</v>
      </c>
      <c r="H18" s="50">
        <f ca="1">IFERROR(__xludf.DUMMYFUNCTION("""COMPUTED_VALUE"""),45566)</f>
        <v>45566</v>
      </c>
      <c r="I18" s="50">
        <f ca="1">IFERROR(__xludf.DUMMYFUNCTION("""COMPUTED_VALUE"""),45585)</f>
        <v>45585</v>
      </c>
      <c r="J18" s="46" t="e">
        <f t="shared" ca="1" si="0"/>
        <v>#NAME?</v>
      </c>
      <c r="K18" s="46" t="e">
        <f t="shared" ca="1" si="1"/>
        <v>#NAME?</v>
      </c>
      <c r="L18" s="25"/>
      <c r="M18" s="26"/>
      <c r="N18" s="25"/>
      <c r="O18" s="25"/>
      <c r="P18" s="25"/>
      <c r="Q18" s="25"/>
      <c r="R18" s="25"/>
      <c r="S18" s="25"/>
      <c r="T18" s="25"/>
      <c r="U18" s="25"/>
      <c r="V18" s="25"/>
      <c r="W18" s="25"/>
      <c r="X18" s="25"/>
    </row>
    <row r="19" spans="1:24" ht="13">
      <c r="A19" s="23"/>
      <c r="C19" s="51" t="str">
        <f ca="1">IFERROR(__xludf.DUMMYFUNCTION("""COMPUTED_VALUE"""),"SHPB24-LAPANGAN-SEPTEMBER-PPL-PENDATAAN")</f>
        <v>SHPB24-LAPANGAN-SEPTEMBER-PPL-PENDATAAN</v>
      </c>
      <c r="D19" s="25">
        <f t="array" aca="1" ref="D19" ca="1">IF(OR(LEFT(C19,1)="(",COUNTA(C19)=0),"", INDEX(Honor!$B$2:$B998,MATCH(C19,Honor!$A$2:$A998,0)))</f>
        <v>1</v>
      </c>
      <c r="E19" s="25" t="e">
        <f t="array" aca="1" ref="E19" ca="1">IF(OR(LEFT(C19,1)="(",COUNTA(C19)=0),"",INDEX(Honor!$O$2:$O998,MATCH(C19,Honor!$A$2:$A998,0)))</f>
        <v>#NAME?</v>
      </c>
      <c r="F19" s="25"/>
      <c r="G19" s="25" t="str">
        <f ca="1">IFERROR(__xludf.DUMMYFUNCTION("""COMPUTED_VALUE"""),"Survei Hotel dan Jasa Akomodasi Bulanan (VHTS) 2024 Oktober")</f>
        <v>Survei Hotel dan Jasa Akomodasi Bulanan (VHTS) 2024 Oktober</v>
      </c>
      <c r="H19" s="50">
        <f ca="1">IFERROR(__xludf.DUMMYFUNCTION("""COMPUTED_VALUE"""),45566)</f>
        <v>45566</v>
      </c>
      <c r="I19" s="50">
        <f ca="1">IFERROR(__xludf.DUMMYFUNCTION("""COMPUTED_VALUE"""),45585)</f>
        <v>45585</v>
      </c>
      <c r="J19" s="46" t="e">
        <f t="shared" ca="1" si="0"/>
        <v>#NAME?</v>
      </c>
      <c r="K19" s="46" t="e">
        <f t="shared" ca="1" si="1"/>
        <v>#NAME?</v>
      </c>
      <c r="L19" s="25"/>
      <c r="M19" s="26"/>
      <c r="N19" s="25"/>
      <c r="O19" s="25"/>
      <c r="P19" s="25"/>
      <c r="Q19" s="25"/>
      <c r="R19" s="25"/>
      <c r="S19" s="25"/>
      <c r="T19" s="25"/>
      <c r="U19" s="25"/>
      <c r="V19" s="25"/>
      <c r="W19" s="25"/>
      <c r="X19" s="25"/>
    </row>
    <row r="20" spans="1:24" ht="13">
      <c r="A20" s="23"/>
      <c r="C20" s="51" t="str">
        <f ca="1">IFERROR(__xludf.DUMMYFUNCTION("""COMPUTED_VALUE"""),"SHPED24-LAPANGAN-AGUSTUS-PPL-PENDATAAN KONSUMEN")</f>
        <v>SHPED24-LAPANGAN-AGUSTUS-PPL-PENDATAAN KONSUMEN</v>
      </c>
      <c r="D20" s="25">
        <f t="array" aca="1" ref="D20" ca="1">IF(OR(LEFT(C20,1)="(",COUNTA(C20)=0),"", INDEX(Honor!$B$2:$B998,MATCH(C20,Honor!$A$2:$A998,0)))</f>
        <v>2</v>
      </c>
      <c r="E20" s="25" t="e">
        <f t="array" aca="1" ref="E20" ca="1">IF(OR(LEFT(C20,1)="(",COUNTA(C20)=0),"",INDEX(Honor!$O$2:$O998,MATCH(C20,Honor!$A$2:$A998,0)))</f>
        <v>#NAME?</v>
      </c>
      <c r="F20" s="25"/>
      <c r="G20" s="25" t="str">
        <f ca="1">IFERROR(__xludf.DUMMYFUNCTION("""COMPUTED_VALUE"""),"Survei Khusus Lembaga Nonprofit yang Melayani Rumah Tangga 2024 (SKLNPT24) Triwulan III")</f>
        <v>Survei Khusus Lembaga Nonprofit yang Melayani Rumah Tangga 2024 (SKLNPT24) Triwulan III</v>
      </c>
      <c r="H20" s="52">
        <f ca="1">IFERROR(__xludf.DUMMYFUNCTION("""COMPUTED_VALUE"""),45566)</f>
        <v>45566</v>
      </c>
      <c r="I20" s="52">
        <f ca="1">IFERROR(__xludf.DUMMYFUNCTION("""COMPUTED_VALUE"""),45596)</f>
        <v>45596</v>
      </c>
      <c r="J20" s="46" t="e">
        <f t="shared" ca="1" si="0"/>
        <v>#NAME?</v>
      </c>
      <c r="K20" s="46" t="e">
        <f t="shared" ca="1" si="1"/>
        <v>#NAME?</v>
      </c>
      <c r="L20" s="25"/>
      <c r="M20" s="26"/>
      <c r="N20" s="25"/>
      <c r="O20" s="25"/>
      <c r="P20" s="25"/>
      <c r="Q20" s="25"/>
      <c r="R20" s="25"/>
      <c r="S20" s="25"/>
      <c r="T20" s="25"/>
      <c r="U20" s="25"/>
      <c r="V20" s="25"/>
      <c r="W20" s="25"/>
      <c r="X20" s="25"/>
    </row>
    <row r="21" spans="1:24" ht="13">
      <c r="A21" s="23"/>
      <c r="C21" s="51" t="str">
        <f ca="1">IFERROR(__xludf.DUMMYFUNCTION("""COMPUTED_VALUE"""),"SHPED24-LAPANGAN-SEPTEMBER-PPL-PENDATAAN KONSUMEN")</f>
        <v>SHPED24-LAPANGAN-SEPTEMBER-PPL-PENDATAAN KONSUMEN</v>
      </c>
      <c r="D21" s="25">
        <f t="array" aca="1" ref="D21" ca="1">IF(OR(LEFT(C21,1)="(",COUNTA(C21)=0),"", INDEX(Honor!$B$2:$B998,MATCH(C21,Honor!$A$2:$A998,0)))</f>
        <v>2</v>
      </c>
      <c r="E21" s="25" t="e">
        <f t="array" aca="1" ref="E21" ca="1">IF(OR(LEFT(C21,1)="(",COUNTA(C21)=0),"",INDEX(Honor!$O$2:$O998,MATCH(C21,Honor!$A$2:$A998,0)))</f>
        <v>#NAME?</v>
      </c>
      <c r="F21" s="25"/>
      <c r="G21" s="25" t="str">
        <f ca="1">IFERROR(__xludf.DUMMYFUNCTION("""COMPUTED_VALUE"""),"Survei Khusus Triwulan Neraca Produksi Barang Jasa (SKTNP) 2024 Triwulan III")</f>
        <v>Survei Khusus Triwulan Neraca Produksi Barang Jasa (SKTNP) 2024 Triwulan III</v>
      </c>
      <c r="H21" s="52">
        <f ca="1">IFERROR(__xludf.DUMMYFUNCTION("""COMPUTED_VALUE"""),45566)</f>
        <v>45566</v>
      </c>
      <c r="I21" s="52">
        <f ca="1">IFERROR(__xludf.DUMMYFUNCTION("""COMPUTED_VALUE"""),45596)</f>
        <v>45596</v>
      </c>
      <c r="J21" s="46" t="e">
        <f t="shared" ca="1" si="0"/>
        <v>#NAME?</v>
      </c>
      <c r="K21" s="46" t="e">
        <f t="shared" ca="1" si="1"/>
        <v>#NAME?</v>
      </c>
      <c r="L21" s="25"/>
      <c r="M21" s="26"/>
      <c r="N21" s="25"/>
      <c r="O21" s="25"/>
      <c r="P21" s="25"/>
      <c r="Q21" s="25"/>
      <c r="R21" s="25"/>
      <c r="S21" s="25"/>
      <c r="T21" s="25"/>
      <c r="U21" s="25"/>
      <c r="V21" s="25"/>
      <c r="W21" s="25"/>
      <c r="X21" s="25"/>
    </row>
    <row r="22" spans="1:24" ht="13">
      <c r="A22" s="23"/>
      <c r="C22" s="51" t="str">
        <f ca="1">IFERROR(__xludf.DUMMYFUNCTION("""COMPUTED_VALUE"""),"HPBG24-LAPANGAN-AGUSTUS-PPL-PENDATAAN")</f>
        <v>HPBG24-LAPANGAN-AGUSTUS-PPL-PENDATAAN</v>
      </c>
      <c r="D22" s="25">
        <f t="array" aca="1" ref="D22" ca="1">IF(OR(LEFT(C22,1)="(",COUNTA(C22)=0),"", INDEX(Honor!$B$2:$B998,MATCH(C22,Honor!$A$2:$A998,0)))</f>
        <v>3</v>
      </c>
      <c r="E22" s="25" t="e">
        <f t="array" aca="1" ref="E22" ca="1">IF(OR(LEFT(C22,1)="(",COUNTA(C22)=0),"",INDEX(Honor!$O$2:$O998,MATCH(C22,Honor!$A$2:$A998,0)))</f>
        <v>#NAME?</v>
      </c>
      <c r="F22" s="25"/>
      <c r="G22" s="25" t="str">
        <f ca="1">IFERROR(__xludf.DUMMYFUNCTION("""COMPUTED_VALUE"""),"Laporan Pemotongan Ternak Bulanan 2024 Oktober")</f>
        <v>Laporan Pemotongan Ternak Bulanan 2024 Oktober</v>
      </c>
      <c r="H22" s="50">
        <f ca="1">IFERROR(__xludf.DUMMYFUNCTION("""COMPUTED_VALUE"""),45566)</f>
        <v>45566</v>
      </c>
      <c r="I22" s="50">
        <f ca="1">IFERROR(__xludf.DUMMYFUNCTION("""COMPUTED_VALUE"""),45580)</f>
        <v>45580</v>
      </c>
      <c r="J22" s="46" t="e">
        <f t="shared" ca="1" si="0"/>
        <v>#NAME?</v>
      </c>
      <c r="K22" s="46" t="e">
        <f t="shared" ca="1" si="1"/>
        <v>#NAME?</v>
      </c>
      <c r="L22" s="25"/>
      <c r="M22" s="26"/>
      <c r="N22" s="25"/>
      <c r="O22" s="25"/>
      <c r="P22" s="25"/>
      <c r="Q22" s="25"/>
      <c r="R22" s="25"/>
      <c r="S22" s="25"/>
      <c r="T22" s="25"/>
      <c r="U22" s="25"/>
      <c r="V22" s="25"/>
      <c r="W22" s="25"/>
      <c r="X22" s="25"/>
    </row>
    <row r="23" spans="1:24" ht="13">
      <c r="A23" s="23"/>
      <c r="C23" s="51" t="str">
        <f ca="1">IFERROR(__xludf.DUMMYFUNCTION("""COMPUTED_VALUE"""),"HPBG24-LAPANGAN-SEPTEMBER-PPL-PENDATAAN")</f>
        <v>HPBG24-LAPANGAN-SEPTEMBER-PPL-PENDATAAN</v>
      </c>
      <c r="D23" s="25">
        <f t="array" aca="1" ref="D23" ca="1">IF(OR(LEFT(C23,1)="(",COUNTA(C23)=0),"", INDEX(Honor!$B$2:$B998,MATCH(C23,Honor!$A$2:$A998,0)))</f>
        <v>3</v>
      </c>
      <c r="E23" s="25" t="e">
        <f t="array" aca="1" ref="E23" ca="1">IF(OR(LEFT(C23,1)="(",COUNTA(C23)=0),"",INDEX(Honor!$O$2:$O998,MATCH(C23,Honor!$A$2:$A998,0)))</f>
        <v>#NAME?</v>
      </c>
      <c r="F23" s="25"/>
      <c r="G23" s="25" t="str">
        <f ca="1">IFERROR(__xludf.DUMMYFUNCTION("""COMPUTED_VALUE"""),"Susenas September 2024")</f>
        <v>Susenas September 2024</v>
      </c>
      <c r="H23" s="53">
        <f ca="1">IFERROR(__xludf.DUMMYFUNCTION("""COMPUTED_VALUE"""),45546)</f>
        <v>45546</v>
      </c>
      <c r="I23" s="53">
        <f ca="1">IFERROR(__xludf.DUMMYFUNCTION("""COMPUTED_VALUE"""),45593)</f>
        <v>45593</v>
      </c>
      <c r="J23" s="46" t="e">
        <f t="shared" ca="1" si="0"/>
        <v>#NAME?</v>
      </c>
      <c r="K23" s="46" t="e">
        <f t="shared" ca="1" si="1"/>
        <v>#NAME?</v>
      </c>
      <c r="L23" s="25"/>
      <c r="M23" s="26"/>
      <c r="N23" s="25"/>
      <c r="O23" s="25"/>
      <c r="P23" s="25"/>
      <c r="Q23" s="25"/>
      <c r="R23" s="25"/>
      <c r="S23" s="25"/>
      <c r="T23" s="25"/>
      <c r="U23" s="25"/>
      <c r="V23" s="25"/>
      <c r="W23" s="25"/>
      <c r="X23" s="25"/>
    </row>
    <row r="24" spans="1:24" ht="13">
      <c r="A24" s="23"/>
      <c r="C24" s="51" t="str">
        <f ca="1">IFERROR(__xludf.DUMMYFUNCTION("""COMPUTED_VALUE"""),"HPJ24-LAPANGAN-AGUSTUS-PPL-PENDATAAN")</f>
        <v>HPJ24-LAPANGAN-AGUSTUS-PPL-PENDATAAN</v>
      </c>
      <c r="D24" s="25">
        <f t="array" aca="1" ref="D24" ca="1">IF(OR(LEFT(C24,1)="(",COUNTA(C24)=0),"", INDEX(Honor!$B$2:$B998,MATCH(C24,Honor!$A$2:$A998,0)))</f>
        <v>1</v>
      </c>
      <c r="E24" s="25" t="e">
        <f t="array" aca="1" ref="E24" ca="1">IF(OR(LEFT(C24,1)="(",COUNTA(C24)=0),"",INDEX(Honor!$O$2:$O998,MATCH(C24,Honor!$A$2:$A998,0)))</f>
        <v>#NAME?</v>
      </c>
      <c r="F24" s="25"/>
      <c r="G24" s="25" t="str">
        <f ca="1">IFERROR(__xludf.DUMMYFUNCTION("""COMPUTED_VALUE"""),"(SKSPPI24) SURVEI KHUSUS STUDI PENYUSUNAN PERUBAHAN INVENTORI 2024")</f>
        <v>(SKSPPI24) SURVEI KHUSUS STUDI PENYUSUNAN PERUBAHAN INVENTORI 2024</v>
      </c>
      <c r="H24" s="53">
        <f ca="1">IFERROR(__xludf.DUMMYFUNCTION("""COMPUTED_VALUE"""),45536)</f>
        <v>45536</v>
      </c>
      <c r="I24" s="46" t="str">
        <f ca="1">IFERROR(__xludf.DUMMYFUNCTION("""COMPUTED_VALUE"""),"2024-09-31")</f>
        <v>2024-09-31</v>
      </c>
      <c r="J24" s="46" t="e">
        <f t="shared" ca="1" si="0"/>
        <v>#NAME?</v>
      </c>
      <c r="K24" s="46" t="e">
        <f t="shared" ca="1" si="1"/>
        <v>#NAME?</v>
      </c>
      <c r="L24" s="25"/>
      <c r="M24" s="26"/>
      <c r="N24" s="25"/>
      <c r="O24" s="25"/>
      <c r="P24" s="25"/>
      <c r="Q24" s="25"/>
      <c r="R24" s="25"/>
      <c r="S24" s="25"/>
      <c r="T24" s="25"/>
      <c r="U24" s="25"/>
      <c r="V24" s="25"/>
      <c r="W24" s="25"/>
      <c r="X24" s="25"/>
    </row>
    <row r="25" spans="1:24" ht="13">
      <c r="A25" s="23"/>
      <c r="C25" s="51" t="str">
        <f ca="1">IFERROR(__xludf.DUMMYFUNCTION("""COMPUTED_VALUE"""),"HPJ24-LAPANGAN-SEPTEMBER-PPL-PENDATAAN")</f>
        <v>HPJ24-LAPANGAN-SEPTEMBER-PPL-PENDATAAN</v>
      </c>
      <c r="D25" s="25">
        <f t="array" aca="1" ref="D25" ca="1">IF(OR(LEFT(C25,1)="(",COUNTA(C25)=0),"", INDEX(Honor!$B$2:$B998,MATCH(C25,Honor!$A$2:$A998,0)))</f>
        <v>1</v>
      </c>
      <c r="E25" s="25" t="e">
        <f t="array" aca="1" ref="E25" ca="1">IF(OR(LEFT(C25,1)="(",COUNTA(C25)=0),"",INDEX(Honor!$O$2:$O998,MATCH(C25,Honor!$A$2:$A998,0)))</f>
        <v>#NAME?</v>
      </c>
      <c r="F25" s="25"/>
      <c r="G25" s="25" t="str">
        <f ca="1">IFERROR(__xludf.DUMMYFUNCTION("""COMPUTED_VALUE"""),"Survei Ubinan 2024 Subround 3")</f>
        <v>Survei Ubinan 2024 Subround 3</v>
      </c>
      <c r="H25" s="53">
        <f ca="1">IFERROR(__xludf.DUMMYFUNCTION("""COMPUTED_VALUE"""),45536)</f>
        <v>45536</v>
      </c>
      <c r="I25" s="46" t="str">
        <f ca="1">IFERROR(__xludf.DUMMYFUNCTION("""COMPUTED_VALUE"""),"2024-09-31")</f>
        <v>2024-09-31</v>
      </c>
      <c r="J25" s="46" t="e">
        <f t="shared" ca="1" si="0"/>
        <v>#NAME?</v>
      </c>
      <c r="K25" s="46" t="e">
        <f t="shared" ca="1" si="1"/>
        <v>#NAME?</v>
      </c>
      <c r="L25" s="25"/>
      <c r="M25" s="26"/>
      <c r="N25" s="25"/>
      <c r="O25" s="25"/>
      <c r="P25" s="25"/>
      <c r="Q25" s="25"/>
      <c r="R25" s="25"/>
      <c r="S25" s="25"/>
      <c r="T25" s="25"/>
      <c r="U25" s="25"/>
      <c r="V25" s="25"/>
      <c r="W25" s="25"/>
      <c r="X25" s="25"/>
    </row>
    <row r="26" spans="1:24" ht="13">
      <c r="A26" s="23"/>
      <c r="C26" s="51" t="str">
        <f ca="1">IFERROR(__xludf.DUMMYFUNCTION("""COMPUTED_VALUE"""),"SHPED24-LAPANGAN-AGUSTUS-PPL-PENDATAAN PRODUSEN")</f>
        <v>SHPED24-LAPANGAN-AGUSTUS-PPL-PENDATAAN PRODUSEN</v>
      </c>
      <c r="D26" s="25">
        <f t="array" aca="1" ref="D26" ca="1">IF(OR(LEFT(C26,1)="(",COUNTA(C26)=0),"", INDEX(Honor!$B$2:$B998,MATCH(C26,Honor!$A$2:$A998,0)))</f>
        <v>8</v>
      </c>
      <c r="E26" s="25" t="e">
        <f t="array" aca="1" ref="E26" ca="1">IF(OR(LEFT(C26,1)="(",COUNTA(C26)=0),"",INDEX(Honor!$O$2:$O998,MATCH(C26,Honor!$A$2:$A998,0)))</f>
        <v>#NAME?</v>
      </c>
      <c r="F26" s="25"/>
      <c r="G26" s="25"/>
      <c r="H26" s="46"/>
      <c r="I26" s="46"/>
      <c r="J26" s="46" t="e">
        <f t="shared" ca="1" si="0"/>
        <v>#NAME?</v>
      </c>
      <c r="K26" s="46" t="e">
        <f t="shared" ca="1" si="1"/>
        <v>#NAME?</v>
      </c>
      <c r="L26" s="25"/>
      <c r="M26" s="26"/>
      <c r="N26" s="25"/>
      <c r="O26" s="25"/>
      <c r="P26" s="25"/>
      <c r="Q26" s="25"/>
      <c r="R26" s="25"/>
      <c r="S26" s="25"/>
      <c r="T26" s="25"/>
      <c r="U26" s="25"/>
      <c r="V26" s="25"/>
      <c r="W26" s="25"/>
      <c r="X26" s="25"/>
    </row>
    <row r="27" spans="1:24" ht="13">
      <c r="A27" s="23"/>
      <c r="C27" s="51" t="str">
        <f ca="1">IFERROR(__xludf.DUMMYFUNCTION("""COMPUTED_VALUE"""),"SHPED24-LAPANGAN-SEPTEMBER-PPL-PENDATAAN PRODUSEN")</f>
        <v>SHPED24-LAPANGAN-SEPTEMBER-PPL-PENDATAAN PRODUSEN</v>
      </c>
      <c r="D27" s="25">
        <f t="array" aca="1" ref="D27" ca="1">IF(OR(LEFT(C27,1)="(",COUNTA(C27)=0),"", INDEX(Honor!$B$2:$B998,MATCH(C27,Honor!$A$2:$A998,0)))</f>
        <v>8</v>
      </c>
      <c r="E27" s="25" t="e">
        <f t="array" aca="1" ref="E27" ca="1">IF(OR(LEFT(C27,1)="(",COUNTA(C27)=0),"",INDEX(Honor!$O$2:$O998,MATCH(C27,Honor!$A$2:$A998,0)))</f>
        <v>#NAME?</v>
      </c>
      <c r="F27" s="25"/>
      <c r="G27" s="25"/>
      <c r="H27" s="46"/>
      <c r="I27" s="46"/>
      <c r="J27" s="46" t="e">
        <f t="shared" ca="1" si="0"/>
        <v>#NAME?</v>
      </c>
      <c r="K27" s="46" t="e">
        <f t="shared" ca="1" si="1"/>
        <v>#NAME?</v>
      </c>
      <c r="L27" s="25"/>
      <c r="M27" s="26"/>
      <c r="N27" s="25"/>
      <c r="O27" s="25"/>
      <c r="P27" s="25"/>
      <c r="Q27" s="25"/>
      <c r="R27" s="25"/>
      <c r="S27" s="25"/>
      <c r="T27" s="25"/>
      <c r="U27" s="25"/>
      <c r="V27" s="25"/>
      <c r="W27" s="25"/>
      <c r="X27" s="25"/>
    </row>
    <row r="28" spans="1:24" ht="13">
      <c r="A28" s="23"/>
      <c r="C28" s="51" t="str">
        <f ca="1">IFERROR(__xludf.DUMMYFUNCTION("""COMPUTED_VALUE"""),"SERUTI24-LAPANGAN-TRI3-PPL-PENDATAAN")</f>
        <v>SERUTI24-LAPANGAN-TRI3-PPL-PENDATAAN</v>
      </c>
      <c r="D28" s="25">
        <f t="array" aca="1" ref="D28" ca="1">IF(OR(LEFT(C28,1)="(",COUNTA(C28)=0),"", INDEX(Honor!$B$2:$B998,MATCH(C28,Honor!$A$2:$A998,0)))</f>
        <v>14</v>
      </c>
      <c r="E28" s="25" t="e">
        <f t="array" aca="1" ref="E28" ca="1">IF(OR(LEFT(C28,1)="(",COUNTA(C28)=0),"",INDEX(Honor!$O$2:$O998,MATCH(C28,Honor!$A$2:$A998,0)))</f>
        <v>#NAME?</v>
      </c>
      <c r="F28" s="25"/>
      <c r="G28" s="25"/>
      <c r="H28" s="46"/>
      <c r="I28" s="46"/>
      <c r="J28" s="46" t="e">
        <f t="shared" ca="1" si="0"/>
        <v>#NAME?</v>
      </c>
      <c r="K28" s="46" t="e">
        <f t="shared" ca="1" si="1"/>
        <v>#NAME?</v>
      </c>
      <c r="L28" s="25"/>
      <c r="M28" s="26"/>
      <c r="N28" s="25"/>
      <c r="O28" s="25"/>
      <c r="P28" s="25"/>
      <c r="Q28" s="25"/>
      <c r="R28" s="25"/>
      <c r="S28" s="25"/>
      <c r="T28" s="25"/>
      <c r="U28" s="25"/>
      <c r="V28" s="25"/>
      <c r="W28" s="25"/>
      <c r="X28" s="25"/>
    </row>
    <row r="29" spans="1:24" ht="13">
      <c r="A29" s="23"/>
      <c r="C29" s="51" t="str">
        <f ca="1">IFERROR(__xludf.DUMMYFUNCTION("""COMPUTED_VALUE"""),"SERUTI24-PENGOLAHAN-TRI3-PETUGAS ENTRI-PENGOLAHAN")</f>
        <v>SERUTI24-PENGOLAHAN-TRI3-PETUGAS ENTRI-PENGOLAHAN</v>
      </c>
      <c r="D29" s="25">
        <f t="array" aca="1" ref="D29" ca="1">IF(OR(LEFT(C29,1)="(",COUNTA(C29)=0),"", INDEX(Honor!$B$2:$B998,MATCH(C29,Honor!$A$2:$A998,0)))</f>
        <v>4</v>
      </c>
      <c r="E29" s="25" t="e">
        <f t="array" aca="1" ref="E29" ca="1">IF(OR(LEFT(C29,1)="(",COUNTA(C29)=0),"",INDEX(Honor!$O$2:$O998,MATCH(C29,Honor!$A$2:$A998,0)))</f>
        <v>#NAME?</v>
      </c>
      <c r="F29" s="25"/>
      <c r="G29" s="25"/>
      <c r="H29" s="46"/>
      <c r="I29" s="46"/>
      <c r="J29" s="46" t="e">
        <f t="shared" ca="1" si="0"/>
        <v>#NAME?</v>
      </c>
      <c r="K29" s="46" t="e">
        <f t="shared" ca="1" si="1"/>
        <v>#NAME?</v>
      </c>
      <c r="L29" s="25"/>
      <c r="M29" s="26"/>
      <c r="N29" s="25"/>
      <c r="O29" s="25"/>
      <c r="P29" s="25"/>
      <c r="Q29" s="25"/>
      <c r="R29" s="25"/>
      <c r="S29" s="25"/>
      <c r="T29" s="25"/>
      <c r="U29" s="25"/>
      <c r="V29" s="25"/>
      <c r="W29" s="25"/>
      <c r="X29" s="25"/>
    </row>
    <row r="30" spans="1:24" ht="13">
      <c r="A30" s="23"/>
      <c r="C30" s="51" t="str">
        <f ca="1">IFERROR(__xludf.DUMMYFUNCTION("""COMPUTED_VALUE"""),"VHTS24-LAPANGAN-AGUSTUS-PPL-PENDATAAN")</f>
        <v>VHTS24-LAPANGAN-AGUSTUS-PPL-PENDATAAN</v>
      </c>
      <c r="D30" s="25">
        <f t="array" aca="1" ref="D30" ca="1">IF(OR(LEFT(C30,1)="(",COUNTA(C30)=0),"", INDEX(Honor!$B$2:$B998,MATCH(C30,Honor!$A$2:$A998,0)))</f>
        <v>4</v>
      </c>
      <c r="E30" s="25" t="e">
        <f t="array" aca="1" ref="E30" ca="1">IF(OR(LEFT(C30,1)="(",COUNTA(C30)=0),"",INDEX(Honor!$O$2:$O998,MATCH(C30,Honor!$A$2:$A998,0)))</f>
        <v>#NAME?</v>
      </c>
      <c r="F30" s="25"/>
      <c r="G30" s="25"/>
      <c r="H30" s="46"/>
      <c r="I30" s="46"/>
      <c r="J30" s="46" t="e">
        <f t="shared" ca="1" si="0"/>
        <v>#NAME?</v>
      </c>
      <c r="K30" s="46" t="e">
        <f t="shared" ca="1" si="1"/>
        <v>#NAME?</v>
      </c>
      <c r="L30" s="25"/>
      <c r="M30" s="26"/>
      <c r="N30" s="25"/>
      <c r="O30" s="25"/>
      <c r="P30" s="25"/>
      <c r="Q30" s="25"/>
      <c r="R30" s="25"/>
      <c r="S30" s="25"/>
      <c r="T30" s="25"/>
      <c r="U30" s="25"/>
      <c r="V30" s="25"/>
      <c r="W30" s="25"/>
      <c r="X30" s="25"/>
    </row>
    <row r="31" spans="1:24" ht="13">
      <c r="A31" s="23"/>
      <c r="C31" s="51" t="str">
        <f ca="1">IFERROR(__xludf.DUMMYFUNCTION("""COMPUTED_VALUE"""),"VHTS24-LAPANGAN-SEPTEMBER-PPL-PENDATAAN")</f>
        <v>VHTS24-LAPANGAN-SEPTEMBER-PPL-PENDATAAN</v>
      </c>
      <c r="D31" s="25">
        <f t="array" aca="1" ref="D31" ca="1">IF(OR(LEFT(C31,1)="(",COUNTA(C31)=0),"", INDEX(Honor!$B$2:$B998,MATCH(C31,Honor!$A$2:$A998,0)))</f>
        <v>4</v>
      </c>
      <c r="E31" s="25" t="e">
        <f t="array" aca="1" ref="E31" ca="1">IF(OR(LEFT(C31,1)="(",COUNTA(C31)=0),"",INDEX(Honor!$O$2:$O998,MATCH(C31,Honor!$A$2:$A998,0)))</f>
        <v>#NAME?</v>
      </c>
      <c r="F31" s="25"/>
      <c r="G31" s="25"/>
      <c r="H31" s="46"/>
      <c r="I31" s="46"/>
      <c r="J31" s="46" t="e">
        <f t="shared" ca="1" si="0"/>
        <v>#NAME?</v>
      </c>
      <c r="K31" s="46" t="e">
        <f t="shared" ca="1" si="1"/>
        <v>#NAME?</v>
      </c>
      <c r="L31" s="25"/>
      <c r="M31" s="26"/>
      <c r="N31" s="25"/>
      <c r="O31" s="25"/>
      <c r="P31" s="25"/>
      <c r="Q31" s="25"/>
      <c r="R31" s="25"/>
      <c r="S31" s="25"/>
      <c r="T31" s="25"/>
      <c r="U31" s="25"/>
      <c r="V31" s="25"/>
      <c r="W31" s="25"/>
      <c r="X31" s="25"/>
    </row>
    <row r="32" spans="1:24" ht="13">
      <c r="A32" s="23"/>
      <c r="C32" s="51" t="str">
        <f ca="1">IFERROR(__xludf.DUMMYFUNCTION("""COMPUTED_VALUE"""),"SKTNP24-LAPANGAN-TRI2-PPL-PENDATAAN BARANG")</f>
        <v>SKTNP24-LAPANGAN-TRI2-PPL-PENDATAAN BARANG</v>
      </c>
      <c r="D32" s="25">
        <f t="array" aca="1" ref="D32" ca="1">IF(OR(LEFT(C32,1)="(",COUNTA(C32)=0),"", INDEX(Honor!$B$2:$B998,MATCH(C32,Honor!$A$2:$A998,0)))</f>
        <v>1</v>
      </c>
      <c r="E32" s="25" t="e">
        <f t="array" aca="1" ref="E32" ca="1">IF(OR(LEFT(C32,1)="(",COUNTA(C32)=0),"",INDEX(Honor!$O$2:$O998,MATCH(C32,Honor!$A$2:$A998,0)))</f>
        <v>#NAME?</v>
      </c>
      <c r="H32" s="41"/>
      <c r="I32" s="41"/>
      <c r="J32" s="46" t="e">
        <f t="shared" ca="1" si="0"/>
        <v>#NAME?</v>
      </c>
      <c r="K32" s="46" t="e">
        <f t="shared" ca="1" si="1"/>
        <v>#NAME?</v>
      </c>
      <c r="L32" s="25"/>
      <c r="M32" s="26"/>
      <c r="N32" s="25"/>
      <c r="O32" s="25"/>
      <c r="P32" s="25"/>
      <c r="Q32" s="25"/>
      <c r="R32" s="25"/>
      <c r="S32" s="25"/>
      <c r="T32" s="25"/>
      <c r="U32" s="25"/>
      <c r="V32" s="25"/>
      <c r="W32" s="25"/>
      <c r="X32" s="25"/>
    </row>
    <row r="33" spans="1:24" ht="13">
      <c r="A33" s="23"/>
      <c r="C33" s="54" t="str">
        <f ca="1">IFERROR(__xludf.DUMMYFUNCTION("""COMPUTED_VALUE"""),"SKTNP24-LAPANGAN-TRI2-PPL-PENDATAAN JASA")</f>
        <v>SKTNP24-LAPANGAN-TRI2-PPL-PENDATAAN JASA</v>
      </c>
      <c r="D33" s="25">
        <f t="array" aca="1" ref="D33" ca="1">IF(OR(LEFT(C33,1)="(",COUNTA(C33)=0),"", INDEX(Honor!$B$2:$B998,MATCH(C33,Honor!$A$2:$A998,0)))</f>
        <v>1</v>
      </c>
      <c r="E33" s="25" t="e">
        <f t="array" aca="1" ref="E33" ca="1">IF(OR(LEFT(C33,1)="(",COUNTA(C33)=0),"",INDEX(Honor!$O$2:$O998,MATCH(C33,Honor!$A$2:$A998,0)))</f>
        <v>#NAME?</v>
      </c>
      <c r="H33" s="41"/>
      <c r="I33" s="41"/>
      <c r="J33" s="46" t="e">
        <f t="shared" ca="1" si="0"/>
        <v>#NAME?</v>
      </c>
      <c r="K33" s="46" t="e">
        <f t="shared" ca="1" si="1"/>
        <v>#NAME?</v>
      </c>
      <c r="L33" s="25"/>
      <c r="M33" s="26"/>
      <c r="N33" s="25"/>
      <c r="O33" s="25"/>
      <c r="P33" s="25"/>
      <c r="Q33" s="25"/>
      <c r="R33" s="25"/>
      <c r="S33" s="25"/>
      <c r="T33" s="25"/>
      <c r="U33" s="25"/>
      <c r="V33" s="25"/>
      <c r="W33" s="25"/>
      <c r="X33" s="25"/>
    </row>
    <row r="34" spans="1:24" ht="13">
      <c r="A34" s="23"/>
      <c r="C34" s="54" t="str">
        <f ca="1">IFERROR(__xludf.DUMMYFUNCTION("""COMPUTED_VALUE"""),"SAKERNAS24-LAPANGAN-SEMESTER2-PPL-UPDATING LISTING")</f>
        <v>SAKERNAS24-LAPANGAN-SEMESTER2-PPL-UPDATING LISTING</v>
      </c>
      <c r="D34" s="25">
        <f t="array" aca="1" ref="D34" ca="1">IF(OR(LEFT(C34,1)="(",COUNTA(C34)=0),"", INDEX(Honor!$B$2:$B998,MATCH(C34,Honor!$A$2:$A998,0)))</f>
        <v>20</v>
      </c>
      <c r="E34" s="25" t="e">
        <f t="array" aca="1" ref="E34" ca="1">IF(OR(LEFT(C34,1)="(",COUNTA(C34)=0),"",INDEX(Honor!$O$2:$O998,MATCH(C34,Honor!$A$2:$A998,0)))</f>
        <v>#NAME?</v>
      </c>
      <c r="H34" s="41"/>
      <c r="I34" s="41"/>
      <c r="J34" s="46" t="e">
        <f t="shared" ca="1" si="0"/>
        <v>#NAME?</v>
      </c>
      <c r="K34" s="46" t="e">
        <f t="shared" ca="1" si="1"/>
        <v>#NAME?</v>
      </c>
      <c r="L34" s="25"/>
      <c r="M34" s="26"/>
      <c r="N34" s="25"/>
      <c r="O34" s="25"/>
      <c r="P34" s="25"/>
      <c r="Q34" s="25"/>
      <c r="R34" s="25"/>
      <c r="S34" s="25"/>
      <c r="T34" s="25"/>
      <c r="U34" s="25"/>
      <c r="V34" s="25"/>
      <c r="W34" s="25"/>
      <c r="X34" s="25"/>
    </row>
    <row r="35" spans="1:24" ht="13">
      <c r="A35" s="23"/>
      <c r="C35" s="54" t="str">
        <f ca="1">IFERROR(__xludf.DUMMYFUNCTION("""COMPUTED_VALUE"""),"SAKERNAS24-LAPANGAN-SEMESTER2-PPL-PENDATAAN")</f>
        <v>SAKERNAS24-LAPANGAN-SEMESTER2-PPL-PENDATAAN</v>
      </c>
      <c r="D35" s="25">
        <f t="array" aca="1" ref="D35" ca="1">IF(OR(LEFT(C35,1)="(",COUNTA(C35)=0),"", INDEX(Honor!$B$2:$B998,MATCH(C35,Honor!$A$2:$A998,0)))</f>
        <v>20</v>
      </c>
      <c r="E35" s="25" t="e">
        <f t="array" aca="1" ref="E35" ca="1">IF(OR(LEFT(C35,1)="(",COUNTA(C35)=0),"",INDEX(Honor!$O$2:$O998,MATCH(C35,Honor!$A$2:$A998,0)))</f>
        <v>#NAME?</v>
      </c>
      <c r="H35" s="41"/>
      <c r="I35" s="41"/>
      <c r="J35" s="46" t="e">
        <f t="shared" ca="1" si="0"/>
        <v>#NAME?</v>
      </c>
      <c r="K35" s="46" t="e">
        <f t="shared" ca="1" si="1"/>
        <v>#NAME?</v>
      </c>
      <c r="L35" s="25"/>
      <c r="M35" s="26"/>
      <c r="N35" s="25"/>
      <c r="O35" s="25"/>
      <c r="P35" s="25"/>
      <c r="Q35" s="25"/>
      <c r="R35" s="25"/>
      <c r="S35" s="25"/>
      <c r="T35" s="25"/>
      <c r="U35" s="25"/>
      <c r="V35" s="25"/>
      <c r="W35" s="25"/>
      <c r="X35" s="25"/>
    </row>
    <row r="36" spans="1:24" ht="13">
      <c r="A36" s="23"/>
      <c r="B36" s="55"/>
      <c r="C36" s="54" t="str">
        <f ca="1">IFERROR(__xludf.DUMMYFUNCTION("""COMPUTED_VALUE"""),"VPEK24-LAPANGAN-PPL-PERGUDANGAN")</f>
        <v>VPEK24-LAPANGAN-PPL-PERGUDANGAN</v>
      </c>
      <c r="D36" s="25">
        <f t="array" aca="1" ref="D36" ca="1">IF(OR(LEFT(C36,1)="(",COUNTA(C36)=0),"", INDEX(Honor!$B$2:$B998,MATCH(C36,Honor!$A$2:$A998,0)))</f>
        <v>3</v>
      </c>
      <c r="E36" s="25" t="e">
        <f t="array" aca="1" ref="E36" ca="1">IF(OR(LEFT(C36,1)="(",COUNTA(C36)=0),"",INDEX(Honor!$O$2:$O998,MATCH(C36,Honor!$A$2:$A998,0)))</f>
        <v>#NAME?</v>
      </c>
      <c r="H36" s="41"/>
      <c r="I36" s="41"/>
      <c r="J36" s="46" t="e">
        <f t="shared" ca="1" si="0"/>
        <v>#NAME?</v>
      </c>
      <c r="K36" s="46" t="e">
        <f t="shared" ca="1" si="1"/>
        <v>#NAME?</v>
      </c>
      <c r="L36" s="25"/>
      <c r="M36" s="26"/>
      <c r="N36" s="25"/>
      <c r="O36" s="25"/>
      <c r="P36" s="25"/>
      <c r="Q36" s="25"/>
      <c r="R36" s="25"/>
      <c r="S36" s="25"/>
      <c r="T36" s="25"/>
      <c r="U36" s="25"/>
      <c r="V36" s="25"/>
      <c r="W36" s="25"/>
      <c r="X36" s="25"/>
    </row>
    <row r="37" spans="1:24" ht="13">
      <c r="A37" s="23"/>
      <c r="B37" s="55"/>
      <c r="C37" s="54" t="str">
        <f ca="1">IFERROR(__xludf.DUMMYFUNCTION("""COMPUTED_VALUE"""),"VPEK24-LAPANGAN-PPL-JASA PENUNJANG ANGKUTAN")</f>
        <v>VPEK24-LAPANGAN-PPL-JASA PENUNJANG ANGKUTAN</v>
      </c>
      <c r="D37" s="25">
        <f t="array" aca="1" ref="D37" ca="1">IF(OR(LEFT(C37,1)="(",COUNTA(C37)=0),"", INDEX(Honor!$B$2:$B998,MATCH(C37,Honor!$A$2:$A998,0)))</f>
        <v>1</v>
      </c>
      <c r="E37" s="25" t="e">
        <f t="array" aca="1" ref="E37" ca="1">IF(OR(LEFT(C37,1)="(",COUNTA(C37)=0),"",INDEX(Honor!$O$2:$O998,MATCH(C37,Honor!$A$2:$A998,0)))</f>
        <v>#NAME?</v>
      </c>
      <c r="H37" s="41"/>
      <c r="I37" s="41"/>
      <c r="J37" s="46" t="e">
        <f t="shared" ca="1" si="0"/>
        <v>#NAME?</v>
      </c>
      <c r="K37" s="46" t="e">
        <f t="shared" ca="1" si="1"/>
        <v>#NAME?</v>
      </c>
      <c r="L37" s="25"/>
      <c r="M37" s="26"/>
      <c r="N37" s="25"/>
      <c r="O37" s="25"/>
      <c r="P37" s="25"/>
      <c r="Q37" s="25"/>
      <c r="R37" s="25"/>
      <c r="S37" s="25"/>
      <c r="T37" s="25"/>
      <c r="U37" s="25"/>
      <c r="V37" s="25"/>
      <c r="W37" s="25"/>
      <c r="X37" s="25"/>
    </row>
    <row r="38" spans="1:24" ht="13">
      <c r="A38" s="23"/>
      <c r="B38" s="55"/>
      <c r="C38" s="54" t="str">
        <f ca="1">IFERROR(__xludf.DUMMYFUNCTION("""COMPUTED_VALUE"""),"LPTB24-LAPANGAN-SEPTEMBER-PPL-PENDATAAN")</f>
        <v>LPTB24-LAPANGAN-SEPTEMBER-PPL-PENDATAAN</v>
      </c>
      <c r="D38" s="25">
        <f t="array" aca="1" ref="D38" ca="1">IF(OR(LEFT(C38,1)="(",COUNTA(C38)=0),"", INDEX(Honor!$B$2:$B998,MATCH(C38,Honor!$A$2:$A998,0)))</f>
        <v>1</v>
      </c>
      <c r="E38" s="25" t="e">
        <f t="array" aca="1" ref="E38" ca="1">IF(OR(LEFT(C38,1)="(",COUNTA(C38)=0),"",INDEX(Honor!$O$2:$O998,MATCH(C38,Honor!$A$2:$A998,0)))</f>
        <v>#NAME?</v>
      </c>
      <c r="H38" s="41"/>
      <c r="I38" s="41"/>
      <c r="J38" s="46" t="e">
        <f t="shared" ca="1" si="0"/>
        <v>#NAME?</v>
      </c>
      <c r="K38" s="46" t="e">
        <f t="shared" ca="1" si="1"/>
        <v>#NAME?</v>
      </c>
      <c r="L38" s="25"/>
      <c r="M38" s="26"/>
      <c r="N38" s="25"/>
      <c r="O38" s="25"/>
      <c r="P38" s="25"/>
      <c r="Q38" s="25"/>
      <c r="R38" s="25"/>
      <c r="S38" s="25"/>
      <c r="T38" s="25"/>
      <c r="U38" s="25"/>
      <c r="V38" s="25"/>
      <c r="W38" s="25"/>
      <c r="X38" s="25"/>
    </row>
    <row r="39" spans="1:24" ht="13">
      <c r="A39" s="26"/>
      <c r="B39" s="56"/>
      <c r="C39" s="57" t="str">
        <f ca="1">IFERROR(__xludf.DUMMYFUNCTION("""COMPUTED_VALUE"""),"UBINAN24-LAPANGAN-SR2-PPL-PALAWIJA")</f>
        <v>UBINAN24-LAPANGAN-SR2-PPL-PALAWIJA</v>
      </c>
      <c r="D39" s="25">
        <f t="array" aca="1" ref="D39" ca="1">IF(OR(LEFT(C39,1)="(",COUNTA(C39)=0),"", INDEX(Honor!$B$2:$B998,MATCH(C39,Honor!$A$2:$A998,0)))</f>
        <v>4</v>
      </c>
      <c r="E39" s="25" t="e">
        <f t="array" aca="1" ref="E39" ca="1">IF(OR(LEFT(C39,1)="(",COUNTA(C39)=0),"",INDEX(Honor!$O$2:$O998,MATCH(C39,Honor!$A$2:$A998,0)))</f>
        <v>#NAME?</v>
      </c>
      <c r="F39" s="25"/>
      <c r="G39" s="25"/>
      <c r="H39" s="46"/>
      <c r="I39" s="46"/>
      <c r="J39" s="46" t="e">
        <f t="shared" ca="1" si="0"/>
        <v>#NAME?</v>
      </c>
      <c r="K39" s="46" t="e">
        <f t="shared" ca="1" si="1"/>
        <v>#NAME?</v>
      </c>
      <c r="L39" s="25"/>
      <c r="M39" s="26"/>
      <c r="N39" s="25"/>
      <c r="O39" s="25"/>
      <c r="P39" s="25"/>
      <c r="Q39" s="25"/>
      <c r="R39" s="25"/>
      <c r="S39" s="25"/>
      <c r="T39" s="25"/>
      <c r="U39" s="25"/>
      <c r="V39" s="25"/>
      <c r="W39" s="25"/>
      <c r="X39" s="25"/>
    </row>
    <row r="40" spans="1:24" ht="13">
      <c r="A40" s="26"/>
      <c r="B40" s="56"/>
      <c r="C40" s="57" t="str">
        <f ca="1">IFERROR(__xludf.DUMMYFUNCTION("""COMPUTED_VALUE"""),"UBINAN24-LAPANGAN-SR2-PPL-PADI")</f>
        <v>UBINAN24-LAPANGAN-SR2-PPL-PADI</v>
      </c>
      <c r="D40" s="25">
        <f t="array" aca="1" ref="D40" ca="1">IF(OR(LEFT(C40,1)="(",COUNTA(C40)=0),"", INDEX(Honor!$B$2:$B998,MATCH(C40,Honor!$A$2:$A998,0)))</f>
        <v>3</v>
      </c>
      <c r="E40" s="25" t="e">
        <f t="array" aca="1" ref="E40" ca="1">IF(OR(LEFT(C40,1)="(",COUNTA(C40)=0),"",INDEX(Honor!$O$2:$O998,MATCH(C40,Honor!$A$2:$A998,0)))</f>
        <v>#NAME?</v>
      </c>
      <c r="F40" s="25"/>
      <c r="G40" s="25"/>
      <c r="H40" s="46"/>
      <c r="I40" s="46"/>
      <c r="J40" s="46" t="e">
        <f t="shared" ca="1" si="0"/>
        <v>#NAME?</v>
      </c>
      <c r="K40" s="46" t="e">
        <f t="shared" ca="1" si="1"/>
        <v>#NAME?</v>
      </c>
      <c r="L40" s="25"/>
      <c r="M40" s="26"/>
      <c r="N40" s="25"/>
      <c r="O40" s="25"/>
      <c r="P40" s="25"/>
      <c r="Q40" s="25"/>
      <c r="R40" s="25"/>
      <c r="S40" s="25"/>
      <c r="T40" s="25"/>
      <c r="U40" s="25"/>
      <c r="V40" s="25"/>
      <c r="W40" s="25"/>
      <c r="X40" s="25"/>
    </row>
    <row r="41" spans="1:24" ht="13">
      <c r="A41" s="26"/>
      <c r="B41" s="56"/>
      <c r="C41" s="57" t="str">
        <f ca="1">IFERROR(__xludf.DUMMYFUNCTION("""COMPUTED_VALUE"""),"IMK24-LAPANGAN-TAHUNAN-PPL-PENDATAAN")</f>
        <v>IMK24-LAPANGAN-TAHUNAN-PPL-PENDATAAN</v>
      </c>
      <c r="D41" s="25">
        <f t="array" aca="1" ref="D41" ca="1">IF(OR(LEFT(C41,1)="(",COUNTA(C41)=0),"", INDEX(Honor!$B$2:$B998,MATCH(C41,Honor!$A$2:$A998,0)))</f>
        <v>10</v>
      </c>
      <c r="E41" s="25" t="e">
        <f t="array" aca="1" ref="E41" ca="1">IF(OR(LEFT(C41,1)="(",COUNTA(C41)=0),"",INDEX(Honor!$O$2:$O998,MATCH(C41,Honor!$A$2:$A998,0)))</f>
        <v>#NAME?</v>
      </c>
      <c r="F41" s="25"/>
      <c r="G41" s="25"/>
      <c r="H41" s="46"/>
      <c r="I41" s="46"/>
      <c r="J41" s="46" t="e">
        <f t="shared" ca="1" si="0"/>
        <v>#NAME?</v>
      </c>
      <c r="K41" s="46" t="e">
        <f t="shared" ca="1" si="1"/>
        <v>#NAME?</v>
      </c>
      <c r="L41" s="25"/>
      <c r="M41" s="26"/>
      <c r="N41" s="25"/>
      <c r="O41" s="25"/>
      <c r="P41" s="25"/>
      <c r="Q41" s="25"/>
      <c r="R41" s="25"/>
      <c r="S41" s="25"/>
      <c r="T41" s="25"/>
      <c r="U41" s="25"/>
      <c r="V41" s="25"/>
      <c r="W41" s="25"/>
      <c r="X41" s="25"/>
    </row>
    <row r="42" spans="1:24" ht="13">
      <c r="A42" s="26"/>
      <c r="B42" s="56"/>
      <c r="C42" s="57" t="str">
        <f ca="1">IFERROR(__xludf.DUMMYFUNCTION("""COMPUTED_VALUE"""),"SUSENAS24-LAPANGAN-SEMESTER2-PETUGAS ENTRI-PENGOLAHAN LISTING")</f>
        <v>SUSENAS24-LAPANGAN-SEMESTER2-PETUGAS ENTRI-PENGOLAHAN LISTING</v>
      </c>
      <c r="D42" s="25">
        <f t="array" aca="1" ref="D42" ca="1">IF(OR(LEFT(C42,1)="(",COUNTA(C42)=0),"", INDEX(Honor!$B$2:$B998,MATCH(C42,Honor!$A$2:$A998,0)))</f>
        <v>1</v>
      </c>
      <c r="E42" s="25" t="e">
        <f t="array" aca="1" ref="E42" ca="1">IF(OR(LEFT(C42,1)="(",COUNTA(C42)=0),"",INDEX(Honor!$O$2:$O998,MATCH(C42,Honor!$A$2:$A998,0)))</f>
        <v>#NAME?</v>
      </c>
      <c r="F42" s="25"/>
      <c r="G42" s="25"/>
      <c r="H42" s="46"/>
      <c r="I42" s="46"/>
      <c r="J42" s="46" t="e">
        <f t="shared" ca="1" si="0"/>
        <v>#NAME?</v>
      </c>
      <c r="K42" s="46" t="e">
        <f t="shared" ca="1" si="1"/>
        <v>#NAME?</v>
      </c>
      <c r="L42" s="25"/>
      <c r="M42" s="26"/>
      <c r="N42" s="25"/>
      <c r="O42" s="25"/>
      <c r="P42" s="25"/>
      <c r="Q42" s="25"/>
      <c r="R42" s="25"/>
      <c r="S42" s="25"/>
      <c r="T42" s="25"/>
      <c r="U42" s="25"/>
      <c r="V42" s="25"/>
      <c r="W42" s="25"/>
      <c r="X42" s="25"/>
    </row>
    <row r="43" spans="1:24" ht="13">
      <c r="A43" s="26"/>
      <c r="B43" s="56"/>
      <c r="C43" s="57" t="str">
        <f ca="1">IFERROR(__xludf.DUMMYFUNCTION("""COMPUTED_VALUE"""),"SUSENAS24-LAPANGAN-SEMESTER2-PPL-UPDATING LISTING")</f>
        <v>SUSENAS24-LAPANGAN-SEMESTER2-PPL-UPDATING LISTING</v>
      </c>
      <c r="D43" s="25">
        <f t="array" aca="1" ref="D43" ca="1">IF(OR(LEFT(C43,1)="(",COUNTA(C43)=0),"", INDEX(Honor!$B$2:$B998,MATCH(C43,Honor!$A$2:$A998,0)))</f>
        <v>14</v>
      </c>
      <c r="E43" s="25" t="e">
        <f t="array" aca="1" ref="E43" ca="1">IF(OR(LEFT(C43,1)="(",COUNTA(C43)=0),"",INDEX(Honor!$O$2:$O998,MATCH(C43,Honor!$A$2:$A998,0)))</f>
        <v>#NAME?</v>
      </c>
      <c r="F43" s="25"/>
      <c r="G43" s="25"/>
      <c r="H43" s="46"/>
      <c r="I43" s="46"/>
      <c r="J43" s="46" t="e">
        <f t="shared" ca="1" si="0"/>
        <v>#NAME?</v>
      </c>
      <c r="K43" s="46" t="e">
        <f t="shared" ca="1" si="1"/>
        <v>#NAME?</v>
      </c>
      <c r="L43" s="25"/>
      <c r="M43" s="26"/>
      <c r="N43" s="25"/>
      <c r="O43" s="25"/>
      <c r="P43" s="25"/>
      <c r="Q43" s="25"/>
      <c r="R43" s="25"/>
      <c r="S43" s="25"/>
      <c r="T43" s="25"/>
      <c r="U43" s="25"/>
      <c r="V43" s="25"/>
      <c r="W43" s="25"/>
      <c r="X43" s="25"/>
    </row>
    <row r="44" spans="1:24" ht="13">
      <c r="A44" s="26"/>
      <c r="B44" s="56"/>
      <c r="C44" s="57" t="str">
        <f ca="1">IFERROR(__xludf.DUMMYFUNCTION("""COMPUTED_VALUE"""),"STPIM24-LAPANGAN-TAHUNAN-PPL-PENDATAAN")</f>
        <v>STPIM24-LAPANGAN-TAHUNAN-PPL-PENDATAAN</v>
      </c>
      <c r="D44" s="25">
        <f t="array" aca="1" ref="D44" ca="1">IF(OR(LEFT(C44,1)="(",COUNTA(C44)=0),"", INDEX(Honor!$B$2:$B998,MATCH(C44,Honor!$A$2:$A998,0)))</f>
        <v>1</v>
      </c>
      <c r="E44" s="25" t="e">
        <f t="array" aca="1" ref="E44" ca="1">IF(OR(LEFT(C44,1)="(",COUNTA(C44)=0),"",INDEX(Honor!$O$2:$O998,MATCH(C44,Honor!$A$2:$A998,0)))</f>
        <v>#NAME?</v>
      </c>
      <c r="F44" s="25"/>
      <c r="G44" s="25"/>
      <c r="H44" s="46"/>
      <c r="I44" s="46"/>
      <c r="J44" s="46" t="e">
        <f t="shared" ca="1" si="0"/>
        <v>#NAME?</v>
      </c>
      <c r="K44" s="46" t="e">
        <f t="shared" ca="1" si="1"/>
        <v>#NAME?</v>
      </c>
      <c r="L44" s="25"/>
      <c r="M44" s="26"/>
      <c r="N44" s="25"/>
      <c r="O44" s="25"/>
      <c r="P44" s="25"/>
      <c r="Q44" s="25"/>
      <c r="R44" s="25"/>
      <c r="S44" s="25"/>
      <c r="T44" s="25"/>
      <c r="U44" s="25"/>
      <c r="V44" s="25"/>
      <c r="W44" s="25"/>
      <c r="X44" s="25"/>
    </row>
    <row r="45" spans="1:24" ht="13">
      <c r="A45" s="26"/>
      <c r="B45" s="56"/>
      <c r="C45" s="57" t="str">
        <f ca="1">IFERROR(__xludf.DUMMYFUNCTION("""COMPUTED_VALUE"""),"UBINAN24-LAPANGAN-SR3-PPL-PALAWIJA")</f>
        <v>UBINAN24-LAPANGAN-SR3-PPL-PALAWIJA</v>
      </c>
      <c r="D45" s="25">
        <f t="array" aca="1" ref="D45" ca="1">IF(OR(LEFT(C45,1)="(",COUNTA(C45)=0),"", INDEX(Honor!$B$2:$B998,MATCH(C45,Honor!$A$2:$A998,0)))</f>
        <v>2</v>
      </c>
      <c r="E45" s="25" t="e">
        <f t="array" aca="1" ref="E45" ca="1">IF(OR(LEFT(C45,1)="(",COUNTA(C45)=0),"",INDEX(Honor!$O$2:$O998,MATCH(C45,Honor!$A$2:$A998,0)))</f>
        <v>#NAME?</v>
      </c>
      <c r="F45" s="25"/>
      <c r="G45" s="25"/>
      <c r="H45" s="46"/>
      <c r="I45" s="46"/>
      <c r="J45" s="46" t="e">
        <f t="shared" ca="1" si="0"/>
        <v>#NAME?</v>
      </c>
      <c r="K45" s="46" t="e">
        <f t="shared" ca="1" si="1"/>
        <v>#NAME?</v>
      </c>
      <c r="L45" s="25"/>
      <c r="M45" s="26"/>
      <c r="N45" s="25"/>
      <c r="O45" s="25"/>
      <c r="P45" s="25"/>
      <c r="Q45" s="25"/>
      <c r="R45" s="25"/>
      <c r="S45" s="25"/>
      <c r="T45" s="25"/>
      <c r="U45" s="25"/>
      <c r="V45" s="25"/>
      <c r="W45" s="25"/>
      <c r="X45" s="25"/>
    </row>
    <row r="46" spans="1:24" ht="13">
      <c r="A46" s="26"/>
      <c r="B46" s="56"/>
      <c r="C46" s="57" t="str">
        <f ca="1">IFERROR(__xludf.DUMMYFUNCTION("""COMPUTED_VALUE"""),"UBINAN24-LAPANGAN-SR3-PPL-PADI")</f>
        <v>UBINAN24-LAPANGAN-SR3-PPL-PADI</v>
      </c>
      <c r="D46" s="25">
        <f t="array" aca="1" ref="D46" ca="1">IF(OR(LEFT(C46,1)="(",COUNTA(C46)=0),"", INDEX(Honor!$B$2:$B998,MATCH(C46,Honor!$A$2:$A998,0)))</f>
        <v>6</v>
      </c>
      <c r="E46" s="25" t="e">
        <f t="array" aca="1" ref="E46" ca="1">IF(OR(LEFT(C46,1)="(",COUNTA(C46)=0),"",INDEX(Honor!$O$2:$O998,MATCH(C46,Honor!$A$2:$A998,0)))</f>
        <v>#NAME?</v>
      </c>
      <c r="F46" s="25"/>
      <c r="G46" s="25"/>
      <c r="H46" s="46"/>
      <c r="I46" s="46"/>
      <c r="J46" s="46" t="e">
        <f t="shared" ca="1" si="0"/>
        <v>#NAME?</v>
      </c>
      <c r="K46" s="46" t="e">
        <f t="shared" ca="1" si="1"/>
        <v>#NAME?</v>
      </c>
      <c r="L46" s="25"/>
      <c r="M46" s="26"/>
      <c r="N46" s="25"/>
      <c r="O46" s="25"/>
      <c r="P46" s="25"/>
      <c r="Q46" s="25"/>
      <c r="R46" s="25"/>
      <c r="S46" s="25"/>
      <c r="T46" s="25"/>
      <c r="U46" s="25"/>
      <c r="V46" s="25"/>
      <c r="W46" s="25"/>
      <c r="X46" s="25"/>
    </row>
    <row r="47" spans="1:24" ht="13">
      <c r="A47" s="26"/>
      <c r="B47" s="56"/>
      <c r="C47" s="57" t="str">
        <f ca="1">IFERROR(__xludf.DUMMYFUNCTION("""COMPUTED_VALUE"""),"SEEA24-LAPANGAN-TAHUNAN-PPL-PENDATAAN")</f>
        <v>SEEA24-LAPANGAN-TAHUNAN-PPL-PENDATAAN</v>
      </c>
      <c r="D47" s="25">
        <f t="array" aca="1" ref="D47" ca="1">IF(OR(LEFT(C47,1)="(",COUNTA(C47)=0),"", INDEX(Honor!$B$2:$B998,MATCH(C47,Honor!$A$2:$A998,0)))</f>
        <v>1</v>
      </c>
      <c r="E47" s="25" t="e">
        <f t="array" aca="1" ref="E47" ca="1">IF(OR(LEFT(C47,1)="(",COUNTA(C47)=0),"",INDEX(Honor!$O$2:$O998,MATCH(C47,Honor!$A$2:$A998,0)))</f>
        <v>#NAME?</v>
      </c>
      <c r="F47" s="25"/>
      <c r="G47" s="25"/>
      <c r="H47" s="25"/>
      <c r="I47" s="25"/>
      <c r="J47" s="46" t="e">
        <f t="shared" ca="1" si="0"/>
        <v>#NAME?</v>
      </c>
      <c r="K47" s="46" t="e">
        <f t="shared" ca="1" si="1"/>
        <v>#NAME?</v>
      </c>
      <c r="L47" s="25"/>
      <c r="M47" s="26"/>
      <c r="N47" s="25"/>
      <c r="O47" s="25"/>
      <c r="P47" s="25"/>
      <c r="Q47" s="25"/>
      <c r="R47" s="25"/>
      <c r="S47" s="25"/>
      <c r="T47" s="25"/>
      <c r="U47" s="25"/>
      <c r="V47" s="25"/>
      <c r="W47" s="25"/>
      <c r="X47" s="25"/>
    </row>
    <row r="48" spans="1:24" ht="13">
      <c r="A48" s="26"/>
      <c r="B48" s="56"/>
      <c r="C48" s="57" t="str">
        <f ca="1">IFERROR(__xludf.DUMMYFUNCTION("""COMPUTED_VALUE"""),"SKSPPI24-LAPANGAN-TAHUNAN-PPL-PENDATAAN")</f>
        <v>SKSPPI24-LAPANGAN-TAHUNAN-PPL-PENDATAAN</v>
      </c>
      <c r="D48" s="25">
        <f t="array" aca="1" ref="D48" ca="1">IF(OR(LEFT(C48,1)="(",COUNTA(C48)=0),"", INDEX(Honor!$B$2:$B998,MATCH(C48,Honor!$A$2:$A998,0)))</f>
        <v>3</v>
      </c>
      <c r="E48" s="25">
        <f t="array" aca="1" ref="E48" ca="1">IF(OR(LEFT(C48,1)="(",COUNTA(C48)=0),"",INDEX(Honor!$O$2:$O998,MATCH(C48,Honor!$A$2:$A998,0)))</f>
        <v>-19</v>
      </c>
      <c r="F48" s="25"/>
      <c r="G48" s="25"/>
      <c r="H48" s="25"/>
      <c r="I48" s="25"/>
      <c r="J48" s="46" t="e">
        <f t="shared" ca="1" si="0"/>
        <v>#NAME?</v>
      </c>
      <c r="K48" s="46" t="e">
        <f t="shared" ca="1" si="1"/>
        <v>#NAME?</v>
      </c>
      <c r="L48" s="25"/>
      <c r="M48" s="26"/>
      <c r="N48" s="25"/>
      <c r="O48" s="25"/>
      <c r="P48" s="25"/>
      <c r="Q48" s="25"/>
      <c r="R48" s="25"/>
      <c r="S48" s="25"/>
      <c r="T48" s="25"/>
      <c r="U48" s="25"/>
      <c r="V48" s="25"/>
      <c r="W48" s="25"/>
      <c r="X48" s="25"/>
    </row>
    <row r="49" spans="1:24" ht="13">
      <c r="A49" s="26"/>
      <c r="B49" s="25"/>
      <c r="C49" s="57" t="str">
        <f ca="1">IFERROR(__xludf.DUMMYFUNCTION("""COMPUTED_VALUE"""),"SUSENAS24-LAPANGAN-SEMESTER2-PETUGAS ENTRI-PENGOLAHAN PENDATAAN")</f>
        <v>SUSENAS24-LAPANGAN-SEMESTER2-PETUGAS ENTRI-PENGOLAHAN PENDATAAN</v>
      </c>
      <c r="D49" s="25">
        <f t="array" aca="1" ref="D49" ca="1">IF(OR(LEFT(C49,1)="(",COUNTA(C49)=0),"", INDEX(Honor!$B$2:$B998,MATCH(C49,Honor!$A$2:$A998,0)))</f>
        <v>4</v>
      </c>
      <c r="E49" s="25">
        <f t="array" aca="1" ref="E49" ca="1">IF(OR(LEFT(C49,1)="(",COUNTA(C49)=0),"",INDEX(Honor!$O$2:$O998,MATCH(C49,Honor!$A$2:$A998,0)))</f>
        <v>-19</v>
      </c>
      <c r="F49" s="25"/>
      <c r="G49" s="25"/>
      <c r="H49" s="25"/>
      <c r="I49" s="25"/>
      <c r="J49" s="46" t="e">
        <f t="shared" ca="1" si="0"/>
        <v>#NAME?</v>
      </c>
      <c r="K49" s="46" t="e">
        <f t="shared" ca="1" si="1"/>
        <v>#NAME?</v>
      </c>
      <c r="L49" s="25"/>
      <c r="M49" s="26"/>
      <c r="N49" s="25"/>
      <c r="O49" s="25"/>
      <c r="P49" s="25"/>
      <c r="Q49" s="25"/>
      <c r="R49" s="25"/>
      <c r="S49" s="25"/>
      <c r="T49" s="25"/>
      <c r="U49" s="25"/>
      <c r="V49" s="25"/>
      <c r="W49" s="25"/>
      <c r="X49" s="25"/>
    </row>
    <row r="50" spans="1:24" ht="13">
      <c r="A50" s="26"/>
      <c r="B50" s="25"/>
      <c r="C50" s="57" t="str">
        <f ca="1">IFERROR(__xludf.DUMMYFUNCTION("""COMPUTED_VALUE"""),"SUSENAS24-LAPANGAN-SEMESTER2-PPL-PENDATAAN")</f>
        <v>SUSENAS24-LAPANGAN-SEMESTER2-PPL-PENDATAAN</v>
      </c>
      <c r="D50" s="25">
        <f t="array" aca="1" ref="D50" ca="1">IF(OR(LEFT(C50,1)="(",COUNTA(C50)=0),"", INDEX(Honor!$B$2:$B998,MATCH(C50,Honor!$A$2:$A998,0)))</f>
        <v>14</v>
      </c>
      <c r="E50" s="25">
        <f t="array" aca="1" ref="E50" ca="1">IF(OR(LEFT(C50,1)="(",COUNTA(C50)=0),"",INDEX(Honor!$O$2:$O998,MATCH(C50,Honor!$A$2:$A998,0)))</f>
        <v>-19</v>
      </c>
      <c r="F50" s="25"/>
      <c r="G50" s="25"/>
      <c r="H50" s="25"/>
      <c r="I50" s="25"/>
      <c r="J50" s="46" t="e">
        <f t="shared" ca="1" si="0"/>
        <v>#NAME?</v>
      </c>
      <c r="K50" s="46" t="e">
        <f t="shared" ca="1" si="1"/>
        <v>#NAME?</v>
      </c>
      <c r="L50" s="25"/>
      <c r="M50" s="26"/>
      <c r="N50" s="25"/>
      <c r="O50" s="25"/>
      <c r="P50" s="25"/>
      <c r="Q50" s="25"/>
      <c r="R50" s="25"/>
      <c r="S50" s="25"/>
      <c r="T50" s="25"/>
      <c r="U50" s="25"/>
      <c r="V50" s="25"/>
      <c r="W50" s="25"/>
      <c r="X50" s="25"/>
    </row>
    <row r="51" spans="1:24" ht="13">
      <c r="A51" s="26"/>
      <c r="B51" s="25"/>
      <c r="C51" s="57" t="str">
        <f ca="1">IFERROR(__xludf.DUMMYFUNCTION("""COMPUTED_VALUE"""),"GALIANBH24-LAPANGAN-TRI2-PPL-PENDATAAN")</f>
        <v>GALIANBH24-LAPANGAN-TRI2-PPL-PENDATAAN</v>
      </c>
      <c r="D51" s="25">
        <f t="array" aca="1" ref="D51" ca="1">IF(OR(LEFT(C51,1)="(",COUNTA(C51)=0),"", INDEX(Honor!$B$2:$B998,MATCH(C51,Honor!$A$2:$A998,0)))</f>
        <v>1</v>
      </c>
      <c r="E51" s="25">
        <f t="array" aca="1" ref="E51" ca="1">IF(OR(LEFT(C51,1)="(",COUNTA(C51)=0),"",INDEX(Honor!$O$2:$O998,MATCH(C51,Honor!$A$2:$A998,0)))</f>
        <v>-19</v>
      </c>
      <c r="F51" s="25"/>
      <c r="G51" s="25"/>
      <c r="H51" s="25"/>
      <c r="I51" s="25"/>
      <c r="J51" s="46" t="e">
        <f t="shared" ca="1" si="0"/>
        <v>#NAME?</v>
      </c>
      <c r="K51" s="46" t="e">
        <f t="shared" ca="1" si="1"/>
        <v>#NAME?</v>
      </c>
      <c r="L51" s="25"/>
      <c r="M51" s="26"/>
      <c r="N51" s="25"/>
      <c r="O51" s="25"/>
      <c r="P51" s="25"/>
      <c r="Q51" s="25"/>
      <c r="R51" s="25"/>
      <c r="S51" s="25"/>
      <c r="T51" s="25"/>
      <c r="U51" s="25"/>
      <c r="V51" s="25"/>
      <c r="W51" s="25"/>
      <c r="X51" s="25"/>
    </row>
    <row r="52" spans="1:24" ht="13">
      <c r="A52" s="26"/>
      <c r="B52" s="25"/>
      <c r="C52" s="57" t="str">
        <f ca="1">IFERROR(__xludf.DUMMYFUNCTION("""COMPUTED_VALUE"""),"GALIANBH24-LAPANGAN-PPL-PENDATAAN")</f>
        <v>GALIANBH24-LAPANGAN-PPL-PENDATAAN</v>
      </c>
      <c r="D52" s="25">
        <f t="array" aca="1" ref="D52" ca="1">IF(OR(LEFT(C52,1)="(",COUNTA(C52)=0),"", INDEX(Honor!$B$2:$B998,MATCH(C52,Honor!$A$2:$A998,0)))</f>
        <v>1</v>
      </c>
      <c r="E52" s="25">
        <f t="array" aca="1" ref="E52" ca="1">IF(OR(LEFT(C52,1)="(",COUNTA(C52)=0),"",INDEX(Honor!$O$2:$O998,MATCH(C52,Honor!$A$2:$A998,0)))</f>
        <v>-19</v>
      </c>
      <c r="F52" s="25"/>
      <c r="G52" s="25"/>
      <c r="H52" s="25"/>
      <c r="I52" s="25"/>
      <c r="J52" s="46" t="e">
        <f t="shared" ca="1" si="0"/>
        <v>#NAME?</v>
      </c>
      <c r="K52" s="46" t="e">
        <f t="shared" ca="1" si="1"/>
        <v>#NAME?</v>
      </c>
      <c r="L52" s="25"/>
      <c r="M52" s="26"/>
      <c r="N52" s="25"/>
      <c r="O52" s="25"/>
      <c r="P52" s="25"/>
      <c r="Q52" s="25"/>
      <c r="R52" s="25"/>
      <c r="S52" s="25"/>
      <c r="T52" s="25"/>
      <c r="U52" s="25"/>
      <c r="V52" s="25"/>
      <c r="W52" s="25"/>
      <c r="X52" s="25"/>
    </row>
    <row r="53" spans="1:24" ht="13">
      <c r="A53" s="26"/>
      <c r="B53" s="25"/>
      <c r="C53" s="57"/>
      <c r="D53" s="25" t="str">
        <f t="array" ref="D53">IF(OR(LEFT(C53,1)="(",COUNTA(C53)=0),"", INDEX(Honor!$B$2:$B998,MATCH(C53,Honor!$A$2:$A998,0)))</f>
        <v/>
      </c>
      <c r="E53" s="25" t="str">
        <f t="array" ref="E53">IF(OR(LEFT(C53,1)="(",COUNTA(C53)=0),"",INDEX(Honor!$O$2:$O998,MATCH(C53,Honor!$A$2:$A998,0)))</f>
        <v/>
      </c>
      <c r="F53" s="25"/>
      <c r="G53" s="25"/>
      <c r="H53" s="25"/>
      <c r="I53" s="25"/>
      <c r="J53" s="46" t="e">
        <f t="shared" ca="1" si="0"/>
        <v>#NAME?</v>
      </c>
      <c r="K53" s="46" t="e">
        <f t="shared" ca="1" si="1"/>
        <v>#NAME?</v>
      </c>
      <c r="L53" s="25"/>
      <c r="M53" s="26"/>
      <c r="N53" s="25"/>
      <c r="O53" s="25"/>
      <c r="P53" s="25"/>
      <c r="Q53" s="25"/>
      <c r="R53" s="25"/>
      <c r="S53" s="25"/>
      <c r="T53" s="25"/>
      <c r="U53" s="25"/>
      <c r="V53" s="25"/>
      <c r="W53" s="25"/>
      <c r="X53" s="25"/>
    </row>
    <row r="54" spans="1:24" ht="13">
      <c r="A54" s="26"/>
      <c r="B54" s="25"/>
      <c r="C54" s="57"/>
      <c r="D54" s="25" t="str">
        <f t="array" ref="D54">IF(OR(LEFT(C54,1)="(",COUNTA(C54)=0),"", INDEX(Honor!$B$2:$B998,MATCH(C54,Honor!$A$2:$A998,0)))</f>
        <v/>
      </c>
      <c r="E54" s="25" t="str">
        <f t="array" ref="E54">IF(OR(LEFT(C54,1)="(",COUNTA(C54)=0),"",INDEX(Honor!$O$2:$O998,MATCH(C54,Honor!$A$2:$A998,0)))</f>
        <v/>
      </c>
      <c r="F54" s="25"/>
      <c r="G54" s="25"/>
      <c r="H54" s="25"/>
      <c r="I54" s="25"/>
      <c r="J54" s="46" t="e">
        <f t="shared" ca="1" si="0"/>
        <v>#NAME?</v>
      </c>
      <c r="K54" s="46" t="e">
        <f t="shared" ca="1" si="1"/>
        <v>#NAME?</v>
      </c>
      <c r="L54" s="25"/>
      <c r="M54" s="26"/>
      <c r="N54" s="25"/>
      <c r="O54" s="25"/>
      <c r="P54" s="25"/>
      <c r="Q54" s="25"/>
      <c r="R54" s="25"/>
      <c r="S54" s="25"/>
      <c r="T54" s="25"/>
      <c r="U54" s="25"/>
      <c r="V54" s="25"/>
      <c r="W54" s="25"/>
      <c r="X54" s="25"/>
    </row>
    <row r="55" spans="1:24" ht="13">
      <c r="A55" s="26"/>
      <c r="B55" s="25"/>
      <c r="C55" s="57"/>
      <c r="D55" s="25" t="str">
        <f t="array" ref="D55">IF(OR(LEFT(C55,1)="(",COUNTA(C55)=0),"", INDEX(Honor!$B$2:$B998,MATCH(C55,Honor!$A$2:$A998,0)))</f>
        <v/>
      </c>
      <c r="E55" s="25" t="str">
        <f t="array" ref="E55">IF(OR(LEFT(C55,1)="(",COUNTA(C55)=0),"",INDEX(Honor!$O$2:$O998,MATCH(C55,Honor!$A$2:$A998,0)))</f>
        <v/>
      </c>
      <c r="F55" s="25"/>
      <c r="G55" s="25"/>
      <c r="H55" s="25"/>
      <c r="I55" s="25"/>
      <c r="J55" s="25"/>
      <c r="K55" s="25"/>
      <c r="L55" s="25"/>
      <c r="M55" s="26"/>
      <c r="N55" s="25"/>
      <c r="O55" s="25"/>
      <c r="P55" s="25"/>
      <c r="Q55" s="25"/>
      <c r="R55" s="25"/>
      <c r="S55" s="25"/>
      <c r="T55" s="25"/>
      <c r="U55" s="25"/>
      <c r="V55" s="25"/>
      <c r="W55" s="25"/>
      <c r="X55" s="25"/>
    </row>
    <row r="56" spans="1:24" ht="13">
      <c r="A56" s="26"/>
      <c r="B56" s="25"/>
      <c r="C56" s="57"/>
      <c r="D56" s="25" t="str">
        <f t="array" ref="D56">IF(OR(LEFT(C56,1)="(",COUNTA(C56)=0),"", INDEX(Honor!$B$2:$B998,MATCH(C56,Honor!$A$2:$A998,0)))</f>
        <v/>
      </c>
      <c r="E56" s="25" t="str">
        <f t="array" ref="E56">IF(OR(LEFT(C56,1)="(",COUNTA(C56)=0),"",INDEX(Honor!$O$2:$O998,MATCH(C56,Honor!$A$2:$A998,0)))</f>
        <v/>
      </c>
      <c r="F56" s="25"/>
      <c r="G56" s="25"/>
      <c r="H56" s="25"/>
      <c r="I56" s="25"/>
      <c r="J56" s="25"/>
      <c r="K56" s="25"/>
      <c r="L56" s="25"/>
      <c r="M56" s="26"/>
      <c r="N56" s="25"/>
      <c r="O56" s="25"/>
      <c r="P56" s="25"/>
      <c r="Q56" s="25"/>
      <c r="R56" s="25"/>
      <c r="S56" s="25"/>
      <c r="T56" s="25"/>
      <c r="U56" s="25"/>
      <c r="V56" s="25"/>
      <c r="W56" s="25"/>
      <c r="X56" s="25"/>
    </row>
    <row r="57" spans="1:24" ht="13">
      <c r="A57" s="26"/>
      <c r="B57" s="25"/>
      <c r="C57" s="57"/>
      <c r="D57" s="25" t="str">
        <f t="array" ref="D57">IF(OR(LEFT(C57,1)="(",COUNTA(C57)=0),"", INDEX(Honor!$B$2:$B998,MATCH(C57,Honor!$A$2:$A998,0)))</f>
        <v/>
      </c>
      <c r="E57" s="25" t="str">
        <f t="array" ref="E57">IF(OR(LEFT(C57,1)="(",COUNTA(C57)=0),"",INDEX(Honor!$O$2:$O998,MATCH(C57,Honor!$A$2:$A998,0)))</f>
        <v/>
      </c>
      <c r="F57" s="25"/>
      <c r="G57" s="25"/>
      <c r="H57" s="25"/>
      <c r="I57" s="25"/>
      <c r="J57" s="25"/>
      <c r="K57" s="25"/>
      <c r="L57" s="25"/>
      <c r="M57" s="26"/>
      <c r="N57" s="25"/>
      <c r="O57" s="25"/>
      <c r="P57" s="25"/>
      <c r="Q57" s="25"/>
      <c r="R57" s="25"/>
      <c r="S57" s="25"/>
      <c r="T57" s="25"/>
      <c r="U57" s="25"/>
      <c r="V57" s="25"/>
      <c r="W57" s="25"/>
      <c r="X57" s="25"/>
    </row>
    <row r="58" spans="1:24" ht="13">
      <c r="A58" s="26"/>
      <c r="B58" s="25"/>
      <c r="C58" s="57"/>
      <c r="D58" s="25" t="str">
        <f t="array" ref="D58">IF(OR(LEFT(C58,1)="(",COUNTA(C58)=0),"", INDEX(Honor!$B$2:$B998,MATCH(C58,Honor!$A$2:$A998,0)))</f>
        <v/>
      </c>
      <c r="E58" s="25" t="str">
        <f t="array" ref="E58">IF(OR(LEFT(C58,1)="(",COUNTA(C58)=0),"",INDEX(Honor!$O$2:$O998,MATCH(C58,Honor!$A$2:$A998,0)))</f>
        <v/>
      </c>
      <c r="F58" s="25"/>
      <c r="G58" s="25"/>
      <c r="H58" s="25"/>
      <c r="I58" s="25"/>
      <c r="J58" s="25"/>
      <c r="K58" s="25"/>
      <c r="L58" s="25"/>
      <c r="M58" s="26"/>
      <c r="N58" s="25"/>
      <c r="O58" s="25"/>
      <c r="P58" s="25"/>
      <c r="Q58" s="25"/>
      <c r="R58" s="25"/>
      <c r="S58" s="25"/>
      <c r="T58" s="25"/>
      <c r="U58" s="25"/>
      <c r="V58" s="25"/>
      <c r="W58" s="25"/>
      <c r="X58" s="25"/>
    </row>
    <row r="59" spans="1:24" ht="13">
      <c r="A59" s="26"/>
      <c r="B59" s="25"/>
      <c r="C59" s="57"/>
      <c r="D59" s="25" t="str">
        <f t="array" ref="D59">IF(OR(LEFT(C59,1)="(",COUNTA(C59)=0),"", INDEX(Honor!$B$2:$B998,MATCH(C59,Honor!$A$2:$A998,0)))</f>
        <v/>
      </c>
      <c r="E59" s="25" t="str">
        <f t="array" ref="E59">IF(OR(LEFT(C59,1)="(",COUNTA(C59)=0),"",INDEX(Honor!$O$2:$O998,MATCH(C59,Honor!$A$2:$A998,0)))</f>
        <v/>
      </c>
      <c r="F59" s="25"/>
      <c r="G59" s="25"/>
      <c r="H59" s="25"/>
      <c r="I59" s="25"/>
      <c r="J59" s="25"/>
      <c r="K59" s="25"/>
      <c r="L59" s="25"/>
      <c r="M59" s="26"/>
      <c r="N59" s="25"/>
      <c r="O59" s="25"/>
      <c r="P59" s="25"/>
      <c r="Q59" s="25"/>
      <c r="R59" s="25"/>
      <c r="S59" s="25"/>
      <c r="T59" s="25"/>
      <c r="U59" s="25"/>
      <c r="V59" s="25"/>
      <c r="W59" s="25"/>
      <c r="X59" s="25"/>
    </row>
    <row r="60" spans="1:24" ht="13">
      <c r="A60" s="26"/>
      <c r="B60" s="25"/>
      <c r="C60" s="57"/>
      <c r="D60" s="25" t="str">
        <f t="array" ref="D60">IF(OR(LEFT(C60,1)="(",COUNTA(C60)=0),"", INDEX(Honor!$B$2:$B998,MATCH(C60,Honor!$A$2:$A998,0)))</f>
        <v/>
      </c>
      <c r="E60" s="25" t="str">
        <f t="array" ref="E60">IF(OR(LEFT(C60,1)="(",COUNTA(C60)=0),"",INDEX(Honor!$O$2:$O998,MATCH(C60,Honor!$A$2:$A998,0)))</f>
        <v/>
      </c>
      <c r="F60" s="25"/>
      <c r="G60" s="25"/>
      <c r="H60" s="25"/>
      <c r="I60" s="25"/>
      <c r="J60" s="25"/>
      <c r="K60" s="25"/>
      <c r="L60" s="25"/>
      <c r="M60" s="26"/>
      <c r="N60" s="25"/>
      <c r="O60" s="25"/>
      <c r="P60" s="25"/>
      <c r="Q60" s="25"/>
      <c r="R60" s="25"/>
      <c r="S60" s="25"/>
      <c r="T60" s="25"/>
      <c r="U60" s="25"/>
      <c r="V60" s="25"/>
      <c r="W60" s="25"/>
      <c r="X60" s="25"/>
    </row>
    <row r="61" spans="1:24" ht="13">
      <c r="A61" s="26"/>
      <c r="B61" s="25"/>
      <c r="C61" s="57"/>
      <c r="D61" s="25" t="str">
        <f t="array" ref="D61">IF(OR(LEFT(C61,1)="(",COUNTA(C61)=0),"", INDEX(Honor!$B$2:$B998,MATCH(C61,Honor!$A$2:$A998,0)))</f>
        <v/>
      </c>
      <c r="E61" s="25" t="str">
        <f t="array" ref="E61">IF(OR(LEFT(C61,1)="(",COUNTA(C61)=0),"",INDEX(Honor!$O$2:$O998,MATCH(C61,Honor!$A$2:$A998,0)))</f>
        <v/>
      </c>
      <c r="F61" s="25"/>
      <c r="G61" s="25"/>
      <c r="H61" s="25"/>
      <c r="I61" s="25"/>
      <c r="J61" s="25"/>
      <c r="K61" s="25"/>
      <c r="L61" s="25"/>
      <c r="M61" s="26"/>
      <c r="N61" s="25"/>
      <c r="O61" s="25"/>
      <c r="P61" s="25"/>
      <c r="Q61" s="25"/>
      <c r="R61" s="25"/>
      <c r="S61" s="25"/>
      <c r="T61" s="25"/>
      <c r="U61" s="25"/>
      <c r="V61" s="25"/>
      <c r="W61" s="25"/>
      <c r="X61" s="25"/>
    </row>
    <row r="62" spans="1:24" ht="13">
      <c r="A62" s="26"/>
      <c r="B62" s="25"/>
      <c r="C62" s="57"/>
      <c r="D62" s="25" t="str">
        <f t="array" ref="D62">IF(OR(LEFT(C62,1)="(",COUNTA(C62)=0),"", INDEX(Honor!$B$2:$B998,MATCH(C62,Honor!$A$2:$A998,0)))</f>
        <v/>
      </c>
      <c r="E62" s="25" t="str">
        <f t="array" ref="E62">IF(OR(LEFT(C62,1)="(",COUNTA(C62)=0),"",INDEX(Honor!$O$2:$O998,MATCH(C62,Honor!$A$2:$A998,0)))</f>
        <v/>
      </c>
      <c r="F62" s="25"/>
      <c r="G62" s="25"/>
      <c r="H62" s="25"/>
      <c r="I62" s="25"/>
      <c r="J62" s="25"/>
      <c r="K62" s="25"/>
      <c r="L62" s="25"/>
      <c r="M62" s="26"/>
      <c r="N62" s="25"/>
      <c r="O62" s="25"/>
      <c r="P62" s="25"/>
      <c r="Q62" s="25"/>
      <c r="R62" s="25"/>
      <c r="S62" s="25"/>
      <c r="T62" s="25"/>
      <c r="U62" s="25"/>
      <c r="V62" s="25"/>
      <c r="W62" s="25"/>
      <c r="X62" s="25"/>
    </row>
    <row r="63" spans="1:24" ht="13">
      <c r="A63" s="26"/>
      <c r="B63" s="25"/>
      <c r="C63" s="57"/>
      <c r="D63" s="25" t="str">
        <f t="array" ref="D63">IF(OR(LEFT(C63,1)="(",COUNTA(C63)=0),"", INDEX(Honor!$B$2:$B998,MATCH(C63,Honor!$A$2:$A998,0)))</f>
        <v/>
      </c>
      <c r="E63" s="25" t="str">
        <f t="array" ref="E63">IF(OR(LEFT(C63,1)="(",COUNTA(C63)=0),"",INDEX(Honor!$O$2:$O998,MATCH(C63,Honor!$A$2:$A998,0)))</f>
        <v/>
      </c>
      <c r="F63" s="25"/>
      <c r="G63" s="25"/>
      <c r="H63" s="25"/>
      <c r="I63" s="25"/>
      <c r="J63" s="25"/>
      <c r="K63" s="25"/>
      <c r="L63" s="25"/>
      <c r="M63" s="26"/>
      <c r="N63" s="25"/>
      <c r="O63" s="25"/>
      <c r="P63" s="25"/>
      <c r="Q63" s="25"/>
      <c r="R63" s="25"/>
      <c r="S63" s="25"/>
      <c r="T63" s="25"/>
      <c r="U63" s="25"/>
      <c r="V63" s="25"/>
      <c r="W63" s="25"/>
      <c r="X63" s="25"/>
    </row>
    <row r="64" spans="1:24" ht="13">
      <c r="A64" s="26"/>
      <c r="B64" s="25"/>
      <c r="C64" s="57"/>
      <c r="D64" s="25" t="str">
        <f t="array" ref="D64">IF(OR(LEFT(C64,1)="(",COUNTA(C64)=0),"", INDEX(Honor!$B$2:$B998,MATCH(C64,Honor!$A$2:$A998,0)))</f>
        <v/>
      </c>
      <c r="E64" s="25" t="str">
        <f t="array" ref="E64">IF(OR(LEFT(C64,1)="(",COUNTA(C64)=0),"",INDEX(Honor!$O$2:$O998,MATCH(C64,Honor!$A$2:$A998,0)))</f>
        <v/>
      </c>
      <c r="F64" s="25"/>
      <c r="G64" s="25"/>
      <c r="H64" s="25"/>
      <c r="I64" s="25"/>
      <c r="J64" s="25"/>
      <c r="K64" s="25"/>
      <c r="L64" s="25"/>
      <c r="M64" s="26"/>
      <c r="N64" s="25"/>
      <c r="O64" s="25"/>
      <c r="P64" s="25"/>
      <c r="Q64" s="25"/>
      <c r="R64" s="25"/>
      <c r="S64" s="25"/>
      <c r="T64" s="25"/>
      <c r="U64" s="25"/>
      <c r="V64" s="25"/>
      <c r="W64" s="25"/>
      <c r="X64" s="25"/>
    </row>
    <row r="65" spans="1:24" ht="13">
      <c r="A65" s="26"/>
      <c r="B65" s="25"/>
      <c r="C65" s="57"/>
      <c r="D65" s="25" t="str">
        <f t="array" ref="D65">IF(OR(LEFT(C65,1)="(",COUNTA(C65)=0),"", INDEX(Honor!$B$2:$B998,MATCH(C65,Honor!$A$2:$A998,0)))</f>
        <v/>
      </c>
      <c r="E65" s="25" t="str">
        <f t="array" ref="E65">IF(OR(LEFT(C65,1)="(",COUNTA(C65)=0),"",INDEX(Honor!$O$2:$O998,MATCH(C65,Honor!$A$2:$A998,0)))</f>
        <v/>
      </c>
      <c r="F65" s="25"/>
      <c r="G65" s="25"/>
      <c r="H65" s="25"/>
      <c r="I65" s="25"/>
      <c r="J65" s="25"/>
      <c r="K65" s="25"/>
      <c r="L65" s="25"/>
      <c r="M65" s="26"/>
      <c r="N65" s="25"/>
      <c r="O65" s="25"/>
      <c r="P65" s="25"/>
      <c r="Q65" s="25"/>
      <c r="R65" s="25"/>
      <c r="S65" s="25"/>
      <c r="T65" s="25"/>
      <c r="U65" s="25"/>
      <c r="V65" s="25"/>
      <c r="W65" s="25"/>
      <c r="X65" s="25"/>
    </row>
    <row r="66" spans="1:24" ht="13">
      <c r="A66" s="26"/>
      <c r="B66" s="25"/>
      <c r="C66" s="57"/>
      <c r="D66" s="25" t="str">
        <f t="array" ref="D66">IF(OR(LEFT(C66,1)="(",COUNTA(C66)=0),"", INDEX(Honor!$B$2:$B998,MATCH(C66,Honor!$A$2:$A998,0)))</f>
        <v/>
      </c>
      <c r="E66" s="25" t="str">
        <f t="array" ref="E66">IF(OR(LEFT(C66,1)="(",COUNTA(C66)=0),"",INDEX(Honor!$O$2:$O998,MATCH(C66,Honor!$A$2:$A998,0)))</f>
        <v/>
      </c>
      <c r="F66" s="25"/>
      <c r="G66" s="25"/>
      <c r="H66" s="25"/>
      <c r="I66" s="25"/>
      <c r="J66" s="25"/>
      <c r="K66" s="25"/>
      <c r="L66" s="25"/>
      <c r="M66" s="26"/>
      <c r="N66" s="25"/>
      <c r="O66" s="25"/>
      <c r="P66" s="25"/>
      <c r="Q66" s="25"/>
      <c r="R66" s="25"/>
      <c r="S66" s="25"/>
      <c r="T66" s="25"/>
      <c r="U66" s="25"/>
      <c r="V66" s="25"/>
      <c r="W66" s="25"/>
      <c r="X66" s="25"/>
    </row>
    <row r="67" spans="1:24" ht="13">
      <c r="A67" s="26"/>
      <c r="B67" s="25"/>
      <c r="C67" s="57"/>
      <c r="D67" s="25" t="str">
        <f t="array" ref="D67">IF(OR(LEFT(C67,1)="(",COUNTA(C67)=0),"", INDEX(Honor!$B$2:$B998,MATCH(C67,Honor!$A$2:$A998,0)))</f>
        <v/>
      </c>
      <c r="E67" s="25" t="str">
        <f t="array" ref="E67">IF(OR(LEFT(C67,1)="(",COUNTA(C67)=0),"",INDEX(Honor!$O$2:$O998,MATCH(C67,Honor!$A$2:$A998,0)))</f>
        <v/>
      </c>
      <c r="F67" s="25"/>
      <c r="G67" s="25"/>
      <c r="H67" s="25"/>
      <c r="I67" s="25"/>
      <c r="J67" s="25"/>
      <c r="K67" s="25"/>
      <c r="L67" s="25"/>
      <c r="M67" s="26"/>
      <c r="N67" s="25"/>
      <c r="O67" s="25"/>
      <c r="P67" s="25"/>
      <c r="Q67" s="25"/>
      <c r="R67" s="25"/>
      <c r="S67" s="25"/>
      <c r="T67" s="25"/>
      <c r="U67" s="25"/>
      <c r="V67" s="25"/>
      <c r="W67" s="25"/>
      <c r="X67" s="25"/>
    </row>
    <row r="68" spans="1:24" ht="13">
      <c r="A68" s="26"/>
      <c r="B68" s="25"/>
      <c r="C68" s="57"/>
      <c r="D68" s="25" t="str">
        <f t="array" ref="D68">IF(OR(LEFT(C68,1)="(",COUNTA(C68)=0),"", INDEX(Honor!$B$2:$B998,MATCH(C68,Honor!$A$2:$A998,0)))</f>
        <v/>
      </c>
      <c r="E68" s="25" t="str">
        <f t="array" ref="E68">IF(OR(LEFT(C68,1)="(",COUNTA(C68)=0),"",INDEX(Honor!$O$2:$O998,MATCH(C68,Honor!$A$2:$A998,0)))</f>
        <v/>
      </c>
      <c r="F68" s="25"/>
      <c r="G68" s="25"/>
      <c r="H68" s="25"/>
      <c r="I68" s="25"/>
      <c r="J68" s="25"/>
      <c r="K68" s="25"/>
      <c r="L68" s="25"/>
      <c r="M68" s="26"/>
      <c r="N68" s="25"/>
      <c r="O68" s="25"/>
      <c r="P68" s="25"/>
      <c r="Q68" s="25"/>
      <c r="R68" s="25"/>
      <c r="S68" s="25"/>
      <c r="T68" s="25"/>
      <c r="U68" s="25"/>
      <c r="V68" s="25"/>
      <c r="W68" s="25"/>
      <c r="X68" s="25"/>
    </row>
    <row r="69" spans="1:24" ht="13">
      <c r="A69" s="26"/>
      <c r="B69" s="25"/>
      <c r="C69" s="57"/>
      <c r="D69" s="25" t="str">
        <f t="array" ref="D69">IF(OR(LEFT(C69,1)="(",COUNTA(C69)=0),"", INDEX(Honor!$B$2:$B998,MATCH(C69,Honor!$A$2:$A998,0)))</f>
        <v/>
      </c>
      <c r="E69" s="25" t="str">
        <f t="array" ref="E69">IF(OR(LEFT(C69,1)="(",COUNTA(C69)=0),"",INDEX(Honor!$O$2:$O998,MATCH(C69,Honor!$A$2:$A998,0)))</f>
        <v/>
      </c>
      <c r="F69" s="25"/>
      <c r="G69" s="25"/>
      <c r="H69" s="25"/>
      <c r="I69" s="25"/>
      <c r="J69" s="25"/>
      <c r="K69" s="25"/>
      <c r="L69" s="25"/>
      <c r="M69" s="26"/>
      <c r="N69" s="25"/>
      <c r="O69" s="25"/>
      <c r="P69" s="25"/>
      <c r="Q69" s="25"/>
      <c r="R69" s="25"/>
      <c r="S69" s="25"/>
      <c r="T69" s="25"/>
      <c r="U69" s="25"/>
      <c r="V69" s="25"/>
      <c r="W69" s="25"/>
      <c r="X69" s="25"/>
    </row>
    <row r="70" spans="1:24" ht="13">
      <c r="A70" s="26"/>
      <c r="B70" s="25"/>
      <c r="C70" s="57"/>
      <c r="D70" s="25" t="str">
        <f t="array" ref="D70">IF(OR(LEFT(C70,1)="(",COUNTA(C70)=0),"", INDEX(Honor!$B$2:$B998,MATCH(C70,Honor!$A$2:$A998,0)))</f>
        <v/>
      </c>
      <c r="E70" s="25" t="str">
        <f t="array" ref="E70">IF(OR(LEFT(C70,1)="(",COUNTA(C70)=0),"",INDEX(Honor!$O$2:$O998,MATCH(C70,Honor!$A$2:$A998,0)))</f>
        <v/>
      </c>
      <c r="F70" s="25"/>
      <c r="G70" s="25"/>
      <c r="H70" s="25"/>
      <c r="I70" s="25"/>
      <c r="J70" s="25"/>
      <c r="K70" s="25"/>
      <c r="L70" s="25"/>
      <c r="M70" s="26"/>
      <c r="N70" s="25"/>
      <c r="O70" s="25"/>
      <c r="P70" s="25"/>
      <c r="Q70" s="25"/>
      <c r="R70" s="25"/>
      <c r="S70" s="25"/>
      <c r="T70" s="25"/>
      <c r="U70" s="25"/>
      <c r="V70" s="25"/>
      <c r="W70" s="25"/>
      <c r="X70" s="25"/>
    </row>
    <row r="71" spans="1:24" ht="13">
      <c r="A71" s="26"/>
      <c r="B71" s="25"/>
      <c r="C71" s="57"/>
      <c r="D71" s="25" t="str">
        <f t="array" ref="D71">IF(OR(LEFT(C71,1)="(",COUNTA(C71)=0),"", INDEX(Honor!$B$2:$B998,MATCH(C71,Honor!$A$2:$A998,0)))</f>
        <v/>
      </c>
      <c r="E71" s="25" t="str">
        <f t="array" ref="E71">IF(OR(LEFT(C71,1)="(",COUNTA(C71)=0),"",INDEX(Honor!$O$2:$O998,MATCH(C71,Honor!$A$2:$A998,0)))</f>
        <v/>
      </c>
      <c r="F71" s="25"/>
      <c r="G71" s="25"/>
      <c r="H71" s="25"/>
      <c r="I71" s="25"/>
      <c r="J71" s="25"/>
      <c r="K71" s="25"/>
      <c r="L71" s="25"/>
      <c r="M71" s="26"/>
      <c r="N71" s="25"/>
      <c r="O71" s="25"/>
      <c r="P71" s="25"/>
      <c r="Q71" s="25"/>
      <c r="R71" s="25"/>
      <c r="S71" s="25"/>
      <c r="T71" s="25"/>
      <c r="U71" s="25"/>
      <c r="V71" s="25"/>
      <c r="W71" s="25"/>
      <c r="X71" s="25"/>
    </row>
    <row r="72" spans="1:24" ht="13">
      <c r="A72" s="26"/>
      <c r="B72" s="25"/>
      <c r="C72" s="57"/>
      <c r="D72" s="25" t="str">
        <f t="array" ref="D72">IF(OR(LEFT(C72,1)="(",COUNTA(C72)=0),"", INDEX(Honor!$B$2:$B998,MATCH(C72,Honor!$A$2:$A998,0)))</f>
        <v/>
      </c>
      <c r="E72" s="25" t="str">
        <f t="array" ref="E72">IF(OR(LEFT(C72,1)="(",COUNTA(C72)=0),"",INDEX(Honor!$O$2:$O998,MATCH(C72,Honor!$A$2:$A998,0)))</f>
        <v/>
      </c>
      <c r="F72" s="25"/>
      <c r="G72" s="25"/>
      <c r="H72" s="25"/>
      <c r="I72" s="25"/>
      <c r="J72" s="25"/>
      <c r="K72" s="25"/>
      <c r="L72" s="25"/>
      <c r="M72" s="26"/>
      <c r="N72" s="25"/>
      <c r="O72" s="25"/>
      <c r="P72" s="25"/>
      <c r="Q72" s="25"/>
      <c r="R72" s="25"/>
      <c r="S72" s="25"/>
      <c r="T72" s="25"/>
      <c r="U72" s="25"/>
      <c r="V72" s="25"/>
      <c r="W72" s="25"/>
      <c r="X72" s="25"/>
    </row>
    <row r="73" spans="1:24" ht="13">
      <c r="A73" s="26"/>
      <c r="B73" s="25"/>
      <c r="C73" s="25"/>
      <c r="D73" s="25" t="str">
        <f t="array" ref="D73">IF(OR(LEFT(C73,1)="(",COUNTA(C73)=0),"", INDEX(Honor!$B$2:$B998,MATCH(C73,Honor!$A$2:$A998,0)))</f>
        <v/>
      </c>
      <c r="E73" s="25" t="str">
        <f t="array" ref="E73">IF(OR(LEFT(C73,1)="(",COUNTA(C73)=0),"",INDEX(Honor!$O$2:$O998,MATCH(C73,Honor!$A$2:$A998,0)))</f>
        <v/>
      </c>
      <c r="F73" s="25"/>
      <c r="G73" s="25"/>
      <c r="H73" s="25"/>
      <c r="I73" s="25"/>
      <c r="J73" s="25"/>
      <c r="K73" s="25"/>
      <c r="L73" s="25"/>
      <c r="M73" s="26"/>
      <c r="N73" s="25"/>
      <c r="O73" s="25"/>
      <c r="P73" s="25"/>
      <c r="Q73" s="25"/>
      <c r="R73" s="25"/>
      <c r="S73" s="25"/>
      <c r="T73" s="25"/>
      <c r="U73" s="25"/>
      <c r="V73" s="25"/>
      <c r="W73" s="25"/>
      <c r="X73" s="25"/>
    </row>
    <row r="74" spans="1:24" ht="13">
      <c r="A74" s="26"/>
      <c r="B74" s="25"/>
      <c r="C74" s="25"/>
      <c r="D74" s="25" t="str">
        <f t="array" ref="D74">IF(OR(LEFT(C74,1)="(",COUNTA(C74)=0),"", INDEX(Honor!$B$2:$B998,MATCH(C74,Honor!$A$2:$A998,0)))</f>
        <v/>
      </c>
      <c r="E74" s="25" t="str">
        <f t="array" ref="E74">IF(OR(LEFT(C74,1)="(",COUNTA(C74)=0),"",INDEX(Honor!$O$2:$O998,MATCH(C74,Honor!$A$2:$A998,0)))</f>
        <v/>
      </c>
      <c r="F74" s="25"/>
      <c r="G74" s="25"/>
      <c r="H74" s="25"/>
      <c r="I74" s="25"/>
      <c r="J74" s="25"/>
      <c r="K74" s="25"/>
      <c r="L74" s="25"/>
      <c r="M74" s="26"/>
      <c r="N74" s="25"/>
      <c r="O74" s="25"/>
      <c r="P74" s="25"/>
      <c r="Q74" s="25"/>
      <c r="R74" s="25"/>
      <c r="S74" s="25"/>
      <c r="T74" s="25"/>
      <c r="U74" s="25"/>
      <c r="V74" s="25"/>
      <c r="W74" s="25"/>
      <c r="X74" s="25"/>
    </row>
    <row r="75" spans="1:24" ht="13">
      <c r="A75" s="26"/>
      <c r="B75" s="25"/>
      <c r="C75" s="25"/>
      <c r="D75" s="25" t="str">
        <f t="array" ref="D75">IF(OR(LEFT(C75,1)="(",COUNTA(C75)=0),"", INDEX(Honor!$B$2:$B998,MATCH(C75,Honor!$A$2:$A998,0)))</f>
        <v/>
      </c>
      <c r="E75" s="25" t="str">
        <f t="array" ref="E75">IF(OR(LEFT(C75,1)="(",COUNTA(C75)=0),"",INDEX(Honor!$O$2:$O998,MATCH(C75,Honor!$A$2:$A998,0)))</f>
        <v/>
      </c>
      <c r="F75" s="25"/>
      <c r="G75" s="25"/>
      <c r="H75" s="25"/>
      <c r="I75" s="25"/>
      <c r="J75" s="25"/>
      <c r="K75" s="25"/>
      <c r="L75" s="25"/>
      <c r="M75" s="26"/>
      <c r="N75" s="25"/>
      <c r="O75" s="25"/>
      <c r="P75" s="25"/>
      <c r="Q75" s="25"/>
      <c r="R75" s="25"/>
      <c r="S75" s="25"/>
      <c r="T75" s="25"/>
      <c r="U75" s="25"/>
      <c r="V75" s="25"/>
      <c r="W75" s="25"/>
      <c r="X75" s="25"/>
    </row>
    <row r="76" spans="1:24" ht="13">
      <c r="A76" s="26"/>
      <c r="B76" s="25"/>
      <c r="C76" s="25"/>
      <c r="D76" s="25" t="str">
        <f t="array" ref="D76">IF(OR(LEFT(C76,1)="(",COUNTA(C76)=0),"", INDEX(Honor!$B$2:$B998,MATCH(C76,Honor!$A$2:$A998,0)))</f>
        <v/>
      </c>
      <c r="E76" s="25" t="str">
        <f t="array" ref="E76">IF(OR(LEFT(C76,1)="(",COUNTA(C76)=0),"",INDEX(Honor!$O$2:$O998,MATCH(C76,Honor!$A$2:$A998,0)))</f>
        <v/>
      </c>
      <c r="F76" s="25"/>
      <c r="G76" s="25"/>
      <c r="H76" s="25"/>
      <c r="I76" s="25"/>
      <c r="J76" s="25"/>
      <c r="K76" s="25"/>
      <c r="L76" s="25"/>
      <c r="M76" s="26"/>
      <c r="N76" s="25"/>
      <c r="O76" s="25"/>
      <c r="P76" s="25"/>
      <c r="Q76" s="25"/>
      <c r="R76" s="25"/>
      <c r="S76" s="25"/>
      <c r="T76" s="25"/>
      <c r="U76" s="25"/>
      <c r="V76" s="25"/>
      <c r="W76" s="25"/>
      <c r="X76" s="25"/>
    </row>
    <row r="77" spans="1:24" ht="13">
      <c r="A77" s="26"/>
      <c r="B77" s="25"/>
      <c r="C77" s="25"/>
      <c r="D77" s="25" t="str">
        <f t="array" ref="D77">IF(OR(LEFT(C77,1)="(",COUNTA(C77)=0),"", INDEX(Honor!$B$2:$B998,MATCH(C77,Honor!$A$2:$A998,0)))</f>
        <v/>
      </c>
      <c r="E77" s="25" t="str">
        <f t="array" ref="E77">IF(OR(LEFT(C77,1)="(",COUNTA(C77)=0),"",INDEX(Honor!$O$2:$O998,MATCH(C77,Honor!$A$2:$A998,0)))</f>
        <v/>
      </c>
      <c r="F77" s="25"/>
      <c r="G77" s="25"/>
      <c r="H77" s="25"/>
      <c r="I77" s="25"/>
      <c r="J77" s="25"/>
      <c r="K77" s="25"/>
      <c r="L77" s="25"/>
      <c r="M77" s="26"/>
      <c r="N77" s="25"/>
      <c r="O77" s="25"/>
      <c r="P77" s="25"/>
      <c r="Q77" s="25"/>
      <c r="R77" s="25"/>
      <c r="S77" s="25"/>
      <c r="T77" s="25"/>
      <c r="U77" s="25"/>
      <c r="V77" s="25"/>
      <c r="W77" s="25"/>
      <c r="X77" s="25"/>
    </row>
    <row r="78" spans="1:24" ht="13">
      <c r="A78" s="26"/>
      <c r="B78" s="25"/>
      <c r="C78" s="25"/>
      <c r="D78" s="25" t="str">
        <f t="array" ref="D78">IF(OR(LEFT(C78,1)="(",COUNTA(C78)=0),"", INDEX(Honor!$B$2:$B998,MATCH(C78,Honor!$A$2:$A998,0)))</f>
        <v/>
      </c>
      <c r="E78" s="25" t="str">
        <f t="array" ref="E78">IF(OR(LEFT(C78,1)="(",COUNTA(C78)=0),"",INDEX(Honor!$O$2:$O998,MATCH(C78,Honor!$A$2:$A998,0)))</f>
        <v/>
      </c>
      <c r="F78" s="25"/>
      <c r="G78" s="25"/>
      <c r="H78" s="25"/>
      <c r="I78" s="25"/>
      <c r="J78" s="25"/>
      <c r="K78" s="25"/>
      <c r="L78" s="25"/>
      <c r="M78" s="26"/>
      <c r="N78" s="25"/>
      <c r="O78" s="25"/>
      <c r="P78" s="25"/>
      <c r="Q78" s="25"/>
      <c r="R78" s="25"/>
      <c r="S78" s="25"/>
      <c r="T78" s="25"/>
      <c r="U78" s="25"/>
      <c r="V78" s="25"/>
      <c r="W78" s="25"/>
      <c r="X78" s="25"/>
    </row>
    <row r="79" spans="1:24" ht="13">
      <c r="A79" s="26"/>
      <c r="B79" s="25"/>
      <c r="C79" s="25"/>
      <c r="D79" s="25" t="str">
        <f t="array" ref="D79">IF(OR(LEFT(C79,1)="(",COUNTA(C79)=0),"", INDEX(Honor!$B$2:$B998,MATCH(C79,Honor!$A$2:$A998,0)))</f>
        <v/>
      </c>
      <c r="E79" s="25" t="str">
        <f t="array" ref="E79">IF(OR(LEFT(C79,1)="(",COUNTA(C79)=0),"",INDEX(Honor!$O$2:$O998,MATCH(C79,Honor!$A$2:$A998,0)))</f>
        <v/>
      </c>
      <c r="F79" s="25"/>
      <c r="G79" s="25"/>
      <c r="H79" s="25"/>
      <c r="I79" s="25"/>
      <c r="J79" s="25"/>
      <c r="K79" s="25"/>
      <c r="L79" s="25"/>
      <c r="M79" s="26"/>
      <c r="N79" s="25"/>
      <c r="O79" s="25"/>
      <c r="P79" s="25"/>
      <c r="Q79" s="25"/>
      <c r="R79" s="25"/>
      <c r="S79" s="25"/>
      <c r="T79" s="25"/>
      <c r="U79" s="25"/>
      <c r="V79" s="25"/>
      <c r="W79" s="25"/>
      <c r="X79" s="25"/>
    </row>
    <row r="80" spans="1:24" ht="13">
      <c r="A80" s="26"/>
      <c r="B80" s="25"/>
      <c r="C80" s="25"/>
      <c r="D80" s="25" t="str">
        <f t="array" ref="D80">IF(OR(LEFT(C80,1)="(",COUNTA(C80)=0),"", INDEX(Honor!$B$2:$B998,MATCH(C80,Honor!$A$2:$A998,0)))</f>
        <v/>
      </c>
      <c r="E80" s="25" t="str">
        <f t="array" ref="E80">IF(OR(LEFT(C80,1)="(",COUNTA(C80)=0),"",INDEX(Honor!$O$2:$O998,MATCH(C80,Honor!$A$2:$A998,0)))</f>
        <v/>
      </c>
      <c r="F80" s="25"/>
      <c r="G80" s="25"/>
      <c r="H80" s="25"/>
      <c r="I80" s="25"/>
      <c r="J80" s="25"/>
      <c r="K80" s="25"/>
      <c r="L80" s="25"/>
      <c r="M80" s="26"/>
      <c r="N80" s="25"/>
      <c r="O80" s="25"/>
      <c r="P80" s="25"/>
      <c r="Q80" s="25"/>
      <c r="R80" s="25"/>
      <c r="S80" s="25"/>
      <c r="T80" s="25"/>
      <c r="U80" s="25"/>
      <c r="V80" s="25"/>
      <c r="W80" s="25"/>
      <c r="X80" s="25"/>
    </row>
    <row r="81" spans="1:24" ht="13">
      <c r="A81" s="26"/>
      <c r="B81" s="25"/>
      <c r="C81" s="25"/>
      <c r="D81" s="25" t="str">
        <f t="array" ref="D81">IF(OR(LEFT(C81,1)="(",COUNTA(C81)=0),"", INDEX(Honor!$B$2:$B998,MATCH(C81,Honor!$A$2:$A998,0)))</f>
        <v/>
      </c>
      <c r="E81" s="25" t="str">
        <f t="array" ref="E81">IF(OR(LEFT(C81,1)="(",COUNTA(C81)=0),"",INDEX(Honor!$O$2:$O998,MATCH(C81,Honor!$A$2:$A998,0)))</f>
        <v/>
      </c>
      <c r="F81" s="25"/>
      <c r="G81" s="25"/>
      <c r="H81" s="25"/>
      <c r="I81" s="25"/>
      <c r="J81" s="25"/>
      <c r="K81" s="25"/>
      <c r="L81" s="25"/>
      <c r="M81" s="26"/>
      <c r="N81" s="25"/>
      <c r="O81" s="25"/>
      <c r="P81" s="25"/>
      <c r="Q81" s="25"/>
      <c r="R81" s="25"/>
      <c r="S81" s="25"/>
      <c r="T81" s="25"/>
      <c r="U81" s="25"/>
      <c r="V81" s="25"/>
      <c r="W81" s="25"/>
      <c r="X81" s="25"/>
    </row>
    <row r="82" spans="1:24" ht="13">
      <c r="A82" s="26"/>
      <c r="B82" s="25"/>
      <c r="C82" s="25"/>
      <c r="D82" s="25" t="str">
        <f t="array" ref="D82">IF(OR(LEFT(C82,1)="(",COUNTA(C82)=0),"", INDEX(Honor!$B$2:$B998,MATCH(C82,Honor!$A$2:$A998,0)))</f>
        <v/>
      </c>
      <c r="E82" s="25" t="str">
        <f t="array" ref="E82">IF(OR(LEFT(C82,1)="(",COUNTA(C82)=0),"",INDEX(Honor!$O$2:$O998,MATCH(C82,Honor!$A$2:$A998,0)))</f>
        <v/>
      </c>
      <c r="F82" s="25"/>
      <c r="G82" s="25"/>
      <c r="H82" s="25"/>
      <c r="I82" s="25"/>
      <c r="J82" s="25"/>
      <c r="K82" s="25"/>
      <c r="L82" s="25"/>
      <c r="M82" s="26"/>
      <c r="N82" s="25"/>
      <c r="O82" s="25"/>
      <c r="P82" s="25"/>
      <c r="Q82" s="25"/>
      <c r="R82" s="25"/>
      <c r="S82" s="25"/>
      <c r="T82" s="25"/>
      <c r="U82" s="25"/>
      <c r="V82" s="25"/>
      <c r="W82" s="25"/>
      <c r="X82" s="25"/>
    </row>
    <row r="83" spans="1:24" ht="13">
      <c r="A83" s="26"/>
      <c r="B83" s="25"/>
      <c r="C83" s="25"/>
      <c r="D83" s="25" t="str">
        <f t="array" ref="D83">IF(OR(LEFT(C83,1)="(",COUNTA(C83)=0),"", INDEX(Honor!$B$2:$B998,MATCH(C83,Honor!$A$2:$A998,0)))</f>
        <v/>
      </c>
      <c r="E83" s="25" t="str">
        <f t="array" ref="E83">IF(OR(LEFT(C83,1)="(",COUNTA(C83)=0),"",INDEX(Honor!$O$2:$O998,MATCH(C83,Honor!$A$2:$A998,0)))</f>
        <v/>
      </c>
      <c r="F83" s="25"/>
      <c r="G83" s="25"/>
      <c r="H83" s="25"/>
      <c r="I83" s="25"/>
      <c r="J83" s="25"/>
      <c r="K83" s="25"/>
      <c r="L83" s="25"/>
      <c r="M83" s="26"/>
      <c r="N83" s="25"/>
      <c r="O83" s="25"/>
      <c r="P83" s="25"/>
      <c r="Q83" s="25"/>
      <c r="R83" s="25"/>
      <c r="S83" s="25"/>
      <c r="T83" s="25"/>
      <c r="U83" s="25"/>
      <c r="V83" s="25"/>
      <c r="W83" s="25"/>
      <c r="X83" s="25"/>
    </row>
    <row r="84" spans="1:24" ht="13">
      <c r="A84" s="26"/>
      <c r="B84" s="25"/>
      <c r="C84" s="25"/>
      <c r="D84" s="25" t="str">
        <f t="array" ref="D84">IF(OR(LEFT(C84,1)="(",COUNTA(C84)=0),"", INDEX(Honor!$B$2:$B998,MATCH(C84,Honor!$A$2:$A998,0)))</f>
        <v/>
      </c>
      <c r="E84" s="25" t="str">
        <f t="array" ref="E84">IF(OR(LEFT(C84,1)="(",COUNTA(C84)=0),"",INDEX(Honor!$O$2:$O998,MATCH(C84,Honor!$A$2:$A998,0)))</f>
        <v/>
      </c>
      <c r="F84" s="25"/>
      <c r="G84" s="25"/>
      <c r="H84" s="25"/>
      <c r="I84" s="25"/>
      <c r="J84" s="25"/>
      <c r="K84" s="25"/>
      <c r="L84" s="25"/>
      <c r="M84" s="26"/>
      <c r="N84" s="25"/>
      <c r="O84" s="25"/>
      <c r="P84" s="25"/>
      <c r="Q84" s="25"/>
      <c r="R84" s="25"/>
      <c r="S84" s="25"/>
      <c r="T84" s="25"/>
      <c r="U84" s="25"/>
      <c r="V84" s="25"/>
      <c r="W84" s="25"/>
      <c r="X84" s="25"/>
    </row>
    <row r="85" spans="1:24" ht="13">
      <c r="A85" s="26"/>
      <c r="B85" s="25"/>
      <c r="C85" s="25"/>
      <c r="D85" s="25" t="str">
        <f t="array" ref="D85">IF(OR(LEFT(C85,1)="(",COUNTA(C85)=0),"", INDEX(Honor!$B$2:$B998,MATCH(C85,Honor!$A$2:$A998,0)))</f>
        <v/>
      </c>
      <c r="E85" s="25" t="str">
        <f t="array" ref="E85">IF(OR(LEFT(C85,1)="(",COUNTA(C85)=0),"",INDEX(Honor!$O$2:$O998,MATCH(C85,Honor!$A$2:$A998,0)))</f>
        <v/>
      </c>
      <c r="F85" s="25"/>
      <c r="G85" s="25"/>
      <c r="H85" s="25"/>
      <c r="I85" s="25"/>
      <c r="J85" s="25"/>
      <c r="K85" s="25"/>
      <c r="L85" s="25"/>
      <c r="M85" s="26"/>
      <c r="N85" s="25"/>
      <c r="O85" s="25"/>
      <c r="P85" s="25"/>
      <c r="Q85" s="25"/>
      <c r="R85" s="25"/>
      <c r="S85" s="25"/>
      <c r="T85" s="25"/>
      <c r="U85" s="25"/>
      <c r="V85" s="25"/>
      <c r="W85" s="25"/>
      <c r="X85" s="25"/>
    </row>
    <row r="86" spans="1:24" ht="13">
      <c r="A86" s="26"/>
      <c r="B86" s="25"/>
      <c r="C86" s="25"/>
      <c r="D86" s="25" t="str">
        <f t="array" ref="D86">IF(OR(LEFT(C86,1)="(",COUNTA(C86)=0),"", INDEX(Honor!$B$2:$B998,MATCH(C86,Honor!$A$2:$A998,0)))</f>
        <v/>
      </c>
      <c r="E86" s="25" t="str">
        <f t="array" ref="E86">IF(OR(LEFT(C86,1)="(",COUNTA(C86)=0),"",INDEX(Honor!$O$2:$O998,MATCH(C86,Honor!$A$2:$A998,0)))</f>
        <v/>
      </c>
      <c r="F86" s="25"/>
      <c r="G86" s="25"/>
      <c r="H86" s="25"/>
      <c r="I86" s="25"/>
      <c r="J86" s="25"/>
      <c r="K86" s="25"/>
      <c r="L86" s="25"/>
      <c r="M86" s="26"/>
      <c r="N86" s="25"/>
      <c r="O86" s="25"/>
      <c r="P86" s="25"/>
      <c r="Q86" s="25"/>
      <c r="R86" s="25"/>
      <c r="S86" s="25"/>
      <c r="T86" s="25"/>
      <c r="U86" s="25"/>
      <c r="V86" s="25"/>
      <c r="W86" s="25"/>
      <c r="X86" s="25"/>
    </row>
    <row r="87" spans="1:24" ht="13">
      <c r="A87" s="26"/>
      <c r="B87" s="25"/>
      <c r="C87" s="25"/>
      <c r="D87" s="25" t="str">
        <f t="array" ref="D87">IF(OR(LEFT(C87,1)="(",COUNTA(C87)=0),"", INDEX(Honor!$B$2:$B998,MATCH(C87,Honor!$A$2:$A998,0)))</f>
        <v/>
      </c>
      <c r="E87" s="25" t="str">
        <f t="array" ref="E87">IF(OR(LEFT(C87,1)="(",COUNTA(C87)=0),"",INDEX(Honor!$O$2:$O998,MATCH(C87,Honor!$A$2:$A998,0)))</f>
        <v/>
      </c>
      <c r="F87" s="25"/>
      <c r="G87" s="25"/>
      <c r="H87" s="25"/>
      <c r="I87" s="25"/>
      <c r="J87" s="25"/>
      <c r="K87" s="25"/>
      <c r="L87" s="25"/>
      <c r="M87" s="26"/>
      <c r="N87" s="25"/>
      <c r="O87" s="25"/>
      <c r="P87" s="25"/>
      <c r="Q87" s="25"/>
      <c r="R87" s="25"/>
      <c r="S87" s="25"/>
      <c r="T87" s="25"/>
      <c r="U87" s="25"/>
      <c r="V87" s="25"/>
      <c r="W87" s="25"/>
      <c r="X87" s="25"/>
    </row>
    <row r="88" spans="1:24" ht="13">
      <c r="A88" s="26"/>
      <c r="B88" s="25"/>
      <c r="C88" s="25"/>
      <c r="D88" s="25" t="str">
        <f t="array" ref="D88">IF(OR(LEFT(C88,1)="(",COUNTA(C88)=0),"", INDEX(Honor!$B$2:$B998,MATCH(C88,Honor!$A$2:$A998,0)))</f>
        <v/>
      </c>
      <c r="E88" s="25" t="str">
        <f t="array" ref="E88">IF(OR(LEFT(C88,1)="(",COUNTA(C88)=0),"",INDEX(Honor!$O$2:$O998,MATCH(C88,Honor!$A$2:$A998,0)))</f>
        <v/>
      </c>
      <c r="F88" s="25"/>
      <c r="G88" s="25"/>
      <c r="H88" s="25"/>
      <c r="I88" s="25"/>
      <c r="J88" s="25"/>
      <c r="K88" s="25"/>
      <c r="L88" s="25"/>
      <c r="M88" s="26"/>
      <c r="N88" s="25"/>
      <c r="O88" s="25"/>
      <c r="P88" s="25"/>
      <c r="Q88" s="25"/>
      <c r="R88" s="25"/>
      <c r="S88" s="25"/>
      <c r="T88" s="25"/>
      <c r="U88" s="25"/>
      <c r="V88" s="25"/>
      <c r="W88" s="25"/>
      <c r="X88" s="25"/>
    </row>
    <row r="89" spans="1:24" ht="13">
      <c r="A89" s="26"/>
      <c r="B89" s="25"/>
      <c r="C89" s="25"/>
      <c r="D89" s="25" t="str">
        <f t="array" ref="D89">IF(OR(LEFT(C89,1)="(",COUNTA(C89)=0),"", INDEX(Honor!$B$2:$B998,MATCH(C89,Honor!$A$2:$A998,0)))</f>
        <v/>
      </c>
      <c r="E89" s="25" t="str">
        <f t="array" ref="E89">IF(OR(LEFT(C89,1)="(",COUNTA(C89)=0),"",INDEX(Honor!$O$2:$O998,MATCH(C89,Honor!$A$2:$A998,0)))</f>
        <v/>
      </c>
      <c r="F89" s="25"/>
      <c r="G89" s="25"/>
      <c r="H89" s="25"/>
      <c r="I89" s="25"/>
      <c r="J89" s="25"/>
      <c r="K89" s="25"/>
      <c r="L89" s="25"/>
      <c r="M89" s="26"/>
      <c r="N89" s="25"/>
      <c r="O89" s="25"/>
      <c r="P89" s="25"/>
      <c r="Q89" s="25"/>
      <c r="R89" s="25"/>
      <c r="S89" s="25"/>
      <c r="T89" s="25"/>
      <c r="U89" s="25"/>
      <c r="V89" s="25"/>
      <c r="W89" s="25"/>
      <c r="X89" s="25"/>
    </row>
    <row r="90" spans="1:24" ht="13">
      <c r="A90" s="26"/>
      <c r="B90" s="25"/>
      <c r="C90" s="25"/>
      <c r="D90" s="25" t="str">
        <f t="array" ref="D90">IF(OR(LEFT(C90,1)="(",COUNTA(C90)=0),"", INDEX(Honor!$B$2:$B998,MATCH(C90,Honor!$A$2:$A998,0)))</f>
        <v/>
      </c>
      <c r="E90" s="25" t="str">
        <f t="array" ref="E90">IF(OR(LEFT(C90,1)="(",COUNTA(C90)=0),"",INDEX(Honor!$O$2:$O998,MATCH(C90,Honor!$A$2:$A998,0)))</f>
        <v/>
      </c>
      <c r="F90" s="25"/>
      <c r="G90" s="25"/>
      <c r="H90" s="25"/>
      <c r="I90" s="25"/>
      <c r="J90" s="25"/>
      <c r="K90" s="25"/>
      <c r="L90" s="25"/>
      <c r="M90" s="26"/>
      <c r="N90" s="25"/>
      <c r="O90" s="25"/>
      <c r="P90" s="25"/>
      <c r="Q90" s="25"/>
      <c r="R90" s="25"/>
      <c r="S90" s="25"/>
      <c r="T90" s="25"/>
      <c r="U90" s="25"/>
      <c r="V90" s="25"/>
      <c r="W90" s="25"/>
      <c r="X90" s="25"/>
    </row>
    <row r="91" spans="1:24" ht="13">
      <c r="A91" s="26"/>
      <c r="B91" s="25"/>
      <c r="C91" s="25"/>
      <c r="D91" s="25" t="str">
        <f t="array" ref="D91">IF(OR(LEFT(C91,1)="(",COUNTA(C91)=0),"", INDEX(Honor!$B$2:$B998,MATCH(C91,Honor!$A$2:$A998,0)))</f>
        <v/>
      </c>
      <c r="E91" s="25" t="str">
        <f t="array" ref="E91">IF(OR(LEFT(C91,1)="(",COUNTA(C91)=0),"",INDEX(Honor!$O$2:$O998,MATCH(C91,Honor!$A$2:$A998,0)))</f>
        <v/>
      </c>
      <c r="F91" s="25"/>
      <c r="G91" s="25"/>
      <c r="H91" s="25"/>
      <c r="I91" s="25"/>
      <c r="J91" s="25"/>
      <c r="K91" s="25"/>
      <c r="L91" s="25"/>
      <c r="M91" s="26"/>
      <c r="N91" s="25"/>
      <c r="O91" s="25"/>
      <c r="P91" s="25"/>
      <c r="Q91" s="25"/>
      <c r="R91" s="25"/>
      <c r="S91" s="25"/>
      <c r="T91" s="25"/>
      <c r="U91" s="25"/>
      <c r="V91" s="25"/>
      <c r="W91" s="25"/>
      <c r="X91" s="25"/>
    </row>
    <row r="92" spans="1:24" ht="13">
      <c r="A92" s="26"/>
      <c r="B92" s="25"/>
      <c r="C92" s="25"/>
      <c r="D92" s="25" t="str">
        <f t="array" ref="D92">IF(OR(LEFT(C92,1)="(",COUNTA(C92)=0),"", INDEX(Honor!$B$2:$B998,MATCH(C92,Honor!$A$2:$A998,0)))</f>
        <v/>
      </c>
      <c r="E92" s="25" t="str">
        <f t="array" ref="E92">IF(OR(LEFT(C92,1)="(",COUNTA(C92)=0),"",INDEX(Honor!$O$2:$O998,MATCH(C92,Honor!$A$2:$A998,0)))</f>
        <v/>
      </c>
      <c r="F92" s="25"/>
      <c r="G92" s="25"/>
      <c r="H92" s="25"/>
      <c r="I92" s="25"/>
      <c r="J92" s="25"/>
      <c r="K92" s="25"/>
      <c r="L92" s="25"/>
      <c r="M92" s="26"/>
      <c r="N92" s="25"/>
      <c r="O92" s="25"/>
      <c r="P92" s="25"/>
      <c r="Q92" s="25"/>
      <c r="R92" s="25"/>
      <c r="S92" s="25"/>
      <c r="T92" s="25"/>
      <c r="U92" s="25"/>
      <c r="V92" s="25"/>
      <c r="W92" s="25"/>
      <c r="X92" s="25"/>
    </row>
    <row r="93" spans="1:24" ht="13">
      <c r="A93" s="26"/>
      <c r="B93" s="25"/>
      <c r="C93" s="25"/>
      <c r="D93" s="25" t="str">
        <f t="array" ref="D93">IF(OR(LEFT(C93,1)="(",COUNTA(C93)=0),"", INDEX(Honor!$B$2:$B998,MATCH(C93,Honor!$A$2:$A998,0)))</f>
        <v/>
      </c>
      <c r="E93" s="25" t="str">
        <f t="array" ref="E93">IF(OR(LEFT(C93,1)="(",COUNTA(C93)=0),"",INDEX(Honor!$O$2:$O998,MATCH(C93,Honor!$A$2:$A998,0)))</f>
        <v/>
      </c>
      <c r="F93" s="25"/>
      <c r="G93" s="25"/>
      <c r="H93" s="25"/>
      <c r="I93" s="25"/>
      <c r="J93" s="25"/>
      <c r="K93" s="25"/>
      <c r="L93" s="25"/>
      <c r="M93" s="26"/>
      <c r="N93" s="25"/>
      <c r="O93" s="25"/>
      <c r="P93" s="25"/>
      <c r="Q93" s="25"/>
      <c r="R93" s="25"/>
      <c r="S93" s="25"/>
      <c r="T93" s="25"/>
      <c r="U93" s="25"/>
      <c r="V93" s="25"/>
      <c r="W93" s="25"/>
      <c r="X93" s="25"/>
    </row>
    <row r="94" spans="1:24" ht="13">
      <c r="A94" s="26"/>
      <c r="B94" s="25"/>
      <c r="C94" s="25"/>
      <c r="D94" s="25" t="str">
        <f t="array" ref="D94">IF(OR(LEFT(C94,1)="(",COUNTA(C94)=0),"", INDEX(Honor!$B$2:$B998,MATCH(C94,Honor!$A$2:$A998,0)))</f>
        <v/>
      </c>
      <c r="E94" s="25" t="str">
        <f t="array" ref="E94">IF(OR(LEFT(C94,1)="(",COUNTA(C94)=0),"",INDEX(Honor!$O$2:$O998,MATCH(C94,Honor!$A$2:$A998,0)))</f>
        <v/>
      </c>
      <c r="F94" s="25"/>
      <c r="G94" s="25"/>
      <c r="H94" s="25"/>
      <c r="I94" s="25"/>
      <c r="J94" s="25"/>
      <c r="K94" s="25"/>
      <c r="L94" s="25"/>
      <c r="M94" s="26"/>
      <c r="N94" s="25"/>
      <c r="O94" s="25"/>
      <c r="P94" s="25"/>
      <c r="Q94" s="25"/>
      <c r="R94" s="25"/>
      <c r="S94" s="25"/>
      <c r="T94" s="25"/>
      <c r="U94" s="25"/>
      <c r="V94" s="25"/>
      <c r="W94" s="25"/>
      <c r="X94" s="25"/>
    </row>
    <row r="95" spans="1:24" ht="13">
      <c r="A95" s="26"/>
      <c r="B95" s="25"/>
      <c r="C95" s="25"/>
      <c r="D95" s="25" t="str">
        <f t="array" ref="D95">IF(OR(LEFT(C95,1)="(",COUNTA(C95)=0),"", INDEX(Honor!$B$2:$B998,MATCH(C95,Honor!$A$2:$A998,0)))</f>
        <v/>
      </c>
      <c r="E95" s="25" t="str">
        <f t="array" ref="E95">IF(OR(LEFT(C95,1)="(",COUNTA(C95)=0),"",INDEX(Honor!$O$2:$O998,MATCH(C95,Honor!$A$2:$A998,0)))</f>
        <v/>
      </c>
      <c r="F95" s="25"/>
      <c r="G95" s="25"/>
      <c r="H95" s="25"/>
      <c r="I95" s="25"/>
      <c r="J95" s="25"/>
      <c r="K95" s="25"/>
      <c r="L95" s="25"/>
      <c r="M95" s="26"/>
      <c r="N95" s="25"/>
      <c r="O95" s="25"/>
      <c r="P95" s="25"/>
      <c r="Q95" s="25"/>
      <c r="R95" s="25"/>
      <c r="S95" s="25"/>
      <c r="T95" s="25"/>
      <c r="U95" s="25"/>
      <c r="V95" s="25"/>
      <c r="W95" s="25"/>
      <c r="X95" s="25"/>
    </row>
    <row r="96" spans="1:24" ht="13">
      <c r="A96" s="26"/>
      <c r="B96" s="25"/>
      <c r="C96" s="25"/>
      <c r="D96" s="25" t="str">
        <f t="array" ref="D96">IF(OR(LEFT(C96,1)="(",COUNTA(C96)=0),"", INDEX(Honor!$B$2:$B998,MATCH(C96,Honor!$A$2:$A998,0)))</f>
        <v/>
      </c>
      <c r="E96" s="25" t="str">
        <f t="array" ref="E96">IF(OR(LEFT(C96,1)="(",COUNTA(C96)=0),"",INDEX(Honor!$O$2:$O998,MATCH(C96,Honor!$A$2:$A998,0)))</f>
        <v/>
      </c>
      <c r="F96" s="25"/>
      <c r="G96" s="25"/>
      <c r="H96" s="25"/>
      <c r="I96" s="25"/>
      <c r="J96" s="25"/>
      <c r="K96" s="25"/>
      <c r="L96" s="25"/>
      <c r="M96" s="26"/>
      <c r="N96" s="25"/>
      <c r="O96" s="25"/>
      <c r="P96" s="25"/>
      <c r="Q96" s="25"/>
      <c r="R96" s="25"/>
      <c r="S96" s="25"/>
      <c r="T96" s="25"/>
      <c r="U96" s="25"/>
      <c r="V96" s="25"/>
      <c r="W96" s="25"/>
      <c r="X96" s="25"/>
    </row>
    <row r="97" spans="1:24" ht="13">
      <c r="A97" s="26"/>
      <c r="B97" s="25"/>
      <c r="C97" s="25"/>
      <c r="D97" s="25" t="str">
        <f t="array" ref="D97">IF(OR(LEFT(C97,1)="(",COUNTA(C97)=0),"", INDEX(Honor!$B$2:$B998,MATCH(C97,Honor!$A$2:$A998,0)))</f>
        <v/>
      </c>
      <c r="E97" s="25" t="str">
        <f t="array" ref="E97">IF(OR(LEFT(C97,1)="(",COUNTA(C97)=0),"",INDEX(Honor!$O$2:$O998,MATCH(C97,Honor!$A$2:$A998,0)))</f>
        <v/>
      </c>
      <c r="F97" s="25"/>
      <c r="G97" s="25"/>
      <c r="H97" s="25"/>
      <c r="I97" s="25"/>
      <c r="J97" s="25"/>
      <c r="K97" s="25"/>
      <c r="L97" s="25"/>
      <c r="M97" s="26"/>
      <c r="N97" s="25"/>
      <c r="O97" s="25"/>
      <c r="P97" s="25"/>
      <c r="Q97" s="25"/>
      <c r="R97" s="25"/>
      <c r="S97" s="25"/>
      <c r="T97" s="25"/>
      <c r="U97" s="25"/>
      <c r="V97" s="25"/>
      <c r="W97" s="25"/>
      <c r="X97" s="25"/>
    </row>
    <row r="98" spans="1:24" ht="13">
      <c r="A98" s="26"/>
      <c r="B98" s="25"/>
      <c r="C98" s="25"/>
      <c r="D98" s="25" t="str">
        <f t="array" ref="D98">IF(OR(LEFT(C98,1)="(",COUNTA(C98)=0),"", INDEX(Honor!$B$2:$B998,MATCH(C98,Honor!$A$2:$A998,0)))</f>
        <v/>
      </c>
      <c r="E98" s="25" t="str">
        <f t="array" ref="E98">IF(OR(LEFT(C98,1)="(",COUNTA(C98)=0),"",INDEX(Honor!$O$2:$O998,MATCH(C98,Honor!$A$2:$A998,0)))</f>
        <v/>
      </c>
      <c r="F98" s="25"/>
      <c r="G98" s="25"/>
      <c r="H98" s="25"/>
      <c r="I98" s="25"/>
      <c r="J98" s="25"/>
      <c r="K98" s="25"/>
      <c r="L98" s="25"/>
      <c r="M98" s="26"/>
      <c r="N98" s="25"/>
      <c r="O98" s="25"/>
      <c r="P98" s="25"/>
      <c r="Q98" s="25"/>
      <c r="R98" s="25"/>
      <c r="S98" s="25"/>
      <c r="T98" s="25"/>
      <c r="U98" s="25"/>
      <c r="V98" s="25"/>
      <c r="W98" s="25"/>
      <c r="X98" s="25"/>
    </row>
    <row r="99" spans="1:24" ht="13">
      <c r="A99" s="26"/>
      <c r="B99" s="25"/>
      <c r="C99" s="25"/>
      <c r="D99" s="25" t="str">
        <f t="array" ref="D99">IF(OR(LEFT(C99,1)="(",COUNTA(C99)=0),"", INDEX(Honor!$B$2:$B998,MATCH(C99,Honor!$A$2:$A998,0)))</f>
        <v/>
      </c>
      <c r="E99" s="25" t="str">
        <f t="array" ref="E99">IF(OR(LEFT(C99,1)="(",COUNTA(C99)=0),"",INDEX(Honor!$O$2:$O998,MATCH(C99,Honor!$A$2:$A998,0)))</f>
        <v/>
      </c>
      <c r="F99" s="25"/>
      <c r="G99" s="25"/>
      <c r="H99" s="25"/>
      <c r="I99" s="25"/>
      <c r="J99" s="25"/>
      <c r="K99" s="25"/>
      <c r="L99" s="25"/>
      <c r="M99" s="26"/>
      <c r="N99" s="25"/>
      <c r="O99" s="25"/>
      <c r="P99" s="25"/>
      <c r="Q99" s="25"/>
      <c r="R99" s="25"/>
      <c r="S99" s="25"/>
      <c r="T99" s="25"/>
      <c r="U99" s="25"/>
      <c r="V99" s="25"/>
      <c r="W99" s="25"/>
      <c r="X99" s="25"/>
    </row>
    <row r="100" spans="1:24" ht="13">
      <c r="A100" s="26"/>
      <c r="B100" s="25"/>
      <c r="C100" s="25"/>
      <c r="D100" s="25" t="str">
        <f t="array" ref="D100">IF(OR(LEFT(C100,1)="(",COUNTA(C100)=0),"", INDEX(Honor!$B$2:$B998,MATCH(C100,Honor!$A$2:$A998,0)))</f>
        <v/>
      </c>
      <c r="E100" s="25" t="str">
        <f t="array" ref="E100">IF(OR(LEFT(C100,1)="(",COUNTA(C100)=0),"",INDEX(Honor!$O$2:$O998,MATCH(C100,Honor!$A$2:$A998,0)))</f>
        <v/>
      </c>
      <c r="F100" s="25"/>
      <c r="G100" s="25"/>
      <c r="H100" s="25"/>
      <c r="I100" s="25"/>
      <c r="J100" s="25"/>
      <c r="K100" s="25"/>
      <c r="L100" s="25"/>
      <c r="M100" s="26"/>
      <c r="N100" s="25"/>
      <c r="O100" s="25"/>
      <c r="P100" s="25"/>
      <c r="Q100" s="25"/>
      <c r="R100" s="25"/>
      <c r="S100" s="25"/>
      <c r="T100" s="25"/>
      <c r="U100" s="25"/>
      <c r="V100" s="25"/>
      <c r="W100" s="25"/>
      <c r="X100" s="25"/>
    </row>
    <row r="101" spans="1:24" ht="13">
      <c r="A101" s="26"/>
      <c r="B101" s="25"/>
      <c r="C101" s="25"/>
      <c r="D101" s="25" t="str">
        <f t="array" ref="D101">IF(OR(LEFT(C101,1)="(",COUNTA(C101)=0),"", INDEX(Honor!$B$2:$B998,MATCH(C101,Honor!$A$2:$A998,0)))</f>
        <v/>
      </c>
      <c r="E101" s="25" t="str">
        <f t="array" ref="E101">IF(OR(LEFT(C101,1)="(",COUNTA(C101)=0),"",INDEX(Honor!$O$2:$O998,MATCH(C101,Honor!$A$2:$A998,0)))</f>
        <v/>
      </c>
      <c r="F101" s="25"/>
      <c r="G101" s="25"/>
      <c r="H101" s="25"/>
      <c r="I101" s="25"/>
      <c r="J101" s="25"/>
      <c r="K101" s="25"/>
      <c r="L101" s="25"/>
      <c r="M101" s="26"/>
      <c r="N101" s="25"/>
      <c r="O101" s="25"/>
      <c r="P101" s="25"/>
      <c r="Q101" s="25"/>
      <c r="R101" s="25"/>
      <c r="S101" s="25"/>
      <c r="T101" s="25"/>
      <c r="U101" s="25"/>
      <c r="V101" s="25"/>
      <c r="W101" s="25"/>
      <c r="X101" s="25"/>
    </row>
    <row r="102" spans="1:24" ht="13">
      <c r="A102" s="26"/>
      <c r="B102" s="25"/>
      <c r="C102" s="25"/>
      <c r="D102" s="25" t="str">
        <f t="array" ref="D102">IF(OR(LEFT(C102,1)="(",COUNTA(C102)=0),"", INDEX(Honor!$B$2:$B998,MATCH(C102,Honor!$A$2:$A998,0)))</f>
        <v/>
      </c>
      <c r="E102" s="25" t="str">
        <f t="array" ref="E102">IF(OR(LEFT(C102,1)="(",COUNTA(C102)=0),"",INDEX(Honor!$O$2:$O998,MATCH(C102,Honor!$A$2:$A998,0)))</f>
        <v/>
      </c>
      <c r="F102" s="25"/>
      <c r="G102" s="25"/>
      <c r="H102" s="25"/>
      <c r="I102" s="25"/>
      <c r="J102" s="25"/>
      <c r="K102" s="25"/>
      <c r="L102" s="25"/>
      <c r="M102" s="26"/>
      <c r="N102" s="25"/>
      <c r="O102" s="25"/>
      <c r="P102" s="25"/>
      <c r="Q102" s="25"/>
      <c r="R102" s="25"/>
      <c r="S102" s="25"/>
      <c r="T102" s="25"/>
      <c r="U102" s="25"/>
      <c r="V102" s="25"/>
      <c r="W102" s="25"/>
      <c r="X102" s="25"/>
    </row>
    <row r="103" spans="1:24" ht="13">
      <c r="A103" s="26"/>
      <c r="B103" s="25"/>
      <c r="C103" s="25"/>
      <c r="D103" s="25" t="str">
        <f t="array" ref="D103">IF(OR(LEFT(C103,1)="(",COUNTA(C103)=0),"", INDEX(Honor!$B$2:$B998,MATCH(C103,Honor!$A$2:$A998,0)))</f>
        <v/>
      </c>
      <c r="E103" s="25" t="str">
        <f t="array" ref="E103">IF(OR(LEFT(C103,1)="(",COUNTA(C103)=0),"",INDEX(Honor!$O$2:$O998,MATCH(C103,Honor!$A$2:$A998,0)))</f>
        <v/>
      </c>
      <c r="F103" s="25"/>
      <c r="G103" s="25"/>
      <c r="H103" s="25"/>
      <c r="I103" s="25"/>
      <c r="J103" s="25"/>
      <c r="K103" s="25"/>
      <c r="L103" s="25"/>
      <c r="M103" s="26"/>
      <c r="N103" s="25"/>
      <c r="O103" s="25"/>
      <c r="P103" s="25"/>
      <c r="Q103" s="25"/>
      <c r="R103" s="25"/>
      <c r="S103" s="25"/>
      <c r="T103" s="25"/>
      <c r="U103" s="25"/>
      <c r="V103" s="25"/>
      <c r="W103" s="25"/>
      <c r="X103" s="25"/>
    </row>
    <row r="104" spans="1:24" ht="13">
      <c r="A104" s="26"/>
      <c r="B104" s="25"/>
      <c r="C104" s="25"/>
      <c r="D104" s="25" t="str">
        <f t="array" ref="D104">IF(OR(LEFT(C104,1)="(",COUNTA(C104)=0),"", INDEX(Honor!$B$2:$B998,MATCH(C104,Honor!$A$2:$A998,0)))</f>
        <v/>
      </c>
      <c r="E104" s="25" t="str">
        <f t="array" ref="E104">IF(OR(LEFT(C104,1)="(",COUNTA(C104)=0),"",INDEX(Honor!$O$2:$O998,MATCH(C104,Honor!$A$2:$A998,0)))</f>
        <v/>
      </c>
      <c r="F104" s="25"/>
      <c r="G104" s="25"/>
      <c r="H104" s="25"/>
      <c r="I104" s="25"/>
      <c r="J104" s="25"/>
      <c r="K104" s="25"/>
      <c r="L104" s="25"/>
      <c r="M104" s="26"/>
      <c r="N104" s="25"/>
      <c r="O104" s="25"/>
      <c r="P104" s="25"/>
      <c r="Q104" s="25"/>
      <c r="R104" s="25"/>
      <c r="S104" s="25"/>
      <c r="T104" s="25"/>
      <c r="U104" s="25"/>
      <c r="V104" s="25"/>
      <c r="W104" s="25"/>
      <c r="X104" s="25"/>
    </row>
    <row r="105" spans="1:24" ht="13">
      <c r="A105" s="26"/>
      <c r="B105" s="25"/>
      <c r="C105" s="25"/>
      <c r="D105" s="25" t="str">
        <f t="array" ref="D105">IF(OR(LEFT(C105,1)="(",COUNTA(C105)=0),"", INDEX(Honor!$B$2:$B998,MATCH(C105,Honor!$A$2:$A998,0)))</f>
        <v/>
      </c>
      <c r="E105" s="25" t="str">
        <f t="array" ref="E105">IF(OR(LEFT(C105,1)="(",COUNTA(C105)=0),"",INDEX(Honor!$O$2:$O998,MATCH(C105,Honor!$A$2:$A998,0)))</f>
        <v/>
      </c>
      <c r="F105" s="25"/>
      <c r="G105" s="25"/>
      <c r="H105" s="25"/>
      <c r="I105" s="25"/>
      <c r="J105" s="25"/>
      <c r="K105" s="25"/>
      <c r="L105" s="25"/>
      <c r="M105" s="26"/>
      <c r="N105" s="25"/>
      <c r="O105" s="25"/>
      <c r="P105" s="25"/>
      <c r="Q105" s="25"/>
      <c r="R105" s="25"/>
      <c r="S105" s="25"/>
      <c r="T105" s="25"/>
      <c r="U105" s="25"/>
      <c r="V105" s="25"/>
      <c r="W105" s="25"/>
      <c r="X105" s="25"/>
    </row>
    <row r="106" spans="1:24" ht="13">
      <c r="A106" s="26"/>
      <c r="B106" s="25"/>
      <c r="C106" s="25"/>
      <c r="D106" s="25" t="str">
        <f t="array" ref="D106">IF(OR(LEFT(C106,1)="(",COUNTA(C106)=0),"", INDEX(Honor!$B$2:$B998,MATCH(C106,Honor!$A$2:$A998,0)))</f>
        <v/>
      </c>
      <c r="E106" s="25" t="str">
        <f t="array" ref="E106">IF(OR(LEFT(C106,1)="(",COUNTA(C106)=0),"",INDEX(Honor!$O$2:$O998,MATCH(C106,Honor!$A$2:$A998,0)))</f>
        <v/>
      </c>
      <c r="F106" s="25"/>
      <c r="G106" s="25"/>
      <c r="H106" s="25"/>
      <c r="I106" s="25"/>
      <c r="J106" s="25"/>
      <c r="K106" s="25"/>
      <c r="L106" s="25"/>
      <c r="M106" s="26"/>
      <c r="N106" s="25"/>
      <c r="O106" s="25"/>
      <c r="P106" s="25"/>
      <c r="Q106" s="25"/>
      <c r="R106" s="25"/>
      <c r="S106" s="25"/>
      <c r="T106" s="25"/>
      <c r="U106" s="25"/>
      <c r="V106" s="25"/>
      <c r="W106" s="25"/>
      <c r="X106" s="25"/>
    </row>
    <row r="107" spans="1:24" ht="13">
      <c r="A107" s="26"/>
      <c r="B107" s="25"/>
      <c r="C107" s="25"/>
      <c r="D107" s="25" t="str">
        <f t="array" ref="D107">IF(OR(LEFT(C107,1)="(",COUNTA(C107)=0),"", INDEX(Honor!$B$2:$B998,MATCH(C107,Honor!$A$2:$A998,0)))</f>
        <v/>
      </c>
      <c r="E107" s="25" t="str">
        <f t="array" ref="E107">IF(OR(LEFT(C107,1)="(",COUNTA(C107)=0),"",INDEX(Honor!$O$2:$O998,MATCH(C107,Honor!$A$2:$A998,0)))</f>
        <v/>
      </c>
      <c r="F107" s="25"/>
      <c r="G107" s="25"/>
      <c r="H107" s="25"/>
      <c r="I107" s="25"/>
      <c r="J107" s="25"/>
      <c r="K107" s="25"/>
      <c r="L107" s="25"/>
      <c r="M107" s="26"/>
      <c r="N107" s="25"/>
      <c r="O107" s="25"/>
      <c r="P107" s="25"/>
      <c r="Q107" s="25"/>
      <c r="R107" s="25"/>
      <c r="S107" s="25"/>
      <c r="T107" s="25"/>
      <c r="U107" s="25"/>
      <c r="V107" s="25"/>
      <c r="W107" s="25"/>
      <c r="X107" s="25"/>
    </row>
    <row r="108" spans="1:24" ht="13">
      <c r="A108" s="26"/>
      <c r="B108" s="25"/>
      <c r="C108" s="25"/>
      <c r="D108" s="25" t="str">
        <f t="array" ref="D108">IF(OR(LEFT(C108,1)="(",COUNTA(C108)=0),"", INDEX(Honor!$B$2:$B998,MATCH(C108,Honor!$A$2:$A998,0)))</f>
        <v/>
      </c>
      <c r="E108" s="25" t="str">
        <f t="array" ref="E108">IF(OR(LEFT(C108,1)="(",COUNTA(C108)=0),"",INDEX(Honor!$O$2:$O998,MATCH(C108,Honor!$A$2:$A998,0)))</f>
        <v/>
      </c>
      <c r="F108" s="25"/>
      <c r="G108" s="25"/>
      <c r="H108" s="25"/>
      <c r="I108" s="25"/>
      <c r="J108" s="25"/>
      <c r="K108" s="25"/>
      <c r="L108" s="25"/>
      <c r="M108" s="26"/>
      <c r="N108" s="25"/>
      <c r="O108" s="25"/>
      <c r="P108" s="25"/>
      <c r="Q108" s="25"/>
      <c r="R108" s="25"/>
      <c r="S108" s="25"/>
      <c r="T108" s="25"/>
      <c r="U108" s="25"/>
      <c r="V108" s="25"/>
      <c r="W108" s="25"/>
      <c r="X108" s="25"/>
    </row>
    <row r="109" spans="1:24" ht="13">
      <c r="A109" s="26"/>
      <c r="B109" s="25"/>
      <c r="C109" s="25"/>
      <c r="D109" s="25" t="str">
        <f t="array" ref="D109">IF(OR(LEFT(C109,1)="(",COUNTA(C109)=0),"", INDEX(Honor!$B$2:$B998,MATCH(C109,Honor!$A$2:$A998,0)))</f>
        <v/>
      </c>
      <c r="E109" s="25" t="str">
        <f t="array" ref="E109">IF(OR(LEFT(C109,1)="(",COUNTA(C109)=0),"",INDEX(Honor!$O$2:$O998,MATCH(C109,Honor!$A$2:$A998,0)))</f>
        <v/>
      </c>
      <c r="F109" s="25"/>
      <c r="G109" s="25"/>
      <c r="H109" s="25"/>
      <c r="I109" s="25"/>
      <c r="J109" s="25"/>
      <c r="K109" s="25"/>
      <c r="L109" s="25"/>
      <c r="M109" s="26"/>
      <c r="N109" s="25"/>
      <c r="O109" s="25"/>
      <c r="P109" s="25"/>
      <c r="Q109" s="25"/>
      <c r="R109" s="25"/>
      <c r="S109" s="25"/>
      <c r="T109" s="25"/>
      <c r="U109" s="25"/>
      <c r="V109" s="25"/>
      <c r="W109" s="25"/>
      <c r="X109" s="25"/>
    </row>
    <row r="110" spans="1:24" ht="13">
      <c r="A110" s="25"/>
      <c r="B110" s="25"/>
      <c r="C110" s="25"/>
      <c r="D110" s="25" t="str">
        <f t="array" ref="D110">IF(OR(LEFT(C110,1)="(",COUNTA(C110)=0),"", INDEX(Honor!$B$2:$B998,MATCH(C110,Honor!$A$2:$A998,0)))</f>
        <v/>
      </c>
      <c r="E110" s="25" t="str">
        <f t="array" ref="E110">IF(OR(LEFT(C110,1)="(",COUNTA(C110)=0),"",INDEX(Honor!$O$2:$O998,MATCH(C110,Honor!$A$2:$A998,0)))</f>
        <v/>
      </c>
      <c r="F110" s="25"/>
      <c r="G110" s="25"/>
      <c r="H110" s="25"/>
      <c r="I110" s="25"/>
      <c r="J110" s="25"/>
      <c r="K110" s="25"/>
      <c r="L110" s="25"/>
      <c r="M110" s="25"/>
      <c r="N110" s="25"/>
      <c r="O110" s="25"/>
      <c r="P110" s="25"/>
      <c r="Q110" s="25"/>
      <c r="R110" s="25"/>
      <c r="S110" s="25"/>
      <c r="T110" s="25"/>
      <c r="U110" s="25"/>
      <c r="V110" s="25"/>
      <c r="W110" s="25"/>
      <c r="X110" s="25"/>
    </row>
    <row r="111" spans="1:24" ht="13">
      <c r="A111" s="25"/>
      <c r="B111" s="25"/>
      <c r="C111" s="25"/>
      <c r="D111" s="25" t="str">
        <f t="array" ref="D111">IF(OR(LEFT(C111,1)="(",COUNTA(C111)=0),"", INDEX(Honor!$B$2:$B998,MATCH(C111,Honor!$A$2:$A998,0)))</f>
        <v/>
      </c>
      <c r="E111" s="25" t="str">
        <f t="array" ref="E111">IF(OR(LEFT(C111,1)="(",COUNTA(C111)=0),"",INDEX(Honor!$O$2:$O998,MATCH(C111,Honor!$A$2:$A998,0)))</f>
        <v/>
      </c>
      <c r="F111" s="25"/>
      <c r="G111" s="25"/>
      <c r="H111" s="25"/>
      <c r="I111" s="25"/>
      <c r="J111" s="25"/>
      <c r="K111" s="25"/>
      <c r="L111" s="25"/>
      <c r="M111" s="25"/>
      <c r="N111" s="25"/>
      <c r="O111" s="25"/>
      <c r="P111" s="25"/>
      <c r="Q111" s="25"/>
      <c r="R111" s="25"/>
      <c r="S111" s="25"/>
      <c r="T111" s="25"/>
      <c r="U111" s="25"/>
      <c r="V111" s="25"/>
      <c r="W111" s="25"/>
      <c r="X111" s="25"/>
    </row>
    <row r="112" spans="1:24" ht="13">
      <c r="A112" s="25"/>
      <c r="B112" s="25"/>
      <c r="C112" s="25"/>
      <c r="D112" s="25" t="str">
        <f t="array" ref="D112">IF(OR(LEFT(C112,1)="(",COUNTA(C112)=0),"", INDEX(Honor!$B$2:$B998,MATCH(C112,Honor!$A$2:$A998,0)))</f>
        <v/>
      </c>
      <c r="E112" s="25" t="str">
        <f t="array" ref="E112">IF(OR(LEFT(C112,1)="(",COUNTA(C112)=0),"",INDEX(Honor!$O$2:$O998,MATCH(C112,Honor!$A$2:$A998,0)))</f>
        <v/>
      </c>
      <c r="F112" s="25"/>
      <c r="G112" s="25"/>
      <c r="H112" s="25"/>
      <c r="I112" s="25"/>
      <c r="J112" s="25"/>
      <c r="K112" s="25"/>
      <c r="L112" s="25"/>
      <c r="M112" s="25"/>
      <c r="N112" s="25"/>
      <c r="O112" s="25"/>
      <c r="P112" s="25"/>
      <c r="Q112" s="25"/>
      <c r="R112" s="25"/>
      <c r="S112" s="25"/>
      <c r="T112" s="25"/>
      <c r="U112" s="25"/>
      <c r="V112" s="25"/>
      <c r="W112" s="25"/>
      <c r="X112" s="25"/>
    </row>
    <row r="113" spans="1:24" ht="13">
      <c r="A113" s="25"/>
      <c r="B113" s="25"/>
      <c r="C113" s="25"/>
      <c r="D113" s="25" t="str">
        <f t="array" ref="D113">IF(OR(LEFT(C113,1)="(",COUNTA(C113)=0),"", INDEX(Honor!$B$2:$B998,MATCH(C113,Honor!$A$2:$A998,0)))</f>
        <v/>
      </c>
      <c r="E113" s="25" t="str">
        <f t="array" ref="E113">IF(OR(LEFT(C113,1)="(",COUNTA(C113)=0),"",INDEX(Honor!$O$2:$O998,MATCH(C113,Honor!$A$2:$A998,0)))</f>
        <v/>
      </c>
      <c r="F113" s="25"/>
      <c r="G113" s="25"/>
      <c r="H113" s="25"/>
      <c r="I113" s="25"/>
      <c r="J113" s="25"/>
      <c r="K113" s="25"/>
      <c r="L113" s="25"/>
      <c r="M113" s="25"/>
      <c r="N113" s="25"/>
      <c r="O113" s="25"/>
      <c r="P113" s="25"/>
      <c r="Q113" s="25"/>
      <c r="R113" s="25"/>
      <c r="S113" s="25"/>
      <c r="T113" s="25"/>
      <c r="U113" s="25"/>
      <c r="V113" s="25"/>
      <c r="W113" s="25"/>
      <c r="X113" s="25"/>
    </row>
    <row r="114" spans="1:24" ht="13">
      <c r="A114" s="25"/>
      <c r="B114" s="25"/>
      <c r="C114" s="25"/>
      <c r="D114" s="25" t="str">
        <f t="array" ref="D114">IF(OR(LEFT(C114,1)="(",COUNTA(C114)=0),"", INDEX(Honor!$B$2:$B998,MATCH(C114,Honor!$A$2:$A998,0)))</f>
        <v/>
      </c>
      <c r="E114" s="25" t="str">
        <f t="array" ref="E114">IF(OR(LEFT(C114,1)="(",COUNTA(C114)=0),"",INDEX(Honor!$O$2:$O998,MATCH(C114,Honor!$A$2:$A998,0)))</f>
        <v/>
      </c>
      <c r="F114" s="25"/>
      <c r="G114" s="25"/>
      <c r="H114" s="25"/>
      <c r="I114" s="25"/>
      <c r="J114" s="25"/>
      <c r="K114" s="25"/>
      <c r="L114" s="25"/>
      <c r="M114" s="25"/>
      <c r="N114" s="25"/>
      <c r="O114" s="25"/>
      <c r="P114" s="25"/>
      <c r="Q114" s="25"/>
      <c r="R114" s="25"/>
      <c r="S114" s="25"/>
      <c r="T114" s="25"/>
      <c r="U114" s="25"/>
      <c r="V114" s="25"/>
      <c r="W114" s="25"/>
      <c r="X114" s="25"/>
    </row>
    <row r="115" spans="1:24" ht="13">
      <c r="A115" s="25"/>
      <c r="B115" s="25"/>
      <c r="C115" s="25"/>
      <c r="D115" s="25" t="str">
        <f t="array" ref="D115">IF(OR(LEFT(C115,1)="(",COUNTA(C115)=0),"", INDEX(Honor!$B$2:$B998,MATCH(C115,Honor!$A$2:$A998,0)))</f>
        <v/>
      </c>
      <c r="E115" s="25" t="str">
        <f t="array" ref="E115">IF(OR(LEFT(C115,1)="(",COUNTA(C115)=0),"",INDEX(Honor!$O$2:$O998,MATCH(C115,Honor!$A$2:$A998,0)))</f>
        <v/>
      </c>
      <c r="F115" s="25"/>
      <c r="G115" s="25"/>
      <c r="H115" s="25"/>
      <c r="I115" s="25"/>
      <c r="J115" s="25"/>
      <c r="K115" s="25"/>
      <c r="L115" s="25"/>
      <c r="M115" s="25"/>
      <c r="N115" s="25"/>
      <c r="O115" s="25"/>
      <c r="P115" s="25"/>
      <c r="Q115" s="25"/>
      <c r="R115" s="25"/>
      <c r="S115" s="25"/>
      <c r="T115" s="25"/>
      <c r="U115" s="25"/>
      <c r="V115" s="25"/>
      <c r="W115" s="25"/>
      <c r="X115" s="25"/>
    </row>
    <row r="116" spans="1:24" ht="13">
      <c r="A116" s="25"/>
      <c r="B116" s="25"/>
      <c r="C116" s="25"/>
      <c r="D116" s="25" t="str">
        <f t="array" ref="D116">IF(OR(LEFT(C116,1)="(",COUNTA(C116)=0),"", INDEX(Honor!$B$2:$B998,MATCH(C116,Honor!$A$2:$A998,0)))</f>
        <v/>
      </c>
      <c r="E116" s="25" t="str">
        <f t="array" ref="E116">IF(OR(LEFT(C116,1)="(",COUNTA(C116)=0),"",INDEX(Honor!$O$2:$O998,MATCH(C116,Honor!$A$2:$A998,0)))</f>
        <v/>
      </c>
      <c r="F116" s="25"/>
      <c r="G116" s="25"/>
      <c r="H116" s="25"/>
      <c r="I116" s="25"/>
      <c r="J116" s="25"/>
      <c r="K116" s="25"/>
      <c r="L116" s="25"/>
      <c r="M116" s="25"/>
      <c r="N116" s="25"/>
      <c r="O116" s="25"/>
      <c r="P116" s="25"/>
      <c r="Q116" s="25"/>
      <c r="R116" s="25"/>
      <c r="S116" s="25"/>
      <c r="T116" s="25"/>
      <c r="U116" s="25"/>
      <c r="V116" s="25"/>
      <c r="W116" s="25"/>
      <c r="X116" s="25"/>
    </row>
    <row r="117" spans="1:24" ht="13">
      <c r="A117" s="25"/>
      <c r="B117" s="25"/>
      <c r="C117" s="25"/>
      <c r="D117" s="25" t="str">
        <f t="array" ref="D117">IF(OR(LEFT(C117,1)="(",COUNTA(C117)=0),"", INDEX(Honor!$B$2:$B998,MATCH(C117,Honor!$A$2:$A998,0)))</f>
        <v/>
      </c>
      <c r="E117" s="25" t="str">
        <f t="array" ref="E117">IF(OR(LEFT(C117,1)="(",COUNTA(C117)=0),"",INDEX(Honor!$O$2:$O998,MATCH(C117,Honor!$A$2:$A998,0)))</f>
        <v/>
      </c>
      <c r="F117" s="25"/>
      <c r="G117" s="25"/>
      <c r="H117" s="25"/>
      <c r="I117" s="25"/>
      <c r="J117" s="25"/>
      <c r="K117" s="25"/>
      <c r="L117" s="25"/>
      <c r="M117" s="25"/>
      <c r="N117" s="25"/>
      <c r="O117" s="25"/>
      <c r="P117" s="25"/>
      <c r="Q117" s="25"/>
      <c r="R117" s="25"/>
      <c r="S117" s="25"/>
      <c r="T117" s="25"/>
      <c r="U117" s="25"/>
      <c r="V117" s="25"/>
      <c r="W117" s="25"/>
      <c r="X117" s="25"/>
    </row>
    <row r="118" spans="1:24" ht="13">
      <c r="A118" s="25"/>
      <c r="B118" s="25"/>
      <c r="C118" s="25"/>
      <c r="D118" s="25" t="str">
        <f t="array" ref="D118">IF(OR(LEFT(C118,1)="(",COUNTA(C118)=0),"", INDEX(Honor!$B$2:$B998,MATCH(C118,Honor!$A$2:$A998,0)))</f>
        <v/>
      </c>
      <c r="E118" s="25" t="str">
        <f t="array" ref="E118">IF(OR(LEFT(C118,1)="(",COUNTA(C118)=0),"",INDEX(Honor!$O$2:$O998,MATCH(C118,Honor!$A$2:$A998,0)))</f>
        <v/>
      </c>
      <c r="F118" s="25"/>
      <c r="G118" s="25"/>
      <c r="H118" s="25"/>
      <c r="I118" s="25"/>
      <c r="J118" s="25"/>
      <c r="K118" s="25"/>
      <c r="L118" s="25"/>
      <c r="M118" s="25"/>
      <c r="N118" s="25"/>
      <c r="O118" s="25"/>
      <c r="P118" s="25"/>
      <c r="Q118" s="25"/>
      <c r="R118" s="25"/>
      <c r="S118" s="25"/>
      <c r="T118" s="25"/>
      <c r="U118" s="25"/>
      <c r="V118" s="25"/>
      <c r="W118" s="25"/>
      <c r="X118" s="25"/>
    </row>
    <row r="119" spans="1:24" ht="13">
      <c r="A119" s="25"/>
      <c r="B119" s="25"/>
      <c r="C119" s="25"/>
      <c r="D119" s="25" t="str">
        <f t="array" ref="D119">IF(OR(LEFT(C119,1)="(",COUNTA(C119)=0),"", INDEX(Honor!$B$2:$B998,MATCH(C119,Honor!$A$2:$A998,0)))</f>
        <v/>
      </c>
      <c r="E119" s="25" t="str">
        <f t="array" ref="E119">IF(OR(LEFT(C119,1)="(",COUNTA(C119)=0),"",INDEX(Honor!$O$2:$O998,MATCH(C119,Honor!$A$2:$A998,0)))</f>
        <v/>
      </c>
      <c r="F119" s="25"/>
      <c r="G119" s="25"/>
      <c r="H119" s="25"/>
      <c r="I119" s="25"/>
      <c r="J119" s="25"/>
      <c r="K119" s="25"/>
      <c r="L119" s="25"/>
      <c r="M119" s="25"/>
      <c r="N119" s="25"/>
      <c r="O119" s="25"/>
      <c r="P119" s="25"/>
      <c r="Q119" s="25"/>
      <c r="R119" s="25"/>
      <c r="S119" s="25"/>
      <c r="T119" s="25"/>
      <c r="U119" s="25"/>
      <c r="V119" s="25"/>
      <c r="W119" s="25"/>
      <c r="X119" s="25"/>
    </row>
    <row r="120" spans="1:24" ht="13">
      <c r="A120" s="25"/>
      <c r="B120" s="25"/>
      <c r="C120" s="25"/>
      <c r="D120" s="25" t="str">
        <f t="array" ref="D120">IF(OR(LEFT(C120,1)="(",COUNTA(C120)=0),"", INDEX(Honor!$B$2:$B998,MATCH(C120,Honor!$A$2:$A998,0)))</f>
        <v/>
      </c>
      <c r="E120" s="25" t="str">
        <f t="array" ref="E120">IF(OR(LEFT(C120,1)="(",COUNTA(C120)=0),"",INDEX(Honor!$O$2:$O998,MATCH(C120,Honor!$A$2:$A998,0)))</f>
        <v/>
      </c>
      <c r="F120" s="25"/>
      <c r="G120" s="25"/>
      <c r="H120" s="25"/>
      <c r="I120" s="25"/>
      <c r="J120" s="25"/>
      <c r="K120" s="25"/>
      <c r="L120" s="25"/>
      <c r="M120" s="25"/>
      <c r="N120" s="25"/>
      <c r="O120" s="25"/>
      <c r="P120" s="25"/>
      <c r="Q120" s="25"/>
      <c r="R120" s="25"/>
      <c r="S120" s="25"/>
      <c r="T120" s="25"/>
      <c r="U120" s="25"/>
      <c r="V120" s="25"/>
      <c r="W120" s="25"/>
      <c r="X120" s="25"/>
    </row>
    <row r="121" spans="1:24" ht="13">
      <c r="A121" s="25"/>
      <c r="B121" s="25"/>
      <c r="C121" s="25"/>
      <c r="D121" s="25" t="str">
        <f t="array" ref="D121">IF(OR(LEFT(C121,1)="(",COUNTA(C121)=0),"", INDEX(Honor!$B$2:$B998,MATCH(C121,Honor!$A$2:$A998,0)))</f>
        <v/>
      </c>
      <c r="E121" s="25" t="str">
        <f t="array" ref="E121">IF(OR(LEFT(C121,1)="(",COUNTA(C121)=0),"",INDEX(Honor!$O$2:$O998,MATCH(C121,Honor!$A$2:$A998,0)))</f>
        <v/>
      </c>
      <c r="F121" s="25"/>
      <c r="G121" s="25"/>
      <c r="H121" s="25"/>
      <c r="I121" s="25"/>
      <c r="J121" s="25"/>
      <c r="K121" s="25"/>
      <c r="L121" s="25"/>
      <c r="M121" s="25"/>
      <c r="N121" s="25"/>
      <c r="O121" s="25"/>
      <c r="P121" s="25"/>
      <c r="Q121" s="25"/>
      <c r="R121" s="25"/>
      <c r="S121" s="25"/>
      <c r="T121" s="25"/>
      <c r="U121" s="25"/>
      <c r="V121" s="25"/>
      <c r="W121" s="25"/>
      <c r="X121" s="25"/>
    </row>
    <row r="122" spans="1:24" ht="13">
      <c r="A122" s="25"/>
      <c r="B122" s="25"/>
      <c r="C122" s="25"/>
      <c r="D122" s="25" t="str">
        <f t="array" ref="D122">IF(OR(LEFT(C122,1)="(",COUNTA(C122)=0),"", INDEX(Honor!$B$2:$B998,MATCH(C122,Honor!$A$2:$A998,0)))</f>
        <v/>
      </c>
      <c r="E122" s="25" t="str">
        <f t="array" ref="E122">IF(OR(LEFT(C122,1)="(",COUNTA(C122)=0),"",INDEX(Honor!$O$2:$O998,MATCH(C122,Honor!$A$2:$A998,0)))</f>
        <v/>
      </c>
      <c r="F122" s="25"/>
      <c r="G122" s="25"/>
      <c r="H122" s="25"/>
      <c r="I122" s="25"/>
      <c r="J122" s="25"/>
      <c r="K122" s="25"/>
      <c r="L122" s="25"/>
      <c r="M122" s="25"/>
      <c r="N122" s="25"/>
      <c r="O122" s="25"/>
      <c r="P122" s="25"/>
      <c r="Q122" s="25"/>
      <c r="R122" s="25"/>
      <c r="S122" s="25"/>
      <c r="T122" s="25"/>
      <c r="U122" s="25"/>
      <c r="V122" s="25"/>
      <c r="W122" s="25"/>
      <c r="X122" s="25"/>
    </row>
    <row r="123" spans="1:24" ht="13">
      <c r="A123" s="25"/>
      <c r="B123" s="25"/>
      <c r="C123" s="25"/>
      <c r="D123" s="25" t="str">
        <f t="array" ref="D123">IF(OR(LEFT(C123,1)="(",COUNTA(C123)=0),"", INDEX(Honor!$B$2:$B998,MATCH(C123,Honor!$A$2:$A998,0)))</f>
        <v/>
      </c>
      <c r="E123" s="25" t="str">
        <f t="array" ref="E123">IF(OR(LEFT(C123,1)="(",COUNTA(C123)=0),"",INDEX(Honor!$O$2:$O998,MATCH(C123,Honor!$A$2:$A998,0)))</f>
        <v/>
      </c>
      <c r="F123" s="25"/>
      <c r="G123" s="25"/>
      <c r="H123" s="25"/>
      <c r="I123" s="25"/>
      <c r="J123" s="25"/>
      <c r="K123" s="25"/>
      <c r="L123" s="25"/>
      <c r="M123" s="25"/>
      <c r="N123" s="25"/>
      <c r="O123" s="25"/>
      <c r="P123" s="25"/>
      <c r="Q123" s="25"/>
      <c r="R123" s="25"/>
      <c r="S123" s="25"/>
      <c r="T123" s="25"/>
      <c r="U123" s="25"/>
      <c r="V123" s="25"/>
      <c r="W123" s="25"/>
      <c r="X123" s="25"/>
    </row>
    <row r="124" spans="1:24" ht="13">
      <c r="A124" s="25"/>
      <c r="B124" s="25"/>
      <c r="C124" s="25"/>
      <c r="D124" s="25" t="str">
        <f t="array" ref="D124">IF(OR(LEFT(C124,1)="(",COUNTA(C124)=0),"", INDEX(Honor!$B$2:$B998,MATCH(C124,Honor!$A$2:$A998,0)))</f>
        <v/>
      </c>
      <c r="E124" s="25" t="str">
        <f t="array" ref="E124">IF(OR(LEFT(C124,1)="(",COUNTA(C124)=0),"",INDEX(Honor!$O$2:$O998,MATCH(C124,Honor!$A$2:$A998,0)))</f>
        <v/>
      </c>
      <c r="F124" s="25"/>
      <c r="G124" s="25"/>
      <c r="H124" s="25"/>
      <c r="I124" s="25"/>
      <c r="J124" s="25"/>
      <c r="K124" s="25"/>
      <c r="L124" s="25"/>
      <c r="M124" s="25"/>
      <c r="N124" s="25"/>
      <c r="O124" s="25"/>
      <c r="P124" s="25"/>
      <c r="Q124" s="25"/>
      <c r="R124" s="25"/>
      <c r="S124" s="25"/>
      <c r="T124" s="25"/>
      <c r="U124" s="25"/>
      <c r="V124" s="25"/>
      <c r="W124" s="25"/>
      <c r="X124" s="25"/>
    </row>
    <row r="125" spans="1:24" ht="13">
      <c r="A125" s="25"/>
      <c r="B125" s="25"/>
      <c r="C125" s="25"/>
      <c r="D125" s="25" t="str">
        <f t="array" ref="D125">IF(OR(LEFT(C125,1)="(",COUNTA(C125)=0),"", INDEX(Honor!$B$2:$B998,MATCH(C125,Honor!$A$2:$A998,0)))</f>
        <v/>
      </c>
      <c r="E125" s="25" t="str">
        <f t="array" ref="E125">IF(OR(LEFT(C125,1)="(",COUNTA(C125)=0),"",INDEX(Honor!$O$2:$O998,MATCH(C125,Honor!$A$2:$A998,0)))</f>
        <v/>
      </c>
      <c r="F125" s="25"/>
      <c r="G125" s="25"/>
      <c r="H125" s="25"/>
      <c r="I125" s="25"/>
      <c r="J125" s="25"/>
      <c r="K125" s="25"/>
      <c r="L125" s="25"/>
      <c r="M125" s="25"/>
      <c r="N125" s="25"/>
      <c r="O125" s="25"/>
      <c r="P125" s="25"/>
      <c r="Q125" s="25"/>
      <c r="R125" s="25"/>
      <c r="S125" s="25"/>
      <c r="T125" s="25"/>
      <c r="U125" s="25"/>
      <c r="V125" s="25"/>
      <c r="W125" s="25"/>
      <c r="X125" s="25"/>
    </row>
    <row r="126" spans="1:24" ht="13">
      <c r="A126" s="25"/>
      <c r="B126" s="25"/>
      <c r="C126" s="25"/>
      <c r="D126" s="25" t="str">
        <f t="array" ref="D126">IF(OR(LEFT(C126,1)="(",COUNTA(C126)=0),"", INDEX(Honor!$B$2:$B998,MATCH(C126,Honor!$A$2:$A998,0)))</f>
        <v/>
      </c>
      <c r="E126" s="25" t="str">
        <f t="array" ref="E126">IF(OR(LEFT(C126,1)="(",COUNTA(C126)=0),"",INDEX(Honor!$O$2:$O998,MATCH(C126,Honor!$A$2:$A998,0)))</f>
        <v/>
      </c>
      <c r="F126" s="25"/>
      <c r="G126" s="25"/>
      <c r="H126" s="25"/>
      <c r="I126" s="25"/>
      <c r="J126" s="25"/>
      <c r="K126" s="25"/>
      <c r="L126" s="25"/>
      <c r="M126" s="25"/>
      <c r="N126" s="25"/>
      <c r="O126" s="25"/>
      <c r="P126" s="25"/>
      <c r="Q126" s="25"/>
      <c r="R126" s="25"/>
      <c r="S126" s="25"/>
      <c r="T126" s="25"/>
      <c r="U126" s="25"/>
      <c r="V126" s="25"/>
      <c r="W126" s="25"/>
      <c r="X126" s="25"/>
    </row>
    <row r="127" spans="1:24" ht="13">
      <c r="A127" s="25"/>
      <c r="B127" s="25"/>
      <c r="C127" s="25"/>
      <c r="D127" s="25" t="str">
        <f t="array" ref="D127">IF(OR(LEFT(C127,1)="(",COUNTA(C127)=0),"", INDEX(Honor!$B$2:$B998,MATCH(C127,Honor!$A$2:$A998,0)))</f>
        <v/>
      </c>
      <c r="E127" s="25" t="str">
        <f t="array" ref="E127">IF(OR(LEFT(C127,1)="(",COUNTA(C127)=0),"",INDEX(Honor!$O$2:$O998,MATCH(C127,Honor!$A$2:$A998,0)))</f>
        <v/>
      </c>
      <c r="F127" s="25"/>
      <c r="G127" s="25"/>
      <c r="H127" s="25"/>
      <c r="I127" s="25"/>
      <c r="J127" s="25"/>
      <c r="K127" s="25"/>
      <c r="L127" s="25"/>
      <c r="M127" s="25"/>
      <c r="N127" s="25"/>
      <c r="O127" s="25"/>
      <c r="P127" s="25"/>
      <c r="Q127" s="25"/>
      <c r="R127" s="25"/>
      <c r="S127" s="25"/>
      <c r="T127" s="25"/>
      <c r="U127" s="25"/>
      <c r="V127" s="25"/>
      <c r="W127" s="25"/>
      <c r="X127" s="25"/>
    </row>
    <row r="128" spans="1:24" ht="13">
      <c r="A128" s="25"/>
      <c r="B128" s="25"/>
      <c r="C128" s="25"/>
      <c r="D128" s="25" t="str">
        <f t="array" ref="D128">IF(OR(LEFT(C128,1)="(",COUNTA(C128)=0),"", INDEX(Honor!$B$2:$B998,MATCH(C128,Honor!$A$2:$A998,0)))</f>
        <v/>
      </c>
      <c r="E128" s="25" t="str">
        <f t="array" ref="E128">IF(OR(LEFT(C128,1)="(",COUNTA(C128)=0),"",INDEX(Honor!$O$2:$O998,MATCH(C128,Honor!$A$2:$A998,0)))</f>
        <v/>
      </c>
      <c r="F128" s="25"/>
      <c r="G128" s="25"/>
      <c r="H128" s="25"/>
      <c r="I128" s="25"/>
      <c r="J128" s="25"/>
      <c r="K128" s="25"/>
      <c r="L128" s="25"/>
      <c r="M128" s="25"/>
      <c r="N128" s="25"/>
      <c r="O128" s="25"/>
      <c r="P128" s="25"/>
      <c r="Q128" s="25"/>
      <c r="R128" s="25"/>
      <c r="S128" s="25"/>
      <c r="T128" s="25"/>
      <c r="U128" s="25"/>
      <c r="V128" s="25"/>
      <c r="W128" s="25"/>
      <c r="X128" s="25"/>
    </row>
    <row r="129" spans="1:24" ht="13">
      <c r="A129" s="25"/>
      <c r="B129" s="25"/>
      <c r="C129" s="25"/>
      <c r="D129" s="25" t="str">
        <f t="array" ref="D129">IF(OR(LEFT(C129,1)="(",COUNTA(C129)=0),"", INDEX(Honor!$B$2:$B998,MATCH(C129,Honor!$A$2:$A998,0)))</f>
        <v/>
      </c>
      <c r="E129" s="25" t="str">
        <f t="array" ref="E129">IF(OR(LEFT(C129,1)="(",COUNTA(C129)=0),"",INDEX(Honor!$O$2:$O998,MATCH(C129,Honor!$A$2:$A998,0)))</f>
        <v/>
      </c>
      <c r="F129" s="25"/>
      <c r="G129" s="25"/>
      <c r="H129" s="25"/>
      <c r="I129" s="25"/>
      <c r="J129" s="25"/>
      <c r="K129" s="25"/>
      <c r="L129" s="25"/>
      <c r="M129" s="25"/>
      <c r="N129" s="25"/>
      <c r="O129" s="25"/>
      <c r="P129" s="25"/>
      <c r="Q129" s="25"/>
      <c r="R129" s="25"/>
      <c r="S129" s="25"/>
      <c r="T129" s="25"/>
      <c r="U129" s="25"/>
      <c r="V129" s="25"/>
      <c r="W129" s="25"/>
      <c r="X129" s="25"/>
    </row>
    <row r="130" spans="1:24" ht="13">
      <c r="A130" s="25"/>
      <c r="B130" s="25"/>
      <c r="C130" s="25"/>
      <c r="D130" s="25" t="str">
        <f t="array" ref="D130">IF(OR(LEFT(C130,1)="(",COUNTA(C130)=0),"", INDEX(Honor!$B$2:$B998,MATCH(C130,Honor!$A$2:$A998,0)))</f>
        <v/>
      </c>
      <c r="E130" s="25" t="str">
        <f t="array" ref="E130">IF(OR(LEFT(C130,1)="(",COUNTA(C130)=0),"",INDEX(Honor!$O$2:$O998,MATCH(C130,Honor!$A$2:$A998,0)))</f>
        <v/>
      </c>
      <c r="F130" s="25"/>
      <c r="G130" s="25"/>
      <c r="H130" s="25"/>
      <c r="I130" s="25"/>
      <c r="J130" s="25"/>
      <c r="K130" s="25"/>
      <c r="L130" s="25"/>
      <c r="M130" s="25"/>
      <c r="N130" s="25"/>
      <c r="O130" s="25"/>
      <c r="P130" s="25"/>
      <c r="Q130" s="25"/>
      <c r="R130" s="25"/>
      <c r="S130" s="25"/>
      <c r="T130" s="25"/>
      <c r="U130" s="25"/>
      <c r="V130" s="25"/>
      <c r="W130" s="25"/>
      <c r="X130" s="25"/>
    </row>
    <row r="131" spans="1:24" ht="13">
      <c r="A131" s="25"/>
      <c r="B131" s="25"/>
      <c r="C131" s="25"/>
      <c r="D131" s="25" t="str">
        <f t="array" ref="D131">IF(OR(LEFT(C131,1)="(",COUNTA(C131)=0),"", INDEX(Honor!$B$2:$B998,MATCH(C131,Honor!$A$2:$A998,0)))</f>
        <v/>
      </c>
      <c r="E131" s="25" t="str">
        <f t="array" ref="E131">IF(OR(LEFT(C131,1)="(",COUNTA(C131)=0),"",INDEX(Honor!$O$2:$O998,MATCH(C131,Honor!$A$2:$A998,0)))</f>
        <v/>
      </c>
      <c r="F131" s="25"/>
      <c r="G131" s="25"/>
      <c r="H131" s="25"/>
      <c r="I131" s="25"/>
      <c r="J131" s="25"/>
      <c r="K131" s="25"/>
      <c r="L131" s="25"/>
      <c r="M131" s="25"/>
      <c r="N131" s="25"/>
      <c r="O131" s="25"/>
      <c r="P131" s="25"/>
      <c r="Q131" s="25"/>
      <c r="R131" s="25"/>
      <c r="S131" s="25"/>
      <c r="T131" s="25"/>
      <c r="U131" s="25"/>
      <c r="V131" s="25"/>
      <c r="W131" s="25"/>
      <c r="X131" s="25"/>
    </row>
    <row r="132" spans="1:24" ht="13">
      <c r="A132" s="25"/>
      <c r="B132" s="25"/>
      <c r="C132" s="25"/>
      <c r="D132" s="25" t="str">
        <f t="array" ref="D132">IF(OR(LEFT(C132,1)="(",COUNTA(C132)=0),"", INDEX(Honor!$B$2:$B998,MATCH(C132,Honor!$A$2:$A998,0)))</f>
        <v/>
      </c>
      <c r="E132" s="25" t="str">
        <f t="array" ref="E132">IF(OR(LEFT(C132,1)="(",COUNTA(C132)=0),"",INDEX(Honor!$O$2:$O998,MATCH(C132,Honor!$A$2:$A998,0)))</f>
        <v/>
      </c>
      <c r="F132" s="25"/>
      <c r="G132" s="25"/>
      <c r="H132" s="25"/>
      <c r="I132" s="25"/>
      <c r="J132" s="25"/>
      <c r="K132" s="25"/>
      <c r="L132" s="25"/>
      <c r="M132" s="25"/>
      <c r="N132" s="25"/>
      <c r="O132" s="25"/>
      <c r="P132" s="25"/>
      <c r="Q132" s="25"/>
      <c r="R132" s="25"/>
      <c r="S132" s="25"/>
      <c r="T132" s="25"/>
      <c r="U132" s="25"/>
      <c r="V132" s="25"/>
      <c r="W132" s="25"/>
      <c r="X132" s="25"/>
    </row>
    <row r="133" spans="1:24" ht="13">
      <c r="A133" s="25"/>
      <c r="B133" s="25"/>
      <c r="C133" s="25"/>
      <c r="D133" s="25" t="str">
        <f t="array" ref="D133">IF(OR(LEFT(C133,1)="(",COUNTA(C133)=0),"", INDEX(Honor!$B$2:$B998,MATCH(C133,Honor!$A$2:$A998,0)))</f>
        <v/>
      </c>
      <c r="E133" s="25" t="str">
        <f t="array" ref="E133">IF(OR(LEFT(C133,1)="(",COUNTA(C133)=0),"",INDEX(Honor!$O$2:$O998,MATCH(C133,Honor!$A$2:$A998,0)))</f>
        <v/>
      </c>
      <c r="F133" s="25"/>
      <c r="G133" s="25"/>
      <c r="H133" s="25"/>
      <c r="I133" s="25"/>
      <c r="J133" s="25"/>
      <c r="K133" s="25"/>
      <c r="L133" s="25"/>
      <c r="M133" s="25"/>
      <c r="N133" s="25"/>
      <c r="O133" s="25"/>
      <c r="P133" s="25"/>
      <c r="Q133" s="25"/>
      <c r="R133" s="25"/>
      <c r="S133" s="25"/>
      <c r="T133" s="25"/>
      <c r="U133" s="25"/>
      <c r="V133" s="25"/>
      <c r="W133" s="25"/>
      <c r="X133" s="25"/>
    </row>
    <row r="134" spans="1:24" ht="13">
      <c r="A134" s="25"/>
      <c r="B134" s="25"/>
      <c r="C134" s="25"/>
      <c r="D134" s="25" t="str">
        <f t="array" ref="D134">IF(OR(LEFT(C134,1)="(",COUNTA(C134)=0),"", INDEX(Honor!$B$2:$B998,MATCH(C134,Honor!$A$2:$A998,0)))</f>
        <v/>
      </c>
      <c r="E134" s="25" t="str">
        <f t="array" ref="E134">IF(OR(LEFT(C134,1)="(",COUNTA(C134)=0),"",INDEX(Honor!$O$2:$O998,MATCH(C134,Honor!$A$2:$A998,0)))</f>
        <v/>
      </c>
      <c r="F134" s="25"/>
      <c r="G134" s="25"/>
      <c r="H134" s="25"/>
      <c r="I134" s="25"/>
      <c r="J134" s="25"/>
      <c r="K134" s="25"/>
      <c r="L134" s="25"/>
      <c r="M134" s="25"/>
      <c r="N134" s="25"/>
      <c r="O134" s="25"/>
      <c r="P134" s="25"/>
      <c r="Q134" s="25"/>
      <c r="R134" s="25"/>
      <c r="S134" s="25"/>
      <c r="T134" s="25"/>
      <c r="U134" s="25"/>
      <c r="V134" s="25"/>
      <c r="W134" s="25"/>
      <c r="X134" s="25"/>
    </row>
    <row r="135" spans="1:24" ht="13">
      <c r="A135" s="25"/>
      <c r="B135" s="25"/>
      <c r="C135" s="25"/>
      <c r="D135" s="25" t="str">
        <f t="array" ref="D135">IF(OR(LEFT(C135,1)="(",COUNTA(C135)=0),"", INDEX(Honor!$B$2:$B998,MATCH(C135,Honor!$A$2:$A998,0)))</f>
        <v/>
      </c>
      <c r="E135" s="25" t="str">
        <f t="array" ref="E135">IF(OR(LEFT(C135,1)="(",COUNTA(C135)=0),"",INDEX(Honor!$O$2:$O998,MATCH(C135,Honor!$A$2:$A998,0)))</f>
        <v/>
      </c>
      <c r="F135" s="25"/>
      <c r="G135" s="25"/>
      <c r="H135" s="25"/>
      <c r="I135" s="25"/>
      <c r="J135" s="25"/>
      <c r="K135" s="25"/>
      <c r="L135" s="25"/>
      <c r="M135" s="25"/>
      <c r="N135" s="25"/>
      <c r="O135" s="25"/>
      <c r="P135" s="25"/>
      <c r="Q135" s="25"/>
      <c r="R135" s="25"/>
      <c r="S135" s="25"/>
      <c r="T135" s="25"/>
      <c r="U135" s="25"/>
      <c r="V135" s="25"/>
      <c r="W135" s="25"/>
      <c r="X135" s="25"/>
    </row>
    <row r="136" spans="1:24" ht="13">
      <c r="A136" s="25"/>
      <c r="B136" s="25"/>
      <c r="C136" s="25"/>
      <c r="D136" s="25" t="str">
        <f t="array" ref="D136">IF(OR(LEFT(C136,1)="(",COUNTA(C136)=0),"", INDEX(Honor!$B$2:$B998,MATCH(C136,Honor!$A$2:$A998,0)))</f>
        <v/>
      </c>
      <c r="E136" s="25" t="str">
        <f t="array" ref="E136">IF(OR(LEFT(C136,1)="(",COUNTA(C136)=0),"",INDEX(Honor!$O$2:$O998,MATCH(C136,Honor!$A$2:$A998,0)))</f>
        <v/>
      </c>
      <c r="F136" s="25"/>
      <c r="G136" s="25"/>
      <c r="H136" s="25"/>
      <c r="I136" s="25"/>
      <c r="J136" s="25"/>
      <c r="K136" s="25"/>
      <c r="L136" s="25"/>
      <c r="M136" s="25"/>
      <c r="N136" s="25"/>
      <c r="O136" s="25"/>
      <c r="P136" s="25"/>
      <c r="Q136" s="25"/>
      <c r="R136" s="25"/>
      <c r="S136" s="25"/>
      <c r="T136" s="25"/>
      <c r="U136" s="25"/>
      <c r="V136" s="25"/>
      <c r="W136" s="25"/>
      <c r="X136" s="25"/>
    </row>
    <row r="137" spans="1:24" ht="13">
      <c r="A137" s="25"/>
      <c r="B137" s="25"/>
      <c r="C137" s="25"/>
      <c r="D137" s="25" t="str">
        <f t="array" ref="D137">IF(OR(LEFT(C137,1)="(",COUNTA(C137)=0),"", INDEX(Honor!$B$2:$B998,MATCH(C137,Honor!$A$2:$A998,0)))</f>
        <v/>
      </c>
      <c r="E137" s="25" t="str">
        <f t="array" ref="E137">IF(OR(LEFT(C137,1)="(",COUNTA(C137)=0),"",INDEX(Honor!$O$2:$O998,MATCH(C137,Honor!$A$2:$A998,0)))</f>
        <v/>
      </c>
      <c r="F137" s="25"/>
      <c r="G137" s="25"/>
      <c r="H137" s="25"/>
      <c r="I137" s="25"/>
      <c r="J137" s="25"/>
      <c r="K137" s="25"/>
      <c r="L137" s="25"/>
      <c r="M137" s="25"/>
      <c r="N137" s="25"/>
      <c r="O137" s="25"/>
      <c r="P137" s="25"/>
      <c r="Q137" s="25"/>
      <c r="R137" s="25"/>
      <c r="S137" s="25"/>
      <c r="T137" s="25"/>
      <c r="U137" s="25"/>
      <c r="V137" s="25"/>
      <c r="W137" s="25"/>
      <c r="X137" s="25"/>
    </row>
    <row r="138" spans="1:24" ht="13">
      <c r="A138" s="25"/>
      <c r="B138" s="25"/>
      <c r="C138" s="25"/>
      <c r="D138" s="25" t="str">
        <f t="array" ref="D138">IF(OR(LEFT(C138,1)="(",COUNTA(C138)=0),"", INDEX(Honor!$B$2:$B998,MATCH(C138,Honor!$A$2:$A998,0)))</f>
        <v/>
      </c>
      <c r="E138" s="25" t="str">
        <f t="array" ref="E138">IF(OR(LEFT(C138,1)="(",COUNTA(C138)=0),"",INDEX(Honor!$O$2:$O998,MATCH(C138,Honor!$A$2:$A998,0)))</f>
        <v/>
      </c>
      <c r="F138" s="25"/>
      <c r="G138" s="25"/>
      <c r="H138" s="25"/>
      <c r="I138" s="25"/>
      <c r="J138" s="25"/>
      <c r="K138" s="25"/>
      <c r="L138" s="25"/>
      <c r="M138" s="25"/>
      <c r="N138" s="25"/>
      <c r="O138" s="25"/>
      <c r="P138" s="25"/>
      <c r="Q138" s="25"/>
      <c r="R138" s="25"/>
      <c r="S138" s="25"/>
      <c r="T138" s="25"/>
      <c r="U138" s="25"/>
      <c r="V138" s="25"/>
      <c r="W138" s="25"/>
      <c r="X138" s="25"/>
    </row>
    <row r="139" spans="1:24" ht="13">
      <c r="A139" s="25"/>
      <c r="B139" s="25"/>
      <c r="C139" s="25"/>
      <c r="D139" s="25" t="str">
        <f t="array" ref="D139">IF(OR(LEFT(C139,1)="(",COUNTA(C139)=0),"", INDEX(Honor!$B$2:$B998,MATCH(C139,Honor!$A$2:$A998,0)))</f>
        <v/>
      </c>
      <c r="E139" s="25" t="str">
        <f t="array" ref="E139">IF(OR(LEFT(C139,1)="(",COUNTA(C139)=0),"",INDEX(Honor!$O$2:$O998,MATCH(C139,Honor!$A$2:$A998,0)))</f>
        <v/>
      </c>
      <c r="F139" s="25"/>
      <c r="G139" s="25"/>
      <c r="H139" s="25"/>
      <c r="I139" s="25"/>
      <c r="J139" s="25"/>
      <c r="K139" s="25"/>
      <c r="L139" s="25"/>
      <c r="M139" s="25"/>
      <c r="N139" s="25"/>
      <c r="O139" s="25"/>
      <c r="P139" s="25"/>
      <c r="Q139" s="25"/>
      <c r="R139" s="25"/>
      <c r="S139" s="25"/>
      <c r="T139" s="25"/>
      <c r="U139" s="25"/>
      <c r="V139" s="25"/>
      <c r="W139" s="25"/>
      <c r="X139" s="25"/>
    </row>
    <row r="140" spans="1:24" ht="13">
      <c r="A140" s="25"/>
      <c r="B140" s="25"/>
      <c r="C140" s="25"/>
      <c r="D140" s="25" t="str">
        <f t="array" ref="D140">IF(OR(LEFT(C140,1)="(",COUNTA(C140)=0),"", INDEX(Honor!$B$2:$B998,MATCH(C140,Honor!$A$2:$A998,0)))</f>
        <v/>
      </c>
      <c r="E140" s="25" t="str">
        <f t="array" ref="E140">IF(OR(LEFT(C140,1)="(",COUNTA(C140)=0),"",INDEX(Honor!$O$2:$O998,MATCH(C140,Honor!$A$2:$A998,0)))</f>
        <v/>
      </c>
      <c r="F140" s="25"/>
      <c r="G140" s="25"/>
      <c r="H140" s="25"/>
      <c r="I140" s="25"/>
      <c r="J140" s="25"/>
      <c r="K140" s="25"/>
      <c r="L140" s="25"/>
      <c r="M140" s="25"/>
      <c r="N140" s="25"/>
      <c r="O140" s="25"/>
      <c r="P140" s="25"/>
      <c r="Q140" s="25"/>
      <c r="R140" s="25"/>
      <c r="S140" s="25"/>
      <c r="T140" s="25"/>
      <c r="U140" s="25"/>
      <c r="V140" s="25"/>
      <c r="W140" s="25"/>
      <c r="X140" s="25"/>
    </row>
    <row r="141" spans="1:24" ht="13">
      <c r="A141" s="25"/>
      <c r="B141" s="25"/>
      <c r="C141" s="25"/>
      <c r="D141" s="25" t="str">
        <f t="array" ref="D141">IF(OR(LEFT(C141,1)="(",COUNTA(C141)=0),"", INDEX(Honor!$B$2:$B998,MATCH(C141,Honor!$A$2:$A998,0)))</f>
        <v/>
      </c>
      <c r="E141" s="25" t="str">
        <f t="array" ref="E141">IF(OR(LEFT(C141,1)="(",COUNTA(C141)=0),"",INDEX(Honor!$O$2:$O998,MATCH(C141,Honor!$A$2:$A998,0)))</f>
        <v/>
      </c>
      <c r="F141" s="25"/>
      <c r="G141" s="25"/>
      <c r="H141" s="25"/>
      <c r="I141" s="25"/>
      <c r="J141" s="25"/>
      <c r="K141" s="25"/>
      <c r="L141" s="25"/>
      <c r="M141" s="25"/>
      <c r="N141" s="25"/>
      <c r="O141" s="25"/>
      <c r="P141" s="25"/>
      <c r="Q141" s="25"/>
      <c r="R141" s="25"/>
      <c r="S141" s="25"/>
      <c r="T141" s="25"/>
      <c r="U141" s="25"/>
      <c r="V141" s="25"/>
      <c r="W141" s="25"/>
      <c r="X141" s="25"/>
    </row>
    <row r="142" spans="1:24" ht="13">
      <c r="A142" s="25"/>
      <c r="B142" s="25"/>
      <c r="C142" s="25"/>
      <c r="D142" s="25" t="str">
        <f t="array" ref="D142">IF(OR(LEFT(C142,1)="(",COUNTA(C142)=0),"", INDEX(Honor!$B$2:$B998,MATCH(C142,Honor!$A$2:$A998,0)))</f>
        <v/>
      </c>
      <c r="E142" s="25" t="str">
        <f t="array" ref="E142">IF(OR(LEFT(C142,1)="(",COUNTA(C142)=0),"",INDEX(Honor!$O$2:$O998,MATCH(C142,Honor!$A$2:$A998,0)))</f>
        <v/>
      </c>
      <c r="F142" s="25"/>
      <c r="G142" s="25"/>
      <c r="H142" s="25"/>
      <c r="I142" s="25"/>
      <c r="J142" s="25"/>
      <c r="K142" s="25"/>
      <c r="L142" s="25"/>
      <c r="M142" s="25"/>
      <c r="N142" s="25"/>
      <c r="O142" s="25"/>
      <c r="P142" s="25"/>
      <c r="Q142" s="25"/>
      <c r="R142" s="25"/>
      <c r="S142" s="25"/>
      <c r="T142" s="25"/>
      <c r="U142" s="25"/>
      <c r="V142" s="25"/>
      <c r="W142" s="25"/>
      <c r="X142" s="25"/>
    </row>
    <row r="143" spans="1:24" ht="13">
      <c r="A143" s="25"/>
      <c r="B143" s="25"/>
      <c r="C143" s="25"/>
      <c r="D143" s="25" t="str">
        <f t="array" ref="D143">IF(OR(LEFT(C143,1)="(",COUNTA(C143)=0),"", INDEX(Honor!$B$2:$B998,MATCH(C143,Honor!$A$2:$A998,0)))</f>
        <v/>
      </c>
      <c r="E143" s="25" t="str">
        <f t="array" ref="E143">IF(OR(LEFT(C143,1)="(",COUNTA(C143)=0),"",INDEX(Honor!$O$2:$O998,MATCH(C143,Honor!$A$2:$A998,0)))</f>
        <v/>
      </c>
      <c r="F143" s="25"/>
      <c r="G143" s="25"/>
      <c r="H143" s="25"/>
      <c r="I143" s="25"/>
      <c r="J143" s="25"/>
      <c r="K143" s="25"/>
      <c r="L143" s="25"/>
      <c r="M143" s="25"/>
      <c r="N143" s="25"/>
      <c r="O143" s="25"/>
      <c r="P143" s="25"/>
      <c r="Q143" s="25"/>
      <c r="R143" s="25"/>
      <c r="S143" s="25"/>
      <c r="T143" s="25"/>
      <c r="U143" s="25"/>
      <c r="V143" s="25"/>
      <c r="W143" s="25"/>
      <c r="X143" s="25"/>
    </row>
    <row r="144" spans="1:24" ht="13">
      <c r="A144" s="25"/>
      <c r="B144" s="25"/>
      <c r="C144" s="25"/>
      <c r="D144" s="25" t="str">
        <f t="array" ref="D144">IF(OR(LEFT(C144,1)="(",COUNTA(C144)=0),"", INDEX(Honor!$B$2:$B998,MATCH(C144,Honor!$A$2:$A998,0)))</f>
        <v/>
      </c>
      <c r="E144" s="25" t="str">
        <f t="array" ref="E144">IF(OR(LEFT(C144,1)="(",COUNTA(C144)=0),"",INDEX(Honor!$O$2:$O998,MATCH(C144,Honor!$A$2:$A998,0)))</f>
        <v/>
      </c>
      <c r="F144" s="25"/>
      <c r="G144" s="25"/>
      <c r="H144" s="25"/>
      <c r="I144" s="25"/>
      <c r="J144" s="25"/>
      <c r="K144" s="25"/>
      <c r="L144" s="25"/>
      <c r="M144" s="25"/>
      <c r="N144" s="25"/>
      <c r="O144" s="25"/>
      <c r="P144" s="25"/>
      <c r="Q144" s="25"/>
      <c r="R144" s="25"/>
      <c r="S144" s="25"/>
      <c r="T144" s="25"/>
      <c r="U144" s="25"/>
      <c r="V144" s="25"/>
      <c r="W144" s="25"/>
      <c r="X144" s="25"/>
    </row>
    <row r="145" spans="1:24" ht="13">
      <c r="A145" s="25"/>
      <c r="B145" s="25"/>
      <c r="C145" s="25"/>
      <c r="D145" s="25" t="str">
        <f t="array" ref="D145">IF(OR(LEFT(C145,1)="(",COUNTA(C145)=0),"", INDEX(Honor!$B$2:$B998,MATCH(C145,Honor!$A$2:$A998,0)))</f>
        <v/>
      </c>
      <c r="E145" s="25" t="str">
        <f t="array" ref="E145">IF(OR(LEFT(C145,1)="(",COUNTA(C145)=0),"",INDEX(Honor!$O$2:$O998,MATCH(C145,Honor!$A$2:$A998,0)))</f>
        <v/>
      </c>
      <c r="F145" s="25"/>
      <c r="G145" s="25"/>
      <c r="H145" s="25"/>
      <c r="I145" s="25"/>
      <c r="J145" s="25"/>
      <c r="K145" s="25"/>
      <c r="L145" s="25"/>
      <c r="M145" s="25"/>
      <c r="N145" s="25"/>
      <c r="O145" s="25"/>
      <c r="P145" s="25"/>
      <c r="Q145" s="25"/>
      <c r="R145" s="25"/>
      <c r="S145" s="25"/>
      <c r="T145" s="25"/>
      <c r="U145" s="25"/>
      <c r="V145" s="25"/>
      <c r="W145" s="25"/>
      <c r="X145" s="25"/>
    </row>
    <row r="146" spans="1:24" ht="13">
      <c r="A146" s="25"/>
      <c r="B146" s="25"/>
      <c r="C146" s="25"/>
      <c r="D146" s="25" t="str">
        <f t="array" ref="D146">IF(OR(LEFT(C146,1)="(",COUNTA(C146)=0),"", INDEX(Honor!$B$2:$B998,MATCH(C146,Honor!$A$2:$A998,0)))</f>
        <v/>
      </c>
      <c r="E146" s="25" t="str">
        <f t="array" ref="E146">IF(OR(LEFT(C146,1)="(",COUNTA(C146)=0),"",INDEX(Honor!$O$2:$O998,MATCH(C146,Honor!$A$2:$A998,0)))</f>
        <v/>
      </c>
      <c r="F146" s="25"/>
      <c r="G146" s="25"/>
      <c r="H146" s="25"/>
      <c r="I146" s="25"/>
      <c r="J146" s="25"/>
      <c r="K146" s="25"/>
      <c r="L146" s="25"/>
      <c r="M146" s="25"/>
      <c r="N146" s="25"/>
      <c r="O146" s="25"/>
      <c r="P146" s="25"/>
      <c r="Q146" s="25"/>
      <c r="R146" s="25"/>
      <c r="S146" s="25"/>
      <c r="T146" s="25"/>
      <c r="U146" s="25"/>
      <c r="V146" s="25"/>
      <c r="W146" s="25"/>
      <c r="X146" s="25"/>
    </row>
    <row r="147" spans="1:24" ht="13">
      <c r="A147" s="25"/>
      <c r="B147" s="25"/>
      <c r="C147" s="25"/>
      <c r="D147" s="25" t="str">
        <f t="array" ref="D147">IF(OR(LEFT(C147,1)="(",COUNTA(C147)=0),"", INDEX(Honor!$B$2:$B998,MATCH(C147,Honor!$A$2:$A998,0)))</f>
        <v/>
      </c>
      <c r="E147" s="25" t="str">
        <f t="array" ref="E147">IF(OR(LEFT(C147,1)="(",COUNTA(C147)=0),"",INDEX(Honor!$O$2:$O998,MATCH(C147,Honor!$A$2:$A998,0)))</f>
        <v/>
      </c>
      <c r="F147" s="25"/>
      <c r="G147" s="25"/>
      <c r="H147" s="25"/>
      <c r="I147" s="25"/>
      <c r="J147" s="25"/>
      <c r="K147" s="25"/>
      <c r="L147" s="25"/>
      <c r="M147" s="25"/>
      <c r="N147" s="25"/>
      <c r="O147" s="25"/>
      <c r="P147" s="25"/>
      <c r="Q147" s="25"/>
      <c r="R147" s="25"/>
      <c r="S147" s="25"/>
      <c r="T147" s="25"/>
      <c r="U147" s="25"/>
      <c r="V147" s="25"/>
      <c r="W147" s="25"/>
      <c r="X147" s="25"/>
    </row>
    <row r="148" spans="1:24" ht="13">
      <c r="A148" s="25"/>
      <c r="B148" s="25"/>
      <c r="C148" s="25"/>
      <c r="D148" s="25" t="str">
        <f t="array" ref="D148">IF(OR(LEFT(C148,1)="(",COUNTA(C148)=0),"", INDEX(Honor!$B$2:$B998,MATCH(C148,Honor!$A$2:$A998,0)))</f>
        <v/>
      </c>
      <c r="E148" s="25" t="str">
        <f t="array" ref="E148">IF(OR(LEFT(C148,1)="(",COUNTA(C148)=0),"",INDEX(Honor!$O$2:$O998,MATCH(C148,Honor!$A$2:$A998,0)))</f>
        <v/>
      </c>
      <c r="F148" s="25"/>
      <c r="G148" s="25"/>
      <c r="H148" s="25"/>
      <c r="I148" s="25"/>
      <c r="J148" s="25"/>
      <c r="K148" s="25"/>
      <c r="L148" s="25"/>
      <c r="M148" s="25"/>
      <c r="N148" s="25"/>
      <c r="O148" s="25"/>
      <c r="P148" s="25"/>
      <c r="Q148" s="25"/>
      <c r="R148" s="25"/>
      <c r="S148" s="25"/>
      <c r="T148" s="25"/>
      <c r="U148" s="25"/>
      <c r="V148" s="25"/>
      <c r="W148" s="25"/>
      <c r="X148" s="25"/>
    </row>
    <row r="149" spans="1:24" ht="13">
      <c r="A149" s="25"/>
      <c r="B149" s="25"/>
      <c r="C149" s="25"/>
      <c r="D149" s="25" t="str">
        <f t="array" ref="D149">IF(OR(LEFT(C149,1)="(",COUNTA(C149)=0),"", INDEX(Honor!$B$2:$B998,MATCH(C149,Honor!$A$2:$A998,0)))</f>
        <v/>
      </c>
      <c r="E149" s="25" t="str">
        <f t="array" ref="E149">IF(OR(LEFT(C149,1)="(",COUNTA(C149)=0),"",INDEX(Honor!$O$2:$O998,MATCH(C149,Honor!$A$2:$A998,0)))</f>
        <v/>
      </c>
      <c r="F149" s="25"/>
      <c r="G149" s="25"/>
      <c r="H149" s="25"/>
      <c r="I149" s="25"/>
      <c r="J149" s="25"/>
      <c r="K149" s="25"/>
      <c r="L149" s="25"/>
      <c r="M149" s="25"/>
      <c r="N149" s="25"/>
      <c r="O149" s="25"/>
      <c r="P149" s="25"/>
      <c r="Q149" s="25"/>
      <c r="R149" s="25"/>
      <c r="S149" s="25"/>
      <c r="T149" s="25"/>
      <c r="U149" s="25"/>
      <c r="V149" s="25"/>
      <c r="W149" s="25"/>
      <c r="X149" s="25"/>
    </row>
    <row r="150" spans="1:24" ht="13">
      <c r="A150" s="25"/>
      <c r="B150" s="25"/>
      <c r="C150" s="25"/>
      <c r="D150" s="25" t="str">
        <f t="array" ref="D150">IF(OR(LEFT(C150,1)="(",COUNTA(C150)=0),"", INDEX(Honor!$B$2:$B998,MATCH(C150,Honor!$A$2:$A998,0)))</f>
        <v/>
      </c>
      <c r="E150" s="25" t="str">
        <f t="array" ref="E150">IF(OR(LEFT(C150,1)="(",COUNTA(C150)=0),"",INDEX(Honor!$O$2:$O998,MATCH(C150,Honor!$A$2:$A998,0)))</f>
        <v/>
      </c>
      <c r="F150" s="25"/>
      <c r="G150" s="25"/>
      <c r="H150" s="25"/>
      <c r="I150" s="25"/>
      <c r="J150" s="25"/>
      <c r="K150" s="25"/>
      <c r="L150" s="25"/>
      <c r="M150" s="25"/>
      <c r="N150" s="25"/>
      <c r="O150" s="25"/>
      <c r="P150" s="25"/>
      <c r="Q150" s="25"/>
      <c r="R150" s="25"/>
      <c r="S150" s="25"/>
      <c r="T150" s="25"/>
      <c r="U150" s="25"/>
      <c r="V150" s="25"/>
      <c r="W150" s="25"/>
      <c r="X150" s="25"/>
    </row>
    <row r="151" spans="1:24" ht="13">
      <c r="A151" s="25"/>
      <c r="B151" s="25"/>
      <c r="C151" s="25"/>
      <c r="D151" s="25" t="str">
        <f t="array" ref="D151">IF(OR(LEFT(C151,1)="(",COUNTA(C151)=0),"", INDEX(Honor!$B$2:$B998,MATCH(C151,Honor!$A$2:$A998,0)))</f>
        <v/>
      </c>
      <c r="E151" s="25" t="str">
        <f t="array" ref="E151">IF(OR(LEFT(C151,1)="(",COUNTA(C151)=0),"",INDEX(Honor!$O$2:$O998,MATCH(C151,Honor!$A$2:$A998,0)))</f>
        <v/>
      </c>
      <c r="F151" s="25"/>
      <c r="G151" s="25"/>
      <c r="H151" s="25"/>
      <c r="I151" s="25"/>
      <c r="J151" s="25"/>
      <c r="K151" s="25"/>
      <c r="L151" s="25"/>
      <c r="M151" s="25"/>
      <c r="N151" s="25"/>
      <c r="O151" s="25"/>
      <c r="P151" s="25"/>
      <c r="Q151" s="25"/>
      <c r="R151" s="25"/>
      <c r="S151" s="25"/>
      <c r="T151" s="25"/>
      <c r="U151" s="25"/>
      <c r="V151" s="25"/>
      <c r="W151" s="25"/>
      <c r="X151" s="25"/>
    </row>
    <row r="152" spans="1:24" ht="13">
      <c r="A152" s="25"/>
      <c r="B152" s="25"/>
      <c r="C152" s="25"/>
      <c r="D152" s="25" t="str">
        <f t="array" ref="D152">IF(OR(LEFT(C152,1)="(",COUNTA(C152)=0),"", INDEX(Honor!$B$2:$B998,MATCH(C152,Honor!$A$2:$A998,0)))</f>
        <v/>
      </c>
      <c r="E152" s="25" t="str">
        <f t="array" ref="E152">IF(OR(LEFT(C152,1)="(",COUNTA(C152)=0),"",INDEX(Honor!$O$2:$O998,MATCH(C152,Honor!$A$2:$A998,0)))</f>
        <v/>
      </c>
      <c r="F152" s="25"/>
      <c r="G152" s="25"/>
      <c r="H152" s="25"/>
      <c r="I152" s="25"/>
      <c r="J152" s="25"/>
      <c r="K152" s="25"/>
      <c r="L152" s="25"/>
      <c r="M152" s="25"/>
      <c r="N152" s="25"/>
      <c r="O152" s="25"/>
      <c r="P152" s="25"/>
      <c r="Q152" s="25"/>
      <c r="R152" s="25"/>
      <c r="S152" s="25"/>
      <c r="T152" s="25"/>
      <c r="U152" s="25"/>
      <c r="V152" s="25"/>
      <c r="W152" s="25"/>
      <c r="X152" s="25"/>
    </row>
    <row r="153" spans="1:24" ht="13">
      <c r="A153" s="25"/>
      <c r="B153" s="25"/>
      <c r="C153" s="25"/>
      <c r="D153" s="25" t="str">
        <f t="array" ref="D153">IF(OR(LEFT(C153,1)="(",COUNTA(C153)=0),"", INDEX(Honor!$B$2:$B998,MATCH(C153,Honor!$A$2:$A998,0)))</f>
        <v/>
      </c>
      <c r="E153" s="25" t="str">
        <f t="array" ref="E153">IF(OR(LEFT(C153,1)="(",COUNTA(C153)=0),"",INDEX(Honor!$O$2:$O998,MATCH(C153,Honor!$A$2:$A998,0)))</f>
        <v/>
      </c>
      <c r="F153" s="25"/>
      <c r="G153" s="25"/>
      <c r="H153" s="25"/>
      <c r="I153" s="25"/>
      <c r="J153" s="25"/>
      <c r="K153" s="25"/>
      <c r="L153" s="25"/>
      <c r="M153" s="25"/>
      <c r="N153" s="25"/>
      <c r="O153" s="25"/>
      <c r="P153" s="25"/>
      <c r="Q153" s="25"/>
      <c r="R153" s="25"/>
      <c r="S153" s="25"/>
      <c r="T153" s="25"/>
      <c r="U153" s="25"/>
      <c r="V153" s="25"/>
      <c r="W153" s="25"/>
      <c r="X153" s="25"/>
    </row>
    <row r="154" spans="1:24" ht="13">
      <c r="A154" s="25"/>
      <c r="B154" s="25"/>
      <c r="C154" s="25"/>
      <c r="D154" s="25" t="str">
        <f t="array" ref="D154">IF(OR(LEFT(C154,1)="(",COUNTA(C154)=0),"", INDEX(Honor!$B$2:$B998,MATCH(C154,Honor!$A$2:$A998,0)))</f>
        <v/>
      </c>
      <c r="E154" s="25" t="str">
        <f t="array" ref="E154">IF(OR(LEFT(C154,1)="(",COUNTA(C154)=0),"",INDEX(Honor!$O$2:$O998,MATCH(C154,Honor!$A$2:$A998,0)))</f>
        <v/>
      </c>
      <c r="F154" s="25"/>
      <c r="G154" s="25"/>
      <c r="H154" s="25"/>
      <c r="I154" s="25"/>
      <c r="J154" s="25"/>
      <c r="K154" s="25"/>
      <c r="L154" s="25"/>
      <c r="M154" s="25"/>
      <c r="N154" s="25"/>
      <c r="O154" s="25"/>
      <c r="P154" s="25"/>
      <c r="Q154" s="25"/>
      <c r="R154" s="25"/>
      <c r="S154" s="25"/>
      <c r="T154" s="25"/>
      <c r="U154" s="25"/>
      <c r="V154" s="25"/>
      <c r="W154" s="25"/>
      <c r="X154" s="25"/>
    </row>
    <row r="155" spans="1:24" ht="13">
      <c r="A155" s="25"/>
      <c r="B155" s="25"/>
      <c r="C155" s="25"/>
      <c r="D155" s="25" t="str">
        <f t="array" ref="D155">IF(OR(LEFT(C155,1)="(",COUNTA(C155)=0),"", INDEX(Honor!$B$2:$B998,MATCH(C155,Honor!$A$2:$A998,0)))</f>
        <v/>
      </c>
      <c r="E155" s="25" t="str">
        <f t="array" ref="E155">IF(OR(LEFT(C155,1)="(",COUNTA(C155)=0),"",INDEX(Honor!$O$2:$O998,MATCH(C155,Honor!$A$2:$A998,0)))</f>
        <v/>
      </c>
      <c r="F155" s="25"/>
      <c r="G155" s="25"/>
      <c r="H155" s="25"/>
      <c r="I155" s="25"/>
      <c r="J155" s="25"/>
      <c r="K155" s="25"/>
      <c r="L155" s="25"/>
      <c r="M155" s="25"/>
      <c r="N155" s="25"/>
      <c r="O155" s="25"/>
      <c r="P155" s="25"/>
      <c r="Q155" s="25"/>
      <c r="R155" s="25"/>
      <c r="S155" s="25"/>
      <c r="T155" s="25"/>
      <c r="U155" s="25"/>
      <c r="V155" s="25"/>
      <c r="W155" s="25"/>
      <c r="X155" s="25"/>
    </row>
    <row r="156" spans="1:24" ht="13">
      <c r="A156" s="25"/>
      <c r="B156" s="25"/>
      <c r="C156" s="25"/>
      <c r="D156" s="25" t="str">
        <f t="array" ref="D156">IF(OR(LEFT(C156,1)="(",COUNTA(C156)=0),"", INDEX(Honor!$B$2:$B998,MATCH(C156,Honor!$A$2:$A998,0)))</f>
        <v/>
      </c>
      <c r="E156" s="25" t="str">
        <f t="array" ref="E156">IF(OR(LEFT(C156,1)="(",COUNTA(C156)=0),"",INDEX(Honor!$O$2:$O998,MATCH(C156,Honor!$A$2:$A998,0)))</f>
        <v/>
      </c>
      <c r="F156" s="25"/>
      <c r="G156" s="25"/>
      <c r="H156" s="25"/>
      <c r="I156" s="25"/>
      <c r="J156" s="25"/>
      <c r="K156" s="25"/>
      <c r="L156" s="25"/>
      <c r="M156" s="25"/>
      <c r="N156" s="25"/>
      <c r="O156" s="25"/>
      <c r="P156" s="25"/>
      <c r="Q156" s="25"/>
      <c r="R156" s="25"/>
      <c r="S156" s="25"/>
      <c r="T156" s="25"/>
      <c r="U156" s="25"/>
      <c r="V156" s="25"/>
      <c r="W156" s="25"/>
      <c r="X156" s="25"/>
    </row>
    <row r="157" spans="1:24" ht="13">
      <c r="A157" s="25"/>
      <c r="B157" s="25"/>
      <c r="C157" s="25"/>
      <c r="D157" s="25" t="str">
        <f t="array" ref="D157">IF(OR(LEFT(C157,1)="(",COUNTA(C157)=0),"", INDEX(Honor!$B$2:$B998,MATCH(C157,Honor!$A$2:$A998,0)))</f>
        <v/>
      </c>
      <c r="E157" s="25" t="str">
        <f t="array" ref="E157">IF(OR(LEFT(C157,1)="(",COUNTA(C157)=0),"",INDEX(Honor!$O$2:$O998,MATCH(C157,Honor!$A$2:$A998,0)))</f>
        <v/>
      </c>
      <c r="F157" s="25"/>
      <c r="G157" s="25"/>
      <c r="H157" s="25"/>
      <c r="I157" s="25"/>
      <c r="J157" s="25"/>
      <c r="K157" s="25"/>
      <c r="L157" s="25"/>
      <c r="M157" s="25"/>
      <c r="N157" s="25"/>
      <c r="O157" s="25"/>
      <c r="P157" s="25"/>
      <c r="Q157" s="25"/>
      <c r="R157" s="25"/>
      <c r="S157" s="25"/>
      <c r="T157" s="25"/>
      <c r="U157" s="25"/>
      <c r="V157" s="25"/>
      <c r="W157" s="25"/>
      <c r="X157" s="25"/>
    </row>
    <row r="158" spans="1:24" ht="13">
      <c r="A158" s="25"/>
      <c r="B158" s="25"/>
      <c r="C158" s="25"/>
      <c r="D158" s="25" t="str">
        <f t="array" ref="D158">IF(OR(LEFT(C158,1)="(",COUNTA(C158)=0),"", INDEX(Honor!$B$2:$B998,MATCH(C158,Honor!$A$2:$A998,0)))</f>
        <v/>
      </c>
      <c r="E158" s="25" t="str">
        <f t="array" ref="E158">IF(OR(LEFT(C158,1)="(",COUNTA(C158)=0),"",INDEX(Honor!$O$2:$O998,MATCH(C158,Honor!$A$2:$A998,0)))</f>
        <v/>
      </c>
      <c r="F158" s="25"/>
      <c r="G158" s="25"/>
      <c r="H158" s="25"/>
      <c r="I158" s="25"/>
      <c r="J158" s="25"/>
      <c r="K158" s="25"/>
      <c r="L158" s="25"/>
      <c r="M158" s="25"/>
      <c r="N158" s="25"/>
      <c r="O158" s="25"/>
      <c r="P158" s="25"/>
      <c r="Q158" s="25"/>
      <c r="R158" s="25"/>
      <c r="S158" s="25"/>
      <c r="T158" s="25"/>
      <c r="U158" s="25"/>
      <c r="V158" s="25"/>
      <c r="W158" s="25"/>
      <c r="X158" s="25"/>
    </row>
    <row r="159" spans="1:24" ht="13">
      <c r="A159" s="25"/>
      <c r="B159" s="25"/>
      <c r="C159" s="25"/>
      <c r="D159" s="25" t="str">
        <f t="array" ref="D159">IF(OR(LEFT(C159,1)="(",COUNTA(C159)=0),"", INDEX(Honor!$B$2:$B998,MATCH(C159,Honor!$A$2:$A998,0)))</f>
        <v/>
      </c>
      <c r="E159" s="25" t="str">
        <f t="array" ref="E159">IF(OR(LEFT(C159,1)="(",COUNTA(C159)=0),"",INDEX(Honor!$O$2:$O998,MATCH(C159,Honor!$A$2:$A998,0)))</f>
        <v/>
      </c>
      <c r="F159" s="25"/>
      <c r="G159" s="25"/>
      <c r="H159" s="25"/>
      <c r="I159" s="25"/>
      <c r="J159" s="25"/>
      <c r="K159" s="25"/>
      <c r="L159" s="25"/>
      <c r="M159" s="25"/>
      <c r="N159" s="25"/>
      <c r="O159" s="25"/>
      <c r="P159" s="25"/>
      <c r="Q159" s="25"/>
      <c r="R159" s="25"/>
      <c r="S159" s="25"/>
      <c r="T159" s="25"/>
      <c r="U159" s="25"/>
      <c r="V159" s="25"/>
      <c r="W159" s="25"/>
      <c r="X159" s="25"/>
    </row>
    <row r="160" spans="1:24" ht="13">
      <c r="A160" s="25"/>
      <c r="B160" s="25"/>
      <c r="C160" s="25"/>
      <c r="D160" s="25" t="str">
        <f t="array" ref="D160">IF(OR(LEFT(C160,1)="(",COUNTA(C160)=0),"", INDEX(Honor!$B$2:$B998,MATCH(C160,Honor!$A$2:$A998,0)))</f>
        <v/>
      </c>
      <c r="E160" s="25" t="str">
        <f t="array" ref="E160">IF(OR(LEFT(C160,1)="(",COUNTA(C160)=0),"",INDEX(Honor!$O$2:$O998,MATCH(C160,Honor!$A$2:$A998,0)))</f>
        <v/>
      </c>
      <c r="F160" s="25"/>
      <c r="G160" s="25"/>
      <c r="H160" s="25"/>
      <c r="I160" s="25"/>
      <c r="J160" s="25"/>
      <c r="K160" s="25"/>
      <c r="L160" s="25"/>
      <c r="M160" s="25"/>
      <c r="N160" s="25"/>
      <c r="O160" s="25"/>
      <c r="P160" s="25"/>
      <c r="Q160" s="25"/>
      <c r="R160" s="25"/>
      <c r="S160" s="25"/>
      <c r="T160" s="25"/>
      <c r="U160" s="25"/>
      <c r="V160" s="25"/>
      <c r="W160" s="25"/>
      <c r="X160" s="25"/>
    </row>
    <row r="161" spans="1:24" ht="13">
      <c r="A161" s="25"/>
      <c r="B161" s="25"/>
      <c r="C161" s="25"/>
      <c r="D161" s="25" t="str">
        <f t="array" ref="D161">IF(OR(LEFT(C161,1)="(",COUNTA(C161)=0),"", INDEX(Honor!$B$2:$B998,MATCH(C161,Honor!$A$2:$A998,0)))</f>
        <v/>
      </c>
      <c r="E161" s="25" t="str">
        <f t="array" ref="E161">IF(OR(LEFT(C161,1)="(",COUNTA(C161)=0),"",INDEX(Honor!$O$2:$O998,MATCH(C161,Honor!$A$2:$A998,0)))</f>
        <v/>
      </c>
      <c r="F161" s="25"/>
      <c r="G161" s="25"/>
      <c r="H161" s="25"/>
      <c r="I161" s="25"/>
      <c r="J161" s="25"/>
      <c r="K161" s="25"/>
      <c r="L161" s="25"/>
      <c r="M161" s="25"/>
      <c r="N161" s="25"/>
      <c r="O161" s="25"/>
      <c r="P161" s="25"/>
      <c r="Q161" s="25"/>
      <c r="R161" s="25"/>
      <c r="S161" s="25"/>
      <c r="T161" s="25"/>
      <c r="U161" s="25"/>
      <c r="V161" s="25"/>
      <c r="W161" s="25"/>
      <c r="X161" s="25"/>
    </row>
    <row r="162" spans="1:24" ht="13">
      <c r="A162" s="25"/>
      <c r="B162" s="25"/>
      <c r="C162" s="25"/>
      <c r="D162" s="25" t="str">
        <f t="array" ref="D162">IF(OR(LEFT(C162,1)="(",COUNTA(C162)=0),"", INDEX(Honor!$B$2:$B998,MATCH(C162,Honor!$A$2:$A998,0)))</f>
        <v/>
      </c>
      <c r="E162" s="25" t="str">
        <f t="array" ref="E162">IF(OR(LEFT(C162,1)="(",COUNTA(C162)=0),"",INDEX(Honor!$O$2:$O998,MATCH(C162,Honor!$A$2:$A998,0)))</f>
        <v/>
      </c>
      <c r="F162" s="25"/>
      <c r="G162" s="25"/>
      <c r="H162" s="25"/>
      <c r="I162" s="25"/>
      <c r="J162" s="25"/>
      <c r="K162" s="25"/>
      <c r="L162" s="25"/>
      <c r="M162" s="25"/>
      <c r="N162" s="25"/>
      <c r="O162" s="25"/>
      <c r="P162" s="25"/>
      <c r="Q162" s="25"/>
      <c r="R162" s="25"/>
      <c r="S162" s="25"/>
      <c r="T162" s="25"/>
      <c r="U162" s="25"/>
      <c r="V162" s="25"/>
      <c r="W162" s="25"/>
      <c r="X162" s="25"/>
    </row>
    <row r="163" spans="1:24" ht="13">
      <c r="A163" s="25"/>
      <c r="B163" s="25"/>
      <c r="C163" s="25"/>
      <c r="D163" s="25" t="str">
        <f t="array" ref="D163">IF(OR(LEFT(C163,1)="(",COUNTA(C163)=0),"", INDEX(Honor!$B$2:$B998,MATCH(C163,Honor!$A$2:$A998,0)))</f>
        <v/>
      </c>
      <c r="E163" s="25" t="str">
        <f t="array" ref="E163">IF(OR(LEFT(C163,1)="(",COUNTA(C163)=0),"",INDEX(Honor!$O$2:$O998,MATCH(C163,Honor!$A$2:$A998,0)))</f>
        <v/>
      </c>
      <c r="F163" s="25"/>
      <c r="G163" s="25"/>
      <c r="H163" s="25"/>
      <c r="I163" s="25"/>
      <c r="J163" s="25"/>
      <c r="K163" s="25"/>
      <c r="L163" s="25"/>
      <c r="M163" s="25"/>
      <c r="N163" s="25"/>
      <c r="O163" s="25"/>
      <c r="P163" s="25"/>
      <c r="Q163" s="25"/>
      <c r="R163" s="25"/>
      <c r="S163" s="25"/>
      <c r="T163" s="25"/>
      <c r="U163" s="25"/>
      <c r="V163" s="25"/>
      <c r="W163" s="25"/>
      <c r="X163" s="25"/>
    </row>
    <row r="164" spans="1:24" ht="13">
      <c r="A164" s="25"/>
      <c r="B164" s="25"/>
      <c r="C164" s="25"/>
      <c r="D164" s="25" t="str">
        <f t="array" ref="D164">IF(OR(LEFT(C164,1)="(",COUNTA(C164)=0),"", INDEX(Honor!$B$2:$B998,MATCH(C164,Honor!$A$2:$A998,0)))</f>
        <v/>
      </c>
      <c r="E164" s="25" t="str">
        <f t="array" ref="E164">IF(OR(LEFT(C164,1)="(",COUNTA(C164)=0),"",INDEX(Honor!$O$2:$O998,MATCH(C164,Honor!$A$2:$A998,0)))</f>
        <v/>
      </c>
      <c r="F164" s="25"/>
      <c r="G164" s="25"/>
      <c r="H164" s="25"/>
      <c r="I164" s="25"/>
      <c r="J164" s="25"/>
      <c r="K164" s="25"/>
      <c r="L164" s="25"/>
      <c r="M164" s="25"/>
      <c r="N164" s="25"/>
      <c r="O164" s="25"/>
      <c r="P164" s="25"/>
      <c r="Q164" s="25"/>
      <c r="R164" s="25"/>
      <c r="S164" s="25"/>
      <c r="T164" s="25"/>
      <c r="U164" s="25"/>
      <c r="V164" s="25"/>
      <c r="W164" s="25"/>
      <c r="X164" s="25"/>
    </row>
    <row r="165" spans="1:24" ht="13">
      <c r="A165" s="25"/>
      <c r="B165" s="25"/>
      <c r="C165" s="25"/>
      <c r="D165" s="25" t="str">
        <f t="array" ref="D165">IF(OR(LEFT(C165,1)="(",COUNTA(C165)=0),"", INDEX(Honor!$B$2:$B998,MATCH(C165,Honor!$A$2:$A998,0)))</f>
        <v/>
      </c>
      <c r="E165" s="25" t="str">
        <f t="array" ref="E165">IF(OR(LEFT(C165,1)="(",COUNTA(C165)=0),"",INDEX(Honor!$O$2:$O998,MATCH(C165,Honor!$A$2:$A998,0)))</f>
        <v/>
      </c>
      <c r="F165" s="25"/>
      <c r="G165" s="25"/>
      <c r="H165" s="25"/>
      <c r="I165" s="25"/>
      <c r="J165" s="25"/>
      <c r="K165" s="25"/>
      <c r="L165" s="25"/>
      <c r="M165" s="25"/>
      <c r="N165" s="25"/>
      <c r="O165" s="25"/>
      <c r="P165" s="25"/>
      <c r="Q165" s="25"/>
      <c r="R165" s="25"/>
      <c r="S165" s="25"/>
      <c r="T165" s="25"/>
      <c r="U165" s="25"/>
      <c r="V165" s="25"/>
      <c r="W165" s="25"/>
      <c r="X165" s="25"/>
    </row>
    <row r="166" spans="1:24" ht="13">
      <c r="A166" s="25"/>
      <c r="B166" s="25"/>
      <c r="C166" s="25"/>
      <c r="D166" s="25" t="str">
        <f t="array" ref="D166">IF(OR(LEFT(C166,1)="(",COUNTA(C166)=0),"", INDEX(Honor!$B$2:$B998,MATCH(C166,Honor!$A$2:$A998,0)))</f>
        <v/>
      </c>
      <c r="E166" s="25" t="str">
        <f t="array" ref="E166">IF(OR(LEFT(C166,1)="(",COUNTA(C166)=0),"",INDEX(Honor!$O$2:$O998,MATCH(C166,Honor!$A$2:$A998,0)))</f>
        <v/>
      </c>
      <c r="F166" s="25"/>
      <c r="G166" s="25"/>
      <c r="H166" s="25"/>
      <c r="I166" s="25"/>
      <c r="J166" s="25"/>
      <c r="K166" s="25"/>
      <c r="L166" s="25"/>
      <c r="M166" s="25"/>
      <c r="N166" s="25"/>
      <c r="O166" s="25"/>
      <c r="P166" s="25"/>
      <c r="Q166" s="25"/>
      <c r="R166" s="25"/>
      <c r="S166" s="25"/>
      <c r="T166" s="25"/>
      <c r="U166" s="25"/>
      <c r="V166" s="25"/>
      <c r="W166" s="25"/>
      <c r="X166" s="25"/>
    </row>
    <row r="167" spans="1:24" ht="13">
      <c r="A167" s="25"/>
      <c r="B167" s="25"/>
      <c r="C167" s="25"/>
      <c r="D167" s="25" t="str">
        <f t="array" ref="D167">IF(OR(LEFT(C167,1)="(",COUNTA(C167)=0),"", INDEX(Honor!$B$2:$B998,MATCH(C167,Honor!$A$2:$A998,0)))</f>
        <v/>
      </c>
      <c r="E167" s="25" t="str">
        <f t="array" ref="E167">IF(OR(LEFT(C167,1)="(",COUNTA(C167)=0),"",INDEX(Honor!$O$2:$O998,MATCH(C167,Honor!$A$2:$A998,0)))</f>
        <v/>
      </c>
      <c r="F167" s="25"/>
      <c r="G167" s="25"/>
      <c r="H167" s="25"/>
      <c r="I167" s="25"/>
      <c r="J167" s="25"/>
      <c r="K167" s="25"/>
      <c r="L167" s="25"/>
      <c r="M167" s="25"/>
      <c r="N167" s="25"/>
      <c r="O167" s="25"/>
      <c r="P167" s="25"/>
      <c r="Q167" s="25"/>
      <c r="R167" s="25"/>
      <c r="S167" s="25"/>
      <c r="T167" s="25"/>
      <c r="U167" s="25"/>
      <c r="V167" s="25"/>
      <c r="W167" s="25"/>
      <c r="X167" s="25"/>
    </row>
    <row r="168" spans="1:24" ht="13">
      <c r="A168" s="25"/>
      <c r="B168" s="25"/>
      <c r="C168" s="25"/>
      <c r="D168" s="25" t="str">
        <f t="array" ref="D168">IF(OR(LEFT(C168,1)="(",COUNTA(C168)=0),"", INDEX(Honor!$B$2:$B998,MATCH(C168,Honor!$A$2:$A998,0)))</f>
        <v/>
      </c>
      <c r="E168" s="25" t="str">
        <f t="array" ref="E168">IF(OR(LEFT(C168,1)="(",COUNTA(C168)=0),"",INDEX(Honor!$O$2:$O998,MATCH(C168,Honor!$A$2:$A998,0)))</f>
        <v/>
      </c>
      <c r="F168" s="25"/>
      <c r="G168" s="25"/>
      <c r="H168" s="25"/>
      <c r="I168" s="25"/>
      <c r="J168" s="25"/>
      <c r="K168" s="25"/>
      <c r="L168" s="25"/>
      <c r="M168" s="25"/>
      <c r="N168" s="25"/>
      <c r="O168" s="25"/>
      <c r="P168" s="25"/>
      <c r="Q168" s="25"/>
      <c r="R168" s="25"/>
      <c r="S168" s="25"/>
      <c r="T168" s="25"/>
      <c r="U168" s="25"/>
      <c r="V168" s="25"/>
      <c r="W168" s="25"/>
      <c r="X168" s="25"/>
    </row>
    <row r="169" spans="1:24" ht="13">
      <c r="A169" s="25"/>
      <c r="B169" s="25"/>
      <c r="C169" s="25"/>
      <c r="D169" s="25" t="str">
        <f t="array" ref="D169">IF(OR(LEFT(C169,1)="(",COUNTA(C169)=0),"", INDEX(Honor!$B$2:$B998,MATCH(C169,Honor!$A$2:$A998,0)))</f>
        <v/>
      </c>
      <c r="E169" s="25" t="str">
        <f t="array" ref="E169">IF(OR(LEFT(C169,1)="(",COUNTA(C169)=0),"",INDEX(Honor!$O$2:$O998,MATCH(C169,Honor!$A$2:$A998,0)))</f>
        <v/>
      </c>
      <c r="F169" s="25"/>
      <c r="G169" s="25"/>
      <c r="H169" s="25"/>
      <c r="I169" s="25"/>
      <c r="J169" s="25"/>
      <c r="K169" s="25"/>
      <c r="L169" s="25"/>
      <c r="M169" s="25"/>
      <c r="N169" s="25"/>
      <c r="O169" s="25"/>
      <c r="P169" s="25"/>
      <c r="Q169" s="25"/>
      <c r="R169" s="25"/>
      <c r="S169" s="25"/>
      <c r="T169" s="25"/>
      <c r="U169" s="25"/>
      <c r="V169" s="25"/>
      <c r="W169" s="25"/>
      <c r="X169" s="25"/>
    </row>
    <row r="170" spans="1:24" ht="13">
      <c r="A170" s="25"/>
      <c r="B170" s="25"/>
      <c r="C170" s="25"/>
      <c r="D170" s="25" t="str">
        <f t="array" ref="D170">IF(OR(LEFT(C170,1)="(",COUNTA(C170)=0),"", INDEX(Honor!$B$2:$B998,MATCH(C170,Honor!$A$2:$A998,0)))</f>
        <v/>
      </c>
      <c r="E170" s="25" t="str">
        <f t="array" ref="E170">IF(OR(LEFT(C170,1)="(",COUNTA(C170)=0),"",INDEX(Honor!$O$2:$O998,MATCH(C170,Honor!$A$2:$A998,0)))</f>
        <v/>
      </c>
      <c r="F170" s="25"/>
      <c r="G170" s="25"/>
      <c r="H170" s="25"/>
      <c r="I170" s="25"/>
      <c r="J170" s="25"/>
      <c r="K170" s="25"/>
      <c r="L170" s="25"/>
      <c r="M170" s="25"/>
      <c r="N170" s="25"/>
      <c r="O170" s="25"/>
      <c r="P170" s="25"/>
      <c r="Q170" s="25"/>
      <c r="R170" s="25"/>
      <c r="S170" s="25"/>
      <c r="T170" s="25"/>
      <c r="U170" s="25"/>
      <c r="V170" s="25"/>
      <c r="W170" s="25"/>
      <c r="X170" s="25"/>
    </row>
    <row r="171" spans="1:24" ht="13">
      <c r="A171" s="25"/>
      <c r="B171" s="25"/>
      <c r="C171" s="25"/>
      <c r="D171" s="25" t="str">
        <f t="array" ref="D171">IF(OR(LEFT(C171,1)="(",COUNTA(C171)=0),"", INDEX(Honor!$B$2:$B998,MATCH(C171,Honor!$A$2:$A998,0)))</f>
        <v/>
      </c>
      <c r="E171" s="25" t="str">
        <f t="array" ref="E171">IF(OR(LEFT(C171,1)="(",COUNTA(C171)=0),"",INDEX(Honor!$O$2:$O998,MATCH(C171,Honor!$A$2:$A998,0)))</f>
        <v/>
      </c>
      <c r="F171" s="25"/>
      <c r="G171" s="25"/>
      <c r="H171" s="25"/>
      <c r="I171" s="25"/>
      <c r="J171" s="25"/>
      <c r="K171" s="25"/>
      <c r="L171" s="25"/>
      <c r="M171" s="25"/>
      <c r="N171" s="25"/>
      <c r="O171" s="25"/>
      <c r="P171" s="25"/>
      <c r="Q171" s="25"/>
      <c r="R171" s="25"/>
      <c r="S171" s="25"/>
      <c r="T171" s="25"/>
      <c r="U171" s="25"/>
      <c r="V171" s="25"/>
      <c r="W171" s="25"/>
      <c r="X171" s="25"/>
    </row>
    <row r="172" spans="1:24" ht="13">
      <c r="A172" s="25"/>
      <c r="B172" s="25"/>
      <c r="C172" s="25"/>
      <c r="D172" s="25" t="str">
        <f t="array" ref="D172">IF(OR(LEFT(C172,1)="(",COUNTA(C172)=0),"", INDEX(Honor!$B$2:$B998,MATCH(C172,Honor!$A$2:$A998,0)))</f>
        <v/>
      </c>
      <c r="E172" s="25" t="str">
        <f t="array" ref="E172">IF(OR(LEFT(C172,1)="(",COUNTA(C172)=0),"",INDEX(Honor!$O$2:$O998,MATCH(C172,Honor!$A$2:$A998,0)))</f>
        <v/>
      </c>
      <c r="F172" s="25"/>
      <c r="G172" s="25"/>
      <c r="H172" s="25"/>
      <c r="I172" s="25"/>
      <c r="J172" s="25"/>
      <c r="K172" s="25"/>
      <c r="L172" s="25"/>
      <c r="M172" s="25"/>
      <c r="N172" s="25"/>
      <c r="O172" s="25"/>
      <c r="P172" s="25"/>
      <c r="Q172" s="25"/>
      <c r="R172" s="25"/>
      <c r="S172" s="25"/>
      <c r="T172" s="25"/>
      <c r="U172" s="25"/>
      <c r="V172" s="25"/>
      <c r="W172" s="25"/>
      <c r="X172" s="25"/>
    </row>
    <row r="173" spans="1:24" ht="13">
      <c r="A173" s="25"/>
      <c r="B173" s="25"/>
      <c r="C173" s="25"/>
      <c r="D173" s="25" t="str">
        <f t="array" ref="D173">IF(OR(LEFT(C173,1)="(",COUNTA(C173)=0),"", INDEX(Honor!$B$2:$B998,MATCH(C173,Honor!$A$2:$A998,0)))</f>
        <v/>
      </c>
      <c r="E173" s="25" t="str">
        <f t="array" ref="E173">IF(OR(LEFT(C173,1)="(",COUNTA(C173)=0),"",INDEX(Honor!$O$2:$O998,MATCH(C173,Honor!$A$2:$A998,0)))</f>
        <v/>
      </c>
      <c r="F173" s="25"/>
      <c r="G173" s="25"/>
      <c r="H173" s="25"/>
      <c r="I173" s="25"/>
      <c r="J173" s="25"/>
      <c r="K173" s="25"/>
      <c r="L173" s="25"/>
      <c r="M173" s="25"/>
      <c r="N173" s="25"/>
      <c r="O173" s="25"/>
      <c r="P173" s="25"/>
      <c r="Q173" s="25"/>
      <c r="R173" s="25"/>
      <c r="S173" s="25"/>
      <c r="T173" s="25"/>
      <c r="U173" s="25"/>
      <c r="V173" s="25"/>
      <c r="W173" s="25"/>
      <c r="X173" s="25"/>
    </row>
    <row r="174" spans="1:24" ht="13">
      <c r="A174" s="25"/>
      <c r="B174" s="25"/>
      <c r="C174" s="25"/>
      <c r="D174" s="25" t="str">
        <f t="array" ref="D174">IF(OR(LEFT(C174,1)="(",COUNTA(C174)=0),"", INDEX(Honor!$B$2:$B998,MATCH(C174,Honor!$A$2:$A998,0)))</f>
        <v/>
      </c>
      <c r="E174" s="25" t="str">
        <f t="array" ref="E174">IF(OR(LEFT(C174,1)="(",COUNTA(C174)=0),"",INDEX(Honor!$O$2:$O998,MATCH(C174,Honor!$A$2:$A998,0)))</f>
        <v/>
      </c>
      <c r="F174" s="25"/>
      <c r="G174" s="25"/>
      <c r="H174" s="25"/>
      <c r="I174" s="25"/>
      <c r="J174" s="25"/>
      <c r="K174" s="25"/>
      <c r="L174" s="25"/>
      <c r="M174" s="25"/>
      <c r="N174" s="25"/>
      <c r="O174" s="25"/>
      <c r="P174" s="25"/>
      <c r="Q174" s="25"/>
      <c r="R174" s="25"/>
      <c r="S174" s="25"/>
      <c r="T174" s="25"/>
      <c r="U174" s="25"/>
      <c r="V174" s="25"/>
      <c r="W174" s="25"/>
      <c r="X174" s="25"/>
    </row>
    <row r="175" spans="1:24" ht="13">
      <c r="A175" s="25"/>
      <c r="B175" s="25"/>
      <c r="C175" s="25"/>
      <c r="D175" s="25" t="str">
        <f t="array" ref="D175">IF(OR(LEFT(C175,1)="(",COUNTA(C175)=0),"", INDEX(Honor!$B$2:$B998,MATCH(C175,Honor!$A$2:$A998,0)))</f>
        <v/>
      </c>
      <c r="E175" s="25" t="str">
        <f t="array" ref="E175">IF(OR(LEFT(C175,1)="(",COUNTA(C175)=0),"",INDEX(Honor!$O$2:$O998,MATCH(C175,Honor!$A$2:$A998,0)))</f>
        <v/>
      </c>
      <c r="F175" s="25"/>
      <c r="G175" s="25"/>
      <c r="H175" s="25"/>
      <c r="I175" s="25"/>
      <c r="J175" s="25"/>
      <c r="K175" s="25"/>
      <c r="L175" s="25"/>
      <c r="M175" s="25"/>
      <c r="N175" s="25"/>
      <c r="O175" s="25"/>
      <c r="P175" s="25"/>
      <c r="Q175" s="25"/>
      <c r="R175" s="25"/>
      <c r="S175" s="25"/>
      <c r="T175" s="25"/>
      <c r="U175" s="25"/>
      <c r="V175" s="25"/>
      <c r="W175" s="25"/>
      <c r="X175" s="25"/>
    </row>
    <row r="176" spans="1:24" ht="13">
      <c r="A176" s="25"/>
      <c r="B176" s="25"/>
      <c r="C176" s="25"/>
      <c r="D176" s="25" t="str">
        <f t="array" ref="D176">IF(OR(LEFT(C176,1)="(",COUNTA(C176)=0),"", INDEX(Honor!$B$2:$B998,MATCH(C176,Honor!$A$2:$A998,0)))</f>
        <v/>
      </c>
      <c r="E176" s="25" t="str">
        <f t="array" ref="E176">IF(OR(LEFT(C176,1)="(",COUNTA(C176)=0),"",INDEX(Honor!$O$2:$O998,MATCH(C176,Honor!$A$2:$A998,0)))</f>
        <v/>
      </c>
      <c r="F176" s="25"/>
      <c r="G176" s="25"/>
      <c r="H176" s="25"/>
      <c r="I176" s="25"/>
      <c r="J176" s="25"/>
      <c r="K176" s="25"/>
      <c r="L176" s="25"/>
      <c r="M176" s="25"/>
      <c r="N176" s="25"/>
      <c r="O176" s="25"/>
      <c r="P176" s="25"/>
      <c r="Q176" s="25"/>
      <c r="R176" s="25"/>
      <c r="S176" s="25"/>
      <c r="T176" s="25"/>
      <c r="U176" s="25"/>
      <c r="V176" s="25"/>
      <c r="W176" s="25"/>
      <c r="X176" s="25"/>
    </row>
    <row r="177" spans="1:24" ht="13">
      <c r="A177" s="25"/>
      <c r="B177" s="25"/>
      <c r="C177" s="25"/>
      <c r="D177" s="25" t="str">
        <f t="array" ref="D177">IF(OR(LEFT(C177,1)="(",COUNTA(C177)=0),"", INDEX(Honor!$B$2:$B998,MATCH(C177,Honor!$A$2:$A998,0)))</f>
        <v/>
      </c>
      <c r="E177" s="25" t="str">
        <f t="array" ref="E177">IF(OR(LEFT(C177,1)="(",COUNTA(C177)=0),"",INDEX(Honor!$O$2:$O998,MATCH(C177,Honor!$A$2:$A998,0)))</f>
        <v/>
      </c>
      <c r="F177" s="25"/>
      <c r="G177" s="25"/>
      <c r="H177" s="25"/>
      <c r="I177" s="25"/>
      <c r="J177" s="25"/>
      <c r="K177" s="25"/>
      <c r="L177" s="25"/>
      <c r="M177" s="25"/>
      <c r="N177" s="25"/>
      <c r="O177" s="25"/>
      <c r="P177" s="25"/>
      <c r="Q177" s="25"/>
      <c r="R177" s="25"/>
      <c r="S177" s="25"/>
      <c r="T177" s="25"/>
      <c r="U177" s="25"/>
      <c r="V177" s="25"/>
      <c r="W177" s="25"/>
      <c r="X177" s="25"/>
    </row>
    <row r="178" spans="1:24" ht="13">
      <c r="A178" s="25"/>
      <c r="B178" s="25"/>
      <c r="C178" s="25"/>
      <c r="D178" s="25" t="str">
        <f t="array" ref="D178">IF(OR(LEFT(C178,1)="(",COUNTA(C178)=0),"", INDEX(Honor!$B$2:$B998,MATCH(C178,Honor!$A$2:$A998,0)))</f>
        <v/>
      </c>
      <c r="E178" s="25" t="str">
        <f t="array" ref="E178">IF(OR(LEFT(C178,1)="(",COUNTA(C178)=0),"",INDEX(Honor!$O$2:$O998,MATCH(C178,Honor!$A$2:$A998,0)))</f>
        <v/>
      </c>
      <c r="F178" s="25"/>
      <c r="G178" s="25"/>
      <c r="H178" s="25"/>
      <c r="I178" s="25"/>
      <c r="J178" s="25"/>
      <c r="K178" s="25"/>
      <c r="L178" s="25"/>
      <c r="M178" s="25"/>
      <c r="N178" s="25"/>
      <c r="O178" s="25"/>
      <c r="P178" s="25"/>
      <c r="Q178" s="25"/>
      <c r="R178" s="25"/>
      <c r="S178" s="25"/>
      <c r="T178" s="25"/>
      <c r="U178" s="25"/>
      <c r="V178" s="25"/>
      <c r="W178" s="25"/>
      <c r="X178" s="25"/>
    </row>
    <row r="179" spans="1:24" ht="13">
      <c r="A179" s="25"/>
      <c r="B179" s="25"/>
      <c r="C179" s="25"/>
      <c r="D179" s="25" t="str">
        <f t="array" ref="D179">IF(OR(LEFT(C179,1)="(",COUNTA(C179)=0),"", INDEX(Honor!$B$2:$B998,MATCH(C179,Honor!$A$2:$A998,0)))</f>
        <v/>
      </c>
      <c r="E179" s="25" t="str">
        <f t="array" ref="E179">IF(OR(LEFT(C179,1)="(",COUNTA(C179)=0),"",INDEX(Honor!$O$2:$O998,MATCH(C179,Honor!$A$2:$A998,0)))</f>
        <v/>
      </c>
      <c r="F179" s="25"/>
      <c r="G179" s="25"/>
      <c r="H179" s="25"/>
      <c r="I179" s="25"/>
      <c r="J179" s="25"/>
      <c r="K179" s="25"/>
      <c r="L179" s="25"/>
      <c r="M179" s="25"/>
      <c r="N179" s="25"/>
      <c r="O179" s="25"/>
      <c r="P179" s="25"/>
      <c r="Q179" s="25"/>
      <c r="R179" s="25"/>
      <c r="S179" s="25"/>
      <c r="T179" s="25"/>
      <c r="U179" s="25"/>
      <c r="V179" s="25"/>
      <c r="W179" s="25"/>
      <c r="X179" s="25"/>
    </row>
    <row r="180" spans="1:24" ht="13">
      <c r="A180" s="25"/>
      <c r="B180" s="25"/>
      <c r="C180" s="25"/>
      <c r="D180" s="25" t="str">
        <f t="array" ref="D180">IF(OR(LEFT(C180,1)="(",COUNTA(C180)=0),"", INDEX(Honor!$B$2:$B998,MATCH(C180,Honor!$A$2:$A998,0)))</f>
        <v/>
      </c>
      <c r="E180" s="25" t="str">
        <f t="array" ref="E180">IF(OR(LEFT(C180,1)="(",COUNTA(C180)=0),"",INDEX(Honor!$O$2:$O998,MATCH(C180,Honor!$A$2:$A998,0)))</f>
        <v/>
      </c>
      <c r="F180" s="25"/>
      <c r="G180" s="25"/>
      <c r="H180" s="25"/>
      <c r="I180" s="25"/>
      <c r="J180" s="25"/>
      <c r="K180" s="25"/>
      <c r="L180" s="25"/>
      <c r="M180" s="25"/>
      <c r="N180" s="25"/>
      <c r="O180" s="25"/>
      <c r="P180" s="25"/>
      <c r="Q180" s="25"/>
      <c r="R180" s="25"/>
      <c r="S180" s="25"/>
      <c r="T180" s="25"/>
      <c r="U180" s="25"/>
      <c r="V180" s="25"/>
      <c r="W180" s="25"/>
      <c r="X180" s="25"/>
    </row>
    <row r="181" spans="1:24" ht="13">
      <c r="A181" s="25"/>
      <c r="B181" s="25"/>
      <c r="C181" s="25"/>
      <c r="D181" s="25" t="str">
        <f t="array" ref="D181">IF(OR(LEFT(C181,1)="(",COUNTA(C181)=0),"", INDEX(Honor!$B$2:$B998,MATCH(C181,Honor!$A$2:$A998,0)))</f>
        <v/>
      </c>
      <c r="E181" s="25" t="str">
        <f t="array" ref="E181">IF(OR(LEFT(C181,1)="(",COUNTA(C181)=0),"",INDEX(Honor!$O$2:$O998,MATCH(C181,Honor!$A$2:$A998,0)))</f>
        <v/>
      </c>
      <c r="F181" s="25"/>
      <c r="G181" s="25"/>
      <c r="H181" s="25"/>
      <c r="I181" s="25"/>
      <c r="J181" s="25"/>
      <c r="K181" s="25"/>
      <c r="L181" s="25"/>
      <c r="M181" s="25"/>
      <c r="N181" s="25"/>
      <c r="O181" s="25"/>
      <c r="P181" s="25"/>
      <c r="Q181" s="25"/>
      <c r="R181" s="25"/>
      <c r="S181" s="25"/>
      <c r="T181" s="25"/>
      <c r="U181" s="25"/>
      <c r="V181" s="25"/>
      <c r="W181" s="25"/>
      <c r="X181" s="25"/>
    </row>
    <row r="182" spans="1:24" ht="13">
      <c r="A182" s="25"/>
      <c r="B182" s="25"/>
      <c r="C182" s="25"/>
      <c r="D182" s="25" t="str">
        <f t="array" ref="D182">IF(OR(LEFT(C182,1)="(",COUNTA(C182)=0),"", INDEX(Honor!$B$2:$B998,MATCH(C182,Honor!$A$2:$A998,0)))</f>
        <v/>
      </c>
      <c r="E182" s="25" t="str">
        <f t="array" ref="E182">IF(OR(LEFT(C182,1)="(",COUNTA(C182)=0),"",INDEX(Honor!$O$2:$O998,MATCH(C182,Honor!$A$2:$A998,0)))</f>
        <v/>
      </c>
      <c r="F182" s="25"/>
      <c r="G182" s="25"/>
      <c r="H182" s="25"/>
      <c r="I182" s="25"/>
      <c r="J182" s="25"/>
      <c r="K182" s="25"/>
      <c r="L182" s="25"/>
      <c r="M182" s="25"/>
      <c r="N182" s="25"/>
      <c r="O182" s="25"/>
      <c r="P182" s="25"/>
      <c r="Q182" s="25"/>
      <c r="R182" s="25"/>
      <c r="S182" s="25"/>
      <c r="T182" s="25"/>
      <c r="U182" s="25"/>
      <c r="V182" s="25"/>
      <c r="W182" s="25"/>
      <c r="X182" s="25"/>
    </row>
    <row r="183" spans="1:24" ht="13">
      <c r="A183" s="25"/>
      <c r="B183" s="25"/>
      <c r="C183" s="25"/>
      <c r="D183" s="25" t="str">
        <f t="array" ref="D183">IF(OR(LEFT(C183,1)="(",COUNTA(C183)=0),"", INDEX(Honor!$B$2:$B998,MATCH(C183,Honor!$A$2:$A998,0)))</f>
        <v/>
      </c>
      <c r="E183" s="25" t="str">
        <f t="array" ref="E183">IF(OR(LEFT(C183,1)="(",COUNTA(C183)=0),"",INDEX(Honor!$O$2:$O998,MATCH(C183,Honor!$A$2:$A998,0)))</f>
        <v/>
      </c>
      <c r="F183" s="25"/>
      <c r="G183" s="25"/>
      <c r="H183" s="25"/>
      <c r="I183" s="25"/>
      <c r="J183" s="25"/>
      <c r="K183" s="25"/>
      <c r="L183" s="25"/>
      <c r="M183" s="25"/>
      <c r="N183" s="25"/>
      <c r="O183" s="25"/>
      <c r="P183" s="25"/>
      <c r="Q183" s="25"/>
      <c r="R183" s="25"/>
      <c r="S183" s="25"/>
      <c r="T183" s="25"/>
      <c r="U183" s="25"/>
      <c r="V183" s="25"/>
      <c r="W183" s="25"/>
      <c r="X183" s="25"/>
    </row>
    <row r="184" spans="1:24" ht="13">
      <c r="A184" s="25"/>
      <c r="B184" s="25"/>
      <c r="C184" s="25"/>
      <c r="D184" s="25" t="str">
        <f t="array" ref="D184">IF(OR(LEFT(C184,1)="(",COUNTA(C184)=0),"", INDEX(Honor!$B$2:$B998,MATCH(C184,Honor!$A$2:$A998,0)))</f>
        <v/>
      </c>
      <c r="E184" s="25" t="str">
        <f t="array" ref="E184">IF(OR(LEFT(C184,1)="(",COUNTA(C184)=0),"",INDEX(Honor!$O$2:$O998,MATCH(C184,Honor!$A$2:$A998,0)))</f>
        <v/>
      </c>
      <c r="F184" s="25"/>
      <c r="G184" s="25"/>
      <c r="H184" s="25"/>
      <c r="I184" s="25"/>
      <c r="J184" s="25"/>
      <c r="K184" s="25"/>
      <c r="L184" s="25"/>
      <c r="M184" s="25"/>
      <c r="N184" s="25"/>
      <c r="O184" s="25"/>
      <c r="P184" s="25"/>
      <c r="Q184" s="25"/>
      <c r="R184" s="25"/>
      <c r="S184" s="25"/>
      <c r="T184" s="25"/>
      <c r="U184" s="25"/>
      <c r="V184" s="25"/>
      <c r="W184" s="25"/>
      <c r="X184" s="25"/>
    </row>
    <row r="185" spans="1:24" ht="13">
      <c r="A185" s="25"/>
      <c r="B185" s="25"/>
      <c r="C185" s="25"/>
      <c r="D185" s="25" t="str">
        <f t="array" ref="D185">IF(OR(LEFT(C185,1)="(",COUNTA(C185)=0),"", INDEX(Honor!$B$2:$B998,MATCH(C185,Honor!$A$2:$A998,0)))</f>
        <v/>
      </c>
      <c r="E185" s="25" t="str">
        <f t="array" ref="E185">IF(OR(LEFT(C185,1)="(",COUNTA(C185)=0),"",INDEX(Honor!$O$2:$O998,MATCH(C185,Honor!$A$2:$A998,0)))</f>
        <v/>
      </c>
      <c r="F185" s="25"/>
      <c r="G185" s="25"/>
      <c r="H185" s="25"/>
      <c r="I185" s="25"/>
      <c r="J185" s="25"/>
      <c r="K185" s="25"/>
      <c r="L185" s="25"/>
      <c r="M185" s="25"/>
      <c r="N185" s="25"/>
      <c r="O185" s="25"/>
      <c r="P185" s="25"/>
      <c r="Q185" s="25"/>
      <c r="R185" s="25"/>
      <c r="S185" s="25"/>
      <c r="T185" s="25"/>
      <c r="U185" s="25"/>
      <c r="V185" s="25"/>
      <c r="W185" s="25"/>
      <c r="X185" s="25"/>
    </row>
    <row r="186" spans="1:24" ht="13">
      <c r="A186" s="25"/>
      <c r="B186" s="25"/>
      <c r="C186" s="25"/>
      <c r="D186" s="25" t="str">
        <f t="array" ref="D186">IF(OR(LEFT(C186,1)="(",COUNTA(C186)=0),"", INDEX(Honor!$B$2:$B998,MATCH(C186,Honor!$A$2:$A998,0)))</f>
        <v/>
      </c>
      <c r="E186" s="25" t="str">
        <f t="array" ref="E186">IF(OR(LEFT(C186,1)="(",COUNTA(C186)=0),"",INDEX(Honor!$O$2:$O998,MATCH(C186,Honor!$A$2:$A998,0)))</f>
        <v/>
      </c>
      <c r="F186" s="25"/>
      <c r="G186" s="25"/>
      <c r="H186" s="25"/>
      <c r="I186" s="25"/>
      <c r="J186" s="25"/>
      <c r="K186" s="25"/>
      <c r="L186" s="25"/>
      <c r="M186" s="25"/>
      <c r="N186" s="25"/>
      <c r="O186" s="25"/>
      <c r="P186" s="25"/>
      <c r="Q186" s="25"/>
      <c r="R186" s="25"/>
      <c r="S186" s="25"/>
      <c r="T186" s="25"/>
      <c r="U186" s="25"/>
      <c r="V186" s="25"/>
      <c r="W186" s="25"/>
      <c r="X186" s="25"/>
    </row>
    <row r="187" spans="1:24" ht="13">
      <c r="A187" s="25"/>
      <c r="B187" s="25"/>
      <c r="C187" s="25"/>
      <c r="D187" s="25" t="str">
        <f t="array" ref="D187">IF(OR(LEFT(C187,1)="(",COUNTA(C187)=0),"", INDEX(Honor!$B$2:$B998,MATCH(C187,Honor!$A$2:$A998,0)))</f>
        <v/>
      </c>
      <c r="E187" s="25" t="str">
        <f t="array" ref="E187">IF(OR(LEFT(C187,1)="(",COUNTA(C187)=0),"",INDEX(Honor!$O$2:$O998,MATCH(C187,Honor!$A$2:$A998,0)))</f>
        <v/>
      </c>
      <c r="F187" s="25"/>
      <c r="G187" s="25"/>
      <c r="H187" s="25"/>
      <c r="I187" s="25"/>
      <c r="J187" s="25"/>
      <c r="K187" s="25"/>
      <c r="L187" s="25"/>
      <c r="M187" s="25"/>
      <c r="N187" s="25"/>
      <c r="O187" s="25"/>
      <c r="P187" s="25"/>
      <c r="Q187" s="25"/>
      <c r="R187" s="25"/>
      <c r="S187" s="25"/>
      <c r="T187" s="25"/>
      <c r="U187" s="25"/>
      <c r="V187" s="25"/>
      <c r="W187" s="25"/>
      <c r="X187" s="25"/>
    </row>
    <row r="188" spans="1:24" ht="13">
      <c r="A188" s="25"/>
      <c r="B188" s="25"/>
      <c r="C188" s="25"/>
      <c r="D188" s="25" t="str">
        <f t="array" ref="D188">IF(OR(LEFT(C188,1)="(",COUNTA(C188)=0),"", INDEX(Honor!$B$2:$B998,MATCH(C188,Honor!$A$2:$A998,0)))</f>
        <v/>
      </c>
      <c r="E188" s="25" t="str">
        <f t="array" ref="E188">IF(OR(LEFT(C188,1)="(",COUNTA(C188)=0),"",INDEX(Honor!$O$2:$O998,MATCH(C188,Honor!$A$2:$A998,0)))</f>
        <v/>
      </c>
      <c r="F188" s="25"/>
      <c r="G188" s="25"/>
      <c r="H188" s="25"/>
      <c r="I188" s="25"/>
      <c r="J188" s="25"/>
      <c r="K188" s="25"/>
      <c r="L188" s="25"/>
      <c r="M188" s="25"/>
      <c r="N188" s="25"/>
      <c r="O188" s="25"/>
      <c r="P188" s="25"/>
      <c r="Q188" s="25"/>
      <c r="R188" s="25"/>
      <c r="S188" s="25"/>
      <c r="T188" s="25"/>
      <c r="U188" s="25"/>
      <c r="V188" s="25"/>
      <c r="W188" s="25"/>
      <c r="X188" s="25"/>
    </row>
    <row r="189" spans="1:24" ht="13">
      <c r="A189" s="25"/>
      <c r="B189" s="25"/>
      <c r="C189" s="25"/>
      <c r="D189" s="25" t="str">
        <f t="array" ref="D189">IF(OR(LEFT(C189,1)="(",COUNTA(C189)=0),"", INDEX(Honor!$B$2:$B998,MATCH(C189,Honor!$A$2:$A998,0)))</f>
        <v/>
      </c>
      <c r="E189" s="25" t="str">
        <f t="array" ref="E189">IF(OR(LEFT(C189,1)="(",COUNTA(C189)=0),"",INDEX(Honor!$O$2:$O998,MATCH(C189,Honor!$A$2:$A998,0)))</f>
        <v/>
      </c>
      <c r="F189" s="25"/>
      <c r="G189" s="25"/>
      <c r="H189" s="25"/>
      <c r="I189" s="25"/>
      <c r="J189" s="25"/>
      <c r="K189" s="25"/>
      <c r="L189" s="25"/>
      <c r="M189" s="25"/>
      <c r="N189" s="25"/>
      <c r="O189" s="25"/>
      <c r="P189" s="25"/>
      <c r="Q189" s="25"/>
      <c r="R189" s="25"/>
      <c r="S189" s="25"/>
      <c r="T189" s="25"/>
      <c r="U189" s="25"/>
      <c r="V189" s="25"/>
      <c r="W189" s="25"/>
      <c r="X189" s="25"/>
    </row>
    <row r="190" spans="1:24" ht="13">
      <c r="A190" s="25"/>
      <c r="B190" s="25"/>
      <c r="C190" s="25"/>
      <c r="D190" s="25" t="str">
        <f t="array" ref="D190">IF(OR(LEFT(C190,1)="(",COUNTA(C190)=0),"", INDEX(Honor!$B$2:$B998,MATCH(C190,Honor!$A$2:$A998,0)))</f>
        <v/>
      </c>
      <c r="E190" s="25" t="str">
        <f t="array" ref="E190">IF(OR(LEFT(C190,1)="(",COUNTA(C190)=0),"",INDEX(Honor!$O$2:$O998,MATCH(C190,Honor!$A$2:$A998,0)))</f>
        <v/>
      </c>
      <c r="F190" s="25"/>
      <c r="G190" s="25"/>
      <c r="H190" s="25"/>
      <c r="I190" s="25"/>
      <c r="J190" s="25"/>
      <c r="K190" s="25"/>
      <c r="L190" s="25"/>
      <c r="M190" s="25"/>
      <c r="N190" s="25"/>
      <c r="O190" s="25"/>
      <c r="P190" s="25"/>
      <c r="Q190" s="25"/>
      <c r="R190" s="25"/>
      <c r="S190" s="25"/>
      <c r="T190" s="25"/>
      <c r="U190" s="25"/>
      <c r="V190" s="25"/>
      <c r="W190" s="25"/>
      <c r="X190" s="25"/>
    </row>
    <row r="191" spans="1:24" ht="13">
      <c r="A191" s="25"/>
      <c r="B191" s="25"/>
      <c r="C191" s="25"/>
      <c r="D191" s="25" t="str">
        <f t="array" ref="D191">IF(OR(LEFT(C191,1)="(",COUNTA(C191)=0),"", INDEX(Honor!$B$2:$B998,MATCH(C191,Honor!$A$2:$A998,0)))</f>
        <v/>
      </c>
      <c r="E191" s="25" t="str">
        <f t="array" ref="E191">IF(OR(LEFT(C191,1)="(",COUNTA(C191)=0),"",INDEX(Honor!$O$2:$O998,MATCH(C191,Honor!$A$2:$A998,0)))</f>
        <v/>
      </c>
      <c r="F191" s="25"/>
      <c r="G191" s="25"/>
      <c r="H191" s="25"/>
      <c r="I191" s="25"/>
      <c r="J191" s="25"/>
      <c r="K191" s="25"/>
      <c r="L191" s="25"/>
      <c r="M191" s="25"/>
      <c r="N191" s="25"/>
      <c r="O191" s="25"/>
      <c r="P191" s="25"/>
      <c r="Q191" s="25"/>
      <c r="R191" s="25"/>
      <c r="S191" s="25"/>
      <c r="T191" s="25"/>
      <c r="U191" s="25"/>
      <c r="V191" s="25"/>
      <c r="W191" s="25"/>
      <c r="X191" s="25"/>
    </row>
    <row r="192" spans="1:24" ht="13">
      <c r="A192" s="25"/>
      <c r="B192" s="25"/>
      <c r="C192" s="25"/>
      <c r="D192" s="25" t="str">
        <f t="array" ref="D192">IF(OR(LEFT(C192,1)="(",COUNTA(C192)=0),"", INDEX(Honor!$B$2:$B998,MATCH(C192,Honor!$A$2:$A998,0)))</f>
        <v/>
      </c>
      <c r="E192" s="25" t="str">
        <f t="array" ref="E192">IF(OR(LEFT(C192,1)="(",COUNTA(C192)=0),"",INDEX(Honor!$O$2:$O998,MATCH(C192,Honor!$A$2:$A998,0)))</f>
        <v/>
      </c>
      <c r="F192" s="25"/>
      <c r="G192" s="25"/>
      <c r="H192" s="25"/>
      <c r="I192" s="25"/>
      <c r="J192" s="25"/>
      <c r="K192" s="25"/>
      <c r="L192" s="25"/>
      <c r="M192" s="25"/>
      <c r="N192" s="25"/>
      <c r="O192" s="25"/>
      <c r="P192" s="25"/>
      <c r="Q192" s="25"/>
      <c r="R192" s="25"/>
      <c r="S192" s="25"/>
      <c r="T192" s="25"/>
      <c r="U192" s="25"/>
      <c r="V192" s="25"/>
      <c r="W192" s="25"/>
      <c r="X192" s="25"/>
    </row>
    <row r="193" spans="1:24" ht="13">
      <c r="A193" s="25"/>
      <c r="B193" s="25"/>
      <c r="C193" s="25"/>
      <c r="D193" s="25" t="str">
        <f t="array" ref="D193">IF(OR(LEFT(C193,1)="(",COUNTA(C193)=0),"", INDEX(Honor!$B$2:$B998,MATCH(C193,Honor!$A$2:$A998,0)))</f>
        <v/>
      </c>
      <c r="E193" s="25" t="str">
        <f t="array" ref="E193">IF(OR(LEFT(C193,1)="(",COUNTA(C193)=0),"",INDEX(Honor!$O$2:$O998,MATCH(C193,Honor!$A$2:$A998,0)))</f>
        <v/>
      </c>
      <c r="F193" s="25"/>
      <c r="G193" s="25"/>
      <c r="H193" s="25"/>
      <c r="I193" s="25"/>
      <c r="J193" s="25"/>
      <c r="K193" s="25"/>
      <c r="L193" s="25"/>
      <c r="M193" s="25"/>
      <c r="N193" s="25"/>
      <c r="O193" s="25"/>
      <c r="P193" s="25"/>
      <c r="Q193" s="25"/>
      <c r="R193" s="25"/>
      <c r="S193" s="25"/>
      <c r="T193" s="25"/>
      <c r="U193" s="25"/>
      <c r="V193" s="25"/>
      <c r="W193" s="25"/>
      <c r="X193" s="25"/>
    </row>
    <row r="194" spans="1:24" ht="13">
      <c r="A194" s="25"/>
      <c r="B194" s="25"/>
      <c r="C194" s="25"/>
      <c r="D194" s="25" t="str">
        <f t="array" ref="D194">IF(OR(LEFT(C194,1)="(",COUNTA(C194)=0),"", INDEX(Honor!$B$2:$B998,MATCH(C194,Honor!$A$2:$A998,0)))</f>
        <v/>
      </c>
      <c r="E194" s="25" t="str">
        <f t="array" ref="E194">IF(OR(LEFT(C194,1)="(",COUNTA(C194)=0),"",INDEX(Honor!$O$2:$O998,MATCH(C194,Honor!$A$2:$A998,0)))</f>
        <v/>
      </c>
      <c r="F194" s="25"/>
      <c r="G194" s="25"/>
      <c r="H194" s="25"/>
      <c r="I194" s="25"/>
      <c r="J194" s="25"/>
      <c r="K194" s="25"/>
      <c r="L194" s="25"/>
      <c r="M194" s="25"/>
      <c r="N194" s="25"/>
      <c r="O194" s="25"/>
      <c r="P194" s="25"/>
      <c r="Q194" s="25"/>
      <c r="R194" s="25"/>
      <c r="S194" s="25"/>
      <c r="T194" s="25"/>
      <c r="U194" s="25"/>
      <c r="V194" s="25"/>
      <c r="W194" s="25"/>
      <c r="X194" s="25"/>
    </row>
    <row r="195" spans="1:24" ht="13">
      <c r="A195" s="25"/>
      <c r="B195" s="25"/>
      <c r="C195" s="25"/>
      <c r="D195" s="25" t="str">
        <f t="array" ref="D195">IF(OR(LEFT(C195,1)="(",COUNTA(C195)=0),"", INDEX(Honor!$B$2:$B998,MATCH(C195,Honor!$A$2:$A998,0)))</f>
        <v/>
      </c>
      <c r="E195" s="25" t="str">
        <f t="array" ref="E195">IF(OR(LEFT(C195,1)="(",COUNTA(C195)=0),"",INDEX(Honor!$O$2:$O998,MATCH(C195,Honor!$A$2:$A998,0)))</f>
        <v/>
      </c>
      <c r="F195" s="25"/>
      <c r="G195" s="25"/>
      <c r="H195" s="25"/>
      <c r="I195" s="25"/>
      <c r="J195" s="25"/>
      <c r="K195" s="25"/>
      <c r="L195" s="25"/>
      <c r="M195" s="25"/>
      <c r="N195" s="25"/>
      <c r="O195" s="25"/>
      <c r="P195" s="25"/>
      <c r="Q195" s="25"/>
      <c r="R195" s="25"/>
      <c r="S195" s="25"/>
      <c r="T195" s="25"/>
      <c r="U195" s="25"/>
      <c r="V195" s="25"/>
      <c r="W195" s="25"/>
      <c r="X195" s="25"/>
    </row>
    <row r="196" spans="1:24" ht="13">
      <c r="A196" s="25"/>
      <c r="B196" s="25"/>
      <c r="C196" s="25"/>
      <c r="D196" s="25" t="str">
        <f t="array" ref="D196">IF(OR(LEFT(C196,1)="(",COUNTA(C196)=0),"", INDEX(Honor!$B$2:$B998,MATCH(C196,Honor!$A$2:$A998,0)))</f>
        <v/>
      </c>
      <c r="E196" s="25" t="str">
        <f t="array" ref="E196">IF(OR(LEFT(C196,1)="(",COUNTA(C196)=0),"",INDEX(Honor!$O$2:$O998,MATCH(C196,Honor!$A$2:$A998,0)))</f>
        <v/>
      </c>
      <c r="F196" s="25"/>
      <c r="G196" s="25"/>
      <c r="H196" s="25"/>
      <c r="I196" s="25"/>
      <c r="J196" s="25"/>
      <c r="K196" s="25"/>
      <c r="L196" s="25"/>
      <c r="M196" s="25"/>
      <c r="N196" s="25"/>
      <c r="O196" s="25"/>
      <c r="P196" s="25"/>
      <c r="Q196" s="25"/>
      <c r="R196" s="25"/>
      <c r="S196" s="25"/>
      <c r="T196" s="25"/>
      <c r="U196" s="25"/>
      <c r="V196" s="25"/>
      <c r="W196" s="25"/>
      <c r="X196" s="25"/>
    </row>
    <row r="197" spans="1:24" ht="13">
      <c r="A197" s="25"/>
      <c r="B197" s="25"/>
      <c r="C197" s="25"/>
      <c r="D197" s="25" t="str">
        <f t="array" ref="D197">IF(OR(LEFT(C197,1)="(",COUNTA(C197)=0),"", INDEX(Honor!$B$2:$B998,MATCH(C197,Honor!$A$2:$A998,0)))</f>
        <v/>
      </c>
      <c r="E197" s="25" t="str">
        <f t="array" ref="E197">IF(OR(LEFT(C197,1)="(",COUNTA(C197)=0),"",INDEX(Honor!$O$2:$O998,MATCH(C197,Honor!$A$2:$A998,0)))</f>
        <v/>
      </c>
      <c r="F197" s="25"/>
      <c r="G197" s="25"/>
      <c r="H197" s="25"/>
      <c r="I197" s="25"/>
      <c r="J197" s="25"/>
      <c r="K197" s="25"/>
      <c r="L197" s="25"/>
      <c r="M197" s="25"/>
      <c r="N197" s="25"/>
      <c r="O197" s="25"/>
      <c r="P197" s="25"/>
      <c r="Q197" s="25"/>
      <c r="R197" s="25"/>
      <c r="S197" s="25"/>
      <c r="T197" s="25"/>
      <c r="U197" s="25"/>
      <c r="V197" s="25"/>
      <c r="W197" s="25"/>
      <c r="X197" s="25"/>
    </row>
    <row r="198" spans="1:24" ht="13">
      <c r="A198" s="25"/>
      <c r="B198" s="25"/>
      <c r="C198" s="25"/>
      <c r="D198" s="25" t="str">
        <f t="array" ref="D198">IF(OR(LEFT(C198,1)="(",COUNTA(C198)=0),"", INDEX(Honor!$B$2:$B998,MATCH(C198,Honor!$A$2:$A998,0)))</f>
        <v/>
      </c>
      <c r="E198" s="25" t="str">
        <f t="array" ref="E198">IF(OR(LEFT(C198,1)="(",COUNTA(C198)=0),"",INDEX(Honor!$O$2:$O998,MATCH(C198,Honor!$A$2:$A998,0)))</f>
        <v/>
      </c>
      <c r="F198" s="25"/>
      <c r="G198" s="25"/>
      <c r="H198" s="25"/>
      <c r="I198" s="25"/>
      <c r="J198" s="25"/>
      <c r="K198" s="25"/>
      <c r="L198" s="25"/>
      <c r="M198" s="25"/>
      <c r="N198" s="25"/>
      <c r="O198" s="25"/>
      <c r="P198" s="25"/>
      <c r="Q198" s="25"/>
      <c r="R198" s="25"/>
      <c r="S198" s="25"/>
      <c r="T198" s="25"/>
      <c r="U198" s="25"/>
      <c r="V198" s="25"/>
      <c r="W198" s="25"/>
      <c r="X198" s="25"/>
    </row>
    <row r="199" spans="1:24" ht="13">
      <c r="A199" s="25"/>
      <c r="B199" s="25"/>
      <c r="C199" s="25"/>
      <c r="D199" s="25" t="str">
        <f t="array" ref="D199">IF(OR(LEFT(C199,1)="(",COUNTA(C199)=0),"", INDEX(Honor!$B$2:$B998,MATCH(C199,Honor!$A$2:$A998,0)))</f>
        <v/>
      </c>
      <c r="E199" s="25" t="str">
        <f t="array" ref="E199">IF(OR(LEFT(C199,1)="(",COUNTA(C199)=0),"",INDEX(Honor!$O$2:$O998,MATCH(C199,Honor!$A$2:$A998,0)))</f>
        <v/>
      </c>
      <c r="F199" s="25"/>
      <c r="G199" s="25"/>
      <c r="H199" s="25"/>
      <c r="I199" s="25"/>
      <c r="J199" s="25"/>
      <c r="K199" s="25"/>
      <c r="L199" s="25"/>
      <c r="M199" s="25"/>
      <c r="N199" s="25"/>
      <c r="O199" s="25"/>
      <c r="P199" s="25"/>
      <c r="Q199" s="25"/>
      <c r="R199" s="25"/>
      <c r="S199" s="25"/>
      <c r="T199" s="25"/>
      <c r="U199" s="25"/>
      <c r="V199" s="25"/>
      <c r="W199" s="25"/>
      <c r="X199" s="25"/>
    </row>
    <row r="200" spans="1:24" ht="13">
      <c r="A200" s="25"/>
      <c r="B200" s="25"/>
      <c r="C200" s="25"/>
      <c r="D200" s="25" t="str">
        <f t="array" ref="D200">IF(OR(LEFT(C200,1)="(",COUNTA(C200)=0),"", INDEX(Honor!$B$2:$B998,MATCH(C200,Honor!$A$2:$A998,0)))</f>
        <v/>
      </c>
      <c r="E200" s="25" t="str">
        <f t="array" ref="E200">IF(OR(LEFT(C200,1)="(",COUNTA(C200)=0),"",INDEX(Honor!$O$2:$O998,MATCH(C200,Honor!$A$2:$A998,0)))</f>
        <v/>
      </c>
      <c r="F200" s="25"/>
      <c r="G200" s="25"/>
      <c r="H200" s="25"/>
      <c r="I200" s="25"/>
      <c r="J200" s="25"/>
      <c r="K200" s="25"/>
      <c r="L200" s="25"/>
      <c r="M200" s="25"/>
      <c r="N200" s="25"/>
      <c r="O200" s="25"/>
      <c r="P200" s="25"/>
      <c r="Q200" s="25"/>
      <c r="R200" s="25"/>
      <c r="S200" s="25"/>
      <c r="T200" s="25"/>
      <c r="U200" s="25"/>
      <c r="V200" s="25"/>
      <c r="W200" s="25"/>
      <c r="X200" s="25"/>
    </row>
    <row r="201" spans="1:24" ht="13">
      <c r="A201" s="25"/>
      <c r="B201" s="25"/>
      <c r="C201" s="25"/>
      <c r="D201" s="25" t="str">
        <f t="array" ref="D201">IF(OR(LEFT(C201,1)="(",COUNTA(C201)=0),"", INDEX(Honor!$B$2:$B998,MATCH(C201,Honor!$A$2:$A998,0)))</f>
        <v/>
      </c>
      <c r="E201" s="25" t="str">
        <f t="array" ref="E201">IF(OR(LEFT(C201,1)="(",COUNTA(C201)=0),"",INDEX(Honor!$O$2:$O998,MATCH(C201,Honor!$A$2:$A998,0)))</f>
        <v/>
      </c>
      <c r="F201" s="25"/>
      <c r="G201" s="25"/>
      <c r="H201" s="25"/>
      <c r="I201" s="25"/>
      <c r="J201" s="25"/>
      <c r="K201" s="25"/>
      <c r="L201" s="25"/>
      <c r="M201" s="25"/>
      <c r="N201" s="25"/>
      <c r="O201" s="25"/>
      <c r="P201" s="25"/>
      <c r="Q201" s="25"/>
      <c r="R201" s="25"/>
      <c r="S201" s="25"/>
      <c r="T201" s="25"/>
      <c r="U201" s="25"/>
      <c r="V201" s="25"/>
      <c r="W201" s="25"/>
      <c r="X201" s="25"/>
    </row>
    <row r="202" spans="1:24" ht="13">
      <c r="A202" s="25"/>
      <c r="B202" s="25"/>
      <c r="C202" s="25"/>
      <c r="D202" s="25" t="str">
        <f t="array" ref="D202">IF(OR(LEFT(C202,1)="(",COUNTA(C202)=0),"", INDEX(Honor!$B$2:$B998,MATCH(C202,Honor!$A$2:$A998,0)))</f>
        <v/>
      </c>
      <c r="E202" s="25" t="str">
        <f t="array" ref="E202">IF(OR(LEFT(C202,1)="(",COUNTA(C202)=0),"",INDEX(Honor!$O$2:$O998,MATCH(C202,Honor!$A$2:$A998,0)))</f>
        <v/>
      </c>
      <c r="F202" s="25"/>
      <c r="G202" s="25"/>
      <c r="H202" s="25"/>
      <c r="I202" s="25"/>
      <c r="J202" s="25"/>
      <c r="K202" s="25"/>
      <c r="L202" s="25"/>
      <c r="M202" s="25"/>
      <c r="N202" s="25"/>
      <c r="O202" s="25"/>
      <c r="P202" s="25"/>
      <c r="Q202" s="25"/>
      <c r="R202" s="25"/>
      <c r="S202" s="25"/>
      <c r="T202" s="25"/>
      <c r="U202" s="25"/>
      <c r="V202" s="25"/>
      <c r="W202" s="25"/>
      <c r="X202" s="25"/>
    </row>
    <row r="203" spans="1:24" ht="13">
      <c r="A203" s="25"/>
      <c r="B203" s="25"/>
      <c r="C203" s="25"/>
      <c r="D203" s="25" t="str">
        <f t="array" ref="D203">IF(OR(LEFT(C203,1)="(",COUNTA(C203)=0),"", INDEX(Honor!$B$2:$B998,MATCH(C203,Honor!$A$2:$A998,0)))</f>
        <v/>
      </c>
      <c r="E203" s="25" t="str">
        <f t="array" ref="E203">IF(OR(LEFT(C203,1)="(",COUNTA(C203)=0),"",INDEX(Honor!$O$2:$O998,MATCH(C203,Honor!$A$2:$A998,0)))</f>
        <v/>
      </c>
      <c r="F203" s="25"/>
      <c r="G203" s="25"/>
      <c r="H203" s="25"/>
      <c r="I203" s="25"/>
      <c r="J203" s="25"/>
      <c r="K203" s="25"/>
      <c r="L203" s="25"/>
      <c r="M203" s="25"/>
      <c r="N203" s="25"/>
      <c r="O203" s="25"/>
      <c r="P203" s="25"/>
      <c r="Q203" s="25"/>
      <c r="R203" s="25"/>
      <c r="S203" s="25"/>
      <c r="T203" s="25"/>
      <c r="U203" s="25"/>
      <c r="V203" s="25"/>
      <c r="W203" s="25"/>
      <c r="X203" s="25"/>
    </row>
    <row r="204" spans="1:24" ht="13">
      <c r="A204" s="25"/>
      <c r="B204" s="25"/>
      <c r="C204" s="25"/>
      <c r="D204" s="25" t="str">
        <f t="array" ref="D204">IF(OR(LEFT(C204,1)="(",COUNTA(C204)=0),"", INDEX(Honor!$B$2:$B998,MATCH(C204,Honor!$A$2:$A998,0)))</f>
        <v/>
      </c>
      <c r="E204" s="25" t="str">
        <f t="array" ref="E204">IF(OR(LEFT(C204,1)="(",COUNTA(C204)=0),"",INDEX(Honor!$O$2:$O998,MATCH(C204,Honor!$A$2:$A998,0)))</f>
        <v/>
      </c>
      <c r="F204" s="25"/>
      <c r="G204" s="25"/>
      <c r="H204" s="25"/>
      <c r="I204" s="25"/>
      <c r="J204" s="25"/>
      <c r="K204" s="25"/>
      <c r="L204" s="25"/>
      <c r="M204" s="25"/>
      <c r="N204" s="25"/>
      <c r="O204" s="25"/>
      <c r="P204" s="25"/>
      <c r="Q204" s="25"/>
      <c r="R204" s="25"/>
      <c r="S204" s="25"/>
      <c r="T204" s="25"/>
      <c r="U204" s="25"/>
      <c r="V204" s="25"/>
      <c r="W204" s="25"/>
      <c r="X204" s="25"/>
    </row>
    <row r="205" spans="1:24" ht="13">
      <c r="A205" s="25"/>
      <c r="B205" s="25"/>
      <c r="C205" s="25"/>
      <c r="D205" s="25" t="str">
        <f t="array" ref="D205">IF(OR(LEFT(C205,1)="(",COUNTA(C205)=0),"", INDEX(Honor!$B$2:$B998,MATCH(C205,Honor!$A$2:$A998,0)))</f>
        <v/>
      </c>
      <c r="E205" s="25" t="str">
        <f t="array" ref="E205">IF(OR(LEFT(C205,1)="(",COUNTA(C205)=0),"",INDEX(Honor!$O$2:$O998,MATCH(C205,Honor!$A$2:$A998,0)))</f>
        <v/>
      </c>
      <c r="F205" s="25"/>
      <c r="G205" s="25"/>
      <c r="H205" s="25"/>
      <c r="I205" s="25"/>
      <c r="J205" s="25"/>
      <c r="K205" s="25"/>
      <c r="L205" s="25"/>
      <c r="M205" s="25"/>
      <c r="N205" s="25"/>
      <c r="O205" s="25"/>
      <c r="P205" s="25"/>
      <c r="Q205" s="25"/>
      <c r="R205" s="25"/>
      <c r="S205" s="25"/>
      <c r="T205" s="25"/>
      <c r="U205" s="25"/>
      <c r="V205" s="25"/>
      <c r="W205" s="25"/>
      <c r="X205" s="25"/>
    </row>
    <row r="206" spans="1:24" ht="13">
      <c r="A206" s="25"/>
      <c r="B206" s="25"/>
      <c r="C206" s="25"/>
      <c r="D206" s="25" t="str">
        <f t="array" ref="D206">IF(OR(LEFT(C206,1)="(",COUNTA(C206)=0),"", INDEX(Honor!$B$2:$B998,MATCH(C206,Honor!$A$2:$A998,0)))</f>
        <v/>
      </c>
      <c r="E206" s="25" t="str">
        <f t="array" ref="E206">IF(OR(LEFT(C206,1)="(",COUNTA(C206)=0),"",INDEX(Honor!$O$2:$O998,MATCH(C206,Honor!$A$2:$A998,0)))</f>
        <v/>
      </c>
      <c r="F206" s="25"/>
      <c r="G206" s="25"/>
      <c r="H206" s="25"/>
      <c r="I206" s="25"/>
      <c r="J206" s="25"/>
      <c r="K206" s="25"/>
      <c r="L206" s="25"/>
      <c r="M206" s="25"/>
      <c r="N206" s="25"/>
      <c r="O206" s="25"/>
      <c r="P206" s="25"/>
      <c r="Q206" s="25"/>
      <c r="R206" s="25"/>
      <c r="S206" s="25"/>
      <c r="T206" s="25"/>
      <c r="U206" s="25"/>
      <c r="V206" s="25"/>
      <c r="W206" s="25"/>
      <c r="X206" s="25"/>
    </row>
    <row r="207" spans="1:24" ht="13">
      <c r="A207" s="25"/>
      <c r="B207" s="25"/>
      <c r="C207" s="25"/>
      <c r="D207" s="25" t="str">
        <f t="array" ref="D207">IF(OR(LEFT(C207,1)="(",COUNTA(C207)=0),"", INDEX(Honor!$B$2:$B998,MATCH(C207,Honor!$A$2:$A998,0)))</f>
        <v/>
      </c>
      <c r="E207" s="25" t="str">
        <f t="array" ref="E207">IF(OR(LEFT(C207,1)="(",COUNTA(C207)=0),"",INDEX(Honor!$O$2:$O998,MATCH(C207,Honor!$A$2:$A998,0)))</f>
        <v/>
      </c>
      <c r="F207" s="25"/>
      <c r="G207" s="25"/>
      <c r="H207" s="25"/>
      <c r="I207" s="25"/>
      <c r="J207" s="25"/>
      <c r="K207" s="25"/>
      <c r="L207" s="25"/>
      <c r="M207" s="25"/>
      <c r="N207" s="25"/>
      <c r="O207" s="25"/>
      <c r="P207" s="25"/>
      <c r="Q207" s="25"/>
      <c r="R207" s="25"/>
      <c r="S207" s="25"/>
      <c r="T207" s="25"/>
      <c r="U207" s="25"/>
      <c r="V207" s="25"/>
      <c r="W207" s="25"/>
      <c r="X207" s="25"/>
    </row>
    <row r="208" spans="1:24" ht="13">
      <c r="A208" s="25"/>
      <c r="B208" s="25"/>
      <c r="C208" s="25"/>
      <c r="D208" s="25" t="str">
        <f t="array" ref="D208">IF(OR(LEFT(C208,1)="(",COUNTA(C208)=0),"", INDEX(Honor!$B$2:$B998,MATCH(C208,Honor!$A$2:$A998,0)))</f>
        <v/>
      </c>
      <c r="E208" s="25" t="str">
        <f t="array" ref="E208">IF(OR(LEFT(C208,1)="(",COUNTA(C208)=0),"",INDEX(Honor!$O$2:$O998,MATCH(C208,Honor!$A$2:$A998,0)))</f>
        <v/>
      </c>
      <c r="F208" s="25"/>
      <c r="G208" s="25"/>
      <c r="H208" s="25"/>
      <c r="I208" s="25"/>
      <c r="J208" s="25"/>
      <c r="K208" s="25"/>
      <c r="L208" s="25"/>
      <c r="M208" s="25"/>
      <c r="N208" s="25"/>
      <c r="O208" s="25"/>
      <c r="P208" s="25"/>
      <c r="Q208" s="25"/>
      <c r="R208" s="25"/>
      <c r="S208" s="25"/>
      <c r="T208" s="25"/>
      <c r="U208" s="25"/>
      <c r="V208" s="25"/>
      <c r="W208" s="25"/>
      <c r="X208" s="25"/>
    </row>
    <row r="209" spans="1:24" ht="13">
      <c r="A209" s="25"/>
      <c r="B209" s="25"/>
      <c r="C209" s="25"/>
      <c r="D209" s="25" t="str">
        <f t="array" ref="D209">IF(OR(LEFT(C209,1)="(",COUNTA(C209)=0),"", INDEX(Honor!$B$2:$B998,MATCH(C209,Honor!$A$2:$A998,0)))</f>
        <v/>
      </c>
      <c r="E209" s="25" t="str">
        <f t="array" ref="E209">IF(OR(LEFT(C209,1)="(",COUNTA(C209)=0),"",INDEX(Honor!$O$2:$O998,MATCH(C209,Honor!$A$2:$A998,0)))</f>
        <v/>
      </c>
      <c r="F209" s="25"/>
      <c r="G209" s="25"/>
      <c r="H209" s="25"/>
      <c r="I209" s="25"/>
      <c r="J209" s="25"/>
      <c r="K209" s="25"/>
      <c r="L209" s="25"/>
      <c r="M209" s="25"/>
      <c r="N209" s="25"/>
      <c r="O209" s="25"/>
      <c r="P209" s="25"/>
      <c r="Q209" s="25"/>
      <c r="R209" s="25"/>
      <c r="S209" s="25"/>
      <c r="T209" s="25"/>
      <c r="U209" s="25"/>
      <c r="V209" s="25"/>
      <c r="W209" s="25"/>
      <c r="X209" s="25"/>
    </row>
    <row r="210" spans="1:24" ht="13">
      <c r="A210" s="25"/>
      <c r="B210" s="25"/>
      <c r="C210" s="25"/>
      <c r="D210" s="25" t="str">
        <f t="array" ref="D210">IF(OR(LEFT(C210,1)="(",COUNTA(C210)=0),"", INDEX(Honor!$B$2:$B998,MATCH(C210,Honor!$A$2:$A998,0)))</f>
        <v/>
      </c>
      <c r="E210" s="25" t="str">
        <f t="array" ref="E210">IF(OR(LEFT(C210,1)="(",COUNTA(C210)=0),"",INDEX(Honor!$O$2:$O998,MATCH(C210,Honor!$A$2:$A998,0)))</f>
        <v/>
      </c>
      <c r="F210" s="25"/>
      <c r="G210" s="25"/>
      <c r="H210" s="25"/>
      <c r="I210" s="25"/>
      <c r="J210" s="25"/>
      <c r="K210" s="25"/>
      <c r="L210" s="25"/>
      <c r="M210" s="25"/>
      <c r="N210" s="25"/>
      <c r="O210" s="25"/>
      <c r="P210" s="25"/>
      <c r="Q210" s="25"/>
      <c r="R210" s="25"/>
      <c r="S210" s="25"/>
      <c r="T210" s="25"/>
      <c r="U210" s="25"/>
      <c r="V210" s="25"/>
      <c r="W210" s="25"/>
      <c r="X210" s="25"/>
    </row>
    <row r="211" spans="1:24" ht="13">
      <c r="A211" s="25"/>
      <c r="B211" s="25"/>
      <c r="C211" s="25"/>
      <c r="D211" s="25" t="str">
        <f t="array" ref="D211">IF(OR(LEFT(C211,1)="(",COUNTA(C211)=0),"", INDEX(Honor!$B$2:$B998,MATCH(C211,Honor!$A$2:$A998,0)))</f>
        <v/>
      </c>
      <c r="E211" s="25" t="str">
        <f t="array" ref="E211">IF(OR(LEFT(C211,1)="(",COUNTA(C211)=0),"",INDEX(Honor!$O$2:$O998,MATCH(C211,Honor!$A$2:$A998,0)))</f>
        <v/>
      </c>
      <c r="F211" s="25"/>
      <c r="G211" s="25"/>
      <c r="H211" s="25"/>
      <c r="I211" s="25"/>
      <c r="J211" s="25"/>
      <c r="K211" s="25"/>
      <c r="L211" s="25"/>
      <c r="M211" s="25"/>
      <c r="N211" s="25"/>
      <c r="O211" s="25"/>
      <c r="P211" s="25"/>
      <c r="Q211" s="25"/>
      <c r="R211" s="25"/>
      <c r="S211" s="25"/>
      <c r="T211" s="25"/>
      <c r="U211" s="25"/>
      <c r="V211" s="25"/>
      <c r="W211" s="25"/>
      <c r="X211" s="25"/>
    </row>
    <row r="212" spans="1:24" ht="13">
      <c r="A212" s="25"/>
      <c r="B212" s="25"/>
      <c r="C212" s="25"/>
      <c r="D212" s="25" t="str">
        <f t="array" ref="D212">IF(OR(LEFT(C212,1)="(",COUNTA(C212)=0),"", INDEX(Honor!$B$2:$B998,MATCH(C212,Honor!$A$2:$A998,0)))</f>
        <v/>
      </c>
      <c r="E212" s="25" t="str">
        <f t="array" ref="E212">IF(OR(LEFT(C212,1)="(",COUNTA(C212)=0),"",INDEX(Honor!$O$2:$O998,MATCH(C212,Honor!$A$2:$A998,0)))</f>
        <v/>
      </c>
      <c r="F212" s="25"/>
      <c r="G212" s="25"/>
      <c r="H212" s="25"/>
      <c r="I212" s="25"/>
      <c r="J212" s="25"/>
      <c r="K212" s="25"/>
      <c r="L212" s="25"/>
      <c r="M212" s="25"/>
      <c r="N212" s="25"/>
      <c r="O212" s="25"/>
      <c r="P212" s="25"/>
      <c r="Q212" s="25"/>
      <c r="R212" s="25"/>
      <c r="S212" s="25"/>
      <c r="T212" s="25"/>
      <c r="U212" s="25"/>
      <c r="V212" s="25"/>
      <c r="W212" s="25"/>
      <c r="X212" s="25"/>
    </row>
    <row r="213" spans="1:24" ht="13">
      <c r="A213" s="25"/>
      <c r="B213" s="25"/>
      <c r="C213" s="25"/>
      <c r="D213" s="25" t="str">
        <f t="array" ref="D213">IF(OR(LEFT(C213,1)="(",COUNTA(C213)=0),"", INDEX(Honor!$B$2:$B998,MATCH(C213,Honor!$A$2:$A998,0)))</f>
        <v/>
      </c>
      <c r="E213" s="25" t="str">
        <f t="array" ref="E213">IF(OR(LEFT(C213,1)="(",COUNTA(C213)=0),"",INDEX(Honor!$O$2:$O998,MATCH(C213,Honor!$A$2:$A998,0)))</f>
        <v/>
      </c>
      <c r="F213" s="25"/>
      <c r="G213" s="25"/>
      <c r="H213" s="25"/>
      <c r="I213" s="25"/>
      <c r="J213" s="25"/>
      <c r="K213" s="25"/>
      <c r="L213" s="25"/>
      <c r="M213" s="25"/>
      <c r="N213" s="25"/>
      <c r="O213" s="25"/>
      <c r="P213" s="25"/>
      <c r="Q213" s="25"/>
      <c r="R213" s="25"/>
      <c r="S213" s="25"/>
      <c r="T213" s="25"/>
      <c r="U213" s="25"/>
      <c r="V213" s="25"/>
      <c r="W213" s="25"/>
      <c r="X213" s="25"/>
    </row>
    <row r="214" spans="1:24" ht="13">
      <c r="A214" s="25"/>
      <c r="B214" s="25"/>
      <c r="C214" s="25"/>
      <c r="D214" s="25" t="str">
        <f t="array" ref="D214">IF(OR(LEFT(C214,1)="(",COUNTA(C214)=0),"", INDEX(Honor!$B$2:$B998,MATCH(C214,Honor!$A$2:$A998,0)))</f>
        <v/>
      </c>
      <c r="E214" s="25" t="str">
        <f t="array" ref="E214">IF(OR(LEFT(C214,1)="(",COUNTA(C214)=0),"",INDEX(Honor!$O$2:$O998,MATCH(C214,Honor!$A$2:$A998,0)))</f>
        <v/>
      </c>
      <c r="F214" s="25"/>
      <c r="G214" s="25"/>
      <c r="H214" s="25"/>
      <c r="I214" s="25"/>
      <c r="J214" s="25"/>
      <c r="K214" s="25"/>
      <c r="L214" s="25"/>
      <c r="M214" s="25"/>
      <c r="N214" s="25"/>
      <c r="O214" s="25"/>
      <c r="P214" s="25"/>
      <c r="Q214" s="25"/>
      <c r="R214" s="25"/>
      <c r="S214" s="25"/>
      <c r="T214" s="25"/>
      <c r="U214" s="25"/>
      <c r="V214" s="25"/>
      <c r="W214" s="25"/>
      <c r="X214" s="25"/>
    </row>
    <row r="215" spans="1:24" ht="13">
      <c r="A215" s="25"/>
      <c r="B215" s="25"/>
      <c r="C215" s="25"/>
      <c r="D215" s="25" t="str">
        <f t="array" ref="D215">IF(OR(LEFT(C215,1)="(",COUNTA(C215)=0),"", INDEX(Honor!$B$2:$B998,MATCH(C215,Honor!$A$2:$A998,0)))</f>
        <v/>
      </c>
      <c r="E215" s="25" t="str">
        <f t="array" ref="E215">IF(OR(LEFT(C215,1)="(",COUNTA(C215)=0),"",INDEX(Honor!$O$2:$O998,MATCH(C215,Honor!$A$2:$A998,0)))</f>
        <v/>
      </c>
      <c r="F215" s="25"/>
      <c r="G215" s="25"/>
      <c r="H215" s="25"/>
      <c r="I215" s="25"/>
      <c r="J215" s="25"/>
      <c r="K215" s="25"/>
      <c r="L215" s="25"/>
      <c r="M215" s="25"/>
      <c r="N215" s="25"/>
      <c r="O215" s="25"/>
      <c r="P215" s="25"/>
      <c r="Q215" s="25"/>
      <c r="R215" s="25"/>
      <c r="S215" s="25"/>
      <c r="T215" s="25"/>
      <c r="U215" s="25"/>
      <c r="V215" s="25"/>
      <c r="W215" s="25"/>
      <c r="X215" s="25"/>
    </row>
    <row r="216" spans="1:24" ht="13">
      <c r="A216" s="25"/>
      <c r="B216" s="25"/>
      <c r="C216" s="25"/>
      <c r="D216" s="25" t="str">
        <f t="array" ref="D216">IF(OR(LEFT(C216,1)="(",COUNTA(C216)=0),"", INDEX(Honor!$B$2:$B998,MATCH(C216,Honor!$A$2:$A998,0)))</f>
        <v/>
      </c>
      <c r="E216" s="25" t="str">
        <f t="array" ref="E216">IF(OR(LEFT(C216,1)="(",COUNTA(C216)=0),"",INDEX(Honor!$O$2:$O998,MATCH(C216,Honor!$A$2:$A998,0)))</f>
        <v/>
      </c>
      <c r="F216" s="25"/>
      <c r="G216" s="25"/>
      <c r="H216" s="25"/>
      <c r="I216" s="25"/>
      <c r="J216" s="25"/>
      <c r="K216" s="25"/>
      <c r="L216" s="25"/>
      <c r="M216" s="25"/>
      <c r="N216" s="25"/>
      <c r="O216" s="25"/>
      <c r="P216" s="25"/>
      <c r="Q216" s="25"/>
      <c r="R216" s="25"/>
      <c r="S216" s="25"/>
      <c r="T216" s="25"/>
      <c r="U216" s="25"/>
      <c r="V216" s="25"/>
      <c r="W216" s="25"/>
      <c r="X216" s="25"/>
    </row>
    <row r="217" spans="1:24" ht="13">
      <c r="A217" s="25"/>
      <c r="B217" s="25"/>
      <c r="C217" s="25"/>
      <c r="D217" s="25" t="str">
        <f t="array" ref="D217">IF(OR(LEFT(C217,1)="(",COUNTA(C217)=0),"", INDEX(Honor!$B$2:$B998,MATCH(C217,Honor!$A$2:$A998,0)))</f>
        <v/>
      </c>
      <c r="E217" s="25" t="str">
        <f t="array" ref="E217">IF(OR(LEFT(C217,1)="(",COUNTA(C217)=0),"",INDEX(Honor!$O$2:$O998,MATCH(C217,Honor!$A$2:$A998,0)))</f>
        <v/>
      </c>
      <c r="F217" s="25"/>
      <c r="G217" s="25"/>
      <c r="H217" s="25"/>
      <c r="I217" s="25"/>
      <c r="J217" s="25"/>
      <c r="K217" s="25"/>
      <c r="L217" s="25"/>
      <c r="M217" s="25"/>
      <c r="N217" s="25"/>
      <c r="O217" s="25"/>
      <c r="P217" s="25"/>
      <c r="Q217" s="25"/>
      <c r="R217" s="25"/>
      <c r="S217" s="25"/>
      <c r="T217" s="25"/>
      <c r="U217" s="25"/>
      <c r="V217" s="25"/>
      <c r="W217" s="25"/>
      <c r="X217" s="25"/>
    </row>
    <row r="218" spans="1:24" ht="13">
      <c r="A218" s="25"/>
      <c r="B218" s="25"/>
      <c r="C218" s="25"/>
      <c r="D218" s="25" t="str">
        <f t="array" ref="D218">IF(OR(LEFT(C218,1)="(",COUNTA(C218)=0),"", INDEX(Honor!$B$2:$B998,MATCH(C218,Honor!$A$2:$A998,0)))</f>
        <v/>
      </c>
      <c r="E218" s="25" t="str">
        <f t="array" ref="E218">IF(OR(LEFT(C218,1)="(",COUNTA(C218)=0),"",INDEX(Honor!$O$2:$O998,MATCH(C218,Honor!$A$2:$A998,0)))</f>
        <v/>
      </c>
      <c r="F218" s="25"/>
      <c r="G218" s="25"/>
      <c r="H218" s="25"/>
      <c r="I218" s="25"/>
      <c r="J218" s="25"/>
      <c r="K218" s="25"/>
      <c r="L218" s="25"/>
      <c r="M218" s="25"/>
      <c r="N218" s="25"/>
      <c r="O218" s="25"/>
      <c r="P218" s="25"/>
      <c r="Q218" s="25"/>
      <c r="R218" s="25"/>
      <c r="S218" s="25"/>
      <c r="T218" s="25"/>
      <c r="U218" s="25"/>
      <c r="V218" s="25"/>
      <c r="W218" s="25"/>
      <c r="X218" s="25"/>
    </row>
    <row r="219" spans="1:24" ht="13">
      <c r="A219" s="25"/>
      <c r="B219" s="25"/>
      <c r="C219" s="25"/>
      <c r="D219" s="25" t="str">
        <f t="array" ref="D219">IF(OR(LEFT(C219,1)="(",COUNTA(C219)=0),"", INDEX(Honor!$B$2:$B998,MATCH(C219,Honor!$A$2:$A998,0)))</f>
        <v/>
      </c>
      <c r="E219" s="25" t="str">
        <f t="array" ref="E219">IF(OR(LEFT(C219,1)="(",COUNTA(C219)=0),"",INDEX(Honor!$O$2:$O998,MATCH(C219,Honor!$A$2:$A998,0)))</f>
        <v/>
      </c>
      <c r="F219" s="25"/>
      <c r="G219" s="25"/>
      <c r="H219" s="25"/>
      <c r="I219" s="25"/>
      <c r="J219" s="25"/>
      <c r="K219" s="25"/>
      <c r="L219" s="25"/>
      <c r="M219" s="25"/>
      <c r="N219" s="25"/>
      <c r="O219" s="25"/>
      <c r="P219" s="25"/>
      <c r="Q219" s="25"/>
      <c r="R219" s="25"/>
      <c r="S219" s="25"/>
      <c r="T219" s="25"/>
      <c r="U219" s="25"/>
      <c r="V219" s="25"/>
      <c r="W219" s="25"/>
      <c r="X219" s="25"/>
    </row>
    <row r="220" spans="1:24" ht="13">
      <c r="A220" s="25"/>
      <c r="B220" s="25"/>
      <c r="C220" s="25"/>
      <c r="D220" s="25" t="str">
        <f t="array" ref="D220">IF(OR(LEFT(C220,1)="(",COUNTA(C220)=0),"", INDEX(Honor!$B$2:$B998,MATCH(C220,Honor!$A$2:$A998,0)))</f>
        <v/>
      </c>
      <c r="E220" s="25" t="str">
        <f t="array" ref="E220">IF(OR(LEFT(C220,1)="(",COUNTA(C220)=0),"",INDEX(Honor!$O$2:$O998,MATCH(C220,Honor!$A$2:$A998,0)))</f>
        <v/>
      </c>
      <c r="F220" s="25"/>
      <c r="G220" s="25"/>
      <c r="H220" s="25"/>
      <c r="I220" s="25"/>
      <c r="J220" s="25"/>
      <c r="K220" s="25"/>
      <c r="L220" s="25"/>
      <c r="M220" s="25"/>
      <c r="N220" s="25"/>
      <c r="O220" s="25"/>
      <c r="P220" s="25"/>
      <c r="Q220" s="25"/>
      <c r="R220" s="25"/>
      <c r="S220" s="25"/>
      <c r="T220" s="25"/>
      <c r="U220" s="25"/>
      <c r="V220" s="25"/>
      <c r="W220" s="25"/>
      <c r="X220" s="25"/>
    </row>
    <row r="221" spans="1:24" ht="13">
      <c r="A221" s="25"/>
      <c r="B221" s="25"/>
      <c r="C221" s="25"/>
      <c r="D221" s="25" t="str">
        <f t="array" ref="D221">IF(OR(LEFT(C221,1)="(",COUNTA(C221)=0),"", INDEX(Honor!$B$2:$B998,MATCH(C221,Honor!$A$2:$A998,0)))</f>
        <v/>
      </c>
      <c r="E221" s="25" t="str">
        <f t="array" ref="E221">IF(OR(LEFT(C221,1)="(",COUNTA(C221)=0),"",INDEX(Honor!$O$2:$O998,MATCH(C221,Honor!$A$2:$A998,0)))</f>
        <v/>
      </c>
      <c r="F221" s="25"/>
      <c r="G221" s="25"/>
      <c r="H221" s="25"/>
      <c r="I221" s="25"/>
      <c r="J221" s="25"/>
      <c r="K221" s="25"/>
      <c r="L221" s="25"/>
      <c r="M221" s="25"/>
      <c r="N221" s="25"/>
      <c r="O221" s="25"/>
      <c r="P221" s="25"/>
      <c r="Q221" s="25"/>
      <c r="R221" s="25"/>
      <c r="S221" s="25"/>
      <c r="T221" s="25"/>
      <c r="U221" s="25"/>
      <c r="V221" s="25"/>
      <c r="W221" s="25"/>
      <c r="X221" s="25"/>
    </row>
    <row r="222" spans="1:24" ht="13">
      <c r="A222" s="25"/>
      <c r="B222" s="25"/>
      <c r="C222" s="25"/>
      <c r="D222" s="25" t="str">
        <f t="array" ref="D222">IF(OR(LEFT(C222,1)="(",COUNTA(C222)=0),"", INDEX(Honor!$B$2:$B998,MATCH(C222,Honor!$A$2:$A998,0)))</f>
        <v/>
      </c>
      <c r="E222" s="25" t="str">
        <f t="array" ref="E222">IF(OR(LEFT(C222,1)="(",COUNTA(C222)=0),"",INDEX(Honor!$O$2:$O998,MATCH(C222,Honor!$A$2:$A998,0)))</f>
        <v/>
      </c>
      <c r="F222" s="25"/>
      <c r="G222" s="25"/>
      <c r="H222" s="25"/>
      <c r="I222" s="25"/>
      <c r="J222" s="25"/>
      <c r="K222" s="25"/>
      <c r="L222" s="25"/>
      <c r="M222" s="25"/>
      <c r="N222" s="25"/>
      <c r="O222" s="25"/>
      <c r="P222" s="25"/>
      <c r="Q222" s="25"/>
      <c r="R222" s="25"/>
      <c r="S222" s="25"/>
      <c r="T222" s="25"/>
      <c r="U222" s="25"/>
      <c r="V222" s="25"/>
      <c r="W222" s="25"/>
      <c r="X222" s="25"/>
    </row>
    <row r="223" spans="1:24" ht="13">
      <c r="A223" s="25"/>
      <c r="B223" s="25"/>
      <c r="C223" s="25"/>
      <c r="D223" s="25" t="str">
        <f t="array" ref="D223">IF(OR(LEFT(C223,1)="(",COUNTA(C223)=0),"", INDEX(Honor!$B$2:$B998,MATCH(C223,Honor!$A$2:$A998,0)))</f>
        <v/>
      </c>
      <c r="E223" s="25" t="str">
        <f t="array" ref="E223">IF(OR(LEFT(C223,1)="(",COUNTA(C223)=0),"",INDEX(Honor!$O$2:$O998,MATCH(C223,Honor!$A$2:$A998,0)))</f>
        <v/>
      </c>
      <c r="F223" s="25"/>
      <c r="G223" s="25"/>
      <c r="H223" s="25"/>
      <c r="I223" s="25"/>
      <c r="J223" s="25"/>
      <c r="K223" s="25"/>
      <c r="L223" s="25"/>
      <c r="M223" s="25"/>
      <c r="N223" s="25"/>
      <c r="O223" s="25"/>
      <c r="P223" s="25"/>
      <c r="Q223" s="25"/>
      <c r="R223" s="25"/>
      <c r="S223" s="25"/>
      <c r="T223" s="25"/>
      <c r="U223" s="25"/>
      <c r="V223" s="25"/>
      <c r="W223" s="25"/>
      <c r="X223" s="25"/>
    </row>
    <row r="224" spans="1:24" ht="13">
      <c r="A224" s="25"/>
      <c r="B224" s="25"/>
      <c r="C224" s="25"/>
      <c r="D224" s="25" t="str">
        <f t="array" ref="D224">IF(OR(LEFT(C224,1)="(",COUNTA(C224)=0),"", INDEX(Honor!$B$2:$B998,MATCH(C224,Honor!$A$2:$A998,0)))</f>
        <v/>
      </c>
      <c r="E224" s="25" t="str">
        <f t="array" ref="E224">IF(OR(LEFT(C224,1)="(",COUNTA(C224)=0),"",INDEX(Honor!$O$2:$O998,MATCH(C224,Honor!$A$2:$A998,0)))</f>
        <v/>
      </c>
      <c r="F224" s="25"/>
      <c r="G224" s="25"/>
      <c r="H224" s="25"/>
      <c r="I224" s="25"/>
      <c r="J224" s="25"/>
      <c r="K224" s="25"/>
      <c r="L224" s="25"/>
      <c r="M224" s="25"/>
      <c r="N224" s="25"/>
      <c r="O224" s="25"/>
      <c r="P224" s="25"/>
      <c r="Q224" s="25"/>
      <c r="R224" s="25"/>
      <c r="S224" s="25"/>
      <c r="T224" s="25"/>
      <c r="U224" s="25"/>
      <c r="V224" s="25"/>
      <c r="W224" s="25"/>
      <c r="X224" s="25"/>
    </row>
    <row r="225" spans="1:24" ht="13">
      <c r="A225" s="25"/>
      <c r="B225" s="25"/>
      <c r="C225" s="25"/>
      <c r="D225" s="25" t="str">
        <f t="array" ref="D225">IF(OR(LEFT(C225,1)="(",COUNTA(C225)=0),"", INDEX(Honor!$B$2:$B998,MATCH(C225,Honor!$A$2:$A998,0)))</f>
        <v/>
      </c>
      <c r="E225" s="25" t="str">
        <f t="array" ref="E225">IF(OR(LEFT(C225,1)="(",COUNTA(C225)=0),"",INDEX(Honor!$O$2:$O998,MATCH(C225,Honor!$A$2:$A998,0)))</f>
        <v/>
      </c>
      <c r="F225" s="25"/>
      <c r="G225" s="25"/>
      <c r="H225" s="25"/>
      <c r="I225" s="25"/>
      <c r="J225" s="25"/>
      <c r="K225" s="25"/>
      <c r="L225" s="25"/>
      <c r="M225" s="25"/>
      <c r="N225" s="25"/>
      <c r="O225" s="25"/>
      <c r="P225" s="25"/>
      <c r="Q225" s="25"/>
      <c r="R225" s="25"/>
      <c r="S225" s="25"/>
      <c r="T225" s="25"/>
      <c r="U225" s="25"/>
      <c r="V225" s="25"/>
      <c r="W225" s="25"/>
      <c r="X225" s="25"/>
    </row>
    <row r="226" spans="1:24" ht="13">
      <c r="A226" s="25"/>
      <c r="B226" s="25"/>
      <c r="C226" s="25"/>
      <c r="D226" s="25" t="str">
        <f t="array" ref="D226">IF(OR(LEFT(C226,1)="(",COUNTA(C226)=0),"", INDEX(Honor!$B$2:$B998,MATCH(C226,Honor!$A$2:$A998,0)))</f>
        <v/>
      </c>
      <c r="E226" s="25" t="str">
        <f t="array" ref="E226">IF(OR(LEFT(C226,1)="(",COUNTA(C226)=0),"",INDEX(Honor!$O$2:$O998,MATCH(C226,Honor!$A$2:$A998,0)))</f>
        <v/>
      </c>
      <c r="F226" s="25"/>
      <c r="G226" s="25"/>
      <c r="H226" s="25"/>
      <c r="I226" s="25"/>
      <c r="J226" s="25"/>
      <c r="K226" s="25"/>
      <c r="L226" s="25"/>
      <c r="M226" s="25"/>
      <c r="N226" s="25"/>
      <c r="O226" s="25"/>
      <c r="P226" s="25"/>
      <c r="Q226" s="25"/>
      <c r="R226" s="25"/>
      <c r="S226" s="25"/>
      <c r="T226" s="25"/>
      <c r="U226" s="25"/>
      <c r="V226" s="25"/>
      <c r="W226" s="25"/>
      <c r="X226" s="25"/>
    </row>
    <row r="227" spans="1:24" ht="13">
      <c r="A227" s="25"/>
      <c r="B227" s="25"/>
      <c r="C227" s="25"/>
      <c r="D227" s="25" t="str">
        <f t="array" ref="D227">IF(OR(LEFT(C227,1)="(",COUNTA(C227)=0),"", INDEX(Honor!$B$2:$B998,MATCH(C227,Honor!$A$2:$A998,0)))</f>
        <v/>
      </c>
      <c r="E227" s="25" t="str">
        <f t="array" ref="E227">IF(OR(LEFT(C227,1)="(",COUNTA(C227)=0),"",INDEX(Honor!$O$2:$O998,MATCH(C227,Honor!$A$2:$A998,0)))</f>
        <v/>
      </c>
      <c r="F227" s="25"/>
      <c r="G227" s="25"/>
      <c r="H227" s="25"/>
      <c r="I227" s="25"/>
      <c r="J227" s="25"/>
      <c r="K227" s="25"/>
      <c r="L227" s="25"/>
      <c r="M227" s="25"/>
      <c r="N227" s="25"/>
      <c r="O227" s="25"/>
      <c r="P227" s="25"/>
      <c r="Q227" s="25"/>
      <c r="R227" s="25"/>
      <c r="S227" s="25"/>
      <c r="T227" s="25"/>
      <c r="U227" s="25"/>
      <c r="V227" s="25"/>
      <c r="W227" s="25"/>
      <c r="X227" s="25"/>
    </row>
    <row r="228" spans="1:24" ht="13">
      <c r="A228" s="25"/>
      <c r="B228" s="25"/>
      <c r="C228" s="25"/>
      <c r="D228" s="25" t="str">
        <f t="array" ref="D228">IF(OR(LEFT(C228,1)="(",COUNTA(C228)=0),"", INDEX(Honor!$B$2:$B998,MATCH(C228,Honor!$A$2:$A998,0)))</f>
        <v/>
      </c>
      <c r="E228" s="25" t="str">
        <f t="array" ref="E228">IF(OR(LEFT(C228,1)="(",COUNTA(C228)=0),"",INDEX(Honor!$O$2:$O998,MATCH(C228,Honor!$A$2:$A998,0)))</f>
        <v/>
      </c>
      <c r="F228" s="25"/>
      <c r="G228" s="25"/>
      <c r="H228" s="25"/>
      <c r="I228" s="25"/>
      <c r="J228" s="25"/>
      <c r="K228" s="25"/>
      <c r="L228" s="25"/>
      <c r="M228" s="25"/>
      <c r="N228" s="25"/>
      <c r="O228" s="25"/>
      <c r="P228" s="25"/>
      <c r="Q228" s="25"/>
      <c r="R228" s="25"/>
      <c r="S228" s="25"/>
      <c r="T228" s="25"/>
      <c r="U228" s="25"/>
      <c r="V228" s="25"/>
      <c r="W228" s="25"/>
      <c r="X228" s="25"/>
    </row>
    <row r="229" spans="1:24" ht="13">
      <c r="A229" s="25"/>
      <c r="B229" s="25"/>
      <c r="C229" s="25"/>
      <c r="D229" s="25" t="str">
        <f t="array" ref="D229">IF(OR(LEFT(C229,1)="(",COUNTA(C229)=0),"", INDEX(Honor!$B$2:$B998,MATCH(C229,Honor!$A$2:$A998,0)))</f>
        <v/>
      </c>
      <c r="E229" s="25" t="str">
        <f t="array" ref="E229">IF(OR(LEFT(C229,1)="(",COUNTA(C229)=0),"",INDEX(Honor!$O$2:$O998,MATCH(C229,Honor!$A$2:$A998,0)))</f>
        <v/>
      </c>
      <c r="F229" s="25"/>
      <c r="G229" s="25"/>
      <c r="H229" s="25"/>
      <c r="I229" s="25"/>
      <c r="J229" s="25"/>
      <c r="K229" s="25"/>
      <c r="L229" s="25"/>
      <c r="M229" s="25"/>
      <c r="N229" s="25"/>
      <c r="O229" s="25"/>
      <c r="P229" s="25"/>
      <c r="Q229" s="25"/>
      <c r="R229" s="25"/>
      <c r="S229" s="25"/>
      <c r="T229" s="25"/>
      <c r="U229" s="25"/>
      <c r="V229" s="25"/>
      <c r="W229" s="25"/>
      <c r="X229" s="25"/>
    </row>
    <row r="230" spans="1:24" ht="13">
      <c r="A230" s="25"/>
      <c r="B230" s="25"/>
      <c r="C230" s="25"/>
      <c r="D230" s="25" t="str">
        <f t="array" ref="D230">IF(OR(LEFT(C230,1)="(",COUNTA(C230)=0),"", INDEX(Honor!$B$2:$B998,MATCH(C230,Honor!$A$2:$A998,0)))</f>
        <v/>
      </c>
      <c r="E230" s="25" t="str">
        <f t="array" ref="E230">IF(OR(LEFT(C230,1)="(",COUNTA(C230)=0),"",INDEX(Honor!$O$2:$O998,MATCH(C230,Honor!$A$2:$A998,0)))</f>
        <v/>
      </c>
      <c r="F230" s="25"/>
      <c r="G230" s="25"/>
      <c r="H230" s="25"/>
      <c r="I230" s="25"/>
      <c r="J230" s="25"/>
      <c r="K230" s="25"/>
      <c r="L230" s="25"/>
      <c r="M230" s="25"/>
      <c r="N230" s="25"/>
      <c r="O230" s="25"/>
      <c r="P230" s="25"/>
      <c r="Q230" s="25"/>
      <c r="R230" s="25"/>
      <c r="S230" s="25"/>
      <c r="T230" s="25"/>
      <c r="U230" s="25"/>
      <c r="V230" s="25"/>
      <c r="W230" s="25"/>
      <c r="X230" s="25"/>
    </row>
    <row r="231" spans="1:24" ht="13">
      <c r="A231" s="25"/>
      <c r="B231" s="25"/>
      <c r="C231" s="25"/>
      <c r="D231" s="25" t="str">
        <f t="array" ref="D231">IF(OR(LEFT(C231,1)="(",COUNTA(C231)=0),"", INDEX(Honor!$B$2:$B998,MATCH(C231,Honor!$A$2:$A998,0)))</f>
        <v/>
      </c>
      <c r="E231" s="25" t="str">
        <f t="array" ref="E231">IF(OR(LEFT(C231,1)="(",COUNTA(C231)=0),"",INDEX(Honor!$O$2:$O998,MATCH(C231,Honor!$A$2:$A998,0)))</f>
        <v/>
      </c>
      <c r="F231" s="25"/>
      <c r="G231" s="25"/>
      <c r="H231" s="25"/>
      <c r="I231" s="25"/>
      <c r="J231" s="25"/>
      <c r="K231" s="25"/>
      <c r="L231" s="25"/>
      <c r="M231" s="25"/>
      <c r="N231" s="25"/>
      <c r="O231" s="25"/>
      <c r="P231" s="25"/>
      <c r="Q231" s="25"/>
      <c r="R231" s="25"/>
      <c r="S231" s="25"/>
      <c r="T231" s="25"/>
      <c r="U231" s="25"/>
      <c r="V231" s="25"/>
      <c r="W231" s="25"/>
      <c r="X231" s="25"/>
    </row>
    <row r="232" spans="1:24" ht="13">
      <c r="A232" s="25"/>
      <c r="B232" s="25"/>
      <c r="C232" s="25"/>
      <c r="D232" s="25" t="str">
        <f t="array" ref="D232">IF(OR(LEFT(C232,1)="(",COUNTA(C232)=0),"", INDEX(Honor!$B$2:$B998,MATCH(C232,Honor!$A$2:$A998,0)))</f>
        <v/>
      </c>
      <c r="E232" s="25" t="str">
        <f t="array" ref="E232">IF(OR(LEFT(C232,1)="(",COUNTA(C232)=0),"",INDEX(Honor!$O$2:$O998,MATCH(C232,Honor!$A$2:$A998,0)))</f>
        <v/>
      </c>
      <c r="F232" s="25"/>
      <c r="G232" s="25"/>
      <c r="H232" s="25"/>
      <c r="I232" s="25"/>
      <c r="J232" s="25"/>
      <c r="K232" s="25"/>
      <c r="L232" s="25"/>
      <c r="M232" s="25"/>
      <c r="N232" s="25"/>
      <c r="O232" s="25"/>
      <c r="P232" s="25"/>
      <c r="Q232" s="25"/>
      <c r="R232" s="25"/>
      <c r="S232" s="25"/>
      <c r="T232" s="25"/>
      <c r="U232" s="25"/>
      <c r="V232" s="25"/>
      <c r="W232" s="25"/>
      <c r="X232" s="25"/>
    </row>
    <row r="233" spans="1:24" ht="13">
      <c r="A233" s="25"/>
      <c r="B233" s="25"/>
      <c r="C233" s="25"/>
      <c r="D233" s="25" t="str">
        <f t="array" ref="D233">IF(OR(LEFT(C233,1)="(",COUNTA(C233)=0),"", INDEX(Honor!$B$2:$B998,MATCH(C233,Honor!$A$2:$A998,0)))</f>
        <v/>
      </c>
      <c r="E233" s="25" t="str">
        <f t="array" ref="E233">IF(OR(LEFT(C233,1)="(",COUNTA(C233)=0),"",INDEX(Honor!$O$2:$O998,MATCH(C233,Honor!$A$2:$A998,0)))</f>
        <v/>
      </c>
      <c r="F233" s="25"/>
      <c r="G233" s="25"/>
      <c r="H233" s="25"/>
      <c r="I233" s="25"/>
      <c r="J233" s="25"/>
      <c r="K233" s="25"/>
      <c r="L233" s="25"/>
      <c r="M233" s="25"/>
      <c r="N233" s="25"/>
      <c r="O233" s="25"/>
      <c r="P233" s="25"/>
      <c r="Q233" s="25"/>
      <c r="R233" s="25"/>
      <c r="S233" s="25"/>
      <c r="T233" s="25"/>
      <c r="U233" s="25"/>
      <c r="V233" s="25"/>
      <c r="W233" s="25"/>
      <c r="X233" s="25"/>
    </row>
    <row r="234" spans="1:24" ht="13">
      <c r="A234" s="25"/>
      <c r="B234" s="25"/>
      <c r="C234" s="25"/>
      <c r="D234" s="25" t="str">
        <f t="array" ref="D234">IF(OR(LEFT(C234,1)="(",COUNTA(C234)=0),"", INDEX(Honor!$B$2:$B998,MATCH(C234,Honor!$A$2:$A998,0)))</f>
        <v/>
      </c>
      <c r="E234" s="25" t="str">
        <f t="array" ref="E234">IF(OR(LEFT(C234,1)="(",COUNTA(C234)=0),"",INDEX(Honor!$O$2:$O998,MATCH(C234,Honor!$A$2:$A998,0)))</f>
        <v/>
      </c>
      <c r="F234" s="25"/>
      <c r="G234" s="25"/>
      <c r="H234" s="25"/>
      <c r="I234" s="25"/>
      <c r="J234" s="25"/>
      <c r="K234" s="25"/>
      <c r="L234" s="25"/>
      <c r="M234" s="25"/>
      <c r="N234" s="25"/>
      <c r="O234" s="25"/>
      <c r="P234" s="25"/>
      <c r="Q234" s="25"/>
      <c r="R234" s="25"/>
      <c r="S234" s="25"/>
      <c r="T234" s="25"/>
      <c r="U234" s="25"/>
      <c r="V234" s="25"/>
      <c r="W234" s="25"/>
      <c r="X234" s="25"/>
    </row>
    <row r="235" spans="1:24" ht="13">
      <c r="A235" s="25"/>
      <c r="B235" s="25"/>
      <c r="C235" s="25"/>
      <c r="D235" s="25" t="str">
        <f t="array" ref="D235">IF(OR(LEFT(C235,1)="(",COUNTA(C235)=0),"", INDEX(Honor!$B$2:$B998,MATCH(C235,Honor!$A$2:$A998,0)))</f>
        <v/>
      </c>
      <c r="E235" s="25" t="str">
        <f t="array" ref="E235">IF(OR(LEFT(C235,1)="(",COUNTA(C235)=0),"",INDEX(Honor!$O$2:$O998,MATCH(C235,Honor!$A$2:$A998,0)))</f>
        <v/>
      </c>
      <c r="F235" s="25"/>
      <c r="G235" s="25"/>
      <c r="H235" s="25"/>
      <c r="I235" s="25"/>
      <c r="J235" s="25"/>
      <c r="K235" s="25"/>
      <c r="L235" s="25"/>
      <c r="M235" s="25"/>
      <c r="N235" s="25"/>
      <c r="O235" s="25"/>
      <c r="P235" s="25"/>
      <c r="Q235" s="25"/>
      <c r="R235" s="25"/>
      <c r="S235" s="25"/>
      <c r="T235" s="25"/>
      <c r="U235" s="25"/>
      <c r="V235" s="25"/>
      <c r="W235" s="25"/>
      <c r="X235" s="25"/>
    </row>
    <row r="236" spans="1:24" ht="13">
      <c r="A236" s="25"/>
      <c r="B236" s="25"/>
      <c r="C236" s="25"/>
      <c r="D236" s="25" t="str">
        <f t="array" ref="D236">IF(OR(LEFT(C236,1)="(",COUNTA(C236)=0),"", INDEX(Honor!$B$2:$B998,MATCH(C236,Honor!$A$2:$A998,0)))</f>
        <v/>
      </c>
      <c r="E236" s="25" t="str">
        <f t="array" ref="E236">IF(OR(LEFT(C236,1)="(",COUNTA(C236)=0),"",INDEX(Honor!$O$2:$O998,MATCH(C236,Honor!$A$2:$A998,0)))</f>
        <v/>
      </c>
      <c r="F236" s="25"/>
      <c r="G236" s="25"/>
      <c r="H236" s="25"/>
      <c r="I236" s="25"/>
      <c r="J236" s="25"/>
      <c r="K236" s="25"/>
      <c r="L236" s="25"/>
      <c r="M236" s="25"/>
      <c r="N236" s="25"/>
      <c r="O236" s="25"/>
      <c r="P236" s="25"/>
      <c r="Q236" s="25"/>
      <c r="R236" s="25"/>
      <c r="S236" s="25"/>
      <c r="T236" s="25"/>
      <c r="U236" s="25"/>
      <c r="V236" s="25"/>
      <c r="W236" s="25"/>
      <c r="X236" s="25"/>
    </row>
    <row r="237" spans="1:24" ht="13">
      <c r="A237" s="25"/>
      <c r="B237" s="25"/>
      <c r="C237" s="25"/>
      <c r="D237" s="25" t="str">
        <f t="array" ref="D237">IF(OR(LEFT(C237,1)="(",COUNTA(C237)=0),"", INDEX(Honor!$B$2:$B998,MATCH(C237,Honor!$A$2:$A998,0)))</f>
        <v/>
      </c>
      <c r="E237" s="25" t="str">
        <f t="array" ref="E237">IF(OR(LEFT(C237,1)="(",COUNTA(C237)=0),"",INDEX(Honor!$O$2:$O998,MATCH(C237,Honor!$A$2:$A998,0)))</f>
        <v/>
      </c>
      <c r="F237" s="25"/>
      <c r="G237" s="25"/>
      <c r="H237" s="25"/>
      <c r="I237" s="25"/>
      <c r="J237" s="25"/>
      <c r="K237" s="25"/>
      <c r="L237" s="25"/>
      <c r="M237" s="25"/>
      <c r="N237" s="25"/>
      <c r="O237" s="25"/>
      <c r="P237" s="25"/>
      <c r="Q237" s="25"/>
      <c r="R237" s="25"/>
      <c r="S237" s="25"/>
      <c r="T237" s="25"/>
      <c r="U237" s="25"/>
      <c r="V237" s="25"/>
      <c r="W237" s="25"/>
      <c r="X237" s="25"/>
    </row>
    <row r="238" spans="1:24" ht="13">
      <c r="A238" s="25"/>
      <c r="B238" s="25"/>
      <c r="C238" s="25"/>
      <c r="D238" s="25" t="str">
        <f t="array" ref="D238">IF(OR(LEFT(C238,1)="(",COUNTA(C238)=0),"", INDEX(Honor!$B$2:$B998,MATCH(C238,Honor!$A$2:$A998,0)))</f>
        <v/>
      </c>
      <c r="E238" s="25" t="str">
        <f t="array" ref="E238">IF(OR(LEFT(C238,1)="(",COUNTA(C238)=0),"",INDEX(Honor!$O$2:$O998,MATCH(C238,Honor!$A$2:$A998,0)))</f>
        <v/>
      </c>
      <c r="F238" s="25"/>
      <c r="G238" s="25"/>
      <c r="H238" s="25"/>
      <c r="I238" s="25"/>
      <c r="J238" s="25"/>
      <c r="K238" s="25"/>
      <c r="L238" s="25"/>
      <c r="M238" s="25"/>
      <c r="N238" s="25"/>
      <c r="O238" s="25"/>
      <c r="P238" s="25"/>
      <c r="Q238" s="25"/>
      <c r="R238" s="25"/>
      <c r="S238" s="25"/>
      <c r="T238" s="25"/>
      <c r="U238" s="25"/>
      <c r="V238" s="25"/>
      <c r="W238" s="25"/>
      <c r="X238" s="25"/>
    </row>
    <row r="239" spans="1:24" ht="13">
      <c r="A239" s="25"/>
      <c r="B239" s="25"/>
      <c r="C239" s="25"/>
      <c r="D239" s="25" t="str">
        <f t="array" ref="D239">IF(OR(LEFT(C239,1)="(",COUNTA(C239)=0),"", INDEX(Honor!$B$2:$B998,MATCH(C239,Honor!$A$2:$A998,0)))</f>
        <v/>
      </c>
      <c r="E239" s="25" t="str">
        <f t="array" ref="E239">IF(OR(LEFT(C239,1)="(",COUNTA(C239)=0),"",INDEX(Honor!$O$2:$O998,MATCH(C239,Honor!$A$2:$A998,0)))</f>
        <v/>
      </c>
      <c r="F239" s="25"/>
      <c r="G239" s="25"/>
      <c r="H239" s="25"/>
      <c r="I239" s="25"/>
      <c r="J239" s="25"/>
      <c r="K239" s="25"/>
      <c r="L239" s="25"/>
      <c r="M239" s="25"/>
      <c r="N239" s="25"/>
      <c r="O239" s="25"/>
      <c r="P239" s="25"/>
      <c r="Q239" s="25"/>
      <c r="R239" s="25"/>
      <c r="S239" s="25"/>
      <c r="T239" s="25"/>
      <c r="U239" s="25"/>
      <c r="V239" s="25"/>
      <c r="W239" s="25"/>
      <c r="X239" s="25"/>
    </row>
    <row r="240" spans="1:24" ht="13">
      <c r="A240" s="25"/>
      <c r="B240" s="25"/>
      <c r="C240" s="25"/>
      <c r="D240" s="25" t="str">
        <f t="array" ref="D240">IF(OR(LEFT(C240,1)="(",COUNTA(C240)=0),"", INDEX(Honor!$B$2:$B998,MATCH(C240,Honor!$A$2:$A998,0)))</f>
        <v/>
      </c>
      <c r="E240" s="25" t="str">
        <f t="array" ref="E240">IF(OR(LEFT(C240,1)="(",COUNTA(C240)=0),"",INDEX(Honor!$O$2:$O998,MATCH(C240,Honor!$A$2:$A998,0)))</f>
        <v/>
      </c>
      <c r="F240" s="25"/>
      <c r="G240" s="25"/>
      <c r="H240" s="25"/>
      <c r="I240" s="25"/>
      <c r="J240" s="25"/>
      <c r="K240" s="25"/>
      <c r="L240" s="25"/>
      <c r="M240" s="25"/>
      <c r="N240" s="25"/>
      <c r="O240" s="25"/>
      <c r="P240" s="25"/>
      <c r="Q240" s="25"/>
      <c r="R240" s="25"/>
      <c r="S240" s="25"/>
      <c r="T240" s="25"/>
      <c r="U240" s="25"/>
      <c r="V240" s="25"/>
      <c r="W240" s="25"/>
      <c r="X240" s="25"/>
    </row>
    <row r="241" spans="1:24" ht="13">
      <c r="A241" s="25"/>
      <c r="B241" s="25"/>
      <c r="C241" s="25"/>
      <c r="D241" s="25" t="str">
        <f t="array" ref="D241">IF(OR(LEFT(C241,1)="(",COUNTA(C241)=0),"", INDEX(Honor!$B$2:$B998,MATCH(C241,Honor!$A$2:$A998,0)))</f>
        <v/>
      </c>
      <c r="E241" s="25" t="str">
        <f t="array" ref="E241">IF(OR(LEFT(C241,1)="(",COUNTA(C241)=0),"",INDEX(Honor!$O$2:$O998,MATCH(C241,Honor!$A$2:$A998,0)))</f>
        <v/>
      </c>
      <c r="F241" s="25"/>
      <c r="G241" s="25"/>
      <c r="H241" s="25"/>
      <c r="I241" s="25"/>
      <c r="J241" s="25"/>
      <c r="K241" s="25"/>
      <c r="L241" s="25"/>
      <c r="M241" s="25"/>
      <c r="N241" s="25"/>
      <c r="O241" s="25"/>
      <c r="P241" s="25"/>
      <c r="Q241" s="25"/>
      <c r="R241" s="25"/>
      <c r="S241" s="25"/>
      <c r="T241" s="25"/>
      <c r="U241" s="25"/>
      <c r="V241" s="25"/>
      <c r="W241" s="25"/>
      <c r="X241" s="25"/>
    </row>
    <row r="242" spans="1:24" ht="13">
      <c r="A242" s="25"/>
      <c r="B242" s="25"/>
      <c r="C242" s="25"/>
      <c r="D242" s="25" t="str">
        <f t="array" ref="D242">IF(OR(LEFT(C242,1)="(",COUNTA(C242)=0),"", INDEX(Honor!$B$2:$B998,MATCH(C242,Honor!$A$2:$A998,0)))</f>
        <v/>
      </c>
      <c r="E242" s="25" t="str">
        <f t="array" ref="E242">IF(OR(LEFT(C242,1)="(",COUNTA(C242)=0),"",INDEX(Honor!$O$2:$O998,MATCH(C242,Honor!$A$2:$A998,0)))</f>
        <v/>
      </c>
      <c r="F242" s="25"/>
      <c r="G242" s="25"/>
      <c r="H242" s="25"/>
      <c r="I242" s="25"/>
      <c r="J242" s="25"/>
      <c r="K242" s="25"/>
      <c r="L242" s="25"/>
      <c r="M242" s="25"/>
      <c r="N242" s="25"/>
      <c r="O242" s="25"/>
      <c r="P242" s="25"/>
      <c r="Q242" s="25"/>
      <c r="R242" s="25"/>
      <c r="S242" s="25"/>
      <c r="T242" s="25"/>
      <c r="U242" s="25"/>
      <c r="V242" s="25"/>
      <c r="W242" s="25"/>
      <c r="X242" s="25"/>
    </row>
    <row r="243" spans="1:24" ht="13">
      <c r="A243" s="25"/>
      <c r="B243" s="25"/>
      <c r="C243" s="25"/>
      <c r="D243" s="25" t="str">
        <f t="array" ref="D243">IF(OR(LEFT(C243,1)="(",COUNTA(C243)=0),"", INDEX(Honor!$B$2:$B998,MATCH(C243,Honor!$A$2:$A998,0)))</f>
        <v/>
      </c>
      <c r="E243" s="25" t="str">
        <f t="array" ref="E243">IF(OR(LEFT(C243,1)="(",COUNTA(C243)=0),"",INDEX(Honor!$O$2:$O998,MATCH(C243,Honor!$A$2:$A998,0)))</f>
        <v/>
      </c>
      <c r="F243" s="25"/>
      <c r="G243" s="25"/>
      <c r="H243" s="25"/>
      <c r="I243" s="25"/>
      <c r="J243" s="25"/>
      <c r="K243" s="25"/>
      <c r="L243" s="25"/>
      <c r="M243" s="25"/>
      <c r="N243" s="25"/>
      <c r="O243" s="25"/>
      <c r="P243" s="25"/>
      <c r="Q243" s="25"/>
      <c r="R243" s="25"/>
      <c r="S243" s="25"/>
      <c r="T243" s="25"/>
      <c r="U243" s="25"/>
      <c r="V243" s="25"/>
      <c r="W243" s="25"/>
      <c r="X243" s="25"/>
    </row>
    <row r="244" spans="1:24" ht="13">
      <c r="A244" s="25"/>
      <c r="B244" s="25"/>
      <c r="C244" s="25"/>
      <c r="D244" s="25" t="str">
        <f t="array" ref="D244">IF(OR(LEFT(C244,1)="(",COUNTA(C244)=0),"", INDEX(Honor!$B$2:$B998,MATCH(C244,Honor!$A$2:$A998,0)))</f>
        <v/>
      </c>
      <c r="E244" s="25" t="str">
        <f t="array" ref="E244">IF(OR(LEFT(C244,1)="(",COUNTA(C244)=0),"",INDEX(Honor!$O$2:$O998,MATCH(C244,Honor!$A$2:$A998,0)))</f>
        <v/>
      </c>
      <c r="F244" s="25"/>
      <c r="G244" s="25"/>
      <c r="H244" s="25"/>
      <c r="I244" s="25"/>
      <c r="J244" s="25"/>
      <c r="K244" s="25"/>
      <c r="L244" s="25"/>
      <c r="M244" s="25"/>
      <c r="N244" s="25"/>
      <c r="O244" s="25"/>
      <c r="P244" s="25"/>
      <c r="Q244" s="25"/>
      <c r="R244" s="25"/>
      <c r="S244" s="25"/>
      <c r="T244" s="25"/>
      <c r="U244" s="25"/>
      <c r="V244" s="25"/>
      <c r="W244" s="25"/>
      <c r="X244" s="25"/>
    </row>
    <row r="245" spans="1:24" ht="13">
      <c r="A245" s="25"/>
      <c r="B245" s="25"/>
      <c r="C245" s="25"/>
      <c r="D245" s="25" t="str">
        <f t="array" ref="D245">IF(OR(LEFT(C245,1)="(",COUNTA(C245)=0),"", INDEX(Honor!$B$2:$B998,MATCH(C245,Honor!$A$2:$A998,0)))</f>
        <v/>
      </c>
      <c r="E245" s="25" t="str">
        <f t="array" ref="E245">IF(OR(LEFT(C245,1)="(",COUNTA(C245)=0),"",INDEX(Honor!$O$2:$O998,MATCH(C245,Honor!$A$2:$A998,0)))</f>
        <v/>
      </c>
      <c r="F245" s="25"/>
      <c r="G245" s="25"/>
      <c r="H245" s="25"/>
      <c r="I245" s="25"/>
      <c r="J245" s="25"/>
      <c r="K245" s="25"/>
      <c r="L245" s="25"/>
      <c r="M245" s="25"/>
      <c r="N245" s="25"/>
      <c r="O245" s="25"/>
      <c r="P245" s="25"/>
      <c r="Q245" s="25"/>
      <c r="R245" s="25"/>
      <c r="S245" s="25"/>
      <c r="T245" s="25"/>
      <c r="U245" s="25"/>
      <c r="V245" s="25"/>
      <c r="W245" s="25"/>
      <c r="X245" s="25"/>
    </row>
    <row r="246" spans="1:24" ht="13">
      <c r="A246" s="25"/>
      <c r="B246" s="25"/>
      <c r="C246" s="25"/>
      <c r="D246" s="25" t="str">
        <f t="array" ref="D246">IF(OR(LEFT(C246,1)="(",COUNTA(C246)=0),"", INDEX(Honor!$B$2:$B998,MATCH(C246,Honor!$A$2:$A998,0)))</f>
        <v/>
      </c>
      <c r="E246" s="25" t="str">
        <f t="array" ref="E246">IF(OR(LEFT(C246,1)="(",COUNTA(C246)=0),"",INDEX(Honor!$O$2:$O998,MATCH(C246,Honor!$A$2:$A998,0)))</f>
        <v/>
      </c>
      <c r="F246" s="25"/>
      <c r="G246" s="25"/>
      <c r="H246" s="25"/>
      <c r="I246" s="25"/>
      <c r="J246" s="25"/>
      <c r="K246" s="25"/>
      <c r="L246" s="25"/>
      <c r="M246" s="25"/>
      <c r="N246" s="25"/>
      <c r="O246" s="25"/>
      <c r="P246" s="25"/>
      <c r="Q246" s="25"/>
      <c r="R246" s="25"/>
      <c r="S246" s="25"/>
      <c r="T246" s="25"/>
      <c r="U246" s="25"/>
      <c r="V246" s="25"/>
      <c r="W246" s="25"/>
      <c r="X246" s="25"/>
    </row>
    <row r="247" spans="1:24" ht="13">
      <c r="A247" s="25"/>
      <c r="B247" s="25"/>
      <c r="C247" s="25"/>
      <c r="D247" s="25" t="str">
        <f t="array" ref="D247">IF(OR(LEFT(C247,1)="(",COUNTA(C247)=0),"", INDEX(Honor!$B$2:$B998,MATCH(C247,Honor!$A$2:$A998,0)))</f>
        <v/>
      </c>
      <c r="E247" s="25" t="str">
        <f t="array" ref="E247">IF(OR(LEFT(C247,1)="(",COUNTA(C247)=0),"",INDEX(Honor!$O$2:$O998,MATCH(C247,Honor!$A$2:$A998,0)))</f>
        <v/>
      </c>
      <c r="F247" s="25"/>
      <c r="G247" s="25"/>
      <c r="H247" s="25"/>
      <c r="I247" s="25"/>
      <c r="J247" s="25"/>
      <c r="K247" s="25"/>
      <c r="L247" s="25"/>
      <c r="M247" s="25"/>
      <c r="N247" s="25"/>
      <c r="O247" s="25"/>
      <c r="P247" s="25"/>
      <c r="Q247" s="25"/>
      <c r="R247" s="25"/>
      <c r="S247" s="25"/>
      <c r="T247" s="25"/>
      <c r="U247" s="25"/>
      <c r="V247" s="25"/>
      <c r="W247" s="25"/>
      <c r="X247" s="25"/>
    </row>
    <row r="248" spans="1:24" ht="13">
      <c r="A248" s="25"/>
      <c r="B248" s="25"/>
      <c r="C248" s="25"/>
      <c r="D248" s="25" t="str">
        <f t="array" ref="D248">IF(OR(LEFT(C248,1)="(",COUNTA(C248)=0),"", INDEX(Honor!$B$2:$B998,MATCH(C248,Honor!$A$2:$A998,0)))</f>
        <v/>
      </c>
      <c r="E248" s="25" t="str">
        <f t="array" ref="E248">IF(OR(LEFT(C248,1)="(",COUNTA(C248)=0),"",INDEX(Honor!$O$2:$O998,MATCH(C248,Honor!$A$2:$A998,0)))</f>
        <v/>
      </c>
      <c r="F248" s="25"/>
      <c r="G248" s="25"/>
      <c r="H248" s="25"/>
      <c r="I248" s="25"/>
      <c r="J248" s="25"/>
      <c r="K248" s="25"/>
      <c r="L248" s="25"/>
      <c r="M248" s="25"/>
      <c r="N248" s="25"/>
      <c r="O248" s="25"/>
      <c r="P248" s="25"/>
      <c r="Q248" s="25"/>
      <c r="R248" s="25"/>
      <c r="S248" s="25"/>
      <c r="T248" s="25"/>
      <c r="U248" s="25"/>
      <c r="V248" s="25"/>
      <c r="W248" s="25"/>
      <c r="X248" s="25"/>
    </row>
    <row r="249" spans="1:24" ht="13">
      <c r="A249" s="25"/>
      <c r="B249" s="25"/>
      <c r="C249" s="25"/>
      <c r="D249" s="25" t="str">
        <f t="array" ref="D249">IF(OR(LEFT(C249,1)="(",COUNTA(C249)=0),"", INDEX(Honor!$B$2:$B998,MATCH(C249,Honor!$A$2:$A998,0)))</f>
        <v/>
      </c>
      <c r="E249" s="25" t="str">
        <f t="array" ref="E249">IF(OR(LEFT(C249,1)="(",COUNTA(C249)=0),"",INDEX(Honor!$O$2:$O998,MATCH(C249,Honor!$A$2:$A998,0)))</f>
        <v/>
      </c>
      <c r="F249" s="25"/>
      <c r="G249" s="25"/>
      <c r="H249" s="25"/>
      <c r="I249" s="25"/>
      <c r="J249" s="25"/>
      <c r="K249" s="25"/>
      <c r="L249" s="25"/>
      <c r="M249" s="25"/>
      <c r="N249" s="25"/>
      <c r="O249" s="25"/>
      <c r="P249" s="25"/>
      <c r="Q249" s="25"/>
      <c r="R249" s="25"/>
      <c r="S249" s="25"/>
      <c r="T249" s="25"/>
      <c r="U249" s="25"/>
      <c r="V249" s="25"/>
      <c r="W249" s="25"/>
      <c r="X249" s="25"/>
    </row>
    <row r="250" spans="1:24" ht="13">
      <c r="A250" s="25"/>
      <c r="B250" s="25"/>
      <c r="C250" s="25"/>
      <c r="D250" s="25" t="str">
        <f t="array" ref="D250">IF(OR(LEFT(C250,1)="(",COUNTA(C250)=0),"", INDEX(Honor!$B$2:$B998,MATCH(C250,Honor!$A$2:$A998,0)))</f>
        <v/>
      </c>
      <c r="E250" s="25" t="str">
        <f t="array" ref="E250">IF(OR(LEFT(C250,1)="(",COUNTA(C250)=0),"",INDEX(Honor!$O$2:$O998,MATCH(C250,Honor!$A$2:$A998,0)))</f>
        <v/>
      </c>
      <c r="F250" s="25"/>
      <c r="G250" s="25"/>
      <c r="H250" s="25"/>
      <c r="I250" s="25"/>
      <c r="J250" s="25"/>
      <c r="K250" s="25"/>
      <c r="L250" s="25"/>
      <c r="M250" s="25"/>
      <c r="N250" s="25"/>
      <c r="O250" s="25"/>
      <c r="P250" s="25"/>
      <c r="Q250" s="25"/>
      <c r="R250" s="25"/>
      <c r="S250" s="25"/>
      <c r="T250" s="25"/>
      <c r="U250" s="25"/>
      <c r="V250" s="25"/>
      <c r="W250" s="25"/>
      <c r="X250" s="25"/>
    </row>
    <row r="251" spans="1:24" ht="13">
      <c r="A251" s="25"/>
      <c r="B251" s="25"/>
      <c r="C251" s="25"/>
      <c r="D251" s="25" t="str">
        <f t="array" ref="D251">IF(OR(LEFT(C251,1)="(",COUNTA(C251)=0),"", INDEX(Honor!$B$2:$B998,MATCH(C251,Honor!$A$2:$A998,0)))</f>
        <v/>
      </c>
      <c r="E251" s="25" t="str">
        <f t="array" ref="E251">IF(OR(LEFT(C251,1)="(",COUNTA(C251)=0),"",INDEX(Honor!$O$2:$O998,MATCH(C251,Honor!$A$2:$A998,0)))</f>
        <v/>
      </c>
      <c r="F251" s="25"/>
      <c r="G251" s="25"/>
      <c r="H251" s="25"/>
      <c r="I251" s="25"/>
      <c r="J251" s="25"/>
      <c r="K251" s="25"/>
      <c r="L251" s="25"/>
      <c r="M251" s="25"/>
      <c r="N251" s="25"/>
      <c r="O251" s="25"/>
      <c r="P251" s="25"/>
      <c r="Q251" s="25"/>
      <c r="R251" s="25"/>
      <c r="S251" s="25"/>
      <c r="T251" s="25"/>
      <c r="U251" s="25"/>
      <c r="V251" s="25"/>
      <c r="W251" s="25"/>
      <c r="X251" s="25"/>
    </row>
    <row r="252" spans="1:24" ht="13">
      <c r="A252" s="25"/>
      <c r="B252" s="25"/>
      <c r="C252" s="25"/>
      <c r="D252" s="25" t="str">
        <f t="array" ref="D252">IF(OR(LEFT(C252,1)="(",COUNTA(C252)=0),"", INDEX(Honor!$B$2:$B998,MATCH(C252,Honor!$A$2:$A998,0)))</f>
        <v/>
      </c>
      <c r="E252" s="25" t="str">
        <f t="array" ref="E252">IF(OR(LEFT(C252,1)="(",COUNTA(C252)=0),"",INDEX(Honor!$O$2:$O998,MATCH(C252,Honor!$A$2:$A998,0)))</f>
        <v/>
      </c>
      <c r="F252" s="25"/>
      <c r="G252" s="25"/>
      <c r="H252" s="25"/>
      <c r="I252" s="25"/>
      <c r="J252" s="25"/>
      <c r="K252" s="25"/>
      <c r="L252" s="25"/>
      <c r="M252" s="25"/>
      <c r="N252" s="25"/>
      <c r="O252" s="25"/>
      <c r="P252" s="25"/>
      <c r="Q252" s="25"/>
      <c r="R252" s="25"/>
      <c r="S252" s="25"/>
      <c r="T252" s="25"/>
      <c r="U252" s="25"/>
      <c r="V252" s="25"/>
      <c r="W252" s="25"/>
      <c r="X252" s="25"/>
    </row>
    <row r="253" spans="1:24" ht="13">
      <c r="A253" s="25"/>
      <c r="B253" s="25"/>
      <c r="C253" s="25"/>
      <c r="D253" s="25" t="str">
        <f t="array" ref="D253">IF(OR(LEFT(C253,1)="(",COUNTA(C253)=0),"", INDEX(Honor!$B$2:$B998,MATCH(C253,Honor!$A$2:$A998,0)))</f>
        <v/>
      </c>
      <c r="E253" s="25" t="str">
        <f t="array" ref="E253">IF(OR(LEFT(C253,1)="(",COUNTA(C253)=0),"",INDEX(Honor!$O$2:$O998,MATCH(C253,Honor!$A$2:$A998,0)))</f>
        <v/>
      </c>
      <c r="F253" s="25"/>
      <c r="G253" s="25"/>
      <c r="H253" s="25"/>
      <c r="I253" s="25"/>
      <c r="J253" s="25"/>
      <c r="K253" s="25"/>
      <c r="L253" s="25"/>
      <c r="M253" s="25"/>
      <c r="N253" s="25"/>
      <c r="O253" s="25"/>
      <c r="P253" s="25"/>
      <c r="Q253" s="25"/>
      <c r="R253" s="25"/>
      <c r="S253" s="25"/>
      <c r="T253" s="25"/>
      <c r="U253" s="25"/>
      <c r="V253" s="25"/>
      <c r="W253" s="25"/>
      <c r="X253" s="25"/>
    </row>
    <row r="254" spans="1:24" ht="13">
      <c r="A254" s="25"/>
      <c r="B254" s="25"/>
      <c r="C254" s="25"/>
      <c r="D254" s="25" t="str">
        <f t="array" ref="D254">IF(OR(LEFT(C254,1)="(",COUNTA(C254)=0),"", INDEX(Honor!$B$2:$B998,MATCH(C254,Honor!$A$2:$A998,0)))</f>
        <v/>
      </c>
      <c r="E254" s="25" t="str">
        <f t="array" ref="E254">IF(OR(LEFT(C254,1)="(",COUNTA(C254)=0),"",INDEX(Honor!$O$2:$O998,MATCH(C254,Honor!$A$2:$A998,0)))</f>
        <v/>
      </c>
      <c r="F254" s="25"/>
      <c r="G254" s="25"/>
      <c r="H254" s="25"/>
      <c r="I254" s="25"/>
      <c r="J254" s="25"/>
      <c r="K254" s="25"/>
      <c r="L254" s="25"/>
      <c r="M254" s="25"/>
      <c r="N254" s="25"/>
      <c r="O254" s="25"/>
      <c r="P254" s="25"/>
      <c r="Q254" s="25"/>
      <c r="R254" s="25"/>
      <c r="S254" s="25"/>
      <c r="T254" s="25"/>
      <c r="U254" s="25"/>
      <c r="V254" s="25"/>
      <c r="W254" s="25"/>
      <c r="X254" s="25"/>
    </row>
    <row r="255" spans="1:24" ht="13">
      <c r="A255" s="25"/>
      <c r="B255" s="25"/>
      <c r="C255" s="25"/>
      <c r="D255" s="25" t="str">
        <f t="array" ref="D255">IF(OR(LEFT(C255,1)="(",COUNTA(C255)=0),"", INDEX(Honor!$B$2:$B998,MATCH(C255,Honor!$A$2:$A998,0)))</f>
        <v/>
      </c>
      <c r="E255" s="25" t="str">
        <f t="array" ref="E255">IF(OR(LEFT(C255,1)="(",COUNTA(C255)=0),"",INDEX(Honor!$O$2:$O998,MATCH(C255,Honor!$A$2:$A998,0)))</f>
        <v/>
      </c>
      <c r="F255" s="25"/>
      <c r="G255" s="25"/>
      <c r="H255" s="25"/>
      <c r="I255" s="25"/>
      <c r="J255" s="25"/>
      <c r="K255" s="25"/>
      <c r="L255" s="25"/>
      <c r="M255" s="25"/>
      <c r="N255" s="25"/>
      <c r="O255" s="25"/>
      <c r="P255" s="25"/>
      <c r="Q255" s="25"/>
      <c r="R255" s="25"/>
      <c r="S255" s="25"/>
      <c r="T255" s="25"/>
      <c r="U255" s="25"/>
      <c r="V255" s="25"/>
      <c r="W255" s="25"/>
      <c r="X255" s="25"/>
    </row>
    <row r="256" spans="1:24" ht="13">
      <c r="A256" s="25"/>
      <c r="B256" s="25"/>
      <c r="C256" s="25"/>
      <c r="D256" s="25" t="str">
        <f t="array" ref="D256">IF(OR(LEFT(C256,1)="(",COUNTA(C256)=0),"", INDEX(Honor!$B$2:$B998,MATCH(C256,Honor!$A$2:$A998,0)))</f>
        <v/>
      </c>
      <c r="E256" s="25" t="str">
        <f t="array" ref="E256">IF(OR(LEFT(C256,1)="(",COUNTA(C256)=0),"",INDEX(Honor!$O$2:$O998,MATCH(C256,Honor!$A$2:$A998,0)))</f>
        <v/>
      </c>
      <c r="F256" s="25"/>
      <c r="G256" s="25"/>
      <c r="H256" s="25"/>
      <c r="I256" s="25"/>
      <c r="J256" s="25"/>
      <c r="K256" s="25"/>
      <c r="L256" s="25"/>
      <c r="M256" s="25"/>
      <c r="N256" s="25"/>
      <c r="O256" s="25"/>
      <c r="P256" s="25"/>
      <c r="Q256" s="25"/>
      <c r="R256" s="25"/>
      <c r="S256" s="25"/>
      <c r="T256" s="25"/>
      <c r="U256" s="25"/>
      <c r="V256" s="25"/>
      <c r="W256" s="25"/>
      <c r="X256" s="25"/>
    </row>
    <row r="257" spans="1:24" ht="13">
      <c r="A257" s="25"/>
      <c r="B257" s="25"/>
      <c r="C257" s="25"/>
      <c r="D257" s="25" t="str">
        <f t="array" ref="D257">IF(OR(LEFT(C257,1)="(",COUNTA(C257)=0),"", INDEX(Honor!$B$2:$B998,MATCH(C257,Honor!$A$2:$A998,0)))</f>
        <v/>
      </c>
      <c r="E257" s="25" t="str">
        <f t="array" ref="E257">IF(OR(LEFT(C257,1)="(",COUNTA(C257)=0),"",INDEX(Honor!$O$2:$O998,MATCH(C257,Honor!$A$2:$A998,0)))</f>
        <v/>
      </c>
      <c r="F257" s="25"/>
      <c r="G257" s="25"/>
      <c r="H257" s="25"/>
      <c r="I257" s="25"/>
      <c r="J257" s="25"/>
      <c r="K257" s="25"/>
      <c r="L257" s="25"/>
      <c r="M257" s="25"/>
      <c r="N257" s="25"/>
      <c r="O257" s="25"/>
      <c r="P257" s="25"/>
      <c r="Q257" s="25"/>
      <c r="R257" s="25"/>
      <c r="S257" s="25"/>
      <c r="T257" s="25"/>
      <c r="U257" s="25"/>
      <c r="V257" s="25"/>
      <c r="W257" s="25"/>
      <c r="X257" s="25"/>
    </row>
    <row r="258" spans="1:24" ht="13">
      <c r="A258" s="25"/>
      <c r="B258" s="25"/>
      <c r="C258" s="25"/>
      <c r="D258" s="25" t="str">
        <f t="array" ref="D258">IF(OR(LEFT(C258,1)="(",COUNTA(C258)=0),"", INDEX(Honor!$B$2:$B998,MATCH(C258,Honor!$A$2:$A998,0)))</f>
        <v/>
      </c>
      <c r="E258" s="25" t="str">
        <f t="array" ref="E258">IF(OR(LEFT(C258,1)="(",COUNTA(C258)=0),"",INDEX(Honor!$O$2:$O998,MATCH(C258,Honor!$A$2:$A998,0)))</f>
        <v/>
      </c>
      <c r="F258" s="25"/>
      <c r="G258" s="25"/>
      <c r="H258" s="25"/>
      <c r="I258" s="25"/>
      <c r="J258" s="25"/>
      <c r="K258" s="25"/>
      <c r="L258" s="25"/>
      <c r="M258" s="25"/>
      <c r="N258" s="25"/>
      <c r="O258" s="25"/>
      <c r="P258" s="25"/>
      <c r="Q258" s="25"/>
      <c r="R258" s="25"/>
      <c r="S258" s="25"/>
      <c r="T258" s="25"/>
      <c r="U258" s="25"/>
      <c r="V258" s="25"/>
      <c r="W258" s="25"/>
      <c r="X258" s="25"/>
    </row>
    <row r="259" spans="1:24" ht="13">
      <c r="A259" s="25"/>
      <c r="B259" s="25"/>
      <c r="C259" s="25"/>
      <c r="D259" s="25" t="str">
        <f t="array" ref="D259">IF(OR(LEFT(C259,1)="(",COUNTA(C259)=0),"", INDEX(Honor!$B$2:$B998,MATCH(C259,Honor!$A$2:$A998,0)))</f>
        <v/>
      </c>
      <c r="E259" s="25" t="str">
        <f t="array" ref="E259">IF(OR(LEFT(C259,1)="(",COUNTA(C259)=0),"",INDEX(Honor!$O$2:$O998,MATCH(C259,Honor!$A$2:$A998,0)))</f>
        <v/>
      </c>
      <c r="F259" s="25"/>
      <c r="G259" s="25"/>
      <c r="H259" s="25"/>
      <c r="I259" s="25"/>
      <c r="J259" s="25"/>
      <c r="K259" s="25"/>
      <c r="L259" s="25"/>
      <c r="M259" s="25"/>
      <c r="N259" s="25"/>
      <c r="O259" s="25"/>
      <c r="P259" s="25"/>
      <c r="Q259" s="25"/>
      <c r="R259" s="25"/>
      <c r="S259" s="25"/>
      <c r="T259" s="25"/>
      <c r="U259" s="25"/>
      <c r="V259" s="25"/>
      <c r="W259" s="25"/>
      <c r="X259" s="25"/>
    </row>
    <row r="260" spans="1:24" ht="13">
      <c r="A260" s="25"/>
      <c r="B260" s="25"/>
      <c r="C260" s="25"/>
      <c r="D260" s="25" t="str">
        <f t="array" ref="D260">IF(OR(LEFT(C260,1)="(",COUNTA(C260)=0),"", INDEX(Honor!$B$2:$B998,MATCH(C260,Honor!$A$2:$A998,0)))</f>
        <v/>
      </c>
      <c r="E260" s="25" t="str">
        <f t="array" ref="E260">IF(OR(LEFT(C260,1)="(",COUNTA(C260)=0),"",INDEX(Honor!$O$2:$O998,MATCH(C260,Honor!$A$2:$A998,0)))</f>
        <v/>
      </c>
      <c r="F260" s="25"/>
      <c r="G260" s="25"/>
      <c r="H260" s="25"/>
      <c r="I260" s="25"/>
      <c r="J260" s="25"/>
      <c r="K260" s="25"/>
      <c r="L260" s="25"/>
      <c r="M260" s="25"/>
      <c r="N260" s="25"/>
      <c r="O260" s="25"/>
      <c r="P260" s="25"/>
      <c r="Q260" s="25"/>
      <c r="R260" s="25"/>
      <c r="S260" s="25"/>
      <c r="T260" s="25"/>
      <c r="U260" s="25"/>
      <c r="V260" s="25"/>
      <c r="W260" s="25"/>
      <c r="X260" s="25"/>
    </row>
    <row r="261" spans="1:24" ht="13">
      <c r="A261" s="25"/>
      <c r="B261" s="25"/>
      <c r="C261" s="25"/>
      <c r="D261" s="25" t="str">
        <f t="array" ref="D261">IF(OR(LEFT(C261,1)="(",COUNTA(C261)=0),"", INDEX(Honor!$B$2:$B998,MATCH(C261,Honor!$A$2:$A998,0)))</f>
        <v/>
      </c>
      <c r="E261" s="25" t="str">
        <f t="array" ref="E261">IF(OR(LEFT(C261,1)="(",COUNTA(C261)=0),"",INDEX(Honor!$O$2:$O998,MATCH(C261,Honor!$A$2:$A998,0)))</f>
        <v/>
      </c>
      <c r="F261" s="25"/>
      <c r="G261" s="25"/>
      <c r="H261" s="25"/>
      <c r="I261" s="25"/>
      <c r="J261" s="25"/>
      <c r="K261" s="25"/>
      <c r="L261" s="25"/>
      <c r="M261" s="25"/>
      <c r="N261" s="25"/>
      <c r="O261" s="25"/>
      <c r="P261" s="25"/>
      <c r="Q261" s="25"/>
      <c r="R261" s="25"/>
      <c r="S261" s="25"/>
      <c r="T261" s="25"/>
      <c r="U261" s="25"/>
      <c r="V261" s="25"/>
      <c r="W261" s="25"/>
      <c r="X261" s="25"/>
    </row>
    <row r="262" spans="1:24" ht="13">
      <c r="A262" s="25"/>
      <c r="B262" s="25"/>
      <c r="C262" s="25"/>
      <c r="D262" s="25" t="str">
        <f t="array" ref="D262">IF(OR(LEFT(C262,1)="(",COUNTA(C262)=0),"", INDEX(Honor!$B$2:$B998,MATCH(C262,Honor!$A$2:$A998,0)))</f>
        <v/>
      </c>
      <c r="E262" s="25" t="str">
        <f t="array" ref="E262">IF(OR(LEFT(C262,1)="(",COUNTA(C262)=0),"",INDEX(Honor!$O$2:$O998,MATCH(C262,Honor!$A$2:$A998,0)))</f>
        <v/>
      </c>
      <c r="F262" s="25"/>
      <c r="G262" s="25"/>
      <c r="H262" s="25"/>
      <c r="I262" s="25"/>
      <c r="J262" s="25"/>
      <c r="K262" s="25"/>
      <c r="L262" s="25"/>
      <c r="M262" s="25"/>
      <c r="N262" s="25"/>
      <c r="O262" s="25"/>
      <c r="P262" s="25"/>
      <c r="Q262" s="25"/>
      <c r="R262" s="25"/>
      <c r="S262" s="25"/>
      <c r="T262" s="25"/>
      <c r="U262" s="25"/>
      <c r="V262" s="25"/>
      <c r="W262" s="25"/>
      <c r="X262" s="25"/>
    </row>
    <row r="263" spans="1:24" ht="13">
      <c r="A263" s="25"/>
      <c r="B263" s="25"/>
      <c r="C263" s="25"/>
      <c r="D263" s="25" t="str">
        <f t="array" ref="D263">IF(OR(LEFT(C263,1)="(",COUNTA(C263)=0),"", INDEX(Honor!$B$2:$B998,MATCH(C263,Honor!$A$2:$A998,0)))</f>
        <v/>
      </c>
      <c r="E263" s="25" t="str">
        <f t="array" ref="E263">IF(OR(LEFT(C263,1)="(",COUNTA(C263)=0),"",INDEX(Honor!$O$2:$O998,MATCH(C263,Honor!$A$2:$A998,0)))</f>
        <v/>
      </c>
      <c r="F263" s="25"/>
      <c r="G263" s="25"/>
      <c r="H263" s="25"/>
      <c r="I263" s="25"/>
      <c r="J263" s="25"/>
      <c r="K263" s="25"/>
      <c r="L263" s="25"/>
      <c r="M263" s="25"/>
      <c r="N263" s="25"/>
      <c r="O263" s="25"/>
      <c r="P263" s="25"/>
      <c r="Q263" s="25"/>
      <c r="R263" s="25"/>
      <c r="S263" s="25"/>
      <c r="T263" s="25"/>
      <c r="U263" s="25"/>
      <c r="V263" s="25"/>
      <c r="W263" s="25"/>
      <c r="X263" s="25"/>
    </row>
    <row r="264" spans="1:24" ht="13">
      <c r="A264" s="25"/>
      <c r="B264" s="25"/>
      <c r="C264" s="25"/>
      <c r="D264" s="25" t="str">
        <f t="array" ref="D264">IF(OR(LEFT(C264,1)="(",COUNTA(C264)=0),"", INDEX(Honor!$B$2:$B998,MATCH(C264,Honor!$A$2:$A998,0)))</f>
        <v/>
      </c>
      <c r="E264" s="25" t="str">
        <f t="array" ref="E264">IF(OR(LEFT(C264,1)="(",COUNTA(C264)=0),"",INDEX(Honor!$O$2:$O998,MATCH(C264,Honor!$A$2:$A998,0)))</f>
        <v/>
      </c>
      <c r="F264" s="25"/>
      <c r="G264" s="25"/>
      <c r="H264" s="25"/>
      <c r="I264" s="25"/>
      <c r="J264" s="25"/>
      <c r="K264" s="25"/>
      <c r="L264" s="25"/>
      <c r="M264" s="25"/>
      <c r="N264" s="25"/>
      <c r="O264" s="25"/>
      <c r="P264" s="25"/>
      <c r="Q264" s="25"/>
      <c r="R264" s="25"/>
      <c r="S264" s="25"/>
      <c r="T264" s="25"/>
      <c r="U264" s="25"/>
      <c r="V264" s="25"/>
      <c r="W264" s="25"/>
      <c r="X264" s="25"/>
    </row>
    <row r="265" spans="1:24" ht="13">
      <c r="A265" s="25"/>
      <c r="B265" s="25"/>
      <c r="C265" s="25"/>
      <c r="D265" s="25" t="str">
        <f t="array" ref="D265">IF(OR(LEFT(C265,1)="(",COUNTA(C265)=0),"", INDEX(Honor!$B$2:$B998,MATCH(C265,Honor!$A$2:$A998,0)))</f>
        <v/>
      </c>
      <c r="E265" s="25" t="str">
        <f t="array" ref="E265">IF(OR(LEFT(C265,1)="(",COUNTA(C265)=0),"",INDEX(Honor!$O$2:$O998,MATCH(C265,Honor!$A$2:$A998,0)))</f>
        <v/>
      </c>
      <c r="F265" s="25"/>
      <c r="G265" s="25"/>
      <c r="H265" s="25"/>
      <c r="I265" s="25"/>
      <c r="J265" s="25"/>
      <c r="K265" s="25"/>
      <c r="L265" s="25"/>
      <c r="M265" s="25"/>
      <c r="N265" s="25"/>
      <c r="O265" s="25"/>
      <c r="P265" s="25"/>
      <c r="Q265" s="25"/>
      <c r="R265" s="25"/>
      <c r="S265" s="25"/>
      <c r="T265" s="25"/>
      <c r="U265" s="25"/>
      <c r="V265" s="25"/>
      <c r="W265" s="25"/>
      <c r="X265" s="25"/>
    </row>
    <row r="266" spans="1:24" ht="13">
      <c r="A266" s="25"/>
      <c r="B266" s="25"/>
      <c r="C266" s="25"/>
      <c r="D266" s="25" t="str">
        <f t="array" ref="D266">IF(OR(LEFT(C266,1)="(",COUNTA(C266)=0),"", INDEX(Honor!$B$2:$B998,MATCH(C266,Honor!$A$2:$A998,0)))</f>
        <v/>
      </c>
      <c r="E266" s="25" t="str">
        <f t="array" ref="E266">IF(OR(LEFT(C266,1)="(",COUNTA(C266)=0),"",INDEX(Honor!$O$2:$O998,MATCH(C266,Honor!$A$2:$A998,0)))</f>
        <v/>
      </c>
      <c r="F266" s="25"/>
      <c r="G266" s="25"/>
      <c r="H266" s="25"/>
      <c r="I266" s="25"/>
      <c r="J266" s="25"/>
      <c r="K266" s="25"/>
      <c r="L266" s="25"/>
      <c r="M266" s="25"/>
      <c r="N266" s="25"/>
      <c r="O266" s="25"/>
      <c r="P266" s="25"/>
      <c r="Q266" s="25"/>
      <c r="R266" s="25"/>
      <c r="S266" s="25"/>
      <c r="T266" s="25"/>
      <c r="U266" s="25"/>
      <c r="V266" s="25"/>
      <c r="W266" s="25"/>
      <c r="X266" s="25"/>
    </row>
    <row r="267" spans="1:24" ht="13">
      <c r="A267" s="25"/>
      <c r="B267" s="25"/>
      <c r="C267" s="25"/>
      <c r="D267" s="25" t="str">
        <f t="array" ref="D267">IF(OR(LEFT(C267,1)="(",COUNTA(C267)=0),"", INDEX(Honor!$B$2:$B998,MATCH(C267,Honor!$A$2:$A998,0)))</f>
        <v/>
      </c>
      <c r="E267" s="25" t="str">
        <f t="array" ref="E267">IF(OR(LEFT(C267,1)="(",COUNTA(C267)=0),"",INDEX(Honor!$O$2:$O998,MATCH(C267,Honor!$A$2:$A998,0)))</f>
        <v/>
      </c>
      <c r="F267" s="25"/>
      <c r="G267" s="25"/>
      <c r="H267" s="25"/>
      <c r="I267" s="25"/>
      <c r="J267" s="25"/>
      <c r="K267" s="25"/>
      <c r="L267" s="25"/>
      <c r="M267" s="25"/>
      <c r="N267" s="25"/>
      <c r="O267" s="25"/>
      <c r="P267" s="25"/>
      <c r="Q267" s="25"/>
      <c r="R267" s="25"/>
      <c r="S267" s="25"/>
      <c r="T267" s="25"/>
      <c r="U267" s="25"/>
      <c r="V267" s="25"/>
      <c r="W267" s="25"/>
      <c r="X267" s="25"/>
    </row>
    <row r="268" spans="1:24" ht="13">
      <c r="A268" s="25"/>
      <c r="B268" s="25"/>
      <c r="C268" s="25"/>
      <c r="D268" s="25" t="str">
        <f t="array" ref="D268">IF(OR(LEFT(C268,1)="(",COUNTA(C268)=0),"", INDEX(Honor!$B$2:$B998,MATCH(C268,Honor!$A$2:$A998,0)))</f>
        <v/>
      </c>
      <c r="E268" s="25" t="str">
        <f t="array" ref="E268">IF(OR(LEFT(C268,1)="(",COUNTA(C268)=0),"",INDEX(Honor!$O$2:$O998,MATCH(C268,Honor!$A$2:$A998,0)))</f>
        <v/>
      </c>
      <c r="F268" s="25"/>
      <c r="G268" s="25"/>
      <c r="H268" s="25"/>
      <c r="I268" s="25"/>
      <c r="J268" s="25"/>
      <c r="K268" s="25"/>
      <c r="L268" s="25"/>
      <c r="M268" s="25"/>
      <c r="N268" s="25"/>
      <c r="O268" s="25"/>
      <c r="P268" s="25"/>
      <c r="Q268" s="25"/>
      <c r="R268" s="25"/>
      <c r="S268" s="25"/>
      <c r="T268" s="25"/>
      <c r="U268" s="25"/>
      <c r="V268" s="25"/>
      <c r="W268" s="25"/>
      <c r="X268" s="25"/>
    </row>
    <row r="269" spans="1:24" ht="13">
      <c r="A269" s="25"/>
      <c r="B269" s="25"/>
      <c r="C269" s="25"/>
      <c r="D269" s="25" t="str">
        <f t="array" ref="D269">IF(OR(LEFT(C269,1)="(",COUNTA(C269)=0),"", INDEX(Honor!$B$2:$B998,MATCH(C269,Honor!$A$2:$A998,0)))</f>
        <v/>
      </c>
      <c r="E269" s="25" t="str">
        <f t="array" ref="E269">IF(OR(LEFT(C269,1)="(",COUNTA(C269)=0),"",INDEX(Honor!$O$2:$O998,MATCH(C269,Honor!$A$2:$A998,0)))</f>
        <v/>
      </c>
      <c r="F269" s="25"/>
      <c r="G269" s="25"/>
      <c r="H269" s="25"/>
      <c r="I269" s="25"/>
      <c r="J269" s="25"/>
      <c r="K269" s="25"/>
      <c r="L269" s="25"/>
      <c r="M269" s="25"/>
      <c r="N269" s="25"/>
      <c r="O269" s="25"/>
      <c r="P269" s="25"/>
      <c r="Q269" s="25"/>
      <c r="R269" s="25"/>
      <c r="S269" s="25"/>
      <c r="T269" s="25"/>
      <c r="U269" s="25"/>
      <c r="V269" s="25"/>
      <c r="W269" s="25"/>
      <c r="X269" s="25"/>
    </row>
    <row r="270" spans="1:24" ht="13">
      <c r="A270" s="25"/>
      <c r="B270" s="25"/>
      <c r="C270" s="25"/>
      <c r="D270" s="25" t="str">
        <f t="array" ref="D270">IF(OR(LEFT(C270,1)="(",COUNTA(C270)=0),"", INDEX(Honor!$B$2:$B998,MATCH(C270,Honor!$A$2:$A998,0)))</f>
        <v/>
      </c>
      <c r="E270" s="25" t="str">
        <f t="array" ref="E270">IF(OR(LEFT(C270,1)="(",COUNTA(C270)=0),"",INDEX(Honor!$O$2:$O998,MATCH(C270,Honor!$A$2:$A998,0)))</f>
        <v/>
      </c>
      <c r="F270" s="25"/>
      <c r="G270" s="25"/>
      <c r="H270" s="25"/>
      <c r="I270" s="25"/>
      <c r="J270" s="25"/>
      <c r="K270" s="25"/>
      <c r="L270" s="25"/>
      <c r="M270" s="25"/>
      <c r="N270" s="25"/>
      <c r="O270" s="25"/>
      <c r="P270" s="25"/>
      <c r="Q270" s="25"/>
      <c r="R270" s="25"/>
      <c r="S270" s="25"/>
      <c r="T270" s="25"/>
      <c r="U270" s="25"/>
      <c r="V270" s="25"/>
      <c r="W270" s="25"/>
      <c r="X270" s="25"/>
    </row>
    <row r="271" spans="1:24" ht="13">
      <c r="A271" s="25"/>
      <c r="B271" s="25"/>
      <c r="C271" s="25"/>
      <c r="D271" s="25" t="str">
        <f t="array" ref="D271">IF(OR(LEFT(C271,1)="(",COUNTA(C271)=0),"", INDEX(Honor!$B$2:$B998,MATCH(C271,Honor!$A$2:$A998,0)))</f>
        <v/>
      </c>
      <c r="E271" s="25" t="str">
        <f t="array" ref="E271">IF(OR(LEFT(C271,1)="(",COUNTA(C271)=0),"",INDEX(Honor!$O$2:$O998,MATCH(C271,Honor!$A$2:$A998,0)))</f>
        <v/>
      </c>
      <c r="F271" s="25"/>
      <c r="G271" s="25"/>
      <c r="H271" s="25"/>
      <c r="I271" s="25"/>
      <c r="J271" s="25"/>
      <c r="K271" s="25"/>
      <c r="L271" s="25"/>
      <c r="M271" s="25"/>
      <c r="N271" s="25"/>
      <c r="O271" s="25"/>
      <c r="P271" s="25"/>
      <c r="Q271" s="25"/>
      <c r="R271" s="25"/>
      <c r="S271" s="25"/>
      <c r="T271" s="25"/>
      <c r="U271" s="25"/>
      <c r="V271" s="25"/>
      <c r="W271" s="25"/>
      <c r="X271" s="25"/>
    </row>
    <row r="272" spans="1:24" ht="13">
      <c r="A272" s="25"/>
      <c r="B272" s="25"/>
      <c r="C272" s="25"/>
      <c r="D272" s="25" t="str">
        <f t="array" ref="D272">IF(OR(LEFT(C272,1)="(",COUNTA(C272)=0),"", INDEX(Honor!$B$2:$B998,MATCH(C272,Honor!$A$2:$A998,0)))</f>
        <v/>
      </c>
      <c r="E272" s="25" t="str">
        <f t="array" ref="E272">IF(OR(LEFT(C272,1)="(",COUNTA(C272)=0),"",INDEX(Honor!$O$2:$O998,MATCH(C272,Honor!$A$2:$A998,0)))</f>
        <v/>
      </c>
      <c r="F272" s="25"/>
      <c r="G272" s="25"/>
      <c r="H272" s="25"/>
      <c r="I272" s="25"/>
      <c r="J272" s="25"/>
      <c r="K272" s="25"/>
      <c r="L272" s="25"/>
      <c r="M272" s="25"/>
      <c r="N272" s="25"/>
      <c r="O272" s="25"/>
      <c r="P272" s="25"/>
      <c r="Q272" s="25"/>
      <c r="R272" s="25"/>
      <c r="S272" s="25"/>
      <c r="T272" s="25"/>
      <c r="U272" s="25"/>
      <c r="V272" s="25"/>
      <c r="W272" s="25"/>
      <c r="X272" s="25"/>
    </row>
    <row r="273" spans="1:24" ht="13">
      <c r="A273" s="25"/>
      <c r="B273" s="25"/>
      <c r="C273" s="25"/>
      <c r="D273" s="25" t="str">
        <f t="array" ref="D273">IF(OR(LEFT(C273,1)="(",COUNTA(C273)=0),"", INDEX(Honor!$B$2:$B998,MATCH(C273,Honor!$A$2:$A998,0)))</f>
        <v/>
      </c>
      <c r="E273" s="25" t="str">
        <f t="array" ref="E273">IF(OR(LEFT(C273,1)="(",COUNTA(C273)=0),"",INDEX(Honor!$O$2:$O998,MATCH(C273,Honor!$A$2:$A998,0)))</f>
        <v/>
      </c>
      <c r="F273" s="25"/>
      <c r="G273" s="25"/>
      <c r="H273" s="25"/>
      <c r="I273" s="25"/>
      <c r="J273" s="25"/>
      <c r="K273" s="25"/>
      <c r="L273" s="25"/>
      <c r="M273" s="25"/>
      <c r="N273" s="25"/>
      <c r="O273" s="25"/>
      <c r="P273" s="25"/>
      <c r="Q273" s="25"/>
      <c r="R273" s="25"/>
      <c r="S273" s="25"/>
      <c r="T273" s="25"/>
      <c r="U273" s="25"/>
      <c r="V273" s="25"/>
      <c r="W273" s="25"/>
      <c r="X273" s="25"/>
    </row>
    <row r="274" spans="1:24" ht="13">
      <c r="A274" s="25"/>
      <c r="B274" s="25"/>
      <c r="C274" s="25"/>
      <c r="D274" s="25" t="str">
        <f t="array" ref="D274">IF(OR(LEFT(C274,1)="(",COUNTA(C274)=0),"", INDEX(Honor!$B$2:$B998,MATCH(C274,Honor!$A$2:$A998,0)))</f>
        <v/>
      </c>
      <c r="E274" s="25" t="str">
        <f t="array" ref="E274">IF(OR(LEFT(C274,1)="(",COUNTA(C274)=0),"",INDEX(Honor!$O$2:$O998,MATCH(C274,Honor!$A$2:$A998,0)))</f>
        <v/>
      </c>
      <c r="F274" s="25"/>
      <c r="G274" s="25"/>
      <c r="H274" s="25"/>
      <c r="I274" s="25"/>
      <c r="J274" s="25"/>
      <c r="K274" s="25"/>
      <c r="L274" s="25"/>
      <c r="M274" s="25"/>
      <c r="N274" s="25"/>
      <c r="O274" s="25"/>
      <c r="P274" s="25"/>
      <c r="Q274" s="25"/>
      <c r="R274" s="25"/>
      <c r="S274" s="25"/>
      <c r="T274" s="25"/>
      <c r="U274" s="25"/>
      <c r="V274" s="25"/>
      <c r="W274" s="25"/>
      <c r="X274" s="25"/>
    </row>
    <row r="275" spans="1:24" ht="13">
      <c r="A275" s="25"/>
      <c r="B275" s="25"/>
      <c r="C275" s="25"/>
      <c r="D275" s="25" t="str">
        <f t="array" ref="D275">IF(OR(LEFT(C275,1)="(",COUNTA(C275)=0),"", INDEX(Honor!$B$2:$B998,MATCH(C275,Honor!$A$2:$A998,0)))</f>
        <v/>
      </c>
      <c r="E275" s="25" t="str">
        <f t="array" ref="E275">IF(OR(LEFT(C275,1)="(",COUNTA(C275)=0),"",INDEX(Honor!$O$2:$O998,MATCH(C275,Honor!$A$2:$A998,0)))</f>
        <v/>
      </c>
      <c r="F275" s="25"/>
      <c r="G275" s="25"/>
      <c r="H275" s="25"/>
      <c r="I275" s="25"/>
      <c r="J275" s="25"/>
      <c r="K275" s="25"/>
      <c r="L275" s="25"/>
      <c r="M275" s="25"/>
      <c r="N275" s="25"/>
      <c r="O275" s="25"/>
      <c r="P275" s="25"/>
      <c r="Q275" s="25"/>
      <c r="R275" s="25"/>
      <c r="S275" s="25"/>
      <c r="T275" s="25"/>
      <c r="U275" s="25"/>
      <c r="V275" s="25"/>
      <c r="W275" s="25"/>
      <c r="X275" s="25"/>
    </row>
    <row r="276" spans="1:24" ht="13">
      <c r="A276" s="25"/>
      <c r="B276" s="25"/>
      <c r="C276" s="25"/>
      <c r="D276" s="25" t="str">
        <f t="array" ref="D276">IF(OR(LEFT(C276,1)="(",COUNTA(C276)=0),"", INDEX(Honor!$B$2:$B998,MATCH(C276,Honor!$A$2:$A998,0)))</f>
        <v/>
      </c>
      <c r="E276" s="25" t="str">
        <f t="array" ref="E276">IF(OR(LEFT(C276,1)="(",COUNTA(C276)=0),"",INDEX(Honor!$O$2:$O998,MATCH(C276,Honor!$A$2:$A998,0)))</f>
        <v/>
      </c>
      <c r="F276" s="25"/>
      <c r="G276" s="25"/>
      <c r="H276" s="25"/>
      <c r="I276" s="25"/>
      <c r="J276" s="25"/>
      <c r="K276" s="25"/>
      <c r="L276" s="25"/>
      <c r="M276" s="25"/>
      <c r="N276" s="25"/>
      <c r="O276" s="25"/>
      <c r="P276" s="25"/>
      <c r="Q276" s="25"/>
      <c r="R276" s="25"/>
      <c r="S276" s="25"/>
      <c r="T276" s="25"/>
      <c r="U276" s="25"/>
      <c r="V276" s="25"/>
      <c r="W276" s="25"/>
      <c r="X276" s="25"/>
    </row>
    <row r="277" spans="1:24" ht="13">
      <c r="A277" s="25"/>
      <c r="B277" s="25"/>
      <c r="C277" s="25"/>
      <c r="D277" s="25" t="str">
        <f t="array" ref="D277">IF(OR(LEFT(C277,1)="(",COUNTA(C277)=0),"", INDEX(Honor!$B$2:$B998,MATCH(C277,Honor!$A$2:$A998,0)))</f>
        <v/>
      </c>
      <c r="E277" s="25" t="str">
        <f t="array" ref="E277">IF(OR(LEFT(C277,1)="(",COUNTA(C277)=0),"",INDEX(Honor!$O$2:$O998,MATCH(C277,Honor!$A$2:$A998,0)))</f>
        <v/>
      </c>
      <c r="F277" s="25"/>
      <c r="G277" s="25"/>
      <c r="H277" s="25"/>
      <c r="I277" s="25"/>
      <c r="J277" s="25"/>
      <c r="K277" s="25"/>
      <c r="L277" s="25"/>
      <c r="M277" s="25"/>
      <c r="N277" s="25"/>
      <c r="O277" s="25"/>
      <c r="P277" s="25"/>
      <c r="Q277" s="25"/>
      <c r="R277" s="25"/>
      <c r="S277" s="25"/>
      <c r="T277" s="25"/>
      <c r="U277" s="25"/>
      <c r="V277" s="25"/>
      <c r="W277" s="25"/>
      <c r="X277" s="25"/>
    </row>
    <row r="278" spans="1:24" ht="13">
      <c r="A278" s="25"/>
      <c r="B278" s="25"/>
      <c r="C278" s="25"/>
      <c r="D278" s="25" t="str">
        <f t="array" ref="D278">IF(OR(LEFT(C278,1)="(",COUNTA(C278)=0),"", INDEX(Honor!$B$2:$B998,MATCH(C278,Honor!$A$2:$A998,0)))</f>
        <v/>
      </c>
      <c r="E278" s="25" t="str">
        <f t="array" ref="E278">IF(OR(LEFT(C278,1)="(",COUNTA(C278)=0),"",INDEX(Honor!$O$2:$O998,MATCH(C278,Honor!$A$2:$A998,0)))</f>
        <v/>
      </c>
      <c r="F278" s="25"/>
      <c r="G278" s="25"/>
      <c r="H278" s="25"/>
      <c r="I278" s="25"/>
      <c r="J278" s="25"/>
      <c r="K278" s="25"/>
      <c r="L278" s="25"/>
      <c r="M278" s="25"/>
      <c r="N278" s="25"/>
      <c r="O278" s="25"/>
      <c r="P278" s="25"/>
      <c r="Q278" s="25"/>
      <c r="R278" s="25"/>
      <c r="S278" s="25"/>
      <c r="T278" s="25"/>
      <c r="U278" s="25"/>
      <c r="V278" s="25"/>
      <c r="W278" s="25"/>
      <c r="X278" s="25"/>
    </row>
    <row r="279" spans="1:24" ht="13">
      <c r="A279" s="25"/>
      <c r="B279" s="25"/>
      <c r="C279" s="25"/>
      <c r="D279" s="25" t="str">
        <f t="array" ref="D279">IF(OR(LEFT(C279,1)="(",COUNTA(C279)=0),"", INDEX(Honor!$B$2:$B998,MATCH(C279,Honor!$A$2:$A998,0)))</f>
        <v/>
      </c>
      <c r="E279" s="25" t="str">
        <f t="array" ref="E279">IF(OR(LEFT(C279,1)="(",COUNTA(C279)=0),"",INDEX(Honor!$O$2:$O998,MATCH(C279,Honor!$A$2:$A998,0)))</f>
        <v/>
      </c>
      <c r="F279" s="25"/>
      <c r="G279" s="25"/>
      <c r="H279" s="25"/>
      <c r="I279" s="25"/>
      <c r="J279" s="25"/>
      <c r="K279" s="25"/>
      <c r="L279" s="25"/>
      <c r="M279" s="25"/>
      <c r="N279" s="25"/>
      <c r="O279" s="25"/>
      <c r="P279" s="25"/>
      <c r="Q279" s="25"/>
      <c r="R279" s="25"/>
      <c r="S279" s="25"/>
      <c r="T279" s="25"/>
      <c r="U279" s="25"/>
      <c r="V279" s="25"/>
      <c r="W279" s="25"/>
      <c r="X279" s="25"/>
    </row>
    <row r="280" spans="1:24" ht="13">
      <c r="A280" s="25"/>
      <c r="B280" s="25"/>
      <c r="C280" s="25"/>
      <c r="D280" s="25" t="str">
        <f t="array" ref="D280">IF(OR(LEFT(C280,1)="(",COUNTA(C280)=0),"", INDEX(Honor!$B$2:$B998,MATCH(C280,Honor!$A$2:$A998,0)))</f>
        <v/>
      </c>
      <c r="E280" s="25" t="str">
        <f t="array" ref="E280">IF(OR(LEFT(C280,1)="(",COUNTA(C280)=0),"",INDEX(Honor!$O$2:$O998,MATCH(C280,Honor!$A$2:$A998,0)))</f>
        <v/>
      </c>
      <c r="F280" s="25"/>
      <c r="G280" s="25"/>
      <c r="H280" s="25"/>
      <c r="I280" s="25"/>
      <c r="J280" s="25"/>
      <c r="K280" s="25"/>
      <c r="L280" s="25"/>
      <c r="M280" s="25"/>
      <c r="N280" s="25"/>
      <c r="O280" s="25"/>
      <c r="P280" s="25"/>
      <c r="Q280" s="25"/>
      <c r="R280" s="25"/>
      <c r="S280" s="25"/>
      <c r="T280" s="25"/>
      <c r="U280" s="25"/>
      <c r="V280" s="25"/>
      <c r="W280" s="25"/>
      <c r="X280" s="25"/>
    </row>
    <row r="281" spans="1:24" ht="13">
      <c r="A281" s="25"/>
      <c r="B281" s="25"/>
      <c r="C281" s="25"/>
      <c r="D281" s="25" t="str">
        <f t="array" ref="D281">IF(OR(LEFT(C281,1)="(",COUNTA(C281)=0),"", INDEX(Honor!$B$2:$B998,MATCH(C281,Honor!$A$2:$A998,0)))</f>
        <v/>
      </c>
      <c r="E281" s="25" t="str">
        <f t="array" ref="E281">IF(OR(LEFT(C281,1)="(",COUNTA(C281)=0),"",INDEX(Honor!$O$2:$O998,MATCH(C281,Honor!$A$2:$A998,0)))</f>
        <v/>
      </c>
      <c r="F281" s="25"/>
      <c r="G281" s="25"/>
      <c r="H281" s="25"/>
      <c r="I281" s="25"/>
      <c r="J281" s="25"/>
      <c r="K281" s="25"/>
      <c r="L281" s="25"/>
      <c r="M281" s="25"/>
      <c r="N281" s="25"/>
      <c r="O281" s="25"/>
      <c r="P281" s="25"/>
      <c r="Q281" s="25"/>
      <c r="R281" s="25"/>
      <c r="S281" s="25"/>
      <c r="T281" s="25"/>
      <c r="U281" s="25"/>
      <c r="V281" s="25"/>
      <c r="W281" s="25"/>
      <c r="X281" s="25"/>
    </row>
    <row r="282" spans="1:24" ht="13">
      <c r="A282" s="25"/>
      <c r="B282" s="25"/>
      <c r="C282" s="25"/>
      <c r="D282" s="25" t="str">
        <f t="array" ref="D282">IF(OR(LEFT(C282,1)="(",COUNTA(C282)=0),"", INDEX(Honor!$B$2:$B998,MATCH(C282,Honor!$A$2:$A998,0)))</f>
        <v/>
      </c>
      <c r="E282" s="25" t="str">
        <f t="array" ref="E282">IF(OR(LEFT(C282,1)="(",COUNTA(C282)=0),"",INDEX(Honor!$O$2:$O998,MATCH(C282,Honor!$A$2:$A998,0)))</f>
        <v/>
      </c>
      <c r="F282" s="25"/>
      <c r="G282" s="25"/>
      <c r="H282" s="25"/>
      <c r="I282" s="25"/>
      <c r="J282" s="25"/>
      <c r="K282" s="25"/>
      <c r="L282" s="25"/>
      <c r="M282" s="25"/>
      <c r="N282" s="25"/>
      <c r="O282" s="25"/>
      <c r="P282" s="25"/>
      <c r="Q282" s="25"/>
      <c r="R282" s="25"/>
      <c r="S282" s="25"/>
      <c r="T282" s="25"/>
      <c r="U282" s="25"/>
      <c r="V282" s="25"/>
      <c r="W282" s="25"/>
      <c r="X282" s="25"/>
    </row>
    <row r="283" spans="1:24" ht="13">
      <c r="A283" s="25"/>
      <c r="B283" s="25"/>
      <c r="C283" s="25"/>
      <c r="D283" s="25" t="str">
        <f t="array" ref="D283">IF(OR(LEFT(C283,1)="(",COUNTA(C283)=0),"", INDEX(Honor!$B$2:$B998,MATCH(C283,Honor!$A$2:$A998,0)))</f>
        <v/>
      </c>
      <c r="E283" s="25" t="str">
        <f t="array" ref="E283">IF(OR(LEFT(C283,1)="(",COUNTA(C283)=0),"",INDEX(Honor!$O$2:$O998,MATCH(C283,Honor!$A$2:$A998,0)))</f>
        <v/>
      </c>
      <c r="F283" s="25"/>
      <c r="G283" s="25"/>
      <c r="H283" s="25"/>
      <c r="I283" s="25"/>
      <c r="J283" s="25"/>
      <c r="K283" s="25"/>
      <c r="L283" s="25"/>
      <c r="M283" s="25"/>
      <c r="N283" s="25"/>
      <c r="O283" s="25"/>
      <c r="P283" s="25"/>
      <c r="Q283" s="25"/>
      <c r="R283" s="25"/>
      <c r="S283" s="25"/>
      <c r="T283" s="25"/>
      <c r="U283" s="25"/>
      <c r="V283" s="25"/>
      <c r="W283" s="25"/>
      <c r="X283" s="25"/>
    </row>
    <row r="284" spans="1:24" ht="13">
      <c r="A284" s="25"/>
      <c r="B284" s="25"/>
      <c r="C284" s="25"/>
      <c r="D284" s="25" t="str">
        <f t="array" ref="D284">IF(OR(LEFT(C284,1)="(",COUNTA(C284)=0),"", INDEX(Honor!$B$2:$B998,MATCH(C284,Honor!$A$2:$A998,0)))</f>
        <v/>
      </c>
      <c r="E284" s="25" t="str">
        <f t="array" ref="E284">IF(OR(LEFT(C284,1)="(",COUNTA(C284)=0),"",INDEX(Honor!$O$2:$O998,MATCH(C284,Honor!$A$2:$A998,0)))</f>
        <v/>
      </c>
      <c r="F284" s="25"/>
      <c r="G284" s="25"/>
      <c r="H284" s="25"/>
      <c r="I284" s="25"/>
      <c r="J284" s="25"/>
      <c r="K284" s="25"/>
      <c r="L284" s="25"/>
      <c r="M284" s="25"/>
      <c r="N284" s="25"/>
      <c r="O284" s="25"/>
      <c r="P284" s="25"/>
      <c r="Q284" s="25"/>
      <c r="R284" s="25"/>
      <c r="S284" s="25"/>
      <c r="T284" s="25"/>
      <c r="U284" s="25"/>
      <c r="V284" s="25"/>
      <c r="W284" s="25"/>
      <c r="X284" s="25"/>
    </row>
    <row r="285" spans="1:24" ht="13">
      <c r="A285" s="25"/>
      <c r="B285" s="25"/>
      <c r="C285" s="25"/>
      <c r="D285" s="25" t="str">
        <f t="array" ref="D285">IF(OR(LEFT(C285,1)="(",COUNTA(C285)=0),"", INDEX(Honor!$B$2:$B998,MATCH(C285,Honor!$A$2:$A998,0)))</f>
        <v/>
      </c>
      <c r="E285" s="25" t="str">
        <f t="array" ref="E285">IF(OR(LEFT(C285,1)="(",COUNTA(C285)=0),"",INDEX(Honor!$O$2:$O998,MATCH(C285,Honor!$A$2:$A998,0)))</f>
        <v/>
      </c>
      <c r="F285" s="25"/>
      <c r="G285" s="25"/>
      <c r="H285" s="25"/>
      <c r="I285" s="25"/>
      <c r="J285" s="25"/>
      <c r="K285" s="25"/>
      <c r="L285" s="25"/>
      <c r="M285" s="25"/>
      <c r="N285" s="25"/>
      <c r="O285" s="25"/>
      <c r="P285" s="25"/>
      <c r="Q285" s="25"/>
      <c r="R285" s="25"/>
      <c r="S285" s="25"/>
      <c r="T285" s="25"/>
      <c r="U285" s="25"/>
      <c r="V285" s="25"/>
      <c r="W285" s="25"/>
      <c r="X285" s="25"/>
    </row>
    <row r="286" spans="1:24" ht="13">
      <c r="A286" s="25"/>
      <c r="B286" s="25"/>
      <c r="C286" s="25"/>
      <c r="D286" s="25" t="str">
        <f t="array" ref="D286">IF(OR(LEFT(C286,1)="(",COUNTA(C286)=0),"", INDEX(Honor!$B$2:$B998,MATCH(C286,Honor!$A$2:$A998,0)))</f>
        <v/>
      </c>
      <c r="E286" s="25" t="str">
        <f t="array" ref="E286">IF(OR(LEFT(C286,1)="(",COUNTA(C286)=0),"",INDEX(Honor!$O$2:$O998,MATCH(C286,Honor!$A$2:$A998,0)))</f>
        <v/>
      </c>
      <c r="F286" s="25"/>
      <c r="G286" s="25"/>
      <c r="H286" s="25"/>
      <c r="I286" s="25"/>
      <c r="J286" s="25"/>
      <c r="K286" s="25"/>
      <c r="L286" s="25"/>
      <c r="M286" s="25"/>
      <c r="N286" s="25"/>
      <c r="O286" s="25"/>
      <c r="P286" s="25"/>
      <c r="Q286" s="25"/>
      <c r="R286" s="25"/>
      <c r="S286" s="25"/>
      <c r="T286" s="25"/>
      <c r="U286" s="25"/>
      <c r="V286" s="25"/>
      <c r="W286" s="25"/>
      <c r="X286" s="25"/>
    </row>
    <row r="287" spans="1:24" ht="13">
      <c r="A287" s="25"/>
      <c r="B287" s="25"/>
      <c r="C287" s="25"/>
      <c r="D287" s="25" t="str">
        <f t="array" ref="D287">IF(OR(LEFT(C287,1)="(",COUNTA(C287)=0),"", INDEX(Honor!$B$2:$B998,MATCH(C287,Honor!$A$2:$A998,0)))</f>
        <v/>
      </c>
      <c r="E287" s="25" t="str">
        <f t="array" ref="E287">IF(OR(LEFT(C287,1)="(",COUNTA(C287)=0),"",INDEX(Honor!$O$2:$O998,MATCH(C287,Honor!$A$2:$A998,0)))</f>
        <v/>
      </c>
      <c r="F287" s="25"/>
      <c r="G287" s="25"/>
      <c r="H287" s="25"/>
      <c r="I287" s="25"/>
      <c r="J287" s="25"/>
      <c r="K287" s="25"/>
      <c r="L287" s="25"/>
      <c r="M287" s="25"/>
      <c r="N287" s="25"/>
      <c r="O287" s="25"/>
      <c r="P287" s="25"/>
      <c r="Q287" s="25"/>
      <c r="R287" s="25"/>
      <c r="S287" s="25"/>
      <c r="T287" s="25"/>
      <c r="U287" s="25"/>
      <c r="V287" s="25"/>
      <c r="W287" s="25"/>
      <c r="X287" s="25"/>
    </row>
    <row r="288" spans="1:24" ht="13">
      <c r="A288" s="25"/>
      <c r="B288" s="25"/>
      <c r="C288" s="25"/>
      <c r="D288" s="25" t="str">
        <f t="array" ref="D288">IF(OR(LEFT(C288,1)="(",COUNTA(C288)=0),"", INDEX(Honor!$B$2:$B998,MATCH(C288,Honor!$A$2:$A998,0)))</f>
        <v/>
      </c>
      <c r="E288" s="25" t="str">
        <f t="array" ref="E288">IF(OR(LEFT(C288,1)="(",COUNTA(C288)=0),"",INDEX(Honor!$O$2:$O998,MATCH(C288,Honor!$A$2:$A998,0)))</f>
        <v/>
      </c>
      <c r="F288" s="25"/>
      <c r="G288" s="25"/>
      <c r="H288" s="25"/>
      <c r="I288" s="25"/>
      <c r="J288" s="25"/>
      <c r="K288" s="25"/>
      <c r="L288" s="25"/>
      <c r="M288" s="25"/>
      <c r="N288" s="25"/>
      <c r="O288" s="25"/>
      <c r="P288" s="25"/>
      <c r="Q288" s="25"/>
      <c r="R288" s="25"/>
      <c r="S288" s="25"/>
      <c r="T288" s="25"/>
      <c r="U288" s="25"/>
      <c r="V288" s="25"/>
      <c r="W288" s="25"/>
      <c r="X288" s="25"/>
    </row>
    <row r="289" spans="1:24" ht="13">
      <c r="A289" s="25"/>
      <c r="B289" s="25"/>
      <c r="C289" s="25"/>
      <c r="D289" s="25" t="str">
        <f t="array" ref="D289">IF(OR(LEFT(C289,1)="(",COUNTA(C289)=0),"", INDEX(Honor!$B$2:$B998,MATCH(C289,Honor!$A$2:$A998,0)))</f>
        <v/>
      </c>
      <c r="E289" s="25" t="str">
        <f t="array" ref="E289">IF(OR(LEFT(C289,1)="(",COUNTA(C289)=0),"",INDEX(Honor!$O$2:$O998,MATCH(C289,Honor!$A$2:$A998,0)))</f>
        <v/>
      </c>
      <c r="F289" s="25"/>
      <c r="G289" s="25"/>
      <c r="H289" s="25"/>
      <c r="I289" s="25"/>
      <c r="J289" s="25"/>
      <c r="K289" s="25"/>
      <c r="L289" s="25"/>
      <c r="M289" s="25"/>
      <c r="N289" s="25"/>
      <c r="O289" s="25"/>
      <c r="P289" s="25"/>
      <c r="Q289" s="25"/>
      <c r="R289" s="25"/>
      <c r="S289" s="25"/>
      <c r="T289" s="25"/>
      <c r="U289" s="25"/>
      <c r="V289" s="25"/>
      <c r="W289" s="25"/>
      <c r="X289" s="25"/>
    </row>
    <row r="290" spans="1:24" ht="13">
      <c r="A290" s="25"/>
      <c r="B290" s="25"/>
      <c r="C290" s="25"/>
      <c r="D290" s="25" t="str">
        <f t="array" ref="D290">IF(OR(LEFT(C290,1)="(",COUNTA(C290)=0),"", INDEX(Honor!$B$2:$B998,MATCH(C290,Honor!$A$2:$A998,0)))</f>
        <v/>
      </c>
      <c r="E290" s="25" t="str">
        <f t="array" ref="E290">IF(OR(LEFT(C290,1)="(",COUNTA(C290)=0),"",INDEX(Honor!$O$2:$O998,MATCH(C290,Honor!$A$2:$A998,0)))</f>
        <v/>
      </c>
      <c r="F290" s="25"/>
      <c r="G290" s="25"/>
      <c r="H290" s="25"/>
      <c r="I290" s="25"/>
      <c r="J290" s="25"/>
      <c r="K290" s="25"/>
      <c r="L290" s="25"/>
      <c r="M290" s="25"/>
      <c r="N290" s="25"/>
      <c r="O290" s="25"/>
      <c r="P290" s="25"/>
      <c r="Q290" s="25"/>
      <c r="R290" s="25"/>
      <c r="S290" s="25"/>
      <c r="T290" s="25"/>
      <c r="U290" s="25"/>
      <c r="V290" s="25"/>
      <c r="W290" s="25"/>
      <c r="X290" s="25"/>
    </row>
    <row r="291" spans="1:24" ht="13">
      <c r="A291" s="25"/>
      <c r="B291" s="25"/>
      <c r="C291" s="25"/>
      <c r="D291" s="25" t="str">
        <f t="array" ref="D291">IF(OR(LEFT(C291,1)="(",COUNTA(C291)=0),"", INDEX(Honor!$B$2:$B998,MATCH(C291,Honor!$A$2:$A998,0)))</f>
        <v/>
      </c>
      <c r="E291" s="25" t="str">
        <f t="array" ref="E291">IF(OR(LEFT(C291,1)="(",COUNTA(C291)=0),"",INDEX(Honor!$O$2:$O998,MATCH(C291,Honor!$A$2:$A998,0)))</f>
        <v/>
      </c>
      <c r="F291" s="25"/>
      <c r="G291" s="25"/>
      <c r="H291" s="25"/>
      <c r="I291" s="25"/>
      <c r="J291" s="25"/>
      <c r="K291" s="25"/>
      <c r="L291" s="25"/>
      <c r="M291" s="25"/>
      <c r="N291" s="25"/>
      <c r="O291" s="25"/>
      <c r="P291" s="25"/>
      <c r="Q291" s="25"/>
      <c r="R291" s="25"/>
      <c r="S291" s="25"/>
      <c r="T291" s="25"/>
      <c r="U291" s="25"/>
      <c r="V291" s="25"/>
      <c r="W291" s="25"/>
      <c r="X291" s="25"/>
    </row>
    <row r="292" spans="1:24" ht="13">
      <c r="A292" s="25"/>
      <c r="B292" s="25"/>
      <c r="C292" s="25"/>
      <c r="D292" s="25" t="str">
        <f t="array" ref="D292">IF(OR(LEFT(C292,1)="(",COUNTA(C292)=0),"", INDEX(Honor!$B$2:$B998,MATCH(C292,Honor!$A$2:$A998,0)))</f>
        <v/>
      </c>
      <c r="E292" s="25" t="str">
        <f t="array" ref="E292">IF(OR(LEFT(C292,1)="(",COUNTA(C292)=0),"",INDEX(Honor!$O$2:$O998,MATCH(C292,Honor!$A$2:$A998,0)))</f>
        <v/>
      </c>
      <c r="F292" s="25"/>
      <c r="G292" s="25"/>
      <c r="H292" s="25"/>
      <c r="I292" s="25"/>
      <c r="J292" s="25"/>
      <c r="K292" s="25"/>
      <c r="L292" s="25"/>
      <c r="M292" s="25"/>
      <c r="N292" s="25"/>
      <c r="O292" s="25"/>
      <c r="P292" s="25"/>
      <c r="Q292" s="25"/>
      <c r="R292" s="25"/>
      <c r="S292" s="25"/>
      <c r="T292" s="25"/>
      <c r="U292" s="25"/>
      <c r="V292" s="25"/>
      <c r="W292" s="25"/>
      <c r="X292" s="25"/>
    </row>
    <row r="293" spans="1:24" ht="13">
      <c r="A293" s="25"/>
      <c r="B293" s="25"/>
      <c r="C293" s="25"/>
      <c r="D293" s="25" t="str">
        <f t="array" ref="D293">IF(OR(LEFT(C293,1)="(",COUNTA(C293)=0),"", INDEX(Honor!$B$2:$B998,MATCH(C293,Honor!$A$2:$A998,0)))</f>
        <v/>
      </c>
      <c r="E293" s="25" t="str">
        <f t="array" ref="E293">IF(OR(LEFT(C293,1)="(",COUNTA(C293)=0),"",INDEX(Honor!$O$2:$O998,MATCH(C293,Honor!$A$2:$A998,0)))</f>
        <v/>
      </c>
      <c r="F293" s="25"/>
      <c r="G293" s="25"/>
      <c r="H293" s="25"/>
      <c r="I293" s="25"/>
      <c r="J293" s="25"/>
      <c r="K293" s="25"/>
      <c r="L293" s="25"/>
      <c r="M293" s="25"/>
      <c r="N293" s="25"/>
      <c r="O293" s="25"/>
      <c r="P293" s="25"/>
      <c r="Q293" s="25"/>
      <c r="R293" s="25"/>
      <c r="S293" s="25"/>
      <c r="T293" s="25"/>
      <c r="U293" s="25"/>
      <c r="V293" s="25"/>
      <c r="W293" s="25"/>
      <c r="X293" s="25"/>
    </row>
    <row r="294" spans="1:24" ht="13">
      <c r="A294" s="25"/>
      <c r="B294" s="25"/>
      <c r="C294" s="25"/>
      <c r="D294" s="25" t="str">
        <f t="array" ref="D294">IF(OR(LEFT(C294,1)="(",COUNTA(C294)=0),"", INDEX(Honor!$B$2:$B998,MATCH(C294,Honor!$A$2:$A998,0)))</f>
        <v/>
      </c>
      <c r="E294" s="25" t="str">
        <f t="array" ref="E294">IF(OR(LEFT(C294,1)="(",COUNTA(C294)=0),"",INDEX(Honor!$O$2:$O998,MATCH(C294,Honor!$A$2:$A998,0)))</f>
        <v/>
      </c>
      <c r="F294" s="25"/>
      <c r="G294" s="25"/>
      <c r="H294" s="25"/>
      <c r="I294" s="25"/>
      <c r="J294" s="25"/>
      <c r="K294" s="25"/>
      <c r="L294" s="25"/>
      <c r="M294" s="25"/>
      <c r="N294" s="25"/>
      <c r="O294" s="25"/>
      <c r="P294" s="25"/>
      <c r="Q294" s="25"/>
      <c r="R294" s="25"/>
      <c r="S294" s="25"/>
      <c r="T294" s="25"/>
      <c r="U294" s="25"/>
      <c r="V294" s="25"/>
      <c r="W294" s="25"/>
      <c r="X294" s="25"/>
    </row>
    <row r="295" spans="1:24" ht="13">
      <c r="A295" s="25"/>
      <c r="B295" s="25"/>
      <c r="C295" s="25"/>
      <c r="D295" s="25" t="str">
        <f t="array" ref="D295">IF(OR(LEFT(C295,1)="(",COUNTA(C295)=0),"", INDEX(Honor!$B$2:$B998,MATCH(C295,Honor!$A$2:$A998,0)))</f>
        <v/>
      </c>
      <c r="E295" s="25" t="str">
        <f t="array" ref="E295">IF(OR(LEFT(C295,1)="(",COUNTA(C295)=0),"",INDEX(Honor!$O$2:$O998,MATCH(C295,Honor!$A$2:$A998,0)))</f>
        <v/>
      </c>
      <c r="F295" s="25"/>
      <c r="G295" s="25"/>
      <c r="H295" s="25"/>
      <c r="I295" s="25"/>
      <c r="J295" s="25"/>
      <c r="K295" s="25"/>
      <c r="L295" s="25"/>
      <c r="M295" s="25"/>
      <c r="N295" s="25"/>
      <c r="O295" s="25"/>
      <c r="P295" s="25"/>
      <c r="Q295" s="25"/>
      <c r="R295" s="25"/>
      <c r="S295" s="25"/>
      <c r="T295" s="25"/>
      <c r="U295" s="25"/>
      <c r="V295" s="25"/>
      <c r="W295" s="25"/>
      <c r="X295" s="25"/>
    </row>
    <row r="296" spans="1:24" ht="13">
      <c r="A296" s="25"/>
      <c r="B296" s="25"/>
      <c r="C296" s="25"/>
      <c r="D296" s="25" t="str">
        <f t="array" ref="D296">IF(OR(LEFT(C296,1)="(",COUNTA(C296)=0),"", INDEX(Honor!$B$2:$B998,MATCH(C296,Honor!$A$2:$A998,0)))</f>
        <v/>
      </c>
      <c r="E296" s="25" t="str">
        <f t="array" ref="E296">IF(OR(LEFT(C296,1)="(",COUNTA(C296)=0),"",INDEX(Honor!$O$2:$O998,MATCH(C296,Honor!$A$2:$A998,0)))</f>
        <v/>
      </c>
      <c r="F296" s="25"/>
      <c r="G296" s="25"/>
      <c r="H296" s="25"/>
      <c r="I296" s="25"/>
      <c r="J296" s="25"/>
      <c r="K296" s="25"/>
      <c r="L296" s="25"/>
      <c r="M296" s="25"/>
      <c r="N296" s="25"/>
      <c r="O296" s="25"/>
      <c r="P296" s="25"/>
      <c r="Q296" s="25"/>
      <c r="R296" s="25"/>
      <c r="S296" s="25"/>
      <c r="T296" s="25"/>
      <c r="U296" s="25"/>
      <c r="V296" s="25"/>
      <c r="W296" s="25"/>
      <c r="X296" s="25"/>
    </row>
    <row r="297" spans="1:24" ht="13">
      <c r="A297" s="25"/>
      <c r="B297" s="25"/>
      <c r="C297" s="25"/>
      <c r="D297" s="25" t="str">
        <f t="array" ref="D297">IF(OR(LEFT(C297,1)="(",COUNTA(C297)=0),"", INDEX(Honor!$B$2:$B998,MATCH(C297,Honor!$A$2:$A998,0)))</f>
        <v/>
      </c>
      <c r="E297" s="25" t="str">
        <f t="array" ref="E297">IF(OR(LEFT(C297,1)="(",COUNTA(C297)=0),"",INDEX(Honor!$O$2:$O998,MATCH(C297,Honor!$A$2:$A998,0)))</f>
        <v/>
      </c>
      <c r="F297" s="25"/>
      <c r="G297" s="25"/>
      <c r="H297" s="25"/>
      <c r="I297" s="25"/>
      <c r="J297" s="25"/>
      <c r="K297" s="25"/>
      <c r="L297" s="25"/>
      <c r="M297" s="25"/>
      <c r="N297" s="25"/>
      <c r="O297" s="25"/>
      <c r="P297" s="25"/>
      <c r="Q297" s="25"/>
      <c r="R297" s="25"/>
      <c r="S297" s="25"/>
      <c r="T297" s="25"/>
      <c r="U297" s="25"/>
      <c r="V297" s="25"/>
      <c r="W297" s="25"/>
      <c r="X297" s="25"/>
    </row>
    <row r="298" spans="1:24" ht="13">
      <c r="A298" s="25"/>
      <c r="B298" s="25"/>
      <c r="C298" s="25"/>
      <c r="D298" s="25" t="str">
        <f t="array" ref="D298">IF(OR(LEFT(C298,1)="(",COUNTA(C298)=0),"", INDEX(Honor!$B$2:$B998,MATCH(C298,Honor!$A$2:$A998,0)))</f>
        <v/>
      </c>
      <c r="E298" s="25" t="str">
        <f t="array" ref="E298">IF(OR(LEFT(C298,1)="(",COUNTA(C298)=0),"",INDEX(Honor!$O$2:$O998,MATCH(C298,Honor!$A$2:$A998,0)))</f>
        <v/>
      </c>
      <c r="F298" s="25"/>
      <c r="G298" s="25"/>
      <c r="H298" s="25"/>
      <c r="I298" s="25"/>
      <c r="J298" s="25"/>
      <c r="K298" s="25"/>
      <c r="L298" s="25"/>
      <c r="M298" s="25"/>
      <c r="N298" s="25"/>
      <c r="O298" s="25"/>
      <c r="P298" s="25"/>
      <c r="Q298" s="25"/>
      <c r="R298" s="25"/>
      <c r="S298" s="25"/>
      <c r="T298" s="25"/>
      <c r="U298" s="25"/>
      <c r="V298" s="25"/>
      <c r="W298" s="25"/>
      <c r="X298" s="25"/>
    </row>
    <row r="299" spans="1:24" ht="13">
      <c r="A299" s="25"/>
      <c r="B299" s="25"/>
      <c r="C299" s="25"/>
      <c r="D299" s="25" t="str">
        <f t="array" ref="D299">IF(OR(LEFT(C299,1)="(",COUNTA(C299)=0),"", INDEX(Honor!$B$2:$B998,MATCH(C299,Honor!$A$2:$A998,0)))</f>
        <v/>
      </c>
      <c r="E299" s="25" t="str">
        <f t="array" ref="E299">IF(OR(LEFT(C299,1)="(",COUNTA(C299)=0),"",INDEX(Honor!$O$2:$O998,MATCH(C299,Honor!$A$2:$A998,0)))</f>
        <v/>
      </c>
      <c r="F299" s="25"/>
      <c r="G299" s="25"/>
      <c r="H299" s="25"/>
      <c r="I299" s="25"/>
      <c r="J299" s="25"/>
      <c r="K299" s="25"/>
      <c r="L299" s="25"/>
      <c r="M299" s="25"/>
      <c r="N299" s="25"/>
      <c r="O299" s="25"/>
      <c r="P299" s="25"/>
      <c r="Q299" s="25"/>
      <c r="R299" s="25"/>
      <c r="S299" s="25"/>
      <c r="T299" s="25"/>
      <c r="U299" s="25"/>
      <c r="V299" s="25"/>
      <c r="W299" s="25"/>
      <c r="X299" s="25"/>
    </row>
    <row r="300" spans="1:24" ht="13">
      <c r="A300" s="25"/>
      <c r="B300" s="25"/>
      <c r="C300" s="25"/>
      <c r="D300" s="25" t="str">
        <f t="array" ref="D300">IF(OR(LEFT(C300,1)="(",COUNTA(C300)=0),"", INDEX(Honor!$B$2:$B998,MATCH(C300,Honor!$A$2:$A998,0)))</f>
        <v/>
      </c>
      <c r="E300" s="25" t="str">
        <f t="array" ref="E300">IF(OR(LEFT(C300,1)="(",COUNTA(C300)=0),"",INDEX(Honor!$O$2:$O998,MATCH(C300,Honor!$A$2:$A998,0)))</f>
        <v/>
      </c>
      <c r="F300" s="25"/>
      <c r="G300" s="25"/>
      <c r="H300" s="25"/>
      <c r="I300" s="25"/>
      <c r="J300" s="25"/>
      <c r="K300" s="25"/>
      <c r="L300" s="25"/>
      <c r="M300" s="25"/>
      <c r="N300" s="25"/>
      <c r="O300" s="25"/>
      <c r="P300" s="25"/>
      <c r="Q300" s="25"/>
      <c r="R300" s="25"/>
      <c r="S300" s="25"/>
      <c r="T300" s="25"/>
      <c r="U300" s="25"/>
      <c r="V300" s="25"/>
      <c r="W300" s="25"/>
      <c r="X300" s="25"/>
    </row>
    <row r="301" spans="1:24" ht="13">
      <c r="A301" s="25"/>
      <c r="B301" s="25"/>
      <c r="C301" s="25"/>
      <c r="D301" s="25" t="str">
        <f t="array" ref="D301">IF(OR(LEFT(C301,1)="(",COUNTA(C301)=0),"", INDEX(Honor!$B$2:$B998,MATCH(C301,Honor!$A$2:$A998,0)))</f>
        <v/>
      </c>
      <c r="E301" s="25" t="str">
        <f t="array" ref="E301">IF(OR(LEFT(C301,1)="(",COUNTA(C301)=0),"",INDEX(Honor!$O$2:$O998,MATCH(C301,Honor!$A$2:$A998,0)))</f>
        <v/>
      </c>
      <c r="F301" s="25"/>
      <c r="G301" s="25"/>
      <c r="H301" s="25"/>
      <c r="I301" s="25"/>
      <c r="J301" s="25"/>
      <c r="K301" s="25"/>
      <c r="L301" s="25"/>
      <c r="M301" s="25"/>
      <c r="N301" s="25"/>
      <c r="O301" s="25"/>
      <c r="P301" s="25"/>
      <c r="Q301" s="25"/>
      <c r="R301" s="25"/>
      <c r="S301" s="25"/>
      <c r="T301" s="25"/>
      <c r="U301" s="25"/>
      <c r="V301" s="25"/>
      <c r="W301" s="25"/>
      <c r="X301" s="25"/>
    </row>
    <row r="302" spans="1:24" ht="13">
      <c r="A302" s="25"/>
      <c r="B302" s="25"/>
      <c r="C302" s="25"/>
      <c r="D302" s="25" t="str">
        <f t="array" ref="D302">IF(OR(LEFT(C302,1)="(",COUNTA(C302)=0),"", INDEX(Honor!$B$2:$B998,MATCH(C302,Honor!$A$2:$A998,0)))</f>
        <v/>
      </c>
      <c r="E302" s="25" t="str">
        <f t="array" ref="E302">IF(OR(LEFT(C302,1)="(",COUNTA(C302)=0),"",INDEX(Honor!$O$2:$O998,MATCH(C302,Honor!$A$2:$A998,0)))</f>
        <v/>
      </c>
      <c r="F302" s="25"/>
      <c r="G302" s="25"/>
      <c r="H302" s="25"/>
      <c r="I302" s="25"/>
      <c r="J302" s="25"/>
      <c r="K302" s="25"/>
      <c r="L302" s="25"/>
      <c r="M302" s="25"/>
      <c r="N302" s="25"/>
      <c r="O302" s="25"/>
      <c r="P302" s="25"/>
      <c r="Q302" s="25"/>
      <c r="R302" s="25"/>
      <c r="S302" s="25"/>
      <c r="T302" s="25"/>
      <c r="U302" s="25"/>
      <c r="V302" s="25"/>
      <c r="W302" s="25"/>
      <c r="X302" s="25"/>
    </row>
    <row r="303" spans="1:24" ht="13">
      <c r="A303" s="25"/>
      <c r="B303" s="25"/>
      <c r="C303" s="25"/>
      <c r="D303" s="25" t="str">
        <f t="array" ref="D303">IF(OR(LEFT(C303,1)="(",COUNTA(C303)=0),"", INDEX(Honor!$B$2:$B998,MATCH(C303,Honor!$A$2:$A998,0)))</f>
        <v/>
      </c>
      <c r="E303" s="25" t="str">
        <f t="array" ref="E303">IF(OR(LEFT(C303,1)="(",COUNTA(C303)=0),"",INDEX(Honor!$O$2:$O998,MATCH(C303,Honor!$A$2:$A998,0)))</f>
        <v/>
      </c>
      <c r="F303" s="25"/>
      <c r="G303" s="25"/>
      <c r="H303" s="25"/>
      <c r="I303" s="25"/>
      <c r="J303" s="25"/>
      <c r="K303" s="25"/>
      <c r="L303" s="25"/>
      <c r="M303" s="25"/>
      <c r="N303" s="25"/>
      <c r="O303" s="25"/>
      <c r="P303" s="25"/>
      <c r="Q303" s="25"/>
      <c r="R303" s="25"/>
      <c r="S303" s="25"/>
      <c r="T303" s="25"/>
      <c r="U303" s="25"/>
      <c r="V303" s="25"/>
      <c r="W303" s="25"/>
      <c r="X303" s="25"/>
    </row>
    <row r="304" spans="1:24" ht="13">
      <c r="A304" s="25"/>
      <c r="B304" s="25"/>
      <c r="C304" s="25"/>
      <c r="D304" s="25" t="str">
        <f t="array" ref="D304">IF(OR(LEFT(C304,1)="(",COUNTA(C304)=0),"", INDEX(Honor!$B$2:$B998,MATCH(C304,Honor!$A$2:$A998,0)))</f>
        <v/>
      </c>
      <c r="E304" s="25" t="str">
        <f t="array" ref="E304">IF(OR(LEFT(C304,1)="(",COUNTA(C304)=0),"",INDEX(Honor!$O$2:$O998,MATCH(C304,Honor!$A$2:$A998,0)))</f>
        <v/>
      </c>
      <c r="F304" s="25"/>
      <c r="G304" s="25"/>
      <c r="H304" s="25"/>
      <c r="I304" s="25"/>
      <c r="J304" s="25"/>
      <c r="K304" s="25"/>
      <c r="L304" s="25"/>
      <c r="M304" s="25"/>
      <c r="N304" s="25"/>
      <c r="O304" s="25"/>
      <c r="P304" s="25"/>
      <c r="Q304" s="25"/>
      <c r="R304" s="25"/>
      <c r="S304" s="25"/>
      <c r="T304" s="25"/>
      <c r="U304" s="25"/>
      <c r="V304" s="25"/>
      <c r="W304" s="25"/>
      <c r="X304" s="25"/>
    </row>
    <row r="305" spans="1:24" ht="13">
      <c r="A305" s="25"/>
      <c r="B305" s="25"/>
      <c r="C305" s="25"/>
      <c r="D305" s="25" t="str">
        <f t="array" ref="D305">IF(OR(LEFT(C305,1)="(",COUNTA(C305)=0),"", INDEX(Honor!$B$2:$B998,MATCH(C305,Honor!$A$2:$A998,0)))</f>
        <v/>
      </c>
      <c r="E305" s="25" t="str">
        <f t="array" ref="E305">IF(OR(LEFT(C305,1)="(",COUNTA(C305)=0),"",INDEX(Honor!$O$2:$O998,MATCH(C305,Honor!$A$2:$A998,0)))</f>
        <v/>
      </c>
      <c r="F305" s="25"/>
      <c r="G305" s="25"/>
      <c r="H305" s="25"/>
      <c r="I305" s="25"/>
      <c r="J305" s="25"/>
      <c r="K305" s="25"/>
      <c r="L305" s="25"/>
      <c r="M305" s="25"/>
      <c r="N305" s="25"/>
      <c r="O305" s="25"/>
      <c r="P305" s="25"/>
      <c r="Q305" s="25"/>
      <c r="R305" s="25"/>
      <c r="S305" s="25"/>
      <c r="T305" s="25"/>
      <c r="U305" s="25"/>
      <c r="V305" s="25"/>
      <c r="W305" s="25"/>
      <c r="X305" s="25"/>
    </row>
    <row r="306" spans="1:24" ht="13">
      <c r="A306" s="25"/>
      <c r="B306" s="25"/>
      <c r="C306" s="25"/>
      <c r="D306" s="25" t="str">
        <f t="array" ref="D306">IF(OR(LEFT(C306,1)="(",COUNTA(C306)=0),"", INDEX(Honor!$B$2:$B998,MATCH(C306,Honor!$A$2:$A998,0)))</f>
        <v/>
      </c>
      <c r="E306" s="25" t="str">
        <f t="array" ref="E306">IF(OR(LEFT(C306,1)="(",COUNTA(C306)=0),"",INDEX(Honor!$O$2:$O998,MATCH(C306,Honor!$A$2:$A998,0)))</f>
        <v/>
      </c>
      <c r="F306" s="25"/>
      <c r="G306" s="25"/>
      <c r="H306" s="25"/>
      <c r="I306" s="25"/>
      <c r="J306" s="25"/>
      <c r="K306" s="25"/>
      <c r="L306" s="25"/>
      <c r="M306" s="25"/>
      <c r="N306" s="25"/>
      <c r="O306" s="25"/>
      <c r="P306" s="25"/>
      <c r="Q306" s="25"/>
      <c r="R306" s="25"/>
      <c r="S306" s="25"/>
      <c r="T306" s="25"/>
      <c r="U306" s="25"/>
      <c r="V306" s="25"/>
      <c r="W306" s="25"/>
      <c r="X306" s="25"/>
    </row>
    <row r="307" spans="1:24" ht="13">
      <c r="A307" s="25"/>
      <c r="B307" s="25"/>
      <c r="C307" s="25"/>
      <c r="D307" s="25" t="str">
        <f t="array" ref="D307">IF(OR(LEFT(C307,1)="(",COUNTA(C307)=0),"", INDEX(Honor!$B$2:$B998,MATCH(C307,Honor!$A$2:$A998,0)))</f>
        <v/>
      </c>
      <c r="E307" s="25" t="str">
        <f t="array" ref="E307">IF(OR(LEFT(C307,1)="(",COUNTA(C307)=0),"",INDEX(Honor!$O$2:$O998,MATCH(C307,Honor!$A$2:$A998,0)))</f>
        <v/>
      </c>
      <c r="F307" s="25"/>
      <c r="G307" s="25"/>
      <c r="H307" s="25"/>
      <c r="I307" s="25"/>
      <c r="J307" s="25"/>
      <c r="K307" s="25"/>
      <c r="L307" s="25"/>
      <c r="M307" s="25"/>
      <c r="N307" s="25"/>
      <c r="O307" s="25"/>
      <c r="P307" s="25"/>
      <c r="Q307" s="25"/>
      <c r="R307" s="25"/>
      <c r="S307" s="25"/>
      <c r="T307" s="25"/>
      <c r="U307" s="25"/>
      <c r="V307" s="25"/>
      <c r="W307" s="25"/>
      <c r="X307" s="25"/>
    </row>
    <row r="308" spans="1:24" ht="13">
      <c r="A308" s="25"/>
      <c r="B308" s="25"/>
      <c r="C308" s="25"/>
      <c r="D308" s="25" t="str">
        <f t="array" ref="D308">IF(OR(LEFT(C308,1)="(",COUNTA(C308)=0),"", INDEX(Honor!$B$2:$B998,MATCH(C308,Honor!$A$2:$A998,0)))</f>
        <v/>
      </c>
      <c r="E308" s="25" t="str">
        <f t="array" ref="E308">IF(OR(LEFT(C308,1)="(",COUNTA(C308)=0),"",INDEX(Honor!$O$2:$O998,MATCH(C308,Honor!$A$2:$A998,0)))</f>
        <v/>
      </c>
      <c r="F308" s="25"/>
      <c r="G308" s="25"/>
      <c r="H308" s="25"/>
      <c r="I308" s="25"/>
      <c r="J308" s="25"/>
      <c r="K308" s="25"/>
      <c r="L308" s="25"/>
      <c r="M308" s="25"/>
      <c r="N308" s="25"/>
      <c r="O308" s="25"/>
      <c r="P308" s="25"/>
      <c r="Q308" s="25"/>
      <c r="R308" s="25"/>
      <c r="S308" s="25"/>
      <c r="T308" s="25"/>
      <c r="U308" s="25"/>
      <c r="V308" s="25"/>
      <c r="W308" s="25"/>
      <c r="X308" s="25"/>
    </row>
    <row r="309" spans="1:24" ht="13">
      <c r="A309" s="25"/>
      <c r="B309" s="25"/>
      <c r="C309" s="25"/>
      <c r="D309" s="25" t="str">
        <f t="array" ref="D309">IF(OR(LEFT(C309,1)="(",COUNTA(C309)=0),"", INDEX(Honor!$B$2:$B998,MATCH(C309,Honor!$A$2:$A998,0)))</f>
        <v/>
      </c>
      <c r="E309" s="25" t="str">
        <f t="array" ref="E309">IF(OR(LEFT(C309,1)="(",COUNTA(C309)=0),"",INDEX(Honor!$O$2:$O998,MATCH(C309,Honor!$A$2:$A998,0)))</f>
        <v/>
      </c>
      <c r="F309" s="25"/>
      <c r="G309" s="25"/>
      <c r="H309" s="25"/>
      <c r="I309" s="25"/>
      <c r="J309" s="25"/>
      <c r="K309" s="25"/>
      <c r="L309" s="25"/>
      <c r="M309" s="25"/>
      <c r="N309" s="25"/>
      <c r="O309" s="25"/>
      <c r="P309" s="25"/>
      <c r="Q309" s="25"/>
      <c r="R309" s="25"/>
      <c r="S309" s="25"/>
      <c r="T309" s="25"/>
      <c r="U309" s="25"/>
      <c r="V309" s="25"/>
      <c r="W309" s="25"/>
      <c r="X309" s="25"/>
    </row>
    <row r="310" spans="1:24" ht="13">
      <c r="A310" s="25"/>
      <c r="B310" s="25"/>
      <c r="C310" s="25"/>
      <c r="D310" s="25" t="str">
        <f t="array" ref="D310">IF(OR(LEFT(C310,1)="(",COUNTA(C310)=0),"", INDEX(Honor!$B$2:$B998,MATCH(C310,Honor!$A$2:$A998,0)))</f>
        <v/>
      </c>
      <c r="E310" s="25" t="str">
        <f t="array" ref="E310">IF(OR(LEFT(C310,1)="(",COUNTA(C310)=0),"",INDEX(Honor!$O$2:$O998,MATCH(C310,Honor!$A$2:$A998,0)))</f>
        <v/>
      </c>
      <c r="F310" s="25"/>
      <c r="G310" s="25"/>
      <c r="H310" s="25"/>
      <c r="I310" s="25"/>
      <c r="J310" s="25"/>
      <c r="K310" s="25"/>
      <c r="L310" s="25"/>
      <c r="M310" s="25"/>
      <c r="N310" s="25"/>
      <c r="O310" s="25"/>
      <c r="P310" s="25"/>
      <c r="Q310" s="25"/>
      <c r="R310" s="25"/>
      <c r="S310" s="25"/>
      <c r="T310" s="25"/>
      <c r="U310" s="25"/>
      <c r="V310" s="25"/>
      <c r="W310" s="25"/>
      <c r="X310" s="25"/>
    </row>
    <row r="311" spans="1:24" ht="13">
      <c r="A311" s="25"/>
      <c r="B311" s="25"/>
      <c r="C311" s="25"/>
      <c r="D311" s="25" t="str">
        <f t="array" ref="D311">IF(OR(LEFT(C311,1)="(",COUNTA(C311)=0),"", INDEX(Honor!$B$2:$B998,MATCH(C311,Honor!$A$2:$A998,0)))</f>
        <v/>
      </c>
      <c r="E311" s="25" t="str">
        <f t="array" ref="E311">IF(OR(LEFT(C311,1)="(",COUNTA(C311)=0),"",INDEX(Honor!$O$2:$O998,MATCH(C311,Honor!$A$2:$A998,0)))</f>
        <v/>
      </c>
      <c r="F311" s="25"/>
      <c r="G311" s="25"/>
      <c r="H311" s="25"/>
      <c r="I311" s="25"/>
      <c r="J311" s="25"/>
      <c r="K311" s="25"/>
      <c r="L311" s="25"/>
      <c r="M311" s="25"/>
      <c r="N311" s="25"/>
      <c r="O311" s="25"/>
      <c r="P311" s="25"/>
      <c r="Q311" s="25"/>
      <c r="R311" s="25"/>
      <c r="S311" s="25"/>
      <c r="T311" s="25"/>
      <c r="U311" s="25"/>
      <c r="V311" s="25"/>
      <c r="W311" s="25"/>
      <c r="X311" s="25"/>
    </row>
    <row r="312" spans="1:24" ht="13">
      <c r="A312" s="25"/>
      <c r="B312" s="25"/>
      <c r="C312" s="25"/>
      <c r="D312" s="25" t="str">
        <f t="array" ref="D312">IF(OR(LEFT(C312,1)="(",COUNTA(C312)=0),"", INDEX(Honor!$B$2:$B998,MATCH(C312,Honor!$A$2:$A998,0)))</f>
        <v/>
      </c>
      <c r="E312" s="25" t="str">
        <f t="array" ref="E312">IF(OR(LEFT(C312,1)="(",COUNTA(C312)=0),"",INDEX(Honor!$O$2:$O998,MATCH(C312,Honor!$A$2:$A998,0)))</f>
        <v/>
      </c>
      <c r="F312" s="25"/>
      <c r="G312" s="25"/>
      <c r="H312" s="25"/>
      <c r="I312" s="25"/>
      <c r="J312" s="25"/>
      <c r="K312" s="25"/>
      <c r="L312" s="25"/>
      <c r="M312" s="25"/>
      <c r="N312" s="25"/>
      <c r="O312" s="25"/>
      <c r="P312" s="25"/>
      <c r="Q312" s="25"/>
      <c r="R312" s="25"/>
      <c r="S312" s="25"/>
      <c r="T312" s="25"/>
      <c r="U312" s="25"/>
      <c r="V312" s="25"/>
      <c r="W312" s="25"/>
      <c r="X312" s="25"/>
    </row>
    <row r="313" spans="1:24" ht="13">
      <c r="A313" s="25"/>
      <c r="B313" s="25"/>
      <c r="C313" s="25"/>
      <c r="D313" s="25" t="str">
        <f t="array" ref="D313">IF(OR(LEFT(C313,1)="(",COUNTA(C313)=0),"", INDEX(Honor!$B$2:$B998,MATCH(C313,Honor!$A$2:$A998,0)))</f>
        <v/>
      </c>
      <c r="E313" s="25" t="str">
        <f t="array" ref="E313">IF(OR(LEFT(C313,1)="(",COUNTA(C313)=0),"",INDEX(Honor!$O$2:$O998,MATCH(C313,Honor!$A$2:$A998,0)))</f>
        <v/>
      </c>
      <c r="F313" s="25"/>
      <c r="G313" s="25"/>
      <c r="H313" s="25"/>
      <c r="I313" s="25"/>
      <c r="J313" s="25"/>
      <c r="K313" s="25"/>
      <c r="L313" s="25"/>
      <c r="M313" s="25"/>
      <c r="N313" s="25"/>
      <c r="O313" s="25"/>
      <c r="P313" s="25"/>
      <c r="Q313" s="25"/>
      <c r="R313" s="25"/>
      <c r="S313" s="25"/>
      <c r="T313" s="25"/>
      <c r="U313" s="25"/>
      <c r="V313" s="25"/>
      <c r="W313" s="25"/>
      <c r="X313" s="25"/>
    </row>
    <row r="314" spans="1:24" ht="13">
      <c r="A314" s="25"/>
      <c r="B314" s="25"/>
      <c r="C314" s="25"/>
      <c r="D314" s="25" t="str">
        <f t="array" ref="D314">IF(OR(LEFT(C314,1)="(",COUNTA(C314)=0),"", INDEX(Honor!$B$2:$B998,MATCH(C314,Honor!$A$2:$A998,0)))</f>
        <v/>
      </c>
      <c r="E314" s="25" t="str">
        <f t="array" ref="E314">IF(OR(LEFT(C314,1)="(",COUNTA(C314)=0),"",INDEX(Honor!$O$2:$O998,MATCH(C314,Honor!$A$2:$A998,0)))</f>
        <v/>
      </c>
      <c r="F314" s="25"/>
      <c r="G314" s="25"/>
      <c r="H314" s="25"/>
      <c r="I314" s="25"/>
      <c r="J314" s="25"/>
      <c r="K314" s="25"/>
      <c r="L314" s="25"/>
      <c r="M314" s="25"/>
      <c r="N314" s="25"/>
      <c r="O314" s="25"/>
      <c r="P314" s="25"/>
      <c r="Q314" s="25"/>
      <c r="R314" s="25"/>
      <c r="S314" s="25"/>
      <c r="T314" s="25"/>
      <c r="U314" s="25"/>
      <c r="V314" s="25"/>
      <c r="W314" s="25"/>
      <c r="X314" s="25"/>
    </row>
    <row r="315" spans="1:24" ht="13">
      <c r="A315" s="25"/>
      <c r="B315" s="25"/>
      <c r="C315" s="25"/>
      <c r="D315" s="25" t="str">
        <f t="array" ref="D315">IF(OR(LEFT(C315,1)="(",COUNTA(C315)=0),"", INDEX(Honor!$B$2:$B998,MATCH(C315,Honor!$A$2:$A998,0)))</f>
        <v/>
      </c>
      <c r="E315" s="25" t="str">
        <f t="array" ref="E315">IF(OR(LEFT(C315,1)="(",COUNTA(C315)=0),"",INDEX(Honor!$O$2:$O998,MATCH(C315,Honor!$A$2:$A998,0)))</f>
        <v/>
      </c>
      <c r="F315" s="25"/>
      <c r="G315" s="25"/>
      <c r="H315" s="25"/>
      <c r="I315" s="25"/>
      <c r="J315" s="25"/>
      <c r="K315" s="25"/>
      <c r="L315" s="25"/>
      <c r="M315" s="25"/>
      <c r="N315" s="25"/>
      <c r="O315" s="25"/>
      <c r="P315" s="25"/>
      <c r="Q315" s="25"/>
      <c r="R315" s="25"/>
      <c r="S315" s="25"/>
      <c r="T315" s="25"/>
      <c r="U315" s="25"/>
      <c r="V315" s="25"/>
      <c r="W315" s="25"/>
      <c r="X315" s="25"/>
    </row>
    <row r="316" spans="1:24" ht="13">
      <c r="A316" s="25"/>
      <c r="B316" s="25"/>
      <c r="C316" s="25"/>
      <c r="D316" s="25" t="str">
        <f t="array" ref="D316">IF(OR(LEFT(C316,1)="(",COUNTA(C316)=0),"", INDEX(Honor!$B$2:$B998,MATCH(C316,Honor!$A$2:$A998,0)))</f>
        <v/>
      </c>
      <c r="E316" s="25" t="str">
        <f t="array" ref="E316">IF(OR(LEFT(C316,1)="(",COUNTA(C316)=0),"",INDEX(Honor!$O$2:$O998,MATCH(C316,Honor!$A$2:$A998,0)))</f>
        <v/>
      </c>
      <c r="F316" s="25"/>
      <c r="G316" s="25"/>
      <c r="H316" s="25"/>
      <c r="I316" s="25"/>
      <c r="J316" s="25"/>
      <c r="K316" s="25"/>
      <c r="L316" s="25"/>
      <c r="M316" s="25"/>
      <c r="N316" s="25"/>
      <c r="O316" s="25"/>
      <c r="P316" s="25"/>
      <c r="Q316" s="25"/>
      <c r="R316" s="25"/>
      <c r="S316" s="25"/>
      <c r="T316" s="25"/>
      <c r="U316" s="25"/>
      <c r="V316" s="25"/>
      <c r="W316" s="25"/>
      <c r="X316" s="25"/>
    </row>
    <row r="317" spans="1:24" ht="13">
      <c r="A317" s="25"/>
      <c r="B317" s="25"/>
      <c r="C317" s="25"/>
      <c r="D317" s="25" t="str">
        <f t="array" ref="D317">IF(OR(LEFT(C317,1)="(",COUNTA(C317)=0),"", INDEX(Honor!$B$2:$B998,MATCH(C317,Honor!$A$2:$A998,0)))</f>
        <v/>
      </c>
      <c r="E317" s="25" t="str">
        <f t="array" ref="E317">IF(OR(LEFT(C317,1)="(",COUNTA(C317)=0),"",INDEX(Honor!$O$2:$O998,MATCH(C317,Honor!$A$2:$A998,0)))</f>
        <v/>
      </c>
      <c r="F317" s="25"/>
      <c r="G317" s="25"/>
      <c r="H317" s="25"/>
      <c r="I317" s="25"/>
      <c r="J317" s="25"/>
      <c r="K317" s="25"/>
      <c r="L317" s="25"/>
      <c r="M317" s="25"/>
      <c r="N317" s="25"/>
      <c r="O317" s="25"/>
      <c r="P317" s="25"/>
      <c r="Q317" s="25"/>
      <c r="R317" s="25"/>
      <c r="S317" s="25"/>
      <c r="T317" s="25"/>
      <c r="U317" s="25"/>
      <c r="V317" s="25"/>
      <c r="W317" s="25"/>
      <c r="X317" s="25"/>
    </row>
    <row r="318" spans="1:24" ht="13">
      <c r="A318" s="25"/>
      <c r="B318" s="25"/>
      <c r="C318" s="25"/>
      <c r="D318" s="25" t="str">
        <f t="array" ref="D318">IF(OR(LEFT(C318,1)="(",COUNTA(C318)=0),"", INDEX(Honor!$B$2:$B998,MATCH(C318,Honor!$A$2:$A998,0)))</f>
        <v/>
      </c>
      <c r="E318" s="25" t="str">
        <f t="array" ref="E318">IF(OR(LEFT(C318,1)="(",COUNTA(C318)=0),"",INDEX(Honor!$O$2:$O998,MATCH(C318,Honor!$A$2:$A998,0)))</f>
        <v/>
      </c>
      <c r="F318" s="25"/>
      <c r="G318" s="25"/>
      <c r="H318" s="25"/>
      <c r="I318" s="25"/>
      <c r="J318" s="25"/>
      <c r="K318" s="25"/>
      <c r="L318" s="25"/>
      <c r="M318" s="25"/>
      <c r="N318" s="25"/>
      <c r="O318" s="25"/>
      <c r="P318" s="25"/>
      <c r="Q318" s="25"/>
      <c r="R318" s="25"/>
      <c r="S318" s="25"/>
      <c r="T318" s="25"/>
      <c r="U318" s="25"/>
      <c r="V318" s="25"/>
      <c r="W318" s="25"/>
      <c r="X318" s="25"/>
    </row>
    <row r="319" spans="1:24" ht="13">
      <c r="A319" s="25"/>
      <c r="B319" s="25"/>
      <c r="C319" s="25"/>
      <c r="D319" s="25" t="str">
        <f t="array" ref="D319">IF(OR(LEFT(C319,1)="(",COUNTA(C319)=0),"", INDEX(Honor!$B$2:$B998,MATCH(C319,Honor!$A$2:$A998,0)))</f>
        <v/>
      </c>
      <c r="E319" s="25" t="str">
        <f t="array" ref="E319">IF(OR(LEFT(C319,1)="(",COUNTA(C319)=0),"",INDEX(Honor!$O$2:$O998,MATCH(C319,Honor!$A$2:$A998,0)))</f>
        <v/>
      </c>
      <c r="F319" s="25"/>
      <c r="G319" s="25"/>
      <c r="H319" s="25"/>
      <c r="I319" s="25"/>
      <c r="J319" s="25"/>
      <c r="K319" s="25"/>
      <c r="L319" s="25"/>
      <c r="M319" s="25"/>
      <c r="N319" s="25"/>
      <c r="O319" s="25"/>
      <c r="P319" s="25"/>
      <c r="Q319" s="25"/>
      <c r="R319" s="25"/>
      <c r="S319" s="25"/>
      <c r="T319" s="25"/>
      <c r="U319" s="25"/>
      <c r="V319" s="25"/>
      <c r="W319" s="25"/>
      <c r="X319" s="25"/>
    </row>
    <row r="320" spans="1:24" ht="13">
      <c r="A320" s="25"/>
      <c r="B320" s="25"/>
      <c r="C320" s="25"/>
      <c r="D320" s="25" t="str">
        <f t="array" ref="D320">IF(OR(LEFT(C320,1)="(",COUNTA(C320)=0),"", INDEX(Honor!$B$2:$B998,MATCH(C320,Honor!$A$2:$A998,0)))</f>
        <v/>
      </c>
      <c r="E320" s="25" t="str">
        <f t="array" ref="E320">IF(OR(LEFT(C320,1)="(",COUNTA(C320)=0),"",INDEX(Honor!$O$2:$O998,MATCH(C320,Honor!$A$2:$A998,0)))</f>
        <v/>
      </c>
      <c r="F320" s="25"/>
      <c r="G320" s="25"/>
      <c r="H320" s="25"/>
      <c r="I320" s="25"/>
      <c r="J320" s="25"/>
      <c r="K320" s="25"/>
      <c r="L320" s="25"/>
      <c r="M320" s="25"/>
      <c r="N320" s="25"/>
      <c r="O320" s="25"/>
      <c r="P320" s="25"/>
      <c r="Q320" s="25"/>
      <c r="R320" s="25"/>
      <c r="S320" s="25"/>
      <c r="T320" s="25"/>
      <c r="U320" s="25"/>
      <c r="V320" s="25"/>
      <c r="W320" s="25"/>
      <c r="X320" s="25"/>
    </row>
    <row r="321" spans="1:24" ht="13">
      <c r="A321" s="25"/>
      <c r="B321" s="25"/>
      <c r="C321" s="25"/>
      <c r="D321" s="25" t="str">
        <f t="array" ref="D321">IF(OR(LEFT(C321,1)="(",COUNTA(C321)=0),"", INDEX(Honor!$B$2:$B998,MATCH(C321,Honor!$A$2:$A998,0)))</f>
        <v/>
      </c>
      <c r="E321" s="25" t="str">
        <f t="array" ref="E321">IF(OR(LEFT(C321,1)="(",COUNTA(C321)=0),"",INDEX(Honor!$O$2:$O998,MATCH(C321,Honor!$A$2:$A998,0)))</f>
        <v/>
      </c>
      <c r="F321" s="25"/>
      <c r="G321" s="25"/>
      <c r="H321" s="25"/>
      <c r="I321" s="25"/>
      <c r="J321" s="25"/>
      <c r="K321" s="25"/>
      <c r="L321" s="25"/>
      <c r="M321" s="25"/>
      <c r="N321" s="25"/>
      <c r="O321" s="25"/>
      <c r="P321" s="25"/>
      <c r="Q321" s="25"/>
      <c r="R321" s="25"/>
      <c r="S321" s="25"/>
      <c r="T321" s="25"/>
      <c r="U321" s="25"/>
      <c r="V321" s="25"/>
      <c r="W321" s="25"/>
      <c r="X321" s="25"/>
    </row>
    <row r="322" spans="1:24" ht="13">
      <c r="A322" s="25"/>
      <c r="B322" s="25"/>
      <c r="C322" s="25"/>
      <c r="D322" s="25" t="str">
        <f t="array" ref="D322">IF(OR(LEFT(C322,1)="(",COUNTA(C322)=0),"", INDEX(Honor!$B$2:$B998,MATCH(C322,Honor!$A$2:$A998,0)))</f>
        <v/>
      </c>
      <c r="E322" s="25" t="str">
        <f t="array" ref="E322">IF(OR(LEFT(C322,1)="(",COUNTA(C322)=0),"",INDEX(Honor!$O$2:$O998,MATCH(C322,Honor!$A$2:$A998,0)))</f>
        <v/>
      </c>
      <c r="F322" s="25"/>
      <c r="G322" s="25"/>
      <c r="H322" s="25"/>
      <c r="I322" s="25"/>
      <c r="J322" s="25"/>
      <c r="K322" s="25"/>
      <c r="L322" s="25"/>
      <c r="M322" s="25"/>
      <c r="N322" s="25"/>
      <c r="O322" s="25"/>
      <c r="P322" s="25"/>
      <c r="Q322" s="25"/>
      <c r="R322" s="25"/>
      <c r="S322" s="25"/>
      <c r="T322" s="25"/>
      <c r="U322" s="25"/>
      <c r="V322" s="25"/>
      <c r="W322" s="25"/>
      <c r="X322" s="25"/>
    </row>
    <row r="323" spans="1:24" ht="13">
      <c r="A323" s="25"/>
      <c r="B323" s="25"/>
      <c r="C323" s="25"/>
      <c r="D323" s="25" t="str">
        <f t="array" ref="D323">IF(OR(LEFT(C323,1)="(",COUNTA(C323)=0),"", INDEX(Honor!$B$2:$B998,MATCH(C323,Honor!$A$2:$A998,0)))</f>
        <v/>
      </c>
      <c r="E323" s="25" t="str">
        <f t="array" ref="E323">IF(OR(LEFT(C323,1)="(",COUNTA(C323)=0),"",INDEX(Honor!$O$2:$O998,MATCH(C323,Honor!$A$2:$A998,0)))</f>
        <v/>
      </c>
      <c r="F323" s="25"/>
      <c r="G323" s="25"/>
      <c r="H323" s="25"/>
      <c r="I323" s="25"/>
      <c r="J323" s="25"/>
      <c r="K323" s="25"/>
      <c r="L323" s="25"/>
      <c r="M323" s="25"/>
      <c r="N323" s="25"/>
      <c r="O323" s="25"/>
      <c r="P323" s="25"/>
      <c r="Q323" s="25"/>
      <c r="R323" s="25"/>
      <c r="S323" s="25"/>
      <c r="T323" s="25"/>
      <c r="U323" s="25"/>
      <c r="V323" s="25"/>
      <c r="W323" s="25"/>
      <c r="X323" s="25"/>
    </row>
    <row r="324" spans="1:24" ht="13">
      <c r="A324" s="25"/>
      <c r="B324" s="25"/>
      <c r="C324" s="25"/>
      <c r="D324" s="25" t="str">
        <f t="array" ref="D324">IF(OR(LEFT(C324,1)="(",COUNTA(C324)=0),"", INDEX(Honor!$B$2:$B998,MATCH(C324,Honor!$A$2:$A998,0)))</f>
        <v/>
      </c>
      <c r="E324" s="25" t="str">
        <f t="array" ref="E324">IF(OR(LEFT(C324,1)="(",COUNTA(C324)=0),"",INDEX(Honor!$O$2:$O998,MATCH(C324,Honor!$A$2:$A998,0)))</f>
        <v/>
      </c>
      <c r="F324" s="25"/>
      <c r="G324" s="25"/>
      <c r="H324" s="25"/>
      <c r="I324" s="25"/>
      <c r="J324" s="25"/>
      <c r="K324" s="25"/>
      <c r="L324" s="25"/>
      <c r="M324" s="25"/>
      <c r="N324" s="25"/>
      <c r="O324" s="25"/>
      <c r="P324" s="25"/>
      <c r="Q324" s="25"/>
      <c r="R324" s="25"/>
      <c r="S324" s="25"/>
      <c r="T324" s="25"/>
      <c r="U324" s="25"/>
      <c r="V324" s="25"/>
      <c r="W324" s="25"/>
      <c r="X324" s="25"/>
    </row>
    <row r="325" spans="1:24" ht="13">
      <c r="A325" s="25"/>
      <c r="B325" s="25"/>
      <c r="C325" s="25"/>
      <c r="D325" s="25" t="str">
        <f t="array" ref="D325">IF(OR(LEFT(C325,1)="(",COUNTA(C325)=0),"", INDEX(Honor!$B$2:$B998,MATCH(C325,Honor!$A$2:$A998,0)))</f>
        <v/>
      </c>
      <c r="E325" s="25" t="str">
        <f t="array" ref="E325">IF(OR(LEFT(C325,1)="(",COUNTA(C325)=0),"",INDEX(Honor!$O$2:$O998,MATCH(C325,Honor!$A$2:$A998,0)))</f>
        <v/>
      </c>
      <c r="F325" s="25"/>
      <c r="G325" s="25"/>
      <c r="H325" s="25"/>
      <c r="I325" s="25"/>
      <c r="J325" s="25"/>
      <c r="K325" s="25"/>
      <c r="L325" s="25"/>
      <c r="M325" s="25"/>
      <c r="N325" s="25"/>
      <c r="O325" s="25"/>
      <c r="P325" s="25"/>
      <c r="Q325" s="25"/>
      <c r="R325" s="25"/>
      <c r="S325" s="25"/>
      <c r="T325" s="25"/>
      <c r="U325" s="25"/>
      <c r="V325" s="25"/>
      <c r="W325" s="25"/>
      <c r="X325" s="25"/>
    </row>
    <row r="326" spans="1:24" ht="13">
      <c r="A326" s="25"/>
      <c r="B326" s="25"/>
      <c r="C326" s="25"/>
      <c r="D326" s="25" t="str">
        <f t="array" ref="D326">IF(OR(LEFT(C326,1)="(",COUNTA(C326)=0),"", INDEX(Honor!$B$2:$B998,MATCH(C326,Honor!$A$2:$A998,0)))</f>
        <v/>
      </c>
      <c r="E326" s="25" t="str">
        <f t="array" ref="E326">IF(OR(LEFT(C326,1)="(",COUNTA(C326)=0),"",INDEX(Honor!$O$2:$O998,MATCH(C326,Honor!$A$2:$A998,0)))</f>
        <v/>
      </c>
      <c r="F326" s="25"/>
      <c r="G326" s="25"/>
      <c r="H326" s="25"/>
      <c r="I326" s="25"/>
      <c r="J326" s="25"/>
      <c r="K326" s="25"/>
      <c r="L326" s="25"/>
      <c r="M326" s="25"/>
      <c r="N326" s="25"/>
      <c r="O326" s="25"/>
      <c r="P326" s="25"/>
      <c r="Q326" s="25"/>
      <c r="R326" s="25"/>
      <c r="S326" s="25"/>
      <c r="T326" s="25"/>
      <c r="U326" s="25"/>
      <c r="V326" s="25"/>
      <c r="W326" s="25"/>
      <c r="X326" s="25"/>
    </row>
    <row r="327" spans="1:24" ht="13">
      <c r="A327" s="25"/>
      <c r="B327" s="25"/>
      <c r="C327" s="25"/>
      <c r="D327" s="25" t="str">
        <f t="array" ref="D327">IF(OR(LEFT(C327,1)="(",COUNTA(C327)=0),"", INDEX(Honor!$B$2:$B998,MATCH(C327,Honor!$A$2:$A998,0)))</f>
        <v/>
      </c>
      <c r="E327" s="25" t="str">
        <f t="array" ref="E327">IF(OR(LEFT(C327,1)="(",COUNTA(C327)=0),"",INDEX(Honor!$O$2:$O998,MATCH(C327,Honor!$A$2:$A998,0)))</f>
        <v/>
      </c>
      <c r="F327" s="25"/>
      <c r="G327" s="25"/>
      <c r="H327" s="25"/>
      <c r="I327" s="25"/>
      <c r="J327" s="25"/>
      <c r="K327" s="25"/>
      <c r="L327" s="25"/>
      <c r="M327" s="25"/>
      <c r="N327" s="25"/>
      <c r="O327" s="25"/>
      <c r="P327" s="25"/>
      <c r="Q327" s="25"/>
      <c r="R327" s="25"/>
      <c r="S327" s="25"/>
      <c r="T327" s="25"/>
      <c r="U327" s="25"/>
      <c r="V327" s="25"/>
      <c r="W327" s="25"/>
      <c r="X327" s="25"/>
    </row>
    <row r="328" spans="1:24" ht="13">
      <c r="A328" s="25"/>
      <c r="B328" s="25"/>
      <c r="C328" s="25"/>
      <c r="D328" s="25" t="str">
        <f t="array" ref="D328">IF(OR(LEFT(C328,1)="(",COUNTA(C328)=0),"", INDEX(Honor!$B$2:$B998,MATCH(C328,Honor!$A$2:$A998,0)))</f>
        <v/>
      </c>
      <c r="E328" s="25" t="str">
        <f t="array" ref="E328">IF(OR(LEFT(C328,1)="(",COUNTA(C328)=0),"",INDEX(Honor!$O$2:$O998,MATCH(C328,Honor!$A$2:$A998,0)))</f>
        <v/>
      </c>
      <c r="F328" s="25"/>
      <c r="G328" s="25"/>
      <c r="H328" s="25"/>
      <c r="I328" s="25"/>
      <c r="J328" s="25"/>
      <c r="K328" s="25"/>
      <c r="L328" s="25"/>
      <c r="M328" s="25"/>
      <c r="N328" s="25"/>
      <c r="O328" s="25"/>
      <c r="P328" s="25"/>
      <c r="Q328" s="25"/>
      <c r="R328" s="25"/>
      <c r="S328" s="25"/>
      <c r="T328" s="25"/>
      <c r="U328" s="25"/>
      <c r="V328" s="25"/>
      <c r="W328" s="25"/>
      <c r="X328" s="25"/>
    </row>
    <row r="329" spans="1:24" ht="13">
      <c r="A329" s="25"/>
      <c r="B329" s="25"/>
      <c r="C329" s="25"/>
      <c r="D329" s="25" t="str">
        <f t="array" ref="D329">IF(OR(LEFT(C329,1)="(",COUNTA(C329)=0),"", INDEX(Honor!$B$2:$B998,MATCH(C329,Honor!$A$2:$A998,0)))</f>
        <v/>
      </c>
      <c r="E329" s="25" t="str">
        <f t="array" ref="E329">IF(OR(LEFT(C329,1)="(",COUNTA(C329)=0),"",INDEX(Honor!$O$2:$O998,MATCH(C329,Honor!$A$2:$A998,0)))</f>
        <v/>
      </c>
      <c r="F329" s="25"/>
      <c r="G329" s="25"/>
      <c r="H329" s="25"/>
      <c r="I329" s="25"/>
      <c r="J329" s="25"/>
      <c r="K329" s="25"/>
      <c r="L329" s="25"/>
      <c r="M329" s="25"/>
      <c r="N329" s="25"/>
      <c r="O329" s="25"/>
      <c r="P329" s="25"/>
      <c r="Q329" s="25"/>
      <c r="R329" s="25"/>
      <c r="S329" s="25"/>
      <c r="T329" s="25"/>
      <c r="U329" s="25"/>
      <c r="V329" s="25"/>
      <c r="W329" s="25"/>
      <c r="X329" s="25"/>
    </row>
    <row r="330" spans="1:24" ht="13">
      <c r="A330" s="25"/>
      <c r="B330" s="25"/>
      <c r="C330" s="25"/>
      <c r="D330" s="25" t="str">
        <f t="array" ref="D330">IF(OR(LEFT(C330,1)="(",COUNTA(C330)=0),"", INDEX(Honor!$B$2:$B998,MATCH(C330,Honor!$A$2:$A998,0)))</f>
        <v/>
      </c>
      <c r="E330" s="25" t="str">
        <f t="array" ref="E330">IF(OR(LEFT(C330,1)="(",COUNTA(C330)=0),"",INDEX(Honor!$O$2:$O998,MATCH(C330,Honor!$A$2:$A998,0)))</f>
        <v/>
      </c>
      <c r="F330" s="25"/>
      <c r="G330" s="25"/>
      <c r="H330" s="25"/>
      <c r="I330" s="25"/>
      <c r="J330" s="25"/>
      <c r="K330" s="25"/>
      <c r="L330" s="25"/>
      <c r="M330" s="25"/>
      <c r="N330" s="25"/>
      <c r="O330" s="25"/>
      <c r="P330" s="25"/>
      <c r="Q330" s="25"/>
      <c r="R330" s="25"/>
      <c r="S330" s="25"/>
      <c r="T330" s="25"/>
      <c r="U330" s="25"/>
      <c r="V330" s="25"/>
      <c r="W330" s="25"/>
      <c r="X330" s="25"/>
    </row>
    <row r="331" spans="1:24" ht="13">
      <c r="A331" s="25"/>
      <c r="B331" s="25"/>
      <c r="C331" s="25"/>
      <c r="D331" s="25" t="str">
        <f t="array" ref="D331">IF(OR(LEFT(C331,1)="(",COUNTA(C331)=0),"", INDEX(Honor!$B$2:$B998,MATCH(C331,Honor!$A$2:$A998,0)))</f>
        <v/>
      </c>
      <c r="E331" s="25" t="str">
        <f t="array" ref="E331">IF(OR(LEFT(C331,1)="(",COUNTA(C331)=0),"",INDEX(Honor!$O$2:$O998,MATCH(C331,Honor!$A$2:$A998,0)))</f>
        <v/>
      </c>
      <c r="F331" s="25"/>
      <c r="G331" s="25"/>
      <c r="H331" s="25"/>
      <c r="I331" s="25"/>
      <c r="J331" s="25"/>
      <c r="K331" s="25"/>
      <c r="L331" s="25"/>
      <c r="M331" s="25"/>
      <c r="N331" s="25"/>
      <c r="O331" s="25"/>
      <c r="P331" s="25"/>
      <c r="Q331" s="25"/>
      <c r="R331" s="25"/>
      <c r="S331" s="25"/>
      <c r="T331" s="25"/>
      <c r="U331" s="25"/>
      <c r="V331" s="25"/>
      <c r="W331" s="25"/>
      <c r="X331" s="25"/>
    </row>
    <row r="332" spans="1:24" ht="13">
      <c r="A332" s="25"/>
      <c r="B332" s="25"/>
      <c r="C332" s="25"/>
      <c r="D332" s="25" t="str">
        <f t="array" ref="D332">IF(OR(LEFT(C332,1)="(",COUNTA(C332)=0),"", INDEX(Honor!$B$2:$B998,MATCH(C332,Honor!$A$2:$A998,0)))</f>
        <v/>
      </c>
      <c r="E332" s="25" t="str">
        <f t="array" ref="E332">IF(OR(LEFT(C332,1)="(",COUNTA(C332)=0),"",INDEX(Honor!$O$2:$O998,MATCH(C332,Honor!$A$2:$A998,0)))</f>
        <v/>
      </c>
      <c r="F332" s="25"/>
      <c r="G332" s="25"/>
      <c r="H332" s="25"/>
      <c r="I332" s="25"/>
      <c r="J332" s="25"/>
      <c r="K332" s="25"/>
      <c r="L332" s="25"/>
      <c r="M332" s="25"/>
      <c r="N332" s="25"/>
      <c r="O332" s="25"/>
      <c r="P332" s="25"/>
      <c r="Q332" s="25"/>
      <c r="R332" s="25"/>
      <c r="S332" s="25"/>
      <c r="T332" s="25"/>
      <c r="U332" s="25"/>
      <c r="V332" s="25"/>
      <c r="W332" s="25"/>
      <c r="X332" s="25"/>
    </row>
    <row r="333" spans="1:24" ht="13">
      <c r="A333" s="25"/>
      <c r="B333" s="25"/>
      <c r="C333" s="25"/>
      <c r="D333" s="25" t="str">
        <f t="array" ref="D333">IF(OR(LEFT(C333,1)="(",COUNTA(C333)=0),"", INDEX(Honor!$B$2:$B998,MATCH(C333,Honor!$A$2:$A998,0)))</f>
        <v/>
      </c>
      <c r="E333" s="25" t="str">
        <f t="array" ref="E333">IF(OR(LEFT(C333,1)="(",COUNTA(C333)=0),"",INDEX(Honor!$O$2:$O998,MATCH(C333,Honor!$A$2:$A998,0)))</f>
        <v/>
      </c>
      <c r="F333" s="25"/>
      <c r="G333" s="25"/>
      <c r="H333" s="25"/>
      <c r="I333" s="25"/>
      <c r="J333" s="25"/>
      <c r="K333" s="25"/>
      <c r="L333" s="25"/>
      <c r="M333" s="25"/>
      <c r="N333" s="25"/>
      <c r="O333" s="25"/>
      <c r="P333" s="25"/>
      <c r="Q333" s="25"/>
      <c r="R333" s="25"/>
      <c r="S333" s="25"/>
      <c r="T333" s="25"/>
      <c r="U333" s="25"/>
      <c r="V333" s="25"/>
      <c r="W333" s="25"/>
      <c r="X333" s="25"/>
    </row>
    <row r="334" spans="1:24" ht="13">
      <c r="A334" s="25"/>
      <c r="B334" s="25"/>
      <c r="C334" s="25"/>
      <c r="D334" s="25" t="str">
        <f t="array" ref="D334">IF(OR(LEFT(C334,1)="(",COUNTA(C334)=0),"", INDEX(Honor!$B$2:$B998,MATCH(C334,Honor!$A$2:$A998,0)))</f>
        <v/>
      </c>
      <c r="E334" s="25" t="str">
        <f t="array" ref="E334">IF(OR(LEFT(C334,1)="(",COUNTA(C334)=0),"",INDEX(Honor!$O$2:$O998,MATCH(C334,Honor!$A$2:$A998,0)))</f>
        <v/>
      </c>
      <c r="F334" s="25"/>
      <c r="G334" s="25"/>
      <c r="H334" s="25"/>
      <c r="I334" s="25"/>
      <c r="J334" s="25"/>
      <c r="K334" s="25"/>
      <c r="L334" s="25"/>
      <c r="M334" s="25"/>
      <c r="N334" s="25"/>
      <c r="O334" s="25"/>
      <c r="P334" s="25"/>
      <c r="Q334" s="25"/>
      <c r="R334" s="25"/>
      <c r="S334" s="25"/>
      <c r="T334" s="25"/>
      <c r="U334" s="25"/>
      <c r="V334" s="25"/>
      <c r="W334" s="25"/>
      <c r="X334" s="25"/>
    </row>
    <row r="335" spans="1:24" ht="13">
      <c r="A335" s="25"/>
      <c r="B335" s="25"/>
      <c r="C335" s="25"/>
      <c r="D335" s="25" t="str">
        <f t="array" ref="D335">IF(OR(LEFT(C335,1)="(",COUNTA(C335)=0),"", INDEX(Honor!$B$2:$B998,MATCH(C335,Honor!$A$2:$A998,0)))</f>
        <v/>
      </c>
      <c r="E335" s="25" t="str">
        <f t="array" ref="E335">IF(OR(LEFT(C335,1)="(",COUNTA(C335)=0),"",INDEX(Honor!$O$2:$O998,MATCH(C335,Honor!$A$2:$A998,0)))</f>
        <v/>
      </c>
      <c r="F335" s="25"/>
      <c r="G335" s="25"/>
      <c r="H335" s="25"/>
      <c r="I335" s="25"/>
      <c r="J335" s="25"/>
      <c r="K335" s="25"/>
      <c r="L335" s="25"/>
      <c r="M335" s="25"/>
      <c r="N335" s="25"/>
      <c r="O335" s="25"/>
      <c r="P335" s="25"/>
      <c r="Q335" s="25"/>
      <c r="R335" s="25"/>
      <c r="S335" s="25"/>
      <c r="T335" s="25"/>
      <c r="U335" s="25"/>
      <c r="V335" s="25"/>
      <c r="W335" s="25"/>
      <c r="X335" s="25"/>
    </row>
    <row r="336" spans="1:24" ht="13">
      <c r="A336" s="25"/>
      <c r="B336" s="25"/>
      <c r="C336" s="25"/>
      <c r="D336" s="25" t="str">
        <f t="array" ref="D336">IF(OR(LEFT(C336,1)="(",COUNTA(C336)=0),"", INDEX(Honor!$B$2:$B998,MATCH(C336,Honor!$A$2:$A998,0)))</f>
        <v/>
      </c>
      <c r="E336" s="25" t="str">
        <f t="array" ref="E336">IF(OR(LEFT(C336,1)="(",COUNTA(C336)=0),"",INDEX(Honor!$O$2:$O998,MATCH(C336,Honor!$A$2:$A998,0)))</f>
        <v/>
      </c>
      <c r="F336" s="25"/>
      <c r="G336" s="25"/>
      <c r="H336" s="25"/>
      <c r="I336" s="25"/>
      <c r="J336" s="25"/>
      <c r="K336" s="25"/>
      <c r="L336" s="25"/>
      <c r="M336" s="25"/>
      <c r="N336" s="25"/>
      <c r="O336" s="25"/>
      <c r="P336" s="25"/>
      <c r="Q336" s="25"/>
      <c r="R336" s="25"/>
      <c r="S336" s="25"/>
      <c r="T336" s="25"/>
      <c r="U336" s="25"/>
      <c r="V336" s="25"/>
      <c r="W336" s="25"/>
      <c r="X336" s="25"/>
    </row>
    <row r="337" spans="1:24" ht="13">
      <c r="A337" s="25"/>
      <c r="B337" s="25"/>
      <c r="C337" s="25"/>
      <c r="D337" s="25" t="str">
        <f t="array" ref="D337">IF(OR(LEFT(C337,1)="(",COUNTA(C337)=0),"", INDEX(Honor!$B$2:$B998,MATCH(C337,Honor!$A$2:$A998,0)))</f>
        <v/>
      </c>
      <c r="E337" s="25" t="str">
        <f t="array" ref="E337">IF(OR(LEFT(C337,1)="(",COUNTA(C337)=0),"",INDEX(Honor!$O$2:$O998,MATCH(C337,Honor!$A$2:$A998,0)))</f>
        <v/>
      </c>
      <c r="F337" s="25"/>
      <c r="G337" s="25"/>
      <c r="H337" s="25"/>
      <c r="I337" s="25"/>
      <c r="J337" s="25"/>
      <c r="K337" s="25"/>
      <c r="L337" s="25"/>
      <c r="M337" s="25"/>
      <c r="N337" s="25"/>
      <c r="O337" s="25"/>
      <c r="P337" s="25"/>
      <c r="Q337" s="25"/>
      <c r="R337" s="25"/>
      <c r="S337" s="25"/>
      <c r="T337" s="25"/>
      <c r="U337" s="25"/>
      <c r="V337" s="25"/>
      <c r="W337" s="25"/>
      <c r="X337" s="25"/>
    </row>
    <row r="338" spans="1:24" ht="13">
      <c r="A338" s="25"/>
      <c r="B338" s="25"/>
      <c r="C338" s="25"/>
      <c r="D338" s="25" t="str">
        <f t="array" ref="D338">IF(OR(LEFT(C338,1)="(",COUNTA(C338)=0),"", INDEX(Honor!$B$2:$B998,MATCH(C338,Honor!$A$2:$A998,0)))</f>
        <v/>
      </c>
      <c r="E338" s="25" t="str">
        <f t="array" ref="E338">IF(OR(LEFT(C338,1)="(",COUNTA(C338)=0),"",INDEX(Honor!$O$2:$O998,MATCH(C338,Honor!$A$2:$A998,0)))</f>
        <v/>
      </c>
      <c r="F338" s="25"/>
      <c r="G338" s="25"/>
      <c r="H338" s="25"/>
      <c r="I338" s="25"/>
      <c r="J338" s="25"/>
      <c r="K338" s="25"/>
      <c r="L338" s="25"/>
      <c r="M338" s="25"/>
      <c r="N338" s="25"/>
      <c r="O338" s="25"/>
      <c r="P338" s="25"/>
      <c r="Q338" s="25"/>
      <c r="R338" s="25"/>
      <c r="S338" s="25"/>
      <c r="T338" s="25"/>
      <c r="U338" s="25"/>
      <c r="V338" s="25"/>
      <c r="W338" s="25"/>
      <c r="X338" s="25"/>
    </row>
    <row r="339" spans="1:24" ht="13">
      <c r="A339" s="25"/>
      <c r="B339" s="25"/>
      <c r="C339" s="25"/>
      <c r="D339" s="25" t="str">
        <f t="array" ref="D339">IF(OR(LEFT(C339,1)="(",COUNTA(C339)=0),"", INDEX(Honor!$B$2:$B998,MATCH(C339,Honor!$A$2:$A998,0)))</f>
        <v/>
      </c>
      <c r="E339" s="25" t="str">
        <f t="array" ref="E339">IF(OR(LEFT(C339,1)="(",COUNTA(C339)=0),"",INDEX(Honor!$O$2:$O998,MATCH(C339,Honor!$A$2:$A998,0)))</f>
        <v/>
      </c>
      <c r="F339" s="25"/>
      <c r="G339" s="25"/>
      <c r="H339" s="25"/>
      <c r="I339" s="25"/>
      <c r="J339" s="25"/>
      <c r="K339" s="25"/>
      <c r="L339" s="25"/>
      <c r="M339" s="25"/>
      <c r="N339" s="25"/>
      <c r="O339" s="25"/>
      <c r="P339" s="25"/>
      <c r="Q339" s="25"/>
      <c r="R339" s="25"/>
      <c r="S339" s="25"/>
      <c r="T339" s="25"/>
      <c r="U339" s="25"/>
      <c r="V339" s="25"/>
      <c r="W339" s="25"/>
      <c r="X339" s="25"/>
    </row>
    <row r="340" spans="1:24" ht="13">
      <c r="A340" s="25"/>
      <c r="B340" s="25"/>
      <c r="C340" s="25"/>
      <c r="D340" s="25" t="str">
        <f t="array" ref="D340">IF(OR(LEFT(C340,1)="(",COUNTA(C340)=0),"", INDEX(Honor!$B$2:$B998,MATCH(C340,Honor!$A$2:$A998,0)))</f>
        <v/>
      </c>
      <c r="E340" s="25" t="str">
        <f t="array" ref="E340">IF(OR(LEFT(C340,1)="(",COUNTA(C340)=0),"",INDEX(Honor!$O$2:$O998,MATCH(C340,Honor!$A$2:$A998,0)))</f>
        <v/>
      </c>
      <c r="F340" s="25"/>
      <c r="G340" s="25"/>
      <c r="H340" s="25"/>
      <c r="I340" s="25"/>
      <c r="J340" s="25"/>
      <c r="K340" s="25"/>
      <c r="L340" s="25"/>
      <c r="M340" s="25"/>
      <c r="N340" s="25"/>
      <c r="O340" s="25"/>
      <c r="P340" s="25"/>
      <c r="Q340" s="25"/>
      <c r="R340" s="25"/>
      <c r="S340" s="25"/>
      <c r="T340" s="25"/>
      <c r="U340" s="25"/>
      <c r="V340" s="25"/>
      <c r="W340" s="25"/>
      <c r="X340" s="25"/>
    </row>
    <row r="341" spans="1:24" ht="13">
      <c r="A341" s="25"/>
      <c r="B341" s="25"/>
      <c r="C341" s="25"/>
      <c r="D341" s="25" t="str">
        <f t="array" ref="D341">IF(OR(LEFT(C341,1)="(",COUNTA(C341)=0),"", INDEX(Honor!$B$2:$B998,MATCH(C341,Honor!$A$2:$A998,0)))</f>
        <v/>
      </c>
      <c r="E341" s="25" t="str">
        <f t="array" ref="E341">IF(OR(LEFT(C341,1)="(",COUNTA(C341)=0),"",INDEX(Honor!$O$2:$O998,MATCH(C341,Honor!$A$2:$A998,0)))</f>
        <v/>
      </c>
      <c r="F341" s="25"/>
      <c r="G341" s="25"/>
      <c r="H341" s="25"/>
      <c r="I341" s="25"/>
      <c r="J341" s="25"/>
      <c r="K341" s="25"/>
      <c r="L341" s="25"/>
      <c r="M341" s="25"/>
      <c r="N341" s="25"/>
      <c r="O341" s="25"/>
      <c r="P341" s="25"/>
      <c r="Q341" s="25"/>
      <c r="R341" s="25"/>
      <c r="S341" s="25"/>
      <c r="T341" s="25"/>
      <c r="U341" s="25"/>
      <c r="V341" s="25"/>
      <c r="W341" s="25"/>
      <c r="X341" s="25"/>
    </row>
    <row r="342" spans="1:24" ht="13">
      <c r="A342" s="25"/>
      <c r="B342" s="25"/>
      <c r="C342" s="25"/>
      <c r="D342" s="25" t="str">
        <f t="array" ref="D342">IF(OR(LEFT(C342,1)="(",COUNTA(C342)=0),"", INDEX(Honor!$B$2:$B998,MATCH(C342,Honor!$A$2:$A998,0)))</f>
        <v/>
      </c>
      <c r="E342" s="25" t="str">
        <f t="array" ref="E342">IF(OR(LEFT(C342,1)="(",COUNTA(C342)=0),"",INDEX(Honor!$O$2:$O998,MATCH(C342,Honor!$A$2:$A998,0)))</f>
        <v/>
      </c>
      <c r="F342" s="25"/>
      <c r="G342" s="25"/>
      <c r="H342" s="25"/>
      <c r="I342" s="25"/>
      <c r="J342" s="25"/>
      <c r="K342" s="25"/>
      <c r="L342" s="25"/>
      <c r="M342" s="25"/>
      <c r="N342" s="25"/>
      <c r="O342" s="25"/>
      <c r="P342" s="25"/>
      <c r="Q342" s="25"/>
      <c r="R342" s="25"/>
      <c r="S342" s="25"/>
      <c r="T342" s="25"/>
      <c r="U342" s="25"/>
      <c r="V342" s="25"/>
      <c r="W342" s="25"/>
      <c r="X342" s="25"/>
    </row>
    <row r="343" spans="1:24" ht="13">
      <c r="A343" s="25"/>
      <c r="B343" s="25"/>
      <c r="C343" s="25"/>
      <c r="D343" s="25" t="str">
        <f t="array" ref="D343">IF(OR(LEFT(C343,1)="(",COUNTA(C343)=0),"", INDEX(Honor!$B$2:$B998,MATCH(C343,Honor!$A$2:$A998,0)))</f>
        <v/>
      </c>
      <c r="E343" s="25" t="str">
        <f t="array" ref="E343">IF(OR(LEFT(C343,1)="(",COUNTA(C343)=0),"",INDEX(Honor!$O$2:$O998,MATCH(C343,Honor!$A$2:$A998,0)))</f>
        <v/>
      </c>
      <c r="F343" s="25"/>
      <c r="G343" s="25"/>
      <c r="H343" s="25"/>
      <c r="I343" s="25"/>
      <c r="J343" s="25"/>
      <c r="K343" s="25"/>
      <c r="L343" s="25"/>
      <c r="M343" s="25"/>
      <c r="N343" s="25"/>
      <c r="O343" s="25"/>
      <c r="P343" s="25"/>
      <c r="Q343" s="25"/>
      <c r="R343" s="25"/>
      <c r="S343" s="25"/>
      <c r="T343" s="25"/>
      <c r="U343" s="25"/>
      <c r="V343" s="25"/>
      <c r="W343" s="25"/>
      <c r="X343" s="25"/>
    </row>
    <row r="344" spans="1:24" ht="13">
      <c r="A344" s="25"/>
      <c r="B344" s="25"/>
      <c r="C344" s="25"/>
      <c r="D344" s="25" t="str">
        <f t="array" ref="D344">IF(OR(LEFT(C344,1)="(",COUNTA(C344)=0),"", INDEX(Honor!$B$2:$B998,MATCH(C344,Honor!$A$2:$A998,0)))</f>
        <v/>
      </c>
      <c r="E344" s="25" t="str">
        <f t="array" ref="E344">IF(OR(LEFT(C344,1)="(",COUNTA(C344)=0),"",INDEX(Honor!$O$2:$O998,MATCH(C344,Honor!$A$2:$A998,0)))</f>
        <v/>
      </c>
      <c r="F344" s="25"/>
      <c r="G344" s="25"/>
      <c r="H344" s="25"/>
      <c r="I344" s="25"/>
      <c r="J344" s="25"/>
      <c r="K344" s="25"/>
      <c r="L344" s="25"/>
      <c r="M344" s="25"/>
      <c r="N344" s="25"/>
      <c r="O344" s="25"/>
      <c r="P344" s="25"/>
      <c r="Q344" s="25"/>
      <c r="R344" s="25"/>
      <c r="S344" s="25"/>
      <c r="T344" s="25"/>
      <c r="U344" s="25"/>
      <c r="V344" s="25"/>
      <c r="W344" s="25"/>
      <c r="X344" s="25"/>
    </row>
    <row r="345" spans="1:24" ht="13">
      <c r="A345" s="25"/>
      <c r="B345" s="25"/>
      <c r="C345" s="25"/>
      <c r="D345" s="25" t="str">
        <f t="array" ref="D345">IF(OR(LEFT(C345,1)="(",COUNTA(C345)=0),"", INDEX(Honor!$B$2:$B998,MATCH(C345,Honor!$A$2:$A998,0)))</f>
        <v/>
      </c>
      <c r="E345" s="25" t="str">
        <f t="array" ref="E345">IF(OR(LEFT(C345,1)="(",COUNTA(C345)=0),"",INDEX(Honor!$O$2:$O998,MATCH(C345,Honor!$A$2:$A998,0)))</f>
        <v/>
      </c>
      <c r="F345" s="25"/>
      <c r="G345" s="25"/>
      <c r="H345" s="25"/>
      <c r="I345" s="25"/>
      <c r="J345" s="25"/>
      <c r="K345" s="25"/>
      <c r="L345" s="25"/>
      <c r="M345" s="25"/>
      <c r="N345" s="25"/>
      <c r="O345" s="25"/>
      <c r="P345" s="25"/>
      <c r="Q345" s="25"/>
      <c r="R345" s="25"/>
      <c r="S345" s="25"/>
      <c r="T345" s="25"/>
      <c r="U345" s="25"/>
      <c r="V345" s="25"/>
      <c r="W345" s="25"/>
      <c r="X345" s="25"/>
    </row>
    <row r="346" spans="1:24" ht="13">
      <c r="A346" s="25"/>
      <c r="B346" s="25"/>
      <c r="C346" s="25"/>
      <c r="D346" s="25" t="str">
        <f t="array" ref="D346">IF(OR(LEFT(C346,1)="(",COUNTA(C346)=0),"", INDEX(Honor!$B$2:$B998,MATCH(C346,Honor!$A$2:$A998,0)))</f>
        <v/>
      </c>
      <c r="E346" s="25" t="str">
        <f t="array" ref="E346">IF(OR(LEFT(C346,1)="(",COUNTA(C346)=0),"",INDEX(Honor!$O$2:$O998,MATCH(C346,Honor!$A$2:$A998,0)))</f>
        <v/>
      </c>
      <c r="F346" s="25"/>
      <c r="G346" s="25"/>
      <c r="H346" s="25"/>
      <c r="I346" s="25"/>
      <c r="J346" s="25"/>
      <c r="K346" s="25"/>
      <c r="L346" s="25"/>
      <c r="M346" s="25"/>
      <c r="N346" s="25"/>
      <c r="O346" s="25"/>
      <c r="P346" s="25"/>
      <c r="Q346" s="25"/>
      <c r="R346" s="25"/>
      <c r="S346" s="25"/>
      <c r="T346" s="25"/>
      <c r="U346" s="25"/>
      <c r="V346" s="25"/>
      <c r="W346" s="25"/>
      <c r="X346" s="25"/>
    </row>
    <row r="347" spans="1:24" ht="13">
      <c r="A347" s="25"/>
      <c r="B347" s="25"/>
      <c r="C347" s="25"/>
      <c r="D347" s="25" t="str">
        <f t="array" ref="D347">IF(OR(LEFT(C347,1)="(",COUNTA(C347)=0),"", INDEX(Honor!$B$2:$B998,MATCH(C347,Honor!$A$2:$A998,0)))</f>
        <v/>
      </c>
      <c r="E347" s="25" t="str">
        <f t="array" ref="E347">IF(OR(LEFT(C347,1)="(",COUNTA(C347)=0),"",INDEX(Honor!$O$2:$O998,MATCH(C347,Honor!$A$2:$A998,0)))</f>
        <v/>
      </c>
      <c r="F347" s="25"/>
      <c r="G347" s="25"/>
      <c r="H347" s="25"/>
      <c r="I347" s="25"/>
      <c r="J347" s="25"/>
      <c r="K347" s="25"/>
      <c r="L347" s="25"/>
      <c r="M347" s="25"/>
      <c r="N347" s="25"/>
      <c r="O347" s="25"/>
      <c r="P347" s="25"/>
      <c r="Q347" s="25"/>
      <c r="R347" s="25"/>
      <c r="S347" s="25"/>
      <c r="T347" s="25"/>
      <c r="U347" s="25"/>
      <c r="V347" s="25"/>
      <c r="W347" s="25"/>
      <c r="X347" s="25"/>
    </row>
    <row r="348" spans="1:24" ht="13">
      <c r="A348" s="25"/>
      <c r="B348" s="25"/>
      <c r="C348" s="25"/>
      <c r="D348" s="25" t="str">
        <f t="array" ref="D348">IF(OR(LEFT(C348,1)="(",COUNTA(C348)=0),"", INDEX(Honor!$B$2:$B998,MATCH(C348,Honor!$A$2:$A998,0)))</f>
        <v/>
      </c>
      <c r="E348" s="25" t="str">
        <f t="array" ref="E348">IF(OR(LEFT(C348,1)="(",COUNTA(C348)=0),"",INDEX(Honor!$O$2:$O998,MATCH(C348,Honor!$A$2:$A998,0)))</f>
        <v/>
      </c>
      <c r="F348" s="25"/>
      <c r="G348" s="25"/>
      <c r="H348" s="25"/>
      <c r="I348" s="25"/>
      <c r="J348" s="25"/>
      <c r="K348" s="25"/>
      <c r="L348" s="25"/>
      <c r="M348" s="25"/>
      <c r="N348" s="25"/>
      <c r="O348" s="25"/>
      <c r="P348" s="25"/>
      <c r="Q348" s="25"/>
      <c r="R348" s="25"/>
      <c r="S348" s="25"/>
      <c r="T348" s="25"/>
      <c r="U348" s="25"/>
      <c r="V348" s="25"/>
      <c r="W348" s="25"/>
      <c r="X348" s="25"/>
    </row>
    <row r="349" spans="1:24" ht="13">
      <c r="A349" s="25"/>
      <c r="B349" s="25"/>
      <c r="C349" s="25"/>
      <c r="D349" s="25" t="str">
        <f t="array" ref="D349">IF(OR(LEFT(C349,1)="(",COUNTA(C349)=0),"", INDEX(Honor!$B$2:$B998,MATCH(C349,Honor!$A$2:$A998,0)))</f>
        <v/>
      </c>
      <c r="E349" s="25" t="str">
        <f t="array" ref="E349">IF(OR(LEFT(C349,1)="(",COUNTA(C349)=0),"",INDEX(Honor!$O$2:$O998,MATCH(C349,Honor!$A$2:$A998,0)))</f>
        <v/>
      </c>
      <c r="F349" s="25"/>
      <c r="G349" s="25"/>
      <c r="H349" s="25"/>
      <c r="I349" s="25"/>
      <c r="J349" s="25"/>
      <c r="K349" s="25"/>
      <c r="L349" s="25"/>
      <c r="M349" s="25"/>
      <c r="N349" s="25"/>
      <c r="O349" s="25"/>
      <c r="P349" s="25"/>
      <c r="Q349" s="25"/>
      <c r="R349" s="25"/>
      <c r="S349" s="25"/>
      <c r="T349" s="25"/>
      <c r="U349" s="25"/>
      <c r="V349" s="25"/>
      <c r="W349" s="25"/>
      <c r="X349" s="25"/>
    </row>
    <row r="350" spans="1:24" ht="13">
      <c r="A350" s="25"/>
      <c r="B350" s="25"/>
      <c r="C350" s="25"/>
      <c r="D350" s="25" t="str">
        <f t="array" ref="D350">IF(OR(LEFT(C350,1)="(",COUNTA(C350)=0),"", INDEX(Honor!$B$2:$B998,MATCH(C350,Honor!$A$2:$A998,0)))</f>
        <v/>
      </c>
      <c r="E350" s="25" t="str">
        <f t="array" ref="E350">IF(OR(LEFT(C350,1)="(",COUNTA(C350)=0),"",INDEX(Honor!$O$2:$O998,MATCH(C350,Honor!$A$2:$A998,0)))</f>
        <v/>
      </c>
      <c r="F350" s="25"/>
      <c r="G350" s="25"/>
      <c r="H350" s="25"/>
      <c r="I350" s="25"/>
      <c r="J350" s="25"/>
      <c r="K350" s="25"/>
      <c r="L350" s="25"/>
      <c r="M350" s="25"/>
      <c r="N350" s="25"/>
      <c r="O350" s="25"/>
      <c r="P350" s="25"/>
      <c r="Q350" s="25"/>
      <c r="R350" s="25"/>
      <c r="S350" s="25"/>
      <c r="T350" s="25"/>
      <c r="U350" s="25"/>
      <c r="V350" s="25"/>
      <c r="W350" s="25"/>
      <c r="X350" s="25"/>
    </row>
    <row r="351" spans="1:24" ht="13">
      <c r="A351" s="25"/>
      <c r="B351" s="25"/>
      <c r="C351" s="25"/>
      <c r="D351" s="25" t="str">
        <f t="array" ref="D351">IF(OR(LEFT(C351,1)="(",COUNTA(C351)=0),"", INDEX(Honor!$B$2:$B998,MATCH(C351,Honor!$A$2:$A998,0)))</f>
        <v/>
      </c>
      <c r="E351" s="25" t="str">
        <f t="array" ref="E351">IF(OR(LEFT(C351,1)="(",COUNTA(C351)=0),"",INDEX(Honor!$O$2:$O998,MATCH(C351,Honor!$A$2:$A998,0)))</f>
        <v/>
      </c>
      <c r="F351" s="25"/>
      <c r="G351" s="25"/>
      <c r="H351" s="25"/>
      <c r="I351" s="25"/>
      <c r="J351" s="25"/>
      <c r="K351" s="25"/>
      <c r="L351" s="25"/>
      <c r="M351" s="25"/>
      <c r="N351" s="25"/>
      <c r="O351" s="25"/>
      <c r="P351" s="25"/>
      <c r="Q351" s="25"/>
      <c r="R351" s="25"/>
      <c r="S351" s="25"/>
      <c r="T351" s="25"/>
      <c r="U351" s="25"/>
      <c r="V351" s="25"/>
      <c r="W351" s="25"/>
      <c r="X351" s="25"/>
    </row>
    <row r="352" spans="1:24" ht="13">
      <c r="A352" s="25"/>
      <c r="B352" s="25"/>
      <c r="C352" s="25"/>
      <c r="D352" s="25" t="str">
        <f t="array" ref="D352">IF(OR(LEFT(C352,1)="(",COUNTA(C352)=0),"", INDEX(Honor!$B$2:$B998,MATCH(C352,Honor!$A$2:$A998,0)))</f>
        <v/>
      </c>
      <c r="E352" s="25" t="str">
        <f t="array" ref="E352">IF(OR(LEFT(C352,1)="(",COUNTA(C352)=0),"",INDEX(Honor!$O$2:$O998,MATCH(C352,Honor!$A$2:$A998,0)))</f>
        <v/>
      </c>
      <c r="F352" s="25"/>
      <c r="G352" s="25"/>
      <c r="H352" s="25"/>
      <c r="I352" s="25"/>
      <c r="J352" s="25"/>
      <c r="K352" s="25"/>
      <c r="L352" s="25"/>
      <c r="M352" s="25"/>
      <c r="N352" s="25"/>
      <c r="O352" s="25"/>
      <c r="P352" s="25"/>
      <c r="Q352" s="25"/>
      <c r="R352" s="25"/>
      <c r="S352" s="25"/>
      <c r="T352" s="25"/>
      <c r="U352" s="25"/>
      <c r="V352" s="25"/>
      <c r="W352" s="25"/>
      <c r="X352" s="25"/>
    </row>
    <row r="353" spans="1:24" ht="13">
      <c r="A353" s="25"/>
      <c r="B353" s="25"/>
      <c r="C353" s="25"/>
      <c r="D353" s="25" t="str">
        <f t="array" ref="D353">IF(OR(LEFT(C353,1)="(",COUNTA(C353)=0),"", INDEX(Honor!$B$2:$B998,MATCH(C353,Honor!$A$2:$A998,0)))</f>
        <v/>
      </c>
      <c r="E353" s="25" t="str">
        <f t="array" ref="E353">IF(OR(LEFT(C353,1)="(",COUNTA(C353)=0),"",INDEX(Honor!$O$2:$O998,MATCH(C353,Honor!$A$2:$A998,0)))</f>
        <v/>
      </c>
      <c r="F353" s="25"/>
      <c r="G353" s="25"/>
      <c r="H353" s="25"/>
      <c r="I353" s="25"/>
      <c r="J353" s="25"/>
      <c r="K353" s="25"/>
      <c r="L353" s="25"/>
      <c r="M353" s="25"/>
      <c r="N353" s="25"/>
      <c r="O353" s="25"/>
      <c r="P353" s="25"/>
      <c r="Q353" s="25"/>
      <c r="R353" s="25"/>
      <c r="S353" s="25"/>
      <c r="T353" s="25"/>
      <c r="U353" s="25"/>
      <c r="V353" s="25"/>
      <c r="W353" s="25"/>
      <c r="X353" s="25"/>
    </row>
    <row r="354" spans="1:24" ht="13">
      <c r="A354" s="25"/>
      <c r="B354" s="25"/>
      <c r="C354" s="25"/>
      <c r="D354" s="25" t="str">
        <f t="array" ref="D354">IF(OR(LEFT(C354,1)="(",COUNTA(C354)=0),"", INDEX(Honor!$B$2:$B998,MATCH(C354,Honor!$A$2:$A998,0)))</f>
        <v/>
      </c>
      <c r="E354" s="25" t="str">
        <f t="array" ref="E354">IF(OR(LEFT(C354,1)="(",COUNTA(C354)=0),"",INDEX(Honor!$O$2:$O998,MATCH(C354,Honor!$A$2:$A998,0)))</f>
        <v/>
      </c>
      <c r="F354" s="25"/>
      <c r="G354" s="25"/>
      <c r="H354" s="25"/>
      <c r="I354" s="25"/>
      <c r="J354" s="25"/>
      <c r="K354" s="25"/>
      <c r="L354" s="25"/>
      <c r="M354" s="25"/>
      <c r="N354" s="25"/>
      <c r="O354" s="25"/>
      <c r="P354" s="25"/>
      <c r="Q354" s="25"/>
      <c r="R354" s="25"/>
      <c r="S354" s="25"/>
      <c r="T354" s="25"/>
      <c r="U354" s="25"/>
      <c r="V354" s="25"/>
      <c r="W354" s="25"/>
      <c r="X354" s="25"/>
    </row>
    <row r="355" spans="1:24" ht="13">
      <c r="A355" s="25"/>
      <c r="B355" s="25"/>
      <c r="C355" s="25"/>
      <c r="D355" s="25" t="str">
        <f t="array" ref="D355">IF(OR(LEFT(C355,1)="(",COUNTA(C355)=0),"", INDEX(Honor!$B$2:$B998,MATCH(C355,Honor!$A$2:$A998,0)))</f>
        <v/>
      </c>
      <c r="E355" s="25" t="str">
        <f t="array" ref="E355">IF(OR(LEFT(C355,1)="(",COUNTA(C355)=0),"",INDEX(Honor!$O$2:$O998,MATCH(C355,Honor!$A$2:$A998,0)))</f>
        <v/>
      </c>
      <c r="F355" s="25"/>
      <c r="G355" s="25"/>
      <c r="H355" s="25"/>
      <c r="I355" s="25"/>
      <c r="J355" s="25"/>
      <c r="K355" s="25"/>
      <c r="L355" s="25"/>
      <c r="M355" s="25"/>
      <c r="N355" s="25"/>
      <c r="O355" s="25"/>
      <c r="P355" s="25"/>
      <c r="Q355" s="25"/>
      <c r="R355" s="25"/>
      <c r="S355" s="25"/>
      <c r="T355" s="25"/>
      <c r="U355" s="25"/>
      <c r="V355" s="25"/>
      <c r="W355" s="25"/>
      <c r="X355" s="25"/>
    </row>
    <row r="356" spans="1:24" ht="13">
      <c r="A356" s="25"/>
      <c r="B356" s="25"/>
      <c r="C356" s="25"/>
      <c r="D356" s="25" t="str">
        <f t="array" ref="D356">IF(OR(LEFT(C356,1)="(",COUNTA(C356)=0),"", INDEX(Honor!$B$2:$B998,MATCH(C356,Honor!$A$2:$A998,0)))</f>
        <v/>
      </c>
      <c r="E356" s="25" t="str">
        <f t="array" ref="E356">IF(OR(LEFT(C356,1)="(",COUNTA(C356)=0),"",INDEX(Honor!$O$2:$O998,MATCH(C356,Honor!$A$2:$A998,0)))</f>
        <v/>
      </c>
      <c r="F356" s="25"/>
      <c r="G356" s="25"/>
      <c r="H356" s="25"/>
      <c r="I356" s="25"/>
      <c r="J356" s="25"/>
      <c r="K356" s="25"/>
      <c r="L356" s="25"/>
      <c r="M356" s="25"/>
      <c r="N356" s="25"/>
      <c r="O356" s="25"/>
      <c r="P356" s="25"/>
      <c r="Q356" s="25"/>
      <c r="R356" s="25"/>
      <c r="S356" s="25"/>
      <c r="T356" s="25"/>
      <c r="U356" s="25"/>
      <c r="V356" s="25"/>
      <c r="W356" s="25"/>
      <c r="X356" s="25"/>
    </row>
    <row r="357" spans="1:24" ht="13">
      <c r="A357" s="25"/>
      <c r="B357" s="25"/>
      <c r="C357" s="25"/>
      <c r="D357" s="25" t="str">
        <f t="array" ref="D357">IF(OR(LEFT(C357,1)="(",COUNTA(C357)=0),"", INDEX(Honor!$B$2:$B998,MATCH(C357,Honor!$A$2:$A998,0)))</f>
        <v/>
      </c>
      <c r="E357" s="25" t="str">
        <f t="array" ref="E357">IF(OR(LEFT(C357,1)="(",COUNTA(C357)=0),"",INDEX(Honor!$O$2:$O998,MATCH(C357,Honor!$A$2:$A998,0)))</f>
        <v/>
      </c>
      <c r="F357" s="25"/>
      <c r="G357" s="25"/>
      <c r="H357" s="25"/>
      <c r="I357" s="25"/>
      <c r="J357" s="25"/>
      <c r="K357" s="25"/>
      <c r="L357" s="25"/>
      <c r="M357" s="25"/>
      <c r="N357" s="25"/>
      <c r="O357" s="25"/>
      <c r="P357" s="25"/>
      <c r="Q357" s="25"/>
      <c r="R357" s="25"/>
      <c r="S357" s="25"/>
      <c r="T357" s="25"/>
      <c r="U357" s="25"/>
      <c r="V357" s="25"/>
      <c r="W357" s="25"/>
      <c r="X357" s="25"/>
    </row>
    <row r="358" spans="1:24" ht="13">
      <c r="A358" s="25"/>
      <c r="B358" s="25"/>
      <c r="C358" s="25"/>
      <c r="D358" s="25" t="str">
        <f t="array" ref="D358">IF(OR(LEFT(C358,1)="(",COUNTA(C358)=0),"", INDEX(Honor!$B$2:$B998,MATCH(C358,Honor!$A$2:$A998,0)))</f>
        <v/>
      </c>
      <c r="E358" s="25" t="str">
        <f t="array" ref="E358">IF(OR(LEFT(C358,1)="(",COUNTA(C358)=0),"",INDEX(Honor!$O$2:$O998,MATCH(C358,Honor!$A$2:$A998,0)))</f>
        <v/>
      </c>
      <c r="F358" s="25"/>
      <c r="G358" s="25"/>
      <c r="H358" s="25"/>
      <c r="I358" s="25"/>
      <c r="J358" s="25"/>
      <c r="K358" s="25"/>
      <c r="L358" s="25"/>
      <c r="M358" s="25"/>
      <c r="N358" s="25"/>
      <c r="O358" s="25"/>
      <c r="P358" s="25"/>
      <c r="Q358" s="25"/>
      <c r="R358" s="25"/>
      <c r="S358" s="25"/>
      <c r="T358" s="25"/>
      <c r="U358" s="25"/>
      <c r="V358" s="25"/>
      <c r="W358" s="25"/>
      <c r="X358" s="25"/>
    </row>
    <row r="359" spans="1:24" ht="13">
      <c r="A359" s="25"/>
      <c r="B359" s="25"/>
      <c r="C359" s="25"/>
      <c r="D359" s="25" t="str">
        <f t="array" ref="D359">IF(OR(LEFT(C359,1)="(",COUNTA(C359)=0),"", INDEX(Honor!$B$2:$B998,MATCH(C359,Honor!$A$2:$A998,0)))</f>
        <v/>
      </c>
      <c r="E359" s="25" t="str">
        <f t="array" ref="E359">IF(OR(LEFT(C359,1)="(",COUNTA(C359)=0),"",INDEX(Honor!$O$2:$O998,MATCH(C359,Honor!$A$2:$A998,0)))</f>
        <v/>
      </c>
      <c r="F359" s="25"/>
      <c r="G359" s="25"/>
      <c r="H359" s="25"/>
      <c r="I359" s="25"/>
      <c r="J359" s="25"/>
      <c r="K359" s="25"/>
      <c r="L359" s="25"/>
      <c r="M359" s="25"/>
      <c r="N359" s="25"/>
      <c r="O359" s="25"/>
      <c r="P359" s="25"/>
      <c r="Q359" s="25"/>
      <c r="R359" s="25"/>
      <c r="S359" s="25"/>
      <c r="T359" s="25"/>
      <c r="U359" s="25"/>
      <c r="V359" s="25"/>
      <c r="W359" s="25"/>
      <c r="X359" s="25"/>
    </row>
    <row r="360" spans="1:24" ht="13">
      <c r="A360" s="25"/>
      <c r="B360" s="25"/>
      <c r="C360" s="25"/>
      <c r="D360" s="25" t="str">
        <f t="array" ref="D360">IF(OR(LEFT(C360,1)="(",COUNTA(C360)=0),"", INDEX(Honor!$B$2:$B998,MATCH(C360,Honor!$A$2:$A998,0)))</f>
        <v/>
      </c>
      <c r="E360" s="25" t="str">
        <f t="array" ref="E360">IF(OR(LEFT(C360,1)="(",COUNTA(C360)=0),"",INDEX(Honor!$O$2:$O998,MATCH(C360,Honor!$A$2:$A998,0)))</f>
        <v/>
      </c>
      <c r="F360" s="25"/>
      <c r="G360" s="25"/>
      <c r="H360" s="25"/>
      <c r="I360" s="25"/>
      <c r="J360" s="25"/>
      <c r="K360" s="25"/>
      <c r="L360" s="25"/>
      <c r="M360" s="25"/>
      <c r="N360" s="25"/>
      <c r="O360" s="25"/>
      <c r="P360" s="25"/>
      <c r="Q360" s="25"/>
      <c r="R360" s="25"/>
      <c r="S360" s="25"/>
      <c r="T360" s="25"/>
      <c r="U360" s="25"/>
      <c r="V360" s="25"/>
      <c r="W360" s="25"/>
      <c r="X360" s="25"/>
    </row>
    <row r="361" spans="1:24" ht="13">
      <c r="A361" s="25"/>
      <c r="B361" s="25"/>
      <c r="C361" s="25"/>
      <c r="D361" s="25" t="str">
        <f t="array" ref="D361">IF(OR(LEFT(C361,1)="(",COUNTA(C361)=0),"", INDEX(Honor!$B$2:$B998,MATCH(C361,Honor!$A$2:$A998,0)))</f>
        <v/>
      </c>
      <c r="E361" s="25" t="str">
        <f t="array" ref="E361">IF(OR(LEFT(C361,1)="(",COUNTA(C361)=0),"",INDEX(Honor!$O$2:$O998,MATCH(C361,Honor!$A$2:$A998,0)))</f>
        <v/>
      </c>
      <c r="F361" s="25"/>
      <c r="G361" s="25"/>
      <c r="H361" s="25"/>
      <c r="I361" s="25"/>
      <c r="J361" s="25"/>
      <c r="K361" s="25"/>
      <c r="L361" s="25"/>
      <c r="M361" s="25"/>
      <c r="N361" s="25"/>
      <c r="O361" s="25"/>
      <c r="P361" s="25"/>
      <c r="Q361" s="25"/>
      <c r="R361" s="25"/>
      <c r="S361" s="25"/>
      <c r="T361" s="25"/>
      <c r="U361" s="25"/>
      <c r="V361" s="25"/>
      <c r="W361" s="25"/>
      <c r="X361" s="25"/>
    </row>
    <row r="362" spans="1:24" ht="13">
      <c r="A362" s="25"/>
      <c r="B362" s="25"/>
      <c r="C362" s="25"/>
      <c r="D362" s="25" t="str">
        <f t="array" ref="D362">IF(OR(LEFT(C362,1)="(",COUNTA(C362)=0),"", INDEX(Honor!$B$2:$B998,MATCH(C362,Honor!$A$2:$A998,0)))</f>
        <v/>
      </c>
      <c r="E362" s="25" t="str">
        <f t="array" ref="E362">IF(OR(LEFT(C362,1)="(",COUNTA(C362)=0),"",INDEX(Honor!$O$2:$O998,MATCH(C362,Honor!$A$2:$A998,0)))</f>
        <v/>
      </c>
      <c r="F362" s="25"/>
      <c r="G362" s="25"/>
      <c r="H362" s="25"/>
      <c r="I362" s="25"/>
      <c r="J362" s="25"/>
      <c r="K362" s="25"/>
      <c r="L362" s="25"/>
      <c r="M362" s="25"/>
      <c r="N362" s="25"/>
      <c r="O362" s="25"/>
      <c r="P362" s="25"/>
      <c r="Q362" s="25"/>
      <c r="R362" s="25"/>
      <c r="S362" s="25"/>
      <c r="T362" s="25"/>
      <c r="U362" s="25"/>
      <c r="V362" s="25"/>
      <c r="W362" s="25"/>
      <c r="X362" s="25"/>
    </row>
    <row r="363" spans="1:24" ht="13">
      <c r="A363" s="25"/>
      <c r="B363" s="25"/>
      <c r="C363" s="25"/>
      <c r="D363" s="25" t="str">
        <f t="array" ref="D363">IF(OR(LEFT(C363,1)="(",COUNTA(C363)=0),"", INDEX(Honor!$B$2:$B998,MATCH(C363,Honor!$A$2:$A998,0)))</f>
        <v/>
      </c>
      <c r="E363" s="25" t="str">
        <f t="array" ref="E363">IF(OR(LEFT(C363,1)="(",COUNTA(C363)=0),"",INDEX(Honor!$O$2:$O998,MATCH(C363,Honor!$A$2:$A998,0)))</f>
        <v/>
      </c>
      <c r="F363" s="25"/>
      <c r="G363" s="25"/>
      <c r="H363" s="25"/>
      <c r="I363" s="25"/>
      <c r="J363" s="25"/>
      <c r="K363" s="25"/>
      <c r="L363" s="25"/>
      <c r="M363" s="25"/>
      <c r="N363" s="25"/>
      <c r="O363" s="25"/>
      <c r="P363" s="25"/>
      <c r="Q363" s="25"/>
      <c r="R363" s="25"/>
      <c r="S363" s="25"/>
      <c r="T363" s="25"/>
      <c r="U363" s="25"/>
      <c r="V363" s="25"/>
      <c r="W363" s="25"/>
      <c r="X363" s="25"/>
    </row>
    <row r="364" spans="1:24" ht="13">
      <c r="A364" s="25"/>
      <c r="B364" s="25"/>
      <c r="C364" s="25"/>
      <c r="D364" s="25" t="str">
        <f t="array" ref="D364">IF(OR(LEFT(C364,1)="(",COUNTA(C364)=0),"", INDEX(Honor!$B$2:$B998,MATCH(C364,Honor!$A$2:$A998,0)))</f>
        <v/>
      </c>
      <c r="E364" s="25" t="str">
        <f t="array" ref="E364">IF(OR(LEFT(C364,1)="(",COUNTA(C364)=0),"",INDEX(Honor!$O$2:$O998,MATCH(C364,Honor!$A$2:$A998,0)))</f>
        <v/>
      </c>
      <c r="F364" s="25"/>
      <c r="G364" s="25"/>
      <c r="H364" s="25"/>
      <c r="I364" s="25"/>
      <c r="J364" s="25"/>
      <c r="K364" s="25"/>
      <c r="L364" s="25"/>
      <c r="M364" s="25"/>
      <c r="N364" s="25"/>
      <c r="O364" s="25"/>
      <c r="P364" s="25"/>
      <c r="Q364" s="25"/>
      <c r="R364" s="25"/>
      <c r="S364" s="25"/>
      <c r="T364" s="25"/>
      <c r="U364" s="25"/>
      <c r="V364" s="25"/>
      <c r="W364" s="25"/>
      <c r="X364" s="25"/>
    </row>
    <row r="365" spans="1:24" ht="13">
      <c r="A365" s="25"/>
      <c r="B365" s="25"/>
      <c r="C365" s="25"/>
      <c r="D365" s="25" t="str">
        <f t="array" ref="D365">IF(OR(LEFT(C365,1)="(",COUNTA(C365)=0),"", INDEX(Honor!$B$2:$B998,MATCH(C365,Honor!$A$2:$A998,0)))</f>
        <v/>
      </c>
      <c r="E365" s="25" t="str">
        <f t="array" ref="E365">IF(OR(LEFT(C365,1)="(",COUNTA(C365)=0),"",INDEX(Honor!$O$2:$O998,MATCH(C365,Honor!$A$2:$A998,0)))</f>
        <v/>
      </c>
      <c r="F365" s="25"/>
      <c r="G365" s="25"/>
      <c r="H365" s="25"/>
      <c r="I365" s="25"/>
      <c r="J365" s="25"/>
      <c r="K365" s="25"/>
      <c r="L365" s="25"/>
      <c r="M365" s="25"/>
      <c r="N365" s="25"/>
      <c r="O365" s="25"/>
      <c r="P365" s="25"/>
      <c r="Q365" s="25"/>
      <c r="R365" s="25"/>
      <c r="S365" s="25"/>
      <c r="T365" s="25"/>
      <c r="U365" s="25"/>
      <c r="V365" s="25"/>
      <c r="W365" s="25"/>
      <c r="X365" s="25"/>
    </row>
    <row r="366" spans="1:24" ht="13">
      <c r="A366" s="25"/>
      <c r="B366" s="25"/>
      <c r="C366" s="25"/>
      <c r="D366" s="25" t="str">
        <f t="array" ref="D366">IF(OR(LEFT(C366,1)="(",COUNTA(C366)=0),"", INDEX(Honor!$B$2:$B998,MATCH(C366,Honor!$A$2:$A998,0)))</f>
        <v/>
      </c>
      <c r="E366" s="25" t="str">
        <f t="array" ref="E366">IF(OR(LEFT(C366,1)="(",COUNTA(C366)=0),"",INDEX(Honor!$O$2:$O998,MATCH(C366,Honor!$A$2:$A998,0)))</f>
        <v/>
      </c>
      <c r="F366" s="25"/>
      <c r="G366" s="25"/>
      <c r="H366" s="25"/>
      <c r="I366" s="25"/>
      <c r="J366" s="25"/>
      <c r="K366" s="25"/>
      <c r="L366" s="25"/>
      <c r="M366" s="25"/>
      <c r="N366" s="25"/>
      <c r="O366" s="25"/>
      <c r="P366" s="25"/>
      <c r="Q366" s="25"/>
      <c r="R366" s="25"/>
      <c r="S366" s="25"/>
      <c r="T366" s="25"/>
      <c r="U366" s="25"/>
      <c r="V366" s="25"/>
      <c r="W366" s="25"/>
      <c r="X366" s="25"/>
    </row>
    <row r="367" spans="1:24" ht="13">
      <c r="A367" s="25"/>
      <c r="B367" s="25"/>
      <c r="C367" s="25"/>
      <c r="D367" s="25" t="str">
        <f t="array" ref="D367">IF(OR(LEFT(C367,1)="(",COUNTA(C367)=0),"", INDEX(Honor!$B$2:$B998,MATCH(C367,Honor!$A$2:$A998,0)))</f>
        <v/>
      </c>
      <c r="E367" s="25" t="str">
        <f t="array" ref="E367">IF(OR(LEFT(C367,1)="(",COUNTA(C367)=0),"",INDEX(Honor!$O$2:$O998,MATCH(C367,Honor!$A$2:$A998,0)))</f>
        <v/>
      </c>
      <c r="F367" s="25"/>
      <c r="G367" s="25"/>
      <c r="H367" s="25"/>
      <c r="I367" s="25"/>
      <c r="J367" s="25"/>
      <c r="K367" s="25"/>
      <c r="L367" s="25"/>
      <c r="M367" s="25"/>
      <c r="N367" s="25"/>
      <c r="O367" s="25"/>
      <c r="P367" s="25"/>
      <c r="Q367" s="25"/>
      <c r="R367" s="25"/>
      <c r="S367" s="25"/>
      <c r="T367" s="25"/>
      <c r="U367" s="25"/>
      <c r="V367" s="25"/>
      <c r="W367" s="25"/>
      <c r="X367" s="25"/>
    </row>
    <row r="368" spans="1:24" ht="13">
      <c r="A368" s="25"/>
      <c r="B368" s="25"/>
      <c r="C368" s="25"/>
      <c r="D368" s="25" t="str">
        <f t="array" ref="D368">IF(OR(LEFT(C368,1)="(",COUNTA(C368)=0),"", INDEX(Honor!$B$2:$B998,MATCH(C368,Honor!$A$2:$A998,0)))</f>
        <v/>
      </c>
      <c r="E368" s="25" t="str">
        <f t="array" ref="E368">IF(OR(LEFT(C368,1)="(",COUNTA(C368)=0),"",INDEX(Honor!$O$2:$O998,MATCH(C368,Honor!$A$2:$A998,0)))</f>
        <v/>
      </c>
      <c r="F368" s="25"/>
      <c r="G368" s="25"/>
      <c r="H368" s="25"/>
      <c r="I368" s="25"/>
      <c r="J368" s="25"/>
      <c r="K368" s="25"/>
      <c r="L368" s="25"/>
      <c r="M368" s="25"/>
      <c r="N368" s="25"/>
      <c r="O368" s="25"/>
      <c r="P368" s="25"/>
      <c r="Q368" s="25"/>
      <c r="R368" s="25"/>
      <c r="S368" s="25"/>
      <c r="T368" s="25"/>
      <c r="U368" s="25"/>
      <c r="V368" s="25"/>
      <c r="W368" s="25"/>
      <c r="X368" s="25"/>
    </row>
    <row r="369" spans="1:24" ht="13">
      <c r="A369" s="25"/>
      <c r="B369" s="25"/>
      <c r="C369" s="25"/>
      <c r="D369" s="25" t="str">
        <f t="array" ref="D369">IF(OR(LEFT(C369,1)="(",COUNTA(C369)=0),"", INDEX(Honor!$B$2:$B998,MATCH(C369,Honor!$A$2:$A998,0)))</f>
        <v/>
      </c>
      <c r="E369" s="25" t="str">
        <f t="array" ref="E369">IF(OR(LEFT(C369,1)="(",COUNTA(C369)=0),"",INDEX(Honor!$O$2:$O998,MATCH(C369,Honor!$A$2:$A998,0)))</f>
        <v/>
      </c>
      <c r="F369" s="25"/>
      <c r="G369" s="25"/>
      <c r="H369" s="25"/>
      <c r="I369" s="25"/>
      <c r="J369" s="25"/>
      <c r="K369" s="25"/>
      <c r="L369" s="25"/>
      <c r="M369" s="25"/>
      <c r="N369" s="25"/>
      <c r="O369" s="25"/>
      <c r="P369" s="25"/>
      <c r="Q369" s="25"/>
      <c r="R369" s="25"/>
      <c r="S369" s="25"/>
      <c r="T369" s="25"/>
      <c r="U369" s="25"/>
      <c r="V369" s="25"/>
      <c r="W369" s="25"/>
      <c r="X369" s="25"/>
    </row>
    <row r="370" spans="1:24" ht="13">
      <c r="A370" s="25"/>
      <c r="B370" s="25"/>
      <c r="C370" s="25"/>
      <c r="D370" s="25" t="str">
        <f t="array" ref="D370">IF(OR(LEFT(C370,1)="(",COUNTA(C370)=0),"", INDEX(Honor!$B$2:$B998,MATCH(C370,Honor!$A$2:$A998,0)))</f>
        <v/>
      </c>
      <c r="E370" s="25" t="str">
        <f t="array" ref="E370">IF(OR(LEFT(C370,1)="(",COUNTA(C370)=0),"",INDEX(Honor!$O$2:$O998,MATCH(C370,Honor!$A$2:$A998,0)))</f>
        <v/>
      </c>
      <c r="F370" s="25"/>
      <c r="G370" s="25"/>
      <c r="H370" s="25"/>
      <c r="I370" s="25"/>
      <c r="J370" s="25"/>
      <c r="K370" s="25"/>
      <c r="L370" s="25"/>
      <c r="M370" s="25"/>
      <c r="N370" s="25"/>
      <c r="O370" s="25"/>
      <c r="P370" s="25"/>
      <c r="Q370" s="25"/>
      <c r="R370" s="25"/>
      <c r="S370" s="25"/>
      <c r="T370" s="25"/>
      <c r="U370" s="25"/>
      <c r="V370" s="25"/>
      <c r="W370" s="25"/>
      <c r="X370" s="25"/>
    </row>
    <row r="371" spans="1:24" ht="13">
      <c r="A371" s="25"/>
      <c r="B371" s="25"/>
      <c r="C371" s="25"/>
      <c r="D371" s="25" t="str">
        <f t="array" ref="D371">IF(OR(LEFT(C371,1)="(",COUNTA(C371)=0),"", INDEX(Honor!$B$2:$B998,MATCH(C371,Honor!$A$2:$A998,0)))</f>
        <v/>
      </c>
      <c r="E371" s="25" t="str">
        <f t="array" ref="E371">IF(OR(LEFT(C371,1)="(",COUNTA(C371)=0),"",INDEX(Honor!$O$2:$O998,MATCH(C371,Honor!$A$2:$A998,0)))</f>
        <v/>
      </c>
      <c r="F371" s="25"/>
      <c r="G371" s="25"/>
      <c r="H371" s="25"/>
      <c r="I371" s="25"/>
      <c r="J371" s="25"/>
      <c r="K371" s="25"/>
      <c r="L371" s="25"/>
      <c r="M371" s="25"/>
      <c r="N371" s="25"/>
      <c r="O371" s="25"/>
      <c r="P371" s="25"/>
      <c r="Q371" s="25"/>
      <c r="R371" s="25"/>
      <c r="S371" s="25"/>
      <c r="T371" s="25"/>
      <c r="U371" s="25"/>
      <c r="V371" s="25"/>
      <c r="W371" s="25"/>
      <c r="X371" s="25"/>
    </row>
    <row r="372" spans="1:24" ht="13">
      <c r="A372" s="25"/>
      <c r="B372" s="25"/>
      <c r="C372" s="25"/>
      <c r="D372" s="25" t="str">
        <f t="array" ref="D372">IF(OR(LEFT(C372,1)="(",COUNTA(C372)=0),"", INDEX(Honor!$B$2:$B998,MATCH(C372,Honor!$A$2:$A998,0)))</f>
        <v/>
      </c>
      <c r="E372" s="25" t="str">
        <f t="array" ref="E372">IF(OR(LEFT(C372,1)="(",COUNTA(C372)=0),"",INDEX(Honor!$O$2:$O998,MATCH(C372,Honor!$A$2:$A998,0)))</f>
        <v/>
      </c>
      <c r="F372" s="25"/>
      <c r="G372" s="25"/>
      <c r="H372" s="25"/>
      <c r="I372" s="25"/>
      <c r="J372" s="25"/>
      <c r="K372" s="25"/>
      <c r="L372" s="25"/>
      <c r="M372" s="25"/>
      <c r="N372" s="25"/>
      <c r="O372" s="25"/>
      <c r="P372" s="25"/>
      <c r="Q372" s="25"/>
      <c r="R372" s="25"/>
      <c r="S372" s="25"/>
      <c r="T372" s="25"/>
      <c r="U372" s="25"/>
      <c r="V372" s="25"/>
      <c r="W372" s="25"/>
      <c r="X372" s="25"/>
    </row>
    <row r="373" spans="1:24" ht="13">
      <c r="A373" s="25"/>
      <c r="B373" s="25"/>
      <c r="C373" s="25"/>
      <c r="D373" s="25" t="str">
        <f t="array" ref="D373">IF(OR(LEFT(C373,1)="(",COUNTA(C373)=0),"", INDEX(Honor!$B$2:$B998,MATCH(C373,Honor!$A$2:$A998,0)))</f>
        <v/>
      </c>
      <c r="E373" s="25" t="str">
        <f t="array" ref="E373">IF(OR(LEFT(C373,1)="(",COUNTA(C373)=0),"",INDEX(Honor!$O$2:$O998,MATCH(C373,Honor!$A$2:$A998,0)))</f>
        <v/>
      </c>
      <c r="F373" s="25"/>
      <c r="G373" s="25"/>
      <c r="H373" s="25"/>
      <c r="I373" s="25"/>
      <c r="J373" s="25"/>
      <c r="K373" s="25"/>
      <c r="L373" s="25"/>
      <c r="M373" s="25"/>
      <c r="N373" s="25"/>
      <c r="O373" s="25"/>
      <c r="P373" s="25"/>
      <c r="Q373" s="25"/>
      <c r="R373" s="25"/>
      <c r="S373" s="25"/>
      <c r="T373" s="25"/>
      <c r="U373" s="25"/>
      <c r="V373" s="25"/>
      <c r="W373" s="25"/>
      <c r="X373" s="25"/>
    </row>
    <row r="374" spans="1:24" ht="13">
      <c r="A374" s="25"/>
      <c r="B374" s="25"/>
      <c r="C374" s="25"/>
      <c r="D374" s="25" t="str">
        <f t="array" ref="D374">IF(OR(LEFT(C374,1)="(",COUNTA(C374)=0),"", INDEX(Honor!$B$2:$B998,MATCH(C374,Honor!$A$2:$A998,0)))</f>
        <v/>
      </c>
      <c r="E374" s="25" t="str">
        <f t="array" ref="E374">IF(OR(LEFT(C374,1)="(",COUNTA(C374)=0),"",INDEX(Honor!$O$2:$O998,MATCH(C374,Honor!$A$2:$A998,0)))</f>
        <v/>
      </c>
      <c r="F374" s="25"/>
      <c r="G374" s="25"/>
      <c r="H374" s="25"/>
      <c r="I374" s="25"/>
      <c r="J374" s="25"/>
      <c r="K374" s="25"/>
      <c r="L374" s="25"/>
      <c r="M374" s="25"/>
      <c r="N374" s="25"/>
      <c r="O374" s="25"/>
      <c r="P374" s="25"/>
      <c r="Q374" s="25"/>
      <c r="R374" s="25"/>
      <c r="S374" s="25"/>
      <c r="T374" s="25"/>
      <c r="U374" s="25"/>
      <c r="V374" s="25"/>
      <c r="W374" s="25"/>
      <c r="X374" s="25"/>
    </row>
    <row r="375" spans="1:24" ht="13">
      <c r="A375" s="25"/>
      <c r="B375" s="25"/>
      <c r="C375" s="25"/>
      <c r="D375" s="25" t="str">
        <f t="array" ref="D375">IF(OR(LEFT(C375,1)="(",COUNTA(C375)=0),"", INDEX(Honor!$B$2:$B998,MATCH(C375,Honor!$A$2:$A998,0)))</f>
        <v/>
      </c>
      <c r="E375" s="25" t="str">
        <f t="array" ref="E375">IF(OR(LEFT(C375,1)="(",COUNTA(C375)=0),"",INDEX(Honor!$O$2:$O998,MATCH(C375,Honor!$A$2:$A998,0)))</f>
        <v/>
      </c>
      <c r="F375" s="25"/>
      <c r="G375" s="25"/>
      <c r="H375" s="25"/>
      <c r="I375" s="25"/>
      <c r="J375" s="25"/>
      <c r="K375" s="25"/>
      <c r="L375" s="25"/>
      <c r="M375" s="25"/>
      <c r="N375" s="25"/>
      <c r="O375" s="25"/>
      <c r="P375" s="25"/>
      <c r="Q375" s="25"/>
      <c r="R375" s="25"/>
      <c r="S375" s="25"/>
      <c r="T375" s="25"/>
      <c r="U375" s="25"/>
      <c r="V375" s="25"/>
      <c r="W375" s="25"/>
      <c r="X375" s="25"/>
    </row>
    <row r="376" spans="1:24" ht="13">
      <c r="A376" s="25"/>
      <c r="B376" s="25"/>
      <c r="C376" s="25"/>
      <c r="D376" s="25" t="str">
        <f t="array" ref="D376">IF(OR(LEFT(C376,1)="(",COUNTA(C376)=0),"", INDEX(Honor!$B$2:$B998,MATCH(C376,Honor!$A$2:$A998,0)))</f>
        <v/>
      </c>
      <c r="E376" s="25" t="str">
        <f t="array" ref="E376">IF(OR(LEFT(C376,1)="(",COUNTA(C376)=0),"",INDEX(Honor!$O$2:$O998,MATCH(C376,Honor!$A$2:$A998,0)))</f>
        <v/>
      </c>
      <c r="F376" s="25"/>
      <c r="G376" s="25"/>
      <c r="H376" s="25"/>
      <c r="I376" s="25"/>
      <c r="J376" s="25"/>
      <c r="K376" s="25"/>
      <c r="L376" s="25"/>
      <c r="M376" s="25"/>
      <c r="N376" s="25"/>
      <c r="O376" s="25"/>
      <c r="P376" s="25"/>
      <c r="Q376" s="25"/>
      <c r="R376" s="25"/>
      <c r="S376" s="25"/>
      <c r="T376" s="25"/>
      <c r="U376" s="25"/>
      <c r="V376" s="25"/>
      <c r="W376" s="25"/>
      <c r="X376" s="25"/>
    </row>
    <row r="377" spans="1:24" ht="13">
      <c r="A377" s="25"/>
      <c r="B377" s="25"/>
      <c r="C377" s="25"/>
      <c r="D377" s="25" t="str">
        <f t="array" ref="D377">IF(OR(LEFT(C377,1)="(",COUNTA(C377)=0),"", INDEX(Honor!$B$2:$B998,MATCH(C377,Honor!$A$2:$A998,0)))</f>
        <v/>
      </c>
      <c r="E377" s="25" t="str">
        <f t="array" ref="E377">IF(OR(LEFT(C377,1)="(",COUNTA(C377)=0),"",INDEX(Honor!$O$2:$O998,MATCH(C377,Honor!$A$2:$A998,0)))</f>
        <v/>
      </c>
      <c r="F377" s="25"/>
      <c r="G377" s="25"/>
      <c r="H377" s="25"/>
      <c r="I377" s="25"/>
      <c r="J377" s="25"/>
      <c r="K377" s="25"/>
      <c r="L377" s="25"/>
      <c r="M377" s="25"/>
      <c r="N377" s="25"/>
      <c r="O377" s="25"/>
      <c r="P377" s="25"/>
      <c r="Q377" s="25"/>
      <c r="R377" s="25"/>
      <c r="S377" s="25"/>
      <c r="T377" s="25"/>
      <c r="U377" s="25"/>
      <c r="V377" s="25"/>
      <c r="W377" s="25"/>
      <c r="X377" s="25"/>
    </row>
    <row r="378" spans="1:24" ht="13">
      <c r="A378" s="25"/>
      <c r="B378" s="25"/>
      <c r="C378" s="25"/>
      <c r="D378" s="25" t="str">
        <f t="array" ref="D378">IF(OR(LEFT(C378,1)="(",COUNTA(C378)=0),"", INDEX(Honor!$B$2:$B998,MATCH(C378,Honor!$A$2:$A998,0)))</f>
        <v/>
      </c>
      <c r="E378" s="25" t="str">
        <f t="array" ref="E378">IF(OR(LEFT(C378,1)="(",COUNTA(C378)=0),"",INDEX(Honor!$O$2:$O998,MATCH(C378,Honor!$A$2:$A998,0)))</f>
        <v/>
      </c>
      <c r="F378" s="25"/>
      <c r="G378" s="25"/>
      <c r="H378" s="25"/>
      <c r="I378" s="25"/>
      <c r="J378" s="25"/>
      <c r="K378" s="25"/>
      <c r="L378" s="25"/>
      <c r="M378" s="25"/>
      <c r="N378" s="25"/>
      <c r="O378" s="25"/>
      <c r="P378" s="25"/>
      <c r="Q378" s="25"/>
      <c r="R378" s="25"/>
      <c r="S378" s="25"/>
      <c r="T378" s="25"/>
      <c r="U378" s="25"/>
      <c r="V378" s="25"/>
      <c r="W378" s="25"/>
      <c r="X378" s="25"/>
    </row>
    <row r="379" spans="1:24" ht="13">
      <c r="A379" s="25"/>
      <c r="B379" s="25"/>
      <c r="C379" s="25"/>
      <c r="D379" s="25" t="str">
        <f t="array" ref="D379">IF(OR(LEFT(C379,1)="(",COUNTA(C379)=0),"", INDEX(Honor!$B$2:$B998,MATCH(C379,Honor!$A$2:$A998,0)))</f>
        <v/>
      </c>
      <c r="E379" s="25" t="str">
        <f t="array" ref="E379">IF(OR(LEFT(C379,1)="(",COUNTA(C379)=0),"",INDEX(Honor!$O$2:$O998,MATCH(C379,Honor!$A$2:$A998,0)))</f>
        <v/>
      </c>
      <c r="F379" s="25"/>
      <c r="G379" s="25"/>
      <c r="H379" s="25"/>
      <c r="I379" s="25"/>
      <c r="J379" s="25"/>
      <c r="K379" s="25"/>
      <c r="L379" s="25"/>
      <c r="M379" s="25"/>
      <c r="N379" s="25"/>
      <c r="O379" s="25"/>
      <c r="P379" s="25"/>
      <c r="Q379" s="25"/>
      <c r="R379" s="25"/>
      <c r="S379" s="25"/>
      <c r="T379" s="25"/>
      <c r="U379" s="25"/>
      <c r="V379" s="25"/>
      <c r="W379" s="25"/>
      <c r="X379" s="25"/>
    </row>
    <row r="380" spans="1:24" ht="13">
      <c r="A380" s="25"/>
      <c r="B380" s="25"/>
      <c r="C380" s="25"/>
      <c r="D380" s="25" t="str">
        <f t="array" ref="D380">IF(OR(LEFT(C380,1)="(",COUNTA(C380)=0),"", INDEX(Honor!$B$2:$B998,MATCH(C380,Honor!$A$2:$A998,0)))</f>
        <v/>
      </c>
      <c r="E380" s="25" t="str">
        <f t="array" ref="E380">IF(OR(LEFT(C380,1)="(",COUNTA(C380)=0),"",INDEX(Honor!$O$2:$O998,MATCH(C380,Honor!$A$2:$A998,0)))</f>
        <v/>
      </c>
      <c r="F380" s="25"/>
      <c r="G380" s="25"/>
      <c r="H380" s="25"/>
      <c r="I380" s="25"/>
      <c r="J380" s="25"/>
      <c r="K380" s="25"/>
      <c r="L380" s="25"/>
      <c r="M380" s="25"/>
      <c r="N380" s="25"/>
      <c r="O380" s="25"/>
      <c r="P380" s="25"/>
      <c r="Q380" s="25"/>
      <c r="R380" s="25"/>
      <c r="S380" s="25"/>
      <c r="T380" s="25"/>
      <c r="U380" s="25"/>
      <c r="V380" s="25"/>
      <c r="W380" s="25"/>
      <c r="X380" s="25"/>
    </row>
    <row r="381" spans="1:24" ht="13">
      <c r="A381" s="25"/>
      <c r="B381" s="25"/>
      <c r="C381" s="25"/>
      <c r="D381" s="25" t="str">
        <f t="array" ref="D381">IF(OR(LEFT(C381,1)="(",COUNTA(C381)=0),"", INDEX(Honor!$B$2:$B998,MATCH(C381,Honor!$A$2:$A998,0)))</f>
        <v/>
      </c>
      <c r="E381" s="25" t="str">
        <f t="array" ref="E381">IF(OR(LEFT(C381,1)="(",COUNTA(C381)=0),"",INDEX(Honor!$O$2:$O998,MATCH(C381,Honor!$A$2:$A998,0)))</f>
        <v/>
      </c>
      <c r="F381" s="25"/>
      <c r="G381" s="25"/>
      <c r="H381" s="25"/>
      <c r="I381" s="25"/>
      <c r="J381" s="25"/>
      <c r="K381" s="25"/>
      <c r="L381" s="25"/>
      <c r="M381" s="25"/>
      <c r="N381" s="25"/>
      <c r="O381" s="25"/>
      <c r="P381" s="25"/>
      <c r="Q381" s="25"/>
      <c r="R381" s="25"/>
      <c r="S381" s="25"/>
      <c r="T381" s="25"/>
      <c r="U381" s="25"/>
      <c r="V381" s="25"/>
      <c r="W381" s="25"/>
      <c r="X381" s="25"/>
    </row>
    <row r="382" spans="1:24" ht="13">
      <c r="A382" s="25"/>
      <c r="B382" s="25"/>
      <c r="C382" s="25"/>
      <c r="D382" s="25" t="str">
        <f t="array" ref="D382">IF(OR(LEFT(C382,1)="(",COUNTA(C382)=0),"", INDEX(Honor!$B$2:$B998,MATCH(C382,Honor!$A$2:$A998,0)))</f>
        <v/>
      </c>
      <c r="E382" s="25" t="str">
        <f t="array" ref="E382">IF(OR(LEFT(C382,1)="(",COUNTA(C382)=0),"",INDEX(Honor!$O$2:$O998,MATCH(C382,Honor!$A$2:$A998,0)))</f>
        <v/>
      </c>
      <c r="F382" s="25"/>
      <c r="G382" s="25"/>
      <c r="H382" s="25"/>
      <c r="I382" s="25"/>
      <c r="J382" s="25"/>
      <c r="K382" s="25"/>
      <c r="L382" s="25"/>
      <c r="M382" s="25"/>
      <c r="N382" s="25"/>
      <c r="O382" s="25"/>
      <c r="P382" s="25"/>
      <c r="Q382" s="25"/>
      <c r="R382" s="25"/>
      <c r="S382" s="25"/>
      <c r="T382" s="25"/>
      <c r="U382" s="25"/>
      <c r="V382" s="25"/>
      <c r="W382" s="25"/>
      <c r="X382" s="25"/>
    </row>
    <row r="383" spans="1:24" ht="13">
      <c r="A383" s="25"/>
      <c r="B383" s="25"/>
      <c r="C383" s="25"/>
      <c r="D383" s="25" t="str">
        <f t="array" ref="D383">IF(OR(LEFT(C383,1)="(",COUNTA(C383)=0),"", INDEX(Honor!$B$2:$B998,MATCH(C383,Honor!$A$2:$A998,0)))</f>
        <v/>
      </c>
      <c r="E383" s="25" t="str">
        <f t="array" ref="E383">IF(OR(LEFT(C383,1)="(",COUNTA(C383)=0),"",INDEX(Honor!$O$2:$O998,MATCH(C383,Honor!$A$2:$A998,0)))</f>
        <v/>
      </c>
      <c r="F383" s="25"/>
      <c r="G383" s="25"/>
      <c r="H383" s="25"/>
      <c r="I383" s="25"/>
      <c r="J383" s="25"/>
      <c r="K383" s="25"/>
      <c r="L383" s="25"/>
      <c r="M383" s="25"/>
      <c r="N383" s="25"/>
      <c r="O383" s="25"/>
      <c r="P383" s="25"/>
      <c r="Q383" s="25"/>
      <c r="R383" s="25"/>
      <c r="S383" s="25"/>
      <c r="T383" s="25"/>
      <c r="U383" s="25"/>
      <c r="V383" s="25"/>
      <c r="W383" s="25"/>
      <c r="X383" s="25"/>
    </row>
    <row r="384" spans="1:24" ht="13">
      <c r="A384" s="25"/>
      <c r="B384" s="25"/>
      <c r="C384" s="25"/>
      <c r="D384" s="25" t="str">
        <f t="array" ref="D384">IF(OR(LEFT(C384,1)="(",COUNTA(C384)=0),"", INDEX(Honor!$B$2:$B998,MATCH(C384,Honor!$A$2:$A998,0)))</f>
        <v/>
      </c>
      <c r="E384" s="25" t="str">
        <f t="array" ref="E384">IF(OR(LEFT(C384,1)="(",COUNTA(C384)=0),"",INDEX(Honor!$O$2:$O998,MATCH(C384,Honor!$A$2:$A998,0)))</f>
        <v/>
      </c>
      <c r="F384" s="25"/>
      <c r="G384" s="25"/>
      <c r="H384" s="25"/>
      <c r="I384" s="25"/>
      <c r="J384" s="25"/>
      <c r="K384" s="25"/>
      <c r="L384" s="25"/>
      <c r="M384" s="25"/>
      <c r="N384" s="25"/>
      <c r="O384" s="25"/>
      <c r="P384" s="25"/>
      <c r="Q384" s="25"/>
      <c r="R384" s="25"/>
      <c r="S384" s="25"/>
      <c r="T384" s="25"/>
      <c r="U384" s="25"/>
      <c r="V384" s="25"/>
      <c r="W384" s="25"/>
      <c r="X384" s="25"/>
    </row>
    <row r="385" spans="1:24" ht="13">
      <c r="A385" s="25"/>
      <c r="B385" s="25"/>
      <c r="C385" s="25"/>
      <c r="D385" s="25" t="str">
        <f t="array" ref="D385">IF(OR(LEFT(C385,1)="(",COUNTA(C385)=0),"", INDEX(Honor!$B$2:$B998,MATCH(C385,Honor!$A$2:$A998,0)))</f>
        <v/>
      </c>
      <c r="E385" s="25" t="str">
        <f t="array" ref="E385">IF(OR(LEFT(C385,1)="(",COUNTA(C385)=0),"",INDEX(Honor!$O$2:$O998,MATCH(C385,Honor!$A$2:$A998,0)))</f>
        <v/>
      </c>
      <c r="F385" s="25"/>
      <c r="G385" s="25"/>
      <c r="H385" s="25"/>
      <c r="I385" s="25"/>
      <c r="J385" s="25"/>
      <c r="K385" s="25"/>
      <c r="L385" s="25"/>
      <c r="M385" s="25"/>
      <c r="N385" s="25"/>
      <c r="O385" s="25"/>
      <c r="P385" s="25"/>
      <c r="Q385" s="25"/>
      <c r="R385" s="25"/>
      <c r="S385" s="25"/>
      <c r="T385" s="25"/>
      <c r="U385" s="25"/>
      <c r="V385" s="25"/>
      <c r="W385" s="25"/>
      <c r="X385" s="25"/>
    </row>
    <row r="386" spans="1:24" ht="13">
      <c r="A386" s="25"/>
      <c r="B386" s="25"/>
      <c r="C386" s="25"/>
      <c r="D386" s="25" t="str">
        <f t="array" ref="D386">IF(OR(LEFT(C386,1)="(",COUNTA(C386)=0),"", INDEX(Honor!$B$2:$B998,MATCH(C386,Honor!$A$2:$A998,0)))</f>
        <v/>
      </c>
      <c r="E386" s="25" t="str">
        <f t="array" ref="E386">IF(OR(LEFT(C386,1)="(",COUNTA(C386)=0),"",INDEX(Honor!$O$2:$O998,MATCH(C386,Honor!$A$2:$A998,0)))</f>
        <v/>
      </c>
      <c r="F386" s="25"/>
      <c r="G386" s="25"/>
      <c r="H386" s="25"/>
      <c r="I386" s="25"/>
      <c r="J386" s="25"/>
      <c r="K386" s="25"/>
      <c r="L386" s="25"/>
      <c r="M386" s="25"/>
      <c r="N386" s="25"/>
      <c r="O386" s="25"/>
      <c r="P386" s="25"/>
      <c r="Q386" s="25"/>
      <c r="R386" s="25"/>
      <c r="S386" s="25"/>
      <c r="T386" s="25"/>
      <c r="U386" s="25"/>
      <c r="V386" s="25"/>
      <c r="W386" s="25"/>
      <c r="X386" s="25"/>
    </row>
    <row r="387" spans="1:24" ht="13">
      <c r="A387" s="25"/>
      <c r="B387" s="25"/>
      <c r="C387" s="25"/>
      <c r="D387" s="25" t="str">
        <f t="array" ref="D387">IF(OR(LEFT(C387,1)="(",COUNTA(C387)=0),"", INDEX(Honor!$B$2:$B998,MATCH(C387,Honor!$A$2:$A998,0)))</f>
        <v/>
      </c>
      <c r="E387" s="25" t="str">
        <f t="array" ref="E387">IF(OR(LEFT(C387,1)="(",COUNTA(C387)=0),"",INDEX(Honor!$O$2:$O998,MATCH(C387,Honor!$A$2:$A998,0)))</f>
        <v/>
      </c>
      <c r="F387" s="25"/>
      <c r="G387" s="25"/>
      <c r="H387" s="25"/>
      <c r="I387" s="25"/>
      <c r="J387" s="25"/>
      <c r="K387" s="25"/>
      <c r="L387" s="25"/>
      <c r="M387" s="25"/>
      <c r="N387" s="25"/>
      <c r="O387" s="25"/>
      <c r="P387" s="25"/>
      <c r="Q387" s="25"/>
      <c r="R387" s="25"/>
      <c r="S387" s="25"/>
      <c r="T387" s="25"/>
      <c r="U387" s="25"/>
      <c r="V387" s="25"/>
      <c r="W387" s="25"/>
      <c r="X387" s="25"/>
    </row>
    <row r="388" spans="1:24" ht="13">
      <c r="A388" s="25"/>
      <c r="B388" s="25"/>
      <c r="C388" s="25"/>
      <c r="D388" s="25" t="str">
        <f t="array" ref="D388">IF(OR(LEFT(C388,1)="(",COUNTA(C388)=0),"", INDEX(Honor!$B$2:$B998,MATCH(C388,Honor!$A$2:$A998,0)))</f>
        <v/>
      </c>
      <c r="E388" s="25" t="str">
        <f t="array" ref="E388">IF(OR(LEFT(C388,1)="(",COUNTA(C388)=0),"",INDEX(Honor!$O$2:$O998,MATCH(C388,Honor!$A$2:$A998,0)))</f>
        <v/>
      </c>
      <c r="F388" s="25"/>
      <c r="G388" s="25"/>
      <c r="H388" s="25"/>
      <c r="I388" s="25"/>
      <c r="J388" s="25"/>
      <c r="K388" s="25"/>
      <c r="L388" s="25"/>
      <c r="M388" s="25"/>
      <c r="N388" s="25"/>
      <c r="O388" s="25"/>
      <c r="P388" s="25"/>
      <c r="Q388" s="25"/>
      <c r="R388" s="25"/>
      <c r="S388" s="25"/>
      <c r="T388" s="25"/>
      <c r="U388" s="25"/>
      <c r="V388" s="25"/>
      <c r="W388" s="25"/>
      <c r="X388" s="25"/>
    </row>
    <row r="389" spans="1:24" ht="13">
      <c r="A389" s="25"/>
      <c r="B389" s="25"/>
      <c r="C389" s="25"/>
      <c r="D389" s="25" t="str">
        <f t="array" ref="D389">IF(OR(LEFT(C389,1)="(",COUNTA(C389)=0),"", INDEX(Honor!$B$2:$B998,MATCH(C389,Honor!$A$2:$A998,0)))</f>
        <v/>
      </c>
      <c r="E389" s="25" t="str">
        <f t="array" ref="E389">IF(OR(LEFT(C389,1)="(",COUNTA(C389)=0),"",INDEX(Honor!$O$2:$O998,MATCH(C389,Honor!$A$2:$A998,0)))</f>
        <v/>
      </c>
      <c r="F389" s="25"/>
      <c r="G389" s="25"/>
      <c r="H389" s="25"/>
      <c r="I389" s="25"/>
      <c r="J389" s="25"/>
      <c r="K389" s="25"/>
      <c r="L389" s="25"/>
      <c r="M389" s="25"/>
      <c r="N389" s="25"/>
      <c r="O389" s="25"/>
      <c r="P389" s="25"/>
      <c r="Q389" s="25"/>
      <c r="R389" s="25"/>
      <c r="S389" s="25"/>
      <c r="T389" s="25"/>
      <c r="U389" s="25"/>
      <c r="V389" s="25"/>
      <c r="W389" s="25"/>
      <c r="X389" s="25"/>
    </row>
    <row r="390" spans="1:24" ht="13">
      <c r="A390" s="25"/>
      <c r="B390" s="25"/>
      <c r="C390" s="25"/>
      <c r="D390" s="25" t="str">
        <f t="array" ref="D390">IF(OR(LEFT(C390,1)="(",COUNTA(C390)=0),"", INDEX(Honor!$B$2:$B998,MATCH(C390,Honor!$A$2:$A998,0)))</f>
        <v/>
      </c>
      <c r="E390" s="25" t="str">
        <f t="array" ref="E390">IF(OR(LEFT(C390,1)="(",COUNTA(C390)=0),"",INDEX(Honor!$O$2:$O998,MATCH(C390,Honor!$A$2:$A998,0)))</f>
        <v/>
      </c>
      <c r="F390" s="25"/>
      <c r="G390" s="25"/>
      <c r="H390" s="25"/>
      <c r="I390" s="25"/>
      <c r="J390" s="25"/>
      <c r="K390" s="25"/>
      <c r="L390" s="25"/>
      <c r="M390" s="25"/>
      <c r="N390" s="25"/>
      <c r="O390" s="25"/>
      <c r="P390" s="25"/>
      <c r="Q390" s="25"/>
      <c r="R390" s="25"/>
      <c r="S390" s="25"/>
      <c r="T390" s="25"/>
      <c r="U390" s="25"/>
      <c r="V390" s="25"/>
      <c r="W390" s="25"/>
      <c r="X390" s="25"/>
    </row>
    <row r="391" spans="1:24" ht="13">
      <c r="A391" s="25"/>
      <c r="B391" s="25"/>
      <c r="C391" s="25"/>
      <c r="D391" s="25" t="str">
        <f t="array" ref="D391">IF(OR(LEFT(C391,1)="(",COUNTA(C391)=0),"", INDEX(Honor!$B$2:$B998,MATCH(C391,Honor!$A$2:$A998,0)))</f>
        <v/>
      </c>
      <c r="E391" s="25" t="str">
        <f t="array" ref="E391">IF(OR(LEFT(C391,1)="(",COUNTA(C391)=0),"",INDEX(Honor!$O$2:$O998,MATCH(C391,Honor!$A$2:$A998,0)))</f>
        <v/>
      </c>
      <c r="F391" s="25"/>
      <c r="G391" s="25"/>
      <c r="H391" s="25"/>
      <c r="I391" s="25"/>
      <c r="J391" s="25"/>
      <c r="K391" s="25"/>
      <c r="L391" s="25"/>
      <c r="M391" s="25"/>
      <c r="N391" s="25"/>
      <c r="O391" s="25"/>
      <c r="P391" s="25"/>
      <c r="Q391" s="25"/>
      <c r="R391" s="25"/>
      <c r="S391" s="25"/>
      <c r="T391" s="25"/>
      <c r="U391" s="25"/>
      <c r="V391" s="25"/>
      <c r="W391" s="25"/>
      <c r="X391" s="25"/>
    </row>
    <row r="392" spans="1:24" ht="13">
      <c r="A392" s="25"/>
      <c r="B392" s="25"/>
      <c r="C392" s="25"/>
      <c r="D392" s="25" t="str">
        <f t="array" ref="D392">IF(OR(LEFT(C392,1)="(",COUNTA(C392)=0),"", INDEX(Honor!$B$2:$B998,MATCH(C392,Honor!$A$2:$A998,0)))</f>
        <v/>
      </c>
      <c r="E392" s="25" t="str">
        <f t="array" ref="E392">IF(OR(LEFT(C392,1)="(",COUNTA(C392)=0),"",INDEX(Honor!$O$2:$O998,MATCH(C392,Honor!$A$2:$A998,0)))</f>
        <v/>
      </c>
      <c r="F392" s="25"/>
      <c r="G392" s="25"/>
      <c r="H392" s="25"/>
      <c r="I392" s="25"/>
      <c r="J392" s="25"/>
      <c r="K392" s="25"/>
      <c r="L392" s="25"/>
      <c r="M392" s="25"/>
      <c r="N392" s="25"/>
      <c r="O392" s="25"/>
      <c r="P392" s="25"/>
      <c r="Q392" s="25"/>
      <c r="R392" s="25"/>
      <c r="S392" s="25"/>
      <c r="T392" s="25"/>
      <c r="U392" s="25"/>
      <c r="V392" s="25"/>
      <c r="W392" s="25"/>
      <c r="X392" s="25"/>
    </row>
    <row r="393" spans="1:24" ht="13">
      <c r="A393" s="25"/>
      <c r="B393" s="25"/>
      <c r="C393" s="25"/>
      <c r="D393" s="25" t="str">
        <f t="array" ref="D393">IF(OR(LEFT(C393,1)="(",COUNTA(C393)=0),"", INDEX(Honor!$B$2:$B998,MATCH(C393,Honor!$A$2:$A998,0)))</f>
        <v/>
      </c>
      <c r="E393" s="25" t="str">
        <f t="array" ref="E393">IF(OR(LEFT(C393,1)="(",COUNTA(C393)=0),"",INDEX(Honor!$O$2:$O998,MATCH(C393,Honor!$A$2:$A998,0)))</f>
        <v/>
      </c>
      <c r="F393" s="25"/>
      <c r="G393" s="25"/>
      <c r="H393" s="25"/>
      <c r="I393" s="25"/>
      <c r="J393" s="25"/>
      <c r="K393" s="25"/>
      <c r="L393" s="25"/>
      <c r="M393" s="25"/>
      <c r="N393" s="25"/>
      <c r="O393" s="25"/>
      <c r="P393" s="25"/>
      <c r="Q393" s="25"/>
      <c r="R393" s="25"/>
      <c r="S393" s="25"/>
      <c r="T393" s="25"/>
      <c r="U393" s="25"/>
      <c r="V393" s="25"/>
      <c r="W393" s="25"/>
      <c r="X393" s="25"/>
    </row>
    <row r="394" spans="1:24" ht="13">
      <c r="A394" s="25"/>
      <c r="B394" s="25"/>
      <c r="C394" s="25"/>
      <c r="D394" s="25" t="str">
        <f t="array" ref="D394">IF(OR(LEFT(C394,1)="(",COUNTA(C394)=0),"", INDEX(Honor!$B$2:$B998,MATCH(C394,Honor!$A$2:$A998,0)))</f>
        <v/>
      </c>
      <c r="E394" s="25" t="str">
        <f t="array" ref="E394">IF(OR(LEFT(C394,1)="(",COUNTA(C394)=0),"",INDEX(Honor!$O$2:$O998,MATCH(C394,Honor!$A$2:$A998,0)))</f>
        <v/>
      </c>
      <c r="F394" s="25"/>
      <c r="G394" s="25"/>
      <c r="H394" s="25"/>
      <c r="I394" s="25"/>
      <c r="J394" s="25"/>
      <c r="K394" s="25"/>
      <c r="L394" s="25"/>
      <c r="M394" s="25"/>
      <c r="N394" s="25"/>
      <c r="O394" s="25"/>
      <c r="P394" s="25"/>
      <c r="Q394" s="25"/>
      <c r="R394" s="25"/>
      <c r="S394" s="25"/>
      <c r="T394" s="25"/>
      <c r="U394" s="25"/>
      <c r="V394" s="25"/>
      <c r="W394" s="25"/>
      <c r="X394" s="25"/>
    </row>
    <row r="395" spans="1:24" ht="13">
      <c r="A395" s="25"/>
      <c r="B395" s="25"/>
      <c r="C395" s="25"/>
      <c r="D395" s="25" t="str">
        <f t="array" ref="D395">IF(OR(LEFT(C395,1)="(",COUNTA(C395)=0),"", INDEX(Honor!$B$2:$B998,MATCH(C395,Honor!$A$2:$A998,0)))</f>
        <v/>
      </c>
      <c r="E395" s="25" t="str">
        <f t="array" ref="E395">IF(OR(LEFT(C395,1)="(",COUNTA(C395)=0),"",INDEX(Honor!$O$2:$O998,MATCH(C395,Honor!$A$2:$A998,0)))</f>
        <v/>
      </c>
      <c r="F395" s="25"/>
      <c r="G395" s="25"/>
      <c r="H395" s="25"/>
      <c r="I395" s="25"/>
      <c r="J395" s="25"/>
      <c r="K395" s="25"/>
      <c r="L395" s="25"/>
      <c r="M395" s="25"/>
      <c r="N395" s="25"/>
      <c r="O395" s="25"/>
      <c r="P395" s="25"/>
      <c r="Q395" s="25"/>
      <c r="R395" s="25"/>
      <c r="S395" s="25"/>
      <c r="T395" s="25"/>
      <c r="U395" s="25"/>
      <c r="V395" s="25"/>
      <c r="W395" s="25"/>
      <c r="X395" s="25"/>
    </row>
    <row r="396" spans="1:24" ht="13">
      <c r="A396" s="25"/>
      <c r="B396" s="25"/>
      <c r="C396" s="25"/>
      <c r="D396" s="25" t="str">
        <f t="array" ref="D396">IF(OR(LEFT(C396,1)="(",COUNTA(C396)=0),"", INDEX(Honor!$B$2:$B998,MATCH(C396,Honor!$A$2:$A998,0)))</f>
        <v/>
      </c>
      <c r="E396" s="25" t="str">
        <f t="array" ref="E396">IF(OR(LEFT(C396,1)="(",COUNTA(C396)=0),"",INDEX(Honor!$O$2:$O998,MATCH(C396,Honor!$A$2:$A998,0)))</f>
        <v/>
      </c>
      <c r="F396" s="25"/>
      <c r="G396" s="25"/>
      <c r="H396" s="25"/>
      <c r="I396" s="25"/>
      <c r="J396" s="25"/>
      <c r="K396" s="25"/>
      <c r="L396" s="25"/>
      <c r="M396" s="25"/>
      <c r="N396" s="25"/>
      <c r="O396" s="25"/>
      <c r="P396" s="25"/>
      <c r="Q396" s="25"/>
      <c r="R396" s="25"/>
      <c r="S396" s="25"/>
      <c r="T396" s="25"/>
      <c r="U396" s="25"/>
      <c r="V396" s="25"/>
      <c r="W396" s="25"/>
      <c r="X396" s="25"/>
    </row>
    <row r="397" spans="1:24" ht="13">
      <c r="A397" s="25"/>
      <c r="B397" s="25"/>
      <c r="C397" s="25"/>
      <c r="D397" s="25" t="str">
        <f t="array" ref="D397">IF(OR(LEFT(C397,1)="(",COUNTA(C397)=0),"", INDEX(Honor!$B$2:$B998,MATCH(C397,Honor!$A$2:$A998,0)))</f>
        <v/>
      </c>
      <c r="E397" s="25" t="str">
        <f t="array" ref="E397">IF(OR(LEFT(C397,1)="(",COUNTA(C397)=0),"",INDEX(Honor!$O$2:$O998,MATCH(C397,Honor!$A$2:$A998,0)))</f>
        <v/>
      </c>
      <c r="F397" s="25"/>
      <c r="G397" s="25"/>
      <c r="H397" s="25"/>
      <c r="I397" s="25"/>
      <c r="J397" s="25"/>
      <c r="K397" s="25"/>
      <c r="L397" s="25"/>
      <c r="M397" s="25"/>
      <c r="N397" s="25"/>
      <c r="O397" s="25"/>
      <c r="P397" s="25"/>
      <c r="Q397" s="25"/>
      <c r="R397" s="25"/>
      <c r="S397" s="25"/>
      <c r="T397" s="25"/>
      <c r="U397" s="25"/>
      <c r="V397" s="25"/>
      <c r="W397" s="25"/>
      <c r="X397" s="25"/>
    </row>
    <row r="398" spans="1:24" ht="13">
      <c r="A398" s="25"/>
      <c r="B398" s="25"/>
      <c r="C398" s="25"/>
      <c r="D398" s="25" t="str">
        <f t="array" ref="D398">IF(OR(LEFT(C398,1)="(",COUNTA(C398)=0),"", INDEX(Honor!$B$2:$B998,MATCH(C398,Honor!$A$2:$A998,0)))</f>
        <v/>
      </c>
      <c r="E398" s="25" t="str">
        <f t="array" ref="E398">IF(OR(LEFT(C398,1)="(",COUNTA(C398)=0),"",INDEX(Honor!$O$2:$O998,MATCH(C398,Honor!$A$2:$A998,0)))</f>
        <v/>
      </c>
      <c r="F398" s="25"/>
      <c r="G398" s="25"/>
      <c r="H398" s="25"/>
      <c r="I398" s="25"/>
      <c r="J398" s="25"/>
      <c r="K398" s="25"/>
      <c r="L398" s="25"/>
      <c r="M398" s="25"/>
      <c r="N398" s="25"/>
      <c r="O398" s="25"/>
      <c r="P398" s="25"/>
      <c r="Q398" s="25"/>
      <c r="R398" s="25"/>
      <c r="S398" s="25"/>
      <c r="T398" s="25"/>
      <c r="U398" s="25"/>
      <c r="V398" s="25"/>
      <c r="W398" s="25"/>
      <c r="X398" s="25"/>
    </row>
    <row r="399" spans="1:24" ht="13">
      <c r="A399" s="25"/>
      <c r="B399" s="25"/>
      <c r="C399" s="25"/>
      <c r="D399" s="25" t="str">
        <f t="array" ref="D399">IF(OR(LEFT(C399,1)="(",COUNTA(C399)=0),"", INDEX(Honor!$B$2:$B998,MATCH(C399,Honor!$A$2:$A998,0)))</f>
        <v/>
      </c>
      <c r="E399" s="25" t="str">
        <f t="array" ref="E399">IF(OR(LEFT(C399,1)="(",COUNTA(C399)=0),"",INDEX(Honor!$O$2:$O998,MATCH(C399,Honor!$A$2:$A998,0)))</f>
        <v/>
      </c>
      <c r="F399" s="25"/>
      <c r="G399" s="25"/>
      <c r="H399" s="25"/>
      <c r="I399" s="25"/>
      <c r="J399" s="25"/>
      <c r="K399" s="25"/>
      <c r="L399" s="25"/>
      <c r="M399" s="25"/>
      <c r="N399" s="25"/>
      <c r="O399" s="25"/>
      <c r="P399" s="25"/>
      <c r="Q399" s="25"/>
      <c r="R399" s="25"/>
      <c r="S399" s="25"/>
      <c r="T399" s="25"/>
      <c r="U399" s="25"/>
      <c r="V399" s="25"/>
      <c r="W399" s="25"/>
      <c r="X399" s="25"/>
    </row>
    <row r="400" spans="1:24" ht="13">
      <c r="A400" s="25"/>
      <c r="B400" s="25"/>
      <c r="C400" s="25"/>
      <c r="D400" s="25" t="str">
        <f t="array" ref="D400">IF(OR(LEFT(C400,1)="(",COUNTA(C400)=0),"", INDEX(Honor!$B$2:$B998,MATCH(C400,Honor!$A$2:$A998,0)))</f>
        <v/>
      </c>
      <c r="E400" s="25" t="str">
        <f t="array" ref="E400">IF(OR(LEFT(C400,1)="(",COUNTA(C400)=0),"",INDEX(Honor!$O$2:$O998,MATCH(C400,Honor!$A$2:$A998,0)))</f>
        <v/>
      </c>
      <c r="F400" s="25"/>
      <c r="G400" s="25"/>
      <c r="H400" s="25"/>
      <c r="I400" s="25"/>
      <c r="J400" s="25"/>
      <c r="K400" s="25"/>
      <c r="L400" s="25"/>
      <c r="M400" s="25"/>
      <c r="N400" s="25"/>
      <c r="O400" s="25"/>
      <c r="P400" s="25"/>
      <c r="Q400" s="25"/>
      <c r="R400" s="25"/>
      <c r="S400" s="25"/>
      <c r="T400" s="25"/>
      <c r="U400" s="25"/>
      <c r="V400" s="25"/>
      <c r="W400" s="25"/>
      <c r="X400" s="25"/>
    </row>
    <row r="401" spans="1:24" ht="13">
      <c r="A401" s="25"/>
      <c r="B401" s="25"/>
      <c r="C401" s="25"/>
      <c r="D401" s="25" t="str">
        <f t="array" ref="D401">IF(OR(LEFT(C401,1)="(",COUNTA(C401)=0),"", INDEX(Honor!$B$2:$B998,MATCH(C401,Honor!$A$2:$A998,0)))</f>
        <v/>
      </c>
      <c r="E401" s="25" t="str">
        <f t="array" ref="E401">IF(OR(LEFT(C401,1)="(",COUNTA(C401)=0),"",INDEX(Honor!$O$2:$O998,MATCH(C401,Honor!$A$2:$A998,0)))</f>
        <v/>
      </c>
      <c r="F401" s="25"/>
      <c r="G401" s="25"/>
      <c r="H401" s="25"/>
      <c r="I401" s="25"/>
      <c r="J401" s="25"/>
      <c r="K401" s="25"/>
      <c r="L401" s="25"/>
      <c r="M401" s="25"/>
      <c r="N401" s="25"/>
      <c r="O401" s="25"/>
      <c r="P401" s="25"/>
      <c r="Q401" s="25"/>
      <c r="R401" s="25"/>
      <c r="S401" s="25"/>
      <c r="T401" s="25"/>
      <c r="U401" s="25"/>
      <c r="V401" s="25"/>
      <c r="W401" s="25"/>
      <c r="X401" s="25"/>
    </row>
    <row r="402" spans="1:24" ht="13">
      <c r="A402" s="25"/>
      <c r="B402" s="25"/>
      <c r="C402" s="25"/>
      <c r="D402" s="25" t="str">
        <f t="array" ref="D402">IF(OR(LEFT(C402,1)="(",COUNTA(C402)=0),"", INDEX(Honor!$B$2:$B998,MATCH(C402,Honor!$A$2:$A998,0)))</f>
        <v/>
      </c>
      <c r="E402" s="25" t="str">
        <f t="array" ref="E402">IF(OR(LEFT(C402,1)="(",COUNTA(C402)=0),"",INDEX(Honor!$O$2:$O998,MATCH(C402,Honor!$A$2:$A998,0)))</f>
        <v/>
      </c>
      <c r="F402" s="25"/>
      <c r="G402" s="25"/>
      <c r="H402" s="25"/>
      <c r="I402" s="25"/>
      <c r="J402" s="25"/>
      <c r="K402" s="25"/>
      <c r="L402" s="25"/>
      <c r="M402" s="25"/>
      <c r="N402" s="25"/>
      <c r="O402" s="25"/>
      <c r="P402" s="25"/>
      <c r="Q402" s="25"/>
      <c r="R402" s="25"/>
      <c r="S402" s="25"/>
      <c r="T402" s="25"/>
      <c r="U402" s="25"/>
      <c r="V402" s="25"/>
      <c r="W402" s="25"/>
      <c r="X402" s="25"/>
    </row>
    <row r="403" spans="1:24" ht="13">
      <c r="A403" s="25"/>
      <c r="B403" s="25"/>
      <c r="C403" s="25"/>
      <c r="D403" s="25" t="str">
        <f t="array" ref="D403">IF(OR(LEFT(C403,1)="(",COUNTA(C403)=0),"", INDEX(Honor!$B$2:$B998,MATCH(C403,Honor!$A$2:$A998,0)))</f>
        <v/>
      </c>
      <c r="E403" s="25" t="str">
        <f t="array" ref="E403">IF(OR(LEFT(C403,1)="(",COUNTA(C403)=0),"",INDEX(Honor!$O$2:$O998,MATCH(C403,Honor!$A$2:$A998,0)))</f>
        <v/>
      </c>
      <c r="F403" s="25"/>
      <c r="G403" s="25"/>
      <c r="H403" s="25"/>
      <c r="I403" s="25"/>
      <c r="J403" s="25"/>
      <c r="K403" s="25"/>
      <c r="L403" s="25"/>
      <c r="M403" s="25"/>
      <c r="N403" s="25"/>
      <c r="O403" s="25"/>
      <c r="P403" s="25"/>
      <c r="Q403" s="25"/>
      <c r="R403" s="25"/>
      <c r="S403" s="25"/>
      <c r="T403" s="25"/>
      <c r="U403" s="25"/>
      <c r="V403" s="25"/>
      <c r="W403" s="25"/>
      <c r="X403" s="25"/>
    </row>
    <row r="404" spans="1:24" ht="13">
      <c r="A404" s="25"/>
      <c r="B404" s="25"/>
      <c r="C404" s="25"/>
      <c r="D404" s="25" t="str">
        <f t="array" ref="D404">IF(OR(LEFT(C404,1)="(",COUNTA(C404)=0),"", INDEX(Honor!$B$2:$B998,MATCH(C404,Honor!$A$2:$A998,0)))</f>
        <v/>
      </c>
      <c r="E404" s="25" t="str">
        <f t="array" ref="E404">IF(OR(LEFT(C404,1)="(",COUNTA(C404)=0),"",INDEX(Honor!$O$2:$O998,MATCH(C404,Honor!$A$2:$A998,0)))</f>
        <v/>
      </c>
      <c r="F404" s="25"/>
      <c r="G404" s="25"/>
      <c r="H404" s="25"/>
      <c r="I404" s="25"/>
      <c r="J404" s="25"/>
      <c r="K404" s="25"/>
      <c r="L404" s="25"/>
      <c r="M404" s="25"/>
      <c r="N404" s="25"/>
      <c r="O404" s="25"/>
      <c r="P404" s="25"/>
      <c r="Q404" s="25"/>
      <c r="R404" s="25"/>
      <c r="S404" s="25"/>
      <c r="T404" s="25"/>
      <c r="U404" s="25"/>
      <c r="V404" s="25"/>
      <c r="W404" s="25"/>
      <c r="X404" s="25"/>
    </row>
    <row r="405" spans="1:24" ht="13">
      <c r="A405" s="25"/>
      <c r="B405" s="25"/>
      <c r="C405" s="25"/>
      <c r="D405" s="25" t="str">
        <f t="array" ref="D405">IF(OR(LEFT(C405,1)="(",COUNTA(C405)=0),"", INDEX(Honor!$B$2:$B998,MATCH(C405,Honor!$A$2:$A998,0)))</f>
        <v/>
      </c>
      <c r="E405" s="25" t="str">
        <f t="array" ref="E405">IF(OR(LEFT(C405,1)="(",COUNTA(C405)=0),"",INDEX(Honor!$O$2:$O998,MATCH(C405,Honor!$A$2:$A998,0)))</f>
        <v/>
      </c>
      <c r="F405" s="25"/>
      <c r="G405" s="25"/>
      <c r="H405" s="25"/>
      <c r="I405" s="25"/>
      <c r="J405" s="25"/>
      <c r="K405" s="25"/>
      <c r="L405" s="25"/>
      <c r="M405" s="25"/>
      <c r="N405" s="25"/>
      <c r="O405" s="25"/>
      <c r="P405" s="25"/>
      <c r="Q405" s="25"/>
      <c r="R405" s="25"/>
      <c r="S405" s="25"/>
      <c r="T405" s="25"/>
      <c r="U405" s="25"/>
      <c r="V405" s="25"/>
      <c r="W405" s="25"/>
      <c r="X405" s="25"/>
    </row>
    <row r="406" spans="1:24" ht="13">
      <c r="A406" s="25"/>
      <c r="B406" s="25"/>
      <c r="C406" s="25"/>
      <c r="D406" s="25" t="str">
        <f t="array" ref="D406">IF(OR(LEFT(C406,1)="(",COUNTA(C406)=0),"", INDEX(Honor!$B$2:$B998,MATCH(C406,Honor!$A$2:$A998,0)))</f>
        <v/>
      </c>
      <c r="E406" s="25" t="str">
        <f t="array" ref="E406">IF(OR(LEFT(C406,1)="(",COUNTA(C406)=0),"",INDEX(Honor!$O$2:$O998,MATCH(C406,Honor!$A$2:$A998,0)))</f>
        <v/>
      </c>
      <c r="F406" s="25"/>
      <c r="G406" s="25"/>
      <c r="H406" s="25"/>
      <c r="I406" s="25"/>
      <c r="J406" s="25"/>
      <c r="K406" s="25"/>
      <c r="L406" s="25"/>
      <c r="M406" s="25"/>
      <c r="N406" s="25"/>
      <c r="O406" s="25"/>
      <c r="P406" s="25"/>
      <c r="Q406" s="25"/>
      <c r="R406" s="25"/>
      <c r="S406" s="25"/>
      <c r="T406" s="25"/>
      <c r="U406" s="25"/>
      <c r="V406" s="25"/>
      <c r="W406" s="25"/>
      <c r="X406" s="25"/>
    </row>
    <row r="407" spans="1:24" ht="13">
      <c r="A407" s="25"/>
      <c r="B407" s="25"/>
      <c r="C407" s="25"/>
      <c r="D407" s="25" t="str">
        <f t="array" ref="D407">IF(OR(LEFT(C407,1)="(",COUNTA(C407)=0),"", INDEX(Honor!$B$2:$B998,MATCH(C407,Honor!$A$2:$A998,0)))</f>
        <v/>
      </c>
      <c r="E407" s="25" t="str">
        <f t="array" ref="E407">IF(OR(LEFT(C407,1)="(",COUNTA(C407)=0),"",INDEX(Honor!$O$2:$O998,MATCH(C407,Honor!$A$2:$A998,0)))</f>
        <v/>
      </c>
      <c r="F407" s="25"/>
      <c r="G407" s="25"/>
      <c r="H407" s="25"/>
      <c r="I407" s="25"/>
      <c r="J407" s="25"/>
      <c r="K407" s="25"/>
      <c r="L407" s="25"/>
      <c r="M407" s="25"/>
      <c r="N407" s="25"/>
      <c r="O407" s="25"/>
      <c r="P407" s="25"/>
      <c r="Q407" s="25"/>
      <c r="R407" s="25"/>
      <c r="S407" s="25"/>
      <c r="T407" s="25"/>
      <c r="U407" s="25"/>
      <c r="V407" s="25"/>
      <c r="W407" s="25"/>
      <c r="X407" s="25"/>
    </row>
    <row r="408" spans="1:24" ht="13">
      <c r="A408" s="25"/>
      <c r="B408" s="25"/>
      <c r="C408" s="25"/>
      <c r="D408" s="25" t="str">
        <f t="array" ref="D408">IF(OR(LEFT(C408,1)="(",COUNTA(C408)=0),"", INDEX(Honor!$B$2:$B998,MATCH(C408,Honor!$A$2:$A998,0)))</f>
        <v/>
      </c>
      <c r="E408" s="25" t="str">
        <f t="array" ref="E408">IF(OR(LEFT(C408,1)="(",COUNTA(C408)=0),"",INDEX(Honor!$O$2:$O998,MATCH(C408,Honor!$A$2:$A998,0)))</f>
        <v/>
      </c>
      <c r="F408" s="25"/>
      <c r="G408" s="25"/>
      <c r="H408" s="25"/>
      <c r="I408" s="25"/>
      <c r="J408" s="25"/>
      <c r="K408" s="25"/>
      <c r="L408" s="25"/>
      <c r="M408" s="25"/>
      <c r="N408" s="25"/>
      <c r="O408" s="25"/>
      <c r="P408" s="25"/>
      <c r="Q408" s="25"/>
      <c r="R408" s="25"/>
      <c r="S408" s="25"/>
      <c r="T408" s="25"/>
      <c r="U408" s="25"/>
      <c r="V408" s="25"/>
      <c r="W408" s="25"/>
      <c r="X408" s="25"/>
    </row>
    <row r="409" spans="1:24" ht="13">
      <c r="A409" s="25"/>
      <c r="B409" s="25"/>
      <c r="C409" s="25"/>
      <c r="D409" s="25" t="str">
        <f t="array" ref="D409">IF(OR(LEFT(C409,1)="(",COUNTA(C409)=0),"", INDEX(Honor!$B$2:$B998,MATCH(C409,Honor!$A$2:$A998,0)))</f>
        <v/>
      </c>
      <c r="E409" s="25" t="str">
        <f t="array" ref="E409">IF(OR(LEFT(C409,1)="(",COUNTA(C409)=0),"",INDEX(Honor!$O$2:$O998,MATCH(C409,Honor!$A$2:$A998,0)))</f>
        <v/>
      </c>
      <c r="F409" s="25"/>
      <c r="G409" s="25"/>
      <c r="H409" s="25"/>
      <c r="I409" s="25"/>
      <c r="J409" s="25"/>
      <c r="K409" s="25"/>
      <c r="L409" s="25"/>
      <c r="M409" s="25"/>
      <c r="N409" s="25"/>
      <c r="O409" s="25"/>
      <c r="P409" s="25"/>
      <c r="Q409" s="25"/>
      <c r="R409" s="25"/>
      <c r="S409" s="25"/>
      <c r="T409" s="25"/>
      <c r="U409" s="25"/>
      <c r="V409" s="25"/>
      <c r="W409" s="25"/>
      <c r="X409" s="25"/>
    </row>
    <row r="410" spans="1:24" ht="13">
      <c r="A410" s="25"/>
      <c r="B410" s="25"/>
      <c r="C410" s="25"/>
      <c r="D410" s="25" t="str">
        <f t="array" ref="D410">IF(OR(LEFT(C410,1)="(",COUNTA(C410)=0),"", INDEX(Honor!$B$2:$B998,MATCH(C410,Honor!$A$2:$A998,0)))</f>
        <v/>
      </c>
      <c r="E410" s="25" t="str">
        <f t="array" ref="E410">IF(OR(LEFT(C410,1)="(",COUNTA(C410)=0),"",INDEX(Honor!$O$2:$O998,MATCH(C410,Honor!$A$2:$A998,0)))</f>
        <v/>
      </c>
      <c r="F410" s="25"/>
      <c r="G410" s="25"/>
      <c r="H410" s="25"/>
      <c r="I410" s="25"/>
      <c r="J410" s="25"/>
      <c r="K410" s="25"/>
      <c r="L410" s="25"/>
      <c r="M410" s="25"/>
      <c r="N410" s="25"/>
      <c r="O410" s="25"/>
      <c r="P410" s="25"/>
      <c r="Q410" s="25"/>
      <c r="R410" s="25"/>
      <c r="S410" s="25"/>
      <c r="T410" s="25"/>
      <c r="U410" s="25"/>
      <c r="V410" s="25"/>
      <c r="W410" s="25"/>
      <c r="X410" s="25"/>
    </row>
    <row r="411" spans="1:24" ht="13">
      <c r="A411" s="25"/>
      <c r="B411" s="25"/>
      <c r="C411" s="25"/>
      <c r="D411" s="25" t="str">
        <f t="array" ref="D411">IF(OR(LEFT(C411,1)="(",COUNTA(C411)=0),"", INDEX(Honor!$B$2:$B998,MATCH(C411,Honor!$A$2:$A998,0)))</f>
        <v/>
      </c>
      <c r="E411" s="25" t="str">
        <f t="array" ref="E411">IF(OR(LEFT(C411,1)="(",COUNTA(C411)=0),"",INDEX(Honor!$O$2:$O998,MATCH(C411,Honor!$A$2:$A998,0)))</f>
        <v/>
      </c>
      <c r="F411" s="25"/>
      <c r="G411" s="25"/>
      <c r="H411" s="25"/>
      <c r="I411" s="25"/>
      <c r="J411" s="25"/>
      <c r="K411" s="25"/>
      <c r="L411" s="25"/>
      <c r="M411" s="25"/>
      <c r="N411" s="25"/>
      <c r="O411" s="25"/>
      <c r="P411" s="25"/>
      <c r="Q411" s="25"/>
      <c r="R411" s="25"/>
      <c r="S411" s="25"/>
      <c r="T411" s="25"/>
      <c r="U411" s="25"/>
      <c r="V411" s="25"/>
      <c r="W411" s="25"/>
      <c r="X411" s="25"/>
    </row>
    <row r="412" spans="1:24" ht="13">
      <c r="A412" s="25"/>
      <c r="B412" s="25"/>
      <c r="C412" s="25"/>
      <c r="D412" s="25" t="str">
        <f t="array" ref="D412">IF(OR(LEFT(C412,1)="(",COUNTA(C412)=0),"", INDEX(Honor!$B$2:$B998,MATCH(C412,Honor!$A$2:$A998,0)))</f>
        <v/>
      </c>
      <c r="E412" s="25" t="str">
        <f t="array" ref="E412">IF(OR(LEFT(C412,1)="(",COUNTA(C412)=0),"",INDEX(Honor!$O$2:$O998,MATCH(C412,Honor!$A$2:$A998,0)))</f>
        <v/>
      </c>
      <c r="F412" s="25"/>
      <c r="G412" s="25"/>
      <c r="H412" s="25"/>
      <c r="I412" s="25"/>
      <c r="J412" s="25"/>
      <c r="K412" s="25"/>
      <c r="L412" s="25"/>
      <c r="M412" s="25"/>
      <c r="N412" s="25"/>
      <c r="O412" s="25"/>
      <c r="P412" s="25"/>
      <c r="Q412" s="25"/>
      <c r="R412" s="25"/>
      <c r="S412" s="25"/>
      <c r="T412" s="25"/>
      <c r="U412" s="25"/>
      <c r="V412" s="25"/>
      <c r="W412" s="25"/>
      <c r="X412" s="25"/>
    </row>
    <row r="413" spans="1:24" ht="13">
      <c r="A413" s="25"/>
      <c r="B413" s="25"/>
      <c r="C413" s="25"/>
      <c r="D413" s="25" t="str">
        <f t="array" ref="D413">IF(OR(LEFT(C413,1)="(",COUNTA(C413)=0),"", INDEX(Honor!$B$2:$B998,MATCH(C413,Honor!$A$2:$A998,0)))</f>
        <v/>
      </c>
      <c r="E413" s="25" t="str">
        <f t="array" ref="E413">IF(OR(LEFT(C413,1)="(",COUNTA(C413)=0),"",INDEX(Honor!$O$2:$O998,MATCH(C413,Honor!$A$2:$A998,0)))</f>
        <v/>
      </c>
      <c r="F413" s="25"/>
      <c r="G413" s="25"/>
      <c r="H413" s="25"/>
      <c r="I413" s="25"/>
      <c r="J413" s="25"/>
      <c r="K413" s="25"/>
      <c r="L413" s="25"/>
      <c r="M413" s="25"/>
      <c r="N413" s="25"/>
      <c r="O413" s="25"/>
      <c r="P413" s="25"/>
      <c r="Q413" s="25"/>
      <c r="R413" s="25"/>
      <c r="S413" s="25"/>
      <c r="T413" s="25"/>
      <c r="U413" s="25"/>
      <c r="V413" s="25"/>
      <c r="W413" s="25"/>
      <c r="X413" s="25"/>
    </row>
    <row r="414" spans="1:24" ht="13">
      <c r="A414" s="25"/>
      <c r="B414" s="25"/>
      <c r="C414" s="25"/>
      <c r="D414" s="25" t="str">
        <f t="array" ref="D414">IF(OR(LEFT(C414,1)="(",COUNTA(C414)=0),"", INDEX(Honor!$B$2:$B998,MATCH(C414,Honor!$A$2:$A998,0)))</f>
        <v/>
      </c>
      <c r="E414" s="25" t="str">
        <f t="array" ref="E414">IF(OR(LEFT(C414,1)="(",COUNTA(C414)=0),"",INDEX(Honor!$O$2:$O998,MATCH(C414,Honor!$A$2:$A998,0)))</f>
        <v/>
      </c>
      <c r="F414" s="25"/>
      <c r="G414" s="25"/>
      <c r="H414" s="25"/>
      <c r="I414" s="25"/>
      <c r="J414" s="25"/>
      <c r="K414" s="25"/>
      <c r="L414" s="25"/>
      <c r="M414" s="25"/>
      <c r="N414" s="25"/>
      <c r="O414" s="25"/>
      <c r="P414" s="25"/>
      <c r="Q414" s="25"/>
      <c r="R414" s="25"/>
      <c r="S414" s="25"/>
      <c r="T414" s="25"/>
      <c r="U414" s="25"/>
      <c r="V414" s="25"/>
      <c r="W414" s="25"/>
      <c r="X414" s="25"/>
    </row>
    <row r="415" spans="1:24" ht="13">
      <c r="A415" s="25"/>
      <c r="B415" s="25"/>
      <c r="C415" s="25"/>
      <c r="D415" s="25" t="str">
        <f t="array" ref="D415">IF(OR(LEFT(C415,1)="(",COUNTA(C415)=0),"", INDEX(Honor!$B$2:$B998,MATCH(C415,Honor!$A$2:$A998,0)))</f>
        <v/>
      </c>
      <c r="E415" s="25" t="str">
        <f t="array" ref="E415">IF(OR(LEFT(C415,1)="(",COUNTA(C415)=0),"",INDEX(Honor!$O$2:$O998,MATCH(C415,Honor!$A$2:$A998,0)))</f>
        <v/>
      </c>
      <c r="F415" s="25"/>
      <c r="G415" s="25"/>
      <c r="H415" s="25"/>
      <c r="I415" s="25"/>
      <c r="J415" s="25"/>
      <c r="K415" s="25"/>
      <c r="L415" s="25"/>
      <c r="M415" s="25"/>
      <c r="N415" s="25"/>
      <c r="O415" s="25"/>
      <c r="P415" s="25"/>
      <c r="Q415" s="25"/>
      <c r="R415" s="25"/>
      <c r="S415" s="25"/>
      <c r="T415" s="25"/>
      <c r="U415" s="25"/>
      <c r="V415" s="25"/>
      <c r="W415" s="25"/>
      <c r="X415" s="25"/>
    </row>
    <row r="416" spans="1:24" ht="13">
      <c r="A416" s="25"/>
      <c r="B416" s="25"/>
      <c r="C416" s="25"/>
      <c r="D416" s="25" t="str">
        <f t="array" ref="D416">IF(OR(LEFT(C416,1)="(",COUNTA(C416)=0),"", INDEX(Honor!$B$2:$B998,MATCH(C416,Honor!$A$2:$A998,0)))</f>
        <v/>
      </c>
      <c r="E416" s="25" t="str">
        <f t="array" ref="E416">IF(OR(LEFT(C416,1)="(",COUNTA(C416)=0),"",INDEX(Honor!$O$2:$O998,MATCH(C416,Honor!$A$2:$A998,0)))</f>
        <v/>
      </c>
      <c r="F416" s="25"/>
      <c r="G416" s="25"/>
      <c r="H416" s="25"/>
      <c r="I416" s="25"/>
      <c r="J416" s="25"/>
      <c r="K416" s="25"/>
      <c r="L416" s="25"/>
      <c r="M416" s="25"/>
      <c r="N416" s="25"/>
      <c r="O416" s="25"/>
      <c r="P416" s="25"/>
      <c r="Q416" s="25"/>
      <c r="R416" s="25"/>
      <c r="S416" s="25"/>
      <c r="T416" s="25"/>
      <c r="U416" s="25"/>
      <c r="V416" s="25"/>
      <c r="W416" s="25"/>
      <c r="X416" s="25"/>
    </row>
    <row r="417" spans="1:24" ht="13">
      <c r="A417" s="25"/>
      <c r="B417" s="25"/>
      <c r="C417" s="25"/>
      <c r="D417" s="25" t="str">
        <f t="array" ref="D417">IF(OR(LEFT(C417,1)="(",COUNTA(C417)=0),"", INDEX(Honor!$B$2:$B998,MATCH(C417,Honor!$A$2:$A998,0)))</f>
        <v/>
      </c>
      <c r="E417" s="25" t="str">
        <f t="array" ref="E417">IF(OR(LEFT(C417,1)="(",COUNTA(C417)=0),"",INDEX(Honor!$O$2:$O998,MATCH(C417,Honor!$A$2:$A998,0)))</f>
        <v/>
      </c>
      <c r="F417" s="25"/>
      <c r="G417" s="25"/>
      <c r="H417" s="25"/>
      <c r="I417" s="25"/>
      <c r="J417" s="25"/>
      <c r="K417" s="25"/>
      <c r="L417" s="25"/>
      <c r="M417" s="25"/>
      <c r="N417" s="25"/>
      <c r="O417" s="25"/>
      <c r="P417" s="25"/>
      <c r="Q417" s="25"/>
      <c r="R417" s="25"/>
      <c r="S417" s="25"/>
      <c r="T417" s="25"/>
      <c r="U417" s="25"/>
      <c r="V417" s="25"/>
      <c r="W417" s="25"/>
      <c r="X417" s="25"/>
    </row>
    <row r="418" spans="1:24" ht="13">
      <c r="A418" s="25"/>
      <c r="B418" s="25"/>
      <c r="C418" s="25"/>
      <c r="D418" s="25" t="str">
        <f t="array" ref="D418">IF(OR(LEFT(C418,1)="(",COUNTA(C418)=0),"", INDEX(Honor!$B$2:$B998,MATCH(C418,Honor!$A$2:$A998,0)))</f>
        <v/>
      </c>
      <c r="E418" s="25" t="str">
        <f t="array" ref="E418">IF(OR(LEFT(C418,1)="(",COUNTA(C418)=0),"",INDEX(Honor!$O$2:$O998,MATCH(C418,Honor!$A$2:$A998,0)))</f>
        <v/>
      </c>
      <c r="F418" s="25"/>
      <c r="G418" s="25"/>
      <c r="H418" s="25"/>
      <c r="I418" s="25"/>
      <c r="J418" s="25"/>
      <c r="K418" s="25"/>
      <c r="L418" s="25"/>
      <c r="M418" s="25"/>
      <c r="N418" s="25"/>
      <c r="O418" s="25"/>
      <c r="P418" s="25"/>
      <c r="Q418" s="25"/>
      <c r="R418" s="25"/>
      <c r="S418" s="25"/>
      <c r="T418" s="25"/>
      <c r="U418" s="25"/>
      <c r="V418" s="25"/>
      <c r="W418" s="25"/>
      <c r="X418" s="25"/>
    </row>
    <row r="419" spans="1:24" ht="13">
      <c r="A419" s="25"/>
      <c r="B419" s="25"/>
      <c r="C419" s="25"/>
      <c r="D419" s="25" t="str">
        <f t="array" ref="D419">IF(OR(LEFT(C419,1)="(",COUNTA(C419)=0),"", INDEX(Honor!$B$2:$B998,MATCH(C419,Honor!$A$2:$A998,0)))</f>
        <v/>
      </c>
      <c r="E419" s="25" t="str">
        <f t="array" ref="E419">IF(OR(LEFT(C419,1)="(",COUNTA(C419)=0),"",INDEX(Honor!$O$2:$O998,MATCH(C419,Honor!$A$2:$A998,0)))</f>
        <v/>
      </c>
      <c r="F419" s="25"/>
      <c r="G419" s="25"/>
      <c r="H419" s="25"/>
      <c r="I419" s="25"/>
      <c r="J419" s="25"/>
      <c r="K419" s="25"/>
      <c r="L419" s="25"/>
      <c r="M419" s="25"/>
      <c r="N419" s="25"/>
      <c r="O419" s="25"/>
      <c r="P419" s="25"/>
      <c r="Q419" s="25"/>
      <c r="R419" s="25"/>
      <c r="S419" s="25"/>
      <c r="T419" s="25"/>
      <c r="U419" s="25"/>
      <c r="V419" s="25"/>
      <c r="W419" s="25"/>
      <c r="X419" s="25"/>
    </row>
    <row r="420" spans="1:24" ht="13">
      <c r="A420" s="25"/>
      <c r="B420" s="25"/>
      <c r="C420" s="25"/>
      <c r="D420" s="25" t="str">
        <f t="array" ref="D420">IF(OR(LEFT(C420,1)="(",COUNTA(C420)=0),"", INDEX(Honor!$B$2:$B998,MATCH(C420,Honor!$A$2:$A998,0)))</f>
        <v/>
      </c>
      <c r="E420" s="25" t="str">
        <f t="array" ref="E420">IF(OR(LEFT(C420,1)="(",COUNTA(C420)=0),"",INDEX(Honor!$O$2:$O998,MATCH(C420,Honor!$A$2:$A998,0)))</f>
        <v/>
      </c>
      <c r="F420" s="25"/>
      <c r="G420" s="25"/>
      <c r="H420" s="25"/>
      <c r="I420" s="25"/>
      <c r="J420" s="25"/>
      <c r="K420" s="25"/>
      <c r="L420" s="25"/>
      <c r="M420" s="25"/>
      <c r="N420" s="25"/>
      <c r="O420" s="25"/>
      <c r="P420" s="25"/>
      <c r="Q420" s="25"/>
      <c r="R420" s="25"/>
      <c r="S420" s="25"/>
      <c r="T420" s="25"/>
      <c r="U420" s="25"/>
      <c r="V420" s="25"/>
      <c r="W420" s="25"/>
      <c r="X420" s="25"/>
    </row>
    <row r="421" spans="1:24" ht="13">
      <c r="A421" s="25"/>
      <c r="B421" s="25"/>
      <c r="C421" s="25"/>
      <c r="D421" s="25" t="str">
        <f t="array" ref="D421">IF(OR(LEFT(C421,1)="(",COUNTA(C421)=0),"", INDEX(Honor!$B$2:$B998,MATCH(C421,Honor!$A$2:$A998,0)))</f>
        <v/>
      </c>
      <c r="E421" s="25" t="str">
        <f t="array" ref="E421">IF(OR(LEFT(C421,1)="(",COUNTA(C421)=0),"",INDEX(Honor!$O$2:$O998,MATCH(C421,Honor!$A$2:$A998,0)))</f>
        <v/>
      </c>
      <c r="F421" s="25"/>
      <c r="G421" s="25"/>
      <c r="H421" s="25"/>
      <c r="I421" s="25"/>
      <c r="J421" s="25"/>
      <c r="K421" s="25"/>
      <c r="L421" s="25"/>
      <c r="M421" s="25"/>
      <c r="N421" s="25"/>
      <c r="O421" s="25"/>
      <c r="P421" s="25"/>
      <c r="Q421" s="25"/>
      <c r="R421" s="25"/>
      <c r="S421" s="25"/>
      <c r="T421" s="25"/>
      <c r="U421" s="25"/>
      <c r="V421" s="25"/>
      <c r="W421" s="25"/>
      <c r="X421" s="25"/>
    </row>
    <row r="422" spans="1:24" ht="13">
      <c r="A422" s="25"/>
      <c r="B422" s="25"/>
      <c r="C422" s="25"/>
      <c r="D422" s="25" t="str">
        <f t="array" ref="D422">IF(OR(LEFT(C422,1)="(",COUNTA(C422)=0),"", INDEX(Honor!$B$2:$B998,MATCH(C422,Honor!$A$2:$A998,0)))</f>
        <v/>
      </c>
      <c r="E422" s="25" t="str">
        <f t="array" ref="E422">IF(OR(LEFT(C422,1)="(",COUNTA(C422)=0),"",INDEX(Honor!$O$2:$O998,MATCH(C422,Honor!$A$2:$A998,0)))</f>
        <v/>
      </c>
      <c r="F422" s="25"/>
      <c r="G422" s="25"/>
      <c r="H422" s="25"/>
      <c r="I422" s="25"/>
      <c r="J422" s="25"/>
      <c r="K422" s="25"/>
      <c r="L422" s="25"/>
      <c r="M422" s="25"/>
      <c r="N422" s="25"/>
      <c r="O422" s="25"/>
      <c r="P422" s="25"/>
      <c r="Q422" s="25"/>
      <c r="R422" s="25"/>
      <c r="S422" s="25"/>
      <c r="T422" s="25"/>
      <c r="U422" s="25"/>
      <c r="V422" s="25"/>
      <c r="W422" s="25"/>
      <c r="X422" s="25"/>
    </row>
    <row r="423" spans="1:24" ht="13">
      <c r="A423" s="25"/>
      <c r="B423" s="25"/>
      <c r="C423" s="25"/>
      <c r="D423" s="25" t="str">
        <f t="array" ref="D423">IF(OR(LEFT(C423,1)="(",COUNTA(C423)=0),"", INDEX(Honor!$B$2:$B998,MATCH(C423,Honor!$A$2:$A998,0)))</f>
        <v/>
      </c>
      <c r="E423" s="25" t="str">
        <f t="array" ref="E423">IF(OR(LEFT(C423,1)="(",COUNTA(C423)=0),"",INDEX(Honor!$O$2:$O998,MATCH(C423,Honor!$A$2:$A998,0)))</f>
        <v/>
      </c>
      <c r="F423" s="25"/>
      <c r="G423" s="25"/>
      <c r="H423" s="25"/>
      <c r="I423" s="25"/>
      <c r="J423" s="25"/>
      <c r="K423" s="25"/>
      <c r="L423" s="25"/>
      <c r="M423" s="25"/>
      <c r="N423" s="25"/>
      <c r="O423" s="25"/>
      <c r="P423" s="25"/>
      <c r="Q423" s="25"/>
      <c r="R423" s="25"/>
      <c r="S423" s="25"/>
      <c r="T423" s="25"/>
      <c r="U423" s="25"/>
      <c r="V423" s="25"/>
      <c r="W423" s="25"/>
      <c r="X423" s="25"/>
    </row>
    <row r="424" spans="1:24" ht="13">
      <c r="A424" s="25"/>
      <c r="B424" s="25"/>
      <c r="C424" s="25"/>
      <c r="D424" s="25" t="str">
        <f t="array" ref="D424">IF(OR(LEFT(C424,1)="(",COUNTA(C424)=0),"", INDEX(Honor!$B$2:$B998,MATCH(C424,Honor!$A$2:$A998,0)))</f>
        <v/>
      </c>
      <c r="E424" s="25" t="str">
        <f t="array" ref="E424">IF(OR(LEFT(C424,1)="(",COUNTA(C424)=0),"",INDEX(Honor!$O$2:$O998,MATCH(C424,Honor!$A$2:$A998,0)))</f>
        <v/>
      </c>
      <c r="F424" s="25"/>
      <c r="G424" s="25"/>
      <c r="H424" s="25"/>
      <c r="I424" s="25"/>
      <c r="J424" s="25"/>
      <c r="K424" s="25"/>
      <c r="L424" s="25"/>
      <c r="M424" s="25"/>
      <c r="N424" s="25"/>
      <c r="O424" s="25"/>
      <c r="P424" s="25"/>
      <c r="Q424" s="25"/>
      <c r="R424" s="25"/>
      <c r="S424" s="25"/>
      <c r="T424" s="25"/>
      <c r="U424" s="25"/>
      <c r="V424" s="25"/>
      <c r="W424" s="25"/>
      <c r="X424" s="25"/>
    </row>
    <row r="425" spans="1:24" ht="13">
      <c r="A425" s="25"/>
      <c r="B425" s="25"/>
      <c r="C425" s="25"/>
      <c r="D425" s="25" t="str">
        <f t="array" ref="D425">IF(OR(LEFT(C425,1)="(",COUNTA(C425)=0),"", INDEX(Honor!$B$2:$B998,MATCH(C425,Honor!$A$2:$A998,0)))</f>
        <v/>
      </c>
      <c r="E425" s="25" t="str">
        <f t="array" ref="E425">IF(OR(LEFT(C425,1)="(",COUNTA(C425)=0),"",INDEX(Honor!$O$2:$O998,MATCH(C425,Honor!$A$2:$A998,0)))</f>
        <v/>
      </c>
      <c r="F425" s="25"/>
      <c r="G425" s="25"/>
      <c r="H425" s="25"/>
      <c r="I425" s="25"/>
      <c r="J425" s="25"/>
      <c r="K425" s="25"/>
      <c r="L425" s="25"/>
      <c r="M425" s="25"/>
      <c r="N425" s="25"/>
      <c r="O425" s="25"/>
      <c r="P425" s="25"/>
      <c r="Q425" s="25"/>
      <c r="R425" s="25"/>
      <c r="S425" s="25"/>
      <c r="T425" s="25"/>
      <c r="U425" s="25"/>
      <c r="V425" s="25"/>
      <c r="W425" s="25"/>
      <c r="X425" s="25"/>
    </row>
    <row r="426" spans="1:24" ht="13">
      <c r="A426" s="25"/>
      <c r="B426" s="25"/>
      <c r="C426" s="25"/>
      <c r="D426" s="25" t="str">
        <f t="array" ref="D426">IF(OR(LEFT(C426,1)="(",COUNTA(C426)=0),"", INDEX(Honor!$B$2:$B998,MATCH(C426,Honor!$A$2:$A998,0)))</f>
        <v/>
      </c>
      <c r="E426" s="25" t="str">
        <f t="array" ref="E426">IF(OR(LEFT(C426,1)="(",COUNTA(C426)=0),"",INDEX(Honor!$O$2:$O998,MATCH(C426,Honor!$A$2:$A998,0)))</f>
        <v/>
      </c>
      <c r="F426" s="25"/>
      <c r="G426" s="25"/>
      <c r="H426" s="25"/>
      <c r="I426" s="25"/>
      <c r="J426" s="25"/>
      <c r="K426" s="25"/>
      <c r="L426" s="25"/>
      <c r="M426" s="25"/>
      <c r="N426" s="25"/>
      <c r="O426" s="25"/>
      <c r="P426" s="25"/>
      <c r="Q426" s="25"/>
      <c r="R426" s="25"/>
      <c r="S426" s="25"/>
      <c r="T426" s="25"/>
      <c r="U426" s="25"/>
      <c r="V426" s="25"/>
      <c r="W426" s="25"/>
      <c r="X426" s="25"/>
    </row>
    <row r="427" spans="1:24" ht="13">
      <c r="A427" s="25"/>
      <c r="B427" s="25"/>
      <c r="C427" s="25"/>
      <c r="D427" s="25" t="str">
        <f t="array" ref="D427">IF(OR(LEFT(C427,1)="(",COUNTA(C427)=0),"", INDEX(Honor!$B$2:$B998,MATCH(C427,Honor!$A$2:$A998,0)))</f>
        <v/>
      </c>
      <c r="E427" s="25" t="str">
        <f t="array" ref="E427">IF(OR(LEFT(C427,1)="(",COUNTA(C427)=0),"",INDEX(Honor!$O$2:$O998,MATCH(C427,Honor!$A$2:$A998,0)))</f>
        <v/>
      </c>
      <c r="F427" s="25"/>
      <c r="G427" s="25"/>
      <c r="H427" s="25"/>
      <c r="I427" s="25"/>
      <c r="J427" s="25"/>
      <c r="K427" s="25"/>
      <c r="L427" s="25"/>
      <c r="M427" s="25"/>
      <c r="N427" s="25"/>
      <c r="O427" s="25"/>
      <c r="P427" s="25"/>
      <c r="Q427" s="25"/>
      <c r="R427" s="25"/>
      <c r="S427" s="25"/>
      <c r="T427" s="25"/>
      <c r="U427" s="25"/>
      <c r="V427" s="25"/>
      <c r="W427" s="25"/>
      <c r="X427" s="25"/>
    </row>
    <row r="428" spans="1:24" ht="13">
      <c r="A428" s="25"/>
      <c r="B428" s="25"/>
      <c r="C428" s="25"/>
      <c r="D428" s="25" t="str">
        <f t="array" ref="D428">IF(OR(LEFT(C428,1)="(",COUNTA(C428)=0),"", INDEX(Honor!$B$2:$B998,MATCH(C428,Honor!$A$2:$A998,0)))</f>
        <v/>
      </c>
      <c r="E428" s="25" t="str">
        <f t="array" ref="E428">IF(OR(LEFT(C428,1)="(",COUNTA(C428)=0),"",INDEX(Honor!$O$2:$O998,MATCH(C428,Honor!$A$2:$A998,0)))</f>
        <v/>
      </c>
      <c r="F428" s="25"/>
      <c r="G428" s="25"/>
      <c r="H428" s="25"/>
      <c r="I428" s="25"/>
      <c r="J428" s="25"/>
      <c r="K428" s="25"/>
      <c r="L428" s="25"/>
      <c r="M428" s="25"/>
      <c r="N428" s="25"/>
      <c r="O428" s="25"/>
      <c r="P428" s="25"/>
      <c r="Q428" s="25"/>
      <c r="R428" s="25"/>
      <c r="S428" s="25"/>
      <c r="T428" s="25"/>
      <c r="U428" s="25"/>
      <c r="V428" s="25"/>
      <c r="W428" s="25"/>
      <c r="X428" s="25"/>
    </row>
    <row r="429" spans="1:24" ht="13">
      <c r="A429" s="25"/>
      <c r="B429" s="25"/>
      <c r="C429" s="25"/>
      <c r="D429" s="25" t="str">
        <f t="array" ref="D429">IF(OR(LEFT(C429,1)="(",COUNTA(C429)=0),"", INDEX(Honor!$B$2:$B998,MATCH(C429,Honor!$A$2:$A998,0)))</f>
        <v/>
      </c>
      <c r="E429" s="25" t="str">
        <f t="array" ref="E429">IF(OR(LEFT(C429,1)="(",COUNTA(C429)=0),"",INDEX(Honor!$O$2:$O998,MATCH(C429,Honor!$A$2:$A998,0)))</f>
        <v/>
      </c>
      <c r="F429" s="25"/>
      <c r="G429" s="25"/>
      <c r="H429" s="25"/>
      <c r="I429" s="25"/>
      <c r="J429" s="25"/>
      <c r="K429" s="25"/>
      <c r="L429" s="25"/>
      <c r="M429" s="25"/>
      <c r="N429" s="25"/>
      <c r="O429" s="25"/>
      <c r="P429" s="25"/>
      <c r="Q429" s="25"/>
      <c r="R429" s="25"/>
      <c r="S429" s="25"/>
      <c r="T429" s="25"/>
      <c r="U429" s="25"/>
      <c r="V429" s="25"/>
      <c r="W429" s="25"/>
      <c r="X429" s="25"/>
    </row>
    <row r="430" spans="1:24" ht="13">
      <c r="A430" s="25"/>
      <c r="B430" s="25"/>
      <c r="C430" s="25"/>
      <c r="D430" s="25" t="str">
        <f t="array" ref="D430">IF(OR(LEFT(C430,1)="(",COUNTA(C430)=0),"", INDEX(Honor!$B$2:$B998,MATCH(C430,Honor!$A$2:$A998,0)))</f>
        <v/>
      </c>
      <c r="E430" s="25" t="str">
        <f t="array" ref="E430">IF(OR(LEFT(C430,1)="(",COUNTA(C430)=0),"",INDEX(Honor!$O$2:$O998,MATCH(C430,Honor!$A$2:$A998,0)))</f>
        <v/>
      </c>
      <c r="F430" s="25"/>
      <c r="G430" s="25"/>
      <c r="H430" s="25"/>
      <c r="I430" s="25"/>
      <c r="J430" s="25"/>
      <c r="K430" s="25"/>
      <c r="L430" s="25"/>
      <c r="M430" s="25"/>
      <c r="N430" s="25"/>
      <c r="O430" s="25"/>
      <c r="P430" s="25"/>
      <c r="Q430" s="25"/>
      <c r="R430" s="25"/>
      <c r="S430" s="25"/>
      <c r="T430" s="25"/>
      <c r="U430" s="25"/>
      <c r="V430" s="25"/>
      <c r="W430" s="25"/>
      <c r="X430" s="25"/>
    </row>
    <row r="431" spans="1:24" ht="13">
      <c r="A431" s="25"/>
      <c r="B431" s="25"/>
      <c r="C431" s="25"/>
      <c r="D431" s="25" t="str">
        <f t="array" ref="D431">IF(OR(LEFT(C431,1)="(",COUNTA(C431)=0),"", INDEX(Honor!$B$2:$B998,MATCH(C431,Honor!$A$2:$A998,0)))</f>
        <v/>
      </c>
      <c r="E431" s="25" t="str">
        <f t="array" ref="E431">IF(OR(LEFT(C431,1)="(",COUNTA(C431)=0),"",INDEX(Honor!$O$2:$O998,MATCH(C431,Honor!$A$2:$A998,0)))</f>
        <v/>
      </c>
      <c r="F431" s="25"/>
      <c r="G431" s="25"/>
      <c r="H431" s="25"/>
      <c r="I431" s="25"/>
      <c r="J431" s="25"/>
      <c r="K431" s="25"/>
      <c r="L431" s="25"/>
      <c r="M431" s="25"/>
      <c r="N431" s="25"/>
      <c r="O431" s="25"/>
      <c r="P431" s="25"/>
      <c r="Q431" s="25"/>
      <c r="R431" s="25"/>
      <c r="S431" s="25"/>
      <c r="T431" s="25"/>
      <c r="U431" s="25"/>
      <c r="V431" s="25"/>
      <c r="W431" s="25"/>
      <c r="X431" s="25"/>
    </row>
    <row r="432" spans="1:24" ht="13">
      <c r="A432" s="25"/>
      <c r="B432" s="25"/>
      <c r="C432" s="25"/>
      <c r="D432" s="25" t="str">
        <f t="array" ref="D432">IF(OR(LEFT(C432,1)="(",COUNTA(C432)=0),"", INDEX(Honor!$B$2:$B998,MATCH(C432,Honor!$A$2:$A998,0)))</f>
        <v/>
      </c>
      <c r="E432" s="25" t="str">
        <f t="array" ref="E432">IF(OR(LEFT(C432,1)="(",COUNTA(C432)=0),"",INDEX(Honor!$O$2:$O998,MATCH(C432,Honor!$A$2:$A998,0)))</f>
        <v/>
      </c>
      <c r="F432" s="25"/>
      <c r="G432" s="25"/>
      <c r="H432" s="25"/>
      <c r="I432" s="25"/>
      <c r="J432" s="25"/>
      <c r="K432" s="25"/>
      <c r="L432" s="25"/>
      <c r="M432" s="25"/>
      <c r="N432" s="25"/>
      <c r="O432" s="25"/>
      <c r="P432" s="25"/>
      <c r="Q432" s="25"/>
      <c r="R432" s="25"/>
      <c r="S432" s="25"/>
      <c r="T432" s="25"/>
      <c r="U432" s="25"/>
      <c r="V432" s="25"/>
      <c r="W432" s="25"/>
      <c r="X432" s="25"/>
    </row>
    <row r="433" spans="1:24" ht="13">
      <c r="A433" s="25"/>
      <c r="B433" s="25"/>
      <c r="C433" s="25"/>
      <c r="D433" s="25" t="str">
        <f t="array" ref="D433">IF(OR(LEFT(C433,1)="(",COUNTA(C433)=0),"", INDEX(Honor!$B$2:$B998,MATCH(C433,Honor!$A$2:$A998,0)))</f>
        <v/>
      </c>
      <c r="E433" s="25" t="str">
        <f t="array" ref="E433">IF(OR(LEFT(C433,1)="(",COUNTA(C433)=0),"",INDEX(Honor!$O$2:$O998,MATCH(C433,Honor!$A$2:$A998,0)))</f>
        <v/>
      </c>
      <c r="F433" s="25"/>
      <c r="G433" s="25"/>
      <c r="H433" s="25"/>
      <c r="I433" s="25"/>
      <c r="J433" s="25"/>
      <c r="K433" s="25"/>
      <c r="L433" s="25"/>
      <c r="M433" s="25"/>
      <c r="N433" s="25"/>
      <c r="O433" s="25"/>
      <c r="P433" s="25"/>
      <c r="Q433" s="25"/>
      <c r="R433" s="25"/>
      <c r="S433" s="25"/>
      <c r="T433" s="25"/>
      <c r="U433" s="25"/>
      <c r="V433" s="25"/>
      <c r="W433" s="25"/>
      <c r="X433" s="25"/>
    </row>
    <row r="434" spans="1:24" ht="13">
      <c r="A434" s="25"/>
      <c r="B434" s="25"/>
      <c r="C434" s="25"/>
      <c r="D434" s="25" t="str">
        <f t="array" ref="D434">IF(OR(LEFT(C434,1)="(",COUNTA(C434)=0),"", INDEX(Honor!$B$2:$B998,MATCH(C434,Honor!$A$2:$A998,0)))</f>
        <v/>
      </c>
      <c r="E434" s="25" t="str">
        <f t="array" ref="E434">IF(OR(LEFT(C434,1)="(",COUNTA(C434)=0),"",INDEX(Honor!$O$2:$O998,MATCH(C434,Honor!$A$2:$A998,0)))</f>
        <v/>
      </c>
      <c r="F434" s="25"/>
      <c r="G434" s="25"/>
      <c r="H434" s="25"/>
      <c r="I434" s="25"/>
      <c r="J434" s="25"/>
      <c r="K434" s="25"/>
      <c r="L434" s="25"/>
      <c r="M434" s="25"/>
      <c r="N434" s="25"/>
      <c r="O434" s="25"/>
      <c r="P434" s="25"/>
      <c r="Q434" s="25"/>
      <c r="R434" s="25"/>
      <c r="S434" s="25"/>
      <c r="T434" s="25"/>
      <c r="U434" s="25"/>
      <c r="V434" s="25"/>
      <c r="W434" s="25"/>
      <c r="X434" s="25"/>
    </row>
    <row r="435" spans="1:24" ht="13">
      <c r="A435" s="25"/>
      <c r="B435" s="25"/>
      <c r="C435" s="25"/>
      <c r="D435" s="25" t="str">
        <f t="array" ref="D435">IF(OR(LEFT(C435,1)="(",COUNTA(C435)=0),"", INDEX(Honor!$B$2:$B998,MATCH(C435,Honor!$A$2:$A998,0)))</f>
        <v/>
      </c>
      <c r="E435" s="25" t="str">
        <f t="array" ref="E435">IF(OR(LEFT(C435,1)="(",COUNTA(C435)=0),"",INDEX(Honor!$O$2:$O998,MATCH(C435,Honor!$A$2:$A998,0)))</f>
        <v/>
      </c>
      <c r="F435" s="25"/>
      <c r="G435" s="25"/>
      <c r="H435" s="25"/>
      <c r="I435" s="25"/>
      <c r="J435" s="25"/>
      <c r="K435" s="25"/>
      <c r="L435" s="25"/>
      <c r="M435" s="25"/>
      <c r="N435" s="25"/>
      <c r="O435" s="25"/>
      <c r="P435" s="25"/>
      <c r="Q435" s="25"/>
      <c r="R435" s="25"/>
      <c r="S435" s="25"/>
      <c r="T435" s="25"/>
      <c r="U435" s="25"/>
      <c r="V435" s="25"/>
      <c r="W435" s="25"/>
      <c r="X435" s="25"/>
    </row>
    <row r="436" spans="1:24" ht="13">
      <c r="A436" s="25"/>
      <c r="B436" s="25"/>
      <c r="C436" s="25"/>
      <c r="D436" s="25" t="str">
        <f t="array" ref="D436">IF(OR(LEFT(C436,1)="(",COUNTA(C436)=0),"", INDEX(Honor!$B$2:$B998,MATCH(C436,Honor!$A$2:$A998,0)))</f>
        <v/>
      </c>
      <c r="E436" s="25" t="str">
        <f t="array" ref="E436">IF(OR(LEFT(C436,1)="(",COUNTA(C436)=0),"",INDEX(Honor!$O$2:$O998,MATCH(C436,Honor!$A$2:$A998,0)))</f>
        <v/>
      </c>
      <c r="F436" s="25"/>
      <c r="G436" s="25"/>
      <c r="H436" s="25"/>
      <c r="I436" s="25"/>
      <c r="J436" s="25"/>
      <c r="K436" s="25"/>
      <c r="L436" s="25"/>
      <c r="M436" s="25"/>
      <c r="N436" s="25"/>
      <c r="O436" s="25"/>
      <c r="P436" s="25"/>
      <c r="Q436" s="25"/>
      <c r="R436" s="25"/>
      <c r="S436" s="25"/>
      <c r="T436" s="25"/>
      <c r="U436" s="25"/>
      <c r="V436" s="25"/>
      <c r="W436" s="25"/>
      <c r="X436" s="25"/>
    </row>
    <row r="437" spans="1:24" ht="13">
      <c r="A437" s="25"/>
      <c r="B437" s="25"/>
      <c r="C437" s="25"/>
      <c r="D437" s="25" t="str">
        <f t="array" ref="D437">IF(OR(LEFT(C437,1)="(",COUNTA(C437)=0),"", INDEX(Honor!$B$2:$B998,MATCH(C437,Honor!$A$2:$A998,0)))</f>
        <v/>
      </c>
      <c r="E437" s="25" t="str">
        <f t="array" ref="E437">IF(OR(LEFT(C437,1)="(",COUNTA(C437)=0),"",INDEX(Honor!$O$2:$O998,MATCH(C437,Honor!$A$2:$A998,0)))</f>
        <v/>
      </c>
      <c r="F437" s="25"/>
      <c r="G437" s="25"/>
      <c r="H437" s="25"/>
      <c r="I437" s="25"/>
      <c r="J437" s="25"/>
      <c r="K437" s="25"/>
      <c r="L437" s="25"/>
      <c r="M437" s="25"/>
      <c r="N437" s="25"/>
      <c r="O437" s="25"/>
      <c r="P437" s="25"/>
      <c r="Q437" s="25"/>
      <c r="R437" s="25"/>
      <c r="S437" s="25"/>
      <c r="T437" s="25"/>
      <c r="U437" s="25"/>
      <c r="V437" s="25"/>
      <c r="W437" s="25"/>
      <c r="X437" s="25"/>
    </row>
    <row r="438" spans="1:24" ht="13">
      <c r="A438" s="25"/>
      <c r="B438" s="25"/>
      <c r="C438" s="25"/>
      <c r="D438" s="25" t="str">
        <f t="array" ref="D438">IF(OR(LEFT(C438,1)="(",COUNTA(C438)=0),"", INDEX(Honor!$B$2:$B998,MATCH(C438,Honor!$A$2:$A998,0)))</f>
        <v/>
      </c>
      <c r="E438" s="25" t="str">
        <f t="array" ref="E438">IF(OR(LEFT(C438,1)="(",COUNTA(C438)=0),"",INDEX(Honor!$O$2:$O998,MATCH(C438,Honor!$A$2:$A998,0)))</f>
        <v/>
      </c>
      <c r="F438" s="25"/>
      <c r="G438" s="25"/>
      <c r="H438" s="25"/>
      <c r="I438" s="25"/>
      <c r="J438" s="25"/>
      <c r="K438" s="25"/>
      <c r="L438" s="25"/>
      <c r="M438" s="25"/>
      <c r="N438" s="25"/>
      <c r="O438" s="25"/>
      <c r="P438" s="25"/>
      <c r="Q438" s="25"/>
      <c r="R438" s="25"/>
      <c r="S438" s="25"/>
      <c r="T438" s="25"/>
      <c r="U438" s="25"/>
      <c r="V438" s="25"/>
      <c r="W438" s="25"/>
      <c r="X438" s="25"/>
    </row>
    <row r="439" spans="1:24" ht="13">
      <c r="A439" s="25"/>
      <c r="B439" s="25"/>
      <c r="C439" s="25"/>
      <c r="D439" s="25" t="str">
        <f t="array" ref="D439">IF(OR(LEFT(C439,1)="(",COUNTA(C439)=0),"", INDEX(Honor!$B$2:$B998,MATCH(C439,Honor!$A$2:$A998,0)))</f>
        <v/>
      </c>
      <c r="E439" s="25" t="str">
        <f t="array" ref="E439">IF(OR(LEFT(C439,1)="(",COUNTA(C439)=0),"",INDEX(Honor!$O$2:$O998,MATCH(C439,Honor!$A$2:$A998,0)))</f>
        <v/>
      </c>
      <c r="F439" s="25"/>
      <c r="G439" s="25"/>
      <c r="H439" s="25"/>
      <c r="I439" s="25"/>
      <c r="J439" s="25"/>
      <c r="K439" s="25"/>
      <c r="L439" s="25"/>
      <c r="M439" s="25"/>
      <c r="N439" s="25"/>
      <c r="O439" s="25"/>
      <c r="P439" s="25"/>
      <c r="Q439" s="25"/>
      <c r="R439" s="25"/>
      <c r="S439" s="25"/>
      <c r="T439" s="25"/>
      <c r="U439" s="25"/>
      <c r="V439" s="25"/>
      <c r="W439" s="25"/>
      <c r="X439" s="25"/>
    </row>
    <row r="440" spans="1:24" ht="13">
      <c r="A440" s="25"/>
      <c r="B440" s="25"/>
      <c r="C440" s="25"/>
      <c r="D440" s="25" t="str">
        <f t="array" ref="D440">IF(OR(LEFT(C440,1)="(",COUNTA(C440)=0),"", INDEX(Honor!$B$2:$B998,MATCH(C440,Honor!$A$2:$A998,0)))</f>
        <v/>
      </c>
      <c r="E440" s="25" t="str">
        <f t="array" ref="E440">IF(OR(LEFT(C440,1)="(",COUNTA(C440)=0),"",INDEX(Honor!$O$2:$O998,MATCH(C440,Honor!$A$2:$A998,0)))</f>
        <v/>
      </c>
      <c r="F440" s="25"/>
      <c r="G440" s="25"/>
      <c r="H440" s="25"/>
      <c r="I440" s="25"/>
      <c r="J440" s="25"/>
      <c r="K440" s="25"/>
      <c r="L440" s="25"/>
      <c r="M440" s="25"/>
      <c r="N440" s="25"/>
      <c r="O440" s="25"/>
      <c r="P440" s="25"/>
      <c r="Q440" s="25"/>
      <c r="R440" s="25"/>
      <c r="S440" s="25"/>
      <c r="T440" s="25"/>
      <c r="U440" s="25"/>
      <c r="V440" s="25"/>
      <c r="W440" s="25"/>
      <c r="X440" s="25"/>
    </row>
    <row r="441" spans="1:24" ht="13">
      <c r="A441" s="25"/>
      <c r="B441" s="25"/>
      <c r="C441" s="25"/>
      <c r="D441" s="25" t="str">
        <f t="array" ref="D441">IF(OR(LEFT(C441,1)="(",COUNTA(C441)=0),"", INDEX(Honor!$B$2:$B998,MATCH(C441,Honor!$A$2:$A998,0)))</f>
        <v/>
      </c>
      <c r="E441" s="25" t="str">
        <f t="array" ref="E441">IF(OR(LEFT(C441,1)="(",COUNTA(C441)=0),"",INDEX(Honor!$O$2:$O998,MATCH(C441,Honor!$A$2:$A998,0)))</f>
        <v/>
      </c>
      <c r="F441" s="25"/>
      <c r="G441" s="25"/>
      <c r="H441" s="25"/>
      <c r="I441" s="25"/>
      <c r="J441" s="25"/>
      <c r="K441" s="25"/>
      <c r="L441" s="25"/>
      <c r="M441" s="25"/>
      <c r="N441" s="25"/>
      <c r="O441" s="25"/>
      <c r="P441" s="25"/>
      <c r="Q441" s="25"/>
      <c r="R441" s="25"/>
      <c r="S441" s="25"/>
      <c r="T441" s="25"/>
      <c r="U441" s="25"/>
      <c r="V441" s="25"/>
      <c r="W441" s="25"/>
      <c r="X441" s="25"/>
    </row>
    <row r="442" spans="1:24" ht="13">
      <c r="A442" s="25"/>
      <c r="B442" s="25"/>
      <c r="C442" s="25"/>
      <c r="D442" s="25" t="str">
        <f t="array" ref="D442">IF(OR(LEFT(C442,1)="(",COUNTA(C442)=0),"", INDEX(Honor!$B$2:$B998,MATCH(C442,Honor!$A$2:$A998,0)))</f>
        <v/>
      </c>
      <c r="E442" s="25" t="str">
        <f t="array" ref="E442">IF(OR(LEFT(C442,1)="(",COUNTA(C442)=0),"",INDEX(Honor!$O$2:$O998,MATCH(C442,Honor!$A$2:$A998,0)))</f>
        <v/>
      </c>
      <c r="F442" s="25"/>
      <c r="G442" s="25"/>
      <c r="H442" s="25"/>
      <c r="I442" s="25"/>
      <c r="J442" s="25"/>
      <c r="K442" s="25"/>
      <c r="L442" s="25"/>
      <c r="M442" s="25"/>
      <c r="N442" s="25"/>
      <c r="O442" s="25"/>
      <c r="P442" s="25"/>
      <c r="Q442" s="25"/>
      <c r="R442" s="25"/>
      <c r="S442" s="25"/>
      <c r="T442" s="25"/>
      <c r="U442" s="25"/>
      <c r="V442" s="25"/>
      <c r="W442" s="25"/>
      <c r="X442" s="25"/>
    </row>
    <row r="443" spans="1:24" ht="13">
      <c r="A443" s="25"/>
      <c r="B443" s="25"/>
      <c r="C443" s="25"/>
      <c r="D443" s="25" t="str">
        <f t="array" ref="D443">IF(OR(LEFT(C443,1)="(",COUNTA(C443)=0),"", INDEX(Honor!$B$2:$B998,MATCH(C443,Honor!$A$2:$A998,0)))</f>
        <v/>
      </c>
      <c r="E443" s="25" t="str">
        <f t="array" ref="E443">IF(OR(LEFT(C443,1)="(",COUNTA(C443)=0),"",INDEX(Honor!$O$2:$O998,MATCH(C443,Honor!$A$2:$A998,0)))</f>
        <v/>
      </c>
      <c r="F443" s="25"/>
      <c r="G443" s="25"/>
      <c r="H443" s="25"/>
      <c r="I443" s="25"/>
      <c r="J443" s="25"/>
      <c r="K443" s="25"/>
      <c r="L443" s="25"/>
      <c r="M443" s="25"/>
      <c r="N443" s="25"/>
      <c r="O443" s="25"/>
      <c r="P443" s="25"/>
      <c r="Q443" s="25"/>
      <c r="R443" s="25"/>
      <c r="S443" s="25"/>
      <c r="T443" s="25"/>
      <c r="U443" s="25"/>
      <c r="V443" s="25"/>
      <c r="W443" s="25"/>
      <c r="X443" s="25"/>
    </row>
    <row r="444" spans="1:24" ht="13">
      <c r="A444" s="25"/>
      <c r="B444" s="25"/>
      <c r="C444" s="25"/>
      <c r="D444" s="25" t="str">
        <f t="array" ref="D444">IF(OR(LEFT(C444,1)="(",COUNTA(C444)=0),"", INDEX(Honor!$B$2:$B998,MATCH(C444,Honor!$A$2:$A998,0)))</f>
        <v/>
      </c>
      <c r="E444" s="25" t="str">
        <f t="array" ref="E444">IF(OR(LEFT(C444,1)="(",COUNTA(C444)=0),"",INDEX(Honor!$O$2:$O998,MATCH(C444,Honor!$A$2:$A998,0)))</f>
        <v/>
      </c>
      <c r="F444" s="25"/>
      <c r="G444" s="25"/>
      <c r="H444" s="25"/>
      <c r="I444" s="25"/>
      <c r="J444" s="25"/>
      <c r="K444" s="25"/>
      <c r="L444" s="25"/>
      <c r="M444" s="25"/>
      <c r="N444" s="25"/>
      <c r="O444" s="25"/>
      <c r="P444" s="25"/>
      <c r="Q444" s="25"/>
      <c r="R444" s="25"/>
      <c r="S444" s="25"/>
      <c r="T444" s="25"/>
      <c r="U444" s="25"/>
      <c r="V444" s="25"/>
      <c r="W444" s="25"/>
      <c r="X444" s="25"/>
    </row>
    <row r="445" spans="1:24" ht="13">
      <c r="A445" s="25"/>
      <c r="B445" s="25"/>
      <c r="C445" s="25"/>
      <c r="D445" s="25" t="str">
        <f t="array" ref="D445">IF(OR(LEFT(C445,1)="(",COUNTA(C445)=0),"", INDEX(Honor!$B$2:$B998,MATCH(C445,Honor!$A$2:$A998,0)))</f>
        <v/>
      </c>
      <c r="E445" s="25" t="str">
        <f t="array" ref="E445">IF(OR(LEFT(C445,1)="(",COUNTA(C445)=0),"",INDEX(Honor!$O$2:$O998,MATCH(C445,Honor!$A$2:$A998,0)))</f>
        <v/>
      </c>
      <c r="F445" s="25"/>
      <c r="G445" s="25"/>
      <c r="H445" s="25"/>
      <c r="I445" s="25"/>
      <c r="J445" s="25"/>
      <c r="K445" s="25"/>
      <c r="L445" s="25"/>
      <c r="M445" s="25"/>
      <c r="N445" s="25"/>
      <c r="O445" s="25"/>
      <c r="P445" s="25"/>
      <c r="Q445" s="25"/>
      <c r="R445" s="25"/>
      <c r="S445" s="25"/>
      <c r="T445" s="25"/>
      <c r="U445" s="25"/>
      <c r="V445" s="25"/>
      <c r="W445" s="25"/>
      <c r="X445" s="25"/>
    </row>
    <row r="446" spans="1:24" ht="13">
      <c r="A446" s="25"/>
      <c r="B446" s="25"/>
      <c r="C446" s="25"/>
      <c r="D446" s="25" t="str">
        <f t="array" ref="D446">IF(OR(LEFT(C446,1)="(",COUNTA(C446)=0),"", INDEX(Honor!$B$2:$B998,MATCH(C446,Honor!$A$2:$A998,0)))</f>
        <v/>
      </c>
      <c r="E446" s="25" t="str">
        <f t="array" ref="E446">IF(OR(LEFT(C446,1)="(",COUNTA(C446)=0),"",INDEX(Honor!$O$2:$O998,MATCH(C446,Honor!$A$2:$A998,0)))</f>
        <v/>
      </c>
      <c r="F446" s="25"/>
      <c r="G446" s="25"/>
      <c r="H446" s="25"/>
      <c r="I446" s="25"/>
      <c r="J446" s="25"/>
      <c r="K446" s="25"/>
      <c r="L446" s="25"/>
      <c r="M446" s="25"/>
      <c r="N446" s="25"/>
      <c r="O446" s="25"/>
      <c r="P446" s="25"/>
      <c r="Q446" s="25"/>
      <c r="R446" s="25"/>
      <c r="S446" s="25"/>
      <c r="T446" s="25"/>
      <c r="U446" s="25"/>
      <c r="V446" s="25"/>
      <c r="W446" s="25"/>
      <c r="X446" s="25"/>
    </row>
    <row r="447" spans="1:24" ht="13">
      <c r="A447" s="25"/>
      <c r="B447" s="25"/>
      <c r="C447" s="25"/>
      <c r="D447" s="25" t="str">
        <f t="array" ref="D447">IF(OR(LEFT(C447,1)="(",COUNTA(C447)=0),"", INDEX(Honor!$B$2:$B998,MATCH(C447,Honor!$A$2:$A998,0)))</f>
        <v/>
      </c>
      <c r="E447" s="25" t="str">
        <f t="array" ref="E447">IF(OR(LEFT(C447,1)="(",COUNTA(C447)=0),"",INDEX(Honor!$O$2:$O998,MATCH(C447,Honor!$A$2:$A998,0)))</f>
        <v/>
      </c>
      <c r="F447" s="25"/>
      <c r="G447" s="25"/>
      <c r="H447" s="25"/>
      <c r="I447" s="25"/>
      <c r="J447" s="25"/>
      <c r="K447" s="25"/>
      <c r="L447" s="25"/>
      <c r="M447" s="25"/>
      <c r="N447" s="25"/>
      <c r="O447" s="25"/>
      <c r="P447" s="25"/>
      <c r="Q447" s="25"/>
      <c r="R447" s="25"/>
      <c r="S447" s="25"/>
      <c r="T447" s="25"/>
      <c r="U447" s="25"/>
      <c r="V447" s="25"/>
      <c r="W447" s="25"/>
      <c r="X447" s="25"/>
    </row>
    <row r="448" spans="1:24" ht="13">
      <c r="A448" s="25"/>
      <c r="B448" s="25"/>
      <c r="C448" s="25"/>
      <c r="D448" s="25" t="str">
        <f t="array" ref="D448">IF(OR(LEFT(C448,1)="(",COUNTA(C448)=0),"", INDEX(Honor!$B$2:$B998,MATCH(C448,Honor!$A$2:$A998,0)))</f>
        <v/>
      </c>
      <c r="E448" s="25" t="str">
        <f t="array" ref="E448">IF(OR(LEFT(C448,1)="(",COUNTA(C448)=0),"",INDEX(Honor!$O$2:$O998,MATCH(C448,Honor!$A$2:$A998,0)))</f>
        <v/>
      </c>
      <c r="F448" s="25"/>
      <c r="G448" s="25"/>
      <c r="H448" s="25"/>
      <c r="I448" s="25"/>
      <c r="J448" s="25"/>
      <c r="K448" s="25"/>
      <c r="L448" s="25"/>
      <c r="M448" s="25"/>
      <c r="N448" s="25"/>
      <c r="O448" s="25"/>
      <c r="P448" s="25"/>
      <c r="Q448" s="25"/>
      <c r="R448" s="25"/>
      <c r="S448" s="25"/>
      <c r="T448" s="25"/>
      <c r="U448" s="25"/>
      <c r="V448" s="25"/>
      <c r="W448" s="25"/>
      <c r="X448" s="25"/>
    </row>
    <row r="449" spans="1:24" ht="13">
      <c r="A449" s="25"/>
      <c r="B449" s="25"/>
      <c r="C449" s="25"/>
      <c r="D449" s="25" t="str">
        <f t="array" ref="D449">IF(OR(LEFT(C449,1)="(",COUNTA(C449)=0),"", INDEX(Honor!$B$2:$B998,MATCH(C449,Honor!$A$2:$A998,0)))</f>
        <v/>
      </c>
      <c r="E449" s="25" t="str">
        <f t="array" ref="E449">IF(OR(LEFT(C449,1)="(",COUNTA(C449)=0),"",INDEX(Honor!$O$2:$O998,MATCH(C449,Honor!$A$2:$A998,0)))</f>
        <v/>
      </c>
      <c r="F449" s="25"/>
      <c r="G449" s="25"/>
      <c r="H449" s="25"/>
      <c r="I449" s="25"/>
      <c r="J449" s="25"/>
      <c r="K449" s="25"/>
      <c r="L449" s="25"/>
      <c r="M449" s="25"/>
      <c r="N449" s="25"/>
      <c r="O449" s="25"/>
      <c r="P449" s="25"/>
      <c r="Q449" s="25"/>
      <c r="R449" s="25"/>
      <c r="S449" s="25"/>
      <c r="T449" s="25"/>
      <c r="U449" s="25"/>
      <c r="V449" s="25"/>
      <c r="W449" s="25"/>
      <c r="X449" s="25"/>
    </row>
    <row r="450" spans="1:24" ht="13">
      <c r="A450" s="25"/>
      <c r="B450" s="25"/>
      <c r="C450" s="25"/>
      <c r="D450" s="25" t="str">
        <f t="array" ref="D450">IF(OR(LEFT(C450,1)="(",COUNTA(C450)=0),"", INDEX(Honor!$B$2:$B998,MATCH(C450,Honor!$A$2:$A998,0)))</f>
        <v/>
      </c>
      <c r="E450" s="25" t="str">
        <f t="array" ref="E450">IF(OR(LEFT(C450,1)="(",COUNTA(C450)=0),"",INDEX(Honor!$O$2:$O998,MATCH(C450,Honor!$A$2:$A998,0)))</f>
        <v/>
      </c>
      <c r="F450" s="25"/>
      <c r="G450" s="25"/>
      <c r="H450" s="25"/>
      <c r="I450" s="25"/>
      <c r="J450" s="25"/>
      <c r="K450" s="25"/>
      <c r="L450" s="25"/>
      <c r="M450" s="25"/>
      <c r="N450" s="25"/>
      <c r="O450" s="25"/>
      <c r="P450" s="25"/>
      <c r="Q450" s="25"/>
      <c r="R450" s="25"/>
      <c r="S450" s="25"/>
      <c r="T450" s="25"/>
      <c r="U450" s="25"/>
      <c r="V450" s="25"/>
      <c r="W450" s="25"/>
      <c r="X450" s="25"/>
    </row>
    <row r="451" spans="1:24" ht="13">
      <c r="A451" s="25"/>
      <c r="B451" s="25"/>
      <c r="C451" s="25"/>
      <c r="D451" s="25" t="str">
        <f t="array" ref="D451">IF(OR(LEFT(C451,1)="(",COUNTA(C451)=0),"", INDEX(Honor!$B$2:$B998,MATCH(C451,Honor!$A$2:$A998,0)))</f>
        <v/>
      </c>
      <c r="E451" s="25" t="str">
        <f t="array" ref="E451">IF(OR(LEFT(C451,1)="(",COUNTA(C451)=0),"",INDEX(Honor!$O$2:$O998,MATCH(C451,Honor!$A$2:$A998,0)))</f>
        <v/>
      </c>
      <c r="F451" s="25"/>
      <c r="G451" s="25"/>
      <c r="H451" s="25"/>
      <c r="I451" s="25"/>
      <c r="J451" s="25"/>
      <c r="K451" s="25"/>
      <c r="L451" s="25"/>
      <c r="M451" s="25"/>
      <c r="N451" s="25"/>
      <c r="O451" s="25"/>
      <c r="P451" s="25"/>
      <c r="Q451" s="25"/>
      <c r="R451" s="25"/>
      <c r="S451" s="25"/>
      <c r="T451" s="25"/>
      <c r="U451" s="25"/>
      <c r="V451" s="25"/>
      <c r="W451" s="25"/>
      <c r="X451" s="25"/>
    </row>
    <row r="452" spans="1:24" ht="13">
      <c r="A452" s="25"/>
      <c r="B452" s="25"/>
      <c r="C452" s="25"/>
      <c r="D452" s="25" t="str">
        <f t="array" ref="D452">IF(OR(LEFT(C452,1)="(",COUNTA(C452)=0),"", INDEX(Honor!$B$2:$B998,MATCH(C452,Honor!$A$2:$A998,0)))</f>
        <v/>
      </c>
      <c r="E452" s="25" t="str">
        <f t="array" ref="E452">IF(OR(LEFT(C452,1)="(",COUNTA(C452)=0),"",INDEX(Honor!$O$2:$O998,MATCH(C452,Honor!$A$2:$A998,0)))</f>
        <v/>
      </c>
      <c r="F452" s="25"/>
      <c r="G452" s="25"/>
      <c r="H452" s="25"/>
      <c r="I452" s="25"/>
      <c r="J452" s="25"/>
      <c r="K452" s="25"/>
      <c r="L452" s="25"/>
      <c r="M452" s="25"/>
      <c r="N452" s="25"/>
      <c r="O452" s="25"/>
      <c r="P452" s="25"/>
      <c r="Q452" s="25"/>
      <c r="R452" s="25"/>
      <c r="S452" s="25"/>
      <c r="T452" s="25"/>
      <c r="U452" s="25"/>
      <c r="V452" s="25"/>
      <c r="W452" s="25"/>
      <c r="X452" s="25"/>
    </row>
    <row r="453" spans="1:24" ht="13">
      <c r="A453" s="25"/>
      <c r="B453" s="25"/>
      <c r="C453" s="25"/>
      <c r="D453" s="25" t="str">
        <f t="array" ref="D453">IF(OR(LEFT(C453,1)="(",COUNTA(C453)=0),"", INDEX(Honor!$B$2:$B998,MATCH(C453,Honor!$A$2:$A998,0)))</f>
        <v/>
      </c>
      <c r="E453" s="25" t="str">
        <f t="array" ref="E453">IF(OR(LEFT(C453,1)="(",COUNTA(C453)=0),"",INDEX(Honor!$O$2:$O998,MATCH(C453,Honor!$A$2:$A998,0)))</f>
        <v/>
      </c>
      <c r="F453" s="25"/>
      <c r="G453" s="25"/>
      <c r="H453" s="25"/>
      <c r="I453" s="25"/>
      <c r="J453" s="25"/>
      <c r="K453" s="25"/>
      <c r="L453" s="25"/>
      <c r="M453" s="25"/>
      <c r="N453" s="25"/>
      <c r="O453" s="25"/>
      <c r="P453" s="25"/>
      <c r="Q453" s="25"/>
      <c r="R453" s="25"/>
      <c r="S453" s="25"/>
      <c r="T453" s="25"/>
      <c r="U453" s="25"/>
      <c r="V453" s="25"/>
      <c r="W453" s="25"/>
      <c r="X453" s="25"/>
    </row>
    <row r="454" spans="1:24" ht="13">
      <c r="A454" s="25"/>
      <c r="B454" s="25"/>
      <c r="C454" s="25"/>
      <c r="D454" s="25" t="str">
        <f t="array" ref="D454">IF(OR(LEFT(C454,1)="(",COUNTA(C454)=0),"", INDEX(Honor!$B$2:$B998,MATCH(C454,Honor!$A$2:$A998,0)))</f>
        <v/>
      </c>
      <c r="E454" s="25" t="str">
        <f t="array" ref="E454">IF(OR(LEFT(C454,1)="(",COUNTA(C454)=0),"",INDEX(Honor!$O$2:$O998,MATCH(C454,Honor!$A$2:$A998,0)))</f>
        <v/>
      </c>
      <c r="F454" s="25"/>
      <c r="G454" s="25"/>
      <c r="H454" s="25"/>
      <c r="I454" s="25"/>
      <c r="J454" s="25"/>
      <c r="K454" s="25"/>
      <c r="L454" s="25"/>
      <c r="M454" s="25"/>
      <c r="N454" s="25"/>
      <c r="O454" s="25"/>
      <c r="P454" s="25"/>
      <c r="Q454" s="25"/>
      <c r="R454" s="25"/>
      <c r="S454" s="25"/>
      <c r="T454" s="25"/>
      <c r="U454" s="25"/>
      <c r="V454" s="25"/>
      <c r="W454" s="25"/>
      <c r="X454" s="25"/>
    </row>
    <row r="455" spans="1:24" ht="13">
      <c r="A455" s="25"/>
      <c r="B455" s="25"/>
      <c r="C455" s="25"/>
      <c r="D455" s="25" t="str">
        <f t="array" ref="D455">IF(OR(LEFT(C455,1)="(",COUNTA(C455)=0),"", INDEX(Honor!$B$2:$B998,MATCH(C455,Honor!$A$2:$A998,0)))</f>
        <v/>
      </c>
      <c r="E455" s="25" t="str">
        <f t="array" ref="E455">IF(OR(LEFT(C455,1)="(",COUNTA(C455)=0),"",INDEX(Honor!$O$2:$O998,MATCH(C455,Honor!$A$2:$A998,0)))</f>
        <v/>
      </c>
      <c r="F455" s="25"/>
      <c r="G455" s="25"/>
      <c r="H455" s="25"/>
      <c r="I455" s="25"/>
      <c r="J455" s="25"/>
      <c r="K455" s="25"/>
      <c r="L455" s="25"/>
      <c r="M455" s="25"/>
      <c r="N455" s="25"/>
      <c r="O455" s="25"/>
      <c r="P455" s="25"/>
      <c r="Q455" s="25"/>
      <c r="R455" s="25"/>
      <c r="S455" s="25"/>
      <c r="T455" s="25"/>
      <c r="U455" s="25"/>
      <c r="V455" s="25"/>
      <c r="W455" s="25"/>
      <c r="X455" s="25"/>
    </row>
    <row r="456" spans="1:24" ht="13">
      <c r="A456" s="25"/>
      <c r="B456" s="25"/>
      <c r="C456" s="25"/>
      <c r="D456" s="25" t="str">
        <f t="array" ref="D456">IF(OR(LEFT(C456,1)="(",COUNTA(C456)=0),"", INDEX(Honor!$B$2:$B998,MATCH(C456,Honor!$A$2:$A998,0)))</f>
        <v/>
      </c>
      <c r="E456" s="25" t="str">
        <f t="array" ref="E456">IF(OR(LEFT(C456,1)="(",COUNTA(C456)=0),"",INDEX(Honor!$O$2:$O998,MATCH(C456,Honor!$A$2:$A998,0)))</f>
        <v/>
      </c>
      <c r="F456" s="25"/>
      <c r="G456" s="25"/>
      <c r="H456" s="25"/>
      <c r="I456" s="25"/>
      <c r="J456" s="25"/>
      <c r="K456" s="25"/>
      <c r="L456" s="25"/>
      <c r="M456" s="25"/>
      <c r="N456" s="25"/>
      <c r="O456" s="25"/>
      <c r="P456" s="25"/>
      <c r="Q456" s="25"/>
      <c r="R456" s="25"/>
      <c r="S456" s="25"/>
      <c r="T456" s="25"/>
      <c r="U456" s="25"/>
      <c r="V456" s="25"/>
      <c r="W456" s="25"/>
      <c r="X456" s="25"/>
    </row>
    <row r="457" spans="1:24" ht="13">
      <c r="A457" s="25"/>
      <c r="B457" s="25"/>
      <c r="C457" s="25"/>
      <c r="D457" s="25" t="str">
        <f t="array" ref="D457">IF(OR(LEFT(C457,1)="(",COUNTA(C457)=0),"", INDEX(Honor!$B$2:$B998,MATCH(C457,Honor!$A$2:$A998,0)))</f>
        <v/>
      </c>
      <c r="E457" s="25" t="str">
        <f t="array" ref="E457">IF(OR(LEFT(C457,1)="(",COUNTA(C457)=0),"",INDEX(Honor!$O$2:$O998,MATCH(C457,Honor!$A$2:$A998,0)))</f>
        <v/>
      </c>
      <c r="F457" s="25"/>
      <c r="G457" s="25"/>
      <c r="H457" s="25"/>
      <c r="I457" s="25"/>
      <c r="J457" s="25"/>
      <c r="K457" s="25"/>
      <c r="L457" s="25"/>
      <c r="M457" s="25"/>
      <c r="N457" s="25"/>
      <c r="O457" s="25"/>
      <c r="P457" s="25"/>
      <c r="Q457" s="25"/>
      <c r="R457" s="25"/>
      <c r="S457" s="25"/>
      <c r="T457" s="25"/>
      <c r="U457" s="25"/>
      <c r="V457" s="25"/>
      <c r="W457" s="25"/>
      <c r="X457" s="25"/>
    </row>
    <row r="458" spans="1:24" ht="13">
      <c r="A458" s="25"/>
      <c r="B458" s="25"/>
      <c r="C458" s="25"/>
      <c r="D458" s="25" t="str">
        <f t="array" ref="D458">IF(OR(LEFT(C458,1)="(",COUNTA(C458)=0),"", INDEX(Honor!$B$2:$B998,MATCH(C458,Honor!$A$2:$A998,0)))</f>
        <v/>
      </c>
      <c r="E458" s="25" t="str">
        <f t="array" ref="E458">IF(OR(LEFT(C458,1)="(",COUNTA(C458)=0),"",INDEX(Honor!$O$2:$O998,MATCH(C458,Honor!$A$2:$A998,0)))</f>
        <v/>
      </c>
      <c r="F458" s="25"/>
      <c r="G458" s="25"/>
      <c r="H458" s="25"/>
      <c r="I458" s="25"/>
      <c r="J458" s="25"/>
      <c r="K458" s="25"/>
      <c r="L458" s="25"/>
      <c r="M458" s="25"/>
      <c r="N458" s="25"/>
      <c r="O458" s="25"/>
      <c r="P458" s="25"/>
      <c r="Q458" s="25"/>
      <c r="R458" s="25"/>
      <c r="S458" s="25"/>
      <c r="T458" s="25"/>
      <c r="U458" s="25"/>
      <c r="V458" s="25"/>
      <c r="W458" s="25"/>
      <c r="X458" s="25"/>
    </row>
    <row r="459" spans="1:24" ht="13">
      <c r="A459" s="25"/>
      <c r="B459" s="25"/>
      <c r="C459" s="25"/>
      <c r="D459" s="25" t="str">
        <f t="array" ref="D459">IF(OR(LEFT(C459,1)="(",COUNTA(C459)=0),"", INDEX(Honor!$B$2:$B998,MATCH(C459,Honor!$A$2:$A998,0)))</f>
        <v/>
      </c>
      <c r="E459" s="25" t="str">
        <f t="array" ref="E459">IF(OR(LEFT(C459,1)="(",COUNTA(C459)=0),"",INDEX(Honor!$O$2:$O998,MATCH(C459,Honor!$A$2:$A998,0)))</f>
        <v/>
      </c>
      <c r="F459" s="25"/>
      <c r="G459" s="25"/>
      <c r="H459" s="25"/>
      <c r="I459" s="25"/>
      <c r="J459" s="25"/>
      <c r="K459" s="25"/>
      <c r="L459" s="25"/>
      <c r="M459" s="25"/>
      <c r="N459" s="25"/>
      <c r="O459" s="25"/>
      <c r="P459" s="25"/>
      <c r="Q459" s="25"/>
      <c r="R459" s="25"/>
      <c r="S459" s="25"/>
      <c r="T459" s="25"/>
      <c r="U459" s="25"/>
      <c r="V459" s="25"/>
      <c r="W459" s="25"/>
      <c r="X459" s="25"/>
    </row>
    <row r="460" spans="1:24" ht="13">
      <c r="A460" s="25"/>
      <c r="B460" s="25"/>
      <c r="C460" s="25"/>
      <c r="D460" s="25" t="str">
        <f t="array" ref="D460">IF(OR(LEFT(C460,1)="(",COUNTA(C460)=0),"", INDEX(Honor!$B$2:$B998,MATCH(C460,Honor!$A$2:$A998,0)))</f>
        <v/>
      </c>
      <c r="E460" s="25" t="str">
        <f t="array" ref="E460">IF(OR(LEFT(C460,1)="(",COUNTA(C460)=0),"",INDEX(Honor!$O$2:$O998,MATCH(C460,Honor!$A$2:$A998,0)))</f>
        <v/>
      </c>
      <c r="F460" s="25"/>
      <c r="G460" s="25"/>
      <c r="H460" s="25"/>
      <c r="I460" s="25"/>
      <c r="J460" s="25"/>
      <c r="K460" s="25"/>
      <c r="L460" s="25"/>
      <c r="M460" s="25"/>
      <c r="N460" s="25"/>
      <c r="O460" s="25"/>
      <c r="P460" s="25"/>
      <c r="Q460" s="25"/>
      <c r="R460" s="25"/>
      <c r="S460" s="25"/>
      <c r="T460" s="25"/>
      <c r="U460" s="25"/>
      <c r="V460" s="25"/>
      <c r="W460" s="25"/>
      <c r="X460" s="25"/>
    </row>
    <row r="461" spans="1:24" ht="13">
      <c r="A461" s="25"/>
      <c r="B461" s="25"/>
      <c r="C461" s="25"/>
      <c r="D461" s="25" t="str">
        <f t="array" ref="D461">IF(OR(LEFT(C461,1)="(",COUNTA(C461)=0),"", INDEX(Honor!$B$2:$B998,MATCH(C461,Honor!$A$2:$A998,0)))</f>
        <v/>
      </c>
      <c r="E461" s="25" t="str">
        <f t="array" ref="E461">IF(OR(LEFT(C461,1)="(",COUNTA(C461)=0),"",INDEX(Honor!$O$2:$O998,MATCH(C461,Honor!$A$2:$A998,0)))</f>
        <v/>
      </c>
      <c r="F461" s="25"/>
      <c r="G461" s="25"/>
      <c r="H461" s="25"/>
      <c r="I461" s="25"/>
      <c r="J461" s="25"/>
      <c r="K461" s="25"/>
      <c r="L461" s="25"/>
      <c r="M461" s="25"/>
      <c r="N461" s="25"/>
      <c r="O461" s="25"/>
      <c r="P461" s="25"/>
      <c r="Q461" s="25"/>
      <c r="R461" s="25"/>
      <c r="S461" s="25"/>
      <c r="T461" s="25"/>
      <c r="U461" s="25"/>
      <c r="V461" s="25"/>
      <c r="W461" s="25"/>
      <c r="X461" s="25"/>
    </row>
    <row r="462" spans="1:24" ht="13">
      <c r="A462" s="25"/>
      <c r="B462" s="25"/>
      <c r="C462" s="25"/>
      <c r="D462" s="25" t="str">
        <f t="array" ref="D462">IF(OR(LEFT(C462,1)="(",COUNTA(C462)=0),"", INDEX(Honor!$B$2:$B998,MATCH(C462,Honor!$A$2:$A998,0)))</f>
        <v/>
      </c>
      <c r="E462" s="25" t="str">
        <f t="array" ref="E462">IF(OR(LEFT(C462,1)="(",COUNTA(C462)=0),"",INDEX(Honor!$O$2:$O998,MATCH(C462,Honor!$A$2:$A998,0)))</f>
        <v/>
      </c>
      <c r="F462" s="25"/>
      <c r="G462" s="25"/>
      <c r="H462" s="25"/>
      <c r="I462" s="25"/>
      <c r="J462" s="25"/>
      <c r="K462" s="25"/>
      <c r="L462" s="25"/>
      <c r="M462" s="25"/>
      <c r="N462" s="25"/>
      <c r="O462" s="25"/>
      <c r="P462" s="25"/>
      <c r="Q462" s="25"/>
      <c r="R462" s="25"/>
      <c r="S462" s="25"/>
      <c r="T462" s="25"/>
      <c r="U462" s="25"/>
      <c r="V462" s="25"/>
      <c r="W462" s="25"/>
      <c r="X462" s="25"/>
    </row>
    <row r="463" spans="1:24" ht="13">
      <c r="A463" s="25"/>
      <c r="B463" s="25"/>
      <c r="C463" s="25"/>
      <c r="D463" s="25" t="str">
        <f t="array" ref="D463">IF(OR(LEFT(C463,1)="(",COUNTA(C463)=0),"", INDEX(Honor!$B$2:$B998,MATCH(C463,Honor!$A$2:$A998,0)))</f>
        <v/>
      </c>
      <c r="E463" s="25" t="str">
        <f t="array" ref="E463">IF(OR(LEFT(C463,1)="(",COUNTA(C463)=0),"",INDEX(Honor!$O$2:$O998,MATCH(C463,Honor!$A$2:$A998,0)))</f>
        <v/>
      </c>
      <c r="F463" s="25"/>
      <c r="G463" s="25"/>
      <c r="H463" s="25"/>
      <c r="I463" s="25"/>
      <c r="J463" s="25"/>
      <c r="K463" s="25"/>
      <c r="L463" s="25"/>
      <c r="M463" s="25"/>
      <c r="N463" s="25"/>
      <c r="O463" s="25"/>
      <c r="P463" s="25"/>
      <c r="Q463" s="25"/>
      <c r="R463" s="25"/>
      <c r="S463" s="25"/>
      <c r="T463" s="25"/>
      <c r="U463" s="25"/>
      <c r="V463" s="25"/>
      <c r="W463" s="25"/>
      <c r="X463" s="25"/>
    </row>
    <row r="464" spans="1:24" ht="13">
      <c r="A464" s="25"/>
      <c r="B464" s="25"/>
      <c r="C464" s="25"/>
      <c r="D464" s="25" t="str">
        <f t="array" ref="D464">IF(OR(LEFT(C464,1)="(",COUNTA(C464)=0),"", INDEX(Honor!$B$2:$B998,MATCH(C464,Honor!$A$2:$A998,0)))</f>
        <v/>
      </c>
      <c r="E464" s="25" t="str">
        <f t="array" ref="E464">IF(OR(LEFT(C464,1)="(",COUNTA(C464)=0),"",INDEX(Honor!$O$2:$O998,MATCH(C464,Honor!$A$2:$A998,0)))</f>
        <v/>
      </c>
      <c r="F464" s="25"/>
      <c r="G464" s="25"/>
      <c r="H464" s="25"/>
      <c r="I464" s="25"/>
      <c r="J464" s="25"/>
      <c r="K464" s="25"/>
      <c r="L464" s="25"/>
      <c r="M464" s="25"/>
      <c r="N464" s="25"/>
      <c r="O464" s="25"/>
      <c r="P464" s="25"/>
      <c r="Q464" s="25"/>
      <c r="R464" s="25"/>
      <c r="S464" s="25"/>
      <c r="T464" s="25"/>
      <c r="U464" s="25"/>
      <c r="V464" s="25"/>
      <c r="W464" s="25"/>
      <c r="X464" s="25"/>
    </row>
    <row r="465" spans="1:24" ht="13">
      <c r="A465" s="25"/>
      <c r="B465" s="25"/>
      <c r="C465" s="25"/>
      <c r="D465" s="25" t="str">
        <f t="array" ref="D465">IF(OR(LEFT(C465,1)="(",COUNTA(C465)=0),"", INDEX(Honor!$B$2:$B998,MATCH(C465,Honor!$A$2:$A998,0)))</f>
        <v/>
      </c>
      <c r="E465" s="25" t="str">
        <f t="array" ref="E465">IF(OR(LEFT(C465,1)="(",COUNTA(C465)=0),"",INDEX(Honor!$O$2:$O998,MATCH(C465,Honor!$A$2:$A998,0)))</f>
        <v/>
      </c>
      <c r="F465" s="25"/>
      <c r="G465" s="25"/>
      <c r="H465" s="25"/>
      <c r="I465" s="25"/>
      <c r="J465" s="25"/>
      <c r="K465" s="25"/>
      <c r="L465" s="25"/>
      <c r="M465" s="25"/>
      <c r="N465" s="25"/>
      <c r="O465" s="25"/>
      <c r="P465" s="25"/>
      <c r="Q465" s="25"/>
      <c r="R465" s="25"/>
      <c r="S465" s="25"/>
      <c r="T465" s="25"/>
      <c r="U465" s="25"/>
      <c r="V465" s="25"/>
      <c r="W465" s="25"/>
      <c r="X465" s="25"/>
    </row>
    <row r="466" spans="1:24" ht="13">
      <c r="A466" s="25"/>
      <c r="B466" s="25"/>
      <c r="C466" s="25"/>
      <c r="D466" s="25" t="str">
        <f t="array" ref="D466">IF(OR(LEFT(C466,1)="(",COUNTA(C466)=0),"", INDEX(Honor!$B$2:$B998,MATCH(C466,Honor!$A$2:$A998,0)))</f>
        <v/>
      </c>
      <c r="E466" s="25" t="str">
        <f t="array" ref="E466">IF(OR(LEFT(C466,1)="(",COUNTA(C466)=0),"",INDEX(Honor!$O$2:$O998,MATCH(C466,Honor!$A$2:$A998,0)))</f>
        <v/>
      </c>
      <c r="F466" s="25"/>
      <c r="G466" s="25"/>
      <c r="H466" s="25"/>
      <c r="I466" s="25"/>
      <c r="J466" s="25"/>
      <c r="K466" s="25"/>
      <c r="L466" s="25"/>
      <c r="M466" s="25"/>
      <c r="N466" s="25"/>
      <c r="O466" s="25"/>
      <c r="P466" s="25"/>
      <c r="Q466" s="25"/>
      <c r="R466" s="25"/>
      <c r="S466" s="25"/>
      <c r="T466" s="25"/>
      <c r="U466" s="25"/>
      <c r="V466" s="25"/>
      <c r="W466" s="25"/>
      <c r="X466" s="25"/>
    </row>
    <row r="467" spans="1:24" ht="13">
      <c r="A467" s="25"/>
      <c r="B467" s="25"/>
      <c r="C467" s="25"/>
      <c r="D467" s="25" t="str">
        <f t="array" ref="D467">IF(OR(LEFT(C467,1)="(",COUNTA(C467)=0),"", INDEX(Honor!$B$2:$B998,MATCH(C467,Honor!$A$2:$A998,0)))</f>
        <v/>
      </c>
      <c r="E467" s="25" t="str">
        <f t="array" ref="E467">IF(OR(LEFT(C467,1)="(",COUNTA(C467)=0),"",INDEX(Honor!$O$2:$O998,MATCH(C467,Honor!$A$2:$A998,0)))</f>
        <v/>
      </c>
      <c r="F467" s="25"/>
      <c r="G467" s="25"/>
      <c r="H467" s="25"/>
      <c r="I467" s="25"/>
      <c r="J467" s="25"/>
      <c r="K467" s="25"/>
      <c r="L467" s="25"/>
      <c r="M467" s="25"/>
      <c r="N467" s="25"/>
      <c r="O467" s="25"/>
      <c r="P467" s="25"/>
      <c r="Q467" s="25"/>
      <c r="R467" s="25"/>
      <c r="S467" s="25"/>
      <c r="T467" s="25"/>
      <c r="U467" s="25"/>
      <c r="V467" s="25"/>
      <c r="W467" s="25"/>
      <c r="X467" s="25"/>
    </row>
    <row r="468" spans="1:24" ht="13">
      <c r="A468" s="25"/>
      <c r="B468" s="25"/>
      <c r="C468" s="25"/>
      <c r="D468" s="25" t="str">
        <f t="array" ref="D468">IF(OR(LEFT(C468,1)="(",COUNTA(C468)=0),"", INDEX(Honor!$B$2:$B998,MATCH(C468,Honor!$A$2:$A998,0)))</f>
        <v/>
      </c>
      <c r="E468" s="25" t="str">
        <f t="array" ref="E468">IF(OR(LEFT(C468,1)="(",COUNTA(C468)=0),"",INDEX(Honor!$O$2:$O998,MATCH(C468,Honor!$A$2:$A998,0)))</f>
        <v/>
      </c>
      <c r="F468" s="25"/>
      <c r="G468" s="25"/>
      <c r="H468" s="25"/>
      <c r="I468" s="25"/>
      <c r="J468" s="25"/>
      <c r="K468" s="25"/>
      <c r="L468" s="25"/>
      <c r="M468" s="25"/>
      <c r="N468" s="25"/>
      <c r="O468" s="25"/>
      <c r="P468" s="25"/>
      <c r="Q468" s="25"/>
      <c r="R468" s="25"/>
      <c r="S468" s="25"/>
      <c r="T468" s="25"/>
      <c r="U468" s="25"/>
      <c r="V468" s="25"/>
      <c r="W468" s="25"/>
      <c r="X468" s="25"/>
    </row>
    <row r="469" spans="1:24" ht="13">
      <c r="A469" s="25"/>
      <c r="B469" s="25"/>
      <c r="C469" s="25"/>
      <c r="D469" s="25" t="str">
        <f t="array" ref="D469">IF(OR(LEFT(C469,1)="(",COUNTA(C469)=0),"", INDEX(Honor!$B$2:$B998,MATCH(C469,Honor!$A$2:$A998,0)))</f>
        <v/>
      </c>
      <c r="E469" s="25" t="str">
        <f t="array" ref="E469">IF(OR(LEFT(C469,1)="(",COUNTA(C469)=0),"",INDEX(Honor!$O$2:$O998,MATCH(C469,Honor!$A$2:$A998,0)))</f>
        <v/>
      </c>
      <c r="F469" s="25"/>
      <c r="G469" s="25"/>
      <c r="H469" s="25"/>
      <c r="I469" s="25"/>
      <c r="J469" s="25"/>
      <c r="K469" s="25"/>
      <c r="L469" s="25"/>
      <c r="M469" s="25"/>
      <c r="N469" s="25"/>
      <c r="O469" s="25"/>
      <c r="P469" s="25"/>
      <c r="Q469" s="25"/>
      <c r="R469" s="25"/>
      <c r="S469" s="25"/>
      <c r="T469" s="25"/>
      <c r="U469" s="25"/>
      <c r="V469" s="25"/>
      <c r="W469" s="25"/>
      <c r="X469" s="25"/>
    </row>
    <row r="470" spans="1:24" ht="13">
      <c r="A470" s="25"/>
      <c r="B470" s="25"/>
      <c r="C470" s="25"/>
      <c r="D470" s="25" t="str">
        <f t="array" ref="D470">IF(OR(LEFT(C470,1)="(",COUNTA(C470)=0),"", INDEX(Honor!$B$2:$B998,MATCH(C470,Honor!$A$2:$A998,0)))</f>
        <v/>
      </c>
      <c r="E470" s="25" t="str">
        <f t="array" ref="E470">IF(OR(LEFT(C470,1)="(",COUNTA(C470)=0),"",INDEX(Honor!$O$2:$O998,MATCH(C470,Honor!$A$2:$A998,0)))</f>
        <v/>
      </c>
      <c r="F470" s="25"/>
      <c r="G470" s="25"/>
      <c r="H470" s="25"/>
      <c r="I470" s="25"/>
      <c r="J470" s="25"/>
      <c r="K470" s="25"/>
      <c r="L470" s="25"/>
      <c r="M470" s="25"/>
      <c r="N470" s="25"/>
      <c r="O470" s="25"/>
      <c r="P470" s="25"/>
      <c r="Q470" s="25"/>
      <c r="R470" s="25"/>
      <c r="S470" s="25"/>
      <c r="T470" s="25"/>
      <c r="U470" s="25"/>
      <c r="V470" s="25"/>
      <c r="W470" s="25"/>
      <c r="X470" s="25"/>
    </row>
    <row r="471" spans="1:24" ht="13">
      <c r="A471" s="25"/>
      <c r="B471" s="25"/>
      <c r="C471" s="25"/>
      <c r="D471" s="25" t="str">
        <f t="array" ref="D471">IF(OR(LEFT(C471,1)="(",COUNTA(C471)=0),"", INDEX(Honor!$B$2:$B998,MATCH(C471,Honor!$A$2:$A998,0)))</f>
        <v/>
      </c>
      <c r="E471" s="25" t="str">
        <f t="array" ref="E471">IF(OR(LEFT(C471,1)="(",COUNTA(C471)=0),"",INDEX(Honor!$O$2:$O998,MATCH(C471,Honor!$A$2:$A998,0)))</f>
        <v/>
      </c>
      <c r="F471" s="25"/>
      <c r="G471" s="25"/>
      <c r="H471" s="25"/>
      <c r="I471" s="25"/>
      <c r="J471" s="25"/>
      <c r="K471" s="25"/>
      <c r="L471" s="25"/>
      <c r="M471" s="25"/>
      <c r="N471" s="25"/>
      <c r="O471" s="25"/>
      <c r="P471" s="25"/>
      <c r="Q471" s="25"/>
      <c r="R471" s="25"/>
      <c r="S471" s="25"/>
      <c r="T471" s="25"/>
      <c r="U471" s="25"/>
      <c r="V471" s="25"/>
      <c r="W471" s="25"/>
      <c r="X471" s="25"/>
    </row>
    <row r="472" spans="1:24" ht="13">
      <c r="A472" s="25"/>
      <c r="B472" s="25"/>
      <c r="C472" s="25"/>
      <c r="D472" s="25" t="str">
        <f t="array" ref="D472">IF(OR(LEFT(C472,1)="(",COUNTA(C472)=0),"", INDEX(Honor!$B$2:$B998,MATCH(C472,Honor!$A$2:$A998,0)))</f>
        <v/>
      </c>
      <c r="E472" s="25" t="str">
        <f t="array" ref="E472">IF(OR(LEFT(C472,1)="(",COUNTA(C472)=0),"",INDEX(Honor!$O$2:$O998,MATCH(C472,Honor!$A$2:$A998,0)))</f>
        <v/>
      </c>
      <c r="F472" s="25"/>
      <c r="G472" s="25"/>
      <c r="H472" s="25"/>
      <c r="I472" s="25"/>
      <c r="J472" s="25"/>
      <c r="K472" s="25"/>
      <c r="L472" s="25"/>
      <c r="M472" s="25"/>
      <c r="N472" s="25"/>
      <c r="O472" s="25"/>
      <c r="P472" s="25"/>
      <c r="Q472" s="25"/>
      <c r="R472" s="25"/>
      <c r="S472" s="25"/>
      <c r="T472" s="25"/>
      <c r="U472" s="25"/>
      <c r="V472" s="25"/>
      <c r="W472" s="25"/>
      <c r="X472" s="25"/>
    </row>
    <row r="473" spans="1:24" ht="13">
      <c r="A473" s="25"/>
      <c r="B473" s="25"/>
      <c r="C473" s="25"/>
      <c r="D473" s="25" t="str">
        <f t="array" ref="D473">IF(OR(LEFT(C473,1)="(",COUNTA(C473)=0),"", INDEX(Honor!$B$2:$B998,MATCH(C473,Honor!$A$2:$A998,0)))</f>
        <v/>
      </c>
      <c r="E473" s="25" t="str">
        <f t="array" ref="E473">IF(OR(LEFT(C473,1)="(",COUNTA(C473)=0),"",INDEX(Honor!$O$2:$O998,MATCH(C473,Honor!$A$2:$A998,0)))</f>
        <v/>
      </c>
      <c r="F473" s="25"/>
      <c r="G473" s="25"/>
      <c r="H473" s="25"/>
      <c r="I473" s="25"/>
      <c r="J473" s="25"/>
      <c r="K473" s="25"/>
      <c r="L473" s="25"/>
      <c r="M473" s="25"/>
      <c r="N473" s="25"/>
      <c r="O473" s="25"/>
      <c r="P473" s="25"/>
      <c r="Q473" s="25"/>
      <c r="R473" s="25"/>
      <c r="S473" s="25"/>
      <c r="T473" s="25"/>
      <c r="U473" s="25"/>
      <c r="V473" s="25"/>
      <c r="W473" s="25"/>
      <c r="X473" s="25"/>
    </row>
    <row r="474" spans="1:24" ht="13">
      <c r="A474" s="25"/>
      <c r="B474" s="25"/>
      <c r="C474" s="25"/>
      <c r="D474" s="25" t="str">
        <f t="array" ref="D474">IF(OR(LEFT(C474,1)="(",COUNTA(C474)=0),"", INDEX(Honor!$B$2:$B998,MATCH(C474,Honor!$A$2:$A998,0)))</f>
        <v/>
      </c>
      <c r="E474" s="25" t="str">
        <f t="array" ref="E474">IF(OR(LEFT(C474,1)="(",COUNTA(C474)=0),"",INDEX(Honor!$O$2:$O998,MATCH(C474,Honor!$A$2:$A998,0)))</f>
        <v/>
      </c>
      <c r="F474" s="25"/>
      <c r="G474" s="25"/>
      <c r="H474" s="25"/>
      <c r="I474" s="25"/>
      <c r="J474" s="25"/>
      <c r="K474" s="25"/>
      <c r="L474" s="25"/>
      <c r="M474" s="25"/>
      <c r="N474" s="25"/>
      <c r="O474" s="25"/>
      <c r="P474" s="25"/>
      <c r="Q474" s="25"/>
      <c r="R474" s="25"/>
      <c r="S474" s="25"/>
      <c r="T474" s="25"/>
      <c r="U474" s="25"/>
      <c r="V474" s="25"/>
      <c r="W474" s="25"/>
      <c r="X474" s="25"/>
    </row>
    <row r="475" spans="1:24" ht="13">
      <c r="A475" s="25"/>
      <c r="B475" s="25"/>
      <c r="C475" s="25"/>
      <c r="D475" s="25" t="str">
        <f t="array" ref="D475">IF(OR(LEFT(C475,1)="(",COUNTA(C475)=0),"", INDEX(Honor!$B$2:$B998,MATCH(C475,Honor!$A$2:$A998,0)))</f>
        <v/>
      </c>
      <c r="E475" s="25" t="str">
        <f t="array" ref="E475">IF(OR(LEFT(C475,1)="(",COUNTA(C475)=0),"",INDEX(Honor!$O$2:$O998,MATCH(C475,Honor!$A$2:$A998,0)))</f>
        <v/>
      </c>
      <c r="F475" s="25"/>
      <c r="G475" s="25"/>
      <c r="H475" s="25"/>
      <c r="I475" s="25"/>
      <c r="J475" s="25"/>
      <c r="K475" s="25"/>
      <c r="L475" s="25"/>
      <c r="M475" s="25"/>
      <c r="N475" s="25"/>
      <c r="O475" s="25"/>
      <c r="P475" s="25"/>
      <c r="Q475" s="25"/>
      <c r="R475" s="25"/>
      <c r="S475" s="25"/>
      <c r="T475" s="25"/>
      <c r="U475" s="25"/>
      <c r="V475" s="25"/>
      <c r="W475" s="25"/>
      <c r="X475" s="25"/>
    </row>
    <row r="476" spans="1:24" ht="13">
      <c r="A476" s="25"/>
      <c r="B476" s="25"/>
      <c r="C476" s="25"/>
      <c r="D476" s="25" t="str">
        <f t="array" ref="D476">IF(OR(LEFT(C476,1)="(",COUNTA(C476)=0),"", INDEX(Honor!$B$2:$B998,MATCH(C476,Honor!$A$2:$A998,0)))</f>
        <v/>
      </c>
      <c r="E476" s="25" t="str">
        <f t="array" ref="E476">IF(OR(LEFT(C476,1)="(",COUNTA(C476)=0),"",INDEX(Honor!$O$2:$O998,MATCH(C476,Honor!$A$2:$A998,0)))</f>
        <v/>
      </c>
      <c r="F476" s="25"/>
      <c r="G476" s="25"/>
      <c r="H476" s="25"/>
      <c r="I476" s="25"/>
      <c r="J476" s="25"/>
      <c r="K476" s="25"/>
      <c r="L476" s="25"/>
      <c r="M476" s="25"/>
      <c r="N476" s="25"/>
      <c r="O476" s="25"/>
      <c r="P476" s="25"/>
      <c r="Q476" s="25"/>
      <c r="R476" s="25"/>
      <c r="S476" s="25"/>
      <c r="T476" s="25"/>
      <c r="U476" s="25"/>
      <c r="V476" s="25"/>
      <c r="W476" s="25"/>
      <c r="X476" s="25"/>
    </row>
    <row r="477" spans="1:24" ht="13">
      <c r="A477" s="25"/>
      <c r="B477" s="25"/>
      <c r="C477" s="25"/>
      <c r="D477" s="25" t="str">
        <f t="array" ref="D477">IF(OR(LEFT(C477,1)="(",COUNTA(C477)=0),"", INDEX(Honor!$B$2:$B998,MATCH(C477,Honor!$A$2:$A998,0)))</f>
        <v/>
      </c>
      <c r="E477" s="25" t="str">
        <f t="array" ref="E477">IF(OR(LEFT(C477,1)="(",COUNTA(C477)=0),"",INDEX(Honor!$O$2:$O998,MATCH(C477,Honor!$A$2:$A998,0)))</f>
        <v/>
      </c>
      <c r="F477" s="25"/>
      <c r="G477" s="25"/>
      <c r="H477" s="25"/>
      <c r="I477" s="25"/>
      <c r="J477" s="25"/>
      <c r="K477" s="25"/>
      <c r="L477" s="25"/>
      <c r="M477" s="25"/>
      <c r="N477" s="25"/>
      <c r="O477" s="25"/>
      <c r="P477" s="25"/>
      <c r="Q477" s="25"/>
      <c r="R477" s="25"/>
      <c r="S477" s="25"/>
      <c r="T477" s="25"/>
      <c r="U477" s="25"/>
      <c r="V477" s="25"/>
      <c r="W477" s="25"/>
      <c r="X477" s="25"/>
    </row>
    <row r="478" spans="1:24" ht="13">
      <c r="A478" s="25"/>
      <c r="B478" s="25"/>
      <c r="C478" s="25"/>
      <c r="D478" s="25" t="str">
        <f t="array" ref="D478">IF(OR(LEFT(C478,1)="(",COUNTA(C478)=0),"", INDEX(Honor!$B$2:$B998,MATCH(C478,Honor!$A$2:$A998,0)))</f>
        <v/>
      </c>
      <c r="E478" s="25" t="str">
        <f t="array" ref="E478">IF(OR(LEFT(C478,1)="(",COUNTA(C478)=0),"",INDEX(Honor!$O$2:$O998,MATCH(C478,Honor!$A$2:$A998,0)))</f>
        <v/>
      </c>
      <c r="F478" s="25"/>
      <c r="G478" s="25"/>
      <c r="H478" s="25"/>
      <c r="I478" s="25"/>
      <c r="J478" s="25"/>
      <c r="K478" s="25"/>
      <c r="L478" s="25"/>
      <c r="M478" s="25"/>
      <c r="N478" s="25"/>
      <c r="O478" s="25"/>
      <c r="P478" s="25"/>
      <c r="Q478" s="25"/>
      <c r="R478" s="25"/>
      <c r="S478" s="25"/>
      <c r="T478" s="25"/>
      <c r="U478" s="25"/>
      <c r="V478" s="25"/>
      <c r="W478" s="25"/>
      <c r="X478" s="25"/>
    </row>
    <row r="479" spans="1:24" ht="13">
      <c r="A479" s="25"/>
      <c r="B479" s="25"/>
      <c r="C479" s="25"/>
      <c r="D479" s="25" t="str">
        <f t="array" ref="D479">IF(OR(LEFT(C479,1)="(",COUNTA(C479)=0),"", INDEX(Honor!$B$2:$B998,MATCH(C479,Honor!$A$2:$A998,0)))</f>
        <v/>
      </c>
      <c r="E479" s="25" t="str">
        <f t="array" ref="E479">IF(OR(LEFT(C479,1)="(",COUNTA(C479)=0),"",INDEX(Honor!$O$2:$O998,MATCH(C479,Honor!$A$2:$A998,0)))</f>
        <v/>
      </c>
      <c r="F479" s="25"/>
      <c r="G479" s="25"/>
      <c r="H479" s="25"/>
      <c r="I479" s="25"/>
      <c r="J479" s="25"/>
      <c r="K479" s="25"/>
      <c r="L479" s="25"/>
      <c r="M479" s="25"/>
      <c r="N479" s="25"/>
      <c r="O479" s="25"/>
      <c r="P479" s="25"/>
      <c r="Q479" s="25"/>
      <c r="R479" s="25"/>
      <c r="S479" s="25"/>
      <c r="T479" s="25"/>
      <c r="U479" s="25"/>
      <c r="V479" s="25"/>
      <c r="W479" s="25"/>
      <c r="X479" s="25"/>
    </row>
    <row r="480" spans="1:24" ht="13">
      <c r="A480" s="25"/>
      <c r="B480" s="25"/>
      <c r="C480" s="25"/>
      <c r="D480" s="25" t="str">
        <f t="array" ref="D480">IF(OR(LEFT(C480,1)="(",COUNTA(C480)=0),"", INDEX(Honor!$B$2:$B998,MATCH(C480,Honor!$A$2:$A998,0)))</f>
        <v/>
      </c>
      <c r="E480" s="25" t="str">
        <f t="array" ref="E480">IF(OR(LEFT(C480,1)="(",COUNTA(C480)=0),"",INDEX(Honor!$O$2:$O998,MATCH(C480,Honor!$A$2:$A998,0)))</f>
        <v/>
      </c>
      <c r="F480" s="25"/>
      <c r="G480" s="25"/>
      <c r="H480" s="25"/>
      <c r="I480" s="25"/>
      <c r="J480" s="25"/>
      <c r="K480" s="25"/>
      <c r="L480" s="25"/>
      <c r="M480" s="25"/>
      <c r="N480" s="25"/>
      <c r="O480" s="25"/>
      <c r="P480" s="25"/>
      <c r="Q480" s="25"/>
      <c r="R480" s="25"/>
      <c r="S480" s="25"/>
      <c r="T480" s="25"/>
      <c r="U480" s="25"/>
      <c r="V480" s="25"/>
      <c r="W480" s="25"/>
      <c r="X480" s="25"/>
    </row>
    <row r="481" spans="1:24" ht="13">
      <c r="A481" s="25"/>
      <c r="B481" s="25"/>
      <c r="C481" s="25"/>
      <c r="D481" s="25" t="str">
        <f t="array" ref="D481">IF(OR(LEFT(C481,1)="(",COUNTA(C481)=0),"", INDEX(Honor!$B$2:$B998,MATCH(C481,Honor!$A$2:$A998,0)))</f>
        <v/>
      </c>
      <c r="E481" s="25" t="str">
        <f t="array" ref="E481">IF(OR(LEFT(C481,1)="(",COUNTA(C481)=0),"",INDEX(Honor!$O$2:$O998,MATCH(C481,Honor!$A$2:$A998,0)))</f>
        <v/>
      </c>
      <c r="F481" s="25"/>
      <c r="G481" s="25"/>
      <c r="H481" s="25"/>
      <c r="I481" s="25"/>
      <c r="J481" s="25"/>
      <c r="K481" s="25"/>
      <c r="L481" s="25"/>
      <c r="M481" s="25"/>
      <c r="N481" s="25"/>
      <c r="O481" s="25"/>
      <c r="P481" s="25"/>
      <c r="Q481" s="25"/>
      <c r="R481" s="25"/>
      <c r="S481" s="25"/>
      <c r="T481" s="25"/>
      <c r="U481" s="25"/>
      <c r="V481" s="25"/>
      <c r="W481" s="25"/>
      <c r="X481" s="25"/>
    </row>
    <row r="482" spans="1:24" ht="13">
      <c r="A482" s="25"/>
      <c r="B482" s="25"/>
      <c r="C482" s="25"/>
      <c r="D482" s="25" t="str">
        <f t="array" ref="D482">IF(OR(LEFT(C482,1)="(",COUNTA(C482)=0),"", INDEX(Honor!$B$2:$B998,MATCH(C482,Honor!$A$2:$A998,0)))</f>
        <v/>
      </c>
      <c r="E482" s="25" t="str">
        <f t="array" ref="E482">IF(OR(LEFT(C482,1)="(",COUNTA(C482)=0),"",INDEX(Honor!$O$2:$O998,MATCH(C482,Honor!$A$2:$A998,0)))</f>
        <v/>
      </c>
      <c r="F482" s="25"/>
      <c r="G482" s="25"/>
      <c r="H482" s="25"/>
      <c r="I482" s="25"/>
      <c r="J482" s="25"/>
      <c r="K482" s="25"/>
      <c r="L482" s="25"/>
      <c r="M482" s="25"/>
      <c r="N482" s="25"/>
      <c r="O482" s="25"/>
      <c r="P482" s="25"/>
      <c r="Q482" s="25"/>
      <c r="R482" s="25"/>
      <c r="S482" s="25"/>
      <c r="T482" s="25"/>
      <c r="U482" s="25"/>
      <c r="V482" s="25"/>
      <c r="W482" s="25"/>
      <c r="X482" s="25"/>
    </row>
    <row r="483" spans="1:24" ht="13">
      <c r="A483" s="25"/>
      <c r="B483" s="25"/>
      <c r="C483" s="25"/>
      <c r="D483" s="25" t="str">
        <f t="array" ref="D483">IF(OR(LEFT(C483,1)="(",COUNTA(C483)=0),"", INDEX(Honor!$B$2:$B998,MATCH(C483,Honor!$A$2:$A998,0)))</f>
        <v/>
      </c>
      <c r="E483" s="25" t="str">
        <f t="array" ref="E483">IF(OR(LEFT(C483,1)="(",COUNTA(C483)=0),"",INDEX(Honor!$O$2:$O998,MATCH(C483,Honor!$A$2:$A998,0)))</f>
        <v/>
      </c>
      <c r="F483" s="25"/>
      <c r="G483" s="25"/>
      <c r="H483" s="25"/>
      <c r="I483" s="25"/>
      <c r="J483" s="25"/>
      <c r="K483" s="25"/>
      <c r="L483" s="25"/>
      <c r="M483" s="25"/>
      <c r="N483" s="25"/>
      <c r="O483" s="25"/>
      <c r="P483" s="25"/>
      <c r="Q483" s="25"/>
      <c r="R483" s="25"/>
      <c r="S483" s="25"/>
      <c r="T483" s="25"/>
      <c r="U483" s="25"/>
      <c r="V483" s="25"/>
      <c r="W483" s="25"/>
      <c r="X483" s="25"/>
    </row>
    <row r="484" spans="1:24" ht="13">
      <c r="A484" s="25"/>
      <c r="B484" s="25"/>
      <c r="C484" s="25"/>
      <c r="D484" s="25" t="str">
        <f t="array" ref="D484">IF(OR(LEFT(C484,1)="(",COUNTA(C484)=0),"", INDEX(Honor!$B$2:$B998,MATCH(C484,Honor!$A$2:$A998,0)))</f>
        <v/>
      </c>
      <c r="E484" s="25" t="str">
        <f t="array" ref="E484">IF(OR(LEFT(C484,1)="(",COUNTA(C484)=0),"",INDEX(Honor!$O$2:$O998,MATCH(C484,Honor!$A$2:$A998,0)))</f>
        <v/>
      </c>
      <c r="F484" s="25"/>
      <c r="G484" s="25"/>
      <c r="H484" s="25"/>
      <c r="I484" s="25"/>
      <c r="J484" s="25"/>
      <c r="K484" s="25"/>
      <c r="L484" s="25"/>
      <c r="M484" s="25"/>
      <c r="N484" s="25"/>
      <c r="O484" s="25"/>
      <c r="P484" s="25"/>
      <c r="Q484" s="25"/>
      <c r="R484" s="25"/>
      <c r="S484" s="25"/>
      <c r="T484" s="25"/>
      <c r="U484" s="25"/>
      <c r="V484" s="25"/>
      <c r="W484" s="25"/>
      <c r="X484" s="25"/>
    </row>
    <row r="485" spans="1:24" ht="13">
      <c r="A485" s="25"/>
      <c r="B485" s="25"/>
      <c r="C485" s="25"/>
      <c r="D485" s="25" t="str">
        <f t="array" ref="D485">IF(OR(LEFT(C485,1)="(",COUNTA(C485)=0),"", INDEX(Honor!$B$2:$B998,MATCH(C485,Honor!$A$2:$A998,0)))</f>
        <v/>
      </c>
      <c r="E485" s="25" t="str">
        <f t="array" ref="E485">IF(OR(LEFT(C485,1)="(",COUNTA(C485)=0),"",INDEX(Honor!$O$2:$O998,MATCH(C485,Honor!$A$2:$A998,0)))</f>
        <v/>
      </c>
      <c r="F485" s="25"/>
      <c r="G485" s="25"/>
      <c r="H485" s="25"/>
      <c r="I485" s="25"/>
      <c r="J485" s="25"/>
      <c r="K485" s="25"/>
      <c r="L485" s="25"/>
      <c r="M485" s="25"/>
      <c r="N485" s="25"/>
      <c r="O485" s="25"/>
      <c r="P485" s="25"/>
      <c r="Q485" s="25"/>
      <c r="R485" s="25"/>
      <c r="S485" s="25"/>
      <c r="T485" s="25"/>
      <c r="U485" s="25"/>
      <c r="V485" s="25"/>
      <c r="W485" s="25"/>
      <c r="X485" s="25"/>
    </row>
    <row r="486" spans="1:24" ht="13">
      <c r="A486" s="25"/>
      <c r="B486" s="25"/>
      <c r="C486" s="25"/>
      <c r="D486" s="25" t="str">
        <f t="array" ref="D486">IF(OR(LEFT(C486,1)="(",COUNTA(C486)=0),"", INDEX(Honor!$B$2:$B998,MATCH(C486,Honor!$A$2:$A998,0)))</f>
        <v/>
      </c>
      <c r="E486" s="25" t="str">
        <f t="array" ref="E486">IF(OR(LEFT(C486,1)="(",COUNTA(C486)=0),"",INDEX(Honor!$O$2:$O998,MATCH(C486,Honor!$A$2:$A998,0)))</f>
        <v/>
      </c>
      <c r="F486" s="25"/>
      <c r="G486" s="25"/>
      <c r="H486" s="25"/>
      <c r="I486" s="25"/>
      <c r="J486" s="25"/>
      <c r="K486" s="25"/>
      <c r="L486" s="25"/>
      <c r="M486" s="25"/>
      <c r="N486" s="25"/>
      <c r="O486" s="25"/>
      <c r="P486" s="25"/>
      <c r="Q486" s="25"/>
      <c r="R486" s="25"/>
      <c r="S486" s="25"/>
      <c r="T486" s="25"/>
      <c r="U486" s="25"/>
      <c r="V486" s="25"/>
      <c r="W486" s="25"/>
      <c r="X486" s="25"/>
    </row>
    <row r="487" spans="1:24" ht="13">
      <c r="A487" s="25"/>
      <c r="B487" s="25"/>
      <c r="C487" s="25"/>
      <c r="D487" s="25" t="str">
        <f t="array" ref="D487">IF(OR(LEFT(C487,1)="(",COUNTA(C487)=0),"", INDEX(Honor!$B$2:$B998,MATCH(C487,Honor!$A$2:$A998,0)))</f>
        <v/>
      </c>
      <c r="E487" s="25" t="str">
        <f t="array" ref="E487">IF(OR(LEFT(C487,1)="(",COUNTA(C487)=0),"",INDEX(Honor!$O$2:$O998,MATCH(C487,Honor!$A$2:$A998,0)))</f>
        <v/>
      </c>
      <c r="F487" s="25"/>
      <c r="G487" s="25"/>
      <c r="H487" s="25"/>
      <c r="I487" s="25"/>
      <c r="J487" s="25"/>
      <c r="K487" s="25"/>
      <c r="L487" s="25"/>
      <c r="M487" s="25"/>
      <c r="N487" s="25"/>
      <c r="O487" s="25"/>
      <c r="P487" s="25"/>
      <c r="Q487" s="25"/>
      <c r="R487" s="25"/>
      <c r="S487" s="25"/>
      <c r="T487" s="25"/>
      <c r="U487" s="25"/>
      <c r="V487" s="25"/>
      <c r="W487" s="25"/>
      <c r="X487" s="25"/>
    </row>
    <row r="488" spans="1:24" ht="13">
      <c r="A488" s="25"/>
      <c r="B488" s="25"/>
      <c r="C488" s="25"/>
      <c r="D488" s="25" t="str">
        <f t="array" ref="D488">IF(OR(LEFT(C488,1)="(",COUNTA(C488)=0),"", INDEX(Honor!$B$2:$B998,MATCH(C488,Honor!$A$2:$A998,0)))</f>
        <v/>
      </c>
      <c r="E488" s="25" t="str">
        <f t="array" ref="E488">IF(OR(LEFT(C488,1)="(",COUNTA(C488)=0),"",INDEX(Honor!$O$2:$O998,MATCH(C488,Honor!$A$2:$A998,0)))</f>
        <v/>
      </c>
      <c r="F488" s="25"/>
      <c r="G488" s="25"/>
      <c r="H488" s="25"/>
      <c r="I488" s="25"/>
      <c r="J488" s="25"/>
      <c r="K488" s="25"/>
      <c r="L488" s="25"/>
      <c r="M488" s="25"/>
      <c r="N488" s="25"/>
      <c r="O488" s="25"/>
      <c r="P488" s="25"/>
      <c r="Q488" s="25"/>
      <c r="R488" s="25"/>
      <c r="S488" s="25"/>
      <c r="T488" s="25"/>
      <c r="U488" s="25"/>
      <c r="V488" s="25"/>
      <c r="W488" s="25"/>
      <c r="X488" s="25"/>
    </row>
    <row r="489" spans="1:24" ht="13">
      <c r="A489" s="25"/>
      <c r="B489" s="25"/>
      <c r="C489" s="25"/>
      <c r="D489" s="25" t="str">
        <f t="array" ref="D489">IF(OR(LEFT(C489,1)="(",COUNTA(C489)=0),"", INDEX(Honor!$B$2:$B998,MATCH(C489,Honor!$A$2:$A998,0)))</f>
        <v/>
      </c>
      <c r="E489" s="25" t="str">
        <f t="array" ref="E489">IF(OR(LEFT(C489,1)="(",COUNTA(C489)=0),"",INDEX(Honor!$O$2:$O998,MATCH(C489,Honor!$A$2:$A998,0)))</f>
        <v/>
      </c>
      <c r="F489" s="25"/>
      <c r="G489" s="25"/>
      <c r="H489" s="25"/>
      <c r="I489" s="25"/>
      <c r="J489" s="25"/>
      <c r="K489" s="25"/>
      <c r="L489" s="25"/>
      <c r="M489" s="25"/>
      <c r="N489" s="25"/>
      <c r="O489" s="25"/>
      <c r="P489" s="25"/>
      <c r="Q489" s="25"/>
      <c r="R489" s="25"/>
      <c r="S489" s="25"/>
      <c r="T489" s="25"/>
      <c r="U489" s="25"/>
      <c r="V489" s="25"/>
      <c r="W489" s="25"/>
      <c r="X489" s="25"/>
    </row>
    <row r="490" spans="1:24" ht="13">
      <c r="A490" s="25"/>
      <c r="B490" s="25"/>
      <c r="C490" s="25"/>
      <c r="D490" s="25" t="str">
        <f t="array" ref="D490">IF(OR(LEFT(C490,1)="(",COUNTA(C490)=0),"", INDEX(Honor!$B$2:$B998,MATCH(C490,Honor!$A$2:$A998,0)))</f>
        <v/>
      </c>
      <c r="E490" s="25" t="str">
        <f t="array" ref="E490">IF(OR(LEFT(C490,1)="(",COUNTA(C490)=0),"",INDEX(Honor!$O$2:$O998,MATCH(C490,Honor!$A$2:$A998,0)))</f>
        <v/>
      </c>
      <c r="F490" s="25"/>
      <c r="G490" s="25"/>
      <c r="H490" s="25"/>
      <c r="I490" s="25"/>
      <c r="J490" s="25"/>
      <c r="K490" s="25"/>
      <c r="L490" s="25"/>
      <c r="M490" s="25"/>
      <c r="N490" s="25"/>
      <c r="O490" s="25"/>
      <c r="P490" s="25"/>
      <c r="Q490" s="25"/>
      <c r="R490" s="25"/>
      <c r="S490" s="25"/>
      <c r="T490" s="25"/>
      <c r="U490" s="25"/>
      <c r="V490" s="25"/>
      <c r="W490" s="25"/>
      <c r="X490" s="25"/>
    </row>
    <row r="491" spans="1:24" ht="13">
      <c r="A491" s="25"/>
      <c r="B491" s="25"/>
      <c r="C491" s="25"/>
      <c r="D491" s="25" t="str">
        <f t="array" ref="D491">IF(OR(LEFT(C491,1)="(",COUNTA(C491)=0),"", INDEX(Honor!$B$2:$B998,MATCH(C491,Honor!$A$2:$A998,0)))</f>
        <v/>
      </c>
      <c r="E491" s="25" t="str">
        <f t="array" ref="E491">IF(OR(LEFT(C491,1)="(",COUNTA(C491)=0),"",INDEX(Honor!$O$2:$O998,MATCH(C491,Honor!$A$2:$A998,0)))</f>
        <v/>
      </c>
      <c r="F491" s="25"/>
      <c r="G491" s="25"/>
      <c r="H491" s="25"/>
      <c r="I491" s="25"/>
      <c r="J491" s="25"/>
      <c r="K491" s="25"/>
      <c r="L491" s="25"/>
      <c r="M491" s="25"/>
      <c r="N491" s="25"/>
      <c r="O491" s="25"/>
      <c r="P491" s="25"/>
      <c r="Q491" s="25"/>
      <c r="R491" s="25"/>
      <c r="S491" s="25"/>
      <c r="T491" s="25"/>
      <c r="U491" s="25"/>
      <c r="V491" s="25"/>
      <c r="W491" s="25"/>
      <c r="X491" s="25"/>
    </row>
    <row r="492" spans="1:24" ht="13">
      <c r="A492" s="25"/>
      <c r="B492" s="25"/>
      <c r="C492" s="25"/>
      <c r="D492" s="25" t="str">
        <f t="array" ref="D492">IF(OR(LEFT(C492,1)="(",COUNTA(C492)=0),"", INDEX(Honor!$B$2:$B998,MATCH(C492,Honor!$A$2:$A998,0)))</f>
        <v/>
      </c>
      <c r="E492" s="25" t="str">
        <f t="array" ref="E492">IF(OR(LEFT(C492,1)="(",COUNTA(C492)=0),"",INDEX(Honor!$O$2:$O998,MATCH(C492,Honor!$A$2:$A998,0)))</f>
        <v/>
      </c>
      <c r="F492" s="25"/>
      <c r="G492" s="25"/>
      <c r="H492" s="25"/>
      <c r="I492" s="25"/>
      <c r="J492" s="25"/>
      <c r="K492" s="25"/>
      <c r="L492" s="25"/>
      <c r="M492" s="25"/>
      <c r="N492" s="25"/>
      <c r="O492" s="25"/>
      <c r="P492" s="25"/>
      <c r="Q492" s="25"/>
      <c r="R492" s="25"/>
      <c r="S492" s="25"/>
      <c r="T492" s="25"/>
      <c r="U492" s="25"/>
      <c r="V492" s="25"/>
      <c r="W492" s="25"/>
      <c r="X492" s="25"/>
    </row>
    <row r="493" spans="1:24" ht="13">
      <c r="A493" s="25"/>
      <c r="B493" s="25"/>
      <c r="C493" s="25"/>
      <c r="D493" s="25" t="str">
        <f t="array" ref="D493">IF(OR(LEFT(C493,1)="(",COUNTA(C493)=0),"", INDEX(Honor!$B$2:$B998,MATCH(C493,Honor!$A$2:$A998,0)))</f>
        <v/>
      </c>
      <c r="E493" s="25" t="str">
        <f t="array" ref="E493">IF(OR(LEFT(C493,1)="(",COUNTA(C493)=0),"",INDEX(Honor!$O$2:$O998,MATCH(C493,Honor!$A$2:$A998,0)))</f>
        <v/>
      </c>
      <c r="F493" s="25"/>
      <c r="G493" s="25"/>
      <c r="H493" s="25"/>
      <c r="I493" s="25"/>
      <c r="J493" s="25"/>
      <c r="K493" s="25"/>
      <c r="L493" s="25"/>
      <c r="M493" s="25"/>
      <c r="N493" s="25"/>
      <c r="O493" s="25"/>
      <c r="P493" s="25"/>
      <c r="Q493" s="25"/>
      <c r="R493" s="25"/>
      <c r="S493" s="25"/>
      <c r="T493" s="25"/>
      <c r="U493" s="25"/>
      <c r="V493" s="25"/>
      <c r="W493" s="25"/>
      <c r="X493" s="25"/>
    </row>
    <row r="494" spans="1:24" ht="13">
      <c r="A494" s="25"/>
      <c r="B494" s="25"/>
      <c r="C494" s="25"/>
      <c r="D494" s="25" t="str">
        <f t="array" ref="D494">IF(OR(LEFT(C494,1)="(",COUNTA(C494)=0),"", INDEX(Honor!$B$2:$B998,MATCH(C494,Honor!$A$2:$A998,0)))</f>
        <v/>
      </c>
      <c r="E494" s="25" t="str">
        <f t="array" ref="E494">IF(OR(LEFT(C494,1)="(",COUNTA(C494)=0),"",INDEX(Honor!$O$2:$O998,MATCH(C494,Honor!$A$2:$A998,0)))</f>
        <v/>
      </c>
      <c r="F494" s="25"/>
      <c r="G494" s="25"/>
      <c r="H494" s="25"/>
      <c r="I494" s="25"/>
      <c r="J494" s="25"/>
      <c r="K494" s="25"/>
      <c r="L494" s="25"/>
      <c r="M494" s="25"/>
      <c r="N494" s="25"/>
      <c r="O494" s="25"/>
      <c r="P494" s="25"/>
      <c r="Q494" s="25"/>
      <c r="R494" s="25"/>
      <c r="S494" s="25"/>
      <c r="T494" s="25"/>
      <c r="U494" s="25"/>
      <c r="V494" s="25"/>
      <c r="W494" s="25"/>
      <c r="X494" s="25"/>
    </row>
    <row r="495" spans="1:24" ht="13">
      <c r="A495" s="25"/>
      <c r="B495" s="25"/>
      <c r="C495" s="25"/>
      <c r="D495" s="25" t="str">
        <f t="array" ref="D495">IF(OR(LEFT(C495,1)="(",COUNTA(C495)=0),"", INDEX(Honor!$B$2:$B998,MATCH(C495,Honor!$A$2:$A998,0)))</f>
        <v/>
      </c>
      <c r="E495" s="25" t="str">
        <f t="array" ref="E495">IF(OR(LEFT(C495,1)="(",COUNTA(C495)=0),"",INDEX(Honor!$O$2:$O998,MATCH(C495,Honor!$A$2:$A998,0)))</f>
        <v/>
      </c>
      <c r="F495" s="25"/>
      <c r="G495" s="25"/>
      <c r="H495" s="25"/>
      <c r="I495" s="25"/>
      <c r="J495" s="25"/>
      <c r="K495" s="25"/>
      <c r="L495" s="25"/>
      <c r="M495" s="25"/>
      <c r="N495" s="25"/>
      <c r="O495" s="25"/>
      <c r="P495" s="25"/>
      <c r="Q495" s="25"/>
      <c r="R495" s="25"/>
      <c r="S495" s="25"/>
      <c r="T495" s="25"/>
      <c r="U495" s="25"/>
      <c r="V495" s="25"/>
      <c r="W495" s="25"/>
      <c r="X495" s="25"/>
    </row>
    <row r="496" spans="1:24" ht="13">
      <c r="A496" s="25"/>
      <c r="B496" s="25"/>
      <c r="C496" s="25"/>
      <c r="D496" s="25" t="str">
        <f t="array" ref="D496">IF(OR(LEFT(C496,1)="(",COUNTA(C496)=0),"", INDEX(Honor!$B$2:$B998,MATCH(C496,Honor!$A$2:$A998,0)))</f>
        <v/>
      </c>
      <c r="E496" s="25" t="str">
        <f t="array" ref="E496">IF(OR(LEFT(C496,1)="(",COUNTA(C496)=0),"",INDEX(Honor!$O$2:$O998,MATCH(C496,Honor!$A$2:$A998,0)))</f>
        <v/>
      </c>
      <c r="F496" s="25"/>
      <c r="G496" s="25"/>
      <c r="H496" s="25"/>
      <c r="I496" s="25"/>
      <c r="J496" s="25"/>
      <c r="K496" s="25"/>
      <c r="L496" s="25"/>
      <c r="M496" s="25"/>
      <c r="N496" s="25"/>
      <c r="O496" s="25"/>
      <c r="P496" s="25"/>
      <c r="Q496" s="25"/>
      <c r="R496" s="25"/>
      <c r="S496" s="25"/>
      <c r="T496" s="25"/>
      <c r="U496" s="25"/>
      <c r="V496" s="25"/>
      <c r="W496" s="25"/>
      <c r="X496" s="25"/>
    </row>
    <row r="497" spans="1:24" ht="13">
      <c r="A497" s="25"/>
      <c r="B497" s="25"/>
      <c r="C497" s="25"/>
      <c r="D497" s="25" t="str">
        <f t="array" ref="D497">IF(OR(LEFT(C497,1)="(",COUNTA(C497)=0),"", INDEX(Honor!$B$2:$B998,MATCH(C497,Honor!$A$2:$A998,0)))</f>
        <v/>
      </c>
      <c r="E497" s="25" t="str">
        <f t="array" ref="E497">IF(OR(LEFT(C497,1)="(",COUNTA(C497)=0),"",INDEX(Honor!$O$2:$O998,MATCH(C497,Honor!$A$2:$A998,0)))</f>
        <v/>
      </c>
      <c r="F497" s="25"/>
      <c r="G497" s="25"/>
      <c r="H497" s="25"/>
      <c r="I497" s="25"/>
      <c r="J497" s="25"/>
      <c r="K497" s="25"/>
      <c r="L497" s="25"/>
      <c r="M497" s="25"/>
      <c r="N497" s="25"/>
      <c r="O497" s="25"/>
      <c r="P497" s="25"/>
      <c r="Q497" s="25"/>
      <c r="R497" s="25"/>
      <c r="S497" s="25"/>
      <c r="T497" s="25"/>
      <c r="U497" s="25"/>
      <c r="V497" s="25"/>
      <c r="W497" s="25"/>
      <c r="X497" s="25"/>
    </row>
    <row r="498" spans="1:24" ht="13">
      <c r="A498" s="25"/>
      <c r="B498" s="25"/>
      <c r="C498" s="25"/>
      <c r="D498" s="25" t="str">
        <f t="array" ref="D498">IF(OR(LEFT(C498,1)="(",COUNTA(C498)=0),"", INDEX(Honor!$B$2:$B998,MATCH(C498,Honor!$A$2:$A998,0)))</f>
        <v/>
      </c>
      <c r="E498" s="25" t="str">
        <f t="array" ref="E498">IF(OR(LEFT(C498,1)="(",COUNTA(C498)=0),"",INDEX(Honor!$O$2:$O998,MATCH(C498,Honor!$A$2:$A998,0)))</f>
        <v/>
      </c>
      <c r="F498" s="25"/>
      <c r="G498" s="25"/>
      <c r="H498" s="25"/>
      <c r="I498" s="25"/>
      <c r="J498" s="25"/>
      <c r="K498" s="25"/>
      <c r="L498" s="25"/>
      <c r="M498" s="25"/>
      <c r="N498" s="25"/>
      <c r="O498" s="25"/>
      <c r="P498" s="25"/>
      <c r="Q498" s="25"/>
      <c r="R498" s="25"/>
      <c r="S498" s="25"/>
      <c r="T498" s="25"/>
      <c r="U498" s="25"/>
      <c r="V498" s="25"/>
      <c r="W498" s="25"/>
      <c r="X498" s="25"/>
    </row>
    <row r="499" spans="1:24" ht="13">
      <c r="A499" s="25"/>
      <c r="B499" s="25"/>
      <c r="C499" s="25"/>
      <c r="D499" s="25" t="str">
        <f t="array" ref="D499">IF(OR(LEFT(C499,1)="(",COUNTA(C499)=0),"", INDEX(Honor!$B$2:$B998,MATCH(C499,Honor!$A$2:$A998,0)))</f>
        <v/>
      </c>
      <c r="E499" s="25" t="str">
        <f t="array" ref="E499">IF(OR(LEFT(C499,1)="(",COUNTA(C499)=0),"",INDEX(Honor!$O$2:$O998,MATCH(C499,Honor!$A$2:$A998,0)))</f>
        <v/>
      </c>
      <c r="F499" s="25"/>
      <c r="G499" s="25"/>
      <c r="H499" s="25"/>
      <c r="I499" s="25"/>
      <c r="J499" s="25"/>
      <c r="K499" s="25"/>
      <c r="L499" s="25"/>
      <c r="M499" s="25"/>
      <c r="N499" s="25"/>
      <c r="O499" s="25"/>
      <c r="P499" s="25"/>
      <c r="Q499" s="25"/>
      <c r="R499" s="25"/>
      <c r="S499" s="25"/>
      <c r="T499" s="25"/>
      <c r="U499" s="25"/>
      <c r="V499" s="25"/>
      <c r="W499" s="25"/>
      <c r="X499" s="25"/>
    </row>
    <row r="500" spans="1:24" ht="13">
      <c r="A500" s="25"/>
      <c r="B500" s="25"/>
      <c r="C500" s="25"/>
      <c r="D500" s="25" t="str">
        <f t="array" ref="D500">IF(OR(LEFT(C500,1)="(",COUNTA(C500)=0),"", INDEX(Honor!$B$2:$B998,MATCH(C500,Honor!$A$2:$A998,0)))</f>
        <v/>
      </c>
      <c r="E500" s="25" t="str">
        <f t="array" ref="E500">IF(OR(LEFT(C500,1)="(",COUNTA(C500)=0),"",INDEX(Honor!$O$2:$O998,MATCH(C500,Honor!$A$2:$A998,0)))</f>
        <v/>
      </c>
      <c r="F500" s="25"/>
      <c r="G500" s="25"/>
      <c r="H500" s="25"/>
      <c r="I500" s="25"/>
      <c r="J500" s="25"/>
      <c r="K500" s="25"/>
      <c r="L500" s="25"/>
      <c r="M500" s="25"/>
      <c r="N500" s="25"/>
      <c r="O500" s="25"/>
      <c r="P500" s="25"/>
      <c r="Q500" s="25"/>
      <c r="R500" s="25"/>
      <c r="S500" s="25"/>
      <c r="T500" s="25"/>
      <c r="U500" s="25"/>
      <c r="V500" s="25"/>
      <c r="W500" s="25"/>
      <c r="X500" s="25"/>
    </row>
    <row r="501" spans="1:24" ht="13">
      <c r="A501" s="25"/>
      <c r="B501" s="25"/>
      <c r="C501" s="25"/>
      <c r="D501" s="25" t="str">
        <f t="array" ref="D501">IF(OR(LEFT(C501,1)="(",COUNTA(C501)=0),"", INDEX(Honor!$B$2:$B998,MATCH(C501,Honor!$A$2:$A998,0)))</f>
        <v/>
      </c>
      <c r="E501" s="25" t="str">
        <f t="array" ref="E501">IF(OR(LEFT(C501,1)="(",COUNTA(C501)=0),"",INDEX(Honor!$O$2:$O998,MATCH(C501,Honor!$A$2:$A998,0)))</f>
        <v/>
      </c>
      <c r="F501" s="25"/>
      <c r="G501" s="25"/>
      <c r="H501" s="25"/>
      <c r="I501" s="25"/>
      <c r="J501" s="25"/>
      <c r="K501" s="25"/>
      <c r="L501" s="25"/>
      <c r="M501" s="25"/>
      <c r="N501" s="25"/>
      <c r="O501" s="25"/>
      <c r="P501" s="25"/>
      <c r="Q501" s="25"/>
      <c r="R501" s="25"/>
      <c r="S501" s="25"/>
      <c r="T501" s="25"/>
      <c r="U501" s="25"/>
      <c r="V501" s="25"/>
      <c r="W501" s="25"/>
      <c r="X501" s="25"/>
    </row>
    <row r="502" spans="1:24" ht="13">
      <c r="A502" s="25"/>
      <c r="B502" s="25"/>
      <c r="C502" s="25"/>
      <c r="D502" s="25" t="str">
        <f t="array" ref="D502">IF(OR(LEFT(C502,1)="(",COUNTA(C502)=0),"", INDEX(Honor!$B$2:$B998,MATCH(C502,Honor!$A$2:$A998,0)))</f>
        <v/>
      </c>
      <c r="E502" s="25" t="str">
        <f t="array" ref="E502">IF(OR(LEFT(C502,1)="(",COUNTA(C502)=0),"",INDEX(Honor!$O$2:$O998,MATCH(C502,Honor!$A$2:$A998,0)))</f>
        <v/>
      </c>
      <c r="F502" s="25"/>
      <c r="G502" s="25"/>
      <c r="H502" s="25"/>
      <c r="I502" s="25"/>
      <c r="J502" s="25"/>
      <c r="K502" s="25"/>
      <c r="L502" s="25"/>
      <c r="M502" s="25"/>
      <c r="N502" s="25"/>
      <c r="O502" s="25"/>
      <c r="P502" s="25"/>
      <c r="Q502" s="25"/>
      <c r="R502" s="25"/>
      <c r="S502" s="25"/>
      <c r="T502" s="25"/>
      <c r="U502" s="25"/>
      <c r="V502" s="25"/>
      <c r="W502" s="25"/>
      <c r="X502" s="25"/>
    </row>
    <row r="503" spans="1:24" ht="13">
      <c r="A503" s="25"/>
      <c r="B503" s="25"/>
      <c r="C503" s="25"/>
      <c r="D503" s="25" t="str">
        <f t="array" ref="D503">IF(OR(LEFT(C503,1)="(",COUNTA(C503)=0),"", INDEX(Honor!$B$2:$B998,MATCH(C503,Honor!$A$2:$A998,0)))</f>
        <v/>
      </c>
      <c r="E503" s="25" t="str">
        <f t="array" ref="E503">IF(OR(LEFT(C503,1)="(",COUNTA(C503)=0),"",INDEX(Honor!$O$2:$O998,MATCH(C503,Honor!$A$2:$A998,0)))</f>
        <v/>
      </c>
      <c r="F503" s="25"/>
      <c r="G503" s="25"/>
      <c r="H503" s="25"/>
      <c r="I503" s="25"/>
      <c r="J503" s="25"/>
      <c r="K503" s="25"/>
      <c r="L503" s="25"/>
      <c r="M503" s="25"/>
      <c r="N503" s="25"/>
      <c r="O503" s="25"/>
      <c r="P503" s="25"/>
      <c r="Q503" s="25"/>
      <c r="R503" s="25"/>
      <c r="S503" s="25"/>
      <c r="T503" s="25"/>
      <c r="U503" s="25"/>
      <c r="V503" s="25"/>
      <c r="W503" s="25"/>
      <c r="X503" s="25"/>
    </row>
    <row r="504" spans="1:24" ht="13">
      <c r="A504" s="25"/>
      <c r="B504" s="25"/>
      <c r="C504" s="25"/>
      <c r="D504" s="25" t="str">
        <f t="array" ref="D504">IF(OR(LEFT(C504,1)="(",COUNTA(C504)=0),"", INDEX(Honor!$B$2:$B998,MATCH(C504,Honor!$A$2:$A998,0)))</f>
        <v/>
      </c>
      <c r="E504" s="25" t="str">
        <f t="array" ref="E504">IF(OR(LEFT(C504,1)="(",COUNTA(C504)=0),"",INDEX(Honor!$O$2:$O998,MATCH(C504,Honor!$A$2:$A998,0)))</f>
        <v/>
      </c>
      <c r="F504" s="25"/>
      <c r="G504" s="25"/>
      <c r="H504" s="25"/>
      <c r="I504" s="25"/>
      <c r="J504" s="25"/>
      <c r="K504" s="25"/>
      <c r="L504" s="25"/>
      <c r="M504" s="25"/>
      <c r="N504" s="25"/>
      <c r="O504" s="25"/>
      <c r="P504" s="25"/>
      <c r="Q504" s="25"/>
      <c r="R504" s="25"/>
      <c r="S504" s="25"/>
      <c r="T504" s="25"/>
      <c r="U504" s="25"/>
      <c r="V504" s="25"/>
      <c r="W504" s="25"/>
      <c r="X504" s="25"/>
    </row>
    <row r="505" spans="1:24" ht="13">
      <c r="A505" s="25"/>
      <c r="B505" s="25"/>
      <c r="C505" s="25"/>
      <c r="D505" s="25" t="str">
        <f t="array" ref="D505">IF(OR(LEFT(C505,1)="(",COUNTA(C505)=0),"", INDEX(Honor!$B$2:$B998,MATCH(C505,Honor!$A$2:$A998,0)))</f>
        <v/>
      </c>
      <c r="E505" s="25" t="str">
        <f t="array" ref="E505">IF(OR(LEFT(C505,1)="(",COUNTA(C505)=0),"",INDEX(Honor!$O$2:$O998,MATCH(C505,Honor!$A$2:$A998,0)))</f>
        <v/>
      </c>
      <c r="F505" s="25"/>
      <c r="G505" s="25"/>
      <c r="H505" s="25"/>
      <c r="I505" s="25"/>
      <c r="J505" s="25"/>
      <c r="K505" s="25"/>
      <c r="L505" s="25"/>
      <c r="M505" s="25"/>
      <c r="N505" s="25"/>
      <c r="O505" s="25"/>
      <c r="P505" s="25"/>
      <c r="Q505" s="25"/>
      <c r="R505" s="25"/>
      <c r="S505" s="25"/>
      <c r="T505" s="25"/>
      <c r="U505" s="25"/>
      <c r="V505" s="25"/>
      <c r="W505" s="25"/>
      <c r="X505" s="25"/>
    </row>
    <row r="506" spans="1:24" ht="13">
      <c r="A506" s="25"/>
      <c r="B506" s="25"/>
      <c r="C506" s="25"/>
      <c r="D506" s="25" t="str">
        <f t="array" ref="D506">IF(OR(LEFT(C506,1)="(",COUNTA(C506)=0),"", INDEX(Honor!$B$2:$B998,MATCH(C506,Honor!$A$2:$A998,0)))</f>
        <v/>
      </c>
      <c r="E506" s="25" t="str">
        <f t="array" ref="E506">IF(OR(LEFT(C506,1)="(",COUNTA(C506)=0),"",INDEX(Honor!$O$2:$O998,MATCH(C506,Honor!$A$2:$A998,0)))</f>
        <v/>
      </c>
      <c r="F506" s="25"/>
      <c r="G506" s="25"/>
      <c r="H506" s="25"/>
      <c r="I506" s="25"/>
      <c r="J506" s="25"/>
      <c r="K506" s="25"/>
      <c r="L506" s="25"/>
      <c r="M506" s="25"/>
      <c r="N506" s="25"/>
      <c r="O506" s="25"/>
      <c r="P506" s="25"/>
      <c r="Q506" s="25"/>
      <c r="R506" s="25"/>
      <c r="S506" s="25"/>
      <c r="T506" s="25"/>
      <c r="U506" s="25"/>
      <c r="V506" s="25"/>
      <c r="W506" s="25"/>
      <c r="X506" s="25"/>
    </row>
    <row r="507" spans="1:24" ht="13">
      <c r="A507" s="25"/>
      <c r="B507" s="25"/>
      <c r="C507" s="25"/>
      <c r="D507" s="25" t="str">
        <f t="array" ref="D507">IF(OR(LEFT(C507,1)="(",COUNTA(C507)=0),"", INDEX(Honor!$B$2:$B998,MATCH(C507,Honor!$A$2:$A998,0)))</f>
        <v/>
      </c>
      <c r="E507" s="25" t="str">
        <f t="array" ref="E507">IF(OR(LEFT(C507,1)="(",COUNTA(C507)=0),"",INDEX(Honor!$O$2:$O998,MATCH(C507,Honor!$A$2:$A998,0)))</f>
        <v/>
      </c>
      <c r="F507" s="25"/>
      <c r="G507" s="25"/>
      <c r="H507" s="25"/>
      <c r="I507" s="25"/>
      <c r="J507" s="25"/>
      <c r="K507" s="25"/>
      <c r="L507" s="25"/>
      <c r="M507" s="25"/>
      <c r="N507" s="25"/>
      <c r="O507" s="25"/>
      <c r="P507" s="25"/>
      <c r="Q507" s="25"/>
      <c r="R507" s="25"/>
      <c r="S507" s="25"/>
      <c r="T507" s="25"/>
      <c r="U507" s="25"/>
      <c r="V507" s="25"/>
      <c r="W507" s="25"/>
      <c r="X507" s="25"/>
    </row>
    <row r="508" spans="1:24" ht="13">
      <c r="A508" s="25"/>
      <c r="B508" s="25"/>
      <c r="C508" s="25"/>
      <c r="D508" s="25" t="str">
        <f t="array" ref="D508">IF(OR(LEFT(C508,1)="(",COUNTA(C508)=0),"", INDEX(Honor!$B$2:$B998,MATCH(C508,Honor!$A$2:$A998,0)))</f>
        <v/>
      </c>
      <c r="E508" s="25" t="str">
        <f t="array" ref="E508">IF(OR(LEFT(C508,1)="(",COUNTA(C508)=0),"",INDEX(Honor!$O$2:$O998,MATCH(C508,Honor!$A$2:$A998,0)))</f>
        <v/>
      </c>
      <c r="F508" s="25"/>
      <c r="G508" s="25"/>
      <c r="H508" s="25"/>
      <c r="I508" s="25"/>
      <c r="J508" s="25"/>
      <c r="K508" s="25"/>
      <c r="L508" s="25"/>
      <c r="M508" s="25"/>
      <c r="N508" s="25"/>
      <c r="O508" s="25"/>
      <c r="P508" s="25"/>
      <c r="Q508" s="25"/>
      <c r="R508" s="25"/>
      <c r="S508" s="25"/>
      <c r="T508" s="25"/>
      <c r="U508" s="25"/>
      <c r="V508" s="25"/>
      <c r="W508" s="25"/>
      <c r="X508" s="25"/>
    </row>
    <row r="509" spans="1:24" ht="13">
      <c r="A509" s="25"/>
      <c r="B509" s="25"/>
      <c r="C509" s="25"/>
      <c r="D509" s="25" t="str">
        <f t="array" ref="D509">IF(OR(LEFT(C509,1)="(",COUNTA(C509)=0),"", INDEX(Honor!$B$2:$B998,MATCH(C509,Honor!$A$2:$A998,0)))</f>
        <v/>
      </c>
      <c r="E509" s="25" t="str">
        <f t="array" ref="E509">IF(OR(LEFT(C509,1)="(",COUNTA(C509)=0),"",INDEX(Honor!$O$2:$O998,MATCH(C509,Honor!$A$2:$A998,0)))</f>
        <v/>
      </c>
      <c r="F509" s="25"/>
      <c r="G509" s="25"/>
      <c r="H509" s="25"/>
      <c r="I509" s="25"/>
      <c r="J509" s="25"/>
      <c r="K509" s="25"/>
      <c r="L509" s="25"/>
      <c r="M509" s="25"/>
      <c r="N509" s="25"/>
      <c r="O509" s="25"/>
      <c r="P509" s="25"/>
      <c r="Q509" s="25"/>
      <c r="R509" s="25"/>
      <c r="S509" s="25"/>
      <c r="T509" s="25"/>
      <c r="U509" s="25"/>
      <c r="V509" s="25"/>
      <c r="W509" s="25"/>
      <c r="X509" s="25"/>
    </row>
    <row r="510" spans="1:24" ht="13">
      <c r="A510" s="25"/>
      <c r="B510" s="25"/>
      <c r="C510" s="25"/>
      <c r="D510" s="25" t="str">
        <f t="array" ref="D510">IF(OR(LEFT(C510,1)="(",COUNTA(C510)=0),"", INDEX(Honor!$B$2:$B998,MATCH(C510,Honor!$A$2:$A998,0)))</f>
        <v/>
      </c>
      <c r="E510" s="25" t="str">
        <f t="array" ref="E510">IF(OR(LEFT(C510,1)="(",COUNTA(C510)=0),"",INDEX(Honor!$O$2:$O998,MATCH(C510,Honor!$A$2:$A998,0)))</f>
        <v/>
      </c>
      <c r="F510" s="25"/>
      <c r="G510" s="25"/>
      <c r="H510" s="25"/>
      <c r="I510" s="25"/>
      <c r="J510" s="25"/>
      <c r="K510" s="25"/>
      <c r="L510" s="25"/>
      <c r="M510" s="25"/>
      <c r="N510" s="25"/>
      <c r="O510" s="25"/>
      <c r="P510" s="25"/>
      <c r="Q510" s="25"/>
      <c r="R510" s="25"/>
      <c r="S510" s="25"/>
      <c r="T510" s="25"/>
      <c r="U510" s="25"/>
      <c r="V510" s="25"/>
      <c r="W510" s="25"/>
      <c r="X510" s="25"/>
    </row>
    <row r="511" spans="1:24" ht="13">
      <c r="A511" s="25"/>
      <c r="B511" s="25"/>
      <c r="C511" s="25"/>
      <c r="D511" s="25" t="str">
        <f t="array" ref="D511">IF(OR(LEFT(C511,1)="(",COUNTA(C511)=0),"", INDEX(Honor!$B$2:$B998,MATCH(C511,Honor!$A$2:$A998,0)))</f>
        <v/>
      </c>
      <c r="E511" s="25" t="str">
        <f t="array" ref="E511">IF(OR(LEFT(C511,1)="(",COUNTA(C511)=0),"",INDEX(Honor!$O$2:$O998,MATCH(C511,Honor!$A$2:$A998,0)))</f>
        <v/>
      </c>
      <c r="F511" s="25"/>
      <c r="G511" s="25"/>
      <c r="H511" s="25"/>
      <c r="I511" s="25"/>
      <c r="J511" s="25"/>
      <c r="K511" s="25"/>
      <c r="L511" s="25"/>
      <c r="M511" s="25"/>
      <c r="N511" s="25"/>
      <c r="O511" s="25"/>
      <c r="P511" s="25"/>
      <c r="Q511" s="25"/>
      <c r="R511" s="25"/>
      <c r="S511" s="25"/>
      <c r="T511" s="25"/>
      <c r="U511" s="25"/>
      <c r="V511" s="25"/>
      <c r="W511" s="25"/>
      <c r="X511" s="25"/>
    </row>
    <row r="512" spans="1:24" ht="13">
      <c r="A512" s="25"/>
      <c r="B512" s="25"/>
      <c r="C512" s="25"/>
      <c r="D512" s="25" t="str">
        <f t="array" ref="D512">IF(OR(LEFT(C512,1)="(",COUNTA(C512)=0),"", INDEX(Honor!$B$2:$B998,MATCH(C512,Honor!$A$2:$A998,0)))</f>
        <v/>
      </c>
      <c r="E512" s="25" t="str">
        <f t="array" ref="E512">IF(OR(LEFT(C512,1)="(",COUNTA(C512)=0),"",INDEX(Honor!$O$2:$O998,MATCH(C512,Honor!$A$2:$A998,0)))</f>
        <v/>
      </c>
      <c r="F512" s="25"/>
      <c r="G512" s="25"/>
      <c r="H512" s="25"/>
      <c r="I512" s="25"/>
      <c r="J512" s="25"/>
      <c r="K512" s="25"/>
      <c r="L512" s="25"/>
      <c r="M512" s="25"/>
      <c r="N512" s="25"/>
      <c r="O512" s="25"/>
      <c r="P512" s="25"/>
      <c r="Q512" s="25"/>
      <c r="R512" s="25"/>
      <c r="S512" s="25"/>
      <c r="T512" s="25"/>
      <c r="U512" s="25"/>
      <c r="V512" s="25"/>
      <c r="W512" s="25"/>
      <c r="X512" s="25"/>
    </row>
    <row r="513" spans="1:24" ht="13">
      <c r="A513" s="25"/>
      <c r="B513" s="25"/>
      <c r="C513" s="25"/>
      <c r="D513" s="25" t="str">
        <f t="array" ref="D513">IF(OR(LEFT(C513,1)="(",COUNTA(C513)=0),"", INDEX(Honor!$B$2:$B998,MATCH(C513,Honor!$A$2:$A998,0)))</f>
        <v/>
      </c>
      <c r="E513" s="25" t="str">
        <f t="array" ref="E513">IF(OR(LEFT(C513,1)="(",COUNTA(C513)=0),"",INDEX(Honor!$O$2:$O998,MATCH(C513,Honor!$A$2:$A998,0)))</f>
        <v/>
      </c>
      <c r="F513" s="25"/>
      <c r="G513" s="25"/>
      <c r="H513" s="25"/>
      <c r="I513" s="25"/>
      <c r="J513" s="25"/>
      <c r="K513" s="25"/>
      <c r="L513" s="25"/>
      <c r="M513" s="25"/>
      <c r="N513" s="25"/>
      <c r="O513" s="25"/>
      <c r="P513" s="25"/>
      <c r="Q513" s="25"/>
      <c r="R513" s="25"/>
      <c r="S513" s="25"/>
      <c r="T513" s="25"/>
      <c r="U513" s="25"/>
      <c r="V513" s="25"/>
      <c r="W513" s="25"/>
      <c r="X513" s="25"/>
    </row>
    <row r="514" spans="1:24" ht="13">
      <c r="A514" s="25"/>
      <c r="B514" s="25"/>
      <c r="C514" s="25"/>
      <c r="D514" s="25" t="str">
        <f t="array" ref="D514">IF(OR(LEFT(C514,1)="(",COUNTA(C514)=0),"", INDEX(Honor!$B$2:$B998,MATCH(C514,Honor!$A$2:$A998,0)))</f>
        <v/>
      </c>
      <c r="E514" s="25" t="str">
        <f t="array" ref="E514">IF(OR(LEFT(C514,1)="(",COUNTA(C514)=0),"",INDEX(Honor!$O$2:$O998,MATCH(C514,Honor!$A$2:$A998,0)))</f>
        <v/>
      </c>
      <c r="F514" s="25"/>
      <c r="G514" s="25"/>
      <c r="H514" s="25"/>
      <c r="I514" s="25"/>
      <c r="J514" s="25"/>
      <c r="K514" s="25"/>
      <c r="L514" s="25"/>
      <c r="M514" s="25"/>
      <c r="N514" s="25"/>
      <c r="O514" s="25"/>
      <c r="P514" s="25"/>
      <c r="Q514" s="25"/>
      <c r="R514" s="25"/>
      <c r="S514" s="25"/>
      <c r="T514" s="25"/>
      <c r="U514" s="25"/>
      <c r="V514" s="25"/>
      <c r="W514" s="25"/>
      <c r="X514" s="25"/>
    </row>
    <row r="515" spans="1:24" ht="13">
      <c r="A515" s="25"/>
      <c r="B515" s="25"/>
      <c r="C515" s="25"/>
      <c r="D515" s="25" t="str">
        <f t="array" ref="D515">IF(OR(LEFT(C515,1)="(",COUNTA(C515)=0),"", INDEX(Honor!$B$2:$B998,MATCH(C515,Honor!$A$2:$A998,0)))</f>
        <v/>
      </c>
      <c r="E515" s="25" t="str">
        <f t="array" ref="E515">IF(OR(LEFT(C515,1)="(",COUNTA(C515)=0),"",INDEX(Honor!$O$2:$O998,MATCH(C515,Honor!$A$2:$A998,0)))</f>
        <v/>
      </c>
      <c r="F515" s="25"/>
      <c r="G515" s="25"/>
      <c r="H515" s="25"/>
      <c r="I515" s="25"/>
      <c r="J515" s="25"/>
      <c r="K515" s="25"/>
      <c r="L515" s="25"/>
      <c r="M515" s="25"/>
      <c r="N515" s="25"/>
      <c r="O515" s="25"/>
      <c r="P515" s="25"/>
      <c r="Q515" s="25"/>
      <c r="R515" s="25"/>
      <c r="S515" s="25"/>
      <c r="T515" s="25"/>
      <c r="U515" s="25"/>
      <c r="V515" s="25"/>
      <c r="W515" s="25"/>
      <c r="X515" s="25"/>
    </row>
    <row r="516" spans="1:24" ht="13">
      <c r="A516" s="25"/>
      <c r="B516" s="25"/>
      <c r="C516" s="25"/>
      <c r="D516" s="25" t="str">
        <f t="array" ref="D516">IF(OR(LEFT(C516,1)="(",COUNTA(C516)=0),"", INDEX(Honor!$B$2:$B998,MATCH(C516,Honor!$A$2:$A998,0)))</f>
        <v/>
      </c>
      <c r="E516" s="25" t="str">
        <f t="array" ref="E516">IF(OR(LEFT(C516,1)="(",COUNTA(C516)=0),"",INDEX(Honor!$O$2:$O998,MATCH(C516,Honor!$A$2:$A998,0)))</f>
        <v/>
      </c>
      <c r="F516" s="25"/>
      <c r="G516" s="25"/>
      <c r="H516" s="25"/>
      <c r="I516" s="25"/>
      <c r="J516" s="25"/>
      <c r="K516" s="25"/>
      <c r="L516" s="25"/>
      <c r="M516" s="25"/>
      <c r="N516" s="25"/>
      <c r="O516" s="25"/>
      <c r="P516" s="25"/>
      <c r="Q516" s="25"/>
      <c r="R516" s="25"/>
      <c r="S516" s="25"/>
      <c r="T516" s="25"/>
      <c r="U516" s="25"/>
      <c r="V516" s="25"/>
      <c r="W516" s="25"/>
      <c r="X516" s="25"/>
    </row>
    <row r="517" spans="1:24" ht="13">
      <c r="A517" s="25"/>
      <c r="B517" s="25"/>
      <c r="C517" s="25"/>
      <c r="D517" s="25" t="str">
        <f t="array" ref="D517">IF(OR(LEFT(C517,1)="(",COUNTA(C517)=0),"", INDEX(Honor!$B$2:$B998,MATCH(C517,Honor!$A$2:$A998,0)))</f>
        <v/>
      </c>
      <c r="E517" s="25" t="str">
        <f t="array" ref="E517">IF(OR(LEFT(C517,1)="(",COUNTA(C517)=0),"",INDEX(Honor!$O$2:$O998,MATCH(C517,Honor!$A$2:$A998,0)))</f>
        <v/>
      </c>
      <c r="F517" s="25"/>
      <c r="G517" s="25"/>
      <c r="H517" s="25"/>
      <c r="I517" s="25"/>
      <c r="J517" s="25"/>
      <c r="K517" s="25"/>
      <c r="L517" s="25"/>
      <c r="M517" s="25"/>
      <c r="N517" s="25"/>
      <c r="O517" s="25"/>
      <c r="P517" s="25"/>
      <c r="Q517" s="25"/>
      <c r="R517" s="25"/>
      <c r="S517" s="25"/>
      <c r="T517" s="25"/>
      <c r="U517" s="25"/>
      <c r="V517" s="25"/>
      <c r="W517" s="25"/>
      <c r="X517" s="25"/>
    </row>
    <row r="518" spans="1:24" ht="13">
      <c r="A518" s="25"/>
      <c r="B518" s="25"/>
      <c r="C518" s="25"/>
      <c r="D518" s="25" t="str">
        <f t="array" ref="D518">IF(OR(LEFT(C518,1)="(",COUNTA(C518)=0),"", INDEX(Honor!$B$2:$B998,MATCH(C518,Honor!$A$2:$A998,0)))</f>
        <v/>
      </c>
      <c r="E518" s="25" t="str">
        <f t="array" ref="E518">IF(OR(LEFT(C518,1)="(",COUNTA(C518)=0),"",INDEX(Honor!$O$2:$O998,MATCH(C518,Honor!$A$2:$A998,0)))</f>
        <v/>
      </c>
      <c r="F518" s="25"/>
      <c r="G518" s="25"/>
      <c r="H518" s="25"/>
      <c r="I518" s="25"/>
      <c r="J518" s="25"/>
      <c r="K518" s="25"/>
      <c r="L518" s="25"/>
      <c r="M518" s="25"/>
      <c r="N518" s="25"/>
      <c r="O518" s="25"/>
      <c r="P518" s="25"/>
      <c r="Q518" s="25"/>
      <c r="R518" s="25"/>
      <c r="S518" s="25"/>
      <c r="T518" s="25"/>
      <c r="U518" s="25"/>
      <c r="V518" s="25"/>
      <c r="W518" s="25"/>
      <c r="X518" s="25"/>
    </row>
    <row r="519" spans="1:24" ht="13">
      <c r="A519" s="25"/>
      <c r="B519" s="25"/>
      <c r="C519" s="25"/>
      <c r="D519" s="25" t="str">
        <f t="array" ref="D519">IF(OR(LEFT(C519,1)="(",COUNTA(C519)=0),"", INDEX(Honor!$B$2:$B998,MATCH(C519,Honor!$A$2:$A998,0)))</f>
        <v/>
      </c>
      <c r="E519" s="25" t="str">
        <f t="array" ref="E519">IF(OR(LEFT(C519,1)="(",COUNTA(C519)=0),"",INDEX(Honor!$O$2:$O998,MATCH(C519,Honor!$A$2:$A998,0)))</f>
        <v/>
      </c>
      <c r="F519" s="25"/>
      <c r="G519" s="25"/>
      <c r="H519" s="25"/>
      <c r="I519" s="25"/>
      <c r="J519" s="25"/>
      <c r="K519" s="25"/>
      <c r="L519" s="25"/>
      <c r="M519" s="25"/>
      <c r="N519" s="25"/>
      <c r="O519" s="25"/>
      <c r="P519" s="25"/>
      <c r="Q519" s="25"/>
      <c r="R519" s="25"/>
      <c r="S519" s="25"/>
      <c r="T519" s="25"/>
      <c r="U519" s="25"/>
      <c r="V519" s="25"/>
      <c r="W519" s="25"/>
      <c r="X519" s="25"/>
    </row>
    <row r="520" spans="1:24" ht="13">
      <c r="A520" s="25"/>
      <c r="B520" s="25"/>
      <c r="C520" s="25"/>
      <c r="D520" s="25" t="str">
        <f t="array" ref="D520">IF(OR(LEFT(C520,1)="(",COUNTA(C520)=0),"", INDEX(Honor!$B$2:$B998,MATCH(C520,Honor!$A$2:$A998,0)))</f>
        <v/>
      </c>
      <c r="E520" s="25" t="str">
        <f t="array" ref="E520">IF(OR(LEFT(C520,1)="(",COUNTA(C520)=0),"",INDEX(Honor!$O$2:$O998,MATCH(C520,Honor!$A$2:$A998,0)))</f>
        <v/>
      </c>
      <c r="F520" s="25"/>
      <c r="G520" s="25"/>
      <c r="H520" s="25"/>
      <c r="I520" s="25"/>
      <c r="J520" s="25"/>
      <c r="K520" s="25"/>
      <c r="L520" s="25"/>
      <c r="M520" s="25"/>
      <c r="N520" s="25"/>
      <c r="O520" s="25"/>
      <c r="P520" s="25"/>
      <c r="Q520" s="25"/>
      <c r="R520" s="25"/>
      <c r="S520" s="25"/>
      <c r="T520" s="25"/>
      <c r="U520" s="25"/>
      <c r="V520" s="25"/>
      <c r="W520" s="25"/>
      <c r="X520" s="25"/>
    </row>
    <row r="521" spans="1:24" ht="13">
      <c r="A521" s="25"/>
      <c r="B521" s="25"/>
      <c r="C521" s="25"/>
      <c r="D521" s="25" t="str">
        <f t="array" ref="D521">IF(OR(LEFT(C521,1)="(",COUNTA(C521)=0),"", INDEX(Honor!$B$2:$B998,MATCH(C521,Honor!$A$2:$A998,0)))</f>
        <v/>
      </c>
      <c r="E521" s="25" t="str">
        <f t="array" ref="E521">IF(OR(LEFT(C521,1)="(",COUNTA(C521)=0),"",INDEX(Honor!$O$2:$O998,MATCH(C521,Honor!$A$2:$A998,0)))</f>
        <v/>
      </c>
      <c r="F521" s="25"/>
      <c r="G521" s="25"/>
      <c r="H521" s="25"/>
      <c r="I521" s="25"/>
      <c r="J521" s="25"/>
      <c r="K521" s="25"/>
      <c r="L521" s="25"/>
      <c r="M521" s="25"/>
      <c r="N521" s="25"/>
      <c r="O521" s="25"/>
      <c r="P521" s="25"/>
      <c r="Q521" s="25"/>
      <c r="R521" s="25"/>
      <c r="S521" s="25"/>
      <c r="T521" s="25"/>
      <c r="U521" s="25"/>
      <c r="V521" s="25"/>
      <c r="W521" s="25"/>
      <c r="X521" s="25"/>
    </row>
    <row r="522" spans="1:24" ht="13">
      <c r="A522" s="25"/>
      <c r="B522" s="25"/>
      <c r="C522" s="25"/>
      <c r="D522" s="25" t="str">
        <f t="array" ref="D522">IF(OR(LEFT(C522,1)="(",COUNTA(C522)=0),"", INDEX(Honor!$B$2:$B998,MATCH(C522,Honor!$A$2:$A998,0)))</f>
        <v/>
      </c>
      <c r="E522" s="25" t="str">
        <f t="array" ref="E522">IF(OR(LEFT(C522,1)="(",COUNTA(C522)=0),"",INDEX(Honor!$O$2:$O998,MATCH(C522,Honor!$A$2:$A998,0)))</f>
        <v/>
      </c>
      <c r="F522" s="25"/>
      <c r="G522" s="25"/>
      <c r="H522" s="25"/>
      <c r="I522" s="25"/>
      <c r="J522" s="25"/>
      <c r="K522" s="25"/>
      <c r="L522" s="25"/>
      <c r="M522" s="25"/>
      <c r="N522" s="25"/>
      <c r="O522" s="25"/>
      <c r="P522" s="25"/>
      <c r="Q522" s="25"/>
      <c r="R522" s="25"/>
      <c r="S522" s="25"/>
      <c r="T522" s="25"/>
      <c r="U522" s="25"/>
      <c r="V522" s="25"/>
      <c r="W522" s="25"/>
      <c r="X522" s="25"/>
    </row>
    <row r="523" spans="1:24" ht="13">
      <c r="A523" s="25"/>
      <c r="B523" s="25"/>
      <c r="C523" s="25"/>
      <c r="D523" s="25" t="str">
        <f t="array" ref="D523">IF(OR(LEFT(C523,1)="(",COUNTA(C523)=0),"", INDEX(Honor!$B$2:$B998,MATCH(C523,Honor!$A$2:$A998,0)))</f>
        <v/>
      </c>
      <c r="E523" s="25" t="str">
        <f t="array" ref="E523">IF(OR(LEFT(C523,1)="(",COUNTA(C523)=0),"",INDEX(Honor!$O$2:$O998,MATCH(C523,Honor!$A$2:$A998,0)))</f>
        <v/>
      </c>
      <c r="F523" s="25"/>
      <c r="G523" s="25"/>
      <c r="H523" s="25"/>
      <c r="I523" s="25"/>
      <c r="J523" s="25"/>
      <c r="K523" s="25"/>
      <c r="L523" s="25"/>
      <c r="M523" s="25"/>
      <c r="N523" s="25"/>
      <c r="O523" s="25"/>
      <c r="P523" s="25"/>
      <c r="Q523" s="25"/>
      <c r="R523" s="25"/>
      <c r="S523" s="25"/>
      <c r="T523" s="25"/>
      <c r="U523" s="25"/>
      <c r="V523" s="25"/>
      <c r="W523" s="25"/>
      <c r="X523" s="25"/>
    </row>
    <row r="524" spans="1:24" ht="13">
      <c r="A524" s="25"/>
      <c r="B524" s="25"/>
      <c r="C524" s="25"/>
      <c r="D524" s="25" t="str">
        <f t="array" ref="D524">IF(OR(LEFT(C524,1)="(",COUNTA(C524)=0),"", INDEX(Honor!$B$2:$B998,MATCH(C524,Honor!$A$2:$A998,0)))</f>
        <v/>
      </c>
      <c r="E524" s="25" t="str">
        <f t="array" ref="E524">IF(OR(LEFT(C524,1)="(",COUNTA(C524)=0),"",INDEX(Honor!$O$2:$O998,MATCH(C524,Honor!$A$2:$A998,0)))</f>
        <v/>
      </c>
      <c r="F524" s="25"/>
      <c r="G524" s="25"/>
      <c r="H524" s="25"/>
      <c r="I524" s="25"/>
      <c r="J524" s="25"/>
      <c r="K524" s="25"/>
      <c r="L524" s="25"/>
      <c r="M524" s="25"/>
      <c r="N524" s="25"/>
      <c r="O524" s="25"/>
      <c r="P524" s="25"/>
      <c r="Q524" s="25"/>
      <c r="R524" s="25"/>
      <c r="S524" s="25"/>
      <c r="T524" s="25"/>
      <c r="U524" s="25"/>
      <c r="V524" s="25"/>
      <c r="W524" s="25"/>
      <c r="X524" s="25"/>
    </row>
    <row r="525" spans="1:24" ht="13">
      <c r="A525" s="25"/>
      <c r="B525" s="25"/>
      <c r="C525" s="25"/>
      <c r="D525" s="25" t="str">
        <f t="array" ref="D525">IF(OR(LEFT(C525,1)="(",COUNTA(C525)=0),"", INDEX(Honor!$B$2:$B998,MATCH(C525,Honor!$A$2:$A998,0)))</f>
        <v/>
      </c>
      <c r="E525" s="25" t="str">
        <f t="array" ref="E525">IF(OR(LEFT(C525,1)="(",COUNTA(C525)=0),"",INDEX(Honor!$O$2:$O998,MATCH(C525,Honor!$A$2:$A998,0)))</f>
        <v/>
      </c>
      <c r="F525" s="25"/>
      <c r="G525" s="25"/>
      <c r="H525" s="25"/>
      <c r="I525" s="25"/>
      <c r="J525" s="25"/>
      <c r="K525" s="25"/>
      <c r="L525" s="25"/>
      <c r="M525" s="25"/>
      <c r="N525" s="25"/>
      <c r="O525" s="25"/>
      <c r="P525" s="25"/>
      <c r="Q525" s="25"/>
      <c r="R525" s="25"/>
      <c r="S525" s="25"/>
      <c r="T525" s="25"/>
      <c r="U525" s="25"/>
      <c r="V525" s="25"/>
      <c r="W525" s="25"/>
      <c r="X525" s="25"/>
    </row>
    <row r="526" spans="1:24" ht="13">
      <c r="A526" s="25"/>
      <c r="B526" s="25"/>
      <c r="C526" s="25"/>
      <c r="D526" s="25" t="str">
        <f t="array" ref="D526">IF(OR(LEFT(C526,1)="(",COUNTA(C526)=0),"", INDEX(Honor!$B$2:$B998,MATCH(C526,Honor!$A$2:$A998,0)))</f>
        <v/>
      </c>
      <c r="E526" s="25" t="str">
        <f t="array" ref="E526">IF(OR(LEFT(C526,1)="(",COUNTA(C526)=0),"",INDEX(Honor!$O$2:$O998,MATCH(C526,Honor!$A$2:$A998,0)))</f>
        <v/>
      </c>
      <c r="F526" s="25"/>
      <c r="G526" s="25"/>
      <c r="H526" s="25"/>
      <c r="I526" s="25"/>
      <c r="J526" s="25"/>
      <c r="K526" s="25"/>
      <c r="L526" s="25"/>
      <c r="M526" s="25"/>
      <c r="N526" s="25"/>
      <c r="O526" s="25"/>
      <c r="P526" s="25"/>
      <c r="Q526" s="25"/>
      <c r="R526" s="25"/>
      <c r="S526" s="25"/>
      <c r="T526" s="25"/>
      <c r="U526" s="25"/>
      <c r="V526" s="25"/>
      <c r="W526" s="25"/>
      <c r="X526" s="25"/>
    </row>
    <row r="527" spans="1:24" ht="13">
      <c r="A527" s="25"/>
      <c r="B527" s="25"/>
      <c r="C527" s="25"/>
      <c r="D527" s="25" t="str">
        <f t="array" ref="D527">IF(OR(LEFT(C527,1)="(",COUNTA(C527)=0),"", INDEX(Honor!$B$2:$B998,MATCH(C527,Honor!$A$2:$A998,0)))</f>
        <v/>
      </c>
      <c r="E527" s="25" t="str">
        <f t="array" ref="E527">IF(OR(LEFT(C527,1)="(",COUNTA(C527)=0),"",INDEX(Honor!$O$2:$O998,MATCH(C527,Honor!$A$2:$A998,0)))</f>
        <v/>
      </c>
      <c r="F527" s="25"/>
      <c r="G527" s="25"/>
      <c r="H527" s="25"/>
      <c r="I527" s="25"/>
      <c r="J527" s="25"/>
      <c r="K527" s="25"/>
      <c r="L527" s="25"/>
      <c r="M527" s="25"/>
      <c r="N527" s="25"/>
      <c r="O527" s="25"/>
      <c r="P527" s="25"/>
      <c r="Q527" s="25"/>
      <c r="R527" s="25"/>
      <c r="S527" s="25"/>
      <c r="T527" s="25"/>
      <c r="U527" s="25"/>
      <c r="V527" s="25"/>
      <c r="W527" s="25"/>
      <c r="X527" s="25"/>
    </row>
    <row r="528" spans="1:24" ht="13">
      <c r="A528" s="25"/>
      <c r="B528" s="25"/>
      <c r="C528" s="25"/>
      <c r="D528" s="25" t="str">
        <f t="array" ref="D528">IF(OR(LEFT(C528,1)="(",COUNTA(C528)=0),"", INDEX(Honor!$B$2:$B998,MATCH(C528,Honor!$A$2:$A998,0)))</f>
        <v/>
      </c>
      <c r="E528" s="25" t="str">
        <f t="array" ref="E528">IF(OR(LEFT(C528,1)="(",COUNTA(C528)=0),"",INDEX(Honor!$O$2:$O998,MATCH(C528,Honor!$A$2:$A998,0)))</f>
        <v/>
      </c>
      <c r="F528" s="25"/>
      <c r="G528" s="25"/>
      <c r="H528" s="25"/>
      <c r="I528" s="25"/>
      <c r="J528" s="25"/>
      <c r="K528" s="25"/>
      <c r="L528" s="25"/>
      <c r="M528" s="25"/>
      <c r="N528" s="25"/>
      <c r="O528" s="25"/>
      <c r="P528" s="25"/>
      <c r="Q528" s="25"/>
      <c r="R528" s="25"/>
      <c r="S528" s="25"/>
      <c r="T528" s="25"/>
      <c r="U528" s="25"/>
      <c r="V528" s="25"/>
      <c r="W528" s="25"/>
      <c r="X528" s="25"/>
    </row>
    <row r="529" spans="1:24" ht="13">
      <c r="A529" s="25"/>
      <c r="B529" s="25"/>
      <c r="C529" s="25"/>
      <c r="D529" s="25" t="str">
        <f t="array" ref="D529">IF(OR(LEFT(C529,1)="(",COUNTA(C529)=0),"", INDEX(Honor!$B$2:$B998,MATCH(C529,Honor!$A$2:$A998,0)))</f>
        <v/>
      </c>
      <c r="E529" s="25" t="str">
        <f t="array" ref="E529">IF(OR(LEFT(C529,1)="(",COUNTA(C529)=0),"",INDEX(Honor!$O$2:$O998,MATCH(C529,Honor!$A$2:$A998,0)))</f>
        <v/>
      </c>
      <c r="F529" s="25"/>
      <c r="G529" s="25"/>
      <c r="H529" s="25"/>
      <c r="I529" s="25"/>
      <c r="J529" s="25"/>
      <c r="K529" s="25"/>
      <c r="L529" s="25"/>
      <c r="M529" s="25"/>
      <c r="N529" s="25"/>
      <c r="O529" s="25"/>
      <c r="P529" s="25"/>
      <c r="Q529" s="25"/>
      <c r="R529" s="25"/>
      <c r="S529" s="25"/>
      <c r="T529" s="25"/>
      <c r="U529" s="25"/>
      <c r="V529" s="25"/>
      <c r="W529" s="25"/>
      <c r="X529" s="25"/>
    </row>
    <row r="530" spans="1:24" ht="13">
      <c r="A530" s="25"/>
      <c r="B530" s="25"/>
      <c r="C530" s="25"/>
      <c r="D530" s="25" t="str">
        <f t="array" ref="D530">IF(OR(LEFT(C530,1)="(",COUNTA(C530)=0),"", INDEX(Honor!$B$2:$B998,MATCH(C530,Honor!$A$2:$A998,0)))</f>
        <v/>
      </c>
      <c r="E530" s="25" t="str">
        <f t="array" ref="E530">IF(OR(LEFT(C530,1)="(",COUNTA(C530)=0),"",INDEX(Honor!$O$2:$O998,MATCH(C530,Honor!$A$2:$A998,0)))</f>
        <v/>
      </c>
      <c r="F530" s="25"/>
      <c r="G530" s="25"/>
      <c r="H530" s="25"/>
      <c r="I530" s="25"/>
      <c r="J530" s="25"/>
      <c r="K530" s="25"/>
      <c r="L530" s="25"/>
      <c r="M530" s="25"/>
      <c r="N530" s="25"/>
      <c r="O530" s="25"/>
      <c r="P530" s="25"/>
      <c r="Q530" s="25"/>
      <c r="R530" s="25"/>
      <c r="S530" s="25"/>
      <c r="T530" s="25"/>
      <c r="U530" s="25"/>
      <c r="V530" s="25"/>
      <c r="W530" s="25"/>
      <c r="X530" s="25"/>
    </row>
    <row r="531" spans="1:24" ht="13">
      <c r="A531" s="25"/>
      <c r="B531" s="25"/>
      <c r="C531" s="25"/>
      <c r="D531" s="25" t="str">
        <f t="array" ref="D531">IF(OR(LEFT(C531,1)="(",COUNTA(C531)=0),"", INDEX(Honor!$B$2:$B998,MATCH(C531,Honor!$A$2:$A998,0)))</f>
        <v/>
      </c>
      <c r="E531" s="25" t="str">
        <f t="array" ref="E531">IF(OR(LEFT(C531,1)="(",COUNTA(C531)=0),"",INDEX(Honor!$O$2:$O998,MATCH(C531,Honor!$A$2:$A998,0)))</f>
        <v/>
      </c>
      <c r="F531" s="25"/>
      <c r="G531" s="25"/>
      <c r="H531" s="25"/>
      <c r="I531" s="25"/>
      <c r="J531" s="25"/>
      <c r="K531" s="25"/>
      <c r="L531" s="25"/>
      <c r="M531" s="25"/>
      <c r="N531" s="25"/>
      <c r="O531" s="25"/>
      <c r="P531" s="25"/>
      <c r="Q531" s="25"/>
      <c r="R531" s="25"/>
      <c r="S531" s="25"/>
      <c r="T531" s="25"/>
      <c r="U531" s="25"/>
      <c r="V531" s="25"/>
      <c r="W531" s="25"/>
      <c r="X531" s="25"/>
    </row>
    <row r="532" spans="1:24" ht="13">
      <c r="A532" s="25"/>
      <c r="B532" s="25"/>
      <c r="C532" s="25"/>
      <c r="D532" s="25" t="str">
        <f t="array" ref="D532">IF(OR(LEFT(C532,1)="(",COUNTA(C532)=0),"", INDEX(Honor!$B$2:$B998,MATCH(C532,Honor!$A$2:$A998,0)))</f>
        <v/>
      </c>
      <c r="E532" s="25" t="str">
        <f t="array" ref="E532">IF(OR(LEFT(C532,1)="(",COUNTA(C532)=0),"",INDEX(Honor!$O$2:$O998,MATCH(C532,Honor!$A$2:$A998,0)))</f>
        <v/>
      </c>
      <c r="F532" s="25"/>
      <c r="G532" s="25"/>
      <c r="H532" s="25"/>
      <c r="I532" s="25"/>
      <c r="J532" s="25"/>
      <c r="K532" s="25"/>
      <c r="L532" s="25"/>
      <c r="M532" s="25"/>
      <c r="N532" s="25"/>
      <c r="O532" s="25"/>
      <c r="P532" s="25"/>
      <c r="Q532" s="25"/>
      <c r="R532" s="25"/>
      <c r="S532" s="25"/>
      <c r="T532" s="25"/>
      <c r="U532" s="25"/>
      <c r="V532" s="25"/>
      <c r="W532" s="25"/>
      <c r="X532" s="25"/>
    </row>
    <row r="533" spans="1:24" ht="13">
      <c r="A533" s="25"/>
      <c r="B533" s="25"/>
      <c r="C533" s="25"/>
      <c r="D533" s="25" t="str">
        <f t="array" ref="D533">IF(OR(LEFT(C533,1)="(",COUNTA(C533)=0),"", INDEX(Honor!$B$2:$B998,MATCH(C533,Honor!$A$2:$A998,0)))</f>
        <v/>
      </c>
      <c r="E533" s="25" t="str">
        <f t="array" ref="E533">IF(OR(LEFT(C533,1)="(",COUNTA(C533)=0),"",INDEX(Honor!$O$2:$O998,MATCH(C533,Honor!$A$2:$A998,0)))</f>
        <v/>
      </c>
      <c r="F533" s="25"/>
      <c r="G533" s="25"/>
      <c r="H533" s="25"/>
      <c r="I533" s="25"/>
      <c r="J533" s="25"/>
      <c r="K533" s="25"/>
      <c r="L533" s="25"/>
      <c r="M533" s="25"/>
      <c r="N533" s="25"/>
      <c r="O533" s="25"/>
      <c r="P533" s="25"/>
      <c r="Q533" s="25"/>
      <c r="R533" s="25"/>
      <c r="S533" s="25"/>
      <c r="T533" s="25"/>
      <c r="U533" s="25"/>
      <c r="V533" s="25"/>
      <c r="W533" s="25"/>
      <c r="X533" s="25"/>
    </row>
    <row r="534" spans="1:24" ht="13">
      <c r="A534" s="25"/>
      <c r="B534" s="25"/>
      <c r="C534" s="25"/>
      <c r="D534" s="25" t="str">
        <f t="array" ref="D534">IF(OR(LEFT(C534,1)="(",COUNTA(C534)=0),"", INDEX(Honor!$B$2:$B998,MATCH(C534,Honor!$A$2:$A998,0)))</f>
        <v/>
      </c>
      <c r="E534" s="25" t="str">
        <f t="array" ref="E534">IF(OR(LEFT(C534,1)="(",COUNTA(C534)=0),"",INDEX(Honor!$O$2:$O998,MATCH(C534,Honor!$A$2:$A998,0)))</f>
        <v/>
      </c>
      <c r="F534" s="25"/>
      <c r="G534" s="25"/>
      <c r="H534" s="25"/>
      <c r="I534" s="25"/>
      <c r="J534" s="25"/>
      <c r="K534" s="25"/>
      <c r="L534" s="25"/>
      <c r="M534" s="25"/>
      <c r="N534" s="25"/>
      <c r="O534" s="25"/>
      <c r="P534" s="25"/>
      <c r="Q534" s="25"/>
      <c r="R534" s="25"/>
      <c r="S534" s="25"/>
      <c r="T534" s="25"/>
      <c r="U534" s="25"/>
      <c r="V534" s="25"/>
      <c r="W534" s="25"/>
      <c r="X534" s="25"/>
    </row>
    <row r="535" spans="1:24" ht="13">
      <c r="A535" s="25"/>
      <c r="B535" s="25"/>
      <c r="C535" s="25"/>
      <c r="D535" s="25" t="str">
        <f t="array" ref="D535">IF(OR(LEFT(C535,1)="(",COUNTA(C535)=0),"", INDEX(Honor!$B$2:$B998,MATCH(C535,Honor!$A$2:$A998,0)))</f>
        <v/>
      </c>
      <c r="E535" s="25" t="str">
        <f t="array" ref="E535">IF(OR(LEFT(C535,1)="(",COUNTA(C535)=0),"",INDEX(Honor!$O$2:$O998,MATCH(C535,Honor!$A$2:$A998,0)))</f>
        <v/>
      </c>
      <c r="F535" s="25"/>
      <c r="G535" s="25"/>
      <c r="H535" s="25"/>
      <c r="I535" s="25"/>
      <c r="J535" s="25"/>
      <c r="K535" s="25"/>
      <c r="L535" s="25"/>
      <c r="M535" s="25"/>
      <c r="N535" s="25"/>
      <c r="O535" s="25"/>
      <c r="P535" s="25"/>
      <c r="Q535" s="25"/>
      <c r="R535" s="25"/>
      <c r="S535" s="25"/>
      <c r="T535" s="25"/>
      <c r="U535" s="25"/>
      <c r="V535" s="25"/>
      <c r="W535" s="25"/>
      <c r="X535" s="25"/>
    </row>
    <row r="536" spans="1:24" ht="13">
      <c r="A536" s="25"/>
      <c r="B536" s="25"/>
      <c r="C536" s="25"/>
      <c r="D536" s="25" t="str">
        <f t="array" ref="D536">IF(OR(LEFT(C536,1)="(",COUNTA(C536)=0),"", INDEX(Honor!$B$2:$B998,MATCH(C536,Honor!$A$2:$A998,0)))</f>
        <v/>
      </c>
      <c r="E536" s="25" t="str">
        <f t="array" ref="E536">IF(OR(LEFT(C536,1)="(",COUNTA(C536)=0),"",INDEX(Honor!$O$2:$O998,MATCH(C536,Honor!$A$2:$A998,0)))</f>
        <v/>
      </c>
      <c r="F536" s="25"/>
      <c r="G536" s="25"/>
      <c r="H536" s="25"/>
      <c r="I536" s="25"/>
      <c r="J536" s="25"/>
      <c r="K536" s="25"/>
      <c r="L536" s="25"/>
      <c r="M536" s="25"/>
      <c r="N536" s="25"/>
      <c r="O536" s="25"/>
      <c r="P536" s="25"/>
      <c r="Q536" s="25"/>
      <c r="R536" s="25"/>
      <c r="S536" s="25"/>
      <c r="T536" s="25"/>
      <c r="U536" s="25"/>
      <c r="V536" s="25"/>
      <c r="W536" s="25"/>
      <c r="X536" s="25"/>
    </row>
    <row r="537" spans="1:24" ht="13">
      <c r="A537" s="25"/>
      <c r="B537" s="25"/>
      <c r="C537" s="25"/>
      <c r="D537" s="25" t="str">
        <f t="array" ref="D537">IF(OR(LEFT(C537,1)="(",COUNTA(C537)=0),"", INDEX(Honor!$B$2:$B998,MATCH(C537,Honor!$A$2:$A998,0)))</f>
        <v/>
      </c>
      <c r="E537" s="25" t="str">
        <f t="array" ref="E537">IF(OR(LEFT(C537,1)="(",COUNTA(C537)=0),"",INDEX(Honor!$O$2:$O998,MATCH(C537,Honor!$A$2:$A998,0)))</f>
        <v/>
      </c>
      <c r="F537" s="25"/>
      <c r="G537" s="25"/>
      <c r="H537" s="25"/>
      <c r="I537" s="25"/>
      <c r="J537" s="25"/>
      <c r="K537" s="25"/>
      <c r="L537" s="25"/>
      <c r="M537" s="25"/>
      <c r="N537" s="25"/>
      <c r="O537" s="25"/>
      <c r="P537" s="25"/>
      <c r="Q537" s="25"/>
      <c r="R537" s="25"/>
      <c r="S537" s="25"/>
      <c r="T537" s="25"/>
      <c r="U537" s="25"/>
      <c r="V537" s="25"/>
      <c r="W537" s="25"/>
      <c r="X537" s="25"/>
    </row>
    <row r="538" spans="1:24" ht="13">
      <c r="A538" s="25"/>
      <c r="B538" s="25"/>
      <c r="C538" s="25"/>
      <c r="D538" s="25" t="str">
        <f t="array" ref="D538">IF(OR(LEFT(C538,1)="(",COUNTA(C538)=0),"", INDEX(Honor!$B$2:$B998,MATCH(C538,Honor!$A$2:$A998,0)))</f>
        <v/>
      </c>
      <c r="E538" s="25" t="str">
        <f t="array" ref="E538">IF(OR(LEFT(C538,1)="(",COUNTA(C538)=0),"",INDEX(Honor!$O$2:$O998,MATCH(C538,Honor!$A$2:$A998,0)))</f>
        <v/>
      </c>
      <c r="F538" s="25"/>
      <c r="G538" s="25"/>
      <c r="H538" s="25"/>
      <c r="I538" s="25"/>
      <c r="J538" s="25"/>
      <c r="K538" s="25"/>
      <c r="L538" s="25"/>
      <c r="M538" s="25"/>
      <c r="N538" s="25"/>
      <c r="O538" s="25"/>
      <c r="P538" s="25"/>
      <c r="Q538" s="25"/>
      <c r="R538" s="25"/>
      <c r="S538" s="25"/>
      <c r="T538" s="25"/>
      <c r="U538" s="25"/>
      <c r="V538" s="25"/>
      <c r="W538" s="25"/>
      <c r="X538" s="25"/>
    </row>
    <row r="539" spans="1:24" ht="13">
      <c r="A539" s="25"/>
      <c r="B539" s="25"/>
      <c r="C539" s="25"/>
      <c r="D539" s="25" t="str">
        <f t="array" ref="D539">IF(OR(LEFT(C539,1)="(",COUNTA(C539)=0),"", INDEX(Honor!$B$2:$B998,MATCH(C539,Honor!$A$2:$A998,0)))</f>
        <v/>
      </c>
      <c r="E539" s="25" t="str">
        <f t="array" ref="E539">IF(OR(LEFT(C539,1)="(",COUNTA(C539)=0),"",INDEX(Honor!$O$2:$O998,MATCH(C539,Honor!$A$2:$A998,0)))</f>
        <v/>
      </c>
      <c r="F539" s="25"/>
      <c r="G539" s="25"/>
      <c r="H539" s="25"/>
      <c r="I539" s="25"/>
      <c r="J539" s="25"/>
      <c r="K539" s="25"/>
      <c r="L539" s="25"/>
      <c r="M539" s="25"/>
      <c r="N539" s="25"/>
      <c r="O539" s="25"/>
      <c r="P539" s="25"/>
      <c r="Q539" s="25"/>
      <c r="R539" s="25"/>
      <c r="S539" s="25"/>
      <c r="T539" s="25"/>
      <c r="U539" s="25"/>
      <c r="V539" s="25"/>
      <c r="W539" s="25"/>
      <c r="X539" s="25"/>
    </row>
    <row r="540" spans="1:24" ht="13">
      <c r="A540" s="25"/>
      <c r="B540" s="25"/>
      <c r="C540" s="25"/>
      <c r="D540" s="25" t="str">
        <f t="array" ref="D540">IF(OR(LEFT(C540,1)="(",COUNTA(C540)=0),"", INDEX(Honor!$B$2:$B998,MATCH(C540,Honor!$A$2:$A998,0)))</f>
        <v/>
      </c>
      <c r="E540" s="25" t="str">
        <f t="array" ref="E540">IF(OR(LEFT(C540,1)="(",COUNTA(C540)=0),"",INDEX(Honor!$O$2:$O998,MATCH(C540,Honor!$A$2:$A998,0)))</f>
        <v/>
      </c>
      <c r="F540" s="25"/>
      <c r="G540" s="25"/>
      <c r="H540" s="25"/>
      <c r="I540" s="25"/>
      <c r="J540" s="25"/>
      <c r="K540" s="25"/>
      <c r="L540" s="25"/>
      <c r="M540" s="25"/>
      <c r="N540" s="25"/>
      <c r="O540" s="25"/>
      <c r="P540" s="25"/>
      <c r="Q540" s="25"/>
      <c r="R540" s="25"/>
      <c r="S540" s="25"/>
      <c r="T540" s="25"/>
      <c r="U540" s="25"/>
      <c r="V540" s="25"/>
      <c r="W540" s="25"/>
      <c r="X540" s="25"/>
    </row>
    <row r="541" spans="1:24" ht="13">
      <c r="A541" s="25"/>
      <c r="B541" s="25"/>
      <c r="C541" s="25"/>
      <c r="D541" s="25" t="str">
        <f t="array" ref="D541">IF(OR(LEFT(C541,1)="(",COUNTA(C541)=0),"", INDEX(Honor!$B$2:$B998,MATCH(C541,Honor!$A$2:$A998,0)))</f>
        <v/>
      </c>
      <c r="E541" s="25" t="str">
        <f t="array" ref="E541">IF(OR(LEFT(C541,1)="(",COUNTA(C541)=0),"",INDEX(Honor!$O$2:$O998,MATCH(C541,Honor!$A$2:$A998,0)))</f>
        <v/>
      </c>
      <c r="F541" s="25"/>
      <c r="G541" s="25"/>
      <c r="H541" s="25"/>
      <c r="I541" s="25"/>
      <c r="J541" s="25"/>
      <c r="K541" s="25"/>
      <c r="L541" s="25"/>
      <c r="M541" s="25"/>
      <c r="N541" s="25"/>
      <c r="O541" s="25"/>
      <c r="P541" s="25"/>
      <c r="Q541" s="25"/>
      <c r="R541" s="25"/>
      <c r="S541" s="25"/>
      <c r="T541" s="25"/>
      <c r="U541" s="25"/>
      <c r="V541" s="25"/>
      <c r="W541" s="25"/>
      <c r="X541" s="25"/>
    </row>
    <row r="542" spans="1:24" ht="13">
      <c r="A542" s="25"/>
      <c r="B542" s="25"/>
      <c r="C542" s="25"/>
      <c r="D542" s="25" t="str">
        <f t="array" ref="D542">IF(OR(LEFT(C542,1)="(",COUNTA(C542)=0),"", INDEX(Honor!$B$2:$B998,MATCH(C542,Honor!$A$2:$A998,0)))</f>
        <v/>
      </c>
      <c r="E542" s="25" t="str">
        <f t="array" ref="E542">IF(OR(LEFT(C542,1)="(",COUNTA(C542)=0),"",INDEX(Honor!$O$2:$O998,MATCH(C542,Honor!$A$2:$A998,0)))</f>
        <v/>
      </c>
      <c r="F542" s="25"/>
      <c r="G542" s="25"/>
      <c r="H542" s="25"/>
      <c r="I542" s="25"/>
      <c r="J542" s="25"/>
      <c r="K542" s="25"/>
      <c r="L542" s="25"/>
      <c r="M542" s="25"/>
      <c r="N542" s="25"/>
      <c r="O542" s="25"/>
      <c r="P542" s="25"/>
      <c r="Q542" s="25"/>
      <c r="R542" s="25"/>
      <c r="S542" s="25"/>
      <c r="T542" s="25"/>
      <c r="U542" s="25"/>
      <c r="V542" s="25"/>
      <c r="W542" s="25"/>
      <c r="X542" s="25"/>
    </row>
    <row r="543" spans="1:24" ht="13">
      <c r="A543" s="25"/>
      <c r="B543" s="25"/>
      <c r="C543" s="25"/>
      <c r="D543" s="25" t="str">
        <f t="array" ref="D543">IF(OR(LEFT(C543,1)="(",COUNTA(C543)=0),"", INDEX(Honor!$B$2:$B998,MATCH(C543,Honor!$A$2:$A998,0)))</f>
        <v/>
      </c>
      <c r="E543" s="25" t="str">
        <f t="array" ref="E543">IF(OR(LEFT(C543,1)="(",COUNTA(C543)=0),"",INDEX(Honor!$O$2:$O998,MATCH(C543,Honor!$A$2:$A998,0)))</f>
        <v/>
      </c>
      <c r="F543" s="25"/>
      <c r="G543" s="25"/>
      <c r="H543" s="25"/>
      <c r="I543" s="25"/>
      <c r="J543" s="25"/>
      <c r="K543" s="25"/>
      <c r="L543" s="25"/>
      <c r="M543" s="25"/>
      <c r="N543" s="25"/>
      <c r="O543" s="25"/>
      <c r="P543" s="25"/>
      <c r="Q543" s="25"/>
      <c r="R543" s="25"/>
      <c r="S543" s="25"/>
      <c r="T543" s="25"/>
      <c r="U543" s="25"/>
      <c r="V543" s="25"/>
      <c r="W543" s="25"/>
      <c r="X543" s="25"/>
    </row>
    <row r="544" spans="1:24" ht="13">
      <c r="A544" s="25"/>
      <c r="B544" s="25"/>
      <c r="C544" s="25"/>
      <c r="D544" s="25" t="str">
        <f t="array" ref="D544">IF(OR(LEFT(C544,1)="(",COUNTA(C544)=0),"", INDEX(Honor!$B$2:$B998,MATCH(C544,Honor!$A$2:$A998,0)))</f>
        <v/>
      </c>
      <c r="E544" s="25" t="str">
        <f t="array" ref="E544">IF(OR(LEFT(C544,1)="(",COUNTA(C544)=0),"",INDEX(Honor!$O$2:$O998,MATCH(C544,Honor!$A$2:$A998,0)))</f>
        <v/>
      </c>
      <c r="F544" s="25"/>
      <c r="G544" s="25"/>
      <c r="H544" s="25"/>
      <c r="I544" s="25"/>
      <c r="J544" s="25"/>
      <c r="K544" s="25"/>
      <c r="L544" s="25"/>
      <c r="M544" s="25"/>
      <c r="N544" s="25"/>
      <c r="O544" s="25"/>
      <c r="P544" s="25"/>
      <c r="Q544" s="25"/>
      <c r="R544" s="25"/>
      <c r="S544" s="25"/>
      <c r="T544" s="25"/>
      <c r="U544" s="25"/>
      <c r="V544" s="25"/>
      <c r="W544" s="25"/>
      <c r="X544" s="25"/>
    </row>
    <row r="545" spans="1:24" ht="13">
      <c r="A545" s="25"/>
      <c r="B545" s="25"/>
      <c r="C545" s="25"/>
      <c r="D545" s="25" t="str">
        <f t="array" ref="D545">IF(OR(LEFT(C545,1)="(",COUNTA(C545)=0),"", INDEX(Honor!$B$2:$B998,MATCH(C545,Honor!$A$2:$A998,0)))</f>
        <v/>
      </c>
      <c r="E545" s="25" t="str">
        <f t="array" ref="E545">IF(OR(LEFT(C545,1)="(",COUNTA(C545)=0),"",INDEX(Honor!$O$2:$O998,MATCH(C545,Honor!$A$2:$A998,0)))</f>
        <v/>
      </c>
      <c r="F545" s="25"/>
      <c r="G545" s="25"/>
      <c r="H545" s="25"/>
      <c r="I545" s="25"/>
      <c r="J545" s="25"/>
      <c r="K545" s="25"/>
      <c r="L545" s="25"/>
      <c r="M545" s="25"/>
      <c r="N545" s="25"/>
      <c r="O545" s="25"/>
      <c r="P545" s="25"/>
      <c r="Q545" s="25"/>
      <c r="R545" s="25"/>
      <c r="S545" s="25"/>
      <c r="T545" s="25"/>
      <c r="U545" s="25"/>
      <c r="V545" s="25"/>
      <c r="W545" s="25"/>
      <c r="X545" s="25"/>
    </row>
    <row r="546" spans="1:24" ht="13">
      <c r="A546" s="25"/>
      <c r="B546" s="25"/>
      <c r="C546" s="25"/>
      <c r="D546" s="25" t="str">
        <f t="array" ref="D546">IF(OR(LEFT(C546,1)="(",COUNTA(C546)=0),"", INDEX(Honor!$B$2:$B998,MATCH(C546,Honor!$A$2:$A998,0)))</f>
        <v/>
      </c>
      <c r="E546" s="25" t="str">
        <f t="array" ref="E546">IF(OR(LEFT(C546,1)="(",COUNTA(C546)=0),"",INDEX(Honor!$O$2:$O998,MATCH(C546,Honor!$A$2:$A998,0)))</f>
        <v/>
      </c>
      <c r="F546" s="25"/>
      <c r="G546" s="25"/>
      <c r="H546" s="25"/>
      <c r="I546" s="25"/>
      <c r="J546" s="25"/>
      <c r="K546" s="25"/>
      <c r="L546" s="25"/>
      <c r="M546" s="25"/>
      <c r="N546" s="25"/>
      <c r="O546" s="25"/>
      <c r="P546" s="25"/>
      <c r="Q546" s="25"/>
      <c r="R546" s="25"/>
      <c r="S546" s="25"/>
      <c r="T546" s="25"/>
      <c r="U546" s="25"/>
      <c r="V546" s="25"/>
      <c r="W546" s="25"/>
      <c r="X546" s="25"/>
    </row>
    <row r="547" spans="1:24" ht="13">
      <c r="A547" s="25"/>
      <c r="B547" s="25"/>
      <c r="C547" s="25"/>
      <c r="D547" s="25" t="str">
        <f t="array" ref="D547">IF(OR(LEFT(C547,1)="(",COUNTA(C547)=0),"", INDEX(Honor!$B$2:$B998,MATCH(C547,Honor!$A$2:$A998,0)))</f>
        <v/>
      </c>
      <c r="E547" s="25" t="str">
        <f t="array" ref="E547">IF(OR(LEFT(C547,1)="(",COUNTA(C547)=0),"",INDEX(Honor!$O$2:$O998,MATCH(C547,Honor!$A$2:$A998,0)))</f>
        <v/>
      </c>
      <c r="F547" s="25"/>
      <c r="G547" s="25"/>
      <c r="H547" s="25"/>
      <c r="I547" s="25"/>
      <c r="J547" s="25"/>
      <c r="K547" s="25"/>
      <c r="L547" s="25"/>
      <c r="M547" s="25"/>
      <c r="N547" s="25"/>
      <c r="O547" s="25"/>
      <c r="P547" s="25"/>
      <c r="Q547" s="25"/>
      <c r="R547" s="25"/>
      <c r="S547" s="25"/>
      <c r="T547" s="25"/>
      <c r="U547" s="25"/>
      <c r="V547" s="25"/>
      <c r="W547" s="25"/>
      <c r="X547" s="25"/>
    </row>
    <row r="548" spans="1:24" ht="13">
      <c r="A548" s="25"/>
      <c r="B548" s="25"/>
      <c r="C548" s="25"/>
      <c r="D548" s="25" t="str">
        <f t="array" ref="D548">IF(OR(LEFT(C548,1)="(",COUNTA(C548)=0),"", INDEX(Honor!$B$2:$B998,MATCH(C548,Honor!$A$2:$A998,0)))</f>
        <v/>
      </c>
      <c r="E548" s="25" t="str">
        <f t="array" ref="E548">IF(OR(LEFT(C548,1)="(",COUNTA(C548)=0),"",INDEX(Honor!$O$2:$O998,MATCH(C548,Honor!$A$2:$A998,0)))</f>
        <v/>
      </c>
      <c r="F548" s="25"/>
      <c r="G548" s="25"/>
      <c r="H548" s="25"/>
      <c r="I548" s="25"/>
      <c r="J548" s="25"/>
      <c r="K548" s="25"/>
      <c r="L548" s="25"/>
      <c r="M548" s="25"/>
      <c r="N548" s="25"/>
      <c r="O548" s="25"/>
      <c r="P548" s="25"/>
      <c r="Q548" s="25"/>
      <c r="R548" s="25"/>
      <c r="S548" s="25"/>
      <c r="T548" s="25"/>
      <c r="U548" s="25"/>
      <c r="V548" s="25"/>
      <c r="W548" s="25"/>
      <c r="X548" s="25"/>
    </row>
    <row r="549" spans="1:24" ht="13">
      <c r="A549" s="25"/>
      <c r="B549" s="25"/>
      <c r="C549" s="25"/>
      <c r="D549" s="25" t="str">
        <f t="array" ref="D549">IF(OR(LEFT(C549,1)="(",COUNTA(C549)=0),"", INDEX(Honor!$B$2:$B998,MATCH(C549,Honor!$A$2:$A998,0)))</f>
        <v/>
      </c>
      <c r="E549" s="25" t="str">
        <f t="array" ref="E549">IF(OR(LEFT(C549,1)="(",COUNTA(C549)=0),"",INDEX(Honor!$O$2:$O998,MATCH(C549,Honor!$A$2:$A998,0)))</f>
        <v/>
      </c>
      <c r="F549" s="25"/>
      <c r="G549" s="25"/>
      <c r="H549" s="25"/>
      <c r="I549" s="25"/>
      <c r="J549" s="25"/>
      <c r="K549" s="25"/>
      <c r="L549" s="25"/>
      <c r="M549" s="25"/>
      <c r="N549" s="25"/>
      <c r="O549" s="25"/>
      <c r="P549" s="25"/>
      <c r="Q549" s="25"/>
      <c r="R549" s="25"/>
      <c r="S549" s="25"/>
      <c r="T549" s="25"/>
      <c r="U549" s="25"/>
      <c r="V549" s="25"/>
      <c r="W549" s="25"/>
      <c r="X549" s="25"/>
    </row>
    <row r="550" spans="1:24" ht="13">
      <c r="A550" s="25"/>
      <c r="B550" s="25"/>
      <c r="C550" s="25"/>
      <c r="D550" s="25" t="str">
        <f t="array" ref="D550">IF(OR(LEFT(C550,1)="(",COUNTA(C550)=0),"", INDEX(Honor!$B$2:$B998,MATCH(C550,Honor!$A$2:$A998,0)))</f>
        <v/>
      </c>
      <c r="E550" s="25" t="str">
        <f t="array" ref="E550">IF(OR(LEFT(C550,1)="(",COUNTA(C550)=0),"",INDEX(Honor!$O$2:$O998,MATCH(C550,Honor!$A$2:$A998,0)))</f>
        <v/>
      </c>
      <c r="F550" s="25"/>
      <c r="G550" s="25"/>
      <c r="H550" s="25"/>
      <c r="I550" s="25"/>
      <c r="J550" s="25"/>
      <c r="K550" s="25"/>
      <c r="L550" s="25"/>
      <c r="M550" s="25"/>
      <c r="N550" s="25"/>
      <c r="O550" s="25"/>
      <c r="P550" s="25"/>
      <c r="Q550" s="25"/>
      <c r="R550" s="25"/>
      <c r="S550" s="25"/>
      <c r="T550" s="25"/>
      <c r="U550" s="25"/>
      <c r="V550" s="25"/>
      <c r="W550" s="25"/>
      <c r="X550" s="25"/>
    </row>
    <row r="551" spans="1:24" ht="13">
      <c r="A551" s="25"/>
      <c r="B551" s="25"/>
      <c r="C551" s="25"/>
      <c r="D551" s="25" t="str">
        <f t="array" ref="D551">IF(OR(LEFT(C551,1)="(",COUNTA(C551)=0),"", INDEX(Honor!$B$2:$B998,MATCH(C551,Honor!$A$2:$A998,0)))</f>
        <v/>
      </c>
      <c r="E551" s="25" t="str">
        <f t="array" ref="E551">IF(OR(LEFT(C551,1)="(",COUNTA(C551)=0),"",INDEX(Honor!$O$2:$O998,MATCH(C551,Honor!$A$2:$A998,0)))</f>
        <v/>
      </c>
      <c r="F551" s="25"/>
      <c r="G551" s="25"/>
      <c r="H551" s="25"/>
      <c r="I551" s="25"/>
      <c r="J551" s="25"/>
      <c r="K551" s="25"/>
      <c r="L551" s="25"/>
      <c r="M551" s="25"/>
      <c r="N551" s="25"/>
      <c r="O551" s="25"/>
      <c r="P551" s="25"/>
      <c r="Q551" s="25"/>
      <c r="R551" s="25"/>
      <c r="S551" s="25"/>
      <c r="T551" s="25"/>
      <c r="U551" s="25"/>
      <c r="V551" s="25"/>
      <c r="W551" s="25"/>
      <c r="X551" s="25"/>
    </row>
    <row r="552" spans="1:24" ht="13">
      <c r="A552" s="25"/>
      <c r="B552" s="25"/>
      <c r="C552" s="25"/>
      <c r="D552" s="25" t="str">
        <f t="array" ref="D552">IF(OR(LEFT(C552,1)="(",COUNTA(C552)=0),"", INDEX(Honor!$B$2:$B998,MATCH(C552,Honor!$A$2:$A998,0)))</f>
        <v/>
      </c>
      <c r="E552" s="25" t="str">
        <f t="array" ref="E552">IF(OR(LEFT(C552,1)="(",COUNTA(C552)=0),"",INDEX(Honor!$O$2:$O998,MATCH(C552,Honor!$A$2:$A998,0)))</f>
        <v/>
      </c>
      <c r="F552" s="25"/>
      <c r="G552" s="25"/>
      <c r="H552" s="25"/>
      <c r="I552" s="25"/>
      <c r="J552" s="25"/>
      <c r="K552" s="25"/>
      <c r="L552" s="25"/>
      <c r="M552" s="25"/>
      <c r="N552" s="25"/>
      <c r="O552" s="25"/>
      <c r="P552" s="25"/>
      <c r="Q552" s="25"/>
      <c r="R552" s="25"/>
      <c r="S552" s="25"/>
      <c r="T552" s="25"/>
      <c r="U552" s="25"/>
      <c r="V552" s="25"/>
      <c r="W552" s="25"/>
      <c r="X552" s="25"/>
    </row>
    <row r="553" spans="1:24" ht="13">
      <c r="A553" s="25"/>
      <c r="B553" s="25"/>
      <c r="C553" s="25"/>
      <c r="D553" s="25" t="str">
        <f t="array" ref="D553">IF(OR(LEFT(C553,1)="(",COUNTA(C553)=0),"", INDEX(Honor!$B$2:$B998,MATCH(C553,Honor!$A$2:$A998,0)))</f>
        <v/>
      </c>
      <c r="E553" s="25" t="str">
        <f t="array" ref="E553">IF(OR(LEFT(C553,1)="(",COUNTA(C553)=0),"",INDEX(Honor!$O$2:$O998,MATCH(C553,Honor!$A$2:$A998,0)))</f>
        <v/>
      </c>
      <c r="F553" s="25"/>
      <c r="G553" s="25"/>
      <c r="H553" s="25"/>
      <c r="I553" s="25"/>
      <c r="J553" s="25"/>
      <c r="K553" s="25"/>
      <c r="L553" s="25"/>
      <c r="M553" s="25"/>
      <c r="N553" s="25"/>
      <c r="O553" s="25"/>
      <c r="P553" s="25"/>
      <c r="Q553" s="25"/>
      <c r="R553" s="25"/>
      <c r="S553" s="25"/>
      <c r="T553" s="25"/>
      <c r="U553" s="25"/>
      <c r="V553" s="25"/>
      <c r="W553" s="25"/>
      <c r="X553" s="25"/>
    </row>
    <row r="554" spans="1:24" ht="13">
      <c r="A554" s="25"/>
      <c r="B554" s="25"/>
      <c r="C554" s="25"/>
      <c r="D554" s="25" t="str">
        <f t="array" ref="D554">IF(OR(LEFT(C554,1)="(",COUNTA(C554)=0),"", INDEX(Honor!$B$2:$B998,MATCH(C554,Honor!$A$2:$A998,0)))</f>
        <v/>
      </c>
      <c r="E554" s="25" t="str">
        <f t="array" ref="E554">IF(OR(LEFT(C554,1)="(",COUNTA(C554)=0),"",INDEX(Honor!$O$2:$O998,MATCH(C554,Honor!$A$2:$A998,0)))</f>
        <v/>
      </c>
      <c r="F554" s="25"/>
      <c r="G554" s="25"/>
      <c r="H554" s="25"/>
      <c r="I554" s="25"/>
      <c r="J554" s="25"/>
      <c r="K554" s="25"/>
      <c r="L554" s="25"/>
      <c r="M554" s="25"/>
      <c r="N554" s="25"/>
      <c r="O554" s="25"/>
      <c r="P554" s="25"/>
      <c r="Q554" s="25"/>
      <c r="R554" s="25"/>
      <c r="S554" s="25"/>
      <c r="T554" s="25"/>
      <c r="U554" s="25"/>
      <c r="V554" s="25"/>
      <c r="W554" s="25"/>
      <c r="X554" s="25"/>
    </row>
    <row r="555" spans="1:24" ht="13">
      <c r="A555" s="25"/>
      <c r="B555" s="25"/>
      <c r="C555" s="25"/>
      <c r="D555" s="25" t="str">
        <f t="array" ref="D555">IF(OR(LEFT(C555,1)="(",COUNTA(C555)=0),"", INDEX(Honor!$B$2:$B998,MATCH(C555,Honor!$A$2:$A998,0)))</f>
        <v/>
      </c>
      <c r="E555" s="25" t="str">
        <f t="array" ref="E555">IF(OR(LEFT(C555,1)="(",COUNTA(C555)=0),"",INDEX(Honor!$O$2:$O998,MATCH(C555,Honor!$A$2:$A998,0)))</f>
        <v/>
      </c>
      <c r="F555" s="25"/>
      <c r="G555" s="25"/>
      <c r="H555" s="25"/>
      <c r="I555" s="25"/>
      <c r="J555" s="25"/>
      <c r="K555" s="25"/>
      <c r="L555" s="25"/>
      <c r="M555" s="25"/>
      <c r="N555" s="25"/>
      <c r="O555" s="25"/>
      <c r="P555" s="25"/>
      <c r="Q555" s="25"/>
      <c r="R555" s="25"/>
      <c r="S555" s="25"/>
      <c r="T555" s="25"/>
      <c r="U555" s="25"/>
      <c r="V555" s="25"/>
      <c r="W555" s="25"/>
      <c r="X555" s="25"/>
    </row>
    <row r="556" spans="1:24" ht="13">
      <c r="A556" s="25"/>
      <c r="B556" s="25"/>
      <c r="C556" s="25"/>
      <c r="D556" s="25" t="str">
        <f t="array" ref="D556">IF(OR(LEFT(C556,1)="(",COUNTA(C556)=0),"", INDEX(Honor!$B$2:$B998,MATCH(C556,Honor!$A$2:$A998,0)))</f>
        <v/>
      </c>
      <c r="E556" s="25" t="str">
        <f t="array" ref="E556">IF(OR(LEFT(C556,1)="(",COUNTA(C556)=0),"",INDEX(Honor!$O$2:$O998,MATCH(C556,Honor!$A$2:$A998,0)))</f>
        <v/>
      </c>
      <c r="F556" s="25"/>
      <c r="G556" s="25"/>
      <c r="H556" s="25"/>
      <c r="I556" s="25"/>
      <c r="J556" s="25"/>
      <c r="K556" s="25"/>
      <c r="L556" s="25"/>
      <c r="M556" s="25"/>
      <c r="N556" s="25"/>
      <c r="O556" s="25"/>
      <c r="P556" s="25"/>
      <c r="Q556" s="25"/>
      <c r="R556" s="25"/>
      <c r="S556" s="25"/>
      <c r="T556" s="25"/>
      <c r="U556" s="25"/>
      <c r="V556" s="25"/>
      <c r="W556" s="25"/>
      <c r="X556" s="25"/>
    </row>
    <row r="557" spans="1:24" ht="13">
      <c r="A557" s="25"/>
      <c r="B557" s="25"/>
      <c r="C557" s="25"/>
      <c r="D557" s="25" t="str">
        <f t="array" ref="D557">IF(OR(LEFT(C557,1)="(",COUNTA(C557)=0),"", INDEX(Honor!$B$2:$B998,MATCH(C557,Honor!$A$2:$A998,0)))</f>
        <v/>
      </c>
      <c r="E557" s="25" t="str">
        <f t="array" ref="E557">IF(OR(LEFT(C557,1)="(",COUNTA(C557)=0),"",INDEX(Honor!$O$2:$O998,MATCH(C557,Honor!$A$2:$A998,0)))</f>
        <v/>
      </c>
      <c r="F557" s="25"/>
      <c r="G557" s="25"/>
      <c r="H557" s="25"/>
      <c r="I557" s="25"/>
      <c r="J557" s="25"/>
      <c r="K557" s="25"/>
      <c r="L557" s="25"/>
      <c r="M557" s="25"/>
      <c r="N557" s="25"/>
      <c r="O557" s="25"/>
      <c r="P557" s="25"/>
      <c r="Q557" s="25"/>
      <c r="R557" s="25"/>
      <c r="S557" s="25"/>
      <c r="T557" s="25"/>
      <c r="U557" s="25"/>
      <c r="V557" s="25"/>
      <c r="W557" s="25"/>
      <c r="X557" s="25"/>
    </row>
    <row r="558" spans="1:24" ht="13">
      <c r="A558" s="25"/>
      <c r="B558" s="25"/>
      <c r="C558" s="25"/>
      <c r="D558" s="25" t="str">
        <f t="array" ref="D558">IF(OR(LEFT(C558,1)="(",COUNTA(C558)=0),"", INDEX(Honor!$B$2:$B998,MATCH(C558,Honor!$A$2:$A998,0)))</f>
        <v/>
      </c>
      <c r="E558" s="25" t="str">
        <f t="array" ref="E558">IF(OR(LEFT(C558,1)="(",COUNTA(C558)=0),"",INDEX(Honor!$O$2:$O998,MATCH(C558,Honor!$A$2:$A998,0)))</f>
        <v/>
      </c>
      <c r="F558" s="25"/>
      <c r="G558" s="25"/>
      <c r="H558" s="25"/>
      <c r="I558" s="25"/>
      <c r="J558" s="25"/>
      <c r="K558" s="25"/>
      <c r="L558" s="25"/>
      <c r="M558" s="25"/>
      <c r="N558" s="25"/>
      <c r="O558" s="25"/>
      <c r="P558" s="25"/>
      <c r="Q558" s="25"/>
      <c r="R558" s="25"/>
      <c r="S558" s="25"/>
      <c r="T558" s="25"/>
      <c r="U558" s="25"/>
      <c r="V558" s="25"/>
      <c r="W558" s="25"/>
      <c r="X558" s="25"/>
    </row>
    <row r="559" spans="1:24" ht="13">
      <c r="A559" s="25"/>
      <c r="B559" s="25"/>
      <c r="C559" s="25"/>
      <c r="D559" s="25" t="str">
        <f t="array" ref="D559">IF(OR(LEFT(C559,1)="(",COUNTA(C559)=0),"", INDEX(Honor!$B$2:$B998,MATCH(C559,Honor!$A$2:$A998,0)))</f>
        <v/>
      </c>
      <c r="E559" s="25" t="str">
        <f t="array" ref="E559">IF(OR(LEFT(C559,1)="(",COUNTA(C559)=0),"",INDEX(Honor!$O$2:$O998,MATCH(C559,Honor!$A$2:$A998,0)))</f>
        <v/>
      </c>
      <c r="F559" s="25"/>
      <c r="G559" s="25"/>
      <c r="H559" s="25"/>
      <c r="I559" s="25"/>
      <c r="J559" s="25"/>
      <c r="K559" s="25"/>
      <c r="L559" s="25"/>
      <c r="M559" s="25"/>
      <c r="N559" s="25"/>
      <c r="O559" s="25"/>
      <c r="P559" s="25"/>
      <c r="Q559" s="25"/>
      <c r="R559" s="25"/>
      <c r="S559" s="25"/>
      <c r="T559" s="25"/>
      <c r="U559" s="25"/>
      <c r="V559" s="25"/>
      <c r="W559" s="25"/>
      <c r="X559" s="25"/>
    </row>
    <row r="560" spans="1:24" ht="13">
      <c r="A560" s="25"/>
      <c r="B560" s="25"/>
      <c r="C560" s="25"/>
      <c r="D560" s="25" t="str">
        <f t="array" ref="D560">IF(OR(LEFT(C560,1)="(",COUNTA(C560)=0),"", INDEX(Honor!$B$2:$B998,MATCH(C560,Honor!$A$2:$A998,0)))</f>
        <v/>
      </c>
      <c r="E560" s="25" t="str">
        <f t="array" ref="E560">IF(OR(LEFT(C560,1)="(",COUNTA(C560)=0),"",INDEX(Honor!$O$2:$O998,MATCH(C560,Honor!$A$2:$A998,0)))</f>
        <v/>
      </c>
      <c r="F560" s="25"/>
      <c r="G560" s="25"/>
      <c r="H560" s="25"/>
      <c r="I560" s="25"/>
      <c r="J560" s="25"/>
      <c r="K560" s="25"/>
      <c r="L560" s="25"/>
      <c r="M560" s="25"/>
      <c r="N560" s="25"/>
      <c r="O560" s="25"/>
      <c r="P560" s="25"/>
      <c r="Q560" s="25"/>
      <c r="R560" s="25"/>
      <c r="S560" s="25"/>
      <c r="T560" s="25"/>
      <c r="U560" s="25"/>
      <c r="V560" s="25"/>
      <c r="W560" s="25"/>
      <c r="X560" s="25"/>
    </row>
    <row r="561" spans="1:24" ht="13">
      <c r="A561" s="25"/>
      <c r="B561" s="25"/>
      <c r="C561" s="25"/>
      <c r="D561" s="25" t="str">
        <f t="array" ref="D561">IF(OR(LEFT(C561,1)="(",COUNTA(C561)=0),"", INDEX(Honor!$B$2:$B998,MATCH(C561,Honor!$A$2:$A998,0)))</f>
        <v/>
      </c>
      <c r="E561" s="25" t="str">
        <f t="array" ref="E561">IF(OR(LEFT(C561,1)="(",COUNTA(C561)=0),"",INDEX(Honor!$O$2:$O998,MATCH(C561,Honor!$A$2:$A998,0)))</f>
        <v/>
      </c>
      <c r="F561" s="25"/>
      <c r="G561" s="25"/>
      <c r="H561" s="25"/>
      <c r="I561" s="25"/>
      <c r="J561" s="25"/>
      <c r="K561" s="25"/>
      <c r="L561" s="25"/>
      <c r="M561" s="25"/>
      <c r="N561" s="25"/>
      <c r="O561" s="25"/>
      <c r="P561" s="25"/>
      <c r="Q561" s="25"/>
      <c r="R561" s="25"/>
      <c r="S561" s="25"/>
      <c r="T561" s="25"/>
      <c r="U561" s="25"/>
      <c r="V561" s="25"/>
      <c r="W561" s="25"/>
      <c r="X561" s="25"/>
    </row>
    <row r="562" spans="1:24" ht="13">
      <c r="A562" s="25"/>
      <c r="B562" s="25"/>
      <c r="C562" s="25"/>
      <c r="D562" s="25" t="str">
        <f t="array" ref="D562">IF(OR(LEFT(C562,1)="(",COUNTA(C562)=0),"", INDEX(Honor!$B$2:$B998,MATCH(C562,Honor!$A$2:$A998,0)))</f>
        <v/>
      </c>
      <c r="E562" s="25" t="str">
        <f t="array" ref="E562">IF(OR(LEFT(C562,1)="(",COUNTA(C562)=0),"",INDEX(Honor!$O$2:$O998,MATCH(C562,Honor!$A$2:$A998,0)))</f>
        <v/>
      </c>
      <c r="F562" s="25"/>
      <c r="G562" s="25"/>
      <c r="H562" s="25"/>
      <c r="I562" s="25"/>
      <c r="J562" s="25"/>
      <c r="K562" s="25"/>
      <c r="L562" s="25"/>
      <c r="M562" s="25"/>
      <c r="N562" s="25"/>
      <c r="O562" s="25"/>
      <c r="P562" s="25"/>
      <c r="Q562" s="25"/>
      <c r="R562" s="25"/>
      <c r="S562" s="25"/>
      <c r="T562" s="25"/>
      <c r="U562" s="25"/>
      <c r="V562" s="25"/>
      <c r="W562" s="25"/>
      <c r="X562" s="25"/>
    </row>
    <row r="563" spans="1:24" ht="13">
      <c r="A563" s="25"/>
      <c r="B563" s="25"/>
      <c r="C563" s="25"/>
      <c r="D563" s="25" t="str">
        <f t="array" ref="D563">IF(OR(LEFT(C563,1)="(",COUNTA(C563)=0),"", INDEX(Honor!$B$2:$B998,MATCH(C563,Honor!$A$2:$A998,0)))</f>
        <v/>
      </c>
      <c r="E563" s="25" t="str">
        <f t="array" ref="E563">IF(OR(LEFT(C563,1)="(",COUNTA(C563)=0),"",INDEX(Honor!$O$2:$O998,MATCH(C563,Honor!$A$2:$A998,0)))</f>
        <v/>
      </c>
      <c r="F563" s="25"/>
      <c r="G563" s="25"/>
      <c r="H563" s="25"/>
      <c r="I563" s="25"/>
      <c r="J563" s="25"/>
      <c r="K563" s="25"/>
      <c r="L563" s="25"/>
      <c r="M563" s="25"/>
      <c r="N563" s="25"/>
      <c r="O563" s="25"/>
      <c r="P563" s="25"/>
      <c r="Q563" s="25"/>
      <c r="R563" s="25"/>
      <c r="S563" s="25"/>
      <c r="T563" s="25"/>
      <c r="U563" s="25"/>
      <c r="V563" s="25"/>
      <c r="W563" s="25"/>
      <c r="X563" s="25"/>
    </row>
    <row r="564" spans="1:24" ht="13">
      <c r="A564" s="25"/>
      <c r="B564" s="25"/>
      <c r="C564" s="25"/>
      <c r="D564" s="25" t="str">
        <f t="array" ref="D564">IF(OR(LEFT(C564,1)="(",COUNTA(C564)=0),"", INDEX(Honor!$B$2:$B998,MATCH(C564,Honor!$A$2:$A998,0)))</f>
        <v/>
      </c>
      <c r="E564" s="25" t="str">
        <f t="array" ref="E564">IF(OR(LEFT(C564,1)="(",COUNTA(C564)=0),"",INDEX(Honor!$O$2:$O998,MATCH(C564,Honor!$A$2:$A998,0)))</f>
        <v/>
      </c>
      <c r="F564" s="25"/>
      <c r="G564" s="25"/>
      <c r="H564" s="25"/>
      <c r="I564" s="25"/>
      <c r="J564" s="25"/>
      <c r="K564" s="25"/>
      <c r="L564" s="25"/>
      <c r="M564" s="25"/>
      <c r="N564" s="25"/>
      <c r="O564" s="25"/>
      <c r="P564" s="25"/>
      <c r="Q564" s="25"/>
      <c r="R564" s="25"/>
      <c r="S564" s="25"/>
      <c r="T564" s="25"/>
      <c r="U564" s="25"/>
      <c r="V564" s="25"/>
      <c r="W564" s="25"/>
      <c r="X564" s="25"/>
    </row>
    <row r="565" spans="1:24" ht="13">
      <c r="A565" s="25"/>
      <c r="B565" s="25"/>
      <c r="C565" s="25"/>
      <c r="D565" s="25" t="str">
        <f t="array" ref="D565">IF(OR(LEFT(C565,1)="(",COUNTA(C565)=0),"", INDEX(Honor!$B$2:$B998,MATCH(C565,Honor!$A$2:$A998,0)))</f>
        <v/>
      </c>
      <c r="E565" s="25" t="str">
        <f t="array" ref="E565">IF(OR(LEFT(C565,1)="(",COUNTA(C565)=0),"",INDEX(Honor!$O$2:$O998,MATCH(C565,Honor!$A$2:$A998,0)))</f>
        <v/>
      </c>
      <c r="F565" s="25"/>
      <c r="G565" s="25"/>
      <c r="H565" s="25"/>
      <c r="I565" s="25"/>
      <c r="J565" s="25"/>
      <c r="K565" s="25"/>
      <c r="L565" s="25"/>
      <c r="M565" s="25"/>
      <c r="N565" s="25"/>
      <c r="O565" s="25"/>
      <c r="P565" s="25"/>
      <c r="Q565" s="25"/>
      <c r="R565" s="25"/>
      <c r="S565" s="25"/>
      <c r="T565" s="25"/>
      <c r="U565" s="25"/>
      <c r="V565" s="25"/>
      <c r="W565" s="25"/>
      <c r="X565" s="25"/>
    </row>
    <row r="566" spans="1:24" ht="13">
      <c r="A566" s="25"/>
      <c r="B566" s="25"/>
      <c r="C566" s="25"/>
      <c r="D566" s="25" t="str">
        <f t="array" ref="D566">IF(OR(LEFT(C566,1)="(",COUNTA(C566)=0),"", INDEX(Honor!$B$2:$B998,MATCH(C566,Honor!$A$2:$A998,0)))</f>
        <v/>
      </c>
      <c r="E566" s="25" t="str">
        <f t="array" ref="E566">IF(OR(LEFT(C566,1)="(",COUNTA(C566)=0),"",INDEX(Honor!$O$2:$O998,MATCH(C566,Honor!$A$2:$A998,0)))</f>
        <v/>
      </c>
      <c r="F566" s="25"/>
      <c r="G566" s="25"/>
      <c r="H566" s="25"/>
      <c r="I566" s="25"/>
      <c r="J566" s="25"/>
      <c r="K566" s="25"/>
      <c r="L566" s="25"/>
      <c r="M566" s="25"/>
      <c r="N566" s="25"/>
      <c r="O566" s="25"/>
      <c r="P566" s="25"/>
      <c r="Q566" s="25"/>
      <c r="R566" s="25"/>
      <c r="S566" s="25"/>
      <c r="T566" s="25"/>
      <c r="U566" s="25"/>
      <c r="V566" s="25"/>
      <c r="W566" s="25"/>
      <c r="X566" s="25"/>
    </row>
    <row r="567" spans="1:24" ht="13">
      <c r="A567" s="25"/>
      <c r="B567" s="25"/>
      <c r="C567" s="25"/>
      <c r="D567" s="25" t="str">
        <f t="array" ref="D567">IF(OR(LEFT(C567,1)="(",COUNTA(C567)=0),"", INDEX(Honor!$B$2:$B998,MATCH(C567,Honor!$A$2:$A998,0)))</f>
        <v/>
      </c>
      <c r="E567" s="25" t="str">
        <f t="array" ref="E567">IF(OR(LEFT(C567,1)="(",COUNTA(C567)=0),"",INDEX(Honor!$O$2:$O998,MATCH(C567,Honor!$A$2:$A998,0)))</f>
        <v/>
      </c>
      <c r="F567" s="25"/>
      <c r="G567" s="25"/>
      <c r="H567" s="25"/>
      <c r="I567" s="25"/>
      <c r="J567" s="25"/>
      <c r="K567" s="25"/>
      <c r="L567" s="25"/>
      <c r="M567" s="25"/>
      <c r="N567" s="25"/>
      <c r="O567" s="25"/>
      <c r="P567" s="25"/>
      <c r="Q567" s="25"/>
      <c r="R567" s="25"/>
      <c r="S567" s="25"/>
      <c r="T567" s="25"/>
      <c r="U567" s="25"/>
      <c r="V567" s="25"/>
      <c r="W567" s="25"/>
      <c r="X567" s="25"/>
    </row>
    <row r="568" spans="1:24" ht="13">
      <c r="A568" s="25"/>
      <c r="B568" s="25"/>
      <c r="C568" s="25"/>
      <c r="D568" s="25" t="str">
        <f t="array" ref="D568">IF(OR(LEFT(C568,1)="(",COUNTA(C568)=0),"", INDEX(Honor!$B$2:$B998,MATCH(C568,Honor!$A$2:$A998,0)))</f>
        <v/>
      </c>
      <c r="E568" s="25" t="str">
        <f t="array" ref="E568">IF(OR(LEFT(C568,1)="(",COUNTA(C568)=0),"",INDEX(Honor!$O$2:$O998,MATCH(C568,Honor!$A$2:$A998,0)))</f>
        <v/>
      </c>
      <c r="F568" s="25"/>
      <c r="G568" s="25"/>
      <c r="H568" s="25"/>
      <c r="I568" s="25"/>
      <c r="J568" s="25"/>
      <c r="K568" s="25"/>
      <c r="L568" s="25"/>
      <c r="M568" s="25"/>
      <c r="N568" s="25"/>
      <c r="O568" s="25"/>
      <c r="P568" s="25"/>
      <c r="Q568" s="25"/>
      <c r="R568" s="25"/>
      <c r="S568" s="25"/>
      <c r="T568" s="25"/>
      <c r="U568" s="25"/>
      <c r="V568" s="25"/>
      <c r="W568" s="25"/>
      <c r="X568" s="25"/>
    </row>
    <row r="569" spans="1:24" ht="13">
      <c r="A569" s="25"/>
      <c r="B569" s="25"/>
      <c r="C569" s="25"/>
      <c r="D569" s="25" t="str">
        <f t="array" ref="D569">IF(OR(LEFT(C569,1)="(",COUNTA(C569)=0),"", INDEX(Honor!$B$2:$B998,MATCH(C569,Honor!$A$2:$A998,0)))</f>
        <v/>
      </c>
      <c r="E569" s="25" t="str">
        <f t="array" ref="E569">IF(OR(LEFT(C569,1)="(",COUNTA(C569)=0),"",INDEX(Honor!$O$2:$O998,MATCH(C569,Honor!$A$2:$A998,0)))</f>
        <v/>
      </c>
      <c r="F569" s="25"/>
      <c r="G569" s="25"/>
      <c r="H569" s="25"/>
      <c r="I569" s="25"/>
      <c r="J569" s="25"/>
      <c r="K569" s="25"/>
      <c r="L569" s="25"/>
      <c r="M569" s="25"/>
      <c r="N569" s="25"/>
      <c r="O569" s="25"/>
      <c r="P569" s="25"/>
      <c r="Q569" s="25"/>
      <c r="R569" s="25"/>
      <c r="S569" s="25"/>
      <c r="T569" s="25"/>
      <c r="U569" s="25"/>
      <c r="V569" s="25"/>
      <c r="W569" s="25"/>
      <c r="X569" s="25"/>
    </row>
    <row r="570" spans="1:24" ht="13">
      <c r="A570" s="25"/>
      <c r="B570" s="25"/>
      <c r="C570" s="25"/>
      <c r="D570" s="25" t="str">
        <f t="array" ref="D570">IF(OR(LEFT(C570,1)="(",COUNTA(C570)=0),"", INDEX(Honor!$B$2:$B998,MATCH(C570,Honor!$A$2:$A998,0)))</f>
        <v/>
      </c>
      <c r="E570" s="25" t="str">
        <f t="array" ref="E570">IF(OR(LEFT(C570,1)="(",COUNTA(C570)=0),"",INDEX(Honor!$O$2:$O998,MATCH(C570,Honor!$A$2:$A998,0)))</f>
        <v/>
      </c>
      <c r="F570" s="25"/>
      <c r="G570" s="25"/>
      <c r="H570" s="25"/>
      <c r="I570" s="25"/>
      <c r="J570" s="25"/>
      <c r="K570" s="25"/>
      <c r="L570" s="25"/>
      <c r="M570" s="25"/>
      <c r="N570" s="25"/>
      <c r="O570" s="25"/>
      <c r="P570" s="25"/>
      <c r="Q570" s="25"/>
      <c r="R570" s="25"/>
      <c r="S570" s="25"/>
      <c r="T570" s="25"/>
      <c r="U570" s="25"/>
      <c r="V570" s="25"/>
      <c r="W570" s="25"/>
      <c r="X570" s="25"/>
    </row>
    <row r="571" spans="1:24" ht="13">
      <c r="A571" s="25"/>
      <c r="B571" s="25"/>
      <c r="C571" s="25"/>
      <c r="D571" s="25" t="str">
        <f t="array" ref="D571">IF(OR(LEFT(C571,1)="(",COUNTA(C571)=0),"", INDEX(Honor!$B$2:$B998,MATCH(C571,Honor!$A$2:$A998,0)))</f>
        <v/>
      </c>
      <c r="E571" s="25" t="str">
        <f t="array" ref="E571">IF(OR(LEFT(C571,1)="(",COUNTA(C571)=0),"",INDEX(Honor!$O$2:$O998,MATCH(C571,Honor!$A$2:$A998,0)))</f>
        <v/>
      </c>
      <c r="F571" s="25"/>
      <c r="G571" s="25"/>
      <c r="H571" s="25"/>
      <c r="I571" s="25"/>
      <c r="J571" s="25"/>
      <c r="K571" s="25"/>
      <c r="L571" s="25"/>
      <c r="M571" s="25"/>
      <c r="N571" s="25"/>
      <c r="O571" s="25"/>
      <c r="P571" s="25"/>
      <c r="Q571" s="25"/>
      <c r="R571" s="25"/>
      <c r="S571" s="25"/>
      <c r="T571" s="25"/>
      <c r="U571" s="25"/>
      <c r="V571" s="25"/>
      <c r="W571" s="25"/>
      <c r="X571" s="25"/>
    </row>
    <row r="572" spans="1:24" ht="13">
      <c r="A572" s="25"/>
      <c r="B572" s="25"/>
      <c r="C572" s="25"/>
      <c r="D572" s="25" t="str">
        <f t="array" ref="D572">IF(OR(LEFT(C572,1)="(",COUNTA(C572)=0),"", INDEX(Honor!$B$2:$B998,MATCH(C572,Honor!$A$2:$A998,0)))</f>
        <v/>
      </c>
      <c r="E572" s="25" t="str">
        <f t="array" ref="E572">IF(OR(LEFT(C572,1)="(",COUNTA(C572)=0),"",INDEX(Honor!$O$2:$O998,MATCH(C572,Honor!$A$2:$A998,0)))</f>
        <v/>
      </c>
      <c r="F572" s="25"/>
      <c r="G572" s="25"/>
      <c r="H572" s="25"/>
      <c r="I572" s="25"/>
      <c r="J572" s="25"/>
      <c r="K572" s="25"/>
      <c r="L572" s="25"/>
      <c r="M572" s="25"/>
      <c r="N572" s="25"/>
      <c r="O572" s="25"/>
      <c r="P572" s="25"/>
      <c r="Q572" s="25"/>
      <c r="R572" s="25"/>
      <c r="S572" s="25"/>
      <c r="T572" s="25"/>
      <c r="U572" s="25"/>
      <c r="V572" s="25"/>
      <c r="W572" s="25"/>
      <c r="X572" s="25"/>
    </row>
    <row r="573" spans="1:24" ht="13">
      <c r="A573" s="25"/>
      <c r="B573" s="25"/>
      <c r="C573" s="25"/>
      <c r="D573" s="25" t="str">
        <f t="array" ref="D573">IF(OR(LEFT(C573,1)="(",COUNTA(C573)=0),"", INDEX(Honor!$B$2:$B998,MATCH(C573,Honor!$A$2:$A998,0)))</f>
        <v/>
      </c>
      <c r="E573" s="25" t="str">
        <f t="array" ref="E573">IF(OR(LEFT(C573,1)="(",COUNTA(C573)=0),"",INDEX(Honor!$O$2:$O998,MATCH(C573,Honor!$A$2:$A998,0)))</f>
        <v/>
      </c>
      <c r="F573" s="25"/>
      <c r="G573" s="25"/>
      <c r="H573" s="25"/>
      <c r="I573" s="25"/>
      <c r="J573" s="25"/>
      <c r="K573" s="25"/>
      <c r="L573" s="25"/>
      <c r="M573" s="25"/>
      <c r="N573" s="25"/>
      <c r="O573" s="25"/>
      <c r="P573" s="25"/>
      <c r="Q573" s="25"/>
      <c r="R573" s="25"/>
      <c r="S573" s="25"/>
      <c r="T573" s="25"/>
      <c r="U573" s="25"/>
      <c r="V573" s="25"/>
      <c r="W573" s="25"/>
      <c r="X573" s="25"/>
    </row>
    <row r="574" spans="1:24" ht="13">
      <c r="A574" s="25"/>
      <c r="B574" s="25"/>
      <c r="C574" s="25"/>
      <c r="D574" s="25" t="str">
        <f t="array" ref="D574">IF(OR(LEFT(C574,1)="(",COUNTA(C574)=0),"", INDEX(Honor!$B$2:$B998,MATCH(C574,Honor!$A$2:$A998,0)))</f>
        <v/>
      </c>
      <c r="E574" s="25" t="str">
        <f t="array" ref="E574">IF(OR(LEFT(C574,1)="(",COUNTA(C574)=0),"",INDEX(Honor!$O$2:$O998,MATCH(C574,Honor!$A$2:$A998,0)))</f>
        <v/>
      </c>
      <c r="F574" s="25"/>
      <c r="G574" s="25"/>
      <c r="H574" s="25"/>
      <c r="I574" s="25"/>
      <c r="J574" s="25"/>
      <c r="K574" s="25"/>
      <c r="L574" s="25"/>
      <c r="M574" s="25"/>
      <c r="N574" s="25"/>
      <c r="O574" s="25"/>
      <c r="P574" s="25"/>
      <c r="Q574" s="25"/>
      <c r="R574" s="25"/>
      <c r="S574" s="25"/>
      <c r="T574" s="25"/>
      <c r="U574" s="25"/>
      <c r="V574" s="25"/>
      <c r="W574" s="25"/>
      <c r="X574" s="25"/>
    </row>
    <row r="575" spans="1:24" ht="13">
      <c r="A575" s="25"/>
      <c r="B575" s="25"/>
      <c r="C575" s="25"/>
      <c r="D575" s="25" t="str">
        <f t="array" ref="D575">IF(OR(LEFT(C575,1)="(",COUNTA(C575)=0),"", INDEX(Honor!$B$2:$B998,MATCH(C575,Honor!$A$2:$A998,0)))</f>
        <v/>
      </c>
      <c r="E575" s="25" t="str">
        <f t="array" ref="E575">IF(OR(LEFT(C575,1)="(",COUNTA(C575)=0),"",INDEX(Honor!$O$2:$O998,MATCH(C575,Honor!$A$2:$A998,0)))</f>
        <v/>
      </c>
      <c r="F575" s="25"/>
      <c r="G575" s="25"/>
      <c r="H575" s="25"/>
      <c r="I575" s="25"/>
      <c r="J575" s="25"/>
      <c r="K575" s="25"/>
      <c r="L575" s="25"/>
      <c r="M575" s="25"/>
      <c r="N575" s="25"/>
      <c r="O575" s="25"/>
      <c r="P575" s="25"/>
      <c r="Q575" s="25"/>
      <c r="R575" s="25"/>
      <c r="S575" s="25"/>
      <c r="T575" s="25"/>
      <c r="U575" s="25"/>
      <c r="V575" s="25"/>
      <c r="W575" s="25"/>
      <c r="X575" s="25"/>
    </row>
    <row r="576" spans="1:24" ht="13">
      <c r="A576" s="25"/>
      <c r="B576" s="25"/>
      <c r="C576" s="25"/>
      <c r="D576" s="25" t="str">
        <f t="array" ref="D576">IF(OR(LEFT(C576,1)="(",COUNTA(C576)=0),"", INDEX(Honor!$B$2:$B998,MATCH(C576,Honor!$A$2:$A998,0)))</f>
        <v/>
      </c>
      <c r="E576" s="25" t="str">
        <f t="array" ref="E576">IF(OR(LEFT(C576,1)="(",COUNTA(C576)=0),"",INDEX(Honor!$O$2:$O998,MATCH(C576,Honor!$A$2:$A998,0)))</f>
        <v/>
      </c>
      <c r="F576" s="25"/>
      <c r="G576" s="25"/>
      <c r="H576" s="25"/>
      <c r="I576" s="25"/>
      <c r="J576" s="25"/>
      <c r="K576" s="25"/>
      <c r="L576" s="25"/>
      <c r="M576" s="25"/>
      <c r="N576" s="25"/>
      <c r="O576" s="25"/>
      <c r="P576" s="25"/>
      <c r="Q576" s="25"/>
      <c r="R576" s="25"/>
      <c r="S576" s="25"/>
      <c r="T576" s="25"/>
      <c r="U576" s="25"/>
      <c r="V576" s="25"/>
      <c r="W576" s="25"/>
      <c r="X576" s="25"/>
    </row>
    <row r="577" spans="1:24" ht="13">
      <c r="A577" s="25"/>
      <c r="B577" s="25"/>
      <c r="C577" s="25"/>
      <c r="D577" s="25" t="str">
        <f t="array" ref="D577">IF(OR(LEFT(C577,1)="(",COUNTA(C577)=0),"", INDEX(Honor!$B$2:$B998,MATCH(C577,Honor!$A$2:$A998,0)))</f>
        <v/>
      </c>
      <c r="E577" s="25" t="str">
        <f t="array" ref="E577">IF(OR(LEFT(C577,1)="(",COUNTA(C577)=0),"",INDEX(Honor!$O$2:$O998,MATCH(C577,Honor!$A$2:$A998,0)))</f>
        <v/>
      </c>
      <c r="F577" s="25"/>
      <c r="G577" s="25"/>
      <c r="H577" s="25"/>
      <c r="I577" s="25"/>
      <c r="J577" s="25"/>
      <c r="K577" s="25"/>
      <c r="L577" s="25"/>
      <c r="M577" s="25"/>
      <c r="N577" s="25"/>
      <c r="O577" s="25"/>
      <c r="P577" s="25"/>
      <c r="Q577" s="25"/>
      <c r="R577" s="25"/>
      <c r="S577" s="25"/>
      <c r="T577" s="25"/>
      <c r="U577" s="25"/>
      <c r="V577" s="25"/>
      <c r="W577" s="25"/>
      <c r="X577" s="25"/>
    </row>
    <row r="578" spans="1:24" ht="13">
      <c r="A578" s="25"/>
      <c r="B578" s="25"/>
      <c r="C578" s="25"/>
      <c r="D578" s="25" t="str">
        <f t="array" ref="D578">IF(OR(LEFT(C578,1)="(",COUNTA(C578)=0),"", INDEX(Honor!$B$2:$B998,MATCH(C578,Honor!$A$2:$A998,0)))</f>
        <v/>
      </c>
      <c r="E578" s="25" t="str">
        <f t="array" ref="E578">IF(OR(LEFT(C578,1)="(",COUNTA(C578)=0),"",INDEX(Honor!$O$2:$O998,MATCH(C578,Honor!$A$2:$A998,0)))</f>
        <v/>
      </c>
      <c r="F578" s="25"/>
      <c r="G578" s="25"/>
      <c r="H578" s="25"/>
      <c r="I578" s="25"/>
      <c r="J578" s="25"/>
      <c r="K578" s="25"/>
      <c r="L578" s="25"/>
      <c r="M578" s="25"/>
      <c r="N578" s="25"/>
      <c r="O578" s="25"/>
      <c r="P578" s="25"/>
      <c r="Q578" s="25"/>
      <c r="R578" s="25"/>
      <c r="S578" s="25"/>
      <c r="T578" s="25"/>
      <c r="U578" s="25"/>
      <c r="V578" s="25"/>
      <c r="W578" s="25"/>
      <c r="X578" s="25"/>
    </row>
    <row r="579" spans="1:24" ht="13">
      <c r="A579" s="25"/>
      <c r="B579" s="25"/>
      <c r="C579" s="25"/>
      <c r="D579" s="25" t="str">
        <f t="array" ref="D579">IF(OR(LEFT(C579,1)="(",COUNTA(C579)=0),"", INDEX(Honor!$B$2:$B998,MATCH(C579,Honor!$A$2:$A998,0)))</f>
        <v/>
      </c>
      <c r="E579" s="25" t="str">
        <f t="array" ref="E579">IF(OR(LEFT(C579,1)="(",COUNTA(C579)=0),"",INDEX(Honor!$O$2:$O998,MATCH(C579,Honor!$A$2:$A998,0)))</f>
        <v/>
      </c>
      <c r="F579" s="25"/>
      <c r="G579" s="25"/>
      <c r="H579" s="25"/>
      <c r="I579" s="25"/>
      <c r="J579" s="25"/>
      <c r="K579" s="25"/>
      <c r="L579" s="25"/>
      <c r="M579" s="25"/>
      <c r="N579" s="25"/>
      <c r="O579" s="25"/>
      <c r="P579" s="25"/>
      <c r="Q579" s="25"/>
      <c r="R579" s="25"/>
      <c r="S579" s="25"/>
      <c r="T579" s="25"/>
      <c r="U579" s="25"/>
      <c r="V579" s="25"/>
      <c r="W579" s="25"/>
      <c r="X579" s="25"/>
    </row>
    <row r="580" spans="1:24" ht="13">
      <c r="A580" s="25"/>
      <c r="B580" s="25"/>
      <c r="C580" s="25"/>
      <c r="D580" s="25" t="str">
        <f t="array" ref="D580">IF(OR(LEFT(C580,1)="(",COUNTA(C580)=0),"", INDEX(Honor!$B$2:$B998,MATCH(C580,Honor!$A$2:$A998,0)))</f>
        <v/>
      </c>
      <c r="E580" s="25" t="str">
        <f t="array" ref="E580">IF(OR(LEFT(C580,1)="(",COUNTA(C580)=0),"",INDEX(Honor!$O$2:$O998,MATCH(C580,Honor!$A$2:$A998,0)))</f>
        <v/>
      </c>
      <c r="F580" s="25"/>
      <c r="G580" s="25"/>
      <c r="H580" s="25"/>
      <c r="I580" s="25"/>
      <c r="J580" s="25"/>
      <c r="K580" s="25"/>
      <c r="L580" s="25"/>
      <c r="M580" s="25"/>
      <c r="N580" s="25"/>
      <c r="O580" s="25"/>
      <c r="P580" s="25"/>
      <c r="Q580" s="25"/>
      <c r="R580" s="25"/>
      <c r="S580" s="25"/>
      <c r="T580" s="25"/>
      <c r="U580" s="25"/>
      <c r="V580" s="25"/>
      <c r="W580" s="25"/>
      <c r="X580" s="25"/>
    </row>
    <row r="581" spans="1:24" ht="13">
      <c r="A581" s="25"/>
      <c r="B581" s="25"/>
      <c r="C581" s="25"/>
      <c r="D581" s="25" t="str">
        <f t="array" ref="D581">IF(OR(LEFT(C581,1)="(",COUNTA(C581)=0),"", INDEX(Honor!$B$2:$B998,MATCH(C581,Honor!$A$2:$A998,0)))</f>
        <v/>
      </c>
      <c r="E581" s="25" t="str">
        <f t="array" ref="E581">IF(OR(LEFT(C581,1)="(",COUNTA(C581)=0),"",INDEX(Honor!$O$2:$O998,MATCH(C581,Honor!$A$2:$A998,0)))</f>
        <v/>
      </c>
      <c r="F581" s="25"/>
      <c r="G581" s="25"/>
      <c r="H581" s="25"/>
      <c r="I581" s="25"/>
      <c r="J581" s="25"/>
      <c r="K581" s="25"/>
      <c r="L581" s="25"/>
      <c r="M581" s="25"/>
      <c r="N581" s="25"/>
      <c r="O581" s="25"/>
      <c r="P581" s="25"/>
      <c r="Q581" s="25"/>
      <c r="R581" s="25"/>
      <c r="S581" s="25"/>
      <c r="T581" s="25"/>
      <c r="U581" s="25"/>
      <c r="V581" s="25"/>
      <c r="W581" s="25"/>
      <c r="X581" s="25"/>
    </row>
    <row r="582" spans="1:24" ht="13">
      <c r="A582" s="25"/>
      <c r="B582" s="25"/>
      <c r="C582" s="25"/>
      <c r="D582" s="25" t="str">
        <f t="array" ref="D582">IF(OR(LEFT(C582,1)="(",COUNTA(C582)=0),"", INDEX(Honor!$B$2:$B998,MATCH(C582,Honor!$A$2:$A998,0)))</f>
        <v/>
      </c>
      <c r="E582" s="25" t="str">
        <f t="array" ref="E582">IF(OR(LEFT(C582,1)="(",COUNTA(C582)=0),"",INDEX(Honor!$O$2:$O998,MATCH(C582,Honor!$A$2:$A998,0)))</f>
        <v/>
      </c>
      <c r="F582" s="25"/>
      <c r="G582" s="25"/>
      <c r="H582" s="25"/>
      <c r="I582" s="25"/>
      <c r="J582" s="25"/>
      <c r="K582" s="25"/>
      <c r="L582" s="25"/>
      <c r="M582" s="25"/>
      <c r="N582" s="25"/>
      <c r="O582" s="25"/>
      <c r="P582" s="25"/>
      <c r="Q582" s="25"/>
      <c r="R582" s="25"/>
      <c r="S582" s="25"/>
      <c r="T582" s="25"/>
      <c r="U582" s="25"/>
      <c r="V582" s="25"/>
      <c r="W582" s="25"/>
      <c r="X582" s="25"/>
    </row>
    <row r="583" spans="1:24" ht="13">
      <c r="A583" s="25"/>
      <c r="B583" s="25"/>
      <c r="C583" s="25"/>
      <c r="D583" s="25" t="str">
        <f t="array" ref="D583">IF(OR(LEFT(C583,1)="(",COUNTA(C583)=0),"", INDEX(Honor!$B$2:$B998,MATCH(C583,Honor!$A$2:$A998,0)))</f>
        <v/>
      </c>
      <c r="E583" s="25" t="str">
        <f t="array" ref="E583">IF(OR(LEFT(C583,1)="(",COUNTA(C583)=0),"",INDEX(Honor!$O$2:$O998,MATCH(C583,Honor!$A$2:$A998,0)))</f>
        <v/>
      </c>
      <c r="F583" s="25"/>
      <c r="G583" s="25"/>
      <c r="H583" s="25"/>
      <c r="I583" s="25"/>
      <c r="J583" s="25"/>
      <c r="K583" s="25"/>
      <c r="L583" s="25"/>
      <c r="M583" s="25"/>
      <c r="N583" s="25"/>
      <c r="O583" s="25"/>
      <c r="P583" s="25"/>
      <c r="Q583" s="25"/>
      <c r="R583" s="25"/>
      <c r="S583" s="25"/>
      <c r="T583" s="25"/>
      <c r="U583" s="25"/>
      <c r="V583" s="25"/>
      <c r="W583" s="25"/>
      <c r="X583" s="25"/>
    </row>
    <row r="584" spans="1:24" ht="13">
      <c r="A584" s="25"/>
      <c r="B584" s="25"/>
      <c r="C584" s="25"/>
      <c r="D584" s="25" t="str">
        <f t="array" ref="D584">IF(OR(LEFT(C584,1)="(",COUNTA(C584)=0),"", INDEX(Honor!$B$2:$B998,MATCH(C584,Honor!$A$2:$A998,0)))</f>
        <v/>
      </c>
      <c r="E584" s="25" t="str">
        <f t="array" ref="E584">IF(OR(LEFT(C584,1)="(",COUNTA(C584)=0),"",INDEX(Honor!$O$2:$O998,MATCH(C584,Honor!$A$2:$A998,0)))</f>
        <v/>
      </c>
      <c r="F584" s="25"/>
      <c r="G584" s="25"/>
      <c r="H584" s="25"/>
      <c r="I584" s="25"/>
      <c r="J584" s="25"/>
      <c r="K584" s="25"/>
      <c r="L584" s="25"/>
      <c r="M584" s="25"/>
      <c r="N584" s="25"/>
      <c r="O584" s="25"/>
      <c r="P584" s="25"/>
      <c r="Q584" s="25"/>
      <c r="R584" s="25"/>
      <c r="S584" s="25"/>
      <c r="T584" s="25"/>
      <c r="U584" s="25"/>
      <c r="V584" s="25"/>
      <c r="W584" s="25"/>
      <c r="X584" s="25"/>
    </row>
    <row r="585" spans="1:24" ht="13">
      <c r="A585" s="25"/>
      <c r="B585" s="25"/>
      <c r="C585" s="25"/>
      <c r="D585" s="25" t="str">
        <f t="array" ref="D585">IF(OR(LEFT(C585,1)="(",COUNTA(C585)=0),"", INDEX(Honor!$B$2:$B998,MATCH(C585,Honor!$A$2:$A998,0)))</f>
        <v/>
      </c>
      <c r="E585" s="25" t="str">
        <f t="array" ref="E585">IF(OR(LEFT(C585,1)="(",COUNTA(C585)=0),"",INDEX(Honor!$O$2:$O998,MATCH(C585,Honor!$A$2:$A998,0)))</f>
        <v/>
      </c>
      <c r="F585" s="25"/>
      <c r="G585" s="25"/>
      <c r="H585" s="25"/>
      <c r="I585" s="25"/>
      <c r="J585" s="25"/>
      <c r="K585" s="25"/>
      <c r="L585" s="25"/>
      <c r="M585" s="25"/>
      <c r="N585" s="25"/>
      <c r="O585" s="25"/>
      <c r="P585" s="25"/>
      <c r="Q585" s="25"/>
      <c r="R585" s="25"/>
      <c r="S585" s="25"/>
      <c r="T585" s="25"/>
      <c r="U585" s="25"/>
      <c r="V585" s="25"/>
      <c r="W585" s="25"/>
      <c r="X585" s="25"/>
    </row>
    <row r="586" spans="1:24" ht="13">
      <c r="A586" s="25"/>
      <c r="B586" s="25"/>
      <c r="C586" s="25"/>
      <c r="D586" s="25" t="str">
        <f t="array" ref="D586">IF(OR(LEFT(C586,1)="(",COUNTA(C586)=0),"", INDEX(Honor!$B$2:$B998,MATCH(C586,Honor!$A$2:$A998,0)))</f>
        <v/>
      </c>
      <c r="E586" s="25" t="str">
        <f t="array" ref="E586">IF(OR(LEFT(C586,1)="(",COUNTA(C586)=0),"",INDEX(Honor!$O$2:$O998,MATCH(C586,Honor!$A$2:$A998,0)))</f>
        <v/>
      </c>
      <c r="F586" s="25"/>
      <c r="G586" s="25"/>
      <c r="H586" s="25"/>
      <c r="I586" s="25"/>
      <c r="J586" s="25"/>
      <c r="K586" s="25"/>
      <c r="L586" s="25"/>
      <c r="M586" s="25"/>
      <c r="N586" s="25"/>
      <c r="O586" s="25"/>
      <c r="P586" s="25"/>
      <c r="Q586" s="25"/>
      <c r="R586" s="25"/>
      <c r="S586" s="25"/>
      <c r="T586" s="25"/>
      <c r="U586" s="25"/>
      <c r="V586" s="25"/>
      <c r="W586" s="25"/>
      <c r="X586" s="25"/>
    </row>
    <row r="587" spans="1:24" ht="13">
      <c r="A587" s="25"/>
      <c r="B587" s="25"/>
      <c r="C587" s="25"/>
      <c r="D587" s="25" t="str">
        <f t="array" ref="D587">IF(OR(LEFT(C587,1)="(",COUNTA(C587)=0),"", INDEX(Honor!$B$2:$B998,MATCH(C587,Honor!$A$2:$A998,0)))</f>
        <v/>
      </c>
      <c r="E587" s="25" t="str">
        <f t="array" ref="E587">IF(OR(LEFT(C587,1)="(",COUNTA(C587)=0),"",INDEX(Honor!$O$2:$O998,MATCH(C587,Honor!$A$2:$A998,0)))</f>
        <v/>
      </c>
      <c r="F587" s="25"/>
      <c r="G587" s="25"/>
      <c r="H587" s="25"/>
      <c r="I587" s="25"/>
      <c r="J587" s="25"/>
      <c r="K587" s="25"/>
      <c r="L587" s="25"/>
      <c r="M587" s="25"/>
      <c r="N587" s="25"/>
      <c r="O587" s="25"/>
      <c r="P587" s="25"/>
      <c r="Q587" s="25"/>
      <c r="R587" s="25"/>
      <c r="S587" s="25"/>
      <c r="T587" s="25"/>
      <c r="U587" s="25"/>
      <c r="V587" s="25"/>
      <c r="W587" s="25"/>
      <c r="X587" s="25"/>
    </row>
    <row r="588" spans="1:24" ht="13">
      <c r="A588" s="25"/>
      <c r="B588" s="25"/>
      <c r="C588" s="25"/>
      <c r="D588" s="25" t="str">
        <f t="array" ref="D588">IF(OR(LEFT(C588,1)="(",COUNTA(C588)=0),"", INDEX(Honor!$B$2:$B998,MATCH(C588,Honor!$A$2:$A998,0)))</f>
        <v/>
      </c>
      <c r="E588" s="25" t="str">
        <f t="array" ref="E588">IF(OR(LEFT(C588,1)="(",COUNTA(C588)=0),"",INDEX(Honor!$O$2:$O998,MATCH(C588,Honor!$A$2:$A998,0)))</f>
        <v/>
      </c>
      <c r="F588" s="25"/>
      <c r="G588" s="25"/>
      <c r="H588" s="25"/>
      <c r="I588" s="25"/>
      <c r="J588" s="25"/>
      <c r="K588" s="25"/>
      <c r="L588" s="25"/>
      <c r="M588" s="25"/>
      <c r="N588" s="25"/>
      <c r="O588" s="25"/>
      <c r="P588" s="25"/>
      <c r="Q588" s="25"/>
      <c r="R588" s="25"/>
      <c r="S588" s="25"/>
      <c r="T588" s="25"/>
      <c r="U588" s="25"/>
      <c r="V588" s="25"/>
      <c r="W588" s="25"/>
      <c r="X588" s="25"/>
    </row>
    <row r="589" spans="1:24" ht="13">
      <c r="A589" s="25"/>
      <c r="B589" s="25"/>
      <c r="C589" s="25"/>
      <c r="D589" s="25" t="str">
        <f t="array" ref="D589">IF(OR(LEFT(C589,1)="(",COUNTA(C589)=0),"", INDEX(Honor!$B$2:$B998,MATCH(C589,Honor!$A$2:$A998,0)))</f>
        <v/>
      </c>
      <c r="E589" s="25" t="str">
        <f t="array" ref="E589">IF(OR(LEFT(C589,1)="(",COUNTA(C589)=0),"",INDEX(Honor!$O$2:$O998,MATCH(C589,Honor!$A$2:$A998,0)))</f>
        <v/>
      </c>
      <c r="F589" s="25"/>
      <c r="G589" s="25"/>
      <c r="H589" s="25"/>
      <c r="I589" s="25"/>
      <c r="J589" s="25"/>
      <c r="K589" s="25"/>
      <c r="L589" s="25"/>
      <c r="M589" s="25"/>
      <c r="N589" s="25"/>
      <c r="O589" s="25"/>
      <c r="P589" s="25"/>
      <c r="Q589" s="25"/>
      <c r="R589" s="25"/>
      <c r="S589" s="25"/>
      <c r="T589" s="25"/>
      <c r="U589" s="25"/>
      <c r="V589" s="25"/>
      <c r="W589" s="25"/>
      <c r="X589" s="25"/>
    </row>
    <row r="590" spans="1:24" ht="13">
      <c r="A590" s="25"/>
      <c r="B590" s="25"/>
      <c r="C590" s="25"/>
      <c r="D590" s="25" t="str">
        <f t="array" ref="D590">IF(OR(LEFT(C590,1)="(",COUNTA(C590)=0),"", INDEX(Honor!$B$2:$B998,MATCH(C590,Honor!$A$2:$A998,0)))</f>
        <v/>
      </c>
      <c r="E590" s="25" t="str">
        <f t="array" ref="E590">IF(OR(LEFT(C590,1)="(",COUNTA(C590)=0),"",INDEX(Honor!$O$2:$O998,MATCH(C590,Honor!$A$2:$A998,0)))</f>
        <v/>
      </c>
      <c r="F590" s="25"/>
      <c r="G590" s="25"/>
      <c r="H590" s="25"/>
      <c r="I590" s="25"/>
      <c r="J590" s="25"/>
      <c r="K590" s="25"/>
      <c r="L590" s="25"/>
      <c r="M590" s="25"/>
      <c r="N590" s="25"/>
      <c r="O590" s="25"/>
      <c r="P590" s="25"/>
      <c r="Q590" s="25"/>
      <c r="R590" s="25"/>
      <c r="S590" s="25"/>
      <c r="T590" s="25"/>
      <c r="U590" s="25"/>
      <c r="V590" s="25"/>
      <c r="W590" s="25"/>
      <c r="X590" s="25"/>
    </row>
    <row r="591" spans="1:24" ht="13">
      <c r="A591" s="25"/>
      <c r="B591" s="25"/>
      <c r="C591" s="25"/>
      <c r="D591" s="25" t="str">
        <f t="array" ref="D591">IF(OR(LEFT(C591,1)="(",COUNTA(C591)=0),"", INDEX(Honor!$B$2:$B998,MATCH(C591,Honor!$A$2:$A998,0)))</f>
        <v/>
      </c>
      <c r="E591" s="25" t="str">
        <f t="array" ref="E591">IF(OR(LEFT(C591,1)="(",COUNTA(C591)=0),"",INDEX(Honor!$O$2:$O998,MATCH(C591,Honor!$A$2:$A998,0)))</f>
        <v/>
      </c>
      <c r="F591" s="25"/>
      <c r="G591" s="25"/>
      <c r="H591" s="25"/>
      <c r="I591" s="25"/>
      <c r="J591" s="25"/>
      <c r="K591" s="25"/>
      <c r="L591" s="25"/>
      <c r="M591" s="25"/>
      <c r="N591" s="25"/>
      <c r="O591" s="25"/>
      <c r="P591" s="25"/>
      <c r="Q591" s="25"/>
      <c r="R591" s="25"/>
      <c r="S591" s="25"/>
      <c r="T591" s="25"/>
      <c r="U591" s="25"/>
      <c r="V591" s="25"/>
      <c r="W591" s="25"/>
      <c r="X591" s="25"/>
    </row>
    <row r="592" spans="1:24" ht="13">
      <c r="A592" s="25"/>
      <c r="B592" s="25"/>
      <c r="C592" s="25"/>
      <c r="D592" s="25" t="str">
        <f t="array" ref="D592">IF(OR(LEFT(C592,1)="(",COUNTA(C592)=0),"", INDEX(Honor!$B$2:$B998,MATCH(C592,Honor!$A$2:$A998,0)))</f>
        <v/>
      </c>
      <c r="E592" s="25" t="str">
        <f t="array" ref="E592">IF(OR(LEFT(C592,1)="(",COUNTA(C592)=0),"",INDEX(Honor!$O$2:$O998,MATCH(C592,Honor!$A$2:$A998,0)))</f>
        <v/>
      </c>
      <c r="F592" s="25"/>
      <c r="G592" s="25"/>
      <c r="H592" s="25"/>
      <c r="I592" s="25"/>
      <c r="J592" s="25"/>
      <c r="K592" s="25"/>
      <c r="L592" s="25"/>
      <c r="M592" s="25"/>
      <c r="N592" s="25"/>
      <c r="O592" s="25"/>
      <c r="P592" s="25"/>
      <c r="Q592" s="25"/>
      <c r="R592" s="25"/>
      <c r="S592" s="25"/>
      <c r="T592" s="25"/>
      <c r="U592" s="25"/>
      <c r="V592" s="25"/>
      <c r="W592" s="25"/>
      <c r="X592" s="25"/>
    </row>
    <row r="593" spans="1:24" ht="13">
      <c r="A593" s="25"/>
      <c r="B593" s="25"/>
      <c r="C593" s="25"/>
      <c r="D593" s="25" t="str">
        <f t="array" ref="D593">IF(OR(LEFT(C593,1)="(",COUNTA(C593)=0),"", INDEX(Honor!$B$2:$B998,MATCH(C593,Honor!$A$2:$A998,0)))</f>
        <v/>
      </c>
      <c r="E593" s="25" t="str">
        <f t="array" ref="E593">IF(OR(LEFT(C593,1)="(",COUNTA(C593)=0),"",INDEX(Honor!$O$2:$O998,MATCH(C593,Honor!$A$2:$A998,0)))</f>
        <v/>
      </c>
      <c r="F593" s="25"/>
      <c r="G593" s="25"/>
      <c r="H593" s="25"/>
      <c r="I593" s="25"/>
      <c r="J593" s="25"/>
      <c r="K593" s="25"/>
      <c r="L593" s="25"/>
      <c r="M593" s="25"/>
      <c r="N593" s="25"/>
      <c r="O593" s="25"/>
      <c r="P593" s="25"/>
      <c r="Q593" s="25"/>
      <c r="R593" s="25"/>
      <c r="S593" s="25"/>
      <c r="T593" s="25"/>
      <c r="U593" s="25"/>
      <c r="V593" s="25"/>
      <c r="W593" s="25"/>
      <c r="X593" s="25"/>
    </row>
    <row r="594" spans="1:24" ht="13">
      <c r="A594" s="25"/>
      <c r="B594" s="25"/>
      <c r="C594" s="25"/>
      <c r="D594" s="25" t="str">
        <f t="array" ref="D594">IF(OR(LEFT(C594,1)="(",COUNTA(C594)=0),"", INDEX(Honor!$B$2:$B998,MATCH(C594,Honor!$A$2:$A998,0)))</f>
        <v/>
      </c>
      <c r="E594" s="25" t="str">
        <f t="array" ref="E594">IF(OR(LEFT(C594,1)="(",COUNTA(C594)=0),"",INDEX(Honor!$O$2:$O998,MATCH(C594,Honor!$A$2:$A998,0)))</f>
        <v/>
      </c>
      <c r="F594" s="25"/>
      <c r="G594" s="25"/>
      <c r="H594" s="25"/>
      <c r="I594" s="25"/>
      <c r="J594" s="25"/>
      <c r="K594" s="25"/>
      <c r="L594" s="25"/>
      <c r="M594" s="25"/>
      <c r="N594" s="25"/>
      <c r="O594" s="25"/>
      <c r="P594" s="25"/>
      <c r="Q594" s="25"/>
      <c r="R594" s="25"/>
      <c r="S594" s="25"/>
      <c r="T594" s="25"/>
      <c r="U594" s="25"/>
      <c r="V594" s="25"/>
      <c r="W594" s="25"/>
      <c r="X594" s="25"/>
    </row>
    <row r="595" spans="1:24" ht="13">
      <c r="A595" s="25"/>
      <c r="B595" s="25"/>
      <c r="C595" s="25"/>
      <c r="D595" s="25" t="str">
        <f t="array" ref="D595">IF(OR(LEFT(C595,1)="(",COUNTA(C595)=0),"", INDEX(Honor!$B$2:$B998,MATCH(C595,Honor!$A$2:$A998,0)))</f>
        <v/>
      </c>
      <c r="E595" s="25" t="str">
        <f t="array" ref="E595">IF(OR(LEFT(C595,1)="(",COUNTA(C595)=0),"",INDEX(Honor!$O$2:$O998,MATCH(C595,Honor!$A$2:$A998,0)))</f>
        <v/>
      </c>
      <c r="F595" s="25"/>
      <c r="G595" s="25"/>
      <c r="H595" s="25"/>
      <c r="I595" s="25"/>
      <c r="J595" s="25"/>
      <c r="K595" s="25"/>
      <c r="L595" s="25"/>
      <c r="M595" s="25"/>
      <c r="N595" s="25"/>
      <c r="O595" s="25"/>
      <c r="P595" s="25"/>
      <c r="Q595" s="25"/>
      <c r="R595" s="25"/>
      <c r="S595" s="25"/>
      <c r="T595" s="25"/>
      <c r="U595" s="25"/>
      <c r="V595" s="25"/>
      <c r="W595" s="25"/>
      <c r="X595" s="25"/>
    </row>
    <row r="596" spans="1:24" ht="13">
      <c r="A596" s="25"/>
      <c r="B596" s="25"/>
      <c r="C596" s="25"/>
      <c r="D596" s="25" t="str">
        <f t="array" ref="D596">IF(OR(LEFT(C596,1)="(",COUNTA(C596)=0),"", INDEX(Honor!$B$2:$B998,MATCH(C596,Honor!$A$2:$A998,0)))</f>
        <v/>
      </c>
      <c r="E596" s="25" t="str">
        <f t="array" ref="E596">IF(OR(LEFT(C596,1)="(",COUNTA(C596)=0),"",INDEX(Honor!$O$2:$O998,MATCH(C596,Honor!$A$2:$A998,0)))</f>
        <v/>
      </c>
      <c r="F596" s="25"/>
      <c r="G596" s="25"/>
      <c r="H596" s="25"/>
      <c r="I596" s="25"/>
      <c r="J596" s="25"/>
      <c r="K596" s="25"/>
      <c r="L596" s="25"/>
      <c r="M596" s="25"/>
      <c r="N596" s="25"/>
      <c r="O596" s="25"/>
      <c r="P596" s="25"/>
      <c r="Q596" s="25"/>
      <c r="R596" s="25"/>
      <c r="S596" s="25"/>
      <c r="T596" s="25"/>
      <c r="U596" s="25"/>
      <c r="V596" s="25"/>
      <c r="W596" s="25"/>
      <c r="X596" s="25"/>
    </row>
    <row r="597" spans="1:24" ht="13">
      <c r="A597" s="25"/>
      <c r="B597" s="25"/>
      <c r="C597" s="25"/>
      <c r="D597" s="25" t="str">
        <f t="array" ref="D597">IF(OR(LEFT(C597,1)="(",COUNTA(C597)=0),"", INDEX(Honor!$B$2:$B998,MATCH(C597,Honor!$A$2:$A998,0)))</f>
        <v/>
      </c>
      <c r="E597" s="25" t="str">
        <f t="array" ref="E597">IF(OR(LEFT(C597,1)="(",COUNTA(C597)=0),"",INDEX(Honor!$O$2:$O998,MATCH(C597,Honor!$A$2:$A998,0)))</f>
        <v/>
      </c>
      <c r="F597" s="25"/>
      <c r="G597" s="25"/>
      <c r="H597" s="25"/>
      <c r="I597" s="25"/>
      <c r="J597" s="25"/>
      <c r="K597" s="25"/>
      <c r="L597" s="25"/>
      <c r="M597" s="25"/>
      <c r="N597" s="25"/>
      <c r="O597" s="25"/>
      <c r="P597" s="25"/>
      <c r="Q597" s="25"/>
      <c r="R597" s="25"/>
      <c r="S597" s="25"/>
      <c r="T597" s="25"/>
      <c r="U597" s="25"/>
      <c r="V597" s="25"/>
      <c r="W597" s="25"/>
      <c r="X597" s="25"/>
    </row>
    <row r="598" spans="1:24" ht="13">
      <c r="A598" s="25"/>
      <c r="B598" s="25"/>
      <c r="C598" s="25"/>
      <c r="D598" s="25" t="str">
        <f t="array" ref="D598">IF(OR(LEFT(C598,1)="(",COUNTA(C598)=0),"", INDEX(Honor!$B$2:$B998,MATCH(C598,Honor!$A$2:$A998,0)))</f>
        <v/>
      </c>
      <c r="E598" s="25" t="str">
        <f t="array" ref="E598">IF(OR(LEFT(C598,1)="(",COUNTA(C598)=0),"",INDEX(Honor!$O$2:$O998,MATCH(C598,Honor!$A$2:$A998,0)))</f>
        <v/>
      </c>
      <c r="F598" s="25"/>
      <c r="G598" s="25"/>
      <c r="H598" s="25"/>
      <c r="I598" s="25"/>
      <c r="J598" s="25"/>
      <c r="K598" s="25"/>
      <c r="L598" s="25"/>
      <c r="M598" s="25"/>
      <c r="N598" s="25"/>
      <c r="O598" s="25"/>
      <c r="P598" s="25"/>
      <c r="Q598" s="25"/>
      <c r="R598" s="25"/>
      <c r="S598" s="25"/>
      <c r="T598" s="25"/>
      <c r="U598" s="25"/>
      <c r="V598" s="25"/>
      <c r="W598" s="25"/>
      <c r="X598" s="25"/>
    </row>
    <row r="599" spans="1:24" ht="13">
      <c r="A599" s="25"/>
      <c r="B599" s="25"/>
      <c r="C599" s="25"/>
      <c r="D599" s="25" t="str">
        <f t="array" ref="D599">IF(OR(LEFT(C599,1)="(",COUNTA(C599)=0),"", INDEX(Honor!$B$2:$B998,MATCH(C599,Honor!$A$2:$A998,0)))</f>
        <v/>
      </c>
      <c r="E599" s="25" t="str">
        <f t="array" ref="E599">IF(OR(LEFT(C599,1)="(",COUNTA(C599)=0),"",INDEX(Honor!$O$2:$O998,MATCH(C599,Honor!$A$2:$A998,0)))</f>
        <v/>
      </c>
      <c r="F599" s="25"/>
      <c r="G599" s="25"/>
      <c r="H599" s="25"/>
      <c r="I599" s="25"/>
      <c r="J599" s="25"/>
      <c r="K599" s="25"/>
      <c r="L599" s="25"/>
      <c r="M599" s="25"/>
      <c r="N599" s="25"/>
      <c r="O599" s="25"/>
      <c r="P599" s="25"/>
      <c r="Q599" s="25"/>
      <c r="R599" s="25"/>
      <c r="S599" s="25"/>
      <c r="T599" s="25"/>
      <c r="U599" s="25"/>
      <c r="V599" s="25"/>
      <c r="W599" s="25"/>
      <c r="X599" s="25"/>
    </row>
    <row r="600" spans="1:24" ht="13">
      <c r="A600" s="25"/>
      <c r="B600" s="25"/>
      <c r="C600" s="25"/>
      <c r="D600" s="25" t="str">
        <f t="array" ref="D600">IF(OR(LEFT(C600,1)="(",COUNTA(C600)=0),"", INDEX(Honor!$B$2:$B998,MATCH(C600,Honor!$A$2:$A998,0)))</f>
        <v/>
      </c>
      <c r="E600" s="25" t="str">
        <f t="array" ref="E600">IF(OR(LEFT(C600,1)="(",COUNTA(C600)=0),"",INDEX(Honor!$O$2:$O998,MATCH(C600,Honor!$A$2:$A998,0)))</f>
        <v/>
      </c>
      <c r="F600" s="25"/>
      <c r="G600" s="25"/>
      <c r="H600" s="25"/>
      <c r="I600" s="25"/>
      <c r="J600" s="25"/>
      <c r="K600" s="25"/>
      <c r="L600" s="25"/>
      <c r="M600" s="25"/>
      <c r="N600" s="25"/>
      <c r="O600" s="25"/>
      <c r="P600" s="25"/>
      <c r="Q600" s="25"/>
      <c r="R600" s="25"/>
      <c r="S600" s="25"/>
      <c r="T600" s="25"/>
      <c r="U600" s="25"/>
      <c r="V600" s="25"/>
      <c r="W600" s="25"/>
      <c r="X600" s="25"/>
    </row>
    <row r="601" spans="1:24" ht="13">
      <c r="A601" s="25"/>
      <c r="B601" s="25"/>
      <c r="C601" s="25"/>
      <c r="D601" s="25" t="str">
        <f t="array" ref="D601">IF(OR(LEFT(C601,1)="(",COUNTA(C601)=0),"", INDEX(Honor!$B$2:$B998,MATCH(C601,Honor!$A$2:$A998,0)))</f>
        <v/>
      </c>
      <c r="E601" s="25" t="str">
        <f t="array" ref="E601">IF(OR(LEFT(C601,1)="(",COUNTA(C601)=0),"",INDEX(Honor!$O$2:$O998,MATCH(C601,Honor!$A$2:$A998,0)))</f>
        <v/>
      </c>
      <c r="F601" s="25"/>
      <c r="G601" s="25"/>
      <c r="H601" s="25"/>
      <c r="I601" s="25"/>
      <c r="J601" s="25"/>
      <c r="K601" s="25"/>
      <c r="L601" s="25"/>
      <c r="M601" s="25"/>
      <c r="N601" s="25"/>
      <c r="O601" s="25"/>
      <c r="P601" s="25"/>
      <c r="Q601" s="25"/>
      <c r="R601" s="25"/>
      <c r="S601" s="25"/>
      <c r="T601" s="25"/>
      <c r="U601" s="25"/>
      <c r="V601" s="25"/>
      <c r="W601" s="25"/>
      <c r="X601" s="25"/>
    </row>
    <row r="602" spans="1:24" ht="13">
      <c r="A602" s="25"/>
      <c r="B602" s="25"/>
      <c r="C602" s="25"/>
      <c r="D602" s="25" t="str">
        <f t="array" ref="D602">IF(OR(LEFT(C602,1)="(",COUNTA(C602)=0),"", INDEX(Honor!$B$2:$B998,MATCH(C602,Honor!$A$2:$A998,0)))</f>
        <v/>
      </c>
      <c r="E602" s="25" t="str">
        <f t="array" ref="E602">IF(OR(LEFT(C602,1)="(",COUNTA(C602)=0),"",INDEX(Honor!$O$2:$O998,MATCH(C602,Honor!$A$2:$A998,0)))</f>
        <v/>
      </c>
      <c r="F602" s="25"/>
      <c r="G602" s="25"/>
      <c r="H602" s="25"/>
      <c r="I602" s="25"/>
      <c r="J602" s="25"/>
      <c r="K602" s="25"/>
      <c r="L602" s="25"/>
      <c r="M602" s="25"/>
      <c r="N602" s="25"/>
      <c r="O602" s="25"/>
      <c r="P602" s="25"/>
      <c r="Q602" s="25"/>
      <c r="R602" s="25"/>
      <c r="S602" s="25"/>
      <c r="T602" s="25"/>
      <c r="U602" s="25"/>
      <c r="V602" s="25"/>
      <c r="W602" s="25"/>
      <c r="X602" s="25"/>
    </row>
    <row r="603" spans="1:24" ht="13">
      <c r="A603" s="25"/>
      <c r="B603" s="25"/>
      <c r="C603" s="25"/>
      <c r="D603" s="25" t="str">
        <f t="array" ref="D603">IF(OR(LEFT(C603,1)="(",COUNTA(C603)=0),"", INDEX(Honor!$B$2:$B998,MATCH(C603,Honor!$A$2:$A998,0)))</f>
        <v/>
      </c>
      <c r="E603" s="25" t="str">
        <f t="array" ref="E603">IF(OR(LEFT(C603,1)="(",COUNTA(C603)=0),"",INDEX(Honor!$O$2:$O998,MATCH(C603,Honor!$A$2:$A998,0)))</f>
        <v/>
      </c>
      <c r="F603" s="25"/>
      <c r="G603" s="25"/>
      <c r="H603" s="25"/>
      <c r="I603" s="25"/>
      <c r="J603" s="25"/>
      <c r="K603" s="25"/>
      <c r="L603" s="25"/>
      <c r="M603" s="25"/>
      <c r="N603" s="25"/>
      <c r="O603" s="25"/>
      <c r="P603" s="25"/>
      <c r="Q603" s="25"/>
      <c r="R603" s="25"/>
      <c r="S603" s="25"/>
      <c r="T603" s="25"/>
      <c r="U603" s="25"/>
      <c r="V603" s="25"/>
      <c r="W603" s="25"/>
      <c r="X603" s="25"/>
    </row>
    <row r="604" spans="1:24" ht="13">
      <c r="A604" s="25"/>
      <c r="B604" s="25"/>
      <c r="C604" s="25"/>
      <c r="D604" s="25" t="str">
        <f t="array" ref="D604">IF(OR(LEFT(C604,1)="(",COUNTA(C604)=0),"", INDEX(Honor!$B$2:$B998,MATCH(C604,Honor!$A$2:$A998,0)))</f>
        <v/>
      </c>
      <c r="E604" s="25" t="str">
        <f t="array" ref="E604">IF(OR(LEFT(C604,1)="(",COUNTA(C604)=0),"",INDEX(Honor!$O$2:$O998,MATCH(C604,Honor!$A$2:$A998,0)))</f>
        <v/>
      </c>
      <c r="F604" s="25"/>
      <c r="G604" s="25"/>
      <c r="H604" s="25"/>
      <c r="I604" s="25"/>
      <c r="J604" s="25"/>
      <c r="K604" s="25"/>
      <c r="L604" s="25"/>
      <c r="M604" s="25"/>
      <c r="N604" s="25"/>
      <c r="O604" s="25"/>
      <c r="P604" s="25"/>
      <c r="Q604" s="25"/>
      <c r="R604" s="25"/>
      <c r="S604" s="25"/>
      <c r="T604" s="25"/>
      <c r="U604" s="25"/>
      <c r="V604" s="25"/>
      <c r="W604" s="25"/>
      <c r="X604" s="25"/>
    </row>
    <row r="605" spans="1:24" ht="13">
      <c r="A605" s="25"/>
      <c r="B605" s="25"/>
      <c r="C605" s="25"/>
      <c r="D605" s="25" t="str">
        <f t="array" ref="D605">IF(OR(LEFT(C605,1)="(",COUNTA(C605)=0),"", INDEX(Honor!$B$2:$B998,MATCH(C605,Honor!$A$2:$A998,0)))</f>
        <v/>
      </c>
      <c r="E605" s="25" t="str">
        <f t="array" ref="E605">IF(OR(LEFT(C605,1)="(",COUNTA(C605)=0),"",INDEX(Honor!$O$2:$O998,MATCH(C605,Honor!$A$2:$A998,0)))</f>
        <v/>
      </c>
      <c r="F605" s="25"/>
      <c r="G605" s="25"/>
      <c r="H605" s="25"/>
      <c r="I605" s="25"/>
      <c r="J605" s="25"/>
      <c r="K605" s="25"/>
      <c r="L605" s="25"/>
      <c r="M605" s="25"/>
      <c r="N605" s="25"/>
      <c r="O605" s="25"/>
      <c r="P605" s="25"/>
      <c r="Q605" s="25"/>
      <c r="R605" s="25"/>
      <c r="S605" s="25"/>
      <c r="T605" s="25"/>
      <c r="U605" s="25"/>
      <c r="V605" s="25"/>
      <c r="W605" s="25"/>
      <c r="X605" s="25"/>
    </row>
    <row r="606" spans="1:24" ht="13">
      <c r="A606" s="25"/>
      <c r="B606" s="25"/>
      <c r="C606" s="25"/>
      <c r="D606" s="25" t="str">
        <f t="array" ref="D606">IF(OR(LEFT(C606,1)="(",COUNTA(C606)=0),"", INDEX(Honor!$B$2:$B998,MATCH(C606,Honor!$A$2:$A998,0)))</f>
        <v/>
      </c>
      <c r="E606" s="25" t="str">
        <f t="array" ref="E606">IF(OR(LEFT(C606,1)="(",COUNTA(C606)=0),"",INDEX(Honor!$O$2:$O998,MATCH(C606,Honor!$A$2:$A998,0)))</f>
        <v/>
      </c>
      <c r="F606" s="25"/>
      <c r="G606" s="25"/>
      <c r="H606" s="25"/>
      <c r="I606" s="25"/>
      <c r="J606" s="25"/>
      <c r="K606" s="25"/>
      <c r="L606" s="25"/>
      <c r="M606" s="25"/>
      <c r="N606" s="25"/>
      <c r="O606" s="25"/>
      <c r="P606" s="25"/>
      <c r="Q606" s="25"/>
      <c r="R606" s="25"/>
      <c r="S606" s="25"/>
      <c r="T606" s="25"/>
      <c r="U606" s="25"/>
      <c r="V606" s="25"/>
      <c r="W606" s="25"/>
      <c r="X606" s="25"/>
    </row>
    <row r="607" spans="1:24" ht="13">
      <c r="A607" s="25"/>
      <c r="B607" s="25"/>
      <c r="C607" s="25"/>
      <c r="D607" s="25" t="str">
        <f t="array" ref="D607">IF(OR(LEFT(C607,1)="(",COUNTA(C607)=0),"", INDEX(Honor!$B$2:$B998,MATCH(C607,Honor!$A$2:$A998,0)))</f>
        <v/>
      </c>
      <c r="E607" s="25" t="str">
        <f t="array" ref="E607">IF(OR(LEFT(C607,1)="(",COUNTA(C607)=0),"",INDEX(Honor!$O$2:$O998,MATCH(C607,Honor!$A$2:$A998,0)))</f>
        <v/>
      </c>
      <c r="F607" s="25"/>
      <c r="G607" s="25"/>
      <c r="H607" s="25"/>
      <c r="I607" s="25"/>
      <c r="J607" s="25"/>
      <c r="K607" s="25"/>
      <c r="L607" s="25"/>
      <c r="M607" s="25"/>
      <c r="N607" s="25"/>
      <c r="O607" s="25"/>
      <c r="P607" s="25"/>
      <c r="Q607" s="25"/>
      <c r="R607" s="25"/>
      <c r="S607" s="25"/>
      <c r="T607" s="25"/>
      <c r="U607" s="25"/>
      <c r="V607" s="25"/>
      <c r="W607" s="25"/>
      <c r="X607" s="25"/>
    </row>
    <row r="608" spans="1:24" ht="13">
      <c r="A608" s="25"/>
      <c r="B608" s="25"/>
      <c r="C608" s="25"/>
      <c r="D608" s="25" t="str">
        <f t="array" ref="D608">IF(OR(LEFT(C608,1)="(",COUNTA(C608)=0),"", INDEX(Honor!$B$2:$B998,MATCH(C608,Honor!$A$2:$A998,0)))</f>
        <v/>
      </c>
      <c r="E608" s="25" t="str">
        <f t="array" ref="E608">IF(OR(LEFT(C608,1)="(",COUNTA(C608)=0),"",INDEX(Honor!$O$2:$O998,MATCH(C608,Honor!$A$2:$A998,0)))</f>
        <v/>
      </c>
      <c r="F608" s="25"/>
      <c r="G608" s="25"/>
      <c r="H608" s="25"/>
      <c r="I608" s="25"/>
      <c r="J608" s="25"/>
      <c r="K608" s="25"/>
      <c r="L608" s="25"/>
      <c r="M608" s="25"/>
      <c r="N608" s="25"/>
      <c r="O608" s="25"/>
      <c r="P608" s="25"/>
      <c r="Q608" s="25"/>
      <c r="R608" s="25"/>
      <c r="S608" s="25"/>
      <c r="T608" s="25"/>
      <c r="U608" s="25"/>
      <c r="V608" s="25"/>
      <c r="W608" s="25"/>
      <c r="X608" s="25"/>
    </row>
    <row r="609" spans="1:24" ht="13">
      <c r="A609" s="25"/>
      <c r="B609" s="25"/>
      <c r="C609" s="25"/>
      <c r="D609" s="25" t="str">
        <f t="array" ref="D609">IF(OR(LEFT(C609,1)="(",COUNTA(C609)=0),"", INDEX(Honor!$B$2:$B998,MATCH(C609,Honor!$A$2:$A998,0)))</f>
        <v/>
      </c>
      <c r="E609" s="25" t="str">
        <f t="array" ref="E609">IF(OR(LEFT(C609,1)="(",COUNTA(C609)=0),"",INDEX(Honor!$O$2:$O998,MATCH(C609,Honor!$A$2:$A998,0)))</f>
        <v/>
      </c>
      <c r="F609" s="25"/>
      <c r="G609" s="25"/>
      <c r="H609" s="25"/>
      <c r="I609" s="25"/>
      <c r="J609" s="25"/>
      <c r="K609" s="25"/>
      <c r="L609" s="25"/>
      <c r="M609" s="25"/>
      <c r="N609" s="25"/>
      <c r="O609" s="25"/>
      <c r="P609" s="25"/>
      <c r="Q609" s="25"/>
      <c r="R609" s="25"/>
      <c r="S609" s="25"/>
      <c r="T609" s="25"/>
      <c r="U609" s="25"/>
      <c r="V609" s="25"/>
      <c r="W609" s="25"/>
      <c r="X609" s="25"/>
    </row>
    <row r="610" spans="1:24" ht="13">
      <c r="A610" s="25"/>
      <c r="B610" s="25"/>
      <c r="C610" s="25"/>
      <c r="D610" s="25" t="str">
        <f t="array" ref="D610">IF(OR(LEFT(C610,1)="(",COUNTA(C610)=0),"", INDEX(Honor!$B$2:$B998,MATCH(C610,Honor!$A$2:$A998,0)))</f>
        <v/>
      </c>
      <c r="E610" s="25" t="str">
        <f t="array" ref="E610">IF(OR(LEFT(C610,1)="(",COUNTA(C610)=0),"",INDEX(Honor!$O$2:$O998,MATCH(C610,Honor!$A$2:$A998,0)))</f>
        <v/>
      </c>
      <c r="F610" s="25"/>
      <c r="G610" s="25"/>
      <c r="H610" s="25"/>
      <c r="I610" s="25"/>
      <c r="J610" s="25"/>
      <c r="K610" s="25"/>
      <c r="L610" s="25"/>
      <c r="M610" s="25"/>
      <c r="N610" s="25"/>
      <c r="O610" s="25"/>
      <c r="P610" s="25"/>
      <c r="Q610" s="25"/>
      <c r="R610" s="25"/>
      <c r="S610" s="25"/>
      <c r="T610" s="25"/>
      <c r="U610" s="25"/>
      <c r="V610" s="25"/>
      <c r="W610" s="25"/>
      <c r="X610" s="25"/>
    </row>
    <row r="611" spans="1:24" ht="13">
      <c r="A611" s="25"/>
      <c r="B611" s="25"/>
      <c r="C611" s="25"/>
      <c r="D611" s="25" t="str">
        <f t="array" ref="D611">IF(OR(LEFT(C611,1)="(",COUNTA(C611)=0),"", INDEX(Honor!$B$2:$B998,MATCH(C611,Honor!$A$2:$A998,0)))</f>
        <v/>
      </c>
      <c r="E611" s="25" t="str">
        <f t="array" ref="E611">IF(OR(LEFT(C611,1)="(",COUNTA(C611)=0),"",INDEX(Honor!$O$2:$O998,MATCH(C611,Honor!$A$2:$A998,0)))</f>
        <v/>
      </c>
      <c r="F611" s="25"/>
      <c r="G611" s="25"/>
      <c r="H611" s="25"/>
      <c r="I611" s="25"/>
      <c r="J611" s="25"/>
      <c r="K611" s="25"/>
      <c r="L611" s="25"/>
      <c r="M611" s="25"/>
      <c r="N611" s="25"/>
      <c r="O611" s="25"/>
      <c r="P611" s="25"/>
      <c r="Q611" s="25"/>
      <c r="R611" s="25"/>
      <c r="S611" s="25"/>
      <c r="T611" s="25"/>
      <c r="U611" s="25"/>
      <c r="V611" s="25"/>
      <c r="W611" s="25"/>
      <c r="X611" s="25"/>
    </row>
    <row r="612" spans="1:24" ht="13">
      <c r="A612" s="25"/>
      <c r="B612" s="25"/>
      <c r="C612" s="25"/>
      <c r="D612" s="25" t="str">
        <f t="array" ref="D612">IF(OR(LEFT(C612,1)="(",COUNTA(C612)=0),"", INDEX(Honor!$B$2:$B998,MATCH(C612,Honor!$A$2:$A998,0)))</f>
        <v/>
      </c>
      <c r="E612" s="25" t="str">
        <f t="array" ref="E612">IF(OR(LEFT(C612,1)="(",COUNTA(C612)=0),"",INDEX(Honor!$O$2:$O998,MATCH(C612,Honor!$A$2:$A998,0)))</f>
        <v/>
      </c>
      <c r="F612" s="25"/>
      <c r="G612" s="25"/>
      <c r="H612" s="25"/>
      <c r="I612" s="25"/>
      <c r="J612" s="25"/>
      <c r="K612" s="25"/>
      <c r="L612" s="25"/>
      <c r="M612" s="25"/>
      <c r="N612" s="25"/>
      <c r="O612" s="25"/>
      <c r="P612" s="25"/>
      <c r="Q612" s="25"/>
      <c r="R612" s="25"/>
      <c r="S612" s="25"/>
      <c r="T612" s="25"/>
      <c r="U612" s="25"/>
      <c r="V612" s="25"/>
      <c r="W612" s="25"/>
      <c r="X612" s="25"/>
    </row>
    <row r="613" spans="1:24" ht="13">
      <c r="A613" s="25"/>
      <c r="B613" s="25"/>
      <c r="C613" s="25"/>
      <c r="D613" s="25" t="str">
        <f t="array" ref="D613">IF(OR(LEFT(C613,1)="(",COUNTA(C613)=0),"", INDEX(Honor!$B$2:$B998,MATCH(C613,Honor!$A$2:$A998,0)))</f>
        <v/>
      </c>
      <c r="E613" s="25" t="str">
        <f t="array" ref="E613">IF(OR(LEFT(C613,1)="(",COUNTA(C613)=0),"",INDEX(Honor!$O$2:$O998,MATCH(C613,Honor!$A$2:$A998,0)))</f>
        <v/>
      </c>
      <c r="F613" s="25"/>
      <c r="G613" s="25"/>
      <c r="H613" s="25"/>
      <c r="I613" s="25"/>
      <c r="J613" s="25"/>
      <c r="K613" s="25"/>
      <c r="L613" s="25"/>
      <c r="M613" s="25"/>
      <c r="N613" s="25"/>
      <c r="O613" s="25"/>
      <c r="P613" s="25"/>
      <c r="Q613" s="25"/>
      <c r="R613" s="25"/>
      <c r="S613" s="25"/>
      <c r="T613" s="25"/>
      <c r="U613" s="25"/>
      <c r="V613" s="25"/>
      <c r="W613" s="25"/>
      <c r="X613" s="25"/>
    </row>
    <row r="614" spans="1:24" ht="13">
      <c r="A614" s="25"/>
      <c r="B614" s="25"/>
      <c r="C614" s="25"/>
      <c r="D614" s="25" t="str">
        <f t="array" ref="D614">IF(OR(LEFT(C614,1)="(",COUNTA(C614)=0),"", INDEX(Honor!$B$2:$B998,MATCH(C614,Honor!$A$2:$A998,0)))</f>
        <v/>
      </c>
      <c r="E614" s="25" t="str">
        <f t="array" ref="E614">IF(OR(LEFT(C614,1)="(",COUNTA(C614)=0),"",INDEX(Honor!$O$2:$O998,MATCH(C614,Honor!$A$2:$A998,0)))</f>
        <v/>
      </c>
      <c r="F614" s="25"/>
      <c r="G614" s="25"/>
      <c r="H614" s="25"/>
      <c r="I614" s="25"/>
      <c r="J614" s="25"/>
      <c r="K614" s="25"/>
      <c r="L614" s="25"/>
      <c r="M614" s="25"/>
      <c r="N614" s="25"/>
      <c r="O614" s="25"/>
      <c r="P614" s="25"/>
      <c r="Q614" s="25"/>
      <c r="R614" s="25"/>
      <c r="S614" s="25"/>
      <c r="T614" s="25"/>
      <c r="U614" s="25"/>
      <c r="V614" s="25"/>
      <c r="W614" s="25"/>
      <c r="X614" s="25"/>
    </row>
    <row r="615" spans="1:24" ht="13">
      <c r="A615" s="25"/>
      <c r="B615" s="25"/>
      <c r="C615" s="25"/>
      <c r="D615" s="25" t="str">
        <f t="array" ref="D615">IF(OR(LEFT(C615,1)="(",COUNTA(C615)=0),"", INDEX(Honor!$B$2:$B998,MATCH(C615,Honor!$A$2:$A998,0)))</f>
        <v/>
      </c>
      <c r="E615" s="25" t="str">
        <f t="array" ref="E615">IF(OR(LEFT(C615,1)="(",COUNTA(C615)=0),"",INDEX(Honor!$O$2:$O998,MATCH(C615,Honor!$A$2:$A998,0)))</f>
        <v/>
      </c>
      <c r="F615" s="25"/>
      <c r="G615" s="25"/>
      <c r="H615" s="25"/>
      <c r="I615" s="25"/>
      <c r="J615" s="25"/>
      <c r="K615" s="25"/>
      <c r="L615" s="25"/>
      <c r="M615" s="25"/>
      <c r="N615" s="25"/>
      <c r="O615" s="25"/>
      <c r="P615" s="25"/>
      <c r="Q615" s="25"/>
      <c r="R615" s="25"/>
      <c r="S615" s="25"/>
      <c r="T615" s="25"/>
      <c r="U615" s="25"/>
      <c r="V615" s="25"/>
      <c r="W615" s="25"/>
      <c r="X615" s="25"/>
    </row>
    <row r="616" spans="1:24" ht="13">
      <c r="A616" s="25"/>
      <c r="B616" s="25"/>
      <c r="C616" s="25"/>
      <c r="D616" s="25" t="str">
        <f t="array" ref="D616">IF(OR(LEFT(C616,1)="(",COUNTA(C616)=0),"", INDEX(Honor!$B$2:$B998,MATCH(C616,Honor!$A$2:$A998,0)))</f>
        <v/>
      </c>
      <c r="E616" s="25" t="str">
        <f t="array" ref="E616">IF(OR(LEFT(C616,1)="(",COUNTA(C616)=0),"",INDEX(Honor!$O$2:$O998,MATCH(C616,Honor!$A$2:$A998,0)))</f>
        <v/>
      </c>
      <c r="F616" s="25"/>
      <c r="G616" s="25"/>
      <c r="H616" s="25"/>
      <c r="I616" s="25"/>
      <c r="J616" s="25"/>
      <c r="K616" s="25"/>
      <c r="L616" s="25"/>
      <c r="M616" s="25"/>
      <c r="N616" s="25"/>
      <c r="O616" s="25"/>
      <c r="P616" s="25"/>
      <c r="Q616" s="25"/>
      <c r="R616" s="25"/>
      <c r="S616" s="25"/>
      <c r="T616" s="25"/>
      <c r="U616" s="25"/>
      <c r="V616" s="25"/>
      <c r="W616" s="25"/>
      <c r="X616" s="25"/>
    </row>
    <row r="617" spans="1:24" ht="13">
      <c r="A617" s="25"/>
      <c r="B617" s="25"/>
      <c r="C617" s="25"/>
      <c r="D617" s="25" t="str">
        <f t="array" ref="D617">IF(OR(LEFT(C617,1)="(",COUNTA(C617)=0),"", INDEX(Honor!$B$2:$B998,MATCH(C617,Honor!$A$2:$A998,0)))</f>
        <v/>
      </c>
      <c r="E617" s="25" t="str">
        <f t="array" ref="E617">IF(OR(LEFT(C617,1)="(",COUNTA(C617)=0),"",INDEX(Honor!$O$2:$O998,MATCH(C617,Honor!$A$2:$A998,0)))</f>
        <v/>
      </c>
      <c r="F617" s="25"/>
      <c r="G617" s="25"/>
      <c r="H617" s="25"/>
      <c r="I617" s="25"/>
      <c r="J617" s="25"/>
      <c r="K617" s="25"/>
      <c r="L617" s="25"/>
      <c r="M617" s="25"/>
      <c r="N617" s="25"/>
      <c r="O617" s="25"/>
      <c r="P617" s="25"/>
      <c r="Q617" s="25"/>
      <c r="R617" s="25"/>
      <c r="S617" s="25"/>
      <c r="T617" s="25"/>
      <c r="U617" s="25"/>
      <c r="V617" s="25"/>
      <c r="W617" s="25"/>
      <c r="X617" s="25"/>
    </row>
    <row r="618" spans="1:24" ht="13">
      <c r="A618" s="25"/>
      <c r="B618" s="25"/>
      <c r="C618" s="25"/>
      <c r="D618" s="25" t="str">
        <f t="array" ref="D618">IF(OR(LEFT(C618,1)="(",COUNTA(C618)=0),"", INDEX(Honor!$B$2:$B998,MATCH(C618,Honor!$A$2:$A998,0)))</f>
        <v/>
      </c>
      <c r="E618" s="25" t="str">
        <f t="array" ref="E618">IF(OR(LEFT(C618,1)="(",COUNTA(C618)=0),"",INDEX(Honor!$O$2:$O998,MATCH(C618,Honor!$A$2:$A998,0)))</f>
        <v/>
      </c>
      <c r="F618" s="25"/>
      <c r="G618" s="25"/>
      <c r="H618" s="25"/>
      <c r="I618" s="25"/>
      <c r="J618" s="25"/>
      <c r="K618" s="25"/>
      <c r="L618" s="25"/>
      <c r="M618" s="25"/>
      <c r="N618" s="25"/>
      <c r="O618" s="25"/>
      <c r="P618" s="25"/>
      <c r="Q618" s="25"/>
      <c r="R618" s="25"/>
      <c r="S618" s="25"/>
      <c r="T618" s="25"/>
      <c r="U618" s="25"/>
      <c r="V618" s="25"/>
      <c r="W618" s="25"/>
      <c r="X618" s="25"/>
    </row>
    <row r="619" spans="1:24" ht="13">
      <c r="A619" s="25"/>
      <c r="B619" s="25"/>
      <c r="C619" s="25"/>
      <c r="D619" s="25" t="str">
        <f t="array" ref="D619">IF(OR(LEFT(C619,1)="(",COUNTA(C619)=0),"", INDEX(Honor!$B$2:$B998,MATCH(C619,Honor!$A$2:$A998,0)))</f>
        <v/>
      </c>
      <c r="E619" s="25" t="str">
        <f t="array" ref="E619">IF(OR(LEFT(C619,1)="(",COUNTA(C619)=0),"",INDEX(Honor!$O$2:$O998,MATCH(C619,Honor!$A$2:$A998,0)))</f>
        <v/>
      </c>
      <c r="F619" s="25"/>
      <c r="G619" s="25"/>
      <c r="H619" s="25"/>
      <c r="I619" s="25"/>
      <c r="J619" s="25"/>
      <c r="K619" s="25"/>
      <c r="L619" s="25"/>
      <c r="M619" s="25"/>
      <c r="N619" s="25"/>
      <c r="O619" s="25"/>
      <c r="P619" s="25"/>
      <c r="Q619" s="25"/>
      <c r="R619" s="25"/>
      <c r="S619" s="25"/>
      <c r="T619" s="25"/>
      <c r="U619" s="25"/>
      <c r="V619" s="25"/>
      <c r="W619" s="25"/>
      <c r="X619" s="25"/>
    </row>
    <row r="620" spans="1:24" ht="13">
      <c r="A620" s="25"/>
      <c r="B620" s="25"/>
      <c r="C620" s="25"/>
      <c r="D620" s="25" t="str">
        <f t="array" ref="D620">IF(OR(LEFT(C620,1)="(",COUNTA(C620)=0),"", INDEX(Honor!$B$2:$B998,MATCH(C620,Honor!$A$2:$A998,0)))</f>
        <v/>
      </c>
      <c r="E620" s="25" t="str">
        <f t="array" ref="E620">IF(OR(LEFT(C620,1)="(",COUNTA(C620)=0),"",INDEX(Honor!$O$2:$O998,MATCH(C620,Honor!$A$2:$A998,0)))</f>
        <v/>
      </c>
      <c r="F620" s="25"/>
      <c r="G620" s="25"/>
      <c r="H620" s="25"/>
      <c r="I620" s="25"/>
      <c r="J620" s="25"/>
      <c r="K620" s="25"/>
      <c r="L620" s="25"/>
      <c r="M620" s="25"/>
      <c r="N620" s="25"/>
      <c r="O620" s="25"/>
      <c r="P620" s="25"/>
      <c r="Q620" s="25"/>
      <c r="R620" s="25"/>
      <c r="S620" s="25"/>
      <c r="T620" s="25"/>
      <c r="U620" s="25"/>
      <c r="V620" s="25"/>
      <c r="W620" s="25"/>
      <c r="X620" s="25"/>
    </row>
    <row r="621" spans="1:24" ht="13">
      <c r="A621" s="25"/>
      <c r="B621" s="25"/>
      <c r="C621" s="25"/>
      <c r="D621" s="25" t="str">
        <f t="array" ref="D621">IF(OR(LEFT(C621,1)="(",COUNTA(C621)=0),"", INDEX(Honor!$B$2:$B998,MATCH(C621,Honor!$A$2:$A998,0)))</f>
        <v/>
      </c>
      <c r="E621" s="25" t="str">
        <f t="array" ref="E621">IF(OR(LEFT(C621,1)="(",COUNTA(C621)=0),"",INDEX(Honor!$O$2:$O998,MATCH(C621,Honor!$A$2:$A998,0)))</f>
        <v/>
      </c>
      <c r="F621" s="25"/>
      <c r="G621" s="25"/>
      <c r="H621" s="25"/>
      <c r="I621" s="25"/>
      <c r="J621" s="25"/>
      <c r="K621" s="25"/>
      <c r="L621" s="25"/>
      <c r="M621" s="25"/>
      <c r="N621" s="25"/>
      <c r="O621" s="25"/>
      <c r="P621" s="25"/>
      <c r="Q621" s="25"/>
      <c r="R621" s="25"/>
      <c r="S621" s="25"/>
      <c r="T621" s="25"/>
      <c r="U621" s="25"/>
      <c r="V621" s="25"/>
      <c r="W621" s="25"/>
      <c r="X621" s="25"/>
    </row>
    <row r="622" spans="1:24" ht="13">
      <c r="A622" s="25"/>
      <c r="B622" s="25"/>
      <c r="C622" s="25"/>
      <c r="D622" s="25" t="str">
        <f t="array" ref="D622">IF(OR(LEFT(C622,1)="(",COUNTA(C622)=0),"", INDEX(Honor!$B$2:$B998,MATCH(C622,Honor!$A$2:$A998,0)))</f>
        <v/>
      </c>
      <c r="E622" s="25" t="str">
        <f t="array" ref="E622">IF(OR(LEFT(C622,1)="(",COUNTA(C622)=0),"",INDEX(Honor!$O$2:$O998,MATCH(C622,Honor!$A$2:$A998,0)))</f>
        <v/>
      </c>
      <c r="F622" s="25"/>
      <c r="G622" s="25"/>
      <c r="H622" s="25"/>
      <c r="I622" s="25"/>
      <c r="J622" s="25"/>
      <c r="K622" s="25"/>
      <c r="L622" s="25"/>
      <c r="M622" s="25"/>
      <c r="N622" s="25"/>
      <c r="O622" s="25"/>
      <c r="P622" s="25"/>
      <c r="Q622" s="25"/>
      <c r="R622" s="25"/>
      <c r="S622" s="25"/>
      <c r="T622" s="25"/>
      <c r="U622" s="25"/>
      <c r="V622" s="25"/>
      <c r="W622" s="25"/>
      <c r="X622" s="25"/>
    </row>
    <row r="623" spans="1:24" ht="13">
      <c r="A623" s="25"/>
      <c r="B623" s="25"/>
      <c r="C623" s="25"/>
      <c r="D623" s="25" t="str">
        <f t="array" ref="D623">IF(OR(LEFT(C623,1)="(",COUNTA(C623)=0),"", INDEX(Honor!$B$2:$B998,MATCH(C623,Honor!$A$2:$A998,0)))</f>
        <v/>
      </c>
      <c r="E623" s="25" t="str">
        <f t="array" ref="E623">IF(OR(LEFT(C623,1)="(",COUNTA(C623)=0),"",INDEX(Honor!$O$2:$O998,MATCH(C623,Honor!$A$2:$A998,0)))</f>
        <v/>
      </c>
      <c r="F623" s="25"/>
      <c r="G623" s="25"/>
      <c r="H623" s="25"/>
      <c r="I623" s="25"/>
      <c r="J623" s="25"/>
      <c r="K623" s="25"/>
      <c r="L623" s="25"/>
      <c r="M623" s="25"/>
      <c r="N623" s="25"/>
      <c r="O623" s="25"/>
      <c r="P623" s="25"/>
      <c r="Q623" s="25"/>
      <c r="R623" s="25"/>
      <c r="S623" s="25"/>
      <c r="T623" s="25"/>
      <c r="U623" s="25"/>
      <c r="V623" s="25"/>
      <c r="W623" s="25"/>
      <c r="X623" s="25"/>
    </row>
    <row r="624" spans="1:24" ht="13">
      <c r="A624" s="25"/>
      <c r="B624" s="25"/>
      <c r="C624" s="25"/>
      <c r="D624" s="25" t="str">
        <f t="array" ref="D624">IF(OR(LEFT(C624,1)="(",COUNTA(C624)=0),"", INDEX(Honor!$B$2:$B998,MATCH(C624,Honor!$A$2:$A998,0)))</f>
        <v/>
      </c>
      <c r="E624" s="25" t="str">
        <f t="array" ref="E624">IF(OR(LEFT(C624,1)="(",COUNTA(C624)=0),"",INDEX(Honor!$O$2:$O998,MATCH(C624,Honor!$A$2:$A998,0)))</f>
        <v/>
      </c>
      <c r="F624" s="25"/>
      <c r="G624" s="25"/>
      <c r="H624" s="25"/>
      <c r="I624" s="25"/>
      <c r="J624" s="25"/>
      <c r="K624" s="25"/>
      <c r="L624" s="25"/>
      <c r="M624" s="25"/>
      <c r="N624" s="25"/>
      <c r="O624" s="25"/>
      <c r="P624" s="25"/>
      <c r="Q624" s="25"/>
      <c r="R624" s="25"/>
      <c r="S624" s="25"/>
      <c r="T624" s="25"/>
      <c r="U624" s="25"/>
      <c r="V624" s="25"/>
      <c r="W624" s="25"/>
      <c r="X624" s="25"/>
    </row>
    <row r="625" spans="1:24" ht="13">
      <c r="A625" s="25"/>
      <c r="B625" s="25"/>
      <c r="C625" s="25"/>
      <c r="D625" s="25" t="str">
        <f t="array" ref="D625">IF(OR(LEFT(C625,1)="(",COUNTA(C625)=0),"", INDEX(Honor!$B$2:$B998,MATCH(C625,Honor!$A$2:$A998,0)))</f>
        <v/>
      </c>
      <c r="E625" s="25" t="str">
        <f t="array" ref="E625">IF(OR(LEFT(C625,1)="(",COUNTA(C625)=0),"",INDEX(Honor!$O$2:$O998,MATCH(C625,Honor!$A$2:$A998,0)))</f>
        <v/>
      </c>
      <c r="F625" s="25"/>
      <c r="G625" s="25"/>
      <c r="H625" s="25"/>
      <c r="I625" s="25"/>
      <c r="J625" s="25"/>
      <c r="K625" s="25"/>
      <c r="L625" s="25"/>
      <c r="M625" s="25"/>
      <c r="N625" s="25"/>
      <c r="O625" s="25"/>
      <c r="P625" s="25"/>
      <c r="Q625" s="25"/>
      <c r="R625" s="25"/>
      <c r="S625" s="25"/>
      <c r="T625" s="25"/>
      <c r="U625" s="25"/>
      <c r="V625" s="25"/>
      <c r="W625" s="25"/>
      <c r="X625" s="25"/>
    </row>
    <row r="626" spans="1:24" ht="13">
      <c r="A626" s="25"/>
      <c r="B626" s="25"/>
      <c r="C626" s="25"/>
      <c r="D626" s="25" t="str">
        <f t="array" ref="D626">IF(OR(LEFT(C626,1)="(",COUNTA(C626)=0),"", INDEX(Honor!$B$2:$B998,MATCH(C626,Honor!$A$2:$A998,0)))</f>
        <v/>
      </c>
      <c r="E626" s="25" t="str">
        <f t="array" ref="E626">IF(OR(LEFT(C626,1)="(",COUNTA(C626)=0),"",INDEX(Honor!$O$2:$O998,MATCH(C626,Honor!$A$2:$A998,0)))</f>
        <v/>
      </c>
      <c r="F626" s="25"/>
      <c r="G626" s="25"/>
      <c r="H626" s="25"/>
      <c r="I626" s="25"/>
      <c r="J626" s="25"/>
      <c r="K626" s="25"/>
      <c r="L626" s="25"/>
      <c r="M626" s="25"/>
      <c r="N626" s="25"/>
      <c r="O626" s="25"/>
      <c r="P626" s="25"/>
      <c r="Q626" s="25"/>
      <c r="R626" s="25"/>
      <c r="S626" s="25"/>
      <c r="T626" s="25"/>
      <c r="U626" s="25"/>
      <c r="V626" s="25"/>
      <c r="W626" s="25"/>
      <c r="X626" s="25"/>
    </row>
    <row r="627" spans="1:24" ht="13">
      <c r="A627" s="25"/>
      <c r="B627" s="25"/>
      <c r="C627" s="25"/>
      <c r="D627" s="25" t="str">
        <f t="array" ref="D627">IF(OR(LEFT(C627,1)="(",COUNTA(C627)=0),"", INDEX(Honor!$B$2:$B998,MATCH(C627,Honor!$A$2:$A998,0)))</f>
        <v/>
      </c>
      <c r="E627" s="25" t="str">
        <f t="array" ref="E627">IF(OR(LEFT(C627,1)="(",COUNTA(C627)=0),"",INDEX(Honor!$O$2:$O998,MATCH(C627,Honor!$A$2:$A998,0)))</f>
        <v/>
      </c>
      <c r="F627" s="25"/>
      <c r="G627" s="25"/>
      <c r="H627" s="25"/>
      <c r="I627" s="25"/>
      <c r="J627" s="25"/>
      <c r="K627" s="25"/>
      <c r="L627" s="25"/>
      <c r="M627" s="25"/>
      <c r="N627" s="25"/>
      <c r="O627" s="25"/>
      <c r="P627" s="25"/>
      <c r="Q627" s="25"/>
      <c r="R627" s="25"/>
      <c r="S627" s="25"/>
      <c r="T627" s="25"/>
      <c r="U627" s="25"/>
      <c r="V627" s="25"/>
      <c r="W627" s="25"/>
      <c r="X627" s="25"/>
    </row>
    <row r="628" spans="1:24" ht="13">
      <c r="A628" s="25"/>
      <c r="B628" s="25"/>
      <c r="C628" s="25"/>
      <c r="D628" s="25" t="str">
        <f t="array" ref="D628">IF(OR(LEFT(C628,1)="(",COUNTA(C628)=0),"", INDEX(Honor!$B$2:$B998,MATCH(C628,Honor!$A$2:$A998,0)))</f>
        <v/>
      </c>
      <c r="E628" s="25" t="str">
        <f t="array" ref="E628">IF(OR(LEFT(C628,1)="(",COUNTA(C628)=0),"",INDEX(Honor!$O$2:$O998,MATCH(C628,Honor!$A$2:$A998,0)))</f>
        <v/>
      </c>
      <c r="F628" s="25"/>
      <c r="G628" s="25"/>
      <c r="H628" s="25"/>
      <c r="I628" s="25"/>
      <c r="J628" s="25"/>
      <c r="K628" s="25"/>
      <c r="L628" s="25"/>
      <c r="M628" s="25"/>
      <c r="N628" s="25"/>
      <c r="O628" s="25"/>
      <c r="P628" s="25"/>
      <c r="Q628" s="25"/>
      <c r="R628" s="25"/>
      <c r="S628" s="25"/>
      <c r="T628" s="25"/>
      <c r="U628" s="25"/>
      <c r="V628" s="25"/>
      <c r="W628" s="25"/>
      <c r="X628" s="25"/>
    </row>
    <row r="629" spans="1:24" ht="13">
      <c r="A629" s="25"/>
      <c r="B629" s="25"/>
      <c r="C629" s="25"/>
      <c r="D629" s="25" t="str">
        <f t="array" ref="D629">IF(OR(LEFT(C629,1)="(",COUNTA(C629)=0),"", INDEX(Honor!$B$2:$B998,MATCH(C629,Honor!$A$2:$A998,0)))</f>
        <v/>
      </c>
      <c r="E629" s="25" t="str">
        <f t="array" ref="E629">IF(OR(LEFT(C629,1)="(",COUNTA(C629)=0),"",INDEX(Honor!$O$2:$O998,MATCH(C629,Honor!$A$2:$A998,0)))</f>
        <v/>
      </c>
      <c r="F629" s="25"/>
      <c r="G629" s="25"/>
      <c r="H629" s="25"/>
      <c r="I629" s="25"/>
      <c r="J629" s="25"/>
      <c r="K629" s="25"/>
      <c r="L629" s="25"/>
      <c r="M629" s="25"/>
      <c r="N629" s="25"/>
      <c r="O629" s="25"/>
      <c r="P629" s="25"/>
      <c r="Q629" s="25"/>
      <c r="R629" s="25"/>
      <c r="S629" s="25"/>
      <c r="T629" s="25"/>
      <c r="U629" s="25"/>
      <c r="V629" s="25"/>
      <c r="W629" s="25"/>
      <c r="X629" s="25"/>
    </row>
    <row r="630" spans="1:24" ht="13">
      <c r="A630" s="25"/>
      <c r="B630" s="25"/>
      <c r="C630" s="25"/>
      <c r="D630" s="25" t="str">
        <f t="array" ref="D630">IF(OR(LEFT(C630,1)="(",COUNTA(C630)=0),"", INDEX(Honor!$B$2:$B998,MATCH(C630,Honor!$A$2:$A998,0)))</f>
        <v/>
      </c>
      <c r="E630" s="25" t="str">
        <f t="array" ref="E630">IF(OR(LEFT(C630,1)="(",COUNTA(C630)=0),"",INDEX(Honor!$O$2:$O998,MATCH(C630,Honor!$A$2:$A998,0)))</f>
        <v/>
      </c>
      <c r="F630" s="25"/>
      <c r="G630" s="25"/>
      <c r="H630" s="25"/>
      <c r="I630" s="25"/>
      <c r="J630" s="25"/>
      <c r="K630" s="25"/>
      <c r="L630" s="25"/>
      <c r="M630" s="25"/>
      <c r="N630" s="25"/>
      <c r="O630" s="25"/>
      <c r="P630" s="25"/>
      <c r="Q630" s="25"/>
      <c r="R630" s="25"/>
      <c r="S630" s="25"/>
      <c r="T630" s="25"/>
      <c r="U630" s="25"/>
      <c r="V630" s="25"/>
      <c r="W630" s="25"/>
      <c r="X630" s="25"/>
    </row>
    <row r="631" spans="1:24" ht="13">
      <c r="A631" s="25"/>
      <c r="B631" s="25"/>
      <c r="C631" s="25"/>
      <c r="D631" s="25" t="str">
        <f t="array" ref="D631">IF(OR(LEFT(C631,1)="(",COUNTA(C631)=0),"", INDEX(Honor!$B$2:$B998,MATCH(C631,Honor!$A$2:$A998,0)))</f>
        <v/>
      </c>
      <c r="E631" s="25" t="str">
        <f t="array" ref="E631">IF(OR(LEFT(C631,1)="(",COUNTA(C631)=0),"",INDEX(Honor!$O$2:$O998,MATCH(C631,Honor!$A$2:$A998,0)))</f>
        <v/>
      </c>
      <c r="F631" s="25"/>
      <c r="G631" s="25"/>
      <c r="H631" s="25"/>
      <c r="I631" s="25"/>
      <c r="J631" s="25"/>
      <c r="K631" s="25"/>
      <c r="L631" s="25"/>
      <c r="M631" s="25"/>
      <c r="N631" s="25"/>
      <c r="O631" s="25"/>
      <c r="P631" s="25"/>
      <c r="Q631" s="25"/>
      <c r="R631" s="25"/>
      <c r="S631" s="25"/>
      <c r="T631" s="25"/>
      <c r="U631" s="25"/>
      <c r="V631" s="25"/>
      <c r="W631" s="25"/>
      <c r="X631" s="25"/>
    </row>
    <row r="632" spans="1:24" ht="13">
      <c r="A632" s="25"/>
      <c r="B632" s="25"/>
      <c r="C632" s="25"/>
      <c r="D632" s="25" t="str">
        <f t="array" ref="D632">IF(OR(LEFT(C632,1)="(",COUNTA(C632)=0),"", INDEX(Honor!$B$2:$B998,MATCH(C632,Honor!$A$2:$A998,0)))</f>
        <v/>
      </c>
      <c r="E632" s="25" t="str">
        <f t="array" ref="E632">IF(OR(LEFT(C632,1)="(",COUNTA(C632)=0),"",INDEX(Honor!$O$2:$O998,MATCH(C632,Honor!$A$2:$A998,0)))</f>
        <v/>
      </c>
      <c r="F632" s="25"/>
      <c r="G632" s="25"/>
      <c r="H632" s="25"/>
      <c r="I632" s="25"/>
      <c r="J632" s="25"/>
      <c r="K632" s="25"/>
      <c r="L632" s="25"/>
      <c r="M632" s="25"/>
      <c r="N632" s="25"/>
      <c r="O632" s="25"/>
      <c r="P632" s="25"/>
      <c r="Q632" s="25"/>
      <c r="R632" s="25"/>
      <c r="S632" s="25"/>
      <c r="T632" s="25"/>
      <c r="U632" s="25"/>
      <c r="V632" s="25"/>
      <c r="W632" s="25"/>
      <c r="X632" s="25"/>
    </row>
    <row r="633" spans="1:24" ht="13">
      <c r="A633" s="25"/>
      <c r="B633" s="25"/>
      <c r="C633" s="25"/>
      <c r="D633" s="25" t="str">
        <f t="array" ref="D633">IF(OR(LEFT(C633,1)="(",COUNTA(C633)=0),"", INDEX(Honor!$B$2:$B998,MATCH(C633,Honor!$A$2:$A998,0)))</f>
        <v/>
      </c>
      <c r="E633" s="25" t="str">
        <f t="array" ref="E633">IF(OR(LEFT(C633,1)="(",COUNTA(C633)=0),"",INDEX(Honor!$O$2:$O998,MATCH(C633,Honor!$A$2:$A998,0)))</f>
        <v/>
      </c>
      <c r="F633" s="25"/>
      <c r="G633" s="25"/>
      <c r="H633" s="25"/>
      <c r="I633" s="25"/>
      <c r="J633" s="25"/>
      <c r="K633" s="25"/>
      <c r="L633" s="25"/>
      <c r="M633" s="25"/>
      <c r="N633" s="25"/>
      <c r="O633" s="25"/>
      <c r="P633" s="25"/>
      <c r="Q633" s="25"/>
      <c r="R633" s="25"/>
      <c r="S633" s="25"/>
      <c r="T633" s="25"/>
      <c r="U633" s="25"/>
      <c r="V633" s="25"/>
      <c r="W633" s="25"/>
      <c r="X633" s="25"/>
    </row>
    <row r="634" spans="1:24" ht="13">
      <c r="A634" s="25"/>
      <c r="B634" s="25"/>
      <c r="C634" s="25"/>
      <c r="D634" s="25" t="str">
        <f t="array" ref="D634">IF(OR(LEFT(C634,1)="(",COUNTA(C634)=0),"", INDEX(Honor!$B$2:$B998,MATCH(C634,Honor!$A$2:$A998,0)))</f>
        <v/>
      </c>
      <c r="E634" s="25" t="str">
        <f t="array" ref="E634">IF(OR(LEFT(C634,1)="(",COUNTA(C634)=0),"",INDEX(Honor!$O$2:$O998,MATCH(C634,Honor!$A$2:$A998,0)))</f>
        <v/>
      </c>
      <c r="F634" s="25"/>
      <c r="G634" s="25"/>
      <c r="H634" s="25"/>
      <c r="I634" s="25"/>
      <c r="J634" s="25"/>
      <c r="K634" s="25"/>
      <c r="L634" s="25"/>
      <c r="M634" s="25"/>
      <c r="N634" s="25"/>
      <c r="O634" s="25"/>
      <c r="P634" s="25"/>
      <c r="Q634" s="25"/>
      <c r="R634" s="25"/>
      <c r="S634" s="25"/>
      <c r="T634" s="25"/>
      <c r="U634" s="25"/>
      <c r="V634" s="25"/>
      <c r="W634" s="25"/>
      <c r="X634" s="25"/>
    </row>
    <row r="635" spans="1:24" ht="13">
      <c r="A635" s="25"/>
      <c r="B635" s="25"/>
      <c r="C635" s="25"/>
      <c r="D635" s="25" t="str">
        <f t="array" ref="D635">IF(OR(LEFT(C635,1)="(",COUNTA(C635)=0),"", INDEX(Honor!$B$2:$B998,MATCH(C635,Honor!$A$2:$A998,0)))</f>
        <v/>
      </c>
      <c r="E635" s="25" t="str">
        <f t="array" ref="E635">IF(OR(LEFT(C635,1)="(",COUNTA(C635)=0),"",INDEX(Honor!$O$2:$O998,MATCH(C635,Honor!$A$2:$A998,0)))</f>
        <v/>
      </c>
      <c r="F635" s="25"/>
      <c r="G635" s="25"/>
      <c r="H635" s="25"/>
      <c r="I635" s="25"/>
      <c r="J635" s="25"/>
      <c r="K635" s="25"/>
      <c r="L635" s="25"/>
      <c r="M635" s="25"/>
      <c r="N635" s="25"/>
      <c r="O635" s="25"/>
      <c r="P635" s="25"/>
      <c r="Q635" s="25"/>
      <c r="R635" s="25"/>
      <c r="S635" s="25"/>
      <c r="T635" s="25"/>
      <c r="U635" s="25"/>
      <c r="V635" s="25"/>
      <c r="W635" s="25"/>
      <c r="X635" s="25"/>
    </row>
    <row r="636" spans="1:24" ht="13">
      <c r="A636" s="25"/>
      <c r="B636" s="25"/>
      <c r="C636" s="25"/>
      <c r="D636" s="25" t="str">
        <f t="array" ref="D636">IF(OR(LEFT(C636,1)="(",COUNTA(C636)=0),"", INDEX(Honor!$B$2:$B998,MATCH(C636,Honor!$A$2:$A998,0)))</f>
        <v/>
      </c>
      <c r="E636" s="25" t="str">
        <f t="array" ref="E636">IF(OR(LEFT(C636,1)="(",COUNTA(C636)=0),"",INDEX(Honor!$O$2:$O998,MATCH(C636,Honor!$A$2:$A998,0)))</f>
        <v/>
      </c>
      <c r="F636" s="25"/>
      <c r="G636" s="25"/>
      <c r="H636" s="25"/>
      <c r="I636" s="25"/>
      <c r="J636" s="25"/>
      <c r="K636" s="25"/>
      <c r="L636" s="25"/>
      <c r="M636" s="25"/>
      <c r="N636" s="25"/>
      <c r="O636" s="25"/>
      <c r="P636" s="25"/>
      <c r="Q636" s="25"/>
      <c r="R636" s="25"/>
      <c r="S636" s="25"/>
      <c r="T636" s="25"/>
      <c r="U636" s="25"/>
      <c r="V636" s="25"/>
      <c r="W636" s="25"/>
      <c r="X636" s="25"/>
    </row>
    <row r="637" spans="1:24" ht="13">
      <c r="A637" s="25"/>
      <c r="B637" s="25"/>
      <c r="C637" s="25"/>
      <c r="D637" s="25" t="str">
        <f t="array" ref="D637">IF(OR(LEFT(C637,1)="(",COUNTA(C637)=0),"", INDEX(Honor!$B$2:$B998,MATCH(C637,Honor!$A$2:$A998,0)))</f>
        <v/>
      </c>
      <c r="E637" s="25" t="str">
        <f t="array" ref="E637">IF(OR(LEFT(C637,1)="(",COUNTA(C637)=0),"",INDEX(Honor!$O$2:$O998,MATCH(C637,Honor!$A$2:$A998,0)))</f>
        <v/>
      </c>
      <c r="F637" s="25"/>
      <c r="G637" s="25"/>
      <c r="H637" s="25"/>
      <c r="I637" s="25"/>
      <c r="J637" s="25"/>
      <c r="K637" s="25"/>
      <c r="L637" s="25"/>
      <c r="M637" s="25"/>
      <c r="N637" s="25"/>
      <c r="O637" s="25"/>
      <c r="P637" s="25"/>
      <c r="Q637" s="25"/>
      <c r="R637" s="25"/>
      <c r="S637" s="25"/>
      <c r="T637" s="25"/>
      <c r="U637" s="25"/>
      <c r="V637" s="25"/>
      <c r="W637" s="25"/>
      <c r="X637" s="25"/>
    </row>
    <row r="638" spans="1:24" ht="13">
      <c r="A638" s="25"/>
      <c r="B638" s="25"/>
      <c r="C638" s="25"/>
      <c r="D638" s="25" t="str">
        <f t="array" ref="D638">IF(OR(LEFT(C638,1)="(",COUNTA(C638)=0),"", INDEX(Honor!$B$2:$B998,MATCH(C638,Honor!$A$2:$A998,0)))</f>
        <v/>
      </c>
      <c r="E638" s="25" t="str">
        <f t="array" ref="E638">IF(OR(LEFT(C638,1)="(",COUNTA(C638)=0),"",INDEX(Honor!$O$2:$O998,MATCH(C638,Honor!$A$2:$A998,0)))</f>
        <v/>
      </c>
      <c r="F638" s="25"/>
      <c r="G638" s="25"/>
      <c r="H638" s="25"/>
      <c r="I638" s="25"/>
      <c r="J638" s="25"/>
      <c r="K638" s="25"/>
      <c r="L638" s="25"/>
      <c r="M638" s="25"/>
      <c r="N638" s="25"/>
      <c r="O638" s="25"/>
      <c r="P638" s="25"/>
      <c r="Q638" s="25"/>
      <c r="R638" s="25"/>
      <c r="S638" s="25"/>
      <c r="T638" s="25"/>
      <c r="U638" s="25"/>
      <c r="V638" s="25"/>
      <c r="W638" s="25"/>
      <c r="X638" s="25"/>
    </row>
    <row r="639" spans="1:24" ht="13">
      <c r="A639" s="25"/>
      <c r="B639" s="25"/>
      <c r="C639" s="25"/>
      <c r="D639" s="25" t="str">
        <f t="array" ref="D639">IF(OR(LEFT(C639,1)="(",COUNTA(C639)=0),"", INDEX(Honor!$B$2:$B998,MATCH(C639,Honor!$A$2:$A998,0)))</f>
        <v/>
      </c>
      <c r="E639" s="25" t="str">
        <f t="array" ref="E639">IF(OR(LEFT(C639,1)="(",COUNTA(C639)=0),"",INDEX(Honor!$O$2:$O998,MATCH(C639,Honor!$A$2:$A998,0)))</f>
        <v/>
      </c>
      <c r="F639" s="25"/>
      <c r="G639" s="25"/>
      <c r="H639" s="25"/>
      <c r="I639" s="25"/>
      <c r="J639" s="25"/>
      <c r="K639" s="25"/>
      <c r="L639" s="25"/>
      <c r="M639" s="25"/>
      <c r="N639" s="25"/>
      <c r="O639" s="25"/>
      <c r="P639" s="25"/>
      <c r="Q639" s="25"/>
      <c r="R639" s="25"/>
      <c r="S639" s="25"/>
      <c r="T639" s="25"/>
      <c r="U639" s="25"/>
      <c r="V639" s="25"/>
      <c r="W639" s="25"/>
      <c r="X639" s="25"/>
    </row>
    <row r="640" spans="1:24" ht="13">
      <c r="A640" s="25"/>
      <c r="B640" s="25"/>
      <c r="C640" s="25"/>
      <c r="D640" s="25" t="str">
        <f t="array" ref="D640">IF(OR(LEFT(C640,1)="(",COUNTA(C640)=0),"", INDEX(Honor!$B$2:$B998,MATCH(C640,Honor!$A$2:$A998,0)))</f>
        <v/>
      </c>
      <c r="E640" s="25" t="str">
        <f t="array" ref="E640">IF(OR(LEFT(C640,1)="(",COUNTA(C640)=0),"",INDEX(Honor!$O$2:$O998,MATCH(C640,Honor!$A$2:$A998,0)))</f>
        <v/>
      </c>
      <c r="F640" s="25"/>
      <c r="G640" s="25"/>
      <c r="H640" s="25"/>
      <c r="I640" s="25"/>
      <c r="J640" s="25"/>
      <c r="K640" s="25"/>
      <c r="L640" s="25"/>
      <c r="M640" s="25"/>
      <c r="N640" s="25"/>
      <c r="O640" s="25"/>
      <c r="P640" s="25"/>
      <c r="Q640" s="25"/>
      <c r="R640" s="25"/>
      <c r="S640" s="25"/>
      <c r="T640" s="25"/>
      <c r="U640" s="25"/>
      <c r="V640" s="25"/>
      <c r="W640" s="25"/>
      <c r="X640" s="25"/>
    </row>
    <row r="641" spans="1:24" ht="13">
      <c r="A641" s="25"/>
      <c r="B641" s="25"/>
      <c r="C641" s="25"/>
      <c r="D641" s="25" t="str">
        <f t="array" ref="D641">IF(OR(LEFT(C641,1)="(",COUNTA(C641)=0),"", INDEX(Honor!$B$2:$B998,MATCH(C641,Honor!$A$2:$A998,0)))</f>
        <v/>
      </c>
      <c r="E641" s="25" t="str">
        <f t="array" ref="E641">IF(OR(LEFT(C641,1)="(",COUNTA(C641)=0),"",INDEX(Honor!$O$2:$O998,MATCH(C641,Honor!$A$2:$A998,0)))</f>
        <v/>
      </c>
      <c r="F641" s="25"/>
      <c r="G641" s="25"/>
      <c r="H641" s="25"/>
      <c r="I641" s="25"/>
      <c r="J641" s="25"/>
      <c r="K641" s="25"/>
      <c r="L641" s="25"/>
      <c r="M641" s="25"/>
      <c r="N641" s="25"/>
      <c r="O641" s="25"/>
      <c r="P641" s="25"/>
      <c r="Q641" s="25"/>
      <c r="R641" s="25"/>
      <c r="S641" s="25"/>
      <c r="T641" s="25"/>
      <c r="U641" s="25"/>
      <c r="V641" s="25"/>
      <c r="W641" s="25"/>
      <c r="X641" s="25"/>
    </row>
    <row r="642" spans="1:24" ht="13">
      <c r="A642" s="25"/>
      <c r="B642" s="25"/>
      <c r="C642" s="25"/>
      <c r="D642" s="25" t="str">
        <f t="array" ref="D642">IF(OR(LEFT(C642,1)="(",COUNTA(C642)=0),"", INDEX(Honor!$B$2:$B998,MATCH(C642,Honor!$A$2:$A998,0)))</f>
        <v/>
      </c>
      <c r="E642" s="25" t="str">
        <f t="array" ref="E642">IF(OR(LEFT(C642,1)="(",COUNTA(C642)=0),"",INDEX(Honor!$O$2:$O998,MATCH(C642,Honor!$A$2:$A998,0)))</f>
        <v/>
      </c>
      <c r="F642" s="25"/>
      <c r="G642" s="25"/>
      <c r="H642" s="25"/>
      <c r="I642" s="25"/>
      <c r="J642" s="25"/>
      <c r="K642" s="25"/>
      <c r="L642" s="25"/>
      <c r="M642" s="25"/>
      <c r="N642" s="25"/>
      <c r="O642" s="25"/>
      <c r="P642" s="25"/>
      <c r="Q642" s="25"/>
      <c r="R642" s="25"/>
      <c r="S642" s="25"/>
      <c r="T642" s="25"/>
      <c r="U642" s="25"/>
      <c r="V642" s="25"/>
      <c r="W642" s="25"/>
      <c r="X642" s="25"/>
    </row>
    <row r="643" spans="1:24" ht="13">
      <c r="A643" s="25"/>
      <c r="B643" s="25"/>
      <c r="C643" s="25"/>
      <c r="D643" s="25" t="str">
        <f t="array" ref="D643">IF(OR(LEFT(C643,1)="(",COUNTA(C643)=0),"", INDEX(Honor!$B$2:$B998,MATCH(C643,Honor!$A$2:$A998,0)))</f>
        <v/>
      </c>
      <c r="E643" s="25" t="str">
        <f t="array" ref="E643">IF(OR(LEFT(C643,1)="(",COUNTA(C643)=0),"",INDEX(Honor!$O$2:$O998,MATCH(C643,Honor!$A$2:$A998,0)))</f>
        <v/>
      </c>
      <c r="F643" s="25"/>
      <c r="G643" s="25"/>
      <c r="H643" s="25"/>
      <c r="I643" s="25"/>
      <c r="J643" s="25"/>
      <c r="K643" s="25"/>
      <c r="L643" s="25"/>
      <c r="M643" s="25"/>
      <c r="N643" s="25"/>
      <c r="O643" s="25"/>
      <c r="P643" s="25"/>
      <c r="Q643" s="25"/>
      <c r="R643" s="25"/>
      <c r="S643" s="25"/>
      <c r="T643" s="25"/>
      <c r="U643" s="25"/>
      <c r="V643" s="25"/>
      <c r="W643" s="25"/>
      <c r="X643" s="25"/>
    </row>
    <row r="644" spans="1:24" ht="13">
      <c r="A644" s="25"/>
      <c r="B644" s="25"/>
      <c r="C644" s="25"/>
      <c r="D644" s="25" t="str">
        <f t="array" ref="D644">IF(OR(LEFT(C644,1)="(",COUNTA(C644)=0),"", INDEX(Honor!$B$2:$B998,MATCH(C644,Honor!$A$2:$A998,0)))</f>
        <v/>
      </c>
      <c r="E644" s="25" t="str">
        <f t="array" ref="E644">IF(OR(LEFT(C644,1)="(",COUNTA(C644)=0),"",INDEX(Honor!$O$2:$O998,MATCH(C644,Honor!$A$2:$A998,0)))</f>
        <v/>
      </c>
      <c r="F644" s="25"/>
      <c r="G644" s="25"/>
      <c r="H644" s="25"/>
      <c r="I644" s="25"/>
      <c r="J644" s="25"/>
      <c r="K644" s="25"/>
      <c r="L644" s="25"/>
      <c r="M644" s="25"/>
      <c r="N644" s="25"/>
      <c r="O644" s="25"/>
      <c r="P644" s="25"/>
      <c r="Q644" s="25"/>
      <c r="R644" s="25"/>
      <c r="S644" s="25"/>
      <c r="T644" s="25"/>
      <c r="U644" s="25"/>
      <c r="V644" s="25"/>
      <c r="W644" s="25"/>
      <c r="X644" s="25"/>
    </row>
    <row r="645" spans="1:24" ht="13">
      <c r="A645" s="25"/>
      <c r="B645" s="25"/>
      <c r="C645" s="25"/>
      <c r="D645" s="25" t="str">
        <f t="array" ref="D645">IF(OR(LEFT(C645,1)="(",COUNTA(C645)=0),"", INDEX(Honor!$B$2:$B998,MATCH(C645,Honor!$A$2:$A998,0)))</f>
        <v/>
      </c>
      <c r="E645" s="25" t="str">
        <f t="array" ref="E645">IF(OR(LEFT(C645,1)="(",COUNTA(C645)=0),"",INDEX(Honor!$O$2:$O998,MATCH(C645,Honor!$A$2:$A998,0)))</f>
        <v/>
      </c>
      <c r="F645" s="25"/>
      <c r="G645" s="25"/>
      <c r="H645" s="25"/>
      <c r="I645" s="25"/>
      <c r="J645" s="25"/>
      <c r="K645" s="25"/>
      <c r="L645" s="25"/>
      <c r="M645" s="25"/>
      <c r="N645" s="25"/>
      <c r="O645" s="25"/>
      <c r="P645" s="25"/>
      <c r="Q645" s="25"/>
      <c r="R645" s="25"/>
      <c r="S645" s="25"/>
      <c r="T645" s="25"/>
      <c r="U645" s="25"/>
      <c r="V645" s="25"/>
      <c r="W645" s="25"/>
      <c r="X645" s="25"/>
    </row>
    <row r="646" spans="1:24" ht="13">
      <c r="A646" s="25"/>
      <c r="B646" s="25"/>
      <c r="C646" s="25"/>
      <c r="D646" s="25" t="str">
        <f t="array" ref="D646">IF(OR(LEFT(C646,1)="(",COUNTA(C646)=0),"", INDEX(Honor!$B$2:$B998,MATCH(C646,Honor!$A$2:$A998,0)))</f>
        <v/>
      </c>
      <c r="E646" s="25" t="str">
        <f t="array" ref="E646">IF(OR(LEFT(C646,1)="(",COUNTA(C646)=0),"",INDEX(Honor!$O$2:$O998,MATCH(C646,Honor!$A$2:$A998,0)))</f>
        <v/>
      </c>
      <c r="F646" s="25"/>
      <c r="G646" s="25"/>
      <c r="H646" s="25"/>
      <c r="I646" s="25"/>
      <c r="J646" s="25"/>
      <c r="K646" s="25"/>
      <c r="L646" s="25"/>
      <c r="M646" s="25"/>
      <c r="N646" s="25"/>
      <c r="O646" s="25"/>
      <c r="P646" s="25"/>
      <c r="Q646" s="25"/>
      <c r="R646" s="25"/>
      <c r="S646" s="25"/>
      <c r="T646" s="25"/>
      <c r="U646" s="25"/>
      <c r="V646" s="25"/>
      <c r="W646" s="25"/>
      <c r="X646" s="25"/>
    </row>
    <row r="647" spans="1:24" ht="13">
      <c r="A647" s="25"/>
      <c r="B647" s="25"/>
      <c r="C647" s="25"/>
      <c r="D647" s="25" t="str">
        <f t="array" ref="D647">IF(OR(LEFT(C647,1)="(",COUNTA(C647)=0),"", INDEX(Honor!$B$2:$B998,MATCH(C647,Honor!$A$2:$A998,0)))</f>
        <v/>
      </c>
      <c r="E647" s="25" t="str">
        <f t="array" ref="E647">IF(OR(LEFT(C647,1)="(",COUNTA(C647)=0),"",INDEX(Honor!$O$2:$O998,MATCH(C647,Honor!$A$2:$A998,0)))</f>
        <v/>
      </c>
      <c r="F647" s="25"/>
      <c r="G647" s="25"/>
      <c r="H647" s="25"/>
      <c r="I647" s="25"/>
      <c r="J647" s="25"/>
      <c r="K647" s="25"/>
      <c r="L647" s="25"/>
      <c r="M647" s="25"/>
      <c r="N647" s="25"/>
      <c r="O647" s="25"/>
      <c r="P647" s="25"/>
      <c r="Q647" s="25"/>
      <c r="R647" s="25"/>
      <c r="S647" s="25"/>
      <c r="T647" s="25"/>
      <c r="U647" s="25"/>
      <c r="V647" s="25"/>
      <c r="W647" s="25"/>
      <c r="X647" s="25"/>
    </row>
    <row r="648" spans="1:24" ht="13">
      <c r="A648" s="25"/>
      <c r="B648" s="25"/>
      <c r="C648" s="25"/>
      <c r="D648" s="25" t="str">
        <f t="array" ref="D648">IF(OR(LEFT(C648,1)="(",COUNTA(C648)=0),"", INDEX(Honor!$B$2:$B998,MATCH(C648,Honor!$A$2:$A998,0)))</f>
        <v/>
      </c>
      <c r="E648" s="25" t="str">
        <f t="array" ref="E648">IF(OR(LEFT(C648,1)="(",COUNTA(C648)=0),"",INDEX(Honor!$O$2:$O998,MATCH(C648,Honor!$A$2:$A998,0)))</f>
        <v/>
      </c>
      <c r="F648" s="25"/>
      <c r="G648" s="25"/>
      <c r="H648" s="25"/>
      <c r="I648" s="25"/>
      <c r="J648" s="25"/>
      <c r="K648" s="25"/>
      <c r="L648" s="25"/>
      <c r="M648" s="25"/>
      <c r="N648" s="25"/>
      <c r="O648" s="25"/>
      <c r="P648" s="25"/>
      <c r="Q648" s="25"/>
      <c r="R648" s="25"/>
      <c r="S648" s="25"/>
      <c r="T648" s="25"/>
      <c r="U648" s="25"/>
      <c r="V648" s="25"/>
      <c r="W648" s="25"/>
      <c r="X648" s="25"/>
    </row>
    <row r="649" spans="1:24" ht="13">
      <c r="A649" s="25"/>
      <c r="B649" s="25"/>
      <c r="C649" s="25"/>
      <c r="D649" s="25" t="str">
        <f t="array" ref="D649">IF(OR(LEFT(C649,1)="(",COUNTA(C649)=0),"", INDEX(Honor!$B$2:$B998,MATCH(C649,Honor!$A$2:$A998,0)))</f>
        <v/>
      </c>
      <c r="E649" s="25" t="str">
        <f t="array" ref="E649">IF(OR(LEFT(C649,1)="(",COUNTA(C649)=0),"",INDEX(Honor!$O$2:$O998,MATCH(C649,Honor!$A$2:$A998,0)))</f>
        <v/>
      </c>
      <c r="F649" s="25"/>
      <c r="G649" s="25"/>
      <c r="H649" s="25"/>
      <c r="I649" s="25"/>
      <c r="J649" s="25"/>
      <c r="K649" s="25"/>
      <c r="L649" s="25"/>
      <c r="M649" s="25"/>
      <c r="N649" s="25"/>
      <c r="O649" s="25"/>
      <c r="P649" s="25"/>
      <c r="Q649" s="25"/>
      <c r="R649" s="25"/>
      <c r="S649" s="25"/>
      <c r="T649" s="25"/>
      <c r="U649" s="25"/>
      <c r="V649" s="25"/>
      <c r="W649" s="25"/>
      <c r="X649" s="25"/>
    </row>
    <row r="650" spans="1:24" ht="13">
      <c r="A650" s="25"/>
      <c r="B650" s="25"/>
      <c r="C650" s="25"/>
      <c r="D650" s="25" t="str">
        <f t="array" ref="D650">IF(OR(LEFT(C650,1)="(",COUNTA(C650)=0),"", INDEX(Honor!$B$2:$B998,MATCH(C650,Honor!$A$2:$A998,0)))</f>
        <v/>
      </c>
      <c r="E650" s="25" t="str">
        <f t="array" ref="E650">IF(OR(LEFT(C650,1)="(",COUNTA(C650)=0),"",INDEX(Honor!$O$2:$O998,MATCH(C650,Honor!$A$2:$A998,0)))</f>
        <v/>
      </c>
      <c r="F650" s="25"/>
      <c r="G650" s="25"/>
      <c r="H650" s="25"/>
      <c r="I650" s="25"/>
      <c r="J650" s="25"/>
      <c r="K650" s="25"/>
      <c r="L650" s="25"/>
      <c r="M650" s="25"/>
      <c r="N650" s="25"/>
      <c r="O650" s="25"/>
      <c r="P650" s="25"/>
      <c r="Q650" s="25"/>
      <c r="R650" s="25"/>
      <c r="S650" s="25"/>
      <c r="T650" s="25"/>
      <c r="U650" s="25"/>
      <c r="V650" s="25"/>
      <c r="W650" s="25"/>
      <c r="X650" s="25"/>
    </row>
    <row r="651" spans="1:24" ht="13">
      <c r="A651" s="25"/>
      <c r="B651" s="25"/>
      <c r="C651" s="25"/>
      <c r="D651" s="25" t="str">
        <f t="array" ref="D651">IF(OR(LEFT(C651,1)="(",COUNTA(C651)=0),"", INDEX(Honor!$B$2:$B998,MATCH(C651,Honor!$A$2:$A998,0)))</f>
        <v/>
      </c>
      <c r="E651" s="25" t="str">
        <f t="array" ref="E651">IF(OR(LEFT(C651,1)="(",COUNTA(C651)=0),"",INDEX(Honor!$O$2:$O998,MATCH(C651,Honor!$A$2:$A998,0)))</f>
        <v/>
      </c>
      <c r="F651" s="25"/>
      <c r="G651" s="25"/>
      <c r="H651" s="25"/>
      <c r="I651" s="25"/>
      <c r="J651" s="25"/>
      <c r="K651" s="25"/>
      <c r="L651" s="25"/>
      <c r="M651" s="25"/>
      <c r="N651" s="25"/>
      <c r="O651" s="25"/>
      <c r="P651" s="25"/>
      <c r="Q651" s="25"/>
      <c r="R651" s="25"/>
      <c r="S651" s="25"/>
      <c r="T651" s="25"/>
      <c r="U651" s="25"/>
      <c r="V651" s="25"/>
      <c r="W651" s="25"/>
      <c r="X651" s="25"/>
    </row>
    <row r="652" spans="1:24" ht="13">
      <c r="A652" s="25"/>
      <c r="B652" s="25"/>
      <c r="C652" s="25"/>
      <c r="D652" s="25" t="str">
        <f t="array" ref="D652">IF(OR(LEFT(C652,1)="(",COUNTA(C652)=0),"", INDEX(Honor!$B$2:$B998,MATCH(C652,Honor!$A$2:$A998,0)))</f>
        <v/>
      </c>
      <c r="E652" s="25" t="str">
        <f t="array" ref="E652">IF(OR(LEFT(C652,1)="(",COUNTA(C652)=0),"",INDEX(Honor!$O$2:$O998,MATCH(C652,Honor!$A$2:$A998,0)))</f>
        <v/>
      </c>
      <c r="F652" s="25"/>
      <c r="G652" s="25"/>
      <c r="H652" s="25"/>
      <c r="I652" s="25"/>
      <c r="J652" s="25"/>
      <c r="K652" s="25"/>
      <c r="L652" s="25"/>
      <c r="M652" s="25"/>
      <c r="N652" s="25"/>
      <c r="O652" s="25"/>
      <c r="P652" s="25"/>
      <c r="Q652" s="25"/>
      <c r="R652" s="25"/>
      <c r="S652" s="25"/>
      <c r="T652" s="25"/>
      <c r="U652" s="25"/>
      <c r="V652" s="25"/>
      <c r="W652" s="25"/>
      <c r="X652" s="25"/>
    </row>
    <row r="653" spans="1:24" ht="13">
      <c r="A653" s="25"/>
      <c r="B653" s="25"/>
      <c r="C653" s="25"/>
      <c r="D653" s="25" t="str">
        <f t="array" ref="D653">IF(OR(LEFT(C653,1)="(",COUNTA(C653)=0),"", INDEX(Honor!$B$2:$B998,MATCH(C653,Honor!$A$2:$A998,0)))</f>
        <v/>
      </c>
      <c r="E653" s="25" t="str">
        <f t="array" ref="E653">IF(OR(LEFT(C653,1)="(",COUNTA(C653)=0),"",INDEX(Honor!$O$2:$O998,MATCH(C653,Honor!$A$2:$A998,0)))</f>
        <v/>
      </c>
      <c r="F653" s="25"/>
      <c r="G653" s="25"/>
      <c r="H653" s="25"/>
      <c r="I653" s="25"/>
      <c r="J653" s="25"/>
      <c r="K653" s="25"/>
      <c r="L653" s="25"/>
      <c r="M653" s="25"/>
      <c r="N653" s="25"/>
      <c r="O653" s="25"/>
      <c r="P653" s="25"/>
      <c r="Q653" s="25"/>
      <c r="R653" s="25"/>
      <c r="S653" s="25"/>
      <c r="T653" s="25"/>
      <c r="U653" s="25"/>
      <c r="V653" s="25"/>
      <c r="W653" s="25"/>
      <c r="X653" s="25"/>
    </row>
    <row r="654" spans="1:24" ht="13">
      <c r="A654" s="25"/>
      <c r="B654" s="25"/>
      <c r="C654" s="25"/>
      <c r="D654" s="25" t="str">
        <f t="array" ref="D654">IF(OR(LEFT(C654,1)="(",COUNTA(C654)=0),"", INDEX(Honor!$B$2:$B998,MATCH(C654,Honor!$A$2:$A998,0)))</f>
        <v/>
      </c>
      <c r="E654" s="25" t="str">
        <f t="array" ref="E654">IF(OR(LEFT(C654,1)="(",COUNTA(C654)=0),"",INDEX(Honor!$O$2:$O998,MATCH(C654,Honor!$A$2:$A998,0)))</f>
        <v/>
      </c>
      <c r="F654" s="25"/>
      <c r="G654" s="25"/>
      <c r="H654" s="25"/>
      <c r="I654" s="25"/>
      <c r="J654" s="25"/>
      <c r="K654" s="25"/>
      <c r="L654" s="25"/>
      <c r="M654" s="25"/>
      <c r="N654" s="25"/>
      <c r="O654" s="25"/>
      <c r="P654" s="25"/>
      <c r="Q654" s="25"/>
      <c r="R654" s="25"/>
      <c r="S654" s="25"/>
      <c r="T654" s="25"/>
      <c r="U654" s="25"/>
      <c r="V654" s="25"/>
      <c r="W654" s="25"/>
      <c r="X654" s="25"/>
    </row>
    <row r="655" spans="1:24" ht="13">
      <c r="A655" s="25"/>
      <c r="B655" s="25"/>
      <c r="C655" s="25"/>
      <c r="D655" s="25" t="str">
        <f t="array" ref="D655">IF(OR(LEFT(C655,1)="(",COUNTA(C655)=0),"", INDEX(Honor!$B$2:$B998,MATCH(C655,Honor!$A$2:$A998,0)))</f>
        <v/>
      </c>
      <c r="E655" s="25" t="str">
        <f t="array" ref="E655">IF(OR(LEFT(C655,1)="(",COUNTA(C655)=0),"",INDEX(Honor!$O$2:$O998,MATCH(C655,Honor!$A$2:$A998,0)))</f>
        <v/>
      </c>
      <c r="F655" s="25"/>
      <c r="G655" s="25"/>
      <c r="H655" s="25"/>
      <c r="I655" s="25"/>
      <c r="J655" s="25"/>
      <c r="K655" s="25"/>
      <c r="L655" s="25"/>
      <c r="M655" s="25"/>
      <c r="N655" s="25"/>
      <c r="O655" s="25"/>
      <c r="P655" s="25"/>
      <c r="Q655" s="25"/>
      <c r="R655" s="25"/>
      <c r="S655" s="25"/>
      <c r="T655" s="25"/>
      <c r="U655" s="25"/>
      <c r="V655" s="25"/>
      <c r="W655" s="25"/>
      <c r="X655" s="25"/>
    </row>
    <row r="656" spans="1:24" ht="13">
      <c r="A656" s="25"/>
      <c r="B656" s="25"/>
      <c r="C656" s="25"/>
      <c r="D656" s="25" t="str">
        <f t="array" ref="D656">IF(OR(LEFT(C656,1)="(",COUNTA(C656)=0),"", INDEX(Honor!$B$2:$B998,MATCH(C656,Honor!$A$2:$A998,0)))</f>
        <v/>
      </c>
      <c r="E656" s="25" t="str">
        <f t="array" ref="E656">IF(OR(LEFT(C656,1)="(",COUNTA(C656)=0),"",INDEX(Honor!$O$2:$O998,MATCH(C656,Honor!$A$2:$A998,0)))</f>
        <v/>
      </c>
      <c r="F656" s="25"/>
      <c r="G656" s="25"/>
      <c r="H656" s="25"/>
      <c r="I656" s="25"/>
      <c r="J656" s="25"/>
      <c r="K656" s="25"/>
      <c r="L656" s="25"/>
      <c r="M656" s="25"/>
      <c r="N656" s="25"/>
      <c r="O656" s="25"/>
      <c r="P656" s="25"/>
      <c r="Q656" s="25"/>
      <c r="R656" s="25"/>
      <c r="S656" s="25"/>
      <c r="T656" s="25"/>
      <c r="U656" s="25"/>
      <c r="V656" s="25"/>
      <c r="W656" s="25"/>
      <c r="X656" s="25"/>
    </row>
    <row r="657" spans="1:24" ht="13">
      <c r="A657" s="25"/>
      <c r="B657" s="25"/>
      <c r="C657" s="25"/>
      <c r="D657" s="25" t="str">
        <f t="array" ref="D657">IF(OR(LEFT(C657,1)="(",COUNTA(C657)=0),"", INDEX(Honor!$B$2:$B998,MATCH(C657,Honor!$A$2:$A998,0)))</f>
        <v/>
      </c>
      <c r="E657" s="25" t="str">
        <f t="array" ref="E657">IF(OR(LEFT(C657,1)="(",COUNTA(C657)=0),"",INDEX(Honor!$O$2:$O998,MATCH(C657,Honor!$A$2:$A998,0)))</f>
        <v/>
      </c>
      <c r="F657" s="25"/>
      <c r="G657" s="25"/>
      <c r="H657" s="25"/>
      <c r="I657" s="25"/>
      <c r="J657" s="25"/>
      <c r="K657" s="25"/>
      <c r="L657" s="25"/>
      <c r="M657" s="25"/>
      <c r="N657" s="25"/>
      <c r="O657" s="25"/>
      <c r="P657" s="25"/>
      <c r="Q657" s="25"/>
      <c r="R657" s="25"/>
      <c r="S657" s="25"/>
      <c r="T657" s="25"/>
      <c r="U657" s="25"/>
      <c r="V657" s="25"/>
      <c r="W657" s="25"/>
      <c r="X657" s="25"/>
    </row>
    <row r="658" spans="1:24" ht="13">
      <c r="A658" s="25"/>
      <c r="B658" s="25"/>
      <c r="C658" s="25"/>
      <c r="D658" s="25" t="str">
        <f t="array" ref="D658">IF(OR(LEFT(C658,1)="(",COUNTA(C658)=0),"", INDEX(Honor!$B$2:$B998,MATCH(C658,Honor!$A$2:$A998,0)))</f>
        <v/>
      </c>
      <c r="E658" s="25" t="str">
        <f t="array" ref="E658">IF(OR(LEFT(C658,1)="(",COUNTA(C658)=0),"",INDEX(Honor!$O$2:$O998,MATCH(C658,Honor!$A$2:$A998,0)))</f>
        <v/>
      </c>
      <c r="F658" s="25"/>
      <c r="G658" s="25"/>
      <c r="H658" s="25"/>
      <c r="I658" s="25"/>
      <c r="J658" s="25"/>
      <c r="K658" s="25"/>
      <c r="L658" s="25"/>
      <c r="M658" s="25"/>
      <c r="N658" s="25"/>
      <c r="O658" s="25"/>
      <c r="P658" s="25"/>
      <c r="Q658" s="25"/>
      <c r="R658" s="25"/>
      <c r="S658" s="25"/>
      <c r="T658" s="25"/>
      <c r="U658" s="25"/>
      <c r="V658" s="25"/>
      <c r="W658" s="25"/>
      <c r="X658" s="25"/>
    </row>
    <row r="659" spans="1:24" ht="13">
      <c r="A659" s="25"/>
      <c r="B659" s="25"/>
      <c r="C659" s="25"/>
      <c r="D659" s="25" t="str">
        <f t="array" ref="D659">IF(OR(LEFT(C659,1)="(",COUNTA(C659)=0),"", INDEX(Honor!$B$2:$B998,MATCH(C659,Honor!$A$2:$A998,0)))</f>
        <v/>
      </c>
      <c r="E659" s="25" t="str">
        <f t="array" ref="E659">IF(OR(LEFT(C659,1)="(",COUNTA(C659)=0),"",INDEX(Honor!$O$2:$O998,MATCH(C659,Honor!$A$2:$A998,0)))</f>
        <v/>
      </c>
      <c r="F659" s="25"/>
      <c r="G659" s="25"/>
      <c r="H659" s="25"/>
      <c r="I659" s="25"/>
      <c r="J659" s="25"/>
      <c r="K659" s="25"/>
      <c r="L659" s="25"/>
      <c r="M659" s="25"/>
      <c r="N659" s="25"/>
      <c r="O659" s="25"/>
      <c r="P659" s="25"/>
      <c r="Q659" s="25"/>
      <c r="R659" s="25"/>
      <c r="S659" s="25"/>
      <c r="T659" s="25"/>
      <c r="U659" s="25"/>
      <c r="V659" s="25"/>
      <c r="W659" s="25"/>
      <c r="X659" s="25"/>
    </row>
    <row r="660" spans="1:24" ht="13">
      <c r="A660" s="25"/>
      <c r="B660" s="25"/>
      <c r="C660" s="25"/>
      <c r="D660" s="25" t="str">
        <f t="array" ref="D660">IF(OR(LEFT(C660,1)="(",COUNTA(C660)=0),"", INDEX(Honor!$B$2:$B998,MATCH(C660,Honor!$A$2:$A998,0)))</f>
        <v/>
      </c>
      <c r="E660" s="25" t="str">
        <f t="array" ref="E660">IF(OR(LEFT(C660,1)="(",COUNTA(C660)=0),"",INDEX(Honor!$O$2:$O998,MATCH(C660,Honor!$A$2:$A998,0)))</f>
        <v/>
      </c>
      <c r="F660" s="25"/>
      <c r="G660" s="25"/>
      <c r="H660" s="25"/>
      <c r="I660" s="25"/>
      <c r="J660" s="25"/>
      <c r="K660" s="25"/>
      <c r="L660" s="25"/>
      <c r="M660" s="25"/>
      <c r="N660" s="25"/>
      <c r="O660" s="25"/>
      <c r="P660" s="25"/>
      <c r="Q660" s="25"/>
      <c r="R660" s="25"/>
      <c r="S660" s="25"/>
      <c r="T660" s="25"/>
      <c r="U660" s="25"/>
      <c r="V660" s="25"/>
      <c r="W660" s="25"/>
      <c r="X660" s="25"/>
    </row>
    <row r="661" spans="1:24" ht="13">
      <c r="A661" s="25"/>
      <c r="B661" s="25"/>
      <c r="C661" s="25"/>
      <c r="D661" s="25" t="str">
        <f t="array" ref="D661">IF(OR(LEFT(C661,1)="(",COUNTA(C661)=0),"", INDEX(Honor!$B$2:$B998,MATCH(C661,Honor!$A$2:$A998,0)))</f>
        <v/>
      </c>
      <c r="E661" s="25" t="str">
        <f t="array" ref="E661">IF(OR(LEFT(C661,1)="(",COUNTA(C661)=0),"",INDEX(Honor!$O$2:$O998,MATCH(C661,Honor!$A$2:$A998,0)))</f>
        <v/>
      </c>
      <c r="F661" s="25"/>
      <c r="G661" s="25"/>
      <c r="H661" s="25"/>
      <c r="I661" s="25"/>
      <c r="J661" s="25"/>
      <c r="K661" s="25"/>
      <c r="L661" s="25"/>
      <c r="M661" s="25"/>
      <c r="N661" s="25"/>
      <c r="O661" s="25"/>
      <c r="P661" s="25"/>
      <c r="Q661" s="25"/>
      <c r="R661" s="25"/>
      <c r="S661" s="25"/>
      <c r="T661" s="25"/>
      <c r="U661" s="25"/>
      <c r="V661" s="25"/>
      <c r="W661" s="25"/>
      <c r="X661" s="25"/>
    </row>
    <row r="662" spans="1:24" ht="13">
      <c r="A662" s="25"/>
      <c r="B662" s="25"/>
      <c r="C662" s="25"/>
      <c r="D662" s="25" t="str">
        <f t="array" ref="D662">IF(OR(LEFT(C662,1)="(",COUNTA(C662)=0),"", INDEX(Honor!$B$2:$B998,MATCH(C662,Honor!$A$2:$A998,0)))</f>
        <v/>
      </c>
      <c r="E662" s="25" t="str">
        <f t="array" ref="E662">IF(OR(LEFT(C662,1)="(",COUNTA(C662)=0),"",INDEX(Honor!$O$2:$O998,MATCH(C662,Honor!$A$2:$A998,0)))</f>
        <v/>
      </c>
      <c r="F662" s="25"/>
      <c r="G662" s="25"/>
      <c r="H662" s="25"/>
      <c r="I662" s="25"/>
      <c r="J662" s="25"/>
      <c r="K662" s="25"/>
      <c r="L662" s="25"/>
      <c r="M662" s="25"/>
      <c r="N662" s="25"/>
      <c r="O662" s="25"/>
      <c r="P662" s="25"/>
      <c r="Q662" s="25"/>
      <c r="R662" s="25"/>
      <c r="S662" s="25"/>
      <c r="T662" s="25"/>
      <c r="U662" s="25"/>
      <c r="V662" s="25"/>
      <c r="W662" s="25"/>
      <c r="X662" s="25"/>
    </row>
    <row r="663" spans="1:24" ht="13">
      <c r="A663" s="25"/>
      <c r="B663" s="25"/>
      <c r="C663" s="25"/>
      <c r="D663" s="25" t="str">
        <f t="array" ref="D663">IF(OR(LEFT(C663,1)="(",COUNTA(C663)=0),"", INDEX(Honor!$B$2:$B998,MATCH(C663,Honor!$A$2:$A998,0)))</f>
        <v/>
      </c>
      <c r="E663" s="25" t="str">
        <f t="array" ref="E663">IF(OR(LEFT(C663,1)="(",COUNTA(C663)=0),"",INDEX(Honor!$O$2:$O998,MATCH(C663,Honor!$A$2:$A998,0)))</f>
        <v/>
      </c>
      <c r="F663" s="25"/>
      <c r="G663" s="25"/>
      <c r="H663" s="25"/>
      <c r="I663" s="25"/>
      <c r="J663" s="25"/>
      <c r="K663" s="25"/>
      <c r="L663" s="25"/>
      <c r="M663" s="25"/>
      <c r="N663" s="25"/>
      <c r="O663" s="25"/>
      <c r="P663" s="25"/>
      <c r="Q663" s="25"/>
      <c r="R663" s="25"/>
      <c r="S663" s="25"/>
      <c r="T663" s="25"/>
      <c r="U663" s="25"/>
      <c r="V663" s="25"/>
      <c r="W663" s="25"/>
      <c r="X663" s="25"/>
    </row>
    <row r="664" spans="1:24" ht="13">
      <c r="A664" s="25"/>
      <c r="B664" s="25"/>
      <c r="C664" s="25"/>
      <c r="D664" s="25" t="str">
        <f t="array" ref="D664">IF(OR(LEFT(C664,1)="(",COUNTA(C664)=0),"", INDEX(Honor!$B$2:$B998,MATCH(C664,Honor!$A$2:$A998,0)))</f>
        <v/>
      </c>
      <c r="E664" s="25" t="str">
        <f t="array" ref="E664">IF(OR(LEFT(C664,1)="(",COUNTA(C664)=0),"",INDEX(Honor!$O$2:$O998,MATCH(C664,Honor!$A$2:$A998,0)))</f>
        <v/>
      </c>
      <c r="F664" s="25"/>
      <c r="G664" s="25"/>
      <c r="H664" s="25"/>
      <c r="I664" s="25"/>
      <c r="J664" s="25"/>
      <c r="K664" s="25"/>
      <c r="L664" s="25"/>
      <c r="M664" s="25"/>
      <c r="N664" s="25"/>
      <c r="O664" s="25"/>
      <c r="P664" s="25"/>
      <c r="Q664" s="25"/>
      <c r="R664" s="25"/>
      <c r="S664" s="25"/>
      <c r="T664" s="25"/>
      <c r="U664" s="25"/>
      <c r="V664" s="25"/>
      <c r="W664" s="25"/>
      <c r="X664" s="25"/>
    </row>
    <row r="665" spans="1:24" ht="13">
      <c r="A665" s="25"/>
      <c r="B665" s="25"/>
      <c r="C665" s="25"/>
      <c r="D665" s="25" t="str">
        <f t="array" ref="D665">IF(OR(LEFT(C665,1)="(",COUNTA(C665)=0),"", INDEX(Honor!$B$2:$B998,MATCH(C665,Honor!$A$2:$A998,0)))</f>
        <v/>
      </c>
      <c r="E665" s="25" t="str">
        <f t="array" ref="E665">IF(OR(LEFT(C665,1)="(",COUNTA(C665)=0),"",INDEX(Honor!$O$2:$O998,MATCH(C665,Honor!$A$2:$A998,0)))</f>
        <v/>
      </c>
      <c r="F665" s="25"/>
      <c r="G665" s="25"/>
      <c r="H665" s="25"/>
      <c r="I665" s="25"/>
      <c r="J665" s="25"/>
      <c r="K665" s="25"/>
      <c r="L665" s="25"/>
      <c r="M665" s="25"/>
      <c r="N665" s="25"/>
      <c r="O665" s="25"/>
      <c r="P665" s="25"/>
      <c r="Q665" s="25"/>
      <c r="R665" s="25"/>
      <c r="S665" s="25"/>
      <c r="T665" s="25"/>
      <c r="U665" s="25"/>
      <c r="V665" s="25"/>
      <c r="W665" s="25"/>
      <c r="X665" s="25"/>
    </row>
    <row r="666" spans="1:24" ht="13">
      <c r="A666" s="25"/>
      <c r="B666" s="25"/>
      <c r="C666" s="25"/>
      <c r="D666" s="25" t="str">
        <f t="array" ref="D666">IF(OR(LEFT(C666,1)="(",COUNTA(C666)=0),"", INDEX(Honor!$B$2:$B998,MATCH(C666,Honor!$A$2:$A998,0)))</f>
        <v/>
      </c>
      <c r="E666" s="25" t="str">
        <f t="array" ref="E666">IF(OR(LEFT(C666,1)="(",COUNTA(C666)=0),"",INDEX(Honor!$O$2:$O998,MATCH(C666,Honor!$A$2:$A998,0)))</f>
        <v/>
      </c>
      <c r="F666" s="25"/>
      <c r="G666" s="25"/>
      <c r="H666" s="25"/>
      <c r="I666" s="25"/>
      <c r="J666" s="25"/>
      <c r="K666" s="25"/>
      <c r="L666" s="25"/>
      <c r="M666" s="25"/>
      <c r="N666" s="25"/>
      <c r="O666" s="25"/>
      <c r="P666" s="25"/>
      <c r="Q666" s="25"/>
      <c r="R666" s="25"/>
      <c r="S666" s="25"/>
      <c r="T666" s="25"/>
      <c r="U666" s="25"/>
      <c r="V666" s="25"/>
      <c r="W666" s="25"/>
      <c r="X666" s="25"/>
    </row>
    <row r="667" spans="1:24" ht="13">
      <c r="A667" s="25"/>
      <c r="B667" s="25"/>
      <c r="C667" s="25"/>
      <c r="D667" s="25" t="str">
        <f t="array" ref="D667">IF(OR(LEFT(C667,1)="(",COUNTA(C667)=0),"", INDEX(Honor!$B$2:$B998,MATCH(C667,Honor!$A$2:$A998,0)))</f>
        <v/>
      </c>
      <c r="E667" s="25" t="str">
        <f t="array" ref="E667">IF(OR(LEFT(C667,1)="(",COUNTA(C667)=0),"",INDEX(Honor!$O$2:$O998,MATCH(C667,Honor!$A$2:$A998,0)))</f>
        <v/>
      </c>
      <c r="F667" s="25"/>
      <c r="G667" s="25"/>
      <c r="H667" s="25"/>
      <c r="I667" s="25"/>
      <c r="J667" s="25"/>
      <c r="K667" s="25"/>
      <c r="L667" s="25"/>
      <c r="M667" s="25"/>
      <c r="N667" s="25"/>
      <c r="O667" s="25"/>
      <c r="P667" s="25"/>
      <c r="Q667" s="25"/>
      <c r="R667" s="25"/>
      <c r="S667" s="25"/>
      <c r="T667" s="25"/>
      <c r="U667" s="25"/>
      <c r="V667" s="25"/>
      <c r="W667" s="25"/>
      <c r="X667" s="25"/>
    </row>
    <row r="668" spans="1:24" ht="13">
      <c r="A668" s="25"/>
      <c r="B668" s="25"/>
      <c r="C668" s="25"/>
      <c r="D668" s="25" t="str">
        <f t="array" ref="D668">IF(OR(LEFT(C668,1)="(",COUNTA(C668)=0),"", INDEX(Honor!$B$2:$B998,MATCH(C668,Honor!$A$2:$A998,0)))</f>
        <v/>
      </c>
      <c r="E668" s="25" t="str">
        <f t="array" ref="E668">IF(OR(LEFT(C668,1)="(",COUNTA(C668)=0),"",INDEX(Honor!$O$2:$O998,MATCH(C668,Honor!$A$2:$A998,0)))</f>
        <v/>
      </c>
      <c r="F668" s="25"/>
      <c r="G668" s="25"/>
      <c r="H668" s="25"/>
      <c r="I668" s="25"/>
      <c r="J668" s="25"/>
      <c r="K668" s="25"/>
      <c r="L668" s="25"/>
      <c r="M668" s="25"/>
      <c r="N668" s="25"/>
      <c r="O668" s="25"/>
      <c r="P668" s="25"/>
      <c r="Q668" s="25"/>
      <c r="R668" s="25"/>
      <c r="S668" s="25"/>
      <c r="T668" s="25"/>
      <c r="U668" s="25"/>
      <c r="V668" s="25"/>
      <c r="W668" s="25"/>
      <c r="X668" s="25"/>
    </row>
    <row r="669" spans="1:24" ht="13">
      <c r="A669" s="25"/>
      <c r="B669" s="25"/>
      <c r="C669" s="25"/>
      <c r="D669" s="25" t="str">
        <f t="array" ref="D669">IF(OR(LEFT(C669,1)="(",COUNTA(C669)=0),"", INDEX(Honor!$B$2:$B998,MATCH(C669,Honor!$A$2:$A998,0)))</f>
        <v/>
      </c>
      <c r="E669" s="25" t="str">
        <f t="array" ref="E669">IF(OR(LEFT(C669,1)="(",COUNTA(C669)=0),"",INDEX(Honor!$O$2:$O998,MATCH(C669,Honor!$A$2:$A998,0)))</f>
        <v/>
      </c>
      <c r="F669" s="25"/>
      <c r="G669" s="25"/>
      <c r="H669" s="25"/>
      <c r="I669" s="25"/>
      <c r="J669" s="25"/>
      <c r="K669" s="25"/>
      <c r="L669" s="25"/>
      <c r="M669" s="25"/>
      <c r="N669" s="25"/>
      <c r="O669" s="25"/>
      <c r="P669" s="25"/>
      <c r="Q669" s="25"/>
      <c r="R669" s="25"/>
      <c r="S669" s="25"/>
      <c r="T669" s="25"/>
      <c r="U669" s="25"/>
      <c r="V669" s="25"/>
      <c r="W669" s="25"/>
      <c r="X669" s="25"/>
    </row>
    <row r="670" spans="1:24" ht="13">
      <c r="A670" s="25"/>
      <c r="B670" s="25"/>
      <c r="C670" s="25"/>
      <c r="D670" s="25" t="str">
        <f t="array" ref="D670">IF(OR(LEFT(C670,1)="(",COUNTA(C670)=0),"", INDEX(Honor!$B$2:$B998,MATCH(C670,Honor!$A$2:$A998,0)))</f>
        <v/>
      </c>
      <c r="E670" s="25" t="str">
        <f t="array" ref="E670">IF(OR(LEFT(C670,1)="(",COUNTA(C670)=0),"",INDEX(Honor!$O$2:$O998,MATCH(C670,Honor!$A$2:$A998,0)))</f>
        <v/>
      </c>
      <c r="F670" s="25"/>
      <c r="G670" s="25"/>
      <c r="H670" s="25"/>
      <c r="I670" s="25"/>
      <c r="J670" s="25"/>
      <c r="K670" s="25"/>
      <c r="L670" s="25"/>
      <c r="M670" s="25"/>
      <c r="N670" s="25"/>
      <c r="O670" s="25"/>
      <c r="P670" s="25"/>
      <c r="Q670" s="25"/>
      <c r="R670" s="25"/>
      <c r="S670" s="25"/>
      <c r="T670" s="25"/>
      <c r="U670" s="25"/>
      <c r="V670" s="25"/>
      <c r="W670" s="25"/>
      <c r="X670" s="25"/>
    </row>
    <row r="671" spans="1:24" ht="13">
      <c r="A671" s="25"/>
      <c r="B671" s="25"/>
      <c r="C671" s="25"/>
      <c r="D671" s="25" t="str">
        <f t="array" ref="D671">IF(OR(LEFT(C671,1)="(",COUNTA(C671)=0),"", INDEX(Honor!$B$2:$B998,MATCH(C671,Honor!$A$2:$A998,0)))</f>
        <v/>
      </c>
      <c r="E671" s="25" t="str">
        <f t="array" ref="E671">IF(OR(LEFT(C671,1)="(",COUNTA(C671)=0),"",INDEX(Honor!$O$2:$O998,MATCH(C671,Honor!$A$2:$A998,0)))</f>
        <v/>
      </c>
      <c r="F671" s="25"/>
      <c r="G671" s="25"/>
      <c r="H671" s="25"/>
      <c r="I671" s="25"/>
      <c r="J671" s="25"/>
      <c r="K671" s="25"/>
      <c r="L671" s="25"/>
      <c r="M671" s="25"/>
      <c r="N671" s="25"/>
      <c r="O671" s="25"/>
      <c r="P671" s="25"/>
      <c r="Q671" s="25"/>
      <c r="R671" s="25"/>
      <c r="S671" s="25"/>
      <c r="T671" s="25"/>
      <c r="U671" s="25"/>
      <c r="V671" s="25"/>
      <c r="W671" s="25"/>
      <c r="X671" s="25"/>
    </row>
    <row r="672" spans="1:24" ht="13">
      <c r="A672" s="25"/>
      <c r="B672" s="25"/>
      <c r="C672" s="25"/>
      <c r="D672" s="25" t="str">
        <f t="array" ref="D672">IF(OR(LEFT(C672,1)="(",COUNTA(C672)=0),"", INDEX(Honor!$B$2:$B998,MATCH(C672,Honor!$A$2:$A998,0)))</f>
        <v/>
      </c>
      <c r="E672" s="25" t="str">
        <f t="array" ref="E672">IF(OR(LEFT(C672,1)="(",COUNTA(C672)=0),"",INDEX(Honor!$O$2:$O998,MATCH(C672,Honor!$A$2:$A998,0)))</f>
        <v/>
      </c>
      <c r="F672" s="25"/>
      <c r="G672" s="25"/>
      <c r="H672" s="25"/>
      <c r="I672" s="25"/>
      <c r="J672" s="25"/>
      <c r="K672" s="25"/>
      <c r="L672" s="25"/>
      <c r="M672" s="25"/>
      <c r="N672" s="25"/>
      <c r="O672" s="25"/>
      <c r="P672" s="25"/>
      <c r="Q672" s="25"/>
      <c r="R672" s="25"/>
      <c r="S672" s="25"/>
      <c r="T672" s="25"/>
      <c r="U672" s="25"/>
      <c r="V672" s="25"/>
      <c r="W672" s="25"/>
      <c r="X672" s="25"/>
    </row>
    <row r="673" spans="1:24" ht="13">
      <c r="A673" s="25"/>
      <c r="B673" s="25"/>
      <c r="C673" s="25"/>
      <c r="D673" s="25" t="str">
        <f t="array" ref="D673">IF(OR(LEFT(C673,1)="(",COUNTA(C673)=0),"", INDEX(Honor!$B$2:$B998,MATCH(C673,Honor!$A$2:$A998,0)))</f>
        <v/>
      </c>
      <c r="E673" s="25" t="str">
        <f t="array" ref="E673">IF(OR(LEFT(C673,1)="(",COUNTA(C673)=0),"",INDEX(Honor!$O$2:$O998,MATCH(C673,Honor!$A$2:$A998,0)))</f>
        <v/>
      </c>
      <c r="F673" s="25"/>
      <c r="G673" s="25"/>
      <c r="H673" s="25"/>
      <c r="I673" s="25"/>
      <c r="J673" s="25"/>
      <c r="K673" s="25"/>
      <c r="L673" s="25"/>
      <c r="M673" s="25"/>
      <c r="N673" s="25"/>
      <c r="O673" s="25"/>
      <c r="P673" s="25"/>
      <c r="Q673" s="25"/>
      <c r="R673" s="25"/>
      <c r="S673" s="25"/>
      <c r="T673" s="25"/>
      <c r="U673" s="25"/>
      <c r="V673" s="25"/>
      <c r="W673" s="25"/>
      <c r="X673" s="25"/>
    </row>
    <row r="674" spans="1:24" ht="13">
      <c r="A674" s="25"/>
      <c r="B674" s="25"/>
      <c r="C674" s="25"/>
      <c r="D674" s="25" t="str">
        <f t="array" ref="D674">IF(OR(LEFT(C674,1)="(",COUNTA(C674)=0),"", INDEX(Honor!$B$2:$B998,MATCH(C674,Honor!$A$2:$A998,0)))</f>
        <v/>
      </c>
      <c r="E674" s="25" t="str">
        <f t="array" ref="E674">IF(OR(LEFT(C674,1)="(",COUNTA(C674)=0),"",INDEX(Honor!$O$2:$O998,MATCH(C674,Honor!$A$2:$A998,0)))</f>
        <v/>
      </c>
      <c r="F674" s="25"/>
      <c r="G674" s="25"/>
      <c r="H674" s="25"/>
      <c r="I674" s="25"/>
      <c r="J674" s="25"/>
      <c r="K674" s="25"/>
      <c r="L674" s="25"/>
      <c r="M674" s="25"/>
      <c r="N674" s="25"/>
      <c r="O674" s="25"/>
      <c r="P674" s="25"/>
      <c r="Q674" s="25"/>
      <c r="R674" s="25"/>
      <c r="S674" s="25"/>
      <c r="T674" s="25"/>
      <c r="U674" s="25"/>
      <c r="V674" s="25"/>
      <c r="W674" s="25"/>
      <c r="X674" s="25"/>
    </row>
    <row r="675" spans="1:24" ht="13">
      <c r="A675" s="25"/>
      <c r="B675" s="25"/>
      <c r="C675" s="25"/>
      <c r="D675" s="25" t="str">
        <f t="array" ref="D675">IF(OR(LEFT(C675,1)="(",COUNTA(C675)=0),"", INDEX(Honor!$B$2:$B998,MATCH(C675,Honor!$A$2:$A998,0)))</f>
        <v/>
      </c>
      <c r="E675" s="25" t="str">
        <f t="array" ref="E675">IF(OR(LEFT(C675,1)="(",COUNTA(C675)=0),"",INDEX(Honor!$O$2:$O998,MATCH(C675,Honor!$A$2:$A998,0)))</f>
        <v/>
      </c>
      <c r="F675" s="25"/>
      <c r="G675" s="25"/>
      <c r="H675" s="25"/>
      <c r="I675" s="25"/>
      <c r="J675" s="25"/>
      <c r="K675" s="25"/>
      <c r="L675" s="25"/>
      <c r="M675" s="25"/>
      <c r="N675" s="25"/>
      <c r="O675" s="25"/>
      <c r="P675" s="25"/>
      <c r="Q675" s="25"/>
      <c r="R675" s="25"/>
      <c r="S675" s="25"/>
      <c r="T675" s="25"/>
      <c r="U675" s="25"/>
      <c r="V675" s="25"/>
      <c r="W675" s="25"/>
      <c r="X675" s="25"/>
    </row>
    <row r="676" spans="1:24" ht="13">
      <c r="A676" s="25"/>
      <c r="B676" s="25"/>
      <c r="C676" s="25"/>
      <c r="D676" s="25" t="str">
        <f t="array" ref="D676">IF(OR(LEFT(C676,1)="(",COUNTA(C676)=0),"", INDEX(Honor!$B$2:$B998,MATCH(C676,Honor!$A$2:$A998,0)))</f>
        <v/>
      </c>
      <c r="E676" s="25" t="str">
        <f t="array" ref="E676">IF(OR(LEFT(C676,1)="(",COUNTA(C676)=0),"",INDEX(Honor!$O$2:$O998,MATCH(C676,Honor!$A$2:$A998,0)))</f>
        <v/>
      </c>
      <c r="F676" s="25"/>
      <c r="G676" s="25"/>
      <c r="H676" s="25"/>
      <c r="I676" s="25"/>
      <c r="J676" s="25"/>
      <c r="K676" s="25"/>
      <c r="L676" s="25"/>
      <c r="M676" s="25"/>
      <c r="N676" s="25"/>
      <c r="O676" s="25"/>
      <c r="P676" s="25"/>
      <c r="Q676" s="25"/>
      <c r="R676" s="25"/>
      <c r="S676" s="25"/>
      <c r="T676" s="25"/>
      <c r="U676" s="25"/>
      <c r="V676" s="25"/>
      <c r="W676" s="25"/>
      <c r="X676" s="25"/>
    </row>
    <row r="677" spans="1:24" ht="13">
      <c r="A677" s="25"/>
      <c r="B677" s="25"/>
      <c r="C677" s="25"/>
      <c r="D677" s="25" t="str">
        <f t="array" ref="D677">IF(OR(LEFT(C677,1)="(",COUNTA(C677)=0),"", INDEX(Honor!$B$2:$B998,MATCH(C677,Honor!$A$2:$A998,0)))</f>
        <v/>
      </c>
      <c r="E677" s="25" t="str">
        <f t="array" ref="E677">IF(OR(LEFT(C677,1)="(",COUNTA(C677)=0),"",INDEX(Honor!$O$2:$O998,MATCH(C677,Honor!$A$2:$A998,0)))</f>
        <v/>
      </c>
      <c r="F677" s="25"/>
      <c r="G677" s="25"/>
      <c r="H677" s="25"/>
      <c r="I677" s="25"/>
      <c r="J677" s="25"/>
      <c r="K677" s="25"/>
      <c r="L677" s="25"/>
      <c r="M677" s="25"/>
      <c r="N677" s="25"/>
      <c r="O677" s="25"/>
      <c r="P677" s="25"/>
      <c r="Q677" s="25"/>
      <c r="R677" s="25"/>
      <c r="S677" s="25"/>
      <c r="T677" s="25"/>
      <c r="U677" s="25"/>
      <c r="V677" s="25"/>
      <c r="W677" s="25"/>
      <c r="X677" s="25"/>
    </row>
    <row r="678" spans="1:24" ht="13">
      <c r="A678" s="25"/>
      <c r="B678" s="25"/>
      <c r="C678" s="25"/>
      <c r="D678" s="25" t="str">
        <f t="array" ref="D678">IF(OR(LEFT(C678,1)="(",COUNTA(C678)=0),"", INDEX(Honor!$B$2:$B998,MATCH(C678,Honor!$A$2:$A998,0)))</f>
        <v/>
      </c>
      <c r="E678" s="25" t="str">
        <f t="array" ref="E678">IF(OR(LEFT(C678,1)="(",COUNTA(C678)=0),"",INDEX(Honor!$O$2:$O998,MATCH(C678,Honor!$A$2:$A998,0)))</f>
        <v/>
      </c>
      <c r="F678" s="25"/>
      <c r="G678" s="25"/>
      <c r="H678" s="25"/>
      <c r="I678" s="25"/>
      <c r="J678" s="25"/>
      <c r="K678" s="25"/>
      <c r="L678" s="25"/>
      <c r="M678" s="25"/>
      <c r="N678" s="25"/>
      <c r="O678" s="25"/>
      <c r="P678" s="25"/>
      <c r="Q678" s="25"/>
      <c r="R678" s="25"/>
      <c r="S678" s="25"/>
      <c r="T678" s="25"/>
      <c r="U678" s="25"/>
      <c r="V678" s="25"/>
      <c r="W678" s="25"/>
      <c r="X678" s="25"/>
    </row>
    <row r="679" spans="1:24" ht="13">
      <c r="A679" s="25"/>
      <c r="B679" s="25"/>
      <c r="C679" s="25"/>
      <c r="D679" s="25" t="str">
        <f t="array" ref="D679">IF(OR(LEFT(C679,1)="(",COUNTA(C679)=0),"", INDEX(Honor!$B$2:$B998,MATCH(C679,Honor!$A$2:$A998,0)))</f>
        <v/>
      </c>
      <c r="E679" s="25" t="str">
        <f t="array" ref="E679">IF(OR(LEFT(C679,1)="(",COUNTA(C679)=0),"",INDEX(Honor!$O$2:$O998,MATCH(C679,Honor!$A$2:$A998,0)))</f>
        <v/>
      </c>
      <c r="F679" s="25"/>
      <c r="G679" s="25"/>
      <c r="H679" s="25"/>
      <c r="I679" s="25"/>
      <c r="J679" s="25"/>
      <c r="K679" s="25"/>
      <c r="L679" s="25"/>
      <c r="M679" s="25"/>
      <c r="N679" s="25"/>
      <c r="O679" s="25"/>
      <c r="P679" s="25"/>
      <c r="Q679" s="25"/>
      <c r="R679" s="25"/>
      <c r="S679" s="25"/>
      <c r="T679" s="25"/>
      <c r="U679" s="25"/>
      <c r="V679" s="25"/>
      <c r="W679" s="25"/>
      <c r="X679" s="25"/>
    </row>
    <row r="680" spans="1:24" ht="13">
      <c r="A680" s="25"/>
      <c r="B680" s="25"/>
      <c r="C680" s="25"/>
      <c r="D680" s="25" t="str">
        <f t="array" ref="D680">IF(OR(LEFT(C680,1)="(",COUNTA(C680)=0),"", INDEX(Honor!$B$2:$B998,MATCH(C680,Honor!$A$2:$A998,0)))</f>
        <v/>
      </c>
      <c r="E680" s="25" t="str">
        <f t="array" ref="E680">IF(OR(LEFT(C680,1)="(",COUNTA(C680)=0),"",INDEX(Honor!$O$2:$O998,MATCH(C680,Honor!$A$2:$A998,0)))</f>
        <v/>
      </c>
      <c r="F680" s="25"/>
      <c r="G680" s="25"/>
      <c r="H680" s="25"/>
      <c r="I680" s="25"/>
      <c r="J680" s="25"/>
      <c r="K680" s="25"/>
      <c r="L680" s="25"/>
      <c r="M680" s="25"/>
      <c r="N680" s="25"/>
      <c r="O680" s="25"/>
      <c r="P680" s="25"/>
      <c r="Q680" s="25"/>
      <c r="R680" s="25"/>
      <c r="S680" s="25"/>
      <c r="T680" s="25"/>
      <c r="U680" s="25"/>
      <c r="V680" s="25"/>
      <c r="W680" s="25"/>
      <c r="X680" s="25"/>
    </row>
    <row r="681" spans="1:24" ht="13">
      <c r="A681" s="25"/>
      <c r="B681" s="25"/>
      <c r="C681" s="25"/>
      <c r="D681" s="25" t="str">
        <f t="array" ref="D681">IF(OR(LEFT(C681,1)="(",COUNTA(C681)=0),"", INDEX(Honor!$B$2:$B998,MATCH(C681,Honor!$A$2:$A998,0)))</f>
        <v/>
      </c>
      <c r="E681" s="25" t="str">
        <f t="array" ref="E681">IF(OR(LEFT(C681,1)="(",COUNTA(C681)=0),"",INDEX(Honor!$O$2:$O998,MATCH(C681,Honor!$A$2:$A998,0)))</f>
        <v/>
      </c>
      <c r="F681" s="25"/>
      <c r="G681" s="25"/>
      <c r="H681" s="25"/>
      <c r="I681" s="25"/>
      <c r="J681" s="25"/>
      <c r="K681" s="25"/>
      <c r="L681" s="25"/>
      <c r="M681" s="25"/>
      <c r="N681" s="25"/>
      <c r="O681" s="25"/>
      <c r="P681" s="25"/>
      <c r="Q681" s="25"/>
      <c r="R681" s="25"/>
      <c r="S681" s="25"/>
      <c r="T681" s="25"/>
      <c r="U681" s="25"/>
      <c r="V681" s="25"/>
      <c r="W681" s="25"/>
      <c r="X681" s="25"/>
    </row>
    <row r="682" spans="1:24" ht="13">
      <c r="A682" s="25"/>
      <c r="B682" s="25"/>
      <c r="C682" s="25"/>
      <c r="D682" s="25" t="str">
        <f t="array" ref="D682">IF(OR(LEFT(C682,1)="(",COUNTA(C682)=0),"", INDEX(Honor!$B$2:$B998,MATCH(C682,Honor!$A$2:$A998,0)))</f>
        <v/>
      </c>
      <c r="E682" s="25" t="str">
        <f t="array" ref="E682">IF(OR(LEFT(C682,1)="(",COUNTA(C682)=0),"",INDEX(Honor!$O$2:$O998,MATCH(C682,Honor!$A$2:$A998,0)))</f>
        <v/>
      </c>
      <c r="F682" s="25"/>
      <c r="G682" s="25"/>
      <c r="H682" s="25"/>
      <c r="I682" s="25"/>
      <c r="J682" s="25"/>
      <c r="K682" s="25"/>
      <c r="L682" s="25"/>
      <c r="M682" s="25"/>
      <c r="N682" s="25"/>
      <c r="O682" s="25"/>
      <c r="P682" s="25"/>
      <c r="Q682" s="25"/>
      <c r="R682" s="25"/>
      <c r="S682" s="25"/>
      <c r="T682" s="25"/>
      <c r="U682" s="25"/>
      <c r="V682" s="25"/>
      <c r="W682" s="25"/>
      <c r="X682" s="25"/>
    </row>
    <row r="683" spans="1:24" ht="13">
      <c r="A683" s="25"/>
      <c r="B683" s="25"/>
      <c r="C683" s="25"/>
      <c r="D683" s="25" t="str">
        <f t="array" ref="D683">IF(OR(LEFT(C683,1)="(",COUNTA(C683)=0),"", INDEX(Honor!$B$2:$B998,MATCH(C683,Honor!$A$2:$A998,0)))</f>
        <v/>
      </c>
      <c r="E683" s="25" t="str">
        <f t="array" ref="E683">IF(OR(LEFT(C683,1)="(",COUNTA(C683)=0),"",INDEX(Honor!$O$2:$O998,MATCH(C683,Honor!$A$2:$A998,0)))</f>
        <v/>
      </c>
      <c r="F683" s="25"/>
      <c r="G683" s="25"/>
      <c r="H683" s="25"/>
      <c r="I683" s="25"/>
      <c r="J683" s="25"/>
      <c r="K683" s="25"/>
      <c r="L683" s="25"/>
      <c r="M683" s="25"/>
      <c r="N683" s="25"/>
      <c r="O683" s="25"/>
      <c r="P683" s="25"/>
      <c r="Q683" s="25"/>
      <c r="R683" s="25"/>
      <c r="S683" s="25"/>
      <c r="T683" s="25"/>
      <c r="U683" s="25"/>
      <c r="V683" s="25"/>
      <c r="W683" s="25"/>
      <c r="X683" s="25"/>
    </row>
    <row r="684" spans="1:24" ht="13">
      <c r="A684" s="25"/>
      <c r="B684" s="25"/>
      <c r="C684" s="25"/>
      <c r="D684" s="25" t="str">
        <f t="array" ref="D684">IF(OR(LEFT(C684,1)="(",COUNTA(C684)=0),"", INDEX(Honor!$B$2:$B998,MATCH(C684,Honor!$A$2:$A998,0)))</f>
        <v/>
      </c>
      <c r="E684" s="25" t="str">
        <f t="array" ref="E684">IF(OR(LEFT(C684,1)="(",COUNTA(C684)=0),"",INDEX(Honor!$O$2:$O998,MATCH(C684,Honor!$A$2:$A998,0)))</f>
        <v/>
      </c>
      <c r="F684" s="25"/>
      <c r="G684" s="25"/>
      <c r="H684" s="25"/>
      <c r="I684" s="25"/>
      <c r="J684" s="25"/>
      <c r="K684" s="25"/>
      <c r="L684" s="25"/>
      <c r="M684" s="25"/>
      <c r="N684" s="25"/>
      <c r="O684" s="25"/>
      <c r="P684" s="25"/>
      <c r="Q684" s="25"/>
      <c r="R684" s="25"/>
      <c r="S684" s="25"/>
      <c r="T684" s="25"/>
      <c r="U684" s="25"/>
      <c r="V684" s="25"/>
      <c r="W684" s="25"/>
      <c r="X684" s="25"/>
    </row>
    <row r="685" spans="1:24" ht="13">
      <c r="A685" s="25"/>
      <c r="B685" s="25"/>
      <c r="C685" s="25"/>
      <c r="D685" s="25" t="str">
        <f t="array" ref="D685">IF(OR(LEFT(C685,1)="(",COUNTA(C685)=0),"", INDEX(Honor!$B$2:$B998,MATCH(C685,Honor!$A$2:$A998,0)))</f>
        <v/>
      </c>
      <c r="E685" s="25" t="str">
        <f t="array" ref="E685">IF(OR(LEFT(C685,1)="(",COUNTA(C685)=0),"",INDEX(Honor!$O$2:$O998,MATCH(C685,Honor!$A$2:$A998,0)))</f>
        <v/>
      </c>
      <c r="F685" s="25"/>
      <c r="G685" s="25"/>
      <c r="H685" s="25"/>
      <c r="I685" s="25"/>
      <c r="J685" s="25"/>
      <c r="K685" s="25"/>
      <c r="L685" s="25"/>
      <c r="M685" s="25"/>
      <c r="N685" s="25"/>
      <c r="O685" s="25"/>
      <c r="P685" s="25"/>
      <c r="Q685" s="25"/>
      <c r="R685" s="25"/>
      <c r="S685" s="25"/>
      <c r="T685" s="25"/>
      <c r="U685" s="25"/>
      <c r="V685" s="25"/>
      <c r="W685" s="25"/>
      <c r="X685" s="25"/>
    </row>
    <row r="686" spans="1:24" ht="13">
      <c r="A686" s="25"/>
      <c r="B686" s="25"/>
      <c r="C686" s="25"/>
      <c r="D686" s="25" t="str">
        <f t="array" ref="D686">IF(OR(LEFT(C686,1)="(",COUNTA(C686)=0),"", INDEX(Honor!$B$2:$B998,MATCH(C686,Honor!$A$2:$A998,0)))</f>
        <v/>
      </c>
      <c r="E686" s="25" t="str">
        <f t="array" ref="E686">IF(OR(LEFT(C686,1)="(",COUNTA(C686)=0),"",INDEX(Honor!$O$2:$O998,MATCH(C686,Honor!$A$2:$A998,0)))</f>
        <v/>
      </c>
      <c r="F686" s="25"/>
      <c r="G686" s="25"/>
      <c r="H686" s="25"/>
      <c r="I686" s="25"/>
      <c r="J686" s="25"/>
      <c r="K686" s="25"/>
      <c r="L686" s="25"/>
      <c r="M686" s="25"/>
      <c r="N686" s="25"/>
      <c r="O686" s="25"/>
      <c r="P686" s="25"/>
      <c r="Q686" s="25"/>
      <c r="R686" s="25"/>
      <c r="S686" s="25"/>
      <c r="T686" s="25"/>
      <c r="U686" s="25"/>
      <c r="V686" s="25"/>
      <c r="W686" s="25"/>
      <c r="X686" s="25"/>
    </row>
    <row r="687" spans="1:24" ht="13">
      <c r="A687" s="25"/>
      <c r="B687" s="25"/>
      <c r="C687" s="25"/>
      <c r="D687" s="25" t="str">
        <f t="array" ref="D687">IF(OR(LEFT(C687,1)="(",COUNTA(C687)=0),"", INDEX(Honor!$B$2:$B998,MATCH(C687,Honor!$A$2:$A998,0)))</f>
        <v/>
      </c>
      <c r="E687" s="25" t="str">
        <f t="array" ref="E687">IF(OR(LEFT(C687,1)="(",COUNTA(C687)=0),"",INDEX(Honor!$O$2:$O998,MATCH(C687,Honor!$A$2:$A998,0)))</f>
        <v/>
      </c>
      <c r="F687" s="25"/>
      <c r="G687" s="25"/>
      <c r="H687" s="25"/>
      <c r="I687" s="25"/>
      <c r="J687" s="25"/>
      <c r="K687" s="25"/>
      <c r="L687" s="25"/>
      <c r="M687" s="25"/>
      <c r="N687" s="25"/>
      <c r="O687" s="25"/>
      <c r="P687" s="25"/>
      <c r="Q687" s="25"/>
      <c r="R687" s="25"/>
      <c r="S687" s="25"/>
      <c r="T687" s="25"/>
      <c r="U687" s="25"/>
      <c r="V687" s="25"/>
      <c r="W687" s="25"/>
      <c r="X687" s="25"/>
    </row>
    <row r="688" spans="1:24" ht="13">
      <c r="A688" s="25"/>
      <c r="B688" s="25"/>
      <c r="C688" s="25"/>
      <c r="D688" s="25" t="str">
        <f t="array" ref="D688">IF(OR(LEFT(C688,1)="(",COUNTA(C688)=0),"", INDEX(Honor!$B$2:$B998,MATCH(C688,Honor!$A$2:$A998,0)))</f>
        <v/>
      </c>
      <c r="E688" s="25" t="str">
        <f t="array" ref="E688">IF(OR(LEFT(C688,1)="(",COUNTA(C688)=0),"",INDEX(Honor!$O$2:$O998,MATCH(C688,Honor!$A$2:$A998,0)))</f>
        <v/>
      </c>
      <c r="F688" s="25"/>
      <c r="G688" s="25"/>
      <c r="H688" s="25"/>
      <c r="I688" s="25"/>
      <c r="J688" s="25"/>
      <c r="K688" s="25"/>
      <c r="L688" s="25"/>
      <c r="M688" s="25"/>
      <c r="N688" s="25"/>
      <c r="O688" s="25"/>
      <c r="P688" s="25"/>
      <c r="Q688" s="25"/>
      <c r="R688" s="25"/>
      <c r="S688" s="25"/>
      <c r="T688" s="25"/>
      <c r="U688" s="25"/>
      <c r="V688" s="25"/>
      <c r="W688" s="25"/>
      <c r="X688" s="25"/>
    </row>
    <row r="689" spans="1:24" ht="13">
      <c r="A689" s="25"/>
      <c r="B689" s="25"/>
      <c r="C689" s="25"/>
      <c r="D689" s="25" t="str">
        <f t="array" ref="D689">IF(OR(LEFT(C689,1)="(",COUNTA(C689)=0),"", INDEX(Honor!$B$2:$B998,MATCH(C689,Honor!$A$2:$A998,0)))</f>
        <v/>
      </c>
      <c r="E689" s="25" t="str">
        <f t="array" ref="E689">IF(OR(LEFT(C689,1)="(",COUNTA(C689)=0),"",INDEX(Honor!$O$2:$O998,MATCH(C689,Honor!$A$2:$A998,0)))</f>
        <v/>
      </c>
      <c r="F689" s="25"/>
      <c r="G689" s="25"/>
      <c r="H689" s="25"/>
      <c r="I689" s="25"/>
      <c r="J689" s="25"/>
      <c r="K689" s="25"/>
      <c r="L689" s="25"/>
      <c r="M689" s="25"/>
      <c r="N689" s="25"/>
      <c r="O689" s="25"/>
      <c r="P689" s="25"/>
      <c r="Q689" s="25"/>
      <c r="R689" s="25"/>
      <c r="S689" s="25"/>
      <c r="T689" s="25"/>
      <c r="U689" s="25"/>
      <c r="V689" s="25"/>
      <c r="W689" s="25"/>
      <c r="X689" s="25"/>
    </row>
    <row r="690" spans="1:24" ht="13">
      <c r="A690" s="25"/>
      <c r="B690" s="25"/>
      <c r="C690" s="25"/>
      <c r="D690" s="25" t="str">
        <f t="array" ref="D690">IF(OR(LEFT(C690,1)="(",COUNTA(C690)=0),"", INDEX(Honor!$B$2:$B998,MATCH(C690,Honor!$A$2:$A998,0)))</f>
        <v/>
      </c>
      <c r="E690" s="25" t="str">
        <f t="array" ref="E690">IF(OR(LEFT(C690,1)="(",COUNTA(C690)=0),"",INDEX(Honor!$O$2:$O998,MATCH(C690,Honor!$A$2:$A998,0)))</f>
        <v/>
      </c>
      <c r="F690" s="25"/>
      <c r="G690" s="25"/>
      <c r="H690" s="25"/>
      <c r="I690" s="25"/>
      <c r="J690" s="25"/>
      <c r="K690" s="25"/>
      <c r="L690" s="25"/>
      <c r="M690" s="25"/>
      <c r="N690" s="25"/>
      <c r="O690" s="25"/>
      <c r="P690" s="25"/>
      <c r="Q690" s="25"/>
      <c r="R690" s="25"/>
      <c r="S690" s="25"/>
      <c r="T690" s="25"/>
      <c r="U690" s="25"/>
      <c r="V690" s="25"/>
      <c r="W690" s="25"/>
      <c r="X690" s="25"/>
    </row>
    <row r="691" spans="1:24" ht="13">
      <c r="A691" s="25"/>
      <c r="B691" s="25"/>
      <c r="C691" s="25"/>
      <c r="D691" s="25" t="str">
        <f t="array" ref="D691">IF(OR(LEFT(C691,1)="(",COUNTA(C691)=0),"", INDEX(Honor!$B$2:$B998,MATCH(C691,Honor!$A$2:$A998,0)))</f>
        <v/>
      </c>
      <c r="E691" s="25" t="str">
        <f t="array" ref="E691">IF(OR(LEFT(C691,1)="(",COUNTA(C691)=0),"",INDEX(Honor!$O$2:$O998,MATCH(C691,Honor!$A$2:$A998,0)))</f>
        <v/>
      </c>
      <c r="F691" s="25"/>
      <c r="G691" s="25"/>
      <c r="H691" s="25"/>
      <c r="I691" s="25"/>
      <c r="J691" s="25"/>
      <c r="K691" s="25"/>
      <c r="L691" s="25"/>
      <c r="M691" s="25"/>
      <c r="N691" s="25"/>
      <c r="O691" s="25"/>
      <c r="P691" s="25"/>
      <c r="Q691" s="25"/>
      <c r="R691" s="25"/>
      <c r="S691" s="25"/>
      <c r="T691" s="25"/>
      <c r="U691" s="25"/>
      <c r="V691" s="25"/>
      <c r="W691" s="25"/>
      <c r="X691" s="25"/>
    </row>
    <row r="692" spans="1:24" ht="13">
      <c r="A692" s="25"/>
      <c r="B692" s="25"/>
      <c r="C692" s="25"/>
      <c r="D692" s="25" t="str">
        <f t="array" ref="D692">IF(OR(LEFT(C692,1)="(",COUNTA(C692)=0),"", INDEX(Honor!$B$2:$B998,MATCH(C692,Honor!$A$2:$A998,0)))</f>
        <v/>
      </c>
      <c r="E692" s="25" t="str">
        <f t="array" ref="E692">IF(OR(LEFT(C692,1)="(",COUNTA(C692)=0),"",INDEX(Honor!$O$2:$O998,MATCH(C692,Honor!$A$2:$A998,0)))</f>
        <v/>
      </c>
      <c r="F692" s="25"/>
      <c r="G692" s="25"/>
      <c r="H692" s="25"/>
      <c r="I692" s="25"/>
      <c r="J692" s="25"/>
      <c r="K692" s="25"/>
      <c r="L692" s="25"/>
      <c r="M692" s="25"/>
      <c r="N692" s="25"/>
      <c r="O692" s="25"/>
      <c r="P692" s="25"/>
      <c r="Q692" s="25"/>
      <c r="R692" s="25"/>
      <c r="S692" s="25"/>
      <c r="T692" s="25"/>
      <c r="U692" s="25"/>
      <c r="V692" s="25"/>
      <c r="W692" s="25"/>
      <c r="X692" s="25"/>
    </row>
    <row r="693" spans="1:24" ht="13">
      <c r="A693" s="25"/>
      <c r="B693" s="25"/>
      <c r="C693" s="25"/>
      <c r="D693" s="25" t="str">
        <f t="array" ref="D693">IF(OR(LEFT(C693,1)="(",COUNTA(C693)=0),"", INDEX(Honor!$B$2:$B998,MATCH(C693,Honor!$A$2:$A998,0)))</f>
        <v/>
      </c>
      <c r="E693" s="25" t="str">
        <f t="array" ref="E693">IF(OR(LEFT(C693,1)="(",COUNTA(C693)=0),"",INDEX(Honor!$O$2:$O998,MATCH(C693,Honor!$A$2:$A998,0)))</f>
        <v/>
      </c>
      <c r="F693" s="25"/>
      <c r="G693" s="25"/>
      <c r="H693" s="25"/>
      <c r="I693" s="25"/>
      <c r="J693" s="25"/>
      <c r="K693" s="25"/>
      <c r="L693" s="25"/>
      <c r="M693" s="25"/>
      <c r="N693" s="25"/>
      <c r="O693" s="25"/>
      <c r="P693" s="25"/>
      <c r="Q693" s="25"/>
      <c r="R693" s="25"/>
      <c r="S693" s="25"/>
      <c r="T693" s="25"/>
      <c r="U693" s="25"/>
      <c r="V693" s="25"/>
      <c r="W693" s="25"/>
      <c r="X693" s="25"/>
    </row>
    <row r="694" spans="1:24" ht="13">
      <c r="A694" s="25"/>
      <c r="B694" s="25"/>
      <c r="C694" s="25"/>
      <c r="D694" s="25" t="str">
        <f t="array" ref="D694">IF(OR(LEFT(C694,1)="(",COUNTA(C694)=0),"", INDEX(Honor!$B$2:$B998,MATCH(C694,Honor!$A$2:$A998,0)))</f>
        <v/>
      </c>
      <c r="E694" s="25" t="str">
        <f t="array" ref="E694">IF(OR(LEFT(C694,1)="(",COUNTA(C694)=0),"",INDEX(Honor!$O$2:$O998,MATCH(C694,Honor!$A$2:$A998,0)))</f>
        <v/>
      </c>
      <c r="F694" s="25"/>
      <c r="G694" s="25"/>
      <c r="H694" s="25"/>
      <c r="I694" s="25"/>
      <c r="J694" s="25"/>
      <c r="K694" s="25"/>
      <c r="L694" s="25"/>
      <c r="M694" s="25"/>
      <c r="N694" s="25"/>
      <c r="O694" s="25"/>
      <c r="P694" s="25"/>
      <c r="Q694" s="25"/>
      <c r="R694" s="25"/>
      <c r="S694" s="25"/>
      <c r="T694" s="25"/>
      <c r="U694" s="25"/>
      <c r="V694" s="25"/>
      <c r="W694" s="25"/>
      <c r="X694" s="25"/>
    </row>
    <row r="695" spans="1:24" ht="13">
      <c r="A695" s="25"/>
      <c r="B695" s="25"/>
      <c r="C695" s="25"/>
      <c r="D695" s="25" t="str">
        <f t="array" ref="D695">IF(OR(LEFT(C695,1)="(",COUNTA(C695)=0),"", INDEX(Honor!$B$2:$B998,MATCH(C695,Honor!$A$2:$A998,0)))</f>
        <v/>
      </c>
      <c r="E695" s="25" t="str">
        <f t="array" ref="E695">IF(OR(LEFT(C695,1)="(",COUNTA(C695)=0),"",INDEX(Honor!$O$2:$O998,MATCH(C695,Honor!$A$2:$A998,0)))</f>
        <v/>
      </c>
      <c r="F695" s="25"/>
      <c r="G695" s="25"/>
      <c r="H695" s="25"/>
      <c r="I695" s="25"/>
      <c r="J695" s="25"/>
      <c r="K695" s="25"/>
      <c r="L695" s="25"/>
      <c r="M695" s="25"/>
      <c r="N695" s="25"/>
      <c r="O695" s="25"/>
      <c r="P695" s="25"/>
      <c r="Q695" s="25"/>
      <c r="R695" s="25"/>
      <c r="S695" s="25"/>
      <c r="T695" s="25"/>
      <c r="U695" s="25"/>
      <c r="V695" s="25"/>
      <c r="W695" s="25"/>
      <c r="X695" s="25"/>
    </row>
    <row r="696" spans="1:24" ht="13">
      <c r="A696" s="25"/>
      <c r="B696" s="25"/>
      <c r="C696" s="25"/>
      <c r="D696" s="25" t="str">
        <f t="array" ref="D696">IF(OR(LEFT(C696,1)="(",COUNTA(C696)=0),"", INDEX(Honor!$B$2:$B998,MATCH(C696,Honor!$A$2:$A998,0)))</f>
        <v/>
      </c>
      <c r="E696" s="25" t="str">
        <f t="array" ref="E696">IF(OR(LEFT(C696,1)="(",COUNTA(C696)=0),"",INDEX(Honor!$O$2:$O998,MATCH(C696,Honor!$A$2:$A998,0)))</f>
        <v/>
      </c>
      <c r="F696" s="25"/>
      <c r="G696" s="25"/>
      <c r="H696" s="25"/>
      <c r="I696" s="25"/>
      <c r="J696" s="25"/>
      <c r="K696" s="25"/>
      <c r="L696" s="25"/>
      <c r="M696" s="25"/>
      <c r="N696" s="25"/>
      <c r="O696" s="25"/>
      <c r="P696" s="25"/>
      <c r="Q696" s="25"/>
      <c r="R696" s="25"/>
      <c r="S696" s="25"/>
      <c r="T696" s="25"/>
      <c r="U696" s="25"/>
      <c r="V696" s="25"/>
      <c r="W696" s="25"/>
      <c r="X696" s="25"/>
    </row>
    <row r="697" spans="1:24" ht="13">
      <c r="A697" s="25"/>
      <c r="B697" s="25"/>
      <c r="C697" s="25"/>
      <c r="D697" s="25" t="str">
        <f t="array" ref="D697">IF(OR(LEFT(C697,1)="(",COUNTA(C697)=0),"", INDEX(Honor!$B$2:$B998,MATCH(C697,Honor!$A$2:$A998,0)))</f>
        <v/>
      </c>
      <c r="E697" s="25" t="str">
        <f t="array" ref="E697">IF(OR(LEFT(C697,1)="(",COUNTA(C697)=0),"",INDEX(Honor!$O$2:$O998,MATCH(C697,Honor!$A$2:$A998,0)))</f>
        <v/>
      </c>
      <c r="F697" s="25"/>
      <c r="G697" s="25"/>
      <c r="H697" s="25"/>
      <c r="I697" s="25"/>
      <c r="J697" s="25"/>
      <c r="K697" s="25"/>
      <c r="L697" s="25"/>
      <c r="M697" s="25"/>
      <c r="N697" s="25"/>
      <c r="O697" s="25"/>
      <c r="P697" s="25"/>
      <c r="Q697" s="25"/>
      <c r="R697" s="25"/>
      <c r="S697" s="25"/>
      <c r="T697" s="25"/>
      <c r="U697" s="25"/>
      <c r="V697" s="25"/>
      <c r="W697" s="25"/>
      <c r="X697" s="25"/>
    </row>
    <row r="698" spans="1:24" ht="13">
      <c r="A698" s="25"/>
      <c r="B698" s="25"/>
      <c r="C698" s="25"/>
      <c r="D698" s="25" t="str">
        <f t="array" ref="D698">IF(OR(LEFT(C698,1)="(",COUNTA(C698)=0),"", INDEX(Honor!$B$2:$B998,MATCH(C698,Honor!$A$2:$A998,0)))</f>
        <v/>
      </c>
      <c r="E698" s="25" t="str">
        <f t="array" ref="E698">IF(OR(LEFT(C698,1)="(",COUNTA(C698)=0),"",INDEX(Honor!$O$2:$O998,MATCH(C698,Honor!$A$2:$A998,0)))</f>
        <v/>
      </c>
      <c r="F698" s="25"/>
      <c r="G698" s="25"/>
      <c r="H698" s="25"/>
      <c r="I698" s="25"/>
      <c r="J698" s="25"/>
      <c r="K698" s="25"/>
      <c r="L698" s="25"/>
      <c r="M698" s="25"/>
      <c r="N698" s="25"/>
      <c r="O698" s="25"/>
      <c r="P698" s="25"/>
      <c r="Q698" s="25"/>
      <c r="R698" s="25"/>
      <c r="S698" s="25"/>
      <c r="T698" s="25"/>
      <c r="U698" s="25"/>
      <c r="V698" s="25"/>
      <c r="W698" s="25"/>
      <c r="X698" s="25"/>
    </row>
    <row r="699" spans="1:24" ht="13">
      <c r="A699" s="25"/>
      <c r="B699" s="25"/>
      <c r="C699" s="25"/>
      <c r="D699" s="25" t="str">
        <f t="array" ref="D699">IF(OR(LEFT(C699,1)="(",COUNTA(C699)=0),"", INDEX(Honor!$B$2:$B998,MATCH(C699,Honor!$A$2:$A998,0)))</f>
        <v/>
      </c>
      <c r="E699" s="25" t="str">
        <f t="array" ref="E699">IF(OR(LEFT(C699,1)="(",COUNTA(C699)=0),"",INDEX(Honor!$O$2:$O998,MATCH(C699,Honor!$A$2:$A998,0)))</f>
        <v/>
      </c>
      <c r="F699" s="25"/>
      <c r="G699" s="25"/>
      <c r="H699" s="25"/>
      <c r="I699" s="25"/>
      <c r="J699" s="25"/>
      <c r="K699" s="25"/>
      <c r="L699" s="25"/>
      <c r="M699" s="25"/>
      <c r="N699" s="25"/>
      <c r="O699" s="25"/>
      <c r="P699" s="25"/>
      <c r="Q699" s="25"/>
      <c r="R699" s="25"/>
      <c r="S699" s="25"/>
      <c r="T699" s="25"/>
      <c r="U699" s="25"/>
      <c r="V699" s="25"/>
      <c r="W699" s="25"/>
      <c r="X699" s="25"/>
    </row>
    <row r="700" spans="1:24" ht="13">
      <c r="A700" s="25"/>
      <c r="B700" s="25"/>
      <c r="C700" s="25"/>
      <c r="D700" s="25" t="str">
        <f t="array" ref="D700">IF(OR(LEFT(C700,1)="(",COUNTA(C700)=0),"", INDEX(Honor!$B$2:$B998,MATCH(C700,Honor!$A$2:$A998,0)))</f>
        <v/>
      </c>
      <c r="E700" s="25" t="str">
        <f t="array" ref="E700">IF(OR(LEFT(C700,1)="(",COUNTA(C700)=0),"",INDEX(Honor!$O$2:$O998,MATCH(C700,Honor!$A$2:$A998,0)))</f>
        <v/>
      </c>
      <c r="F700" s="25"/>
      <c r="G700" s="25"/>
      <c r="H700" s="25"/>
      <c r="I700" s="25"/>
      <c r="J700" s="25"/>
      <c r="K700" s="25"/>
      <c r="L700" s="25"/>
      <c r="M700" s="25"/>
      <c r="N700" s="25"/>
      <c r="O700" s="25"/>
      <c r="P700" s="25"/>
      <c r="Q700" s="25"/>
      <c r="R700" s="25"/>
      <c r="S700" s="25"/>
      <c r="T700" s="25"/>
      <c r="U700" s="25"/>
      <c r="V700" s="25"/>
      <c r="W700" s="25"/>
      <c r="X700" s="25"/>
    </row>
    <row r="701" spans="1:24" ht="13">
      <c r="A701" s="25"/>
      <c r="B701" s="25"/>
      <c r="C701" s="25"/>
      <c r="D701" s="25" t="str">
        <f t="array" ref="D701">IF(OR(LEFT(C701,1)="(",COUNTA(C701)=0),"", INDEX(Honor!$B$2:$B998,MATCH(C701,Honor!$A$2:$A998,0)))</f>
        <v/>
      </c>
      <c r="E701" s="25" t="str">
        <f t="array" ref="E701">IF(OR(LEFT(C701,1)="(",COUNTA(C701)=0),"",INDEX(Honor!$O$2:$O998,MATCH(C701,Honor!$A$2:$A998,0)))</f>
        <v/>
      </c>
      <c r="F701" s="25"/>
      <c r="G701" s="25"/>
      <c r="H701" s="25"/>
      <c r="I701" s="25"/>
      <c r="J701" s="25"/>
      <c r="K701" s="25"/>
      <c r="L701" s="25"/>
      <c r="M701" s="25"/>
      <c r="N701" s="25"/>
      <c r="O701" s="25"/>
      <c r="P701" s="25"/>
      <c r="Q701" s="25"/>
      <c r="R701" s="25"/>
      <c r="S701" s="25"/>
      <c r="T701" s="25"/>
      <c r="U701" s="25"/>
      <c r="V701" s="25"/>
      <c r="W701" s="25"/>
      <c r="X701" s="25"/>
    </row>
    <row r="702" spans="1:24" ht="13">
      <c r="A702" s="25"/>
      <c r="B702" s="25"/>
      <c r="C702" s="25"/>
      <c r="D702" s="25" t="str">
        <f t="array" ref="D702">IF(OR(LEFT(C702,1)="(",COUNTA(C702)=0),"", INDEX(Honor!$B$2:$B998,MATCH(C702,Honor!$A$2:$A998,0)))</f>
        <v/>
      </c>
      <c r="E702" s="25" t="str">
        <f t="array" ref="E702">IF(OR(LEFT(C702,1)="(",COUNTA(C702)=0),"",INDEX(Honor!$O$2:$O998,MATCH(C702,Honor!$A$2:$A998,0)))</f>
        <v/>
      </c>
      <c r="F702" s="25"/>
      <c r="G702" s="25"/>
      <c r="H702" s="25"/>
      <c r="I702" s="25"/>
      <c r="J702" s="25"/>
      <c r="K702" s="25"/>
      <c r="L702" s="25"/>
      <c r="M702" s="25"/>
      <c r="N702" s="25"/>
      <c r="O702" s="25"/>
      <c r="P702" s="25"/>
      <c r="Q702" s="25"/>
      <c r="R702" s="25"/>
      <c r="S702" s="25"/>
      <c r="T702" s="25"/>
      <c r="U702" s="25"/>
      <c r="V702" s="25"/>
      <c r="W702" s="25"/>
      <c r="X702" s="25"/>
    </row>
    <row r="703" spans="1:24" ht="13">
      <c r="A703" s="25"/>
      <c r="B703" s="25"/>
      <c r="C703" s="25"/>
      <c r="D703" s="25" t="str">
        <f t="array" ref="D703">IF(OR(LEFT(C703,1)="(",COUNTA(C703)=0),"", INDEX(Honor!$B$2:$B998,MATCH(C703,Honor!$A$2:$A998,0)))</f>
        <v/>
      </c>
      <c r="E703" s="25" t="str">
        <f t="array" ref="E703">IF(OR(LEFT(C703,1)="(",COUNTA(C703)=0),"",INDEX(Honor!$O$2:$O998,MATCH(C703,Honor!$A$2:$A998,0)))</f>
        <v/>
      </c>
      <c r="F703" s="25"/>
      <c r="G703" s="25"/>
      <c r="H703" s="25"/>
      <c r="I703" s="25"/>
      <c r="J703" s="25"/>
      <c r="K703" s="25"/>
      <c r="L703" s="25"/>
      <c r="M703" s="25"/>
      <c r="N703" s="25"/>
      <c r="O703" s="25"/>
      <c r="P703" s="25"/>
      <c r="Q703" s="25"/>
      <c r="R703" s="25"/>
      <c r="S703" s="25"/>
      <c r="T703" s="25"/>
      <c r="U703" s="25"/>
      <c r="V703" s="25"/>
      <c r="W703" s="25"/>
      <c r="X703" s="25"/>
    </row>
    <row r="704" spans="1:24" ht="13">
      <c r="A704" s="25"/>
      <c r="B704" s="25"/>
      <c r="C704" s="25"/>
      <c r="D704" s="25" t="str">
        <f t="array" ref="D704">IF(OR(LEFT(C704,1)="(",COUNTA(C704)=0),"", INDEX(Honor!$B$2:$B998,MATCH(C704,Honor!$A$2:$A998,0)))</f>
        <v/>
      </c>
      <c r="E704" s="25" t="str">
        <f t="array" ref="E704">IF(OR(LEFT(C704,1)="(",COUNTA(C704)=0),"",INDEX(Honor!$O$2:$O998,MATCH(C704,Honor!$A$2:$A998,0)))</f>
        <v/>
      </c>
      <c r="F704" s="25"/>
      <c r="G704" s="25"/>
      <c r="H704" s="25"/>
      <c r="I704" s="25"/>
      <c r="J704" s="25"/>
      <c r="K704" s="25"/>
      <c r="L704" s="25"/>
      <c r="M704" s="25"/>
      <c r="N704" s="25"/>
      <c r="O704" s="25"/>
      <c r="P704" s="25"/>
      <c r="Q704" s="25"/>
      <c r="R704" s="25"/>
      <c r="S704" s="25"/>
      <c r="T704" s="25"/>
      <c r="U704" s="25"/>
      <c r="V704" s="25"/>
      <c r="W704" s="25"/>
      <c r="X704" s="25"/>
    </row>
    <row r="705" spans="1:24" ht="13">
      <c r="A705" s="25"/>
      <c r="B705" s="25"/>
      <c r="C705" s="25"/>
      <c r="D705" s="25" t="str">
        <f t="array" ref="D705">IF(OR(LEFT(C705,1)="(",COUNTA(C705)=0),"", INDEX(Honor!$B$2:$B998,MATCH(C705,Honor!$A$2:$A998,0)))</f>
        <v/>
      </c>
      <c r="E705" s="25" t="str">
        <f t="array" ref="E705">IF(OR(LEFT(C705,1)="(",COUNTA(C705)=0),"",INDEX(Honor!$O$2:$O998,MATCH(C705,Honor!$A$2:$A998,0)))</f>
        <v/>
      </c>
      <c r="F705" s="25"/>
      <c r="G705" s="25"/>
      <c r="H705" s="25"/>
      <c r="I705" s="25"/>
      <c r="J705" s="25"/>
      <c r="K705" s="25"/>
      <c r="L705" s="25"/>
      <c r="M705" s="25"/>
      <c r="N705" s="25"/>
      <c r="O705" s="25"/>
      <c r="P705" s="25"/>
      <c r="Q705" s="25"/>
      <c r="R705" s="25"/>
      <c r="S705" s="25"/>
      <c r="T705" s="25"/>
      <c r="U705" s="25"/>
      <c r="V705" s="25"/>
      <c r="W705" s="25"/>
      <c r="X705" s="25"/>
    </row>
    <row r="706" spans="1:24" ht="13">
      <c r="A706" s="25"/>
      <c r="B706" s="25"/>
      <c r="C706" s="25"/>
      <c r="D706" s="25" t="str">
        <f t="array" ref="D706">IF(OR(LEFT(C706,1)="(",COUNTA(C706)=0),"", INDEX(Honor!$B$2:$B998,MATCH(C706,Honor!$A$2:$A998,0)))</f>
        <v/>
      </c>
      <c r="E706" s="25" t="str">
        <f t="array" ref="E706">IF(OR(LEFT(C706,1)="(",COUNTA(C706)=0),"",INDEX(Honor!$O$2:$O998,MATCH(C706,Honor!$A$2:$A998,0)))</f>
        <v/>
      </c>
      <c r="F706" s="25"/>
      <c r="G706" s="25"/>
      <c r="H706" s="25"/>
      <c r="I706" s="25"/>
      <c r="J706" s="25"/>
      <c r="K706" s="25"/>
      <c r="L706" s="25"/>
      <c r="M706" s="25"/>
      <c r="N706" s="25"/>
      <c r="O706" s="25"/>
      <c r="P706" s="25"/>
      <c r="Q706" s="25"/>
      <c r="R706" s="25"/>
      <c r="S706" s="25"/>
      <c r="T706" s="25"/>
      <c r="U706" s="25"/>
      <c r="V706" s="25"/>
      <c r="W706" s="25"/>
      <c r="X706" s="25"/>
    </row>
    <row r="707" spans="1:24" ht="13">
      <c r="A707" s="25"/>
      <c r="B707" s="25"/>
      <c r="C707" s="25"/>
      <c r="D707" s="25" t="str">
        <f t="array" ref="D707">IF(OR(LEFT(C707,1)="(",COUNTA(C707)=0),"", INDEX(Honor!$B$2:$B998,MATCH(C707,Honor!$A$2:$A998,0)))</f>
        <v/>
      </c>
      <c r="E707" s="25" t="str">
        <f t="array" ref="E707">IF(OR(LEFT(C707,1)="(",COUNTA(C707)=0),"",INDEX(Honor!$O$2:$O998,MATCH(C707,Honor!$A$2:$A998,0)))</f>
        <v/>
      </c>
      <c r="F707" s="25"/>
      <c r="G707" s="25"/>
      <c r="H707" s="25"/>
      <c r="I707" s="25"/>
      <c r="J707" s="25"/>
      <c r="K707" s="25"/>
      <c r="L707" s="25"/>
      <c r="M707" s="25"/>
      <c r="N707" s="25"/>
      <c r="O707" s="25"/>
      <c r="P707" s="25"/>
      <c r="Q707" s="25"/>
      <c r="R707" s="25"/>
      <c r="S707" s="25"/>
      <c r="T707" s="25"/>
      <c r="U707" s="25"/>
      <c r="V707" s="25"/>
      <c r="W707" s="25"/>
      <c r="X707" s="25"/>
    </row>
    <row r="708" spans="1:24" ht="13">
      <c r="A708" s="25"/>
      <c r="B708" s="25"/>
      <c r="C708" s="25"/>
      <c r="D708" s="25" t="str">
        <f t="array" ref="D708">IF(OR(LEFT(C708,1)="(",COUNTA(C708)=0),"", INDEX(Honor!$B$2:$B998,MATCH(C708,Honor!$A$2:$A998,0)))</f>
        <v/>
      </c>
      <c r="E708" s="25" t="str">
        <f t="array" ref="E708">IF(OR(LEFT(C708,1)="(",COUNTA(C708)=0),"",INDEX(Honor!$O$2:$O998,MATCH(C708,Honor!$A$2:$A998,0)))</f>
        <v/>
      </c>
      <c r="F708" s="25"/>
      <c r="G708" s="25"/>
      <c r="H708" s="25"/>
      <c r="I708" s="25"/>
      <c r="J708" s="25"/>
      <c r="K708" s="25"/>
      <c r="L708" s="25"/>
      <c r="M708" s="25"/>
      <c r="N708" s="25"/>
      <c r="O708" s="25"/>
      <c r="P708" s="25"/>
      <c r="Q708" s="25"/>
      <c r="R708" s="25"/>
      <c r="S708" s="25"/>
      <c r="T708" s="25"/>
      <c r="U708" s="25"/>
      <c r="V708" s="25"/>
      <c r="W708" s="25"/>
      <c r="X708" s="25"/>
    </row>
    <row r="709" spans="1:24" ht="13">
      <c r="A709" s="25"/>
      <c r="B709" s="25"/>
      <c r="C709" s="25"/>
      <c r="D709" s="25" t="str">
        <f t="array" ref="D709">IF(OR(LEFT(C709,1)="(",COUNTA(C709)=0),"", INDEX(Honor!$B$2:$B998,MATCH(C709,Honor!$A$2:$A998,0)))</f>
        <v/>
      </c>
      <c r="E709" s="25" t="str">
        <f t="array" ref="E709">IF(OR(LEFT(C709,1)="(",COUNTA(C709)=0),"",INDEX(Honor!$O$2:$O998,MATCH(C709,Honor!$A$2:$A998,0)))</f>
        <v/>
      </c>
      <c r="F709" s="25"/>
      <c r="G709" s="25"/>
      <c r="H709" s="25"/>
      <c r="I709" s="25"/>
      <c r="J709" s="25"/>
      <c r="K709" s="25"/>
      <c r="L709" s="25"/>
      <c r="M709" s="25"/>
      <c r="N709" s="25"/>
      <c r="O709" s="25"/>
      <c r="P709" s="25"/>
      <c r="Q709" s="25"/>
      <c r="R709" s="25"/>
      <c r="S709" s="25"/>
      <c r="T709" s="25"/>
      <c r="U709" s="25"/>
      <c r="V709" s="25"/>
      <c r="W709" s="25"/>
      <c r="X709" s="25"/>
    </row>
    <row r="710" spans="1:24" ht="13">
      <c r="A710" s="25"/>
      <c r="B710" s="25"/>
      <c r="C710" s="25"/>
      <c r="D710" s="25" t="str">
        <f t="array" ref="D710">IF(OR(LEFT(C710,1)="(",COUNTA(C710)=0),"", INDEX(Honor!$B$2:$B998,MATCH(C710,Honor!$A$2:$A998,0)))</f>
        <v/>
      </c>
      <c r="E710" s="25" t="str">
        <f t="array" ref="E710">IF(OR(LEFT(C710,1)="(",COUNTA(C710)=0),"",INDEX(Honor!$O$2:$O998,MATCH(C710,Honor!$A$2:$A998,0)))</f>
        <v/>
      </c>
      <c r="F710" s="25"/>
      <c r="G710" s="25"/>
      <c r="H710" s="25"/>
      <c r="I710" s="25"/>
      <c r="J710" s="25"/>
      <c r="K710" s="25"/>
      <c r="L710" s="25"/>
      <c r="M710" s="25"/>
      <c r="N710" s="25"/>
      <c r="O710" s="25"/>
      <c r="P710" s="25"/>
      <c r="Q710" s="25"/>
      <c r="R710" s="25"/>
      <c r="S710" s="25"/>
      <c r="T710" s="25"/>
      <c r="U710" s="25"/>
      <c r="V710" s="25"/>
      <c r="W710" s="25"/>
      <c r="X710" s="25"/>
    </row>
    <row r="711" spans="1:24" ht="13">
      <c r="A711" s="25"/>
      <c r="B711" s="25"/>
      <c r="C711" s="25"/>
      <c r="D711" s="25" t="str">
        <f t="array" ref="D711">IF(OR(LEFT(C711,1)="(",COUNTA(C711)=0),"", INDEX(Honor!$B$2:$B998,MATCH(C711,Honor!$A$2:$A998,0)))</f>
        <v/>
      </c>
      <c r="E711" s="25" t="str">
        <f t="array" ref="E711">IF(OR(LEFT(C711,1)="(",COUNTA(C711)=0),"",INDEX(Honor!$O$2:$O998,MATCH(C711,Honor!$A$2:$A998,0)))</f>
        <v/>
      </c>
      <c r="F711" s="25"/>
      <c r="G711" s="25"/>
      <c r="H711" s="25"/>
      <c r="I711" s="25"/>
      <c r="J711" s="25"/>
      <c r="K711" s="25"/>
      <c r="L711" s="25"/>
      <c r="M711" s="25"/>
      <c r="N711" s="25"/>
      <c r="O711" s="25"/>
      <c r="P711" s="25"/>
      <c r="Q711" s="25"/>
      <c r="R711" s="25"/>
      <c r="S711" s="25"/>
      <c r="T711" s="25"/>
      <c r="U711" s="25"/>
      <c r="V711" s="25"/>
      <c r="W711" s="25"/>
      <c r="X711" s="25"/>
    </row>
    <row r="712" spans="1:24" ht="13">
      <c r="A712" s="25"/>
      <c r="B712" s="25"/>
      <c r="C712" s="25"/>
      <c r="D712" s="25" t="str">
        <f t="array" ref="D712">IF(OR(LEFT(C712,1)="(",COUNTA(C712)=0),"", INDEX(Honor!$B$2:$B998,MATCH(C712,Honor!$A$2:$A998,0)))</f>
        <v/>
      </c>
      <c r="E712" s="25" t="str">
        <f t="array" ref="E712">IF(OR(LEFT(C712,1)="(",COUNTA(C712)=0),"",INDEX(Honor!$O$2:$O998,MATCH(C712,Honor!$A$2:$A998,0)))</f>
        <v/>
      </c>
      <c r="F712" s="25"/>
      <c r="G712" s="25"/>
      <c r="H712" s="25"/>
      <c r="I712" s="25"/>
      <c r="J712" s="25"/>
      <c r="K712" s="25"/>
      <c r="L712" s="25"/>
      <c r="M712" s="25"/>
      <c r="N712" s="25"/>
      <c r="O712" s="25"/>
      <c r="P712" s="25"/>
      <c r="Q712" s="25"/>
      <c r="R712" s="25"/>
      <c r="S712" s="25"/>
      <c r="T712" s="25"/>
      <c r="U712" s="25"/>
      <c r="V712" s="25"/>
      <c r="W712" s="25"/>
      <c r="X712" s="25"/>
    </row>
    <row r="713" spans="1:24" ht="13">
      <c r="A713" s="25"/>
      <c r="B713" s="25"/>
      <c r="C713" s="25"/>
      <c r="D713" s="25" t="str">
        <f t="array" ref="D713">IF(OR(LEFT(C713,1)="(",COUNTA(C713)=0),"", INDEX(Honor!$B$2:$B998,MATCH(C713,Honor!$A$2:$A998,0)))</f>
        <v/>
      </c>
      <c r="E713" s="25" t="str">
        <f t="array" ref="E713">IF(OR(LEFT(C713,1)="(",COUNTA(C713)=0),"",INDEX(Honor!$O$2:$O998,MATCH(C713,Honor!$A$2:$A998,0)))</f>
        <v/>
      </c>
      <c r="F713" s="25"/>
      <c r="G713" s="25"/>
      <c r="H713" s="25"/>
      <c r="I713" s="25"/>
      <c r="J713" s="25"/>
      <c r="K713" s="25"/>
      <c r="L713" s="25"/>
      <c r="M713" s="25"/>
      <c r="N713" s="25"/>
      <c r="O713" s="25"/>
      <c r="P713" s="25"/>
      <c r="Q713" s="25"/>
      <c r="R713" s="25"/>
      <c r="S713" s="25"/>
      <c r="T713" s="25"/>
      <c r="U713" s="25"/>
      <c r="V713" s="25"/>
      <c r="W713" s="25"/>
      <c r="X713" s="25"/>
    </row>
    <row r="714" spans="1:24" ht="13">
      <c r="A714" s="25"/>
      <c r="B714" s="25"/>
      <c r="C714" s="25"/>
      <c r="D714" s="25" t="str">
        <f t="array" ref="D714">IF(OR(LEFT(C714,1)="(",COUNTA(C714)=0),"", INDEX(Honor!$B$2:$B998,MATCH(C714,Honor!$A$2:$A998,0)))</f>
        <v/>
      </c>
      <c r="E714" s="25" t="str">
        <f t="array" ref="E714">IF(OR(LEFT(C714,1)="(",COUNTA(C714)=0),"",INDEX(Honor!$O$2:$O998,MATCH(C714,Honor!$A$2:$A998,0)))</f>
        <v/>
      </c>
      <c r="F714" s="25"/>
      <c r="G714" s="25"/>
      <c r="H714" s="25"/>
      <c r="I714" s="25"/>
      <c r="J714" s="25"/>
      <c r="K714" s="25"/>
      <c r="L714" s="25"/>
      <c r="M714" s="25"/>
      <c r="N714" s="25"/>
      <c r="O714" s="25"/>
      <c r="P714" s="25"/>
      <c r="Q714" s="25"/>
      <c r="R714" s="25"/>
      <c r="S714" s="25"/>
      <c r="T714" s="25"/>
      <c r="U714" s="25"/>
      <c r="V714" s="25"/>
      <c r="W714" s="25"/>
      <c r="X714" s="25"/>
    </row>
    <row r="715" spans="1:24" ht="13">
      <c r="A715" s="25"/>
      <c r="B715" s="25"/>
      <c r="C715" s="25"/>
      <c r="D715" s="25" t="str">
        <f t="array" ref="D715">IF(OR(LEFT(C715,1)="(",COUNTA(C715)=0),"", INDEX(Honor!$B$2:$B998,MATCH(C715,Honor!$A$2:$A998,0)))</f>
        <v/>
      </c>
      <c r="E715" s="25" t="str">
        <f t="array" ref="E715">IF(OR(LEFT(C715,1)="(",COUNTA(C715)=0),"",INDEX(Honor!$O$2:$O998,MATCH(C715,Honor!$A$2:$A998,0)))</f>
        <v/>
      </c>
      <c r="F715" s="25"/>
      <c r="G715" s="25"/>
      <c r="H715" s="25"/>
      <c r="I715" s="25"/>
      <c r="J715" s="25"/>
      <c r="K715" s="25"/>
      <c r="L715" s="25"/>
      <c r="M715" s="25"/>
      <c r="N715" s="25"/>
      <c r="O715" s="25"/>
      <c r="P715" s="25"/>
      <c r="Q715" s="25"/>
      <c r="R715" s="25"/>
      <c r="S715" s="25"/>
      <c r="T715" s="25"/>
      <c r="U715" s="25"/>
      <c r="V715" s="25"/>
      <c r="W715" s="25"/>
      <c r="X715" s="25"/>
    </row>
    <row r="716" spans="1:24" ht="13">
      <c r="A716" s="25"/>
      <c r="B716" s="25"/>
      <c r="C716" s="25"/>
      <c r="D716" s="25" t="str">
        <f t="array" ref="D716">IF(OR(LEFT(C716,1)="(",COUNTA(C716)=0),"", INDEX(Honor!$B$2:$B998,MATCH(C716,Honor!$A$2:$A998,0)))</f>
        <v/>
      </c>
      <c r="E716" s="25" t="str">
        <f t="array" ref="E716">IF(OR(LEFT(C716,1)="(",COUNTA(C716)=0),"",INDEX(Honor!$O$2:$O998,MATCH(C716,Honor!$A$2:$A998,0)))</f>
        <v/>
      </c>
      <c r="F716" s="25"/>
      <c r="G716" s="25"/>
      <c r="H716" s="25"/>
      <c r="I716" s="25"/>
      <c r="J716" s="25"/>
      <c r="K716" s="25"/>
      <c r="L716" s="25"/>
      <c r="M716" s="25"/>
      <c r="N716" s="25"/>
      <c r="O716" s="25"/>
      <c r="P716" s="25"/>
      <c r="Q716" s="25"/>
      <c r="R716" s="25"/>
      <c r="S716" s="25"/>
      <c r="T716" s="25"/>
      <c r="U716" s="25"/>
      <c r="V716" s="25"/>
      <c r="W716" s="25"/>
      <c r="X716" s="25"/>
    </row>
    <row r="717" spans="1:24" ht="13">
      <c r="A717" s="25"/>
      <c r="B717" s="25"/>
      <c r="C717" s="25"/>
      <c r="D717" s="25" t="str">
        <f t="array" ref="D717">IF(OR(LEFT(C717,1)="(",COUNTA(C717)=0),"", INDEX(Honor!$B$2:$B998,MATCH(C717,Honor!$A$2:$A998,0)))</f>
        <v/>
      </c>
      <c r="E717" s="25" t="str">
        <f t="array" ref="E717">IF(OR(LEFT(C717,1)="(",COUNTA(C717)=0),"",INDEX(Honor!$O$2:$O998,MATCH(C717,Honor!$A$2:$A998,0)))</f>
        <v/>
      </c>
      <c r="F717" s="25"/>
      <c r="G717" s="25"/>
      <c r="H717" s="25"/>
      <c r="I717" s="25"/>
      <c r="J717" s="25"/>
      <c r="K717" s="25"/>
      <c r="L717" s="25"/>
      <c r="M717" s="25"/>
      <c r="N717" s="25"/>
      <c r="O717" s="25"/>
      <c r="P717" s="25"/>
      <c r="Q717" s="25"/>
      <c r="R717" s="25"/>
      <c r="S717" s="25"/>
      <c r="T717" s="25"/>
      <c r="U717" s="25"/>
      <c r="V717" s="25"/>
      <c r="W717" s="25"/>
      <c r="X717" s="25"/>
    </row>
    <row r="718" spans="1:24" ht="13">
      <c r="A718" s="25"/>
      <c r="B718" s="25"/>
      <c r="C718" s="25"/>
      <c r="D718" s="25" t="str">
        <f t="array" ref="D718">IF(OR(LEFT(C718,1)="(",COUNTA(C718)=0),"", INDEX(Honor!$B$2:$B998,MATCH(C718,Honor!$A$2:$A998,0)))</f>
        <v/>
      </c>
      <c r="E718" s="25" t="str">
        <f t="array" ref="E718">IF(OR(LEFT(C718,1)="(",COUNTA(C718)=0),"",INDEX(Honor!$O$2:$O998,MATCH(C718,Honor!$A$2:$A998,0)))</f>
        <v/>
      </c>
      <c r="F718" s="25"/>
      <c r="G718" s="25"/>
      <c r="H718" s="25"/>
      <c r="I718" s="25"/>
      <c r="J718" s="25"/>
      <c r="K718" s="25"/>
      <c r="L718" s="25"/>
      <c r="M718" s="25"/>
      <c r="N718" s="25"/>
      <c r="O718" s="25"/>
      <c r="P718" s="25"/>
      <c r="Q718" s="25"/>
      <c r="R718" s="25"/>
      <c r="S718" s="25"/>
      <c r="T718" s="25"/>
      <c r="U718" s="25"/>
      <c r="V718" s="25"/>
      <c r="W718" s="25"/>
      <c r="X718" s="25"/>
    </row>
    <row r="719" spans="1:24" ht="13">
      <c r="A719" s="25"/>
      <c r="B719" s="25"/>
      <c r="C719" s="25"/>
      <c r="D719" s="25" t="str">
        <f t="array" ref="D719">IF(OR(LEFT(C719,1)="(",COUNTA(C719)=0),"", INDEX(Honor!$B$2:$B998,MATCH(C719,Honor!$A$2:$A998,0)))</f>
        <v/>
      </c>
      <c r="E719" s="25" t="str">
        <f t="array" ref="E719">IF(OR(LEFT(C719,1)="(",COUNTA(C719)=0),"",INDEX(Honor!$O$2:$O998,MATCH(C719,Honor!$A$2:$A998,0)))</f>
        <v/>
      </c>
      <c r="F719" s="25"/>
      <c r="G719" s="25"/>
      <c r="H719" s="25"/>
      <c r="I719" s="25"/>
      <c r="J719" s="25"/>
      <c r="K719" s="25"/>
      <c r="L719" s="25"/>
      <c r="M719" s="25"/>
      <c r="N719" s="25"/>
      <c r="O719" s="25"/>
      <c r="P719" s="25"/>
      <c r="Q719" s="25"/>
      <c r="R719" s="25"/>
      <c r="S719" s="25"/>
      <c r="T719" s="25"/>
      <c r="U719" s="25"/>
      <c r="V719" s="25"/>
      <c r="W719" s="25"/>
      <c r="X719" s="25"/>
    </row>
    <row r="720" spans="1:24" ht="13">
      <c r="A720" s="25"/>
      <c r="B720" s="25"/>
      <c r="C720" s="25"/>
      <c r="D720" s="25" t="str">
        <f t="array" ref="D720">IF(OR(LEFT(C720,1)="(",COUNTA(C720)=0),"", INDEX(Honor!$B$2:$B998,MATCH(C720,Honor!$A$2:$A998,0)))</f>
        <v/>
      </c>
      <c r="E720" s="25" t="str">
        <f t="array" ref="E720">IF(OR(LEFT(C720,1)="(",COUNTA(C720)=0),"",INDEX(Honor!$O$2:$O998,MATCH(C720,Honor!$A$2:$A998,0)))</f>
        <v/>
      </c>
      <c r="F720" s="25"/>
      <c r="G720" s="25"/>
      <c r="H720" s="25"/>
      <c r="I720" s="25"/>
      <c r="J720" s="25"/>
      <c r="K720" s="25"/>
      <c r="L720" s="25"/>
      <c r="M720" s="25"/>
      <c r="N720" s="25"/>
      <c r="O720" s="25"/>
      <c r="P720" s="25"/>
      <c r="Q720" s="25"/>
      <c r="R720" s="25"/>
      <c r="S720" s="25"/>
      <c r="T720" s="25"/>
      <c r="U720" s="25"/>
      <c r="V720" s="25"/>
      <c r="W720" s="25"/>
      <c r="X720" s="25"/>
    </row>
    <row r="721" spans="1:24" ht="13">
      <c r="A721" s="25"/>
      <c r="B721" s="25"/>
      <c r="C721" s="25"/>
      <c r="D721" s="25" t="str">
        <f t="array" ref="D721">IF(OR(LEFT(C721,1)="(",COUNTA(C721)=0),"", INDEX(Honor!$B$2:$B998,MATCH(C721,Honor!$A$2:$A998,0)))</f>
        <v/>
      </c>
      <c r="E721" s="25" t="str">
        <f t="array" ref="E721">IF(OR(LEFT(C721,1)="(",COUNTA(C721)=0),"",INDEX(Honor!$O$2:$O998,MATCH(C721,Honor!$A$2:$A998,0)))</f>
        <v/>
      </c>
      <c r="F721" s="25"/>
      <c r="G721" s="25"/>
      <c r="H721" s="25"/>
      <c r="I721" s="25"/>
      <c r="J721" s="25"/>
      <c r="K721" s="25"/>
      <c r="L721" s="25"/>
      <c r="M721" s="25"/>
      <c r="N721" s="25"/>
      <c r="O721" s="25"/>
      <c r="P721" s="25"/>
      <c r="Q721" s="25"/>
      <c r="R721" s="25"/>
      <c r="S721" s="25"/>
      <c r="T721" s="25"/>
      <c r="U721" s="25"/>
      <c r="V721" s="25"/>
      <c r="W721" s="25"/>
      <c r="X721" s="25"/>
    </row>
    <row r="722" spans="1:24" ht="13">
      <c r="A722" s="25"/>
      <c r="B722" s="25"/>
      <c r="C722" s="25"/>
      <c r="D722" s="25" t="str">
        <f t="array" ref="D722">IF(OR(LEFT(C722,1)="(",COUNTA(C722)=0),"", INDEX(Honor!$B$2:$B998,MATCH(C722,Honor!$A$2:$A998,0)))</f>
        <v/>
      </c>
      <c r="E722" s="25" t="str">
        <f t="array" ref="E722">IF(OR(LEFT(C722,1)="(",COUNTA(C722)=0),"",INDEX(Honor!$O$2:$O998,MATCH(C722,Honor!$A$2:$A998,0)))</f>
        <v/>
      </c>
      <c r="F722" s="25"/>
      <c r="G722" s="25"/>
      <c r="H722" s="25"/>
      <c r="I722" s="25"/>
      <c r="J722" s="25"/>
      <c r="K722" s="25"/>
      <c r="L722" s="25"/>
      <c r="M722" s="25"/>
      <c r="N722" s="25"/>
      <c r="O722" s="25"/>
      <c r="P722" s="25"/>
      <c r="Q722" s="25"/>
      <c r="R722" s="25"/>
      <c r="S722" s="25"/>
      <c r="T722" s="25"/>
      <c r="U722" s="25"/>
      <c r="V722" s="25"/>
      <c r="W722" s="25"/>
      <c r="X722" s="25"/>
    </row>
    <row r="723" spans="1:24" ht="13">
      <c r="A723" s="25"/>
      <c r="B723" s="25"/>
      <c r="C723" s="25"/>
      <c r="D723" s="25" t="str">
        <f t="array" ref="D723">IF(OR(LEFT(C723,1)="(",COUNTA(C723)=0),"", INDEX(Honor!$B$2:$B998,MATCH(C723,Honor!$A$2:$A998,0)))</f>
        <v/>
      </c>
      <c r="E723" s="25" t="str">
        <f t="array" ref="E723">IF(OR(LEFT(C723,1)="(",COUNTA(C723)=0),"",INDEX(Honor!$O$2:$O998,MATCH(C723,Honor!$A$2:$A998,0)))</f>
        <v/>
      </c>
      <c r="F723" s="25"/>
      <c r="G723" s="25"/>
      <c r="H723" s="25"/>
      <c r="I723" s="25"/>
      <c r="J723" s="25"/>
      <c r="K723" s="25"/>
      <c r="L723" s="25"/>
      <c r="M723" s="25"/>
      <c r="N723" s="25"/>
      <c r="O723" s="25"/>
      <c r="P723" s="25"/>
      <c r="Q723" s="25"/>
      <c r="R723" s="25"/>
      <c r="S723" s="25"/>
      <c r="T723" s="25"/>
      <c r="U723" s="25"/>
      <c r="V723" s="25"/>
      <c r="W723" s="25"/>
      <c r="X723" s="25"/>
    </row>
    <row r="724" spans="1:24" ht="13">
      <c r="A724" s="25"/>
      <c r="B724" s="25"/>
      <c r="C724" s="25"/>
      <c r="D724" s="25" t="str">
        <f t="array" ref="D724">IF(OR(LEFT(C724,1)="(",COUNTA(C724)=0),"", INDEX(Honor!$B$2:$B998,MATCH(C724,Honor!$A$2:$A998,0)))</f>
        <v/>
      </c>
      <c r="E724" s="25" t="str">
        <f t="array" ref="E724">IF(OR(LEFT(C724,1)="(",COUNTA(C724)=0),"",INDEX(Honor!$O$2:$O998,MATCH(C724,Honor!$A$2:$A998,0)))</f>
        <v/>
      </c>
      <c r="F724" s="25"/>
      <c r="G724" s="25"/>
      <c r="H724" s="25"/>
      <c r="I724" s="25"/>
      <c r="J724" s="25"/>
      <c r="K724" s="25"/>
      <c r="L724" s="25"/>
      <c r="M724" s="25"/>
      <c r="N724" s="25"/>
      <c r="O724" s="25"/>
      <c r="P724" s="25"/>
      <c r="Q724" s="25"/>
      <c r="R724" s="25"/>
      <c r="S724" s="25"/>
      <c r="T724" s="25"/>
      <c r="U724" s="25"/>
      <c r="V724" s="25"/>
      <c r="W724" s="25"/>
      <c r="X724" s="25"/>
    </row>
    <row r="725" spans="1:24" ht="13">
      <c r="A725" s="25"/>
      <c r="B725" s="25"/>
      <c r="C725" s="25"/>
      <c r="D725" s="25" t="str">
        <f t="array" ref="D725">IF(OR(LEFT(C725,1)="(",COUNTA(C725)=0),"", INDEX(Honor!$B$2:$B998,MATCH(C725,Honor!$A$2:$A998,0)))</f>
        <v/>
      </c>
      <c r="E725" s="25" t="str">
        <f t="array" ref="E725">IF(OR(LEFT(C725,1)="(",COUNTA(C725)=0),"",INDEX(Honor!$O$2:$O998,MATCH(C725,Honor!$A$2:$A998,0)))</f>
        <v/>
      </c>
      <c r="F725" s="25"/>
      <c r="G725" s="25"/>
      <c r="H725" s="25"/>
      <c r="I725" s="25"/>
      <c r="J725" s="25"/>
      <c r="K725" s="25"/>
      <c r="L725" s="25"/>
      <c r="M725" s="25"/>
      <c r="N725" s="25"/>
      <c r="O725" s="25"/>
      <c r="P725" s="25"/>
      <c r="Q725" s="25"/>
      <c r="R725" s="25"/>
      <c r="S725" s="25"/>
      <c r="T725" s="25"/>
      <c r="U725" s="25"/>
      <c r="V725" s="25"/>
      <c r="W725" s="25"/>
      <c r="X725" s="25"/>
    </row>
    <row r="726" spans="1:24" ht="13">
      <c r="A726" s="25"/>
      <c r="B726" s="25"/>
      <c r="C726" s="25"/>
      <c r="D726" s="25" t="str">
        <f t="array" ref="D726">IF(OR(LEFT(C726,1)="(",COUNTA(C726)=0),"", INDEX(Honor!$B$2:$B998,MATCH(C726,Honor!$A$2:$A998,0)))</f>
        <v/>
      </c>
      <c r="E726" s="25" t="str">
        <f t="array" ref="E726">IF(OR(LEFT(C726,1)="(",COUNTA(C726)=0),"",INDEX(Honor!$O$2:$O998,MATCH(C726,Honor!$A$2:$A998,0)))</f>
        <v/>
      </c>
      <c r="F726" s="25"/>
      <c r="G726" s="25"/>
      <c r="H726" s="25"/>
      <c r="I726" s="25"/>
      <c r="J726" s="25"/>
      <c r="K726" s="25"/>
      <c r="L726" s="25"/>
      <c r="M726" s="25"/>
      <c r="N726" s="25"/>
      <c r="O726" s="25"/>
      <c r="P726" s="25"/>
      <c r="Q726" s="25"/>
      <c r="R726" s="25"/>
      <c r="S726" s="25"/>
      <c r="T726" s="25"/>
      <c r="U726" s="25"/>
      <c r="V726" s="25"/>
      <c r="W726" s="25"/>
      <c r="X726" s="25"/>
    </row>
    <row r="727" spans="1:24" ht="13">
      <c r="A727" s="25"/>
      <c r="B727" s="25"/>
      <c r="C727" s="25"/>
      <c r="D727" s="25" t="str">
        <f t="array" ref="D727">IF(OR(LEFT(C727,1)="(",COUNTA(C727)=0),"", INDEX(Honor!$B$2:$B998,MATCH(C727,Honor!$A$2:$A998,0)))</f>
        <v/>
      </c>
      <c r="E727" s="25" t="str">
        <f t="array" ref="E727">IF(OR(LEFT(C727,1)="(",COUNTA(C727)=0),"",INDEX(Honor!$O$2:$O998,MATCH(C727,Honor!$A$2:$A998,0)))</f>
        <v/>
      </c>
      <c r="F727" s="25"/>
      <c r="G727" s="25"/>
      <c r="H727" s="25"/>
      <c r="I727" s="25"/>
      <c r="J727" s="25"/>
      <c r="K727" s="25"/>
      <c r="L727" s="25"/>
      <c r="M727" s="25"/>
      <c r="N727" s="25"/>
      <c r="O727" s="25"/>
      <c r="P727" s="25"/>
      <c r="Q727" s="25"/>
      <c r="R727" s="25"/>
      <c r="S727" s="25"/>
      <c r="T727" s="25"/>
      <c r="U727" s="25"/>
      <c r="V727" s="25"/>
      <c r="W727" s="25"/>
      <c r="X727" s="25"/>
    </row>
    <row r="728" spans="1:24" ht="13">
      <c r="A728" s="25"/>
      <c r="B728" s="25"/>
      <c r="C728" s="25"/>
      <c r="D728" s="25" t="str">
        <f t="array" ref="D728">IF(OR(LEFT(C728,1)="(",COUNTA(C728)=0),"", INDEX(Honor!$B$2:$B998,MATCH(C728,Honor!$A$2:$A998,0)))</f>
        <v/>
      </c>
      <c r="E728" s="25" t="str">
        <f t="array" ref="E728">IF(OR(LEFT(C728,1)="(",COUNTA(C728)=0),"",INDEX(Honor!$O$2:$O998,MATCH(C728,Honor!$A$2:$A998,0)))</f>
        <v/>
      </c>
      <c r="F728" s="25"/>
      <c r="G728" s="25"/>
      <c r="H728" s="25"/>
      <c r="I728" s="25"/>
      <c r="J728" s="25"/>
      <c r="K728" s="25"/>
      <c r="L728" s="25"/>
      <c r="M728" s="25"/>
      <c r="N728" s="25"/>
      <c r="O728" s="25"/>
      <c r="P728" s="25"/>
      <c r="Q728" s="25"/>
      <c r="R728" s="25"/>
      <c r="S728" s="25"/>
      <c r="T728" s="25"/>
      <c r="U728" s="25"/>
      <c r="V728" s="25"/>
      <c r="W728" s="25"/>
      <c r="X728" s="25"/>
    </row>
    <row r="729" spans="1:24" ht="13">
      <c r="A729" s="25"/>
      <c r="B729" s="25"/>
      <c r="C729" s="25"/>
      <c r="D729" s="25" t="str">
        <f t="array" ref="D729">IF(OR(LEFT(C729,1)="(",COUNTA(C729)=0),"", INDEX(Honor!$B$2:$B998,MATCH(C729,Honor!$A$2:$A998,0)))</f>
        <v/>
      </c>
      <c r="E729" s="25" t="str">
        <f t="array" ref="E729">IF(OR(LEFT(C729,1)="(",COUNTA(C729)=0),"",INDEX(Honor!$O$2:$O998,MATCH(C729,Honor!$A$2:$A998,0)))</f>
        <v/>
      </c>
      <c r="F729" s="25"/>
      <c r="G729" s="25"/>
      <c r="H729" s="25"/>
      <c r="I729" s="25"/>
      <c r="J729" s="25"/>
      <c r="K729" s="25"/>
      <c r="L729" s="25"/>
      <c r="M729" s="25"/>
      <c r="N729" s="25"/>
      <c r="O729" s="25"/>
      <c r="P729" s="25"/>
      <c r="Q729" s="25"/>
      <c r="R729" s="25"/>
      <c r="S729" s="25"/>
      <c r="T729" s="25"/>
      <c r="U729" s="25"/>
      <c r="V729" s="25"/>
      <c r="W729" s="25"/>
      <c r="X729" s="25"/>
    </row>
    <row r="730" spans="1:24" ht="13">
      <c r="A730" s="25"/>
      <c r="B730" s="25"/>
      <c r="C730" s="25"/>
      <c r="D730" s="25" t="str">
        <f t="array" ref="D730">IF(OR(LEFT(C730,1)="(",COUNTA(C730)=0),"", INDEX(Honor!$B$2:$B998,MATCH(C730,Honor!$A$2:$A998,0)))</f>
        <v/>
      </c>
      <c r="E730" s="25" t="str">
        <f t="array" ref="E730">IF(OR(LEFT(C730,1)="(",COUNTA(C730)=0),"",INDEX(Honor!$O$2:$O998,MATCH(C730,Honor!$A$2:$A998,0)))</f>
        <v/>
      </c>
      <c r="F730" s="25"/>
      <c r="G730" s="25"/>
      <c r="H730" s="25"/>
      <c r="I730" s="25"/>
      <c r="J730" s="25"/>
      <c r="K730" s="25"/>
      <c r="L730" s="25"/>
      <c r="M730" s="25"/>
      <c r="N730" s="25"/>
      <c r="O730" s="25"/>
      <c r="P730" s="25"/>
      <c r="Q730" s="25"/>
      <c r="R730" s="25"/>
      <c r="S730" s="25"/>
      <c r="T730" s="25"/>
      <c r="U730" s="25"/>
      <c r="V730" s="25"/>
      <c r="W730" s="25"/>
      <c r="X730" s="25"/>
    </row>
    <row r="731" spans="1:24" ht="13">
      <c r="A731" s="25"/>
      <c r="B731" s="25"/>
      <c r="C731" s="25"/>
      <c r="D731" s="25" t="str">
        <f t="array" ref="D731">IF(OR(LEFT(C731,1)="(",COUNTA(C731)=0),"", INDEX(Honor!$B$2:$B998,MATCH(C731,Honor!$A$2:$A998,0)))</f>
        <v/>
      </c>
      <c r="E731" s="25" t="str">
        <f t="array" ref="E731">IF(OR(LEFT(C731,1)="(",COUNTA(C731)=0),"",INDEX(Honor!$O$2:$O998,MATCH(C731,Honor!$A$2:$A998,0)))</f>
        <v/>
      </c>
      <c r="F731" s="25"/>
      <c r="G731" s="25"/>
      <c r="H731" s="25"/>
      <c r="I731" s="25"/>
      <c r="J731" s="25"/>
      <c r="K731" s="25"/>
      <c r="L731" s="25"/>
      <c r="M731" s="25"/>
      <c r="N731" s="25"/>
      <c r="O731" s="25"/>
      <c r="P731" s="25"/>
      <c r="Q731" s="25"/>
      <c r="R731" s="25"/>
      <c r="S731" s="25"/>
      <c r="T731" s="25"/>
      <c r="U731" s="25"/>
      <c r="V731" s="25"/>
      <c r="W731" s="25"/>
      <c r="X731" s="25"/>
    </row>
    <row r="732" spans="1:24" ht="13">
      <c r="A732" s="25"/>
      <c r="B732" s="25"/>
      <c r="C732" s="25"/>
      <c r="D732" s="25" t="str">
        <f t="array" ref="D732">IF(OR(LEFT(C732,1)="(",COUNTA(C732)=0),"", INDEX(Honor!$B$2:$B998,MATCH(C732,Honor!$A$2:$A998,0)))</f>
        <v/>
      </c>
      <c r="E732" s="25" t="str">
        <f t="array" ref="E732">IF(OR(LEFT(C732,1)="(",COUNTA(C732)=0),"",INDEX(Honor!$O$2:$O998,MATCH(C732,Honor!$A$2:$A998,0)))</f>
        <v/>
      </c>
      <c r="F732" s="25"/>
      <c r="G732" s="25"/>
      <c r="H732" s="25"/>
      <c r="I732" s="25"/>
      <c r="J732" s="25"/>
      <c r="K732" s="25"/>
      <c r="L732" s="25"/>
      <c r="M732" s="25"/>
      <c r="N732" s="25"/>
      <c r="O732" s="25"/>
      <c r="P732" s="25"/>
      <c r="Q732" s="25"/>
      <c r="R732" s="25"/>
      <c r="S732" s="25"/>
      <c r="T732" s="25"/>
      <c r="U732" s="25"/>
      <c r="V732" s="25"/>
      <c r="W732" s="25"/>
      <c r="X732" s="25"/>
    </row>
    <row r="733" spans="1:24" ht="13">
      <c r="A733" s="25"/>
      <c r="B733" s="25"/>
      <c r="C733" s="25"/>
      <c r="D733" s="25" t="str">
        <f t="array" ref="D733">IF(OR(LEFT(C733,1)="(",COUNTA(C733)=0),"", INDEX(Honor!$B$2:$B998,MATCH(C733,Honor!$A$2:$A998,0)))</f>
        <v/>
      </c>
      <c r="E733" s="25" t="str">
        <f t="array" ref="E733">IF(OR(LEFT(C733,1)="(",COUNTA(C733)=0),"",INDEX(Honor!$O$2:$O998,MATCH(C733,Honor!$A$2:$A998,0)))</f>
        <v/>
      </c>
      <c r="F733" s="25"/>
      <c r="G733" s="25"/>
      <c r="H733" s="25"/>
      <c r="I733" s="25"/>
      <c r="J733" s="25"/>
      <c r="K733" s="25"/>
      <c r="L733" s="25"/>
      <c r="M733" s="25"/>
      <c r="N733" s="25"/>
      <c r="O733" s="25"/>
      <c r="P733" s="25"/>
      <c r="Q733" s="25"/>
      <c r="R733" s="25"/>
      <c r="S733" s="25"/>
      <c r="T733" s="25"/>
      <c r="U733" s="25"/>
      <c r="V733" s="25"/>
      <c r="W733" s="25"/>
      <c r="X733" s="25"/>
    </row>
    <row r="734" spans="1:24" ht="13">
      <c r="A734" s="25"/>
      <c r="B734" s="25"/>
      <c r="C734" s="25"/>
      <c r="D734" s="25" t="str">
        <f t="array" ref="D734">IF(OR(LEFT(C734,1)="(",COUNTA(C734)=0),"", INDEX(Honor!$B$2:$B998,MATCH(C734,Honor!$A$2:$A998,0)))</f>
        <v/>
      </c>
      <c r="E734" s="25" t="str">
        <f t="array" ref="E734">IF(OR(LEFT(C734,1)="(",COUNTA(C734)=0),"",INDEX(Honor!$O$2:$O998,MATCH(C734,Honor!$A$2:$A998,0)))</f>
        <v/>
      </c>
      <c r="F734" s="25"/>
      <c r="G734" s="25"/>
      <c r="H734" s="25"/>
      <c r="I734" s="25"/>
      <c r="J734" s="25"/>
      <c r="K734" s="25"/>
      <c r="L734" s="25"/>
      <c r="M734" s="25"/>
      <c r="N734" s="25"/>
      <c r="O734" s="25"/>
      <c r="P734" s="25"/>
      <c r="Q734" s="25"/>
      <c r="R734" s="25"/>
      <c r="S734" s="25"/>
      <c r="T734" s="25"/>
      <c r="U734" s="25"/>
      <c r="V734" s="25"/>
      <c r="W734" s="25"/>
      <c r="X734" s="25"/>
    </row>
    <row r="735" spans="1:24" ht="13">
      <c r="A735" s="25"/>
      <c r="B735" s="25"/>
      <c r="C735" s="25"/>
      <c r="D735" s="25" t="str">
        <f t="array" ref="D735">IF(OR(LEFT(C735,1)="(",COUNTA(C735)=0),"", INDEX(Honor!$B$2:$B998,MATCH(C735,Honor!$A$2:$A998,0)))</f>
        <v/>
      </c>
      <c r="E735" s="25" t="str">
        <f t="array" ref="E735">IF(OR(LEFT(C735,1)="(",COUNTA(C735)=0),"",INDEX(Honor!$O$2:$O998,MATCH(C735,Honor!$A$2:$A998,0)))</f>
        <v/>
      </c>
      <c r="F735" s="25"/>
      <c r="G735" s="25"/>
      <c r="H735" s="25"/>
      <c r="I735" s="25"/>
      <c r="J735" s="25"/>
      <c r="K735" s="25"/>
      <c r="L735" s="25"/>
      <c r="M735" s="25"/>
      <c r="N735" s="25"/>
      <c r="O735" s="25"/>
      <c r="P735" s="25"/>
      <c r="Q735" s="25"/>
      <c r="R735" s="25"/>
      <c r="S735" s="25"/>
      <c r="T735" s="25"/>
      <c r="U735" s="25"/>
      <c r="V735" s="25"/>
      <c r="W735" s="25"/>
      <c r="X735" s="25"/>
    </row>
    <row r="736" spans="1:24" ht="13">
      <c r="A736" s="25"/>
      <c r="B736" s="25"/>
      <c r="C736" s="25"/>
      <c r="D736" s="25" t="str">
        <f t="array" ref="D736">IF(OR(LEFT(C736,1)="(",COUNTA(C736)=0),"", INDEX(Honor!$B$2:$B998,MATCH(C736,Honor!$A$2:$A998,0)))</f>
        <v/>
      </c>
      <c r="E736" s="25" t="str">
        <f t="array" ref="E736">IF(OR(LEFT(C736,1)="(",COUNTA(C736)=0),"",INDEX(Honor!$O$2:$O998,MATCH(C736,Honor!$A$2:$A998,0)))</f>
        <v/>
      </c>
      <c r="F736" s="25"/>
      <c r="G736" s="25"/>
      <c r="H736" s="25"/>
      <c r="I736" s="25"/>
      <c r="J736" s="25"/>
      <c r="K736" s="25"/>
      <c r="L736" s="25"/>
      <c r="M736" s="25"/>
      <c r="N736" s="25"/>
      <c r="O736" s="25"/>
      <c r="P736" s="25"/>
      <c r="Q736" s="25"/>
      <c r="R736" s="25"/>
      <c r="S736" s="25"/>
      <c r="T736" s="25"/>
      <c r="U736" s="25"/>
      <c r="V736" s="25"/>
      <c r="W736" s="25"/>
      <c r="X736" s="25"/>
    </row>
    <row r="737" spans="1:24" ht="13">
      <c r="A737" s="25"/>
      <c r="B737" s="25"/>
      <c r="C737" s="25"/>
      <c r="D737" s="25" t="str">
        <f t="array" ref="D737">IF(OR(LEFT(C737,1)="(",COUNTA(C737)=0),"", INDEX(Honor!$B$2:$B998,MATCH(C737,Honor!$A$2:$A998,0)))</f>
        <v/>
      </c>
      <c r="E737" s="25" t="str">
        <f t="array" ref="E737">IF(OR(LEFT(C737,1)="(",COUNTA(C737)=0),"",INDEX(Honor!$O$2:$O998,MATCH(C737,Honor!$A$2:$A998,0)))</f>
        <v/>
      </c>
      <c r="F737" s="25"/>
      <c r="G737" s="25"/>
      <c r="H737" s="25"/>
      <c r="I737" s="25"/>
      <c r="J737" s="25"/>
      <c r="K737" s="25"/>
      <c r="L737" s="25"/>
      <c r="M737" s="25"/>
      <c r="N737" s="25"/>
      <c r="O737" s="25"/>
      <c r="P737" s="25"/>
      <c r="Q737" s="25"/>
      <c r="R737" s="25"/>
      <c r="S737" s="25"/>
      <c r="T737" s="25"/>
      <c r="U737" s="25"/>
      <c r="V737" s="25"/>
      <c r="W737" s="25"/>
      <c r="X737" s="25"/>
    </row>
    <row r="738" spans="1:24" ht="13">
      <c r="A738" s="25"/>
      <c r="B738" s="25"/>
      <c r="C738" s="25"/>
      <c r="D738" s="25" t="str">
        <f t="array" ref="D738">IF(OR(LEFT(C738,1)="(",COUNTA(C738)=0),"", INDEX(Honor!$B$2:$B998,MATCH(C738,Honor!$A$2:$A998,0)))</f>
        <v/>
      </c>
      <c r="E738" s="25" t="str">
        <f t="array" ref="E738">IF(OR(LEFT(C738,1)="(",COUNTA(C738)=0),"",INDEX(Honor!$O$2:$O998,MATCH(C738,Honor!$A$2:$A998,0)))</f>
        <v/>
      </c>
      <c r="F738" s="25"/>
      <c r="G738" s="25"/>
      <c r="H738" s="25"/>
      <c r="I738" s="25"/>
      <c r="J738" s="25"/>
      <c r="K738" s="25"/>
      <c r="L738" s="25"/>
      <c r="M738" s="25"/>
      <c r="N738" s="25"/>
      <c r="O738" s="25"/>
      <c r="P738" s="25"/>
      <c r="Q738" s="25"/>
      <c r="R738" s="25"/>
      <c r="S738" s="25"/>
      <c r="T738" s="25"/>
      <c r="U738" s="25"/>
      <c r="V738" s="25"/>
      <c r="W738" s="25"/>
      <c r="X738" s="25"/>
    </row>
    <row r="739" spans="1:24" ht="13">
      <c r="A739" s="25"/>
      <c r="B739" s="25"/>
      <c r="C739" s="25"/>
      <c r="D739" s="25" t="str">
        <f t="array" ref="D739">IF(OR(LEFT(C739,1)="(",COUNTA(C739)=0),"", INDEX(Honor!$B$2:$B998,MATCH(C739,Honor!$A$2:$A998,0)))</f>
        <v/>
      </c>
      <c r="E739" s="25" t="str">
        <f t="array" ref="E739">IF(OR(LEFT(C739,1)="(",COUNTA(C739)=0),"",INDEX(Honor!$O$2:$O998,MATCH(C739,Honor!$A$2:$A998,0)))</f>
        <v/>
      </c>
      <c r="F739" s="25"/>
      <c r="G739" s="25"/>
      <c r="H739" s="25"/>
      <c r="I739" s="25"/>
      <c r="J739" s="25"/>
      <c r="K739" s="25"/>
      <c r="L739" s="25"/>
      <c r="M739" s="25"/>
      <c r="N739" s="25"/>
      <c r="O739" s="25"/>
      <c r="P739" s="25"/>
      <c r="Q739" s="25"/>
      <c r="R739" s="25"/>
      <c r="S739" s="25"/>
      <c r="T739" s="25"/>
      <c r="U739" s="25"/>
      <c r="V739" s="25"/>
      <c r="W739" s="25"/>
      <c r="X739" s="25"/>
    </row>
    <row r="740" spans="1:24" ht="13">
      <c r="A740" s="25"/>
      <c r="B740" s="25"/>
      <c r="C740" s="25"/>
      <c r="D740" s="25" t="str">
        <f t="array" ref="D740">IF(OR(LEFT(C740,1)="(",COUNTA(C740)=0),"", INDEX(Honor!$B$2:$B998,MATCH(C740,Honor!$A$2:$A998,0)))</f>
        <v/>
      </c>
      <c r="E740" s="25" t="str">
        <f t="array" ref="E740">IF(OR(LEFT(C740,1)="(",COUNTA(C740)=0),"",INDEX(Honor!$O$2:$O998,MATCH(C740,Honor!$A$2:$A998,0)))</f>
        <v/>
      </c>
      <c r="F740" s="25"/>
      <c r="G740" s="25"/>
      <c r="H740" s="25"/>
      <c r="I740" s="25"/>
      <c r="J740" s="25"/>
      <c r="K740" s="25"/>
      <c r="L740" s="25"/>
      <c r="M740" s="25"/>
      <c r="N740" s="25"/>
      <c r="O740" s="25"/>
      <c r="P740" s="25"/>
      <c r="Q740" s="25"/>
      <c r="R740" s="25"/>
      <c r="S740" s="25"/>
      <c r="T740" s="25"/>
      <c r="U740" s="25"/>
      <c r="V740" s="25"/>
      <c r="W740" s="25"/>
      <c r="X740" s="25"/>
    </row>
    <row r="741" spans="1:24" ht="13">
      <c r="A741" s="25"/>
      <c r="B741" s="25"/>
      <c r="C741" s="25"/>
      <c r="D741" s="25" t="str">
        <f t="array" ref="D741">IF(OR(LEFT(C741,1)="(",COUNTA(C741)=0),"", INDEX(Honor!$B$2:$B998,MATCH(C741,Honor!$A$2:$A998,0)))</f>
        <v/>
      </c>
      <c r="E741" s="25" t="str">
        <f t="array" ref="E741">IF(OR(LEFT(C741,1)="(",COUNTA(C741)=0),"",INDEX(Honor!$O$2:$O998,MATCH(C741,Honor!$A$2:$A998,0)))</f>
        <v/>
      </c>
      <c r="F741" s="25"/>
      <c r="G741" s="25"/>
      <c r="H741" s="25"/>
      <c r="I741" s="25"/>
      <c r="J741" s="25"/>
      <c r="K741" s="25"/>
      <c r="L741" s="25"/>
      <c r="M741" s="25"/>
      <c r="N741" s="25"/>
      <c r="O741" s="25"/>
      <c r="P741" s="25"/>
      <c r="Q741" s="25"/>
      <c r="R741" s="25"/>
      <c r="S741" s="25"/>
      <c r="T741" s="25"/>
      <c r="U741" s="25"/>
      <c r="V741" s="25"/>
      <c r="W741" s="25"/>
      <c r="X741" s="25"/>
    </row>
    <row r="742" spans="1:24" ht="13">
      <c r="A742" s="25"/>
      <c r="B742" s="25"/>
      <c r="C742" s="25"/>
      <c r="D742" s="25" t="str">
        <f t="array" ref="D742">IF(OR(LEFT(C742,1)="(",COUNTA(C742)=0),"", INDEX(Honor!$B$2:$B998,MATCH(C742,Honor!$A$2:$A998,0)))</f>
        <v/>
      </c>
      <c r="E742" s="25" t="str">
        <f t="array" ref="E742">IF(OR(LEFT(C742,1)="(",COUNTA(C742)=0),"",INDEX(Honor!$O$2:$O998,MATCH(C742,Honor!$A$2:$A998,0)))</f>
        <v/>
      </c>
      <c r="F742" s="25"/>
      <c r="G742" s="25"/>
      <c r="H742" s="25"/>
      <c r="I742" s="25"/>
      <c r="J742" s="25"/>
      <c r="K742" s="25"/>
      <c r="L742" s="25"/>
      <c r="M742" s="25"/>
      <c r="N742" s="25"/>
      <c r="O742" s="25"/>
      <c r="P742" s="25"/>
      <c r="Q742" s="25"/>
      <c r="R742" s="25"/>
      <c r="S742" s="25"/>
      <c r="T742" s="25"/>
      <c r="U742" s="25"/>
      <c r="V742" s="25"/>
      <c r="W742" s="25"/>
      <c r="X742" s="25"/>
    </row>
    <row r="743" spans="1:24" ht="13">
      <c r="A743" s="25"/>
      <c r="B743" s="25"/>
      <c r="C743" s="25"/>
      <c r="D743" s="25" t="str">
        <f t="array" ref="D743">IF(OR(LEFT(C743,1)="(",COUNTA(C743)=0),"", INDEX(Honor!$B$2:$B998,MATCH(C743,Honor!$A$2:$A998,0)))</f>
        <v/>
      </c>
      <c r="E743" s="25" t="str">
        <f t="array" ref="E743">IF(OR(LEFT(C743,1)="(",COUNTA(C743)=0),"",INDEX(Honor!$O$2:$O998,MATCH(C743,Honor!$A$2:$A998,0)))</f>
        <v/>
      </c>
      <c r="F743" s="25"/>
      <c r="G743" s="25"/>
      <c r="H743" s="25"/>
      <c r="I743" s="25"/>
      <c r="J743" s="25"/>
      <c r="K743" s="25"/>
      <c r="L743" s="25"/>
      <c r="M743" s="25"/>
      <c r="N743" s="25"/>
      <c r="O743" s="25"/>
      <c r="P743" s="25"/>
      <c r="Q743" s="25"/>
      <c r="R743" s="25"/>
      <c r="S743" s="25"/>
      <c r="T743" s="25"/>
      <c r="U743" s="25"/>
      <c r="V743" s="25"/>
      <c r="W743" s="25"/>
      <c r="X743" s="25"/>
    </row>
    <row r="744" spans="1:24" ht="13">
      <c r="A744" s="25"/>
      <c r="B744" s="25"/>
      <c r="C744" s="25"/>
      <c r="D744" s="25" t="str">
        <f t="array" ref="D744">IF(OR(LEFT(C744,1)="(",COUNTA(C744)=0),"", INDEX(Honor!$B$2:$B998,MATCH(C744,Honor!$A$2:$A998,0)))</f>
        <v/>
      </c>
      <c r="E744" s="25" t="str">
        <f t="array" ref="E744">IF(OR(LEFT(C744,1)="(",COUNTA(C744)=0),"",INDEX(Honor!$O$2:$O998,MATCH(C744,Honor!$A$2:$A998,0)))</f>
        <v/>
      </c>
      <c r="F744" s="25"/>
      <c r="G744" s="25"/>
      <c r="H744" s="25"/>
      <c r="I744" s="25"/>
      <c r="J744" s="25"/>
      <c r="K744" s="25"/>
      <c r="L744" s="25"/>
      <c r="M744" s="25"/>
      <c r="N744" s="25"/>
      <c r="O744" s="25"/>
      <c r="P744" s="25"/>
      <c r="Q744" s="25"/>
      <c r="R744" s="25"/>
      <c r="S744" s="25"/>
      <c r="T744" s="25"/>
      <c r="U744" s="25"/>
      <c r="V744" s="25"/>
      <c r="W744" s="25"/>
      <c r="X744" s="25"/>
    </row>
    <row r="745" spans="1:24" ht="13">
      <c r="A745" s="25"/>
      <c r="B745" s="25"/>
      <c r="C745" s="25"/>
      <c r="D745" s="25" t="str">
        <f t="array" ref="D745">IF(OR(LEFT(C745,1)="(",COUNTA(C745)=0),"", INDEX(Honor!$B$2:$B998,MATCH(C745,Honor!$A$2:$A998,0)))</f>
        <v/>
      </c>
      <c r="E745" s="25" t="str">
        <f t="array" ref="E745">IF(OR(LEFT(C745,1)="(",COUNTA(C745)=0),"",INDEX(Honor!$O$2:$O998,MATCH(C745,Honor!$A$2:$A998,0)))</f>
        <v/>
      </c>
      <c r="F745" s="25"/>
      <c r="G745" s="25"/>
      <c r="H745" s="25"/>
      <c r="I745" s="25"/>
      <c r="J745" s="25"/>
      <c r="K745" s="25"/>
      <c r="L745" s="25"/>
      <c r="M745" s="25"/>
      <c r="N745" s="25"/>
      <c r="O745" s="25"/>
      <c r="P745" s="25"/>
      <c r="Q745" s="25"/>
      <c r="R745" s="25"/>
      <c r="S745" s="25"/>
      <c r="T745" s="25"/>
      <c r="U745" s="25"/>
      <c r="V745" s="25"/>
      <c r="W745" s="25"/>
      <c r="X745" s="25"/>
    </row>
    <row r="746" spans="1:24" ht="13">
      <c r="A746" s="25"/>
      <c r="B746" s="25"/>
      <c r="C746" s="25"/>
      <c r="D746" s="25" t="str">
        <f t="array" ref="D746">IF(OR(LEFT(C746,1)="(",COUNTA(C746)=0),"", INDEX(Honor!$B$2:$B998,MATCH(C746,Honor!$A$2:$A998,0)))</f>
        <v/>
      </c>
      <c r="E746" s="25" t="str">
        <f t="array" ref="E746">IF(OR(LEFT(C746,1)="(",COUNTA(C746)=0),"",INDEX(Honor!$O$2:$O998,MATCH(C746,Honor!$A$2:$A998,0)))</f>
        <v/>
      </c>
      <c r="F746" s="25"/>
      <c r="G746" s="25"/>
      <c r="H746" s="25"/>
      <c r="I746" s="25"/>
      <c r="J746" s="25"/>
      <c r="K746" s="25"/>
      <c r="L746" s="25"/>
      <c r="M746" s="25"/>
      <c r="N746" s="25"/>
      <c r="O746" s="25"/>
      <c r="P746" s="25"/>
      <c r="Q746" s="25"/>
      <c r="R746" s="25"/>
      <c r="S746" s="25"/>
      <c r="T746" s="25"/>
      <c r="U746" s="25"/>
      <c r="V746" s="25"/>
      <c r="W746" s="25"/>
      <c r="X746" s="25"/>
    </row>
    <row r="747" spans="1:24" ht="13">
      <c r="A747" s="25"/>
      <c r="B747" s="25"/>
      <c r="C747" s="25"/>
      <c r="D747" s="25" t="str">
        <f t="array" ref="D747">IF(OR(LEFT(C747,1)="(",COUNTA(C747)=0),"", INDEX(Honor!$B$2:$B998,MATCH(C747,Honor!$A$2:$A998,0)))</f>
        <v/>
      </c>
      <c r="E747" s="25" t="str">
        <f t="array" ref="E747">IF(OR(LEFT(C747,1)="(",COUNTA(C747)=0),"",INDEX(Honor!$O$2:$O998,MATCH(C747,Honor!$A$2:$A998,0)))</f>
        <v/>
      </c>
      <c r="F747" s="25"/>
      <c r="G747" s="25"/>
      <c r="H747" s="25"/>
      <c r="I747" s="25"/>
      <c r="J747" s="25"/>
      <c r="K747" s="25"/>
      <c r="L747" s="25"/>
      <c r="M747" s="25"/>
      <c r="N747" s="25"/>
      <c r="O747" s="25"/>
      <c r="P747" s="25"/>
      <c r="Q747" s="25"/>
      <c r="R747" s="25"/>
      <c r="S747" s="25"/>
      <c r="T747" s="25"/>
      <c r="U747" s="25"/>
      <c r="V747" s="25"/>
      <c r="W747" s="25"/>
      <c r="X747" s="25"/>
    </row>
    <row r="748" spans="1:24" ht="13">
      <c r="A748" s="25"/>
      <c r="B748" s="25"/>
      <c r="C748" s="25"/>
      <c r="D748" s="25" t="str">
        <f t="array" ref="D748">IF(OR(LEFT(C748,1)="(",COUNTA(C748)=0),"", INDEX(Honor!$B$2:$B998,MATCH(C748,Honor!$A$2:$A998,0)))</f>
        <v/>
      </c>
      <c r="E748" s="25" t="str">
        <f t="array" ref="E748">IF(OR(LEFT(C748,1)="(",COUNTA(C748)=0),"",INDEX(Honor!$O$2:$O998,MATCH(C748,Honor!$A$2:$A998,0)))</f>
        <v/>
      </c>
      <c r="F748" s="25"/>
      <c r="G748" s="25"/>
      <c r="H748" s="25"/>
      <c r="I748" s="25"/>
      <c r="J748" s="25"/>
      <c r="K748" s="25"/>
      <c r="L748" s="25"/>
      <c r="M748" s="25"/>
      <c r="N748" s="25"/>
      <c r="O748" s="25"/>
      <c r="P748" s="25"/>
      <c r="Q748" s="25"/>
      <c r="R748" s="25"/>
      <c r="S748" s="25"/>
      <c r="T748" s="25"/>
      <c r="U748" s="25"/>
      <c r="V748" s="25"/>
      <c r="W748" s="25"/>
      <c r="X748" s="25"/>
    </row>
    <row r="749" spans="1:24" ht="13">
      <c r="A749" s="25"/>
      <c r="B749" s="25"/>
      <c r="C749" s="25"/>
      <c r="D749" s="25" t="str">
        <f t="array" ref="D749">IF(OR(LEFT(C749,1)="(",COUNTA(C749)=0),"", INDEX(Honor!$B$2:$B998,MATCH(C749,Honor!$A$2:$A998,0)))</f>
        <v/>
      </c>
      <c r="E749" s="25" t="str">
        <f t="array" ref="E749">IF(OR(LEFT(C749,1)="(",COUNTA(C749)=0),"",INDEX(Honor!$O$2:$O998,MATCH(C749,Honor!$A$2:$A998,0)))</f>
        <v/>
      </c>
      <c r="F749" s="25"/>
      <c r="G749" s="25"/>
      <c r="H749" s="25"/>
      <c r="I749" s="25"/>
      <c r="J749" s="25"/>
      <c r="K749" s="25"/>
      <c r="L749" s="25"/>
      <c r="M749" s="25"/>
      <c r="N749" s="25"/>
      <c r="O749" s="25"/>
      <c r="P749" s="25"/>
      <c r="Q749" s="25"/>
      <c r="R749" s="25"/>
      <c r="S749" s="25"/>
      <c r="T749" s="25"/>
      <c r="U749" s="25"/>
      <c r="V749" s="25"/>
      <c r="W749" s="25"/>
      <c r="X749" s="25"/>
    </row>
    <row r="750" spans="1:24" ht="13">
      <c r="A750" s="25"/>
      <c r="B750" s="25"/>
      <c r="C750" s="25"/>
      <c r="D750" s="25" t="str">
        <f t="array" ref="D750">IF(OR(LEFT(C750,1)="(",COUNTA(C750)=0),"", INDEX(Honor!$B$2:$B998,MATCH(C750,Honor!$A$2:$A998,0)))</f>
        <v/>
      </c>
      <c r="E750" s="25" t="str">
        <f t="array" ref="E750">IF(OR(LEFT(C750,1)="(",COUNTA(C750)=0),"",INDEX(Honor!$O$2:$O998,MATCH(C750,Honor!$A$2:$A998,0)))</f>
        <v/>
      </c>
      <c r="F750" s="25"/>
      <c r="G750" s="25"/>
      <c r="H750" s="25"/>
      <c r="I750" s="25"/>
      <c r="J750" s="25"/>
      <c r="K750" s="25"/>
      <c r="L750" s="25"/>
      <c r="M750" s="25"/>
      <c r="N750" s="25"/>
      <c r="O750" s="25"/>
      <c r="P750" s="25"/>
      <c r="Q750" s="25"/>
      <c r="R750" s="25"/>
      <c r="S750" s="25"/>
      <c r="T750" s="25"/>
      <c r="U750" s="25"/>
      <c r="V750" s="25"/>
      <c r="W750" s="25"/>
      <c r="X750" s="25"/>
    </row>
    <row r="751" spans="1:24" ht="13">
      <c r="A751" s="25"/>
      <c r="B751" s="25"/>
      <c r="C751" s="25"/>
      <c r="D751" s="25" t="str">
        <f t="array" ref="D751">IF(OR(LEFT(C751,1)="(",COUNTA(C751)=0),"", INDEX(Honor!$B$2:$B998,MATCH(C751,Honor!$A$2:$A998,0)))</f>
        <v/>
      </c>
      <c r="E751" s="25" t="str">
        <f t="array" ref="E751">IF(OR(LEFT(C751,1)="(",COUNTA(C751)=0),"",INDEX(Honor!$O$2:$O998,MATCH(C751,Honor!$A$2:$A998,0)))</f>
        <v/>
      </c>
      <c r="F751" s="25"/>
      <c r="G751" s="25"/>
      <c r="H751" s="25"/>
      <c r="I751" s="25"/>
      <c r="J751" s="25"/>
      <c r="K751" s="25"/>
      <c r="L751" s="25"/>
      <c r="M751" s="25"/>
      <c r="N751" s="25"/>
      <c r="O751" s="25"/>
      <c r="P751" s="25"/>
      <c r="Q751" s="25"/>
      <c r="R751" s="25"/>
      <c r="S751" s="25"/>
      <c r="T751" s="25"/>
      <c r="U751" s="25"/>
      <c r="V751" s="25"/>
      <c r="W751" s="25"/>
      <c r="X751" s="25"/>
    </row>
    <row r="752" spans="1:24" ht="13">
      <c r="A752" s="25"/>
      <c r="B752" s="25"/>
      <c r="C752" s="25"/>
      <c r="D752" s="25" t="str">
        <f t="array" ref="D752">IF(OR(LEFT(C752,1)="(",COUNTA(C752)=0),"", INDEX(Honor!$B$2:$B998,MATCH(C752,Honor!$A$2:$A998,0)))</f>
        <v/>
      </c>
      <c r="E752" s="25" t="str">
        <f t="array" ref="E752">IF(OR(LEFT(C752,1)="(",COUNTA(C752)=0),"",INDEX(Honor!$O$2:$O998,MATCH(C752,Honor!$A$2:$A998,0)))</f>
        <v/>
      </c>
      <c r="F752" s="25"/>
      <c r="G752" s="25"/>
      <c r="H752" s="25"/>
      <c r="I752" s="25"/>
      <c r="J752" s="25"/>
      <c r="K752" s="25"/>
      <c r="L752" s="25"/>
      <c r="M752" s="25"/>
      <c r="N752" s="25"/>
      <c r="O752" s="25"/>
      <c r="P752" s="25"/>
      <c r="Q752" s="25"/>
      <c r="R752" s="25"/>
      <c r="S752" s="25"/>
      <c r="T752" s="25"/>
      <c r="U752" s="25"/>
      <c r="V752" s="25"/>
      <c r="W752" s="25"/>
      <c r="X752" s="25"/>
    </row>
    <row r="753" spans="1:24" ht="13">
      <c r="A753" s="25"/>
      <c r="B753" s="25"/>
      <c r="C753" s="25"/>
      <c r="D753" s="25" t="str">
        <f t="array" ref="D753">IF(OR(LEFT(C753,1)="(",COUNTA(C753)=0),"", INDEX(Honor!$B$2:$B998,MATCH(C753,Honor!$A$2:$A998,0)))</f>
        <v/>
      </c>
      <c r="E753" s="25" t="str">
        <f t="array" ref="E753">IF(OR(LEFT(C753,1)="(",COUNTA(C753)=0),"",INDEX(Honor!$O$2:$O998,MATCH(C753,Honor!$A$2:$A998,0)))</f>
        <v/>
      </c>
      <c r="F753" s="25"/>
      <c r="G753" s="25"/>
      <c r="H753" s="25"/>
      <c r="I753" s="25"/>
      <c r="J753" s="25"/>
      <c r="K753" s="25"/>
      <c r="L753" s="25"/>
      <c r="M753" s="25"/>
      <c r="N753" s="25"/>
      <c r="O753" s="25"/>
      <c r="P753" s="25"/>
      <c r="Q753" s="25"/>
      <c r="R753" s="25"/>
      <c r="S753" s="25"/>
      <c r="T753" s="25"/>
      <c r="U753" s="25"/>
      <c r="V753" s="25"/>
      <c r="W753" s="25"/>
      <c r="X753" s="25"/>
    </row>
    <row r="754" spans="1:24" ht="13">
      <c r="A754" s="25"/>
      <c r="B754" s="25"/>
      <c r="C754" s="25"/>
      <c r="D754" s="25" t="str">
        <f t="array" ref="D754">IF(OR(LEFT(C754,1)="(",COUNTA(C754)=0),"", INDEX(Honor!$B$2:$B998,MATCH(C754,Honor!$A$2:$A998,0)))</f>
        <v/>
      </c>
      <c r="E754" s="25" t="str">
        <f t="array" ref="E754">IF(OR(LEFT(C754,1)="(",COUNTA(C754)=0),"",INDEX(Honor!$O$2:$O998,MATCH(C754,Honor!$A$2:$A998,0)))</f>
        <v/>
      </c>
      <c r="F754" s="25"/>
      <c r="G754" s="25"/>
      <c r="H754" s="25"/>
      <c r="I754" s="25"/>
      <c r="J754" s="25"/>
      <c r="K754" s="25"/>
      <c r="L754" s="25"/>
      <c r="M754" s="25"/>
      <c r="N754" s="25"/>
      <c r="O754" s="25"/>
      <c r="P754" s="25"/>
      <c r="Q754" s="25"/>
      <c r="R754" s="25"/>
      <c r="S754" s="25"/>
      <c r="T754" s="25"/>
      <c r="U754" s="25"/>
      <c r="V754" s="25"/>
      <c r="W754" s="25"/>
      <c r="X754" s="25"/>
    </row>
    <row r="755" spans="1:24" ht="13">
      <c r="A755" s="25"/>
      <c r="B755" s="25"/>
      <c r="C755" s="25"/>
      <c r="D755" s="25" t="str">
        <f t="array" ref="D755">IF(OR(LEFT(C755,1)="(",COUNTA(C755)=0),"", INDEX(Honor!$B$2:$B998,MATCH(C755,Honor!$A$2:$A998,0)))</f>
        <v/>
      </c>
      <c r="E755" s="25" t="str">
        <f t="array" ref="E755">IF(OR(LEFT(C755,1)="(",COUNTA(C755)=0),"",INDEX(Honor!$O$2:$O998,MATCH(C755,Honor!$A$2:$A998,0)))</f>
        <v/>
      </c>
      <c r="F755" s="25"/>
      <c r="G755" s="25"/>
      <c r="H755" s="25"/>
      <c r="I755" s="25"/>
      <c r="J755" s="25"/>
      <c r="K755" s="25"/>
      <c r="L755" s="25"/>
      <c r="M755" s="25"/>
      <c r="N755" s="25"/>
      <c r="O755" s="25"/>
      <c r="P755" s="25"/>
      <c r="Q755" s="25"/>
      <c r="R755" s="25"/>
      <c r="S755" s="25"/>
      <c r="T755" s="25"/>
      <c r="U755" s="25"/>
      <c r="V755" s="25"/>
      <c r="W755" s="25"/>
      <c r="X755" s="25"/>
    </row>
    <row r="756" spans="1:24" ht="13">
      <c r="A756" s="25"/>
      <c r="B756" s="25"/>
      <c r="C756" s="25"/>
      <c r="D756" s="25" t="str">
        <f t="array" ref="D756">IF(OR(LEFT(C756,1)="(",COUNTA(C756)=0),"", INDEX(Honor!$B$2:$B998,MATCH(C756,Honor!$A$2:$A998,0)))</f>
        <v/>
      </c>
      <c r="E756" s="25" t="str">
        <f t="array" ref="E756">IF(OR(LEFT(C756,1)="(",COUNTA(C756)=0),"",INDEX(Honor!$O$2:$O998,MATCH(C756,Honor!$A$2:$A998,0)))</f>
        <v/>
      </c>
      <c r="F756" s="25"/>
      <c r="G756" s="25"/>
      <c r="H756" s="25"/>
      <c r="I756" s="25"/>
      <c r="J756" s="25"/>
      <c r="K756" s="25"/>
      <c r="L756" s="25"/>
      <c r="M756" s="25"/>
      <c r="N756" s="25"/>
      <c r="O756" s="25"/>
      <c r="P756" s="25"/>
      <c r="Q756" s="25"/>
      <c r="R756" s="25"/>
      <c r="S756" s="25"/>
      <c r="T756" s="25"/>
      <c r="U756" s="25"/>
      <c r="V756" s="25"/>
      <c r="W756" s="25"/>
      <c r="X756" s="25"/>
    </row>
    <row r="757" spans="1:24" ht="13">
      <c r="A757" s="25"/>
      <c r="B757" s="25"/>
      <c r="C757" s="25"/>
      <c r="D757" s="25" t="str">
        <f t="array" ref="D757">IF(OR(LEFT(C757,1)="(",COUNTA(C757)=0),"", INDEX(Honor!$B$2:$B998,MATCH(C757,Honor!$A$2:$A998,0)))</f>
        <v/>
      </c>
      <c r="E757" s="25" t="str">
        <f t="array" ref="E757">IF(OR(LEFT(C757,1)="(",COUNTA(C757)=0),"",INDEX(Honor!$O$2:$O998,MATCH(C757,Honor!$A$2:$A998,0)))</f>
        <v/>
      </c>
      <c r="F757" s="25"/>
      <c r="G757" s="25"/>
      <c r="H757" s="25"/>
      <c r="I757" s="25"/>
      <c r="J757" s="25"/>
      <c r="K757" s="25"/>
      <c r="L757" s="25"/>
      <c r="M757" s="25"/>
      <c r="N757" s="25"/>
      <c r="O757" s="25"/>
      <c r="P757" s="25"/>
      <c r="Q757" s="25"/>
      <c r="R757" s="25"/>
      <c r="S757" s="25"/>
      <c r="T757" s="25"/>
      <c r="U757" s="25"/>
      <c r="V757" s="25"/>
      <c r="W757" s="25"/>
      <c r="X757" s="25"/>
    </row>
    <row r="758" spans="1:24" ht="13">
      <c r="A758" s="25"/>
      <c r="B758" s="25"/>
      <c r="C758" s="25"/>
      <c r="D758" s="25" t="str">
        <f t="array" ref="D758">IF(OR(LEFT(C758,1)="(",COUNTA(C758)=0),"", INDEX(Honor!$B$2:$B998,MATCH(C758,Honor!$A$2:$A998,0)))</f>
        <v/>
      </c>
      <c r="E758" s="25" t="str">
        <f t="array" ref="E758">IF(OR(LEFT(C758,1)="(",COUNTA(C758)=0),"",INDEX(Honor!$O$2:$O998,MATCH(C758,Honor!$A$2:$A998,0)))</f>
        <v/>
      </c>
      <c r="F758" s="25"/>
      <c r="G758" s="25"/>
      <c r="H758" s="25"/>
      <c r="I758" s="25"/>
      <c r="J758" s="25"/>
      <c r="K758" s="25"/>
      <c r="L758" s="25"/>
      <c r="M758" s="25"/>
      <c r="N758" s="25"/>
      <c r="O758" s="25"/>
      <c r="P758" s="25"/>
      <c r="Q758" s="25"/>
      <c r="R758" s="25"/>
      <c r="S758" s="25"/>
      <c r="T758" s="25"/>
      <c r="U758" s="25"/>
      <c r="V758" s="25"/>
      <c r="W758" s="25"/>
      <c r="X758" s="25"/>
    </row>
    <row r="759" spans="1:24" ht="13">
      <c r="A759" s="25"/>
      <c r="B759" s="25"/>
      <c r="C759" s="25"/>
      <c r="D759" s="25" t="str">
        <f t="array" ref="D759">IF(OR(LEFT(C759,1)="(",COUNTA(C759)=0),"", INDEX(Honor!$B$2:$B998,MATCH(C759,Honor!$A$2:$A998,0)))</f>
        <v/>
      </c>
      <c r="E759" s="25" t="str">
        <f t="array" ref="E759">IF(OR(LEFT(C759,1)="(",COUNTA(C759)=0),"",INDEX(Honor!$O$2:$O998,MATCH(C759,Honor!$A$2:$A998,0)))</f>
        <v/>
      </c>
      <c r="F759" s="25"/>
      <c r="G759" s="25"/>
      <c r="H759" s="25"/>
      <c r="I759" s="25"/>
      <c r="J759" s="25"/>
      <c r="K759" s="25"/>
      <c r="L759" s="25"/>
      <c r="M759" s="25"/>
      <c r="N759" s="25"/>
      <c r="O759" s="25"/>
      <c r="P759" s="25"/>
      <c r="Q759" s="25"/>
      <c r="R759" s="25"/>
      <c r="S759" s="25"/>
      <c r="T759" s="25"/>
      <c r="U759" s="25"/>
      <c r="V759" s="25"/>
      <c r="W759" s="25"/>
      <c r="X759" s="25"/>
    </row>
    <row r="760" spans="1:24" ht="13">
      <c r="A760" s="25"/>
      <c r="B760" s="25"/>
      <c r="C760" s="25"/>
      <c r="D760" s="25" t="str">
        <f t="array" ref="D760">IF(OR(LEFT(C760,1)="(",COUNTA(C760)=0),"", INDEX(Honor!$B$2:$B998,MATCH(C760,Honor!$A$2:$A998,0)))</f>
        <v/>
      </c>
      <c r="E760" s="25" t="str">
        <f t="array" ref="E760">IF(OR(LEFT(C760,1)="(",COUNTA(C760)=0),"",INDEX(Honor!$O$2:$O998,MATCH(C760,Honor!$A$2:$A998,0)))</f>
        <v/>
      </c>
      <c r="F760" s="25"/>
      <c r="G760" s="25"/>
      <c r="H760" s="25"/>
      <c r="I760" s="25"/>
      <c r="J760" s="25"/>
      <c r="K760" s="25"/>
      <c r="L760" s="25"/>
      <c r="M760" s="25"/>
      <c r="N760" s="25"/>
      <c r="O760" s="25"/>
      <c r="P760" s="25"/>
      <c r="Q760" s="25"/>
      <c r="R760" s="25"/>
      <c r="S760" s="25"/>
      <c r="T760" s="25"/>
      <c r="U760" s="25"/>
      <c r="V760" s="25"/>
      <c r="W760" s="25"/>
      <c r="X760" s="25"/>
    </row>
    <row r="761" spans="1:24" ht="13">
      <c r="A761" s="25"/>
      <c r="B761" s="25"/>
      <c r="C761" s="25"/>
      <c r="D761" s="25" t="str">
        <f t="array" ref="D761">IF(OR(LEFT(C761,1)="(",COUNTA(C761)=0),"", INDEX(Honor!$B$2:$B998,MATCH(C761,Honor!$A$2:$A998,0)))</f>
        <v/>
      </c>
      <c r="E761" s="25" t="str">
        <f t="array" ref="E761">IF(OR(LEFT(C761,1)="(",COUNTA(C761)=0),"",INDEX(Honor!$O$2:$O998,MATCH(C761,Honor!$A$2:$A998,0)))</f>
        <v/>
      </c>
      <c r="F761" s="25"/>
      <c r="G761" s="25"/>
      <c r="H761" s="25"/>
      <c r="I761" s="25"/>
      <c r="J761" s="25"/>
      <c r="K761" s="25"/>
      <c r="L761" s="25"/>
      <c r="M761" s="25"/>
      <c r="N761" s="25"/>
      <c r="O761" s="25"/>
      <c r="P761" s="25"/>
      <c r="Q761" s="25"/>
      <c r="R761" s="25"/>
      <c r="S761" s="25"/>
      <c r="T761" s="25"/>
      <c r="U761" s="25"/>
      <c r="V761" s="25"/>
      <c r="W761" s="25"/>
      <c r="X761" s="25"/>
    </row>
    <row r="762" spans="1:24" ht="13">
      <c r="A762" s="25"/>
      <c r="B762" s="25"/>
      <c r="C762" s="25"/>
      <c r="D762" s="25" t="str">
        <f t="array" ref="D762">IF(OR(LEFT(C762,1)="(",COUNTA(C762)=0),"", INDEX(Honor!$B$2:$B998,MATCH(C762,Honor!$A$2:$A998,0)))</f>
        <v/>
      </c>
      <c r="E762" s="25" t="str">
        <f t="array" ref="E762">IF(OR(LEFT(C762,1)="(",COUNTA(C762)=0),"",INDEX(Honor!$O$2:$O998,MATCH(C762,Honor!$A$2:$A998,0)))</f>
        <v/>
      </c>
      <c r="F762" s="25"/>
      <c r="G762" s="25"/>
      <c r="H762" s="25"/>
      <c r="I762" s="25"/>
      <c r="J762" s="25"/>
      <c r="K762" s="25"/>
      <c r="L762" s="25"/>
      <c r="M762" s="25"/>
      <c r="N762" s="25"/>
      <c r="O762" s="25"/>
      <c r="P762" s="25"/>
      <c r="Q762" s="25"/>
      <c r="R762" s="25"/>
      <c r="S762" s="25"/>
      <c r="T762" s="25"/>
      <c r="U762" s="25"/>
      <c r="V762" s="25"/>
      <c r="W762" s="25"/>
      <c r="X762" s="25"/>
    </row>
    <row r="763" spans="1:24" ht="13">
      <c r="A763" s="25"/>
      <c r="B763" s="25"/>
      <c r="C763" s="25"/>
      <c r="D763" s="25" t="str">
        <f t="array" ref="D763">IF(OR(LEFT(C763,1)="(",COUNTA(C763)=0),"", INDEX(Honor!$B$2:$B998,MATCH(C763,Honor!$A$2:$A998,0)))</f>
        <v/>
      </c>
      <c r="E763" s="25" t="str">
        <f t="array" ref="E763">IF(OR(LEFT(C763,1)="(",COUNTA(C763)=0),"",INDEX(Honor!$O$2:$O998,MATCH(C763,Honor!$A$2:$A998,0)))</f>
        <v/>
      </c>
      <c r="F763" s="25"/>
      <c r="G763" s="25"/>
      <c r="H763" s="25"/>
      <c r="I763" s="25"/>
      <c r="J763" s="25"/>
      <c r="K763" s="25"/>
      <c r="L763" s="25"/>
      <c r="M763" s="25"/>
      <c r="N763" s="25"/>
      <c r="O763" s="25"/>
      <c r="P763" s="25"/>
      <c r="Q763" s="25"/>
      <c r="R763" s="25"/>
      <c r="S763" s="25"/>
      <c r="T763" s="25"/>
      <c r="U763" s="25"/>
      <c r="V763" s="25"/>
      <c r="W763" s="25"/>
      <c r="X763" s="25"/>
    </row>
    <row r="764" spans="1:24" ht="13">
      <c r="A764" s="25"/>
      <c r="B764" s="25"/>
      <c r="C764" s="25"/>
      <c r="D764" s="25" t="str">
        <f t="array" ref="D764">IF(OR(LEFT(C764,1)="(",COUNTA(C764)=0),"", INDEX(Honor!$B$2:$B998,MATCH(C764,Honor!$A$2:$A998,0)))</f>
        <v/>
      </c>
      <c r="E764" s="25" t="str">
        <f t="array" ref="E764">IF(OR(LEFT(C764,1)="(",COUNTA(C764)=0),"",INDEX(Honor!$O$2:$O998,MATCH(C764,Honor!$A$2:$A998,0)))</f>
        <v/>
      </c>
      <c r="F764" s="25"/>
      <c r="G764" s="25"/>
      <c r="H764" s="25"/>
      <c r="I764" s="25"/>
      <c r="J764" s="25"/>
      <c r="K764" s="25"/>
      <c r="L764" s="25"/>
      <c r="M764" s="25"/>
      <c r="N764" s="25"/>
      <c r="O764" s="25"/>
      <c r="P764" s="25"/>
      <c r="Q764" s="25"/>
      <c r="R764" s="25"/>
      <c r="S764" s="25"/>
      <c r="T764" s="25"/>
      <c r="U764" s="25"/>
      <c r="V764" s="25"/>
      <c r="W764" s="25"/>
      <c r="X764" s="25"/>
    </row>
    <row r="765" spans="1:24" ht="13">
      <c r="A765" s="25"/>
      <c r="B765" s="25"/>
      <c r="C765" s="25"/>
      <c r="D765" s="25" t="str">
        <f t="array" ref="D765">IF(OR(LEFT(C765,1)="(",COUNTA(C765)=0),"", INDEX(Honor!$B$2:$B998,MATCH(C765,Honor!$A$2:$A998,0)))</f>
        <v/>
      </c>
      <c r="E765" s="25" t="str">
        <f t="array" ref="E765">IF(OR(LEFT(C765,1)="(",COUNTA(C765)=0),"",INDEX(Honor!$O$2:$O998,MATCH(C765,Honor!$A$2:$A998,0)))</f>
        <v/>
      </c>
      <c r="F765" s="25"/>
      <c r="G765" s="25"/>
      <c r="H765" s="25"/>
      <c r="I765" s="25"/>
      <c r="J765" s="25"/>
      <c r="K765" s="25"/>
      <c r="L765" s="25"/>
      <c r="M765" s="25"/>
      <c r="N765" s="25"/>
      <c r="O765" s="25"/>
      <c r="P765" s="25"/>
      <c r="Q765" s="25"/>
      <c r="R765" s="25"/>
      <c r="S765" s="25"/>
      <c r="T765" s="25"/>
      <c r="U765" s="25"/>
      <c r="V765" s="25"/>
      <c r="W765" s="25"/>
      <c r="X765" s="25"/>
    </row>
    <row r="766" spans="1:24" ht="13">
      <c r="A766" s="25"/>
      <c r="B766" s="25"/>
      <c r="C766" s="25"/>
      <c r="D766" s="25" t="str">
        <f t="array" ref="D766">IF(OR(LEFT(C766,1)="(",COUNTA(C766)=0),"", INDEX(Honor!$B$2:$B998,MATCH(C766,Honor!$A$2:$A998,0)))</f>
        <v/>
      </c>
      <c r="E766" s="25" t="str">
        <f t="array" ref="E766">IF(OR(LEFT(C766,1)="(",COUNTA(C766)=0),"",INDEX(Honor!$O$2:$O998,MATCH(C766,Honor!$A$2:$A998,0)))</f>
        <v/>
      </c>
      <c r="F766" s="25"/>
      <c r="G766" s="25"/>
      <c r="H766" s="25"/>
      <c r="I766" s="25"/>
      <c r="J766" s="25"/>
      <c r="K766" s="25"/>
      <c r="L766" s="25"/>
      <c r="M766" s="25"/>
      <c r="N766" s="25"/>
      <c r="O766" s="25"/>
      <c r="P766" s="25"/>
      <c r="Q766" s="25"/>
      <c r="R766" s="25"/>
      <c r="S766" s="25"/>
      <c r="T766" s="25"/>
      <c r="U766" s="25"/>
      <c r="V766" s="25"/>
      <c r="W766" s="25"/>
      <c r="X766" s="25"/>
    </row>
    <row r="767" spans="1:24" ht="13">
      <c r="A767" s="25"/>
      <c r="B767" s="25"/>
      <c r="C767" s="25"/>
      <c r="D767" s="25" t="str">
        <f t="array" ref="D767">IF(OR(LEFT(C767,1)="(",COUNTA(C767)=0),"", INDEX(Honor!$B$2:$B998,MATCH(C767,Honor!$A$2:$A998,0)))</f>
        <v/>
      </c>
      <c r="E767" s="25" t="str">
        <f t="array" ref="E767">IF(OR(LEFT(C767,1)="(",COUNTA(C767)=0),"",INDEX(Honor!$O$2:$O998,MATCH(C767,Honor!$A$2:$A998,0)))</f>
        <v/>
      </c>
      <c r="F767" s="25"/>
      <c r="G767" s="25"/>
      <c r="H767" s="25"/>
      <c r="I767" s="25"/>
      <c r="J767" s="25"/>
      <c r="K767" s="25"/>
      <c r="L767" s="25"/>
      <c r="M767" s="25"/>
      <c r="N767" s="25"/>
      <c r="O767" s="25"/>
      <c r="P767" s="25"/>
      <c r="Q767" s="25"/>
      <c r="R767" s="25"/>
      <c r="S767" s="25"/>
      <c r="T767" s="25"/>
      <c r="U767" s="25"/>
      <c r="V767" s="25"/>
      <c r="W767" s="25"/>
      <c r="X767" s="25"/>
    </row>
    <row r="768" spans="1:24" ht="13">
      <c r="A768" s="25"/>
      <c r="B768" s="25"/>
      <c r="C768" s="25"/>
      <c r="D768" s="25" t="str">
        <f t="array" ref="D768">IF(OR(LEFT(C768,1)="(",COUNTA(C768)=0),"", INDEX(Honor!$B$2:$B998,MATCH(C768,Honor!$A$2:$A998,0)))</f>
        <v/>
      </c>
      <c r="E768" s="25" t="str">
        <f t="array" ref="E768">IF(OR(LEFT(C768,1)="(",COUNTA(C768)=0),"",INDEX(Honor!$O$2:$O998,MATCH(C768,Honor!$A$2:$A998,0)))</f>
        <v/>
      </c>
      <c r="F768" s="25"/>
      <c r="G768" s="25"/>
      <c r="H768" s="25"/>
      <c r="I768" s="25"/>
      <c r="J768" s="25"/>
      <c r="K768" s="25"/>
      <c r="L768" s="25"/>
      <c r="M768" s="25"/>
      <c r="N768" s="25"/>
      <c r="O768" s="25"/>
      <c r="P768" s="25"/>
      <c r="Q768" s="25"/>
      <c r="R768" s="25"/>
      <c r="S768" s="25"/>
      <c r="T768" s="25"/>
      <c r="U768" s="25"/>
      <c r="V768" s="25"/>
      <c r="W768" s="25"/>
      <c r="X768" s="25"/>
    </row>
    <row r="769" spans="1:24" ht="13">
      <c r="A769" s="25"/>
      <c r="B769" s="25"/>
      <c r="C769" s="25"/>
      <c r="D769" s="25" t="str">
        <f t="array" ref="D769">IF(OR(LEFT(C769,1)="(",COUNTA(C769)=0),"", INDEX(Honor!$B$2:$B998,MATCH(C769,Honor!$A$2:$A998,0)))</f>
        <v/>
      </c>
      <c r="E769" s="25" t="str">
        <f t="array" ref="E769">IF(OR(LEFT(C769,1)="(",COUNTA(C769)=0),"",INDEX(Honor!$O$2:$O998,MATCH(C769,Honor!$A$2:$A998,0)))</f>
        <v/>
      </c>
      <c r="F769" s="25"/>
      <c r="G769" s="25"/>
      <c r="H769" s="25"/>
      <c r="I769" s="25"/>
      <c r="J769" s="25"/>
      <c r="K769" s="25"/>
      <c r="L769" s="25"/>
      <c r="M769" s="25"/>
      <c r="N769" s="25"/>
      <c r="O769" s="25"/>
      <c r="P769" s="25"/>
      <c r="Q769" s="25"/>
      <c r="R769" s="25"/>
      <c r="S769" s="25"/>
      <c r="T769" s="25"/>
      <c r="U769" s="25"/>
      <c r="V769" s="25"/>
      <c r="W769" s="25"/>
      <c r="X769" s="25"/>
    </row>
    <row r="770" spans="1:24" ht="13">
      <c r="A770" s="25"/>
      <c r="B770" s="25"/>
      <c r="C770" s="25"/>
      <c r="D770" s="25" t="str">
        <f t="array" ref="D770">IF(OR(LEFT(C770,1)="(",COUNTA(C770)=0),"", INDEX(Honor!$B$2:$B998,MATCH(C770,Honor!$A$2:$A998,0)))</f>
        <v/>
      </c>
      <c r="E770" s="25" t="str">
        <f t="array" ref="E770">IF(OR(LEFT(C770,1)="(",COUNTA(C770)=0),"",INDEX(Honor!$O$2:$O998,MATCH(C770,Honor!$A$2:$A998,0)))</f>
        <v/>
      </c>
      <c r="F770" s="25"/>
      <c r="G770" s="25"/>
      <c r="H770" s="25"/>
      <c r="I770" s="25"/>
      <c r="J770" s="25"/>
      <c r="K770" s="25"/>
      <c r="L770" s="25"/>
      <c r="M770" s="25"/>
      <c r="N770" s="25"/>
      <c r="O770" s="25"/>
      <c r="P770" s="25"/>
      <c r="Q770" s="25"/>
      <c r="R770" s="25"/>
      <c r="S770" s="25"/>
      <c r="T770" s="25"/>
      <c r="U770" s="25"/>
      <c r="V770" s="25"/>
      <c r="W770" s="25"/>
      <c r="X770" s="25"/>
    </row>
    <row r="771" spans="1:24" ht="13">
      <c r="A771" s="25"/>
      <c r="B771" s="25"/>
      <c r="C771" s="25"/>
      <c r="D771" s="25" t="str">
        <f t="array" ref="D771">IF(OR(LEFT(C771,1)="(",COUNTA(C771)=0),"", INDEX(Honor!$B$2:$B998,MATCH(C771,Honor!$A$2:$A998,0)))</f>
        <v/>
      </c>
      <c r="E771" s="25" t="str">
        <f t="array" ref="E771">IF(OR(LEFT(C771,1)="(",COUNTA(C771)=0),"",INDEX(Honor!$O$2:$O998,MATCH(C771,Honor!$A$2:$A998,0)))</f>
        <v/>
      </c>
      <c r="F771" s="25"/>
      <c r="G771" s="25"/>
      <c r="H771" s="25"/>
      <c r="I771" s="25"/>
      <c r="J771" s="25"/>
      <c r="K771" s="25"/>
      <c r="L771" s="25"/>
      <c r="M771" s="25"/>
      <c r="N771" s="25"/>
      <c r="O771" s="25"/>
      <c r="P771" s="25"/>
      <c r="Q771" s="25"/>
      <c r="R771" s="25"/>
      <c r="S771" s="25"/>
      <c r="T771" s="25"/>
      <c r="U771" s="25"/>
      <c r="V771" s="25"/>
      <c r="W771" s="25"/>
      <c r="X771" s="25"/>
    </row>
    <row r="772" spans="1:24" ht="13">
      <c r="A772" s="25"/>
      <c r="B772" s="25"/>
      <c r="C772" s="25"/>
      <c r="D772" s="25" t="str">
        <f t="array" ref="D772">IF(OR(LEFT(C772,1)="(",COUNTA(C772)=0),"", INDEX(Honor!$B$2:$B998,MATCH(C772,Honor!$A$2:$A998,0)))</f>
        <v/>
      </c>
      <c r="E772" s="25" t="str">
        <f t="array" ref="E772">IF(OR(LEFT(C772,1)="(",COUNTA(C772)=0),"",INDEX(Honor!$O$2:$O998,MATCH(C772,Honor!$A$2:$A998,0)))</f>
        <v/>
      </c>
      <c r="F772" s="25"/>
      <c r="G772" s="25"/>
      <c r="H772" s="25"/>
      <c r="I772" s="25"/>
      <c r="J772" s="25"/>
      <c r="K772" s="25"/>
      <c r="L772" s="25"/>
      <c r="M772" s="25"/>
      <c r="N772" s="25"/>
      <c r="O772" s="25"/>
      <c r="P772" s="25"/>
      <c r="Q772" s="25"/>
      <c r="R772" s="25"/>
      <c r="S772" s="25"/>
      <c r="T772" s="25"/>
      <c r="U772" s="25"/>
      <c r="V772" s="25"/>
      <c r="W772" s="25"/>
      <c r="X772" s="25"/>
    </row>
    <row r="773" spans="1:24" ht="13">
      <c r="A773" s="25"/>
      <c r="B773" s="25"/>
      <c r="C773" s="25"/>
      <c r="D773" s="25" t="str">
        <f t="array" ref="D773">IF(OR(LEFT(C773,1)="(",COUNTA(C773)=0),"", INDEX(Honor!$B$2:$B998,MATCH(C773,Honor!$A$2:$A998,0)))</f>
        <v/>
      </c>
      <c r="E773" s="25" t="str">
        <f t="array" ref="E773">IF(OR(LEFT(C773,1)="(",COUNTA(C773)=0),"",INDEX(Honor!$O$2:$O998,MATCH(C773,Honor!$A$2:$A998,0)))</f>
        <v/>
      </c>
      <c r="F773" s="25"/>
      <c r="G773" s="25"/>
      <c r="H773" s="25"/>
      <c r="I773" s="25"/>
      <c r="J773" s="25"/>
      <c r="K773" s="25"/>
      <c r="L773" s="25"/>
      <c r="M773" s="25"/>
      <c r="N773" s="25"/>
      <c r="O773" s="25"/>
      <c r="P773" s="25"/>
      <c r="Q773" s="25"/>
      <c r="R773" s="25"/>
      <c r="S773" s="25"/>
      <c r="T773" s="25"/>
      <c r="U773" s="25"/>
      <c r="V773" s="25"/>
      <c r="W773" s="25"/>
      <c r="X773" s="25"/>
    </row>
    <row r="774" spans="1:24" ht="13">
      <c r="A774" s="25"/>
      <c r="B774" s="25"/>
      <c r="C774" s="25"/>
      <c r="D774" s="25" t="str">
        <f t="array" ref="D774">IF(OR(LEFT(C774,1)="(",COUNTA(C774)=0),"", INDEX(Honor!$B$2:$B998,MATCH(C774,Honor!$A$2:$A998,0)))</f>
        <v/>
      </c>
      <c r="E774" s="25" t="str">
        <f t="array" ref="E774">IF(OR(LEFT(C774,1)="(",COUNTA(C774)=0),"",INDEX(Honor!$O$2:$O998,MATCH(C774,Honor!$A$2:$A998,0)))</f>
        <v/>
      </c>
      <c r="F774" s="25"/>
      <c r="G774" s="25"/>
      <c r="H774" s="25"/>
      <c r="I774" s="25"/>
      <c r="J774" s="25"/>
      <c r="K774" s="25"/>
      <c r="L774" s="25"/>
      <c r="M774" s="25"/>
      <c r="N774" s="25"/>
      <c r="O774" s="25"/>
      <c r="P774" s="25"/>
      <c r="Q774" s="25"/>
      <c r="R774" s="25"/>
      <c r="S774" s="25"/>
      <c r="T774" s="25"/>
      <c r="U774" s="25"/>
      <c r="V774" s="25"/>
      <c r="W774" s="25"/>
      <c r="X774" s="25"/>
    </row>
    <row r="775" spans="1:24" ht="13">
      <c r="A775" s="25"/>
      <c r="B775" s="25"/>
      <c r="C775" s="25"/>
      <c r="D775" s="25" t="str">
        <f t="array" ref="D775">IF(OR(LEFT(C775,1)="(",COUNTA(C775)=0),"", INDEX(Honor!$B$2:$B998,MATCH(C775,Honor!$A$2:$A998,0)))</f>
        <v/>
      </c>
      <c r="E775" s="25" t="str">
        <f t="array" ref="E775">IF(OR(LEFT(C775,1)="(",COUNTA(C775)=0),"",INDEX(Honor!$O$2:$O998,MATCH(C775,Honor!$A$2:$A998,0)))</f>
        <v/>
      </c>
      <c r="F775" s="25"/>
      <c r="G775" s="25"/>
      <c r="H775" s="25"/>
      <c r="I775" s="25"/>
      <c r="J775" s="25"/>
      <c r="K775" s="25"/>
      <c r="L775" s="25"/>
      <c r="M775" s="25"/>
      <c r="N775" s="25"/>
      <c r="O775" s="25"/>
      <c r="P775" s="25"/>
      <c r="Q775" s="25"/>
      <c r="R775" s="25"/>
      <c r="S775" s="25"/>
      <c r="T775" s="25"/>
      <c r="U775" s="25"/>
      <c r="V775" s="25"/>
      <c r="W775" s="25"/>
      <c r="X775" s="25"/>
    </row>
    <row r="776" spans="1:24" ht="13">
      <c r="A776" s="25"/>
      <c r="B776" s="25"/>
      <c r="C776" s="25"/>
      <c r="D776" s="25" t="str">
        <f t="array" ref="D776">IF(OR(LEFT(C776,1)="(",COUNTA(C776)=0),"", INDEX(Honor!$B$2:$B998,MATCH(C776,Honor!$A$2:$A998,0)))</f>
        <v/>
      </c>
      <c r="E776" s="25" t="str">
        <f t="array" ref="E776">IF(OR(LEFT(C776,1)="(",COUNTA(C776)=0),"",INDEX(Honor!$O$2:$O998,MATCH(C776,Honor!$A$2:$A998,0)))</f>
        <v/>
      </c>
      <c r="F776" s="25"/>
      <c r="G776" s="25"/>
      <c r="H776" s="25"/>
      <c r="I776" s="25"/>
      <c r="J776" s="25"/>
      <c r="K776" s="25"/>
      <c r="L776" s="25"/>
      <c r="M776" s="25"/>
      <c r="N776" s="25"/>
      <c r="O776" s="25"/>
      <c r="P776" s="25"/>
      <c r="Q776" s="25"/>
      <c r="R776" s="25"/>
      <c r="S776" s="25"/>
      <c r="T776" s="25"/>
      <c r="U776" s="25"/>
      <c r="V776" s="25"/>
      <c r="W776" s="25"/>
      <c r="X776" s="25"/>
    </row>
    <row r="777" spans="1:24" ht="13">
      <c r="A777" s="25"/>
      <c r="B777" s="25"/>
      <c r="C777" s="25"/>
      <c r="D777" s="25" t="str">
        <f t="array" ref="D777">IF(OR(LEFT(C777,1)="(",COUNTA(C777)=0),"", INDEX(Honor!$B$2:$B998,MATCH(C777,Honor!$A$2:$A998,0)))</f>
        <v/>
      </c>
      <c r="E777" s="25" t="str">
        <f t="array" ref="E777">IF(OR(LEFT(C777,1)="(",COUNTA(C777)=0),"",INDEX(Honor!$O$2:$O998,MATCH(C777,Honor!$A$2:$A998,0)))</f>
        <v/>
      </c>
      <c r="F777" s="25"/>
      <c r="G777" s="25"/>
      <c r="H777" s="25"/>
      <c r="I777" s="25"/>
      <c r="J777" s="25"/>
      <c r="K777" s="25"/>
      <c r="L777" s="25"/>
      <c r="M777" s="25"/>
      <c r="N777" s="25"/>
      <c r="O777" s="25"/>
      <c r="P777" s="25"/>
      <c r="Q777" s="25"/>
      <c r="R777" s="25"/>
      <c r="S777" s="25"/>
      <c r="T777" s="25"/>
      <c r="U777" s="25"/>
      <c r="V777" s="25"/>
      <c r="W777" s="25"/>
      <c r="X777" s="25"/>
    </row>
    <row r="778" spans="1:24" ht="13">
      <c r="A778" s="25"/>
      <c r="B778" s="25"/>
      <c r="C778" s="25"/>
      <c r="D778" s="25" t="str">
        <f t="array" ref="D778">IF(OR(LEFT(C778,1)="(",COUNTA(C778)=0),"", INDEX(Honor!$B$2:$B998,MATCH(C778,Honor!$A$2:$A998,0)))</f>
        <v/>
      </c>
      <c r="E778" s="25" t="str">
        <f t="array" ref="E778">IF(OR(LEFT(C778,1)="(",COUNTA(C778)=0),"",INDEX(Honor!$O$2:$O998,MATCH(C778,Honor!$A$2:$A998,0)))</f>
        <v/>
      </c>
      <c r="F778" s="25"/>
      <c r="G778" s="25"/>
      <c r="H778" s="25"/>
      <c r="I778" s="25"/>
      <c r="J778" s="25"/>
      <c r="K778" s="25"/>
      <c r="L778" s="25"/>
      <c r="M778" s="25"/>
      <c r="N778" s="25"/>
      <c r="O778" s="25"/>
      <c r="P778" s="25"/>
      <c r="Q778" s="25"/>
      <c r="R778" s="25"/>
      <c r="S778" s="25"/>
      <c r="T778" s="25"/>
      <c r="U778" s="25"/>
      <c r="V778" s="25"/>
      <c r="W778" s="25"/>
      <c r="X778" s="25"/>
    </row>
    <row r="779" spans="1:24" ht="13">
      <c r="A779" s="25"/>
      <c r="B779" s="25"/>
      <c r="C779" s="25"/>
      <c r="D779" s="25" t="str">
        <f t="array" ref="D779">IF(OR(LEFT(C779,1)="(",COUNTA(C779)=0),"", INDEX(Honor!$B$2:$B998,MATCH(C779,Honor!$A$2:$A998,0)))</f>
        <v/>
      </c>
      <c r="E779" s="25" t="str">
        <f t="array" ref="E779">IF(OR(LEFT(C779,1)="(",COUNTA(C779)=0),"",INDEX(Honor!$O$2:$O998,MATCH(C779,Honor!$A$2:$A998,0)))</f>
        <v/>
      </c>
      <c r="F779" s="25"/>
      <c r="G779" s="25"/>
      <c r="H779" s="25"/>
      <c r="I779" s="25"/>
      <c r="J779" s="25"/>
      <c r="K779" s="25"/>
      <c r="L779" s="25"/>
      <c r="M779" s="25"/>
      <c r="N779" s="25"/>
      <c r="O779" s="25"/>
      <c r="P779" s="25"/>
      <c r="Q779" s="25"/>
      <c r="R779" s="25"/>
      <c r="S779" s="25"/>
      <c r="T779" s="25"/>
      <c r="U779" s="25"/>
      <c r="V779" s="25"/>
      <c r="W779" s="25"/>
      <c r="X779" s="25"/>
    </row>
    <row r="780" spans="1:24" ht="13">
      <c r="A780" s="25"/>
      <c r="B780" s="25"/>
      <c r="C780" s="25"/>
      <c r="D780" s="25" t="str">
        <f t="array" ref="D780">IF(OR(LEFT(C780,1)="(",COUNTA(C780)=0),"", INDEX(Honor!$B$2:$B998,MATCH(C780,Honor!$A$2:$A998,0)))</f>
        <v/>
      </c>
      <c r="E780" s="25" t="str">
        <f t="array" ref="E780">IF(OR(LEFT(C780,1)="(",COUNTA(C780)=0),"",INDEX(Honor!$O$2:$O998,MATCH(C780,Honor!$A$2:$A998,0)))</f>
        <v/>
      </c>
      <c r="F780" s="25"/>
      <c r="G780" s="25"/>
      <c r="H780" s="25"/>
      <c r="I780" s="25"/>
      <c r="J780" s="25"/>
      <c r="K780" s="25"/>
      <c r="L780" s="25"/>
      <c r="M780" s="25"/>
      <c r="N780" s="25"/>
      <c r="O780" s="25"/>
      <c r="P780" s="25"/>
      <c r="Q780" s="25"/>
      <c r="R780" s="25"/>
      <c r="S780" s="25"/>
      <c r="T780" s="25"/>
      <c r="U780" s="25"/>
      <c r="V780" s="25"/>
      <c r="W780" s="25"/>
      <c r="X780" s="25"/>
    </row>
    <row r="781" spans="1:24" ht="13">
      <c r="A781" s="25"/>
      <c r="B781" s="25"/>
      <c r="C781" s="25"/>
      <c r="D781" s="25" t="str">
        <f t="array" ref="D781">IF(OR(LEFT(C781,1)="(",COUNTA(C781)=0),"", INDEX(Honor!$B$2:$B998,MATCH(C781,Honor!$A$2:$A998,0)))</f>
        <v/>
      </c>
      <c r="E781" s="25" t="str">
        <f t="array" ref="E781">IF(OR(LEFT(C781,1)="(",COUNTA(C781)=0),"",INDEX(Honor!$O$2:$O998,MATCH(C781,Honor!$A$2:$A998,0)))</f>
        <v/>
      </c>
      <c r="F781" s="25"/>
      <c r="G781" s="25"/>
      <c r="H781" s="25"/>
      <c r="I781" s="25"/>
      <c r="J781" s="25"/>
      <c r="K781" s="25"/>
      <c r="L781" s="25"/>
      <c r="M781" s="25"/>
      <c r="N781" s="25"/>
      <c r="O781" s="25"/>
      <c r="P781" s="25"/>
      <c r="Q781" s="25"/>
      <c r="R781" s="25"/>
      <c r="S781" s="25"/>
      <c r="T781" s="25"/>
      <c r="U781" s="25"/>
      <c r="V781" s="25"/>
      <c r="W781" s="25"/>
      <c r="X781" s="25"/>
    </row>
    <row r="782" spans="1:24" ht="13">
      <c r="A782" s="25"/>
      <c r="B782" s="25"/>
      <c r="C782" s="25"/>
      <c r="D782" s="25" t="str">
        <f t="array" ref="D782">IF(OR(LEFT(C782,1)="(",COUNTA(C782)=0),"", INDEX(Honor!$B$2:$B998,MATCH(C782,Honor!$A$2:$A998,0)))</f>
        <v/>
      </c>
      <c r="E782" s="25" t="str">
        <f t="array" ref="E782">IF(OR(LEFT(C782,1)="(",COUNTA(C782)=0),"",INDEX(Honor!$O$2:$O998,MATCH(C782,Honor!$A$2:$A998,0)))</f>
        <v/>
      </c>
      <c r="F782" s="25"/>
      <c r="G782" s="25"/>
      <c r="H782" s="25"/>
      <c r="I782" s="25"/>
      <c r="J782" s="25"/>
      <c r="K782" s="25"/>
      <c r="L782" s="25"/>
      <c r="M782" s="25"/>
      <c r="N782" s="25"/>
      <c r="O782" s="25"/>
      <c r="P782" s="25"/>
      <c r="Q782" s="25"/>
      <c r="R782" s="25"/>
      <c r="S782" s="25"/>
      <c r="T782" s="25"/>
      <c r="U782" s="25"/>
      <c r="V782" s="25"/>
      <c r="W782" s="25"/>
      <c r="X782" s="25"/>
    </row>
    <row r="783" spans="1:24" ht="13">
      <c r="A783" s="25"/>
      <c r="B783" s="25"/>
      <c r="C783" s="25"/>
      <c r="D783" s="25" t="str">
        <f t="array" ref="D783">IF(OR(LEFT(C783,1)="(",COUNTA(C783)=0),"", INDEX(Honor!$B$2:$B998,MATCH(C783,Honor!$A$2:$A998,0)))</f>
        <v/>
      </c>
      <c r="E783" s="25" t="str">
        <f t="array" ref="E783">IF(OR(LEFT(C783,1)="(",COUNTA(C783)=0),"",INDEX(Honor!$O$2:$O998,MATCH(C783,Honor!$A$2:$A998,0)))</f>
        <v/>
      </c>
      <c r="F783" s="25"/>
      <c r="G783" s="25"/>
      <c r="H783" s="25"/>
      <c r="I783" s="25"/>
      <c r="J783" s="25"/>
      <c r="K783" s="25"/>
      <c r="L783" s="25"/>
      <c r="M783" s="25"/>
      <c r="N783" s="25"/>
      <c r="O783" s="25"/>
      <c r="P783" s="25"/>
      <c r="Q783" s="25"/>
      <c r="R783" s="25"/>
      <c r="S783" s="25"/>
      <c r="T783" s="25"/>
      <c r="U783" s="25"/>
      <c r="V783" s="25"/>
      <c r="W783" s="25"/>
      <c r="X783" s="25"/>
    </row>
    <row r="784" spans="1:24" ht="13">
      <c r="A784" s="25"/>
      <c r="B784" s="25"/>
      <c r="C784" s="25"/>
      <c r="D784" s="25" t="str">
        <f t="array" ref="D784">IF(OR(LEFT(C784,1)="(",COUNTA(C784)=0),"", INDEX(Honor!$B$2:$B998,MATCH(C784,Honor!$A$2:$A998,0)))</f>
        <v/>
      </c>
      <c r="E784" s="25" t="str">
        <f t="array" ref="E784">IF(OR(LEFT(C784,1)="(",COUNTA(C784)=0),"",INDEX(Honor!$O$2:$O998,MATCH(C784,Honor!$A$2:$A998,0)))</f>
        <v/>
      </c>
      <c r="F784" s="25"/>
      <c r="G784" s="25"/>
      <c r="H784" s="25"/>
      <c r="I784" s="25"/>
      <c r="J784" s="25"/>
      <c r="K784" s="25"/>
      <c r="L784" s="25"/>
      <c r="M784" s="25"/>
      <c r="N784" s="25"/>
      <c r="O784" s="25"/>
      <c r="P784" s="25"/>
      <c r="Q784" s="25"/>
      <c r="R784" s="25"/>
      <c r="S784" s="25"/>
      <c r="T784" s="25"/>
      <c r="U784" s="25"/>
      <c r="V784" s="25"/>
      <c r="W784" s="25"/>
      <c r="X784" s="25"/>
    </row>
    <row r="785" spans="1:24" ht="13">
      <c r="A785" s="25"/>
      <c r="B785" s="25"/>
      <c r="C785" s="25"/>
      <c r="D785" s="25" t="str">
        <f t="array" ref="D785">IF(OR(LEFT(C785,1)="(",COUNTA(C785)=0),"", INDEX(Honor!$B$2:$B998,MATCH(C785,Honor!$A$2:$A998,0)))</f>
        <v/>
      </c>
      <c r="E785" s="25" t="str">
        <f t="array" ref="E785">IF(OR(LEFT(C785,1)="(",COUNTA(C785)=0),"",INDEX(Honor!$O$2:$O998,MATCH(C785,Honor!$A$2:$A998,0)))</f>
        <v/>
      </c>
      <c r="F785" s="25"/>
      <c r="G785" s="25"/>
      <c r="H785" s="25"/>
      <c r="I785" s="25"/>
      <c r="J785" s="25"/>
      <c r="K785" s="25"/>
      <c r="L785" s="25"/>
      <c r="M785" s="25"/>
      <c r="N785" s="25"/>
      <c r="O785" s="25"/>
      <c r="P785" s="25"/>
      <c r="Q785" s="25"/>
      <c r="R785" s="25"/>
      <c r="S785" s="25"/>
      <c r="T785" s="25"/>
      <c r="U785" s="25"/>
      <c r="V785" s="25"/>
      <c r="W785" s="25"/>
      <c r="X785" s="25"/>
    </row>
    <row r="786" spans="1:24" ht="13">
      <c r="A786" s="25"/>
      <c r="B786" s="25"/>
      <c r="C786" s="25"/>
      <c r="D786" s="25" t="str">
        <f t="array" ref="D786">IF(OR(LEFT(C786,1)="(",COUNTA(C786)=0),"", INDEX(Honor!$B$2:$B998,MATCH(C786,Honor!$A$2:$A998,0)))</f>
        <v/>
      </c>
      <c r="E786" s="25" t="str">
        <f t="array" ref="E786">IF(OR(LEFT(C786,1)="(",COUNTA(C786)=0),"",INDEX(Honor!$O$2:$O998,MATCH(C786,Honor!$A$2:$A998,0)))</f>
        <v/>
      </c>
      <c r="F786" s="25"/>
      <c r="G786" s="25"/>
      <c r="H786" s="25"/>
      <c r="I786" s="25"/>
      <c r="J786" s="25"/>
      <c r="K786" s="25"/>
      <c r="L786" s="25"/>
      <c r="M786" s="25"/>
      <c r="N786" s="25"/>
      <c r="O786" s="25"/>
      <c r="P786" s="25"/>
      <c r="Q786" s="25"/>
      <c r="R786" s="25"/>
      <c r="S786" s="25"/>
      <c r="T786" s="25"/>
      <c r="U786" s="25"/>
      <c r="V786" s="25"/>
      <c r="W786" s="25"/>
      <c r="X786" s="25"/>
    </row>
    <row r="787" spans="1:24" ht="13">
      <c r="A787" s="25"/>
      <c r="B787" s="25"/>
      <c r="C787" s="25"/>
      <c r="D787" s="25" t="str">
        <f t="array" ref="D787">IF(OR(LEFT(C787,1)="(",COUNTA(C787)=0),"", INDEX(Honor!$B$2:$B998,MATCH(C787,Honor!$A$2:$A998,0)))</f>
        <v/>
      </c>
      <c r="E787" s="25" t="str">
        <f t="array" ref="E787">IF(OR(LEFT(C787,1)="(",COUNTA(C787)=0),"",INDEX(Honor!$O$2:$O998,MATCH(C787,Honor!$A$2:$A998,0)))</f>
        <v/>
      </c>
      <c r="F787" s="25"/>
      <c r="G787" s="25"/>
      <c r="H787" s="25"/>
      <c r="I787" s="25"/>
      <c r="J787" s="25"/>
      <c r="K787" s="25"/>
      <c r="L787" s="25"/>
      <c r="M787" s="25"/>
      <c r="N787" s="25"/>
      <c r="O787" s="25"/>
      <c r="P787" s="25"/>
      <c r="Q787" s="25"/>
      <c r="R787" s="25"/>
      <c r="S787" s="25"/>
      <c r="T787" s="25"/>
      <c r="U787" s="25"/>
      <c r="V787" s="25"/>
      <c r="W787" s="25"/>
      <c r="X787" s="25"/>
    </row>
    <row r="788" spans="1:24" ht="13">
      <c r="A788" s="25"/>
      <c r="B788" s="25"/>
      <c r="C788" s="25"/>
      <c r="D788" s="25" t="str">
        <f t="array" ref="D788">IF(OR(LEFT(C788,1)="(",COUNTA(C788)=0),"", INDEX(Honor!$B$2:$B998,MATCH(C788,Honor!$A$2:$A998,0)))</f>
        <v/>
      </c>
      <c r="E788" s="25" t="str">
        <f t="array" ref="E788">IF(OR(LEFT(C788,1)="(",COUNTA(C788)=0),"",INDEX(Honor!$O$2:$O998,MATCH(C788,Honor!$A$2:$A998,0)))</f>
        <v/>
      </c>
      <c r="F788" s="25"/>
      <c r="G788" s="25"/>
      <c r="H788" s="25"/>
      <c r="I788" s="25"/>
      <c r="J788" s="25"/>
      <c r="K788" s="25"/>
      <c r="L788" s="25"/>
      <c r="M788" s="25"/>
      <c r="N788" s="25"/>
      <c r="O788" s="25"/>
      <c r="P788" s="25"/>
      <c r="Q788" s="25"/>
      <c r="R788" s="25"/>
      <c r="S788" s="25"/>
      <c r="T788" s="25"/>
      <c r="U788" s="25"/>
      <c r="V788" s="25"/>
      <c r="W788" s="25"/>
      <c r="X788" s="25"/>
    </row>
    <row r="789" spans="1:24" ht="13">
      <c r="A789" s="25"/>
      <c r="B789" s="25"/>
      <c r="C789" s="25"/>
      <c r="D789" s="25" t="str">
        <f t="array" ref="D789">IF(OR(LEFT(C789,1)="(",COUNTA(C789)=0),"", INDEX(Honor!$B$2:$B998,MATCH(C789,Honor!$A$2:$A998,0)))</f>
        <v/>
      </c>
      <c r="E789" s="25" t="str">
        <f t="array" ref="E789">IF(OR(LEFT(C789,1)="(",COUNTA(C789)=0),"",INDEX(Honor!$O$2:$O998,MATCH(C789,Honor!$A$2:$A998,0)))</f>
        <v/>
      </c>
      <c r="F789" s="25"/>
      <c r="G789" s="25"/>
      <c r="H789" s="25"/>
      <c r="I789" s="25"/>
      <c r="J789" s="25"/>
      <c r="K789" s="25"/>
      <c r="L789" s="25"/>
      <c r="M789" s="25"/>
      <c r="N789" s="25"/>
      <c r="O789" s="25"/>
      <c r="P789" s="25"/>
      <c r="Q789" s="25"/>
      <c r="R789" s="25"/>
      <c r="S789" s="25"/>
      <c r="T789" s="25"/>
      <c r="U789" s="25"/>
      <c r="V789" s="25"/>
      <c r="W789" s="25"/>
      <c r="X789" s="25"/>
    </row>
    <row r="790" spans="1:24" ht="13">
      <c r="A790" s="25"/>
      <c r="B790" s="25"/>
      <c r="C790" s="25"/>
      <c r="D790" s="25" t="str">
        <f t="array" ref="D790">IF(OR(LEFT(C790,1)="(",COUNTA(C790)=0),"", INDEX(Honor!$B$2:$B998,MATCH(C790,Honor!$A$2:$A998,0)))</f>
        <v/>
      </c>
      <c r="E790" s="25" t="str">
        <f t="array" ref="E790">IF(OR(LEFT(C790,1)="(",COUNTA(C790)=0),"",INDEX(Honor!$O$2:$O998,MATCH(C790,Honor!$A$2:$A998,0)))</f>
        <v/>
      </c>
      <c r="F790" s="25"/>
      <c r="G790" s="25"/>
      <c r="H790" s="25"/>
      <c r="I790" s="25"/>
      <c r="J790" s="25"/>
      <c r="K790" s="25"/>
      <c r="L790" s="25"/>
      <c r="M790" s="25"/>
      <c r="N790" s="25"/>
      <c r="O790" s="25"/>
      <c r="P790" s="25"/>
      <c r="Q790" s="25"/>
      <c r="R790" s="25"/>
      <c r="S790" s="25"/>
      <c r="T790" s="25"/>
      <c r="U790" s="25"/>
      <c r="V790" s="25"/>
      <c r="W790" s="25"/>
      <c r="X790" s="25"/>
    </row>
    <row r="791" spans="1:24" ht="13">
      <c r="A791" s="25"/>
      <c r="B791" s="25"/>
      <c r="C791" s="25"/>
      <c r="D791" s="25" t="str">
        <f t="array" ref="D791">IF(OR(LEFT(C791,1)="(",COUNTA(C791)=0),"", INDEX(Honor!$B$2:$B998,MATCH(C791,Honor!$A$2:$A998,0)))</f>
        <v/>
      </c>
      <c r="E791" s="25" t="str">
        <f t="array" ref="E791">IF(OR(LEFT(C791,1)="(",COUNTA(C791)=0),"",INDEX(Honor!$O$2:$O998,MATCH(C791,Honor!$A$2:$A998,0)))</f>
        <v/>
      </c>
      <c r="F791" s="25"/>
      <c r="G791" s="25"/>
      <c r="H791" s="25"/>
      <c r="I791" s="25"/>
      <c r="J791" s="25"/>
      <c r="K791" s="25"/>
      <c r="L791" s="25"/>
      <c r="M791" s="25"/>
      <c r="N791" s="25"/>
      <c r="O791" s="25"/>
      <c r="P791" s="25"/>
      <c r="Q791" s="25"/>
      <c r="R791" s="25"/>
      <c r="S791" s="25"/>
      <c r="T791" s="25"/>
      <c r="U791" s="25"/>
      <c r="V791" s="25"/>
      <c r="W791" s="25"/>
      <c r="X791" s="25"/>
    </row>
    <row r="792" spans="1:24" ht="13">
      <c r="A792" s="25"/>
      <c r="B792" s="25"/>
      <c r="C792" s="25"/>
      <c r="D792" s="25" t="str">
        <f t="array" ref="D792">IF(OR(LEFT(C792,1)="(",COUNTA(C792)=0),"", INDEX(Honor!$B$2:$B998,MATCH(C792,Honor!$A$2:$A998,0)))</f>
        <v/>
      </c>
      <c r="E792" s="25" t="str">
        <f t="array" ref="E792">IF(OR(LEFT(C792,1)="(",COUNTA(C792)=0),"",INDEX(Honor!$O$2:$O998,MATCH(C792,Honor!$A$2:$A998,0)))</f>
        <v/>
      </c>
      <c r="F792" s="25"/>
      <c r="G792" s="25"/>
      <c r="H792" s="25"/>
      <c r="I792" s="25"/>
      <c r="J792" s="25"/>
      <c r="K792" s="25"/>
      <c r="L792" s="25"/>
      <c r="M792" s="25"/>
      <c r="N792" s="25"/>
      <c r="O792" s="25"/>
      <c r="P792" s="25"/>
      <c r="Q792" s="25"/>
      <c r="R792" s="25"/>
      <c r="S792" s="25"/>
      <c r="T792" s="25"/>
      <c r="U792" s="25"/>
      <c r="V792" s="25"/>
      <c r="W792" s="25"/>
      <c r="X792" s="25"/>
    </row>
    <row r="793" spans="1:24" ht="13">
      <c r="A793" s="25"/>
      <c r="B793" s="25"/>
      <c r="C793" s="25"/>
      <c r="D793" s="25" t="str">
        <f t="array" ref="D793">IF(OR(LEFT(C793,1)="(",COUNTA(C793)=0),"", INDEX(Honor!$B$2:$B998,MATCH(C793,Honor!$A$2:$A998,0)))</f>
        <v/>
      </c>
      <c r="E793" s="25" t="str">
        <f t="array" ref="E793">IF(OR(LEFT(C793,1)="(",COUNTA(C793)=0),"",INDEX(Honor!$O$2:$O998,MATCH(C793,Honor!$A$2:$A998,0)))</f>
        <v/>
      </c>
      <c r="F793" s="25"/>
      <c r="G793" s="25"/>
      <c r="H793" s="25"/>
      <c r="I793" s="25"/>
      <c r="J793" s="25"/>
      <c r="K793" s="25"/>
      <c r="L793" s="25"/>
      <c r="M793" s="25"/>
      <c r="N793" s="25"/>
      <c r="O793" s="25"/>
      <c r="P793" s="25"/>
      <c r="Q793" s="25"/>
      <c r="R793" s="25"/>
      <c r="S793" s="25"/>
      <c r="T793" s="25"/>
      <c r="U793" s="25"/>
      <c r="V793" s="25"/>
      <c r="W793" s="25"/>
      <c r="X793" s="25"/>
    </row>
    <row r="794" spans="1:24" ht="13">
      <c r="A794" s="25"/>
      <c r="B794" s="25"/>
      <c r="C794" s="25"/>
      <c r="D794" s="25" t="str">
        <f t="array" ref="D794">IF(OR(LEFT(C794,1)="(",COUNTA(C794)=0),"", INDEX(Honor!$B$2:$B998,MATCH(C794,Honor!$A$2:$A998,0)))</f>
        <v/>
      </c>
      <c r="E794" s="25" t="str">
        <f t="array" ref="E794">IF(OR(LEFT(C794,1)="(",COUNTA(C794)=0),"",INDEX(Honor!$O$2:$O998,MATCH(C794,Honor!$A$2:$A998,0)))</f>
        <v/>
      </c>
      <c r="F794" s="25"/>
      <c r="G794" s="25"/>
      <c r="H794" s="25"/>
      <c r="I794" s="25"/>
      <c r="J794" s="25"/>
      <c r="K794" s="25"/>
      <c r="L794" s="25"/>
      <c r="M794" s="25"/>
      <c r="N794" s="25"/>
      <c r="O794" s="25"/>
      <c r="P794" s="25"/>
      <c r="Q794" s="25"/>
      <c r="R794" s="25"/>
      <c r="S794" s="25"/>
      <c r="T794" s="25"/>
      <c r="U794" s="25"/>
      <c r="V794" s="25"/>
      <c r="W794" s="25"/>
      <c r="X794" s="25"/>
    </row>
    <row r="795" spans="1:24" ht="13">
      <c r="A795" s="25"/>
      <c r="B795" s="25"/>
      <c r="C795" s="25"/>
      <c r="D795" s="25" t="str">
        <f t="array" ref="D795">IF(OR(LEFT(C795,1)="(",COUNTA(C795)=0),"", INDEX(Honor!$B$2:$B998,MATCH(C795,Honor!$A$2:$A998,0)))</f>
        <v/>
      </c>
      <c r="E795" s="25" t="str">
        <f t="array" ref="E795">IF(OR(LEFT(C795,1)="(",COUNTA(C795)=0),"",INDEX(Honor!$O$2:$O998,MATCH(C795,Honor!$A$2:$A998,0)))</f>
        <v/>
      </c>
      <c r="F795" s="25"/>
      <c r="G795" s="25"/>
      <c r="H795" s="25"/>
      <c r="I795" s="25"/>
      <c r="J795" s="25"/>
      <c r="K795" s="25"/>
      <c r="L795" s="25"/>
      <c r="M795" s="25"/>
      <c r="N795" s="25"/>
      <c r="O795" s="25"/>
      <c r="P795" s="25"/>
      <c r="Q795" s="25"/>
      <c r="R795" s="25"/>
      <c r="S795" s="25"/>
      <c r="T795" s="25"/>
      <c r="U795" s="25"/>
      <c r="V795" s="25"/>
      <c r="W795" s="25"/>
      <c r="X795" s="25"/>
    </row>
    <row r="796" spans="1:24" ht="13">
      <c r="A796" s="25"/>
      <c r="B796" s="25"/>
      <c r="C796" s="25"/>
      <c r="D796" s="25" t="str">
        <f t="array" ref="D796">IF(OR(LEFT(C796,1)="(",COUNTA(C796)=0),"", INDEX(Honor!$B$2:$B998,MATCH(C796,Honor!$A$2:$A998,0)))</f>
        <v/>
      </c>
      <c r="E796" s="25" t="str">
        <f t="array" ref="E796">IF(OR(LEFT(C796,1)="(",COUNTA(C796)=0),"",INDEX(Honor!$O$2:$O998,MATCH(C796,Honor!$A$2:$A998,0)))</f>
        <v/>
      </c>
      <c r="F796" s="25"/>
      <c r="G796" s="25"/>
      <c r="H796" s="25"/>
      <c r="I796" s="25"/>
      <c r="J796" s="25"/>
      <c r="K796" s="25"/>
      <c r="L796" s="25"/>
      <c r="M796" s="25"/>
      <c r="N796" s="25"/>
      <c r="O796" s="25"/>
      <c r="P796" s="25"/>
      <c r="Q796" s="25"/>
      <c r="R796" s="25"/>
      <c r="S796" s="25"/>
      <c r="T796" s="25"/>
      <c r="U796" s="25"/>
      <c r="V796" s="25"/>
      <c r="W796" s="25"/>
      <c r="X796" s="25"/>
    </row>
    <row r="797" spans="1:24" ht="13">
      <c r="A797" s="25"/>
      <c r="B797" s="25"/>
      <c r="C797" s="25"/>
      <c r="D797" s="25" t="str">
        <f t="array" ref="D797">IF(OR(LEFT(C797,1)="(",COUNTA(C797)=0),"", INDEX(Honor!$B$2:$B998,MATCH(C797,Honor!$A$2:$A998,0)))</f>
        <v/>
      </c>
      <c r="E797" s="25" t="str">
        <f t="array" ref="E797">IF(OR(LEFT(C797,1)="(",COUNTA(C797)=0),"",INDEX(Honor!$O$2:$O998,MATCH(C797,Honor!$A$2:$A998,0)))</f>
        <v/>
      </c>
      <c r="F797" s="25"/>
      <c r="G797" s="25"/>
      <c r="H797" s="25"/>
      <c r="I797" s="25"/>
      <c r="J797" s="25"/>
      <c r="K797" s="25"/>
      <c r="L797" s="25"/>
      <c r="M797" s="25"/>
      <c r="N797" s="25"/>
      <c r="O797" s="25"/>
      <c r="P797" s="25"/>
      <c r="Q797" s="25"/>
      <c r="R797" s="25"/>
      <c r="S797" s="25"/>
      <c r="T797" s="25"/>
      <c r="U797" s="25"/>
      <c r="V797" s="25"/>
      <c r="W797" s="25"/>
      <c r="X797" s="25"/>
    </row>
    <row r="798" spans="1:24" ht="13">
      <c r="A798" s="25"/>
      <c r="B798" s="25"/>
      <c r="C798" s="25"/>
      <c r="D798" s="25" t="str">
        <f t="array" ref="D798">IF(OR(LEFT(C798,1)="(",COUNTA(C798)=0),"", INDEX(Honor!$B$2:$B998,MATCH(C798,Honor!$A$2:$A998,0)))</f>
        <v/>
      </c>
      <c r="E798" s="25" t="str">
        <f t="array" ref="E798">IF(OR(LEFT(C798,1)="(",COUNTA(C798)=0),"",INDEX(Honor!$O$2:$O998,MATCH(C798,Honor!$A$2:$A998,0)))</f>
        <v/>
      </c>
      <c r="F798" s="25"/>
      <c r="G798" s="25"/>
      <c r="H798" s="25"/>
      <c r="I798" s="25"/>
      <c r="J798" s="25"/>
      <c r="K798" s="25"/>
      <c r="L798" s="25"/>
      <c r="M798" s="25"/>
      <c r="N798" s="25"/>
      <c r="O798" s="25"/>
      <c r="P798" s="25"/>
      <c r="Q798" s="25"/>
      <c r="R798" s="25"/>
      <c r="S798" s="25"/>
      <c r="T798" s="25"/>
      <c r="U798" s="25"/>
      <c r="V798" s="25"/>
      <c r="W798" s="25"/>
      <c r="X798" s="25"/>
    </row>
    <row r="799" spans="1:24" ht="13">
      <c r="A799" s="25"/>
      <c r="B799" s="25"/>
      <c r="C799" s="25"/>
      <c r="D799" s="25" t="str">
        <f t="array" ref="D799">IF(OR(LEFT(C799,1)="(",COUNTA(C799)=0),"", INDEX(Honor!$B$2:$B998,MATCH(C799,Honor!$A$2:$A998,0)))</f>
        <v/>
      </c>
      <c r="E799" s="25" t="str">
        <f t="array" ref="E799">IF(OR(LEFT(C799,1)="(",COUNTA(C799)=0),"",INDEX(Honor!$O$2:$O998,MATCH(C799,Honor!$A$2:$A998,0)))</f>
        <v/>
      </c>
      <c r="F799" s="25"/>
      <c r="G799" s="25"/>
      <c r="H799" s="25"/>
      <c r="I799" s="25"/>
      <c r="J799" s="25"/>
      <c r="K799" s="25"/>
      <c r="L799" s="25"/>
      <c r="M799" s="25"/>
      <c r="N799" s="25"/>
      <c r="O799" s="25"/>
      <c r="P799" s="25"/>
      <c r="Q799" s="25"/>
      <c r="R799" s="25"/>
      <c r="S799" s="25"/>
      <c r="T799" s="25"/>
      <c r="U799" s="25"/>
      <c r="V799" s="25"/>
      <c r="W799" s="25"/>
      <c r="X799" s="25"/>
    </row>
    <row r="800" spans="1:24" ht="13">
      <c r="A800" s="25"/>
      <c r="B800" s="25"/>
      <c r="C800" s="25"/>
      <c r="D800" s="25" t="str">
        <f t="array" ref="D800">IF(OR(LEFT(C800,1)="(",COUNTA(C800)=0),"", INDEX(Honor!$B$2:$B998,MATCH(C800,Honor!$A$2:$A998,0)))</f>
        <v/>
      </c>
      <c r="E800" s="25" t="str">
        <f t="array" ref="E800">IF(OR(LEFT(C800,1)="(",COUNTA(C800)=0),"",INDEX(Honor!$O$2:$O998,MATCH(C800,Honor!$A$2:$A998,0)))</f>
        <v/>
      </c>
      <c r="F800" s="25"/>
      <c r="G800" s="25"/>
      <c r="H800" s="25"/>
      <c r="I800" s="25"/>
      <c r="J800" s="25"/>
      <c r="K800" s="25"/>
      <c r="L800" s="25"/>
      <c r="M800" s="25"/>
      <c r="N800" s="25"/>
      <c r="O800" s="25"/>
      <c r="P800" s="25"/>
      <c r="Q800" s="25"/>
      <c r="R800" s="25"/>
      <c r="S800" s="25"/>
      <c r="T800" s="25"/>
      <c r="U800" s="25"/>
      <c r="V800" s="25"/>
      <c r="W800" s="25"/>
      <c r="X800" s="25"/>
    </row>
    <row r="801" spans="1:24" ht="13">
      <c r="A801" s="25"/>
      <c r="B801" s="25"/>
      <c r="C801" s="25"/>
      <c r="D801" s="25" t="str">
        <f t="array" ref="D801">IF(OR(LEFT(C801,1)="(",COUNTA(C801)=0),"", INDEX(Honor!$B$2:$B998,MATCH(C801,Honor!$A$2:$A998,0)))</f>
        <v/>
      </c>
      <c r="E801" s="25" t="str">
        <f t="array" ref="E801">IF(OR(LEFT(C801,1)="(",COUNTA(C801)=0),"",INDEX(Honor!$O$2:$O998,MATCH(C801,Honor!$A$2:$A998,0)))</f>
        <v/>
      </c>
      <c r="F801" s="25"/>
      <c r="G801" s="25"/>
      <c r="H801" s="25"/>
      <c r="I801" s="25"/>
      <c r="J801" s="25"/>
      <c r="K801" s="25"/>
      <c r="L801" s="25"/>
      <c r="M801" s="25"/>
      <c r="N801" s="25"/>
      <c r="O801" s="25"/>
      <c r="P801" s="25"/>
      <c r="Q801" s="25"/>
      <c r="R801" s="25"/>
      <c r="S801" s="25"/>
      <c r="T801" s="25"/>
      <c r="U801" s="25"/>
      <c r="V801" s="25"/>
      <c r="W801" s="25"/>
      <c r="X801" s="25"/>
    </row>
    <row r="802" spans="1:24" ht="13">
      <c r="A802" s="25"/>
      <c r="B802" s="25"/>
      <c r="C802" s="25"/>
      <c r="D802" s="25" t="str">
        <f t="array" ref="D802">IF(OR(LEFT(C802,1)="(",COUNTA(C802)=0),"", INDEX(Honor!$B$2:$B998,MATCH(C802,Honor!$A$2:$A998,0)))</f>
        <v/>
      </c>
      <c r="E802" s="25" t="str">
        <f t="array" ref="E802">IF(OR(LEFT(C802,1)="(",COUNTA(C802)=0),"",INDEX(Honor!$O$2:$O998,MATCH(C802,Honor!$A$2:$A998,0)))</f>
        <v/>
      </c>
      <c r="F802" s="25"/>
      <c r="G802" s="25"/>
      <c r="H802" s="25"/>
      <c r="I802" s="25"/>
      <c r="J802" s="25"/>
      <c r="K802" s="25"/>
      <c r="L802" s="25"/>
      <c r="M802" s="25"/>
      <c r="N802" s="25"/>
      <c r="O802" s="25"/>
      <c r="P802" s="25"/>
      <c r="Q802" s="25"/>
      <c r="R802" s="25"/>
      <c r="S802" s="25"/>
      <c r="T802" s="25"/>
      <c r="U802" s="25"/>
      <c r="V802" s="25"/>
      <c r="W802" s="25"/>
      <c r="X802" s="25"/>
    </row>
    <row r="803" spans="1:24" ht="13">
      <c r="A803" s="25"/>
      <c r="B803" s="25"/>
      <c r="C803" s="25"/>
      <c r="D803" s="25" t="str">
        <f t="array" ref="D803">IF(OR(LEFT(C803,1)="(",COUNTA(C803)=0),"", INDEX(Honor!$B$2:$B998,MATCH(C803,Honor!$A$2:$A998,0)))</f>
        <v/>
      </c>
      <c r="E803" s="25" t="str">
        <f t="array" ref="E803">IF(OR(LEFT(C803,1)="(",COUNTA(C803)=0),"",INDEX(Honor!$O$2:$O998,MATCH(C803,Honor!$A$2:$A998,0)))</f>
        <v/>
      </c>
      <c r="F803" s="25"/>
      <c r="G803" s="25"/>
      <c r="H803" s="25"/>
      <c r="I803" s="25"/>
      <c r="J803" s="25"/>
      <c r="K803" s="25"/>
      <c r="L803" s="25"/>
      <c r="M803" s="25"/>
      <c r="N803" s="25"/>
      <c r="O803" s="25"/>
      <c r="P803" s="25"/>
      <c r="Q803" s="25"/>
      <c r="R803" s="25"/>
      <c r="S803" s="25"/>
      <c r="T803" s="25"/>
      <c r="U803" s="25"/>
      <c r="V803" s="25"/>
      <c r="W803" s="25"/>
      <c r="X803" s="25"/>
    </row>
    <row r="804" spans="1:24" ht="13">
      <c r="A804" s="25"/>
      <c r="B804" s="25"/>
      <c r="C804" s="25"/>
      <c r="D804" s="25" t="str">
        <f t="array" ref="D804">IF(OR(LEFT(C804,1)="(",COUNTA(C804)=0),"", INDEX(Honor!$B$2:$B998,MATCH(C804,Honor!$A$2:$A998,0)))</f>
        <v/>
      </c>
      <c r="E804" s="25" t="str">
        <f t="array" ref="E804">IF(OR(LEFT(C804,1)="(",COUNTA(C804)=0),"",INDEX(Honor!$O$2:$O998,MATCH(C804,Honor!$A$2:$A998,0)))</f>
        <v/>
      </c>
      <c r="F804" s="25"/>
      <c r="G804" s="25"/>
      <c r="H804" s="25"/>
      <c r="I804" s="25"/>
      <c r="J804" s="25"/>
      <c r="K804" s="25"/>
      <c r="L804" s="25"/>
      <c r="M804" s="25"/>
      <c r="N804" s="25"/>
      <c r="O804" s="25"/>
      <c r="P804" s="25"/>
      <c r="Q804" s="25"/>
      <c r="R804" s="25"/>
      <c r="S804" s="25"/>
      <c r="T804" s="25"/>
      <c r="U804" s="25"/>
      <c r="V804" s="25"/>
      <c r="W804" s="25"/>
      <c r="X804" s="25"/>
    </row>
    <row r="805" spans="1:24" ht="13">
      <c r="A805" s="25"/>
      <c r="B805" s="25"/>
      <c r="C805" s="25"/>
      <c r="D805" s="25" t="str">
        <f t="array" ref="D805">IF(OR(LEFT(C805,1)="(",COUNTA(C805)=0),"", INDEX(Honor!$B$2:$B998,MATCH(C805,Honor!$A$2:$A998,0)))</f>
        <v/>
      </c>
      <c r="E805" s="25" t="str">
        <f t="array" ref="E805">IF(OR(LEFT(C805,1)="(",COUNTA(C805)=0),"",INDEX(Honor!$O$2:$O998,MATCH(C805,Honor!$A$2:$A998,0)))</f>
        <v/>
      </c>
      <c r="F805" s="25"/>
      <c r="G805" s="25"/>
      <c r="H805" s="25"/>
      <c r="I805" s="25"/>
      <c r="J805" s="25"/>
      <c r="K805" s="25"/>
      <c r="L805" s="25"/>
      <c r="M805" s="25"/>
      <c r="N805" s="25"/>
      <c r="O805" s="25"/>
      <c r="P805" s="25"/>
      <c r="Q805" s="25"/>
      <c r="R805" s="25"/>
      <c r="S805" s="25"/>
      <c r="T805" s="25"/>
      <c r="U805" s="25"/>
      <c r="V805" s="25"/>
      <c r="W805" s="25"/>
      <c r="X805" s="25"/>
    </row>
    <row r="806" spans="1:24" ht="13">
      <c r="A806" s="25"/>
      <c r="B806" s="25"/>
      <c r="C806" s="25"/>
      <c r="D806" s="25" t="str">
        <f t="array" ref="D806">IF(OR(LEFT(C806,1)="(",COUNTA(C806)=0),"", INDEX(Honor!$B$2:$B998,MATCH(C806,Honor!$A$2:$A998,0)))</f>
        <v/>
      </c>
      <c r="E806" s="25" t="str">
        <f t="array" ref="E806">IF(OR(LEFT(C806,1)="(",COUNTA(C806)=0),"",INDEX(Honor!$O$2:$O998,MATCH(C806,Honor!$A$2:$A998,0)))</f>
        <v/>
      </c>
      <c r="F806" s="25"/>
      <c r="G806" s="25"/>
      <c r="H806" s="25"/>
      <c r="I806" s="25"/>
      <c r="J806" s="25"/>
      <c r="K806" s="25"/>
      <c r="L806" s="25"/>
      <c r="M806" s="25"/>
      <c r="N806" s="25"/>
      <c r="O806" s="25"/>
      <c r="P806" s="25"/>
      <c r="Q806" s="25"/>
      <c r="R806" s="25"/>
      <c r="S806" s="25"/>
      <c r="T806" s="25"/>
      <c r="U806" s="25"/>
      <c r="V806" s="25"/>
      <c r="W806" s="25"/>
      <c r="X806" s="25"/>
    </row>
    <row r="807" spans="1:24" ht="13">
      <c r="A807" s="25"/>
      <c r="B807" s="25"/>
      <c r="C807" s="25"/>
      <c r="D807" s="25" t="str">
        <f t="array" ref="D807">IF(OR(LEFT(C807,1)="(",COUNTA(C807)=0),"", INDEX(Honor!$B$2:$B998,MATCH(C807,Honor!$A$2:$A998,0)))</f>
        <v/>
      </c>
      <c r="E807" s="25" t="str">
        <f t="array" ref="E807">IF(OR(LEFT(C807,1)="(",COUNTA(C807)=0),"",INDEX(Honor!$O$2:$O998,MATCH(C807,Honor!$A$2:$A998,0)))</f>
        <v/>
      </c>
      <c r="F807" s="25"/>
      <c r="G807" s="25"/>
      <c r="H807" s="25"/>
      <c r="I807" s="25"/>
      <c r="J807" s="25"/>
      <c r="K807" s="25"/>
      <c r="L807" s="25"/>
      <c r="M807" s="25"/>
      <c r="N807" s="25"/>
      <c r="O807" s="25"/>
      <c r="P807" s="25"/>
      <c r="Q807" s="25"/>
      <c r="R807" s="25"/>
      <c r="S807" s="25"/>
      <c r="T807" s="25"/>
      <c r="U807" s="25"/>
      <c r="V807" s="25"/>
      <c r="W807" s="25"/>
      <c r="X807" s="25"/>
    </row>
    <row r="808" spans="1:24" ht="13">
      <c r="A808" s="25"/>
      <c r="B808" s="25"/>
      <c r="C808" s="25"/>
      <c r="D808" s="25" t="str">
        <f t="array" ref="D808">IF(OR(LEFT(C808,1)="(",COUNTA(C808)=0),"", INDEX(Honor!$B$2:$B998,MATCH(C808,Honor!$A$2:$A998,0)))</f>
        <v/>
      </c>
      <c r="E808" s="25" t="str">
        <f t="array" ref="E808">IF(OR(LEFT(C808,1)="(",COUNTA(C808)=0),"",INDEX(Honor!$O$2:$O998,MATCH(C808,Honor!$A$2:$A998,0)))</f>
        <v/>
      </c>
      <c r="F808" s="25"/>
      <c r="G808" s="25"/>
      <c r="H808" s="25"/>
      <c r="I808" s="25"/>
      <c r="J808" s="25"/>
      <c r="K808" s="25"/>
      <c r="L808" s="25"/>
      <c r="M808" s="25"/>
      <c r="N808" s="25"/>
      <c r="O808" s="25"/>
      <c r="P808" s="25"/>
      <c r="Q808" s="25"/>
      <c r="R808" s="25"/>
      <c r="S808" s="25"/>
      <c r="T808" s="25"/>
      <c r="U808" s="25"/>
      <c r="V808" s="25"/>
      <c r="W808" s="25"/>
      <c r="X808" s="25"/>
    </row>
    <row r="809" spans="1:24" ht="13">
      <c r="A809" s="25"/>
      <c r="B809" s="25"/>
      <c r="C809" s="25"/>
      <c r="D809" s="25" t="str">
        <f t="array" ref="D809">IF(OR(LEFT(C809,1)="(",COUNTA(C809)=0),"", INDEX(Honor!$B$2:$B998,MATCH(C809,Honor!$A$2:$A998,0)))</f>
        <v/>
      </c>
      <c r="E809" s="25" t="str">
        <f t="array" ref="E809">IF(OR(LEFT(C809,1)="(",COUNTA(C809)=0),"",INDEX(Honor!$O$2:$O998,MATCH(C809,Honor!$A$2:$A998,0)))</f>
        <v/>
      </c>
      <c r="F809" s="25"/>
      <c r="G809" s="25"/>
      <c r="H809" s="25"/>
      <c r="I809" s="25"/>
      <c r="J809" s="25"/>
      <c r="K809" s="25"/>
      <c r="L809" s="25"/>
      <c r="M809" s="25"/>
      <c r="N809" s="25"/>
      <c r="O809" s="25"/>
      <c r="P809" s="25"/>
      <c r="Q809" s="25"/>
      <c r="R809" s="25"/>
      <c r="S809" s="25"/>
      <c r="T809" s="25"/>
      <c r="U809" s="25"/>
      <c r="V809" s="25"/>
      <c r="W809" s="25"/>
      <c r="X809" s="25"/>
    </row>
    <row r="810" spans="1:24" ht="13">
      <c r="A810" s="25"/>
      <c r="B810" s="25"/>
      <c r="C810" s="25"/>
      <c r="D810" s="25" t="str">
        <f t="array" ref="D810">IF(OR(LEFT(C810,1)="(",COUNTA(C810)=0),"", INDEX(Honor!$B$2:$B998,MATCH(C810,Honor!$A$2:$A998,0)))</f>
        <v/>
      </c>
      <c r="E810" s="25" t="str">
        <f t="array" ref="E810">IF(OR(LEFT(C810,1)="(",COUNTA(C810)=0),"",INDEX(Honor!$O$2:$O998,MATCH(C810,Honor!$A$2:$A998,0)))</f>
        <v/>
      </c>
      <c r="F810" s="25"/>
      <c r="G810" s="25"/>
      <c r="H810" s="25"/>
      <c r="I810" s="25"/>
      <c r="J810" s="25"/>
      <c r="K810" s="25"/>
      <c r="L810" s="25"/>
      <c r="M810" s="25"/>
      <c r="N810" s="25"/>
      <c r="O810" s="25"/>
      <c r="P810" s="25"/>
      <c r="Q810" s="25"/>
      <c r="R810" s="25"/>
      <c r="S810" s="25"/>
      <c r="T810" s="25"/>
      <c r="U810" s="25"/>
      <c r="V810" s="25"/>
      <c r="W810" s="25"/>
      <c r="X810" s="25"/>
    </row>
    <row r="811" spans="1:24" ht="13">
      <c r="A811" s="25"/>
      <c r="B811" s="25"/>
      <c r="C811" s="25"/>
      <c r="D811" s="25" t="str">
        <f t="array" ref="D811">IF(OR(LEFT(C811,1)="(",COUNTA(C811)=0),"", INDEX(Honor!$B$2:$B998,MATCH(C811,Honor!$A$2:$A998,0)))</f>
        <v/>
      </c>
      <c r="E811" s="25" t="str">
        <f t="array" ref="E811">IF(OR(LEFT(C811,1)="(",COUNTA(C811)=0),"",INDEX(Honor!$O$2:$O998,MATCH(C811,Honor!$A$2:$A998,0)))</f>
        <v/>
      </c>
      <c r="F811" s="25"/>
      <c r="G811" s="25"/>
      <c r="H811" s="25"/>
      <c r="I811" s="25"/>
      <c r="J811" s="25"/>
      <c r="K811" s="25"/>
      <c r="L811" s="25"/>
      <c r="M811" s="25"/>
      <c r="N811" s="25"/>
      <c r="O811" s="25"/>
      <c r="P811" s="25"/>
      <c r="Q811" s="25"/>
      <c r="R811" s="25"/>
      <c r="S811" s="25"/>
      <c r="T811" s="25"/>
      <c r="U811" s="25"/>
      <c r="V811" s="25"/>
      <c r="W811" s="25"/>
      <c r="X811" s="25"/>
    </row>
    <row r="812" spans="1:24" ht="13">
      <c r="A812" s="25"/>
      <c r="B812" s="25"/>
      <c r="C812" s="25"/>
      <c r="D812" s="25" t="str">
        <f t="array" ref="D812">IF(OR(LEFT(C812,1)="(",COUNTA(C812)=0),"", INDEX(Honor!$B$2:$B998,MATCH(C812,Honor!$A$2:$A998,0)))</f>
        <v/>
      </c>
      <c r="E812" s="25" t="str">
        <f t="array" ref="E812">IF(OR(LEFT(C812,1)="(",COUNTA(C812)=0),"",INDEX(Honor!$O$2:$O998,MATCH(C812,Honor!$A$2:$A998,0)))</f>
        <v/>
      </c>
      <c r="F812" s="25"/>
      <c r="G812" s="25"/>
      <c r="H812" s="25"/>
      <c r="I812" s="25"/>
      <c r="J812" s="25"/>
      <c r="K812" s="25"/>
      <c r="L812" s="25"/>
      <c r="M812" s="25"/>
      <c r="N812" s="25"/>
      <c r="O812" s="25"/>
      <c r="P812" s="25"/>
      <c r="Q812" s="25"/>
      <c r="R812" s="25"/>
      <c r="S812" s="25"/>
      <c r="T812" s="25"/>
      <c r="U812" s="25"/>
      <c r="V812" s="25"/>
      <c r="W812" s="25"/>
      <c r="X812" s="25"/>
    </row>
    <row r="813" spans="1:24" ht="13">
      <c r="A813" s="25"/>
      <c r="B813" s="25"/>
      <c r="C813" s="25"/>
      <c r="D813" s="25" t="str">
        <f t="array" ref="D813">IF(OR(LEFT(C813,1)="(",COUNTA(C813)=0),"", INDEX(Honor!$B$2:$B998,MATCH(C813,Honor!$A$2:$A998,0)))</f>
        <v/>
      </c>
      <c r="E813" s="25" t="str">
        <f t="array" ref="E813">IF(OR(LEFT(C813,1)="(",COUNTA(C813)=0),"",INDEX(Honor!$O$2:$O998,MATCH(C813,Honor!$A$2:$A998,0)))</f>
        <v/>
      </c>
      <c r="F813" s="25"/>
      <c r="G813" s="25"/>
      <c r="H813" s="25"/>
      <c r="I813" s="25"/>
      <c r="J813" s="25"/>
      <c r="K813" s="25"/>
      <c r="L813" s="25"/>
      <c r="M813" s="25"/>
      <c r="N813" s="25"/>
      <c r="O813" s="25"/>
      <c r="P813" s="25"/>
      <c r="Q813" s="25"/>
      <c r="R813" s="25"/>
      <c r="S813" s="25"/>
      <c r="T813" s="25"/>
      <c r="U813" s="25"/>
      <c r="V813" s="25"/>
      <c r="W813" s="25"/>
      <c r="X813" s="25"/>
    </row>
    <row r="814" spans="1:24" ht="13">
      <c r="A814" s="25"/>
      <c r="B814" s="25"/>
      <c r="C814" s="25"/>
      <c r="D814" s="25" t="str">
        <f t="array" ref="D814">IF(OR(LEFT(C814,1)="(",COUNTA(C814)=0),"", INDEX(Honor!$B$2:$B998,MATCH(C814,Honor!$A$2:$A998,0)))</f>
        <v/>
      </c>
      <c r="E814" s="25" t="str">
        <f t="array" ref="E814">IF(OR(LEFT(C814,1)="(",COUNTA(C814)=0),"",INDEX(Honor!$O$2:$O998,MATCH(C814,Honor!$A$2:$A998,0)))</f>
        <v/>
      </c>
      <c r="F814" s="25"/>
      <c r="G814" s="25"/>
      <c r="H814" s="25"/>
      <c r="I814" s="25"/>
      <c r="J814" s="25"/>
      <c r="K814" s="25"/>
      <c r="L814" s="25"/>
      <c r="M814" s="25"/>
      <c r="N814" s="25"/>
      <c r="O814" s="25"/>
      <c r="P814" s="25"/>
      <c r="Q814" s="25"/>
      <c r="R814" s="25"/>
      <c r="S814" s="25"/>
      <c r="T814" s="25"/>
      <c r="U814" s="25"/>
      <c r="V814" s="25"/>
      <c r="W814" s="25"/>
      <c r="X814" s="25"/>
    </row>
    <row r="815" spans="1:24" ht="13">
      <c r="A815" s="25"/>
      <c r="B815" s="25"/>
      <c r="C815" s="25"/>
      <c r="D815" s="25" t="str">
        <f t="array" ref="D815">IF(OR(LEFT(C815,1)="(",COUNTA(C815)=0),"", INDEX(Honor!$B$2:$B998,MATCH(C815,Honor!$A$2:$A998,0)))</f>
        <v/>
      </c>
      <c r="E815" s="25" t="str">
        <f t="array" ref="E815">IF(OR(LEFT(C815,1)="(",COUNTA(C815)=0),"",INDEX(Honor!$O$2:$O998,MATCH(C815,Honor!$A$2:$A998,0)))</f>
        <v/>
      </c>
      <c r="F815" s="25"/>
      <c r="G815" s="25"/>
      <c r="H815" s="25"/>
      <c r="I815" s="25"/>
      <c r="J815" s="25"/>
      <c r="K815" s="25"/>
      <c r="L815" s="25"/>
      <c r="M815" s="25"/>
      <c r="N815" s="25"/>
      <c r="O815" s="25"/>
      <c r="P815" s="25"/>
      <c r="Q815" s="25"/>
      <c r="R815" s="25"/>
      <c r="S815" s="25"/>
      <c r="T815" s="25"/>
      <c r="U815" s="25"/>
      <c r="V815" s="25"/>
      <c r="W815" s="25"/>
      <c r="X815" s="25"/>
    </row>
    <row r="816" spans="1:24" ht="13">
      <c r="A816" s="25"/>
      <c r="B816" s="25"/>
      <c r="C816" s="25"/>
      <c r="D816" s="25" t="str">
        <f t="array" ref="D816">IF(OR(LEFT(C816,1)="(",COUNTA(C816)=0),"", INDEX(Honor!$B$2:$B998,MATCH(C816,Honor!$A$2:$A998,0)))</f>
        <v/>
      </c>
      <c r="E816" s="25" t="str">
        <f t="array" ref="E816">IF(OR(LEFT(C816,1)="(",COUNTA(C816)=0),"",INDEX(Honor!$O$2:$O998,MATCH(C816,Honor!$A$2:$A998,0)))</f>
        <v/>
      </c>
      <c r="F816" s="25"/>
      <c r="G816" s="25"/>
      <c r="H816" s="25"/>
      <c r="I816" s="25"/>
      <c r="J816" s="25"/>
      <c r="K816" s="25"/>
      <c r="L816" s="25"/>
      <c r="M816" s="25"/>
      <c r="N816" s="25"/>
      <c r="O816" s="25"/>
      <c r="P816" s="25"/>
      <c r="Q816" s="25"/>
      <c r="R816" s="25"/>
      <c r="S816" s="25"/>
      <c r="T816" s="25"/>
      <c r="U816" s="25"/>
      <c r="V816" s="25"/>
      <c r="W816" s="25"/>
      <c r="X816" s="25"/>
    </row>
    <row r="817" spans="1:24" ht="13">
      <c r="A817" s="25"/>
      <c r="B817" s="25"/>
      <c r="C817" s="25"/>
      <c r="D817" s="25" t="str">
        <f t="array" ref="D817">IF(OR(LEFT(C817,1)="(",COUNTA(C817)=0),"", INDEX(Honor!$B$2:$B998,MATCH(C817,Honor!$A$2:$A998,0)))</f>
        <v/>
      </c>
      <c r="E817" s="25" t="str">
        <f t="array" ref="E817">IF(OR(LEFT(C817,1)="(",COUNTA(C817)=0),"",INDEX(Honor!$O$2:$O998,MATCH(C817,Honor!$A$2:$A998,0)))</f>
        <v/>
      </c>
      <c r="F817" s="25"/>
      <c r="G817" s="25"/>
      <c r="H817" s="25"/>
      <c r="I817" s="25"/>
      <c r="J817" s="25"/>
      <c r="K817" s="25"/>
      <c r="L817" s="25"/>
      <c r="M817" s="25"/>
      <c r="N817" s="25"/>
      <c r="O817" s="25"/>
      <c r="P817" s="25"/>
      <c r="Q817" s="25"/>
      <c r="R817" s="25"/>
      <c r="S817" s="25"/>
      <c r="T817" s="25"/>
      <c r="U817" s="25"/>
      <c r="V817" s="25"/>
      <c r="W817" s="25"/>
      <c r="X817" s="25"/>
    </row>
    <row r="818" spans="1:24" ht="13">
      <c r="A818" s="25"/>
      <c r="B818" s="25"/>
      <c r="C818" s="25"/>
      <c r="D818" s="25" t="str">
        <f t="array" ref="D818">IF(OR(LEFT(C818,1)="(",COUNTA(C818)=0),"", INDEX(Honor!$B$2:$B998,MATCH(C818,Honor!$A$2:$A998,0)))</f>
        <v/>
      </c>
      <c r="E818" s="25" t="str">
        <f t="array" ref="E818">IF(OR(LEFT(C818,1)="(",COUNTA(C818)=0),"",INDEX(Honor!$O$2:$O998,MATCH(C818,Honor!$A$2:$A998,0)))</f>
        <v/>
      </c>
      <c r="F818" s="25"/>
      <c r="G818" s="25"/>
      <c r="H818" s="25"/>
      <c r="I818" s="25"/>
      <c r="J818" s="25"/>
      <c r="K818" s="25"/>
      <c r="L818" s="25"/>
      <c r="M818" s="25"/>
      <c r="N818" s="25"/>
      <c r="O818" s="25"/>
      <c r="P818" s="25"/>
      <c r="Q818" s="25"/>
      <c r="R818" s="25"/>
      <c r="S818" s="25"/>
      <c r="T818" s="25"/>
      <c r="U818" s="25"/>
      <c r="V818" s="25"/>
      <c r="W818" s="25"/>
      <c r="X818" s="25"/>
    </row>
    <row r="819" spans="1:24" ht="13">
      <c r="A819" s="25"/>
      <c r="B819" s="25"/>
      <c r="C819" s="25"/>
      <c r="D819" s="25" t="str">
        <f t="array" ref="D819">IF(OR(LEFT(C819,1)="(",COUNTA(C819)=0),"", INDEX(Honor!$B$2:$B998,MATCH(C819,Honor!$A$2:$A998,0)))</f>
        <v/>
      </c>
      <c r="E819" s="25" t="str">
        <f t="array" ref="E819">IF(OR(LEFT(C819,1)="(",COUNTA(C819)=0),"",INDEX(Honor!$O$2:$O998,MATCH(C819,Honor!$A$2:$A998,0)))</f>
        <v/>
      </c>
      <c r="F819" s="25"/>
      <c r="G819" s="25"/>
      <c r="H819" s="25"/>
      <c r="I819" s="25"/>
      <c r="J819" s="25"/>
      <c r="K819" s="25"/>
      <c r="L819" s="25"/>
      <c r="M819" s="25"/>
      <c r="N819" s="25"/>
      <c r="O819" s="25"/>
      <c r="P819" s="25"/>
      <c r="Q819" s="25"/>
      <c r="R819" s="25"/>
      <c r="S819" s="25"/>
      <c r="T819" s="25"/>
      <c r="U819" s="25"/>
      <c r="V819" s="25"/>
      <c r="W819" s="25"/>
      <c r="X819" s="25"/>
    </row>
    <row r="820" spans="1:24" ht="13">
      <c r="A820" s="25"/>
      <c r="B820" s="25"/>
      <c r="C820" s="25"/>
      <c r="D820" s="25" t="str">
        <f t="array" ref="D820">IF(OR(LEFT(C820,1)="(",COUNTA(C820)=0),"", INDEX(Honor!$B$2:$B998,MATCH(C820,Honor!$A$2:$A998,0)))</f>
        <v/>
      </c>
      <c r="E820" s="25" t="str">
        <f t="array" ref="E820">IF(OR(LEFT(C820,1)="(",COUNTA(C820)=0),"",INDEX(Honor!$O$2:$O998,MATCH(C820,Honor!$A$2:$A998,0)))</f>
        <v/>
      </c>
      <c r="F820" s="25"/>
      <c r="G820" s="25"/>
      <c r="H820" s="25"/>
      <c r="I820" s="25"/>
      <c r="J820" s="25"/>
      <c r="K820" s="25"/>
      <c r="L820" s="25"/>
      <c r="M820" s="25"/>
      <c r="N820" s="25"/>
      <c r="O820" s="25"/>
      <c r="P820" s="25"/>
      <c r="Q820" s="25"/>
      <c r="R820" s="25"/>
      <c r="S820" s="25"/>
      <c r="T820" s="25"/>
      <c r="U820" s="25"/>
      <c r="V820" s="25"/>
      <c r="W820" s="25"/>
      <c r="X820" s="25"/>
    </row>
    <row r="821" spans="1:24" ht="13">
      <c r="A821" s="25"/>
      <c r="B821" s="25"/>
      <c r="C821" s="25"/>
      <c r="D821" s="25" t="str">
        <f t="array" ref="D821">IF(OR(LEFT(C821,1)="(",COUNTA(C821)=0),"", INDEX(Honor!$B$2:$B998,MATCH(C821,Honor!$A$2:$A998,0)))</f>
        <v/>
      </c>
      <c r="E821" s="25" t="str">
        <f t="array" ref="E821">IF(OR(LEFT(C821,1)="(",COUNTA(C821)=0),"",INDEX(Honor!$O$2:$O998,MATCH(C821,Honor!$A$2:$A998,0)))</f>
        <v/>
      </c>
      <c r="F821" s="25"/>
      <c r="G821" s="25"/>
      <c r="H821" s="25"/>
      <c r="I821" s="25"/>
      <c r="J821" s="25"/>
      <c r="K821" s="25"/>
      <c r="L821" s="25"/>
      <c r="M821" s="25"/>
      <c r="N821" s="25"/>
      <c r="O821" s="25"/>
      <c r="P821" s="25"/>
      <c r="Q821" s="25"/>
      <c r="R821" s="25"/>
      <c r="S821" s="25"/>
      <c r="T821" s="25"/>
      <c r="U821" s="25"/>
      <c r="V821" s="25"/>
      <c r="W821" s="25"/>
      <c r="X821" s="25"/>
    </row>
    <row r="822" spans="1:24" ht="13">
      <c r="A822" s="25"/>
      <c r="B822" s="25"/>
      <c r="C822" s="25"/>
      <c r="D822" s="25" t="str">
        <f t="array" ref="D822">IF(OR(LEFT(C822,1)="(",COUNTA(C822)=0),"", INDEX(Honor!$B$2:$B998,MATCH(C822,Honor!$A$2:$A998,0)))</f>
        <v/>
      </c>
      <c r="E822" s="25" t="str">
        <f t="array" ref="E822">IF(OR(LEFT(C822,1)="(",COUNTA(C822)=0),"",INDEX(Honor!$O$2:$O998,MATCH(C822,Honor!$A$2:$A998,0)))</f>
        <v/>
      </c>
      <c r="F822" s="25"/>
      <c r="G822" s="25"/>
      <c r="H822" s="25"/>
      <c r="I822" s="25"/>
      <c r="J822" s="25"/>
      <c r="K822" s="25"/>
      <c r="L822" s="25"/>
      <c r="M822" s="25"/>
      <c r="N822" s="25"/>
      <c r="O822" s="25"/>
      <c r="P822" s="25"/>
      <c r="Q822" s="25"/>
      <c r="R822" s="25"/>
      <c r="S822" s="25"/>
      <c r="T822" s="25"/>
      <c r="U822" s="25"/>
      <c r="V822" s="25"/>
      <c r="W822" s="25"/>
      <c r="X822" s="25"/>
    </row>
    <row r="823" spans="1:24" ht="13">
      <c r="A823" s="25"/>
      <c r="B823" s="25"/>
      <c r="C823" s="25"/>
      <c r="D823" s="25" t="str">
        <f t="array" ref="D823">IF(OR(LEFT(C823,1)="(",COUNTA(C823)=0),"", INDEX(Honor!$B$2:$B998,MATCH(C823,Honor!$A$2:$A998,0)))</f>
        <v/>
      </c>
      <c r="E823" s="25" t="str">
        <f t="array" ref="E823">IF(OR(LEFT(C823,1)="(",COUNTA(C823)=0),"",INDEX(Honor!$O$2:$O998,MATCH(C823,Honor!$A$2:$A998,0)))</f>
        <v/>
      </c>
      <c r="F823" s="25"/>
      <c r="G823" s="25"/>
      <c r="H823" s="25"/>
      <c r="I823" s="25"/>
      <c r="J823" s="25"/>
      <c r="K823" s="25"/>
      <c r="L823" s="25"/>
      <c r="M823" s="25"/>
      <c r="N823" s="25"/>
      <c r="O823" s="25"/>
      <c r="P823" s="25"/>
      <c r="Q823" s="25"/>
      <c r="R823" s="25"/>
      <c r="S823" s="25"/>
      <c r="T823" s="25"/>
      <c r="U823" s="25"/>
      <c r="V823" s="25"/>
      <c r="W823" s="25"/>
      <c r="X823" s="25"/>
    </row>
    <row r="824" spans="1:24" ht="13">
      <c r="A824" s="25"/>
      <c r="B824" s="25"/>
      <c r="C824" s="25"/>
      <c r="D824" s="25" t="str">
        <f t="array" ref="D824">IF(OR(LEFT(C824,1)="(",COUNTA(C824)=0),"", INDEX(Honor!$B$2:$B998,MATCH(C824,Honor!$A$2:$A998,0)))</f>
        <v/>
      </c>
      <c r="E824" s="25" t="str">
        <f t="array" ref="E824">IF(OR(LEFT(C824,1)="(",COUNTA(C824)=0),"",INDEX(Honor!$O$2:$O998,MATCH(C824,Honor!$A$2:$A998,0)))</f>
        <v/>
      </c>
      <c r="F824" s="25"/>
      <c r="G824" s="25"/>
      <c r="H824" s="25"/>
      <c r="I824" s="25"/>
      <c r="J824" s="25"/>
      <c r="K824" s="25"/>
      <c r="L824" s="25"/>
      <c r="M824" s="25"/>
      <c r="N824" s="25"/>
      <c r="O824" s="25"/>
      <c r="P824" s="25"/>
      <c r="Q824" s="25"/>
      <c r="R824" s="25"/>
      <c r="S824" s="25"/>
      <c r="T824" s="25"/>
      <c r="U824" s="25"/>
      <c r="V824" s="25"/>
      <c r="W824" s="25"/>
      <c r="X824" s="25"/>
    </row>
    <row r="825" spans="1:24" ht="13">
      <c r="A825" s="25"/>
      <c r="B825" s="25"/>
      <c r="C825" s="25"/>
      <c r="D825" s="25" t="str">
        <f t="array" ref="D825">IF(OR(LEFT(C825,1)="(",COUNTA(C825)=0),"", INDEX(Honor!$B$2:$B998,MATCH(C825,Honor!$A$2:$A998,0)))</f>
        <v/>
      </c>
      <c r="E825" s="25" t="str">
        <f t="array" ref="E825">IF(OR(LEFT(C825,1)="(",COUNTA(C825)=0),"",INDEX(Honor!$O$2:$O998,MATCH(C825,Honor!$A$2:$A998,0)))</f>
        <v/>
      </c>
      <c r="F825" s="25"/>
      <c r="G825" s="25"/>
      <c r="H825" s="25"/>
      <c r="I825" s="25"/>
      <c r="J825" s="25"/>
      <c r="K825" s="25"/>
      <c r="L825" s="25"/>
      <c r="M825" s="25"/>
      <c r="N825" s="25"/>
      <c r="O825" s="25"/>
      <c r="P825" s="25"/>
      <c r="Q825" s="25"/>
      <c r="R825" s="25"/>
      <c r="S825" s="25"/>
      <c r="T825" s="25"/>
      <c r="U825" s="25"/>
      <c r="V825" s="25"/>
      <c r="W825" s="25"/>
      <c r="X825" s="25"/>
    </row>
    <row r="826" spans="1:24" ht="13">
      <c r="A826" s="25"/>
      <c r="B826" s="25"/>
      <c r="C826" s="25"/>
      <c r="D826" s="25" t="str">
        <f t="array" ref="D826">IF(OR(LEFT(C826,1)="(",COUNTA(C826)=0),"", INDEX(Honor!$B$2:$B998,MATCH(C826,Honor!$A$2:$A998,0)))</f>
        <v/>
      </c>
      <c r="E826" s="25" t="str">
        <f t="array" ref="E826">IF(OR(LEFT(C826,1)="(",COUNTA(C826)=0),"",INDEX(Honor!$O$2:$O998,MATCH(C826,Honor!$A$2:$A998,0)))</f>
        <v/>
      </c>
      <c r="F826" s="25"/>
      <c r="G826" s="25"/>
      <c r="H826" s="25"/>
      <c r="I826" s="25"/>
      <c r="J826" s="25"/>
      <c r="K826" s="25"/>
      <c r="L826" s="25"/>
      <c r="M826" s="25"/>
      <c r="N826" s="25"/>
      <c r="O826" s="25"/>
      <c r="P826" s="25"/>
      <c r="Q826" s="25"/>
      <c r="R826" s="25"/>
      <c r="S826" s="25"/>
      <c r="T826" s="25"/>
      <c r="U826" s="25"/>
      <c r="V826" s="25"/>
      <c r="W826" s="25"/>
      <c r="X826" s="25"/>
    </row>
    <row r="827" spans="1:24" ht="13">
      <c r="A827" s="25"/>
      <c r="B827" s="25"/>
      <c r="C827" s="25"/>
      <c r="D827" s="25" t="str">
        <f t="array" ref="D827">IF(OR(LEFT(C827,1)="(",COUNTA(C827)=0),"", INDEX(Honor!$B$2:$B998,MATCH(C827,Honor!$A$2:$A998,0)))</f>
        <v/>
      </c>
      <c r="E827" s="25" t="str">
        <f t="array" ref="E827">IF(OR(LEFT(C827,1)="(",COUNTA(C827)=0),"",INDEX(Honor!$O$2:$O998,MATCH(C827,Honor!$A$2:$A998,0)))</f>
        <v/>
      </c>
      <c r="F827" s="25"/>
      <c r="G827" s="25"/>
      <c r="H827" s="25"/>
      <c r="I827" s="25"/>
      <c r="J827" s="25"/>
      <c r="K827" s="25"/>
      <c r="L827" s="25"/>
      <c r="M827" s="25"/>
      <c r="N827" s="25"/>
      <c r="O827" s="25"/>
      <c r="P827" s="25"/>
      <c r="Q827" s="25"/>
      <c r="R827" s="25"/>
      <c r="S827" s="25"/>
      <c r="T827" s="25"/>
      <c r="U827" s="25"/>
      <c r="V827" s="25"/>
      <c r="W827" s="25"/>
      <c r="X827" s="25"/>
    </row>
    <row r="828" spans="1:24" ht="13">
      <c r="A828" s="25"/>
      <c r="B828" s="25"/>
      <c r="C828" s="25"/>
      <c r="D828" s="25" t="str">
        <f t="array" ref="D828">IF(OR(LEFT(C828,1)="(",COUNTA(C828)=0),"", INDEX(Honor!$B$2:$B998,MATCH(C828,Honor!$A$2:$A998,0)))</f>
        <v/>
      </c>
      <c r="E828" s="25" t="str">
        <f t="array" ref="E828">IF(OR(LEFT(C828,1)="(",COUNTA(C828)=0),"",INDEX(Honor!$O$2:$O998,MATCH(C828,Honor!$A$2:$A998,0)))</f>
        <v/>
      </c>
      <c r="F828" s="25"/>
      <c r="G828" s="25"/>
      <c r="H828" s="25"/>
      <c r="I828" s="25"/>
      <c r="J828" s="25"/>
      <c r="K828" s="25"/>
      <c r="L828" s="25"/>
      <c r="M828" s="25"/>
      <c r="N828" s="25"/>
      <c r="O828" s="25"/>
      <c r="P828" s="25"/>
      <c r="Q828" s="25"/>
      <c r="R828" s="25"/>
      <c r="S828" s="25"/>
      <c r="T828" s="25"/>
      <c r="U828" s="25"/>
      <c r="V828" s="25"/>
      <c r="W828" s="25"/>
      <c r="X828" s="25"/>
    </row>
    <row r="829" spans="1:24" ht="13">
      <c r="A829" s="25"/>
      <c r="B829" s="25"/>
      <c r="C829" s="25"/>
      <c r="D829" s="25" t="str">
        <f t="array" ref="D829">IF(OR(LEFT(C829,1)="(",COUNTA(C829)=0),"", INDEX(Honor!$B$2:$B998,MATCH(C829,Honor!$A$2:$A998,0)))</f>
        <v/>
      </c>
      <c r="E829" s="25" t="str">
        <f t="array" ref="E829">IF(OR(LEFT(C829,1)="(",COUNTA(C829)=0),"",INDEX(Honor!$O$2:$O998,MATCH(C829,Honor!$A$2:$A998,0)))</f>
        <v/>
      </c>
      <c r="F829" s="25"/>
      <c r="G829" s="25"/>
      <c r="H829" s="25"/>
      <c r="I829" s="25"/>
      <c r="J829" s="25"/>
      <c r="K829" s="25"/>
      <c r="L829" s="25"/>
      <c r="M829" s="25"/>
      <c r="N829" s="25"/>
      <c r="O829" s="25"/>
      <c r="P829" s="25"/>
      <c r="Q829" s="25"/>
      <c r="R829" s="25"/>
      <c r="S829" s="25"/>
      <c r="T829" s="25"/>
      <c r="U829" s="25"/>
      <c r="V829" s="25"/>
      <c r="W829" s="25"/>
      <c r="X829" s="25"/>
    </row>
    <row r="830" spans="1:24" ht="13">
      <c r="A830" s="25"/>
      <c r="B830" s="25"/>
      <c r="C830" s="25"/>
      <c r="D830" s="25" t="str">
        <f t="array" ref="D830">IF(OR(LEFT(C830,1)="(",COUNTA(C830)=0),"", INDEX(Honor!$B$2:$B998,MATCH(C830,Honor!$A$2:$A998,0)))</f>
        <v/>
      </c>
      <c r="E830" s="25" t="str">
        <f t="array" ref="E830">IF(OR(LEFT(C830,1)="(",COUNTA(C830)=0),"",INDEX(Honor!$O$2:$O998,MATCH(C830,Honor!$A$2:$A998,0)))</f>
        <v/>
      </c>
      <c r="F830" s="25"/>
      <c r="G830" s="25"/>
      <c r="H830" s="25"/>
      <c r="I830" s="25"/>
      <c r="J830" s="25"/>
      <c r="K830" s="25"/>
      <c r="L830" s="25"/>
      <c r="M830" s="25"/>
      <c r="N830" s="25"/>
      <c r="O830" s="25"/>
      <c r="P830" s="25"/>
      <c r="Q830" s="25"/>
      <c r="R830" s="25"/>
      <c r="S830" s="25"/>
      <c r="T830" s="25"/>
      <c r="U830" s="25"/>
      <c r="V830" s="25"/>
      <c r="W830" s="25"/>
      <c r="X830" s="25"/>
    </row>
    <row r="831" spans="1:24" ht="13">
      <c r="A831" s="25"/>
      <c r="B831" s="25"/>
      <c r="C831" s="25"/>
      <c r="D831" s="25" t="str">
        <f t="array" ref="D831">IF(OR(LEFT(C831,1)="(",COUNTA(C831)=0),"", INDEX(Honor!$B$2:$B998,MATCH(C831,Honor!$A$2:$A998,0)))</f>
        <v/>
      </c>
      <c r="E831" s="25" t="str">
        <f t="array" ref="E831">IF(OR(LEFT(C831,1)="(",COUNTA(C831)=0),"",INDEX(Honor!$O$2:$O998,MATCH(C831,Honor!$A$2:$A998,0)))</f>
        <v/>
      </c>
      <c r="F831" s="25"/>
      <c r="G831" s="25"/>
      <c r="H831" s="25"/>
      <c r="I831" s="25"/>
      <c r="J831" s="25"/>
      <c r="K831" s="25"/>
      <c r="L831" s="25"/>
      <c r="M831" s="25"/>
      <c r="N831" s="25"/>
      <c r="O831" s="25"/>
      <c r="P831" s="25"/>
      <c r="Q831" s="25"/>
      <c r="R831" s="25"/>
      <c r="S831" s="25"/>
      <c r="T831" s="25"/>
      <c r="U831" s="25"/>
      <c r="V831" s="25"/>
      <c r="W831" s="25"/>
      <c r="X831" s="25"/>
    </row>
    <row r="832" spans="1:24" ht="13">
      <c r="A832" s="25"/>
      <c r="B832" s="25"/>
      <c r="C832" s="25"/>
      <c r="D832" s="25" t="str">
        <f t="array" ref="D832">IF(OR(LEFT(C832,1)="(",COUNTA(C832)=0),"", INDEX(Honor!$B$2:$B998,MATCH(C832,Honor!$A$2:$A998,0)))</f>
        <v/>
      </c>
      <c r="E832" s="25" t="str">
        <f t="array" ref="E832">IF(OR(LEFT(C832,1)="(",COUNTA(C832)=0),"",INDEX(Honor!$O$2:$O998,MATCH(C832,Honor!$A$2:$A998,0)))</f>
        <v/>
      </c>
      <c r="F832" s="25"/>
      <c r="G832" s="25"/>
      <c r="H832" s="25"/>
      <c r="I832" s="25"/>
      <c r="J832" s="25"/>
      <c r="K832" s="25"/>
      <c r="L832" s="25"/>
      <c r="M832" s="25"/>
      <c r="N832" s="25"/>
      <c r="O832" s="25"/>
      <c r="P832" s="25"/>
      <c r="Q832" s="25"/>
      <c r="R832" s="25"/>
      <c r="S832" s="25"/>
      <c r="T832" s="25"/>
      <c r="U832" s="25"/>
      <c r="V832" s="25"/>
      <c r="W832" s="25"/>
      <c r="X832" s="25"/>
    </row>
    <row r="833" spans="1:24" ht="13">
      <c r="A833" s="25"/>
      <c r="B833" s="25"/>
      <c r="C833" s="25"/>
      <c r="D833" s="25" t="str">
        <f t="array" ref="D833">IF(OR(LEFT(C833,1)="(",COUNTA(C833)=0),"", INDEX(Honor!$B$2:$B998,MATCH(C833,Honor!$A$2:$A998,0)))</f>
        <v/>
      </c>
      <c r="E833" s="25" t="str">
        <f t="array" ref="E833">IF(OR(LEFT(C833,1)="(",COUNTA(C833)=0),"",INDEX(Honor!$O$2:$O998,MATCH(C833,Honor!$A$2:$A998,0)))</f>
        <v/>
      </c>
      <c r="F833" s="25"/>
      <c r="G833" s="25"/>
      <c r="H833" s="25"/>
      <c r="I833" s="25"/>
      <c r="J833" s="25"/>
      <c r="K833" s="25"/>
      <c r="L833" s="25"/>
      <c r="M833" s="25"/>
      <c r="N833" s="25"/>
      <c r="O833" s="25"/>
      <c r="P833" s="25"/>
      <c r="Q833" s="25"/>
      <c r="R833" s="25"/>
      <c r="S833" s="25"/>
      <c r="T833" s="25"/>
      <c r="U833" s="25"/>
      <c r="V833" s="25"/>
      <c r="W833" s="25"/>
      <c r="X833" s="25"/>
    </row>
    <row r="834" spans="1:24" ht="13">
      <c r="A834" s="25"/>
      <c r="B834" s="25"/>
      <c r="C834" s="25"/>
      <c r="D834" s="25" t="str">
        <f t="array" ref="D834">IF(OR(LEFT(C834,1)="(",COUNTA(C834)=0),"", INDEX(Honor!$B$2:$B998,MATCH(C834,Honor!$A$2:$A998,0)))</f>
        <v/>
      </c>
      <c r="E834" s="25" t="str">
        <f t="array" ref="E834">IF(OR(LEFT(C834,1)="(",COUNTA(C834)=0),"",INDEX(Honor!$O$2:$O998,MATCH(C834,Honor!$A$2:$A998,0)))</f>
        <v/>
      </c>
      <c r="F834" s="25"/>
      <c r="G834" s="25"/>
      <c r="H834" s="25"/>
      <c r="I834" s="25"/>
      <c r="J834" s="25"/>
      <c r="K834" s="25"/>
      <c r="L834" s="25"/>
      <c r="M834" s="25"/>
      <c r="N834" s="25"/>
      <c r="O834" s="25"/>
      <c r="P834" s="25"/>
      <c r="Q834" s="25"/>
      <c r="R834" s="25"/>
      <c r="S834" s="25"/>
      <c r="T834" s="25"/>
      <c r="U834" s="25"/>
      <c r="V834" s="25"/>
      <c r="W834" s="25"/>
      <c r="X834" s="25"/>
    </row>
    <row r="835" spans="1:24" ht="13">
      <c r="A835" s="25"/>
      <c r="B835" s="25"/>
      <c r="C835" s="25"/>
      <c r="D835" s="25" t="str">
        <f t="array" ref="D835">IF(OR(LEFT(C835,1)="(",COUNTA(C835)=0),"", INDEX(Honor!$B$2:$B998,MATCH(C835,Honor!$A$2:$A998,0)))</f>
        <v/>
      </c>
      <c r="E835" s="25" t="str">
        <f t="array" ref="E835">IF(OR(LEFT(C835,1)="(",COUNTA(C835)=0),"",INDEX(Honor!$O$2:$O998,MATCH(C835,Honor!$A$2:$A998,0)))</f>
        <v/>
      </c>
      <c r="F835" s="25"/>
      <c r="G835" s="25"/>
      <c r="H835" s="25"/>
      <c r="I835" s="25"/>
      <c r="J835" s="25"/>
      <c r="K835" s="25"/>
      <c r="L835" s="25"/>
      <c r="M835" s="25"/>
      <c r="N835" s="25"/>
      <c r="O835" s="25"/>
      <c r="P835" s="25"/>
      <c r="Q835" s="25"/>
      <c r="R835" s="25"/>
      <c r="S835" s="25"/>
      <c r="T835" s="25"/>
      <c r="U835" s="25"/>
      <c r="V835" s="25"/>
      <c r="W835" s="25"/>
      <c r="X835" s="25"/>
    </row>
    <row r="836" spans="1:24" ht="13">
      <c r="A836" s="25"/>
      <c r="B836" s="25"/>
      <c r="C836" s="25"/>
      <c r="D836" s="25" t="str">
        <f t="array" ref="D836">IF(OR(LEFT(C836,1)="(",COUNTA(C836)=0),"", INDEX(Honor!$B$2:$B998,MATCH(C836,Honor!$A$2:$A998,0)))</f>
        <v/>
      </c>
      <c r="E836" s="25" t="str">
        <f t="array" ref="E836">IF(OR(LEFT(C836,1)="(",COUNTA(C836)=0),"",INDEX(Honor!$O$2:$O998,MATCH(C836,Honor!$A$2:$A998,0)))</f>
        <v/>
      </c>
      <c r="F836" s="25"/>
      <c r="G836" s="25"/>
      <c r="H836" s="25"/>
      <c r="I836" s="25"/>
      <c r="J836" s="25"/>
      <c r="K836" s="25"/>
      <c r="L836" s="25"/>
      <c r="M836" s="25"/>
      <c r="N836" s="25"/>
      <c r="O836" s="25"/>
      <c r="P836" s="25"/>
      <c r="Q836" s="25"/>
      <c r="R836" s="25"/>
      <c r="S836" s="25"/>
      <c r="T836" s="25"/>
      <c r="U836" s="25"/>
      <c r="V836" s="25"/>
      <c r="W836" s="25"/>
      <c r="X836" s="25"/>
    </row>
    <row r="837" spans="1:24" ht="13">
      <c r="A837" s="25"/>
      <c r="B837" s="25"/>
      <c r="C837" s="25"/>
      <c r="D837" s="25" t="str">
        <f t="array" ref="D837">IF(OR(LEFT(C837,1)="(",COUNTA(C837)=0),"", INDEX(Honor!$B$2:$B998,MATCH(C837,Honor!$A$2:$A998,0)))</f>
        <v/>
      </c>
      <c r="E837" s="25" t="str">
        <f t="array" ref="E837">IF(OR(LEFT(C837,1)="(",COUNTA(C837)=0),"",INDEX(Honor!$O$2:$O998,MATCH(C837,Honor!$A$2:$A998,0)))</f>
        <v/>
      </c>
      <c r="F837" s="25"/>
      <c r="G837" s="25"/>
      <c r="H837" s="25"/>
      <c r="I837" s="25"/>
      <c r="J837" s="25"/>
      <c r="K837" s="25"/>
      <c r="L837" s="25"/>
      <c r="M837" s="25"/>
      <c r="N837" s="25"/>
      <c r="O837" s="25"/>
      <c r="P837" s="25"/>
      <c r="Q837" s="25"/>
      <c r="R837" s="25"/>
      <c r="S837" s="25"/>
      <c r="T837" s="25"/>
      <c r="U837" s="25"/>
      <c r="V837" s="25"/>
      <c r="W837" s="25"/>
      <c r="X837" s="25"/>
    </row>
    <row r="838" spans="1:24" ht="13">
      <c r="A838" s="25"/>
      <c r="B838" s="25"/>
      <c r="C838" s="25"/>
      <c r="D838" s="25" t="str">
        <f t="array" ref="D838">IF(OR(LEFT(C838,1)="(",COUNTA(C838)=0),"", INDEX(Honor!$B$2:$B998,MATCH(C838,Honor!$A$2:$A998,0)))</f>
        <v/>
      </c>
      <c r="E838" s="25" t="str">
        <f t="array" ref="E838">IF(OR(LEFT(C838,1)="(",COUNTA(C838)=0),"",INDEX(Honor!$O$2:$O998,MATCH(C838,Honor!$A$2:$A998,0)))</f>
        <v/>
      </c>
      <c r="F838" s="25"/>
      <c r="G838" s="25"/>
      <c r="H838" s="25"/>
      <c r="I838" s="25"/>
      <c r="J838" s="25"/>
      <c r="K838" s="25"/>
      <c r="L838" s="25"/>
      <c r="M838" s="25"/>
      <c r="N838" s="25"/>
      <c r="O838" s="25"/>
      <c r="P838" s="25"/>
      <c r="Q838" s="25"/>
      <c r="R838" s="25"/>
      <c r="S838" s="25"/>
      <c r="T838" s="25"/>
      <c r="U838" s="25"/>
      <c r="V838" s="25"/>
      <c r="W838" s="25"/>
      <c r="X838" s="25"/>
    </row>
    <row r="839" spans="1:24" ht="13">
      <c r="A839" s="25"/>
      <c r="B839" s="25"/>
      <c r="C839" s="25"/>
      <c r="D839" s="25" t="str">
        <f t="array" ref="D839">IF(OR(LEFT(C839,1)="(",COUNTA(C839)=0),"", INDEX(Honor!$B$2:$B998,MATCH(C839,Honor!$A$2:$A998,0)))</f>
        <v/>
      </c>
      <c r="E839" s="25" t="str">
        <f t="array" ref="E839">IF(OR(LEFT(C839,1)="(",COUNTA(C839)=0),"",INDEX(Honor!$O$2:$O998,MATCH(C839,Honor!$A$2:$A998,0)))</f>
        <v/>
      </c>
      <c r="F839" s="25"/>
      <c r="G839" s="25"/>
      <c r="H839" s="25"/>
      <c r="I839" s="25"/>
      <c r="J839" s="25"/>
      <c r="K839" s="25"/>
      <c r="L839" s="25"/>
      <c r="M839" s="25"/>
      <c r="N839" s="25"/>
      <c r="O839" s="25"/>
      <c r="P839" s="25"/>
      <c r="Q839" s="25"/>
      <c r="R839" s="25"/>
      <c r="S839" s="25"/>
      <c r="T839" s="25"/>
      <c r="U839" s="25"/>
      <c r="V839" s="25"/>
      <c r="W839" s="25"/>
      <c r="X839" s="25"/>
    </row>
    <row r="840" spans="1:24" ht="13">
      <c r="A840" s="25"/>
      <c r="B840" s="25"/>
      <c r="C840" s="25"/>
      <c r="D840" s="25" t="str">
        <f t="array" ref="D840">IF(OR(LEFT(C840,1)="(",COUNTA(C840)=0),"", INDEX(Honor!$B$2:$B998,MATCH(C840,Honor!$A$2:$A998,0)))</f>
        <v/>
      </c>
      <c r="E840" s="25" t="str">
        <f t="array" ref="E840">IF(OR(LEFT(C840,1)="(",COUNTA(C840)=0),"",INDEX(Honor!$O$2:$O998,MATCH(C840,Honor!$A$2:$A998,0)))</f>
        <v/>
      </c>
      <c r="F840" s="25"/>
      <c r="G840" s="25"/>
      <c r="H840" s="25"/>
      <c r="I840" s="25"/>
      <c r="J840" s="25"/>
      <c r="K840" s="25"/>
      <c r="L840" s="25"/>
      <c r="M840" s="25"/>
      <c r="N840" s="25"/>
      <c r="O840" s="25"/>
      <c r="P840" s="25"/>
      <c r="Q840" s="25"/>
      <c r="R840" s="25"/>
      <c r="S840" s="25"/>
      <c r="T840" s="25"/>
      <c r="U840" s="25"/>
      <c r="V840" s="25"/>
      <c r="W840" s="25"/>
      <c r="X840" s="25"/>
    </row>
    <row r="841" spans="1:24" ht="13">
      <c r="A841" s="25"/>
      <c r="B841" s="25"/>
      <c r="C841" s="25"/>
      <c r="D841" s="25" t="str">
        <f t="array" ref="D841">IF(OR(LEFT(C841,1)="(",COUNTA(C841)=0),"", INDEX(Honor!$B$2:$B998,MATCH(C841,Honor!$A$2:$A998,0)))</f>
        <v/>
      </c>
      <c r="E841" s="25" t="str">
        <f t="array" ref="E841">IF(OR(LEFT(C841,1)="(",COUNTA(C841)=0),"",INDEX(Honor!$O$2:$O998,MATCH(C841,Honor!$A$2:$A998,0)))</f>
        <v/>
      </c>
      <c r="F841" s="25"/>
      <c r="G841" s="25"/>
      <c r="H841" s="25"/>
      <c r="I841" s="25"/>
      <c r="J841" s="25"/>
      <c r="K841" s="25"/>
      <c r="L841" s="25"/>
      <c r="M841" s="25"/>
      <c r="N841" s="25"/>
      <c r="O841" s="25"/>
      <c r="P841" s="25"/>
      <c r="Q841" s="25"/>
      <c r="R841" s="25"/>
      <c r="S841" s="25"/>
      <c r="T841" s="25"/>
      <c r="U841" s="25"/>
      <c r="V841" s="25"/>
      <c r="W841" s="25"/>
      <c r="X841" s="25"/>
    </row>
    <row r="842" spans="1:24" ht="13">
      <c r="A842" s="25"/>
      <c r="B842" s="25"/>
      <c r="C842" s="25"/>
      <c r="D842" s="25" t="str">
        <f t="array" ref="D842">IF(OR(LEFT(C842,1)="(",COUNTA(C842)=0),"", INDEX(Honor!$B$2:$B998,MATCH(C842,Honor!$A$2:$A998,0)))</f>
        <v/>
      </c>
      <c r="E842" s="25" t="str">
        <f t="array" ref="E842">IF(OR(LEFT(C842,1)="(",COUNTA(C842)=0),"",INDEX(Honor!$O$2:$O998,MATCH(C842,Honor!$A$2:$A998,0)))</f>
        <v/>
      </c>
      <c r="F842" s="25"/>
      <c r="G842" s="25"/>
      <c r="H842" s="25"/>
      <c r="I842" s="25"/>
      <c r="J842" s="25"/>
      <c r="K842" s="25"/>
      <c r="L842" s="25"/>
      <c r="M842" s="25"/>
      <c r="N842" s="25"/>
      <c r="O842" s="25"/>
      <c r="P842" s="25"/>
      <c r="Q842" s="25"/>
      <c r="R842" s="25"/>
      <c r="S842" s="25"/>
      <c r="T842" s="25"/>
      <c r="U842" s="25"/>
      <c r="V842" s="25"/>
      <c r="W842" s="25"/>
      <c r="X842" s="25"/>
    </row>
    <row r="843" spans="1:24" ht="13">
      <c r="A843" s="25"/>
      <c r="B843" s="25"/>
      <c r="C843" s="25"/>
      <c r="D843" s="25" t="str">
        <f t="array" ref="D843">IF(OR(LEFT(C843,1)="(",COUNTA(C843)=0),"", INDEX(Honor!$B$2:$B998,MATCH(C843,Honor!$A$2:$A998,0)))</f>
        <v/>
      </c>
      <c r="E843" s="25" t="str">
        <f t="array" ref="E843">IF(OR(LEFT(C843,1)="(",COUNTA(C843)=0),"",INDEX(Honor!$O$2:$O998,MATCH(C843,Honor!$A$2:$A998,0)))</f>
        <v/>
      </c>
      <c r="F843" s="25"/>
      <c r="G843" s="25"/>
      <c r="H843" s="25"/>
      <c r="I843" s="25"/>
      <c r="J843" s="25"/>
      <c r="K843" s="25"/>
      <c r="L843" s="25"/>
      <c r="M843" s="25"/>
      <c r="N843" s="25"/>
      <c r="O843" s="25"/>
      <c r="P843" s="25"/>
      <c r="Q843" s="25"/>
      <c r="R843" s="25"/>
      <c r="S843" s="25"/>
      <c r="T843" s="25"/>
      <c r="U843" s="25"/>
      <c r="V843" s="25"/>
      <c r="W843" s="25"/>
      <c r="X843" s="25"/>
    </row>
    <row r="844" spans="1:24" ht="13">
      <c r="A844" s="25"/>
      <c r="B844" s="25"/>
      <c r="C844" s="25"/>
      <c r="D844" s="25" t="str">
        <f t="array" ref="D844">IF(OR(LEFT(C844,1)="(",COUNTA(C844)=0),"", INDEX(Honor!$B$2:$B998,MATCH(C844,Honor!$A$2:$A998,0)))</f>
        <v/>
      </c>
      <c r="E844" s="25" t="str">
        <f t="array" ref="E844">IF(OR(LEFT(C844,1)="(",COUNTA(C844)=0),"",INDEX(Honor!$O$2:$O998,MATCH(C844,Honor!$A$2:$A998,0)))</f>
        <v/>
      </c>
      <c r="F844" s="25"/>
      <c r="G844" s="25"/>
      <c r="H844" s="25"/>
      <c r="I844" s="25"/>
      <c r="J844" s="25"/>
      <c r="K844" s="25"/>
      <c r="L844" s="25"/>
      <c r="M844" s="25"/>
      <c r="N844" s="25"/>
      <c r="O844" s="25"/>
      <c r="P844" s="25"/>
      <c r="Q844" s="25"/>
      <c r="R844" s="25"/>
      <c r="S844" s="25"/>
      <c r="T844" s="25"/>
      <c r="U844" s="25"/>
      <c r="V844" s="25"/>
      <c r="W844" s="25"/>
      <c r="X844" s="25"/>
    </row>
    <row r="845" spans="1:24" ht="13">
      <c r="A845" s="25"/>
      <c r="B845" s="25"/>
      <c r="C845" s="25"/>
      <c r="D845" s="25" t="str">
        <f t="array" ref="D845">IF(OR(LEFT(C845,1)="(",COUNTA(C845)=0),"", INDEX(Honor!$B$2:$B998,MATCH(C845,Honor!$A$2:$A998,0)))</f>
        <v/>
      </c>
      <c r="E845" s="25" t="str">
        <f t="array" ref="E845">IF(OR(LEFT(C845,1)="(",COUNTA(C845)=0),"",INDEX(Honor!$O$2:$O998,MATCH(C845,Honor!$A$2:$A998,0)))</f>
        <v/>
      </c>
      <c r="F845" s="25"/>
      <c r="G845" s="25"/>
      <c r="H845" s="25"/>
      <c r="I845" s="25"/>
      <c r="J845" s="25"/>
      <c r="K845" s="25"/>
      <c r="L845" s="25"/>
      <c r="M845" s="25"/>
      <c r="N845" s="25"/>
      <c r="O845" s="25"/>
      <c r="P845" s="25"/>
      <c r="Q845" s="25"/>
      <c r="R845" s="25"/>
      <c r="S845" s="25"/>
      <c r="T845" s="25"/>
      <c r="U845" s="25"/>
      <c r="V845" s="25"/>
      <c r="W845" s="25"/>
      <c r="X845" s="25"/>
    </row>
    <row r="846" spans="1:24" ht="13">
      <c r="A846" s="25"/>
      <c r="B846" s="25"/>
      <c r="C846" s="25"/>
      <c r="D846" s="25" t="str">
        <f t="array" ref="D846">IF(OR(LEFT(C846,1)="(",COUNTA(C846)=0),"", INDEX(Honor!$B$2:$B998,MATCH(C846,Honor!$A$2:$A998,0)))</f>
        <v/>
      </c>
      <c r="E846" s="25" t="str">
        <f t="array" ref="E846">IF(OR(LEFT(C846,1)="(",COUNTA(C846)=0),"",INDEX(Honor!$O$2:$O998,MATCH(C846,Honor!$A$2:$A998,0)))</f>
        <v/>
      </c>
      <c r="F846" s="25"/>
      <c r="G846" s="25"/>
      <c r="H846" s="25"/>
      <c r="I846" s="25"/>
      <c r="J846" s="25"/>
      <c r="K846" s="25"/>
      <c r="L846" s="25"/>
      <c r="M846" s="25"/>
      <c r="N846" s="25"/>
      <c r="O846" s="25"/>
      <c r="P846" s="25"/>
      <c r="Q846" s="25"/>
      <c r="R846" s="25"/>
      <c r="S846" s="25"/>
      <c r="T846" s="25"/>
      <c r="U846" s="25"/>
      <c r="V846" s="25"/>
      <c r="W846" s="25"/>
      <c r="X846" s="25"/>
    </row>
    <row r="847" spans="1:24" ht="13">
      <c r="A847" s="25"/>
      <c r="B847" s="25"/>
      <c r="C847" s="25"/>
      <c r="D847" s="25" t="str">
        <f t="array" ref="D847">IF(OR(LEFT(C847,1)="(",COUNTA(C847)=0),"", INDEX(Honor!$B$2:$B998,MATCH(C847,Honor!$A$2:$A998,0)))</f>
        <v/>
      </c>
      <c r="E847" s="25" t="str">
        <f t="array" ref="E847">IF(OR(LEFT(C847,1)="(",COUNTA(C847)=0),"",INDEX(Honor!$O$2:$O998,MATCH(C847,Honor!$A$2:$A998,0)))</f>
        <v/>
      </c>
      <c r="F847" s="25"/>
      <c r="G847" s="25"/>
      <c r="H847" s="25"/>
      <c r="I847" s="25"/>
      <c r="J847" s="25"/>
      <c r="K847" s="25"/>
      <c r="L847" s="25"/>
      <c r="M847" s="25"/>
      <c r="N847" s="25"/>
      <c r="O847" s="25"/>
      <c r="P847" s="25"/>
      <c r="Q847" s="25"/>
      <c r="R847" s="25"/>
      <c r="S847" s="25"/>
      <c r="T847" s="25"/>
      <c r="U847" s="25"/>
      <c r="V847" s="25"/>
      <c r="W847" s="25"/>
      <c r="X847" s="25"/>
    </row>
    <row r="848" spans="1:24" ht="13">
      <c r="A848" s="25"/>
      <c r="B848" s="25"/>
      <c r="C848" s="25"/>
      <c r="D848" s="25" t="str">
        <f t="array" ref="D848">IF(OR(LEFT(C848,1)="(",COUNTA(C848)=0),"", INDEX(Honor!$B$2:$B998,MATCH(C848,Honor!$A$2:$A998,0)))</f>
        <v/>
      </c>
      <c r="E848" s="25" t="str">
        <f t="array" ref="E848">IF(OR(LEFT(C848,1)="(",COUNTA(C848)=0),"",INDEX(Honor!$O$2:$O998,MATCH(C848,Honor!$A$2:$A998,0)))</f>
        <v/>
      </c>
      <c r="F848" s="25"/>
      <c r="G848" s="25"/>
      <c r="H848" s="25"/>
      <c r="I848" s="25"/>
      <c r="J848" s="25"/>
      <c r="K848" s="25"/>
      <c r="L848" s="25"/>
      <c r="M848" s="25"/>
      <c r="N848" s="25"/>
      <c r="O848" s="25"/>
      <c r="P848" s="25"/>
      <c r="Q848" s="25"/>
      <c r="R848" s="25"/>
      <c r="S848" s="25"/>
      <c r="T848" s="25"/>
      <c r="U848" s="25"/>
      <c r="V848" s="25"/>
      <c r="W848" s="25"/>
      <c r="X848" s="25"/>
    </row>
    <row r="849" spans="1:24" ht="13">
      <c r="A849" s="25"/>
      <c r="B849" s="25"/>
      <c r="C849" s="25"/>
      <c r="D849" s="25" t="str">
        <f t="array" ref="D849">IF(OR(LEFT(C849,1)="(",COUNTA(C849)=0),"", INDEX(Honor!$B$2:$B998,MATCH(C849,Honor!$A$2:$A998,0)))</f>
        <v/>
      </c>
      <c r="E849" s="25" t="str">
        <f t="array" ref="E849">IF(OR(LEFT(C849,1)="(",COUNTA(C849)=0),"",INDEX(Honor!$O$2:$O998,MATCH(C849,Honor!$A$2:$A998,0)))</f>
        <v/>
      </c>
      <c r="F849" s="25"/>
      <c r="G849" s="25"/>
      <c r="H849" s="25"/>
      <c r="I849" s="25"/>
      <c r="J849" s="25"/>
      <c r="K849" s="25"/>
      <c r="L849" s="25"/>
      <c r="M849" s="25"/>
      <c r="N849" s="25"/>
      <c r="O849" s="25"/>
      <c r="P849" s="25"/>
      <c r="Q849" s="25"/>
      <c r="R849" s="25"/>
      <c r="S849" s="25"/>
      <c r="T849" s="25"/>
      <c r="U849" s="25"/>
      <c r="V849" s="25"/>
      <c r="W849" s="25"/>
      <c r="X849" s="25"/>
    </row>
    <row r="850" spans="1:24" ht="13">
      <c r="A850" s="25"/>
      <c r="B850" s="25"/>
      <c r="C850" s="25"/>
      <c r="D850" s="25" t="str">
        <f t="array" ref="D850">IF(OR(LEFT(C850,1)="(",COUNTA(C850)=0),"", INDEX(Honor!$B$2:$B998,MATCH(C850,Honor!$A$2:$A998,0)))</f>
        <v/>
      </c>
      <c r="E850" s="25" t="str">
        <f t="array" ref="E850">IF(OR(LEFT(C850,1)="(",COUNTA(C850)=0),"",INDEX(Honor!$O$2:$O998,MATCH(C850,Honor!$A$2:$A998,0)))</f>
        <v/>
      </c>
      <c r="F850" s="25"/>
      <c r="G850" s="25"/>
      <c r="H850" s="25"/>
      <c r="I850" s="25"/>
      <c r="J850" s="25"/>
      <c r="K850" s="25"/>
      <c r="L850" s="25"/>
      <c r="M850" s="25"/>
      <c r="N850" s="25"/>
      <c r="O850" s="25"/>
      <c r="P850" s="25"/>
      <c r="Q850" s="25"/>
      <c r="R850" s="25"/>
      <c r="S850" s="25"/>
      <c r="T850" s="25"/>
      <c r="U850" s="25"/>
      <c r="V850" s="25"/>
      <c r="W850" s="25"/>
      <c r="X850" s="25"/>
    </row>
    <row r="851" spans="1:24" ht="13">
      <c r="A851" s="25"/>
      <c r="B851" s="25"/>
      <c r="C851" s="25"/>
      <c r="D851" s="25" t="str">
        <f t="array" ref="D851">IF(OR(LEFT(C851,1)="(",COUNTA(C851)=0),"", INDEX(Honor!$B$2:$B998,MATCH(C851,Honor!$A$2:$A998,0)))</f>
        <v/>
      </c>
      <c r="E851" s="25" t="str">
        <f t="array" ref="E851">IF(OR(LEFT(C851,1)="(",COUNTA(C851)=0),"",INDEX(Honor!$O$2:$O998,MATCH(C851,Honor!$A$2:$A998,0)))</f>
        <v/>
      </c>
      <c r="F851" s="25"/>
      <c r="G851" s="25"/>
      <c r="H851" s="25"/>
      <c r="I851" s="25"/>
      <c r="J851" s="25"/>
      <c r="K851" s="25"/>
      <c r="L851" s="25"/>
      <c r="M851" s="25"/>
      <c r="N851" s="25"/>
      <c r="O851" s="25"/>
      <c r="P851" s="25"/>
      <c r="Q851" s="25"/>
      <c r="R851" s="25"/>
      <c r="S851" s="25"/>
      <c r="T851" s="25"/>
      <c r="U851" s="25"/>
      <c r="V851" s="25"/>
      <c r="W851" s="25"/>
      <c r="X851" s="25"/>
    </row>
    <row r="852" spans="1:24" ht="13">
      <c r="A852" s="25"/>
      <c r="B852" s="25"/>
      <c r="C852" s="25"/>
      <c r="D852" s="25" t="str">
        <f t="array" ref="D852">IF(OR(LEFT(C852,1)="(",COUNTA(C852)=0),"", INDEX(Honor!$B$2:$B998,MATCH(C852,Honor!$A$2:$A998,0)))</f>
        <v/>
      </c>
      <c r="E852" s="25" t="str">
        <f t="array" ref="E852">IF(OR(LEFT(C852,1)="(",COUNTA(C852)=0),"",INDEX(Honor!$O$2:$O998,MATCH(C852,Honor!$A$2:$A998,0)))</f>
        <v/>
      </c>
      <c r="F852" s="25"/>
      <c r="G852" s="25"/>
      <c r="H852" s="25"/>
      <c r="I852" s="25"/>
      <c r="J852" s="25"/>
      <c r="K852" s="25"/>
      <c r="L852" s="25"/>
      <c r="M852" s="25"/>
      <c r="N852" s="25"/>
      <c r="O852" s="25"/>
      <c r="P852" s="25"/>
      <c r="Q852" s="25"/>
      <c r="R852" s="25"/>
      <c r="S852" s="25"/>
      <c r="T852" s="25"/>
      <c r="U852" s="25"/>
      <c r="V852" s="25"/>
      <c r="W852" s="25"/>
      <c r="X852" s="25"/>
    </row>
    <row r="853" spans="1:24" ht="13">
      <c r="A853" s="25"/>
      <c r="B853" s="25"/>
      <c r="C853" s="25"/>
      <c r="D853" s="25" t="str">
        <f t="array" ref="D853">IF(OR(LEFT(C853,1)="(",COUNTA(C853)=0),"", INDEX(Honor!$B$2:$B998,MATCH(C853,Honor!$A$2:$A998,0)))</f>
        <v/>
      </c>
      <c r="E853" s="25" t="str">
        <f t="array" ref="E853">IF(OR(LEFT(C853,1)="(",COUNTA(C853)=0),"",INDEX(Honor!$O$2:$O998,MATCH(C853,Honor!$A$2:$A998,0)))</f>
        <v/>
      </c>
      <c r="F853" s="25"/>
      <c r="G853" s="25"/>
      <c r="H853" s="25"/>
      <c r="I853" s="25"/>
      <c r="J853" s="25"/>
      <c r="K853" s="25"/>
      <c r="L853" s="25"/>
      <c r="M853" s="25"/>
      <c r="N853" s="25"/>
      <c r="O853" s="25"/>
      <c r="P853" s="25"/>
      <c r="Q853" s="25"/>
      <c r="R853" s="25"/>
      <c r="S853" s="25"/>
      <c r="T853" s="25"/>
      <c r="U853" s="25"/>
      <c r="V853" s="25"/>
      <c r="W853" s="25"/>
      <c r="X853" s="25"/>
    </row>
    <row r="854" spans="1:24" ht="13">
      <c r="A854" s="25"/>
      <c r="B854" s="25"/>
      <c r="C854" s="25"/>
      <c r="D854" s="25" t="str">
        <f t="array" ref="D854">IF(OR(LEFT(C854,1)="(",COUNTA(C854)=0),"", INDEX(Honor!$B$2:$B998,MATCH(C854,Honor!$A$2:$A998,0)))</f>
        <v/>
      </c>
      <c r="E854" s="25" t="str">
        <f t="array" ref="E854">IF(OR(LEFT(C854,1)="(",COUNTA(C854)=0),"",INDEX(Honor!$O$2:$O998,MATCH(C854,Honor!$A$2:$A998,0)))</f>
        <v/>
      </c>
      <c r="F854" s="25"/>
      <c r="G854" s="25"/>
      <c r="H854" s="25"/>
      <c r="I854" s="25"/>
      <c r="J854" s="25"/>
      <c r="K854" s="25"/>
      <c r="L854" s="25"/>
      <c r="M854" s="25"/>
      <c r="N854" s="25"/>
      <c r="O854" s="25"/>
      <c r="P854" s="25"/>
      <c r="Q854" s="25"/>
      <c r="R854" s="25"/>
      <c r="S854" s="25"/>
      <c r="T854" s="25"/>
      <c r="U854" s="25"/>
      <c r="V854" s="25"/>
      <c r="W854" s="25"/>
      <c r="X854" s="25"/>
    </row>
    <row r="855" spans="1:24" ht="13">
      <c r="A855" s="25"/>
      <c r="B855" s="25"/>
      <c r="C855" s="25"/>
      <c r="D855" s="25" t="str">
        <f t="array" ref="D855">IF(OR(LEFT(C855,1)="(",COUNTA(C855)=0),"", INDEX(Honor!$B$2:$B998,MATCH(C855,Honor!$A$2:$A998,0)))</f>
        <v/>
      </c>
      <c r="E855" s="25" t="str">
        <f t="array" ref="E855">IF(OR(LEFT(C855,1)="(",COUNTA(C855)=0),"",INDEX(Honor!$O$2:$O998,MATCH(C855,Honor!$A$2:$A998,0)))</f>
        <v/>
      </c>
      <c r="F855" s="25"/>
      <c r="G855" s="25"/>
      <c r="H855" s="25"/>
      <c r="I855" s="25"/>
      <c r="J855" s="25"/>
      <c r="K855" s="25"/>
      <c r="L855" s="25"/>
      <c r="M855" s="25"/>
      <c r="N855" s="25"/>
      <c r="O855" s="25"/>
      <c r="P855" s="25"/>
      <c r="Q855" s="25"/>
      <c r="R855" s="25"/>
      <c r="S855" s="25"/>
      <c r="T855" s="25"/>
      <c r="U855" s="25"/>
      <c r="V855" s="25"/>
      <c r="W855" s="25"/>
      <c r="X855" s="25"/>
    </row>
    <row r="856" spans="1:24" ht="13">
      <c r="A856" s="25"/>
      <c r="B856" s="25"/>
      <c r="C856" s="25"/>
      <c r="D856" s="25" t="str">
        <f t="array" ref="D856">IF(OR(LEFT(C856,1)="(",COUNTA(C856)=0),"", INDEX(Honor!$B$2:$B998,MATCH(C856,Honor!$A$2:$A998,0)))</f>
        <v/>
      </c>
      <c r="E856" s="25" t="str">
        <f t="array" ref="E856">IF(OR(LEFT(C856,1)="(",COUNTA(C856)=0),"",INDEX(Honor!$O$2:$O998,MATCH(C856,Honor!$A$2:$A998,0)))</f>
        <v/>
      </c>
      <c r="F856" s="25"/>
      <c r="G856" s="25"/>
      <c r="H856" s="25"/>
      <c r="I856" s="25"/>
      <c r="J856" s="25"/>
      <c r="K856" s="25"/>
      <c r="L856" s="25"/>
      <c r="M856" s="25"/>
      <c r="N856" s="25"/>
      <c r="O856" s="25"/>
      <c r="P856" s="25"/>
      <c r="Q856" s="25"/>
      <c r="R856" s="25"/>
      <c r="S856" s="25"/>
      <c r="T856" s="25"/>
      <c r="U856" s="25"/>
      <c r="V856" s="25"/>
      <c r="W856" s="25"/>
      <c r="X856" s="25"/>
    </row>
    <row r="857" spans="1:24" ht="13">
      <c r="A857" s="25"/>
      <c r="B857" s="25"/>
      <c r="C857" s="25"/>
      <c r="D857" s="25" t="str">
        <f t="array" ref="D857">IF(OR(LEFT(C857,1)="(",COUNTA(C857)=0),"", INDEX(Honor!$B$2:$B998,MATCH(C857,Honor!$A$2:$A998,0)))</f>
        <v/>
      </c>
      <c r="E857" s="25" t="str">
        <f t="array" ref="E857">IF(OR(LEFT(C857,1)="(",COUNTA(C857)=0),"",INDEX(Honor!$O$2:$O998,MATCH(C857,Honor!$A$2:$A998,0)))</f>
        <v/>
      </c>
      <c r="F857" s="25"/>
      <c r="G857" s="25"/>
      <c r="H857" s="25"/>
      <c r="I857" s="25"/>
      <c r="J857" s="25"/>
      <c r="K857" s="25"/>
      <c r="L857" s="25"/>
      <c r="M857" s="25"/>
      <c r="N857" s="25"/>
      <c r="O857" s="25"/>
      <c r="P857" s="25"/>
      <c r="Q857" s="25"/>
      <c r="R857" s="25"/>
      <c r="S857" s="25"/>
      <c r="T857" s="25"/>
      <c r="U857" s="25"/>
      <c r="V857" s="25"/>
      <c r="W857" s="25"/>
      <c r="X857" s="25"/>
    </row>
    <row r="858" spans="1:24" ht="13">
      <c r="A858" s="25"/>
      <c r="B858" s="25"/>
      <c r="C858" s="25"/>
      <c r="D858" s="25" t="str">
        <f t="array" ref="D858">IF(OR(LEFT(C858,1)="(",COUNTA(C858)=0),"", INDEX(Honor!$B$2:$B998,MATCH(C858,Honor!$A$2:$A998,0)))</f>
        <v/>
      </c>
      <c r="E858" s="25" t="str">
        <f t="array" ref="E858">IF(OR(LEFT(C858,1)="(",COUNTA(C858)=0),"",INDEX(Honor!$O$2:$O998,MATCH(C858,Honor!$A$2:$A998,0)))</f>
        <v/>
      </c>
      <c r="F858" s="25"/>
      <c r="G858" s="25"/>
      <c r="H858" s="25"/>
      <c r="I858" s="25"/>
      <c r="J858" s="25"/>
      <c r="K858" s="25"/>
      <c r="L858" s="25"/>
      <c r="M858" s="25"/>
      <c r="N858" s="25"/>
      <c r="O858" s="25"/>
      <c r="P858" s="25"/>
      <c r="Q858" s="25"/>
      <c r="R858" s="25"/>
      <c r="S858" s="25"/>
      <c r="T858" s="25"/>
      <c r="U858" s="25"/>
      <c r="V858" s="25"/>
      <c r="W858" s="25"/>
      <c r="X858" s="25"/>
    </row>
    <row r="859" spans="1:24" ht="13">
      <c r="A859" s="25"/>
      <c r="B859" s="25"/>
      <c r="C859" s="25"/>
      <c r="D859" s="25" t="str">
        <f t="array" ref="D859">IF(OR(LEFT(C859,1)="(",COUNTA(C859)=0),"", INDEX(Honor!$B$2:$B998,MATCH(C859,Honor!$A$2:$A998,0)))</f>
        <v/>
      </c>
      <c r="E859" s="25" t="str">
        <f t="array" ref="E859">IF(OR(LEFT(C859,1)="(",COUNTA(C859)=0),"",INDEX(Honor!$O$2:$O998,MATCH(C859,Honor!$A$2:$A998,0)))</f>
        <v/>
      </c>
      <c r="F859" s="25"/>
      <c r="G859" s="25"/>
      <c r="H859" s="25"/>
      <c r="I859" s="25"/>
      <c r="J859" s="25"/>
      <c r="K859" s="25"/>
      <c r="L859" s="25"/>
      <c r="M859" s="25"/>
      <c r="N859" s="25"/>
      <c r="O859" s="25"/>
      <c r="P859" s="25"/>
      <c r="Q859" s="25"/>
      <c r="R859" s="25"/>
      <c r="S859" s="25"/>
      <c r="T859" s="25"/>
      <c r="U859" s="25"/>
      <c r="V859" s="25"/>
      <c r="W859" s="25"/>
      <c r="X859" s="25"/>
    </row>
    <row r="860" spans="1:24" ht="13">
      <c r="A860" s="25"/>
      <c r="B860" s="25"/>
      <c r="C860" s="25"/>
      <c r="D860" s="25" t="str">
        <f t="array" ref="D860">IF(OR(LEFT(C860,1)="(",COUNTA(C860)=0),"", INDEX(Honor!$B$2:$B998,MATCH(C860,Honor!$A$2:$A998,0)))</f>
        <v/>
      </c>
      <c r="E860" s="25" t="str">
        <f t="array" ref="E860">IF(OR(LEFT(C860,1)="(",COUNTA(C860)=0),"",INDEX(Honor!$O$2:$O998,MATCH(C860,Honor!$A$2:$A998,0)))</f>
        <v/>
      </c>
      <c r="F860" s="25"/>
      <c r="G860" s="25"/>
      <c r="H860" s="25"/>
      <c r="I860" s="25"/>
      <c r="J860" s="25"/>
      <c r="K860" s="25"/>
      <c r="L860" s="25"/>
      <c r="M860" s="25"/>
      <c r="N860" s="25"/>
      <c r="O860" s="25"/>
      <c r="P860" s="25"/>
      <c r="Q860" s="25"/>
      <c r="R860" s="25"/>
      <c r="S860" s="25"/>
      <c r="T860" s="25"/>
      <c r="U860" s="25"/>
      <c r="V860" s="25"/>
      <c r="W860" s="25"/>
      <c r="X860" s="25"/>
    </row>
    <row r="861" spans="1:24" ht="13">
      <c r="A861" s="25"/>
      <c r="B861" s="25"/>
      <c r="C861" s="25"/>
      <c r="D861" s="25" t="str">
        <f t="array" ref="D861">IF(OR(LEFT(C861,1)="(",COUNTA(C861)=0),"", INDEX(Honor!$B$2:$B998,MATCH(C861,Honor!$A$2:$A998,0)))</f>
        <v/>
      </c>
      <c r="E861" s="25" t="str">
        <f t="array" ref="E861">IF(OR(LEFT(C861,1)="(",COUNTA(C861)=0),"",INDEX(Honor!$O$2:$O998,MATCH(C861,Honor!$A$2:$A998,0)))</f>
        <v/>
      </c>
      <c r="F861" s="25"/>
      <c r="G861" s="25"/>
      <c r="H861" s="25"/>
      <c r="I861" s="25"/>
      <c r="J861" s="25"/>
      <c r="K861" s="25"/>
      <c r="L861" s="25"/>
      <c r="M861" s="25"/>
      <c r="N861" s="25"/>
      <c r="O861" s="25"/>
      <c r="P861" s="25"/>
      <c r="Q861" s="25"/>
      <c r="R861" s="25"/>
      <c r="S861" s="25"/>
      <c r="T861" s="25"/>
      <c r="U861" s="25"/>
      <c r="V861" s="25"/>
      <c r="W861" s="25"/>
      <c r="X861" s="25"/>
    </row>
    <row r="862" spans="1:24" ht="13">
      <c r="A862" s="25"/>
      <c r="B862" s="25"/>
      <c r="C862" s="25"/>
      <c r="D862" s="25" t="str">
        <f t="array" ref="D862">IF(OR(LEFT(C862,1)="(",COUNTA(C862)=0),"", INDEX(Honor!$B$2:$B998,MATCH(C862,Honor!$A$2:$A998,0)))</f>
        <v/>
      </c>
      <c r="E862" s="25" t="str">
        <f t="array" ref="E862">IF(OR(LEFT(C862,1)="(",COUNTA(C862)=0),"",INDEX(Honor!$O$2:$O998,MATCH(C862,Honor!$A$2:$A998,0)))</f>
        <v/>
      </c>
      <c r="F862" s="25"/>
      <c r="G862" s="25"/>
      <c r="H862" s="25"/>
      <c r="I862" s="25"/>
      <c r="J862" s="25"/>
      <c r="K862" s="25"/>
      <c r="L862" s="25"/>
      <c r="M862" s="25"/>
      <c r="N862" s="25"/>
      <c r="O862" s="25"/>
      <c r="P862" s="25"/>
      <c r="Q862" s="25"/>
      <c r="R862" s="25"/>
      <c r="S862" s="25"/>
      <c r="T862" s="25"/>
      <c r="U862" s="25"/>
      <c r="V862" s="25"/>
      <c r="W862" s="25"/>
      <c r="X862" s="25"/>
    </row>
    <row r="863" spans="1:24" ht="13">
      <c r="A863" s="25"/>
      <c r="B863" s="25"/>
      <c r="C863" s="25"/>
      <c r="D863" s="25" t="str">
        <f t="array" ref="D863">IF(OR(LEFT(C863,1)="(",COUNTA(C863)=0),"", INDEX(Honor!$B$2:$B998,MATCH(C863,Honor!$A$2:$A998,0)))</f>
        <v/>
      </c>
      <c r="E863" s="25" t="str">
        <f t="array" ref="E863">IF(OR(LEFT(C863,1)="(",COUNTA(C863)=0),"",INDEX(Honor!$O$2:$O998,MATCH(C863,Honor!$A$2:$A998,0)))</f>
        <v/>
      </c>
      <c r="F863" s="25"/>
      <c r="G863" s="25"/>
      <c r="H863" s="25"/>
      <c r="I863" s="25"/>
      <c r="J863" s="25"/>
      <c r="K863" s="25"/>
      <c r="L863" s="25"/>
      <c r="M863" s="25"/>
      <c r="N863" s="25"/>
      <c r="O863" s="25"/>
      <c r="P863" s="25"/>
      <c r="Q863" s="25"/>
      <c r="R863" s="25"/>
      <c r="S863" s="25"/>
      <c r="T863" s="25"/>
      <c r="U863" s="25"/>
      <c r="V863" s="25"/>
      <c r="W863" s="25"/>
      <c r="X863" s="25"/>
    </row>
    <row r="864" spans="1:24" ht="13">
      <c r="A864" s="25"/>
      <c r="B864" s="25"/>
      <c r="C864" s="25"/>
      <c r="D864" s="25" t="str">
        <f t="array" ref="D864">IF(OR(LEFT(C864,1)="(",COUNTA(C864)=0),"", INDEX(Honor!$B$2:$B998,MATCH(C864,Honor!$A$2:$A998,0)))</f>
        <v/>
      </c>
      <c r="E864" s="25" t="str">
        <f t="array" ref="E864">IF(OR(LEFT(C864,1)="(",COUNTA(C864)=0),"",INDEX(Honor!$O$2:$O998,MATCH(C864,Honor!$A$2:$A998,0)))</f>
        <v/>
      </c>
      <c r="F864" s="25"/>
      <c r="G864" s="25"/>
      <c r="H864" s="25"/>
      <c r="I864" s="25"/>
      <c r="J864" s="25"/>
      <c r="K864" s="25"/>
      <c r="L864" s="25"/>
      <c r="M864" s="25"/>
      <c r="N864" s="25"/>
      <c r="O864" s="25"/>
      <c r="P864" s="25"/>
      <c r="Q864" s="25"/>
      <c r="R864" s="25"/>
      <c r="S864" s="25"/>
      <c r="T864" s="25"/>
      <c r="U864" s="25"/>
      <c r="V864" s="25"/>
      <c r="W864" s="25"/>
      <c r="X864" s="25"/>
    </row>
    <row r="865" spans="1:24" ht="13">
      <c r="A865" s="25"/>
      <c r="B865" s="25"/>
      <c r="C865" s="25"/>
      <c r="D865" s="25" t="str">
        <f t="array" ref="D865">IF(OR(LEFT(C865,1)="(",COUNTA(C865)=0),"", INDEX(Honor!$B$2:$B998,MATCH(C865,Honor!$A$2:$A998,0)))</f>
        <v/>
      </c>
      <c r="E865" s="25" t="str">
        <f t="array" ref="E865">IF(OR(LEFT(C865,1)="(",COUNTA(C865)=0),"",INDEX(Honor!$O$2:$O998,MATCH(C865,Honor!$A$2:$A998,0)))</f>
        <v/>
      </c>
      <c r="F865" s="25"/>
      <c r="G865" s="25"/>
      <c r="H865" s="25"/>
      <c r="I865" s="25"/>
      <c r="J865" s="25"/>
      <c r="K865" s="25"/>
      <c r="L865" s="25"/>
      <c r="M865" s="25"/>
      <c r="N865" s="25"/>
      <c r="O865" s="25"/>
      <c r="P865" s="25"/>
      <c r="Q865" s="25"/>
      <c r="R865" s="25"/>
      <c r="S865" s="25"/>
      <c r="T865" s="25"/>
      <c r="U865" s="25"/>
      <c r="V865" s="25"/>
      <c r="W865" s="25"/>
      <c r="X865" s="25"/>
    </row>
    <row r="866" spans="1:24" ht="13">
      <c r="A866" s="25"/>
      <c r="B866" s="25"/>
      <c r="C866" s="25"/>
      <c r="D866" s="25" t="str">
        <f t="array" ref="D866">IF(OR(LEFT(C866,1)="(",COUNTA(C866)=0),"", INDEX(Honor!$B$2:$B998,MATCH(C866,Honor!$A$2:$A998,0)))</f>
        <v/>
      </c>
      <c r="E866" s="25" t="str">
        <f t="array" ref="E866">IF(OR(LEFT(C866,1)="(",COUNTA(C866)=0),"",INDEX(Honor!$O$2:$O998,MATCH(C866,Honor!$A$2:$A998,0)))</f>
        <v/>
      </c>
      <c r="F866" s="25"/>
      <c r="G866" s="25"/>
      <c r="H866" s="25"/>
      <c r="I866" s="25"/>
      <c r="J866" s="25"/>
      <c r="K866" s="25"/>
      <c r="L866" s="25"/>
      <c r="M866" s="25"/>
      <c r="N866" s="25"/>
      <c r="O866" s="25"/>
      <c r="P866" s="25"/>
      <c r="Q866" s="25"/>
      <c r="R866" s="25"/>
      <c r="S866" s="25"/>
      <c r="T866" s="25"/>
      <c r="U866" s="25"/>
      <c r="V866" s="25"/>
      <c r="W866" s="25"/>
      <c r="X866" s="25"/>
    </row>
    <row r="867" spans="1:24" ht="13">
      <c r="A867" s="25"/>
      <c r="B867" s="25"/>
      <c r="C867" s="25"/>
      <c r="D867" s="25" t="str">
        <f t="array" ref="D867">IF(OR(LEFT(C867,1)="(",COUNTA(C867)=0),"", INDEX(Honor!$B$2:$B998,MATCH(C867,Honor!$A$2:$A998,0)))</f>
        <v/>
      </c>
      <c r="E867" s="25" t="str">
        <f t="array" ref="E867">IF(OR(LEFT(C867,1)="(",COUNTA(C867)=0),"",INDEX(Honor!$O$2:$O998,MATCH(C867,Honor!$A$2:$A998,0)))</f>
        <v/>
      </c>
      <c r="F867" s="25"/>
      <c r="G867" s="25"/>
      <c r="H867" s="25"/>
      <c r="I867" s="25"/>
      <c r="J867" s="25"/>
      <c r="K867" s="25"/>
      <c r="L867" s="25"/>
      <c r="M867" s="25"/>
      <c r="N867" s="25"/>
      <c r="O867" s="25"/>
      <c r="P867" s="25"/>
      <c r="Q867" s="25"/>
      <c r="R867" s="25"/>
      <c r="S867" s="25"/>
      <c r="T867" s="25"/>
      <c r="U867" s="25"/>
      <c r="V867" s="25"/>
      <c r="W867" s="25"/>
      <c r="X867" s="25"/>
    </row>
    <row r="868" spans="1:24" ht="13">
      <c r="A868" s="25"/>
      <c r="B868" s="25"/>
      <c r="C868" s="25"/>
      <c r="D868" s="25" t="str">
        <f t="array" ref="D868">IF(OR(LEFT(C868,1)="(",COUNTA(C868)=0),"", INDEX(Honor!$B$2:$B998,MATCH(C868,Honor!$A$2:$A998,0)))</f>
        <v/>
      </c>
      <c r="E868" s="25" t="str">
        <f t="array" ref="E868">IF(OR(LEFT(C868,1)="(",COUNTA(C868)=0),"",INDEX(Honor!$O$2:$O998,MATCH(C868,Honor!$A$2:$A998,0)))</f>
        <v/>
      </c>
      <c r="F868" s="25"/>
      <c r="G868" s="25"/>
      <c r="H868" s="25"/>
      <c r="I868" s="25"/>
      <c r="J868" s="25"/>
      <c r="K868" s="25"/>
      <c r="L868" s="25"/>
      <c r="M868" s="25"/>
      <c r="N868" s="25"/>
      <c r="O868" s="25"/>
      <c r="P868" s="25"/>
      <c r="Q868" s="25"/>
      <c r="R868" s="25"/>
      <c r="S868" s="25"/>
      <c r="T868" s="25"/>
      <c r="U868" s="25"/>
      <c r="V868" s="25"/>
      <c r="W868" s="25"/>
      <c r="X868" s="25"/>
    </row>
    <row r="869" spans="1:24" ht="13">
      <c r="A869" s="25"/>
      <c r="B869" s="25"/>
      <c r="C869" s="25"/>
      <c r="D869" s="25" t="str">
        <f t="array" ref="D869">IF(OR(LEFT(C869,1)="(",COUNTA(C869)=0),"", INDEX(Honor!$B$2:$B998,MATCH(C869,Honor!$A$2:$A998,0)))</f>
        <v/>
      </c>
      <c r="E869" s="25" t="str">
        <f t="array" ref="E869">IF(OR(LEFT(C869,1)="(",COUNTA(C869)=0),"",INDEX(Honor!$O$2:$O998,MATCH(C869,Honor!$A$2:$A998,0)))</f>
        <v/>
      </c>
      <c r="F869" s="25"/>
      <c r="G869" s="25"/>
      <c r="H869" s="25"/>
      <c r="I869" s="25"/>
      <c r="J869" s="25"/>
      <c r="K869" s="25"/>
      <c r="L869" s="25"/>
      <c r="M869" s="25"/>
      <c r="N869" s="25"/>
      <c r="O869" s="25"/>
      <c r="P869" s="25"/>
      <c r="Q869" s="25"/>
      <c r="R869" s="25"/>
      <c r="S869" s="25"/>
      <c r="T869" s="25"/>
      <c r="U869" s="25"/>
      <c r="V869" s="25"/>
      <c r="W869" s="25"/>
      <c r="X869" s="25"/>
    </row>
    <row r="870" spans="1:24" ht="13">
      <c r="A870" s="25"/>
      <c r="B870" s="25"/>
      <c r="C870" s="25"/>
      <c r="D870" s="25" t="str">
        <f t="array" ref="D870">IF(OR(LEFT(C870,1)="(",COUNTA(C870)=0),"", INDEX(Honor!$B$2:$B998,MATCH(C870,Honor!$A$2:$A998,0)))</f>
        <v/>
      </c>
      <c r="E870" s="25" t="str">
        <f t="array" ref="E870">IF(OR(LEFT(C870,1)="(",COUNTA(C870)=0),"",INDEX(Honor!$O$2:$O998,MATCH(C870,Honor!$A$2:$A998,0)))</f>
        <v/>
      </c>
      <c r="F870" s="25"/>
      <c r="G870" s="25"/>
      <c r="H870" s="25"/>
      <c r="I870" s="25"/>
      <c r="J870" s="25"/>
      <c r="K870" s="25"/>
      <c r="L870" s="25"/>
      <c r="M870" s="25"/>
      <c r="N870" s="25"/>
      <c r="O870" s="25"/>
      <c r="P870" s="25"/>
      <c r="Q870" s="25"/>
      <c r="R870" s="25"/>
      <c r="S870" s="25"/>
      <c r="T870" s="25"/>
      <c r="U870" s="25"/>
      <c r="V870" s="25"/>
      <c r="W870" s="25"/>
      <c r="X870" s="25"/>
    </row>
    <row r="871" spans="1:24" ht="13">
      <c r="A871" s="25"/>
      <c r="B871" s="25"/>
      <c r="C871" s="25"/>
      <c r="D871" s="25" t="str">
        <f t="array" ref="D871">IF(OR(LEFT(C871,1)="(",COUNTA(C871)=0),"", INDEX(Honor!$B$2:$B998,MATCH(C871,Honor!$A$2:$A998,0)))</f>
        <v/>
      </c>
      <c r="E871" s="25" t="str">
        <f t="array" ref="E871">IF(OR(LEFT(C871,1)="(",COUNTA(C871)=0),"",INDEX(Honor!$O$2:$O998,MATCH(C871,Honor!$A$2:$A998,0)))</f>
        <v/>
      </c>
      <c r="F871" s="25"/>
      <c r="G871" s="25"/>
      <c r="H871" s="25"/>
      <c r="I871" s="25"/>
      <c r="J871" s="25"/>
      <c r="K871" s="25"/>
      <c r="L871" s="25"/>
      <c r="M871" s="25"/>
      <c r="N871" s="25"/>
      <c r="O871" s="25"/>
      <c r="P871" s="25"/>
      <c r="Q871" s="25"/>
      <c r="R871" s="25"/>
      <c r="S871" s="25"/>
      <c r="T871" s="25"/>
      <c r="U871" s="25"/>
      <c r="V871" s="25"/>
      <c r="W871" s="25"/>
      <c r="X871" s="25"/>
    </row>
    <row r="872" spans="1:24" ht="13">
      <c r="A872" s="25"/>
      <c r="B872" s="25"/>
      <c r="C872" s="25"/>
      <c r="D872" s="25" t="str">
        <f t="array" ref="D872">IF(OR(LEFT(C872,1)="(",COUNTA(C872)=0),"", INDEX(Honor!$B$2:$B998,MATCH(C872,Honor!$A$2:$A998,0)))</f>
        <v/>
      </c>
      <c r="E872" s="25" t="str">
        <f t="array" ref="E872">IF(OR(LEFT(C872,1)="(",COUNTA(C872)=0),"",INDEX(Honor!$O$2:$O998,MATCH(C872,Honor!$A$2:$A998,0)))</f>
        <v/>
      </c>
      <c r="F872" s="25"/>
      <c r="G872" s="25"/>
      <c r="H872" s="25"/>
      <c r="I872" s="25"/>
      <c r="J872" s="25"/>
      <c r="K872" s="25"/>
      <c r="L872" s="25"/>
      <c r="M872" s="25"/>
      <c r="N872" s="25"/>
      <c r="O872" s="25"/>
      <c r="P872" s="25"/>
      <c r="Q872" s="25"/>
      <c r="R872" s="25"/>
      <c r="S872" s="25"/>
      <c r="T872" s="25"/>
      <c r="U872" s="25"/>
      <c r="V872" s="25"/>
      <c r="W872" s="25"/>
      <c r="X872" s="25"/>
    </row>
    <row r="873" spans="1:24" ht="13">
      <c r="A873" s="25"/>
      <c r="B873" s="25"/>
      <c r="C873" s="25"/>
      <c r="D873" s="25" t="str">
        <f t="array" ref="D873">IF(OR(LEFT(C873,1)="(",COUNTA(C873)=0),"", INDEX(Honor!$B$2:$B998,MATCH(C873,Honor!$A$2:$A998,0)))</f>
        <v/>
      </c>
      <c r="E873" s="25" t="str">
        <f t="array" ref="E873">IF(OR(LEFT(C873,1)="(",COUNTA(C873)=0),"",INDEX(Honor!$O$2:$O998,MATCH(C873,Honor!$A$2:$A998,0)))</f>
        <v/>
      </c>
      <c r="F873" s="25"/>
      <c r="G873" s="25"/>
      <c r="H873" s="25"/>
      <c r="I873" s="25"/>
      <c r="J873" s="25"/>
      <c r="K873" s="25"/>
      <c r="L873" s="25"/>
      <c r="M873" s="25"/>
      <c r="N873" s="25"/>
      <c r="O873" s="25"/>
      <c r="P873" s="25"/>
      <c r="Q873" s="25"/>
      <c r="R873" s="25"/>
      <c r="S873" s="25"/>
      <c r="T873" s="25"/>
      <c r="U873" s="25"/>
      <c r="V873" s="25"/>
      <c r="W873" s="25"/>
      <c r="X873" s="25"/>
    </row>
    <row r="874" spans="1:24" ht="13">
      <c r="A874" s="25"/>
      <c r="B874" s="25"/>
      <c r="C874" s="25"/>
      <c r="D874" s="25" t="str">
        <f t="array" ref="D874">IF(OR(LEFT(C874,1)="(",COUNTA(C874)=0),"", INDEX(Honor!$B$2:$B998,MATCH(C874,Honor!$A$2:$A998,0)))</f>
        <v/>
      </c>
      <c r="E874" s="25" t="str">
        <f t="array" ref="E874">IF(OR(LEFT(C874,1)="(",COUNTA(C874)=0),"",INDEX(Honor!$O$2:$O998,MATCH(C874,Honor!$A$2:$A998,0)))</f>
        <v/>
      </c>
      <c r="F874" s="25"/>
      <c r="G874" s="25"/>
      <c r="H874" s="25"/>
      <c r="I874" s="25"/>
      <c r="J874" s="25"/>
      <c r="K874" s="25"/>
      <c r="L874" s="25"/>
      <c r="M874" s="25"/>
      <c r="N874" s="25"/>
      <c r="O874" s="25"/>
      <c r="P874" s="25"/>
      <c r="Q874" s="25"/>
      <c r="R874" s="25"/>
      <c r="S874" s="25"/>
      <c r="T874" s="25"/>
      <c r="U874" s="25"/>
      <c r="V874" s="25"/>
      <c r="W874" s="25"/>
      <c r="X874" s="25"/>
    </row>
    <row r="875" spans="1:24" ht="13">
      <c r="A875" s="25"/>
      <c r="B875" s="25"/>
      <c r="C875" s="25"/>
      <c r="D875" s="25" t="str">
        <f t="array" ref="D875">IF(OR(LEFT(C875,1)="(",COUNTA(C875)=0),"", INDEX(Honor!$B$2:$B998,MATCH(C875,Honor!$A$2:$A998,0)))</f>
        <v/>
      </c>
      <c r="E875" s="25" t="str">
        <f t="array" ref="E875">IF(OR(LEFT(C875,1)="(",COUNTA(C875)=0),"",INDEX(Honor!$O$2:$O998,MATCH(C875,Honor!$A$2:$A998,0)))</f>
        <v/>
      </c>
      <c r="F875" s="25"/>
      <c r="G875" s="25"/>
      <c r="H875" s="25"/>
      <c r="I875" s="25"/>
      <c r="J875" s="25"/>
      <c r="K875" s="25"/>
      <c r="L875" s="25"/>
      <c r="M875" s="25"/>
      <c r="N875" s="25"/>
      <c r="O875" s="25"/>
      <c r="P875" s="25"/>
      <c r="Q875" s="25"/>
      <c r="R875" s="25"/>
      <c r="S875" s="25"/>
      <c r="T875" s="25"/>
      <c r="U875" s="25"/>
      <c r="V875" s="25"/>
      <c r="W875" s="25"/>
      <c r="X875" s="25"/>
    </row>
    <row r="876" spans="1:24" ht="13">
      <c r="A876" s="25"/>
      <c r="B876" s="25"/>
      <c r="C876" s="25"/>
      <c r="D876" s="25" t="str">
        <f t="array" ref="D876">IF(OR(LEFT(C876,1)="(",COUNTA(C876)=0),"", INDEX(Honor!$B$2:$B998,MATCH(C876,Honor!$A$2:$A998,0)))</f>
        <v/>
      </c>
      <c r="E876" s="25" t="str">
        <f t="array" ref="E876">IF(OR(LEFT(C876,1)="(",COUNTA(C876)=0),"",INDEX(Honor!$O$2:$O998,MATCH(C876,Honor!$A$2:$A998,0)))</f>
        <v/>
      </c>
      <c r="F876" s="25"/>
      <c r="G876" s="25"/>
      <c r="H876" s="25"/>
      <c r="I876" s="25"/>
      <c r="J876" s="25"/>
      <c r="K876" s="25"/>
      <c r="L876" s="25"/>
      <c r="M876" s="25"/>
      <c r="N876" s="25"/>
      <c r="O876" s="25"/>
      <c r="P876" s="25"/>
      <c r="Q876" s="25"/>
      <c r="R876" s="25"/>
      <c r="S876" s="25"/>
      <c r="T876" s="25"/>
      <c r="U876" s="25"/>
      <c r="V876" s="25"/>
      <c r="W876" s="25"/>
      <c r="X876" s="25"/>
    </row>
    <row r="877" spans="1:24" ht="13">
      <c r="A877" s="25"/>
      <c r="B877" s="25"/>
      <c r="C877" s="25"/>
      <c r="D877" s="25" t="str">
        <f t="array" ref="D877">IF(OR(LEFT(C877,1)="(",COUNTA(C877)=0),"", INDEX(Honor!$B$2:$B998,MATCH(C877,Honor!$A$2:$A998,0)))</f>
        <v/>
      </c>
      <c r="E877" s="25" t="str">
        <f t="array" ref="E877">IF(OR(LEFT(C877,1)="(",COUNTA(C877)=0),"",INDEX(Honor!$O$2:$O998,MATCH(C877,Honor!$A$2:$A998,0)))</f>
        <v/>
      </c>
      <c r="F877" s="25"/>
      <c r="G877" s="25"/>
      <c r="H877" s="25"/>
      <c r="I877" s="25"/>
      <c r="J877" s="25"/>
      <c r="K877" s="25"/>
      <c r="L877" s="25"/>
      <c r="M877" s="25"/>
      <c r="N877" s="25"/>
      <c r="O877" s="25"/>
      <c r="P877" s="25"/>
      <c r="Q877" s="25"/>
      <c r="R877" s="25"/>
      <c r="S877" s="25"/>
      <c r="T877" s="25"/>
      <c r="U877" s="25"/>
      <c r="V877" s="25"/>
      <c r="W877" s="25"/>
      <c r="X877" s="25"/>
    </row>
    <row r="878" spans="1:24" ht="13">
      <c r="A878" s="25"/>
      <c r="B878" s="25"/>
      <c r="C878" s="25"/>
      <c r="D878" s="25" t="str">
        <f t="array" ref="D878">IF(OR(LEFT(C878,1)="(",COUNTA(C878)=0),"", INDEX(Honor!$B$2:$B998,MATCH(C878,Honor!$A$2:$A998,0)))</f>
        <v/>
      </c>
      <c r="E878" s="25" t="str">
        <f t="array" ref="E878">IF(OR(LEFT(C878,1)="(",COUNTA(C878)=0),"",INDEX(Honor!$O$2:$O998,MATCH(C878,Honor!$A$2:$A998,0)))</f>
        <v/>
      </c>
      <c r="F878" s="25"/>
      <c r="G878" s="25"/>
      <c r="H878" s="25"/>
      <c r="I878" s="25"/>
      <c r="J878" s="25"/>
      <c r="K878" s="25"/>
      <c r="L878" s="25"/>
      <c r="M878" s="25"/>
      <c r="N878" s="25"/>
      <c r="O878" s="25"/>
      <c r="P878" s="25"/>
      <c r="Q878" s="25"/>
      <c r="R878" s="25"/>
      <c r="S878" s="25"/>
      <c r="T878" s="25"/>
      <c r="U878" s="25"/>
      <c r="V878" s="25"/>
      <c r="W878" s="25"/>
      <c r="X878" s="25"/>
    </row>
    <row r="879" spans="1:24" ht="13">
      <c r="A879" s="25"/>
      <c r="B879" s="25"/>
      <c r="C879" s="25"/>
      <c r="D879" s="25" t="str">
        <f t="array" ref="D879">IF(OR(LEFT(C879,1)="(",COUNTA(C879)=0),"", INDEX(Honor!$B$2:$B998,MATCH(C879,Honor!$A$2:$A998,0)))</f>
        <v/>
      </c>
      <c r="E879" s="25" t="str">
        <f t="array" ref="E879">IF(OR(LEFT(C879,1)="(",COUNTA(C879)=0),"",INDEX(Honor!$O$2:$O998,MATCH(C879,Honor!$A$2:$A998,0)))</f>
        <v/>
      </c>
      <c r="F879" s="25"/>
      <c r="G879" s="25"/>
      <c r="H879" s="25"/>
      <c r="I879" s="25"/>
      <c r="J879" s="25"/>
      <c r="K879" s="25"/>
      <c r="L879" s="25"/>
      <c r="M879" s="25"/>
      <c r="N879" s="25"/>
      <c r="O879" s="25"/>
      <c r="P879" s="25"/>
      <c r="Q879" s="25"/>
      <c r="R879" s="25"/>
      <c r="S879" s="25"/>
      <c r="T879" s="25"/>
      <c r="U879" s="25"/>
      <c r="V879" s="25"/>
      <c r="W879" s="25"/>
      <c r="X879" s="25"/>
    </row>
    <row r="880" spans="1:24" ht="13">
      <c r="A880" s="25"/>
      <c r="B880" s="25"/>
      <c r="C880" s="25"/>
      <c r="D880" s="25" t="str">
        <f t="array" ref="D880">IF(OR(LEFT(C880,1)="(",COUNTA(C880)=0),"", INDEX(Honor!$B$2:$B998,MATCH(C880,Honor!$A$2:$A998,0)))</f>
        <v/>
      </c>
      <c r="E880" s="25" t="str">
        <f t="array" ref="E880">IF(OR(LEFT(C880,1)="(",COUNTA(C880)=0),"",INDEX(Honor!$O$2:$O998,MATCH(C880,Honor!$A$2:$A998,0)))</f>
        <v/>
      </c>
      <c r="F880" s="25"/>
      <c r="G880" s="25"/>
      <c r="H880" s="25"/>
      <c r="I880" s="25"/>
      <c r="J880" s="25"/>
      <c r="K880" s="25"/>
      <c r="L880" s="25"/>
      <c r="M880" s="25"/>
      <c r="N880" s="25"/>
      <c r="O880" s="25"/>
      <c r="P880" s="25"/>
      <c r="Q880" s="25"/>
      <c r="R880" s="25"/>
      <c r="S880" s="25"/>
      <c r="T880" s="25"/>
      <c r="U880" s="25"/>
      <c r="V880" s="25"/>
      <c r="W880" s="25"/>
      <c r="X880" s="25"/>
    </row>
    <row r="881" spans="1:24" ht="13">
      <c r="A881" s="25"/>
      <c r="B881" s="25"/>
      <c r="C881" s="25"/>
      <c r="D881" s="25" t="str">
        <f t="array" ref="D881">IF(OR(LEFT(C881,1)="(",COUNTA(C881)=0),"", INDEX(Honor!$B$2:$B998,MATCH(C881,Honor!$A$2:$A998,0)))</f>
        <v/>
      </c>
      <c r="E881" s="25" t="str">
        <f t="array" ref="E881">IF(OR(LEFT(C881,1)="(",COUNTA(C881)=0),"",INDEX(Honor!$O$2:$O998,MATCH(C881,Honor!$A$2:$A998,0)))</f>
        <v/>
      </c>
      <c r="F881" s="25"/>
      <c r="G881" s="25"/>
      <c r="H881" s="25"/>
      <c r="I881" s="25"/>
      <c r="J881" s="25"/>
      <c r="K881" s="25"/>
      <c r="L881" s="25"/>
      <c r="M881" s="25"/>
      <c r="N881" s="25"/>
      <c r="O881" s="25"/>
      <c r="P881" s="25"/>
      <c r="Q881" s="25"/>
      <c r="R881" s="25"/>
      <c r="S881" s="25"/>
      <c r="T881" s="25"/>
      <c r="U881" s="25"/>
      <c r="V881" s="25"/>
      <c r="W881" s="25"/>
      <c r="X881" s="25"/>
    </row>
    <row r="882" spans="1:24" ht="13">
      <c r="A882" s="25"/>
      <c r="B882" s="25"/>
      <c r="C882" s="25"/>
      <c r="D882" s="25" t="str">
        <f t="array" ref="D882">IF(OR(LEFT(C882,1)="(",COUNTA(C882)=0),"", INDEX(Honor!$B$2:$B998,MATCH(C882,Honor!$A$2:$A998,0)))</f>
        <v/>
      </c>
      <c r="E882" s="25" t="str">
        <f t="array" ref="E882">IF(OR(LEFT(C882,1)="(",COUNTA(C882)=0),"",INDEX(Honor!$O$2:$O998,MATCH(C882,Honor!$A$2:$A998,0)))</f>
        <v/>
      </c>
      <c r="F882" s="25"/>
      <c r="G882" s="25"/>
      <c r="H882" s="25"/>
      <c r="I882" s="25"/>
      <c r="J882" s="25"/>
      <c r="K882" s="25"/>
      <c r="L882" s="25"/>
      <c r="M882" s="25"/>
      <c r="N882" s="25"/>
      <c r="O882" s="25"/>
      <c r="P882" s="25"/>
      <c r="Q882" s="25"/>
      <c r="R882" s="25"/>
      <c r="S882" s="25"/>
      <c r="T882" s="25"/>
      <c r="U882" s="25"/>
      <c r="V882" s="25"/>
      <c r="W882" s="25"/>
      <c r="X882" s="25"/>
    </row>
    <row r="883" spans="1:24" ht="13">
      <c r="A883" s="25"/>
      <c r="B883" s="25"/>
      <c r="C883" s="25"/>
      <c r="D883" s="25" t="str">
        <f t="array" ref="D883">IF(OR(LEFT(C883,1)="(",COUNTA(C883)=0),"", INDEX(Honor!$B$2:$B998,MATCH(C883,Honor!$A$2:$A998,0)))</f>
        <v/>
      </c>
      <c r="E883" s="25" t="str">
        <f t="array" ref="E883">IF(OR(LEFT(C883,1)="(",COUNTA(C883)=0),"",INDEX(Honor!$O$2:$O998,MATCH(C883,Honor!$A$2:$A998,0)))</f>
        <v/>
      </c>
      <c r="F883" s="25"/>
      <c r="G883" s="25"/>
      <c r="H883" s="25"/>
      <c r="I883" s="25"/>
      <c r="J883" s="25"/>
      <c r="K883" s="25"/>
      <c r="L883" s="25"/>
      <c r="M883" s="25"/>
      <c r="N883" s="25"/>
      <c r="O883" s="25"/>
      <c r="P883" s="25"/>
      <c r="Q883" s="25"/>
      <c r="R883" s="25"/>
      <c r="S883" s="25"/>
      <c r="T883" s="25"/>
      <c r="U883" s="25"/>
      <c r="V883" s="25"/>
      <c r="W883" s="25"/>
      <c r="X883" s="25"/>
    </row>
    <row r="884" spans="1:24" ht="13">
      <c r="A884" s="25"/>
      <c r="B884" s="25"/>
      <c r="C884" s="25"/>
      <c r="D884" s="25" t="str">
        <f t="array" ref="D884">IF(OR(LEFT(C884,1)="(",COUNTA(C884)=0),"", INDEX(Honor!$B$2:$B998,MATCH(C884,Honor!$A$2:$A998,0)))</f>
        <v/>
      </c>
      <c r="E884" s="25" t="str">
        <f t="array" ref="E884">IF(OR(LEFT(C884,1)="(",COUNTA(C884)=0),"",INDEX(Honor!$O$2:$O998,MATCH(C884,Honor!$A$2:$A998,0)))</f>
        <v/>
      </c>
      <c r="F884" s="25"/>
      <c r="G884" s="25"/>
      <c r="H884" s="25"/>
      <c r="I884" s="25"/>
      <c r="J884" s="25"/>
      <c r="K884" s="25"/>
      <c r="L884" s="25"/>
      <c r="M884" s="25"/>
      <c r="N884" s="25"/>
      <c r="O884" s="25"/>
      <c r="P884" s="25"/>
      <c r="Q884" s="25"/>
      <c r="R884" s="25"/>
      <c r="S884" s="25"/>
      <c r="T884" s="25"/>
      <c r="U884" s="25"/>
      <c r="V884" s="25"/>
      <c r="W884" s="25"/>
      <c r="X884" s="25"/>
    </row>
    <row r="885" spans="1:24" ht="13">
      <c r="A885" s="25"/>
      <c r="B885" s="25"/>
      <c r="C885" s="25"/>
      <c r="D885" s="25" t="str">
        <f t="array" ref="D885">IF(OR(LEFT(C885,1)="(",COUNTA(C885)=0),"", INDEX(Honor!$B$2:$B998,MATCH(C885,Honor!$A$2:$A998,0)))</f>
        <v/>
      </c>
      <c r="E885" s="25" t="str">
        <f t="array" ref="E885">IF(OR(LEFT(C885,1)="(",COUNTA(C885)=0),"",INDEX(Honor!$O$2:$O998,MATCH(C885,Honor!$A$2:$A998,0)))</f>
        <v/>
      </c>
      <c r="F885" s="25"/>
      <c r="G885" s="25"/>
      <c r="H885" s="25"/>
      <c r="I885" s="25"/>
      <c r="J885" s="25"/>
      <c r="K885" s="25"/>
      <c r="L885" s="25"/>
      <c r="M885" s="25"/>
      <c r="N885" s="25"/>
      <c r="O885" s="25"/>
      <c r="P885" s="25"/>
      <c r="Q885" s="25"/>
      <c r="R885" s="25"/>
      <c r="S885" s="25"/>
      <c r="T885" s="25"/>
      <c r="U885" s="25"/>
      <c r="V885" s="25"/>
      <c r="W885" s="25"/>
      <c r="X885" s="25"/>
    </row>
    <row r="886" spans="1:24" ht="13">
      <c r="A886" s="25"/>
      <c r="B886" s="25"/>
      <c r="C886" s="25"/>
      <c r="D886" s="25" t="str">
        <f t="array" ref="D886">IF(OR(LEFT(C886,1)="(",COUNTA(C886)=0),"", INDEX(Honor!$B$2:$B998,MATCH(C886,Honor!$A$2:$A998,0)))</f>
        <v/>
      </c>
      <c r="E886" s="25" t="str">
        <f t="array" ref="E886">IF(OR(LEFT(C886,1)="(",COUNTA(C886)=0),"",INDEX(Honor!$O$2:$O998,MATCH(C886,Honor!$A$2:$A998,0)))</f>
        <v/>
      </c>
      <c r="F886" s="25"/>
      <c r="G886" s="25"/>
      <c r="H886" s="25"/>
      <c r="I886" s="25"/>
      <c r="J886" s="25"/>
      <c r="K886" s="25"/>
      <c r="L886" s="25"/>
      <c r="M886" s="25"/>
      <c r="N886" s="25"/>
      <c r="O886" s="25"/>
      <c r="P886" s="25"/>
      <c r="Q886" s="25"/>
      <c r="R886" s="25"/>
      <c r="S886" s="25"/>
      <c r="T886" s="25"/>
      <c r="U886" s="25"/>
      <c r="V886" s="25"/>
      <c r="W886" s="25"/>
      <c r="X886" s="25"/>
    </row>
    <row r="887" spans="1:24" ht="13">
      <c r="A887" s="25"/>
      <c r="B887" s="25"/>
      <c r="C887" s="25"/>
      <c r="D887" s="25" t="str">
        <f t="array" ref="D887">IF(OR(LEFT(C887,1)="(",COUNTA(C887)=0),"", INDEX(Honor!$B$2:$B998,MATCH(C887,Honor!$A$2:$A998,0)))</f>
        <v/>
      </c>
      <c r="E887" s="25" t="str">
        <f t="array" ref="E887">IF(OR(LEFT(C887,1)="(",COUNTA(C887)=0),"",INDEX(Honor!$O$2:$O998,MATCH(C887,Honor!$A$2:$A998,0)))</f>
        <v/>
      </c>
      <c r="F887" s="25"/>
      <c r="G887" s="25"/>
      <c r="H887" s="25"/>
      <c r="I887" s="25"/>
      <c r="J887" s="25"/>
      <c r="K887" s="25"/>
      <c r="L887" s="25"/>
      <c r="M887" s="25"/>
      <c r="N887" s="25"/>
      <c r="O887" s="25"/>
      <c r="P887" s="25"/>
      <c r="Q887" s="25"/>
      <c r="R887" s="25"/>
      <c r="S887" s="25"/>
      <c r="T887" s="25"/>
      <c r="U887" s="25"/>
      <c r="V887" s="25"/>
      <c r="W887" s="25"/>
      <c r="X887" s="25"/>
    </row>
    <row r="888" spans="1:24" ht="13">
      <c r="A888" s="25"/>
      <c r="B888" s="25"/>
      <c r="C888" s="25"/>
      <c r="D888" s="25" t="str">
        <f t="array" ref="D888">IF(OR(LEFT(C888,1)="(",COUNTA(C888)=0),"", INDEX(Honor!$B$2:$B998,MATCH(C888,Honor!$A$2:$A998,0)))</f>
        <v/>
      </c>
      <c r="E888" s="25" t="str">
        <f t="array" ref="E888">IF(OR(LEFT(C888,1)="(",COUNTA(C888)=0),"",INDEX(Honor!$O$2:$O998,MATCH(C888,Honor!$A$2:$A998,0)))</f>
        <v/>
      </c>
      <c r="F888" s="25"/>
      <c r="G888" s="25"/>
      <c r="H888" s="25"/>
      <c r="I888" s="25"/>
      <c r="J888" s="25"/>
      <c r="K888" s="25"/>
      <c r="L888" s="25"/>
      <c r="M888" s="25"/>
      <c r="N888" s="25"/>
      <c r="O888" s="25"/>
      <c r="P888" s="25"/>
      <c r="Q888" s="25"/>
      <c r="R888" s="25"/>
      <c r="S888" s="25"/>
      <c r="T888" s="25"/>
      <c r="U888" s="25"/>
      <c r="V888" s="25"/>
      <c r="W888" s="25"/>
      <c r="X888" s="25"/>
    </row>
    <row r="889" spans="1:24" ht="13">
      <c r="A889" s="25"/>
      <c r="B889" s="25"/>
      <c r="C889" s="25"/>
      <c r="D889" s="25" t="str">
        <f t="array" ref="D889">IF(OR(LEFT(C889,1)="(",COUNTA(C889)=0),"", INDEX(Honor!$B$2:$B998,MATCH(C889,Honor!$A$2:$A998,0)))</f>
        <v/>
      </c>
      <c r="E889" s="25" t="str">
        <f t="array" ref="E889">IF(OR(LEFT(C889,1)="(",COUNTA(C889)=0),"",INDEX(Honor!$O$2:$O998,MATCH(C889,Honor!$A$2:$A998,0)))</f>
        <v/>
      </c>
      <c r="F889" s="25"/>
      <c r="G889" s="25"/>
      <c r="H889" s="25"/>
      <c r="I889" s="25"/>
      <c r="J889" s="25"/>
      <c r="K889" s="25"/>
      <c r="L889" s="25"/>
      <c r="M889" s="25"/>
      <c r="N889" s="25"/>
      <c r="O889" s="25"/>
      <c r="P889" s="25"/>
      <c r="Q889" s="25"/>
      <c r="R889" s="25"/>
      <c r="S889" s="25"/>
      <c r="T889" s="25"/>
      <c r="U889" s="25"/>
      <c r="V889" s="25"/>
      <c r="W889" s="25"/>
      <c r="X889" s="25"/>
    </row>
    <row r="890" spans="1:24" ht="13">
      <c r="A890" s="25"/>
      <c r="B890" s="25"/>
      <c r="C890" s="25"/>
      <c r="D890" s="25" t="str">
        <f t="array" ref="D890">IF(OR(LEFT(C890,1)="(",COUNTA(C890)=0),"", INDEX(Honor!$B$2:$B998,MATCH(C890,Honor!$A$2:$A998,0)))</f>
        <v/>
      </c>
      <c r="E890" s="25" t="str">
        <f t="array" ref="E890">IF(OR(LEFT(C890,1)="(",COUNTA(C890)=0),"",INDEX(Honor!$O$2:$O998,MATCH(C890,Honor!$A$2:$A998,0)))</f>
        <v/>
      </c>
      <c r="F890" s="25"/>
      <c r="G890" s="25"/>
      <c r="H890" s="25"/>
      <c r="I890" s="25"/>
      <c r="J890" s="25"/>
      <c r="K890" s="25"/>
      <c r="L890" s="25"/>
      <c r="M890" s="25"/>
      <c r="N890" s="25"/>
      <c r="O890" s="25"/>
      <c r="P890" s="25"/>
      <c r="Q890" s="25"/>
      <c r="R890" s="25"/>
      <c r="S890" s="25"/>
      <c r="T890" s="25"/>
      <c r="U890" s="25"/>
      <c r="V890" s="25"/>
      <c r="W890" s="25"/>
      <c r="X890" s="25"/>
    </row>
    <row r="891" spans="1:24" ht="13">
      <c r="A891" s="25"/>
      <c r="B891" s="25"/>
      <c r="C891" s="25"/>
      <c r="D891" s="25" t="str">
        <f t="array" ref="D891">IF(OR(LEFT(C891,1)="(",COUNTA(C891)=0),"", INDEX(Honor!$B$2:$B998,MATCH(C891,Honor!$A$2:$A998,0)))</f>
        <v/>
      </c>
      <c r="E891" s="25" t="str">
        <f t="array" ref="E891">IF(OR(LEFT(C891,1)="(",COUNTA(C891)=0),"",INDEX(Honor!$O$2:$O998,MATCH(C891,Honor!$A$2:$A998,0)))</f>
        <v/>
      </c>
      <c r="F891" s="25"/>
      <c r="G891" s="25"/>
      <c r="H891" s="25"/>
      <c r="I891" s="25"/>
      <c r="J891" s="25"/>
      <c r="K891" s="25"/>
      <c r="L891" s="25"/>
      <c r="M891" s="25"/>
      <c r="N891" s="25"/>
      <c r="O891" s="25"/>
      <c r="P891" s="25"/>
      <c r="Q891" s="25"/>
      <c r="R891" s="25"/>
      <c r="S891" s="25"/>
      <c r="T891" s="25"/>
      <c r="U891" s="25"/>
      <c r="V891" s="25"/>
      <c r="W891" s="25"/>
      <c r="X891" s="25"/>
    </row>
    <row r="892" spans="1:24" ht="13">
      <c r="A892" s="25"/>
      <c r="B892" s="25"/>
      <c r="C892" s="25"/>
      <c r="D892" s="25" t="str">
        <f t="array" ref="D892">IF(OR(LEFT(C892,1)="(",COUNTA(C892)=0),"", INDEX(Honor!$B$2:$B998,MATCH(C892,Honor!$A$2:$A998,0)))</f>
        <v/>
      </c>
      <c r="E892" s="25" t="str">
        <f t="array" ref="E892">IF(OR(LEFT(C892,1)="(",COUNTA(C892)=0),"",INDEX(Honor!$O$2:$O998,MATCH(C892,Honor!$A$2:$A998,0)))</f>
        <v/>
      </c>
      <c r="F892" s="25"/>
      <c r="G892" s="25"/>
      <c r="H892" s="25"/>
      <c r="I892" s="25"/>
      <c r="J892" s="25"/>
      <c r="K892" s="25"/>
      <c r="L892" s="25"/>
      <c r="M892" s="25"/>
      <c r="N892" s="25"/>
      <c r="O892" s="25"/>
      <c r="P892" s="25"/>
      <c r="Q892" s="25"/>
      <c r="R892" s="25"/>
      <c r="S892" s="25"/>
      <c r="T892" s="25"/>
      <c r="U892" s="25"/>
      <c r="V892" s="25"/>
      <c r="W892" s="25"/>
      <c r="X892" s="25"/>
    </row>
    <row r="893" spans="1:24" ht="13">
      <c r="A893" s="25"/>
      <c r="B893" s="25"/>
      <c r="C893" s="25"/>
      <c r="D893" s="25" t="str">
        <f t="array" ref="D893">IF(OR(LEFT(C893,1)="(",COUNTA(C893)=0),"", INDEX(Honor!$B$2:$B998,MATCH(C893,Honor!$A$2:$A998,0)))</f>
        <v/>
      </c>
      <c r="E893" s="25" t="str">
        <f t="array" ref="E893">IF(OR(LEFT(C893,1)="(",COUNTA(C893)=0),"",INDEX(Honor!$O$2:$O998,MATCH(C893,Honor!$A$2:$A998,0)))</f>
        <v/>
      </c>
      <c r="F893" s="25"/>
      <c r="G893" s="25"/>
      <c r="H893" s="25"/>
      <c r="I893" s="25"/>
      <c r="J893" s="25"/>
      <c r="K893" s="25"/>
      <c r="L893" s="25"/>
      <c r="M893" s="25"/>
      <c r="N893" s="25"/>
      <c r="O893" s="25"/>
      <c r="P893" s="25"/>
      <c r="Q893" s="25"/>
      <c r="R893" s="25"/>
      <c r="S893" s="25"/>
      <c r="T893" s="25"/>
      <c r="U893" s="25"/>
      <c r="V893" s="25"/>
      <c r="W893" s="25"/>
      <c r="X893" s="25"/>
    </row>
    <row r="894" spans="1:24" ht="13">
      <c r="A894" s="25"/>
      <c r="B894" s="25"/>
      <c r="C894" s="25"/>
      <c r="D894" s="25" t="str">
        <f t="array" ref="D894">IF(OR(LEFT(C894,1)="(",COUNTA(C894)=0),"", INDEX(Honor!$B$2:$B998,MATCH(C894,Honor!$A$2:$A998,0)))</f>
        <v/>
      </c>
      <c r="E894" s="25" t="str">
        <f t="array" ref="E894">IF(OR(LEFT(C894,1)="(",COUNTA(C894)=0),"",INDEX(Honor!$O$2:$O998,MATCH(C894,Honor!$A$2:$A998,0)))</f>
        <v/>
      </c>
      <c r="F894" s="25"/>
      <c r="G894" s="25"/>
      <c r="H894" s="25"/>
      <c r="I894" s="25"/>
      <c r="J894" s="25"/>
      <c r="K894" s="25"/>
      <c r="L894" s="25"/>
      <c r="M894" s="25"/>
      <c r="N894" s="25"/>
      <c r="O894" s="25"/>
      <c r="P894" s="25"/>
      <c r="Q894" s="25"/>
      <c r="R894" s="25"/>
      <c r="S894" s="25"/>
      <c r="T894" s="25"/>
      <c r="U894" s="25"/>
      <c r="V894" s="25"/>
      <c r="W894" s="25"/>
      <c r="X894" s="25"/>
    </row>
    <row r="895" spans="1:24" ht="13">
      <c r="A895" s="25"/>
      <c r="B895" s="25"/>
      <c r="C895" s="25"/>
      <c r="D895" s="25" t="str">
        <f t="array" ref="D895">IF(OR(LEFT(C895,1)="(",COUNTA(C895)=0),"", INDEX(Honor!$B$2:$B998,MATCH(C895,Honor!$A$2:$A998,0)))</f>
        <v/>
      </c>
      <c r="E895" s="25" t="str">
        <f t="array" ref="E895">IF(OR(LEFT(C895,1)="(",COUNTA(C895)=0),"",INDEX(Honor!$O$2:$O998,MATCH(C895,Honor!$A$2:$A998,0)))</f>
        <v/>
      </c>
      <c r="F895" s="25"/>
      <c r="G895" s="25"/>
      <c r="H895" s="25"/>
      <c r="I895" s="25"/>
      <c r="J895" s="25"/>
      <c r="K895" s="25"/>
      <c r="L895" s="25"/>
      <c r="M895" s="25"/>
      <c r="N895" s="25"/>
      <c r="O895" s="25"/>
      <c r="P895" s="25"/>
      <c r="Q895" s="25"/>
      <c r="R895" s="25"/>
      <c r="S895" s="25"/>
      <c r="T895" s="25"/>
      <c r="U895" s="25"/>
      <c r="V895" s="25"/>
      <c r="W895" s="25"/>
      <c r="X895" s="25"/>
    </row>
    <row r="896" spans="1:24" ht="13">
      <c r="A896" s="25"/>
      <c r="B896" s="25"/>
      <c r="C896" s="25"/>
      <c r="D896" s="25" t="str">
        <f t="array" ref="D896">IF(OR(LEFT(C896,1)="(",COUNTA(C896)=0),"", INDEX(Honor!$B$2:$B998,MATCH(C896,Honor!$A$2:$A998,0)))</f>
        <v/>
      </c>
      <c r="E896" s="25" t="str">
        <f t="array" ref="E896">IF(OR(LEFT(C896,1)="(",COUNTA(C896)=0),"",INDEX(Honor!$O$2:$O998,MATCH(C896,Honor!$A$2:$A998,0)))</f>
        <v/>
      </c>
      <c r="F896" s="25"/>
      <c r="G896" s="25"/>
      <c r="H896" s="25"/>
      <c r="I896" s="25"/>
      <c r="J896" s="25"/>
      <c r="K896" s="25"/>
      <c r="L896" s="25"/>
      <c r="M896" s="25"/>
      <c r="N896" s="25"/>
      <c r="O896" s="25"/>
      <c r="P896" s="25"/>
      <c r="Q896" s="25"/>
      <c r="R896" s="25"/>
      <c r="S896" s="25"/>
      <c r="T896" s="25"/>
      <c r="U896" s="25"/>
      <c r="V896" s="25"/>
      <c r="W896" s="25"/>
      <c r="X896" s="25"/>
    </row>
    <row r="897" spans="1:24" ht="13">
      <c r="A897" s="25"/>
      <c r="B897" s="25"/>
      <c r="C897" s="25"/>
      <c r="D897" s="25" t="str">
        <f t="array" ref="D897">IF(OR(LEFT(C897,1)="(",COUNTA(C897)=0),"", INDEX(Honor!$B$2:$B998,MATCH(C897,Honor!$A$2:$A998,0)))</f>
        <v/>
      </c>
      <c r="E897" s="25" t="str">
        <f t="array" ref="E897">IF(OR(LEFT(C897,1)="(",COUNTA(C897)=0),"",INDEX(Honor!$O$2:$O998,MATCH(C897,Honor!$A$2:$A998,0)))</f>
        <v/>
      </c>
      <c r="F897" s="25"/>
      <c r="G897" s="25"/>
      <c r="H897" s="25"/>
      <c r="I897" s="25"/>
      <c r="J897" s="25"/>
      <c r="K897" s="25"/>
      <c r="L897" s="25"/>
      <c r="M897" s="25"/>
      <c r="N897" s="25"/>
      <c r="O897" s="25"/>
      <c r="P897" s="25"/>
      <c r="Q897" s="25"/>
      <c r="R897" s="25"/>
      <c r="S897" s="25"/>
      <c r="T897" s="25"/>
      <c r="U897" s="25"/>
      <c r="V897" s="25"/>
      <c r="W897" s="25"/>
      <c r="X897" s="25"/>
    </row>
    <row r="898" spans="1:24" ht="13">
      <c r="A898" s="25"/>
      <c r="B898" s="25"/>
      <c r="C898" s="25"/>
      <c r="D898" s="25" t="str">
        <f t="array" ref="D898">IF(OR(LEFT(C898,1)="(",COUNTA(C898)=0),"", INDEX(Honor!$B$2:$B998,MATCH(C898,Honor!$A$2:$A998,0)))</f>
        <v/>
      </c>
      <c r="E898" s="25" t="str">
        <f t="array" ref="E898">IF(OR(LEFT(C898,1)="(",COUNTA(C898)=0),"",INDEX(Honor!$O$2:$O998,MATCH(C898,Honor!$A$2:$A998,0)))</f>
        <v/>
      </c>
      <c r="F898" s="25"/>
      <c r="G898" s="25"/>
      <c r="H898" s="25"/>
      <c r="I898" s="25"/>
      <c r="J898" s="25"/>
      <c r="K898" s="25"/>
      <c r="L898" s="25"/>
      <c r="M898" s="25"/>
      <c r="N898" s="25"/>
      <c r="O898" s="25"/>
      <c r="P898" s="25"/>
      <c r="Q898" s="25"/>
      <c r="R898" s="25"/>
      <c r="S898" s="25"/>
      <c r="T898" s="25"/>
      <c r="U898" s="25"/>
      <c r="V898" s="25"/>
      <c r="W898" s="25"/>
      <c r="X898" s="25"/>
    </row>
    <row r="899" spans="1:24" ht="13">
      <c r="A899" s="25"/>
      <c r="B899" s="25"/>
      <c r="C899" s="25"/>
      <c r="D899" s="25" t="str">
        <f t="array" ref="D899">IF(OR(LEFT(C899,1)="(",COUNTA(C899)=0),"", INDEX(Honor!$B$2:$B998,MATCH(C899,Honor!$A$2:$A998,0)))</f>
        <v/>
      </c>
      <c r="E899" s="25" t="str">
        <f t="array" ref="E899">IF(OR(LEFT(C899,1)="(",COUNTA(C899)=0),"",INDEX(Honor!$O$2:$O998,MATCH(C899,Honor!$A$2:$A998,0)))</f>
        <v/>
      </c>
      <c r="F899" s="25"/>
      <c r="G899" s="25"/>
      <c r="H899" s="25"/>
      <c r="I899" s="25"/>
      <c r="J899" s="25"/>
      <c r="K899" s="25"/>
      <c r="L899" s="25"/>
      <c r="M899" s="25"/>
      <c r="N899" s="25"/>
      <c r="O899" s="25"/>
      <c r="P899" s="25"/>
      <c r="Q899" s="25"/>
      <c r="R899" s="25"/>
      <c r="S899" s="25"/>
      <c r="T899" s="25"/>
      <c r="U899" s="25"/>
      <c r="V899" s="25"/>
      <c r="W899" s="25"/>
      <c r="X899" s="25"/>
    </row>
    <row r="900" spans="1:24" ht="13">
      <c r="A900" s="25"/>
      <c r="B900" s="25"/>
      <c r="C900" s="25"/>
      <c r="D900" s="25" t="str">
        <f t="array" ref="D900">IF(OR(LEFT(C900,1)="(",COUNTA(C900)=0),"", INDEX(Honor!$B$2:$B998,MATCH(C900,Honor!$A$2:$A998,0)))</f>
        <v/>
      </c>
      <c r="E900" s="25" t="str">
        <f t="array" ref="E900">IF(OR(LEFT(C900,1)="(",COUNTA(C900)=0),"",INDEX(Honor!$O$2:$O998,MATCH(C900,Honor!$A$2:$A998,0)))</f>
        <v/>
      </c>
      <c r="F900" s="25"/>
      <c r="G900" s="25"/>
      <c r="H900" s="25"/>
      <c r="I900" s="25"/>
      <c r="J900" s="25"/>
      <c r="K900" s="25"/>
      <c r="L900" s="25"/>
      <c r="M900" s="25"/>
      <c r="N900" s="25"/>
      <c r="O900" s="25"/>
      <c r="P900" s="25"/>
      <c r="Q900" s="25"/>
      <c r="R900" s="25"/>
      <c r="S900" s="25"/>
      <c r="T900" s="25"/>
      <c r="U900" s="25"/>
      <c r="V900" s="25"/>
      <c r="W900" s="25"/>
      <c r="X900" s="25"/>
    </row>
    <row r="901" spans="1:24" ht="13">
      <c r="A901" s="25"/>
      <c r="B901" s="25"/>
      <c r="C901" s="25"/>
      <c r="D901" s="25" t="str">
        <f t="array" ref="D901">IF(OR(LEFT(C901,1)="(",COUNTA(C901)=0),"", INDEX(Honor!$B$2:$B998,MATCH(C901,Honor!$A$2:$A998,0)))</f>
        <v/>
      </c>
      <c r="E901" s="25" t="str">
        <f t="array" ref="E901">IF(OR(LEFT(C901,1)="(",COUNTA(C901)=0),"",INDEX(Honor!$O$2:$O998,MATCH(C901,Honor!$A$2:$A998,0)))</f>
        <v/>
      </c>
      <c r="F901" s="25"/>
      <c r="G901" s="25"/>
      <c r="H901" s="25"/>
      <c r="I901" s="25"/>
      <c r="J901" s="25"/>
      <c r="K901" s="25"/>
      <c r="L901" s="25"/>
      <c r="M901" s="25"/>
      <c r="N901" s="25"/>
      <c r="O901" s="25"/>
      <c r="P901" s="25"/>
      <c r="Q901" s="25"/>
      <c r="R901" s="25"/>
      <c r="S901" s="25"/>
      <c r="T901" s="25"/>
      <c r="U901" s="25"/>
      <c r="V901" s="25"/>
      <c r="W901" s="25"/>
      <c r="X901" s="25"/>
    </row>
    <row r="902" spans="1:24" ht="13">
      <c r="A902" s="25"/>
      <c r="B902" s="25"/>
      <c r="C902" s="25"/>
      <c r="D902" s="25" t="str">
        <f t="array" ref="D902">IF(OR(LEFT(C902,1)="(",COUNTA(C902)=0),"", INDEX(Honor!$B$2:$B998,MATCH(C902,Honor!$A$2:$A998,0)))</f>
        <v/>
      </c>
      <c r="E902" s="25" t="str">
        <f t="array" ref="E902">IF(OR(LEFT(C902,1)="(",COUNTA(C902)=0),"",INDEX(Honor!$O$2:$O998,MATCH(C902,Honor!$A$2:$A998,0)))</f>
        <v/>
      </c>
      <c r="F902" s="25"/>
      <c r="G902" s="25"/>
      <c r="H902" s="25"/>
      <c r="I902" s="25"/>
      <c r="J902" s="25"/>
      <c r="K902" s="25"/>
      <c r="L902" s="25"/>
      <c r="M902" s="25"/>
      <c r="N902" s="25"/>
      <c r="O902" s="25"/>
      <c r="P902" s="25"/>
      <c r="Q902" s="25"/>
      <c r="R902" s="25"/>
      <c r="S902" s="25"/>
      <c r="T902" s="25"/>
      <c r="U902" s="25"/>
      <c r="V902" s="25"/>
      <c r="W902" s="25"/>
      <c r="X902" s="25"/>
    </row>
    <row r="903" spans="1:24" ht="13">
      <c r="A903" s="25"/>
      <c r="B903" s="25"/>
      <c r="C903" s="25"/>
      <c r="D903" s="25" t="str">
        <f t="array" ref="D903">IF(OR(LEFT(C903,1)="(",COUNTA(C903)=0),"", INDEX(Honor!$B$2:$B998,MATCH(C903,Honor!$A$2:$A998,0)))</f>
        <v/>
      </c>
      <c r="E903" s="25" t="str">
        <f t="array" ref="E903">IF(OR(LEFT(C903,1)="(",COUNTA(C903)=0),"",INDEX(Honor!$O$2:$O998,MATCH(C903,Honor!$A$2:$A998,0)))</f>
        <v/>
      </c>
      <c r="F903" s="25"/>
      <c r="G903" s="25"/>
      <c r="H903" s="25"/>
      <c r="I903" s="25"/>
      <c r="J903" s="25"/>
      <c r="K903" s="25"/>
      <c r="L903" s="25"/>
      <c r="M903" s="25"/>
      <c r="N903" s="25"/>
      <c r="O903" s="25"/>
      <c r="P903" s="25"/>
      <c r="Q903" s="25"/>
      <c r="R903" s="25"/>
      <c r="S903" s="25"/>
      <c r="T903" s="25"/>
      <c r="U903" s="25"/>
      <c r="V903" s="25"/>
      <c r="W903" s="25"/>
      <c r="X903" s="25"/>
    </row>
    <row r="904" spans="1:24" ht="13">
      <c r="A904" s="25"/>
      <c r="B904" s="25"/>
      <c r="C904" s="25"/>
      <c r="D904" s="25" t="str">
        <f t="array" ref="D904">IF(OR(LEFT(C904,1)="(",COUNTA(C904)=0),"", INDEX(Honor!$B$2:$B998,MATCH(C904,Honor!$A$2:$A998,0)))</f>
        <v/>
      </c>
      <c r="E904" s="25" t="str">
        <f t="array" ref="E904">IF(OR(LEFT(C904,1)="(",COUNTA(C904)=0),"",INDEX(Honor!$O$2:$O998,MATCH(C904,Honor!$A$2:$A998,0)))</f>
        <v/>
      </c>
      <c r="F904" s="25"/>
      <c r="G904" s="25"/>
      <c r="H904" s="25"/>
      <c r="I904" s="25"/>
      <c r="J904" s="25"/>
      <c r="K904" s="25"/>
      <c r="L904" s="25"/>
      <c r="M904" s="25"/>
      <c r="N904" s="25"/>
      <c r="O904" s="25"/>
      <c r="P904" s="25"/>
      <c r="Q904" s="25"/>
      <c r="R904" s="25"/>
      <c r="S904" s="25"/>
      <c r="T904" s="25"/>
      <c r="U904" s="25"/>
      <c r="V904" s="25"/>
      <c r="W904" s="25"/>
      <c r="X904" s="25"/>
    </row>
    <row r="905" spans="1:24" ht="13">
      <c r="A905" s="25"/>
      <c r="B905" s="25"/>
      <c r="C905" s="25"/>
      <c r="D905" s="25" t="str">
        <f t="array" ref="D905">IF(OR(LEFT(C905,1)="(",COUNTA(C905)=0),"", INDEX(Honor!$B$2:$B998,MATCH(C905,Honor!$A$2:$A998,0)))</f>
        <v/>
      </c>
      <c r="E905" s="25" t="str">
        <f t="array" ref="E905">IF(OR(LEFT(C905,1)="(",COUNTA(C905)=0),"",INDEX(Honor!$O$2:$O998,MATCH(C905,Honor!$A$2:$A998,0)))</f>
        <v/>
      </c>
      <c r="F905" s="25"/>
      <c r="G905" s="25"/>
      <c r="H905" s="25"/>
      <c r="I905" s="25"/>
      <c r="J905" s="25"/>
      <c r="K905" s="25"/>
      <c r="L905" s="25"/>
      <c r="M905" s="25"/>
      <c r="N905" s="25"/>
      <c r="O905" s="25"/>
      <c r="P905" s="25"/>
      <c r="Q905" s="25"/>
      <c r="R905" s="25"/>
      <c r="S905" s="25"/>
      <c r="T905" s="25"/>
      <c r="U905" s="25"/>
      <c r="V905" s="25"/>
      <c r="W905" s="25"/>
      <c r="X905" s="25"/>
    </row>
    <row r="906" spans="1:24" ht="13">
      <c r="A906" s="25"/>
      <c r="B906" s="25"/>
      <c r="C906" s="25"/>
      <c r="D906" s="25" t="str">
        <f t="array" ref="D906">IF(OR(LEFT(C906,1)="(",COUNTA(C906)=0),"", INDEX(Honor!$B$2:$B998,MATCH(C906,Honor!$A$2:$A998,0)))</f>
        <v/>
      </c>
      <c r="E906" s="25" t="str">
        <f t="array" ref="E906">IF(OR(LEFT(C906,1)="(",COUNTA(C906)=0),"",INDEX(Honor!$O$2:$O998,MATCH(C906,Honor!$A$2:$A998,0)))</f>
        <v/>
      </c>
      <c r="F906" s="25"/>
      <c r="G906" s="25"/>
      <c r="H906" s="25"/>
      <c r="I906" s="25"/>
      <c r="J906" s="25"/>
      <c r="K906" s="25"/>
      <c r="L906" s="25"/>
      <c r="M906" s="25"/>
      <c r="N906" s="25"/>
      <c r="O906" s="25"/>
      <c r="P906" s="25"/>
      <c r="Q906" s="25"/>
      <c r="R906" s="25"/>
      <c r="S906" s="25"/>
      <c r="T906" s="25"/>
      <c r="U906" s="25"/>
      <c r="V906" s="25"/>
      <c r="W906" s="25"/>
      <c r="X906" s="25"/>
    </row>
    <row r="907" spans="1:24" ht="13">
      <c r="A907" s="25"/>
      <c r="B907" s="25"/>
      <c r="C907" s="25"/>
      <c r="D907" s="25" t="str">
        <f t="array" ref="D907">IF(OR(LEFT(C907,1)="(",COUNTA(C907)=0),"", INDEX(Honor!$B$2:$B998,MATCH(C907,Honor!$A$2:$A998,0)))</f>
        <v/>
      </c>
      <c r="E907" s="25" t="str">
        <f t="array" ref="E907">IF(OR(LEFT(C907,1)="(",COUNTA(C907)=0),"",INDEX(Honor!$O$2:$O998,MATCH(C907,Honor!$A$2:$A998,0)))</f>
        <v/>
      </c>
      <c r="F907" s="25"/>
      <c r="G907" s="25"/>
      <c r="H907" s="25"/>
      <c r="I907" s="25"/>
      <c r="J907" s="25"/>
      <c r="K907" s="25"/>
      <c r="L907" s="25"/>
      <c r="M907" s="25"/>
      <c r="N907" s="25"/>
      <c r="O907" s="25"/>
      <c r="P907" s="25"/>
      <c r="Q907" s="25"/>
      <c r="R907" s="25"/>
      <c r="S907" s="25"/>
      <c r="T907" s="25"/>
      <c r="U907" s="25"/>
      <c r="V907" s="25"/>
      <c r="W907" s="25"/>
      <c r="X907" s="25"/>
    </row>
    <row r="908" spans="1:24" ht="13">
      <c r="A908" s="25"/>
      <c r="B908" s="25"/>
      <c r="C908" s="25"/>
      <c r="D908" s="25" t="str">
        <f t="array" ref="D908">IF(OR(LEFT(C908,1)="(",COUNTA(C908)=0),"", INDEX(Honor!$B$2:$B998,MATCH(C908,Honor!$A$2:$A998,0)))</f>
        <v/>
      </c>
      <c r="E908" s="25" t="str">
        <f t="array" ref="E908">IF(OR(LEFT(C908,1)="(",COUNTA(C908)=0),"",INDEX(Honor!$O$2:$O998,MATCH(C908,Honor!$A$2:$A998,0)))</f>
        <v/>
      </c>
      <c r="F908" s="25"/>
      <c r="G908" s="25"/>
      <c r="H908" s="25"/>
      <c r="I908" s="25"/>
      <c r="J908" s="25"/>
      <c r="K908" s="25"/>
      <c r="L908" s="25"/>
      <c r="M908" s="25"/>
      <c r="N908" s="25"/>
      <c r="O908" s="25"/>
      <c r="P908" s="25"/>
      <c r="Q908" s="25"/>
      <c r="R908" s="25"/>
      <c r="S908" s="25"/>
      <c r="T908" s="25"/>
      <c r="U908" s="25"/>
      <c r="V908" s="25"/>
      <c r="W908" s="25"/>
      <c r="X908" s="25"/>
    </row>
    <row r="909" spans="1:24" ht="13">
      <c r="A909" s="25"/>
      <c r="B909" s="25"/>
      <c r="C909" s="25"/>
      <c r="D909" s="25" t="str">
        <f t="array" ref="D909">IF(OR(LEFT(C909,1)="(",COUNTA(C909)=0),"", INDEX(Honor!$B$2:$B998,MATCH(C909,Honor!$A$2:$A998,0)))</f>
        <v/>
      </c>
      <c r="E909" s="25" t="str">
        <f t="array" ref="E909">IF(OR(LEFT(C909,1)="(",COUNTA(C909)=0),"",INDEX(Honor!$O$2:$O998,MATCH(C909,Honor!$A$2:$A998,0)))</f>
        <v/>
      </c>
      <c r="F909" s="25"/>
      <c r="G909" s="25"/>
      <c r="H909" s="25"/>
      <c r="I909" s="25"/>
      <c r="J909" s="25"/>
      <c r="K909" s="25"/>
      <c r="L909" s="25"/>
      <c r="M909" s="25"/>
      <c r="N909" s="25"/>
      <c r="O909" s="25"/>
      <c r="P909" s="25"/>
      <c r="Q909" s="25"/>
      <c r="R909" s="25"/>
      <c r="S909" s="25"/>
      <c r="T909" s="25"/>
      <c r="U909" s="25"/>
      <c r="V909" s="25"/>
      <c r="W909" s="25"/>
      <c r="X909" s="25"/>
    </row>
    <row r="910" spans="1:24" ht="13">
      <c r="A910" s="25"/>
      <c r="B910" s="25"/>
      <c r="C910" s="25"/>
      <c r="D910" s="25" t="str">
        <f t="array" ref="D910">IF(OR(LEFT(C910,1)="(",COUNTA(C910)=0),"", INDEX(Honor!$B$2:$B998,MATCH(C910,Honor!$A$2:$A998,0)))</f>
        <v/>
      </c>
      <c r="E910" s="25" t="str">
        <f t="array" ref="E910">IF(OR(LEFT(C910,1)="(",COUNTA(C910)=0),"",INDEX(Honor!$O$2:$O998,MATCH(C910,Honor!$A$2:$A998,0)))</f>
        <v/>
      </c>
      <c r="F910" s="25"/>
      <c r="G910" s="25"/>
      <c r="H910" s="25"/>
      <c r="I910" s="25"/>
      <c r="J910" s="25"/>
      <c r="K910" s="25"/>
      <c r="L910" s="25"/>
      <c r="M910" s="25"/>
      <c r="N910" s="25"/>
      <c r="O910" s="25"/>
      <c r="P910" s="25"/>
      <c r="Q910" s="25"/>
      <c r="R910" s="25"/>
      <c r="S910" s="25"/>
      <c r="T910" s="25"/>
      <c r="U910" s="25"/>
      <c r="V910" s="25"/>
      <c r="W910" s="25"/>
      <c r="X910" s="25"/>
    </row>
    <row r="911" spans="1:24" ht="13">
      <c r="A911" s="25"/>
      <c r="B911" s="25"/>
      <c r="C911" s="25"/>
      <c r="D911" s="25" t="str">
        <f t="array" ref="D911">IF(OR(LEFT(C911,1)="(",COUNTA(C911)=0),"", INDEX(Honor!$B$2:$B998,MATCH(C911,Honor!$A$2:$A998,0)))</f>
        <v/>
      </c>
      <c r="E911" s="25" t="str">
        <f t="array" ref="E911">IF(OR(LEFT(C911,1)="(",COUNTA(C911)=0),"",INDEX(Honor!$O$2:$O998,MATCH(C911,Honor!$A$2:$A998,0)))</f>
        <v/>
      </c>
      <c r="F911" s="25"/>
      <c r="G911" s="25"/>
      <c r="H911" s="25"/>
      <c r="I911" s="25"/>
      <c r="J911" s="25"/>
      <c r="K911" s="25"/>
      <c r="L911" s="25"/>
      <c r="M911" s="25"/>
      <c r="N911" s="25"/>
      <c r="O911" s="25"/>
      <c r="P911" s="25"/>
      <c r="Q911" s="25"/>
      <c r="R911" s="25"/>
      <c r="S911" s="25"/>
      <c r="T911" s="25"/>
      <c r="U911" s="25"/>
      <c r="V911" s="25"/>
      <c r="W911" s="25"/>
      <c r="X911" s="25"/>
    </row>
    <row r="912" spans="1:24" ht="13">
      <c r="A912" s="25"/>
      <c r="B912" s="25"/>
      <c r="C912" s="25"/>
      <c r="D912" s="25" t="str">
        <f t="array" ref="D912">IF(OR(LEFT(C912,1)="(",COUNTA(C912)=0),"", INDEX(Honor!$B$2:$B998,MATCH(C912,Honor!$A$2:$A998,0)))</f>
        <v/>
      </c>
      <c r="E912" s="25" t="str">
        <f t="array" ref="E912">IF(OR(LEFT(C912,1)="(",COUNTA(C912)=0),"",INDEX(Honor!$O$2:$O998,MATCH(C912,Honor!$A$2:$A998,0)))</f>
        <v/>
      </c>
      <c r="F912" s="25"/>
      <c r="G912" s="25"/>
      <c r="H912" s="25"/>
      <c r="I912" s="25"/>
      <c r="J912" s="25"/>
      <c r="K912" s="25"/>
      <c r="L912" s="25"/>
      <c r="M912" s="25"/>
      <c r="N912" s="25"/>
      <c r="O912" s="25"/>
      <c r="P912" s="25"/>
      <c r="Q912" s="25"/>
      <c r="R912" s="25"/>
      <c r="S912" s="25"/>
      <c r="T912" s="25"/>
      <c r="U912" s="25"/>
      <c r="V912" s="25"/>
      <c r="W912" s="25"/>
      <c r="X912" s="25"/>
    </row>
    <row r="913" spans="1:24" ht="13">
      <c r="A913" s="25"/>
      <c r="B913" s="25"/>
      <c r="C913" s="25"/>
      <c r="D913" s="25" t="str">
        <f t="array" ref="D913">IF(OR(LEFT(C913,1)="(",COUNTA(C913)=0),"", INDEX(Honor!$B$2:$B998,MATCH(C913,Honor!$A$2:$A998,0)))</f>
        <v/>
      </c>
      <c r="E913" s="25" t="str">
        <f t="array" ref="E913">IF(OR(LEFT(C913,1)="(",COUNTA(C913)=0),"",INDEX(Honor!$O$2:$O998,MATCH(C913,Honor!$A$2:$A998,0)))</f>
        <v/>
      </c>
      <c r="F913" s="25"/>
      <c r="G913" s="25"/>
      <c r="H913" s="25"/>
      <c r="I913" s="25"/>
      <c r="J913" s="25"/>
      <c r="K913" s="25"/>
      <c r="L913" s="25"/>
      <c r="M913" s="25"/>
      <c r="N913" s="25"/>
      <c r="O913" s="25"/>
      <c r="P913" s="25"/>
      <c r="Q913" s="25"/>
      <c r="R913" s="25"/>
      <c r="S913" s="25"/>
      <c r="T913" s="25"/>
      <c r="U913" s="25"/>
      <c r="V913" s="25"/>
      <c r="W913" s="25"/>
      <c r="X913" s="25"/>
    </row>
    <row r="914" spans="1:24" ht="13">
      <c r="A914" s="25"/>
      <c r="B914" s="25"/>
      <c r="C914" s="25"/>
      <c r="D914" s="25" t="str">
        <f t="array" ref="D914">IF(OR(LEFT(C914,1)="(",COUNTA(C914)=0),"", INDEX(Honor!$B$2:$B998,MATCH(C914,Honor!$A$2:$A998,0)))</f>
        <v/>
      </c>
      <c r="E914" s="25" t="str">
        <f t="array" ref="E914">IF(OR(LEFT(C914,1)="(",COUNTA(C914)=0),"",INDEX(Honor!$O$2:$O998,MATCH(C914,Honor!$A$2:$A998,0)))</f>
        <v/>
      </c>
      <c r="F914" s="25"/>
      <c r="G914" s="25"/>
      <c r="H914" s="25"/>
      <c r="I914" s="25"/>
      <c r="J914" s="25"/>
      <c r="K914" s="25"/>
      <c r="L914" s="25"/>
      <c r="M914" s="25"/>
      <c r="N914" s="25"/>
      <c r="O914" s="25"/>
      <c r="P914" s="25"/>
      <c r="Q914" s="25"/>
      <c r="R914" s="25"/>
      <c r="S914" s="25"/>
      <c r="T914" s="25"/>
      <c r="U914" s="25"/>
      <c r="V914" s="25"/>
      <c r="W914" s="25"/>
      <c r="X914" s="25"/>
    </row>
    <row r="915" spans="1:24" ht="13">
      <c r="A915" s="25"/>
      <c r="B915" s="25"/>
      <c r="C915" s="25"/>
      <c r="D915" s="25" t="str">
        <f t="array" ref="D915">IF(OR(LEFT(C915,1)="(",COUNTA(C915)=0),"", INDEX(Honor!$B$2:$B998,MATCH(C915,Honor!$A$2:$A998,0)))</f>
        <v/>
      </c>
      <c r="E915" s="25" t="str">
        <f t="array" ref="E915">IF(OR(LEFT(C915,1)="(",COUNTA(C915)=0),"",INDEX(Honor!$O$2:$O998,MATCH(C915,Honor!$A$2:$A998,0)))</f>
        <v/>
      </c>
      <c r="F915" s="25"/>
      <c r="G915" s="25"/>
      <c r="H915" s="25"/>
      <c r="I915" s="25"/>
      <c r="J915" s="25"/>
      <c r="K915" s="25"/>
      <c r="L915" s="25"/>
      <c r="M915" s="25"/>
      <c r="N915" s="25"/>
      <c r="O915" s="25"/>
      <c r="P915" s="25"/>
      <c r="Q915" s="25"/>
      <c r="R915" s="25"/>
      <c r="S915" s="25"/>
      <c r="T915" s="25"/>
      <c r="U915" s="25"/>
      <c r="V915" s="25"/>
      <c r="W915" s="25"/>
      <c r="X915" s="25"/>
    </row>
    <row r="916" spans="1:24" ht="13">
      <c r="A916" s="25"/>
      <c r="B916" s="25"/>
      <c r="C916" s="25"/>
      <c r="D916" s="25" t="str">
        <f t="array" ref="D916">IF(OR(LEFT(C916,1)="(",COUNTA(C916)=0),"", INDEX(Honor!$B$2:$B998,MATCH(C916,Honor!$A$2:$A998,0)))</f>
        <v/>
      </c>
      <c r="E916" s="25" t="str">
        <f t="array" ref="E916">IF(OR(LEFT(C916,1)="(",COUNTA(C916)=0),"",INDEX(Honor!$O$2:$O998,MATCH(C916,Honor!$A$2:$A998,0)))</f>
        <v/>
      </c>
      <c r="F916" s="25"/>
      <c r="G916" s="25"/>
      <c r="H916" s="25"/>
      <c r="I916" s="25"/>
      <c r="J916" s="25"/>
      <c r="K916" s="25"/>
      <c r="L916" s="25"/>
      <c r="M916" s="25"/>
      <c r="N916" s="25"/>
      <c r="O916" s="25"/>
      <c r="P916" s="25"/>
      <c r="Q916" s="25"/>
      <c r="R916" s="25"/>
      <c r="S916" s="25"/>
      <c r="T916" s="25"/>
      <c r="U916" s="25"/>
      <c r="V916" s="25"/>
      <c r="W916" s="25"/>
      <c r="X916" s="25"/>
    </row>
    <row r="917" spans="1:24" ht="13">
      <c r="A917" s="25"/>
      <c r="B917" s="25"/>
      <c r="C917" s="25"/>
      <c r="D917" s="25" t="str">
        <f t="array" ref="D917">IF(OR(LEFT(C917,1)="(",COUNTA(C917)=0),"", INDEX(Honor!$B$2:$B998,MATCH(C917,Honor!$A$2:$A998,0)))</f>
        <v/>
      </c>
      <c r="E917" s="25" t="str">
        <f t="array" ref="E917">IF(OR(LEFT(C917,1)="(",COUNTA(C917)=0),"",INDEX(Honor!$O$2:$O998,MATCH(C917,Honor!$A$2:$A998,0)))</f>
        <v/>
      </c>
      <c r="F917" s="25"/>
      <c r="G917" s="25"/>
      <c r="H917" s="25"/>
      <c r="I917" s="25"/>
      <c r="J917" s="25"/>
      <c r="K917" s="25"/>
      <c r="L917" s="25"/>
      <c r="M917" s="25"/>
      <c r="N917" s="25"/>
      <c r="O917" s="25"/>
      <c r="P917" s="25"/>
      <c r="Q917" s="25"/>
      <c r="R917" s="25"/>
      <c r="S917" s="25"/>
      <c r="T917" s="25"/>
      <c r="U917" s="25"/>
      <c r="V917" s="25"/>
      <c r="W917" s="25"/>
      <c r="X917" s="25"/>
    </row>
    <row r="918" spans="1:24" ht="13">
      <c r="A918" s="25"/>
      <c r="B918" s="25"/>
      <c r="C918" s="25"/>
      <c r="D918" s="25" t="str">
        <f t="array" ref="D918">IF(OR(LEFT(C918,1)="(",COUNTA(C918)=0),"", INDEX(Honor!$B$2:$B998,MATCH(C918,Honor!$A$2:$A998,0)))</f>
        <v/>
      </c>
      <c r="E918" s="25" t="str">
        <f t="array" ref="E918">IF(OR(LEFT(C918,1)="(",COUNTA(C918)=0),"",INDEX(Honor!$O$2:$O998,MATCH(C918,Honor!$A$2:$A998,0)))</f>
        <v/>
      </c>
      <c r="F918" s="25"/>
      <c r="G918" s="25"/>
      <c r="H918" s="25"/>
      <c r="I918" s="25"/>
      <c r="J918" s="25"/>
      <c r="K918" s="25"/>
      <c r="L918" s="25"/>
      <c r="M918" s="25"/>
      <c r="N918" s="25"/>
      <c r="O918" s="25"/>
      <c r="P918" s="25"/>
      <c r="Q918" s="25"/>
      <c r="R918" s="25"/>
      <c r="S918" s="25"/>
      <c r="T918" s="25"/>
      <c r="U918" s="25"/>
      <c r="V918" s="25"/>
      <c r="W918" s="25"/>
      <c r="X918" s="25"/>
    </row>
    <row r="919" spans="1:24" ht="13">
      <c r="A919" s="25"/>
      <c r="B919" s="25"/>
      <c r="C919" s="25"/>
      <c r="D919" s="25" t="str">
        <f t="array" ref="D919">IF(OR(LEFT(C919,1)="(",COUNTA(C919)=0),"", INDEX(Honor!$B$2:$B998,MATCH(C919,Honor!$A$2:$A998,0)))</f>
        <v/>
      </c>
      <c r="E919" s="25" t="str">
        <f t="array" ref="E919">IF(OR(LEFT(C919,1)="(",COUNTA(C919)=0),"",INDEX(Honor!$O$2:$O998,MATCH(C919,Honor!$A$2:$A998,0)))</f>
        <v/>
      </c>
      <c r="F919" s="25"/>
      <c r="G919" s="25"/>
      <c r="H919" s="25"/>
      <c r="I919" s="25"/>
      <c r="J919" s="25"/>
      <c r="K919" s="25"/>
      <c r="L919" s="25"/>
      <c r="M919" s="25"/>
      <c r="N919" s="25"/>
      <c r="O919" s="25"/>
      <c r="P919" s="25"/>
      <c r="Q919" s="25"/>
      <c r="R919" s="25"/>
      <c r="S919" s="25"/>
      <c r="T919" s="25"/>
      <c r="U919" s="25"/>
      <c r="V919" s="25"/>
      <c r="W919" s="25"/>
      <c r="X919" s="25"/>
    </row>
    <row r="920" spans="1:24" ht="13">
      <c r="A920" s="25"/>
      <c r="B920" s="25"/>
      <c r="C920" s="25"/>
      <c r="D920" s="25" t="str">
        <f t="array" ref="D920">IF(OR(LEFT(C920,1)="(",COUNTA(C920)=0),"", INDEX(Honor!$B$2:$B998,MATCH(C920,Honor!$A$2:$A998,0)))</f>
        <v/>
      </c>
      <c r="E920" s="25" t="str">
        <f t="array" ref="E920">IF(OR(LEFT(C920,1)="(",COUNTA(C920)=0),"",INDEX(Honor!$O$2:$O998,MATCH(C920,Honor!$A$2:$A998,0)))</f>
        <v/>
      </c>
      <c r="F920" s="25"/>
      <c r="G920" s="25"/>
      <c r="H920" s="25"/>
      <c r="I920" s="25"/>
      <c r="J920" s="25"/>
      <c r="K920" s="25"/>
      <c r="L920" s="25"/>
      <c r="M920" s="25"/>
      <c r="N920" s="25"/>
      <c r="O920" s="25"/>
      <c r="P920" s="25"/>
      <c r="Q920" s="25"/>
      <c r="R920" s="25"/>
      <c r="S920" s="25"/>
      <c r="T920" s="25"/>
      <c r="U920" s="25"/>
      <c r="V920" s="25"/>
      <c r="W920" s="25"/>
      <c r="X920" s="25"/>
    </row>
    <row r="921" spans="1:24" ht="13">
      <c r="A921" s="25"/>
      <c r="B921" s="25"/>
      <c r="C921" s="25"/>
      <c r="D921" s="25" t="str">
        <f t="array" ref="D921">IF(OR(LEFT(C921,1)="(",COUNTA(C921)=0),"", INDEX(Honor!$B$2:$B998,MATCH(C921,Honor!$A$2:$A998,0)))</f>
        <v/>
      </c>
      <c r="E921" s="25" t="str">
        <f t="array" ref="E921">IF(OR(LEFT(C921,1)="(",COUNTA(C921)=0),"",INDEX(Honor!$O$2:$O998,MATCH(C921,Honor!$A$2:$A998,0)))</f>
        <v/>
      </c>
      <c r="F921" s="25"/>
      <c r="G921" s="25"/>
      <c r="H921" s="25"/>
      <c r="I921" s="25"/>
      <c r="J921" s="25"/>
      <c r="K921" s="25"/>
      <c r="L921" s="25"/>
      <c r="M921" s="25"/>
      <c r="N921" s="25"/>
      <c r="O921" s="25"/>
      <c r="P921" s="25"/>
      <c r="Q921" s="25"/>
      <c r="R921" s="25"/>
      <c r="S921" s="25"/>
      <c r="T921" s="25"/>
      <c r="U921" s="25"/>
      <c r="V921" s="25"/>
      <c r="W921" s="25"/>
      <c r="X921" s="25"/>
    </row>
    <row r="922" spans="1:24" ht="13">
      <c r="A922" s="25"/>
      <c r="B922" s="25"/>
      <c r="C922" s="25"/>
      <c r="D922" s="25" t="str">
        <f t="array" ref="D922">IF(OR(LEFT(C922,1)="(",COUNTA(C922)=0),"", INDEX(Honor!$B$2:$B998,MATCH(C922,Honor!$A$2:$A998,0)))</f>
        <v/>
      </c>
      <c r="E922" s="25" t="str">
        <f t="array" ref="E922">IF(OR(LEFT(C922,1)="(",COUNTA(C922)=0),"",INDEX(Honor!$O$2:$O998,MATCH(C922,Honor!$A$2:$A998,0)))</f>
        <v/>
      </c>
      <c r="F922" s="25"/>
      <c r="G922" s="25"/>
      <c r="H922" s="25"/>
      <c r="I922" s="25"/>
      <c r="J922" s="25"/>
      <c r="K922" s="25"/>
      <c r="L922" s="25"/>
      <c r="M922" s="25"/>
      <c r="N922" s="25"/>
      <c r="O922" s="25"/>
      <c r="P922" s="25"/>
      <c r="Q922" s="25"/>
      <c r="R922" s="25"/>
      <c r="S922" s="25"/>
      <c r="T922" s="25"/>
      <c r="U922" s="25"/>
      <c r="V922" s="25"/>
      <c r="W922" s="25"/>
      <c r="X922" s="25"/>
    </row>
    <row r="923" spans="1:24" ht="13">
      <c r="A923" s="25"/>
      <c r="B923" s="25"/>
      <c r="C923" s="25"/>
      <c r="D923" s="25" t="str">
        <f t="array" ref="D923">IF(OR(LEFT(C923,1)="(",COUNTA(C923)=0),"", INDEX(Honor!$B$2:$B998,MATCH(C923,Honor!$A$2:$A998,0)))</f>
        <v/>
      </c>
      <c r="E923" s="25" t="str">
        <f t="array" ref="E923">IF(OR(LEFT(C923,1)="(",COUNTA(C923)=0),"",INDEX(Honor!$O$2:$O998,MATCH(C923,Honor!$A$2:$A998,0)))</f>
        <v/>
      </c>
      <c r="F923" s="25"/>
      <c r="G923" s="25"/>
      <c r="H923" s="25"/>
      <c r="I923" s="25"/>
      <c r="J923" s="25"/>
      <c r="K923" s="25"/>
      <c r="L923" s="25"/>
      <c r="M923" s="25"/>
      <c r="N923" s="25"/>
      <c r="O923" s="25"/>
      <c r="P923" s="25"/>
      <c r="Q923" s="25"/>
      <c r="R923" s="25"/>
      <c r="S923" s="25"/>
      <c r="T923" s="25"/>
      <c r="U923" s="25"/>
      <c r="V923" s="25"/>
      <c r="W923" s="25"/>
      <c r="X923" s="25"/>
    </row>
    <row r="924" spans="1:24" ht="13">
      <c r="A924" s="25"/>
      <c r="B924" s="25"/>
      <c r="C924" s="25"/>
      <c r="D924" s="25" t="str">
        <f t="array" ref="D924">IF(OR(LEFT(C924,1)="(",COUNTA(C924)=0),"", INDEX(Honor!$B$2:$B998,MATCH(C924,Honor!$A$2:$A998,0)))</f>
        <v/>
      </c>
      <c r="E924" s="25" t="str">
        <f t="array" ref="E924">IF(OR(LEFT(C924,1)="(",COUNTA(C924)=0),"",INDEX(Honor!$O$2:$O998,MATCH(C924,Honor!$A$2:$A998,0)))</f>
        <v/>
      </c>
      <c r="F924" s="25"/>
      <c r="G924" s="25"/>
      <c r="H924" s="25"/>
      <c r="I924" s="25"/>
      <c r="J924" s="25"/>
      <c r="K924" s="25"/>
      <c r="L924" s="25"/>
      <c r="M924" s="25"/>
      <c r="N924" s="25"/>
      <c r="O924" s="25"/>
      <c r="P924" s="25"/>
      <c r="Q924" s="25"/>
      <c r="R924" s="25"/>
      <c r="S924" s="25"/>
      <c r="T924" s="25"/>
      <c r="U924" s="25"/>
      <c r="V924" s="25"/>
      <c r="W924" s="25"/>
      <c r="X924" s="25"/>
    </row>
    <row r="925" spans="1:24" ht="13">
      <c r="A925" s="25"/>
      <c r="B925" s="25"/>
      <c r="C925" s="25"/>
      <c r="D925" s="25" t="str">
        <f t="array" ref="D925">IF(OR(LEFT(C925,1)="(",COUNTA(C925)=0),"", INDEX(Honor!$B$2:$B998,MATCH(C925,Honor!$A$2:$A998,0)))</f>
        <v/>
      </c>
      <c r="E925" s="25" t="str">
        <f t="array" ref="E925">IF(OR(LEFT(C925,1)="(",COUNTA(C925)=0),"",INDEX(Honor!$O$2:$O998,MATCH(C925,Honor!$A$2:$A998,0)))</f>
        <v/>
      </c>
      <c r="F925" s="25"/>
      <c r="G925" s="25"/>
      <c r="H925" s="25"/>
      <c r="I925" s="25"/>
      <c r="J925" s="25"/>
      <c r="K925" s="25"/>
      <c r="L925" s="25"/>
      <c r="M925" s="25"/>
      <c r="N925" s="25"/>
      <c r="O925" s="25"/>
      <c r="P925" s="25"/>
      <c r="Q925" s="25"/>
      <c r="R925" s="25"/>
      <c r="S925" s="25"/>
      <c r="T925" s="25"/>
      <c r="U925" s="25"/>
      <c r="V925" s="25"/>
      <c r="W925" s="25"/>
      <c r="X925" s="25"/>
    </row>
    <row r="926" spans="1:24" ht="13">
      <c r="A926" s="25"/>
      <c r="B926" s="25"/>
      <c r="C926" s="25"/>
      <c r="D926" s="25" t="str">
        <f t="array" ref="D926">IF(OR(LEFT(C926,1)="(",COUNTA(C926)=0),"", INDEX(Honor!$B$2:$B998,MATCH(C926,Honor!$A$2:$A998,0)))</f>
        <v/>
      </c>
      <c r="E926" s="25" t="str">
        <f t="array" ref="E926">IF(OR(LEFT(C926,1)="(",COUNTA(C926)=0),"",INDEX(Honor!$O$2:$O998,MATCH(C926,Honor!$A$2:$A998,0)))</f>
        <v/>
      </c>
      <c r="F926" s="25"/>
      <c r="G926" s="25"/>
      <c r="H926" s="25"/>
      <c r="I926" s="25"/>
      <c r="J926" s="25"/>
      <c r="K926" s="25"/>
      <c r="L926" s="25"/>
      <c r="M926" s="25"/>
      <c r="N926" s="25"/>
      <c r="O926" s="25"/>
      <c r="P926" s="25"/>
      <c r="Q926" s="25"/>
      <c r="R926" s="25"/>
      <c r="S926" s="25"/>
      <c r="T926" s="25"/>
      <c r="U926" s="25"/>
      <c r="V926" s="25"/>
      <c r="W926" s="25"/>
      <c r="X926" s="25"/>
    </row>
    <row r="927" spans="1:24" ht="13">
      <c r="A927" s="25"/>
      <c r="B927" s="25"/>
      <c r="C927" s="25"/>
      <c r="D927" s="25" t="str">
        <f t="array" ref="D927">IF(OR(LEFT(C927,1)="(",COUNTA(C927)=0),"", INDEX(Honor!$B$2:$B998,MATCH(C927,Honor!$A$2:$A998,0)))</f>
        <v/>
      </c>
      <c r="E927" s="25" t="str">
        <f t="array" ref="E927">IF(OR(LEFT(C927,1)="(",COUNTA(C927)=0),"",INDEX(Honor!$O$2:$O998,MATCH(C927,Honor!$A$2:$A998,0)))</f>
        <v/>
      </c>
      <c r="F927" s="25"/>
      <c r="G927" s="25"/>
      <c r="H927" s="25"/>
      <c r="I927" s="25"/>
      <c r="J927" s="25"/>
      <c r="K927" s="25"/>
      <c r="L927" s="25"/>
      <c r="M927" s="25"/>
      <c r="N927" s="25"/>
      <c r="O927" s="25"/>
      <c r="P927" s="25"/>
      <c r="Q927" s="25"/>
      <c r="R927" s="25"/>
      <c r="S927" s="25"/>
      <c r="T927" s="25"/>
      <c r="U927" s="25"/>
      <c r="V927" s="25"/>
      <c r="W927" s="25"/>
      <c r="X927" s="25"/>
    </row>
    <row r="928" spans="1:24" ht="13">
      <c r="A928" s="25"/>
      <c r="B928" s="25"/>
      <c r="C928" s="25"/>
      <c r="D928" s="25" t="str">
        <f t="array" ref="D928">IF(OR(LEFT(C928,1)="(",COUNTA(C928)=0),"", INDEX(Honor!$B$2:$B998,MATCH(C928,Honor!$A$2:$A998,0)))</f>
        <v/>
      </c>
      <c r="E928" s="25" t="str">
        <f t="array" ref="E928">IF(OR(LEFT(C928,1)="(",COUNTA(C928)=0),"",INDEX(Honor!$O$2:$O998,MATCH(C928,Honor!$A$2:$A998,0)))</f>
        <v/>
      </c>
      <c r="F928" s="25"/>
      <c r="G928" s="25"/>
      <c r="H928" s="25"/>
      <c r="I928" s="25"/>
      <c r="J928" s="25"/>
      <c r="K928" s="25"/>
      <c r="L928" s="25"/>
      <c r="M928" s="25"/>
      <c r="N928" s="25"/>
      <c r="O928" s="25"/>
      <c r="P928" s="25"/>
      <c r="Q928" s="25"/>
      <c r="R928" s="25"/>
      <c r="S928" s="25"/>
      <c r="T928" s="25"/>
      <c r="U928" s="25"/>
      <c r="V928" s="25"/>
      <c r="W928" s="25"/>
      <c r="X928" s="25"/>
    </row>
    <row r="929" spans="1:24" ht="13">
      <c r="A929" s="25"/>
      <c r="B929" s="25"/>
      <c r="C929" s="25"/>
      <c r="D929" s="25" t="str">
        <f t="array" ref="D929">IF(OR(LEFT(C929,1)="(",COUNTA(C929)=0),"", INDEX(Honor!$B$2:$B998,MATCH(C929,Honor!$A$2:$A998,0)))</f>
        <v/>
      </c>
      <c r="E929" s="25" t="str">
        <f t="array" ref="E929">IF(OR(LEFT(C929,1)="(",COUNTA(C929)=0),"",INDEX(Honor!$O$2:$O998,MATCH(C929,Honor!$A$2:$A998,0)))</f>
        <v/>
      </c>
      <c r="F929" s="25"/>
      <c r="G929" s="25"/>
      <c r="H929" s="25"/>
      <c r="I929" s="25"/>
      <c r="J929" s="25"/>
      <c r="K929" s="25"/>
      <c r="L929" s="25"/>
      <c r="M929" s="25"/>
      <c r="N929" s="25"/>
      <c r="O929" s="25"/>
      <c r="P929" s="25"/>
      <c r="Q929" s="25"/>
      <c r="R929" s="25"/>
      <c r="S929" s="25"/>
      <c r="T929" s="25"/>
      <c r="U929" s="25"/>
      <c r="V929" s="25"/>
      <c r="W929" s="25"/>
      <c r="X929" s="25"/>
    </row>
    <row r="930" spans="1:24" ht="13">
      <c r="A930" s="25"/>
      <c r="B930" s="25"/>
      <c r="C930" s="25"/>
      <c r="D930" s="25" t="str">
        <f t="array" ref="D930">IF(OR(LEFT(C930,1)="(",COUNTA(C930)=0),"", INDEX(Honor!$B$2:$B998,MATCH(C930,Honor!$A$2:$A998,0)))</f>
        <v/>
      </c>
      <c r="E930" s="25" t="str">
        <f t="array" ref="E930">IF(OR(LEFT(C930,1)="(",COUNTA(C930)=0),"",INDEX(Honor!$O$2:$O998,MATCH(C930,Honor!$A$2:$A998,0)))</f>
        <v/>
      </c>
      <c r="F930" s="25"/>
      <c r="G930" s="25"/>
      <c r="H930" s="25"/>
      <c r="I930" s="25"/>
      <c r="J930" s="25"/>
      <c r="K930" s="25"/>
      <c r="L930" s="25"/>
      <c r="M930" s="25"/>
      <c r="N930" s="25"/>
      <c r="O930" s="25"/>
      <c r="P930" s="25"/>
      <c r="Q930" s="25"/>
      <c r="R930" s="25"/>
      <c r="S930" s="25"/>
      <c r="T930" s="25"/>
      <c r="U930" s="25"/>
      <c r="V930" s="25"/>
      <c r="W930" s="25"/>
      <c r="X930" s="25"/>
    </row>
    <row r="931" spans="1:24" ht="13">
      <c r="A931" s="25"/>
      <c r="B931" s="25"/>
      <c r="C931" s="25"/>
      <c r="D931" s="25" t="str">
        <f t="array" ref="D931">IF(OR(LEFT(C931,1)="(",COUNTA(C931)=0),"", INDEX(Honor!$B$2:$B998,MATCH(C931,Honor!$A$2:$A998,0)))</f>
        <v/>
      </c>
      <c r="E931" s="25" t="str">
        <f t="array" ref="E931">IF(OR(LEFT(C931,1)="(",COUNTA(C931)=0),"",INDEX(Honor!$O$2:$O998,MATCH(C931,Honor!$A$2:$A998,0)))</f>
        <v/>
      </c>
      <c r="F931" s="25"/>
      <c r="G931" s="25"/>
      <c r="H931" s="25"/>
      <c r="I931" s="25"/>
      <c r="J931" s="25"/>
      <c r="K931" s="25"/>
      <c r="L931" s="25"/>
      <c r="M931" s="25"/>
      <c r="N931" s="25"/>
      <c r="O931" s="25"/>
      <c r="P931" s="25"/>
      <c r="Q931" s="25"/>
      <c r="R931" s="25"/>
      <c r="S931" s="25"/>
      <c r="T931" s="25"/>
      <c r="U931" s="25"/>
      <c r="V931" s="25"/>
      <c r="W931" s="25"/>
      <c r="X931" s="25"/>
    </row>
    <row r="932" spans="1:24" ht="13">
      <c r="A932" s="25"/>
      <c r="B932" s="25"/>
      <c r="C932" s="25"/>
      <c r="D932" s="25" t="str">
        <f t="array" ref="D932">IF(OR(LEFT(C932,1)="(",COUNTA(C932)=0),"", INDEX(Honor!$B$2:$B998,MATCH(C932,Honor!$A$2:$A998,0)))</f>
        <v/>
      </c>
      <c r="E932" s="25" t="str">
        <f t="array" ref="E932">IF(OR(LEFT(C932,1)="(",COUNTA(C932)=0),"",INDEX(Honor!$O$2:$O998,MATCH(C932,Honor!$A$2:$A998,0)))</f>
        <v/>
      </c>
      <c r="F932" s="25"/>
      <c r="G932" s="25"/>
      <c r="H932" s="25"/>
      <c r="I932" s="25"/>
      <c r="J932" s="25"/>
      <c r="K932" s="25"/>
      <c r="L932" s="25"/>
      <c r="M932" s="25"/>
      <c r="N932" s="25"/>
      <c r="O932" s="25"/>
      <c r="P932" s="25"/>
      <c r="Q932" s="25"/>
      <c r="R932" s="25"/>
      <c r="S932" s="25"/>
      <c r="T932" s="25"/>
      <c r="U932" s="25"/>
      <c r="V932" s="25"/>
      <c r="W932" s="25"/>
      <c r="X932" s="25"/>
    </row>
    <row r="933" spans="1:24" ht="13">
      <c r="A933" s="25"/>
      <c r="B933" s="25"/>
      <c r="C933" s="25"/>
      <c r="D933" s="25" t="str">
        <f t="array" ref="D933">IF(OR(LEFT(C933,1)="(",COUNTA(C933)=0),"", INDEX(Honor!$B$2:$B998,MATCH(C933,Honor!$A$2:$A998,0)))</f>
        <v/>
      </c>
      <c r="E933" s="25" t="str">
        <f t="array" ref="E933">IF(OR(LEFT(C933,1)="(",COUNTA(C933)=0),"",INDEX(Honor!$O$2:$O998,MATCH(C933,Honor!$A$2:$A998,0)))</f>
        <v/>
      </c>
      <c r="F933" s="25"/>
      <c r="G933" s="25"/>
      <c r="H933" s="25"/>
      <c r="I933" s="25"/>
      <c r="J933" s="25"/>
      <c r="K933" s="25"/>
      <c r="L933" s="25"/>
      <c r="M933" s="25"/>
      <c r="N933" s="25"/>
      <c r="O933" s="25"/>
      <c r="P933" s="25"/>
      <c r="Q933" s="25"/>
      <c r="R933" s="25"/>
      <c r="S933" s="25"/>
      <c r="T933" s="25"/>
      <c r="U933" s="25"/>
      <c r="V933" s="25"/>
      <c r="W933" s="25"/>
      <c r="X933" s="25"/>
    </row>
    <row r="934" spans="1:24" ht="13">
      <c r="A934" s="25"/>
      <c r="B934" s="25"/>
      <c r="C934" s="25"/>
      <c r="D934" s="25" t="str">
        <f t="array" ref="D934">IF(OR(LEFT(C934,1)="(",COUNTA(C934)=0),"", INDEX(Honor!$B$2:$B998,MATCH(C934,Honor!$A$2:$A998,0)))</f>
        <v/>
      </c>
      <c r="E934" s="25" t="str">
        <f t="array" ref="E934">IF(OR(LEFT(C934,1)="(",COUNTA(C934)=0),"",INDEX(Honor!$O$2:$O998,MATCH(C934,Honor!$A$2:$A998,0)))</f>
        <v/>
      </c>
      <c r="F934" s="25"/>
      <c r="G934" s="25"/>
      <c r="H934" s="25"/>
      <c r="I934" s="25"/>
      <c r="J934" s="25"/>
      <c r="K934" s="25"/>
      <c r="L934" s="25"/>
      <c r="M934" s="25"/>
      <c r="N934" s="25"/>
      <c r="O934" s="25"/>
      <c r="P934" s="25"/>
      <c r="Q934" s="25"/>
      <c r="R934" s="25"/>
      <c r="S934" s="25"/>
      <c r="T934" s="25"/>
      <c r="U934" s="25"/>
      <c r="V934" s="25"/>
      <c r="W934" s="25"/>
      <c r="X934" s="25"/>
    </row>
    <row r="935" spans="1:24" ht="13">
      <c r="A935" s="25"/>
      <c r="B935" s="25"/>
      <c r="C935" s="25"/>
      <c r="D935" s="25" t="str">
        <f t="array" ref="D935">IF(OR(LEFT(C935,1)="(",COUNTA(C935)=0),"", INDEX(Honor!$B$2:$B998,MATCH(C935,Honor!$A$2:$A998,0)))</f>
        <v/>
      </c>
      <c r="E935" s="25" t="str">
        <f t="array" ref="E935">IF(OR(LEFT(C935,1)="(",COUNTA(C935)=0),"",INDEX(Honor!$O$2:$O998,MATCH(C935,Honor!$A$2:$A998,0)))</f>
        <v/>
      </c>
      <c r="F935" s="25"/>
      <c r="G935" s="25"/>
      <c r="H935" s="25"/>
      <c r="I935" s="25"/>
      <c r="J935" s="25"/>
      <c r="K935" s="25"/>
      <c r="L935" s="25"/>
      <c r="M935" s="25"/>
      <c r="N935" s="25"/>
      <c r="O935" s="25"/>
      <c r="P935" s="25"/>
      <c r="Q935" s="25"/>
      <c r="R935" s="25"/>
      <c r="S935" s="25"/>
      <c r="T935" s="25"/>
      <c r="U935" s="25"/>
      <c r="V935" s="25"/>
      <c r="W935" s="25"/>
      <c r="X935" s="25"/>
    </row>
    <row r="936" spans="1:24" ht="13">
      <c r="A936" s="25"/>
      <c r="B936" s="25"/>
      <c r="C936" s="25"/>
      <c r="D936" s="25" t="str">
        <f t="array" ref="D936">IF(OR(LEFT(C936,1)="(",COUNTA(C936)=0),"", INDEX(Honor!$B$2:$B998,MATCH(C936,Honor!$A$2:$A998,0)))</f>
        <v/>
      </c>
      <c r="E936" s="25" t="str">
        <f t="array" ref="E936">IF(OR(LEFT(C936,1)="(",COUNTA(C936)=0),"",INDEX(Honor!$O$2:$O998,MATCH(C936,Honor!$A$2:$A998,0)))</f>
        <v/>
      </c>
      <c r="F936" s="25"/>
      <c r="G936" s="25"/>
      <c r="H936" s="25"/>
      <c r="I936" s="25"/>
      <c r="J936" s="25"/>
      <c r="K936" s="25"/>
      <c r="L936" s="25"/>
      <c r="M936" s="25"/>
      <c r="N936" s="25"/>
      <c r="O936" s="25"/>
      <c r="P936" s="25"/>
      <c r="Q936" s="25"/>
      <c r="R936" s="25"/>
      <c r="S936" s="25"/>
      <c r="T936" s="25"/>
      <c r="U936" s="25"/>
      <c r="V936" s="25"/>
      <c r="W936" s="25"/>
      <c r="X936" s="25"/>
    </row>
    <row r="937" spans="1:24" ht="13">
      <c r="A937" s="25"/>
      <c r="B937" s="25"/>
      <c r="C937" s="25"/>
      <c r="D937" s="25" t="str">
        <f t="array" ref="D937">IF(OR(LEFT(C937,1)="(",COUNTA(C937)=0),"", INDEX(Honor!$B$2:$B998,MATCH(C937,Honor!$A$2:$A998,0)))</f>
        <v/>
      </c>
      <c r="E937" s="25" t="str">
        <f t="array" ref="E937">IF(OR(LEFT(C937,1)="(",COUNTA(C937)=0),"",INDEX(Honor!$O$2:$O998,MATCH(C937,Honor!$A$2:$A998,0)))</f>
        <v/>
      </c>
      <c r="F937" s="25"/>
      <c r="G937" s="25"/>
      <c r="H937" s="25"/>
      <c r="I937" s="25"/>
      <c r="J937" s="25"/>
      <c r="K937" s="25"/>
      <c r="L937" s="25"/>
      <c r="M937" s="25"/>
      <c r="N937" s="25"/>
      <c r="O937" s="25"/>
      <c r="P937" s="25"/>
      <c r="Q937" s="25"/>
      <c r="R937" s="25"/>
      <c r="S937" s="25"/>
      <c r="T937" s="25"/>
      <c r="U937" s="25"/>
      <c r="V937" s="25"/>
      <c r="W937" s="25"/>
      <c r="X937" s="25"/>
    </row>
    <row r="938" spans="1:24" ht="13">
      <c r="A938" s="25"/>
      <c r="B938" s="25"/>
      <c r="C938" s="25"/>
      <c r="D938" s="25" t="str">
        <f t="array" ref="D938">IF(OR(LEFT(C938,1)="(",COUNTA(C938)=0),"", INDEX(Honor!$B$2:$B998,MATCH(C938,Honor!$A$2:$A998,0)))</f>
        <v/>
      </c>
      <c r="E938" s="25" t="str">
        <f t="array" ref="E938">IF(OR(LEFT(C938,1)="(",COUNTA(C938)=0),"",INDEX(Honor!$O$2:$O998,MATCH(C938,Honor!$A$2:$A998,0)))</f>
        <v/>
      </c>
      <c r="F938" s="25"/>
      <c r="G938" s="25"/>
      <c r="H938" s="25"/>
      <c r="I938" s="25"/>
      <c r="J938" s="25"/>
      <c r="K938" s="25"/>
      <c r="L938" s="25"/>
      <c r="M938" s="25"/>
      <c r="N938" s="25"/>
      <c r="O938" s="25"/>
      <c r="P938" s="25"/>
      <c r="Q938" s="25"/>
      <c r="R938" s="25"/>
      <c r="S938" s="25"/>
      <c r="T938" s="25"/>
      <c r="U938" s="25"/>
      <c r="V938" s="25"/>
      <c r="W938" s="25"/>
      <c r="X938" s="25"/>
    </row>
    <row r="939" spans="1:24" ht="13">
      <c r="A939" s="25"/>
      <c r="B939" s="25"/>
      <c r="C939" s="25"/>
      <c r="D939" s="25" t="str">
        <f t="array" ref="D939">IF(OR(LEFT(C939,1)="(",COUNTA(C939)=0),"", INDEX(Honor!$B$2:$B998,MATCH(C939,Honor!$A$2:$A998,0)))</f>
        <v/>
      </c>
      <c r="E939" s="25" t="str">
        <f t="array" ref="E939">IF(OR(LEFT(C939,1)="(",COUNTA(C939)=0),"",INDEX(Honor!$O$2:$O998,MATCH(C939,Honor!$A$2:$A998,0)))</f>
        <v/>
      </c>
      <c r="F939" s="25"/>
      <c r="G939" s="25"/>
      <c r="H939" s="25"/>
      <c r="I939" s="25"/>
      <c r="J939" s="25"/>
      <c r="K939" s="25"/>
      <c r="L939" s="25"/>
      <c r="M939" s="25"/>
      <c r="N939" s="25"/>
      <c r="O939" s="25"/>
      <c r="P939" s="25"/>
      <c r="Q939" s="25"/>
      <c r="R939" s="25"/>
      <c r="S939" s="25"/>
      <c r="T939" s="25"/>
      <c r="U939" s="25"/>
      <c r="V939" s="25"/>
      <c r="W939" s="25"/>
      <c r="X939" s="25"/>
    </row>
    <row r="940" spans="1:24" ht="13">
      <c r="A940" s="25"/>
      <c r="B940" s="25"/>
      <c r="C940" s="25"/>
      <c r="D940" s="25" t="str">
        <f t="array" ref="D940">IF(OR(LEFT(C940,1)="(",COUNTA(C940)=0),"", INDEX(Honor!$B$2:$B998,MATCH(C940,Honor!$A$2:$A998,0)))</f>
        <v/>
      </c>
      <c r="E940" s="25" t="str">
        <f t="array" ref="E940">IF(OR(LEFT(C940,1)="(",COUNTA(C940)=0),"",INDEX(Honor!$O$2:$O998,MATCH(C940,Honor!$A$2:$A998,0)))</f>
        <v/>
      </c>
      <c r="F940" s="25"/>
      <c r="G940" s="25"/>
      <c r="H940" s="25"/>
      <c r="I940" s="25"/>
      <c r="J940" s="25"/>
      <c r="K940" s="25"/>
      <c r="L940" s="25"/>
      <c r="M940" s="25"/>
      <c r="N940" s="25"/>
      <c r="O940" s="25"/>
      <c r="P940" s="25"/>
      <c r="Q940" s="25"/>
      <c r="R940" s="25"/>
      <c r="S940" s="25"/>
      <c r="T940" s="25"/>
      <c r="U940" s="25"/>
      <c r="V940" s="25"/>
      <c r="W940" s="25"/>
      <c r="X940" s="25"/>
    </row>
    <row r="941" spans="1:24" ht="13">
      <c r="A941" s="25"/>
      <c r="B941" s="25"/>
      <c r="C941" s="25"/>
      <c r="D941" s="25" t="str">
        <f t="array" ref="D941">IF(OR(LEFT(C941,1)="(",COUNTA(C941)=0),"", INDEX(Honor!$B$2:$B998,MATCH(C941,Honor!$A$2:$A998,0)))</f>
        <v/>
      </c>
      <c r="E941" s="25" t="str">
        <f t="array" ref="E941">IF(OR(LEFT(C941,1)="(",COUNTA(C941)=0),"",INDEX(Honor!$O$2:$O998,MATCH(C941,Honor!$A$2:$A998,0)))</f>
        <v/>
      </c>
      <c r="F941" s="25"/>
      <c r="G941" s="25"/>
      <c r="H941" s="25"/>
      <c r="I941" s="25"/>
      <c r="J941" s="25"/>
      <c r="K941" s="25"/>
      <c r="L941" s="25"/>
      <c r="M941" s="25"/>
      <c r="N941" s="25"/>
      <c r="O941" s="25"/>
      <c r="P941" s="25"/>
      <c r="Q941" s="25"/>
      <c r="R941" s="25"/>
      <c r="S941" s="25"/>
      <c r="T941" s="25"/>
      <c r="U941" s="25"/>
      <c r="V941" s="25"/>
      <c r="W941" s="25"/>
      <c r="X941" s="25"/>
    </row>
    <row r="942" spans="1:24" ht="13">
      <c r="A942" s="25"/>
      <c r="B942" s="25"/>
      <c r="C942" s="25"/>
      <c r="D942" s="25" t="str">
        <f t="array" ref="D942">IF(OR(LEFT(C942,1)="(",COUNTA(C942)=0),"", INDEX(Honor!$B$2:$B998,MATCH(C942,Honor!$A$2:$A998,0)))</f>
        <v/>
      </c>
      <c r="E942" s="25" t="str">
        <f t="array" ref="E942">IF(OR(LEFT(C942,1)="(",COUNTA(C942)=0),"",INDEX(Honor!$O$2:$O998,MATCH(C942,Honor!$A$2:$A998,0)))</f>
        <v/>
      </c>
      <c r="F942" s="25"/>
      <c r="G942" s="25"/>
      <c r="H942" s="25"/>
      <c r="I942" s="25"/>
      <c r="J942" s="25"/>
      <c r="K942" s="25"/>
      <c r="L942" s="25"/>
      <c r="M942" s="25"/>
      <c r="N942" s="25"/>
      <c r="O942" s="25"/>
      <c r="P942" s="25"/>
      <c r="Q942" s="25"/>
      <c r="R942" s="25"/>
      <c r="S942" s="25"/>
      <c r="T942" s="25"/>
      <c r="U942" s="25"/>
      <c r="V942" s="25"/>
      <c r="W942" s="25"/>
      <c r="X942" s="25"/>
    </row>
    <row r="943" spans="1:24" ht="13">
      <c r="A943" s="25"/>
      <c r="B943" s="25"/>
      <c r="C943" s="25"/>
      <c r="D943" s="25" t="str">
        <f t="array" ref="D943">IF(OR(LEFT(C943,1)="(",COUNTA(C943)=0),"", INDEX(Honor!$B$2:$B998,MATCH(C943,Honor!$A$2:$A998,0)))</f>
        <v/>
      </c>
      <c r="E943" s="25" t="str">
        <f t="array" ref="E943">IF(OR(LEFT(C943,1)="(",COUNTA(C943)=0),"",INDEX(Honor!$O$2:$O998,MATCH(C943,Honor!$A$2:$A998,0)))</f>
        <v/>
      </c>
      <c r="F943" s="25"/>
      <c r="G943" s="25"/>
      <c r="H943" s="25"/>
      <c r="I943" s="25"/>
      <c r="J943" s="25"/>
      <c r="K943" s="25"/>
      <c r="L943" s="25"/>
      <c r="M943" s="25"/>
      <c r="N943" s="25"/>
      <c r="O943" s="25"/>
      <c r="P943" s="25"/>
      <c r="Q943" s="25"/>
      <c r="R943" s="25"/>
      <c r="S943" s="25"/>
      <c r="T943" s="25"/>
      <c r="U943" s="25"/>
      <c r="V943" s="25"/>
      <c r="W943" s="25"/>
      <c r="X943" s="25"/>
    </row>
    <row r="944" spans="1:24" ht="13">
      <c r="A944" s="25"/>
      <c r="B944" s="25"/>
      <c r="C944" s="25"/>
      <c r="D944" s="25" t="str">
        <f t="array" ref="D944">IF(OR(LEFT(C944,1)="(",COUNTA(C944)=0),"", INDEX(Honor!$B$2:$B998,MATCH(C944,Honor!$A$2:$A998,0)))</f>
        <v/>
      </c>
      <c r="E944" s="25" t="str">
        <f t="array" ref="E944">IF(OR(LEFT(C944,1)="(",COUNTA(C944)=0),"",INDEX(Honor!$O$2:$O998,MATCH(C944,Honor!$A$2:$A998,0)))</f>
        <v/>
      </c>
      <c r="F944" s="25"/>
      <c r="G944" s="25"/>
      <c r="H944" s="25"/>
      <c r="I944" s="25"/>
      <c r="J944" s="25"/>
      <c r="K944" s="25"/>
      <c r="L944" s="25"/>
      <c r="M944" s="25"/>
      <c r="N944" s="25"/>
      <c r="O944" s="25"/>
      <c r="P944" s="25"/>
      <c r="Q944" s="25"/>
      <c r="R944" s="25"/>
      <c r="S944" s="25"/>
      <c r="T944" s="25"/>
      <c r="U944" s="25"/>
      <c r="V944" s="25"/>
      <c r="W944" s="25"/>
      <c r="X944" s="25"/>
    </row>
    <row r="945" spans="1:24" ht="13">
      <c r="A945" s="25"/>
      <c r="B945" s="25"/>
      <c r="C945" s="25"/>
      <c r="D945" s="25" t="str">
        <f t="array" ref="D945">IF(OR(LEFT(C945,1)="(",COUNTA(C945)=0),"", INDEX(Honor!$B$2:$B998,MATCH(C945,Honor!$A$2:$A998,0)))</f>
        <v/>
      </c>
      <c r="E945" s="25" t="str">
        <f t="array" ref="E945">IF(OR(LEFT(C945,1)="(",COUNTA(C945)=0),"",INDEX(Honor!$O$2:$O998,MATCH(C945,Honor!$A$2:$A998,0)))</f>
        <v/>
      </c>
      <c r="F945" s="25"/>
      <c r="G945" s="25"/>
      <c r="H945" s="25"/>
      <c r="I945" s="25"/>
      <c r="J945" s="25"/>
      <c r="K945" s="25"/>
      <c r="L945" s="25"/>
      <c r="M945" s="25"/>
      <c r="N945" s="25"/>
      <c r="O945" s="25"/>
      <c r="P945" s="25"/>
      <c r="Q945" s="25"/>
      <c r="R945" s="25"/>
      <c r="S945" s="25"/>
      <c r="T945" s="25"/>
      <c r="U945" s="25"/>
      <c r="V945" s="25"/>
      <c r="W945" s="25"/>
      <c r="X945" s="25"/>
    </row>
    <row r="946" spans="1:24" ht="13">
      <c r="A946" s="25"/>
      <c r="B946" s="25"/>
      <c r="C946" s="25"/>
      <c r="D946" s="25" t="str">
        <f t="array" ref="D946">IF(OR(LEFT(C946,1)="(",COUNTA(C946)=0),"", INDEX(Honor!$B$2:$B998,MATCH(C946,Honor!$A$2:$A998,0)))</f>
        <v/>
      </c>
      <c r="E946" s="25" t="str">
        <f t="array" ref="E946">IF(OR(LEFT(C946,1)="(",COUNTA(C946)=0),"",INDEX(Honor!$O$2:$O998,MATCH(C946,Honor!$A$2:$A998,0)))</f>
        <v/>
      </c>
      <c r="F946" s="25"/>
      <c r="G946" s="25"/>
      <c r="H946" s="25"/>
      <c r="I946" s="25"/>
      <c r="J946" s="25"/>
      <c r="K946" s="25"/>
      <c r="L946" s="25"/>
      <c r="M946" s="25"/>
      <c r="N946" s="25"/>
      <c r="O946" s="25"/>
      <c r="P946" s="25"/>
      <c r="Q946" s="25"/>
      <c r="R946" s="25"/>
      <c r="S946" s="25"/>
      <c r="T946" s="25"/>
      <c r="U946" s="25"/>
      <c r="V946" s="25"/>
      <c r="W946" s="25"/>
      <c r="X946" s="25"/>
    </row>
    <row r="947" spans="1:24" ht="13">
      <c r="A947" s="25"/>
      <c r="B947" s="25"/>
      <c r="C947" s="25"/>
      <c r="D947" s="25" t="str">
        <f t="array" ref="D947">IF(OR(LEFT(C947,1)="(",COUNTA(C947)=0),"", INDEX(Honor!$B$2:$B998,MATCH(C947,Honor!$A$2:$A998,0)))</f>
        <v/>
      </c>
      <c r="E947" s="25" t="str">
        <f t="array" ref="E947">IF(OR(LEFT(C947,1)="(",COUNTA(C947)=0),"",INDEX(Honor!$O$2:$O998,MATCH(C947,Honor!$A$2:$A998,0)))</f>
        <v/>
      </c>
      <c r="F947" s="25"/>
      <c r="G947" s="25"/>
      <c r="H947" s="25"/>
      <c r="I947" s="25"/>
      <c r="J947" s="25"/>
      <c r="K947" s="25"/>
      <c r="L947" s="25"/>
      <c r="M947" s="25"/>
      <c r="N947" s="25"/>
      <c r="O947" s="25"/>
      <c r="P947" s="25"/>
      <c r="Q947" s="25"/>
      <c r="R947" s="25"/>
      <c r="S947" s="25"/>
      <c r="T947" s="25"/>
      <c r="U947" s="25"/>
      <c r="V947" s="25"/>
      <c r="W947" s="25"/>
      <c r="X947" s="25"/>
    </row>
    <row r="948" spans="1:24" ht="13">
      <c r="A948" s="25"/>
      <c r="B948" s="25"/>
      <c r="C948" s="25"/>
      <c r="D948" s="25" t="str">
        <f t="array" ref="D948">IF(OR(LEFT(C948,1)="(",COUNTA(C948)=0),"", INDEX(Honor!$B$2:$B998,MATCH(C948,Honor!$A$2:$A998,0)))</f>
        <v/>
      </c>
      <c r="E948" s="25" t="str">
        <f t="array" ref="E948">IF(OR(LEFT(C948,1)="(",COUNTA(C948)=0),"",INDEX(Honor!$O$2:$O998,MATCH(C948,Honor!$A$2:$A998,0)))</f>
        <v/>
      </c>
      <c r="F948" s="25"/>
      <c r="G948" s="25"/>
      <c r="H948" s="25"/>
      <c r="I948" s="25"/>
      <c r="J948" s="25"/>
      <c r="K948" s="25"/>
      <c r="L948" s="25"/>
      <c r="M948" s="25"/>
      <c r="N948" s="25"/>
      <c r="O948" s="25"/>
      <c r="P948" s="25"/>
      <c r="Q948" s="25"/>
      <c r="R948" s="25"/>
      <c r="S948" s="25"/>
      <c r="T948" s="25"/>
      <c r="U948" s="25"/>
      <c r="V948" s="25"/>
      <c r="W948" s="25"/>
      <c r="X948" s="25"/>
    </row>
    <row r="949" spans="1:24" ht="13">
      <c r="A949" s="25"/>
      <c r="B949" s="25"/>
      <c r="C949" s="25"/>
      <c r="D949" s="25" t="str">
        <f t="array" ref="D949">IF(OR(LEFT(C949,1)="(",COUNTA(C949)=0),"", INDEX(Honor!$B$2:$B998,MATCH(C949,Honor!$A$2:$A998,0)))</f>
        <v/>
      </c>
      <c r="E949" s="25" t="str">
        <f t="array" ref="E949">IF(OR(LEFT(C949,1)="(",COUNTA(C949)=0),"",INDEX(Honor!$O$2:$O998,MATCH(C949,Honor!$A$2:$A998,0)))</f>
        <v/>
      </c>
      <c r="F949" s="25"/>
      <c r="G949" s="25"/>
      <c r="H949" s="25"/>
      <c r="I949" s="25"/>
      <c r="J949" s="25"/>
      <c r="K949" s="25"/>
      <c r="L949" s="25"/>
      <c r="M949" s="25"/>
      <c r="N949" s="25"/>
      <c r="O949" s="25"/>
      <c r="P949" s="25"/>
      <c r="Q949" s="25"/>
      <c r="R949" s="25"/>
      <c r="S949" s="25"/>
      <c r="T949" s="25"/>
      <c r="U949" s="25"/>
      <c r="V949" s="25"/>
      <c r="W949" s="25"/>
      <c r="X949" s="25"/>
    </row>
    <row r="950" spans="1:24" ht="13">
      <c r="A950" s="25"/>
      <c r="B950" s="25"/>
      <c r="C950" s="25"/>
      <c r="D950" s="25" t="str">
        <f t="array" ref="D950">IF(OR(LEFT(C950,1)="(",COUNTA(C950)=0),"", INDEX(Honor!$B$2:$B998,MATCH(C950,Honor!$A$2:$A998,0)))</f>
        <v/>
      </c>
      <c r="E950" s="25" t="str">
        <f t="array" ref="E950">IF(OR(LEFT(C950,1)="(",COUNTA(C950)=0),"",INDEX(Honor!$O$2:$O998,MATCH(C950,Honor!$A$2:$A998,0)))</f>
        <v/>
      </c>
      <c r="F950" s="25"/>
      <c r="G950" s="25"/>
      <c r="H950" s="25"/>
      <c r="I950" s="25"/>
      <c r="J950" s="25"/>
      <c r="K950" s="25"/>
      <c r="L950" s="25"/>
      <c r="M950" s="25"/>
      <c r="N950" s="25"/>
      <c r="O950" s="25"/>
      <c r="P950" s="25"/>
      <c r="Q950" s="25"/>
      <c r="R950" s="25"/>
      <c r="S950" s="25"/>
      <c r="T950" s="25"/>
      <c r="U950" s="25"/>
      <c r="V950" s="25"/>
      <c r="W950" s="25"/>
      <c r="X950" s="25"/>
    </row>
    <row r="951" spans="1:24" ht="13">
      <c r="A951" s="25"/>
      <c r="B951" s="25"/>
      <c r="C951" s="25"/>
      <c r="D951" s="25" t="str">
        <f t="array" ref="D951">IF(OR(LEFT(C951,1)="(",COUNTA(C951)=0),"", INDEX(Honor!$B$2:$B998,MATCH(C951,Honor!$A$2:$A998,0)))</f>
        <v/>
      </c>
      <c r="E951" s="25" t="str">
        <f t="array" ref="E951">IF(OR(LEFT(C951,1)="(",COUNTA(C951)=0),"",INDEX(Honor!$O$2:$O998,MATCH(C951,Honor!$A$2:$A998,0)))</f>
        <v/>
      </c>
      <c r="F951" s="25"/>
      <c r="G951" s="25"/>
      <c r="H951" s="25"/>
      <c r="I951" s="25"/>
      <c r="J951" s="25"/>
      <c r="K951" s="25"/>
      <c r="L951" s="25"/>
      <c r="M951" s="25"/>
      <c r="N951" s="25"/>
      <c r="O951" s="25"/>
      <c r="P951" s="25"/>
      <c r="Q951" s="25"/>
      <c r="R951" s="25"/>
      <c r="S951" s="25"/>
      <c r="T951" s="25"/>
      <c r="U951" s="25"/>
      <c r="V951" s="25"/>
      <c r="W951" s="25"/>
      <c r="X951" s="25"/>
    </row>
    <row r="952" spans="1:24" ht="13">
      <c r="A952" s="25"/>
      <c r="B952" s="25"/>
      <c r="C952" s="25"/>
      <c r="D952" s="25" t="str">
        <f t="array" ref="D952">IF(OR(LEFT(C952,1)="(",COUNTA(C952)=0),"", INDEX(Honor!$B$2:$B998,MATCH(C952,Honor!$A$2:$A998,0)))</f>
        <v/>
      </c>
      <c r="E952" s="25" t="str">
        <f t="array" ref="E952">IF(OR(LEFT(C952,1)="(",COUNTA(C952)=0),"",INDEX(Honor!$O$2:$O998,MATCH(C952,Honor!$A$2:$A998,0)))</f>
        <v/>
      </c>
      <c r="F952" s="25"/>
      <c r="G952" s="25"/>
      <c r="H952" s="25"/>
      <c r="I952" s="25"/>
      <c r="J952" s="25"/>
      <c r="K952" s="25"/>
      <c r="L952" s="25"/>
      <c r="M952" s="25"/>
      <c r="N952" s="25"/>
      <c r="O952" s="25"/>
      <c r="P952" s="25"/>
      <c r="Q952" s="25"/>
      <c r="R952" s="25"/>
      <c r="S952" s="25"/>
      <c r="T952" s="25"/>
      <c r="U952" s="25"/>
      <c r="V952" s="25"/>
      <c r="W952" s="25"/>
      <c r="X952" s="25"/>
    </row>
    <row r="953" spans="1:24" ht="13">
      <c r="A953" s="25"/>
      <c r="B953" s="25"/>
      <c r="C953" s="25"/>
      <c r="D953" s="25" t="str">
        <f t="array" ref="D953">IF(OR(LEFT(C953,1)="(",COUNTA(C953)=0),"", INDEX(Honor!$B$2:$B998,MATCH(C953,Honor!$A$2:$A998,0)))</f>
        <v/>
      </c>
      <c r="E953" s="25" t="str">
        <f t="array" ref="E953">IF(OR(LEFT(C953,1)="(",COUNTA(C953)=0),"",INDEX(Honor!$O$2:$O998,MATCH(C953,Honor!$A$2:$A998,0)))</f>
        <v/>
      </c>
      <c r="F953" s="25"/>
      <c r="G953" s="25"/>
      <c r="H953" s="25"/>
      <c r="I953" s="25"/>
      <c r="J953" s="25"/>
      <c r="K953" s="25"/>
      <c r="L953" s="25"/>
      <c r="M953" s="25"/>
      <c r="N953" s="25"/>
      <c r="O953" s="25"/>
      <c r="P953" s="25"/>
      <c r="Q953" s="25"/>
      <c r="R953" s="25"/>
      <c r="S953" s="25"/>
      <c r="T953" s="25"/>
      <c r="U953" s="25"/>
      <c r="V953" s="25"/>
      <c r="W953" s="25"/>
      <c r="X953" s="25"/>
    </row>
    <row r="954" spans="1:24" ht="13">
      <c r="A954" s="25"/>
      <c r="B954" s="25"/>
      <c r="C954" s="25"/>
      <c r="D954" s="25" t="str">
        <f t="array" ref="D954">IF(OR(LEFT(C954,1)="(",COUNTA(C954)=0),"", INDEX(Honor!$B$2:$B998,MATCH(C954,Honor!$A$2:$A998,0)))</f>
        <v/>
      </c>
      <c r="E954" s="25" t="str">
        <f t="array" ref="E954">IF(OR(LEFT(C954,1)="(",COUNTA(C954)=0),"",INDEX(Honor!$O$2:$O998,MATCH(C954,Honor!$A$2:$A998,0)))</f>
        <v/>
      </c>
      <c r="F954" s="25"/>
      <c r="G954" s="25"/>
      <c r="H954" s="25"/>
      <c r="I954" s="25"/>
      <c r="J954" s="25"/>
      <c r="K954" s="25"/>
      <c r="L954" s="25"/>
      <c r="M954" s="25"/>
      <c r="N954" s="25"/>
      <c r="O954" s="25"/>
      <c r="P954" s="25"/>
      <c r="Q954" s="25"/>
      <c r="R954" s="25"/>
      <c r="S954" s="25"/>
      <c r="T954" s="25"/>
      <c r="U954" s="25"/>
      <c r="V954" s="25"/>
      <c r="W954" s="25"/>
      <c r="X954" s="25"/>
    </row>
    <row r="955" spans="1:24" ht="13">
      <c r="A955" s="25"/>
      <c r="B955" s="25"/>
      <c r="C955" s="25"/>
      <c r="D955" s="25" t="str">
        <f t="array" ref="D955">IF(OR(LEFT(C955,1)="(",COUNTA(C955)=0),"", INDEX(Honor!$B$2:$B998,MATCH(C955,Honor!$A$2:$A998,0)))</f>
        <v/>
      </c>
      <c r="E955" s="25" t="str">
        <f t="array" ref="E955">IF(OR(LEFT(C955,1)="(",COUNTA(C955)=0),"",INDEX(Honor!$O$2:$O998,MATCH(C955,Honor!$A$2:$A998,0)))</f>
        <v/>
      </c>
      <c r="F955" s="25"/>
      <c r="G955" s="25"/>
      <c r="H955" s="25"/>
      <c r="I955" s="25"/>
      <c r="J955" s="25"/>
      <c r="K955" s="25"/>
      <c r="L955" s="25"/>
      <c r="M955" s="25"/>
      <c r="N955" s="25"/>
      <c r="O955" s="25"/>
      <c r="P955" s="25"/>
      <c r="Q955" s="25"/>
      <c r="R955" s="25"/>
      <c r="S955" s="25"/>
      <c r="T955" s="25"/>
      <c r="U955" s="25"/>
      <c r="V955" s="25"/>
      <c r="W955" s="25"/>
      <c r="X955" s="25"/>
    </row>
    <row r="956" spans="1:24" ht="13">
      <c r="A956" s="25"/>
      <c r="B956" s="25"/>
      <c r="C956" s="25"/>
      <c r="D956" s="25" t="str">
        <f t="array" ref="D956">IF(OR(LEFT(C956,1)="(",COUNTA(C956)=0),"", INDEX(Honor!$B$2:$B998,MATCH(C956,Honor!$A$2:$A998,0)))</f>
        <v/>
      </c>
      <c r="E956" s="25" t="str">
        <f t="array" ref="E956">IF(OR(LEFT(C956,1)="(",COUNTA(C956)=0),"",INDEX(Honor!$O$2:$O998,MATCH(C956,Honor!$A$2:$A998,0)))</f>
        <v/>
      </c>
      <c r="F956" s="25"/>
      <c r="G956" s="25"/>
      <c r="H956" s="25"/>
      <c r="I956" s="25"/>
      <c r="J956" s="25"/>
      <c r="K956" s="25"/>
      <c r="L956" s="25"/>
      <c r="M956" s="25"/>
      <c r="N956" s="25"/>
      <c r="O956" s="25"/>
      <c r="P956" s="25"/>
      <c r="Q956" s="25"/>
      <c r="R956" s="25"/>
      <c r="S956" s="25"/>
      <c r="T956" s="25"/>
      <c r="U956" s="25"/>
      <c r="V956" s="25"/>
      <c r="W956" s="25"/>
      <c r="X956" s="25"/>
    </row>
    <row r="957" spans="1:24" ht="13">
      <c r="A957" s="25"/>
      <c r="B957" s="25"/>
      <c r="C957" s="25"/>
      <c r="D957" s="25" t="str">
        <f t="array" ref="D957">IF(OR(LEFT(C957,1)="(",COUNTA(C957)=0),"", INDEX(Honor!$B$2:$B998,MATCH(C957,Honor!$A$2:$A998,0)))</f>
        <v/>
      </c>
      <c r="E957" s="25" t="str">
        <f t="array" ref="E957">IF(OR(LEFT(C957,1)="(",COUNTA(C957)=0),"",INDEX(Honor!$O$2:$O998,MATCH(C957,Honor!$A$2:$A998,0)))</f>
        <v/>
      </c>
      <c r="F957" s="25"/>
      <c r="G957" s="25"/>
      <c r="H957" s="25"/>
      <c r="I957" s="25"/>
      <c r="J957" s="25"/>
      <c r="K957" s="25"/>
      <c r="L957" s="25"/>
      <c r="M957" s="25"/>
      <c r="N957" s="25"/>
      <c r="O957" s="25"/>
      <c r="P957" s="25"/>
      <c r="Q957" s="25"/>
      <c r="R957" s="25"/>
      <c r="S957" s="25"/>
      <c r="T957" s="25"/>
      <c r="U957" s="25"/>
      <c r="V957" s="25"/>
      <c r="W957" s="25"/>
      <c r="X957" s="25"/>
    </row>
    <row r="958" spans="1:24" ht="13">
      <c r="A958" s="25"/>
      <c r="B958" s="25"/>
      <c r="C958" s="25"/>
      <c r="D958" s="25" t="str">
        <f t="array" ref="D958">IF(OR(LEFT(C958,1)="(",COUNTA(C958)=0),"", INDEX(Honor!$B$2:$B998,MATCH(C958,Honor!$A$2:$A998,0)))</f>
        <v/>
      </c>
      <c r="E958" s="25" t="str">
        <f t="array" ref="E958">IF(OR(LEFT(C958,1)="(",COUNTA(C958)=0),"",INDEX(Honor!$O$2:$O998,MATCH(C958,Honor!$A$2:$A998,0)))</f>
        <v/>
      </c>
      <c r="F958" s="25"/>
      <c r="G958" s="25"/>
      <c r="H958" s="25"/>
      <c r="I958" s="25"/>
      <c r="J958" s="25"/>
      <c r="K958" s="25"/>
      <c r="L958" s="25"/>
      <c r="M958" s="25"/>
      <c r="N958" s="25"/>
      <c r="O958" s="25"/>
      <c r="P958" s="25"/>
      <c r="Q958" s="25"/>
      <c r="R958" s="25"/>
      <c r="S958" s="25"/>
      <c r="T958" s="25"/>
      <c r="U958" s="25"/>
      <c r="V958" s="25"/>
      <c r="W958" s="25"/>
      <c r="X958" s="25"/>
    </row>
    <row r="959" spans="1:24" ht="13">
      <c r="A959" s="25"/>
      <c r="B959" s="25"/>
      <c r="C959" s="25"/>
      <c r="D959" s="25" t="str">
        <f t="array" ref="D959">IF(OR(LEFT(C959,1)="(",COUNTA(C959)=0),"", INDEX(Honor!$B$2:$B998,MATCH(C959,Honor!$A$2:$A998,0)))</f>
        <v/>
      </c>
      <c r="E959" s="25" t="str">
        <f t="array" ref="E959">IF(OR(LEFT(C959,1)="(",COUNTA(C959)=0),"",INDEX(Honor!$O$2:$O998,MATCH(C959,Honor!$A$2:$A998,0)))</f>
        <v/>
      </c>
      <c r="F959" s="25"/>
      <c r="G959" s="25"/>
      <c r="H959" s="25"/>
      <c r="I959" s="25"/>
      <c r="J959" s="25"/>
      <c r="K959" s="25"/>
      <c r="L959" s="25"/>
      <c r="M959" s="25"/>
      <c r="N959" s="25"/>
      <c r="O959" s="25"/>
      <c r="P959" s="25"/>
      <c r="Q959" s="25"/>
      <c r="R959" s="25"/>
      <c r="S959" s="25"/>
      <c r="T959" s="25"/>
      <c r="U959" s="25"/>
      <c r="V959" s="25"/>
      <c r="W959" s="25"/>
      <c r="X959" s="25"/>
    </row>
    <row r="960" spans="1:24" ht="13">
      <c r="A960" s="25"/>
      <c r="B960" s="25"/>
      <c r="C960" s="25"/>
      <c r="D960" s="25" t="str">
        <f t="array" ref="D960">IF(OR(LEFT(C960,1)="(",COUNTA(C960)=0),"", INDEX(Honor!$B$2:$B998,MATCH(C960,Honor!$A$2:$A998,0)))</f>
        <v/>
      </c>
      <c r="E960" s="25" t="str">
        <f t="array" ref="E960">IF(OR(LEFT(C960,1)="(",COUNTA(C960)=0),"",INDEX(Honor!$O$2:$O998,MATCH(C960,Honor!$A$2:$A998,0)))</f>
        <v/>
      </c>
      <c r="F960" s="25"/>
      <c r="G960" s="25"/>
      <c r="H960" s="25"/>
      <c r="I960" s="25"/>
      <c r="J960" s="25"/>
      <c r="K960" s="25"/>
      <c r="L960" s="25"/>
      <c r="M960" s="25"/>
      <c r="N960" s="25"/>
      <c r="O960" s="25"/>
      <c r="P960" s="25"/>
      <c r="Q960" s="25"/>
      <c r="R960" s="25"/>
      <c r="S960" s="25"/>
      <c r="T960" s="25"/>
      <c r="U960" s="25"/>
      <c r="V960" s="25"/>
      <c r="W960" s="25"/>
      <c r="X960" s="25"/>
    </row>
    <row r="961" spans="1:24" ht="13">
      <c r="A961" s="25"/>
      <c r="B961" s="25"/>
      <c r="C961" s="25"/>
      <c r="D961" s="25" t="str">
        <f t="array" ref="D961">IF(OR(LEFT(C961,1)="(",COUNTA(C961)=0),"", INDEX(Honor!$B$2:$B998,MATCH(C961,Honor!$A$2:$A998,0)))</f>
        <v/>
      </c>
      <c r="E961" s="25" t="str">
        <f t="array" ref="E961">IF(OR(LEFT(C961,1)="(",COUNTA(C961)=0),"",INDEX(Honor!$O$2:$O998,MATCH(C961,Honor!$A$2:$A998,0)))</f>
        <v/>
      </c>
      <c r="F961" s="25"/>
      <c r="G961" s="25"/>
      <c r="H961" s="25"/>
      <c r="I961" s="25"/>
      <c r="J961" s="25"/>
      <c r="K961" s="25"/>
      <c r="L961" s="25"/>
      <c r="M961" s="25"/>
      <c r="N961" s="25"/>
      <c r="O961" s="25"/>
      <c r="P961" s="25"/>
      <c r="Q961" s="25"/>
      <c r="R961" s="25"/>
      <c r="S961" s="25"/>
      <c r="T961" s="25"/>
      <c r="U961" s="25"/>
      <c r="V961" s="25"/>
      <c r="W961" s="25"/>
      <c r="X961" s="25"/>
    </row>
    <row r="962" spans="1:24" ht="13">
      <c r="A962" s="25"/>
      <c r="B962" s="25"/>
      <c r="C962" s="25"/>
      <c r="D962" s="25" t="str">
        <f t="array" ref="D962">IF(OR(LEFT(C962,1)="(",COUNTA(C962)=0),"", INDEX(Honor!$B$2:$B998,MATCH(C962,Honor!$A$2:$A998,0)))</f>
        <v/>
      </c>
      <c r="E962" s="25" t="str">
        <f t="array" ref="E962">IF(OR(LEFT(C962,1)="(",COUNTA(C962)=0),"",INDEX(Honor!$O$2:$O998,MATCH(C962,Honor!$A$2:$A998,0)))</f>
        <v/>
      </c>
      <c r="F962" s="25"/>
      <c r="G962" s="25"/>
      <c r="H962" s="25"/>
      <c r="I962" s="25"/>
      <c r="J962" s="25"/>
      <c r="K962" s="25"/>
      <c r="L962" s="25"/>
      <c r="M962" s="25"/>
      <c r="N962" s="25"/>
      <c r="O962" s="25"/>
      <c r="P962" s="25"/>
      <c r="Q962" s="25"/>
      <c r="R962" s="25"/>
      <c r="S962" s="25"/>
      <c r="T962" s="25"/>
      <c r="U962" s="25"/>
      <c r="V962" s="25"/>
      <c r="W962" s="25"/>
      <c r="X962" s="25"/>
    </row>
    <row r="963" spans="1:24" ht="13">
      <c r="A963" s="25"/>
      <c r="B963" s="25"/>
      <c r="C963" s="25"/>
      <c r="D963" s="25" t="str">
        <f t="array" ref="D963">IF(OR(LEFT(C963,1)="(",COUNTA(C963)=0),"", INDEX(Honor!$B$2:$B998,MATCH(C963,Honor!$A$2:$A998,0)))</f>
        <v/>
      </c>
      <c r="E963" s="25" t="str">
        <f t="array" ref="E963">IF(OR(LEFT(C963,1)="(",COUNTA(C963)=0),"",INDEX(Honor!$O$2:$O998,MATCH(C963,Honor!$A$2:$A998,0)))</f>
        <v/>
      </c>
      <c r="F963" s="25"/>
      <c r="G963" s="25"/>
      <c r="H963" s="25"/>
      <c r="I963" s="25"/>
      <c r="J963" s="25"/>
      <c r="K963" s="25"/>
      <c r="L963" s="25"/>
      <c r="M963" s="25"/>
      <c r="N963" s="25"/>
      <c r="O963" s="25"/>
      <c r="P963" s="25"/>
      <c r="Q963" s="25"/>
      <c r="R963" s="25"/>
      <c r="S963" s="25"/>
      <c r="T963" s="25"/>
      <c r="U963" s="25"/>
      <c r="V963" s="25"/>
      <c r="W963" s="25"/>
      <c r="X963" s="25"/>
    </row>
    <row r="964" spans="1:24" ht="13">
      <c r="A964" s="25"/>
      <c r="B964" s="25"/>
      <c r="C964" s="25"/>
      <c r="D964" s="25" t="str">
        <f t="array" ref="D964">IF(OR(LEFT(C964,1)="(",COUNTA(C964)=0),"", INDEX(Honor!$B$2:$B998,MATCH(C964,Honor!$A$2:$A998,0)))</f>
        <v/>
      </c>
      <c r="E964" s="25" t="str">
        <f t="array" ref="E964">IF(OR(LEFT(C964,1)="(",COUNTA(C964)=0),"",INDEX(Honor!$O$2:$O998,MATCH(C964,Honor!$A$2:$A998,0)))</f>
        <v/>
      </c>
      <c r="F964" s="25"/>
      <c r="G964" s="25"/>
      <c r="H964" s="25"/>
      <c r="I964" s="25"/>
      <c r="J964" s="25"/>
      <c r="K964" s="25"/>
      <c r="L964" s="25"/>
      <c r="M964" s="25"/>
      <c r="N964" s="25"/>
      <c r="O964" s="25"/>
      <c r="P964" s="25"/>
      <c r="Q964" s="25"/>
      <c r="R964" s="25"/>
      <c r="S964" s="25"/>
      <c r="T964" s="25"/>
      <c r="U964" s="25"/>
      <c r="V964" s="25"/>
      <c r="W964" s="25"/>
      <c r="X964" s="25"/>
    </row>
    <row r="965" spans="1:24" ht="13">
      <c r="A965" s="25"/>
      <c r="B965" s="25"/>
      <c r="C965" s="25"/>
      <c r="D965" s="25" t="str">
        <f t="array" ref="D965">IF(OR(LEFT(C965,1)="(",COUNTA(C965)=0),"", INDEX(Honor!$B$2:$B998,MATCH(C965,Honor!$A$2:$A998,0)))</f>
        <v/>
      </c>
      <c r="E965" s="25" t="str">
        <f t="array" ref="E965">IF(OR(LEFT(C965,1)="(",COUNTA(C965)=0),"",INDEX(Honor!$O$2:$O998,MATCH(C965,Honor!$A$2:$A998,0)))</f>
        <v/>
      </c>
      <c r="F965" s="25"/>
      <c r="G965" s="25"/>
      <c r="H965" s="25"/>
      <c r="I965" s="25"/>
      <c r="J965" s="25"/>
      <c r="K965" s="25"/>
      <c r="L965" s="25"/>
      <c r="M965" s="25"/>
      <c r="N965" s="25"/>
      <c r="O965" s="25"/>
      <c r="P965" s="25"/>
      <c r="Q965" s="25"/>
      <c r="R965" s="25"/>
      <c r="S965" s="25"/>
      <c r="T965" s="25"/>
      <c r="U965" s="25"/>
      <c r="V965" s="25"/>
      <c r="W965" s="25"/>
      <c r="X965" s="25"/>
    </row>
    <row r="966" spans="1:24" ht="13">
      <c r="A966" s="25"/>
      <c r="B966" s="25"/>
      <c r="C966" s="25"/>
      <c r="D966" s="25" t="str">
        <f t="array" ref="D966">IF(OR(LEFT(C966,1)="(",COUNTA(C966)=0),"", INDEX(Honor!$B$2:$B998,MATCH(C966,Honor!$A$2:$A998,0)))</f>
        <v/>
      </c>
      <c r="E966" s="25" t="str">
        <f t="array" ref="E966">IF(OR(LEFT(C966,1)="(",COUNTA(C966)=0),"",INDEX(Honor!$O$2:$O998,MATCH(C966,Honor!$A$2:$A998,0)))</f>
        <v/>
      </c>
      <c r="F966" s="25"/>
      <c r="G966" s="25"/>
      <c r="H966" s="25"/>
      <c r="I966" s="25"/>
      <c r="J966" s="25"/>
      <c r="K966" s="25"/>
      <c r="L966" s="25"/>
      <c r="M966" s="25"/>
      <c r="N966" s="25"/>
      <c r="O966" s="25"/>
      <c r="P966" s="25"/>
      <c r="Q966" s="25"/>
      <c r="R966" s="25"/>
      <c r="S966" s="25"/>
      <c r="T966" s="25"/>
      <c r="U966" s="25"/>
      <c r="V966" s="25"/>
      <c r="W966" s="25"/>
      <c r="X966" s="25"/>
    </row>
    <row r="967" spans="1:24" ht="13">
      <c r="A967" s="25"/>
      <c r="B967" s="25"/>
      <c r="C967" s="25"/>
      <c r="D967" s="25" t="str">
        <f t="array" ref="D967">IF(OR(LEFT(C967,1)="(",COUNTA(C967)=0),"", INDEX(Honor!$B$2:$B998,MATCH(C967,Honor!$A$2:$A998,0)))</f>
        <v/>
      </c>
      <c r="E967" s="25" t="str">
        <f t="array" ref="E967">IF(OR(LEFT(C967,1)="(",COUNTA(C967)=0),"",INDEX(Honor!$O$2:$O998,MATCH(C967,Honor!$A$2:$A998,0)))</f>
        <v/>
      </c>
      <c r="F967" s="25"/>
      <c r="G967" s="25"/>
      <c r="H967" s="25"/>
      <c r="I967" s="25"/>
      <c r="J967" s="25"/>
      <c r="K967" s="25"/>
      <c r="L967" s="25"/>
      <c r="M967" s="25"/>
      <c r="N967" s="25"/>
      <c r="O967" s="25"/>
      <c r="P967" s="25"/>
      <c r="Q967" s="25"/>
      <c r="R967" s="25"/>
      <c r="S967" s="25"/>
      <c r="T967" s="25"/>
      <c r="U967" s="25"/>
      <c r="V967" s="25"/>
      <c r="W967" s="25"/>
      <c r="X967" s="25"/>
    </row>
    <row r="968" spans="1:24" ht="13">
      <c r="A968" s="25"/>
      <c r="B968" s="25"/>
      <c r="C968" s="25"/>
      <c r="D968" s="25" t="str">
        <f t="array" ref="D968">IF(OR(LEFT(C968,1)="(",COUNTA(C968)=0),"", INDEX(Honor!$B$2:$B998,MATCH(C968,Honor!$A$2:$A998,0)))</f>
        <v/>
      </c>
      <c r="E968" s="25" t="str">
        <f t="array" ref="E968">IF(OR(LEFT(C968,1)="(",COUNTA(C968)=0),"",INDEX(Honor!$O$2:$O998,MATCH(C968,Honor!$A$2:$A998,0)))</f>
        <v/>
      </c>
      <c r="F968" s="25"/>
      <c r="G968" s="25"/>
      <c r="H968" s="25"/>
      <c r="I968" s="25"/>
      <c r="J968" s="25"/>
      <c r="K968" s="25"/>
      <c r="L968" s="25"/>
      <c r="M968" s="25"/>
      <c r="N968" s="25"/>
      <c r="O968" s="25"/>
      <c r="P968" s="25"/>
      <c r="Q968" s="25"/>
      <c r="R968" s="25"/>
      <c r="S968" s="25"/>
      <c r="T968" s="25"/>
      <c r="U968" s="25"/>
      <c r="V968" s="25"/>
      <c r="W968" s="25"/>
      <c r="X968" s="25"/>
    </row>
    <row r="969" spans="1:24" ht="13">
      <c r="A969" s="25"/>
      <c r="B969" s="25"/>
      <c r="C969" s="25"/>
      <c r="D969" s="25" t="str">
        <f t="array" ref="D969">IF(OR(LEFT(C969,1)="(",COUNTA(C969)=0),"", INDEX(Honor!$B$2:$B998,MATCH(C969,Honor!$A$2:$A998,0)))</f>
        <v/>
      </c>
      <c r="E969" s="25" t="str">
        <f t="array" ref="E969">IF(OR(LEFT(C969,1)="(",COUNTA(C969)=0),"",INDEX(Honor!$O$2:$O998,MATCH(C969,Honor!$A$2:$A998,0)))</f>
        <v/>
      </c>
      <c r="F969" s="25"/>
      <c r="G969" s="25"/>
      <c r="H969" s="25"/>
      <c r="I969" s="25"/>
      <c r="J969" s="25"/>
      <c r="K969" s="25"/>
      <c r="L969" s="25"/>
      <c r="M969" s="25"/>
      <c r="N969" s="25"/>
      <c r="O969" s="25"/>
      <c r="P969" s="25"/>
      <c r="Q969" s="25"/>
      <c r="R969" s="25"/>
      <c r="S969" s="25"/>
      <c r="T969" s="25"/>
      <c r="U969" s="25"/>
      <c r="V969" s="25"/>
      <c r="W969" s="25"/>
      <c r="X969" s="25"/>
    </row>
    <row r="970" spans="1:24" ht="13">
      <c r="A970" s="25"/>
      <c r="B970" s="25"/>
      <c r="C970" s="25"/>
      <c r="D970" s="25" t="str">
        <f t="array" ref="D970">IF(OR(LEFT(C970,1)="(",COUNTA(C970)=0),"", INDEX(Honor!$B$2:$B998,MATCH(C970,Honor!$A$2:$A998,0)))</f>
        <v/>
      </c>
      <c r="E970" s="25" t="str">
        <f t="array" ref="E970">IF(OR(LEFT(C970,1)="(",COUNTA(C970)=0),"",INDEX(Honor!$O$2:$O998,MATCH(C970,Honor!$A$2:$A998,0)))</f>
        <v/>
      </c>
      <c r="F970" s="25"/>
      <c r="G970" s="25"/>
      <c r="H970" s="25"/>
      <c r="I970" s="25"/>
      <c r="J970" s="25"/>
      <c r="K970" s="25"/>
      <c r="L970" s="25"/>
      <c r="M970" s="25"/>
      <c r="N970" s="25"/>
      <c r="O970" s="25"/>
      <c r="P970" s="25"/>
      <c r="Q970" s="25"/>
      <c r="R970" s="25"/>
      <c r="S970" s="25"/>
      <c r="T970" s="25"/>
      <c r="U970" s="25"/>
      <c r="V970" s="25"/>
      <c r="W970" s="25"/>
      <c r="X970" s="25"/>
    </row>
    <row r="971" spans="1:24" ht="13">
      <c r="A971" s="25"/>
      <c r="B971" s="25"/>
      <c r="C971" s="25"/>
      <c r="D971" s="25" t="str">
        <f t="array" ref="D971">IF(OR(LEFT(C971,1)="(",COUNTA(C971)=0),"", INDEX(Honor!$B$2:$B998,MATCH(C971,Honor!$A$2:$A998,0)))</f>
        <v/>
      </c>
      <c r="E971" s="25" t="str">
        <f t="array" ref="E971">IF(OR(LEFT(C971,1)="(",COUNTA(C971)=0),"",INDEX(Honor!$O$2:$O998,MATCH(C971,Honor!$A$2:$A998,0)))</f>
        <v/>
      </c>
      <c r="F971" s="25"/>
      <c r="G971" s="25"/>
      <c r="H971" s="25"/>
      <c r="I971" s="25"/>
      <c r="J971" s="25"/>
      <c r="K971" s="25"/>
      <c r="L971" s="25"/>
      <c r="M971" s="25"/>
      <c r="N971" s="25"/>
      <c r="O971" s="25"/>
      <c r="P971" s="25"/>
      <c r="Q971" s="25"/>
      <c r="R971" s="25"/>
      <c r="S971" s="25"/>
      <c r="T971" s="25"/>
      <c r="U971" s="25"/>
      <c r="V971" s="25"/>
      <c r="W971" s="25"/>
      <c r="X971" s="25"/>
    </row>
    <row r="972" spans="1:24" ht="13">
      <c r="A972" s="25"/>
      <c r="B972" s="25"/>
      <c r="C972" s="25"/>
      <c r="D972" s="25" t="str">
        <f t="array" ref="D972">IF(OR(LEFT(C972,1)="(",COUNTA(C972)=0),"", INDEX(Honor!$B$2:$B998,MATCH(C972,Honor!$A$2:$A998,0)))</f>
        <v/>
      </c>
      <c r="E972" s="25" t="str">
        <f t="array" ref="E972">IF(OR(LEFT(C972,1)="(",COUNTA(C972)=0),"",INDEX(Honor!$O$2:$O998,MATCH(C972,Honor!$A$2:$A998,0)))</f>
        <v/>
      </c>
      <c r="F972" s="25"/>
      <c r="G972" s="25"/>
      <c r="H972" s="25"/>
      <c r="I972" s="25"/>
      <c r="J972" s="25"/>
      <c r="K972" s="25"/>
      <c r="L972" s="25"/>
      <c r="M972" s="25"/>
      <c r="N972" s="25"/>
      <c r="O972" s="25"/>
      <c r="P972" s="25"/>
      <c r="Q972" s="25"/>
      <c r="R972" s="25"/>
      <c r="S972" s="25"/>
      <c r="T972" s="25"/>
      <c r="U972" s="25"/>
      <c r="V972" s="25"/>
      <c r="W972" s="25"/>
      <c r="X972" s="25"/>
    </row>
    <row r="973" spans="1:24" ht="13">
      <c r="A973" s="25"/>
      <c r="B973" s="25"/>
      <c r="C973" s="25"/>
      <c r="D973" s="25" t="str">
        <f t="array" ref="D973">IF(OR(LEFT(C973,1)="(",COUNTA(C973)=0),"", INDEX(Honor!$B$2:$B998,MATCH(C973,Honor!$A$2:$A998,0)))</f>
        <v/>
      </c>
      <c r="E973" s="25" t="str">
        <f t="array" ref="E973">IF(OR(LEFT(C973,1)="(",COUNTA(C973)=0),"",INDEX(Honor!$O$2:$O998,MATCH(C973,Honor!$A$2:$A998,0)))</f>
        <v/>
      </c>
      <c r="F973" s="25"/>
      <c r="G973" s="25"/>
      <c r="H973" s="25"/>
      <c r="I973" s="25"/>
      <c r="J973" s="25"/>
      <c r="K973" s="25"/>
      <c r="L973" s="25"/>
      <c r="M973" s="25"/>
      <c r="N973" s="25"/>
      <c r="O973" s="25"/>
      <c r="P973" s="25"/>
      <c r="Q973" s="25"/>
      <c r="R973" s="25"/>
      <c r="S973" s="25"/>
      <c r="T973" s="25"/>
      <c r="U973" s="25"/>
      <c r="V973" s="25"/>
      <c r="W973" s="25"/>
      <c r="X973" s="25"/>
    </row>
    <row r="974" spans="1:24" ht="13">
      <c r="A974" s="25"/>
      <c r="B974" s="25"/>
      <c r="C974" s="25"/>
      <c r="D974" s="25" t="str">
        <f t="array" ref="D974">IF(OR(LEFT(C974,1)="(",COUNTA(C974)=0),"", INDEX(Honor!$B$2:$B998,MATCH(C974,Honor!$A$2:$A998,0)))</f>
        <v/>
      </c>
      <c r="E974" s="25" t="str">
        <f t="array" ref="E974">IF(OR(LEFT(C974,1)="(",COUNTA(C974)=0),"",INDEX(Honor!$O$2:$O998,MATCH(C974,Honor!$A$2:$A998,0)))</f>
        <v/>
      </c>
      <c r="F974" s="25"/>
      <c r="G974" s="25"/>
      <c r="H974" s="25"/>
      <c r="I974" s="25"/>
      <c r="J974" s="25"/>
      <c r="K974" s="25"/>
      <c r="L974" s="25"/>
      <c r="M974" s="25"/>
      <c r="N974" s="25"/>
      <c r="O974" s="25"/>
      <c r="P974" s="25"/>
      <c r="Q974" s="25"/>
      <c r="R974" s="25"/>
      <c r="S974" s="25"/>
      <c r="T974" s="25"/>
      <c r="U974" s="25"/>
      <c r="V974" s="25"/>
      <c r="W974" s="25"/>
      <c r="X974" s="25"/>
    </row>
    <row r="975" spans="1:24" ht="13">
      <c r="A975" s="25"/>
      <c r="B975" s="25"/>
      <c r="C975" s="25"/>
      <c r="D975" s="25" t="str">
        <f t="array" ref="D975">IF(OR(LEFT(C975,1)="(",COUNTA(C975)=0),"", INDEX(Honor!$B$2:$B998,MATCH(C975,Honor!$A$2:$A998,0)))</f>
        <v/>
      </c>
      <c r="E975" s="25" t="str">
        <f t="array" ref="E975">IF(OR(LEFT(C975,1)="(",COUNTA(C975)=0),"",INDEX(Honor!$O$2:$O998,MATCH(C975,Honor!$A$2:$A998,0)))</f>
        <v/>
      </c>
      <c r="F975" s="25"/>
      <c r="G975" s="25"/>
      <c r="H975" s="25"/>
      <c r="I975" s="25"/>
      <c r="J975" s="25"/>
      <c r="K975" s="25"/>
      <c r="L975" s="25"/>
      <c r="M975" s="25"/>
      <c r="N975" s="25"/>
      <c r="O975" s="25"/>
      <c r="P975" s="25"/>
      <c r="Q975" s="25"/>
      <c r="R975" s="25"/>
      <c r="S975" s="25"/>
      <c r="T975" s="25"/>
      <c r="U975" s="25"/>
      <c r="V975" s="25"/>
      <c r="W975" s="25"/>
      <c r="X975" s="25"/>
    </row>
    <row r="976" spans="1:24" ht="13">
      <c r="A976" s="25"/>
      <c r="B976" s="25"/>
      <c r="C976" s="25"/>
      <c r="D976" s="25" t="str">
        <f t="array" ref="D976">IF(OR(LEFT(C976,1)="(",COUNTA(C976)=0),"", INDEX(Honor!$B$2:$B998,MATCH(C976,Honor!$A$2:$A998,0)))</f>
        <v/>
      </c>
      <c r="E976" s="25" t="str">
        <f t="array" ref="E976">IF(OR(LEFT(C976,1)="(",COUNTA(C976)=0),"",INDEX(Honor!$O$2:$O998,MATCH(C976,Honor!$A$2:$A998,0)))</f>
        <v/>
      </c>
      <c r="F976" s="25"/>
      <c r="G976" s="25"/>
      <c r="H976" s="25"/>
      <c r="I976" s="25"/>
      <c r="J976" s="25"/>
      <c r="K976" s="25"/>
      <c r="L976" s="25"/>
      <c r="M976" s="25"/>
      <c r="N976" s="25"/>
      <c r="O976" s="25"/>
      <c r="P976" s="25"/>
      <c r="Q976" s="25"/>
      <c r="R976" s="25"/>
      <c r="S976" s="25"/>
      <c r="T976" s="25"/>
      <c r="U976" s="25"/>
      <c r="V976" s="25"/>
      <c r="W976" s="25"/>
      <c r="X976" s="25"/>
    </row>
    <row r="977" spans="1:24" ht="13">
      <c r="A977" s="25"/>
      <c r="B977" s="25"/>
      <c r="C977" s="25"/>
      <c r="D977" s="25" t="str">
        <f t="array" ref="D977">IF(OR(LEFT(C977,1)="(",COUNTA(C977)=0),"", INDEX(Honor!$B$2:$B998,MATCH(C977,Honor!$A$2:$A998,0)))</f>
        <v/>
      </c>
      <c r="E977" s="25" t="str">
        <f t="array" ref="E977">IF(OR(LEFT(C977,1)="(",COUNTA(C977)=0),"",INDEX(Honor!$O$2:$O998,MATCH(C977,Honor!$A$2:$A998,0)))</f>
        <v/>
      </c>
      <c r="F977" s="25"/>
      <c r="G977" s="25"/>
      <c r="H977" s="25"/>
      <c r="I977" s="25"/>
      <c r="J977" s="25"/>
      <c r="K977" s="25"/>
      <c r="L977" s="25"/>
      <c r="M977" s="25"/>
      <c r="N977" s="25"/>
      <c r="O977" s="25"/>
      <c r="P977" s="25"/>
      <c r="Q977" s="25"/>
      <c r="R977" s="25"/>
      <c r="S977" s="25"/>
      <c r="T977" s="25"/>
      <c r="U977" s="25"/>
      <c r="V977" s="25"/>
      <c r="W977" s="25"/>
      <c r="X977" s="25"/>
    </row>
    <row r="978" spans="1:24" ht="13">
      <c r="A978" s="25"/>
      <c r="B978" s="25"/>
      <c r="C978" s="25"/>
      <c r="D978" s="25" t="str">
        <f t="array" ref="D978">IF(OR(LEFT(C978,1)="(",COUNTA(C978)=0),"", INDEX(Honor!$B$2:$B998,MATCH(C978,Honor!$A$2:$A998,0)))</f>
        <v/>
      </c>
      <c r="E978" s="25" t="str">
        <f t="array" ref="E978">IF(OR(LEFT(C978,1)="(",COUNTA(C978)=0),"",INDEX(Honor!$O$2:$O998,MATCH(C978,Honor!$A$2:$A998,0)))</f>
        <v/>
      </c>
      <c r="F978" s="25"/>
      <c r="G978" s="25"/>
      <c r="H978" s="25"/>
      <c r="I978" s="25"/>
      <c r="J978" s="25"/>
      <c r="K978" s="25"/>
      <c r="L978" s="25"/>
      <c r="M978" s="25"/>
      <c r="N978" s="25"/>
      <c r="O978" s="25"/>
      <c r="P978" s="25"/>
      <c r="Q978" s="25"/>
      <c r="R978" s="25"/>
      <c r="S978" s="25"/>
      <c r="T978" s="25"/>
      <c r="U978" s="25"/>
      <c r="V978" s="25"/>
      <c r="W978" s="25"/>
      <c r="X978" s="25"/>
    </row>
    <row r="979" spans="1:24" ht="13">
      <c r="A979" s="25"/>
      <c r="B979" s="25"/>
      <c r="C979" s="25"/>
      <c r="D979" s="25" t="str">
        <f t="array" ref="D979">IF(OR(LEFT(C979,1)="(",COUNTA(C979)=0),"", INDEX(Honor!$B$2:$B998,MATCH(C979,Honor!$A$2:$A998,0)))</f>
        <v/>
      </c>
      <c r="E979" s="25" t="str">
        <f t="array" ref="E979">IF(OR(LEFT(C979,1)="(",COUNTA(C979)=0),"",INDEX(Honor!$O$2:$O998,MATCH(C979,Honor!$A$2:$A998,0)))</f>
        <v/>
      </c>
      <c r="F979" s="25"/>
      <c r="G979" s="25"/>
      <c r="H979" s="25"/>
      <c r="I979" s="25"/>
      <c r="J979" s="25"/>
      <c r="K979" s="25"/>
      <c r="L979" s="25"/>
      <c r="M979" s="25"/>
      <c r="N979" s="25"/>
      <c r="O979" s="25"/>
      <c r="P979" s="25"/>
      <c r="Q979" s="25"/>
      <c r="R979" s="25"/>
      <c r="S979" s="25"/>
      <c r="T979" s="25"/>
      <c r="U979" s="25"/>
      <c r="V979" s="25"/>
      <c r="W979" s="25"/>
      <c r="X979" s="25"/>
    </row>
    <row r="980" spans="1:24" ht="13">
      <c r="A980" s="25"/>
      <c r="B980" s="25"/>
      <c r="C980" s="25"/>
      <c r="D980" s="25" t="str">
        <f t="array" ref="D980">IF(OR(LEFT(C980,1)="(",COUNTA(C980)=0),"", INDEX(Honor!$B$2:$B998,MATCH(C980,Honor!$A$2:$A998,0)))</f>
        <v/>
      </c>
      <c r="E980" s="25" t="str">
        <f t="array" ref="E980">IF(OR(LEFT(C980,1)="(",COUNTA(C980)=0),"",INDEX(Honor!$O$2:$O998,MATCH(C980,Honor!$A$2:$A998,0)))</f>
        <v/>
      </c>
      <c r="F980" s="25"/>
      <c r="G980" s="25"/>
      <c r="H980" s="25"/>
      <c r="I980" s="25"/>
      <c r="J980" s="25"/>
      <c r="K980" s="25"/>
      <c r="L980" s="25"/>
      <c r="M980" s="25"/>
      <c r="N980" s="25"/>
      <c r="O980" s="25"/>
      <c r="P980" s="25"/>
      <c r="Q980" s="25"/>
      <c r="R980" s="25"/>
      <c r="S980" s="25"/>
      <c r="T980" s="25"/>
      <c r="U980" s="25"/>
      <c r="V980" s="25"/>
      <c r="W980" s="25"/>
      <c r="X980" s="25"/>
    </row>
    <row r="981" spans="1:24" ht="13">
      <c r="A981" s="25"/>
      <c r="B981" s="25"/>
      <c r="C981" s="25"/>
      <c r="D981" s="25" t="str">
        <f t="array" ref="D981">IF(OR(LEFT(C981,1)="(",COUNTA(C981)=0),"", INDEX(Honor!$B$2:$B998,MATCH(C981,Honor!$A$2:$A998,0)))</f>
        <v/>
      </c>
      <c r="E981" s="25" t="str">
        <f t="array" ref="E981">IF(OR(LEFT(C981,1)="(",COUNTA(C981)=0),"",INDEX(Honor!$O$2:$O998,MATCH(C981,Honor!$A$2:$A998,0)))</f>
        <v/>
      </c>
      <c r="F981" s="25"/>
      <c r="G981" s="25"/>
      <c r="H981" s="25"/>
      <c r="I981" s="25"/>
      <c r="J981" s="25"/>
      <c r="K981" s="25"/>
      <c r="L981" s="25"/>
      <c r="M981" s="25"/>
      <c r="N981" s="25"/>
      <c r="O981" s="25"/>
      <c r="P981" s="25"/>
      <c r="Q981" s="25"/>
      <c r="R981" s="25"/>
      <c r="S981" s="25"/>
      <c r="T981" s="25"/>
      <c r="U981" s="25"/>
      <c r="V981" s="25"/>
      <c r="W981" s="25"/>
      <c r="X981" s="25"/>
    </row>
    <row r="982" spans="1:24" ht="13">
      <c r="A982" s="25"/>
      <c r="B982" s="25"/>
      <c r="C982" s="25"/>
      <c r="D982" s="25" t="str">
        <f t="array" ref="D982">IF(OR(LEFT(C982,1)="(",COUNTA(C982)=0),"", INDEX(Honor!$B$2:$B998,MATCH(C982,Honor!$A$2:$A998,0)))</f>
        <v/>
      </c>
      <c r="E982" s="25" t="str">
        <f t="array" ref="E982">IF(OR(LEFT(C982,1)="(",COUNTA(C982)=0),"",INDEX(Honor!$O$2:$O998,MATCH(C982,Honor!$A$2:$A998,0)))</f>
        <v/>
      </c>
      <c r="F982" s="25"/>
      <c r="G982" s="25"/>
      <c r="H982" s="25"/>
      <c r="I982" s="25"/>
      <c r="J982" s="25"/>
      <c r="K982" s="25"/>
      <c r="L982" s="25"/>
      <c r="M982" s="25"/>
      <c r="N982" s="25"/>
      <c r="O982" s="25"/>
      <c r="P982" s="25"/>
      <c r="Q982" s="25"/>
      <c r="R982" s="25"/>
      <c r="S982" s="25"/>
      <c r="T982" s="25"/>
      <c r="U982" s="25"/>
      <c r="V982" s="25"/>
      <c r="W982" s="25"/>
      <c r="X982" s="25"/>
    </row>
    <row r="983" spans="1:24" ht="13">
      <c r="A983" s="25"/>
      <c r="B983" s="25"/>
      <c r="C983" s="25"/>
      <c r="D983" s="25" t="str">
        <f t="array" ref="D983">IF(OR(LEFT(C983,1)="(",COUNTA(C983)=0),"", INDEX(Honor!$B$2:$B998,MATCH(C983,Honor!$A$2:$A998,0)))</f>
        <v/>
      </c>
      <c r="E983" s="25" t="str">
        <f t="array" ref="E983">IF(OR(LEFT(C983,1)="(",COUNTA(C983)=0),"",INDEX(Honor!$O$2:$O998,MATCH(C983,Honor!$A$2:$A998,0)))</f>
        <v/>
      </c>
      <c r="F983" s="25"/>
      <c r="G983" s="25"/>
      <c r="H983" s="25"/>
      <c r="I983" s="25"/>
      <c r="J983" s="25"/>
      <c r="K983" s="25"/>
      <c r="L983" s="25"/>
      <c r="M983" s="25"/>
      <c r="N983" s="25"/>
      <c r="O983" s="25"/>
      <c r="P983" s="25"/>
      <c r="Q983" s="25"/>
      <c r="R983" s="25"/>
      <c r="S983" s="25"/>
      <c r="T983" s="25"/>
      <c r="U983" s="25"/>
      <c r="V983" s="25"/>
      <c r="W983" s="25"/>
      <c r="X983" s="25"/>
    </row>
    <row r="984" spans="1:24" ht="13">
      <c r="A984" s="25"/>
      <c r="B984" s="25"/>
      <c r="C984" s="25"/>
      <c r="D984" s="25" t="str">
        <f t="array" ref="D984">IF(OR(LEFT(C984,1)="(",COUNTA(C984)=0),"", INDEX(Honor!$B$2:$B998,MATCH(C984,Honor!$A$2:$A998,0)))</f>
        <v/>
      </c>
      <c r="E984" s="25" t="str">
        <f t="array" ref="E984">IF(OR(LEFT(C984,1)="(",COUNTA(C984)=0),"",INDEX(Honor!$O$2:$O998,MATCH(C984,Honor!$A$2:$A998,0)))</f>
        <v/>
      </c>
      <c r="F984" s="25"/>
      <c r="G984" s="25"/>
      <c r="H984" s="25"/>
      <c r="I984" s="25"/>
      <c r="J984" s="25"/>
      <c r="K984" s="25"/>
      <c r="L984" s="25"/>
      <c r="M984" s="25"/>
      <c r="N984" s="25"/>
      <c r="O984" s="25"/>
      <c r="P984" s="25"/>
      <c r="Q984" s="25"/>
      <c r="R984" s="25"/>
      <c r="S984" s="25"/>
      <c r="T984" s="25"/>
      <c r="U984" s="25"/>
      <c r="V984" s="25"/>
      <c r="W984" s="25"/>
      <c r="X984" s="25"/>
    </row>
    <row r="985" spans="1:24" ht="13">
      <c r="A985" s="25"/>
      <c r="B985" s="25"/>
      <c r="C985" s="25"/>
      <c r="D985" s="25" t="str">
        <f t="array" ref="D985">IF(OR(LEFT(C985,1)="(",COUNTA(C985)=0),"", INDEX(Honor!$B$2:$B998,MATCH(C985,Honor!$A$2:$A998,0)))</f>
        <v/>
      </c>
      <c r="E985" s="25" t="str">
        <f t="array" ref="E985">IF(OR(LEFT(C985,1)="(",COUNTA(C985)=0),"",INDEX(Honor!$O$2:$O998,MATCH(C985,Honor!$A$2:$A998,0)))</f>
        <v/>
      </c>
      <c r="F985" s="25"/>
      <c r="G985" s="25"/>
      <c r="H985" s="25"/>
      <c r="I985" s="25"/>
      <c r="J985" s="25"/>
      <c r="K985" s="25"/>
      <c r="L985" s="25"/>
      <c r="M985" s="25"/>
      <c r="N985" s="25"/>
      <c r="O985" s="25"/>
      <c r="P985" s="25"/>
      <c r="Q985" s="25"/>
      <c r="R985" s="25"/>
      <c r="S985" s="25"/>
      <c r="T985" s="25"/>
      <c r="U985" s="25"/>
      <c r="V985" s="25"/>
      <c r="W985" s="25"/>
      <c r="X985" s="25"/>
    </row>
    <row r="986" spans="1:24" ht="13">
      <c r="A986" s="25"/>
      <c r="B986" s="25"/>
      <c r="C986" s="25"/>
      <c r="D986" s="25" t="str">
        <f t="array" ref="D986">IF(OR(LEFT(C986,1)="(",COUNTA(C986)=0),"", INDEX(Honor!$B$2:$B998,MATCH(C986,Honor!$A$2:$A998,0)))</f>
        <v/>
      </c>
      <c r="E986" s="25" t="str">
        <f t="array" ref="E986">IF(OR(LEFT(C986,1)="(",COUNTA(C986)=0),"",INDEX(Honor!$O$2:$O998,MATCH(C986,Honor!$A$2:$A998,0)))</f>
        <v/>
      </c>
      <c r="F986" s="25"/>
      <c r="G986" s="25"/>
      <c r="H986" s="25"/>
      <c r="I986" s="25"/>
      <c r="J986" s="25"/>
      <c r="K986" s="25"/>
      <c r="L986" s="25"/>
      <c r="M986" s="25"/>
      <c r="N986" s="25"/>
      <c r="O986" s="25"/>
      <c r="P986" s="25"/>
      <c r="Q986" s="25"/>
      <c r="R986" s="25"/>
      <c r="S986" s="25"/>
      <c r="T986" s="25"/>
      <c r="U986" s="25"/>
      <c r="V986" s="25"/>
      <c r="W986" s="25"/>
      <c r="X986" s="25"/>
    </row>
    <row r="987" spans="1:24" ht="13">
      <c r="A987" s="25"/>
      <c r="B987" s="25"/>
      <c r="C987" s="25"/>
      <c r="D987" s="25" t="str">
        <f t="array" ref="D987">IF(OR(LEFT(C987,1)="(",COUNTA(C987)=0),"", INDEX(Honor!$B$2:$B998,MATCH(C987,Honor!$A$2:$A998,0)))</f>
        <v/>
      </c>
      <c r="E987" s="25" t="str">
        <f t="array" ref="E987">IF(OR(LEFT(C987,1)="(",COUNTA(C987)=0),"",INDEX(Honor!$O$2:$O998,MATCH(C987,Honor!$A$2:$A998,0)))</f>
        <v/>
      </c>
      <c r="F987" s="25"/>
      <c r="G987" s="25"/>
      <c r="H987" s="25"/>
      <c r="I987" s="25"/>
      <c r="J987" s="25"/>
      <c r="K987" s="25"/>
      <c r="L987" s="25"/>
      <c r="M987" s="25"/>
      <c r="N987" s="25"/>
      <c r="O987" s="25"/>
      <c r="P987" s="25"/>
      <c r="Q987" s="25"/>
      <c r="R987" s="25"/>
      <c r="S987" s="25"/>
      <c r="T987" s="25"/>
      <c r="U987" s="25"/>
      <c r="V987" s="25"/>
      <c r="W987" s="25"/>
      <c r="X987" s="25"/>
    </row>
    <row r="988" spans="1:24" ht="13">
      <c r="A988" s="25"/>
      <c r="B988" s="25"/>
      <c r="C988" s="25"/>
      <c r="D988" s="25" t="str">
        <f t="array" ref="D988">IF(OR(LEFT(C988,1)="(",COUNTA(C988)=0),"", INDEX(Honor!$B$2:$B998,MATCH(C988,Honor!$A$2:$A998,0)))</f>
        <v/>
      </c>
      <c r="E988" s="25" t="str">
        <f t="array" ref="E988">IF(OR(LEFT(C988,1)="(",COUNTA(C988)=0),"",INDEX(Honor!$O$2:$O998,MATCH(C988,Honor!$A$2:$A998,0)))</f>
        <v/>
      </c>
      <c r="F988" s="25"/>
      <c r="G988" s="25"/>
      <c r="H988" s="25"/>
      <c r="I988" s="25"/>
      <c r="J988" s="25"/>
      <c r="K988" s="25"/>
      <c r="L988" s="25"/>
      <c r="M988" s="25"/>
      <c r="N988" s="25"/>
      <c r="O988" s="25"/>
      <c r="P988" s="25"/>
      <c r="Q988" s="25"/>
      <c r="R988" s="25"/>
      <c r="S988" s="25"/>
      <c r="T988" s="25"/>
      <c r="U988" s="25"/>
      <c r="V988" s="25"/>
      <c r="W988" s="25"/>
      <c r="X988" s="25"/>
    </row>
    <row r="989" spans="1:24" ht="13">
      <c r="A989" s="25"/>
      <c r="B989" s="25"/>
      <c r="C989" s="25"/>
      <c r="D989" s="25" t="str">
        <f t="array" ref="D989">IF(OR(LEFT(C989,1)="(",COUNTA(C989)=0),"", INDEX(Honor!$B$2:$B998,MATCH(C989,Honor!$A$2:$A998,0)))</f>
        <v/>
      </c>
      <c r="E989" s="25" t="str">
        <f t="array" ref="E989">IF(OR(LEFT(C989,1)="(",COUNTA(C989)=0),"",INDEX(Honor!$O$2:$O998,MATCH(C989,Honor!$A$2:$A998,0)))</f>
        <v/>
      </c>
      <c r="F989" s="25"/>
      <c r="G989" s="25"/>
      <c r="H989" s="25"/>
      <c r="I989" s="25"/>
      <c r="J989" s="25"/>
      <c r="K989" s="25"/>
      <c r="L989" s="25"/>
      <c r="M989" s="25"/>
      <c r="N989" s="25"/>
      <c r="O989" s="25"/>
      <c r="P989" s="25"/>
      <c r="Q989" s="25"/>
      <c r="R989" s="25"/>
      <c r="S989" s="25"/>
      <c r="T989" s="25"/>
      <c r="U989" s="25"/>
      <c r="V989" s="25"/>
      <c r="W989" s="25"/>
      <c r="X989" s="25"/>
    </row>
    <row r="990" spans="1:24" ht="13">
      <c r="A990" s="25"/>
      <c r="B990" s="25"/>
      <c r="C990" s="25"/>
      <c r="D990" s="25" t="str">
        <f t="array" ref="D990">IF(OR(LEFT(C990,1)="(",COUNTA(C990)=0),"", INDEX(Honor!$B$2:$B998,MATCH(C990,Honor!$A$2:$A998,0)))</f>
        <v/>
      </c>
      <c r="E990" s="25" t="str">
        <f t="array" ref="E990">IF(OR(LEFT(C990,1)="(",COUNTA(C990)=0),"",INDEX(Honor!$O$2:$O998,MATCH(C990,Honor!$A$2:$A998,0)))</f>
        <v/>
      </c>
      <c r="F990" s="25"/>
      <c r="G990" s="25"/>
      <c r="H990" s="25"/>
      <c r="I990" s="25"/>
      <c r="J990" s="25"/>
      <c r="K990" s="25"/>
      <c r="L990" s="25"/>
      <c r="M990" s="25"/>
      <c r="N990" s="25"/>
      <c r="O990" s="25"/>
      <c r="P990" s="25"/>
      <c r="Q990" s="25"/>
      <c r="R990" s="25"/>
      <c r="S990" s="25"/>
      <c r="T990" s="25"/>
      <c r="U990" s="25"/>
      <c r="V990" s="25"/>
      <c r="W990" s="25"/>
      <c r="X990" s="25"/>
    </row>
    <row r="991" spans="1:24" ht="13">
      <c r="A991" s="25"/>
      <c r="B991" s="25"/>
      <c r="C991" s="25"/>
      <c r="D991" s="25" t="str">
        <f t="array" ref="D991">IF(OR(LEFT(C991,1)="(",COUNTA(C991)=0),"", INDEX(Honor!$B$2:$B998,MATCH(C991,Honor!$A$2:$A998,0)))</f>
        <v/>
      </c>
      <c r="E991" s="25" t="str">
        <f t="array" ref="E991">IF(OR(LEFT(C991,1)="(",COUNTA(C991)=0),"",INDEX(Honor!$O$2:$O998,MATCH(C991,Honor!$A$2:$A998,0)))</f>
        <v/>
      </c>
      <c r="F991" s="25"/>
      <c r="G991" s="25"/>
      <c r="H991" s="25"/>
      <c r="I991" s="25"/>
      <c r="J991" s="25"/>
      <c r="K991" s="25"/>
      <c r="L991" s="25"/>
      <c r="M991" s="25"/>
      <c r="N991" s="25"/>
      <c r="O991" s="25"/>
      <c r="P991" s="25"/>
      <c r="Q991" s="25"/>
      <c r="R991" s="25"/>
      <c r="S991" s="25"/>
      <c r="T991" s="25"/>
      <c r="U991" s="25"/>
      <c r="V991" s="25"/>
      <c r="W991" s="25"/>
      <c r="X991" s="25"/>
    </row>
    <row r="992" spans="1:24" ht="13">
      <c r="A992" s="25"/>
      <c r="B992" s="25"/>
      <c r="C992" s="25"/>
      <c r="D992" s="25" t="str">
        <f t="array" ref="D992">IF(OR(LEFT(C992,1)="(",COUNTA(C992)=0),"", INDEX(Honor!$B$2:$B998,MATCH(C992,Honor!$A$2:$A998,0)))</f>
        <v/>
      </c>
      <c r="E992" s="25" t="str">
        <f t="array" ref="E992">IF(OR(LEFT(C992,1)="(",COUNTA(C992)=0),"",INDEX(Honor!$O$2:$O998,MATCH(C992,Honor!$A$2:$A998,0)))</f>
        <v/>
      </c>
      <c r="F992" s="25"/>
      <c r="G992" s="25"/>
      <c r="H992" s="25"/>
      <c r="I992" s="25"/>
      <c r="J992" s="25"/>
      <c r="K992" s="25"/>
      <c r="L992" s="25"/>
      <c r="M992" s="25"/>
      <c r="N992" s="25"/>
      <c r="O992" s="25"/>
      <c r="P992" s="25"/>
      <c r="Q992" s="25"/>
      <c r="R992" s="25"/>
      <c r="S992" s="25"/>
      <c r="T992" s="25"/>
      <c r="U992" s="25"/>
      <c r="V992" s="25"/>
      <c r="W992" s="25"/>
      <c r="X992" s="25"/>
    </row>
    <row r="993" spans="1:24" ht="13">
      <c r="A993" s="25"/>
      <c r="B993" s="25"/>
      <c r="C993" s="25"/>
      <c r="D993" s="25" t="str">
        <f t="array" ref="D993">IF(OR(LEFT(C993,1)="(",COUNTA(C993)=0),"", INDEX(Honor!$B$2:$B998,MATCH(C993,Honor!$A$2:$A998,0)))</f>
        <v/>
      </c>
      <c r="E993" s="25" t="str">
        <f t="array" ref="E993">IF(OR(LEFT(C993,1)="(",COUNTA(C993)=0),"",INDEX(Honor!$O$2:$O998,MATCH(C993,Honor!$A$2:$A998,0)))</f>
        <v/>
      </c>
      <c r="F993" s="25"/>
      <c r="G993" s="25"/>
      <c r="H993" s="25"/>
      <c r="I993" s="25"/>
      <c r="J993" s="25"/>
      <c r="K993" s="25"/>
      <c r="L993" s="25"/>
      <c r="M993" s="25"/>
      <c r="N993" s="25"/>
      <c r="O993" s="25"/>
      <c r="P993" s="25"/>
      <c r="Q993" s="25"/>
      <c r="R993" s="25"/>
      <c r="S993" s="25"/>
      <c r="T993" s="25"/>
      <c r="U993" s="25"/>
      <c r="V993" s="25"/>
      <c r="W993" s="25"/>
      <c r="X993" s="25"/>
    </row>
    <row r="994" spans="1:24" ht="13">
      <c r="A994" s="25"/>
      <c r="B994" s="25"/>
      <c r="C994" s="25"/>
      <c r="D994" s="25" t="str">
        <f t="array" ref="D994">IF(OR(LEFT(C994,1)="(",COUNTA(C994)=0),"", INDEX(Honor!$B$2:$B998,MATCH(C994,Honor!$A$2:$A998,0)))</f>
        <v/>
      </c>
      <c r="E994" s="25" t="str">
        <f t="array" ref="E994">IF(OR(LEFT(C994,1)="(",COUNTA(C994)=0),"",INDEX(Honor!$O$2:$O998,MATCH(C994,Honor!$A$2:$A998,0)))</f>
        <v/>
      </c>
      <c r="F994" s="25"/>
      <c r="G994" s="25"/>
      <c r="H994" s="25"/>
      <c r="I994" s="25"/>
      <c r="J994" s="25"/>
      <c r="K994" s="25"/>
      <c r="L994" s="25"/>
      <c r="M994" s="25"/>
      <c r="N994" s="25"/>
      <c r="O994" s="25"/>
      <c r="P994" s="25"/>
      <c r="Q994" s="25"/>
      <c r="R994" s="25"/>
      <c r="S994" s="25"/>
      <c r="T994" s="25"/>
      <c r="U994" s="25"/>
      <c r="V994" s="25"/>
      <c r="W994" s="25"/>
      <c r="X994" s="25"/>
    </row>
    <row r="995" spans="1:24" ht="13">
      <c r="A995" s="25"/>
      <c r="B995" s="25"/>
      <c r="C995" s="25"/>
      <c r="D995" s="25" t="str">
        <f t="array" ref="D995">IF(OR(LEFT(C995,1)="(",COUNTA(C995)=0),"", INDEX(Honor!$B$2:$B998,MATCH(C995,Honor!$A$2:$A998,0)))</f>
        <v/>
      </c>
      <c r="E995" s="25" t="str">
        <f t="array" ref="E995">IF(OR(LEFT(C995,1)="(",COUNTA(C995)=0),"",INDEX(Honor!$O$2:$O998,MATCH(C995,Honor!$A$2:$A998,0)))</f>
        <v/>
      </c>
      <c r="F995" s="25"/>
      <c r="G995" s="25"/>
      <c r="H995" s="25"/>
      <c r="I995" s="25"/>
      <c r="J995" s="25"/>
      <c r="K995" s="25"/>
      <c r="L995" s="25"/>
      <c r="M995" s="25"/>
      <c r="N995" s="25"/>
      <c r="O995" s="25"/>
      <c r="P995" s="25"/>
      <c r="Q995" s="25"/>
      <c r="R995" s="25"/>
      <c r="S995" s="25"/>
      <c r="T995" s="25"/>
      <c r="U995" s="25"/>
      <c r="V995" s="25"/>
      <c r="W995" s="25"/>
      <c r="X995" s="25"/>
    </row>
    <row r="996" spans="1:24" ht="13">
      <c r="A996" s="25"/>
      <c r="B996" s="25"/>
      <c r="C996" s="25"/>
      <c r="D996" s="25" t="str">
        <f t="array" ref="D996">IF(OR(LEFT(C996,1)="(",COUNTA(C996)=0),"", INDEX(Honor!$B$2:$B998,MATCH(C996,Honor!$A$2:$A998,0)))</f>
        <v/>
      </c>
      <c r="E996" s="25" t="str">
        <f t="array" ref="E996">IF(OR(LEFT(C996,1)="(",COUNTA(C996)=0),"",INDEX(Honor!$O$2:$O998,MATCH(C996,Honor!$A$2:$A998,0)))</f>
        <v/>
      </c>
      <c r="F996" s="25"/>
      <c r="G996" s="25"/>
      <c r="H996" s="25"/>
      <c r="I996" s="25"/>
      <c r="J996" s="25"/>
      <c r="K996" s="25"/>
      <c r="L996" s="25"/>
      <c r="M996" s="25"/>
      <c r="N996" s="25"/>
      <c r="O996" s="25"/>
      <c r="P996" s="25"/>
      <c r="Q996" s="25"/>
      <c r="R996" s="25"/>
      <c r="S996" s="25"/>
      <c r="T996" s="25"/>
      <c r="U996" s="25"/>
      <c r="V996" s="25"/>
      <c r="W996" s="25"/>
      <c r="X996" s="25"/>
    </row>
    <row r="997" spans="1:24" ht="13">
      <c r="A997" s="25"/>
      <c r="B997" s="25"/>
      <c r="C997" s="25"/>
      <c r="D997" s="25" t="str">
        <f t="array" ref="D997">IF(OR(LEFT(C997,1)="(",COUNTA(C997)=0),"", INDEX(Honor!$B$2:$B998,MATCH(C997,Honor!$A$2:$A998,0)))</f>
        <v/>
      </c>
      <c r="E997" s="25" t="str">
        <f t="array" ref="E997">IF(OR(LEFT(C997,1)="(",COUNTA(C997)=0),"",INDEX(Honor!$O$2:$O998,MATCH(C997,Honor!$A$2:$A998,0)))</f>
        <v/>
      </c>
      <c r="F997" s="25"/>
      <c r="G997" s="25"/>
      <c r="H997" s="25"/>
      <c r="I997" s="25"/>
      <c r="J997" s="25"/>
      <c r="K997" s="25"/>
      <c r="L997" s="25"/>
      <c r="M997" s="25"/>
      <c r="N997" s="25"/>
      <c r="O997" s="25"/>
      <c r="P997" s="25"/>
      <c r="Q997" s="25"/>
      <c r="R997" s="25"/>
      <c r="S997" s="25"/>
      <c r="T997" s="25"/>
      <c r="U997" s="25"/>
      <c r="V997" s="25"/>
      <c r="W997" s="25"/>
      <c r="X997" s="25"/>
    </row>
    <row r="998" spans="1:24" ht="13">
      <c r="A998" s="25"/>
      <c r="B998" s="25"/>
      <c r="C998" s="25"/>
      <c r="D998" s="25"/>
      <c r="E998" s="25"/>
      <c r="F998" s="25"/>
      <c r="G998" s="25"/>
      <c r="H998" s="25"/>
      <c r="I998" s="25"/>
      <c r="J998" s="25"/>
      <c r="K998" s="25"/>
      <c r="L998" s="25"/>
      <c r="M998" s="25"/>
      <c r="N998" s="25"/>
      <c r="O998" s="25"/>
      <c r="P998" s="25"/>
      <c r="Q998" s="25"/>
      <c r="R998" s="25"/>
      <c r="S998" s="25"/>
      <c r="T998" s="25"/>
      <c r="U998" s="25"/>
      <c r="V998" s="25"/>
      <c r="W998" s="25"/>
      <c r="X998" s="25"/>
    </row>
  </sheetData>
  <autoFilter ref="C11:E44" xr:uid="{00000000-0009-0000-0000-000001000000}"/>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outlinePr summaryBelow="0" summaryRight="0"/>
  </sheetPr>
  <dimension ref="A1:AE800"/>
  <sheetViews>
    <sheetView tabSelected="1" workbookViewId="0">
      <pane ySplit="1" topLeftCell="A2" activePane="bottomLeft" state="frozen"/>
      <selection pane="bottomLeft" activeCell="C8" sqref="C8"/>
    </sheetView>
  </sheetViews>
  <sheetFormatPr defaultColWidth="12.6328125" defaultRowHeight="15.75" customHeight="1"/>
  <cols>
    <col min="1" max="1" width="16" style="127" customWidth="1"/>
    <col min="2" max="2" width="37" customWidth="1"/>
    <col min="3" max="3" width="11.36328125" customWidth="1"/>
    <col min="4" max="4" width="13.26953125" customWidth="1"/>
    <col min="5" max="5" width="23.6328125" customWidth="1"/>
    <col min="6" max="7" width="24.90625" hidden="1" customWidth="1"/>
    <col min="8" max="8" width="38.36328125" customWidth="1"/>
    <col min="9" max="9" width="65.36328125" customWidth="1"/>
    <col min="10" max="10" width="14.36328125" customWidth="1"/>
    <col min="11" max="11" width="25.90625" customWidth="1"/>
    <col min="12" max="12" width="28.26953125" customWidth="1"/>
    <col min="13" max="13" width="20.453125" customWidth="1"/>
    <col min="14" max="15" width="25.6328125" customWidth="1"/>
    <col min="16" max="16" width="23" customWidth="1"/>
    <col min="18" max="19" width="26.26953125" customWidth="1"/>
    <col min="20" max="20" width="40.36328125" customWidth="1"/>
    <col min="21" max="23" width="20.26953125" customWidth="1"/>
    <col min="24" max="24" width="57.08984375" customWidth="1"/>
    <col min="25" max="31" width="20.26953125" customWidth="1"/>
  </cols>
  <sheetData>
    <row r="1" spans="1:31" ht="39">
      <c r="A1" s="124" t="s">
        <v>6929</v>
      </c>
      <c r="B1" s="58" t="s">
        <v>6930</v>
      </c>
      <c r="C1" s="59" t="s">
        <v>6931</v>
      </c>
      <c r="D1" s="59" t="s">
        <v>6932</v>
      </c>
      <c r="E1" s="59" t="s">
        <v>6933</v>
      </c>
      <c r="F1" s="58" t="s">
        <v>6934</v>
      </c>
      <c r="G1" s="59" t="s">
        <v>6935</v>
      </c>
      <c r="H1" s="58" t="s">
        <v>6936</v>
      </c>
      <c r="I1" s="58" t="s">
        <v>6937</v>
      </c>
      <c r="J1" s="59" t="s">
        <v>6938</v>
      </c>
      <c r="K1" s="60" t="s">
        <v>6939</v>
      </c>
      <c r="L1" s="58" t="s">
        <v>6940</v>
      </c>
      <c r="M1" s="59" t="s">
        <v>6941</v>
      </c>
      <c r="N1" s="61" t="s">
        <v>6942</v>
      </c>
      <c r="O1" s="62" t="s">
        <v>6943</v>
      </c>
      <c r="P1" s="63" t="s">
        <v>6944</v>
      </c>
      <c r="Q1" s="63" t="s">
        <v>6945</v>
      </c>
      <c r="R1" s="59" t="s">
        <v>6946</v>
      </c>
      <c r="S1" s="59" t="s">
        <v>6947</v>
      </c>
      <c r="T1" s="59" t="s">
        <v>6948</v>
      </c>
      <c r="U1" s="58" t="s">
        <v>6949</v>
      </c>
      <c r="V1" s="59" t="s">
        <v>6950</v>
      </c>
      <c r="W1" s="62" t="s">
        <v>6951</v>
      </c>
      <c r="X1" s="59" t="s">
        <v>6952</v>
      </c>
      <c r="Y1" s="59" t="s">
        <v>6953</v>
      </c>
      <c r="Z1" s="59" t="s">
        <v>6954</v>
      </c>
      <c r="AA1" s="62" t="s">
        <v>6955</v>
      </c>
      <c r="AB1" s="62" t="s">
        <v>6956</v>
      </c>
      <c r="AC1" s="62" t="s">
        <v>6957</v>
      </c>
      <c r="AD1" s="62" t="s">
        <v>6958</v>
      </c>
      <c r="AE1" s="62" t="s">
        <v>6959</v>
      </c>
    </row>
    <row r="2" spans="1:31" ht="12.5">
      <c r="A2" s="125">
        <v>610422030002</v>
      </c>
      <c r="B2" s="65" t="s">
        <v>66</v>
      </c>
      <c r="D2" s="10">
        <f t="array" aca="1" ref="D2" ca="1">INDEX('Mitra per Bulan'!$M$2:$M800,MATCH(S2,'Mitra per Bulan'!$B$2:$B800,0))</f>
        <v>1</v>
      </c>
      <c r="E2" s="10" t="str">
        <f t="array" ref="E2">INDEX('Database Mitra'!$A$2:$A800,MATCH(A2,'Database Mitra'!$B$2:$B800,0))</f>
        <v>Deti Erni Widiastuti</v>
      </c>
      <c r="F2" s="64" t="s">
        <v>25</v>
      </c>
      <c r="G2" s="5" t="str">
        <f t="array" ref="G2">INDEX('Database Mitra'!$G$2:$G800,MATCH(A2,'Database Mitra'!$B$2:$B800,0))</f>
        <v>6102016712860001</v>
      </c>
      <c r="H2" s="64" t="s">
        <v>67</v>
      </c>
      <c r="I2" s="65" t="s">
        <v>68</v>
      </c>
      <c r="J2" s="10" t="str">
        <f t="array" ref="J2">INDEX(Honor!$H$2:$H800,MATCH($I2,Honor!$A$2:$A800,0))</f>
        <v>Dokumen</v>
      </c>
      <c r="K2" s="66">
        <f t="array" ref="K2">INDEX(Honor!$I$2:$I800,MATCH($I2,Honor!$A$2:$A800,0))</f>
        <v>50000</v>
      </c>
      <c r="L2" s="64">
        <v>15</v>
      </c>
      <c r="M2" s="10">
        <f t="shared" ref="M2:M795" si="0">K2*L2</f>
        <v>750000</v>
      </c>
      <c r="O2" s="67">
        <f t="array" ref="O2">INDEX(Honor!$L$2:$L800,MATCH($I2,Honor!$A$2:$A800,0))</f>
        <v>45311</v>
      </c>
      <c r="P2" s="10">
        <f t="shared" ref="P2:P795" si="1">YEAR(O2)</f>
        <v>2024</v>
      </c>
      <c r="Q2" s="10">
        <f t="shared" ref="Q2:Q795" si="2">MONTH(O2)</f>
        <v>1</v>
      </c>
      <c r="R2" s="10" t="str">
        <f t="array" ref="R2">INDEX(Honor!$Q$2:$Q800,MATCH($I2,Honor!$A$2:$A800,0))</f>
        <v>SURVEI-PPL</v>
      </c>
      <c r="S2" s="10" t="str">
        <f t="shared" ref="S2:S795" si="3">CONCATENATE(A2,"-",P2,"-",Q2)</f>
        <v>610422030002-2024-1</v>
      </c>
      <c r="T2" s="10" t="str">
        <f t="shared" ref="T2:T795" si="4">S2&amp;"-"&amp;R2</f>
        <v>610422030002-2024-1-SURVEI-PPL</v>
      </c>
      <c r="U2" s="64">
        <v>1</v>
      </c>
      <c r="V2" s="10" t="e">
        <f t="array" aca="1" ref="V2" ca="1">INDEX(Honor!$O$2:$O800,MATCH($I2,Honor!$A$2:$A800,0))</f>
        <v>#NAME?</v>
      </c>
      <c r="W2" s="68">
        <v>45347</v>
      </c>
      <c r="X2" s="7" t="str">
        <f t="array" ref="X2">INDEX('Input Kegiatan'!$B$2:$B800,MATCH(B2,'Input Kegiatan'!$A$2:$A800,0))</f>
        <v>Survei Harga Perdagangan Besar (SHPB24) Januari</v>
      </c>
      <c r="Y2" s="7" t="s">
        <v>3715</v>
      </c>
      <c r="Z2" s="7" t="s">
        <v>3716</v>
      </c>
      <c r="AA2" s="68">
        <f t="shared" ref="AA2:AA795" si="5">AB2-1</f>
        <v>45291</v>
      </c>
      <c r="AB2" s="68">
        <f t="shared" ref="AB2:AB795" si="6">EOMONTH(O2, -1) + 1</f>
        <v>45292</v>
      </c>
      <c r="AC2" s="68">
        <f t="shared" ref="AC2:AC795" si="7">EOMONTH(AB2, 0) + 0</f>
        <v>45322</v>
      </c>
      <c r="AD2" s="68">
        <f t="shared" ref="AD2:AD795" si="8">AC2-1</f>
        <v>45321</v>
      </c>
      <c r="AE2" s="68">
        <f t="shared" ref="AE2:AE795" si="9">AC2</f>
        <v>45322</v>
      </c>
    </row>
    <row r="3" spans="1:31" ht="12.5">
      <c r="A3" s="125">
        <v>610422100244</v>
      </c>
      <c r="B3" s="64" t="s">
        <v>69</v>
      </c>
      <c r="D3" s="10">
        <f t="array" aca="1" ref="D3" ca="1">INDEX('Mitra per Bulan'!$M$2:$M800,MATCH(S3,'Mitra per Bulan'!$B$2:$B800,0))</f>
        <v>1</v>
      </c>
      <c r="E3" s="10" t="str">
        <f t="array" ref="E3">INDEX('Database Mitra'!$A$2:$A800,MATCH(A3,'Database Mitra'!$B$2:$B800,0))</f>
        <v>Sugianto</v>
      </c>
      <c r="F3" s="64" t="s">
        <v>25</v>
      </c>
      <c r="G3" s="5" t="str">
        <f t="array" ref="G3">INDEX('Database Mitra'!$G$2:$G800,MATCH(A3,'Database Mitra'!$B$2:$B800,0))</f>
        <v>6102171003900002</v>
      </c>
      <c r="H3" s="64" t="s">
        <v>67</v>
      </c>
      <c r="I3" s="65" t="s">
        <v>70</v>
      </c>
      <c r="J3" s="10" t="str">
        <f t="array" ref="J3">INDEX(Honor!$H$2:$H800,MATCH($I3,Honor!$A$2:$A800,0))</f>
        <v>Dokumen</v>
      </c>
      <c r="K3" s="66">
        <f t="array" ref="K3">INDEX(Honor!$I$2:$I800,MATCH($I3,Honor!$A$2:$A800,0))</f>
        <v>50000</v>
      </c>
      <c r="L3" s="64">
        <v>1</v>
      </c>
      <c r="M3" s="10">
        <f t="shared" si="0"/>
        <v>50000</v>
      </c>
      <c r="O3" s="67">
        <f t="array" ref="O3">INDEX(Honor!$L$2:$L800,MATCH($I3,Honor!$A$2:$A800,0))</f>
        <v>45311</v>
      </c>
      <c r="P3" s="10">
        <f t="shared" si="1"/>
        <v>2024</v>
      </c>
      <c r="Q3" s="10">
        <f t="shared" si="2"/>
        <v>1</v>
      </c>
      <c r="R3" s="10" t="str">
        <f t="array" ref="R3">INDEX(Honor!$Q$2:$Q800,MATCH($I3,Honor!$A$2:$A800,0))</f>
        <v>SURVEI-PPL</v>
      </c>
      <c r="S3" s="10" t="str">
        <f t="shared" si="3"/>
        <v>610422100244-2024-1</v>
      </c>
      <c r="T3" s="10" t="str">
        <f t="shared" si="4"/>
        <v>610422100244-2024-1-SURVEI-PPL</v>
      </c>
      <c r="U3" s="64">
        <v>1</v>
      </c>
      <c r="V3" s="10" t="e">
        <f t="array" aca="1" ref="V3" ca="1">INDEX(Honor!$O$2:$O800,MATCH($I3,Honor!$A$2:$A800,0))</f>
        <v>#NAME?</v>
      </c>
      <c r="W3" s="68">
        <v>45347</v>
      </c>
      <c r="X3" s="7" t="str">
        <f t="array" ref="X3">INDEX('Input Kegiatan'!$B$2:$B800,MATCH(B3,'Input Kegiatan'!$A$2:$A800,0))</f>
        <v>Survei Harga Produsen Gabah (HPG24) Januari</v>
      </c>
      <c r="Y3" s="7" t="s">
        <v>5741</v>
      </c>
      <c r="Z3" s="7" t="s">
        <v>5796</v>
      </c>
      <c r="AA3" s="68">
        <f t="shared" si="5"/>
        <v>45291</v>
      </c>
      <c r="AB3" s="68">
        <f t="shared" si="6"/>
        <v>45292</v>
      </c>
      <c r="AC3" s="68">
        <f t="shared" si="7"/>
        <v>45322</v>
      </c>
      <c r="AD3" s="68">
        <f t="shared" si="8"/>
        <v>45321</v>
      </c>
      <c r="AE3" s="68">
        <f t="shared" si="9"/>
        <v>45322</v>
      </c>
    </row>
    <row r="4" spans="1:31" ht="12.5">
      <c r="A4" s="125">
        <v>610422100124</v>
      </c>
      <c r="B4" s="64" t="s">
        <v>69</v>
      </c>
      <c r="D4" s="10">
        <f t="array" aca="1" ref="D4" ca="1">INDEX('Mitra per Bulan'!$M$2:$M800,MATCH(S4,'Mitra per Bulan'!$B$2:$B800,0))</f>
        <v>1</v>
      </c>
      <c r="E4" s="10" t="str">
        <f t="array" ref="E4">INDEX('Database Mitra'!$A$2:$A800,MATCH(A4,'Database Mitra'!$B$2:$B800,0))</f>
        <v>Prabowo</v>
      </c>
      <c r="F4" s="64" t="s">
        <v>25</v>
      </c>
      <c r="G4" s="5" t="str">
        <f t="array" ref="G4">INDEX('Database Mitra'!$G$2:$G800,MATCH(A4,'Database Mitra'!$B$2:$B800,0))</f>
        <v>6171010108790015</v>
      </c>
      <c r="H4" s="64" t="s">
        <v>67</v>
      </c>
      <c r="I4" s="65" t="s">
        <v>70</v>
      </c>
      <c r="J4" s="10" t="str">
        <f t="array" ref="J4">INDEX(Honor!$H$2:$H800,MATCH($I4,Honor!$A$2:$A800,0))</f>
        <v>Dokumen</v>
      </c>
      <c r="K4" s="66">
        <f t="array" ref="K4">INDEX(Honor!$I$2:$I800,MATCH($I4,Honor!$A$2:$A800,0))</f>
        <v>50000</v>
      </c>
      <c r="L4" s="64">
        <v>1</v>
      </c>
      <c r="M4" s="10">
        <f t="shared" si="0"/>
        <v>50000</v>
      </c>
      <c r="O4" s="67">
        <f t="array" ref="O4">INDEX(Honor!$L$2:$L800,MATCH($I4,Honor!$A$2:$A800,0))</f>
        <v>45311</v>
      </c>
      <c r="P4" s="10">
        <f t="shared" si="1"/>
        <v>2024</v>
      </c>
      <c r="Q4" s="10">
        <f t="shared" si="2"/>
        <v>1</v>
      </c>
      <c r="R4" s="10" t="str">
        <f t="array" ref="R4">INDEX(Honor!$Q$2:$Q800,MATCH($I4,Honor!$A$2:$A800,0))</f>
        <v>SURVEI-PPL</v>
      </c>
      <c r="S4" s="10" t="str">
        <f t="shared" si="3"/>
        <v>610422100124-2024-1</v>
      </c>
      <c r="T4" s="10" t="str">
        <f t="shared" si="4"/>
        <v>610422100124-2024-1-SURVEI-PPL</v>
      </c>
      <c r="U4" s="64">
        <v>1</v>
      </c>
      <c r="V4" s="10" t="e">
        <f t="array" aca="1" ref="V4" ca="1">INDEX(Honor!$O$2:$O800,MATCH($I4,Honor!$A$2:$A800,0))</f>
        <v>#NAME?</v>
      </c>
      <c r="W4" s="68">
        <v>45347</v>
      </c>
      <c r="X4" s="7" t="str">
        <f t="array" ref="X4">INDEX('Input Kegiatan'!$B$2:$B800,MATCH(B4,'Input Kegiatan'!$A$2:$A800,0))</f>
        <v>Survei Harga Produsen Gabah (HPG24) Januari</v>
      </c>
      <c r="Y4" s="7" t="s">
        <v>1921</v>
      </c>
      <c r="Z4" s="7" t="s">
        <v>2140</v>
      </c>
      <c r="AA4" s="68">
        <f t="shared" si="5"/>
        <v>45291</v>
      </c>
      <c r="AB4" s="68">
        <f t="shared" si="6"/>
        <v>45292</v>
      </c>
      <c r="AC4" s="68">
        <f t="shared" si="7"/>
        <v>45322</v>
      </c>
      <c r="AD4" s="68">
        <f t="shared" si="8"/>
        <v>45321</v>
      </c>
      <c r="AE4" s="68">
        <f t="shared" si="9"/>
        <v>45322</v>
      </c>
    </row>
    <row r="5" spans="1:31" ht="12.5">
      <c r="A5" s="125">
        <v>610422020008</v>
      </c>
      <c r="B5" s="65" t="s">
        <v>71</v>
      </c>
      <c r="D5" s="10">
        <f t="array" aca="1" ref="D5" ca="1">INDEX('Mitra per Bulan'!$M$2:$M800,MATCH(S5,'Mitra per Bulan'!$B$2:$B800,0))</f>
        <v>1</v>
      </c>
      <c r="E5" s="10" t="str">
        <f t="array" ref="E5">INDEX('Database Mitra'!$A$2:$A800,MATCH(A5,'Database Mitra'!$B$2:$B800,0))</f>
        <v>Ilfi Nur Diana</v>
      </c>
      <c r="F5" s="64" t="s">
        <v>25</v>
      </c>
      <c r="G5" s="5" t="str">
        <f t="array" ref="G5">INDEX('Database Mitra'!$G$2:$G800,MATCH(A5,'Database Mitra'!$B$2:$B800,0))</f>
        <v>6102125203970003</v>
      </c>
      <c r="H5" s="64" t="s">
        <v>72</v>
      </c>
      <c r="I5" s="65" t="s">
        <v>73</v>
      </c>
      <c r="J5" s="10" t="str">
        <f t="array" ref="J5">INDEX(Honor!$H$2:$H800,MATCH($I5,Honor!$A$2:$A800,0))</f>
        <v>Dokumen</v>
      </c>
      <c r="K5" s="66">
        <f t="array" ref="K5">INDEX(Honor!$I$2:$I800,MATCH($I5,Honor!$A$2:$A800,0))</f>
        <v>65000</v>
      </c>
      <c r="L5" s="64">
        <v>3</v>
      </c>
      <c r="M5" s="10">
        <f t="shared" si="0"/>
        <v>195000</v>
      </c>
      <c r="O5" s="67">
        <f t="array" ref="O5">INDEX(Honor!$L$2:$L800,MATCH($I5,Honor!$A$2:$A800,0))</f>
        <v>45311</v>
      </c>
      <c r="P5" s="10">
        <f t="shared" si="1"/>
        <v>2024</v>
      </c>
      <c r="Q5" s="10">
        <f t="shared" si="2"/>
        <v>1</v>
      </c>
      <c r="R5" s="10" t="str">
        <f t="array" ref="R5">INDEX(Honor!$Q$2:$Q800,MATCH($I5,Honor!$A$2:$A800,0))</f>
        <v>SURVEI-PPL</v>
      </c>
      <c r="S5" s="10" t="str">
        <f t="shared" si="3"/>
        <v>610422020008-2024-1</v>
      </c>
      <c r="T5" s="10" t="str">
        <f t="shared" si="4"/>
        <v>610422020008-2024-1-SURVEI-PPL</v>
      </c>
      <c r="U5" s="64">
        <v>1</v>
      </c>
      <c r="V5" s="10" t="e">
        <f t="array" aca="1" ref="V5" ca="1">INDEX(Honor!$O$2:$O800,MATCH($I5,Honor!$A$2:$A800,0))</f>
        <v>#NAME?</v>
      </c>
      <c r="W5" s="68">
        <v>45347</v>
      </c>
      <c r="X5" s="7" t="str">
        <f t="array" ref="X5">INDEX('Input Kegiatan'!$B$2:$B800,MATCH(B5,'Input Kegiatan'!$A$2:$A800,0))</f>
        <v>Survei Harga Perdesaan (SHPED24) Januari</v>
      </c>
      <c r="Y5" s="7" t="s">
        <v>5250</v>
      </c>
      <c r="Z5" s="7" t="s">
        <v>5365</v>
      </c>
      <c r="AA5" s="68">
        <f t="shared" si="5"/>
        <v>45291</v>
      </c>
      <c r="AB5" s="68">
        <f t="shared" si="6"/>
        <v>45292</v>
      </c>
      <c r="AC5" s="68">
        <f t="shared" si="7"/>
        <v>45322</v>
      </c>
      <c r="AD5" s="68">
        <f t="shared" si="8"/>
        <v>45321</v>
      </c>
      <c r="AE5" s="68">
        <f t="shared" si="9"/>
        <v>45322</v>
      </c>
    </row>
    <row r="6" spans="1:31" ht="12.5">
      <c r="A6" s="125">
        <v>610422050001</v>
      </c>
      <c r="B6" s="65" t="s">
        <v>71</v>
      </c>
      <c r="D6" s="10">
        <f t="array" aca="1" ref="D6" ca="1">INDEX('Mitra per Bulan'!$M$2:$M800,MATCH(S6,'Mitra per Bulan'!$B$2:$B800,0))</f>
        <v>1</v>
      </c>
      <c r="E6" s="10" t="str">
        <f t="array" ref="E6">INDEX('Database Mitra'!$A$2:$A800,MATCH(A6,'Database Mitra'!$B$2:$B800,0))</f>
        <v>Evi Juniarty</v>
      </c>
      <c r="F6" s="64" t="s">
        <v>25</v>
      </c>
      <c r="G6" s="5" t="str">
        <f t="array" ref="G6">INDEX('Database Mitra'!$G$2:$G800,MATCH(A6,'Database Mitra'!$B$2:$B800,0))</f>
        <v>6102165101840001</v>
      </c>
      <c r="H6" s="64" t="s">
        <v>72</v>
      </c>
      <c r="I6" s="65" t="s">
        <v>73</v>
      </c>
      <c r="J6" s="10" t="str">
        <f t="array" ref="J6">INDEX(Honor!$H$2:$H800,MATCH($I6,Honor!$A$2:$A800,0))</f>
        <v>Dokumen</v>
      </c>
      <c r="K6" s="66">
        <f t="array" ref="K6">INDEX(Honor!$I$2:$I800,MATCH($I6,Honor!$A$2:$A800,0))</f>
        <v>65000</v>
      </c>
      <c r="L6" s="64">
        <v>3</v>
      </c>
      <c r="M6" s="10">
        <f t="shared" si="0"/>
        <v>195000</v>
      </c>
      <c r="O6" s="67">
        <f t="array" ref="O6">INDEX(Honor!$L$2:$L800,MATCH($I6,Honor!$A$2:$A800,0))</f>
        <v>45311</v>
      </c>
      <c r="P6" s="10">
        <f t="shared" si="1"/>
        <v>2024</v>
      </c>
      <c r="Q6" s="10">
        <f t="shared" si="2"/>
        <v>1</v>
      </c>
      <c r="R6" s="10" t="str">
        <f t="array" ref="R6">INDEX(Honor!$Q$2:$Q800,MATCH($I6,Honor!$A$2:$A800,0))</f>
        <v>SURVEI-PPL</v>
      </c>
      <c r="S6" s="10" t="str">
        <f t="shared" si="3"/>
        <v>610422050001-2024-1</v>
      </c>
      <c r="T6" s="10" t="str">
        <f t="shared" si="4"/>
        <v>610422050001-2024-1-SURVEI-PPL</v>
      </c>
      <c r="U6" s="64">
        <v>1</v>
      </c>
      <c r="V6" s="10" t="e">
        <f t="array" aca="1" ref="V6" ca="1">INDEX(Honor!$O$2:$O800,MATCH($I6,Honor!$A$2:$A800,0))</f>
        <v>#NAME?</v>
      </c>
      <c r="W6" s="68">
        <v>45347</v>
      </c>
      <c r="X6" s="7" t="str">
        <f t="array" ref="X6">INDEX('Input Kegiatan'!$B$2:$B800,MATCH(B6,'Input Kegiatan'!$A$2:$A800,0))</f>
        <v>Survei Harga Perdesaan (SHPED24) Januari</v>
      </c>
      <c r="Y6" s="7" t="s">
        <v>4408</v>
      </c>
      <c r="Z6" s="7" t="s">
        <v>4409</v>
      </c>
      <c r="AA6" s="68">
        <f t="shared" si="5"/>
        <v>45291</v>
      </c>
      <c r="AB6" s="68">
        <f t="shared" si="6"/>
        <v>45292</v>
      </c>
      <c r="AC6" s="68">
        <f t="shared" si="7"/>
        <v>45322</v>
      </c>
      <c r="AD6" s="68">
        <f t="shared" si="8"/>
        <v>45321</v>
      </c>
      <c r="AE6" s="68">
        <f t="shared" si="9"/>
        <v>45322</v>
      </c>
    </row>
    <row r="7" spans="1:31" ht="12.5">
      <c r="A7" s="125">
        <v>610422040030</v>
      </c>
      <c r="B7" s="65" t="s">
        <v>71</v>
      </c>
      <c r="D7" s="10">
        <f t="array" aca="1" ref="D7" ca="1">INDEX('Mitra per Bulan'!$M$2:$M800,MATCH(S7,'Mitra per Bulan'!$B$2:$B800,0))</f>
        <v>1</v>
      </c>
      <c r="E7" s="10" t="str">
        <f t="array" ref="E7">INDEX('Database Mitra'!$A$2:$A800,MATCH(A7,'Database Mitra'!$B$2:$B800,0))</f>
        <v>Syarifah Desti Pratiwi</v>
      </c>
      <c r="F7" s="64" t="s">
        <v>25</v>
      </c>
      <c r="G7" s="5" t="str">
        <f t="array" ref="G7">INDEX('Database Mitra'!$G$2:$G800,MATCH(A7,'Database Mitra'!$B$2:$B800,0))</f>
        <v>6102084512950002</v>
      </c>
      <c r="H7" s="64" t="s">
        <v>74</v>
      </c>
      <c r="I7" s="65" t="s">
        <v>75</v>
      </c>
      <c r="J7" s="10" t="str">
        <f t="array" ref="J7">INDEX(Honor!$H$2:$H800,MATCH($I7,Honor!$A$2:$A800,0))</f>
        <v>Dokumen</v>
      </c>
      <c r="K7" s="66">
        <f t="array" ref="K7">INDEX(Honor!$I$2:$I800,MATCH($I7,Honor!$A$2:$A800,0))</f>
        <v>55000</v>
      </c>
      <c r="L7" s="64">
        <v>1</v>
      </c>
      <c r="M7" s="10">
        <f t="shared" si="0"/>
        <v>55000</v>
      </c>
      <c r="O7" s="67">
        <f t="array" ref="O7">INDEX(Honor!$L$2:$L800,MATCH($I7,Honor!$A$2:$A800,0))</f>
        <v>45311</v>
      </c>
      <c r="P7" s="10">
        <f t="shared" si="1"/>
        <v>2024</v>
      </c>
      <c r="Q7" s="10">
        <f t="shared" si="2"/>
        <v>1</v>
      </c>
      <c r="R7" s="10" t="str">
        <f t="array" ref="R7">INDEX(Honor!$Q$2:$Q800,MATCH($I7,Honor!$A$2:$A800,0))</f>
        <v>SURVEI-PPL</v>
      </c>
      <c r="S7" s="10" t="str">
        <f t="shared" si="3"/>
        <v>610422040030-2024-1</v>
      </c>
      <c r="T7" s="10" t="str">
        <f t="shared" si="4"/>
        <v>610422040030-2024-1-SURVEI-PPL</v>
      </c>
      <c r="U7" s="64">
        <v>1</v>
      </c>
      <c r="V7" s="10" t="e">
        <f t="array" aca="1" ref="V7" ca="1">INDEX(Honor!$O$2:$O800,MATCH($I7,Honor!$A$2:$A800,0))</f>
        <v>#NAME?</v>
      </c>
      <c r="W7" s="68">
        <v>45347</v>
      </c>
      <c r="X7" s="7" t="str">
        <f t="array" ref="X7">INDEX('Input Kegiatan'!$B$2:$B800,MATCH(B7,'Input Kegiatan'!$A$2:$A800,0))</f>
        <v>Survei Harga Perdesaan (SHPED24) Januari</v>
      </c>
      <c r="Y7" s="7" t="s">
        <v>3241</v>
      </c>
      <c r="Z7" s="7" t="s">
        <v>3289</v>
      </c>
      <c r="AA7" s="68">
        <f t="shared" si="5"/>
        <v>45291</v>
      </c>
      <c r="AB7" s="68">
        <f t="shared" si="6"/>
        <v>45292</v>
      </c>
      <c r="AC7" s="68">
        <f t="shared" si="7"/>
        <v>45322</v>
      </c>
      <c r="AD7" s="68">
        <f t="shared" si="8"/>
        <v>45321</v>
      </c>
      <c r="AE7" s="68">
        <f t="shared" si="9"/>
        <v>45322</v>
      </c>
    </row>
    <row r="8" spans="1:31" ht="12.5">
      <c r="A8" s="125">
        <v>610422100124</v>
      </c>
      <c r="B8" s="65" t="s">
        <v>71</v>
      </c>
      <c r="D8" s="10">
        <f t="array" aca="1" ref="D8" ca="1">INDEX('Mitra per Bulan'!$M$2:$M800,MATCH(S8,'Mitra per Bulan'!$B$2:$B800,0))</f>
        <v>1</v>
      </c>
      <c r="E8" s="10" t="str">
        <f t="array" ref="E8">INDEX('Database Mitra'!$A$2:$A800,MATCH(A8,'Database Mitra'!$B$2:$B800,0))</f>
        <v>Prabowo</v>
      </c>
      <c r="F8" s="64" t="s">
        <v>25</v>
      </c>
      <c r="G8" s="5" t="str">
        <f t="array" ref="G8">INDEX('Database Mitra'!$G$2:$G800,MATCH(A8,'Database Mitra'!$B$2:$B800,0))</f>
        <v>6171010108790015</v>
      </c>
      <c r="H8" s="64" t="s">
        <v>74</v>
      </c>
      <c r="I8" s="65" t="s">
        <v>75</v>
      </c>
      <c r="J8" s="10" t="str">
        <f t="array" ref="J8">INDEX(Honor!$H$2:$H800,MATCH($I8,Honor!$A$2:$A800,0))</f>
        <v>Dokumen</v>
      </c>
      <c r="K8" s="66">
        <f t="array" ref="K8">INDEX(Honor!$I$2:$I800,MATCH($I8,Honor!$A$2:$A800,0))</f>
        <v>55000</v>
      </c>
      <c r="L8" s="64">
        <v>3</v>
      </c>
      <c r="M8" s="10">
        <f t="shared" si="0"/>
        <v>165000</v>
      </c>
      <c r="O8" s="67">
        <f t="array" ref="O8">INDEX(Honor!$L$2:$L800,MATCH($I8,Honor!$A$2:$A800,0))</f>
        <v>45311</v>
      </c>
      <c r="P8" s="10">
        <f t="shared" si="1"/>
        <v>2024</v>
      </c>
      <c r="Q8" s="10">
        <f t="shared" si="2"/>
        <v>1</v>
      </c>
      <c r="R8" s="10" t="str">
        <f t="array" ref="R8">INDEX(Honor!$Q$2:$Q800,MATCH($I8,Honor!$A$2:$A800,0))</f>
        <v>SURVEI-PPL</v>
      </c>
      <c r="S8" s="10" t="str">
        <f t="shared" si="3"/>
        <v>610422100124-2024-1</v>
      </c>
      <c r="T8" s="10" t="str">
        <f t="shared" si="4"/>
        <v>610422100124-2024-1-SURVEI-PPL</v>
      </c>
      <c r="U8" s="64">
        <v>1</v>
      </c>
      <c r="V8" s="10" t="e">
        <f t="array" aca="1" ref="V8" ca="1">INDEX(Honor!$O$2:$O800,MATCH($I8,Honor!$A$2:$A800,0))</f>
        <v>#NAME?</v>
      </c>
      <c r="W8" s="68">
        <v>45347</v>
      </c>
      <c r="X8" s="7" t="str">
        <f t="array" ref="X8">INDEX('Input Kegiatan'!$B$2:$B800,MATCH(B8,'Input Kegiatan'!$A$2:$A800,0))</f>
        <v>Survei Harga Perdesaan (SHPED24) Januari</v>
      </c>
      <c r="Y8" s="7" t="s">
        <v>1921</v>
      </c>
      <c r="Z8" s="7" t="s">
        <v>2140</v>
      </c>
      <c r="AA8" s="68">
        <f t="shared" si="5"/>
        <v>45291</v>
      </c>
      <c r="AB8" s="68">
        <f t="shared" si="6"/>
        <v>45292</v>
      </c>
      <c r="AC8" s="68">
        <f t="shared" si="7"/>
        <v>45322</v>
      </c>
      <c r="AD8" s="68">
        <f t="shared" si="8"/>
        <v>45321</v>
      </c>
      <c r="AE8" s="68">
        <f t="shared" si="9"/>
        <v>45322</v>
      </c>
    </row>
    <row r="9" spans="1:31" ht="12.5">
      <c r="A9" s="125">
        <v>610422100244</v>
      </c>
      <c r="B9" s="65" t="s">
        <v>71</v>
      </c>
      <c r="D9" s="10">
        <f t="array" aca="1" ref="D9" ca="1">INDEX('Mitra per Bulan'!$M$2:$M800,MATCH(S9,'Mitra per Bulan'!$B$2:$B800,0))</f>
        <v>1</v>
      </c>
      <c r="E9" s="10" t="str">
        <f t="array" ref="E9">INDEX('Database Mitra'!$A$2:$A800,MATCH(A9,'Database Mitra'!$B$2:$B800,0))</f>
        <v>Sugianto</v>
      </c>
      <c r="F9" s="64" t="s">
        <v>25</v>
      </c>
      <c r="G9" s="5" t="str">
        <f t="array" ref="G9">INDEX('Database Mitra'!$G$2:$G800,MATCH(A9,'Database Mitra'!$B$2:$B800,0))</f>
        <v>6102171003900002</v>
      </c>
      <c r="H9" s="64" t="s">
        <v>74</v>
      </c>
      <c r="I9" s="65" t="s">
        <v>75</v>
      </c>
      <c r="J9" s="10" t="str">
        <f t="array" ref="J9">INDEX(Honor!$H$2:$H800,MATCH($I9,Honor!$A$2:$A800,0))</f>
        <v>Dokumen</v>
      </c>
      <c r="K9" s="66">
        <f t="array" ref="K9">INDEX(Honor!$I$2:$I800,MATCH($I9,Honor!$A$2:$A800,0))</f>
        <v>55000</v>
      </c>
      <c r="L9" s="64">
        <v>2</v>
      </c>
      <c r="M9" s="10">
        <f t="shared" si="0"/>
        <v>110000</v>
      </c>
      <c r="O9" s="67">
        <f t="array" ref="O9">INDEX(Honor!$L$2:$L800,MATCH($I9,Honor!$A$2:$A800,0))</f>
        <v>45311</v>
      </c>
      <c r="P9" s="10">
        <f t="shared" si="1"/>
        <v>2024</v>
      </c>
      <c r="Q9" s="10">
        <f t="shared" si="2"/>
        <v>1</v>
      </c>
      <c r="R9" s="10" t="str">
        <f t="array" ref="R9">INDEX(Honor!$Q$2:$Q800,MATCH($I9,Honor!$A$2:$A800,0))</f>
        <v>SURVEI-PPL</v>
      </c>
      <c r="S9" s="10" t="str">
        <f t="shared" si="3"/>
        <v>610422100244-2024-1</v>
      </c>
      <c r="T9" s="10" t="str">
        <f t="shared" si="4"/>
        <v>610422100244-2024-1-SURVEI-PPL</v>
      </c>
      <c r="U9" s="64">
        <v>1</v>
      </c>
      <c r="V9" s="10" t="e">
        <f t="array" aca="1" ref="V9" ca="1">INDEX(Honor!$O$2:$O800,MATCH($I9,Honor!$A$2:$A800,0))</f>
        <v>#NAME?</v>
      </c>
      <c r="W9" s="68">
        <v>45347</v>
      </c>
      <c r="X9" s="7" t="str">
        <f t="array" ref="X9">INDEX('Input Kegiatan'!$B$2:$B800,MATCH(B9,'Input Kegiatan'!$A$2:$A800,0))</f>
        <v>Survei Harga Perdesaan (SHPED24) Januari</v>
      </c>
      <c r="Y9" s="7" t="s">
        <v>5741</v>
      </c>
      <c r="Z9" s="7" t="s">
        <v>5796</v>
      </c>
      <c r="AA9" s="68">
        <f t="shared" si="5"/>
        <v>45291</v>
      </c>
      <c r="AB9" s="68">
        <f t="shared" si="6"/>
        <v>45292</v>
      </c>
      <c r="AC9" s="68">
        <f t="shared" si="7"/>
        <v>45322</v>
      </c>
      <c r="AD9" s="68">
        <f t="shared" si="8"/>
        <v>45321</v>
      </c>
      <c r="AE9" s="68">
        <f t="shared" si="9"/>
        <v>45322</v>
      </c>
    </row>
    <row r="10" spans="1:31" ht="12.5">
      <c r="A10" s="125">
        <v>610422020016</v>
      </c>
      <c r="B10" s="65" t="s">
        <v>71</v>
      </c>
      <c r="D10" s="10">
        <f t="array" aca="1" ref="D10" ca="1">INDEX('Mitra per Bulan'!$M$2:$M800,MATCH(S10,'Mitra per Bulan'!$B$2:$B800,0))</f>
        <v>1</v>
      </c>
      <c r="E10" s="10" t="str">
        <f t="array" ref="E10">INDEX('Database Mitra'!$A$2:$A800,MATCH(A10,'Database Mitra'!$B$2:$B800,0))</f>
        <v>Abdul Aziz</v>
      </c>
      <c r="F10" s="64" t="s">
        <v>25</v>
      </c>
      <c r="G10" s="5" t="str">
        <f t="array" ref="G10">INDEX('Database Mitra'!$G$2:$G800,MATCH(A10,'Database Mitra'!$B$2:$B800,0))</f>
        <v>6102061507950006</v>
      </c>
      <c r="H10" s="64" t="s">
        <v>74</v>
      </c>
      <c r="I10" s="65" t="s">
        <v>75</v>
      </c>
      <c r="J10" s="10" t="str">
        <f t="array" ref="J10">INDEX(Honor!$H$2:$H800,MATCH($I10,Honor!$A$2:$A800,0))</f>
        <v>Dokumen</v>
      </c>
      <c r="K10" s="66">
        <f t="array" ref="K10">INDEX(Honor!$I$2:$I800,MATCH($I10,Honor!$A$2:$A800,0))</f>
        <v>55000</v>
      </c>
      <c r="L10" s="64">
        <v>3</v>
      </c>
      <c r="M10" s="10">
        <f t="shared" si="0"/>
        <v>165000</v>
      </c>
      <c r="O10" s="67">
        <f t="array" ref="O10">INDEX(Honor!$L$2:$L800,MATCH($I10,Honor!$A$2:$A800,0))</f>
        <v>45311</v>
      </c>
      <c r="P10" s="10">
        <f t="shared" si="1"/>
        <v>2024</v>
      </c>
      <c r="Q10" s="10">
        <f t="shared" si="2"/>
        <v>1</v>
      </c>
      <c r="R10" s="10" t="str">
        <f t="array" ref="R10">INDEX(Honor!$Q$2:$Q800,MATCH($I10,Honor!$A$2:$A800,0))</f>
        <v>SURVEI-PPL</v>
      </c>
      <c r="S10" s="10" t="str">
        <f t="shared" si="3"/>
        <v>610422020016-2024-1</v>
      </c>
      <c r="T10" s="10" t="str">
        <f t="shared" si="4"/>
        <v>610422020016-2024-1-SURVEI-PPL</v>
      </c>
      <c r="U10" s="64">
        <v>1</v>
      </c>
      <c r="V10" s="10" t="e">
        <f t="array" aca="1" ref="V10" ca="1">INDEX(Honor!$O$2:$O800,MATCH($I10,Honor!$A$2:$A800,0))</f>
        <v>#NAME?</v>
      </c>
      <c r="W10" s="68">
        <v>45347</v>
      </c>
      <c r="X10" s="7" t="str">
        <f t="array" ref="X10">INDEX('Input Kegiatan'!$B$2:$B800,MATCH(B10,'Input Kegiatan'!$A$2:$A800,0))</f>
        <v>Survei Harga Perdesaan (SHPED24) Januari</v>
      </c>
      <c r="Y10" s="7" t="s">
        <v>5534</v>
      </c>
      <c r="Z10" s="7" t="s">
        <v>5535</v>
      </c>
      <c r="AA10" s="68">
        <f t="shared" si="5"/>
        <v>45291</v>
      </c>
      <c r="AB10" s="68">
        <f t="shared" si="6"/>
        <v>45292</v>
      </c>
      <c r="AC10" s="68">
        <f t="shared" si="7"/>
        <v>45322</v>
      </c>
      <c r="AD10" s="68">
        <f t="shared" si="8"/>
        <v>45321</v>
      </c>
      <c r="AE10" s="68">
        <f t="shared" si="9"/>
        <v>45322</v>
      </c>
    </row>
    <row r="11" spans="1:31" ht="12.5">
      <c r="A11" s="125">
        <v>610422020008</v>
      </c>
      <c r="B11" s="65" t="s">
        <v>71</v>
      </c>
      <c r="D11" s="10">
        <f t="array" aca="1" ref="D11" ca="1">INDEX('Mitra per Bulan'!$M$2:$M800,MATCH(S11,'Mitra per Bulan'!$B$2:$B800,0))</f>
        <v>1</v>
      </c>
      <c r="E11" s="10" t="str">
        <f t="array" ref="E11">INDEX('Database Mitra'!$A$2:$A800,MATCH(A11,'Database Mitra'!$B$2:$B800,0))</f>
        <v>Ilfi Nur Diana</v>
      </c>
      <c r="F11" s="64" t="s">
        <v>25</v>
      </c>
      <c r="G11" s="5" t="str">
        <f t="array" ref="G11">INDEX('Database Mitra'!$G$2:$G800,MATCH(A11,'Database Mitra'!$B$2:$B800,0))</f>
        <v>6102125203970003</v>
      </c>
      <c r="H11" s="64" t="s">
        <v>74</v>
      </c>
      <c r="I11" s="65" t="s">
        <v>75</v>
      </c>
      <c r="J11" s="10" t="str">
        <f t="array" ref="J11">INDEX(Honor!$H$2:$H800,MATCH($I11,Honor!$A$2:$A800,0))</f>
        <v>Dokumen</v>
      </c>
      <c r="K11" s="66">
        <f t="array" ref="K11">INDEX(Honor!$I$2:$I800,MATCH($I11,Honor!$A$2:$A800,0))</f>
        <v>55000</v>
      </c>
      <c r="L11" s="64">
        <v>1</v>
      </c>
      <c r="M11" s="10">
        <f t="shared" si="0"/>
        <v>55000</v>
      </c>
      <c r="O11" s="67">
        <f t="array" ref="O11">INDEX(Honor!$L$2:$L800,MATCH($I11,Honor!$A$2:$A800,0))</f>
        <v>45311</v>
      </c>
      <c r="P11" s="10">
        <f t="shared" si="1"/>
        <v>2024</v>
      </c>
      <c r="Q11" s="10">
        <f t="shared" si="2"/>
        <v>1</v>
      </c>
      <c r="R11" s="10" t="str">
        <f t="array" ref="R11">INDEX(Honor!$Q$2:$Q800,MATCH($I11,Honor!$A$2:$A800,0))</f>
        <v>SURVEI-PPL</v>
      </c>
      <c r="S11" s="10" t="str">
        <f t="shared" si="3"/>
        <v>610422020008-2024-1</v>
      </c>
      <c r="T11" s="10" t="str">
        <f t="shared" si="4"/>
        <v>610422020008-2024-1-SURVEI-PPL</v>
      </c>
      <c r="U11" s="64">
        <v>1</v>
      </c>
      <c r="V11" s="10" t="e">
        <f t="array" aca="1" ref="V11" ca="1">INDEX(Honor!$O$2:$O800,MATCH($I11,Honor!$A$2:$A800,0))</f>
        <v>#NAME?</v>
      </c>
      <c r="W11" s="68">
        <v>45347</v>
      </c>
      <c r="X11" s="7" t="str">
        <f t="array" ref="X11">INDEX('Input Kegiatan'!$B$2:$B800,MATCH(B11,'Input Kegiatan'!$A$2:$A800,0))</f>
        <v>Survei Harga Perdesaan (SHPED24) Januari</v>
      </c>
      <c r="Y11" s="7" t="s">
        <v>5250</v>
      </c>
      <c r="Z11" s="7" t="s">
        <v>5365</v>
      </c>
      <c r="AA11" s="68">
        <f t="shared" si="5"/>
        <v>45291</v>
      </c>
      <c r="AB11" s="68">
        <f t="shared" si="6"/>
        <v>45292</v>
      </c>
      <c r="AC11" s="68">
        <f t="shared" si="7"/>
        <v>45322</v>
      </c>
      <c r="AD11" s="68">
        <f t="shared" si="8"/>
        <v>45321</v>
      </c>
      <c r="AE11" s="68">
        <f t="shared" si="9"/>
        <v>45322</v>
      </c>
    </row>
    <row r="12" spans="1:31" ht="12.5">
      <c r="A12" s="125">
        <v>610422020048</v>
      </c>
      <c r="B12" s="65" t="s">
        <v>71</v>
      </c>
      <c r="D12" s="10">
        <f t="array" aca="1" ref="D12" ca="1">INDEX('Mitra per Bulan'!$M$2:$M800,MATCH(S12,'Mitra per Bulan'!$B$2:$B800,0))</f>
        <v>1</v>
      </c>
      <c r="E12" s="10" t="str">
        <f t="array" ref="E12">INDEX('Database Mitra'!$A$2:$A800,MATCH(A12,'Database Mitra'!$B$2:$B800,0))</f>
        <v>Herri Gustaman</v>
      </c>
      <c r="F12" s="64" t="s">
        <v>25</v>
      </c>
      <c r="G12" s="5" t="str">
        <f t="array" ref="G12">INDEX('Database Mitra'!$G$2:$G800,MATCH(A12,'Database Mitra'!$B$2:$B800,0))</f>
        <v>6102072503800001</v>
      </c>
      <c r="H12" s="64" t="s">
        <v>74</v>
      </c>
      <c r="I12" s="65" t="s">
        <v>75</v>
      </c>
      <c r="J12" s="10" t="str">
        <f t="array" ref="J12">INDEX(Honor!$H$2:$H800,MATCH($I12,Honor!$A$2:$A800,0))</f>
        <v>Dokumen</v>
      </c>
      <c r="K12" s="66">
        <f t="array" ref="K12">INDEX(Honor!$I$2:$I800,MATCH($I12,Honor!$A$2:$A800,0))</f>
        <v>55000</v>
      </c>
      <c r="L12" s="64">
        <v>3</v>
      </c>
      <c r="M12" s="10">
        <f t="shared" si="0"/>
        <v>165000</v>
      </c>
      <c r="O12" s="67">
        <f t="array" ref="O12">INDEX(Honor!$L$2:$L800,MATCH($I12,Honor!$A$2:$A800,0))</f>
        <v>45311</v>
      </c>
      <c r="P12" s="10">
        <f t="shared" si="1"/>
        <v>2024</v>
      </c>
      <c r="Q12" s="10">
        <f t="shared" si="2"/>
        <v>1</v>
      </c>
      <c r="R12" s="10" t="str">
        <f t="array" ref="R12">INDEX(Honor!$Q$2:$Q800,MATCH($I12,Honor!$A$2:$A800,0))</f>
        <v>SURVEI-PPL</v>
      </c>
      <c r="S12" s="10" t="str">
        <f t="shared" si="3"/>
        <v>610422020048-2024-1</v>
      </c>
      <c r="T12" s="10" t="str">
        <f t="shared" si="4"/>
        <v>610422020048-2024-1-SURVEI-PPL</v>
      </c>
      <c r="U12" s="64">
        <v>1</v>
      </c>
      <c r="V12" s="10" t="e">
        <f t="array" aca="1" ref="V12" ca="1">INDEX(Honor!$O$2:$O800,MATCH($I12,Honor!$A$2:$A800,0))</f>
        <v>#NAME?</v>
      </c>
      <c r="W12" s="68">
        <v>45347</v>
      </c>
      <c r="X12" s="7" t="str">
        <f t="array" ref="X12">INDEX('Input Kegiatan'!$B$2:$B800,MATCH(B12,'Input Kegiatan'!$A$2:$A800,0))</f>
        <v>Survei Harga Perdesaan (SHPED24) Januari</v>
      </c>
      <c r="Y12" s="7" t="s">
        <v>4931</v>
      </c>
      <c r="Z12" s="7" t="s">
        <v>5171</v>
      </c>
      <c r="AA12" s="68">
        <f t="shared" si="5"/>
        <v>45291</v>
      </c>
      <c r="AB12" s="68">
        <f t="shared" si="6"/>
        <v>45292</v>
      </c>
      <c r="AC12" s="68">
        <f t="shared" si="7"/>
        <v>45322</v>
      </c>
      <c r="AD12" s="68">
        <f t="shared" si="8"/>
        <v>45321</v>
      </c>
      <c r="AE12" s="68">
        <f t="shared" si="9"/>
        <v>45322</v>
      </c>
    </row>
    <row r="13" spans="1:31" ht="12.5">
      <c r="A13" s="125">
        <v>610422040029</v>
      </c>
      <c r="B13" s="65" t="s">
        <v>71</v>
      </c>
      <c r="D13" s="10">
        <f t="array" aca="1" ref="D13" ca="1">INDEX('Mitra per Bulan'!$M$2:$M800,MATCH(S13,'Mitra per Bulan'!$B$2:$B800,0))</f>
        <v>1</v>
      </c>
      <c r="E13" s="10" t="str">
        <f t="array" ref="E13">INDEX('Database Mitra'!$A$2:$A800,MATCH(A13,'Database Mitra'!$B$2:$B800,0))</f>
        <v>Zaini</v>
      </c>
      <c r="F13" s="64" t="s">
        <v>25</v>
      </c>
      <c r="G13" s="5" t="str">
        <f t="array" ref="G13">INDEX('Database Mitra'!$G$2:$G800,MATCH(A13,'Database Mitra'!$B$2:$B800,0))</f>
        <v>6102010607870002</v>
      </c>
      <c r="H13" s="64" t="s">
        <v>74</v>
      </c>
      <c r="I13" s="65" t="s">
        <v>75</v>
      </c>
      <c r="J13" s="10" t="str">
        <f t="array" ref="J13">INDEX(Honor!$H$2:$H800,MATCH($I13,Honor!$A$2:$A800,0))</f>
        <v>Dokumen</v>
      </c>
      <c r="K13" s="66">
        <f t="array" ref="K13">INDEX(Honor!$I$2:$I800,MATCH($I13,Honor!$A$2:$A800,0))</f>
        <v>55000</v>
      </c>
      <c r="L13" s="64">
        <v>4</v>
      </c>
      <c r="M13" s="10">
        <f t="shared" si="0"/>
        <v>220000</v>
      </c>
      <c r="O13" s="67">
        <f t="array" ref="O13">INDEX(Honor!$L$2:$L800,MATCH($I13,Honor!$A$2:$A800,0))</f>
        <v>45311</v>
      </c>
      <c r="P13" s="10">
        <f t="shared" si="1"/>
        <v>2024</v>
      </c>
      <c r="Q13" s="10">
        <f t="shared" si="2"/>
        <v>1</v>
      </c>
      <c r="R13" s="10" t="str">
        <f t="array" ref="R13">INDEX(Honor!$Q$2:$Q800,MATCH($I13,Honor!$A$2:$A800,0))</f>
        <v>SURVEI-PPL</v>
      </c>
      <c r="S13" s="10" t="str">
        <f t="shared" si="3"/>
        <v>610422040029-2024-1</v>
      </c>
      <c r="T13" s="10" t="str">
        <f t="shared" si="4"/>
        <v>610422040029-2024-1-SURVEI-PPL</v>
      </c>
      <c r="U13" s="64">
        <v>1</v>
      </c>
      <c r="V13" s="10" t="e">
        <f t="array" aca="1" ref="V13" ca="1">INDEX(Honor!$O$2:$O800,MATCH($I13,Honor!$A$2:$A800,0))</f>
        <v>#NAME?</v>
      </c>
      <c r="W13" s="68">
        <v>45347</v>
      </c>
      <c r="X13" s="7" t="str">
        <f t="array" ref="X13">INDEX('Input Kegiatan'!$B$2:$B800,MATCH(B13,'Input Kegiatan'!$A$2:$A800,0))</f>
        <v>Survei Harga Perdesaan (SHPED24) Januari</v>
      </c>
      <c r="Y13" s="7" t="s">
        <v>4572</v>
      </c>
      <c r="Z13" s="7" t="s">
        <v>4619</v>
      </c>
      <c r="AA13" s="68">
        <f t="shared" si="5"/>
        <v>45291</v>
      </c>
      <c r="AB13" s="68">
        <f t="shared" si="6"/>
        <v>45292</v>
      </c>
      <c r="AC13" s="68">
        <f t="shared" si="7"/>
        <v>45322</v>
      </c>
      <c r="AD13" s="68">
        <f t="shared" si="8"/>
        <v>45321</v>
      </c>
      <c r="AE13" s="68">
        <f t="shared" si="9"/>
        <v>45322</v>
      </c>
    </row>
    <row r="14" spans="1:31" ht="12.5">
      <c r="A14" s="125">
        <v>610422050001</v>
      </c>
      <c r="B14" s="65" t="s">
        <v>71</v>
      </c>
      <c r="D14" s="10">
        <f t="array" aca="1" ref="D14" ca="1">INDEX('Mitra per Bulan'!$M$2:$M800,MATCH(S14,'Mitra per Bulan'!$B$2:$B800,0))</f>
        <v>1</v>
      </c>
      <c r="E14" s="10" t="str">
        <f t="array" ref="E14">INDEX('Database Mitra'!$A$2:$A800,MATCH(A14,'Database Mitra'!$B$2:$B800,0))</f>
        <v>Evi Juniarty</v>
      </c>
      <c r="F14" s="64" t="s">
        <v>25</v>
      </c>
      <c r="G14" s="5" t="str">
        <f t="array" ref="G14">INDEX('Database Mitra'!$G$2:$G800,MATCH(A14,'Database Mitra'!$B$2:$B800,0))</f>
        <v>6102165101840001</v>
      </c>
      <c r="H14" s="64" t="s">
        <v>74</v>
      </c>
      <c r="I14" s="65" t="s">
        <v>75</v>
      </c>
      <c r="J14" s="10" t="str">
        <f t="array" ref="J14">INDEX(Honor!$H$2:$H800,MATCH($I14,Honor!$A$2:$A800,0))</f>
        <v>Dokumen</v>
      </c>
      <c r="K14" s="66">
        <f t="array" ref="K14">INDEX(Honor!$I$2:$I800,MATCH($I14,Honor!$A$2:$A800,0))</f>
        <v>55000</v>
      </c>
      <c r="L14" s="64">
        <v>1</v>
      </c>
      <c r="M14" s="10">
        <f t="shared" si="0"/>
        <v>55000</v>
      </c>
      <c r="O14" s="67">
        <f t="array" ref="O14">INDEX(Honor!$L$2:$L800,MATCH($I14,Honor!$A$2:$A800,0))</f>
        <v>45311</v>
      </c>
      <c r="P14" s="10">
        <f t="shared" si="1"/>
        <v>2024</v>
      </c>
      <c r="Q14" s="10">
        <f t="shared" si="2"/>
        <v>1</v>
      </c>
      <c r="R14" s="10" t="str">
        <f t="array" ref="R14">INDEX(Honor!$Q$2:$Q800,MATCH($I14,Honor!$A$2:$A800,0))</f>
        <v>SURVEI-PPL</v>
      </c>
      <c r="S14" s="10" t="str">
        <f t="shared" si="3"/>
        <v>610422050001-2024-1</v>
      </c>
      <c r="T14" s="10" t="str">
        <f t="shared" si="4"/>
        <v>610422050001-2024-1-SURVEI-PPL</v>
      </c>
      <c r="U14" s="64">
        <v>1</v>
      </c>
      <c r="V14" s="10" t="e">
        <f t="array" aca="1" ref="V14" ca="1">INDEX(Honor!$O$2:$O800,MATCH($I14,Honor!$A$2:$A800,0))</f>
        <v>#NAME?</v>
      </c>
      <c r="W14" s="68">
        <v>45347</v>
      </c>
      <c r="X14" s="7" t="str">
        <f t="array" ref="X14">INDEX('Input Kegiatan'!$B$2:$B800,MATCH(B14,'Input Kegiatan'!$A$2:$A800,0))</f>
        <v>Survei Harga Perdesaan (SHPED24) Januari</v>
      </c>
      <c r="Y14" s="7" t="s">
        <v>4408</v>
      </c>
      <c r="Z14" s="7" t="s">
        <v>4409</v>
      </c>
      <c r="AA14" s="68">
        <f t="shared" si="5"/>
        <v>45291</v>
      </c>
      <c r="AB14" s="68">
        <f t="shared" si="6"/>
        <v>45292</v>
      </c>
      <c r="AC14" s="68">
        <f t="shared" si="7"/>
        <v>45322</v>
      </c>
      <c r="AD14" s="68">
        <f t="shared" si="8"/>
        <v>45321</v>
      </c>
      <c r="AE14" s="68">
        <f t="shared" si="9"/>
        <v>45322</v>
      </c>
    </row>
    <row r="15" spans="1:31" ht="12.5">
      <c r="A15" s="125">
        <v>610422100124</v>
      </c>
      <c r="B15" s="65" t="s">
        <v>76</v>
      </c>
      <c r="D15" s="10">
        <f t="array" aca="1" ref="D15" ca="1">INDEX('Mitra per Bulan'!$M$2:$M800,MATCH(S15,'Mitra per Bulan'!$B$2:$B800,0))</f>
        <v>1</v>
      </c>
      <c r="E15" s="10" t="str">
        <f t="array" ref="E15">INDEX('Database Mitra'!$A$2:$A800,MATCH(A15,'Database Mitra'!$B$2:$B800,0))</f>
        <v>Prabowo</v>
      </c>
      <c r="F15" s="64" t="s">
        <v>25</v>
      </c>
      <c r="G15" s="5" t="str">
        <f t="array" ref="G15">INDEX('Database Mitra'!$G$2:$G800,MATCH(A15,'Database Mitra'!$B$2:$B800,0))</f>
        <v>6171010108790015</v>
      </c>
      <c r="H15" s="64" t="s">
        <v>67</v>
      </c>
      <c r="I15" s="65" t="s">
        <v>77</v>
      </c>
      <c r="J15" s="10" t="str">
        <f t="array" ref="J15">INDEX(Honor!$H$2:$H800,MATCH($I15,Honor!$A$2:$A800,0))</f>
        <v>Dokumen</v>
      </c>
      <c r="K15" s="66">
        <f t="array" ref="K15">INDEX(Honor!$I$2:$I800,MATCH($I15,Honor!$A$2:$A800,0))</f>
        <v>55000</v>
      </c>
      <c r="L15" s="64">
        <v>2</v>
      </c>
      <c r="M15" s="10">
        <f t="shared" si="0"/>
        <v>110000</v>
      </c>
      <c r="O15" s="67">
        <f t="array" ref="O15">INDEX(Honor!$L$2:$L800,MATCH($I15,Honor!$A$2:$A800,0))</f>
        <v>45311</v>
      </c>
      <c r="P15" s="10">
        <f t="shared" si="1"/>
        <v>2024</v>
      </c>
      <c r="Q15" s="10">
        <f t="shared" si="2"/>
        <v>1</v>
      </c>
      <c r="R15" s="10" t="str">
        <f t="array" ref="R15">INDEX(Honor!$Q$2:$Q800,MATCH($I15,Honor!$A$2:$A800,0))</f>
        <v>SURVEI-PPL</v>
      </c>
      <c r="S15" s="10" t="str">
        <f t="shared" si="3"/>
        <v>610422100124-2024-1</v>
      </c>
      <c r="T15" s="10" t="str">
        <f t="shared" si="4"/>
        <v>610422100124-2024-1-SURVEI-PPL</v>
      </c>
      <c r="U15" s="64">
        <v>1</v>
      </c>
      <c r="V15" s="10" t="e">
        <f t="array" aca="1" ref="V15" ca="1">INDEX(Honor!$O$2:$O800,MATCH($I15,Honor!$A$2:$A800,0))</f>
        <v>#NAME?</v>
      </c>
      <c r="W15" s="68">
        <v>45347</v>
      </c>
      <c r="X15" s="7" t="str">
        <f t="array" ref="X15">INDEX('Input Kegiatan'!$B$2:$B800,MATCH(B15,'Input Kegiatan'!$A$2:$A800,0))</f>
        <v>Survei Harga Produsen Beras di Penggilingan 2024 (HPBG24) Januari</v>
      </c>
      <c r="Y15" s="7" t="s">
        <v>1921</v>
      </c>
      <c r="Z15" s="7" t="s">
        <v>2140</v>
      </c>
      <c r="AA15" s="68">
        <f t="shared" si="5"/>
        <v>45291</v>
      </c>
      <c r="AB15" s="68">
        <f t="shared" si="6"/>
        <v>45292</v>
      </c>
      <c r="AC15" s="68">
        <f t="shared" si="7"/>
        <v>45322</v>
      </c>
      <c r="AD15" s="68">
        <f t="shared" si="8"/>
        <v>45321</v>
      </c>
      <c r="AE15" s="68">
        <f t="shared" si="9"/>
        <v>45322</v>
      </c>
    </row>
    <row r="16" spans="1:31" ht="12.5">
      <c r="A16" s="125">
        <v>610422100244</v>
      </c>
      <c r="B16" s="65" t="s">
        <v>76</v>
      </c>
      <c r="D16" s="10">
        <f t="array" aca="1" ref="D16" ca="1">INDEX('Mitra per Bulan'!$M$2:$M800,MATCH(S16,'Mitra per Bulan'!$B$2:$B800,0))</f>
        <v>1</v>
      </c>
      <c r="E16" s="10" t="str">
        <f t="array" ref="E16">INDEX('Database Mitra'!$A$2:$A800,MATCH(A16,'Database Mitra'!$B$2:$B800,0))</f>
        <v>Sugianto</v>
      </c>
      <c r="F16" s="64" t="s">
        <v>25</v>
      </c>
      <c r="G16" s="5" t="str">
        <f t="array" ref="G16">INDEX('Database Mitra'!$G$2:$G800,MATCH(A16,'Database Mitra'!$B$2:$B800,0))</f>
        <v>6102171003900002</v>
      </c>
      <c r="H16" s="64" t="s">
        <v>67</v>
      </c>
      <c r="I16" s="65" t="s">
        <v>77</v>
      </c>
      <c r="J16" s="10" t="str">
        <f t="array" ref="J16">INDEX(Honor!$H$2:$H800,MATCH($I16,Honor!$A$2:$A800,0))</f>
        <v>Dokumen</v>
      </c>
      <c r="K16" s="66">
        <f t="array" ref="K16">INDEX(Honor!$I$2:$I800,MATCH($I16,Honor!$A$2:$A800,0))</f>
        <v>55000</v>
      </c>
      <c r="L16" s="64">
        <v>2</v>
      </c>
      <c r="M16" s="10">
        <f t="shared" si="0"/>
        <v>110000</v>
      </c>
      <c r="O16" s="67">
        <f t="array" ref="O16">INDEX(Honor!$L$2:$L800,MATCH($I16,Honor!$A$2:$A800,0))</f>
        <v>45311</v>
      </c>
      <c r="P16" s="10">
        <f t="shared" si="1"/>
        <v>2024</v>
      </c>
      <c r="Q16" s="10">
        <f t="shared" si="2"/>
        <v>1</v>
      </c>
      <c r="R16" s="10" t="str">
        <f t="array" ref="R16">INDEX(Honor!$Q$2:$Q800,MATCH($I16,Honor!$A$2:$A800,0))</f>
        <v>SURVEI-PPL</v>
      </c>
      <c r="S16" s="10" t="str">
        <f t="shared" si="3"/>
        <v>610422100244-2024-1</v>
      </c>
      <c r="T16" s="10" t="str">
        <f t="shared" si="4"/>
        <v>610422100244-2024-1-SURVEI-PPL</v>
      </c>
      <c r="U16" s="64">
        <v>1</v>
      </c>
      <c r="V16" s="10" t="e">
        <f t="array" aca="1" ref="V16" ca="1">INDEX(Honor!$O$2:$O800,MATCH($I16,Honor!$A$2:$A800,0))</f>
        <v>#NAME?</v>
      </c>
      <c r="W16" s="68">
        <v>45347</v>
      </c>
      <c r="X16" s="7" t="str">
        <f t="array" ref="X16">INDEX('Input Kegiatan'!$B$2:$B800,MATCH(B16,'Input Kegiatan'!$A$2:$A800,0))</f>
        <v>Survei Harga Produsen Beras di Penggilingan 2024 (HPBG24) Januari</v>
      </c>
      <c r="Y16" s="7" t="s">
        <v>5741</v>
      </c>
      <c r="Z16" s="7" t="s">
        <v>5796</v>
      </c>
      <c r="AA16" s="68">
        <f t="shared" si="5"/>
        <v>45291</v>
      </c>
      <c r="AB16" s="68">
        <f t="shared" si="6"/>
        <v>45292</v>
      </c>
      <c r="AC16" s="68">
        <f t="shared" si="7"/>
        <v>45322</v>
      </c>
      <c r="AD16" s="68">
        <f t="shared" si="8"/>
        <v>45321</v>
      </c>
      <c r="AE16" s="68">
        <f t="shared" si="9"/>
        <v>45322</v>
      </c>
    </row>
    <row r="17" spans="1:31" ht="12.5">
      <c r="A17" s="125">
        <v>610422100165</v>
      </c>
      <c r="B17" s="65" t="s">
        <v>76</v>
      </c>
      <c r="D17" s="10">
        <f t="array" aca="1" ref="D17" ca="1">INDEX('Mitra per Bulan'!$M$2:$M800,MATCH(S17,'Mitra per Bulan'!$B$2:$B800,0))</f>
        <v>1</v>
      </c>
      <c r="E17" s="10" t="str">
        <f t="array" ref="E17">INDEX('Database Mitra'!$A$2:$A800,MATCH(A17,'Database Mitra'!$B$2:$B800,0))</f>
        <v>Yanti</v>
      </c>
      <c r="F17" s="64" t="s">
        <v>25</v>
      </c>
      <c r="G17" s="5" t="str">
        <f t="array" ref="G17">INDEX('Database Mitra'!$G$2:$G800,MATCH(A17,'Database Mitra'!$B$2:$B800,0))</f>
        <v>6102074803980002</v>
      </c>
      <c r="H17" s="64" t="s">
        <v>67</v>
      </c>
      <c r="I17" s="65" t="s">
        <v>77</v>
      </c>
      <c r="J17" s="10" t="str">
        <f t="array" ref="J17">INDEX(Honor!$H$2:$H800,MATCH($I17,Honor!$A$2:$A800,0))</f>
        <v>Dokumen</v>
      </c>
      <c r="K17" s="66">
        <f t="array" ref="K17">INDEX(Honor!$I$2:$I800,MATCH($I17,Honor!$A$2:$A800,0))</f>
        <v>55000</v>
      </c>
      <c r="L17" s="64">
        <v>2</v>
      </c>
      <c r="M17" s="10">
        <f t="shared" si="0"/>
        <v>110000</v>
      </c>
      <c r="O17" s="67">
        <f t="array" ref="O17">INDEX(Honor!$L$2:$L800,MATCH($I17,Honor!$A$2:$A800,0))</f>
        <v>45311</v>
      </c>
      <c r="P17" s="10">
        <f t="shared" si="1"/>
        <v>2024</v>
      </c>
      <c r="Q17" s="10">
        <f t="shared" si="2"/>
        <v>1</v>
      </c>
      <c r="R17" s="10" t="str">
        <f t="array" ref="R17">INDEX(Honor!$Q$2:$Q800,MATCH($I17,Honor!$A$2:$A800,0))</f>
        <v>SURVEI-PPL</v>
      </c>
      <c r="S17" s="10" t="str">
        <f t="shared" si="3"/>
        <v>610422100165-2024-1</v>
      </c>
      <c r="T17" s="10" t="str">
        <f t="shared" si="4"/>
        <v>610422100165-2024-1-SURVEI-PPL</v>
      </c>
      <c r="U17" s="64">
        <v>1</v>
      </c>
      <c r="V17" s="10" t="e">
        <f t="array" aca="1" ref="V17" ca="1">INDEX(Honor!$O$2:$O800,MATCH($I17,Honor!$A$2:$A800,0))</f>
        <v>#NAME?</v>
      </c>
      <c r="W17" s="68">
        <v>45347</v>
      </c>
      <c r="X17" s="7" t="str">
        <f t="array" ref="X17">INDEX('Input Kegiatan'!$B$2:$B800,MATCH(B17,'Input Kegiatan'!$A$2:$A800,0))</f>
        <v>Survei Harga Produsen Beras di Penggilingan 2024 (HPBG24) Januari</v>
      </c>
      <c r="Y17" s="7" t="s">
        <v>3990</v>
      </c>
      <c r="Z17" s="7" t="s">
        <v>4332</v>
      </c>
      <c r="AA17" s="68">
        <f t="shared" si="5"/>
        <v>45291</v>
      </c>
      <c r="AB17" s="68">
        <f t="shared" si="6"/>
        <v>45292</v>
      </c>
      <c r="AC17" s="68">
        <f t="shared" si="7"/>
        <v>45322</v>
      </c>
      <c r="AD17" s="68">
        <f t="shared" si="8"/>
        <v>45321</v>
      </c>
      <c r="AE17" s="68">
        <f t="shared" si="9"/>
        <v>45322</v>
      </c>
    </row>
    <row r="18" spans="1:31" ht="12.5">
      <c r="A18" s="125">
        <v>610422100165</v>
      </c>
      <c r="B18" s="65" t="s">
        <v>78</v>
      </c>
      <c r="D18" s="10">
        <f t="array" aca="1" ref="D18" ca="1">INDEX('Mitra per Bulan'!$M$2:$M800,MATCH(S18,'Mitra per Bulan'!$B$2:$B800,0))</f>
        <v>1</v>
      </c>
      <c r="E18" s="10" t="str">
        <f t="array" ref="E18">INDEX('Database Mitra'!$A$2:$A800,MATCH(A18,'Database Mitra'!$B$2:$B800,0))</f>
        <v>Yanti</v>
      </c>
      <c r="F18" s="64" t="s">
        <v>25</v>
      </c>
      <c r="G18" s="5" t="str">
        <f t="array" ref="G18">INDEX('Database Mitra'!$G$2:$G800,MATCH(A18,'Database Mitra'!$B$2:$B800,0))</f>
        <v>6102074803980002</v>
      </c>
      <c r="H18" s="64" t="s">
        <v>67</v>
      </c>
      <c r="I18" s="65" t="s">
        <v>79</v>
      </c>
      <c r="J18" s="10" t="str">
        <f t="array" ref="J18">INDEX(Honor!$H$2:$H800,MATCH($I18,Honor!$A$2:$A800,0))</f>
        <v>Dokumen</v>
      </c>
      <c r="K18" s="66">
        <f t="array" ref="K18">INDEX(Honor!$I$2:$I800,MATCH($I18,Honor!$A$2:$A800,0))</f>
        <v>50000</v>
      </c>
      <c r="L18" s="64">
        <v>1</v>
      </c>
      <c r="M18" s="10">
        <f t="shared" si="0"/>
        <v>50000</v>
      </c>
      <c r="O18" s="67">
        <f t="array" ref="O18">INDEX(Honor!$L$2:$L800,MATCH($I18,Honor!$A$2:$A800,0))</f>
        <v>45311</v>
      </c>
      <c r="P18" s="10">
        <f t="shared" si="1"/>
        <v>2024</v>
      </c>
      <c r="Q18" s="10">
        <f t="shared" si="2"/>
        <v>1</v>
      </c>
      <c r="R18" s="10" t="str">
        <f t="array" ref="R18">INDEX(Honor!$Q$2:$Q800,MATCH($I18,Honor!$A$2:$A800,0))</f>
        <v>SURVEI-PPL</v>
      </c>
      <c r="S18" s="10" t="str">
        <f t="shared" si="3"/>
        <v>610422100165-2024-1</v>
      </c>
      <c r="T18" s="10" t="str">
        <f t="shared" si="4"/>
        <v>610422100165-2024-1-SURVEI-PPL</v>
      </c>
      <c r="U18" s="64">
        <v>1</v>
      </c>
      <c r="V18" s="10" t="e">
        <f t="array" aca="1" ref="V18" ca="1">INDEX(Honor!$O$2:$O800,MATCH($I18,Honor!$A$2:$A800,0))</f>
        <v>#NAME?</v>
      </c>
      <c r="W18" s="68">
        <v>45347</v>
      </c>
      <c r="X18" s="7" t="str">
        <f t="array" ref="X18">INDEX('Input Kegiatan'!$B$2:$B800,MATCH(B18,'Input Kegiatan'!$A$2:$A800,0))</f>
        <v>Survei Harga Produsen Jasa (HPJ24) Januari</v>
      </c>
      <c r="Y18" s="7" t="s">
        <v>3990</v>
      </c>
      <c r="Z18" s="7" t="s">
        <v>4332</v>
      </c>
      <c r="AA18" s="68">
        <f t="shared" si="5"/>
        <v>45291</v>
      </c>
      <c r="AB18" s="68">
        <f t="shared" si="6"/>
        <v>45292</v>
      </c>
      <c r="AC18" s="68">
        <f t="shared" si="7"/>
        <v>45322</v>
      </c>
      <c r="AD18" s="68">
        <f t="shared" si="8"/>
        <v>45321</v>
      </c>
      <c r="AE18" s="68">
        <f t="shared" si="9"/>
        <v>45322</v>
      </c>
    </row>
    <row r="19" spans="1:31" ht="12.5">
      <c r="A19" s="125">
        <v>610422040029</v>
      </c>
      <c r="B19" s="69" t="s">
        <v>80</v>
      </c>
      <c r="D19" s="10">
        <f t="array" aca="1" ref="D19" ca="1">INDEX('Mitra per Bulan'!$M$2:$M800,MATCH(S19,'Mitra per Bulan'!$B$2:$B800,0))</f>
        <v>1</v>
      </c>
      <c r="E19" s="10" t="str">
        <f t="array" ref="E19">INDEX('Database Mitra'!$A$2:$A800,MATCH(A19,'Database Mitra'!$B$2:$B800,0))</f>
        <v>Zaini</v>
      </c>
      <c r="F19" s="64" t="s">
        <v>25</v>
      </c>
      <c r="G19" s="5" t="str">
        <f t="array" ref="G19">INDEX('Database Mitra'!$G$2:$G800,MATCH(A19,'Database Mitra'!$B$2:$B800,0))</f>
        <v>6102010607870002</v>
      </c>
      <c r="H19" s="64" t="s">
        <v>67</v>
      </c>
      <c r="I19" s="65" t="s">
        <v>81</v>
      </c>
      <c r="J19" s="10" t="str">
        <f t="array" ref="J19">INDEX(Honor!$H$2:$H800,MATCH($I19,Honor!$A$2:$A800,0))</f>
        <v>Dokumen</v>
      </c>
      <c r="K19" s="66">
        <f t="array" ref="K19">INDEX(Honor!$I$2:$I800,MATCH($I19,Honor!$A$2:$A800,0))</f>
        <v>55000</v>
      </c>
      <c r="L19" s="64">
        <v>3</v>
      </c>
      <c r="M19" s="10">
        <f t="shared" si="0"/>
        <v>165000</v>
      </c>
      <c r="N19" s="70">
        <v>165000</v>
      </c>
      <c r="O19" s="67">
        <f t="array" ref="O19">INDEX(Honor!$L$2:$L800,MATCH($I19,Honor!$A$2:$A800,0))</f>
        <v>45311</v>
      </c>
      <c r="P19" s="10">
        <f t="shared" si="1"/>
        <v>2024</v>
      </c>
      <c r="Q19" s="10">
        <f t="shared" si="2"/>
        <v>1</v>
      </c>
      <c r="R19" s="10" t="str">
        <f t="array" ref="R19">INDEX(Honor!$Q$2:$Q800,MATCH($I19,Honor!$A$2:$A800,0))</f>
        <v>SURVEI-PPL</v>
      </c>
      <c r="S19" s="10" t="str">
        <f t="shared" si="3"/>
        <v>610422040029-2024-1</v>
      </c>
      <c r="T19" s="10" t="str">
        <f t="shared" si="4"/>
        <v>610422040029-2024-1-SURVEI-PPL</v>
      </c>
      <c r="U19" s="64">
        <v>1</v>
      </c>
      <c r="V19" s="10" t="e">
        <f t="array" aca="1" ref="V19" ca="1">INDEX(Honor!$O$2:$O800,MATCH($I19,Honor!$A$2:$A800,0))</f>
        <v>#NAME?</v>
      </c>
      <c r="W19" s="68">
        <v>45344</v>
      </c>
      <c r="X19" s="7" t="str">
        <f t="array" ref="X19">INDEX('Input Kegiatan'!$B$2:$B800,MATCH(B19,'Input Kegiatan'!$A$2:$A800,0))</f>
        <v>Survei Hotel dan Jasa Akomodasi Bulanan (VHTS) 2024 Januari</v>
      </c>
      <c r="Y19" s="7" t="s">
        <v>4572</v>
      </c>
      <c r="Z19" s="7" t="s">
        <v>4619</v>
      </c>
      <c r="AA19" s="68">
        <f t="shared" si="5"/>
        <v>45291</v>
      </c>
      <c r="AB19" s="68">
        <f t="shared" si="6"/>
        <v>45292</v>
      </c>
      <c r="AC19" s="68">
        <f t="shared" si="7"/>
        <v>45322</v>
      </c>
      <c r="AD19" s="68">
        <f t="shared" si="8"/>
        <v>45321</v>
      </c>
      <c r="AE19" s="68">
        <f t="shared" si="9"/>
        <v>45322</v>
      </c>
    </row>
    <row r="20" spans="1:31" ht="12.5">
      <c r="A20" s="125">
        <v>610422100165</v>
      </c>
      <c r="B20" s="69" t="s">
        <v>80</v>
      </c>
      <c r="D20" s="10">
        <f t="array" aca="1" ref="D20" ca="1">INDEX('Mitra per Bulan'!$M$2:$M800,MATCH(S20,'Mitra per Bulan'!$B$2:$B800,0))</f>
        <v>1</v>
      </c>
      <c r="E20" s="10" t="str">
        <f t="array" ref="E20">INDEX('Database Mitra'!$A$2:$A800,MATCH(A20,'Database Mitra'!$B$2:$B800,0))</f>
        <v>Yanti</v>
      </c>
      <c r="F20" s="64" t="s">
        <v>25</v>
      </c>
      <c r="G20" s="5" t="str">
        <f t="array" ref="G20">INDEX('Database Mitra'!$G$2:$G800,MATCH(A20,'Database Mitra'!$B$2:$B800,0))</f>
        <v>6102074803980002</v>
      </c>
      <c r="H20" s="64" t="s">
        <v>67</v>
      </c>
      <c r="I20" s="65" t="s">
        <v>81</v>
      </c>
      <c r="J20" s="10" t="str">
        <f t="array" ref="J20">INDEX(Honor!$H$2:$H800,MATCH($I20,Honor!$A$2:$A800,0))</f>
        <v>Dokumen</v>
      </c>
      <c r="K20" s="66">
        <f t="array" ref="K20">INDEX(Honor!$I$2:$I800,MATCH($I20,Honor!$A$2:$A800,0))</f>
        <v>55000</v>
      </c>
      <c r="L20" s="64">
        <v>3</v>
      </c>
      <c r="M20" s="10">
        <f t="shared" si="0"/>
        <v>165000</v>
      </c>
      <c r="N20" s="70">
        <v>165000</v>
      </c>
      <c r="O20" s="67">
        <f t="array" ref="O20">INDEX(Honor!$L$2:$L800,MATCH($I20,Honor!$A$2:$A800,0))</f>
        <v>45311</v>
      </c>
      <c r="P20" s="10">
        <f t="shared" si="1"/>
        <v>2024</v>
      </c>
      <c r="Q20" s="10">
        <f t="shared" si="2"/>
        <v>1</v>
      </c>
      <c r="R20" s="10" t="str">
        <f t="array" ref="R20">INDEX(Honor!$Q$2:$Q800,MATCH($I20,Honor!$A$2:$A800,0))</f>
        <v>SURVEI-PPL</v>
      </c>
      <c r="S20" s="10" t="str">
        <f t="shared" si="3"/>
        <v>610422100165-2024-1</v>
      </c>
      <c r="T20" s="10" t="str">
        <f t="shared" si="4"/>
        <v>610422100165-2024-1-SURVEI-PPL</v>
      </c>
      <c r="U20" s="64">
        <v>1</v>
      </c>
      <c r="V20" s="10" t="e">
        <f t="array" aca="1" ref="V20" ca="1">INDEX(Honor!$O$2:$O800,MATCH($I20,Honor!$A$2:$A800,0))</f>
        <v>#NAME?</v>
      </c>
      <c r="W20" s="68">
        <v>45344</v>
      </c>
      <c r="X20" s="7" t="str">
        <f t="array" ref="X20">INDEX('Input Kegiatan'!$B$2:$B800,MATCH(B20,'Input Kegiatan'!$A$2:$A800,0))</f>
        <v>Survei Hotel dan Jasa Akomodasi Bulanan (VHTS) 2024 Januari</v>
      </c>
      <c r="Y20" s="7" t="s">
        <v>3990</v>
      </c>
      <c r="Z20" s="7" t="s">
        <v>4332</v>
      </c>
      <c r="AA20" s="68">
        <f t="shared" si="5"/>
        <v>45291</v>
      </c>
      <c r="AB20" s="68">
        <f t="shared" si="6"/>
        <v>45292</v>
      </c>
      <c r="AC20" s="68">
        <f t="shared" si="7"/>
        <v>45322</v>
      </c>
      <c r="AD20" s="68">
        <f t="shared" si="8"/>
        <v>45321</v>
      </c>
      <c r="AE20" s="68">
        <f t="shared" si="9"/>
        <v>45322</v>
      </c>
    </row>
    <row r="21" spans="1:31" ht="12.5">
      <c r="A21" s="125">
        <v>610422050001</v>
      </c>
      <c r="B21" s="69" t="s">
        <v>80</v>
      </c>
      <c r="D21" s="10">
        <f t="array" aca="1" ref="D21" ca="1">INDEX('Mitra per Bulan'!$M$2:$M800,MATCH(S21,'Mitra per Bulan'!$B$2:$B800,0))</f>
        <v>1</v>
      </c>
      <c r="E21" s="10" t="str">
        <f t="array" ref="E21">INDEX('Database Mitra'!$A$2:$A800,MATCH(A21,'Database Mitra'!$B$2:$B800,0))</f>
        <v>Evi Juniarty</v>
      </c>
      <c r="F21" s="64" t="s">
        <v>25</v>
      </c>
      <c r="G21" s="5" t="str">
        <f t="array" ref="G21">INDEX('Database Mitra'!$G$2:$G800,MATCH(A21,'Database Mitra'!$B$2:$B800,0))</f>
        <v>6102165101840001</v>
      </c>
      <c r="H21" s="64" t="s">
        <v>67</v>
      </c>
      <c r="I21" s="65" t="s">
        <v>81</v>
      </c>
      <c r="J21" s="10" t="str">
        <f t="array" ref="J21">INDEX(Honor!$H$2:$H800,MATCH($I21,Honor!$A$2:$A800,0))</f>
        <v>Dokumen</v>
      </c>
      <c r="K21" s="66">
        <f t="array" ref="K21">INDEX(Honor!$I$2:$I800,MATCH($I21,Honor!$A$2:$A800,0))</f>
        <v>55000</v>
      </c>
      <c r="L21" s="64">
        <v>3</v>
      </c>
      <c r="M21" s="10">
        <f t="shared" si="0"/>
        <v>165000</v>
      </c>
      <c r="N21" s="70">
        <v>165000</v>
      </c>
      <c r="O21" s="67">
        <f t="array" ref="O21">INDEX(Honor!$L$2:$L800,MATCH($I21,Honor!$A$2:$A800,0))</f>
        <v>45311</v>
      </c>
      <c r="P21" s="10">
        <f t="shared" si="1"/>
        <v>2024</v>
      </c>
      <c r="Q21" s="10">
        <f t="shared" si="2"/>
        <v>1</v>
      </c>
      <c r="R21" s="10" t="str">
        <f t="array" ref="R21">INDEX(Honor!$Q$2:$Q800,MATCH($I21,Honor!$A$2:$A800,0))</f>
        <v>SURVEI-PPL</v>
      </c>
      <c r="S21" s="10" t="str">
        <f t="shared" si="3"/>
        <v>610422050001-2024-1</v>
      </c>
      <c r="T21" s="10" t="str">
        <f t="shared" si="4"/>
        <v>610422050001-2024-1-SURVEI-PPL</v>
      </c>
      <c r="U21" s="64">
        <v>1</v>
      </c>
      <c r="V21" s="10" t="e">
        <f t="array" aca="1" ref="V21" ca="1">INDEX(Honor!$O$2:$O800,MATCH($I21,Honor!$A$2:$A800,0))</f>
        <v>#NAME?</v>
      </c>
      <c r="W21" s="68">
        <v>45344</v>
      </c>
      <c r="X21" s="7" t="str">
        <f t="array" ref="X21">INDEX('Input Kegiatan'!$B$2:$B800,MATCH(B21,'Input Kegiatan'!$A$2:$A800,0))</f>
        <v>Survei Hotel dan Jasa Akomodasi Bulanan (VHTS) 2024 Januari</v>
      </c>
      <c r="Y21" s="7" t="s">
        <v>4408</v>
      </c>
      <c r="Z21" s="7" t="s">
        <v>4409</v>
      </c>
      <c r="AA21" s="68">
        <f t="shared" si="5"/>
        <v>45291</v>
      </c>
      <c r="AB21" s="68">
        <f t="shared" si="6"/>
        <v>45292</v>
      </c>
      <c r="AC21" s="68">
        <f t="shared" si="7"/>
        <v>45322</v>
      </c>
      <c r="AD21" s="68">
        <f t="shared" si="8"/>
        <v>45321</v>
      </c>
      <c r="AE21" s="68">
        <f t="shared" si="9"/>
        <v>45322</v>
      </c>
    </row>
    <row r="22" spans="1:31" ht="12.5">
      <c r="A22" s="125">
        <v>610422040056</v>
      </c>
      <c r="B22" s="69" t="s">
        <v>80</v>
      </c>
      <c r="D22" s="10">
        <f t="array" aca="1" ref="D22" ca="1">INDEX('Mitra per Bulan'!$M$2:$M800,MATCH(S22,'Mitra per Bulan'!$B$2:$B800,0))</f>
        <v>1</v>
      </c>
      <c r="E22" s="10" t="str">
        <f t="array" ref="E22">INDEX('Database Mitra'!$A$2:$A800,MATCH(A22,'Database Mitra'!$B$2:$B800,0))</f>
        <v>Wandi Syafari</v>
      </c>
      <c r="F22" s="64" t="s">
        <v>25</v>
      </c>
      <c r="G22" s="5" t="str">
        <f t="array" ref="G22">INDEX('Database Mitra'!$G$2:$G800,MATCH(A22,'Database Mitra'!$B$2:$B800,0))</f>
        <v>6102010802760001</v>
      </c>
      <c r="H22" s="64" t="s">
        <v>67</v>
      </c>
      <c r="I22" s="65" t="s">
        <v>81</v>
      </c>
      <c r="J22" s="10" t="str">
        <f t="array" ref="J22">INDEX(Honor!$H$2:$H800,MATCH($I22,Honor!$A$2:$A800,0))</f>
        <v>Dokumen</v>
      </c>
      <c r="K22" s="66">
        <f t="array" ref="K22">INDEX(Honor!$I$2:$I800,MATCH($I22,Honor!$A$2:$A800,0))</f>
        <v>55000</v>
      </c>
      <c r="L22" s="64">
        <v>2</v>
      </c>
      <c r="M22" s="10">
        <f t="shared" si="0"/>
        <v>110000</v>
      </c>
      <c r="N22" s="70">
        <v>110000</v>
      </c>
      <c r="O22" s="67">
        <f t="array" ref="O22">INDEX(Honor!$L$2:$L800,MATCH($I22,Honor!$A$2:$A800,0))</f>
        <v>45311</v>
      </c>
      <c r="P22" s="10">
        <f t="shared" si="1"/>
        <v>2024</v>
      </c>
      <c r="Q22" s="10">
        <f t="shared" si="2"/>
        <v>1</v>
      </c>
      <c r="R22" s="10" t="str">
        <f t="array" ref="R22">INDEX(Honor!$Q$2:$Q800,MATCH($I22,Honor!$A$2:$A800,0))</f>
        <v>SURVEI-PPL</v>
      </c>
      <c r="S22" s="10" t="str">
        <f t="shared" si="3"/>
        <v>610422040056-2024-1</v>
      </c>
      <c r="T22" s="10" t="str">
        <f t="shared" si="4"/>
        <v>610422040056-2024-1-SURVEI-PPL</v>
      </c>
      <c r="U22" s="64">
        <v>1</v>
      </c>
      <c r="V22" s="10" t="e">
        <f t="array" aca="1" ref="V22" ca="1">INDEX(Honor!$O$2:$O800,MATCH($I22,Honor!$A$2:$A800,0))</f>
        <v>#NAME?</v>
      </c>
      <c r="W22" s="68">
        <v>45344</v>
      </c>
      <c r="X22" s="7" t="str">
        <f t="array" ref="X22">INDEX('Input Kegiatan'!$B$2:$B800,MATCH(B22,'Input Kegiatan'!$A$2:$A800,0))</f>
        <v>Survei Hotel dan Jasa Akomodasi Bulanan (VHTS) 2024 Januari</v>
      </c>
      <c r="Y22" s="7" t="s">
        <v>4572</v>
      </c>
      <c r="Z22" s="7" t="s">
        <v>4656</v>
      </c>
      <c r="AA22" s="68">
        <f t="shared" si="5"/>
        <v>45291</v>
      </c>
      <c r="AB22" s="68">
        <f t="shared" si="6"/>
        <v>45292</v>
      </c>
      <c r="AC22" s="68">
        <f t="shared" si="7"/>
        <v>45322</v>
      </c>
      <c r="AD22" s="68">
        <f t="shared" si="8"/>
        <v>45321</v>
      </c>
      <c r="AE22" s="68">
        <f t="shared" si="9"/>
        <v>45322</v>
      </c>
    </row>
    <row r="23" spans="1:31" ht="12.5">
      <c r="A23" s="125">
        <v>610422040029</v>
      </c>
      <c r="B23" s="65" t="s">
        <v>82</v>
      </c>
      <c r="D23" s="10">
        <f t="array" aca="1" ref="D23" ca="1">INDEX('Mitra per Bulan'!$M$2:$M800,MATCH(S23,'Mitra per Bulan'!$B$2:$B800,0))</f>
        <v>1</v>
      </c>
      <c r="E23" s="10" t="str">
        <f t="array" ref="E23">INDEX('Database Mitra'!$A$2:$A800,MATCH(A23,'Database Mitra'!$B$2:$B800,0))</f>
        <v>Zaini</v>
      </c>
      <c r="F23" s="64" t="s">
        <v>25</v>
      </c>
      <c r="G23" s="5" t="str">
        <f t="array" ref="G23">INDEX('Database Mitra'!$G$2:$G800,MATCH(A23,'Database Mitra'!$B$2:$B800,0))</f>
        <v>6102010607870002</v>
      </c>
      <c r="H23" s="64" t="s">
        <v>67</v>
      </c>
      <c r="I23" s="65" t="s">
        <v>83</v>
      </c>
      <c r="J23" s="10" t="str">
        <f t="array" ref="J23">INDEX(Honor!$H$2:$H800,MATCH($I23,Honor!$A$2:$A800,0))</f>
        <v>Dokumen</v>
      </c>
      <c r="K23" s="66">
        <f t="array" ref="K23">INDEX(Honor!$I$2:$I800,MATCH($I23,Honor!$A$2:$A800,0))</f>
        <v>60000</v>
      </c>
      <c r="L23" s="64">
        <v>16</v>
      </c>
      <c r="M23" s="10">
        <f t="shared" si="0"/>
        <v>960000</v>
      </c>
      <c r="O23" s="67">
        <f t="array" ref="O23">INDEX(Honor!$L$2:$L800,MATCH($I23,Honor!$A$2:$A800,0))</f>
        <v>45311</v>
      </c>
      <c r="P23" s="10">
        <f t="shared" si="1"/>
        <v>2024</v>
      </c>
      <c r="Q23" s="10">
        <f t="shared" si="2"/>
        <v>1</v>
      </c>
      <c r="R23" s="10" t="str">
        <f t="array" ref="R23">INDEX(Honor!$Q$2:$Q800,MATCH($I23,Honor!$A$2:$A800,0))</f>
        <v>SURVEI-PPL</v>
      </c>
      <c r="S23" s="10" t="str">
        <f t="shared" si="3"/>
        <v>610422040029-2024-1</v>
      </c>
      <c r="T23" s="10" t="str">
        <f t="shared" si="4"/>
        <v>610422040029-2024-1-SURVEI-PPL</v>
      </c>
      <c r="U23" s="64">
        <v>1</v>
      </c>
      <c r="V23" s="10" t="e">
        <f t="array" aca="1" ref="V23" ca="1">INDEX(Honor!$O$2:$O800,MATCH($I23,Honor!$A$2:$A800,0))</f>
        <v>#NAME?</v>
      </c>
      <c r="W23" s="68">
        <v>45347</v>
      </c>
      <c r="X23" s="7" t="str">
        <f t="array" ref="X23">INDEX('Input Kegiatan'!$B$2:$B800,MATCH(B23,'Input Kegiatan'!$A$2:$A800,0))</f>
        <v>Survei Harga Kemahalan Konstruksi (SHKK24) Januari</v>
      </c>
      <c r="Y23" s="7" t="s">
        <v>4572</v>
      </c>
      <c r="Z23" s="7" t="s">
        <v>4619</v>
      </c>
      <c r="AA23" s="68">
        <f t="shared" si="5"/>
        <v>45291</v>
      </c>
      <c r="AB23" s="68">
        <f t="shared" si="6"/>
        <v>45292</v>
      </c>
      <c r="AC23" s="68">
        <f t="shared" si="7"/>
        <v>45322</v>
      </c>
      <c r="AD23" s="68">
        <f t="shared" si="8"/>
        <v>45321</v>
      </c>
      <c r="AE23" s="68">
        <f t="shared" si="9"/>
        <v>45322</v>
      </c>
    </row>
    <row r="24" spans="1:31" ht="12.5">
      <c r="A24" s="125">
        <v>610422020048</v>
      </c>
      <c r="B24" s="65" t="s">
        <v>82</v>
      </c>
      <c r="D24" s="10">
        <f t="array" aca="1" ref="D24" ca="1">INDEX('Mitra per Bulan'!$M$2:$M800,MATCH(S24,'Mitra per Bulan'!$B$2:$B800,0))</f>
        <v>1</v>
      </c>
      <c r="E24" s="10" t="str">
        <f t="array" ref="E24">INDEX('Database Mitra'!$A$2:$A800,MATCH(A24,'Database Mitra'!$B$2:$B800,0))</f>
        <v>Herri Gustaman</v>
      </c>
      <c r="F24" s="64" t="s">
        <v>25</v>
      </c>
      <c r="G24" s="5" t="str">
        <f t="array" ref="G24">INDEX('Database Mitra'!$G$2:$G800,MATCH(A24,'Database Mitra'!$B$2:$B800,0))</f>
        <v>6102072503800001</v>
      </c>
      <c r="H24" s="64" t="s">
        <v>67</v>
      </c>
      <c r="I24" s="65" t="s">
        <v>83</v>
      </c>
      <c r="J24" s="10" t="str">
        <f t="array" ref="J24">INDEX(Honor!$H$2:$H800,MATCH($I24,Honor!$A$2:$A800,0))</f>
        <v>Dokumen</v>
      </c>
      <c r="K24" s="66">
        <f t="array" ref="K24">INDEX(Honor!$I$2:$I800,MATCH($I24,Honor!$A$2:$A800,0))</f>
        <v>60000</v>
      </c>
      <c r="L24" s="64">
        <v>10</v>
      </c>
      <c r="M24" s="10">
        <f t="shared" si="0"/>
        <v>600000</v>
      </c>
      <c r="O24" s="67">
        <f t="array" ref="O24">INDEX(Honor!$L$2:$L800,MATCH($I24,Honor!$A$2:$A800,0))</f>
        <v>45311</v>
      </c>
      <c r="P24" s="10">
        <f t="shared" si="1"/>
        <v>2024</v>
      </c>
      <c r="Q24" s="10">
        <f t="shared" si="2"/>
        <v>1</v>
      </c>
      <c r="R24" s="10" t="str">
        <f t="array" ref="R24">INDEX(Honor!$Q$2:$Q800,MATCH($I24,Honor!$A$2:$A800,0))</f>
        <v>SURVEI-PPL</v>
      </c>
      <c r="S24" s="10" t="str">
        <f t="shared" si="3"/>
        <v>610422020048-2024-1</v>
      </c>
      <c r="T24" s="10" t="str">
        <f t="shared" si="4"/>
        <v>610422020048-2024-1-SURVEI-PPL</v>
      </c>
      <c r="U24" s="64">
        <v>1</v>
      </c>
      <c r="V24" s="10" t="e">
        <f t="array" aca="1" ref="V24" ca="1">INDEX(Honor!$O$2:$O800,MATCH($I24,Honor!$A$2:$A800,0))</f>
        <v>#NAME?</v>
      </c>
      <c r="W24" s="68">
        <v>45347</v>
      </c>
      <c r="X24" s="7" t="str">
        <f t="array" ref="X24">INDEX('Input Kegiatan'!$B$2:$B800,MATCH(B24,'Input Kegiatan'!$A$2:$A800,0))</f>
        <v>Survei Harga Kemahalan Konstruksi (SHKK24) Januari</v>
      </c>
      <c r="Y24" s="7" t="s">
        <v>4931</v>
      </c>
      <c r="Z24" s="7" t="s">
        <v>5171</v>
      </c>
      <c r="AA24" s="68">
        <f t="shared" si="5"/>
        <v>45291</v>
      </c>
      <c r="AB24" s="68">
        <f t="shared" si="6"/>
        <v>45292</v>
      </c>
      <c r="AC24" s="68">
        <f t="shared" si="7"/>
        <v>45322</v>
      </c>
      <c r="AD24" s="68">
        <f t="shared" si="8"/>
        <v>45321</v>
      </c>
      <c r="AE24" s="68">
        <f t="shared" si="9"/>
        <v>45322</v>
      </c>
    </row>
    <row r="25" spans="1:31" ht="12.5">
      <c r="A25" s="125">
        <v>610422100165</v>
      </c>
      <c r="B25" s="65" t="s">
        <v>82</v>
      </c>
      <c r="D25" s="10">
        <f t="array" aca="1" ref="D25" ca="1">INDEX('Mitra per Bulan'!$M$2:$M800,MATCH(S25,'Mitra per Bulan'!$B$2:$B800,0))</f>
        <v>1</v>
      </c>
      <c r="E25" s="10" t="str">
        <f t="array" ref="E25">INDEX('Database Mitra'!$A$2:$A800,MATCH(A25,'Database Mitra'!$B$2:$B800,0))</f>
        <v>Yanti</v>
      </c>
      <c r="F25" s="64" t="s">
        <v>25</v>
      </c>
      <c r="G25" s="5" t="str">
        <f t="array" ref="G25">INDEX('Database Mitra'!$G$2:$G800,MATCH(A25,'Database Mitra'!$B$2:$B800,0))</f>
        <v>6102074803980002</v>
      </c>
      <c r="H25" s="64" t="s">
        <v>67</v>
      </c>
      <c r="I25" s="65" t="s">
        <v>83</v>
      </c>
      <c r="J25" s="10" t="str">
        <f t="array" ref="J25">INDEX(Honor!$H$2:$H800,MATCH($I25,Honor!$A$2:$A800,0))</f>
        <v>Dokumen</v>
      </c>
      <c r="K25" s="66">
        <f t="array" ref="K25">INDEX(Honor!$I$2:$I800,MATCH($I25,Honor!$A$2:$A800,0))</f>
        <v>60000</v>
      </c>
      <c r="L25" s="64">
        <v>6</v>
      </c>
      <c r="M25" s="10">
        <f t="shared" si="0"/>
        <v>360000</v>
      </c>
      <c r="O25" s="67">
        <f t="array" ref="O25">INDEX(Honor!$L$2:$L800,MATCH($I25,Honor!$A$2:$A800,0))</f>
        <v>45311</v>
      </c>
      <c r="P25" s="10">
        <f t="shared" si="1"/>
        <v>2024</v>
      </c>
      <c r="Q25" s="10">
        <f t="shared" si="2"/>
        <v>1</v>
      </c>
      <c r="R25" s="10" t="str">
        <f t="array" ref="R25">INDEX(Honor!$Q$2:$Q800,MATCH($I25,Honor!$A$2:$A800,0))</f>
        <v>SURVEI-PPL</v>
      </c>
      <c r="S25" s="10" t="str">
        <f t="shared" si="3"/>
        <v>610422100165-2024-1</v>
      </c>
      <c r="T25" s="10" t="str">
        <f t="shared" si="4"/>
        <v>610422100165-2024-1-SURVEI-PPL</v>
      </c>
      <c r="U25" s="64">
        <v>1</v>
      </c>
      <c r="V25" s="10" t="e">
        <f t="array" aca="1" ref="V25" ca="1">INDEX(Honor!$O$2:$O800,MATCH($I25,Honor!$A$2:$A800,0))</f>
        <v>#NAME?</v>
      </c>
      <c r="W25" s="68">
        <v>45347</v>
      </c>
      <c r="X25" s="7" t="str">
        <f t="array" ref="X25">INDEX('Input Kegiatan'!$B$2:$B800,MATCH(B25,'Input Kegiatan'!$A$2:$A800,0))</f>
        <v>Survei Harga Kemahalan Konstruksi (SHKK24) Januari</v>
      </c>
      <c r="Y25" s="7" t="s">
        <v>3990</v>
      </c>
      <c r="Z25" s="7" t="s">
        <v>4332</v>
      </c>
      <c r="AA25" s="68">
        <f t="shared" si="5"/>
        <v>45291</v>
      </c>
      <c r="AB25" s="68">
        <f t="shared" si="6"/>
        <v>45292</v>
      </c>
      <c r="AC25" s="68">
        <f t="shared" si="7"/>
        <v>45322</v>
      </c>
      <c r="AD25" s="68">
        <f t="shared" si="8"/>
        <v>45321</v>
      </c>
      <c r="AE25" s="68">
        <f t="shared" si="9"/>
        <v>45322</v>
      </c>
    </row>
    <row r="26" spans="1:31" ht="12.5">
      <c r="A26" s="125">
        <v>610422020052</v>
      </c>
      <c r="B26" s="65" t="s">
        <v>82</v>
      </c>
      <c r="D26" s="10">
        <f t="array" aca="1" ref="D26" ca="1">INDEX('Mitra per Bulan'!$M$2:$M800,MATCH(S26,'Mitra per Bulan'!$B$2:$B800,0))</f>
        <v>1</v>
      </c>
      <c r="E26" s="10" t="str">
        <f t="array" ref="E26">INDEX('Database Mitra'!$A$2:$A800,MATCH(A26,'Database Mitra'!$B$2:$B800,0))</f>
        <v>Agus Supriyanto</v>
      </c>
      <c r="F26" s="64" t="s">
        <v>25</v>
      </c>
      <c r="G26" s="5" t="str">
        <f t="array" ref="G26">INDEX('Database Mitra'!$G$2:$G800,MATCH(A26,'Database Mitra'!$B$2:$B800,0))</f>
        <v>6102071811790001</v>
      </c>
      <c r="H26" s="64" t="s">
        <v>67</v>
      </c>
      <c r="I26" s="65" t="s">
        <v>83</v>
      </c>
      <c r="J26" s="10" t="str">
        <f t="array" ref="J26">INDEX(Honor!$H$2:$H800,MATCH($I26,Honor!$A$2:$A800,0))</f>
        <v>Dokumen</v>
      </c>
      <c r="K26" s="66">
        <f t="array" ref="K26">INDEX(Honor!$I$2:$I800,MATCH($I26,Honor!$A$2:$A800,0))</f>
        <v>60000</v>
      </c>
      <c r="L26" s="64">
        <v>7</v>
      </c>
      <c r="M26" s="10">
        <f t="shared" si="0"/>
        <v>420000</v>
      </c>
      <c r="O26" s="67">
        <f t="array" ref="O26">INDEX(Honor!$L$2:$L800,MATCH($I26,Honor!$A$2:$A800,0))</f>
        <v>45311</v>
      </c>
      <c r="P26" s="10">
        <f t="shared" si="1"/>
        <v>2024</v>
      </c>
      <c r="Q26" s="10">
        <f t="shared" si="2"/>
        <v>1</v>
      </c>
      <c r="R26" s="10" t="str">
        <f t="array" ref="R26">INDEX(Honor!$Q$2:$Q800,MATCH($I26,Honor!$A$2:$A800,0))</f>
        <v>SURVEI-PPL</v>
      </c>
      <c r="S26" s="10" t="str">
        <f t="shared" si="3"/>
        <v>610422020052-2024-1</v>
      </c>
      <c r="T26" s="10" t="str">
        <f t="shared" si="4"/>
        <v>610422020052-2024-1-SURVEI-PPL</v>
      </c>
      <c r="U26" s="64">
        <v>1</v>
      </c>
      <c r="V26" s="10" t="e">
        <f t="array" aca="1" ref="V26" ca="1">INDEX(Honor!$O$2:$O800,MATCH($I26,Honor!$A$2:$A800,0))</f>
        <v>#NAME?</v>
      </c>
      <c r="W26" s="68">
        <v>45347</v>
      </c>
      <c r="X26" s="7" t="str">
        <f t="array" ref="X26">INDEX('Input Kegiatan'!$B$2:$B800,MATCH(B26,'Input Kegiatan'!$A$2:$A800,0))</f>
        <v>Survei Harga Kemahalan Konstruksi (SHKK24) Januari</v>
      </c>
      <c r="Y26" s="7" t="s">
        <v>3990</v>
      </c>
      <c r="Z26" s="7" t="s">
        <v>4087</v>
      </c>
      <c r="AA26" s="68">
        <f t="shared" si="5"/>
        <v>45291</v>
      </c>
      <c r="AB26" s="68">
        <f t="shared" si="6"/>
        <v>45292</v>
      </c>
      <c r="AC26" s="68">
        <f t="shared" si="7"/>
        <v>45322</v>
      </c>
      <c r="AD26" s="68">
        <f t="shared" si="8"/>
        <v>45321</v>
      </c>
      <c r="AE26" s="68">
        <f t="shared" si="9"/>
        <v>45322</v>
      </c>
    </row>
    <row r="27" spans="1:31" ht="12.5">
      <c r="A27" s="125">
        <v>610422020016</v>
      </c>
      <c r="B27" s="64" t="s">
        <v>29</v>
      </c>
      <c r="D27" s="10">
        <f t="array" aca="1" ref="D27" ca="1">INDEX('Mitra per Bulan'!$M$2:$M800,MATCH(S27,'Mitra per Bulan'!$B$2:$B800,0))</f>
        <v>1</v>
      </c>
      <c r="E27" s="10" t="str">
        <f t="array" ref="E27">INDEX('Database Mitra'!$A$2:$A800,MATCH(A27,'Database Mitra'!$B$2:$B800,0))</f>
        <v>Abdul Aziz</v>
      </c>
      <c r="F27" s="65" t="s">
        <v>25</v>
      </c>
      <c r="G27" s="5" t="str">
        <f t="array" ref="G27">INDEX('Database Mitra'!$G$2:$G800,MATCH(A27,'Database Mitra'!$B$2:$B800,0))</f>
        <v>6102061507950006</v>
      </c>
      <c r="H27" s="64" t="s">
        <v>84</v>
      </c>
      <c r="I27" s="65" t="str">
        <f t="shared" ref="I27:I40" si="10">CONCATENATE(B27,"-",F27,"-",H27)</f>
        <v>KSA24-LAPANGAN-JANUARI-PPL-KSA PADI</v>
      </c>
      <c r="J27" s="10" t="str">
        <f t="array" ref="J27">INDEX(Honor!$H$2:$H800,MATCH($I27,Honor!$A$2:$A800,0))</f>
        <v>Segmen</v>
      </c>
      <c r="K27" s="66">
        <f t="array" ref="K27">INDEX(Honor!$I$2:$I800,MATCH($I27,Honor!$A$2:$A800,0))</f>
        <v>116000</v>
      </c>
      <c r="L27" s="64">
        <v>3</v>
      </c>
      <c r="M27" s="10">
        <f t="shared" si="0"/>
        <v>348000</v>
      </c>
      <c r="N27" s="70">
        <v>348000</v>
      </c>
      <c r="O27" s="67">
        <f t="array" ref="O27">INDEX(Honor!$L$2:$L800,MATCH($I27,Honor!$A$2:$A800,0))</f>
        <v>45322</v>
      </c>
      <c r="P27" s="10">
        <f t="shared" si="1"/>
        <v>2024</v>
      </c>
      <c r="Q27" s="10">
        <f t="shared" si="2"/>
        <v>1</v>
      </c>
      <c r="R27" s="10" t="str">
        <f t="array" ref="R27">INDEX(Honor!$Q$2:$Q800,MATCH($I27,Honor!$A$2:$A800,0))</f>
        <v>SURVEI-PPL</v>
      </c>
      <c r="S27" s="10" t="str">
        <f t="shared" si="3"/>
        <v>610422020016-2024-1</v>
      </c>
      <c r="T27" s="10" t="str">
        <f t="shared" si="4"/>
        <v>610422020016-2024-1-SURVEI-PPL</v>
      </c>
      <c r="U27" s="64">
        <v>1</v>
      </c>
      <c r="V27" s="10" t="e">
        <f t="array" aca="1" ref="V27" ca="1">INDEX(Honor!$O$2:$O800,MATCH($I27,Honor!$A$2:$A800,0))</f>
        <v>#NAME?</v>
      </c>
      <c r="W27" s="68">
        <v>45344</v>
      </c>
      <c r="X27" s="7" t="str">
        <f t="array" ref="X27">INDEX('Input Kegiatan'!$B$2:$B800,MATCH(B27,'Input Kegiatan'!$A$2:$A800,0))</f>
        <v>Kerangka Sampel Area (KSA) 2024 Januari</v>
      </c>
      <c r="Y27" s="7" t="s">
        <v>5534</v>
      </c>
      <c r="Z27" s="7" t="s">
        <v>5535</v>
      </c>
      <c r="AA27" s="68">
        <f t="shared" si="5"/>
        <v>45291</v>
      </c>
      <c r="AB27" s="68">
        <f t="shared" si="6"/>
        <v>45292</v>
      </c>
      <c r="AC27" s="68">
        <f t="shared" si="7"/>
        <v>45322</v>
      </c>
      <c r="AD27" s="68">
        <f t="shared" si="8"/>
        <v>45321</v>
      </c>
      <c r="AE27" s="68">
        <f t="shared" si="9"/>
        <v>45322</v>
      </c>
    </row>
    <row r="28" spans="1:31" ht="12.5">
      <c r="A28" s="125">
        <v>610422040012</v>
      </c>
      <c r="B28" s="64" t="s">
        <v>29</v>
      </c>
      <c r="D28" s="10">
        <f t="array" aca="1" ref="D28" ca="1">INDEX('Mitra per Bulan'!$M$2:$M800,MATCH(S28,'Mitra per Bulan'!$B$2:$B800,0))</f>
        <v>1</v>
      </c>
      <c r="E28" s="10" t="str">
        <f t="array" ref="E28">INDEX('Database Mitra'!$A$2:$A800,MATCH(A28,'Database Mitra'!$B$2:$B800,0))</f>
        <v>Misdi</v>
      </c>
      <c r="F28" s="65" t="s">
        <v>25</v>
      </c>
      <c r="G28" s="5" t="str">
        <f t="array" ref="G28">INDEX('Database Mitra'!$G$2:$G800,MATCH(A28,'Database Mitra'!$B$2:$B800,0))</f>
        <v>6102070706940001</v>
      </c>
      <c r="H28" s="64" t="s">
        <v>84</v>
      </c>
      <c r="I28" s="65" t="str">
        <f t="shared" si="10"/>
        <v>KSA24-LAPANGAN-JANUARI-PPL-KSA PADI</v>
      </c>
      <c r="J28" s="10" t="str">
        <f t="array" ref="J28">INDEX(Honor!$H$2:$H800,MATCH($I28,Honor!$A$2:$A800,0))</f>
        <v>Segmen</v>
      </c>
      <c r="K28" s="66">
        <f t="array" ref="K28">INDEX(Honor!$I$2:$I800,MATCH($I28,Honor!$A$2:$A800,0))</f>
        <v>116000</v>
      </c>
      <c r="L28" s="64">
        <v>3</v>
      </c>
      <c r="M28" s="10">
        <f t="shared" si="0"/>
        <v>348000</v>
      </c>
      <c r="N28" s="70">
        <v>348000</v>
      </c>
      <c r="O28" s="67">
        <f t="array" ref="O28">INDEX(Honor!$L$2:$L800,MATCH($I28,Honor!$A$2:$A800,0))</f>
        <v>45322</v>
      </c>
      <c r="P28" s="10">
        <f t="shared" si="1"/>
        <v>2024</v>
      </c>
      <c r="Q28" s="10">
        <f t="shared" si="2"/>
        <v>1</v>
      </c>
      <c r="R28" s="10" t="str">
        <f t="array" ref="R28">INDEX(Honor!$Q$2:$Q800,MATCH($I28,Honor!$A$2:$A800,0))</f>
        <v>SURVEI-PPL</v>
      </c>
      <c r="S28" s="10" t="str">
        <f t="shared" si="3"/>
        <v>610422040012-2024-1</v>
      </c>
      <c r="T28" s="10" t="str">
        <f t="shared" si="4"/>
        <v>610422040012-2024-1-SURVEI-PPL</v>
      </c>
      <c r="U28" s="64">
        <v>1</v>
      </c>
      <c r="V28" s="10" t="e">
        <f t="array" aca="1" ref="V28" ca="1">INDEX(Honor!$O$2:$O800,MATCH($I28,Honor!$A$2:$A800,0))</f>
        <v>#NAME?</v>
      </c>
      <c r="W28" s="68">
        <v>45344</v>
      </c>
      <c r="X28" s="7" t="str">
        <f t="array" ref="X28">INDEX('Input Kegiatan'!$B$2:$B800,MATCH(B28,'Input Kegiatan'!$A$2:$A800,0))</f>
        <v>Kerangka Sampel Area (KSA) 2024 Januari</v>
      </c>
      <c r="Y28" s="7" t="s">
        <v>3990</v>
      </c>
      <c r="Z28" s="7" t="s">
        <v>4365</v>
      </c>
      <c r="AA28" s="68">
        <f t="shared" si="5"/>
        <v>45291</v>
      </c>
      <c r="AB28" s="68">
        <f t="shared" si="6"/>
        <v>45292</v>
      </c>
      <c r="AC28" s="68">
        <f t="shared" si="7"/>
        <v>45322</v>
      </c>
      <c r="AD28" s="68">
        <f t="shared" si="8"/>
        <v>45321</v>
      </c>
      <c r="AE28" s="68">
        <f t="shared" si="9"/>
        <v>45322</v>
      </c>
    </row>
    <row r="29" spans="1:31" ht="12.5">
      <c r="A29" s="125">
        <v>610422040059</v>
      </c>
      <c r="B29" s="64" t="s">
        <v>29</v>
      </c>
      <c r="D29" s="10">
        <f t="array" aca="1" ref="D29" ca="1">INDEX('Mitra per Bulan'!$M$2:$M800,MATCH(S29,'Mitra per Bulan'!$B$2:$B800,0))</f>
        <v>1</v>
      </c>
      <c r="E29" s="10" t="str">
        <f t="array" ref="E29">INDEX('Database Mitra'!$A$2:$A800,MATCH(A29,'Database Mitra'!$B$2:$B800,0))</f>
        <v>Abang Handri</v>
      </c>
      <c r="F29" s="65" t="s">
        <v>25</v>
      </c>
      <c r="G29" s="5" t="str">
        <f t="array" ref="G29">INDEX('Database Mitra'!$G$2:$G800,MATCH(A29,'Database Mitra'!$B$2:$B800,0))</f>
        <v>6102072211780002</v>
      </c>
      <c r="H29" s="64" t="s">
        <v>84</v>
      </c>
      <c r="I29" s="65" t="str">
        <f t="shared" si="10"/>
        <v>KSA24-LAPANGAN-JANUARI-PPL-KSA PADI</v>
      </c>
      <c r="J29" s="10" t="str">
        <f t="array" ref="J29">INDEX(Honor!$H$2:$H800,MATCH($I29,Honor!$A$2:$A800,0))</f>
        <v>Segmen</v>
      </c>
      <c r="K29" s="66">
        <f t="array" ref="K29">INDEX(Honor!$I$2:$I800,MATCH($I29,Honor!$A$2:$A800,0))</f>
        <v>116000</v>
      </c>
      <c r="L29" s="64">
        <v>4</v>
      </c>
      <c r="M29" s="10">
        <f t="shared" si="0"/>
        <v>464000</v>
      </c>
      <c r="N29" s="70">
        <v>464000</v>
      </c>
      <c r="O29" s="67">
        <f t="array" ref="O29">INDEX(Honor!$L$2:$L800,MATCH($I29,Honor!$A$2:$A800,0))</f>
        <v>45322</v>
      </c>
      <c r="P29" s="10">
        <f t="shared" si="1"/>
        <v>2024</v>
      </c>
      <c r="Q29" s="10">
        <f t="shared" si="2"/>
        <v>1</v>
      </c>
      <c r="R29" s="10" t="str">
        <f t="array" ref="R29">INDEX(Honor!$Q$2:$Q800,MATCH($I29,Honor!$A$2:$A800,0))</f>
        <v>SURVEI-PPL</v>
      </c>
      <c r="S29" s="10" t="str">
        <f t="shared" si="3"/>
        <v>610422040059-2024-1</v>
      </c>
      <c r="T29" s="10" t="str">
        <f t="shared" si="4"/>
        <v>610422040059-2024-1-SURVEI-PPL</v>
      </c>
      <c r="U29" s="64">
        <v>1</v>
      </c>
      <c r="V29" s="10" t="e">
        <f t="array" aca="1" ref="V29" ca="1">INDEX(Honor!$O$2:$O800,MATCH($I29,Honor!$A$2:$A800,0))</f>
        <v>#NAME?</v>
      </c>
      <c r="W29" s="68">
        <v>45344</v>
      </c>
      <c r="X29" s="7" t="str">
        <f t="array" ref="X29">INDEX('Input Kegiatan'!$B$2:$B800,MATCH(B29,'Input Kegiatan'!$A$2:$A800,0))</f>
        <v>Kerangka Sampel Area (KSA) 2024 Januari</v>
      </c>
      <c r="Y29" s="7" t="s">
        <v>4572</v>
      </c>
      <c r="Z29" s="7" t="s">
        <v>4656</v>
      </c>
      <c r="AA29" s="68">
        <f t="shared" si="5"/>
        <v>45291</v>
      </c>
      <c r="AB29" s="68">
        <f t="shared" si="6"/>
        <v>45292</v>
      </c>
      <c r="AC29" s="68">
        <f t="shared" si="7"/>
        <v>45322</v>
      </c>
      <c r="AD29" s="68">
        <f t="shared" si="8"/>
        <v>45321</v>
      </c>
      <c r="AE29" s="68">
        <f t="shared" si="9"/>
        <v>45322</v>
      </c>
    </row>
    <row r="30" spans="1:31" ht="12.5">
      <c r="A30" s="125">
        <v>610422040061</v>
      </c>
      <c r="B30" s="64" t="s">
        <v>29</v>
      </c>
      <c r="D30" s="10">
        <f t="array" aca="1" ref="D30" ca="1">INDEX('Mitra per Bulan'!$M$2:$M800,MATCH(S30,'Mitra per Bulan'!$B$2:$B800,0))</f>
        <v>1</v>
      </c>
      <c r="E30" s="10" t="str">
        <f t="array" ref="E30">INDEX('Database Mitra'!$A$2:$A800,MATCH(A30,'Database Mitra'!$B$2:$B800,0))</f>
        <v>Sabani</v>
      </c>
      <c r="F30" s="65" t="s">
        <v>25</v>
      </c>
      <c r="G30" s="5" t="str">
        <f t="array" ref="G30">INDEX('Database Mitra'!$G$2:$G800,MATCH(A30,'Database Mitra'!$B$2:$B800,0))</f>
        <v>6102153112860003</v>
      </c>
      <c r="H30" s="64" t="s">
        <v>84</v>
      </c>
      <c r="I30" s="65" t="str">
        <f t="shared" si="10"/>
        <v>KSA24-LAPANGAN-JANUARI-PPL-KSA PADI</v>
      </c>
      <c r="J30" s="10" t="str">
        <f t="array" ref="J30">INDEX(Honor!$H$2:$H800,MATCH($I30,Honor!$A$2:$A800,0))</f>
        <v>Segmen</v>
      </c>
      <c r="K30" s="66">
        <f t="array" ref="K30">INDEX(Honor!$I$2:$I800,MATCH($I30,Honor!$A$2:$A800,0))</f>
        <v>116000</v>
      </c>
      <c r="L30" s="64">
        <v>3</v>
      </c>
      <c r="M30" s="10">
        <f t="shared" si="0"/>
        <v>348000</v>
      </c>
      <c r="N30" s="70">
        <v>348000</v>
      </c>
      <c r="O30" s="67">
        <f t="array" ref="O30">INDEX(Honor!$L$2:$L800,MATCH($I30,Honor!$A$2:$A800,0))</f>
        <v>45322</v>
      </c>
      <c r="P30" s="10">
        <f t="shared" si="1"/>
        <v>2024</v>
      </c>
      <c r="Q30" s="10">
        <f t="shared" si="2"/>
        <v>1</v>
      </c>
      <c r="R30" s="10" t="str">
        <f t="array" ref="R30">INDEX(Honor!$Q$2:$Q800,MATCH($I30,Honor!$A$2:$A800,0))</f>
        <v>SURVEI-PPL</v>
      </c>
      <c r="S30" s="10" t="str">
        <f t="shared" si="3"/>
        <v>610422040061-2024-1</v>
      </c>
      <c r="T30" s="10" t="str">
        <f t="shared" si="4"/>
        <v>610422040061-2024-1-SURVEI-PPL</v>
      </c>
      <c r="U30" s="64">
        <v>1</v>
      </c>
      <c r="V30" s="10" t="e">
        <f t="array" aca="1" ref="V30" ca="1">INDEX(Honor!$O$2:$O800,MATCH($I30,Honor!$A$2:$A800,0))</f>
        <v>#NAME?</v>
      </c>
      <c r="W30" s="68">
        <v>45344</v>
      </c>
      <c r="X30" s="7" t="str">
        <f t="array" ref="X30">INDEX('Input Kegiatan'!$B$2:$B800,MATCH(B30,'Input Kegiatan'!$A$2:$A800,0))</f>
        <v>Kerangka Sampel Area (KSA) 2024 Januari</v>
      </c>
      <c r="Y30" s="7" t="s">
        <v>3715</v>
      </c>
      <c r="Z30" s="7" t="s">
        <v>3862</v>
      </c>
      <c r="AA30" s="68">
        <f t="shared" si="5"/>
        <v>45291</v>
      </c>
      <c r="AB30" s="68">
        <f t="shared" si="6"/>
        <v>45292</v>
      </c>
      <c r="AC30" s="68">
        <f t="shared" si="7"/>
        <v>45322</v>
      </c>
      <c r="AD30" s="68">
        <f t="shared" si="8"/>
        <v>45321</v>
      </c>
      <c r="AE30" s="68">
        <f t="shared" si="9"/>
        <v>45322</v>
      </c>
    </row>
    <row r="31" spans="1:31" ht="12.5">
      <c r="A31" s="125">
        <v>610422100131</v>
      </c>
      <c r="B31" s="64" t="s">
        <v>29</v>
      </c>
      <c r="D31" s="10">
        <f t="array" aca="1" ref="D31" ca="1">INDEX('Mitra per Bulan'!$M$2:$M800,MATCH(S31,'Mitra per Bulan'!$B$2:$B800,0))</f>
        <v>1</v>
      </c>
      <c r="E31" s="10" t="str">
        <f t="array" ref="E31">INDEX('Database Mitra'!$A$2:$A800,MATCH(A31,'Database Mitra'!$B$2:$B800,0))</f>
        <v>Syamsul</v>
      </c>
      <c r="F31" s="65" t="s">
        <v>25</v>
      </c>
      <c r="G31" s="5" t="str">
        <f t="array" ref="G31">INDEX('Database Mitra'!$G$2:$G800,MATCH(A31,'Database Mitra'!$B$2:$B800,0))</f>
        <v>6102150907860003</v>
      </c>
      <c r="H31" s="64" t="s">
        <v>84</v>
      </c>
      <c r="I31" s="65" t="str">
        <f t="shared" si="10"/>
        <v>KSA24-LAPANGAN-JANUARI-PPL-KSA PADI</v>
      </c>
      <c r="J31" s="10" t="str">
        <f t="array" ref="J31">INDEX(Honor!$H$2:$H800,MATCH($I31,Honor!$A$2:$A800,0))</f>
        <v>Segmen</v>
      </c>
      <c r="K31" s="66">
        <f t="array" ref="K31">INDEX(Honor!$I$2:$I800,MATCH($I31,Honor!$A$2:$A800,0))</f>
        <v>116000</v>
      </c>
      <c r="L31" s="64">
        <v>3</v>
      </c>
      <c r="M31" s="10">
        <f t="shared" si="0"/>
        <v>348000</v>
      </c>
      <c r="N31" s="70">
        <v>348000</v>
      </c>
      <c r="O31" s="67">
        <f t="array" ref="O31">INDEX(Honor!$L$2:$L800,MATCH($I31,Honor!$A$2:$A800,0))</f>
        <v>45322</v>
      </c>
      <c r="P31" s="10">
        <f t="shared" si="1"/>
        <v>2024</v>
      </c>
      <c r="Q31" s="10">
        <f t="shared" si="2"/>
        <v>1</v>
      </c>
      <c r="R31" s="10" t="str">
        <f t="array" ref="R31">INDEX(Honor!$Q$2:$Q800,MATCH($I31,Honor!$A$2:$A800,0))</f>
        <v>SURVEI-PPL</v>
      </c>
      <c r="S31" s="10" t="str">
        <f t="shared" si="3"/>
        <v>610422100131-2024-1</v>
      </c>
      <c r="T31" s="10" t="str">
        <f t="shared" si="4"/>
        <v>610422100131-2024-1-SURVEI-PPL</v>
      </c>
      <c r="U31" s="64">
        <v>1</v>
      </c>
      <c r="V31" s="10" t="e">
        <f t="array" aca="1" ref="V31" ca="1">INDEX(Honor!$O$2:$O800,MATCH($I31,Honor!$A$2:$A800,0))</f>
        <v>#NAME?</v>
      </c>
      <c r="W31" s="68">
        <v>45344</v>
      </c>
      <c r="X31" s="7" t="str">
        <f t="array" ref="X31">INDEX('Input Kegiatan'!$B$2:$B800,MATCH(B31,'Input Kegiatan'!$A$2:$A800,0))</f>
        <v>Kerangka Sampel Area (KSA) 2024 Januari</v>
      </c>
      <c r="Y31" s="7" t="s">
        <v>5250</v>
      </c>
      <c r="Z31" s="7" t="s">
        <v>5365</v>
      </c>
      <c r="AA31" s="68">
        <f t="shared" si="5"/>
        <v>45291</v>
      </c>
      <c r="AB31" s="68">
        <f t="shared" si="6"/>
        <v>45292</v>
      </c>
      <c r="AC31" s="68">
        <f t="shared" si="7"/>
        <v>45322</v>
      </c>
      <c r="AD31" s="68">
        <f t="shared" si="8"/>
        <v>45321</v>
      </c>
      <c r="AE31" s="68">
        <f t="shared" si="9"/>
        <v>45322</v>
      </c>
    </row>
    <row r="32" spans="1:31" ht="12.5">
      <c r="A32" s="125">
        <v>610422100244</v>
      </c>
      <c r="B32" s="64" t="s">
        <v>29</v>
      </c>
      <c r="D32" s="10">
        <f t="array" aca="1" ref="D32" ca="1">INDEX('Mitra per Bulan'!$M$2:$M800,MATCH(S32,'Mitra per Bulan'!$B$2:$B800,0))</f>
        <v>1</v>
      </c>
      <c r="E32" s="10" t="str">
        <f t="array" ref="E32">INDEX('Database Mitra'!$A$2:$A800,MATCH(A32,'Database Mitra'!$B$2:$B800,0))</f>
        <v>Sugianto</v>
      </c>
      <c r="F32" s="65" t="s">
        <v>25</v>
      </c>
      <c r="G32" s="5" t="str">
        <f t="array" ref="G32">INDEX('Database Mitra'!$G$2:$G800,MATCH(A32,'Database Mitra'!$B$2:$B800,0))</f>
        <v>6102171003900002</v>
      </c>
      <c r="H32" s="64" t="s">
        <v>84</v>
      </c>
      <c r="I32" s="65" t="str">
        <f t="shared" si="10"/>
        <v>KSA24-LAPANGAN-JANUARI-PPL-KSA PADI</v>
      </c>
      <c r="J32" s="10" t="str">
        <f t="array" ref="J32">INDEX(Honor!$H$2:$H800,MATCH($I32,Honor!$A$2:$A800,0))</f>
        <v>Segmen</v>
      </c>
      <c r="K32" s="66">
        <f t="array" ref="K32">INDEX(Honor!$I$2:$I800,MATCH($I32,Honor!$A$2:$A800,0))</f>
        <v>116000</v>
      </c>
      <c r="L32" s="64">
        <v>3</v>
      </c>
      <c r="M32" s="10">
        <f t="shared" si="0"/>
        <v>348000</v>
      </c>
      <c r="N32" s="70">
        <v>348000</v>
      </c>
      <c r="O32" s="67">
        <f t="array" ref="O32">INDEX(Honor!$L$2:$L800,MATCH($I32,Honor!$A$2:$A800,0))</f>
        <v>45322</v>
      </c>
      <c r="P32" s="10">
        <f t="shared" si="1"/>
        <v>2024</v>
      </c>
      <c r="Q32" s="10">
        <f t="shared" si="2"/>
        <v>1</v>
      </c>
      <c r="R32" s="10" t="str">
        <f t="array" ref="R32">INDEX(Honor!$Q$2:$Q800,MATCH($I32,Honor!$A$2:$A800,0))</f>
        <v>SURVEI-PPL</v>
      </c>
      <c r="S32" s="10" t="str">
        <f t="shared" si="3"/>
        <v>610422100244-2024-1</v>
      </c>
      <c r="T32" s="10" t="str">
        <f t="shared" si="4"/>
        <v>610422100244-2024-1-SURVEI-PPL</v>
      </c>
      <c r="U32" s="64">
        <v>1</v>
      </c>
      <c r="V32" s="10" t="e">
        <f t="array" aca="1" ref="V32" ca="1">INDEX(Honor!$O$2:$O800,MATCH($I32,Honor!$A$2:$A800,0))</f>
        <v>#NAME?</v>
      </c>
      <c r="W32" s="68">
        <v>45344</v>
      </c>
      <c r="X32" s="7" t="str">
        <f t="array" ref="X32">INDEX('Input Kegiatan'!$B$2:$B800,MATCH(B32,'Input Kegiatan'!$A$2:$A800,0))</f>
        <v>Kerangka Sampel Area (KSA) 2024 Januari</v>
      </c>
      <c r="Y32" s="7" t="s">
        <v>5741</v>
      </c>
      <c r="Z32" s="7" t="s">
        <v>5796</v>
      </c>
      <c r="AA32" s="68">
        <f t="shared" si="5"/>
        <v>45291</v>
      </c>
      <c r="AB32" s="68">
        <f t="shared" si="6"/>
        <v>45292</v>
      </c>
      <c r="AC32" s="68">
        <f t="shared" si="7"/>
        <v>45322</v>
      </c>
      <c r="AD32" s="68">
        <f t="shared" si="8"/>
        <v>45321</v>
      </c>
      <c r="AE32" s="68">
        <f t="shared" si="9"/>
        <v>45322</v>
      </c>
    </row>
    <row r="33" spans="1:31" ht="12.5">
      <c r="A33" s="125">
        <v>610422100176</v>
      </c>
      <c r="B33" s="64" t="s">
        <v>29</v>
      </c>
      <c r="D33" s="10">
        <f t="array" aca="1" ref="D33" ca="1">INDEX('Mitra per Bulan'!$M$2:$M800,MATCH(S33,'Mitra per Bulan'!$B$2:$B800,0))</f>
        <v>1</v>
      </c>
      <c r="E33" s="10" t="str">
        <f t="array" ref="E33">INDEX('Database Mitra'!$A$2:$A800,MATCH(A33,'Database Mitra'!$B$2:$B800,0))</f>
        <v>Feri Firdaus</v>
      </c>
      <c r="F33" s="65" t="s">
        <v>25</v>
      </c>
      <c r="G33" s="5" t="str">
        <f t="array" ref="G33">INDEX('Database Mitra'!$G$2:$G800,MATCH(A33,'Database Mitra'!$B$2:$B800,0))</f>
        <v>6102150412880001</v>
      </c>
      <c r="H33" s="64" t="s">
        <v>84</v>
      </c>
      <c r="I33" s="65" t="str">
        <f t="shared" si="10"/>
        <v>KSA24-LAPANGAN-JANUARI-PPL-KSA PADI</v>
      </c>
      <c r="J33" s="10" t="str">
        <f t="array" ref="J33">INDEX(Honor!$H$2:$H800,MATCH($I33,Honor!$A$2:$A800,0))</f>
        <v>Segmen</v>
      </c>
      <c r="K33" s="66">
        <f t="array" ref="K33">INDEX(Honor!$I$2:$I800,MATCH($I33,Honor!$A$2:$A800,0))</f>
        <v>116000</v>
      </c>
      <c r="L33" s="64">
        <v>3</v>
      </c>
      <c r="M33" s="10">
        <f t="shared" si="0"/>
        <v>348000</v>
      </c>
      <c r="N33" s="70">
        <v>348000</v>
      </c>
      <c r="O33" s="67">
        <f t="array" ref="O33">INDEX(Honor!$L$2:$L800,MATCH($I33,Honor!$A$2:$A800,0))</f>
        <v>45322</v>
      </c>
      <c r="P33" s="10">
        <f t="shared" si="1"/>
        <v>2024</v>
      </c>
      <c r="Q33" s="10">
        <f t="shared" si="2"/>
        <v>1</v>
      </c>
      <c r="R33" s="10" t="str">
        <f t="array" ref="R33">INDEX(Honor!$Q$2:$Q800,MATCH($I33,Honor!$A$2:$A800,0))</f>
        <v>SURVEI-PPL</v>
      </c>
      <c r="S33" s="10" t="str">
        <f t="shared" si="3"/>
        <v>610422100176-2024-1</v>
      </c>
      <c r="T33" s="10" t="str">
        <f t="shared" si="4"/>
        <v>610422100176-2024-1-SURVEI-PPL</v>
      </c>
      <c r="U33" s="64">
        <v>1</v>
      </c>
      <c r="V33" s="10" t="e">
        <f t="array" aca="1" ref="V33" ca="1">INDEX(Honor!$O$2:$O800,MATCH($I33,Honor!$A$2:$A800,0))</f>
        <v>#NAME?</v>
      </c>
      <c r="W33" s="68">
        <v>45344</v>
      </c>
      <c r="X33" s="7" t="str">
        <f t="array" ref="X33">INDEX('Input Kegiatan'!$B$2:$B800,MATCH(B33,'Input Kegiatan'!$A$2:$A800,0))</f>
        <v>Kerangka Sampel Area (KSA) 2024 Januari</v>
      </c>
      <c r="Y33" s="7" t="s">
        <v>3715</v>
      </c>
      <c r="Z33" s="7" t="s">
        <v>3765</v>
      </c>
      <c r="AA33" s="68">
        <f t="shared" si="5"/>
        <v>45291</v>
      </c>
      <c r="AB33" s="68">
        <f t="shared" si="6"/>
        <v>45292</v>
      </c>
      <c r="AC33" s="68">
        <f t="shared" si="7"/>
        <v>45322</v>
      </c>
      <c r="AD33" s="68">
        <f t="shared" si="8"/>
        <v>45321</v>
      </c>
      <c r="AE33" s="68">
        <f t="shared" si="9"/>
        <v>45322</v>
      </c>
    </row>
    <row r="34" spans="1:31" ht="12.5">
      <c r="A34" s="125">
        <v>610423110183</v>
      </c>
      <c r="B34" s="64" t="s">
        <v>29</v>
      </c>
      <c r="D34" s="10">
        <f t="array" aca="1" ref="D34" ca="1">INDEX('Mitra per Bulan'!$M$2:$M800,MATCH(S34,'Mitra per Bulan'!$B$2:$B800,0))</f>
        <v>1</v>
      </c>
      <c r="E34" s="10" t="str">
        <f t="array" ref="E34">INDEX('Database Mitra'!$A$2:$A800,MATCH(A34,'Database Mitra'!$B$2:$B800,0))</f>
        <v>Azhar</v>
      </c>
      <c r="F34" s="65" t="s">
        <v>25</v>
      </c>
      <c r="G34" s="5" t="str">
        <f t="array" ref="G34">INDEX('Database Mitra'!$G$2:$G800,MATCH(A34,'Database Mitra'!$B$2:$B800,0))</f>
        <v>6102081211790004</v>
      </c>
      <c r="H34" s="64" t="s">
        <v>84</v>
      </c>
      <c r="I34" s="65" t="str">
        <f t="shared" si="10"/>
        <v>KSA24-LAPANGAN-JANUARI-PPL-KSA PADI</v>
      </c>
      <c r="J34" s="10" t="str">
        <f t="array" ref="J34">INDEX(Honor!$H$2:$H800,MATCH($I34,Honor!$A$2:$A800,0))</f>
        <v>Segmen</v>
      </c>
      <c r="K34" s="66">
        <f t="array" ref="K34">INDEX(Honor!$I$2:$I800,MATCH($I34,Honor!$A$2:$A800,0))</f>
        <v>116000</v>
      </c>
      <c r="L34" s="64">
        <v>6</v>
      </c>
      <c r="M34" s="10">
        <f t="shared" si="0"/>
        <v>696000</v>
      </c>
      <c r="N34" s="70">
        <v>696000</v>
      </c>
      <c r="O34" s="67">
        <f t="array" ref="O34">INDEX(Honor!$L$2:$L800,MATCH($I34,Honor!$A$2:$A800,0))</f>
        <v>45322</v>
      </c>
      <c r="P34" s="10">
        <f t="shared" si="1"/>
        <v>2024</v>
      </c>
      <c r="Q34" s="10">
        <f t="shared" si="2"/>
        <v>1</v>
      </c>
      <c r="R34" s="10" t="str">
        <f t="array" ref="R34">INDEX(Honor!$Q$2:$Q800,MATCH($I34,Honor!$A$2:$A800,0))</f>
        <v>SURVEI-PPL</v>
      </c>
      <c r="S34" s="10" t="str">
        <f t="shared" si="3"/>
        <v>610423110183-2024-1</v>
      </c>
      <c r="T34" s="10" t="str">
        <f t="shared" si="4"/>
        <v>610423110183-2024-1-SURVEI-PPL</v>
      </c>
      <c r="U34" s="64">
        <v>1</v>
      </c>
      <c r="V34" s="10" t="e">
        <f t="array" aca="1" ref="V34" ca="1">INDEX(Honor!$O$2:$O800,MATCH($I34,Honor!$A$2:$A800,0))</f>
        <v>#NAME?</v>
      </c>
      <c r="W34" s="68">
        <v>45344</v>
      </c>
      <c r="X34" s="7" t="str">
        <f t="array" ref="X34">INDEX('Input Kegiatan'!$B$2:$B800,MATCH(B34,'Input Kegiatan'!$A$2:$A800,0))</f>
        <v>Kerangka Sampel Area (KSA) 2024 Januari</v>
      </c>
      <c r="Y34" s="7" t="s">
        <v>3241</v>
      </c>
      <c r="Z34" s="7" t="s">
        <v>3242</v>
      </c>
      <c r="AA34" s="68">
        <f t="shared" si="5"/>
        <v>45291</v>
      </c>
      <c r="AB34" s="68">
        <f t="shared" si="6"/>
        <v>45292</v>
      </c>
      <c r="AC34" s="68">
        <f t="shared" si="7"/>
        <v>45322</v>
      </c>
      <c r="AD34" s="68">
        <f t="shared" si="8"/>
        <v>45321</v>
      </c>
      <c r="AE34" s="68">
        <f t="shared" si="9"/>
        <v>45322</v>
      </c>
    </row>
    <row r="35" spans="1:31" ht="12.5">
      <c r="A35" s="125">
        <v>610423040018</v>
      </c>
      <c r="B35" s="64" t="s">
        <v>29</v>
      </c>
      <c r="D35" s="10">
        <f t="array" aca="1" ref="D35" ca="1">INDEX('Mitra per Bulan'!$M$2:$M800,MATCH(S35,'Mitra per Bulan'!$B$2:$B800,0))</f>
        <v>1</v>
      </c>
      <c r="E35" s="10" t="str">
        <f t="array" ref="E35">INDEX('Database Mitra'!$A$2:$A800,MATCH(A35,'Database Mitra'!$B$2:$B800,0))</f>
        <v>Handoko Tuah Sabarman Sipayung</v>
      </c>
      <c r="F35" s="64" t="s">
        <v>25</v>
      </c>
      <c r="G35" s="5" t="str">
        <f t="array" ref="G35">INDEX('Database Mitra'!$G$2:$G800,MATCH(A35,'Database Mitra'!$B$2:$B800,0))</f>
        <v>1212092309880001</v>
      </c>
      <c r="H35" s="64" t="s">
        <v>84</v>
      </c>
      <c r="I35" s="65" t="str">
        <f t="shared" si="10"/>
        <v>KSA24-LAPANGAN-JANUARI-PPL-KSA PADI</v>
      </c>
      <c r="J35" s="10" t="str">
        <f t="array" ref="J35">INDEX(Honor!$H$2:$H800,MATCH($I35,Honor!$A$2:$A800,0))</f>
        <v>Segmen</v>
      </c>
      <c r="K35" s="66">
        <f t="array" ref="K35">INDEX(Honor!$I$2:$I800,MATCH($I35,Honor!$A$2:$A800,0))</f>
        <v>116000</v>
      </c>
      <c r="L35" s="64">
        <v>4</v>
      </c>
      <c r="M35" s="10">
        <f t="shared" si="0"/>
        <v>464000</v>
      </c>
      <c r="N35" s="70">
        <v>464000</v>
      </c>
      <c r="O35" s="67">
        <f t="array" ref="O35">INDEX(Honor!$L$2:$L800,MATCH($I35,Honor!$A$2:$A800,0))</f>
        <v>45322</v>
      </c>
      <c r="P35" s="10">
        <f t="shared" si="1"/>
        <v>2024</v>
      </c>
      <c r="Q35" s="10">
        <f t="shared" si="2"/>
        <v>1</v>
      </c>
      <c r="R35" s="10" t="str">
        <f t="array" ref="R35">INDEX(Honor!$Q$2:$Q800,MATCH($I35,Honor!$A$2:$A800,0))</f>
        <v>SURVEI-PPL</v>
      </c>
      <c r="S35" s="10" t="str">
        <f t="shared" si="3"/>
        <v>610423040018-2024-1</v>
      </c>
      <c r="T35" s="10" t="str">
        <f t="shared" si="4"/>
        <v>610423040018-2024-1-SURVEI-PPL</v>
      </c>
      <c r="U35" s="64">
        <v>1</v>
      </c>
      <c r="V35" s="10" t="e">
        <f t="array" aca="1" ref="V35" ca="1">INDEX(Honor!$O$2:$O800,MATCH($I35,Honor!$A$2:$A800,0))</f>
        <v>#NAME?</v>
      </c>
      <c r="W35" s="68">
        <v>45344</v>
      </c>
      <c r="X35" s="7" t="str">
        <f t="array" ref="X35">INDEX('Input Kegiatan'!$B$2:$B800,MATCH(B35,'Input Kegiatan'!$A$2:$A800,0))</f>
        <v>Kerangka Sampel Area (KSA) 2024 Januari</v>
      </c>
      <c r="Y35" s="7" t="s">
        <v>5534</v>
      </c>
      <c r="Z35" s="7" t="s">
        <v>5647</v>
      </c>
      <c r="AA35" s="68">
        <f t="shared" si="5"/>
        <v>45291</v>
      </c>
      <c r="AB35" s="68">
        <f t="shared" si="6"/>
        <v>45292</v>
      </c>
      <c r="AC35" s="68">
        <f t="shared" si="7"/>
        <v>45322</v>
      </c>
      <c r="AD35" s="68">
        <f t="shared" si="8"/>
        <v>45321</v>
      </c>
      <c r="AE35" s="68">
        <f t="shared" si="9"/>
        <v>45322</v>
      </c>
    </row>
    <row r="36" spans="1:31" ht="12.5">
      <c r="A36" s="125">
        <v>610422040059</v>
      </c>
      <c r="B36" s="64" t="s">
        <v>29</v>
      </c>
      <c r="D36" s="10">
        <f t="array" aca="1" ref="D36" ca="1">INDEX('Mitra per Bulan'!$M$2:$M800,MATCH(S36,'Mitra per Bulan'!$B$2:$B800,0))</f>
        <v>1</v>
      </c>
      <c r="E36" s="10" t="str">
        <f t="array" ref="E36">INDEX('Database Mitra'!$A$2:$A800,MATCH(A36,'Database Mitra'!$B$2:$B800,0))</f>
        <v>Abang Handri</v>
      </c>
      <c r="F36" s="64" t="s">
        <v>25</v>
      </c>
      <c r="G36" s="5" t="str">
        <f t="array" ref="G36">INDEX('Database Mitra'!$G$2:$G800,MATCH(A36,'Database Mitra'!$B$2:$B800,0))</f>
        <v>6102072211780002</v>
      </c>
      <c r="H36" s="64" t="s">
        <v>85</v>
      </c>
      <c r="I36" s="65" t="str">
        <f t="shared" si="10"/>
        <v>KSA24-LAPANGAN-JANUARI-PPL-KSA JAGUNG</v>
      </c>
      <c r="J36" s="10" t="str">
        <f t="array" ref="J36">INDEX(Honor!$H$2:$H800,MATCH($I36,Honor!$A$2:$A800,0))</f>
        <v>Segmen</v>
      </c>
      <c r="K36" s="66">
        <f t="array" ref="K36">INDEX(Honor!$I$2:$I800,MATCH($I36,Honor!$A$2:$A800,0))</f>
        <v>59000</v>
      </c>
      <c r="L36" s="64">
        <v>6</v>
      </c>
      <c r="M36" s="10">
        <f t="shared" si="0"/>
        <v>354000</v>
      </c>
      <c r="N36" s="70">
        <v>354000</v>
      </c>
      <c r="O36" s="67">
        <f t="array" ref="O36">INDEX(Honor!$L$2:$L800,MATCH($I36,Honor!$A$2:$A800,0))</f>
        <v>45322</v>
      </c>
      <c r="P36" s="10">
        <f t="shared" si="1"/>
        <v>2024</v>
      </c>
      <c r="Q36" s="10">
        <f t="shared" si="2"/>
        <v>1</v>
      </c>
      <c r="R36" s="10" t="str">
        <f t="array" ref="R36">INDEX(Honor!$Q$2:$Q800,MATCH($I36,Honor!$A$2:$A800,0))</f>
        <v>SURVEI-PPL</v>
      </c>
      <c r="S36" s="10" t="str">
        <f t="shared" si="3"/>
        <v>610422040059-2024-1</v>
      </c>
      <c r="T36" s="10" t="str">
        <f t="shared" si="4"/>
        <v>610422040059-2024-1-SURVEI-PPL</v>
      </c>
      <c r="U36" s="64">
        <v>1</v>
      </c>
      <c r="V36" s="10" t="e">
        <f t="array" aca="1" ref="V36" ca="1">INDEX(Honor!$O$2:$O800,MATCH($I36,Honor!$A$2:$A800,0))</f>
        <v>#NAME?</v>
      </c>
      <c r="W36" s="68">
        <v>45344</v>
      </c>
      <c r="X36" s="7" t="str">
        <f t="array" ref="X36">INDEX('Input Kegiatan'!$B$2:$B800,MATCH(B36,'Input Kegiatan'!$A$2:$A800,0))</f>
        <v>Kerangka Sampel Area (KSA) 2024 Januari</v>
      </c>
      <c r="Y36" s="7" t="s">
        <v>4572</v>
      </c>
      <c r="Z36" s="7" t="s">
        <v>4656</v>
      </c>
      <c r="AA36" s="68">
        <f t="shared" si="5"/>
        <v>45291</v>
      </c>
      <c r="AB36" s="68">
        <f t="shared" si="6"/>
        <v>45292</v>
      </c>
      <c r="AC36" s="68">
        <f t="shared" si="7"/>
        <v>45322</v>
      </c>
      <c r="AD36" s="68">
        <f t="shared" si="8"/>
        <v>45321</v>
      </c>
      <c r="AE36" s="68">
        <f t="shared" si="9"/>
        <v>45322</v>
      </c>
    </row>
    <row r="37" spans="1:31" ht="12.5">
      <c r="A37" s="125">
        <v>610422020048</v>
      </c>
      <c r="B37" s="64" t="s">
        <v>29</v>
      </c>
      <c r="D37" s="10">
        <f t="array" aca="1" ref="D37" ca="1">INDEX('Mitra per Bulan'!$M$2:$M800,MATCH(S37,'Mitra per Bulan'!$B$2:$B800,0))</f>
        <v>1</v>
      </c>
      <c r="E37" s="10" t="str">
        <f t="array" ref="E37">INDEX('Database Mitra'!$A$2:$A800,MATCH(A37,'Database Mitra'!$B$2:$B800,0))</f>
        <v>Herri Gustaman</v>
      </c>
      <c r="F37" s="64" t="s">
        <v>25</v>
      </c>
      <c r="G37" s="5" t="str">
        <f t="array" ref="G37">INDEX('Database Mitra'!$G$2:$G800,MATCH(A37,'Database Mitra'!$B$2:$B800,0))</f>
        <v>6102072503800001</v>
      </c>
      <c r="H37" s="64" t="s">
        <v>85</v>
      </c>
      <c r="I37" s="65" t="str">
        <f t="shared" si="10"/>
        <v>KSA24-LAPANGAN-JANUARI-PPL-KSA JAGUNG</v>
      </c>
      <c r="J37" s="10" t="str">
        <f t="array" ref="J37">INDEX(Honor!$H$2:$H800,MATCH($I37,Honor!$A$2:$A800,0))</f>
        <v>Segmen</v>
      </c>
      <c r="K37" s="66">
        <f t="array" ref="K37">INDEX(Honor!$I$2:$I800,MATCH($I37,Honor!$A$2:$A800,0))</f>
        <v>59000</v>
      </c>
      <c r="L37" s="64">
        <v>6</v>
      </c>
      <c r="M37" s="10">
        <f t="shared" si="0"/>
        <v>354000</v>
      </c>
      <c r="N37" s="70">
        <v>354000</v>
      </c>
      <c r="O37" s="67">
        <f t="array" ref="O37">INDEX(Honor!$L$2:$L800,MATCH($I37,Honor!$A$2:$A800,0))</f>
        <v>45322</v>
      </c>
      <c r="P37" s="10">
        <f t="shared" si="1"/>
        <v>2024</v>
      </c>
      <c r="Q37" s="10">
        <f t="shared" si="2"/>
        <v>1</v>
      </c>
      <c r="R37" s="10" t="str">
        <f t="array" ref="R37">INDEX(Honor!$Q$2:$Q800,MATCH($I37,Honor!$A$2:$A800,0))</f>
        <v>SURVEI-PPL</v>
      </c>
      <c r="S37" s="10" t="str">
        <f t="shared" si="3"/>
        <v>610422020048-2024-1</v>
      </c>
      <c r="T37" s="10" t="str">
        <f t="shared" si="4"/>
        <v>610422020048-2024-1-SURVEI-PPL</v>
      </c>
      <c r="U37" s="64">
        <v>1</v>
      </c>
      <c r="V37" s="10" t="e">
        <f t="array" aca="1" ref="V37" ca="1">INDEX(Honor!$O$2:$O800,MATCH($I37,Honor!$A$2:$A800,0))</f>
        <v>#NAME?</v>
      </c>
      <c r="W37" s="68">
        <v>45344</v>
      </c>
      <c r="X37" s="7" t="str">
        <f t="array" ref="X37">INDEX('Input Kegiatan'!$B$2:$B800,MATCH(B37,'Input Kegiatan'!$A$2:$A800,0))</f>
        <v>Kerangka Sampel Area (KSA) 2024 Januari</v>
      </c>
      <c r="Y37" s="7" t="s">
        <v>4931</v>
      </c>
      <c r="Z37" s="7" t="s">
        <v>5171</v>
      </c>
      <c r="AA37" s="68">
        <f t="shared" si="5"/>
        <v>45291</v>
      </c>
      <c r="AB37" s="68">
        <f t="shared" si="6"/>
        <v>45292</v>
      </c>
      <c r="AC37" s="68">
        <f t="shared" si="7"/>
        <v>45322</v>
      </c>
      <c r="AD37" s="68">
        <f t="shared" si="8"/>
        <v>45321</v>
      </c>
      <c r="AE37" s="68">
        <f t="shared" si="9"/>
        <v>45322</v>
      </c>
    </row>
    <row r="38" spans="1:31" ht="12.5">
      <c r="A38" s="125">
        <v>610422040058</v>
      </c>
      <c r="B38" s="64" t="s">
        <v>29</v>
      </c>
      <c r="D38" s="10">
        <f t="array" aca="1" ref="D38" ca="1">INDEX('Mitra per Bulan'!$M$2:$M800,MATCH(S38,'Mitra per Bulan'!$B$2:$B800,0))</f>
        <v>1</v>
      </c>
      <c r="E38" s="10" t="str">
        <f t="array" ref="E38">INDEX('Database Mitra'!$A$2:$A800,MATCH(A38,'Database Mitra'!$B$2:$B800,0))</f>
        <v>Jamaluddin, Sp</v>
      </c>
      <c r="F38" s="64" t="s">
        <v>25</v>
      </c>
      <c r="G38" s="5" t="str">
        <f t="array" ref="G38">INDEX('Database Mitra'!$G$2:$G800,MATCH(A38,'Database Mitra'!$B$2:$B800,0))</f>
        <v>6102152607940002</v>
      </c>
      <c r="H38" s="64" t="s">
        <v>85</v>
      </c>
      <c r="I38" s="65" t="str">
        <f t="shared" si="10"/>
        <v>KSA24-LAPANGAN-JANUARI-PPL-KSA JAGUNG</v>
      </c>
      <c r="J38" s="10" t="str">
        <f t="array" ref="J38">INDEX(Honor!$H$2:$H800,MATCH($I38,Honor!$A$2:$A800,0))</f>
        <v>Segmen</v>
      </c>
      <c r="K38" s="66">
        <f t="array" ref="K38">INDEX(Honor!$I$2:$I800,MATCH($I38,Honor!$A$2:$A800,0))</f>
        <v>59000</v>
      </c>
      <c r="L38" s="64">
        <v>10</v>
      </c>
      <c r="M38" s="10">
        <f t="shared" si="0"/>
        <v>590000</v>
      </c>
      <c r="N38" s="70">
        <v>590000</v>
      </c>
      <c r="O38" s="67">
        <f t="array" ref="O38">INDEX(Honor!$L$2:$L800,MATCH($I38,Honor!$A$2:$A800,0))</f>
        <v>45322</v>
      </c>
      <c r="P38" s="10">
        <f t="shared" si="1"/>
        <v>2024</v>
      </c>
      <c r="Q38" s="10">
        <f t="shared" si="2"/>
        <v>1</v>
      </c>
      <c r="R38" s="10" t="str">
        <f t="array" ref="R38">INDEX(Honor!$Q$2:$Q800,MATCH($I38,Honor!$A$2:$A800,0))</f>
        <v>SURVEI-PPL</v>
      </c>
      <c r="S38" s="10" t="str">
        <f t="shared" si="3"/>
        <v>610422040058-2024-1</v>
      </c>
      <c r="T38" s="10" t="str">
        <f t="shared" si="4"/>
        <v>610422040058-2024-1-SURVEI-PPL</v>
      </c>
      <c r="U38" s="64">
        <v>1</v>
      </c>
      <c r="V38" s="10" t="e">
        <f t="array" aca="1" ref="V38" ca="1">INDEX(Honor!$O$2:$O800,MATCH($I38,Honor!$A$2:$A800,0))</f>
        <v>#NAME?</v>
      </c>
      <c r="W38" s="68">
        <v>45344</v>
      </c>
      <c r="X38" s="7" t="str">
        <f t="array" ref="X38">INDEX('Input Kegiatan'!$B$2:$B800,MATCH(B38,'Input Kegiatan'!$A$2:$A800,0))</f>
        <v>Kerangka Sampel Area (KSA) 2024 Januari</v>
      </c>
      <c r="Y38" s="7" t="s">
        <v>3715</v>
      </c>
      <c r="Z38" s="7" t="s">
        <v>3716</v>
      </c>
      <c r="AA38" s="68">
        <f t="shared" si="5"/>
        <v>45291</v>
      </c>
      <c r="AB38" s="68">
        <f t="shared" si="6"/>
        <v>45292</v>
      </c>
      <c r="AC38" s="68">
        <f t="shared" si="7"/>
        <v>45322</v>
      </c>
      <c r="AD38" s="68">
        <f t="shared" si="8"/>
        <v>45321</v>
      </c>
      <c r="AE38" s="68">
        <f t="shared" si="9"/>
        <v>45322</v>
      </c>
    </row>
    <row r="39" spans="1:31" ht="12.5">
      <c r="A39" s="125">
        <v>610423110183</v>
      </c>
      <c r="B39" s="64" t="s">
        <v>29</v>
      </c>
      <c r="D39" s="10">
        <f t="array" aca="1" ref="D39" ca="1">INDEX('Mitra per Bulan'!$M$2:$M800,MATCH(S39,'Mitra per Bulan'!$B$2:$B800,0))</f>
        <v>1</v>
      </c>
      <c r="E39" s="10" t="str">
        <f t="array" ref="E39">INDEX('Database Mitra'!$A$2:$A800,MATCH(A39,'Database Mitra'!$B$2:$B800,0))</f>
        <v>Azhar</v>
      </c>
      <c r="F39" s="64" t="s">
        <v>25</v>
      </c>
      <c r="G39" s="5" t="str">
        <f t="array" ref="G39">INDEX('Database Mitra'!$G$2:$G800,MATCH(A39,'Database Mitra'!$B$2:$B800,0))</f>
        <v>6102081211790004</v>
      </c>
      <c r="H39" s="64" t="s">
        <v>85</v>
      </c>
      <c r="I39" s="65" t="str">
        <f t="shared" si="10"/>
        <v>KSA24-LAPANGAN-JANUARI-PPL-KSA JAGUNG</v>
      </c>
      <c r="J39" s="10" t="str">
        <f t="array" ref="J39">INDEX(Honor!$H$2:$H800,MATCH($I39,Honor!$A$2:$A800,0))</f>
        <v>Segmen</v>
      </c>
      <c r="K39" s="66">
        <f t="array" ref="K39">INDEX(Honor!$I$2:$I800,MATCH($I39,Honor!$A$2:$A800,0))</f>
        <v>59000</v>
      </c>
      <c r="L39" s="64">
        <v>6</v>
      </c>
      <c r="M39" s="10">
        <f t="shared" si="0"/>
        <v>354000</v>
      </c>
      <c r="N39" s="70">
        <v>354000</v>
      </c>
      <c r="O39" s="67">
        <f t="array" ref="O39">INDEX(Honor!$L$2:$L800,MATCH($I39,Honor!$A$2:$A800,0))</f>
        <v>45322</v>
      </c>
      <c r="P39" s="10">
        <f t="shared" si="1"/>
        <v>2024</v>
      </c>
      <c r="Q39" s="10">
        <f t="shared" si="2"/>
        <v>1</v>
      </c>
      <c r="R39" s="10" t="str">
        <f t="array" ref="R39">INDEX(Honor!$Q$2:$Q800,MATCH($I39,Honor!$A$2:$A800,0))</f>
        <v>SURVEI-PPL</v>
      </c>
      <c r="S39" s="10" t="str">
        <f t="shared" si="3"/>
        <v>610423110183-2024-1</v>
      </c>
      <c r="T39" s="10" t="str">
        <f t="shared" si="4"/>
        <v>610423110183-2024-1-SURVEI-PPL</v>
      </c>
      <c r="U39" s="64">
        <v>1</v>
      </c>
      <c r="V39" s="10" t="e">
        <f t="array" aca="1" ref="V39" ca="1">INDEX(Honor!$O$2:$O800,MATCH($I39,Honor!$A$2:$A800,0))</f>
        <v>#NAME?</v>
      </c>
      <c r="W39" s="68">
        <v>45344</v>
      </c>
      <c r="X39" s="7" t="str">
        <f t="array" ref="X39">INDEX('Input Kegiatan'!$B$2:$B800,MATCH(B39,'Input Kegiatan'!$A$2:$A800,0))</f>
        <v>Kerangka Sampel Area (KSA) 2024 Januari</v>
      </c>
      <c r="Y39" s="7" t="s">
        <v>3241</v>
      </c>
      <c r="Z39" s="7" t="s">
        <v>3242</v>
      </c>
      <c r="AA39" s="68">
        <f t="shared" si="5"/>
        <v>45291</v>
      </c>
      <c r="AB39" s="68">
        <f t="shared" si="6"/>
        <v>45292</v>
      </c>
      <c r="AC39" s="68">
        <f t="shared" si="7"/>
        <v>45322</v>
      </c>
      <c r="AD39" s="68">
        <f t="shared" si="8"/>
        <v>45321</v>
      </c>
      <c r="AE39" s="68">
        <f t="shared" si="9"/>
        <v>45322</v>
      </c>
    </row>
    <row r="40" spans="1:31" ht="12.5">
      <c r="A40" s="125">
        <v>610422100244</v>
      </c>
      <c r="B40" s="64" t="s">
        <v>29</v>
      </c>
      <c r="D40" s="10">
        <f t="array" aca="1" ref="D40" ca="1">INDEX('Mitra per Bulan'!$M$2:$M800,MATCH(S40,'Mitra per Bulan'!$B$2:$B800,0))</f>
        <v>1</v>
      </c>
      <c r="E40" s="10" t="str">
        <f t="array" ref="E40">INDEX('Database Mitra'!$A$2:$A800,MATCH(A40,'Database Mitra'!$B$2:$B800,0))</f>
        <v>Sugianto</v>
      </c>
      <c r="F40" s="64" t="s">
        <v>25</v>
      </c>
      <c r="G40" s="5" t="str">
        <f t="array" ref="G40">INDEX('Database Mitra'!$G$2:$G800,MATCH(A40,'Database Mitra'!$B$2:$B800,0))</f>
        <v>6102171003900002</v>
      </c>
      <c r="H40" s="64" t="s">
        <v>85</v>
      </c>
      <c r="I40" s="65" t="str">
        <f t="shared" si="10"/>
        <v>KSA24-LAPANGAN-JANUARI-PPL-KSA JAGUNG</v>
      </c>
      <c r="J40" s="10" t="str">
        <f t="array" ref="J40">INDEX(Honor!$H$2:$H800,MATCH($I40,Honor!$A$2:$A800,0))</f>
        <v>Segmen</v>
      </c>
      <c r="K40" s="66">
        <f t="array" ref="K40">INDEX(Honor!$I$2:$I800,MATCH($I40,Honor!$A$2:$A800,0))</f>
        <v>59000</v>
      </c>
      <c r="L40" s="64">
        <v>8</v>
      </c>
      <c r="M40" s="10">
        <f t="shared" si="0"/>
        <v>472000</v>
      </c>
      <c r="N40" s="70">
        <v>472000</v>
      </c>
      <c r="O40" s="67">
        <f t="array" ref="O40">INDEX(Honor!$L$2:$L800,MATCH($I40,Honor!$A$2:$A800,0))</f>
        <v>45322</v>
      </c>
      <c r="P40" s="10">
        <f t="shared" si="1"/>
        <v>2024</v>
      </c>
      <c r="Q40" s="10">
        <f t="shared" si="2"/>
        <v>1</v>
      </c>
      <c r="R40" s="10" t="str">
        <f t="array" ref="R40">INDEX(Honor!$Q$2:$Q800,MATCH($I40,Honor!$A$2:$A800,0))</f>
        <v>SURVEI-PPL</v>
      </c>
      <c r="S40" s="10" t="str">
        <f t="shared" si="3"/>
        <v>610422100244-2024-1</v>
      </c>
      <c r="T40" s="10" t="str">
        <f t="shared" si="4"/>
        <v>610422100244-2024-1-SURVEI-PPL</v>
      </c>
      <c r="U40" s="64">
        <v>1</v>
      </c>
      <c r="V40" s="10" t="e">
        <f t="array" aca="1" ref="V40" ca="1">INDEX(Honor!$O$2:$O800,MATCH($I40,Honor!$A$2:$A800,0))</f>
        <v>#NAME?</v>
      </c>
      <c r="W40" s="68">
        <v>45344</v>
      </c>
      <c r="X40" s="7" t="str">
        <f t="array" ref="X40">INDEX('Input Kegiatan'!$B$2:$B800,MATCH(B40,'Input Kegiatan'!$A$2:$A800,0))</f>
        <v>Kerangka Sampel Area (KSA) 2024 Januari</v>
      </c>
      <c r="Y40" s="7" t="s">
        <v>5741</v>
      </c>
      <c r="Z40" s="7" t="s">
        <v>5796</v>
      </c>
      <c r="AA40" s="68">
        <f t="shared" si="5"/>
        <v>45291</v>
      </c>
      <c r="AB40" s="68">
        <f t="shared" si="6"/>
        <v>45292</v>
      </c>
      <c r="AC40" s="68">
        <f t="shared" si="7"/>
        <v>45322</v>
      </c>
      <c r="AD40" s="68">
        <f t="shared" si="8"/>
        <v>45321</v>
      </c>
      <c r="AE40" s="68">
        <f t="shared" si="9"/>
        <v>45322</v>
      </c>
    </row>
    <row r="41" spans="1:31" ht="12.5">
      <c r="A41" s="125">
        <v>610422100165</v>
      </c>
      <c r="B41" s="64" t="s">
        <v>86</v>
      </c>
      <c r="D41" s="10">
        <f t="array" aca="1" ref="D41" ca="1">INDEX('Mitra per Bulan'!$M$2:$M800,MATCH(S41,'Mitra per Bulan'!$B$2:$B800,0))</f>
        <v>1</v>
      </c>
      <c r="E41" s="10" t="str">
        <f t="array" ref="E41">INDEX('Database Mitra'!$A$2:$A800,MATCH(A41,'Database Mitra'!$B$2:$B800,0))</f>
        <v>Yanti</v>
      </c>
      <c r="F41" s="64" t="s">
        <v>25</v>
      </c>
      <c r="G41" s="5" t="str">
        <f t="array" ref="G41">INDEX('Database Mitra'!$G$2:$G800,MATCH(A41,'Database Mitra'!$B$2:$B800,0))</f>
        <v>6102074803980002</v>
      </c>
      <c r="H41" s="64" t="s">
        <v>87</v>
      </c>
      <c r="I41" s="64" t="s">
        <v>88</v>
      </c>
      <c r="J41" s="10" t="str">
        <f t="array" ref="J41">INDEX(Honor!$H$2:$H800,MATCH($I41,Honor!$A$2:$A800,0))</f>
        <v>Dokumen</v>
      </c>
      <c r="K41" s="66">
        <f t="array" ref="K41">INDEX(Honor!$I$2:$I800,MATCH($I41,Honor!$A$2:$A800,0))</f>
        <v>50000</v>
      </c>
      <c r="L41" s="64">
        <v>1</v>
      </c>
      <c r="M41" s="10">
        <f t="shared" si="0"/>
        <v>50000</v>
      </c>
      <c r="O41" s="67">
        <f t="array" ref="O41">INDEX(Honor!$L$2:$L800,MATCH($I41,Honor!$A$2:$A800,0))</f>
        <v>45322</v>
      </c>
      <c r="P41" s="10">
        <f t="shared" si="1"/>
        <v>2024</v>
      </c>
      <c r="Q41" s="10">
        <f t="shared" si="2"/>
        <v>1</v>
      </c>
      <c r="R41" s="10" t="str">
        <f t="array" ref="R41">INDEX(Honor!$Q$2:$Q800,MATCH($I41,Honor!$A$2:$A800,0))</f>
        <v>SURVEI-PPL</v>
      </c>
      <c r="S41" s="10" t="str">
        <f t="shared" si="3"/>
        <v>610422100165-2024-1</v>
      </c>
      <c r="T41" s="10" t="str">
        <f t="shared" si="4"/>
        <v>610422100165-2024-1-SURVEI-PPL</v>
      </c>
      <c r="U41" s="64">
        <v>1</v>
      </c>
      <c r="V41" s="10" t="e">
        <f t="array" aca="1" ref="V41" ca="1">INDEX(Honor!$O$2:$O800,MATCH($I41,Honor!$A$2:$A800,0))</f>
        <v>#NAME?</v>
      </c>
      <c r="W41" s="67"/>
      <c r="X41" s="7" t="str">
        <f t="array" ref="X41">INDEX('Input Kegiatan'!$B$2:$B800,MATCH(B41,'Input Kegiatan'!$A$2:$A800,0))</f>
        <v>Updating Paket HPS, HPJ, dan HPT Kabupaten</v>
      </c>
      <c r="Y41" s="7" t="s">
        <v>3990</v>
      </c>
      <c r="Z41" s="7" t="s">
        <v>4332</v>
      </c>
      <c r="AA41" s="68">
        <f t="shared" si="5"/>
        <v>45291</v>
      </c>
      <c r="AB41" s="68">
        <f t="shared" si="6"/>
        <v>45292</v>
      </c>
      <c r="AC41" s="68">
        <f t="shared" si="7"/>
        <v>45322</v>
      </c>
      <c r="AD41" s="68">
        <f t="shared" si="8"/>
        <v>45321</v>
      </c>
      <c r="AE41" s="68">
        <f t="shared" si="9"/>
        <v>45322</v>
      </c>
    </row>
    <row r="42" spans="1:31" ht="12.5">
      <c r="A42" s="125">
        <v>610422030001</v>
      </c>
      <c r="B42" s="64" t="s">
        <v>23</v>
      </c>
      <c r="D42" s="10">
        <f t="array" aca="1" ref="D42" ca="1">INDEX('Mitra per Bulan'!$M$2:$M800,MATCH(S42,'Mitra per Bulan'!$B$2:$B800,0))</f>
        <v>1</v>
      </c>
      <c r="E42" s="10" t="str">
        <f t="array" ref="E42">INDEX('Database Mitra'!$A$2:$A800,MATCH(A42,'Database Mitra'!$B$2:$B800,0))</f>
        <v>Pitra,Sp</v>
      </c>
      <c r="F42" s="65" t="s">
        <v>24</v>
      </c>
      <c r="G42" s="5" t="str">
        <f t="array" ref="G42">INDEX('Database Mitra'!$G$2:$G800,MATCH(A42,'Database Mitra'!$B$2:$B800,0))</f>
        <v>6102010808800006</v>
      </c>
      <c r="H42" s="64" t="s">
        <v>89</v>
      </c>
      <c r="I42" s="65" t="str">
        <f t="shared" ref="I42:I105" si="11">CONCATENATE(B42,"-",F42,"-",H42)</f>
        <v>SAKERNAS24-LAPANGAN-SEMESTER1-PML-UPDATING LISTING</v>
      </c>
      <c r="J42" s="10" t="str">
        <f t="array" ref="J42">INDEX(Honor!$H$2:$H800,MATCH($I42,Honor!$A$2:$A800,0))</f>
        <v>Dokumen</v>
      </c>
      <c r="K42" s="66">
        <f t="array" ref="K42">INDEX(Honor!$I$2:$I800,MATCH($I42,Honor!$A$2:$A800,0))</f>
        <v>55000</v>
      </c>
      <c r="L42" s="64">
        <v>4</v>
      </c>
      <c r="M42" s="10">
        <f t="shared" si="0"/>
        <v>220000</v>
      </c>
      <c r="N42" s="71">
        <v>213400</v>
      </c>
      <c r="O42" s="67">
        <f t="array" ref="O42">INDEX(Honor!$L$2:$L800,MATCH($I42,Honor!$A$2:$A800,0))</f>
        <v>45330</v>
      </c>
      <c r="P42" s="10">
        <f t="shared" si="1"/>
        <v>2024</v>
      </c>
      <c r="Q42" s="10">
        <f t="shared" si="2"/>
        <v>2</v>
      </c>
      <c r="R42" s="10" t="str">
        <f t="array" ref="R42">INDEX(Honor!$Q$2:$Q800,MATCH($I42,Honor!$A$2:$A800,0))</f>
        <v>SURVEI-PML</v>
      </c>
      <c r="S42" s="10" t="str">
        <f t="shared" si="3"/>
        <v>610422030001-2024-2</v>
      </c>
      <c r="T42" s="10" t="str">
        <f t="shared" si="4"/>
        <v>610422030001-2024-2-SURVEI-PML</v>
      </c>
      <c r="U42" s="64">
        <v>1</v>
      </c>
      <c r="V42" s="10" t="e">
        <f t="array" aca="1" ref="V42" ca="1">INDEX(Honor!$O$2:$O800,MATCH($I42,Honor!$A$2:$A800,0))</f>
        <v>#NAME?</v>
      </c>
      <c r="W42" s="68">
        <v>45351</v>
      </c>
      <c r="X42" s="7" t="str">
        <f t="array" ref="X42">INDEX('Input Kegiatan'!$B$2:$B800,MATCH(B42,'Input Kegiatan'!$A$2:$A800,0))</f>
        <v>Sakernas Februari 2024</v>
      </c>
      <c r="Y42" s="7" t="s">
        <v>3715</v>
      </c>
      <c r="Z42" s="7" t="s">
        <v>3716</v>
      </c>
      <c r="AA42" s="68">
        <f t="shared" si="5"/>
        <v>45322</v>
      </c>
      <c r="AB42" s="68">
        <f t="shared" si="6"/>
        <v>45323</v>
      </c>
      <c r="AC42" s="68">
        <f t="shared" si="7"/>
        <v>45351</v>
      </c>
      <c r="AD42" s="68">
        <f t="shared" si="8"/>
        <v>45350</v>
      </c>
      <c r="AE42" s="68">
        <f t="shared" si="9"/>
        <v>45351</v>
      </c>
    </row>
    <row r="43" spans="1:31" ht="12.5">
      <c r="A43" s="125">
        <v>610422040056</v>
      </c>
      <c r="B43" s="64" t="s">
        <v>23</v>
      </c>
      <c r="D43" s="10">
        <f t="array" aca="1" ref="D43" ca="1">INDEX('Mitra per Bulan'!$M$2:$M800,MATCH(S43,'Mitra per Bulan'!$B$2:$B800,0))</f>
        <v>1</v>
      </c>
      <c r="E43" s="10" t="str">
        <f t="array" ref="E43">INDEX('Database Mitra'!$A$2:$A800,MATCH(A43,'Database Mitra'!$B$2:$B800,0))</f>
        <v>Wandi Syafari</v>
      </c>
      <c r="F43" s="65" t="s">
        <v>24</v>
      </c>
      <c r="G43" s="5" t="str">
        <f t="array" ref="G43">INDEX('Database Mitra'!$G$2:$G800,MATCH(A43,'Database Mitra'!$B$2:$B800,0))</f>
        <v>6102010802760001</v>
      </c>
      <c r="H43" s="64" t="s">
        <v>89</v>
      </c>
      <c r="I43" s="65" t="str">
        <f t="shared" si="11"/>
        <v>SAKERNAS24-LAPANGAN-SEMESTER1-PML-UPDATING LISTING</v>
      </c>
      <c r="J43" s="10" t="str">
        <f t="array" ref="J43">INDEX(Honor!$H$2:$H800,MATCH($I43,Honor!$A$2:$A800,0))</f>
        <v>Dokumen</v>
      </c>
      <c r="K43" s="66">
        <f t="array" ref="K43">INDEX(Honor!$I$2:$I800,MATCH($I43,Honor!$A$2:$A800,0))</f>
        <v>55000</v>
      </c>
      <c r="L43" s="64">
        <v>6</v>
      </c>
      <c r="M43" s="10">
        <f t="shared" si="0"/>
        <v>330000</v>
      </c>
      <c r="N43" s="71">
        <v>320100</v>
      </c>
      <c r="O43" s="67">
        <f t="array" ref="O43">INDEX(Honor!$L$2:$L800,MATCH($I43,Honor!$A$2:$A800,0))</f>
        <v>45330</v>
      </c>
      <c r="P43" s="10">
        <f t="shared" si="1"/>
        <v>2024</v>
      </c>
      <c r="Q43" s="10">
        <f t="shared" si="2"/>
        <v>2</v>
      </c>
      <c r="R43" s="10" t="str">
        <f t="array" ref="R43">INDEX(Honor!$Q$2:$Q800,MATCH($I43,Honor!$A$2:$A800,0))</f>
        <v>SURVEI-PML</v>
      </c>
      <c r="S43" s="10" t="str">
        <f t="shared" si="3"/>
        <v>610422040056-2024-2</v>
      </c>
      <c r="T43" s="10" t="str">
        <f t="shared" si="4"/>
        <v>610422040056-2024-2-SURVEI-PML</v>
      </c>
      <c r="U43" s="64">
        <v>1</v>
      </c>
      <c r="V43" s="10" t="e">
        <f t="array" aca="1" ref="V43" ca="1">INDEX(Honor!$O$2:$O800,MATCH($I43,Honor!$A$2:$A800,0))</f>
        <v>#NAME?</v>
      </c>
      <c r="W43" s="68">
        <v>45351</v>
      </c>
      <c r="X43" s="7" t="str">
        <f t="array" ref="X43">INDEX('Input Kegiatan'!$B$2:$B800,MATCH(B43,'Input Kegiatan'!$A$2:$A800,0))</f>
        <v>Sakernas Februari 2024</v>
      </c>
      <c r="Y43" s="7" t="s">
        <v>4572</v>
      </c>
      <c r="Z43" s="7" t="s">
        <v>4656</v>
      </c>
      <c r="AA43" s="68">
        <f t="shared" si="5"/>
        <v>45322</v>
      </c>
      <c r="AB43" s="68">
        <f t="shared" si="6"/>
        <v>45323</v>
      </c>
      <c r="AC43" s="68">
        <f t="shared" si="7"/>
        <v>45351</v>
      </c>
      <c r="AD43" s="68">
        <f t="shared" si="8"/>
        <v>45350</v>
      </c>
      <c r="AE43" s="68">
        <f t="shared" si="9"/>
        <v>45351</v>
      </c>
    </row>
    <row r="44" spans="1:31" ht="12.5">
      <c r="A44" s="125">
        <v>610423030006</v>
      </c>
      <c r="B44" s="64" t="s">
        <v>23</v>
      </c>
      <c r="D44" s="10">
        <f t="array" aca="1" ref="D44" ca="1">INDEX('Mitra per Bulan'!$M$2:$M800,MATCH(S44,'Mitra per Bulan'!$B$2:$B800,0))</f>
        <v>1</v>
      </c>
      <c r="E44" s="10" t="str">
        <f t="array" ref="E44">INDEX('Database Mitra'!$A$2:$A800,MATCH(A44,'Database Mitra'!$B$2:$B800,0))</f>
        <v>Desta Dara Ayu Lestari, S.Pd</v>
      </c>
      <c r="F44" s="65" t="s">
        <v>24</v>
      </c>
      <c r="G44" s="5" t="str">
        <f t="array" ref="G44">INDEX('Database Mitra'!$G$2:$G800,MATCH(A44,'Database Mitra'!$B$2:$B800,0))</f>
        <v>6102065012950003</v>
      </c>
      <c r="H44" s="64" t="s">
        <v>89</v>
      </c>
      <c r="I44" s="65" t="str">
        <f t="shared" si="11"/>
        <v>SAKERNAS24-LAPANGAN-SEMESTER1-PML-UPDATING LISTING</v>
      </c>
      <c r="J44" s="10" t="str">
        <f t="array" ref="J44">INDEX(Honor!$H$2:$H800,MATCH($I44,Honor!$A$2:$A800,0))</f>
        <v>Dokumen</v>
      </c>
      <c r="K44" s="66">
        <f t="array" ref="K44">INDEX(Honor!$I$2:$I800,MATCH($I44,Honor!$A$2:$A800,0))</f>
        <v>55000</v>
      </c>
      <c r="L44" s="64">
        <v>4</v>
      </c>
      <c r="M44" s="10">
        <f t="shared" si="0"/>
        <v>220000</v>
      </c>
      <c r="N44" s="71">
        <v>213400</v>
      </c>
      <c r="O44" s="67">
        <f t="array" ref="O44">INDEX(Honor!$L$2:$L800,MATCH($I44,Honor!$A$2:$A800,0))</f>
        <v>45330</v>
      </c>
      <c r="P44" s="10">
        <f t="shared" si="1"/>
        <v>2024</v>
      </c>
      <c r="Q44" s="10">
        <f t="shared" si="2"/>
        <v>2</v>
      </c>
      <c r="R44" s="10" t="str">
        <f t="array" ref="R44">INDEX(Honor!$Q$2:$Q800,MATCH($I44,Honor!$A$2:$A800,0))</f>
        <v>SURVEI-PML</v>
      </c>
      <c r="S44" s="10" t="str">
        <f t="shared" si="3"/>
        <v>610423030006-2024-2</v>
      </c>
      <c r="T44" s="10" t="str">
        <f t="shared" si="4"/>
        <v>610423030006-2024-2-SURVEI-PML</v>
      </c>
      <c r="U44" s="64">
        <v>1</v>
      </c>
      <c r="V44" s="10" t="e">
        <f t="array" aca="1" ref="V44" ca="1">INDEX(Honor!$O$2:$O800,MATCH($I44,Honor!$A$2:$A800,0))</f>
        <v>#NAME?</v>
      </c>
      <c r="W44" s="68">
        <v>45351</v>
      </c>
      <c r="X44" s="7" t="str">
        <f t="array" ref="X44">INDEX('Input Kegiatan'!$B$2:$B800,MATCH(B44,'Input Kegiatan'!$A$2:$A800,0))</f>
        <v>Sakernas Februari 2024</v>
      </c>
      <c r="Y44" s="7" t="s">
        <v>5534</v>
      </c>
      <c r="Z44" s="7" t="s">
        <v>5616</v>
      </c>
      <c r="AA44" s="68">
        <f t="shared" si="5"/>
        <v>45322</v>
      </c>
      <c r="AB44" s="68">
        <f t="shared" si="6"/>
        <v>45323</v>
      </c>
      <c r="AC44" s="68">
        <f t="shared" si="7"/>
        <v>45351</v>
      </c>
      <c r="AD44" s="68">
        <f t="shared" si="8"/>
        <v>45350</v>
      </c>
      <c r="AE44" s="68">
        <f t="shared" si="9"/>
        <v>45351</v>
      </c>
    </row>
    <row r="45" spans="1:31" ht="12.5">
      <c r="A45" s="125">
        <v>610423090001</v>
      </c>
      <c r="B45" s="64" t="s">
        <v>23</v>
      </c>
      <c r="D45" s="10">
        <f t="array" aca="1" ref="D45" ca="1">INDEX('Mitra per Bulan'!$M$2:$M800,MATCH(S45,'Mitra per Bulan'!$B$2:$B800,0))</f>
        <v>1</v>
      </c>
      <c r="E45" s="10" t="str">
        <f t="array" ref="E45">INDEX('Database Mitra'!$A$2:$A800,MATCH(A45,'Database Mitra'!$B$2:$B800,0))</f>
        <v>Utami Angraini</v>
      </c>
      <c r="F45" s="65" t="s">
        <v>25</v>
      </c>
      <c r="G45" s="5" t="str">
        <f t="array" ref="G45">INDEX('Database Mitra'!$G$2:$G800,MATCH(A45,'Database Mitra'!$B$2:$B800,0))</f>
        <v>6102086810980002</v>
      </c>
      <c r="H45" s="64" t="s">
        <v>89</v>
      </c>
      <c r="I45" s="65" t="str">
        <f t="shared" si="11"/>
        <v>SAKERNAS24-LAPANGAN-SEMESTER1-PPL-UPDATING LISTING</v>
      </c>
      <c r="J45" s="10" t="str">
        <f t="array" ref="J45">INDEX(Honor!$H$2:$H800,MATCH($I45,Honor!$A$2:$A800,0))</f>
        <v>Blok Sensus</v>
      </c>
      <c r="K45" s="66">
        <f t="array" ref="K45">INDEX(Honor!$I$2:$I800,MATCH($I45,Honor!$A$2:$A800,0))</f>
        <v>168000</v>
      </c>
      <c r="L45" s="64">
        <v>2</v>
      </c>
      <c r="M45" s="10">
        <f t="shared" si="0"/>
        <v>336000</v>
      </c>
      <c r="N45" s="71">
        <v>325920</v>
      </c>
      <c r="O45" s="67">
        <f t="array" ref="O45">INDEX(Honor!$L$2:$L800,MATCH($I45,Honor!$A$2:$A800,0))</f>
        <v>45330</v>
      </c>
      <c r="P45" s="10">
        <f t="shared" si="1"/>
        <v>2024</v>
      </c>
      <c r="Q45" s="10">
        <f t="shared" si="2"/>
        <v>2</v>
      </c>
      <c r="R45" s="10" t="str">
        <f t="array" ref="R45">INDEX(Honor!$Q$2:$Q800,MATCH($I45,Honor!$A$2:$A800,0))</f>
        <v>SURVEI-PPL</v>
      </c>
      <c r="S45" s="10" t="str">
        <f t="shared" si="3"/>
        <v>610423090001-2024-2</v>
      </c>
      <c r="T45" s="10" t="str">
        <f t="shared" si="4"/>
        <v>610423090001-2024-2-SURVEI-PPL</v>
      </c>
      <c r="U45" s="64">
        <v>1</v>
      </c>
      <c r="V45" s="10" t="e">
        <f t="array" aca="1" ref="V45" ca="1">INDEX(Honor!$O$2:$O800,MATCH($I45,Honor!$A$2:$A800,0))</f>
        <v>#NAME?</v>
      </c>
      <c r="W45" s="68">
        <v>45351</v>
      </c>
      <c r="X45" s="7" t="str">
        <f t="array" ref="X45">INDEX('Input Kegiatan'!$B$2:$B800,MATCH(B45,'Input Kegiatan'!$A$2:$A800,0))</f>
        <v>Sakernas Februari 2024</v>
      </c>
      <c r="Y45" s="7" t="s">
        <v>3241</v>
      </c>
      <c r="Z45" s="7" t="s">
        <v>3289</v>
      </c>
      <c r="AA45" s="68">
        <f t="shared" si="5"/>
        <v>45322</v>
      </c>
      <c r="AB45" s="68">
        <f t="shared" si="6"/>
        <v>45323</v>
      </c>
      <c r="AC45" s="68">
        <f t="shared" si="7"/>
        <v>45351</v>
      </c>
      <c r="AD45" s="68">
        <f t="shared" si="8"/>
        <v>45350</v>
      </c>
      <c r="AE45" s="68">
        <f t="shared" si="9"/>
        <v>45351</v>
      </c>
    </row>
    <row r="46" spans="1:31" ht="12.5">
      <c r="A46" s="125">
        <v>610422040059</v>
      </c>
      <c r="B46" s="64" t="s">
        <v>23</v>
      </c>
      <c r="D46" s="10">
        <f t="array" aca="1" ref="D46" ca="1">INDEX('Mitra per Bulan'!$M$2:$M800,MATCH(S46,'Mitra per Bulan'!$B$2:$B800,0))</f>
        <v>1</v>
      </c>
      <c r="E46" s="10" t="str">
        <f t="array" ref="E46">INDEX('Database Mitra'!$A$2:$A800,MATCH(A46,'Database Mitra'!$B$2:$B800,0))</f>
        <v>Abang Handri</v>
      </c>
      <c r="F46" s="65" t="s">
        <v>25</v>
      </c>
      <c r="G46" s="5" t="str">
        <f t="array" ref="G46">INDEX('Database Mitra'!$G$2:$G800,MATCH(A46,'Database Mitra'!$B$2:$B800,0))</f>
        <v>6102072211780002</v>
      </c>
      <c r="H46" s="64" t="s">
        <v>89</v>
      </c>
      <c r="I46" s="65" t="str">
        <f t="shared" si="11"/>
        <v>SAKERNAS24-LAPANGAN-SEMESTER1-PPL-UPDATING LISTING</v>
      </c>
      <c r="J46" s="10" t="str">
        <f t="array" ref="J46">INDEX(Honor!$H$2:$H800,MATCH($I46,Honor!$A$2:$A800,0))</f>
        <v>Blok Sensus</v>
      </c>
      <c r="K46" s="66">
        <f t="array" ref="K46">INDEX(Honor!$I$2:$I800,MATCH($I46,Honor!$A$2:$A800,0))</f>
        <v>168000</v>
      </c>
      <c r="L46" s="64">
        <v>2</v>
      </c>
      <c r="M46" s="10">
        <f t="shared" si="0"/>
        <v>336000</v>
      </c>
      <c r="N46" s="71">
        <v>325920</v>
      </c>
      <c r="O46" s="67">
        <f t="array" ref="O46">INDEX(Honor!$L$2:$L800,MATCH($I46,Honor!$A$2:$A800,0))</f>
        <v>45330</v>
      </c>
      <c r="P46" s="10">
        <f t="shared" si="1"/>
        <v>2024</v>
      </c>
      <c r="Q46" s="10">
        <f t="shared" si="2"/>
        <v>2</v>
      </c>
      <c r="R46" s="10" t="str">
        <f t="array" ref="R46">INDEX(Honor!$Q$2:$Q800,MATCH($I46,Honor!$A$2:$A800,0))</f>
        <v>SURVEI-PPL</v>
      </c>
      <c r="S46" s="10" t="str">
        <f t="shared" si="3"/>
        <v>610422040059-2024-2</v>
      </c>
      <c r="T46" s="10" t="str">
        <f t="shared" si="4"/>
        <v>610422040059-2024-2-SURVEI-PPL</v>
      </c>
      <c r="U46" s="64">
        <v>1</v>
      </c>
      <c r="V46" s="10" t="e">
        <f t="array" aca="1" ref="V46" ca="1">INDEX(Honor!$O$2:$O800,MATCH($I46,Honor!$A$2:$A800,0))</f>
        <v>#NAME?</v>
      </c>
      <c r="W46" s="68">
        <v>45351</v>
      </c>
      <c r="X46" s="7" t="str">
        <f t="array" ref="X46">INDEX('Input Kegiatan'!$B$2:$B800,MATCH(B46,'Input Kegiatan'!$A$2:$A800,0))</f>
        <v>Sakernas Februari 2024</v>
      </c>
      <c r="Y46" s="7" t="s">
        <v>4572</v>
      </c>
      <c r="Z46" s="7" t="s">
        <v>4656</v>
      </c>
      <c r="AA46" s="68">
        <f t="shared" si="5"/>
        <v>45322</v>
      </c>
      <c r="AB46" s="68">
        <f t="shared" si="6"/>
        <v>45323</v>
      </c>
      <c r="AC46" s="68">
        <f t="shared" si="7"/>
        <v>45351</v>
      </c>
      <c r="AD46" s="68">
        <f t="shared" si="8"/>
        <v>45350</v>
      </c>
      <c r="AE46" s="68">
        <f t="shared" si="9"/>
        <v>45351</v>
      </c>
    </row>
    <row r="47" spans="1:31" ht="12.5">
      <c r="A47" s="125">
        <v>610422100008</v>
      </c>
      <c r="B47" s="64" t="s">
        <v>23</v>
      </c>
      <c r="D47" s="10">
        <f t="array" aca="1" ref="D47" ca="1">INDEX('Mitra per Bulan'!$M$2:$M800,MATCH(S47,'Mitra per Bulan'!$B$2:$B800,0))</f>
        <v>1</v>
      </c>
      <c r="E47" s="10" t="str">
        <f t="array" ref="E47">INDEX('Database Mitra'!$A$2:$A800,MATCH(A47,'Database Mitra'!$B$2:$B800,0))</f>
        <v>Novi Sri Wulandari</v>
      </c>
      <c r="F47" s="65" t="s">
        <v>25</v>
      </c>
      <c r="G47" s="5" t="str">
        <f t="array" ref="G47">INDEX('Database Mitra'!$G$2:$G800,MATCH(A47,'Database Mitra'!$B$2:$B800,0))</f>
        <v>6171055411880008</v>
      </c>
      <c r="H47" s="64" t="s">
        <v>89</v>
      </c>
      <c r="I47" s="65" t="str">
        <f t="shared" si="11"/>
        <v>SAKERNAS24-LAPANGAN-SEMESTER1-PPL-UPDATING LISTING</v>
      </c>
      <c r="J47" s="10" t="str">
        <f t="array" ref="J47">INDEX(Honor!$H$2:$H800,MATCH($I47,Honor!$A$2:$A800,0))</f>
        <v>Blok Sensus</v>
      </c>
      <c r="K47" s="66">
        <f t="array" ref="K47">INDEX(Honor!$I$2:$I800,MATCH($I47,Honor!$A$2:$A800,0))</f>
        <v>168000</v>
      </c>
      <c r="L47" s="64">
        <v>2</v>
      </c>
      <c r="M47" s="10">
        <f t="shared" si="0"/>
        <v>336000</v>
      </c>
      <c r="N47" s="71">
        <v>325920</v>
      </c>
      <c r="O47" s="67">
        <f t="array" ref="O47">INDEX(Honor!$L$2:$L800,MATCH($I47,Honor!$A$2:$A800,0))</f>
        <v>45330</v>
      </c>
      <c r="P47" s="10">
        <f t="shared" si="1"/>
        <v>2024</v>
      </c>
      <c r="Q47" s="10">
        <f t="shared" si="2"/>
        <v>2</v>
      </c>
      <c r="R47" s="10" t="str">
        <f t="array" ref="R47">INDEX(Honor!$Q$2:$Q800,MATCH($I47,Honor!$A$2:$A800,0))</f>
        <v>SURVEI-PPL</v>
      </c>
      <c r="S47" s="10" t="str">
        <f t="shared" si="3"/>
        <v>610422100008-2024-2</v>
      </c>
      <c r="T47" s="10" t="str">
        <f t="shared" si="4"/>
        <v>610422100008-2024-2-SURVEI-PPL</v>
      </c>
      <c r="U47" s="64">
        <v>1</v>
      </c>
      <c r="V47" s="10" t="e">
        <f t="array" aca="1" ref="V47" ca="1">INDEX(Honor!$O$2:$O800,MATCH($I47,Honor!$A$2:$A800,0))</f>
        <v>#NAME?</v>
      </c>
      <c r="W47" s="68">
        <v>45351</v>
      </c>
      <c r="X47" s="7" t="str">
        <f t="array" ref="X47">INDEX('Input Kegiatan'!$B$2:$B800,MATCH(B47,'Input Kegiatan'!$A$2:$A800,0))</f>
        <v>Sakernas Februari 2024</v>
      </c>
      <c r="Y47" s="7" t="s">
        <v>1921</v>
      </c>
      <c r="Z47" s="7" t="s">
        <v>2140</v>
      </c>
      <c r="AA47" s="68">
        <f t="shared" si="5"/>
        <v>45322</v>
      </c>
      <c r="AB47" s="68">
        <f t="shared" si="6"/>
        <v>45323</v>
      </c>
      <c r="AC47" s="68">
        <f t="shared" si="7"/>
        <v>45351</v>
      </c>
      <c r="AD47" s="68">
        <f t="shared" si="8"/>
        <v>45350</v>
      </c>
      <c r="AE47" s="68">
        <f t="shared" si="9"/>
        <v>45351</v>
      </c>
    </row>
    <row r="48" spans="1:31" ht="12.5">
      <c r="A48" s="125">
        <v>610422100043</v>
      </c>
      <c r="B48" s="64" t="s">
        <v>23</v>
      </c>
      <c r="D48" s="10">
        <f t="array" aca="1" ref="D48" ca="1">INDEX('Mitra per Bulan'!$M$2:$M800,MATCH(S48,'Mitra per Bulan'!$B$2:$B800,0))</f>
        <v>1</v>
      </c>
      <c r="E48" s="10" t="str">
        <f t="array" ref="E48">INDEX('Database Mitra'!$A$2:$A800,MATCH(A48,'Database Mitra'!$B$2:$B800,0))</f>
        <v>Eligia Giok</v>
      </c>
      <c r="F48" s="65" t="s">
        <v>25</v>
      </c>
      <c r="G48" s="5" t="str">
        <f t="array" ref="G48">INDEX('Database Mitra'!$G$2:$G800,MATCH(A48,'Database Mitra'!$B$2:$B800,0))</f>
        <v>6102165612000001</v>
      </c>
      <c r="H48" s="64" t="s">
        <v>89</v>
      </c>
      <c r="I48" s="65" t="str">
        <f t="shared" si="11"/>
        <v>SAKERNAS24-LAPANGAN-SEMESTER1-PPL-UPDATING LISTING</v>
      </c>
      <c r="J48" s="10" t="str">
        <f t="array" ref="J48">INDEX(Honor!$H$2:$H800,MATCH($I48,Honor!$A$2:$A800,0))</f>
        <v>Blok Sensus</v>
      </c>
      <c r="K48" s="66">
        <f t="array" ref="K48">INDEX(Honor!$I$2:$I800,MATCH($I48,Honor!$A$2:$A800,0))</f>
        <v>168000</v>
      </c>
      <c r="L48" s="64">
        <v>2</v>
      </c>
      <c r="M48" s="10">
        <f t="shared" si="0"/>
        <v>336000</v>
      </c>
      <c r="N48" s="71">
        <v>325920</v>
      </c>
      <c r="O48" s="67">
        <f t="array" ref="O48">INDEX(Honor!$L$2:$L800,MATCH($I48,Honor!$A$2:$A800,0))</f>
        <v>45330</v>
      </c>
      <c r="P48" s="10">
        <f t="shared" si="1"/>
        <v>2024</v>
      </c>
      <c r="Q48" s="10">
        <f t="shared" si="2"/>
        <v>2</v>
      </c>
      <c r="R48" s="10" t="str">
        <f t="array" ref="R48">INDEX(Honor!$Q$2:$Q800,MATCH($I48,Honor!$A$2:$A800,0))</f>
        <v>SURVEI-PPL</v>
      </c>
      <c r="S48" s="10" t="str">
        <f t="shared" si="3"/>
        <v>610422100043-2024-2</v>
      </c>
      <c r="T48" s="10" t="str">
        <f t="shared" si="4"/>
        <v>610422100043-2024-2-SURVEI-PPL</v>
      </c>
      <c r="U48" s="64">
        <v>1</v>
      </c>
      <c r="V48" s="10" t="e">
        <f t="array" aca="1" ref="V48" ca="1">INDEX(Honor!$O$2:$O800,MATCH($I48,Honor!$A$2:$A800,0))</f>
        <v>#NAME?</v>
      </c>
      <c r="W48" s="68">
        <v>45351</v>
      </c>
      <c r="X48" s="7" t="str">
        <f t="array" ref="X48">INDEX('Input Kegiatan'!$B$2:$B800,MATCH(B48,'Input Kegiatan'!$A$2:$A800,0))</f>
        <v>Sakernas Februari 2024</v>
      </c>
      <c r="Y48" s="7" t="s">
        <v>4408</v>
      </c>
      <c r="Z48" s="7" t="s">
        <v>4506</v>
      </c>
      <c r="AA48" s="68">
        <f t="shared" si="5"/>
        <v>45322</v>
      </c>
      <c r="AB48" s="68">
        <f t="shared" si="6"/>
        <v>45323</v>
      </c>
      <c r="AC48" s="68">
        <f t="shared" si="7"/>
        <v>45351</v>
      </c>
      <c r="AD48" s="68">
        <f t="shared" si="8"/>
        <v>45350</v>
      </c>
      <c r="AE48" s="68">
        <f t="shared" si="9"/>
        <v>45351</v>
      </c>
    </row>
    <row r="49" spans="1:31" ht="12.5">
      <c r="A49" s="125">
        <v>610422100086</v>
      </c>
      <c r="B49" s="64" t="s">
        <v>23</v>
      </c>
      <c r="D49" s="10">
        <f t="array" aca="1" ref="D49" ca="1">INDEX('Mitra per Bulan'!$M$2:$M800,MATCH(S49,'Mitra per Bulan'!$B$2:$B800,0))</f>
        <v>1</v>
      </c>
      <c r="E49" s="10" t="str">
        <f t="array" ref="E49">INDEX('Database Mitra'!$A$2:$A800,MATCH(A49,'Database Mitra'!$B$2:$B800,0))</f>
        <v>Imamul Akhyar</v>
      </c>
      <c r="F49" s="65" t="s">
        <v>25</v>
      </c>
      <c r="G49" s="5" t="str">
        <f t="array" ref="G49">INDEX('Database Mitra'!$G$2:$G800,MATCH(A49,'Database Mitra'!$B$2:$B800,0))</f>
        <v>6102012211930002</v>
      </c>
      <c r="H49" s="64" t="s">
        <v>89</v>
      </c>
      <c r="I49" s="65" t="str">
        <f t="shared" si="11"/>
        <v>SAKERNAS24-LAPANGAN-SEMESTER1-PPL-UPDATING LISTING</v>
      </c>
      <c r="J49" s="10" t="str">
        <f t="array" ref="J49">INDEX(Honor!$H$2:$H800,MATCH($I49,Honor!$A$2:$A800,0))</f>
        <v>Blok Sensus</v>
      </c>
      <c r="K49" s="66">
        <f t="array" ref="K49">INDEX(Honor!$I$2:$I800,MATCH($I49,Honor!$A$2:$A800,0))</f>
        <v>168000</v>
      </c>
      <c r="L49" s="64">
        <v>2</v>
      </c>
      <c r="M49" s="10">
        <f t="shared" si="0"/>
        <v>336000</v>
      </c>
      <c r="N49" s="71">
        <v>325920</v>
      </c>
      <c r="O49" s="67">
        <f t="array" ref="O49">INDEX(Honor!$L$2:$L800,MATCH($I49,Honor!$A$2:$A800,0))</f>
        <v>45330</v>
      </c>
      <c r="P49" s="10">
        <f t="shared" si="1"/>
        <v>2024</v>
      </c>
      <c r="Q49" s="10">
        <f t="shared" si="2"/>
        <v>2</v>
      </c>
      <c r="R49" s="10" t="str">
        <f t="array" ref="R49">INDEX(Honor!$Q$2:$Q800,MATCH($I49,Honor!$A$2:$A800,0))</f>
        <v>SURVEI-PPL</v>
      </c>
      <c r="S49" s="10" t="str">
        <f t="shared" si="3"/>
        <v>610422100086-2024-2</v>
      </c>
      <c r="T49" s="10" t="str">
        <f t="shared" si="4"/>
        <v>610422100086-2024-2-SURVEI-PPL</v>
      </c>
      <c r="U49" s="64">
        <v>1</v>
      </c>
      <c r="V49" s="10" t="e">
        <f t="array" aca="1" ref="V49" ca="1">INDEX(Honor!$O$2:$O800,MATCH($I49,Honor!$A$2:$A800,0))</f>
        <v>#NAME?</v>
      </c>
      <c r="W49" s="68">
        <v>45351</v>
      </c>
      <c r="X49" s="7" t="str">
        <f t="array" ref="X49">INDEX('Input Kegiatan'!$B$2:$B800,MATCH(B49,'Input Kegiatan'!$A$2:$A800,0))</f>
        <v>Sakernas Februari 2024</v>
      </c>
      <c r="Y49" s="7" t="s">
        <v>4572</v>
      </c>
      <c r="Z49" s="7" t="s">
        <v>4841</v>
      </c>
      <c r="AA49" s="68">
        <f t="shared" si="5"/>
        <v>45322</v>
      </c>
      <c r="AB49" s="68">
        <f t="shared" si="6"/>
        <v>45323</v>
      </c>
      <c r="AC49" s="68">
        <f t="shared" si="7"/>
        <v>45351</v>
      </c>
      <c r="AD49" s="68">
        <f t="shared" si="8"/>
        <v>45350</v>
      </c>
      <c r="AE49" s="68">
        <f t="shared" si="9"/>
        <v>45351</v>
      </c>
    </row>
    <row r="50" spans="1:31" ht="12.5">
      <c r="A50" s="125">
        <v>610422100111</v>
      </c>
      <c r="B50" s="64" t="s">
        <v>23</v>
      </c>
      <c r="D50" s="10">
        <f t="array" aca="1" ref="D50" ca="1">INDEX('Mitra per Bulan'!$M$2:$M800,MATCH(S50,'Mitra per Bulan'!$B$2:$B800,0))</f>
        <v>1</v>
      </c>
      <c r="E50" s="10" t="str">
        <f t="array" ref="E50">INDEX('Database Mitra'!$A$2:$A800,MATCH(A50,'Database Mitra'!$B$2:$B800,0))</f>
        <v>Cici Purnamasari</v>
      </c>
      <c r="F50" s="65" t="s">
        <v>25</v>
      </c>
      <c r="G50" s="5" t="str">
        <f t="array" ref="G50">INDEX('Database Mitra'!$G$2:$G800,MATCH(A50,'Database Mitra'!$B$2:$B800,0))</f>
        <v>6102074203010007</v>
      </c>
      <c r="H50" s="64" t="s">
        <v>89</v>
      </c>
      <c r="I50" s="65" t="str">
        <f t="shared" si="11"/>
        <v>SAKERNAS24-LAPANGAN-SEMESTER1-PPL-UPDATING LISTING</v>
      </c>
      <c r="J50" s="10" t="str">
        <f t="array" ref="J50">INDEX(Honor!$H$2:$H800,MATCH($I50,Honor!$A$2:$A800,0))</f>
        <v>Blok Sensus</v>
      </c>
      <c r="K50" s="66">
        <f t="array" ref="K50">INDEX(Honor!$I$2:$I800,MATCH($I50,Honor!$A$2:$A800,0))</f>
        <v>168000</v>
      </c>
      <c r="L50" s="64">
        <v>2</v>
      </c>
      <c r="M50" s="10">
        <f t="shared" si="0"/>
        <v>336000</v>
      </c>
      <c r="N50" s="71">
        <v>325920</v>
      </c>
      <c r="O50" s="67">
        <f t="array" ref="O50">INDEX(Honor!$L$2:$L800,MATCH($I50,Honor!$A$2:$A800,0))</f>
        <v>45330</v>
      </c>
      <c r="P50" s="10">
        <f t="shared" si="1"/>
        <v>2024</v>
      </c>
      <c r="Q50" s="10">
        <f t="shared" si="2"/>
        <v>2</v>
      </c>
      <c r="R50" s="10" t="str">
        <f t="array" ref="R50">INDEX(Honor!$Q$2:$Q800,MATCH($I50,Honor!$A$2:$A800,0))</f>
        <v>SURVEI-PPL</v>
      </c>
      <c r="S50" s="10" t="str">
        <f t="shared" si="3"/>
        <v>610422100111-2024-2</v>
      </c>
      <c r="T50" s="10" t="str">
        <f t="shared" si="4"/>
        <v>610422100111-2024-2-SURVEI-PPL</v>
      </c>
      <c r="U50" s="64">
        <v>1</v>
      </c>
      <c r="V50" s="10" t="e">
        <f t="array" aca="1" ref="V50" ca="1">INDEX(Honor!$O$2:$O800,MATCH($I50,Honor!$A$2:$A800,0))</f>
        <v>#NAME?</v>
      </c>
      <c r="W50" s="68">
        <v>45351</v>
      </c>
      <c r="X50" s="7" t="str">
        <f t="array" ref="X50">INDEX('Input Kegiatan'!$B$2:$B800,MATCH(B50,'Input Kegiatan'!$A$2:$A800,0))</f>
        <v>Sakernas Februari 2024</v>
      </c>
      <c r="Y50" s="7" t="s">
        <v>3990</v>
      </c>
      <c r="Z50" s="7" t="s">
        <v>4038</v>
      </c>
      <c r="AA50" s="68">
        <f t="shared" si="5"/>
        <v>45322</v>
      </c>
      <c r="AB50" s="68">
        <f t="shared" si="6"/>
        <v>45323</v>
      </c>
      <c r="AC50" s="68">
        <f t="shared" si="7"/>
        <v>45351</v>
      </c>
      <c r="AD50" s="68">
        <f t="shared" si="8"/>
        <v>45350</v>
      </c>
      <c r="AE50" s="68">
        <f t="shared" si="9"/>
        <v>45351</v>
      </c>
    </row>
    <row r="51" spans="1:31" ht="12.5">
      <c r="A51" s="125">
        <v>610422100175</v>
      </c>
      <c r="B51" s="64" t="s">
        <v>23</v>
      </c>
      <c r="D51" s="10">
        <f t="array" aca="1" ref="D51" ca="1">INDEX('Mitra per Bulan'!$M$2:$M800,MATCH(S51,'Mitra per Bulan'!$B$2:$B800,0))</f>
        <v>1</v>
      </c>
      <c r="E51" s="10" t="str">
        <f t="array" ref="E51">INDEX('Database Mitra'!$A$2:$A800,MATCH(A51,'Database Mitra'!$B$2:$B800,0))</f>
        <v>Rara Shati</v>
      </c>
      <c r="F51" s="65" t="s">
        <v>25</v>
      </c>
      <c r="G51" s="5" t="str">
        <f t="array" ref="G51">INDEX('Database Mitra'!$G$2:$G800,MATCH(A51,'Database Mitra'!$B$2:$B800,0))</f>
        <v>6102066507980001</v>
      </c>
      <c r="H51" s="64" t="s">
        <v>89</v>
      </c>
      <c r="I51" s="65" t="str">
        <f t="shared" si="11"/>
        <v>SAKERNAS24-LAPANGAN-SEMESTER1-PPL-UPDATING LISTING</v>
      </c>
      <c r="J51" s="10" t="str">
        <f t="array" ref="J51">INDEX(Honor!$H$2:$H800,MATCH($I51,Honor!$A$2:$A800,0))</f>
        <v>Blok Sensus</v>
      </c>
      <c r="K51" s="66">
        <f t="array" ref="K51">INDEX(Honor!$I$2:$I800,MATCH($I51,Honor!$A$2:$A800,0))</f>
        <v>168000</v>
      </c>
      <c r="L51" s="64">
        <v>2</v>
      </c>
      <c r="M51" s="10">
        <f t="shared" si="0"/>
        <v>336000</v>
      </c>
      <c r="N51" s="71">
        <v>325920</v>
      </c>
      <c r="O51" s="67">
        <f t="array" ref="O51">INDEX(Honor!$L$2:$L800,MATCH($I51,Honor!$A$2:$A800,0))</f>
        <v>45330</v>
      </c>
      <c r="P51" s="10">
        <f t="shared" si="1"/>
        <v>2024</v>
      </c>
      <c r="Q51" s="10">
        <f t="shared" si="2"/>
        <v>2</v>
      </c>
      <c r="R51" s="10" t="str">
        <f t="array" ref="R51">INDEX(Honor!$Q$2:$Q800,MATCH($I51,Honor!$A$2:$A800,0))</f>
        <v>SURVEI-PPL</v>
      </c>
      <c r="S51" s="10" t="str">
        <f t="shared" si="3"/>
        <v>610422100175-2024-2</v>
      </c>
      <c r="T51" s="10" t="str">
        <f t="shared" si="4"/>
        <v>610422100175-2024-2-SURVEI-PPL</v>
      </c>
      <c r="U51" s="64">
        <v>1</v>
      </c>
      <c r="V51" s="10" t="e">
        <f t="array" aca="1" ref="V51" ca="1">INDEX(Honor!$O$2:$O800,MATCH($I51,Honor!$A$2:$A800,0))</f>
        <v>#NAME?</v>
      </c>
      <c r="W51" s="68">
        <v>45351</v>
      </c>
      <c r="X51" s="7" t="str">
        <f t="array" ref="X51">INDEX('Input Kegiatan'!$B$2:$B800,MATCH(B51,'Input Kegiatan'!$A$2:$A800,0))</f>
        <v>Sakernas Februari 2024</v>
      </c>
      <c r="Y51" s="7" t="s">
        <v>5534</v>
      </c>
      <c r="Z51" s="7" t="s">
        <v>5616</v>
      </c>
      <c r="AA51" s="68">
        <f t="shared" si="5"/>
        <v>45322</v>
      </c>
      <c r="AB51" s="68">
        <f t="shared" si="6"/>
        <v>45323</v>
      </c>
      <c r="AC51" s="68">
        <f t="shared" si="7"/>
        <v>45351</v>
      </c>
      <c r="AD51" s="68">
        <f t="shared" si="8"/>
        <v>45350</v>
      </c>
      <c r="AE51" s="68">
        <f t="shared" si="9"/>
        <v>45351</v>
      </c>
    </row>
    <row r="52" spans="1:31" ht="12.5">
      <c r="A52" s="125">
        <v>610422020029</v>
      </c>
      <c r="B52" s="64" t="s">
        <v>26</v>
      </c>
      <c r="D52" s="10">
        <f t="array" aca="1" ref="D52" ca="1">INDEX('Mitra per Bulan'!$M$2:$M800,MATCH(S52,'Mitra per Bulan'!$B$2:$B800,0))</f>
        <v>1</v>
      </c>
      <c r="E52" s="10" t="str">
        <f t="array" ref="E52">INDEX('Database Mitra'!$A$2:$A800,MATCH(A52,'Database Mitra'!$B$2:$B800,0))</f>
        <v>Kurniadi</v>
      </c>
      <c r="F52" s="65" t="s">
        <v>24</v>
      </c>
      <c r="G52" s="5" t="str">
        <f t="array" ref="G52">INDEX('Database Mitra'!$G$2:$G800,MATCH(A52,'Database Mitra'!$B$2:$B800,0))</f>
        <v>6102011110970002</v>
      </c>
      <c r="H52" s="64" t="s">
        <v>89</v>
      </c>
      <c r="I52" s="65" t="str">
        <f t="shared" si="11"/>
        <v>SUSENAS24-LAPANGAN-SEMESTER1-PML-UPDATING LISTING</v>
      </c>
      <c r="J52" s="10" t="str">
        <f t="array" ref="J52">INDEX(Honor!$H$2:$H800,MATCH($I52,Honor!$A$2:$A800,0))</f>
        <v>Blok Sensus</v>
      </c>
      <c r="K52" s="66">
        <f t="array" ref="K52">INDEX(Honor!$I$2:$I800,MATCH($I52,Honor!$A$2:$A800,0))</f>
        <v>55000</v>
      </c>
      <c r="L52" s="64">
        <v>4</v>
      </c>
      <c r="M52" s="10">
        <f t="shared" si="0"/>
        <v>220000</v>
      </c>
      <c r="N52" s="70"/>
      <c r="O52" s="67">
        <f t="array" ref="O52">INDEX(Honor!$L$2:$L800,MATCH($I52,Honor!$A$2:$A800,0))</f>
        <v>45335</v>
      </c>
      <c r="P52" s="10">
        <f t="shared" si="1"/>
        <v>2024</v>
      </c>
      <c r="Q52" s="10">
        <f t="shared" si="2"/>
        <v>2</v>
      </c>
      <c r="R52" s="10" t="str">
        <f t="array" ref="R52">INDEX(Honor!$Q$2:$Q800,MATCH($I52,Honor!$A$2:$A800,0))</f>
        <v>SURVEI-PML</v>
      </c>
      <c r="S52" s="10" t="str">
        <f t="shared" si="3"/>
        <v>610422020029-2024-2</v>
      </c>
      <c r="T52" s="10" t="str">
        <f t="shared" si="4"/>
        <v>610422020029-2024-2-SURVEI-PML</v>
      </c>
      <c r="U52" s="64">
        <v>1</v>
      </c>
      <c r="V52" s="10" t="e">
        <f t="array" aca="1" ref="V52" ca="1">INDEX(Honor!$O$2:$O800,MATCH($I52,Honor!$A$2:$A800,0))</f>
        <v>#NAME?</v>
      </c>
      <c r="W52" s="68">
        <v>45351</v>
      </c>
      <c r="X52" s="7" t="str">
        <f t="array" ref="X52">INDEX('Input Kegiatan'!$B$2:$B800,MATCH(B52,'Input Kegiatan'!$A$2:$A800,0))</f>
        <v>Susenas Maret 2024</v>
      </c>
      <c r="Y52" s="7" t="s">
        <v>4572</v>
      </c>
      <c r="Z52" s="7" t="s">
        <v>4656</v>
      </c>
      <c r="AA52" s="68">
        <f t="shared" si="5"/>
        <v>45322</v>
      </c>
      <c r="AB52" s="68">
        <f t="shared" si="6"/>
        <v>45323</v>
      </c>
      <c r="AC52" s="68">
        <f t="shared" si="7"/>
        <v>45351</v>
      </c>
      <c r="AD52" s="68">
        <f t="shared" si="8"/>
        <v>45350</v>
      </c>
      <c r="AE52" s="68">
        <f t="shared" si="9"/>
        <v>45351</v>
      </c>
    </row>
    <row r="53" spans="1:31" ht="12.5">
      <c r="A53" s="125">
        <v>610422020016</v>
      </c>
      <c r="B53" s="64" t="s">
        <v>26</v>
      </c>
      <c r="D53" s="10">
        <f t="array" aca="1" ref="D53" ca="1">INDEX('Mitra per Bulan'!$M$2:$M800,MATCH(S53,'Mitra per Bulan'!$B$2:$B800,0))</f>
        <v>1</v>
      </c>
      <c r="E53" s="10" t="str">
        <f t="array" ref="E53">INDEX('Database Mitra'!$A$2:$A800,MATCH(A53,'Database Mitra'!$B$2:$B800,0))</f>
        <v>Abdul Aziz</v>
      </c>
      <c r="F53" s="65" t="s">
        <v>24</v>
      </c>
      <c r="G53" s="5" t="str">
        <f t="array" ref="G53">INDEX('Database Mitra'!$G$2:$G800,MATCH(A53,'Database Mitra'!$B$2:$B800,0))</f>
        <v>6102061507950006</v>
      </c>
      <c r="H53" s="64" t="s">
        <v>89</v>
      </c>
      <c r="I53" s="65" t="str">
        <f t="shared" si="11"/>
        <v>SUSENAS24-LAPANGAN-SEMESTER1-PML-UPDATING LISTING</v>
      </c>
      <c r="J53" s="10" t="str">
        <f t="array" ref="J53">INDEX(Honor!$H$2:$H800,MATCH($I53,Honor!$A$2:$A800,0))</f>
        <v>Blok Sensus</v>
      </c>
      <c r="K53" s="66">
        <f t="array" ref="K53">INDEX(Honor!$I$2:$I800,MATCH($I53,Honor!$A$2:$A800,0))</f>
        <v>55000</v>
      </c>
      <c r="L53" s="64">
        <v>4</v>
      </c>
      <c r="M53" s="10">
        <f t="shared" si="0"/>
        <v>220000</v>
      </c>
      <c r="N53" s="70"/>
      <c r="O53" s="67">
        <f t="array" ref="O53">INDEX(Honor!$L$2:$L800,MATCH($I53,Honor!$A$2:$A800,0))</f>
        <v>45335</v>
      </c>
      <c r="P53" s="10">
        <f t="shared" si="1"/>
        <v>2024</v>
      </c>
      <c r="Q53" s="10">
        <f t="shared" si="2"/>
        <v>2</v>
      </c>
      <c r="R53" s="10" t="str">
        <f t="array" ref="R53">INDEX(Honor!$Q$2:$Q800,MATCH($I53,Honor!$A$2:$A800,0))</f>
        <v>SURVEI-PML</v>
      </c>
      <c r="S53" s="10" t="str">
        <f t="shared" si="3"/>
        <v>610422020016-2024-2</v>
      </c>
      <c r="T53" s="10" t="str">
        <f t="shared" si="4"/>
        <v>610422020016-2024-2-SURVEI-PML</v>
      </c>
      <c r="U53" s="64">
        <v>1</v>
      </c>
      <c r="V53" s="10" t="e">
        <f t="array" aca="1" ref="V53" ca="1">INDEX(Honor!$O$2:$O800,MATCH($I53,Honor!$A$2:$A800,0))</f>
        <v>#NAME?</v>
      </c>
      <c r="W53" s="68">
        <v>45351</v>
      </c>
      <c r="X53" s="7" t="str">
        <f t="array" ref="X53">INDEX('Input Kegiatan'!$B$2:$B800,MATCH(B53,'Input Kegiatan'!$A$2:$A800,0))</f>
        <v>Susenas Maret 2024</v>
      </c>
      <c r="Y53" s="7" t="s">
        <v>5534</v>
      </c>
      <c r="Z53" s="7" t="s">
        <v>5535</v>
      </c>
      <c r="AA53" s="68">
        <f t="shared" si="5"/>
        <v>45322</v>
      </c>
      <c r="AB53" s="68">
        <f t="shared" si="6"/>
        <v>45323</v>
      </c>
      <c r="AC53" s="68">
        <f t="shared" si="7"/>
        <v>45351</v>
      </c>
      <c r="AD53" s="68">
        <f t="shared" si="8"/>
        <v>45350</v>
      </c>
      <c r="AE53" s="68">
        <f t="shared" si="9"/>
        <v>45351</v>
      </c>
    </row>
    <row r="54" spans="1:31" ht="12.5">
      <c r="A54" s="125">
        <v>610422040031</v>
      </c>
      <c r="B54" s="64" t="s">
        <v>26</v>
      </c>
      <c r="D54" s="10">
        <f t="array" aca="1" ref="D54" ca="1">INDEX('Mitra per Bulan'!$M$2:$M800,MATCH(S54,'Mitra per Bulan'!$B$2:$B800,0))</f>
        <v>1</v>
      </c>
      <c r="E54" s="10" t="str">
        <f t="array" ref="E54">INDEX('Database Mitra'!$A$2:$A800,MATCH(A54,'Database Mitra'!$B$2:$B800,0))</f>
        <v>Imam Fajri Muslim</v>
      </c>
      <c r="F54" s="65" t="s">
        <v>24</v>
      </c>
      <c r="G54" s="5" t="str">
        <f t="array" ref="G54">INDEX('Database Mitra'!$G$2:$G800,MATCH(A54,'Database Mitra'!$B$2:$B800,0))</f>
        <v>6102161208010001</v>
      </c>
      <c r="H54" s="64" t="s">
        <v>89</v>
      </c>
      <c r="I54" s="65" t="str">
        <f t="shared" si="11"/>
        <v>SUSENAS24-LAPANGAN-SEMESTER1-PML-UPDATING LISTING</v>
      </c>
      <c r="J54" s="10" t="str">
        <f t="array" ref="J54">INDEX(Honor!$H$2:$H800,MATCH($I54,Honor!$A$2:$A800,0))</f>
        <v>Blok Sensus</v>
      </c>
      <c r="K54" s="66">
        <f t="array" ref="K54">INDEX(Honor!$I$2:$I800,MATCH($I54,Honor!$A$2:$A800,0))</f>
        <v>55000</v>
      </c>
      <c r="L54" s="64">
        <v>4</v>
      </c>
      <c r="M54" s="10">
        <f t="shared" si="0"/>
        <v>220000</v>
      </c>
      <c r="N54" s="70"/>
      <c r="O54" s="67">
        <f t="array" ref="O54">INDEX(Honor!$L$2:$L800,MATCH($I54,Honor!$A$2:$A800,0))</f>
        <v>45335</v>
      </c>
      <c r="P54" s="10">
        <f t="shared" si="1"/>
        <v>2024</v>
      </c>
      <c r="Q54" s="10">
        <f t="shared" si="2"/>
        <v>2</v>
      </c>
      <c r="R54" s="10" t="str">
        <f t="array" ref="R54">INDEX(Honor!$Q$2:$Q800,MATCH($I54,Honor!$A$2:$A800,0))</f>
        <v>SURVEI-PML</v>
      </c>
      <c r="S54" s="10" t="str">
        <f t="shared" si="3"/>
        <v>610422040031-2024-2</v>
      </c>
      <c r="T54" s="10" t="str">
        <f t="shared" si="4"/>
        <v>610422040031-2024-2-SURVEI-PML</v>
      </c>
      <c r="U54" s="64">
        <v>1</v>
      </c>
      <c r="V54" s="10" t="e">
        <f t="array" aca="1" ref="V54" ca="1">INDEX(Honor!$O$2:$O800,MATCH($I54,Honor!$A$2:$A800,0))</f>
        <v>#NAME?</v>
      </c>
      <c r="W54" s="68">
        <v>45351</v>
      </c>
      <c r="X54" s="7" t="str">
        <f t="array" ref="X54">INDEX('Input Kegiatan'!$B$2:$B800,MATCH(B54,'Input Kegiatan'!$A$2:$A800,0))</f>
        <v>Susenas Maret 2024</v>
      </c>
      <c r="Y54" s="7" t="s">
        <v>4572</v>
      </c>
      <c r="Z54" s="7" t="s">
        <v>4656</v>
      </c>
      <c r="AA54" s="68">
        <f t="shared" si="5"/>
        <v>45322</v>
      </c>
      <c r="AB54" s="68">
        <f t="shared" si="6"/>
        <v>45323</v>
      </c>
      <c r="AC54" s="68">
        <f t="shared" si="7"/>
        <v>45351</v>
      </c>
      <c r="AD54" s="68">
        <f t="shared" si="8"/>
        <v>45350</v>
      </c>
      <c r="AE54" s="68">
        <f t="shared" si="9"/>
        <v>45351</v>
      </c>
    </row>
    <row r="55" spans="1:31" ht="12.5">
      <c r="A55" s="125">
        <v>610422040005</v>
      </c>
      <c r="B55" s="64" t="s">
        <v>26</v>
      </c>
      <c r="D55" s="10">
        <f t="array" aca="1" ref="D55" ca="1">INDEX('Mitra per Bulan'!$M$2:$M800,MATCH(S55,'Mitra per Bulan'!$B$2:$B800,0))</f>
        <v>1</v>
      </c>
      <c r="E55" s="10" t="str">
        <f t="array" ref="E55">INDEX('Database Mitra'!$A$2:$A800,MATCH(A55,'Database Mitra'!$B$2:$B800,0))</f>
        <v>Nanda Ariska</v>
      </c>
      <c r="F55" s="65" t="s">
        <v>24</v>
      </c>
      <c r="G55" s="5" t="str">
        <f t="array" ref="G55">INDEX('Database Mitra'!$G$2:$G800,MATCH(A55,'Database Mitra'!$B$2:$B800,0))</f>
        <v>6102186812000004</v>
      </c>
      <c r="H55" s="64" t="s">
        <v>89</v>
      </c>
      <c r="I55" s="65" t="str">
        <f t="shared" si="11"/>
        <v>SUSENAS24-LAPANGAN-SEMESTER1-PML-UPDATING LISTING</v>
      </c>
      <c r="J55" s="10" t="str">
        <f t="array" ref="J55">INDEX(Honor!$H$2:$H800,MATCH($I55,Honor!$A$2:$A800,0))</f>
        <v>Blok Sensus</v>
      </c>
      <c r="K55" s="66">
        <f t="array" ref="K55">INDEX(Honor!$I$2:$I800,MATCH($I55,Honor!$A$2:$A800,0))</f>
        <v>55000</v>
      </c>
      <c r="L55" s="64">
        <v>4</v>
      </c>
      <c r="M55" s="10">
        <f t="shared" si="0"/>
        <v>220000</v>
      </c>
      <c r="N55" s="70"/>
      <c r="O55" s="67">
        <f t="array" ref="O55">INDEX(Honor!$L$2:$L800,MATCH($I55,Honor!$A$2:$A800,0))</f>
        <v>45335</v>
      </c>
      <c r="P55" s="10">
        <f t="shared" si="1"/>
        <v>2024</v>
      </c>
      <c r="Q55" s="10">
        <f t="shared" si="2"/>
        <v>2</v>
      </c>
      <c r="R55" s="10" t="str">
        <f t="array" ref="R55">INDEX(Honor!$Q$2:$Q800,MATCH($I55,Honor!$A$2:$A800,0))</f>
        <v>SURVEI-PML</v>
      </c>
      <c r="S55" s="10" t="str">
        <f t="shared" si="3"/>
        <v>610422040005-2024-2</v>
      </c>
      <c r="T55" s="10" t="str">
        <f t="shared" si="4"/>
        <v>610422040005-2024-2-SURVEI-PML</v>
      </c>
      <c r="U55" s="64">
        <v>1</v>
      </c>
      <c r="V55" s="10" t="e">
        <f t="array" aca="1" ref="V55" ca="1">INDEX(Honor!$O$2:$O800,MATCH($I55,Honor!$A$2:$A800,0))</f>
        <v>#NAME?</v>
      </c>
      <c r="W55" s="68">
        <v>45351</v>
      </c>
      <c r="X55" s="7" t="str">
        <f t="array" ref="X55">INDEX('Input Kegiatan'!$B$2:$B800,MATCH(B55,'Input Kegiatan'!$A$2:$A800,0))</f>
        <v>Susenas Maret 2024</v>
      </c>
      <c r="Y55" s="7" t="s">
        <v>4931</v>
      </c>
      <c r="Z55" s="7" t="s">
        <v>5171</v>
      </c>
      <c r="AA55" s="68">
        <f t="shared" si="5"/>
        <v>45322</v>
      </c>
      <c r="AB55" s="68">
        <f t="shared" si="6"/>
        <v>45323</v>
      </c>
      <c r="AC55" s="68">
        <f t="shared" si="7"/>
        <v>45351</v>
      </c>
      <c r="AD55" s="68">
        <f t="shared" si="8"/>
        <v>45350</v>
      </c>
      <c r="AE55" s="68">
        <f t="shared" si="9"/>
        <v>45351</v>
      </c>
    </row>
    <row r="56" spans="1:31" ht="12.5">
      <c r="A56" s="125">
        <v>610422040038</v>
      </c>
      <c r="B56" s="64" t="s">
        <v>26</v>
      </c>
      <c r="D56" s="10">
        <f t="array" aca="1" ref="D56" ca="1">INDEX('Mitra per Bulan'!$M$2:$M800,MATCH(S56,'Mitra per Bulan'!$B$2:$B800,0))</f>
        <v>1</v>
      </c>
      <c r="E56" s="10" t="str">
        <f t="array" ref="E56">INDEX('Database Mitra'!$A$2:$A800,MATCH(A56,'Database Mitra'!$B$2:$B800,0))</f>
        <v>Yuyun Antoni, S.E.</v>
      </c>
      <c r="F56" s="65" t="s">
        <v>24</v>
      </c>
      <c r="G56" s="5" t="str">
        <f t="array" ref="G56">INDEX('Database Mitra'!$G$2:$G800,MATCH(A56,'Database Mitra'!$B$2:$B800,0))</f>
        <v>6102122106750003</v>
      </c>
      <c r="H56" s="64" t="s">
        <v>89</v>
      </c>
      <c r="I56" s="65" t="str">
        <f t="shared" si="11"/>
        <v>SUSENAS24-LAPANGAN-SEMESTER1-PML-UPDATING LISTING</v>
      </c>
      <c r="J56" s="10" t="str">
        <f t="array" ref="J56">INDEX(Honor!$H$2:$H800,MATCH($I56,Honor!$A$2:$A800,0))</f>
        <v>Blok Sensus</v>
      </c>
      <c r="K56" s="66">
        <f t="array" ref="K56">INDEX(Honor!$I$2:$I800,MATCH($I56,Honor!$A$2:$A800,0))</f>
        <v>55000</v>
      </c>
      <c r="L56" s="64">
        <v>4</v>
      </c>
      <c r="M56" s="10">
        <f t="shared" si="0"/>
        <v>220000</v>
      </c>
      <c r="N56" s="70"/>
      <c r="O56" s="67">
        <f t="array" ref="O56">INDEX(Honor!$L$2:$L800,MATCH($I56,Honor!$A$2:$A800,0))</f>
        <v>45335</v>
      </c>
      <c r="P56" s="10">
        <f t="shared" si="1"/>
        <v>2024</v>
      </c>
      <c r="Q56" s="10">
        <f t="shared" si="2"/>
        <v>2</v>
      </c>
      <c r="R56" s="10" t="str">
        <f t="array" ref="R56">INDEX(Honor!$Q$2:$Q800,MATCH($I56,Honor!$A$2:$A800,0))</f>
        <v>SURVEI-PML</v>
      </c>
      <c r="S56" s="10" t="str">
        <f t="shared" si="3"/>
        <v>610422040038-2024-2</v>
      </c>
      <c r="T56" s="10" t="str">
        <f t="shared" si="4"/>
        <v>610422040038-2024-2-SURVEI-PML</v>
      </c>
      <c r="U56" s="64">
        <v>1</v>
      </c>
      <c r="V56" s="10" t="e">
        <f t="array" aca="1" ref="V56" ca="1">INDEX(Honor!$O$2:$O800,MATCH($I56,Honor!$A$2:$A800,0))</f>
        <v>#NAME?</v>
      </c>
      <c r="W56" s="68">
        <v>45351</v>
      </c>
      <c r="X56" s="7" t="str">
        <f t="array" ref="X56">INDEX('Input Kegiatan'!$B$2:$B800,MATCH(B56,'Input Kegiatan'!$A$2:$A800,0))</f>
        <v>Susenas Maret 2024</v>
      </c>
      <c r="Y56" s="7" t="s">
        <v>5250</v>
      </c>
      <c r="Z56" s="7" t="s">
        <v>5346</v>
      </c>
      <c r="AA56" s="68">
        <f t="shared" si="5"/>
        <v>45322</v>
      </c>
      <c r="AB56" s="68">
        <f t="shared" si="6"/>
        <v>45323</v>
      </c>
      <c r="AC56" s="68">
        <f t="shared" si="7"/>
        <v>45351</v>
      </c>
      <c r="AD56" s="68">
        <f t="shared" si="8"/>
        <v>45350</v>
      </c>
      <c r="AE56" s="68">
        <f t="shared" si="9"/>
        <v>45351</v>
      </c>
    </row>
    <row r="57" spans="1:31" ht="12.5">
      <c r="A57" s="125">
        <v>610422040030</v>
      </c>
      <c r="B57" s="64" t="s">
        <v>26</v>
      </c>
      <c r="D57" s="10">
        <f t="array" aca="1" ref="D57" ca="1">INDEX('Mitra per Bulan'!$M$2:$M800,MATCH(S57,'Mitra per Bulan'!$B$2:$B800,0))</f>
        <v>1</v>
      </c>
      <c r="E57" s="10" t="str">
        <f t="array" ref="E57">INDEX('Database Mitra'!$A$2:$A800,MATCH(A57,'Database Mitra'!$B$2:$B800,0))</f>
        <v>Syarifah Desti Pratiwi</v>
      </c>
      <c r="F57" s="65" t="s">
        <v>24</v>
      </c>
      <c r="G57" s="5" t="str">
        <f t="array" ref="G57">INDEX('Database Mitra'!$G$2:$G800,MATCH(A57,'Database Mitra'!$B$2:$B800,0))</f>
        <v>6102084512950002</v>
      </c>
      <c r="H57" s="64" t="s">
        <v>89</v>
      </c>
      <c r="I57" s="65" t="str">
        <f t="shared" si="11"/>
        <v>SUSENAS24-LAPANGAN-SEMESTER1-PML-UPDATING LISTING</v>
      </c>
      <c r="J57" s="10" t="str">
        <f t="array" ref="J57">INDEX(Honor!$H$2:$H800,MATCH($I57,Honor!$A$2:$A800,0))</f>
        <v>Blok Sensus</v>
      </c>
      <c r="K57" s="66">
        <f t="array" ref="K57">INDEX(Honor!$I$2:$I800,MATCH($I57,Honor!$A$2:$A800,0))</f>
        <v>55000</v>
      </c>
      <c r="L57" s="64">
        <v>4</v>
      </c>
      <c r="M57" s="10">
        <f t="shared" si="0"/>
        <v>220000</v>
      </c>
      <c r="N57" s="70"/>
      <c r="O57" s="67">
        <f t="array" ref="O57">INDEX(Honor!$L$2:$L800,MATCH($I57,Honor!$A$2:$A800,0))</f>
        <v>45335</v>
      </c>
      <c r="P57" s="10">
        <f t="shared" si="1"/>
        <v>2024</v>
      </c>
      <c r="Q57" s="10">
        <f t="shared" si="2"/>
        <v>2</v>
      </c>
      <c r="R57" s="10" t="str">
        <f t="array" ref="R57">INDEX(Honor!$Q$2:$Q800,MATCH($I57,Honor!$A$2:$A800,0))</f>
        <v>SURVEI-PML</v>
      </c>
      <c r="S57" s="10" t="str">
        <f t="shared" si="3"/>
        <v>610422040030-2024-2</v>
      </c>
      <c r="T57" s="10" t="str">
        <f t="shared" si="4"/>
        <v>610422040030-2024-2-SURVEI-PML</v>
      </c>
      <c r="U57" s="64">
        <v>1</v>
      </c>
      <c r="V57" s="10" t="e">
        <f t="array" aca="1" ref="V57" ca="1">INDEX(Honor!$O$2:$O800,MATCH($I57,Honor!$A$2:$A800,0))</f>
        <v>#NAME?</v>
      </c>
      <c r="W57" s="68">
        <v>45351</v>
      </c>
      <c r="X57" s="7" t="str">
        <f t="array" ref="X57">INDEX('Input Kegiatan'!$B$2:$B800,MATCH(B57,'Input Kegiatan'!$A$2:$A800,0))</f>
        <v>Susenas Maret 2024</v>
      </c>
      <c r="Y57" s="7" t="s">
        <v>3241</v>
      </c>
      <c r="Z57" s="7" t="s">
        <v>3289</v>
      </c>
      <c r="AA57" s="68">
        <f t="shared" si="5"/>
        <v>45322</v>
      </c>
      <c r="AB57" s="68">
        <f t="shared" si="6"/>
        <v>45323</v>
      </c>
      <c r="AC57" s="68">
        <f t="shared" si="7"/>
        <v>45351</v>
      </c>
      <c r="AD57" s="68">
        <f t="shared" si="8"/>
        <v>45350</v>
      </c>
      <c r="AE57" s="68">
        <f t="shared" si="9"/>
        <v>45351</v>
      </c>
    </row>
    <row r="58" spans="1:31" ht="12.5">
      <c r="A58" s="125">
        <v>610422040062</v>
      </c>
      <c r="B58" s="64" t="s">
        <v>26</v>
      </c>
      <c r="D58" s="10">
        <f t="array" aca="1" ref="D58" ca="1">INDEX('Mitra per Bulan'!$M$2:$M800,MATCH(S58,'Mitra per Bulan'!$B$2:$B800,0))</f>
        <v>1</v>
      </c>
      <c r="E58" s="10" t="str">
        <f t="array" ref="E58">INDEX('Database Mitra'!$A$2:$A800,MATCH(A58,'Database Mitra'!$B$2:$B800,0))</f>
        <v>Yudi Wahyudi</v>
      </c>
      <c r="F58" s="65" t="s">
        <v>24</v>
      </c>
      <c r="G58" s="5" t="str">
        <f t="array" ref="G58">INDEX('Database Mitra'!$G$2:$G800,MATCH(A58,'Database Mitra'!$B$2:$B800,0))</f>
        <v>6108011805800004</v>
      </c>
      <c r="H58" s="64" t="s">
        <v>89</v>
      </c>
      <c r="I58" s="65" t="str">
        <f t="shared" si="11"/>
        <v>SUSENAS24-LAPANGAN-SEMESTER1-PML-UPDATING LISTING</v>
      </c>
      <c r="J58" s="10" t="str">
        <f t="array" ref="J58">INDEX(Honor!$H$2:$H800,MATCH($I58,Honor!$A$2:$A800,0))</f>
        <v>Blok Sensus</v>
      </c>
      <c r="K58" s="66">
        <f t="array" ref="K58">INDEX(Honor!$I$2:$I800,MATCH($I58,Honor!$A$2:$A800,0))</f>
        <v>55000</v>
      </c>
      <c r="L58" s="64">
        <v>4</v>
      </c>
      <c r="M58" s="10">
        <f t="shared" si="0"/>
        <v>220000</v>
      </c>
      <c r="N58" s="70"/>
      <c r="O58" s="67">
        <f t="array" ref="O58">INDEX(Honor!$L$2:$L800,MATCH($I58,Honor!$A$2:$A800,0))</f>
        <v>45335</v>
      </c>
      <c r="P58" s="10">
        <f t="shared" si="1"/>
        <v>2024</v>
      </c>
      <c r="Q58" s="10">
        <f t="shared" si="2"/>
        <v>2</v>
      </c>
      <c r="R58" s="10" t="str">
        <f t="array" ref="R58">INDEX(Honor!$Q$2:$Q800,MATCH($I58,Honor!$A$2:$A800,0))</f>
        <v>SURVEI-PML</v>
      </c>
      <c r="S58" s="10" t="str">
        <f t="shared" si="3"/>
        <v>610422040062-2024-2</v>
      </c>
      <c r="T58" s="10" t="str">
        <f t="shared" si="4"/>
        <v>610422040062-2024-2-SURVEI-PML</v>
      </c>
      <c r="U58" s="64">
        <v>1</v>
      </c>
      <c r="V58" s="10" t="e">
        <f t="array" aca="1" ref="V58" ca="1">INDEX(Honor!$O$2:$O800,MATCH($I58,Honor!$A$2:$A800,0))</f>
        <v>#NAME?</v>
      </c>
      <c r="W58" s="68">
        <v>45351</v>
      </c>
      <c r="X58" s="7" t="str">
        <f t="array" ref="X58">INDEX('Input Kegiatan'!$B$2:$B800,MATCH(B58,'Input Kegiatan'!$A$2:$A800,0))</f>
        <v>Susenas Maret 2024</v>
      </c>
      <c r="Y58" s="7" t="s">
        <v>3990</v>
      </c>
      <c r="Z58" s="7" t="s">
        <v>4332</v>
      </c>
      <c r="AA58" s="68">
        <f t="shared" si="5"/>
        <v>45322</v>
      </c>
      <c r="AB58" s="68">
        <f t="shared" si="6"/>
        <v>45323</v>
      </c>
      <c r="AC58" s="68">
        <f t="shared" si="7"/>
        <v>45351</v>
      </c>
      <c r="AD58" s="68">
        <f t="shared" si="8"/>
        <v>45350</v>
      </c>
      <c r="AE58" s="68">
        <f t="shared" si="9"/>
        <v>45351</v>
      </c>
    </row>
    <row r="59" spans="1:31" ht="12.5">
      <c r="A59" s="125">
        <v>610422100274</v>
      </c>
      <c r="B59" s="64" t="s">
        <v>26</v>
      </c>
      <c r="D59" s="10">
        <f t="array" aca="1" ref="D59" ca="1">INDEX('Mitra per Bulan'!$M$2:$M800,MATCH(S59,'Mitra per Bulan'!$B$2:$B800,0))</f>
        <v>1</v>
      </c>
      <c r="E59" s="10" t="str">
        <f t="array" ref="E59">INDEX('Database Mitra'!$A$2:$A800,MATCH(A59,'Database Mitra'!$B$2:$B800,0))</f>
        <v>Anisatunnabilah</v>
      </c>
      <c r="F59" s="65" t="s">
        <v>24</v>
      </c>
      <c r="G59" s="5" t="str">
        <f t="array" ref="G59">INDEX('Database Mitra'!$G$2:$G800,MATCH(A59,'Database Mitra'!$B$2:$B800,0))</f>
        <v>6102184310990001</v>
      </c>
      <c r="H59" s="64" t="s">
        <v>89</v>
      </c>
      <c r="I59" s="65" t="str">
        <f t="shared" si="11"/>
        <v>SUSENAS24-LAPANGAN-SEMESTER1-PML-UPDATING LISTING</v>
      </c>
      <c r="J59" s="10" t="str">
        <f t="array" ref="J59">INDEX(Honor!$H$2:$H800,MATCH($I59,Honor!$A$2:$A800,0))</f>
        <v>Blok Sensus</v>
      </c>
      <c r="K59" s="66">
        <f t="array" ref="K59">INDEX(Honor!$I$2:$I800,MATCH($I59,Honor!$A$2:$A800,0))</f>
        <v>55000</v>
      </c>
      <c r="L59" s="64">
        <v>4</v>
      </c>
      <c r="M59" s="10">
        <f t="shared" si="0"/>
        <v>220000</v>
      </c>
      <c r="N59" s="70"/>
      <c r="O59" s="67">
        <f t="array" ref="O59">INDEX(Honor!$L$2:$L800,MATCH($I59,Honor!$A$2:$A800,0))</f>
        <v>45335</v>
      </c>
      <c r="P59" s="10">
        <f t="shared" si="1"/>
        <v>2024</v>
      </c>
      <c r="Q59" s="10">
        <f t="shared" si="2"/>
        <v>2</v>
      </c>
      <c r="R59" s="10" t="str">
        <f t="array" ref="R59">INDEX(Honor!$Q$2:$Q800,MATCH($I59,Honor!$A$2:$A800,0))</f>
        <v>SURVEI-PML</v>
      </c>
      <c r="S59" s="10" t="str">
        <f t="shared" si="3"/>
        <v>610422100274-2024-2</v>
      </c>
      <c r="T59" s="10" t="str">
        <f t="shared" si="4"/>
        <v>610422100274-2024-2-SURVEI-PML</v>
      </c>
      <c r="U59" s="64">
        <v>1</v>
      </c>
      <c r="V59" s="10" t="e">
        <f t="array" aca="1" ref="V59" ca="1">INDEX(Honor!$O$2:$O800,MATCH($I59,Honor!$A$2:$A800,0))</f>
        <v>#NAME?</v>
      </c>
      <c r="W59" s="68">
        <v>45351</v>
      </c>
      <c r="X59" s="7" t="str">
        <f t="array" ref="X59">INDEX('Input Kegiatan'!$B$2:$B800,MATCH(B59,'Input Kegiatan'!$A$2:$A800,0))</f>
        <v>Susenas Maret 2024</v>
      </c>
      <c r="Y59" s="7" t="s">
        <v>4931</v>
      </c>
      <c r="Z59" s="7" t="s">
        <v>5171</v>
      </c>
      <c r="AA59" s="68">
        <f t="shared" si="5"/>
        <v>45322</v>
      </c>
      <c r="AB59" s="68">
        <f t="shared" si="6"/>
        <v>45323</v>
      </c>
      <c r="AC59" s="68">
        <f t="shared" si="7"/>
        <v>45351</v>
      </c>
      <c r="AD59" s="68">
        <f t="shared" si="8"/>
        <v>45350</v>
      </c>
      <c r="AE59" s="68">
        <f t="shared" si="9"/>
        <v>45351</v>
      </c>
    </row>
    <row r="60" spans="1:31" ht="12.5">
      <c r="A60" s="125">
        <v>610422100108</v>
      </c>
      <c r="B60" s="64" t="s">
        <v>26</v>
      </c>
      <c r="D60" s="10">
        <f t="array" aca="1" ref="D60" ca="1">INDEX('Mitra per Bulan'!$M$2:$M800,MATCH(S60,'Mitra per Bulan'!$B$2:$B800,0))</f>
        <v>1</v>
      </c>
      <c r="E60" s="10" t="str">
        <f t="array" ref="E60">INDEX('Database Mitra'!$A$2:$A800,MATCH(A60,'Database Mitra'!$B$2:$B800,0))</f>
        <v>Ermi Tiyarni</v>
      </c>
      <c r="F60" s="65" t="s">
        <v>24</v>
      </c>
      <c r="G60" s="5" t="str">
        <f t="array" ref="G60">INDEX('Database Mitra'!$G$2:$G800,MATCH(A60,'Database Mitra'!$B$2:$B800,0))</f>
        <v>6102016512980004</v>
      </c>
      <c r="H60" s="64" t="s">
        <v>89</v>
      </c>
      <c r="I60" s="65" t="str">
        <f t="shared" si="11"/>
        <v>SUSENAS24-LAPANGAN-SEMESTER1-PML-UPDATING LISTING</v>
      </c>
      <c r="J60" s="10" t="str">
        <f t="array" ref="J60">INDEX(Honor!$H$2:$H800,MATCH($I60,Honor!$A$2:$A800,0))</f>
        <v>Blok Sensus</v>
      </c>
      <c r="K60" s="66">
        <f t="array" ref="K60">INDEX(Honor!$I$2:$I800,MATCH($I60,Honor!$A$2:$A800,0))</f>
        <v>55000</v>
      </c>
      <c r="L60" s="64">
        <v>4</v>
      </c>
      <c r="M60" s="10">
        <f t="shared" si="0"/>
        <v>220000</v>
      </c>
      <c r="N60" s="70"/>
      <c r="O60" s="67">
        <f t="array" ref="O60">INDEX(Honor!$L$2:$L800,MATCH($I60,Honor!$A$2:$A800,0))</f>
        <v>45335</v>
      </c>
      <c r="P60" s="10">
        <f t="shared" si="1"/>
        <v>2024</v>
      </c>
      <c r="Q60" s="10">
        <f t="shared" si="2"/>
        <v>2</v>
      </c>
      <c r="R60" s="10" t="str">
        <f t="array" ref="R60">INDEX(Honor!$Q$2:$Q800,MATCH($I60,Honor!$A$2:$A800,0))</f>
        <v>SURVEI-PML</v>
      </c>
      <c r="S60" s="10" t="str">
        <f t="shared" si="3"/>
        <v>610422100108-2024-2</v>
      </c>
      <c r="T60" s="10" t="str">
        <f t="shared" si="4"/>
        <v>610422100108-2024-2-SURVEI-PML</v>
      </c>
      <c r="U60" s="64">
        <v>1</v>
      </c>
      <c r="V60" s="10" t="e">
        <f t="array" aca="1" ref="V60" ca="1">INDEX(Honor!$O$2:$O800,MATCH($I60,Honor!$A$2:$A800,0))</f>
        <v>#NAME?</v>
      </c>
      <c r="W60" s="68">
        <v>45351</v>
      </c>
      <c r="X60" s="7" t="str">
        <f t="array" ref="X60">INDEX('Input Kegiatan'!$B$2:$B800,MATCH(B60,'Input Kegiatan'!$A$2:$A800,0))</f>
        <v>Susenas Maret 2024</v>
      </c>
      <c r="Y60" s="7" t="s">
        <v>4572</v>
      </c>
      <c r="Z60" s="7" t="s">
        <v>4619</v>
      </c>
      <c r="AA60" s="68">
        <f t="shared" si="5"/>
        <v>45322</v>
      </c>
      <c r="AB60" s="68">
        <f t="shared" si="6"/>
        <v>45323</v>
      </c>
      <c r="AC60" s="68">
        <f t="shared" si="7"/>
        <v>45351</v>
      </c>
      <c r="AD60" s="68">
        <f t="shared" si="8"/>
        <v>45350</v>
      </c>
      <c r="AE60" s="68">
        <f t="shared" si="9"/>
        <v>45351</v>
      </c>
    </row>
    <row r="61" spans="1:31" ht="12.5">
      <c r="A61" s="125">
        <v>610423040016</v>
      </c>
      <c r="B61" s="64" t="s">
        <v>26</v>
      </c>
      <c r="D61" s="10">
        <f t="array" aca="1" ref="D61" ca="1">INDEX('Mitra per Bulan'!$M$2:$M800,MATCH(S61,'Mitra per Bulan'!$B$2:$B800,0))</f>
        <v>1</v>
      </c>
      <c r="E61" s="10" t="str">
        <f t="array" ref="E61">INDEX('Database Mitra'!$A$2:$A800,MATCH(A61,'Database Mitra'!$B$2:$B800,0))</f>
        <v>Fairuztia Atiqah Putri</v>
      </c>
      <c r="F61" s="65" t="s">
        <v>24</v>
      </c>
      <c r="G61" s="5" t="str">
        <f t="array" ref="G61">INDEX('Database Mitra'!$G$2:$G800,MATCH(A61,'Database Mitra'!$B$2:$B800,0))</f>
        <v>6102016709010003</v>
      </c>
      <c r="H61" s="64" t="s">
        <v>89</v>
      </c>
      <c r="I61" s="65" t="str">
        <f t="shared" si="11"/>
        <v>SUSENAS24-LAPANGAN-SEMESTER1-PML-UPDATING LISTING</v>
      </c>
      <c r="J61" s="10" t="str">
        <f t="array" ref="J61">INDEX(Honor!$H$2:$H800,MATCH($I61,Honor!$A$2:$A800,0))</f>
        <v>Blok Sensus</v>
      </c>
      <c r="K61" s="66">
        <f t="array" ref="K61">INDEX(Honor!$I$2:$I800,MATCH($I61,Honor!$A$2:$A800,0))</f>
        <v>55000</v>
      </c>
      <c r="L61" s="64">
        <v>4</v>
      </c>
      <c r="M61" s="10">
        <f t="shared" si="0"/>
        <v>220000</v>
      </c>
      <c r="N61" s="70"/>
      <c r="O61" s="67">
        <f t="array" ref="O61">INDEX(Honor!$L$2:$L800,MATCH($I61,Honor!$A$2:$A800,0))</f>
        <v>45335</v>
      </c>
      <c r="P61" s="10">
        <f t="shared" si="1"/>
        <v>2024</v>
      </c>
      <c r="Q61" s="10">
        <f t="shared" si="2"/>
        <v>2</v>
      </c>
      <c r="R61" s="10" t="str">
        <f t="array" ref="R61">INDEX(Honor!$Q$2:$Q800,MATCH($I61,Honor!$A$2:$A800,0))</f>
        <v>SURVEI-PML</v>
      </c>
      <c r="S61" s="10" t="str">
        <f t="shared" si="3"/>
        <v>610423040016-2024-2</v>
      </c>
      <c r="T61" s="10" t="str">
        <f t="shared" si="4"/>
        <v>610423040016-2024-2-SURVEI-PML</v>
      </c>
      <c r="U61" s="64">
        <v>1</v>
      </c>
      <c r="V61" s="10" t="e">
        <f t="array" aca="1" ref="V61" ca="1">INDEX(Honor!$O$2:$O800,MATCH($I61,Honor!$A$2:$A800,0))</f>
        <v>#NAME?</v>
      </c>
      <c r="W61" s="68">
        <v>45351</v>
      </c>
      <c r="X61" s="7" t="str">
        <f t="array" ref="X61">INDEX('Input Kegiatan'!$B$2:$B800,MATCH(B61,'Input Kegiatan'!$A$2:$A800,0))</f>
        <v>Susenas Maret 2024</v>
      </c>
      <c r="Y61" s="7" t="s">
        <v>4572</v>
      </c>
      <c r="Z61" s="7" t="s">
        <v>4619</v>
      </c>
      <c r="AA61" s="68">
        <f t="shared" si="5"/>
        <v>45322</v>
      </c>
      <c r="AB61" s="68">
        <f t="shared" si="6"/>
        <v>45323</v>
      </c>
      <c r="AC61" s="68">
        <f t="shared" si="7"/>
        <v>45351</v>
      </c>
      <c r="AD61" s="68">
        <f t="shared" si="8"/>
        <v>45350</v>
      </c>
      <c r="AE61" s="68">
        <f t="shared" si="9"/>
        <v>45351</v>
      </c>
    </row>
    <row r="62" spans="1:31" ht="12.5">
      <c r="A62" s="125">
        <v>610422100032</v>
      </c>
      <c r="B62" s="64" t="s">
        <v>26</v>
      </c>
      <c r="D62" s="10">
        <f t="array" aca="1" ref="D62" ca="1">INDEX('Mitra per Bulan'!$M$2:$M800,MATCH(S62,'Mitra per Bulan'!$B$2:$B800,0))</f>
        <v>1</v>
      </c>
      <c r="E62" s="10" t="str">
        <f t="array" ref="E62">INDEX('Database Mitra'!$A$2:$A800,MATCH(A62,'Database Mitra'!$B$2:$B800,0))</f>
        <v>Muhammad Rizki Pratomo</v>
      </c>
      <c r="F62" s="65" t="s">
        <v>24</v>
      </c>
      <c r="G62" s="5" t="str">
        <f t="array" ref="G62">INDEX('Database Mitra'!$G$2:$G800,MATCH(A62,'Database Mitra'!$B$2:$B800,0))</f>
        <v>6102011810970004</v>
      </c>
      <c r="H62" s="64" t="s">
        <v>89</v>
      </c>
      <c r="I62" s="65" t="str">
        <f t="shared" si="11"/>
        <v>SUSENAS24-LAPANGAN-SEMESTER1-PML-UPDATING LISTING</v>
      </c>
      <c r="J62" s="10" t="str">
        <f t="array" ref="J62">INDEX(Honor!$H$2:$H800,MATCH($I62,Honor!$A$2:$A800,0))</f>
        <v>Blok Sensus</v>
      </c>
      <c r="K62" s="66">
        <f t="array" ref="K62">INDEX(Honor!$I$2:$I800,MATCH($I62,Honor!$A$2:$A800,0))</f>
        <v>55000</v>
      </c>
      <c r="L62" s="64">
        <v>4</v>
      </c>
      <c r="M62" s="10">
        <f t="shared" si="0"/>
        <v>220000</v>
      </c>
      <c r="N62" s="70"/>
      <c r="O62" s="67">
        <f t="array" ref="O62">INDEX(Honor!$L$2:$L800,MATCH($I62,Honor!$A$2:$A800,0))</f>
        <v>45335</v>
      </c>
      <c r="P62" s="10">
        <f t="shared" si="1"/>
        <v>2024</v>
      </c>
      <c r="Q62" s="10">
        <f t="shared" si="2"/>
        <v>2</v>
      </c>
      <c r="R62" s="10" t="str">
        <f t="array" ref="R62">INDEX(Honor!$Q$2:$Q800,MATCH($I62,Honor!$A$2:$A800,0))</f>
        <v>SURVEI-PML</v>
      </c>
      <c r="S62" s="10" t="str">
        <f t="shared" si="3"/>
        <v>610422100032-2024-2</v>
      </c>
      <c r="T62" s="10" t="str">
        <f t="shared" si="4"/>
        <v>610422100032-2024-2-SURVEI-PML</v>
      </c>
      <c r="U62" s="64">
        <v>1</v>
      </c>
      <c r="V62" s="10" t="e">
        <f t="array" aca="1" ref="V62" ca="1">INDEX(Honor!$O$2:$O800,MATCH($I62,Honor!$A$2:$A800,0))</f>
        <v>#NAME?</v>
      </c>
      <c r="W62" s="68">
        <v>45351</v>
      </c>
      <c r="X62" s="7" t="str">
        <f t="array" ref="X62">INDEX('Input Kegiatan'!$B$2:$B800,MATCH(B62,'Input Kegiatan'!$A$2:$A800,0))</f>
        <v>Susenas Maret 2024</v>
      </c>
      <c r="Y62" s="7" t="s">
        <v>4572</v>
      </c>
      <c r="Z62" s="7" t="s">
        <v>4656</v>
      </c>
      <c r="AA62" s="68">
        <f t="shared" si="5"/>
        <v>45322</v>
      </c>
      <c r="AB62" s="68">
        <f t="shared" si="6"/>
        <v>45323</v>
      </c>
      <c r="AC62" s="68">
        <f t="shared" si="7"/>
        <v>45351</v>
      </c>
      <c r="AD62" s="68">
        <f t="shared" si="8"/>
        <v>45350</v>
      </c>
      <c r="AE62" s="68">
        <f t="shared" si="9"/>
        <v>45351</v>
      </c>
    </row>
    <row r="63" spans="1:31" ht="12.5">
      <c r="A63" s="125">
        <v>610422100244</v>
      </c>
      <c r="B63" s="64" t="s">
        <v>26</v>
      </c>
      <c r="D63" s="10">
        <f t="array" aca="1" ref="D63" ca="1">INDEX('Mitra per Bulan'!$M$2:$M800,MATCH(S63,'Mitra per Bulan'!$B$2:$B800,0))</f>
        <v>1</v>
      </c>
      <c r="E63" s="10" t="str">
        <f t="array" ref="E63">INDEX('Database Mitra'!$A$2:$A800,MATCH(A63,'Database Mitra'!$B$2:$B800,0))</f>
        <v>Sugianto</v>
      </c>
      <c r="F63" s="64" t="s">
        <v>24</v>
      </c>
      <c r="G63" s="5" t="str">
        <f t="array" ref="G63">INDEX('Database Mitra'!$G$2:$G800,MATCH(A63,'Database Mitra'!$B$2:$B800,0))</f>
        <v>6102171003900002</v>
      </c>
      <c r="H63" s="64" t="s">
        <v>89</v>
      </c>
      <c r="I63" s="65" t="str">
        <f t="shared" si="11"/>
        <v>SUSENAS24-LAPANGAN-SEMESTER1-PML-UPDATING LISTING</v>
      </c>
      <c r="J63" s="10" t="str">
        <f t="array" ref="J63">INDEX(Honor!$H$2:$H800,MATCH($I63,Honor!$A$2:$A800,0))</f>
        <v>Blok Sensus</v>
      </c>
      <c r="K63" s="66">
        <f t="array" ref="K63">INDEX(Honor!$I$2:$I800,MATCH($I63,Honor!$A$2:$A800,0))</f>
        <v>55000</v>
      </c>
      <c r="L63" s="64">
        <v>4</v>
      </c>
      <c r="M63" s="10">
        <f t="shared" si="0"/>
        <v>220000</v>
      </c>
      <c r="N63" s="70"/>
      <c r="O63" s="67">
        <f t="array" ref="O63">INDEX(Honor!$L$2:$L800,MATCH($I63,Honor!$A$2:$A800,0))</f>
        <v>45335</v>
      </c>
      <c r="P63" s="10">
        <f t="shared" si="1"/>
        <v>2024</v>
      </c>
      <c r="Q63" s="10">
        <f t="shared" si="2"/>
        <v>2</v>
      </c>
      <c r="R63" s="10" t="str">
        <f t="array" ref="R63">INDEX(Honor!$Q$2:$Q800,MATCH($I63,Honor!$A$2:$A800,0))</f>
        <v>SURVEI-PML</v>
      </c>
      <c r="S63" s="10" t="str">
        <f t="shared" si="3"/>
        <v>610422100244-2024-2</v>
      </c>
      <c r="T63" s="10" t="str">
        <f t="shared" si="4"/>
        <v>610422100244-2024-2-SURVEI-PML</v>
      </c>
      <c r="U63" s="64">
        <v>1</v>
      </c>
      <c r="V63" s="10" t="e">
        <f t="array" aca="1" ref="V63" ca="1">INDEX(Honor!$O$2:$O800,MATCH($I63,Honor!$A$2:$A800,0))</f>
        <v>#NAME?</v>
      </c>
      <c r="W63" s="68">
        <v>45351</v>
      </c>
      <c r="X63" s="7" t="str">
        <f t="array" ref="X63">INDEX('Input Kegiatan'!$B$2:$B800,MATCH(B63,'Input Kegiatan'!$A$2:$A800,0))</f>
        <v>Susenas Maret 2024</v>
      </c>
      <c r="Y63" s="7" t="s">
        <v>5741</v>
      </c>
      <c r="Z63" s="7" t="s">
        <v>5796</v>
      </c>
      <c r="AA63" s="68">
        <f t="shared" si="5"/>
        <v>45322</v>
      </c>
      <c r="AB63" s="68">
        <f t="shared" si="6"/>
        <v>45323</v>
      </c>
      <c r="AC63" s="68">
        <f t="shared" si="7"/>
        <v>45351</v>
      </c>
      <c r="AD63" s="68">
        <f t="shared" si="8"/>
        <v>45350</v>
      </c>
      <c r="AE63" s="68">
        <f t="shared" si="9"/>
        <v>45351</v>
      </c>
    </row>
    <row r="64" spans="1:31" ht="12.5">
      <c r="A64" s="125">
        <v>610422100256</v>
      </c>
      <c r="B64" s="64" t="s">
        <v>26</v>
      </c>
      <c r="D64" s="10">
        <f t="array" aca="1" ref="D64" ca="1">INDEX('Mitra per Bulan'!$M$2:$M800,MATCH(S64,'Mitra per Bulan'!$B$2:$B800,0))</f>
        <v>1</v>
      </c>
      <c r="E64" s="10" t="str">
        <f t="array" ref="E64">INDEX('Database Mitra'!$A$2:$A800,MATCH(A64,'Database Mitra'!$B$2:$B800,0))</f>
        <v>Meta</v>
      </c>
      <c r="F64" s="65" t="s">
        <v>25</v>
      </c>
      <c r="G64" s="5" t="str">
        <f t="array" ref="G64">INDEX('Database Mitra'!$G$2:$G800,MATCH(A64,'Database Mitra'!$B$2:$B800,0))</f>
        <v>6102174505970001</v>
      </c>
      <c r="H64" s="64" t="s">
        <v>89</v>
      </c>
      <c r="I64" s="65" t="str">
        <f t="shared" si="11"/>
        <v>SUSENAS24-LAPANGAN-SEMESTER1-PPL-UPDATING LISTING</v>
      </c>
      <c r="J64" s="10" t="str">
        <f t="array" ref="J64">INDEX(Honor!$H$2:$H800,MATCH($I64,Honor!$A$2:$A800,0))</f>
        <v>Blok Sensus</v>
      </c>
      <c r="K64" s="66">
        <f t="array" ref="K64">INDEX(Honor!$I$2:$I800,MATCH($I64,Honor!$A$2:$A800,0))</f>
        <v>168000</v>
      </c>
      <c r="L64" s="65">
        <v>1</v>
      </c>
      <c r="M64" s="10">
        <f t="shared" si="0"/>
        <v>168000</v>
      </c>
      <c r="N64" s="70">
        <v>162960</v>
      </c>
      <c r="O64" s="67">
        <f t="array" ref="O64">INDEX(Honor!$L$2:$L800,MATCH($I64,Honor!$A$2:$A800,0))</f>
        <v>45335</v>
      </c>
      <c r="P64" s="10">
        <f t="shared" si="1"/>
        <v>2024</v>
      </c>
      <c r="Q64" s="10">
        <f t="shared" si="2"/>
        <v>2</v>
      </c>
      <c r="R64" s="10" t="str">
        <f t="array" ref="R64">INDEX(Honor!$Q$2:$Q800,MATCH($I64,Honor!$A$2:$A800,0))</f>
        <v>SURVEI-PPL</v>
      </c>
      <c r="S64" s="10" t="str">
        <f t="shared" si="3"/>
        <v>610422100256-2024-2</v>
      </c>
      <c r="T64" s="10" t="str">
        <f t="shared" si="4"/>
        <v>610422100256-2024-2-SURVEI-PPL</v>
      </c>
      <c r="U64" s="64">
        <v>1</v>
      </c>
      <c r="V64" s="10" t="e">
        <f t="array" aca="1" ref="V64" ca="1">INDEX(Honor!$O$2:$O800,MATCH($I64,Honor!$A$2:$A800,0))</f>
        <v>#NAME?</v>
      </c>
      <c r="W64" s="68">
        <v>45351</v>
      </c>
      <c r="X64" s="7" t="str">
        <f t="array" ref="X64">INDEX('Input Kegiatan'!$B$2:$B800,MATCH(B64,'Input Kegiatan'!$A$2:$A800,0))</f>
        <v>Susenas Maret 2024</v>
      </c>
      <c r="Y64" s="7" t="s">
        <v>5741</v>
      </c>
      <c r="Z64" s="7" t="s">
        <v>5742</v>
      </c>
      <c r="AA64" s="68">
        <f t="shared" si="5"/>
        <v>45322</v>
      </c>
      <c r="AB64" s="68">
        <f t="shared" si="6"/>
        <v>45323</v>
      </c>
      <c r="AC64" s="68">
        <f t="shared" si="7"/>
        <v>45351</v>
      </c>
      <c r="AD64" s="68">
        <f t="shared" si="8"/>
        <v>45350</v>
      </c>
      <c r="AE64" s="68">
        <f t="shared" si="9"/>
        <v>45351</v>
      </c>
    </row>
    <row r="65" spans="1:31" ht="12.5">
      <c r="A65" s="125">
        <v>610422100055</v>
      </c>
      <c r="B65" s="64" t="s">
        <v>26</v>
      </c>
      <c r="D65" s="10">
        <f t="array" aca="1" ref="D65" ca="1">INDEX('Mitra per Bulan'!$M$2:$M800,MATCH(S65,'Mitra per Bulan'!$B$2:$B800,0))</f>
        <v>1</v>
      </c>
      <c r="E65" s="10" t="str">
        <f t="array" ref="E65">INDEX('Database Mitra'!$A$2:$A800,MATCH(A65,'Database Mitra'!$B$2:$B800,0))</f>
        <v>Vika Rizkiani</v>
      </c>
      <c r="F65" s="65" t="s">
        <v>25</v>
      </c>
      <c r="G65" s="5" t="str">
        <f t="array" ref="G65">INDEX('Database Mitra'!$G$2:$G800,MATCH(A65,'Database Mitra'!$B$2:$B800,0))</f>
        <v>6102084207980006</v>
      </c>
      <c r="H65" s="64" t="s">
        <v>89</v>
      </c>
      <c r="I65" s="65" t="str">
        <f t="shared" si="11"/>
        <v>SUSENAS24-LAPANGAN-SEMESTER1-PPL-UPDATING LISTING</v>
      </c>
      <c r="J65" s="10" t="str">
        <f t="array" ref="J65">INDEX(Honor!$H$2:$H800,MATCH($I65,Honor!$A$2:$A800,0))</f>
        <v>Blok Sensus</v>
      </c>
      <c r="K65" s="66">
        <f t="array" ref="K65">INDEX(Honor!$I$2:$I800,MATCH($I65,Honor!$A$2:$A800,0))</f>
        <v>168000</v>
      </c>
      <c r="L65" s="65">
        <v>1</v>
      </c>
      <c r="M65" s="10">
        <f t="shared" si="0"/>
        <v>168000</v>
      </c>
      <c r="N65" s="70">
        <v>162960</v>
      </c>
      <c r="O65" s="67">
        <f t="array" ref="O65">INDEX(Honor!$L$2:$L800,MATCH($I65,Honor!$A$2:$A800,0))</f>
        <v>45335</v>
      </c>
      <c r="P65" s="10">
        <f t="shared" si="1"/>
        <v>2024</v>
      </c>
      <c r="Q65" s="10">
        <f t="shared" si="2"/>
        <v>2</v>
      </c>
      <c r="R65" s="10" t="str">
        <f t="array" ref="R65">INDEX(Honor!$Q$2:$Q800,MATCH($I65,Honor!$A$2:$A800,0))</f>
        <v>SURVEI-PPL</v>
      </c>
      <c r="S65" s="10" t="str">
        <f t="shared" si="3"/>
        <v>610422100055-2024-2</v>
      </c>
      <c r="T65" s="10" t="str">
        <f t="shared" si="4"/>
        <v>610422100055-2024-2-SURVEI-PPL</v>
      </c>
      <c r="U65" s="64">
        <v>1</v>
      </c>
      <c r="V65" s="10" t="e">
        <f t="array" aca="1" ref="V65" ca="1">INDEX(Honor!$O$2:$O800,MATCH($I65,Honor!$A$2:$A800,0))</f>
        <v>#NAME?</v>
      </c>
      <c r="W65" s="68">
        <v>45351</v>
      </c>
      <c r="X65" s="7" t="str">
        <f t="array" ref="X65">INDEX('Input Kegiatan'!$B$2:$B800,MATCH(B65,'Input Kegiatan'!$A$2:$A800,0))</f>
        <v>Susenas Maret 2024</v>
      </c>
      <c r="Y65" s="7" t="s">
        <v>3241</v>
      </c>
      <c r="Z65" s="7" t="s">
        <v>3289</v>
      </c>
      <c r="AA65" s="68">
        <f t="shared" si="5"/>
        <v>45322</v>
      </c>
      <c r="AB65" s="68">
        <f t="shared" si="6"/>
        <v>45323</v>
      </c>
      <c r="AC65" s="68">
        <f t="shared" si="7"/>
        <v>45351</v>
      </c>
      <c r="AD65" s="68">
        <f t="shared" si="8"/>
        <v>45350</v>
      </c>
      <c r="AE65" s="68">
        <f t="shared" si="9"/>
        <v>45351</v>
      </c>
    </row>
    <row r="66" spans="1:31" ht="12.5">
      <c r="A66" s="125">
        <v>610422020008</v>
      </c>
      <c r="B66" s="64" t="s">
        <v>26</v>
      </c>
      <c r="D66" s="10">
        <f t="array" aca="1" ref="D66" ca="1">INDEX('Mitra per Bulan'!$M$2:$M800,MATCH(S66,'Mitra per Bulan'!$B$2:$B800,0))</f>
        <v>1</v>
      </c>
      <c r="E66" s="10" t="str">
        <f t="array" ref="E66">INDEX('Database Mitra'!$A$2:$A800,MATCH(A66,'Database Mitra'!$B$2:$B800,0))</f>
        <v>Ilfi Nur Diana</v>
      </c>
      <c r="F66" s="65" t="s">
        <v>25</v>
      </c>
      <c r="G66" s="5" t="str">
        <f t="array" ref="G66">INDEX('Database Mitra'!$G$2:$G800,MATCH(A66,'Database Mitra'!$B$2:$B800,0))</f>
        <v>6102125203970003</v>
      </c>
      <c r="H66" s="64" t="s">
        <v>89</v>
      </c>
      <c r="I66" s="65" t="str">
        <f t="shared" si="11"/>
        <v>SUSENAS24-LAPANGAN-SEMESTER1-PPL-UPDATING LISTING</v>
      </c>
      <c r="J66" s="10" t="str">
        <f t="array" ref="J66">INDEX(Honor!$H$2:$H800,MATCH($I66,Honor!$A$2:$A800,0))</f>
        <v>Blok Sensus</v>
      </c>
      <c r="K66" s="66">
        <f t="array" ref="K66">INDEX(Honor!$I$2:$I800,MATCH($I66,Honor!$A$2:$A800,0))</f>
        <v>168000</v>
      </c>
      <c r="L66" s="65">
        <v>2</v>
      </c>
      <c r="M66" s="10">
        <f t="shared" si="0"/>
        <v>336000</v>
      </c>
      <c r="N66" s="70">
        <v>325920</v>
      </c>
      <c r="O66" s="67">
        <f t="array" ref="O66">INDEX(Honor!$L$2:$L800,MATCH($I66,Honor!$A$2:$A800,0))</f>
        <v>45335</v>
      </c>
      <c r="P66" s="10">
        <f t="shared" si="1"/>
        <v>2024</v>
      </c>
      <c r="Q66" s="10">
        <f t="shared" si="2"/>
        <v>2</v>
      </c>
      <c r="R66" s="10" t="str">
        <f t="array" ref="R66">INDEX(Honor!$Q$2:$Q800,MATCH($I66,Honor!$A$2:$A800,0))</f>
        <v>SURVEI-PPL</v>
      </c>
      <c r="S66" s="10" t="str">
        <f t="shared" si="3"/>
        <v>610422020008-2024-2</v>
      </c>
      <c r="T66" s="10" t="str">
        <f t="shared" si="4"/>
        <v>610422020008-2024-2-SURVEI-PPL</v>
      </c>
      <c r="U66" s="64">
        <v>1</v>
      </c>
      <c r="V66" s="10" t="e">
        <f t="array" aca="1" ref="V66" ca="1">INDEX(Honor!$O$2:$O800,MATCH($I66,Honor!$A$2:$A800,0))</f>
        <v>#NAME?</v>
      </c>
      <c r="W66" s="68">
        <v>45351</v>
      </c>
      <c r="X66" s="7" t="str">
        <f t="array" ref="X66">INDEX('Input Kegiatan'!$B$2:$B800,MATCH(B66,'Input Kegiatan'!$A$2:$A800,0))</f>
        <v>Susenas Maret 2024</v>
      </c>
      <c r="Y66" s="7" t="s">
        <v>5250</v>
      </c>
      <c r="Z66" s="7" t="s">
        <v>5365</v>
      </c>
      <c r="AA66" s="68">
        <f t="shared" si="5"/>
        <v>45322</v>
      </c>
      <c r="AB66" s="68">
        <f t="shared" si="6"/>
        <v>45323</v>
      </c>
      <c r="AC66" s="68">
        <f t="shared" si="7"/>
        <v>45351</v>
      </c>
      <c r="AD66" s="68">
        <f t="shared" si="8"/>
        <v>45350</v>
      </c>
      <c r="AE66" s="68">
        <f t="shared" si="9"/>
        <v>45351</v>
      </c>
    </row>
    <row r="67" spans="1:31" ht="12.5">
      <c r="A67" s="125">
        <v>610423040014</v>
      </c>
      <c r="B67" s="64" t="s">
        <v>26</v>
      </c>
      <c r="D67" s="10">
        <f t="array" aca="1" ref="D67" ca="1">INDEX('Mitra per Bulan'!$M$2:$M800,MATCH(S67,'Mitra per Bulan'!$B$2:$B800,0))</f>
        <v>1</v>
      </c>
      <c r="E67" s="10" t="str">
        <f t="array" ref="E67">INDEX('Database Mitra'!$A$2:$A800,MATCH(A67,'Database Mitra'!$B$2:$B800,0))</f>
        <v>Fransiska Romana</v>
      </c>
      <c r="F67" s="65" t="s">
        <v>25</v>
      </c>
      <c r="G67" s="5" t="str">
        <f t="array" ref="G67">INDEX('Database Mitra'!$G$2:$G800,MATCH(A67,'Database Mitra'!$B$2:$B800,0))</f>
        <v>6107036103910001</v>
      </c>
      <c r="H67" s="64" t="s">
        <v>89</v>
      </c>
      <c r="I67" s="65" t="str">
        <f t="shared" si="11"/>
        <v>SUSENAS24-LAPANGAN-SEMESTER1-PPL-UPDATING LISTING</v>
      </c>
      <c r="J67" s="10" t="str">
        <f t="array" ref="J67">INDEX(Honor!$H$2:$H800,MATCH($I67,Honor!$A$2:$A800,0))</f>
        <v>Blok Sensus</v>
      </c>
      <c r="K67" s="66">
        <f t="array" ref="K67">INDEX(Honor!$I$2:$I800,MATCH($I67,Honor!$A$2:$A800,0))</f>
        <v>168000</v>
      </c>
      <c r="L67" s="65">
        <v>2</v>
      </c>
      <c r="M67" s="10">
        <f t="shared" si="0"/>
        <v>336000</v>
      </c>
      <c r="N67" s="70">
        <v>325920</v>
      </c>
      <c r="O67" s="67">
        <f t="array" ref="O67">INDEX(Honor!$L$2:$L800,MATCH($I67,Honor!$A$2:$A800,0))</f>
        <v>45335</v>
      </c>
      <c r="P67" s="10">
        <f t="shared" si="1"/>
        <v>2024</v>
      </c>
      <c r="Q67" s="10">
        <f t="shared" si="2"/>
        <v>2</v>
      </c>
      <c r="R67" s="10" t="str">
        <f t="array" ref="R67">INDEX(Honor!$Q$2:$Q800,MATCH($I67,Honor!$A$2:$A800,0))</f>
        <v>SURVEI-PPL</v>
      </c>
      <c r="S67" s="10" t="str">
        <f t="shared" si="3"/>
        <v>610423040014-2024-2</v>
      </c>
      <c r="T67" s="10" t="str">
        <f t="shared" si="4"/>
        <v>610423040014-2024-2-SURVEI-PPL</v>
      </c>
      <c r="U67" s="64">
        <v>1</v>
      </c>
      <c r="V67" s="10" t="e">
        <f t="array" aca="1" ref="V67" ca="1">INDEX(Honor!$O$2:$O800,MATCH($I67,Honor!$A$2:$A800,0))</f>
        <v>#NAME?</v>
      </c>
      <c r="W67" s="68">
        <v>45351</v>
      </c>
      <c r="X67" s="7" t="str">
        <f t="array" ref="X67">INDEX('Input Kegiatan'!$B$2:$B800,MATCH(B67,'Input Kegiatan'!$A$2:$A800,0))</f>
        <v>Susenas Maret 2024</v>
      </c>
      <c r="Y67" s="7" t="s">
        <v>5534</v>
      </c>
      <c r="Z67" s="7" t="s">
        <v>5714</v>
      </c>
      <c r="AA67" s="68">
        <f t="shared" si="5"/>
        <v>45322</v>
      </c>
      <c r="AB67" s="68">
        <f t="shared" si="6"/>
        <v>45323</v>
      </c>
      <c r="AC67" s="68">
        <f t="shared" si="7"/>
        <v>45351</v>
      </c>
      <c r="AD67" s="68">
        <f t="shared" si="8"/>
        <v>45350</v>
      </c>
      <c r="AE67" s="68">
        <f t="shared" si="9"/>
        <v>45351</v>
      </c>
    </row>
    <row r="68" spans="1:31" ht="12.5">
      <c r="A68" s="125">
        <v>610423040022</v>
      </c>
      <c r="B68" s="64" t="s">
        <v>26</v>
      </c>
      <c r="D68" s="10">
        <f t="array" aca="1" ref="D68" ca="1">INDEX('Mitra per Bulan'!$M$2:$M800,MATCH(S68,'Mitra per Bulan'!$B$2:$B800,0))</f>
        <v>1</v>
      </c>
      <c r="E68" s="10" t="str">
        <f t="array" ref="E68">INDEX('Database Mitra'!$A$2:$A800,MATCH(A68,'Database Mitra'!$B$2:$B800,0))</f>
        <v>Alip Susanto</v>
      </c>
      <c r="F68" s="65" t="s">
        <v>25</v>
      </c>
      <c r="G68" s="5" t="str">
        <f t="array" ref="G68">INDEX('Database Mitra'!$G$2:$G800,MATCH(A68,'Database Mitra'!$B$2:$B800,0))</f>
        <v>6102172001980001</v>
      </c>
      <c r="H68" s="64" t="s">
        <v>89</v>
      </c>
      <c r="I68" s="65" t="str">
        <f t="shared" si="11"/>
        <v>SUSENAS24-LAPANGAN-SEMESTER1-PPL-UPDATING LISTING</v>
      </c>
      <c r="J68" s="10" t="str">
        <f t="array" ref="J68">INDEX(Honor!$H$2:$H800,MATCH($I68,Honor!$A$2:$A800,0))</f>
        <v>Blok Sensus</v>
      </c>
      <c r="K68" s="66">
        <f t="array" ref="K68">INDEX(Honor!$I$2:$I800,MATCH($I68,Honor!$A$2:$A800,0))</f>
        <v>168000</v>
      </c>
      <c r="L68" s="65">
        <v>2</v>
      </c>
      <c r="M68" s="10">
        <f t="shared" si="0"/>
        <v>336000</v>
      </c>
      <c r="N68" s="70">
        <v>325920</v>
      </c>
      <c r="O68" s="67">
        <f t="array" ref="O68">INDEX(Honor!$L$2:$L800,MATCH($I68,Honor!$A$2:$A800,0))</f>
        <v>45335</v>
      </c>
      <c r="P68" s="10">
        <f t="shared" si="1"/>
        <v>2024</v>
      </c>
      <c r="Q68" s="10">
        <f t="shared" si="2"/>
        <v>2</v>
      </c>
      <c r="R68" s="10" t="str">
        <f t="array" ref="R68">INDEX(Honor!$Q$2:$Q800,MATCH($I68,Honor!$A$2:$A800,0))</f>
        <v>SURVEI-PPL</v>
      </c>
      <c r="S68" s="10" t="str">
        <f t="shared" si="3"/>
        <v>610423040022-2024-2</v>
      </c>
      <c r="T68" s="10" t="str">
        <f t="shared" si="4"/>
        <v>610423040022-2024-2-SURVEI-PPL</v>
      </c>
      <c r="U68" s="64">
        <v>1</v>
      </c>
      <c r="V68" s="10" t="e">
        <f t="array" aca="1" ref="V68" ca="1">INDEX(Honor!$O$2:$O800,MATCH($I68,Honor!$A$2:$A800,0))</f>
        <v>#NAME?</v>
      </c>
      <c r="W68" s="68">
        <v>45351</v>
      </c>
      <c r="X68" s="7" t="str">
        <f t="array" ref="X68">INDEX('Input Kegiatan'!$B$2:$B800,MATCH(B68,'Input Kegiatan'!$A$2:$A800,0))</f>
        <v>Susenas Maret 2024</v>
      </c>
      <c r="Y68" s="7" t="s">
        <v>5741</v>
      </c>
      <c r="Z68" s="7" t="s">
        <v>5796</v>
      </c>
      <c r="AA68" s="68">
        <f t="shared" si="5"/>
        <v>45322</v>
      </c>
      <c r="AB68" s="68">
        <f t="shared" si="6"/>
        <v>45323</v>
      </c>
      <c r="AC68" s="68">
        <f t="shared" si="7"/>
        <v>45351</v>
      </c>
      <c r="AD68" s="68">
        <f t="shared" si="8"/>
        <v>45350</v>
      </c>
      <c r="AE68" s="68">
        <f t="shared" si="9"/>
        <v>45351</v>
      </c>
    </row>
    <row r="69" spans="1:31" ht="12.5">
      <c r="A69" s="125">
        <v>610423030004</v>
      </c>
      <c r="B69" s="64" t="s">
        <v>26</v>
      </c>
      <c r="D69" s="10">
        <f t="array" aca="1" ref="D69" ca="1">INDEX('Mitra per Bulan'!$M$2:$M800,MATCH(S69,'Mitra per Bulan'!$B$2:$B800,0))</f>
        <v>1</v>
      </c>
      <c r="E69" s="10" t="str">
        <f t="array" ref="E69">INDEX('Database Mitra'!$A$2:$A800,MATCH(A69,'Database Mitra'!$B$2:$B800,0))</f>
        <v>Laras Nanda Julita</v>
      </c>
      <c r="F69" s="65" t="s">
        <v>25</v>
      </c>
      <c r="G69" s="5" t="str">
        <f t="array" ref="G69">INDEX('Database Mitra'!$G$2:$G800,MATCH(A69,'Database Mitra'!$B$2:$B800,0))</f>
        <v>6102074407000003</v>
      </c>
      <c r="H69" s="64" t="s">
        <v>89</v>
      </c>
      <c r="I69" s="65" t="str">
        <f t="shared" si="11"/>
        <v>SUSENAS24-LAPANGAN-SEMESTER1-PPL-UPDATING LISTING</v>
      </c>
      <c r="J69" s="10" t="str">
        <f t="array" ref="J69">INDEX(Honor!$H$2:$H800,MATCH($I69,Honor!$A$2:$A800,0))</f>
        <v>Blok Sensus</v>
      </c>
      <c r="K69" s="66">
        <f t="array" ref="K69">INDEX(Honor!$I$2:$I800,MATCH($I69,Honor!$A$2:$A800,0))</f>
        <v>168000</v>
      </c>
      <c r="L69" s="65">
        <v>2</v>
      </c>
      <c r="M69" s="10">
        <f t="shared" si="0"/>
        <v>336000</v>
      </c>
      <c r="N69" s="70">
        <v>325920</v>
      </c>
      <c r="O69" s="67">
        <f t="array" ref="O69">INDEX(Honor!$L$2:$L800,MATCH($I69,Honor!$A$2:$A800,0))</f>
        <v>45335</v>
      </c>
      <c r="P69" s="10">
        <f t="shared" si="1"/>
        <v>2024</v>
      </c>
      <c r="Q69" s="10">
        <f t="shared" si="2"/>
        <v>2</v>
      </c>
      <c r="R69" s="10" t="str">
        <f t="array" ref="R69">INDEX(Honor!$Q$2:$Q800,MATCH($I69,Honor!$A$2:$A800,0))</f>
        <v>SURVEI-PPL</v>
      </c>
      <c r="S69" s="10" t="str">
        <f t="shared" si="3"/>
        <v>610423030004-2024-2</v>
      </c>
      <c r="T69" s="10" t="str">
        <f t="shared" si="4"/>
        <v>610423030004-2024-2-SURVEI-PPL</v>
      </c>
      <c r="U69" s="64">
        <v>1</v>
      </c>
      <c r="V69" s="10" t="e">
        <f t="array" aca="1" ref="V69" ca="1">INDEX(Honor!$O$2:$O800,MATCH($I69,Honor!$A$2:$A800,0))</f>
        <v>#NAME?</v>
      </c>
      <c r="W69" s="68">
        <v>45351</v>
      </c>
      <c r="X69" s="7" t="str">
        <f t="array" ref="X69">INDEX('Input Kegiatan'!$B$2:$B800,MATCH(B69,'Input Kegiatan'!$A$2:$A800,0))</f>
        <v>Susenas Maret 2024</v>
      </c>
      <c r="Y69" s="7" t="s">
        <v>3990</v>
      </c>
      <c r="Z69" s="7" t="s">
        <v>4143</v>
      </c>
      <c r="AA69" s="68">
        <f t="shared" si="5"/>
        <v>45322</v>
      </c>
      <c r="AB69" s="68">
        <f t="shared" si="6"/>
        <v>45323</v>
      </c>
      <c r="AC69" s="68">
        <f t="shared" si="7"/>
        <v>45351</v>
      </c>
      <c r="AD69" s="68">
        <f t="shared" si="8"/>
        <v>45350</v>
      </c>
      <c r="AE69" s="68">
        <f t="shared" si="9"/>
        <v>45351</v>
      </c>
    </row>
    <row r="70" spans="1:31" ht="12.5">
      <c r="A70" s="125">
        <v>610423040004</v>
      </c>
      <c r="B70" s="64" t="s">
        <v>26</v>
      </c>
      <c r="D70" s="10">
        <f t="array" aca="1" ref="D70" ca="1">INDEX('Mitra per Bulan'!$M$2:$M800,MATCH(S70,'Mitra per Bulan'!$B$2:$B800,0))</f>
        <v>1</v>
      </c>
      <c r="E70" s="10" t="str">
        <f t="array" ref="E70">INDEX('Database Mitra'!$A$2:$A800,MATCH(A70,'Database Mitra'!$B$2:$B800,0))</f>
        <v>Ayu Agustin</v>
      </c>
      <c r="F70" s="65" t="s">
        <v>25</v>
      </c>
      <c r="G70" s="5" t="str">
        <f t="array" ref="G70">INDEX('Database Mitra'!$G$2:$G800,MATCH(A70,'Database Mitra'!$B$2:$B800,0))</f>
        <v>6111025008930002</v>
      </c>
      <c r="H70" s="64" t="s">
        <v>89</v>
      </c>
      <c r="I70" s="65" t="str">
        <f t="shared" si="11"/>
        <v>SUSENAS24-LAPANGAN-SEMESTER1-PPL-UPDATING LISTING</v>
      </c>
      <c r="J70" s="10" t="str">
        <f t="array" ref="J70">INDEX(Honor!$H$2:$H800,MATCH($I70,Honor!$A$2:$A800,0))</f>
        <v>Blok Sensus</v>
      </c>
      <c r="K70" s="66">
        <f t="array" ref="K70">INDEX(Honor!$I$2:$I800,MATCH($I70,Honor!$A$2:$A800,0))</f>
        <v>168000</v>
      </c>
      <c r="L70" s="65">
        <v>1</v>
      </c>
      <c r="M70" s="10">
        <f t="shared" si="0"/>
        <v>168000</v>
      </c>
      <c r="N70" s="70">
        <v>162960</v>
      </c>
      <c r="O70" s="67">
        <f t="array" ref="O70">INDEX(Honor!$L$2:$L800,MATCH($I70,Honor!$A$2:$A800,0))</f>
        <v>45335</v>
      </c>
      <c r="P70" s="10">
        <f t="shared" si="1"/>
        <v>2024</v>
      </c>
      <c r="Q70" s="10">
        <f t="shared" si="2"/>
        <v>2</v>
      </c>
      <c r="R70" s="10" t="str">
        <f t="array" ref="R70">INDEX(Honor!$Q$2:$Q800,MATCH($I70,Honor!$A$2:$A800,0))</f>
        <v>SURVEI-PPL</v>
      </c>
      <c r="S70" s="10" t="str">
        <f t="shared" si="3"/>
        <v>610423040004-2024-2</v>
      </c>
      <c r="T70" s="10" t="str">
        <f t="shared" si="4"/>
        <v>610423040004-2024-2-SURVEI-PPL</v>
      </c>
      <c r="U70" s="64">
        <v>1</v>
      </c>
      <c r="V70" s="10" t="e">
        <f t="array" aca="1" ref="V70" ca="1">INDEX(Honor!$O$2:$O800,MATCH($I70,Honor!$A$2:$A800,0))</f>
        <v>#NAME?</v>
      </c>
      <c r="W70" s="68">
        <v>45351</v>
      </c>
      <c r="X70" s="7" t="str">
        <f t="array" ref="X70">INDEX('Input Kegiatan'!$B$2:$B800,MATCH(B70,'Input Kegiatan'!$A$2:$A800,0))</f>
        <v>Susenas Maret 2024</v>
      </c>
      <c r="Y70" s="7" t="s">
        <v>4408</v>
      </c>
      <c r="Z70" s="7" t="s">
        <v>4531</v>
      </c>
      <c r="AA70" s="68">
        <f t="shared" si="5"/>
        <v>45322</v>
      </c>
      <c r="AB70" s="68">
        <f t="shared" si="6"/>
        <v>45323</v>
      </c>
      <c r="AC70" s="68">
        <f t="shared" si="7"/>
        <v>45351</v>
      </c>
      <c r="AD70" s="68">
        <f t="shared" si="8"/>
        <v>45350</v>
      </c>
      <c r="AE70" s="68">
        <f t="shared" si="9"/>
        <v>45351</v>
      </c>
    </row>
    <row r="71" spans="1:31" ht="12.5">
      <c r="A71" s="125">
        <v>610423040006</v>
      </c>
      <c r="B71" s="64" t="s">
        <v>26</v>
      </c>
      <c r="D71" s="10">
        <f t="array" aca="1" ref="D71" ca="1">INDEX('Mitra per Bulan'!$M$2:$M800,MATCH(S71,'Mitra per Bulan'!$B$2:$B800,0))</f>
        <v>1</v>
      </c>
      <c r="E71" s="10" t="str">
        <f t="array" ref="E71">INDEX('Database Mitra'!$A$2:$A800,MATCH(A71,'Database Mitra'!$B$2:$B800,0))</f>
        <v>Mitasya Fitri Nainggolan</v>
      </c>
      <c r="F71" s="65" t="s">
        <v>25</v>
      </c>
      <c r="G71" s="5" t="str">
        <f t="array" ref="G71">INDEX('Database Mitra'!$G$2:$G800,MATCH(A71,'Database Mitra'!$B$2:$B800,0))</f>
        <v>6102185705000003</v>
      </c>
      <c r="H71" s="64" t="s">
        <v>89</v>
      </c>
      <c r="I71" s="65" t="str">
        <f t="shared" si="11"/>
        <v>SUSENAS24-LAPANGAN-SEMESTER1-PPL-UPDATING LISTING</v>
      </c>
      <c r="J71" s="10" t="str">
        <f t="array" ref="J71">INDEX(Honor!$H$2:$H800,MATCH($I71,Honor!$A$2:$A800,0))</f>
        <v>Blok Sensus</v>
      </c>
      <c r="K71" s="66">
        <f t="array" ref="K71">INDEX(Honor!$I$2:$I800,MATCH($I71,Honor!$A$2:$A800,0))</f>
        <v>168000</v>
      </c>
      <c r="L71" s="65">
        <v>2</v>
      </c>
      <c r="M71" s="10">
        <f t="shared" si="0"/>
        <v>336000</v>
      </c>
      <c r="N71" s="70">
        <v>325920</v>
      </c>
      <c r="O71" s="67">
        <f t="array" ref="O71">INDEX(Honor!$L$2:$L800,MATCH($I71,Honor!$A$2:$A800,0))</f>
        <v>45335</v>
      </c>
      <c r="P71" s="10">
        <f t="shared" si="1"/>
        <v>2024</v>
      </c>
      <c r="Q71" s="10">
        <f t="shared" si="2"/>
        <v>2</v>
      </c>
      <c r="R71" s="10" t="str">
        <f t="array" ref="R71">INDEX(Honor!$Q$2:$Q800,MATCH($I71,Honor!$A$2:$A800,0))</f>
        <v>SURVEI-PPL</v>
      </c>
      <c r="S71" s="10" t="str">
        <f t="shared" si="3"/>
        <v>610423040006-2024-2</v>
      </c>
      <c r="T71" s="10" t="str">
        <f t="shared" si="4"/>
        <v>610423040006-2024-2-SURVEI-PPL</v>
      </c>
      <c r="U71" s="64">
        <v>1</v>
      </c>
      <c r="V71" s="10" t="e">
        <f t="array" aca="1" ref="V71" ca="1">INDEX(Honor!$O$2:$O800,MATCH($I71,Honor!$A$2:$A800,0))</f>
        <v>#NAME?</v>
      </c>
      <c r="W71" s="68">
        <v>45351</v>
      </c>
      <c r="X71" s="7" t="str">
        <f t="array" ref="X71">INDEX('Input Kegiatan'!$B$2:$B800,MATCH(B71,'Input Kegiatan'!$A$2:$A800,0))</f>
        <v>Susenas Maret 2024</v>
      </c>
      <c r="Y71" s="7" t="s">
        <v>4931</v>
      </c>
      <c r="Z71" s="7" t="s">
        <v>5104</v>
      </c>
      <c r="AA71" s="68">
        <f t="shared" si="5"/>
        <v>45322</v>
      </c>
      <c r="AB71" s="68">
        <f t="shared" si="6"/>
        <v>45323</v>
      </c>
      <c r="AC71" s="68">
        <f t="shared" si="7"/>
        <v>45351</v>
      </c>
      <c r="AD71" s="68">
        <f t="shared" si="8"/>
        <v>45350</v>
      </c>
      <c r="AE71" s="68">
        <f t="shared" si="9"/>
        <v>45351</v>
      </c>
    </row>
    <row r="72" spans="1:31" ht="12.5">
      <c r="A72" s="125">
        <v>610423040013</v>
      </c>
      <c r="B72" s="64" t="s">
        <v>26</v>
      </c>
      <c r="D72" s="10">
        <f t="array" aca="1" ref="D72" ca="1">INDEX('Mitra per Bulan'!$M$2:$M800,MATCH(S72,'Mitra per Bulan'!$B$2:$B800,0))</f>
        <v>1</v>
      </c>
      <c r="E72" s="10" t="str">
        <f t="array" ref="E72">INDEX('Database Mitra'!$A$2:$A800,MATCH(A72,'Database Mitra'!$B$2:$B800,0))</f>
        <v>Lulu Gesti Gunawati</v>
      </c>
      <c r="F72" s="65" t="s">
        <v>25</v>
      </c>
      <c r="G72" s="5" t="str">
        <f t="array" ref="G72">INDEX('Database Mitra'!$G$2:$G800,MATCH(A72,'Database Mitra'!$B$2:$B800,0))</f>
        <v>3314066101000001</v>
      </c>
      <c r="H72" s="64" t="s">
        <v>89</v>
      </c>
      <c r="I72" s="65" t="str">
        <f t="shared" si="11"/>
        <v>SUSENAS24-LAPANGAN-SEMESTER1-PPL-UPDATING LISTING</v>
      </c>
      <c r="J72" s="10" t="str">
        <f t="array" ref="J72">INDEX(Honor!$H$2:$H800,MATCH($I72,Honor!$A$2:$A800,0))</f>
        <v>Blok Sensus</v>
      </c>
      <c r="K72" s="66">
        <f t="array" ref="K72">INDEX(Honor!$I$2:$I800,MATCH($I72,Honor!$A$2:$A800,0))</f>
        <v>168000</v>
      </c>
      <c r="L72" s="65">
        <v>1</v>
      </c>
      <c r="M72" s="10">
        <f t="shared" si="0"/>
        <v>168000</v>
      </c>
      <c r="N72" s="70">
        <v>162960</v>
      </c>
      <c r="O72" s="67">
        <f t="array" ref="O72">INDEX(Honor!$L$2:$L800,MATCH($I72,Honor!$A$2:$A800,0))</f>
        <v>45335</v>
      </c>
      <c r="P72" s="10">
        <f t="shared" si="1"/>
        <v>2024</v>
      </c>
      <c r="Q72" s="10">
        <f t="shared" si="2"/>
        <v>2</v>
      </c>
      <c r="R72" s="10" t="str">
        <f t="array" ref="R72">INDEX(Honor!$Q$2:$Q800,MATCH($I72,Honor!$A$2:$A800,0))</f>
        <v>SURVEI-PPL</v>
      </c>
      <c r="S72" s="10" t="str">
        <f t="shared" si="3"/>
        <v>610423040013-2024-2</v>
      </c>
      <c r="T72" s="10" t="str">
        <f t="shared" si="4"/>
        <v>610423040013-2024-2-SURVEI-PPL</v>
      </c>
      <c r="U72" s="64">
        <v>1</v>
      </c>
      <c r="V72" s="10" t="e">
        <f t="array" aca="1" ref="V72" ca="1">INDEX(Honor!$O$2:$O800,MATCH($I72,Honor!$A$2:$A800,0))</f>
        <v>#NAME?</v>
      </c>
      <c r="W72" s="68">
        <v>45351</v>
      </c>
      <c r="X72" s="7" t="str">
        <f t="array" ref="X72">INDEX('Input Kegiatan'!$B$2:$B800,MATCH(B72,'Input Kegiatan'!$A$2:$A800,0))</f>
        <v>Susenas Maret 2024</v>
      </c>
      <c r="Y72" s="7" t="s">
        <v>5250</v>
      </c>
      <c r="Z72" s="7" t="s">
        <v>5304</v>
      </c>
      <c r="AA72" s="68">
        <f t="shared" si="5"/>
        <v>45322</v>
      </c>
      <c r="AB72" s="68">
        <f t="shared" si="6"/>
        <v>45323</v>
      </c>
      <c r="AC72" s="68">
        <f t="shared" si="7"/>
        <v>45351</v>
      </c>
      <c r="AD72" s="68">
        <f t="shared" si="8"/>
        <v>45350</v>
      </c>
      <c r="AE72" s="68">
        <f t="shared" si="9"/>
        <v>45351</v>
      </c>
    </row>
    <row r="73" spans="1:31" ht="12.5">
      <c r="A73" s="125">
        <v>610423090019</v>
      </c>
      <c r="B73" s="64" t="s">
        <v>26</v>
      </c>
      <c r="D73" s="10">
        <f t="array" aca="1" ref="D73" ca="1">INDEX('Mitra per Bulan'!$M$2:$M800,MATCH(S73,'Mitra per Bulan'!$B$2:$B800,0))</f>
        <v>1</v>
      </c>
      <c r="E73" s="10" t="str">
        <f t="array" ref="E73">INDEX('Database Mitra'!$A$2:$A800,MATCH(A73,'Database Mitra'!$B$2:$B800,0))</f>
        <v>Nurul Huda</v>
      </c>
      <c r="F73" s="65" t="s">
        <v>25</v>
      </c>
      <c r="G73" s="5" t="str">
        <f t="array" ref="G73">INDEX('Database Mitra'!$G$2:$G800,MATCH(A73,'Database Mitra'!$B$2:$B800,0))</f>
        <v>6102014511840003</v>
      </c>
      <c r="H73" s="64" t="s">
        <v>89</v>
      </c>
      <c r="I73" s="65" t="str">
        <f t="shared" si="11"/>
        <v>SUSENAS24-LAPANGAN-SEMESTER1-PPL-UPDATING LISTING</v>
      </c>
      <c r="J73" s="10" t="str">
        <f t="array" ref="J73">INDEX(Honor!$H$2:$H800,MATCH($I73,Honor!$A$2:$A800,0))</f>
        <v>Blok Sensus</v>
      </c>
      <c r="K73" s="66">
        <f t="array" ref="K73">INDEX(Honor!$I$2:$I800,MATCH($I73,Honor!$A$2:$A800,0))</f>
        <v>168000</v>
      </c>
      <c r="L73" s="65">
        <v>2</v>
      </c>
      <c r="M73" s="10">
        <f t="shared" si="0"/>
        <v>336000</v>
      </c>
      <c r="N73" s="70">
        <v>325920</v>
      </c>
      <c r="O73" s="67">
        <f t="array" ref="O73">INDEX(Honor!$L$2:$L800,MATCH($I73,Honor!$A$2:$A800,0))</f>
        <v>45335</v>
      </c>
      <c r="P73" s="10">
        <f t="shared" si="1"/>
        <v>2024</v>
      </c>
      <c r="Q73" s="10">
        <f t="shared" si="2"/>
        <v>2</v>
      </c>
      <c r="R73" s="10" t="str">
        <f t="array" ref="R73">INDEX(Honor!$Q$2:$Q800,MATCH($I73,Honor!$A$2:$A800,0))</f>
        <v>SURVEI-PPL</v>
      </c>
      <c r="S73" s="10" t="str">
        <f t="shared" si="3"/>
        <v>610423090019-2024-2</v>
      </c>
      <c r="T73" s="10" t="str">
        <f t="shared" si="4"/>
        <v>610423090019-2024-2-SURVEI-PPL</v>
      </c>
      <c r="U73" s="64">
        <v>1</v>
      </c>
      <c r="V73" s="10" t="e">
        <f t="array" aca="1" ref="V73" ca="1">INDEX(Honor!$O$2:$O800,MATCH($I73,Honor!$A$2:$A800,0))</f>
        <v>#NAME?</v>
      </c>
      <c r="W73" s="68">
        <v>45351</v>
      </c>
      <c r="X73" s="7" t="str">
        <f t="array" ref="X73">INDEX('Input Kegiatan'!$B$2:$B800,MATCH(B73,'Input Kegiatan'!$A$2:$A800,0))</f>
        <v>Susenas Maret 2024</v>
      </c>
      <c r="Y73" s="7" t="s">
        <v>4572</v>
      </c>
      <c r="Z73" s="7" t="s">
        <v>4586</v>
      </c>
      <c r="AA73" s="68">
        <f t="shared" si="5"/>
        <v>45322</v>
      </c>
      <c r="AB73" s="68">
        <f t="shared" si="6"/>
        <v>45323</v>
      </c>
      <c r="AC73" s="68">
        <f t="shared" si="7"/>
        <v>45351</v>
      </c>
      <c r="AD73" s="68">
        <f t="shared" si="8"/>
        <v>45350</v>
      </c>
      <c r="AE73" s="68">
        <f t="shared" si="9"/>
        <v>45351</v>
      </c>
    </row>
    <row r="74" spans="1:31" ht="12.5">
      <c r="A74" s="125">
        <v>610422100165</v>
      </c>
      <c r="B74" s="64" t="s">
        <v>26</v>
      </c>
      <c r="D74" s="10">
        <f t="array" aca="1" ref="D74" ca="1">INDEX('Mitra per Bulan'!$M$2:$M800,MATCH(S74,'Mitra per Bulan'!$B$2:$B800,0))</f>
        <v>1</v>
      </c>
      <c r="E74" s="10" t="str">
        <f t="array" ref="E74">INDEX('Database Mitra'!$A$2:$A800,MATCH(A74,'Database Mitra'!$B$2:$B800,0))</f>
        <v>Yanti</v>
      </c>
      <c r="F74" s="65" t="s">
        <v>25</v>
      </c>
      <c r="G74" s="5" t="str">
        <f t="array" ref="G74">INDEX('Database Mitra'!$G$2:$G800,MATCH(A74,'Database Mitra'!$B$2:$B800,0))</f>
        <v>6102074803980002</v>
      </c>
      <c r="H74" s="64" t="s">
        <v>89</v>
      </c>
      <c r="I74" s="65" t="str">
        <f t="shared" si="11"/>
        <v>SUSENAS24-LAPANGAN-SEMESTER1-PPL-UPDATING LISTING</v>
      </c>
      <c r="J74" s="10" t="str">
        <f t="array" ref="J74">INDEX(Honor!$H$2:$H800,MATCH($I74,Honor!$A$2:$A800,0))</f>
        <v>Blok Sensus</v>
      </c>
      <c r="K74" s="66">
        <f t="array" ref="K74">INDEX(Honor!$I$2:$I800,MATCH($I74,Honor!$A$2:$A800,0))</f>
        <v>168000</v>
      </c>
      <c r="L74" s="65">
        <v>2</v>
      </c>
      <c r="M74" s="10">
        <f t="shared" si="0"/>
        <v>336000</v>
      </c>
      <c r="N74" s="70">
        <v>325920</v>
      </c>
      <c r="O74" s="67">
        <f t="array" ref="O74">INDEX(Honor!$L$2:$L800,MATCH($I74,Honor!$A$2:$A800,0))</f>
        <v>45335</v>
      </c>
      <c r="P74" s="10">
        <f t="shared" si="1"/>
        <v>2024</v>
      </c>
      <c r="Q74" s="10">
        <f t="shared" si="2"/>
        <v>2</v>
      </c>
      <c r="R74" s="10" t="str">
        <f t="array" ref="R74">INDEX(Honor!$Q$2:$Q800,MATCH($I74,Honor!$A$2:$A800,0))</f>
        <v>SURVEI-PPL</v>
      </c>
      <c r="S74" s="10" t="str">
        <f t="shared" si="3"/>
        <v>610422100165-2024-2</v>
      </c>
      <c r="T74" s="10" t="str">
        <f t="shared" si="4"/>
        <v>610422100165-2024-2-SURVEI-PPL</v>
      </c>
      <c r="U74" s="64">
        <v>1</v>
      </c>
      <c r="V74" s="10" t="e">
        <f t="array" aca="1" ref="V74" ca="1">INDEX(Honor!$O$2:$O800,MATCH($I74,Honor!$A$2:$A800,0))</f>
        <v>#NAME?</v>
      </c>
      <c r="W74" s="68">
        <v>45351</v>
      </c>
      <c r="X74" s="7" t="str">
        <f t="array" ref="X74">INDEX('Input Kegiatan'!$B$2:$B800,MATCH(B74,'Input Kegiatan'!$A$2:$A800,0))</f>
        <v>Susenas Maret 2024</v>
      </c>
      <c r="Y74" s="7" t="s">
        <v>3990</v>
      </c>
      <c r="Z74" s="7" t="s">
        <v>4332</v>
      </c>
      <c r="AA74" s="68">
        <f t="shared" si="5"/>
        <v>45322</v>
      </c>
      <c r="AB74" s="68">
        <f t="shared" si="6"/>
        <v>45323</v>
      </c>
      <c r="AC74" s="68">
        <f t="shared" si="7"/>
        <v>45351</v>
      </c>
      <c r="AD74" s="68">
        <f t="shared" si="8"/>
        <v>45350</v>
      </c>
      <c r="AE74" s="68">
        <f t="shared" si="9"/>
        <v>45351</v>
      </c>
    </row>
    <row r="75" spans="1:31" ht="12.5">
      <c r="A75" s="125">
        <v>610422100139</v>
      </c>
      <c r="B75" s="64" t="s">
        <v>26</v>
      </c>
      <c r="D75" s="10">
        <f t="array" aca="1" ref="D75" ca="1">INDEX('Mitra per Bulan'!$M$2:$M800,MATCH(S75,'Mitra per Bulan'!$B$2:$B800,0))</f>
        <v>1</v>
      </c>
      <c r="E75" s="10" t="str">
        <f t="array" ref="E75">INDEX('Database Mitra'!$A$2:$A800,MATCH(A75,'Database Mitra'!$B$2:$B800,0))</f>
        <v>Winda Dwi Ananda</v>
      </c>
      <c r="F75" s="65" t="s">
        <v>25</v>
      </c>
      <c r="G75" s="5" t="str">
        <f t="array" ref="G75">INDEX('Database Mitra'!$G$2:$G800,MATCH(A75,'Database Mitra'!$B$2:$B800,0))</f>
        <v>6102016812990001</v>
      </c>
      <c r="H75" s="64" t="s">
        <v>89</v>
      </c>
      <c r="I75" s="65" t="str">
        <f t="shared" si="11"/>
        <v>SUSENAS24-LAPANGAN-SEMESTER1-PPL-UPDATING LISTING</v>
      </c>
      <c r="J75" s="10" t="str">
        <f t="array" ref="J75">INDEX(Honor!$H$2:$H800,MATCH($I75,Honor!$A$2:$A800,0))</f>
        <v>Blok Sensus</v>
      </c>
      <c r="K75" s="66">
        <f t="array" ref="K75">INDEX(Honor!$I$2:$I800,MATCH($I75,Honor!$A$2:$A800,0))</f>
        <v>168000</v>
      </c>
      <c r="L75" s="65">
        <v>1</v>
      </c>
      <c r="M75" s="10">
        <f t="shared" si="0"/>
        <v>168000</v>
      </c>
      <c r="N75" s="70">
        <v>162960</v>
      </c>
      <c r="O75" s="67">
        <f t="array" ref="O75">INDEX(Honor!$L$2:$L800,MATCH($I75,Honor!$A$2:$A800,0))</f>
        <v>45335</v>
      </c>
      <c r="P75" s="10">
        <f t="shared" si="1"/>
        <v>2024</v>
      </c>
      <c r="Q75" s="10">
        <f t="shared" si="2"/>
        <v>2</v>
      </c>
      <c r="R75" s="10" t="str">
        <f t="array" ref="R75">INDEX(Honor!$Q$2:$Q800,MATCH($I75,Honor!$A$2:$A800,0))</f>
        <v>SURVEI-PPL</v>
      </c>
      <c r="S75" s="10" t="str">
        <f t="shared" si="3"/>
        <v>610422100139-2024-2</v>
      </c>
      <c r="T75" s="10" t="str">
        <f t="shared" si="4"/>
        <v>610422100139-2024-2-SURVEI-PPL</v>
      </c>
      <c r="U75" s="64">
        <v>1</v>
      </c>
      <c r="V75" s="10" t="e">
        <f t="array" aca="1" ref="V75" ca="1">INDEX(Honor!$O$2:$O800,MATCH($I75,Honor!$A$2:$A800,0))</f>
        <v>#NAME?</v>
      </c>
      <c r="W75" s="68">
        <v>45351</v>
      </c>
      <c r="X75" s="7" t="str">
        <f t="array" ref="X75">INDEX('Input Kegiatan'!$B$2:$B800,MATCH(B75,'Input Kegiatan'!$A$2:$A800,0))</f>
        <v>Susenas Maret 2024</v>
      </c>
      <c r="Y75" s="7" t="s">
        <v>4572</v>
      </c>
      <c r="Z75" s="7" t="s">
        <v>4814</v>
      </c>
      <c r="AA75" s="68">
        <f t="shared" si="5"/>
        <v>45322</v>
      </c>
      <c r="AB75" s="68">
        <f t="shared" si="6"/>
        <v>45323</v>
      </c>
      <c r="AC75" s="68">
        <f t="shared" si="7"/>
        <v>45351</v>
      </c>
      <c r="AD75" s="68">
        <f t="shared" si="8"/>
        <v>45350</v>
      </c>
      <c r="AE75" s="68">
        <f t="shared" si="9"/>
        <v>45351</v>
      </c>
    </row>
    <row r="76" spans="1:31" ht="12.5">
      <c r="A76" s="125">
        <v>610422100137</v>
      </c>
      <c r="B76" s="64" t="s">
        <v>26</v>
      </c>
      <c r="D76" s="10">
        <f t="array" aca="1" ref="D76" ca="1">INDEX('Mitra per Bulan'!$M$2:$M800,MATCH(S76,'Mitra per Bulan'!$B$2:$B800,0))</f>
        <v>1</v>
      </c>
      <c r="E76" s="10" t="str">
        <f t="array" ref="E76">INDEX('Database Mitra'!$A$2:$A800,MATCH(A76,'Database Mitra'!$B$2:$B800,0))</f>
        <v>Masturi</v>
      </c>
      <c r="F76" s="65" t="s">
        <v>25</v>
      </c>
      <c r="G76" s="5" t="str">
        <f t="array" ref="G76">INDEX('Database Mitra'!$G$2:$G800,MATCH(A76,'Database Mitra'!$B$2:$B800,0))</f>
        <v>6102060709870002</v>
      </c>
      <c r="H76" s="64" t="s">
        <v>89</v>
      </c>
      <c r="I76" s="65" t="str">
        <f t="shared" si="11"/>
        <v>SUSENAS24-LAPANGAN-SEMESTER1-PPL-UPDATING LISTING</v>
      </c>
      <c r="J76" s="10" t="str">
        <f t="array" ref="J76">INDEX(Honor!$H$2:$H800,MATCH($I76,Honor!$A$2:$A800,0))</f>
        <v>Blok Sensus</v>
      </c>
      <c r="K76" s="66">
        <f t="array" ref="K76">INDEX(Honor!$I$2:$I800,MATCH($I76,Honor!$A$2:$A800,0))</f>
        <v>168000</v>
      </c>
      <c r="L76" s="65">
        <v>1</v>
      </c>
      <c r="M76" s="10">
        <f t="shared" si="0"/>
        <v>168000</v>
      </c>
      <c r="N76" s="70">
        <v>162960</v>
      </c>
      <c r="O76" s="67">
        <f t="array" ref="O76">INDEX(Honor!$L$2:$L800,MATCH($I76,Honor!$A$2:$A800,0))</f>
        <v>45335</v>
      </c>
      <c r="P76" s="10">
        <f t="shared" si="1"/>
        <v>2024</v>
      </c>
      <c r="Q76" s="10">
        <f t="shared" si="2"/>
        <v>2</v>
      </c>
      <c r="R76" s="10" t="str">
        <f t="array" ref="R76">INDEX(Honor!$Q$2:$Q800,MATCH($I76,Honor!$A$2:$A800,0))</f>
        <v>SURVEI-PPL</v>
      </c>
      <c r="S76" s="10" t="str">
        <f t="shared" si="3"/>
        <v>610422100137-2024-2</v>
      </c>
      <c r="T76" s="10" t="str">
        <f t="shared" si="4"/>
        <v>610422100137-2024-2-SURVEI-PPL</v>
      </c>
      <c r="U76" s="64">
        <v>1</v>
      </c>
      <c r="V76" s="10" t="e">
        <f t="array" aca="1" ref="V76" ca="1">INDEX(Honor!$O$2:$O800,MATCH($I76,Honor!$A$2:$A800,0))</f>
        <v>#NAME?</v>
      </c>
      <c r="W76" s="68">
        <v>45351</v>
      </c>
      <c r="X76" s="7" t="str">
        <f t="array" ref="X76">INDEX('Input Kegiatan'!$B$2:$B800,MATCH(B76,'Input Kegiatan'!$A$2:$A800,0))</f>
        <v>Susenas Maret 2024</v>
      </c>
      <c r="Y76" s="7" t="s">
        <v>5534</v>
      </c>
      <c r="Z76" s="7" t="s">
        <v>5535</v>
      </c>
      <c r="AA76" s="68">
        <f t="shared" si="5"/>
        <v>45322</v>
      </c>
      <c r="AB76" s="68">
        <f t="shared" si="6"/>
        <v>45323</v>
      </c>
      <c r="AC76" s="68">
        <f t="shared" si="7"/>
        <v>45351</v>
      </c>
      <c r="AD76" s="68">
        <f t="shared" si="8"/>
        <v>45350</v>
      </c>
      <c r="AE76" s="68">
        <f t="shared" si="9"/>
        <v>45351</v>
      </c>
    </row>
    <row r="77" spans="1:31" ht="12.5">
      <c r="A77" s="125">
        <v>610422100144</v>
      </c>
      <c r="B77" s="64" t="s">
        <v>26</v>
      </c>
      <c r="D77" s="10">
        <f t="array" aca="1" ref="D77" ca="1">INDEX('Mitra per Bulan'!$M$2:$M800,MATCH(S77,'Mitra per Bulan'!$B$2:$B800,0))</f>
        <v>1</v>
      </c>
      <c r="E77" s="10" t="str">
        <f t="array" ref="E77">INDEX('Database Mitra'!$A$2:$A800,MATCH(A77,'Database Mitra'!$B$2:$B800,0))</f>
        <v>Irfan Faozi Sunaryo</v>
      </c>
      <c r="F77" s="65" t="s">
        <v>25</v>
      </c>
      <c r="G77" s="5" t="str">
        <f t="array" ref="G77">INDEX('Database Mitra'!$G$2:$G800,MATCH(A77,'Database Mitra'!$B$2:$B800,0))</f>
        <v>6102122710990001</v>
      </c>
      <c r="H77" s="64" t="s">
        <v>89</v>
      </c>
      <c r="I77" s="65" t="str">
        <f t="shared" si="11"/>
        <v>SUSENAS24-LAPANGAN-SEMESTER1-PPL-UPDATING LISTING</v>
      </c>
      <c r="J77" s="10" t="str">
        <f t="array" ref="J77">INDEX(Honor!$H$2:$H800,MATCH($I77,Honor!$A$2:$A800,0))</f>
        <v>Blok Sensus</v>
      </c>
      <c r="K77" s="66">
        <f t="array" ref="K77">INDEX(Honor!$I$2:$I800,MATCH($I77,Honor!$A$2:$A800,0))</f>
        <v>168000</v>
      </c>
      <c r="L77" s="65">
        <v>1</v>
      </c>
      <c r="M77" s="10">
        <f t="shared" si="0"/>
        <v>168000</v>
      </c>
      <c r="N77" s="70">
        <v>162960</v>
      </c>
      <c r="O77" s="67">
        <f t="array" ref="O77">INDEX(Honor!$L$2:$L800,MATCH($I77,Honor!$A$2:$A800,0))</f>
        <v>45335</v>
      </c>
      <c r="P77" s="10">
        <f t="shared" si="1"/>
        <v>2024</v>
      </c>
      <c r="Q77" s="10">
        <f t="shared" si="2"/>
        <v>2</v>
      </c>
      <c r="R77" s="10" t="str">
        <f t="array" ref="R77">INDEX(Honor!$Q$2:$Q800,MATCH($I77,Honor!$A$2:$A800,0))</f>
        <v>SURVEI-PPL</v>
      </c>
      <c r="S77" s="10" t="str">
        <f t="shared" si="3"/>
        <v>610422100144-2024-2</v>
      </c>
      <c r="T77" s="10" t="str">
        <f t="shared" si="4"/>
        <v>610422100144-2024-2-SURVEI-PPL</v>
      </c>
      <c r="U77" s="64">
        <v>1</v>
      </c>
      <c r="V77" s="10" t="e">
        <f t="array" aca="1" ref="V77" ca="1">INDEX(Honor!$O$2:$O800,MATCH($I77,Honor!$A$2:$A800,0))</f>
        <v>#NAME?</v>
      </c>
      <c r="W77" s="68">
        <v>45351</v>
      </c>
      <c r="X77" s="7" t="str">
        <f t="array" ref="X77">INDEX('Input Kegiatan'!$B$2:$B800,MATCH(B77,'Input Kegiatan'!$A$2:$A800,0))</f>
        <v>Susenas Maret 2024</v>
      </c>
      <c r="Y77" s="7" t="s">
        <v>5250</v>
      </c>
      <c r="Z77" s="7" t="s">
        <v>5488</v>
      </c>
      <c r="AA77" s="68">
        <f t="shared" si="5"/>
        <v>45322</v>
      </c>
      <c r="AB77" s="68">
        <f t="shared" si="6"/>
        <v>45323</v>
      </c>
      <c r="AC77" s="68">
        <f t="shared" si="7"/>
        <v>45351</v>
      </c>
      <c r="AD77" s="68">
        <f t="shared" si="8"/>
        <v>45350</v>
      </c>
      <c r="AE77" s="68">
        <f t="shared" si="9"/>
        <v>45351</v>
      </c>
    </row>
    <row r="78" spans="1:31" ht="12.5">
      <c r="A78" s="125">
        <v>610422100236</v>
      </c>
      <c r="B78" s="64" t="s">
        <v>26</v>
      </c>
      <c r="D78" s="10">
        <f t="array" aca="1" ref="D78" ca="1">INDEX('Mitra per Bulan'!$M$2:$M800,MATCH(S78,'Mitra per Bulan'!$B$2:$B800,0))</f>
        <v>1</v>
      </c>
      <c r="E78" s="10" t="str">
        <f t="array" ref="E78">INDEX('Database Mitra'!$A$2:$A800,MATCH(A78,'Database Mitra'!$B$2:$B800,0))</f>
        <v>Tesa</v>
      </c>
      <c r="F78" s="65" t="s">
        <v>25</v>
      </c>
      <c r="G78" s="5" t="str">
        <f t="array" ref="G78">INDEX('Database Mitra'!$G$2:$G800,MATCH(A78,'Database Mitra'!$B$2:$B800,0))</f>
        <v>6102174604010003</v>
      </c>
      <c r="H78" s="64" t="s">
        <v>89</v>
      </c>
      <c r="I78" s="65" t="str">
        <f t="shared" si="11"/>
        <v>SUSENAS24-LAPANGAN-SEMESTER1-PPL-UPDATING LISTING</v>
      </c>
      <c r="J78" s="10" t="str">
        <f t="array" ref="J78">INDEX(Honor!$H$2:$H800,MATCH($I78,Honor!$A$2:$A800,0))</f>
        <v>Blok Sensus</v>
      </c>
      <c r="K78" s="66">
        <f t="array" ref="K78">INDEX(Honor!$I$2:$I800,MATCH($I78,Honor!$A$2:$A800,0))</f>
        <v>168000</v>
      </c>
      <c r="L78" s="65">
        <v>2</v>
      </c>
      <c r="M78" s="10">
        <f t="shared" si="0"/>
        <v>336000</v>
      </c>
      <c r="N78" s="70">
        <v>325920</v>
      </c>
      <c r="O78" s="67">
        <f t="array" ref="O78">INDEX(Honor!$L$2:$L800,MATCH($I78,Honor!$A$2:$A800,0))</f>
        <v>45335</v>
      </c>
      <c r="P78" s="10">
        <f t="shared" si="1"/>
        <v>2024</v>
      </c>
      <c r="Q78" s="10">
        <f t="shared" si="2"/>
        <v>2</v>
      </c>
      <c r="R78" s="10" t="str">
        <f t="array" ref="R78">INDEX(Honor!$Q$2:$Q800,MATCH($I78,Honor!$A$2:$A800,0))</f>
        <v>SURVEI-PPL</v>
      </c>
      <c r="S78" s="10" t="str">
        <f t="shared" si="3"/>
        <v>610422100236-2024-2</v>
      </c>
      <c r="T78" s="10" t="str">
        <f t="shared" si="4"/>
        <v>610422100236-2024-2-SURVEI-PPL</v>
      </c>
      <c r="U78" s="64">
        <v>1</v>
      </c>
      <c r="V78" s="10" t="e">
        <f t="array" aca="1" ref="V78" ca="1">INDEX(Honor!$O$2:$O800,MATCH($I78,Honor!$A$2:$A800,0))</f>
        <v>#NAME?</v>
      </c>
      <c r="W78" s="68">
        <v>45351</v>
      </c>
      <c r="X78" s="7" t="str">
        <f t="array" ref="X78">INDEX('Input Kegiatan'!$B$2:$B800,MATCH(B78,'Input Kegiatan'!$A$2:$A800,0))</f>
        <v>Susenas Maret 2024</v>
      </c>
      <c r="Y78" s="7" t="s">
        <v>5741</v>
      </c>
      <c r="Z78" s="7" t="s">
        <v>5742</v>
      </c>
      <c r="AA78" s="68">
        <f t="shared" si="5"/>
        <v>45322</v>
      </c>
      <c r="AB78" s="68">
        <f t="shared" si="6"/>
        <v>45323</v>
      </c>
      <c r="AC78" s="68">
        <f t="shared" si="7"/>
        <v>45351</v>
      </c>
      <c r="AD78" s="68">
        <f t="shared" si="8"/>
        <v>45350</v>
      </c>
      <c r="AE78" s="68">
        <f t="shared" si="9"/>
        <v>45351</v>
      </c>
    </row>
    <row r="79" spans="1:31" ht="12.5">
      <c r="A79" s="125">
        <v>610422100016</v>
      </c>
      <c r="B79" s="64" t="s">
        <v>26</v>
      </c>
      <c r="D79" s="10">
        <f t="array" aca="1" ref="D79" ca="1">INDEX('Mitra per Bulan'!$M$2:$M800,MATCH(S79,'Mitra per Bulan'!$B$2:$B800,0))</f>
        <v>1</v>
      </c>
      <c r="E79" s="10" t="str">
        <f t="array" ref="E79">INDEX('Database Mitra'!$A$2:$A800,MATCH(A79,'Database Mitra'!$B$2:$B800,0))</f>
        <v>Amalia Faisya</v>
      </c>
      <c r="F79" s="65" t="s">
        <v>25</v>
      </c>
      <c r="G79" s="5" t="str">
        <f t="array" ref="G79">INDEX('Database Mitra'!$G$2:$G800,MATCH(A79,'Database Mitra'!$B$2:$B800,0))</f>
        <v>6102124210010005</v>
      </c>
      <c r="H79" s="64" t="s">
        <v>89</v>
      </c>
      <c r="I79" s="65" t="str">
        <f t="shared" si="11"/>
        <v>SUSENAS24-LAPANGAN-SEMESTER1-PPL-UPDATING LISTING</v>
      </c>
      <c r="J79" s="10" t="str">
        <f t="array" ref="J79">INDEX(Honor!$H$2:$H800,MATCH($I79,Honor!$A$2:$A800,0))</f>
        <v>Blok Sensus</v>
      </c>
      <c r="K79" s="66">
        <f t="array" ref="K79">INDEX(Honor!$I$2:$I800,MATCH($I79,Honor!$A$2:$A800,0))</f>
        <v>168000</v>
      </c>
      <c r="L79" s="65">
        <v>2</v>
      </c>
      <c r="M79" s="10">
        <f t="shared" si="0"/>
        <v>336000</v>
      </c>
      <c r="N79" s="70">
        <v>325920</v>
      </c>
      <c r="O79" s="67">
        <f t="array" ref="O79">INDEX(Honor!$L$2:$L800,MATCH($I79,Honor!$A$2:$A800,0))</f>
        <v>45335</v>
      </c>
      <c r="P79" s="10">
        <f t="shared" si="1"/>
        <v>2024</v>
      </c>
      <c r="Q79" s="10">
        <f t="shared" si="2"/>
        <v>2</v>
      </c>
      <c r="R79" s="10" t="str">
        <f t="array" ref="R79">INDEX(Honor!$Q$2:$Q800,MATCH($I79,Honor!$A$2:$A800,0))</f>
        <v>SURVEI-PPL</v>
      </c>
      <c r="S79" s="10" t="str">
        <f t="shared" si="3"/>
        <v>610422100016-2024-2</v>
      </c>
      <c r="T79" s="10" t="str">
        <f t="shared" si="4"/>
        <v>610422100016-2024-2-SURVEI-PPL</v>
      </c>
      <c r="U79" s="64">
        <v>1</v>
      </c>
      <c r="V79" s="10" t="e">
        <f t="array" aca="1" ref="V79" ca="1">INDEX(Honor!$O$2:$O800,MATCH($I79,Honor!$A$2:$A800,0))</f>
        <v>#NAME?</v>
      </c>
      <c r="W79" s="68">
        <v>45351</v>
      </c>
      <c r="X79" s="7" t="str">
        <f t="array" ref="X79">INDEX('Input Kegiatan'!$B$2:$B800,MATCH(B79,'Input Kegiatan'!$A$2:$A800,0))</f>
        <v>Susenas Maret 2024</v>
      </c>
      <c r="Y79" s="7" t="s">
        <v>5250</v>
      </c>
      <c r="Z79" s="7" t="s">
        <v>5365</v>
      </c>
      <c r="AA79" s="68">
        <f t="shared" si="5"/>
        <v>45322</v>
      </c>
      <c r="AB79" s="68">
        <f t="shared" si="6"/>
        <v>45323</v>
      </c>
      <c r="AC79" s="68">
        <f t="shared" si="7"/>
        <v>45351</v>
      </c>
      <c r="AD79" s="68">
        <f t="shared" si="8"/>
        <v>45350</v>
      </c>
      <c r="AE79" s="68">
        <f t="shared" si="9"/>
        <v>45351</v>
      </c>
    </row>
    <row r="80" spans="1:31" ht="12.5">
      <c r="A80" s="125">
        <v>610422100101</v>
      </c>
      <c r="B80" s="64" t="s">
        <v>26</v>
      </c>
      <c r="D80" s="10">
        <f t="array" aca="1" ref="D80" ca="1">INDEX('Mitra per Bulan'!$M$2:$M800,MATCH(S80,'Mitra per Bulan'!$B$2:$B800,0))</f>
        <v>1</v>
      </c>
      <c r="E80" s="10" t="str">
        <f t="array" ref="E80">INDEX('Database Mitra'!$A$2:$A800,MATCH(A80,'Database Mitra'!$B$2:$B800,0))</f>
        <v>Sukmawati,S.Si</v>
      </c>
      <c r="F80" s="65" t="s">
        <v>25</v>
      </c>
      <c r="G80" s="5" t="str">
        <f t="array" ref="G80">INDEX('Database Mitra'!$G$2:$G800,MATCH(A80,'Database Mitra'!$B$2:$B800,0))</f>
        <v>3402135601880001</v>
      </c>
      <c r="H80" s="64" t="s">
        <v>89</v>
      </c>
      <c r="I80" s="65" t="str">
        <f t="shared" si="11"/>
        <v>SUSENAS24-LAPANGAN-SEMESTER1-PPL-UPDATING LISTING</v>
      </c>
      <c r="J80" s="10" t="str">
        <f t="array" ref="J80">INDEX(Honor!$H$2:$H800,MATCH($I80,Honor!$A$2:$A800,0))</f>
        <v>Blok Sensus</v>
      </c>
      <c r="K80" s="66">
        <f t="array" ref="K80">INDEX(Honor!$I$2:$I800,MATCH($I80,Honor!$A$2:$A800,0))</f>
        <v>168000</v>
      </c>
      <c r="L80" s="65">
        <v>2</v>
      </c>
      <c r="M80" s="10">
        <f t="shared" si="0"/>
        <v>336000</v>
      </c>
      <c r="N80" s="70">
        <v>325920</v>
      </c>
      <c r="O80" s="67">
        <f t="array" ref="O80">INDEX(Honor!$L$2:$L800,MATCH($I80,Honor!$A$2:$A800,0))</f>
        <v>45335</v>
      </c>
      <c r="P80" s="10">
        <f t="shared" si="1"/>
        <v>2024</v>
      </c>
      <c r="Q80" s="10">
        <f t="shared" si="2"/>
        <v>2</v>
      </c>
      <c r="R80" s="10" t="str">
        <f t="array" ref="R80">INDEX(Honor!$Q$2:$Q800,MATCH($I80,Honor!$A$2:$A800,0))</f>
        <v>SURVEI-PPL</v>
      </c>
      <c r="S80" s="10" t="str">
        <f t="shared" si="3"/>
        <v>610422100101-2024-2</v>
      </c>
      <c r="T80" s="10" t="str">
        <f t="shared" si="4"/>
        <v>610422100101-2024-2-SURVEI-PPL</v>
      </c>
      <c r="U80" s="64">
        <v>1</v>
      </c>
      <c r="V80" s="10" t="e">
        <f t="array" aca="1" ref="V80" ca="1">INDEX(Honor!$O$2:$O800,MATCH($I80,Honor!$A$2:$A800,0))</f>
        <v>#NAME?</v>
      </c>
      <c r="W80" s="68">
        <v>45351</v>
      </c>
      <c r="X80" s="7" t="str">
        <f t="array" ref="X80">INDEX('Input Kegiatan'!$B$2:$B800,MATCH(B80,'Input Kegiatan'!$A$2:$A800,0))</f>
        <v>Susenas Maret 2024</v>
      </c>
      <c r="Y80" s="7" t="s">
        <v>4408</v>
      </c>
      <c r="Z80" s="7" t="s">
        <v>4409</v>
      </c>
      <c r="AA80" s="68">
        <f t="shared" si="5"/>
        <v>45322</v>
      </c>
      <c r="AB80" s="68">
        <f t="shared" si="6"/>
        <v>45323</v>
      </c>
      <c r="AC80" s="68">
        <f t="shared" si="7"/>
        <v>45351</v>
      </c>
      <c r="AD80" s="68">
        <f t="shared" si="8"/>
        <v>45350</v>
      </c>
      <c r="AE80" s="68">
        <f t="shared" si="9"/>
        <v>45351</v>
      </c>
    </row>
    <row r="81" spans="1:31" ht="12.5">
      <c r="A81" s="125">
        <v>610422100147</v>
      </c>
      <c r="B81" s="64" t="s">
        <v>26</v>
      </c>
      <c r="D81" s="10">
        <f t="array" aca="1" ref="D81" ca="1">INDEX('Mitra per Bulan'!$M$2:$M800,MATCH(S81,'Mitra per Bulan'!$B$2:$B800,0))</f>
        <v>1</v>
      </c>
      <c r="E81" s="10" t="str">
        <f t="array" ref="E81">INDEX('Database Mitra'!$A$2:$A800,MATCH(A81,'Database Mitra'!$B$2:$B800,0))</f>
        <v>Bella</v>
      </c>
      <c r="F81" s="65" t="s">
        <v>25</v>
      </c>
      <c r="G81" s="5" t="str">
        <f t="array" ref="G81">INDEX('Database Mitra'!$G$2:$G800,MATCH(A81,'Database Mitra'!$B$2:$B800,0))</f>
        <v>6102067009940001</v>
      </c>
      <c r="H81" s="64" t="s">
        <v>89</v>
      </c>
      <c r="I81" s="65" t="str">
        <f t="shared" si="11"/>
        <v>SUSENAS24-LAPANGAN-SEMESTER1-PPL-UPDATING LISTING</v>
      </c>
      <c r="J81" s="10" t="str">
        <f t="array" ref="J81">INDEX(Honor!$H$2:$H800,MATCH($I81,Honor!$A$2:$A800,0))</f>
        <v>Blok Sensus</v>
      </c>
      <c r="K81" s="66">
        <f t="array" ref="K81">INDEX(Honor!$I$2:$I800,MATCH($I81,Honor!$A$2:$A800,0))</f>
        <v>168000</v>
      </c>
      <c r="L81" s="65">
        <v>2</v>
      </c>
      <c r="M81" s="10">
        <f t="shared" si="0"/>
        <v>336000</v>
      </c>
      <c r="N81" s="70">
        <v>325920</v>
      </c>
      <c r="O81" s="67">
        <f t="array" ref="O81">INDEX(Honor!$L$2:$L800,MATCH($I81,Honor!$A$2:$A800,0))</f>
        <v>45335</v>
      </c>
      <c r="P81" s="10">
        <f t="shared" si="1"/>
        <v>2024</v>
      </c>
      <c r="Q81" s="10">
        <f t="shared" si="2"/>
        <v>2</v>
      </c>
      <c r="R81" s="10" t="str">
        <f t="array" ref="R81">INDEX(Honor!$Q$2:$Q800,MATCH($I81,Honor!$A$2:$A800,0))</f>
        <v>SURVEI-PPL</v>
      </c>
      <c r="S81" s="10" t="str">
        <f t="shared" si="3"/>
        <v>610422100147-2024-2</v>
      </c>
      <c r="T81" s="10" t="str">
        <f t="shared" si="4"/>
        <v>610422100147-2024-2-SURVEI-PPL</v>
      </c>
      <c r="U81" s="64">
        <v>1</v>
      </c>
      <c r="V81" s="10" t="e">
        <f t="array" aca="1" ref="V81" ca="1">INDEX(Honor!$O$2:$O800,MATCH($I81,Honor!$A$2:$A800,0))</f>
        <v>#NAME?</v>
      </c>
      <c r="W81" s="68">
        <v>45351</v>
      </c>
      <c r="X81" s="7" t="str">
        <f t="array" ref="X81">INDEX('Input Kegiatan'!$B$2:$B800,MATCH(B81,'Input Kegiatan'!$A$2:$A800,0))</f>
        <v>Susenas Maret 2024</v>
      </c>
      <c r="Y81" s="7" t="s">
        <v>5534</v>
      </c>
      <c r="Z81" s="7" t="s">
        <v>5714</v>
      </c>
      <c r="AA81" s="68">
        <f t="shared" si="5"/>
        <v>45322</v>
      </c>
      <c r="AB81" s="68">
        <f t="shared" si="6"/>
        <v>45323</v>
      </c>
      <c r="AC81" s="68">
        <f t="shared" si="7"/>
        <v>45351</v>
      </c>
      <c r="AD81" s="68">
        <f t="shared" si="8"/>
        <v>45350</v>
      </c>
      <c r="AE81" s="68">
        <f t="shared" si="9"/>
        <v>45351</v>
      </c>
    </row>
    <row r="82" spans="1:31" ht="12.5">
      <c r="A82" s="125">
        <v>610422050008</v>
      </c>
      <c r="B82" s="64" t="s">
        <v>26</v>
      </c>
      <c r="D82" s="10">
        <f t="array" aca="1" ref="D82" ca="1">INDEX('Mitra per Bulan'!$M$2:$M800,MATCH(S82,'Mitra per Bulan'!$B$2:$B800,0))</f>
        <v>1</v>
      </c>
      <c r="E82" s="10" t="str">
        <f t="array" ref="E82">INDEX('Database Mitra'!$A$2:$A800,MATCH(A82,'Database Mitra'!$B$2:$B800,0))</f>
        <v>Desi Natalia</v>
      </c>
      <c r="F82" s="65" t="s">
        <v>25</v>
      </c>
      <c r="G82" s="5" t="str">
        <f t="array" ref="G82">INDEX('Database Mitra'!$G$2:$G800,MATCH(A82,'Database Mitra'!$B$2:$B800,0))</f>
        <v>6102066912860001</v>
      </c>
      <c r="H82" s="64" t="s">
        <v>89</v>
      </c>
      <c r="I82" s="65" t="str">
        <f t="shared" si="11"/>
        <v>SUSENAS24-LAPANGAN-SEMESTER1-PPL-UPDATING LISTING</v>
      </c>
      <c r="J82" s="10" t="str">
        <f t="array" ref="J82">INDEX(Honor!$H$2:$H800,MATCH($I82,Honor!$A$2:$A800,0))</f>
        <v>Blok Sensus</v>
      </c>
      <c r="K82" s="66">
        <f t="array" ref="K82">INDEX(Honor!$I$2:$I800,MATCH($I82,Honor!$A$2:$A800,0))</f>
        <v>168000</v>
      </c>
      <c r="L82" s="65">
        <v>2</v>
      </c>
      <c r="M82" s="10">
        <f t="shared" si="0"/>
        <v>336000</v>
      </c>
      <c r="N82" s="70">
        <v>325920</v>
      </c>
      <c r="O82" s="67">
        <f t="array" ref="O82">INDEX(Honor!$L$2:$L800,MATCH($I82,Honor!$A$2:$A800,0))</f>
        <v>45335</v>
      </c>
      <c r="P82" s="10">
        <f t="shared" si="1"/>
        <v>2024</v>
      </c>
      <c r="Q82" s="10">
        <f t="shared" si="2"/>
        <v>2</v>
      </c>
      <c r="R82" s="10" t="str">
        <f t="array" ref="R82">INDEX(Honor!$Q$2:$Q800,MATCH($I82,Honor!$A$2:$A800,0))</f>
        <v>SURVEI-PPL</v>
      </c>
      <c r="S82" s="10" t="str">
        <f t="shared" si="3"/>
        <v>610422050008-2024-2</v>
      </c>
      <c r="T82" s="10" t="str">
        <f t="shared" si="4"/>
        <v>610422050008-2024-2-SURVEI-PPL</v>
      </c>
      <c r="U82" s="64">
        <v>1</v>
      </c>
      <c r="V82" s="10" t="e">
        <f t="array" aca="1" ref="V82" ca="1">INDEX(Honor!$O$2:$O800,MATCH($I82,Honor!$A$2:$A800,0))</f>
        <v>#NAME?</v>
      </c>
      <c r="W82" s="68">
        <v>45351</v>
      </c>
      <c r="X82" s="7" t="str">
        <f t="array" ref="X82">INDEX('Input Kegiatan'!$B$2:$B800,MATCH(B82,'Input Kegiatan'!$A$2:$A800,0))</f>
        <v>Susenas Maret 2024</v>
      </c>
      <c r="Y82" s="7" t="s">
        <v>5534</v>
      </c>
      <c r="Z82" s="7" t="s">
        <v>5670</v>
      </c>
      <c r="AA82" s="68">
        <f t="shared" si="5"/>
        <v>45322</v>
      </c>
      <c r="AB82" s="68">
        <f t="shared" si="6"/>
        <v>45323</v>
      </c>
      <c r="AC82" s="68">
        <f t="shared" si="7"/>
        <v>45351</v>
      </c>
      <c r="AD82" s="68">
        <f t="shared" si="8"/>
        <v>45350</v>
      </c>
      <c r="AE82" s="68">
        <f t="shared" si="9"/>
        <v>45351</v>
      </c>
    </row>
    <row r="83" spans="1:31" ht="12.5">
      <c r="A83" s="125">
        <v>610422100085</v>
      </c>
      <c r="B83" s="64" t="s">
        <v>26</v>
      </c>
      <c r="D83" s="10">
        <f t="array" aca="1" ref="D83" ca="1">INDEX('Mitra per Bulan'!$M$2:$M800,MATCH(S83,'Mitra per Bulan'!$B$2:$B800,0))</f>
        <v>1</v>
      </c>
      <c r="E83" s="10" t="str">
        <f t="array" ref="E83">INDEX('Database Mitra'!$A$2:$A800,MATCH(A83,'Database Mitra'!$B$2:$B800,0))</f>
        <v>Lina Agustin Widya Siwi</v>
      </c>
      <c r="F83" s="65" t="s">
        <v>25</v>
      </c>
      <c r="G83" s="5" t="str">
        <f t="array" ref="G83">INDEX('Database Mitra'!$G$2:$G800,MATCH(A83,'Database Mitra'!$B$2:$B800,0))</f>
        <v>3301225608850001</v>
      </c>
      <c r="H83" s="64" t="s">
        <v>89</v>
      </c>
      <c r="I83" s="65" t="str">
        <f t="shared" si="11"/>
        <v>SUSENAS24-LAPANGAN-SEMESTER1-PPL-UPDATING LISTING</v>
      </c>
      <c r="J83" s="10" t="str">
        <f t="array" ref="J83">INDEX(Honor!$H$2:$H800,MATCH($I83,Honor!$A$2:$A800,0))</f>
        <v>Blok Sensus</v>
      </c>
      <c r="K83" s="66">
        <f t="array" ref="K83">INDEX(Honor!$I$2:$I800,MATCH($I83,Honor!$A$2:$A800,0))</f>
        <v>168000</v>
      </c>
      <c r="L83" s="65">
        <v>1</v>
      </c>
      <c r="M83" s="10">
        <f t="shared" si="0"/>
        <v>168000</v>
      </c>
      <c r="N83" s="70">
        <v>162960</v>
      </c>
      <c r="O83" s="67">
        <f t="array" ref="O83">INDEX(Honor!$L$2:$L800,MATCH($I83,Honor!$A$2:$A800,0))</f>
        <v>45335</v>
      </c>
      <c r="P83" s="10">
        <f t="shared" si="1"/>
        <v>2024</v>
      </c>
      <c r="Q83" s="10">
        <f t="shared" si="2"/>
        <v>2</v>
      </c>
      <c r="R83" s="10" t="str">
        <f t="array" ref="R83">INDEX(Honor!$Q$2:$Q800,MATCH($I83,Honor!$A$2:$A800,0))</f>
        <v>SURVEI-PPL</v>
      </c>
      <c r="S83" s="10" t="str">
        <f t="shared" si="3"/>
        <v>610422100085-2024-2</v>
      </c>
      <c r="T83" s="10" t="str">
        <f t="shared" si="4"/>
        <v>610422100085-2024-2-SURVEI-PPL</v>
      </c>
      <c r="U83" s="64">
        <v>1</v>
      </c>
      <c r="V83" s="10" t="e">
        <f t="array" aca="1" ref="V83" ca="1">INDEX(Honor!$O$2:$O800,MATCH($I83,Honor!$A$2:$A800,0))</f>
        <v>#NAME?</v>
      </c>
      <c r="W83" s="68">
        <v>45351</v>
      </c>
      <c r="X83" s="7" t="str">
        <f t="array" ref="X83">INDEX('Input Kegiatan'!$B$2:$B800,MATCH(B83,'Input Kegiatan'!$A$2:$A800,0))</f>
        <v>Susenas Maret 2024</v>
      </c>
      <c r="Y83" s="7" t="s">
        <v>3990</v>
      </c>
      <c r="Z83" s="7" t="s">
        <v>4087</v>
      </c>
      <c r="AA83" s="68">
        <f t="shared" si="5"/>
        <v>45322</v>
      </c>
      <c r="AB83" s="68">
        <f t="shared" si="6"/>
        <v>45323</v>
      </c>
      <c r="AC83" s="68">
        <f t="shared" si="7"/>
        <v>45351</v>
      </c>
      <c r="AD83" s="68">
        <f t="shared" si="8"/>
        <v>45350</v>
      </c>
      <c r="AE83" s="68">
        <f t="shared" si="9"/>
        <v>45351</v>
      </c>
    </row>
    <row r="84" spans="1:31" ht="12.5">
      <c r="A84" s="125">
        <v>610422060001</v>
      </c>
      <c r="B84" s="64" t="s">
        <v>26</v>
      </c>
      <c r="D84" s="10">
        <f t="array" aca="1" ref="D84" ca="1">INDEX('Mitra per Bulan'!$M$2:$M800,MATCH(S84,'Mitra per Bulan'!$B$2:$B800,0))</f>
        <v>1</v>
      </c>
      <c r="E84" s="10" t="str">
        <f t="array" ref="E84">INDEX('Database Mitra'!$A$2:$A800,MATCH(A84,'Database Mitra'!$B$2:$B800,0))</f>
        <v>Elman</v>
      </c>
      <c r="F84" s="65" t="s">
        <v>25</v>
      </c>
      <c r="G84" s="5" t="str">
        <f t="array" ref="G84">INDEX('Database Mitra'!$G$2:$G800,MATCH(A84,'Database Mitra'!$B$2:$B800,0))</f>
        <v>6102120510950002</v>
      </c>
      <c r="H84" s="64" t="s">
        <v>89</v>
      </c>
      <c r="I84" s="65" t="str">
        <f t="shared" si="11"/>
        <v>SUSENAS24-LAPANGAN-SEMESTER1-PPL-UPDATING LISTING</v>
      </c>
      <c r="J84" s="10" t="str">
        <f t="array" ref="J84">INDEX(Honor!$H$2:$H800,MATCH($I84,Honor!$A$2:$A800,0))</f>
        <v>Blok Sensus</v>
      </c>
      <c r="K84" s="66">
        <f t="array" ref="K84">INDEX(Honor!$I$2:$I800,MATCH($I84,Honor!$A$2:$A800,0))</f>
        <v>168000</v>
      </c>
      <c r="L84" s="65">
        <v>2</v>
      </c>
      <c r="M84" s="10">
        <f t="shared" si="0"/>
        <v>336000</v>
      </c>
      <c r="N84" s="70">
        <v>325920</v>
      </c>
      <c r="O84" s="67">
        <f t="array" ref="O84">INDEX(Honor!$L$2:$L800,MATCH($I84,Honor!$A$2:$A800,0))</f>
        <v>45335</v>
      </c>
      <c r="P84" s="10">
        <f t="shared" si="1"/>
        <v>2024</v>
      </c>
      <c r="Q84" s="10">
        <f t="shared" si="2"/>
        <v>2</v>
      </c>
      <c r="R84" s="10" t="str">
        <f t="array" ref="R84">INDEX(Honor!$Q$2:$Q800,MATCH($I84,Honor!$A$2:$A800,0))</f>
        <v>SURVEI-PPL</v>
      </c>
      <c r="S84" s="10" t="str">
        <f t="shared" si="3"/>
        <v>610422060001-2024-2</v>
      </c>
      <c r="T84" s="10" t="str">
        <f t="shared" si="4"/>
        <v>610422060001-2024-2-SURVEI-PPL</v>
      </c>
      <c r="U84" s="64">
        <v>1</v>
      </c>
      <c r="V84" s="10" t="e">
        <f t="array" aca="1" ref="V84" ca="1">INDEX(Honor!$O$2:$O800,MATCH($I84,Honor!$A$2:$A800,0))</f>
        <v>#NAME?</v>
      </c>
      <c r="W84" s="68">
        <v>45351</v>
      </c>
      <c r="X84" s="7" t="str">
        <f t="array" ref="X84">INDEX('Input Kegiatan'!$B$2:$B800,MATCH(B84,'Input Kegiatan'!$A$2:$A800,0))</f>
        <v>Susenas Maret 2024</v>
      </c>
      <c r="Y84" s="7" t="s">
        <v>5250</v>
      </c>
      <c r="Z84" s="7" t="s">
        <v>5415</v>
      </c>
      <c r="AA84" s="68">
        <f t="shared" si="5"/>
        <v>45322</v>
      </c>
      <c r="AB84" s="68">
        <f t="shared" si="6"/>
        <v>45323</v>
      </c>
      <c r="AC84" s="68">
        <f t="shared" si="7"/>
        <v>45351</v>
      </c>
      <c r="AD84" s="68">
        <f t="shared" si="8"/>
        <v>45350</v>
      </c>
      <c r="AE84" s="68">
        <f t="shared" si="9"/>
        <v>45351</v>
      </c>
    </row>
    <row r="85" spans="1:31" ht="12.5">
      <c r="A85" s="125">
        <v>610422100001</v>
      </c>
      <c r="B85" s="64" t="s">
        <v>26</v>
      </c>
      <c r="D85" s="10">
        <f t="array" aca="1" ref="D85" ca="1">INDEX('Mitra per Bulan'!$M$2:$M800,MATCH(S85,'Mitra per Bulan'!$B$2:$B800,0))</f>
        <v>1</v>
      </c>
      <c r="E85" s="10" t="str">
        <f t="array" ref="E85">INDEX('Database Mitra'!$A$2:$A800,MATCH(A85,'Database Mitra'!$B$2:$B800,0))</f>
        <v>Fatmawati,S.Hut</v>
      </c>
      <c r="F85" s="65" t="s">
        <v>25</v>
      </c>
      <c r="G85" s="5" t="str">
        <f t="array" ref="G85">INDEX('Database Mitra'!$G$2:$G800,MATCH(A85,'Database Mitra'!$B$2:$B800,0))</f>
        <v>6102075007830003</v>
      </c>
      <c r="H85" s="64" t="s">
        <v>89</v>
      </c>
      <c r="I85" s="65" t="str">
        <f t="shared" si="11"/>
        <v>SUSENAS24-LAPANGAN-SEMESTER1-PPL-UPDATING LISTING</v>
      </c>
      <c r="J85" s="10" t="str">
        <f t="array" ref="J85">INDEX(Honor!$H$2:$H800,MATCH($I85,Honor!$A$2:$A800,0))</f>
        <v>Blok Sensus</v>
      </c>
      <c r="K85" s="66">
        <f t="array" ref="K85">INDEX(Honor!$I$2:$I800,MATCH($I85,Honor!$A$2:$A800,0))</f>
        <v>168000</v>
      </c>
      <c r="L85" s="65">
        <v>2</v>
      </c>
      <c r="M85" s="10">
        <f t="shared" si="0"/>
        <v>336000</v>
      </c>
      <c r="N85" s="70">
        <v>325920</v>
      </c>
      <c r="O85" s="67">
        <f t="array" ref="O85">INDEX(Honor!$L$2:$L800,MATCH($I85,Honor!$A$2:$A800,0))</f>
        <v>45335</v>
      </c>
      <c r="P85" s="10">
        <f t="shared" si="1"/>
        <v>2024</v>
      </c>
      <c r="Q85" s="10">
        <f t="shared" si="2"/>
        <v>2</v>
      </c>
      <c r="R85" s="10" t="str">
        <f t="array" ref="R85">INDEX(Honor!$Q$2:$Q800,MATCH($I85,Honor!$A$2:$A800,0))</f>
        <v>SURVEI-PPL</v>
      </c>
      <c r="S85" s="10" t="str">
        <f t="shared" si="3"/>
        <v>610422100001-2024-2</v>
      </c>
      <c r="T85" s="10" t="str">
        <f t="shared" si="4"/>
        <v>610422100001-2024-2-SURVEI-PPL</v>
      </c>
      <c r="U85" s="64">
        <v>1</v>
      </c>
      <c r="V85" s="10" t="e">
        <f t="array" aca="1" ref="V85" ca="1">INDEX(Honor!$O$2:$O800,MATCH($I85,Honor!$A$2:$A800,0))</f>
        <v>#NAME?</v>
      </c>
      <c r="W85" s="68">
        <v>45351</v>
      </c>
      <c r="X85" s="7" t="str">
        <f t="array" ref="X85">INDEX('Input Kegiatan'!$B$2:$B800,MATCH(B85,'Input Kegiatan'!$A$2:$A800,0))</f>
        <v>Susenas Maret 2024</v>
      </c>
      <c r="Y85" s="7" t="s">
        <v>3990</v>
      </c>
      <c r="Z85" s="7" t="s">
        <v>4332</v>
      </c>
      <c r="AA85" s="68">
        <f t="shared" si="5"/>
        <v>45322</v>
      </c>
      <c r="AB85" s="68">
        <f t="shared" si="6"/>
        <v>45323</v>
      </c>
      <c r="AC85" s="68">
        <f t="shared" si="7"/>
        <v>45351</v>
      </c>
      <c r="AD85" s="68">
        <f t="shared" si="8"/>
        <v>45350</v>
      </c>
      <c r="AE85" s="68">
        <f t="shared" si="9"/>
        <v>45351</v>
      </c>
    </row>
    <row r="86" spans="1:31" ht="12.5">
      <c r="A86" s="125">
        <v>610422040034</v>
      </c>
      <c r="B86" s="64" t="s">
        <v>26</v>
      </c>
      <c r="D86" s="10">
        <f t="array" aca="1" ref="D86" ca="1">INDEX('Mitra per Bulan'!$M$2:$M800,MATCH(S86,'Mitra per Bulan'!$B$2:$B800,0))</f>
        <v>1</v>
      </c>
      <c r="E86" s="10" t="str">
        <f t="array" ref="E86">INDEX('Database Mitra'!$A$2:$A800,MATCH(A86,'Database Mitra'!$B$2:$B800,0))</f>
        <v>Nelly Nalita</v>
      </c>
      <c r="F86" s="65" t="s">
        <v>25</v>
      </c>
      <c r="G86" s="5" t="str">
        <f t="array" ref="G86">INDEX('Database Mitra'!$G$2:$G800,MATCH(A86,'Database Mitra'!$B$2:$B800,0))</f>
        <v>6102014712890004</v>
      </c>
      <c r="H86" s="64" t="s">
        <v>89</v>
      </c>
      <c r="I86" s="65" t="str">
        <f t="shared" si="11"/>
        <v>SUSENAS24-LAPANGAN-SEMESTER1-PPL-UPDATING LISTING</v>
      </c>
      <c r="J86" s="10" t="str">
        <f t="array" ref="J86">INDEX(Honor!$H$2:$H800,MATCH($I86,Honor!$A$2:$A800,0))</f>
        <v>Blok Sensus</v>
      </c>
      <c r="K86" s="66">
        <f t="array" ref="K86">INDEX(Honor!$I$2:$I800,MATCH($I86,Honor!$A$2:$A800,0))</f>
        <v>168000</v>
      </c>
      <c r="L86" s="65">
        <v>2</v>
      </c>
      <c r="M86" s="10">
        <f t="shared" si="0"/>
        <v>336000</v>
      </c>
      <c r="N86" s="70">
        <v>325920</v>
      </c>
      <c r="O86" s="67">
        <f t="array" ref="O86">INDEX(Honor!$L$2:$L800,MATCH($I86,Honor!$A$2:$A800,0))</f>
        <v>45335</v>
      </c>
      <c r="P86" s="10">
        <f t="shared" si="1"/>
        <v>2024</v>
      </c>
      <c r="Q86" s="10">
        <f t="shared" si="2"/>
        <v>2</v>
      </c>
      <c r="R86" s="10" t="str">
        <f t="array" ref="R86">INDEX(Honor!$Q$2:$Q800,MATCH($I86,Honor!$A$2:$A800,0))</f>
        <v>SURVEI-PPL</v>
      </c>
      <c r="S86" s="10" t="str">
        <f t="shared" si="3"/>
        <v>610422040034-2024-2</v>
      </c>
      <c r="T86" s="10" t="str">
        <f t="shared" si="4"/>
        <v>610422040034-2024-2-SURVEI-PPL</v>
      </c>
      <c r="U86" s="64">
        <v>1</v>
      </c>
      <c r="V86" s="10" t="e">
        <f t="array" aca="1" ref="V86" ca="1">INDEX(Honor!$O$2:$O800,MATCH($I86,Honor!$A$2:$A800,0))</f>
        <v>#NAME?</v>
      </c>
      <c r="W86" s="68">
        <v>45351</v>
      </c>
      <c r="X86" s="7" t="str">
        <f t="array" ref="X86">INDEX('Input Kegiatan'!$B$2:$B800,MATCH(B86,'Input Kegiatan'!$A$2:$A800,0))</f>
        <v>Susenas Maret 2024</v>
      </c>
      <c r="Y86" s="7" t="s">
        <v>4572</v>
      </c>
      <c r="Z86" s="7" t="s">
        <v>4841</v>
      </c>
      <c r="AA86" s="68">
        <f t="shared" si="5"/>
        <v>45322</v>
      </c>
      <c r="AB86" s="68">
        <f t="shared" si="6"/>
        <v>45323</v>
      </c>
      <c r="AC86" s="68">
        <f t="shared" si="7"/>
        <v>45351</v>
      </c>
      <c r="AD86" s="68">
        <f t="shared" si="8"/>
        <v>45350</v>
      </c>
      <c r="AE86" s="68">
        <f t="shared" si="9"/>
        <v>45351</v>
      </c>
    </row>
    <row r="87" spans="1:31" ht="12.5">
      <c r="A87" s="125">
        <v>610422040058</v>
      </c>
      <c r="B87" s="64" t="s">
        <v>26</v>
      </c>
      <c r="D87" s="10">
        <f t="array" aca="1" ref="D87" ca="1">INDEX('Mitra per Bulan'!$M$2:$M800,MATCH(S87,'Mitra per Bulan'!$B$2:$B800,0))</f>
        <v>1</v>
      </c>
      <c r="E87" s="10" t="str">
        <f t="array" ref="E87">INDEX('Database Mitra'!$A$2:$A800,MATCH(A87,'Database Mitra'!$B$2:$B800,0))</f>
        <v>Jamaluddin, Sp</v>
      </c>
      <c r="F87" s="65" t="s">
        <v>25</v>
      </c>
      <c r="G87" s="5" t="str">
        <f t="array" ref="G87">INDEX('Database Mitra'!$G$2:$G800,MATCH(A87,'Database Mitra'!$B$2:$B800,0))</f>
        <v>6102152607940002</v>
      </c>
      <c r="H87" s="64" t="s">
        <v>89</v>
      </c>
      <c r="I87" s="65" t="str">
        <f t="shared" si="11"/>
        <v>SUSENAS24-LAPANGAN-SEMESTER1-PPL-UPDATING LISTING</v>
      </c>
      <c r="J87" s="10" t="str">
        <f t="array" ref="J87">INDEX(Honor!$H$2:$H800,MATCH($I87,Honor!$A$2:$A800,0))</f>
        <v>Blok Sensus</v>
      </c>
      <c r="K87" s="66">
        <f t="array" ref="K87">INDEX(Honor!$I$2:$I800,MATCH($I87,Honor!$A$2:$A800,0))</f>
        <v>168000</v>
      </c>
      <c r="L87" s="65">
        <v>2</v>
      </c>
      <c r="M87" s="10">
        <f t="shared" si="0"/>
        <v>336000</v>
      </c>
      <c r="N87" s="70">
        <v>325920</v>
      </c>
      <c r="O87" s="67">
        <f t="array" ref="O87">INDEX(Honor!$L$2:$L800,MATCH($I87,Honor!$A$2:$A800,0))</f>
        <v>45335</v>
      </c>
      <c r="P87" s="10">
        <f t="shared" si="1"/>
        <v>2024</v>
      </c>
      <c r="Q87" s="10">
        <f t="shared" si="2"/>
        <v>2</v>
      </c>
      <c r="R87" s="10" t="str">
        <f t="array" ref="R87">INDEX(Honor!$Q$2:$Q800,MATCH($I87,Honor!$A$2:$A800,0))</f>
        <v>SURVEI-PPL</v>
      </c>
      <c r="S87" s="10" t="str">
        <f t="shared" si="3"/>
        <v>610422040058-2024-2</v>
      </c>
      <c r="T87" s="10" t="str">
        <f t="shared" si="4"/>
        <v>610422040058-2024-2-SURVEI-PPL</v>
      </c>
      <c r="U87" s="64">
        <v>1</v>
      </c>
      <c r="V87" s="10" t="e">
        <f t="array" aca="1" ref="V87" ca="1">INDEX(Honor!$O$2:$O800,MATCH($I87,Honor!$A$2:$A800,0))</f>
        <v>#NAME?</v>
      </c>
      <c r="W87" s="68">
        <v>45351</v>
      </c>
      <c r="X87" s="7" t="str">
        <f t="array" ref="X87">INDEX('Input Kegiatan'!$B$2:$B800,MATCH(B87,'Input Kegiatan'!$A$2:$A800,0))</f>
        <v>Susenas Maret 2024</v>
      </c>
      <c r="Y87" s="7" t="s">
        <v>3715</v>
      </c>
      <c r="Z87" s="7" t="s">
        <v>3716</v>
      </c>
      <c r="AA87" s="68">
        <f t="shared" si="5"/>
        <v>45322</v>
      </c>
      <c r="AB87" s="68">
        <f t="shared" si="6"/>
        <v>45323</v>
      </c>
      <c r="AC87" s="68">
        <f t="shared" si="7"/>
        <v>45351</v>
      </c>
      <c r="AD87" s="68">
        <f t="shared" si="8"/>
        <v>45350</v>
      </c>
      <c r="AE87" s="68">
        <f t="shared" si="9"/>
        <v>45351</v>
      </c>
    </row>
    <row r="88" spans="1:31" ht="12.5">
      <c r="A88" s="125">
        <v>610422040052</v>
      </c>
      <c r="B88" s="64" t="s">
        <v>26</v>
      </c>
      <c r="D88" s="10">
        <f t="array" aca="1" ref="D88" ca="1">INDEX('Mitra per Bulan'!$M$2:$M800,MATCH(S88,'Mitra per Bulan'!$B$2:$B800,0))</f>
        <v>1</v>
      </c>
      <c r="E88" s="10" t="str">
        <f t="array" ref="E88">INDEX('Database Mitra'!$A$2:$A800,MATCH(A88,'Database Mitra'!$B$2:$B800,0))</f>
        <v>Yusimianto</v>
      </c>
      <c r="F88" s="65" t="s">
        <v>25</v>
      </c>
      <c r="G88" s="5" t="str">
        <f t="array" ref="G88">INDEX('Database Mitra'!$G$2:$G800,MATCH(A88,'Database Mitra'!$B$2:$B800,0))</f>
        <v>6102160603790001</v>
      </c>
      <c r="H88" s="64" t="s">
        <v>89</v>
      </c>
      <c r="I88" s="65" t="str">
        <f t="shared" si="11"/>
        <v>SUSENAS24-LAPANGAN-SEMESTER1-PPL-UPDATING LISTING</v>
      </c>
      <c r="J88" s="10" t="str">
        <f t="array" ref="J88">INDEX(Honor!$H$2:$H800,MATCH($I88,Honor!$A$2:$A800,0))</f>
        <v>Blok Sensus</v>
      </c>
      <c r="K88" s="66">
        <f t="array" ref="K88">INDEX(Honor!$I$2:$I800,MATCH($I88,Honor!$A$2:$A800,0))</f>
        <v>168000</v>
      </c>
      <c r="L88" s="65">
        <v>1</v>
      </c>
      <c r="M88" s="10">
        <f t="shared" si="0"/>
        <v>168000</v>
      </c>
      <c r="N88" s="70">
        <v>162960</v>
      </c>
      <c r="O88" s="67">
        <f t="array" ref="O88">INDEX(Honor!$L$2:$L800,MATCH($I88,Honor!$A$2:$A800,0))</f>
        <v>45335</v>
      </c>
      <c r="P88" s="10">
        <f t="shared" si="1"/>
        <v>2024</v>
      </c>
      <c r="Q88" s="10">
        <f t="shared" si="2"/>
        <v>2</v>
      </c>
      <c r="R88" s="10" t="str">
        <f t="array" ref="R88">INDEX(Honor!$Q$2:$Q800,MATCH($I88,Honor!$A$2:$A800,0))</f>
        <v>SURVEI-PPL</v>
      </c>
      <c r="S88" s="10" t="str">
        <f t="shared" si="3"/>
        <v>610422040052-2024-2</v>
      </c>
      <c r="T88" s="10" t="str">
        <f t="shared" si="4"/>
        <v>610422040052-2024-2-SURVEI-PPL</v>
      </c>
      <c r="U88" s="64">
        <v>1</v>
      </c>
      <c r="V88" s="10" t="e">
        <f t="array" aca="1" ref="V88" ca="1">INDEX(Honor!$O$2:$O800,MATCH($I88,Honor!$A$2:$A800,0))</f>
        <v>#NAME?</v>
      </c>
      <c r="W88" s="68">
        <v>45351</v>
      </c>
      <c r="X88" s="7" t="str">
        <f t="array" ref="X88">INDEX('Input Kegiatan'!$B$2:$B800,MATCH(B88,'Input Kegiatan'!$A$2:$A800,0))</f>
        <v>Susenas Maret 2024</v>
      </c>
      <c r="Y88" s="7" t="s">
        <v>4408</v>
      </c>
      <c r="Z88" s="7" t="s">
        <v>4487</v>
      </c>
      <c r="AA88" s="68">
        <f t="shared" si="5"/>
        <v>45322</v>
      </c>
      <c r="AB88" s="68">
        <f t="shared" si="6"/>
        <v>45323</v>
      </c>
      <c r="AC88" s="68">
        <f t="shared" si="7"/>
        <v>45351</v>
      </c>
      <c r="AD88" s="68">
        <f t="shared" si="8"/>
        <v>45350</v>
      </c>
      <c r="AE88" s="68">
        <f t="shared" si="9"/>
        <v>45351</v>
      </c>
    </row>
    <row r="89" spans="1:31" ht="12.5">
      <c r="A89" s="125">
        <v>610422040061</v>
      </c>
      <c r="B89" s="64" t="s">
        <v>26</v>
      </c>
      <c r="D89" s="10">
        <f t="array" aca="1" ref="D89" ca="1">INDEX('Mitra per Bulan'!$M$2:$M800,MATCH(S89,'Mitra per Bulan'!$B$2:$B800,0))</f>
        <v>1</v>
      </c>
      <c r="E89" s="10" t="str">
        <f t="array" ref="E89">INDEX('Database Mitra'!$A$2:$A800,MATCH(A89,'Database Mitra'!$B$2:$B800,0))</f>
        <v>Sabani</v>
      </c>
      <c r="F89" s="65" t="s">
        <v>25</v>
      </c>
      <c r="G89" s="5" t="str">
        <f t="array" ref="G89">INDEX('Database Mitra'!$G$2:$G800,MATCH(A89,'Database Mitra'!$B$2:$B800,0))</f>
        <v>6102153112860003</v>
      </c>
      <c r="H89" s="64" t="s">
        <v>89</v>
      </c>
      <c r="I89" s="65" t="str">
        <f t="shared" si="11"/>
        <v>SUSENAS24-LAPANGAN-SEMESTER1-PPL-UPDATING LISTING</v>
      </c>
      <c r="J89" s="10" t="str">
        <f t="array" ref="J89">INDEX(Honor!$H$2:$H800,MATCH($I89,Honor!$A$2:$A800,0))</f>
        <v>Blok Sensus</v>
      </c>
      <c r="K89" s="66">
        <f t="array" ref="K89">INDEX(Honor!$I$2:$I800,MATCH($I89,Honor!$A$2:$A800,0))</f>
        <v>168000</v>
      </c>
      <c r="L89" s="65">
        <v>1</v>
      </c>
      <c r="M89" s="10">
        <f t="shared" si="0"/>
        <v>168000</v>
      </c>
      <c r="N89" s="70">
        <v>162960</v>
      </c>
      <c r="O89" s="67">
        <f t="array" ref="O89">INDEX(Honor!$L$2:$L800,MATCH($I89,Honor!$A$2:$A800,0))</f>
        <v>45335</v>
      </c>
      <c r="P89" s="10">
        <f t="shared" si="1"/>
        <v>2024</v>
      </c>
      <c r="Q89" s="10">
        <f t="shared" si="2"/>
        <v>2</v>
      </c>
      <c r="R89" s="10" t="str">
        <f t="array" ref="R89">INDEX(Honor!$Q$2:$Q800,MATCH($I89,Honor!$A$2:$A800,0))</f>
        <v>SURVEI-PPL</v>
      </c>
      <c r="S89" s="10" t="str">
        <f t="shared" si="3"/>
        <v>610422040061-2024-2</v>
      </c>
      <c r="T89" s="10" t="str">
        <f t="shared" si="4"/>
        <v>610422040061-2024-2-SURVEI-PPL</v>
      </c>
      <c r="U89" s="64">
        <v>1</v>
      </c>
      <c r="V89" s="10" t="e">
        <f t="array" aca="1" ref="V89" ca="1">INDEX(Honor!$O$2:$O800,MATCH($I89,Honor!$A$2:$A800,0))</f>
        <v>#NAME?</v>
      </c>
      <c r="W89" s="68">
        <v>45351</v>
      </c>
      <c r="X89" s="7" t="str">
        <f t="array" ref="X89">INDEX('Input Kegiatan'!$B$2:$B800,MATCH(B89,'Input Kegiatan'!$A$2:$A800,0))</f>
        <v>Susenas Maret 2024</v>
      </c>
      <c r="Y89" s="7" t="s">
        <v>3715</v>
      </c>
      <c r="Z89" s="7" t="s">
        <v>3862</v>
      </c>
      <c r="AA89" s="68">
        <f t="shared" si="5"/>
        <v>45322</v>
      </c>
      <c r="AB89" s="68">
        <f t="shared" si="6"/>
        <v>45323</v>
      </c>
      <c r="AC89" s="68">
        <f t="shared" si="7"/>
        <v>45351</v>
      </c>
      <c r="AD89" s="68">
        <f t="shared" si="8"/>
        <v>45350</v>
      </c>
      <c r="AE89" s="68">
        <f t="shared" si="9"/>
        <v>45351</v>
      </c>
    </row>
    <row r="90" spans="1:31" ht="12.5">
      <c r="A90" s="125">
        <v>610422040006</v>
      </c>
      <c r="B90" s="64" t="s">
        <v>26</v>
      </c>
      <c r="D90" s="10">
        <f t="array" aca="1" ref="D90" ca="1">INDEX('Mitra per Bulan'!$M$2:$M800,MATCH(S90,'Mitra per Bulan'!$B$2:$B800,0))</f>
        <v>1</v>
      </c>
      <c r="E90" s="10" t="str">
        <f t="array" ref="E90">INDEX('Database Mitra'!$A$2:$A800,MATCH(A90,'Database Mitra'!$B$2:$B800,0))</f>
        <v>Ridha Nur Mitha</v>
      </c>
      <c r="F90" s="65" t="s">
        <v>25</v>
      </c>
      <c r="G90" s="5" t="str">
        <f t="array" ref="G90">INDEX('Database Mitra'!$G$2:$G800,MATCH(A90,'Database Mitra'!$B$2:$B800,0))</f>
        <v>6102186803020002</v>
      </c>
      <c r="H90" s="64" t="s">
        <v>89</v>
      </c>
      <c r="I90" s="65" t="str">
        <f t="shared" si="11"/>
        <v>SUSENAS24-LAPANGAN-SEMESTER1-PPL-UPDATING LISTING</v>
      </c>
      <c r="J90" s="10" t="str">
        <f t="array" ref="J90">INDEX(Honor!$H$2:$H800,MATCH($I90,Honor!$A$2:$A800,0))</f>
        <v>Blok Sensus</v>
      </c>
      <c r="K90" s="66">
        <f t="array" ref="K90">INDEX(Honor!$I$2:$I800,MATCH($I90,Honor!$A$2:$A800,0))</f>
        <v>168000</v>
      </c>
      <c r="L90" s="65">
        <v>2</v>
      </c>
      <c r="M90" s="10">
        <f t="shared" si="0"/>
        <v>336000</v>
      </c>
      <c r="N90" s="70">
        <v>325920</v>
      </c>
      <c r="O90" s="67">
        <f t="array" ref="O90">INDEX(Honor!$L$2:$L800,MATCH($I90,Honor!$A$2:$A800,0))</f>
        <v>45335</v>
      </c>
      <c r="P90" s="10">
        <f t="shared" si="1"/>
        <v>2024</v>
      </c>
      <c r="Q90" s="10">
        <f t="shared" si="2"/>
        <v>2</v>
      </c>
      <c r="R90" s="10" t="str">
        <f t="array" ref="R90">INDEX(Honor!$Q$2:$Q800,MATCH($I90,Honor!$A$2:$A800,0))</f>
        <v>SURVEI-PPL</v>
      </c>
      <c r="S90" s="10" t="str">
        <f t="shared" si="3"/>
        <v>610422040006-2024-2</v>
      </c>
      <c r="T90" s="10" t="str">
        <f t="shared" si="4"/>
        <v>610422040006-2024-2-SURVEI-PPL</v>
      </c>
      <c r="U90" s="64">
        <v>1</v>
      </c>
      <c r="V90" s="10" t="e">
        <f t="array" aca="1" ref="V90" ca="1">INDEX(Honor!$O$2:$O800,MATCH($I90,Honor!$A$2:$A800,0))</f>
        <v>#NAME?</v>
      </c>
      <c r="W90" s="68">
        <v>45351</v>
      </c>
      <c r="X90" s="7" t="str">
        <f t="array" ref="X90">INDEX('Input Kegiatan'!$B$2:$B800,MATCH(B90,'Input Kegiatan'!$A$2:$A800,0))</f>
        <v>Susenas Maret 2024</v>
      </c>
      <c r="Y90" s="7" t="s">
        <v>4931</v>
      </c>
      <c r="Z90" s="7" t="s">
        <v>5104</v>
      </c>
      <c r="AA90" s="68">
        <f t="shared" si="5"/>
        <v>45322</v>
      </c>
      <c r="AB90" s="68">
        <f t="shared" si="6"/>
        <v>45323</v>
      </c>
      <c r="AC90" s="68">
        <f t="shared" si="7"/>
        <v>45351</v>
      </c>
      <c r="AD90" s="68">
        <f t="shared" si="8"/>
        <v>45350</v>
      </c>
      <c r="AE90" s="68">
        <f t="shared" si="9"/>
        <v>45351</v>
      </c>
    </row>
    <row r="91" spans="1:31" ht="12.5">
      <c r="A91" s="125">
        <v>610422040028</v>
      </c>
      <c r="B91" s="64" t="s">
        <v>26</v>
      </c>
      <c r="D91" s="10">
        <f t="array" aca="1" ref="D91" ca="1">INDEX('Mitra per Bulan'!$M$2:$M800,MATCH(S91,'Mitra per Bulan'!$B$2:$B800,0))</f>
        <v>1</v>
      </c>
      <c r="E91" s="10" t="str">
        <f t="array" ref="E91">INDEX('Database Mitra'!$A$2:$A800,MATCH(A91,'Database Mitra'!$B$2:$B800,0))</f>
        <v>Hafizh</v>
      </c>
      <c r="F91" s="65" t="s">
        <v>25</v>
      </c>
      <c r="G91" s="5" t="str">
        <f t="array" ref="G91">INDEX('Database Mitra'!$G$2:$G800,MATCH(A91,'Database Mitra'!$B$2:$B800,0))</f>
        <v>6102184304950003</v>
      </c>
      <c r="H91" s="64" t="s">
        <v>89</v>
      </c>
      <c r="I91" s="65" t="str">
        <f t="shared" si="11"/>
        <v>SUSENAS24-LAPANGAN-SEMESTER1-PPL-UPDATING LISTING</v>
      </c>
      <c r="J91" s="10" t="str">
        <f t="array" ref="J91">INDEX(Honor!$H$2:$H800,MATCH($I91,Honor!$A$2:$A800,0))</f>
        <v>Blok Sensus</v>
      </c>
      <c r="K91" s="66">
        <f t="array" ref="K91">INDEX(Honor!$I$2:$I800,MATCH($I91,Honor!$A$2:$A800,0))</f>
        <v>168000</v>
      </c>
      <c r="L91" s="65">
        <v>2</v>
      </c>
      <c r="M91" s="10">
        <f t="shared" si="0"/>
        <v>336000</v>
      </c>
      <c r="N91" s="70">
        <v>325920</v>
      </c>
      <c r="O91" s="67">
        <f t="array" ref="O91">INDEX(Honor!$L$2:$L800,MATCH($I91,Honor!$A$2:$A800,0))</f>
        <v>45335</v>
      </c>
      <c r="P91" s="10">
        <f t="shared" si="1"/>
        <v>2024</v>
      </c>
      <c r="Q91" s="10">
        <f t="shared" si="2"/>
        <v>2</v>
      </c>
      <c r="R91" s="10" t="str">
        <f t="array" ref="R91">INDEX(Honor!$Q$2:$Q800,MATCH($I91,Honor!$A$2:$A800,0))</f>
        <v>SURVEI-PPL</v>
      </c>
      <c r="S91" s="10" t="str">
        <f t="shared" si="3"/>
        <v>610422040028-2024-2</v>
      </c>
      <c r="T91" s="10" t="str">
        <f t="shared" si="4"/>
        <v>610422040028-2024-2-SURVEI-PPL</v>
      </c>
      <c r="U91" s="64">
        <v>1</v>
      </c>
      <c r="V91" s="10" t="e">
        <f t="array" aca="1" ref="V91" ca="1">INDEX(Honor!$O$2:$O800,MATCH($I91,Honor!$A$2:$A800,0))</f>
        <v>#NAME?</v>
      </c>
      <c r="W91" s="68">
        <v>45351</v>
      </c>
      <c r="X91" s="7" t="str">
        <f t="array" ref="X91">INDEX('Input Kegiatan'!$B$2:$B800,MATCH(B91,'Input Kegiatan'!$A$2:$A800,0))</f>
        <v>Susenas Maret 2024</v>
      </c>
      <c r="Y91" s="7" t="s">
        <v>4931</v>
      </c>
      <c r="Z91" s="7" t="s">
        <v>5036</v>
      </c>
      <c r="AA91" s="68">
        <f t="shared" si="5"/>
        <v>45322</v>
      </c>
      <c r="AB91" s="68">
        <f t="shared" si="6"/>
        <v>45323</v>
      </c>
      <c r="AC91" s="68">
        <f t="shared" si="7"/>
        <v>45351</v>
      </c>
      <c r="AD91" s="68">
        <f t="shared" si="8"/>
        <v>45350</v>
      </c>
      <c r="AE91" s="68">
        <f t="shared" si="9"/>
        <v>45351</v>
      </c>
    </row>
    <row r="92" spans="1:31" ht="12.5">
      <c r="A92" s="125">
        <v>610422040035</v>
      </c>
      <c r="B92" s="64" t="s">
        <v>26</v>
      </c>
      <c r="D92" s="10">
        <f t="array" aca="1" ref="D92" ca="1">INDEX('Mitra per Bulan'!$M$2:$M800,MATCH(S92,'Mitra per Bulan'!$B$2:$B800,0))</f>
        <v>1</v>
      </c>
      <c r="E92" s="10" t="str">
        <f t="array" ref="E92">INDEX('Database Mitra'!$A$2:$A800,MATCH(A92,'Database Mitra'!$B$2:$B800,0))</f>
        <v>Rahmayani</v>
      </c>
      <c r="F92" s="65" t="s">
        <v>25</v>
      </c>
      <c r="G92" s="5" t="str">
        <f t="array" ref="G92">INDEX('Database Mitra'!$G$2:$G800,MATCH(A92,'Database Mitra'!$B$2:$B800,0))</f>
        <v>6102186404970003</v>
      </c>
      <c r="H92" s="64" t="s">
        <v>89</v>
      </c>
      <c r="I92" s="65" t="str">
        <f t="shared" si="11"/>
        <v>SUSENAS24-LAPANGAN-SEMESTER1-PPL-UPDATING LISTING</v>
      </c>
      <c r="J92" s="10" t="str">
        <f t="array" ref="J92">INDEX(Honor!$H$2:$H800,MATCH($I92,Honor!$A$2:$A800,0))</f>
        <v>Blok Sensus</v>
      </c>
      <c r="K92" s="66">
        <f t="array" ref="K92">INDEX(Honor!$I$2:$I800,MATCH($I92,Honor!$A$2:$A800,0))</f>
        <v>168000</v>
      </c>
      <c r="L92" s="65">
        <v>1</v>
      </c>
      <c r="M92" s="10">
        <f t="shared" si="0"/>
        <v>168000</v>
      </c>
      <c r="N92" s="70">
        <v>162960</v>
      </c>
      <c r="O92" s="67">
        <f t="array" ref="O92">INDEX(Honor!$L$2:$L800,MATCH($I92,Honor!$A$2:$A800,0))</f>
        <v>45335</v>
      </c>
      <c r="P92" s="10">
        <f t="shared" si="1"/>
        <v>2024</v>
      </c>
      <c r="Q92" s="10">
        <f t="shared" si="2"/>
        <v>2</v>
      </c>
      <c r="R92" s="10" t="str">
        <f t="array" ref="R92">INDEX(Honor!$Q$2:$Q800,MATCH($I92,Honor!$A$2:$A800,0))</f>
        <v>SURVEI-PPL</v>
      </c>
      <c r="S92" s="10" t="str">
        <f t="shared" si="3"/>
        <v>610422040035-2024-2</v>
      </c>
      <c r="T92" s="10" t="str">
        <f t="shared" si="4"/>
        <v>610422040035-2024-2-SURVEI-PPL</v>
      </c>
      <c r="U92" s="64">
        <v>1</v>
      </c>
      <c r="V92" s="10" t="e">
        <f t="array" aca="1" ref="V92" ca="1">INDEX(Honor!$O$2:$O800,MATCH($I92,Honor!$A$2:$A800,0))</f>
        <v>#NAME?</v>
      </c>
      <c r="W92" s="68">
        <v>45351</v>
      </c>
      <c r="X92" s="7" t="str">
        <f t="array" ref="X92">INDEX('Input Kegiatan'!$B$2:$B800,MATCH(B92,'Input Kegiatan'!$A$2:$A800,0))</f>
        <v>Susenas Maret 2024</v>
      </c>
      <c r="Y92" s="7" t="s">
        <v>4931</v>
      </c>
      <c r="Z92" s="7" t="s">
        <v>5171</v>
      </c>
      <c r="AA92" s="68">
        <f t="shared" si="5"/>
        <v>45322</v>
      </c>
      <c r="AB92" s="68">
        <f t="shared" si="6"/>
        <v>45323</v>
      </c>
      <c r="AC92" s="68">
        <f t="shared" si="7"/>
        <v>45351</v>
      </c>
      <c r="AD92" s="68">
        <f t="shared" si="8"/>
        <v>45350</v>
      </c>
      <c r="AE92" s="68">
        <f t="shared" si="9"/>
        <v>45351</v>
      </c>
    </row>
    <row r="93" spans="1:31" ht="12.5">
      <c r="A93" s="125">
        <v>610422040049</v>
      </c>
      <c r="B93" s="64" t="s">
        <v>26</v>
      </c>
      <c r="D93" s="10">
        <f t="array" aca="1" ref="D93" ca="1">INDEX('Mitra per Bulan'!$M$2:$M800,MATCH(S93,'Mitra per Bulan'!$B$2:$B800,0))</f>
        <v>1</v>
      </c>
      <c r="E93" s="10" t="str">
        <f t="array" ref="E93">INDEX('Database Mitra'!$A$2:$A800,MATCH(A93,'Database Mitra'!$B$2:$B800,0))</f>
        <v>Sulis Tri Handayani</v>
      </c>
      <c r="F93" s="65" t="s">
        <v>25</v>
      </c>
      <c r="G93" s="5" t="str">
        <f t="array" ref="G93">INDEX('Database Mitra'!$G$2:$G800,MATCH(A93,'Database Mitra'!$B$2:$B800,0))</f>
        <v>6102074307840004</v>
      </c>
      <c r="H93" s="64" t="s">
        <v>89</v>
      </c>
      <c r="I93" s="65" t="str">
        <f t="shared" si="11"/>
        <v>SUSENAS24-LAPANGAN-SEMESTER1-PPL-UPDATING LISTING</v>
      </c>
      <c r="J93" s="10" t="str">
        <f t="array" ref="J93">INDEX(Honor!$H$2:$H800,MATCH($I93,Honor!$A$2:$A800,0))</f>
        <v>Blok Sensus</v>
      </c>
      <c r="K93" s="66">
        <f t="array" ref="K93">INDEX(Honor!$I$2:$I800,MATCH($I93,Honor!$A$2:$A800,0))</f>
        <v>168000</v>
      </c>
      <c r="L93" s="65">
        <v>2</v>
      </c>
      <c r="M93" s="10">
        <f t="shared" si="0"/>
        <v>336000</v>
      </c>
      <c r="N93" s="70">
        <v>325920</v>
      </c>
      <c r="O93" s="67">
        <f t="array" ref="O93">INDEX(Honor!$L$2:$L800,MATCH($I93,Honor!$A$2:$A800,0))</f>
        <v>45335</v>
      </c>
      <c r="P93" s="10">
        <f t="shared" si="1"/>
        <v>2024</v>
      </c>
      <c r="Q93" s="10">
        <f t="shared" si="2"/>
        <v>2</v>
      </c>
      <c r="R93" s="10" t="str">
        <f t="array" ref="R93">INDEX(Honor!$Q$2:$Q800,MATCH($I93,Honor!$A$2:$A800,0))</f>
        <v>SURVEI-PPL</v>
      </c>
      <c r="S93" s="10" t="str">
        <f t="shared" si="3"/>
        <v>610422040049-2024-2</v>
      </c>
      <c r="T93" s="10" t="str">
        <f t="shared" si="4"/>
        <v>610422040049-2024-2-SURVEI-PPL</v>
      </c>
      <c r="U93" s="64">
        <v>1</v>
      </c>
      <c r="V93" s="10" t="e">
        <f t="array" aca="1" ref="V93" ca="1">INDEX(Honor!$O$2:$O800,MATCH($I93,Honor!$A$2:$A800,0))</f>
        <v>#NAME?</v>
      </c>
      <c r="W93" s="68">
        <v>45351</v>
      </c>
      <c r="X93" s="7" t="str">
        <f t="array" ref="X93">INDEX('Input Kegiatan'!$B$2:$B800,MATCH(B93,'Input Kegiatan'!$A$2:$A800,0))</f>
        <v>Susenas Maret 2024</v>
      </c>
      <c r="Y93" s="7" t="s">
        <v>3990</v>
      </c>
      <c r="Z93" s="7" t="s">
        <v>3990</v>
      </c>
      <c r="AA93" s="68">
        <f t="shared" si="5"/>
        <v>45322</v>
      </c>
      <c r="AB93" s="68">
        <f t="shared" si="6"/>
        <v>45323</v>
      </c>
      <c r="AC93" s="68">
        <f t="shared" si="7"/>
        <v>45351</v>
      </c>
      <c r="AD93" s="68">
        <f t="shared" si="8"/>
        <v>45350</v>
      </c>
      <c r="AE93" s="68">
        <f t="shared" si="9"/>
        <v>45351</v>
      </c>
    </row>
    <row r="94" spans="1:31" ht="12.5">
      <c r="A94" s="125">
        <v>610422040033</v>
      </c>
      <c r="B94" s="64" t="s">
        <v>26</v>
      </c>
      <c r="D94" s="10">
        <f t="array" aca="1" ref="D94" ca="1">INDEX('Mitra per Bulan'!$M$2:$M800,MATCH(S94,'Mitra per Bulan'!$B$2:$B800,0))</f>
        <v>1</v>
      </c>
      <c r="E94" s="10" t="str">
        <f t="array" ref="E94">INDEX('Database Mitra'!$A$2:$A800,MATCH(A94,'Database Mitra'!$B$2:$B800,0))</f>
        <v>Nurlian</v>
      </c>
      <c r="F94" s="65" t="s">
        <v>25</v>
      </c>
      <c r="G94" s="5" t="str">
        <f t="array" ref="G94">INDEX('Database Mitra'!$G$2:$G800,MATCH(A94,'Database Mitra'!$B$2:$B800,0))</f>
        <v>6102085104960002</v>
      </c>
      <c r="H94" s="64" t="s">
        <v>89</v>
      </c>
      <c r="I94" s="65" t="str">
        <f t="shared" si="11"/>
        <v>SUSENAS24-LAPANGAN-SEMESTER1-PPL-UPDATING LISTING</v>
      </c>
      <c r="J94" s="10" t="str">
        <f t="array" ref="J94">INDEX(Honor!$H$2:$H800,MATCH($I94,Honor!$A$2:$A800,0))</f>
        <v>Blok Sensus</v>
      </c>
      <c r="K94" s="66">
        <f t="array" ref="K94">INDEX(Honor!$I$2:$I800,MATCH($I94,Honor!$A$2:$A800,0))</f>
        <v>168000</v>
      </c>
      <c r="L94" s="65">
        <v>2</v>
      </c>
      <c r="M94" s="10">
        <f t="shared" si="0"/>
        <v>336000</v>
      </c>
      <c r="N94" s="70">
        <v>325920</v>
      </c>
      <c r="O94" s="67">
        <f t="array" ref="O94">INDEX(Honor!$L$2:$L800,MATCH($I94,Honor!$A$2:$A800,0))</f>
        <v>45335</v>
      </c>
      <c r="P94" s="10">
        <f t="shared" si="1"/>
        <v>2024</v>
      </c>
      <c r="Q94" s="10">
        <f t="shared" si="2"/>
        <v>2</v>
      </c>
      <c r="R94" s="10" t="str">
        <f t="array" ref="R94">INDEX(Honor!$Q$2:$Q800,MATCH($I94,Honor!$A$2:$A800,0))</f>
        <v>SURVEI-PPL</v>
      </c>
      <c r="S94" s="10" t="str">
        <f t="shared" si="3"/>
        <v>610422040033-2024-2</v>
      </c>
      <c r="T94" s="10" t="str">
        <f t="shared" si="4"/>
        <v>610422040033-2024-2-SURVEI-PPL</v>
      </c>
      <c r="U94" s="64">
        <v>1</v>
      </c>
      <c r="V94" s="10" t="e">
        <f t="array" aca="1" ref="V94" ca="1">INDEX(Honor!$O$2:$O800,MATCH($I94,Honor!$A$2:$A800,0))</f>
        <v>#NAME?</v>
      </c>
      <c r="W94" s="68">
        <v>45351</v>
      </c>
      <c r="X94" s="7" t="str">
        <f t="array" ref="X94">INDEX('Input Kegiatan'!$B$2:$B800,MATCH(B94,'Input Kegiatan'!$A$2:$A800,0))</f>
        <v>Susenas Maret 2024</v>
      </c>
      <c r="Y94" s="7" t="s">
        <v>3241</v>
      </c>
      <c r="Z94" s="7" t="s">
        <v>3289</v>
      </c>
      <c r="AA94" s="68">
        <f t="shared" si="5"/>
        <v>45322</v>
      </c>
      <c r="AB94" s="68">
        <f t="shared" si="6"/>
        <v>45323</v>
      </c>
      <c r="AC94" s="68">
        <f t="shared" si="7"/>
        <v>45351</v>
      </c>
      <c r="AD94" s="68">
        <f t="shared" si="8"/>
        <v>45350</v>
      </c>
      <c r="AE94" s="68">
        <f t="shared" si="9"/>
        <v>45351</v>
      </c>
    </row>
    <row r="95" spans="1:31" ht="12.5">
      <c r="A95" s="125">
        <v>610422040050</v>
      </c>
      <c r="B95" s="64" t="s">
        <v>26</v>
      </c>
      <c r="D95" s="10">
        <f t="array" aca="1" ref="D95" ca="1">INDEX('Mitra per Bulan'!$M$2:$M800,MATCH(S95,'Mitra per Bulan'!$B$2:$B800,0))</f>
        <v>1</v>
      </c>
      <c r="E95" s="10" t="str">
        <f t="array" ref="E95">INDEX('Database Mitra'!$A$2:$A800,MATCH(A95,'Database Mitra'!$B$2:$B800,0))</f>
        <v>Novita Sari</v>
      </c>
      <c r="F95" s="65" t="s">
        <v>25</v>
      </c>
      <c r="G95" s="5" t="str">
        <f t="array" ref="G95">INDEX('Database Mitra'!$G$2:$G800,MATCH(A95,'Database Mitra'!$B$2:$B800,0))</f>
        <v>6102085906990001</v>
      </c>
      <c r="H95" s="64" t="s">
        <v>89</v>
      </c>
      <c r="I95" s="65" t="str">
        <f t="shared" si="11"/>
        <v>SUSENAS24-LAPANGAN-SEMESTER1-PPL-UPDATING LISTING</v>
      </c>
      <c r="J95" s="10" t="str">
        <f t="array" ref="J95">INDEX(Honor!$H$2:$H800,MATCH($I95,Honor!$A$2:$A800,0))</f>
        <v>Blok Sensus</v>
      </c>
      <c r="K95" s="66">
        <f t="array" ref="K95">INDEX(Honor!$I$2:$I800,MATCH($I95,Honor!$A$2:$A800,0))</f>
        <v>168000</v>
      </c>
      <c r="L95" s="65">
        <v>1</v>
      </c>
      <c r="M95" s="10">
        <f t="shared" si="0"/>
        <v>168000</v>
      </c>
      <c r="N95" s="70">
        <v>162960</v>
      </c>
      <c r="O95" s="67">
        <f t="array" ref="O95">INDEX(Honor!$L$2:$L800,MATCH($I95,Honor!$A$2:$A800,0))</f>
        <v>45335</v>
      </c>
      <c r="P95" s="10">
        <f t="shared" si="1"/>
        <v>2024</v>
      </c>
      <c r="Q95" s="10">
        <f t="shared" si="2"/>
        <v>2</v>
      </c>
      <c r="R95" s="10" t="str">
        <f t="array" ref="R95">INDEX(Honor!$Q$2:$Q800,MATCH($I95,Honor!$A$2:$A800,0))</f>
        <v>SURVEI-PPL</v>
      </c>
      <c r="S95" s="10" t="str">
        <f t="shared" si="3"/>
        <v>610422040050-2024-2</v>
      </c>
      <c r="T95" s="10" t="str">
        <f t="shared" si="4"/>
        <v>610422040050-2024-2-SURVEI-PPL</v>
      </c>
      <c r="U95" s="64">
        <v>1</v>
      </c>
      <c r="V95" s="10" t="e">
        <f t="array" aca="1" ref="V95" ca="1">INDEX(Honor!$O$2:$O800,MATCH($I95,Honor!$A$2:$A800,0))</f>
        <v>#NAME?</v>
      </c>
      <c r="W95" s="68">
        <v>45351</v>
      </c>
      <c r="X95" s="7" t="str">
        <f t="array" ref="X95">INDEX('Input Kegiatan'!$B$2:$B800,MATCH(B95,'Input Kegiatan'!$A$2:$A800,0))</f>
        <v>Susenas Maret 2024</v>
      </c>
      <c r="Y95" s="7" t="s">
        <v>3241</v>
      </c>
      <c r="Z95" s="7" t="s">
        <v>3289</v>
      </c>
      <c r="AA95" s="68">
        <f t="shared" si="5"/>
        <v>45322</v>
      </c>
      <c r="AB95" s="68">
        <f t="shared" si="6"/>
        <v>45323</v>
      </c>
      <c r="AC95" s="68">
        <f t="shared" si="7"/>
        <v>45351</v>
      </c>
      <c r="AD95" s="68">
        <f t="shared" si="8"/>
        <v>45350</v>
      </c>
      <c r="AE95" s="68">
        <f t="shared" si="9"/>
        <v>45351</v>
      </c>
    </row>
    <row r="96" spans="1:31" ht="12.5">
      <c r="A96" s="125">
        <v>610422030002</v>
      </c>
      <c r="B96" s="64" t="s">
        <v>26</v>
      </c>
      <c r="D96" s="10">
        <f t="array" aca="1" ref="D96" ca="1">INDEX('Mitra per Bulan'!$M$2:$M800,MATCH(S96,'Mitra per Bulan'!$B$2:$B800,0))</f>
        <v>1</v>
      </c>
      <c r="E96" s="10" t="str">
        <f t="array" ref="E96">INDEX('Database Mitra'!$A$2:$A800,MATCH(A96,'Database Mitra'!$B$2:$B800,0))</f>
        <v>Deti Erni Widiastuti</v>
      </c>
      <c r="F96" s="65" t="s">
        <v>25</v>
      </c>
      <c r="G96" s="5" t="str">
        <f t="array" ref="G96">INDEX('Database Mitra'!$G$2:$G800,MATCH(A96,'Database Mitra'!$B$2:$B800,0))</f>
        <v>6102016712860001</v>
      </c>
      <c r="H96" s="64" t="s">
        <v>89</v>
      </c>
      <c r="I96" s="65" t="str">
        <f t="shared" si="11"/>
        <v>SUSENAS24-LAPANGAN-SEMESTER1-PPL-UPDATING LISTING</v>
      </c>
      <c r="J96" s="10" t="str">
        <f t="array" ref="J96">INDEX(Honor!$H$2:$H800,MATCH($I96,Honor!$A$2:$A800,0))</f>
        <v>Blok Sensus</v>
      </c>
      <c r="K96" s="66">
        <f t="array" ref="K96">INDEX(Honor!$I$2:$I800,MATCH($I96,Honor!$A$2:$A800,0))</f>
        <v>168000</v>
      </c>
      <c r="L96" s="65">
        <v>2</v>
      </c>
      <c r="M96" s="10">
        <f t="shared" si="0"/>
        <v>336000</v>
      </c>
      <c r="N96" s="70">
        <v>325920</v>
      </c>
      <c r="O96" s="67">
        <f t="array" ref="O96">INDEX(Honor!$L$2:$L800,MATCH($I96,Honor!$A$2:$A800,0))</f>
        <v>45335</v>
      </c>
      <c r="P96" s="10">
        <f t="shared" si="1"/>
        <v>2024</v>
      </c>
      <c r="Q96" s="10">
        <f t="shared" si="2"/>
        <v>2</v>
      </c>
      <c r="R96" s="10" t="str">
        <f t="array" ref="R96">INDEX(Honor!$Q$2:$Q800,MATCH($I96,Honor!$A$2:$A800,0))</f>
        <v>SURVEI-PPL</v>
      </c>
      <c r="S96" s="10" t="str">
        <f t="shared" si="3"/>
        <v>610422030002-2024-2</v>
      </c>
      <c r="T96" s="10" t="str">
        <f t="shared" si="4"/>
        <v>610422030002-2024-2-SURVEI-PPL</v>
      </c>
      <c r="U96" s="64">
        <v>1</v>
      </c>
      <c r="V96" s="10" t="e">
        <f t="array" aca="1" ref="V96" ca="1">INDEX(Honor!$O$2:$O800,MATCH($I96,Honor!$A$2:$A800,0))</f>
        <v>#NAME?</v>
      </c>
      <c r="W96" s="68">
        <v>45351</v>
      </c>
      <c r="X96" s="7" t="str">
        <f t="array" ref="X96">INDEX('Input Kegiatan'!$B$2:$B800,MATCH(B96,'Input Kegiatan'!$A$2:$A800,0))</f>
        <v>Susenas Maret 2024</v>
      </c>
      <c r="Y96" s="7" t="s">
        <v>3715</v>
      </c>
      <c r="Z96" s="7" t="s">
        <v>3716</v>
      </c>
      <c r="AA96" s="68">
        <f t="shared" si="5"/>
        <v>45322</v>
      </c>
      <c r="AB96" s="68">
        <f t="shared" si="6"/>
        <v>45323</v>
      </c>
      <c r="AC96" s="68">
        <f t="shared" si="7"/>
        <v>45351</v>
      </c>
      <c r="AD96" s="68">
        <f t="shared" si="8"/>
        <v>45350</v>
      </c>
      <c r="AE96" s="68">
        <f t="shared" si="9"/>
        <v>45351</v>
      </c>
    </row>
    <row r="97" spans="1:31" ht="12.5">
      <c r="A97" s="125">
        <v>610422040029</v>
      </c>
      <c r="B97" s="64" t="s">
        <v>26</v>
      </c>
      <c r="D97" s="10">
        <f t="array" aca="1" ref="D97" ca="1">INDEX('Mitra per Bulan'!$M$2:$M800,MATCH(S97,'Mitra per Bulan'!$B$2:$B800,0))</f>
        <v>1</v>
      </c>
      <c r="E97" s="10" t="str">
        <f t="array" ref="E97">INDEX('Database Mitra'!$A$2:$A800,MATCH(A97,'Database Mitra'!$B$2:$B800,0))</f>
        <v>Zaini</v>
      </c>
      <c r="F97" s="65" t="s">
        <v>25</v>
      </c>
      <c r="G97" s="5" t="str">
        <f t="array" ref="G97">INDEX('Database Mitra'!$G$2:$G800,MATCH(A97,'Database Mitra'!$B$2:$B800,0))</f>
        <v>6102010607870002</v>
      </c>
      <c r="H97" s="64" t="s">
        <v>89</v>
      </c>
      <c r="I97" s="65" t="str">
        <f t="shared" si="11"/>
        <v>SUSENAS24-LAPANGAN-SEMESTER1-PPL-UPDATING LISTING</v>
      </c>
      <c r="J97" s="10" t="str">
        <f t="array" ref="J97">INDEX(Honor!$H$2:$H800,MATCH($I97,Honor!$A$2:$A800,0))</f>
        <v>Blok Sensus</v>
      </c>
      <c r="K97" s="66">
        <f t="array" ref="K97">INDEX(Honor!$I$2:$I800,MATCH($I97,Honor!$A$2:$A800,0))</f>
        <v>168000</v>
      </c>
      <c r="L97" s="65">
        <v>2</v>
      </c>
      <c r="M97" s="10">
        <f t="shared" si="0"/>
        <v>336000</v>
      </c>
      <c r="N97" s="70">
        <v>325920</v>
      </c>
      <c r="O97" s="67">
        <f t="array" ref="O97">INDEX(Honor!$L$2:$L800,MATCH($I97,Honor!$A$2:$A800,0))</f>
        <v>45335</v>
      </c>
      <c r="P97" s="10">
        <f t="shared" si="1"/>
        <v>2024</v>
      </c>
      <c r="Q97" s="10">
        <f t="shared" si="2"/>
        <v>2</v>
      </c>
      <c r="R97" s="10" t="str">
        <f t="array" ref="R97">INDEX(Honor!$Q$2:$Q800,MATCH($I97,Honor!$A$2:$A800,0))</f>
        <v>SURVEI-PPL</v>
      </c>
      <c r="S97" s="10" t="str">
        <f t="shared" si="3"/>
        <v>610422040029-2024-2</v>
      </c>
      <c r="T97" s="10" t="str">
        <f t="shared" si="4"/>
        <v>610422040029-2024-2-SURVEI-PPL</v>
      </c>
      <c r="U97" s="64">
        <v>1</v>
      </c>
      <c r="V97" s="10" t="e">
        <f t="array" aca="1" ref="V97" ca="1">INDEX(Honor!$O$2:$O800,MATCH($I97,Honor!$A$2:$A800,0))</f>
        <v>#NAME?</v>
      </c>
      <c r="W97" s="68">
        <v>45351</v>
      </c>
      <c r="X97" s="7" t="str">
        <f t="array" ref="X97">INDEX('Input Kegiatan'!$B$2:$B800,MATCH(B97,'Input Kegiatan'!$A$2:$A800,0))</f>
        <v>Susenas Maret 2024</v>
      </c>
      <c r="Y97" s="7" t="s">
        <v>4572</v>
      </c>
      <c r="Z97" s="7" t="s">
        <v>4619</v>
      </c>
      <c r="AA97" s="68">
        <f t="shared" si="5"/>
        <v>45322</v>
      </c>
      <c r="AB97" s="68">
        <f t="shared" si="6"/>
        <v>45323</v>
      </c>
      <c r="AC97" s="68">
        <f t="shared" si="7"/>
        <v>45351</v>
      </c>
      <c r="AD97" s="68">
        <f t="shared" si="8"/>
        <v>45350</v>
      </c>
      <c r="AE97" s="68">
        <f t="shared" si="9"/>
        <v>45351</v>
      </c>
    </row>
    <row r="98" spans="1:31" ht="12.5">
      <c r="A98" s="125">
        <v>610422040053</v>
      </c>
      <c r="B98" s="64" t="s">
        <v>26</v>
      </c>
      <c r="D98" s="10">
        <f t="array" aca="1" ref="D98" ca="1">INDEX('Mitra per Bulan'!$M$2:$M800,MATCH(S98,'Mitra per Bulan'!$B$2:$B800,0))</f>
        <v>1</v>
      </c>
      <c r="E98" s="10" t="str">
        <f t="array" ref="E98">INDEX('Database Mitra'!$A$2:$A800,MATCH(A98,'Database Mitra'!$B$2:$B800,0))</f>
        <v>Veti Ningsi</v>
      </c>
      <c r="F98" s="65" t="s">
        <v>25</v>
      </c>
      <c r="G98" s="5" t="str">
        <f t="array" ref="G98">INDEX('Database Mitra'!$G$2:$G800,MATCH(A98,'Database Mitra'!$B$2:$B800,0))</f>
        <v>6102125604010002</v>
      </c>
      <c r="H98" s="64" t="s">
        <v>89</v>
      </c>
      <c r="I98" s="65" t="str">
        <f t="shared" si="11"/>
        <v>SUSENAS24-LAPANGAN-SEMESTER1-PPL-UPDATING LISTING</v>
      </c>
      <c r="J98" s="10" t="str">
        <f t="array" ref="J98">INDEX(Honor!$H$2:$H800,MATCH($I98,Honor!$A$2:$A800,0))</f>
        <v>Blok Sensus</v>
      </c>
      <c r="K98" s="66">
        <f t="array" ref="K98">INDEX(Honor!$I$2:$I800,MATCH($I98,Honor!$A$2:$A800,0))</f>
        <v>168000</v>
      </c>
      <c r="L98" s="65">
        <v>1</v>
      </c>
      <c r="M98" s="10">
        <f t="shared" si="0"/>
        <v>168000</v>
      </c>
      <c r="N98" s="70">
        <v>162960</v>
      </c>
      <c r="O98" s="67">
        <f t="array" ref="O98">INDEX(Honor!$L$2:$L800,MATCH($I98,Honor!$A$2:$A800,0))</f>
        <v>45335</v>
      </c>
      <c r="P98" s="10">
        <f t="shared" si="1"/>
        <v>2024</v>
      </c>
      <c r="Q98" s="10">
        <f t="shared" si="2"/>
        <v>2</v>
      </c>
      <c r="R98" s="10" t="str">
        <f t="array" ref="R98">INDEX(Honor!$Q$2:$Q800,MATCH($I98,Honor!$A$2:$A800,0))</f>
        <v>SURVEI-PPL</v>
      </c>
      <c r="S98" s="10" t="str">
        <f t="shared" si="3"/>
        <v>610422040053-2024-2</v>
      </c>
      <c r="T98" s="10" t="str">
        <f t="shared" si="4"/>
        <v>610422040053-2024-2-SURVEI-PPL</v>
      </c>
      <c r="U98" s="64">
        <v>1</v>
      </c>
      <c r="V98" s="10" t="e">
        <f t="array" aca="1" ref="V98" ca="1">INDEX(Honor!$O$2:$O800,MATCH($I98,Honor!$A$2:$A800,0))</f>
        <v>#NAME?</v>
      </c>
      <c r="W98" s="68">
        <v>45351</v>
      </c>
      <c r="X98" s="7" t="str">
        <f t="array" ref="X98">INDEX('Input Kegiatan'!$B$2:$B800,MATCH(B98,'Input Kegiatan'!$A$2:$A800,0))</f>
        <v>Susenas Maret 2024</v>
      </c>
      <c r="Y98" s="7" t="s">
        <v>5250</v>
      </c>
      <c r="Z98" s="7" t="s">
        <v>5464</v>
      </c>
      <c r="AA98" s="68">
        <f t="shared" si="5"/>
        <v>45322</v>
      </c>
      <c r="AB98" s="68">
        <f t="shared" si="6"/>
        <v>45323</v>
      </c>
      <c r="AC98" s="68">
        <f t="shared" si="7"/>
        <v>45351</v>
      </c>
      <c r="AD98" s="68">
        <f t="shared" si="8"/>
        <v>45350</v>
      </c>
      <c r="AE98" s="68">
        <f t="shared" si="9"/>
        <v>45351</v>
      </c>
    </row>
    <row r="99" spans="1:31" ht="12.5">
      <c r="A99" s="125">
        <v>610422040013</v>
      </c>
      <c r="B99" s="64" t="s">
        <v>26</v>
      </c>
      <c r="D99" s="10">
        <f t="array" aca="1" ref="D99" ca="1">INDEX('Mitra per Bulan'!$M$2:$M800,MATCH(S99,'Mitra per Bulan'!$B$2:$B800,0))</f>
        <v>1</v>
      </c>
      <c r="E99" s="10" t="str">
        <f t="array" ref="E99">INDEX('Database Mitra'!$A$2:$A800,MATCH(A99,'Database Mitra'!$B$2:$B800,0))</f>
        <v>Yusra, Se</v>
      </c>
      <c r="F99" s="65" t="s">
        <v>25</v>
      </c>
      <c r="G99" s="5" t="str">
        <f t="array" ref="G99">INDEX('Database Mitra'!$G$2:$G800,MATCH(A99,'Database Mitra'!$B$2:$B800,0))</f>
        <v>6102152011890001</v>
      </c>
      <c r="H99" s="64" t="s">
        <v>89</v>
      </c>
      <c r="I99" s="65" t="str">
        <f t="shared" si="11"/>
        <v>SUSENAS24-LAPANGAN-SEMESTER1-PPL-UPDATING LISTING</v>
      </c>
      <c r="J99" s="10" t="str">
        <f t="array" ref="J99">INDEX(Honor!$H$2:$H800,MATCH($I99,Honor!$A$2:$A800,0))</f>
        <v>Blok Sensus</v>
      </c>
      <c r="K99" s="66">
        <f t="array" ref="K99">INDEX(Honor!$I$2:$I800,MATCH($I99,Honor!$A$2:$A800,0))</f>
        <v>168000</v>
      </c>
      <c r="L99" s="65">
        <v>2</v>
      </c>
      <c r="M99" s="10">
        <f t="shared" si="0"/>
        <v>336000</v>
      </c>
      <c r="N99" s="70">
        <v>325920</v>
      </c>
      <c r="O99" s="67">
        <f t="array" ref="O99">INDEX(Honor!$L$2:$L800,MATCH($I99,Honor!$A$2:$A800,0))</f>
        <v>45335</v>
      </c>
      <c r="P99" s="10">
        <f t="shared" si="1"/>
        <v>2024</v>
      </c>
      <c r="Q99" s="10">
        <f t="shared" si="2"/>
        <v>2</v>
      </c>
      <c r="R99" s="10" t="str">
        <f t="array" ref="R99">INDEX(Honor!$Q$2:$Q800,MATCH($I99,Honor!$A$2:$A800,0))</f>
        <v>SURVEI-PPL</v>
      </c>
      <c r="S99" s="10" t="str">
        <f t="shared" si="3"/>
        <v>610422040013-2024-2</v>
      </c>
      <c r="T99" s="10" t="str">
        <f t="shared" si="4"/>
        <v>610422040013-2024-2-SURVEI-PPL</v>
      </c>
      <c r="U99" s="64">
        <v>1</v>
      </c>
      <c r="V99" s="10" t="e">
        <f t="array" aca="1" ref="V99" ca="1">INDEX(Honor!$O$2:$O800,MATCH($I99,Honor!$A$2:$A800,0))</f>
        <v>#NAME?</v>
      </c>
      <c r="W99" s="68">
        <v>45351</v>
      </c>
      <c r="X99" s="7" t="str">
        <f t="array" ref="X99">INDEX('Input Kegiatan'!$B$2:$B800,MATCH(B99,'Input Kegiatan'!$A$2:$A800,0))</f>
        <v>Susenas Maret 2024</v>
      </c>
      <c r="Y99" s="7" t="s">
        <v>3715</v>
      </c>
      <c r="Z99" s="7" t="s">
        <v>3937</v>
      </c>
      <c r="AA99" s="68">
        <f t="shared" si="5"/>
        <v>45322</v>
      </c>
      <c r="AB99" s="68">
        <f t="shared" si="6"/>
        <v>45323</v>
      </c>
      <c r="AC99" s="68">
        <f t="shared" si="7"/>
        <v>45351</v>
      </c>
      <c r="AD99" s="68">
        <f t="shared" si="8"/>
        <v>45350</v>
      </c>
      <c r="AE99" s="68">
        <f t="shared" si="9"/>
        <v>45351</v>
      </c>
    </row>
    <row r="100" spans="1:31" ht="12.5">
      <c r="A100" s="125">
        <v>610422020032</v>
      </c>
      <c r="B100" s="64" t="s">
        <v>26</v>
      </c>
      <c r="D100" s="10">
        <f t="array" aca="1" ref="D100" ca="1">INDEX('Mitra per Bulan'!$M$2:$M800,MATCH(S100,'Mitra per Bulan'!$B$2:$B800,0))</f>
        <v>1</v>
      </c>
      <c r="E100" s="10" t="str">
        <f t="array" ref="E100">INDEX('Database Mitra'!$A$2:$A800,MATCH(A100,'Database Mitra'!$B$2:$B800,0))</f>
        <v>Lilis Suryani</v>
      </c>
      <c r="F100" s="65" t="s">
        <v>25</v>
      </c>
      <c r="G100" s="5" t="str">
        <f t="array" ref="G100">INDEX('Database Mitra'!$G$2:$G800,MATCH(A100,'Database Mitra'!$B$2:$B800,0))</f>
        <v>6102185102880001</v>
      </c>
      <c r="H100" s="64" t="s">
        <v>89</v>
      </c>
      <c r="I100" s="65" t="str">
        <f t="shared" si="11"/>
        <v>SUSENAS24-LAPANGAN-SEMESTER1-PPL-UPDATING LISTING</v>
      </c>
      <c r="J100" s="10" t="str">
        <f t="array" ref="J100">INDEX(Honor!$H$2:$H800,MATCH($I100,Honor!$A$2:$A800,0))</f>
        <v>Blok Sensus</v>
      </c>
      <c r="K100" s="66">
        <f t="array" ref="K100">INDEX(Honor!$I$2:$I800,MATCH($I100,Honor!$A$2:$A800,0))</f>
        <v>168000</v>
      </c>
      <c r="L100" s="65">
        <v>1</v>
      </c>
      <c r="M100" s="10">
        <f t="shared" si="0"/>
        <v>168000</v>
      </c>
      <c r="N100" s="70">
        <v>162960</v>
      </c>
      <c r="O100" s="67">
        <f t="array" ref="O100">INDEX(Honor!$L$2:$L800,MATCH($I100,Honor!$A$2:$A800,0))</f>
        <v>45335</v>
      </c>
      <c r="P100" s="10">
        <f t="shared" si="1"/>
        <v>2024</v>
      </c>
      <c r="Q100" s="10">
        <f t="shared" si="2"/>
        <v>2</v>
      </c>
      <c r="R100" s="10" t="str">
        <f t="array" ref="R100">INDEX(Honor!$Q$2:$Q800,MATCH($I100,Honor!$A$2:$A800,0))</f>
        <v>SURVEI-PPL</v>
      </c>
      <c r="S100" s="10" t="str">
        <f t="shared" si="3"/>
        <v>610422020032-2024-2</v>
      </c>
      <c r="T100" s="10" t="str">
        <f t="shared" si="4"/>
        <v>610422020032-2024-2-SURVEI-PPL</v>
      </c>
      <c r="U100" s="64">
        <v>1</v>
      </c>
      <c r="V100" s="10" t="e">
        <f t="array" aca="1" ref="V100" ca="1">INDEX(Honor!$O$2:$O800,MATCH($I100,Honor!$A$2:$A800,0))</f>
        <v>#NAME?</v>
      </c>
      <c r="W100" s="68">
        <v>45351</v>
      </c>
      <c r="X100" s="7" t="str">
        <f t="array" ref="X100">INDEX('Input Kegiatan'!$B$2:$B800,MATCH(B100,'Input Kegiatan'!$A$2:$A800,0))</f>
        <v>Susenas Maret 2024</v>
      </c>
      <c r="Y100" s="7" t="s">
        <v>4931</v>
      </c>
      <c r="Z100" s="7" t="s">
        <v>5209</v>
      </c>
      <c r="AA100" s="68">
        <f t="shared" si="5"/>
        <v>45322</v>
      </c>
      <c r="AB100" s="68">
        <f t="shared" si="6"/>
        <v>45323</v>
      </c>
      <c r="AC100" s="68">
        <f t="shared" si="7"/>
        <v>45351</v>
      </c>
      <c r="AD100" s="68">
        <f t="shared" si="8"/>
        <v>45350</v>
      </c>
      <c r="AE100" s="68">
        <f t="shared" si="9"/>
        <v>45351</v>
      </c>
    </row>
    <row r="101" spans="1:31" ht="12.5">
      <c r="A101" s="125">
        <v>610422020045</v>
      </c>
      <c r="B101" s="64" t="s">
        <v>26</v>
      </c>
      <c r="D101" s="10">
        <f t="array" aca="1" ref="D101" ca="1">INDEX('Mitra per Bulan'!$M$2:$M800,MATCH(S101,'Mitra per Bulan'!$B$2:$B800,0))</f>
        <v>1</v>
      </c>
      <c r="E101" s="10" t="str">
        <f t="array" ref="E101">INDEX('Database Mitra'!$A$2:$A800,MATCH(A101,'Database Mitra'!$B$2:$B800,0))</f>
        <v>Herdinatara Febria</v>
      </c>
      <c r="F101" s="65" t="s">
        <v>25</v>
      </c>
      <c r="G101" s="5" t="str">
        <f t="array" ref="G101">INDEX('Database Mitra'!$G$2:$G800,MATCH(A101,'Database Mitra'!$B$2:$B800,0))</f>
        <v>6107086009930002</v>
      </c>
      <c r="H101" s="64" t="s">
        <v>89</v>
      </c>
      <c r="I101" s="65" t="str">
        <f t="shared" si="11"/>
        <v>SUSENAS24-LAPANGAN-SEMESTER1-PPL-UPDATING LISTING</v>
      </c>
      <c r="J101" s="10" t="str">
        <f t="array" ref="J101">INDEX(Honor!$H$2:$H800,MATCH($I101,Honor!$A$2:$A800,0))</f>
        <v>Blok Sensus</v>
      </c>
      <c r="K101" s="66">
        <f t="array" ref="K101">INDEX(Honor!$I$2:$I800,MATCH($I101,Honor!$A$2:$A800,0))</f>
        <v>168000</v>
      </c>
      <c r="L101" s="65">
        <v>2</v>
      </c>
      <c r="M101" s="10">
        <f t="shared" si="0"/>
        <v>336000</v>
      </c>
      <c r="N101" s="70">
        <v>325920</v>
      </c>
      <c r="O101" s="67">
        <f t="array" ref="O101">INDEX(Honor!$L$2:$L800,MATCH($I101,Honor!$A$2:$A800,0))</f>
        <v>45335</v>
      </c>
      <c r="P101" s="10">
        <f t="shared" si="1"/>
        <v>2024</v>
      </c>
      <c r="Q101" s="10">
        <f t="shared" si="2"/>
        <v>2</v>
      </c>
      <c r="R101" s="10" t="str">
        <f t="array" ref="R101">INDEX(Honor!$Q$2:$Q800,MATCH($I101,Honor!$A$2:$A800,0))</f>
        <v>SURVEI-PPL</v>
      </c>
      <c r="S101" s="10" t="str">
        <f t="shared" si="3"/>
        <v>610422020045-2024-2</v>
      </c>
      <c r="T101" s="10" t="str">
        <f t="shared" si="4"/>
        <v>610422020045-2024-2-SURVEI-PPL</v>
      </c>
      <c r="U101" s="64">
        <v>1</v>
      </c>
      <c r="V101" s="10" t="e">
        <f t="array" aca="1" ref="V101" ca="1">INDEX(Honor!$O$2:$O800,MATCH($I101,Honor!$A$2:$A800,0))</f>
        <v>#NAME?</v>
      </c>
      <c r="W101" s="68">
        <v>45351</v>
      </c>
      <c r="X101" s="7" t="str">
        <f t="array" ref="X101">INDEX('Input Kegiatan'!$B$2:$B800,MATCH(B101,'Input Kegiatan'!$A$2:$A800,0))</f>
        <v>Susenas Maret 2024</v>
      </c>
      <c r="Y101" s="7" t="s">
        <v>3241</v>
      </c>
      <c r="Z101" s="7" t="s">
        <v>3430</v>
      </c>
      <c r="AA101" s="68">
        <f t="shared" si="5"/>
        <v>45322</v>
      </c>
      <c r="AB101" s="68">
        <f t="shared" si="6"/>
        <v>45323</v>
      </c>
      <c r="AC101" s="68">
        <f t="shared" si="7"/>
        <v>45351</v>
      </c>
      <c r="AD101" s="68">
        <f t="shared" si="8"/>
        <v>45350</v>
      </c>
      <c r="AE101" s="68">
        <f t="shared" si="9"/>
        <v>45351</v>
      </c>
    </row>
    <row r="102" spans="1:31" ht="12.5">
      <c r="A102" s="125">
        <v>610422020006</v>
      </c>
      <c r="B102" s="64" t="s">
        <v>26</v>
      </c>
      <c r="D102" s="10">
        <f t="array" aca="1" ref="D102" ca="1">INDEX('Mitra per Bulan'!$M$2:$M800,MATCH(S102,'Mitra per Bulan'!$B$2:$B800,0))</f>
        <v>1</v>
      </c>
      <c r="E102" s="10" t="str">
        <f t="array" ref="E102">INDEX('Database Mitra'!$A$2:$A800,MATCH(A102,'Database Mitra'!$B$2:$B800,0))</f>
        <v>Nasrullah</v>
      </c>
      <c r="F102" s="64" t="s">
        <v>90</v>
      </c>
      <c r="G102" s="5" t="str">
        <f t="array" ref="G102">INDEX('Database Mitra'!$G$2:$G800,MATCH(A102,'Database Mitra'!$B$2:$B800,0))</f>
        <v>6102011011970003</v>
      </c>
      <c r="H102" s="64" t="s">
        <v>91</v>
      </c>
      <c r="I102" s="65" t="str">
        <f t="shared" si="11"/>
        <v>SUSENAS24-LAPANGAN-SEMESTER1-PETUGAS ENTRI-PENGOLAHAN LISTING</v>
      </c>
      <c r="J102" s="10" t="str">
        <f t="array" ref="J102">INDEX(Honor!$H$2:$H800,MATCH($I102,Honor!$A$2:$A800,0))</f>
        <v>Dokumen</v>
      </c>
      <c r="K102" s="66">
        <f t="array" ref="K102">INDEX(Honor!$I$2:$I800,MATCH($I102,Honor!$A$2:$A800,0))</f>
        <v>34000</v>
      </c>
      <c r="L102" s="64">
        <v>26</v>
      </c>
      <c r="M102" s="10">
        <f t="shared" si="0"/>
        <v>884000</v>
      </c>
      <c r="N102" s="71">
        <v>857480</v>
      </c>
      <c r="O102" s="67">
        <f t="array" ref="O102">INDEX(Honor!$L$2:$L800,MATCH($I102,Honor!$A$2:$A800,0))</f>
        <v>45340</v>
      </c>
      <c r="P102" s="10">
        <f t="shared" si="1"/>
        <v>2024</v>
      </c>
      <c r="Q102" s="10">
        <f t="shared" si="2"/>
        <v>2</v>
      </c>
      <c r="R102" s="10" t="str">
        <f t="array" ref="R102">INDEX(Honor!$Q$2:$Q800,MATCH($I102,Honor!$A$2:$A800,0))</f>
        <v>SURVEI-PETUGAS ENTRI</v>
      </c>
      <c r="S102" s="10" t="str">
        <f t="shared" si="3"/>
        <v>610422020006-2024-2</v>
      </c>
      <c r="T102" s="10" t="str">
        <f t="shared" si="4"/>
        <v>610422020006-2024-2-SURVEI-PETUGAS ENTRI</v>
      </c>
      <c r="U102" s="64">
        <v>1</v>
      </c>
      <c r="V102" s="10" t="e">
        <f t="array" aca="1" ref="V102" ca="1">INDEX(Honor!$O$2:$O800,MATCH($I102,Honor!$A$2:$A800,0))</f>
        <v>#NAME?</v>
      </c>
      <c r="W102" s="68">
        <v>45351</v>
      </c>
      <c r="X102" s="7" t="str">
        <f t="array" ref="X102">INDEX('Input Kegiatan'!$B$2:$B800,MATCH(B102,'Input Kegiatan'!$A$2:$A800,0))</f>
        <v>Susenas Maret 2024</v>
      </c>
      <c r="Y102" s="7" t="s">
        <v>4572</v>
      </c>
      <c r="Z102" s="7" t="s">
        <v>4874</v>
      </c>
      <c r="AA102" s="68">
        <f t="shared" si="5"/>
        <v>45322</v>
      </c>
      <c r="AB102" s="68">
        <f t="shared" si="6"/>
        <v>45323</v>
      </c>
      <c r="AC102" s="68">
        <f t="shared" si="7"/>
        <v>45351</v>
      </c>
      <c r="AD102" s="68">
        <f t="shared" si="8"/>
        <v>45350</v>
      </c>
      <c r="AE102" s="68">
        <f t="shared" si="9"/>
        <v>45351</v>
      </c>
    </row>
    <row r="103" spans="1:31" ht="12.5">
      <c r="A103" s="125">
        <v>610422100010</v>
      </c>
      <c r="B103" s="64" t="s">
        <v>26</v>
      </c>
      <c r="D103" s="10">
        <f t="array" aca="1" ref="D103" ca="1">INDEX('Mitra per Bulan'!$M$2:$M800,MATCH(S103,'Mitra per Bulan'!$B$2:$B800,0))</f>
        <v>1</v>
      </c>
      <c r="E103" s="10" t="str">
        <f t="array" ref="E103">INDEX('Database Mitra'!$A$2:$A800,MATCH(A103,'Database Mitra'!$B$2:$B800,0))</f>
        <v>Muhammad Rendi Fakhrian</v>
      </c>
      <c r="F103" s="64" t="s">
        <v>90</v>
      </c>
      <c r="G103" s="5" t="str">
        <f t="array" ref="G103">INDEX('Database Mitra'!$G$2:$G800,MATCH(A103,'Database Mitra'!$B$2:$B800,0))</f>
        <v>6102012210990001</v>
      </c>
      <c r="H103" s="64" t="s">
        <v>91</v>
      </c>
      <c r="I103" s="65" t="str">
        <f t="shared" si="11"/>
        <v>SUSENAS24-LAPANGAN-SEMESTER1-PETUGAS ENTRI-PENGOLAHAN LISTING</v>
      </c>
      <c r="J103" s="10" t="str">
        <f t="array" ref="J103">INDEX(Honor!$H$2:$H800,MATCH($I103,Honor!$A$2:$A800,0))</f>
        <v>Dokumen</v>
      </c>
      <c r="K103" s="66">
        <f t="array" ref="K103">INDEX(Honor!$I$2:$I800,MATCH($I103,Honor!$A$2:$A800,0))</f>
        <v>34000</v>
      </c>
      <c r="L103" s="64">
        <v>13</v>
      </c>
      <c r="M103" s="10">
        <f t="shared" si="0"/>
        <v>442000</v>
      </c>
      <c r="N103" s="71">
        <v>428740</v>
      </c>
      <c r="O103" s="67">
        <f t="array" ref="O103">INDEX(Honor!$L$2:$L800,MATCH($I103,Honor!$A$2:$A800,0))</f>
        <v>45340</v>
      </c>
      <c r="P103" s="10">
        <f t="shared" si="1"/>
        <v>2024</v>
      </c>
      <c r="Q103" s="10">
        <f t="shared" si="2"/>
        <v>2</v>
      </c>
      <c r="R103" s="10" t="str">
        <f t="array" ref="R103">INDEX(Honor!$Q$2:$Q800,MATCH($I103,Honor!$A$2:$A800,0))</f>
        <v>SURVEI-PETUGAS ENTRI</v>
      </c>
      <c r="S103" s="10" t="str">
        <f t="shared" si="3"/>
        <v>610422100010-2024-2</v>
      </c>
      <c r="T103" s="10" t="str">
        <f t="shared" si="4"/>
        <v>610422100010-2024-2-SURVEI-PETUGAS ENTRI</v>
      </c>
      <c r="U103" s="64">
        <v>1</v>
      </c>
      <c r="V103" s="10" t="e">
        <f t="array" aca="1" ref="V103" ca="1">INDEX(Honor!$O$2:$O800,MATCH($I103,Honor!$A$2:$A800,0))</f>
        <v>#NAME?</v>
      </c>
      <c r="W103" s="68">
        <v>45351</v>
      </c>
      <c r="X103" s="7" t="str">
        <f t="array" ref="X103">INDEX('Input Kegiatan'!$B$2:$B800,MATCH(B103,'Input Kegiatan'!$A$2:$A800,0))</f>
        <v>Susenas Maret 2024</v>
      </c>
      <c r="Y103" s="7" t="s">
        <v>4572</v>
      </c>
      <c r="Z103" s="7" t="s">
        <v>4619</v>
      </c>
      <c r="AA103" s="68">
        <f t="shared" si="5"/>
        <v>45322</v>
      </c>
      <c r="AB103" s="68">
        <f t="shared" si="6"/>
        <v>45323</v>
      </c>
      <c r="AC103" s="68">
        <f t="shared" si="7"/>
        <v>45351</v>
      </c>
      <c r="AD103" s="68">
        <f t="shared" si="8"/>
        <v>45350</v>
      </c>
      <c r="AE103" s="68">
        <f t="shared" si="9"/>
        <v>45351</v>
      </c>
    </row>
    <row r="104" spans="1:31" ht="12.5">
      <c r="A104" s="125">
        <v>610422100177</v>
      </c>
      <c r="B104" s="64" t="s">
        <v>26</v>
      </c>
      <c r="D104" s="10">
        <f t="array" aca="1" ref="D104" ca="1">INDEX('Mitra per Bulan'!$M$2:$M800,MATCH(S104,'Mitra per Bulan'!$B$2:$B800,0))</f>
        <v>1</v>
      </c>
      <c r="E104" s="10" t="str">
        <f t="array" ref="E104">INDEX('Database Mitra'!$A$2:$A800,MATCH(A104,'Database Mitra'!$B$2:$B800,0))</f>
        <v>Amirah</v>
      </c>
      <c r="F104" s="64" t="s">
        <v>90</v>
      </c>
      <c r="G104" s="5" t="str">
        <f t="array" ref="G104">INDEX('Database Mitra'!$G$2:$G800,MATCH(A104,'Database Mitra'!$B$2:$B800,0))</f>
        <v>6102015302980003</v>
      </c>
      <c r="H104" s="64" t="s">
        <v>91</v>
      </c>
      <c r="I104" s="65" t="str">
        <f t="shared" si="11"/>
        <v>SUSENAS24-LAPANGAN-SEMESTER1-PETUGAS ENTRI-PENGOLAHAN LISTING</v>
      </c>
      <c r="J104" s="10" t="str">
        <f t="array" ref="J104">INDEX(Honor!$H$2:$H800,MATCH($I104,Honor!$A$2:$A800,0))</f>
        <v>Dokumen</v>
      </c>
      <c r="K104" s="66">
        <f t="array" ref="K104">INDEX(Honor!$I$2:$I800,MATCH($I104,Honor!$A$2:$A800,0))</f>
        <v>34000</v>
      </c>
      <c r="L104" s="64">
        <v>2</v>
      </c>
      <c r="M104" s="10">
        <f t="shared" si="0"/>
        <v>68000</v>
      </c>
      <c r="N104" s="71">
        <v>65960</v>
      </c>
      <c r="O104" s="67">
        <f t="array" ref="O104">INDEX(Honor!$L$2:$L800,MATCH($I104,Honor!$A$2:$A800,0))</f>
        <v>45340</v>
      </c>
      <c r="P104" s="10">
        <f t="shared" si="1"/>
        <v>2024</v>
      </c>
      <c r="Q104" s="10">
        <f t="shared" si="2"/>
        <v>2</v>
      </c>
      <c r="R104" s="10" t="str">
        <f t="array" ref="R104">INDEX(Honor!$Q$2:$Q800,MATCH($I104,Honor!$A$2:$A800,0))</f>
        <v>SURVEI-PETUGAS ENTRI</v>
      </c>
      <c r="S104" s="10" t="str">
        <f t="shared" si="3"/>
        <v>610422100177-2024-2</v>
      </c>
      <c r="T104" s="10" t="str">
        <f t="shared" si="4"/>
        <v>610422100177-2024-2-SURVEI-PETUGAS ENTRI</v>
      </c>
      <c r="U104" s="64">
        <v>1</v>
      </c>
      <c r="V104" s="10" t="e">
        <f t="array" aca="1" ref="V104" ca="1">INDEX(Honor!$O$2:$O800,MATCH($I104,Honor!$A$2:$A800,0))</f>
        <v>#NAME?</v>
      </c>
      <c r="W104" s="68">
        <v>45351</v>
      </c>
      <c r="X104" s="7" t="str">
        <f t="array" ref="X104">INDEX('Input Kegiatan'!$B$2:$B800,MATCH(B104,'Input Kegiatan'!$A$2:$A800,0))</f>
        <v>Susenas Maret 2024</v>
      </c>
      <c r="Y104" s="7" t="s">
        <v>4572</v>
      </c>
      <c r="Z104" s="7" t="s">
        <v>4656</v>
      </c>
      <c r="AA104" s="68">
        <f t="shared" si="5"/>
        <v>45322</v>
      </c>
      <c r="AB104" s="68">
        <f t="shared" si="6"/>
        <v>45323</v>
      </c>
      <c r="AC104" s="68">
        <f t="shared" si="7"/>
        <v>45351</v>
      </c>
      <c r="AD104" s="68">
        <f t="shared" si="8"/>
        <v>45350</v>
      </c>
      <c r="AE104" s="68">
        <f t="shared" si="9"/>
        <v>45351</v>
      </c>
    </row>
    <row r="105" spans="1:31" ht="12.5">
      <c r="A105" s="125">
        <v>610422100083</v>
      </c>
      <c r="B105" s="64" t="s">
        <v>26</v>
      </c>
      <c r="D105" s="10">
        <f t="array" aca="1" ref="D105" ca="1">INDEX('Mitra per Bulan'!$M$2:$M800,MATCH(S105,'Mitra per Bulan'!$B$2:$B800,0))</f>
        <v>1</v>
      </c>
      <c r="E105" s="10" t="str">
        <f t="array" ref="E105">INDEX('Database Mitra'!$A$2:$A800,MATCH(A105,'Database Mitra'!$B$2:$B800,0))</f>
        <v>Ilham Subagio</v>
      </c>
      <c r="F105" s="64" t="s">
        <v>90</v>
      </c>
      <c r="G105" s="5" t="str">
        <f t="array" ref="G105">INDEX('Database Mitra'!$G$2:$G800,MATCH(A105,'Database Mitra'!$B$2:$B800,0))</f>
        <v>6102012006970002</v>
      </c>
      <c r="H105" s="64" t="s">
        <v>91</v>
      </c>
      <c r="I105" s="65" t="str">
        <f t="shared" si="11"/>
        <v>SUSENAS24-LAPANGAN-SEMESTER1-PETUGAS ENTRI-PENGOLAHAN LISTING</v>
      </c>
      <c r="J105" s="10" t="str">
        <f t="array" ref="J105">INDEX(Honor!$H$2:$H800,MATCH($I105,Honor!$A$2:$A800,0))</f>
        <v>Dokumen</v>
      </c>
      <c r="K105" s="66">
        <f t="array" ref="K105">INDEX(Honor!$I$2:$I800,MATCH($I105,Honor!$A$2:$A800,0))</f>
        <v>34000</v>
      </c>
      <c r="L105" s="64">
        <v>21</v>
      </c>
      <c r="M105" s="10">
        <f t="shared" si="0"/>
        <v>714000</v>
      </c>
      <c r="N105" s="71">
        <v>692580</v>
      </c>
      <c r="O105" s="67">
        <f t="array" ref="O105">INDEX(Honor!$L$2:$L800,MATCH($I105,Honor!$A$2:$A800,0))</f>
        <v>45340</v>
      </c>
      <c r="P105" s="10">
        <f t="shared" si="1"/>
        <v>2024</v>
      </c>
      <c r="Q105" s="10">
        <f t="shared" si="2"/>
        <v>2</v>
      </c>
      <c r="R105" s="10" t="str">
        <f t="array" ref="R105">INDEX(Honor!$Q$2:$Q800,MATCH($I105,Honor!$A$2:$A800,0))</f>
        <v>SURVEI-PETUGAS ENTRI</v>
      </c>
      <c r="S105" s="10" t="str">
        <f t="shared" si="3"/>
        <v>610422100083-2024-2</v>
      </c>
      <c r="T105" s="10" t="str">
        <f t="shared" si="4"/>
        <v>610422100083-2024-2-SURVEI-PETUGAS ENTRI</v>
      </c>
      <c r="U105" s="64">
        <v>1</v>
      </c>
      <c r="V105" s="10" t="e">
        <f t="array" aca="1" ref="V105" ca="1">INDEX(Honor!$O$2:$O800,MATCH($I105,Honor!$A$2:$A800,0))</f>
        <v>#NAME?</v>
      </c>
      <c r="W105" s="68">
        <v>45351</v>
      </c>
      <c r="X105" s="7" t="str">
        <f t="array" ref="X105">INDEX('Input Kegiatan'!$B$2:$B800,MATCH(B105,'Input Kegiatan'!$A$2:$A800,0))</f>
        <v>Susenas Maret 2024</v>
      </c>
      <c r="Y105" s="7" t="s">
        <v>4572</v>
      </c>
      <c r="Z105" s="7" t="s">
        <v>4619</v>
      </c>
      <c r="AA105" s="68">
        <f t="shared" si="5"/>
        <v>45322</v>
      </c>
      <c r="AB105" s="68">
        <f t="shared" si="6"/>
        <v>45323</v>
      </c>
      <c r="AC105" s="68">
        <f t="shared" si="7"/>
        <v>45351</v>
      </c>
      <c r="AD105" s="68">
        <f t="shared" si="8"/>
        <v>45350</v>
      </c>
      <c r="AE105" s="68">
        <f t="shared" si="9"/>
        <v>45351</v>
      </c>
    </row>
    <row r="106" spans="1:31" ht="12.5">
      <c r="A106" s="125">
        <v>610422030002</v>
      </c>
      <c r="B106" s="65" t="s">
        <v>92</v>
      </c>
      <c r="D106" s="10">
        <f t="array" aca="1" ref="D106" ca="1">INDEX('Mitra per Bulan'!$M$2:$M800,MATCH(S106,'Mitra per Bulan'!$B$2:$B800,0))</f>
        <v>1</v>
      </c>
      <c r="E106" s="10" t="str">
        <f t="array" ref="E106">INDEX('Database Mitra'!$A$2:$A800,MATCH(A106,'Database Mitra'!$B$2:$B800,0))</f>
        <v>Deti Erni Widiastuti</v>
      </c>
      <c r="F106" s="64" t="s">
        <v>25</v>
      </c>
      <c r="G106" s="5" t="str">
        <f t="array" ref="G106">INDEX('Database Mitra'!$G$2:$G800,MATCH(A106,'Database Mitra'!$B$2:$B800,0))</f>
        <v>6102016712860001</v>
      </c>
      <c r="H106" s="64" t="s">
        <v>67</v>
      </c>
      <c r="I106" s="65" t="s">
        <v>93</v>
      </c>
      <c r="J106" s="10" t="str">
        <f t="array" ref="J106">INDEX(Honor!$H$2:$H800,MATCH($I106,Honor!$A$2:$A800,0))</f>
        <v>Dokumen</v>
      </c>
      <c r="K106" s="66">
        <f t="array" ref="K106">INDEX(Honor!$I$2:$I800,MATCH($I106,Honor!$A$2:$A800,0))</f>
        <v>50000</v>
      </c>
      <c r="L106" s="64">
        <v>15</v>
      </c>
      <c r="M106" s="10">
        <f t="shared" si="0"/>
        <v>750000</v>
      </c>
      <c r="O106" s="67">
        <f t="array" ref="O106">INDEX(Honor!$L$2:$L800,MATCH($I106,Honor!$A$2:$A800,0))</f>
        <v>45342</v>
      </c>
      <c r="P106" s="10">
        <f t="shared" si="1"/>
        <v>2024</v>
      </c>
      <c r="Q106" s="10">
        <f t="shared" si="2"/>
        <v>2</v>
      </c>
      <c r="R106" s="10" t="str">
        <f t="array" ref="R106">INDEX(Honor!$Q$2:$Q800,MATCH($I106,Honor!$A$2:$A800,0))</f>
        <v>SURVEI-PPL</v>
      </c>
      <c r="S106" s="10" t="str">
        <f t="shared" si="3"/>
        <v>610422030002-2024-2</v>
      </c>
      <c r="T106" s="10" t="str">
        <f t="shared" si="4"/>
        <v>610422030002-2024-2-SURVEI-PPL</v>
      </c>
      <c r="U106" s="64">
        <v>1</v>
      </c>
      <c r="V106" s="10" t="e">
        <f t="array" aca="1" ref="V106" ca="1">INDEX(Honor!$O$2:$O800,MATCH($I106,Honor!$A$2:$A800,0))</f>
        <v>#NAME?</v>
      </c>
      <c r="W106" s="68">
        <v>45373</v>
      </c>
      <c r="X106" s="7" t="str">
        <f t="array" ref="X106">INDEX('Input Kegiatan'!$B$2:$B800,MATCH(B106,'Input Kegiatan'!$A$2:$A800,0))</f>
        <v>Survei Harga Perdagangan Besar (SHPB24) Februari</v>
      </c>
      <c r="Y106" s="7" t="s">
        <v>3715</v>
      </c>
      <c r="Z106" s="7" t="s">
        <v>3716</v>
      </c>
      <c r="AA106" s="68">
        <f t="shared" si="5"/>
        <v>45322</v>
      </c>
      <c r="AB106" s="68">
        <f t="shared" si="6"/>
        <v>45323</v>
      </c>
      <c r="AC106" s="68">
        <f t="shared" si="7"/>
        <v>45351</v>
      </c>
      <c r="AD106" s="68">
        <f t="shared" si="8"/>
        <v>45350</v>
      </c>
      <c r="AE106" s="68">
        <f t="shared" si="9"/>
        <v>45351</v>
      </c>
    </row>
    <row r="107" spans="1:31" ht="12.5">
      <c r="A107" s="125">
        <v>610422100244</v>
      </c>
      <c r="B107" s="64" t="s">
        <v>94</v>
      </c>
      <c r="D107" s="10">
        <f t="array" aca="1" ref="D107" ca="1">INDEX('Mitra per Bulan'!$M$2:$M800,MATCH(S107,'Mitra per Bulan'!$B$2:$B800,0))</f>
        <v>1</v>
      </c>
      <c r="E107" s="10" t="str">
        <f t="array" ref="E107">INDEX('Database Mitra'!$A$2:$A800,MATCH(A107,'Database Mitra'!$B$2:$B800,0))</f>
        <v>Sugianto</v>
      </c>
      <c r="F107" s="64" t="s">
        <v>25</v>
      </c>
      <c r="G107" s="5" t="str">
        <f t="array" ref="G107">INDEX('Database Mitra'!$G$2:$G800,MATCH(A107,'Database Mitra'!$B$2:$B800,0))</f>
        <v>6102171003900002</v>
      </c>
      <c r="H107" s="64" t="s">
        <v>67</v>
      </c>
      <c r="I107" s="65" t="s">
        <v>95</v>
      </c>
      <c r="J107" s="10" t="str">
        <f t="array" ref="J107">INDEX(Honor!$H$2:$H800,MATCH($I107,Honor!$A$2:$A800,0))</f>
        <v>Dokumen</v>
      </c>
      <c r="K107" s="66">
        <f t="array" ref="K107">INDEX(Honor!$I$2:$I800,MATCH($I107,Honor!$A$2:$A800,0))</f>
        <v>50000</v>
      </c>
      <c r="L107" s="64">
        <v>1</v>
      </c>
      <c r="M107" s="10">
        <f t="shared" si="0"/>
        <v>50000</v>
      </c>
      <c r="O107" s="67">
        <f t="array" ref="O107">INDEX(Honor!$L$2:$L800,MATCH($I107,Honor!$A$2:$A800,0))</f>
        <v>45342</v>
      </c>
      <c r="P107" s="10">
        <f t="shared" si="1"/>
        <v>2024</v>
      </c>
      <c r="Q107" s="10">
        <f t="shared" si="2"/>
        <v>2</v>
      </c>
      <c r="R107" s="10" t="str">
        <f t="array" ref="R107">INDEX(Honor!$Q$2:$Q800,MATCH($I107,Honor!$A$2:$A800,0))</f>
        <v>SURVEI-PPL</v>
      </c>
      <c r="S107" s="10" t="str">
        <f t="shared" si="3"/>
        <v>610422100244-2024-2</v>
      </c>
      <c r="T107" s="10" t="str">
        <f t="shared" si="4"/>
        <v>610422100244-2024-2-SURVEI-PPL</v>
      </c>
      <c r="U107" s="64">
        <v>1</v>
      </c>
      <c r="V107" s="10" t="e">
        <f t="array" aca="1" ref="V107" ca="1">INDEX(Honor!$O$2:$O800,MATCH($I107,Honor!$A$2:$A800,0))</f>
        <v>#NAME?</v>
      </c>
      <c r="W107" s="68">
        <v>45373</v>
      </c>
      <c r="X107" s="7" t="str">
        <f t="array" ref="X107">INDEX('Input Kegiatan'!$B$2:$B800,MATCH(B107,'Input Kegiatan'!$A$2:$A800,0))</f>
        <v>Survei Harga Produsen Gabah (HPG24) Februari</v>
      </c>
      <c r="Y107" s="7" t="s">
        <v>5741</v>
      </c>
      <c r="Z107" s="7" t="s">
        <v>5796</v>
      </c>
      <c r="AA107" s="68">
        <f t="shared" si="5"/>
        <v>45322</v>
      </c>
      <c r="AB107" s="68">
        <f t="shared" si="6"/>
        <v>45323</v>
      </c>
      <c r="AC107" s="68">
        <f t="shared" si="7"/>
        <v>45351</v>
      </c>
      <c r="AD107" s="68">
        <f t="shared" si="8"/>
        <v>45350</v>
      </c>
      <c r="AE107" s="68">
        <f t="shared" si="9"/>
        <v>45351</v>
      </c>
    </row>
    <row r="108" spans="1:31" ht="12.5">
      <c r="A108" s="125">
        <v>610422100124</v>
      </c>
      <c r="B108" s="64" t="s">
        <v>94</v>
      </c>
      <c r="D108" s="10">
        <f t="array" aca="1" ref="D108" ca="1">INDEX('Mitra per Bulan'!$M$2:$M800,MATCH(S108,'Mitra per Bulan'!$B$2:$B800,0))</f>
        <v>1</v>
      </c>
      <c r="E108" s="10" t="str">
        <f t="array" ref="E108">INDEX('Database Mitra'!$A$2:$A800,MATCH(A108,'Database Mitra'!$B$2:$B800,0))</f>
        <v>Prabowo</v>
      </c>
      <c r="F108" s="64" t="s">
        <v>25</v>
      </c>
      <c r="G108" s="5" t="str">
        <f t="array" ref="G108">INDEX('Database Mitra'!$G$2:$G800,MATCH(A108,'Database Mitra'!$B$2:$B800,0))</f>
        <v>6171010108790015</v>
      </c>
      <c r="H108" s="64" t="s">
        <v>67</v>
      </c>
      <c r="I108" s="65" t="s">
        <v>95</v>
      </c>
      <c r="J108" s="10" t="str">
        <f t="array" ref="J108">INDEX(Honor!$H$2:$H800,MATCH($I108,Honor!$A$2:$A800,0))</f>
        <v>Dokumen</v>
      </c>
      <c r="K108" s="66">
        <f t="array" ref="K108">INDEX(Honor!$I$2:$I800,MATCH($I108,Honor!$A$2:$A800,0))</f>
        <v>50000</v>
      </c>
      <c r="L108" s="64">
        <v>1</v>
      </c>
      <c r="M108" s="10">
        <f t="shared" si="0"/>
        <v>50000</v>
      </c>
      <c r="O108" s="67">
        <f t="array" ref="O108">INDEX(Honor!$L$2:$L800,MATCH($I108,Honor!$A$2:$A800,0))</f>
        <v>45342</v>
      </c>
      <c r="P108" s="10">
        <f t="shared" si="1"/>
        <v>2024</v>
      </c>
      <c r="Q108" s="10">
        <f t="shared" si="2"/>
        <v>2</v>
      </c>
      <c r="R108" s="10" t="str">
        <f t="array" ref="R108">INDEX(Honor!$Q$2:$Q800,MATCH($I108,Honor!$A$2:$A800,0))</f>
        <v>SURVEI-PPL</v>
      </c>
      <c r="S108" s="10" t="str">
        <f t="shared" si="3"/>
        <v>610422100124-2024-2</v>
      </c>
      <c r="T108" s="10" t="str">
        <f t="shared" si="4"/>
        <v>610422100124-2024-2-SURVEI-PPL</v>
      </c>
      <c r="U108" s="64">
        <v>1</v>
      </c>
      <c r="V108" s="10" t="e">
        <f t="array" aca="1" ref="V108" ca="1">INDEX(Honor!$O$2:$O800,MATCH($I108,Honor!$A$2:$A800,0))</f>
        <v>#NAME?</v>
      </c>
      <c r="W108" s="68">
        <v>45373</v>
      </c>
      <c r="X108" s="7" t="str">
        <f t="array" ref="X108">INDEX('Input Kegiatan'!$B$2:$B800,MATCH(B108,'Input Kegiatan'!$A$2:$A800,0))</f>
        <v>Survei Harga Produsen Gabah (HPG24) Februari</v>
      </c>
      <c r="Y108" s="7" t="s">
        <v>1921</v>
      </c>
      <c r="Z108" s="7" t="s">
        <v>2140</v>
      </c>
      <c r="AA108" s="68">
        <f t="shared" si="5"/>
        <v>45322</v>
      </c>
      <c r="AB108" s="68">
        <f t="shared" si="6"/>
        <v>45323</v>
      </c>
      <c r="AC108" s="68">
        <f t="shared" si="7"/>
        <v>45351</v>
      </c>
      <c r="AD108" s="68">
        <f t="shared" si="8"/>
        <v>45350</v>
      </c>
      <c r="AE108" s="68">
        <f t="shared" si="9"/>
        <v>45351</v>
      </c>
    </row>
    <row r="109" spans="1:31" ht="12.5">
      <c r="A109" s="125">
        <v>610422100016</v>
      </c>
      <c r="B109" s="65" t="s">
        <v>96</v>
      </c>
      <c r="D109" s="10">
        <f t="array" aca="1" ref="D109" ca="1">INDEX('Mitra per Bulan'!$M$2:$M800,MATCH(S109,'Mitra per Bulan'!$B$2:$B800,0))</f>
        <v>1</v>
      </c>
      <c r="E109" s="10" t="str">
        <f t="array" ref="E109">INDEX('Database Mitra'!$A$2:$A800,MATCH(A109,'Database Mitra'!$B$2:$B800,0))</f>
        <v>Amalia Faisya</v>
      </c>
      <c r="F109" s="64" t="s">
        <v>25</v>
      </c>
      <c r="G109" s="5" t="str">
        <f t="array" ref="G109">INDEX('Database Mitra'!$G$2:$G800,MATCH(A109,'Database Mitra'!$B$2:$B800,0))</f>
        <v>6102124210010005</v>
      </c>
      <c r="H109" s="64" t="s">
        <v>72</v>
      </c>
      <c r="I109" s="65" t="s">
        <v>97</v>
      </c>
      <c r="J109" s="10" t="str">
        <f t="array" ref="J109">INDEX(Honor!$H$2:$H800,MATCH($I109,Honor!$A$2:$A800,0))</f>
        <v>Dokumen</v>
      </c>
      <c r="K109" s="66">
        <f t="array" ref="K109">INDEX(Honor!$I$2:$I800,MATCH($I109,Honor!$A$2:$A800,0))</f>
        <v>65000</v>
      </c>
      <c r="L109" s="64">
        <v>3</v>
      </c>
      <c r="M109" s="10">
        <f t="shared" si="0"/>
        <v>195000</v>
      </c>
      <c r="O109" s="67">
        <f t="array" ref="O109">INDEX(Honor!$L$2:$L800,MATCH($I109,Honor!$A$2:$A800,0))</f>
        <v>45342</v>
      </c>
      <c r="P109" s="10">
        <f t="shared" si="1"/>
        <v>2024</v>
      </c>
      <c r="Q109" s="10">
        <f t="shared" si="2"/>
        <v>2</v>
      </c>
      <c r="R109" s="10" t="str">
        <f t="array" ref="R109">INDEX(Honor!$Q$2:$Q800,MATCH($I109,Honor!$A$2:$A800,0))</f>
        <v>SURVEI-PPL</v>
      </c>
      <c r="S109" s="10" t="str">
        <f t="shared" si="3"/>
        <v>610422100016-2024-2</v>
      </c>
      <c r="T109" s="10" t="str">
        <f t="shared" si="4"/>
        <v>610422100016-2024-2-SURVEI-PPL</v>
      </c>
      <c r="U109" s="64">
        <v>1</v>
      </c>
      <c r="V109" s="10" t="e">
        <f t="array" aca="1" ref="V109" ca="1">INDEX(Honor!$O$2:$O800,MATCH($I109,Honor!$A$2:$A800,0))</f>
        <v>#NAME?</v>
      </c>
      <c r="W109" s="68">
        <v>45373</v>
      </c>
      <c r="X109" s="7" t="str">
        <f t="array" ref="X109">INDEX('Input Kegiatan'!$B$2:$B800,MATCH(B109,'Input Kegiatan'!$A$2:$A800,0))</f>
        <v>Survei Harga Perdesaan (SHPED24) Februari</v>
      </c>
      <c r="Y109" s="7" t="s">
        <v>5250</v>
      </c>
      <c r="Z109" s="7" t="s">
        <v>5365</v>
      </c>
      <c r="AA109" s="68">
        <f t="shared" si="5"/>
        <v>45322</v>
      </c>
      <c r="AB109" s="68">
        <f t="shared" si="6"/>
        <v>45323</v>
      </c>
      <c r="AC109" s="68">
        <f t="shared" si="7"/>
        <v>45351</v>
      </c>
      <c r="AD109" s="68">
        <f t="shared" si="8"/>
        <v>45350</v>
      </c>
      <c r="AE109" s="68">
        <f t="shared" si="9"/>
        <v>45351</v>
      </c>
    </row>
    <row r="110" spans="1:31" ht="12.5">
      <c r="A110" s="125">
        <v>610422050001</v>
      </c>
      <c r="B110" s="65" t="s">
        <v>96</v>
      </c>
      <c r="D110" s="10">
        <f t="array" aca="1" ref="D110" ca="1">INDEX('Mitra per Bulan'!$M$2:$M800,MATCH(S110,'Mitra per Bulan'!$B$2:$B800,0))</f>
        <v>1</v>
      </c>
      <c r="E110" s="10" t="str">
        <f t="array" ref="E110">INDEX('Database Mitra'!$A$2:$A800,MATCH(A110,'Database Mitra'!$B$2:$B800,0))</f>
        <v>Evi Juniarty</v>
      </c>
      <c r="F110" s="64" t="s">
        <v>25</v>
      </c>
      <c r="G110" s="5" t="str">
        <f t="array" ref="G110">INDEX('Database Mitra'!$G$2:$G800,MATCH(A110,'Database Mitra'!$B$2:$B800,0))</f>
        <v>6102165101840001</v>
      </c>
      <c r="H110" s="64" t="s">
        <v>72</v>
      </c>
      <c r="I110" s="65" t="s">
        <v>97</v>
      </c>
      <c r="J110" s="10" t="str">
        <f t="array" ref="J110">INDEX(Honor!$H$2:$H800,MATCH($I110,Honor!$A$2:$A800,0))</f>
        <v>Dokumen</v>
      </c>
      <c r="K110" s="66">
        <f t="array" ref="K110">INDEX(Honor!$I$2:$I800,MATCH($I110,Honor!$A$2:$A800,0))</f>
        <v>65000</v>
      </c>
      <c r="L110" s="64">
        <v>3</v>
      </c>
      <c r="M110" s="10">
        <f t="shared" si="0"/>
        <v>195000</v>
      </c>
      <c r="O110" s="67">
        <f t="array" ref="O110">INDEX(Honor!$L$2:$L800,MATCH($I110,Honor!$A$2:$A800,0))</f>
        <v>45342</v>
      </c>
      <c r="P110" s="10">
        <f t="shared" si="1"/>
        <v>2024</v>
      </c>
      <c r="Q110" s="10">
        <f t="shared" si="2"/>
        <v>2</v>
      </c>
      <c r="R110" s="10" t="str">
        <f t="array" ref="R110">INDEX(Honor!$Q$2:$Q800,MATCH($I110,Honor!$A$2:$A800,0))</f>
        <v>SURVEI-PPL</v>
      </c>
      <c r="S110" s="10" t="str">
        <f t="shared" si="3"/>
        <v>610422050001-2024-2</v>
      </c>
      <c r="T110" s="10" t="str">
        <f t="shared" si="4"/>
        <v>610422050001-2024-2-SURVEI-PPL</v>
      </c>
      <c r="U110" s="64">
        <v>1</v>
      </c>
      <c r="V110" s="10" t="e">
        <f t="array" aca="1" ref="V110" ca="1">INDEX(Honor!$O$2:$O800,MATCH($I110,Honor!$A$2:$A800,0))</f>
        <v>#NAME?</v>
      </c>
      <c r="W110" s="68">
        <v>45373</v>
      </c>
      <c r="X110" s="7" t="str">
        <f t="array" ref="X110">INDEX('Input Kegiatan'!$B$2:$B800,MATCH(B110,'Input Kegiatan'!$A$2:$A800,0))</f>
        <v>Survei Harga Perdesaan (SHPED24) Februari</v>
      </c>
      <c r="Y110" s="7" t="s">
        <v>4408</v>
      </c>
      <c r="Z110" s="7" t="s">
        <v>4409</v>
      </c>
      <c r="AA110" s="68">
        <f t="shared" si="5"/>
        <v>45322</v>
      </c>
      <c r="AB110" s="68">
        <f t="shared" si="6"/>
        <v>45323</v>
      </c>
      <c r="AC110" s="68">
        <f t="shared" si="7"/>
        <v>45351</v>
      </c>
      <c r="AD110" s="68">
        <f t="shared" si="8"/>
        <v>45350</v>
      </c>
      <c r="AE110" s="68">
        <f t="shared" si="9"/>
        <v>45351</v>
      </c>
    </row>
    <row r="111" spans="1:31" ht="12.5">
      <c r="A111" s="125">
        <v>610422040030</v>
      </c>
      <c r="B111" s="65" t="s">
        <v>96</v>
      </c>
      <c r="D111" s="10">
        <f t="array" aca="1" ref="D111" ca="1">INDEX('Mitra per Bulan'!$M$2:$M800,MATCH(S111,'Mitra per Bulan'!$B$2:$B800,0))</f>
        <v>1</v>
      </c>
      <c r="E111" s="10" t="str">
        <f t="array" ref="E111">INDEX('Database Mitra'!$A$2:$A800,MATCH(A111,'Database Mitra'!$B$2:$B800,0))</f>
        <v>Syarifah Desti Pratiwi</v>
      </c>
      <c r="F111" s="64" t="s">
        <v>25</v>
      </c>
      <c r="G111" s="5" t="str">
        <f t="array" ref="G111">INDEX('Database Mitra'!$G$2:$G800,MATCH(A111,'Database Mitra'!$B$2:$B800,0))</f>
        <v>6102084512950002</v>
      </c>
      <c r="H111" s="64" t="s">
        <v>74</v>
      </c>
      <c r="I111" s="65" t="s">
        <v>98</v>
      </c>
      <c r="J111" s="10" t="str">
        <f t="array" ref="J111">INDEX(Honor!$H$2:$H800,MATCH($I111,Honor!$A$2:$A800,0))</f>
        <v>Dokumen</v>
      </c>
      <c r="K111" s="66">
        <f t="array" ref="K111">INDEX(Honor!$I$2:$I800,MATCH($I111,Honor!$A$2:$A800,0))</f>
        <v>55000</v>
      </c>
      <c r="L111" s="64">
        <v>1</v>
      </c>
      <c r="M111" s="10">
        <f t="shared" si="0"/>
        <v>55000</v>
      </c>
      <c r="O111" s="67">
        <f t="array" ref="O111">INDEX(Honor!$L$2:$L800,MATCH($I111,Honor!$A$2:$A800,0))</f>
        <v>45342</v>
      </c>
      <c r="P111" s="10">
        <f t="shared" si="1"/>
        <v>2024</v>
      </c>
      <c r="Q111" s="10">
        <f t="shared" si="2"/>
        <v>2</v>
      </c>
      <c r="R111" s="10" t="str">
        <f t="array" ref="R111">INDEX(Honor!$Q$2:$Q800,MATCH($I111,Honor!$A$2:$A800,0))</f>
        <v>SURVEI-PPL</v>
      </c>
      <c r="S111" s="10" t="str">
        <f t="shared" si="3"/>
        <v>610422040030-2024-2</v>
      </c>
      <c r="T111" s="10" t="str">
        <f t="shared" si="4"/>
        <v>610422040030-2024-2-SURVEI-PPL</v>
      </c>
      <c r="U111" s="64">
        <v>1</v>
      </c>
      <c r="V111" s="10" t="e">
        <f t="array" aca="1" ref="V111" ca="1">INDEX(Honor!$O$2:$O800,MATCH($I111,Honor!$A$2:$A800,0))</f>
        <v>#NAME?</v>
      </c>
      <c r="W111" s="68">
        <v>45373</v>
      </c>
      <c r="X111" s="7" t="str">
        <f t="array" ref="X111">INDEX('Input Kegiatan'!$B$2:$B800,MATCH(B111,'Input Kegiatan'!$A$2:$A800,0))</f>
        <v>Survei Harga Perdesaan (SHPED24) Februari</v>
      </c>
      <c r="Y111" s="7" t="s">
        <v>3241</v>
      </c>
      <c r="Z111" s="7" t="s">
        <v>3289</v>
      </c>
      <c r="AA111" s="68">
        <f t="shared" si="5"/>
        <v>45322</v>
      </c>
      <c r="AB111" s="68">
        <f t="shared" si="6"/>
        <v>45323</v>
      </c>
      <c r="AC111" s="68">
        <f t="shared" si="7"/>
        <v>45351</v>
      </c>
      <c r="AD111" s="68">
        <f t="shared" si="8"/>
        <v>45350</v>
      </c>
      <c r="AE111" s="68">
        <f t="shared" si="9"/>
        <v>45351</v>
      </c>
    </row>
    <row r="112" spans="1:31" ht="12.5">
      <c r="A112" s="125">
        <v>610422100124</v>
      </c>
      <c r="B112" s="65" t="s">
        <v>96</v>
      </c>
      <c r="D112" s="10">
        <f t="array" aca="1" ref="D112" ca="1">INDEX('Mitra per Bulan'!$M$2:$M800,MATCH(S112,'Mitra per Bulan'!$B$2:$B800,0))</f>
        <v>1</v>
      </c>
      <c r="E112" s="10" t="str">
        <f t="array" ref="E112">INDEX('Database Mitra'!$A$2:$A800,MATCH(A112,'Database Mitra'!$B$2:$B800,0))</f>
        <v>Prabowo</v>
      </c>
      <c r="F112" s="64" t="s">
        <v>25</v>
      </c>
      <c r="G112" s="5" t="str">
        <f t="array" ref="G112">INDEX('Database Mitra'!$G$2:$G800,MATCH(A112,'Database Mitra'!$B$2:$B800,0))</f>
        <v>6171010108790015</v>
      </c>
      <c r="H112" s="64" t="s">
        <v>74</v>
      </c>
      <c r="I112" s="65" t="s">
        <v>98</v>
      </c>
      <c r="J112" s="10" t="str">
        <f t="array" ref="J112">INDEX(Honor!$H$2:$H800,MATCH($I112,Honor!$A$2:$A800,0))</f>
        <v>Dokumen</v>
      </c>
      <c r="K112" s="66">
        <f t="array" ref="K112">INDEX(Honor!$I$2:$I800,MATCH($I112,Honor!$A$2:$A800,0))</f>
        <v>55000</v>
      </c>
      <c r="L112" s="64">
        <v>3</v>
      </c>
      <c r="M112" s="10">
        <f t="shared" si="0"/>
        <v>165000</v>
      </c>
      <c r="O112" s="67">
        <f t="array" ref="O112">INDEX(Honor!$L$2:$L800,MATCH($I112,Honor!$A$2:$A800,0))</f>
        <v>45342</v>
      </c>
      <c r="P112" s="10">
        <f t="shared" si="1"/>
        <v>2024</v>
      </c>
      <c r="Q112" s="10">
        <f t="shared" si="2"/>
        <v>2</v>
      </c>
      <c r="R112" s="10" t="str">
        <f t="array" ref="R112">INDEX(Honor!$Q$2:$Q800,MATCH($I112,Honor!$A$2:$A800,0))</f>
        <v>SURVEI-PPL</v>
      </c>
      <c r="S112" s="10" t="str">
        <f t="shared" si="3"/>
        <v>610422100124-2024-2</v>
      </c>
      <c r="T112" s="10" t="str">
        <f t="shared" si="4"/>
        <v>610422100124-2024-2-SURVEI-PPL</v>
      </c>
      <c r="U112" s="64">
        <v>1</v>
      </c>
      <c r="V112" s="10" t="e">
        <f t="array" aca="1" ref="V112" ca="1">INDEX(Honor!$O$2:$O800,MATCH($I112,Honor!$A$2:$A800,0))</f>
        <v>#NAME?</v>
      </c>
      <c r="W112" s="68">
        <v>45373</v>
      </c>
      <c r="X112" s="7" t="str">
        <f t="array" ref="X112">INDEX('Input Kegiatan'!$B$2:$B800,MATCH(B112,'Input Kegiatan'!$A$2:$A800,0))</f>
        <v>Survei Harga Perdesaan (SHPED24) Februari</v>
      </c>
      <c r="Y112" s="7" t="s">
        <v>1921</v>
      </c>
      <c r="Z112" s="7" t="s">
        <v>2140</v>
      </c>
      <c r="AA112" s="68">
        <f t="shared" si="5"/>
        <v>45322</v>
      </c>
      <c r="AB112" s="68">
        <f t="shared" si="6"/>
        <v>45323</v>
      </c>
      <c r="AC112" s="68">
        <f t="shared" si="7"/>
        <v>45351</v>
      </c>
      <c r="AD112" s="68">
        <f t="shared" si="8"/>
        <v>45350</v>
      </c>
      <c r="AE112" s="68">
        <f t="shared" si="9"/>
        <v>45351</v>
      </c>
    </row>
    <row r="113" spans="1:31" ht="12.5">
      <c r="A113" s="125">
        <v>610422100244</v>
      </c>
      <c r="B113" s="65" t="s">
        <v>96</v>
      </c>
      <c r="D113" s="10">
        <f t="array" aca="1" ref="D113" ca="1">INDEX('Mitra per Bulan'!$M$2:$M800,MATCH(S113,'Mitra per Bulan'!$B$2:$B800,0))</f>
        <v>1</v>
      </c>
      <c r="E113" s="10" t="str">
        <f t="array" ref="E113">INDEX('Database Mitra'!$A$2:$A800,MATCH(A113,'Database Mitra'!$B$2:$B800,0))</f>
        <v>Sugianto</v>
      </c>
      <c r="F113" s="64" t="s">
        <v>25</v>
      </c>
      <c r="G113" s="5" t="str">
        <f t="array" ref="G113">INDEX('Database Mitra'!$G$2:$G800,MATCH(A113,'Database Mitra'!$B$2:$B800,0))</f>
        <v>6102171003900002</v>
      </c>
      <c r="H113" s="64" t="s">
        <v>74</v>
      </c>
      <c r="I113" s="65" t="s">
        <v>98</v>
      </c>
      <c r="J113" s="10" t="str">
        <f t="array" ref="J113">INDEX(Honor!$H$2:$H800,MATCH($I113,Honor!$A$2:$A800,0))</f>
        <v>Dokumen</v>
      </c>
      <c r="K113" s="66">
        <f t="array" ref="K113">INDEX(Honor!$I$2:$I800,MATCH($I113,Honor!$A$2:$A800,0))</f>
        <v>55000</v>
      </c>
      <c r="L113" s="64">
        <v>2</v>
      </c>
      <c r="M113" s="10">
        <f t="shared" si="0"/>
        <v>110000</v>
      </c>
      <c r="O113" s="67">
        <f t="array" ref="O113">INDEX(Honor!$L$2:$L800,MATCH($I113,Honor!$A$2:$A800,0))</f>
        <v>45342</v>
      </c>
      <c r="P113" s="10">
        <f t="shared" si="1"/>
        <v>2024</v>
      </c>
      <c r="Q113" s="10">
        <f t="shared" si="2"/>
        <v>2</v>
      </c>
      <c r="R113" s="10" t="str">
        <f t="array" ref="R113">INDEX(Honor!$Q$2:$Q800,MATCH($I113,Honor!$A$2:$A800,0))</f>
        <v>SURVEI-PPL</v>
      </c>
      <c r="S113" s="10" t="str">
        <f t="shared" si="3"/>
        <v>610422100244-2024-2</v>
      </c>
      <c r="T113" s="10" t="str">
        <f t="shared" si="4"/>
        <v>610422100244-2024-2-SURVEI-PPL</v>
      </c>
      <c r="U113" s="64">
        <v>1</v>
      </c>
      <c r="V113" s="10" t="e">
        <f t="array" aca="1" ref="V113" ca="1">INDEX(Honor!$O$2:$O800,MATCH($I113,Honor!$A$2:$A800,0))</f>
        <v>#NAME?</v>
      </c>
      <c r="W113" s="68">
        <v>45373</v>
      </c>
      <c r="X113" s="7" t="str">
        <f t="array" ref="X113">INDEX('Input Kegiatan'!$B$2:$B800,MATCH(B113,'Input Kegiatan'!$A$2:$A800,0))</f>
        <v>Survei Harga Perdesaan (SHPED24) Februari</v>
      </c>
      <c r="Y113" s="7" t="s">
        <v>5741</v>
      </c>
      <c r="Z113" s="7" t="s">
        <v>5796</v>
      </c>
      <c r="AA113" s="68">
        <f t="shared" si="5"/>
        <v>45322</v>
      </c>
      <c r="AB113" s="68">
        <f t="shared" si="6"/>
        <v>45323</v>
      </c>
      <c r="AC113" s="68">
        <f t="shared" si="7"/>
        <v>45351</v>
      </c>
      <c r="AD113" s="68">
        <f t="shared" si="8"/>
        <v>45350</v>
      </c>
      <c r="AE113" s="68">
        <f t="shared" si="9"/>
        <v>45351</v>
      </c>
    </row>
    <row r="114" spans="1:31" ht="12.5">
      <c r="A114" s="125">
        <v>610422020016</v>
      </c>
      <c r="B114" s="65" t="s">
        <v>96</v>
      </c>
      <c r="D114" s="10">
        <f t="array" aca="1" ref="D114" ca="1">INDEX('Mitra per Bulan'!$M$2:$M800,MATCH(S114,'Mitra per Bulan'!$B$2:$B800,0))</f>
        <v>1</v>
      </c>
      <c r="E114" s="10" t="str">
        <f t="array" ref="E114">INDEX('Database Mitra'!$A$2:$A800,MATCH(A114,'Database Mitra'!$B$2:$B800,0))</f>
        <v>Abdul Aziz</v>
      </c>
      <c r="F114" s="64" t="s">
        <v>25</v>
      </c>
      <c r="G114" s="5" t="str">
        <f t="array" ref="G114">INDEX('Database Mitra'!$G$2:$G800,MATCH(A114,'Database Mitra'!$B$2:$B800,0))</f>
        <v>6102061507950006</v>
      </c>
      <c r="H114" s="64" t="s">
        <v>74</v>
      </c>
      <c r="I114" s="65" t="s">
        <v>98</v>
      </c>
      <c r="J114" s="10" t="str">
        <f t="array" ref="J114">INDEX(Honor!$H$2:$H800,MATCH($I114,Honor!$A$2:$A800,0))</f>
        <v>Dokumen</v>
      </c>
      <c r="K114" s="66">
        <f t="array" ref="K114">INDEX(Honor!$I$2:$I800,MATCH($I114,Honor!$A$2:$A800,0))</f>
        <v>55000</v>
      </c>
      <c r="L114" s="64">
        <v>3</v>
      </c>
      <c r="M114" s="10">
        <f t="shared" si="0"/>
        <v>165000</v>
      </c>
      <c r="O114" s="67">
        <f t="array" ref="O114">INDEX(Honor!$L$2:$L800,MATCH($I114,Honor!$A$2:$A800,0))</f>
        <v>45342</v>
      </c>
      <c r="P114" s="10">
        <f t="shared" si="1"/>
        <v>2024</v>
      </c>
      <c r="Q114" s="10">
        <f t="shared" si="2"/>
        <v>2</v>
      </c>
      <c r="R114" s="10" t="str">
        <f t="array" ref="R114">INDEX(Honor!$Q$2:$Q800,MATCH($I114,Honor!$A$2:$A800,0))</f>
        <v>SURVEI-PPL</v>
      </c>
      <c r="S114" s="10" t="str">
        <f t="shared" si="3"/>
        <v>610422020016-2024-2</v>
      </c>
      <c r="T114" s="10" t="str">
        <f t="shared" si="4"/>
        <v>610422020016-2024-2-SURVEI-PPL</v>
      </c>
      <c r="U114" s="64">
        <v>1</v>
      </c>
      <c r="V114" s="10" t="e">
        <f t="array" aca="1" ref="V114" ca="1">INDEX(Honor!$O$2:$O800,MATCH($I114,Honor!$A$2:$A800,0))</f>
        <v>#NAME?</v>
      </c>
      <c r="W114" s="68">
        <v>45373</v>
      </c>
      <c r="X114" s="7" t="str">
        <f t="array" ref="X114">INDEX('Input Kegiatan'!$B$2:$B800,MATCH(B114,'Input Kegiatan'!$A$2:$A800,0))</f>
        <v>Survei Harga Perdesaan (SHPED24) Februari</v>
      </c>
      <c r="Y114" s="7" t="s">
        <v>5534</v>
      </c>
      <c r="Z114" s="7" t="s">
        <v>5535</v>
      </c>
      <c r="AA114" s="68">
        <f t="shared" si="5"/>
        <v>45322</v>
      </c>
      <c r="AB114" s="68">
        <f t="shared" si="6"/>
        <v>45323</v>
      </c>
      <c r="AC114" s="68">
        <f t="shared" si="7"/>
        <v>45351</v>
      </c>
      <c r="AD114" s="68">
        <f t="shared" si="8"/>
        <v>45350</v>
      </c>
      <c r="AE114" s="68">
        <f t="shared" si="9"/>
        <v>45351</v>
      </c>
    </row>
    <row r="115" spans="1:31" ht="12.5">
      <c r="A115" s="125">
        <v>610422100016</v>
      </c>
      <c r="B115" s="65" t="s">
        <v>96</v>
      </c>
      <c r="D115" s="10">
        <f t="array" aca="1" ref="D115" ca="1">INDEX('Mitra per Bulan'!$M$2:$M800,MATCH(S115,'Mitra per Bulan'!$B$2:$B800,0))</f>
        <v>1</v>
      </c>
      <c r="E115" s="10" t="str">
        <f t="array" ref="E115">INDEX('Database Mitra'!$A$2:$A800,MATCH(A115,'Database Mitra'!$B$2:$B800,0))</f>
        <v>Amalia Faisya</v>
      </c>
      <c r="F115" s="64" t="s">
        <v>25</v>
      </c>
      <c r="G115" s="5" t="str">
        <f t="array" ref="G115">INDEX('Database Mitra'!$G$2:$G800,MATCH(A115,'Database Mitra'!$B$2:$B800,0))</f>
        <v>6102124210010005</v>
      </c>
      <c r="H115" s="64" t="s">
        <v>74</v>
      </c>
      <c r="I115" s="65" t="s">
        <v>98</v>
      </c>
      <c r="J115" s="10" t="str">
        <f t="array" ref="J115">INDEX(Honor!$H$2:$H800,MATCH($I115,Honor!$A$2:$A800,0))</f>
        <v>Dokumen</v>
      </c>
      <c r="K115" s="66">
        <f t="array" ref="K115">INDEX(Honor!$I$2:$I800,MATCH($I115,Honor!$A$2:$A800,0))</f>
        <v>55000</v>
      </c>
      <c r="L115" s="64">
        <v>1</v>
      </c>
      <c r="M115" s="10">
        <f t="shared" si="0"/>
        <v>55000</v>
      </c>
      <c r="O115" s="67">
        <f t="array" ref="O115">INDEX(Honor!$L$2:$L800,MATCH($I115,Honor!$A$2:$A800,0))</f>
        <v>45342</v>
      </c>
      <c r="P115" s="10">
        <f t="shared" si="1"/>
        <v>2024</v>
      </c>
      <c r="Q115" s="10">
        <f t="shared" si="2"/>
        <v>2</v>
      </c>
      <c r="R115" s="10" t="str">
        <f t="array" ref="R115">INDEX(Honor!$Q$2:$Q800,MATCH($I115,Honor!$A$2:$A800,0))</f>
        <v>SURVEI-PPL</v>
      </c>
      <c r="S115" s="10" t="str">
        <f t="shared" si="3"/>
        <v>610422100016-2024-2</v>
      </c>
      <c r="T115" s="10" t="str">
        <f t="shared" si="4"/>
        <v>610422100016-2024-2-SURVEI-PPL</v>
      </c>
      <c r="U115" s="64">
        <v>1</v>
      </c>
      <c r="V115" s="10" t="e">
        <f t="array" aca="1" ref="V115" ca="1">INDEX(Honor!$O$2:$O800,MATCH($I115,Honor!$A$2:$A800,0))</f>
        <v>#NAME?</v>
      </c>
      <c r="W115" s="68">
        <v>45373</v>
      </c>
      <c r="X115" s="7" t="str">
        <f t="array" ref="X115">INDEX('Input Kegiatan'!$B$2:$B800,MATCH(B115,'Input Kegiatan'!$A$2:$A800,0))</f>
        <v>Survei Harga Perdesaan (SHPED24) Februari</v>
      </c>
      <c r="Y115" s="7" t="s">
        <v>5250</v>
      </c>
      <c r="Z115" s="7" t="s">
        <v>5365</v>
      </c>
      <c r="AA115" s="68">
        <f t="shared" si="5"/>
        <v>45322</v>
      </c>
      <c r="AB115" s="68">
        <f t="shared" si="6"/>
        <v>45323</v>
      </c>
      <c r="AC115" s="68">
        <f t="shared" si="7"/>
        <v>45351</v>
      </c>
      <c r="AD115" s="68">
        <f t="shared" si="8"/>
        <v>45350</v>
      </c>
      <c r="AE115" s="68">
        <f t="shared" si="9"/>
        <v>45351</v>
      </c>
    </row>
    <row r="116" spans="1:31" ht="12.5">
      <c r="A116" s="125">
        <v>610422020048</v>
      </c>
      <c r="B116" s="65" t="s">
        <v>96</v>
      </c>
      <c r="D116" s="10">
        <f t="array" aca="1" ref="D116" ca="1">INDEX('Mitra per Bulan'!$M$2:$M800,MATCH(S116,'Mitra per Bulan'!$B$2:$B800,0))</f>
        <v>1</v>
      </c>
      <c r="E116" s="10" t="str">
        <f t="array" ref="E116">INDEX('Database Mitra'!$A$2:$A800,MATCH(A116,'Database Mitra'!$B$2:$B800,0))</f>
        <v>Herri Gustaman</v>
      </c>
      <c r="F116" s="64" t="s">
        <v>25</v>
      </c>
      <c r="G116" s="5" t="str">
        <f t="array" ref="G116">INDEX('Database Mitra'!$G$2:$G800,MATCH(A116,'Database Mitra'!$B$2:$B800,0))</f>
        <v>6102072503800001</v>
      </c>
      <c r="H116" s="64" t="s">
        <v>74</v>
      </c>
      <c r="I116" s="65" t="s">
        <v>98</v>
      </c>
      <c r="J116" s="10" t="str">
        <f t="array" ref="J116">INDEX(Honor!$H$2:$H800,MATCH($I116,Honor!$A$2:$A800,0))</f>
        <v>Dokumen</v>
      </c>
      <c r="K116" s="66">
        <f t="array" ref="K116">INDEX(Honor!$I$2:$I800,MATCH($I116,Honor!$A$2:$A800,0))</f>
        <v>55000</v>
      </c>
      <c r="L116" s="64">
        <v>3</v>
      </c>
      <c r="M116" s="10">
        <f t="shared" si="0"/>
        <v>165000</v>
      </c>
      <c r="O116" s="67">
        <f t="array" ref="O116">INDEX(Honor!$L$2:$L800,MATCH($I116,Honor!$A$2:$A800,0))</f>
        <v>45342</v>
      </c>
      <c r="P116" s="10">
        <f t="shared" si="1"/>
        <v>2024</v>
      </c>
      <c r="Q116" s="10">
        <f t="shared" si="2"/>
        <v>2</v>
      </c>
      <c r="R116" s="10" t="str">
        <f t="array" ref="R116">INDEX(Honor!$Q$2:$Q800,MATCH($I116,Honor!$A$2:$A800,0))</f>
        <v>SURVEI-PPL</v>
      </c>
      <c r="S116" s="10" t="str">
        <f t="shared" si="3"/>
        <v>610422020048-2024-2</v>
      </c>
      <c r="T116" s="10" t="str">
        <f t="shared" si="4"/>
        <v>610422020048-2024-2-SURVEI-PPL</v>
      </c>
      <c r="U116" s="64">
        <v>1</v>
      </c>
      <c r="V116" s="10" t="e">
        <f t="array" aca="1" ref="V116" ca="1">INDEX(Honor!$O$2:$O800,MATCH($I116,Honor!$A$2:$A800,0))</f>
        <v>#NAME?</v>
      </c>
      <c r="W116" s="68">
        <v>45373</v>
      </c>
      <c r="X116" s="7" t="str">
        <f t="array" ref="X116">INDEX('Input Kegiatan'!$B$2:$B800,MATCH(B116,'Input Kegiatan'!$A$2:$A800,0))</f>
        <v>Survei Harga Perdesaan (SHPED24) Februari</v>
      </c>
      <c r="Y116" s="7" t="s">
        <v>4931</v>
      </c>
      <c r="Z116" s="7" t="s">
        <v>5171</v>
      </c>
      <c r="AA116" s="68">
        <f t="shared" si="5"/>
        <v>45322</v>
      </c>
      <c r="AB116" s="68">
        <f t="shared" si="6"/>
        <v>45323</v>
      </c>
      <c r="AC116" s="68">
        <f t="shared" si="7"/>
        <v>45351</v>
      </c>
      <c r="AD116" s="68">
        <f t="shared" si="8"/>
        <v>45350</v>
      </c>
      <c r="AE116" s="68">
        <f t="shared" si="9"/>
        <v>45351</v>
      </c>
    </row>
    <row r="117" spans="1:31" ht="12.5">
      <c r="A117" s="125">
        <v>610422040029</v>
      </c>
      <c r="B117" s="65" t="s">
        <v>96</v>
      </c>
      <c r="D117" s="10">
        <f t="array" aca="1" ref="D117" ca="1">INDEX('Mitra per Bulan'!$M$2:$M800,MATCH(S117,'Mitra per Bulan'!$B$2:$B800,0))</f>
        <v>1</v>
      </c>
      <c r="E117" s="10" t="str">
        <f t="array" ref="E117">INDEX('Database Mitra'!$A$2:$A800,MATCH(A117,'Database Mitra'!$B$2:$B800,0))</f>
        <v>Zaini</v>
      </c>
      <c r="F117" s="64" t="s">
        <v>25</v>
      </c>
      <c r="G117" s="5" t="str">
        <f t="array" ref="G117">INDEX('Database Mitra'!$G$2:$G800,MATCH(A117,'Database Mitra'!$B$2:$B800,0))</f>
        <v>6102010607870002</v>
      </c>
      <c r="H117" s="64" t="s">
        <v>74</v>
      </c>
      <c r="I117" s="65" t="s">
        <v>98</v>
      </c>
      <c r="J117" s="10" t="str">
        <f t="array" ref="J117">INDEX(Honor!$H$2:$H800,MATCH($I117,Honor!$A$2:$A800,0))</f>
        <v>Dokumen</v>
      </c>
      <c r="K117" s="66">
        <f t="array" ref="K117">INDEX(Honor!$I$2:$I800,MATCH($I117,Honor!$A$2:$A800,0))</f>
        <v>55000</v>
      </c>
      <c r="L117" s="64">
        <v>4</v>
      </c>
      <c r="M117" s="10">
        <f t="shared" si="0"/>
        <v>220000</v>
      </c>
      <c r="O117" s="67">
        <f t="array" ref="O117">INDEX(Honor!$L$2:$L800,MATCH($I117,Honor!$A$2:$A800,0))</f>
        <v>45342</v>
      </c>
      <c r="P117" s="10">
        <f t="shared" si="1"/>
        <v>2024</v>
      </c>
      <c r="Q117" s="10">
        <f t="shared" si="2"/>
        <v>2</v>
      </c>
      <c r="R117" s="10" t="str">
        <f t="array" ref="R117">INDEX(Honor!$Q$2:$Q800,MATCH($I117,Honor!$A$2:$A800,0))</f>
        <v>SURVEI-PPL</v>
      </c>
      <c r="S117" s="10" t="str">
        <f t="shared" si="3"/>
        <v>610422040029-2024-2</v>
      </c>
      <c r="T117" s="10" t="str">
        <f t="shared" si="4"/>
        <v>610422040029-2024-2-SURVEI-PPL</v>
      </c>
      <c r="U117" s="64">
        <v>1</v>
      </c>
      <c r="V117" s="10" t="e">
        <f t="array" aca="1" ref="V117" ca="1">INDEX(Honor!$O$2:$O800,MATCH($I117,Honor!$A$2:$A800,0))</f>
        <v>#NAME?</v>
      </c>
      <c r="W117" s="68">
        <v>45373</v>
      </c>
      <c r="X117" s="7" t="str">
        <f t="array" ref="X117">INDEX('Input Kegiatan'!$B$2:$B800,MATCH(B117,'Input Kegiatan'!$A$2:$A800,0))</f>
        <v>Survei Harga Perdesaan (SHPED24) Februari</v>
      </c>
      <c r="Y117" s="7" t="s">
        <v>4572</v>
      </c>
      <c r="Z117" s="7" t="s">
        <v>4619</v>
      </c>
      <c r="AA117" s="68">
        <f t="shared" si="5"/>
        <v>45322</v>
      </c>
      <c r="AB117" s="68">
        <f t="shared" si="6"/>
        <v>45323</v>
      </c>
      <c r="AC117" s="68">
        <f t="shared" si="7"/>
        <v>45351</v>
      </c>
      <c r="AD117" s="68">
        <f t="shared" si="8"/>
        <v>45350</v>
      </c>
      <c r="AE117" s="68">
        <f t="shared" si="9"/>
        <v>45351</v>
      </c>
    </row>
    <row r="118" spans="1:31" ht="12.5">
      <c r="A118" s="125">
        <v>610422050001</v>
      </c>
      <c r="B118" s="65" t="s">
        <v>96</v>
      </c>
      <c r="D118" s="10">
        <f t="array" aca="1" ref="D118" ca="1">INDEX('Mitra per Bulan'!$M$2:$M800,MATCH(S118,'Mitra per Bulan'!$B$2:$B800,0))</f>
        <v>1</v>
      </c>
      <c r="E118" s="10" t="str">
        <f t="array" ref="E118">INDEX('Database Mitra'!$A$2:$A800,MATCH(A118,'Database Mitra'!$B$2:$B800,0))</f>
        <v>Evi Juniarty</v>
      </c>
      <c r="F118" s="64" t="s">
        <v>25</v>
      </c>
      <c r="G118" s="5" t="str">
        <f t="array" ref="G118">INDEX('Database Mitra'!$G$2:$G800,MATCH(A118,'Database Mitra'!$B$2:$B800,0))</f>
        <v>6102165101840001</v>
      </c>
      <c r="H118" s="64" t="s">
        <v>74</v>
      </c>
      <c r="I118" s="65" t="s">
        <v>98</v>
      </c>
      <c r="J118" s="10" t="str">
        <f t="array" ref="J118">INDEX(Honor!$H$2:$H800,MATCH($I118,Honor!$A$2:$A800,0))</f>
        <v>Dokumen</v>
      </c>
      <c r="K118" s="66">
        <f t="array" ref="K118">INDEX(Honor!$I$2:$I800,MATCH($I118,Honor!$A$2:$A800,0))</f>
        <v>55000</v>
      </c>
      <c r="L118" s="64">
        <v>1</v>
      </c>
      <c r="M118" s="10">
        <f t="shared" si="0"/>
        <v>55000</v>
      </c>
      <c r="O118" s="67">
        <f t="array" ref="O118">INDEX(Honor!$L$2:$L800,MATCH($I118,Honor!$A$2:$A800,0))</f>
        <v>45342</v>
      </c>
      <c r="P118" s="10">
        <f t="shared" si="1"/>
        <v>2024</v>
      </c>
      <c r="Q118" s="10">
        <f t="shared" si="2"/>
        <v>2</v>
      </c>
      <c r="R118" s="10" t="str">
        <f t="array" ref="R118">INDEX(Honor!$Q$2:$Q800,MATCH($I118,Honor!$A$2:$A800,0))</f>
        <v>SURVEI-PPL</v>
      </c>
      <c r="S118" s="10" t="str">
        <f t="shared" si="3"/>
        <v>610422050001-2024-2</v>
      </c>
      <c r="T118" s="10" t="str">
        <f t="shared" si="4"/>
        <v>610422050001-2024-2-SURVEI-PPL</v>
      </c>
      <c r="U118" s="64">
        <v>1</v>
      </c>
      <c r="V118" s="10" t="e">
        <f t="array" aca="1" ref="V118" ca="1">INDEX(Honor!$O$2:$O800,MATCH($I118,Honor!$A$2:$A800,0))</f>
        <v>#NAME?</v>
      </c>
      <c r="W118" s="68">
        <v>45373</v>
      </c>
      <c r="X118" s="7" t="str">
        <f t="array" ref="X118">INDEX('Input Kegiatan'!$B$2:$B800,MATCH(B118,'Input Kegiatan'!$A$2:$A800,0))</f>
        <v>Survei Harga Perdesaan (SHPED24) Februari</v>
      </c>
      <c r="Y118" s="7" t="s">
        <v>4408</v>
      </c>
      <c r="Z118" s="7" t="s">
        <v>4409</v>
      </c>
      <c r="AA118" s="68">
        <f t="shared" si="5"/>
        <v>45322</v>
      </c>
      <c r="AB118" s="68">
        <f t="shared" si="6"/>
        <v>45323</v>
      </c>
      <c r="AC118" s="68">
        <f t="shared" si="7"/>
        <v>45351</v>
      </c>
      <c r="AD118" s="68">
        <f t="shared" si="8"/>
        <v>45350</v>
      </c>
      <c r="AE118" s="68">
        <f t="shared" si="9"/>
        <v>45351</v>
      </c>
    </row>
    <row r="119" spans="1:31" ht="12.5">
      <c r="A119" s="125">
        <v>610422100124</v>
      </c>
      <c r="B119" s="65" t="s">
        <v>99</v>
      </c>
      <c r="D119" s="10">
        <f t="array" aca="1" ref="D119" ca="1">INDEX('Mitra per Bulan'!$M$2:$M800,MATCH(S119,'Mitra per Bulan'!$B$2:$B800,0))</f>
        <v>1</v>
      </c>
      <c r="E119" s="10" t="str">
        <f t="array" ref="E119">INDEX('Database Mitra'!$A$2:$A800,MATCH(A119,'Database Mitra'!$B$2:$B800,0))</f>
        <v>Prabowo</v>
      </c>
      <c r="F119" s="64" t="s">
        <v>25</v>
      </c>
      <c r="G119" s="5" t="str">
        <f t="array" ref="G119">INDEX('Database Mitra'!$G$2:$G800,MATCH(A119,'Database Mitra'!$B$2:$B800,0))</f>
        <v>6171010108790015</v>
      </c>
      <c r="H119" s="64" t="s">
        <v>67</v>
      </c>
      <c r="I119" s="65" t="s">
        <v>100</v>
      </c>
      <c r="J119" s="10" t="str">
        <f t="array" ref="J119">INDEX(Honor!$H$2:$H800,MATCH($I119,Honor!$A$2:$A800,0))</f>
        <v>Dokumen</v>
      </c>
      <c r="K119" s="66">
        <f t="array" ref="K119">INDEX(Honor!$I$2:$I800,MATCH($I119,Honor!$A$2:$A800,0))</f>
        <v>55000</v>
      </c>
      <c r="L119" s="64">
        <v>2</v>
      </c>
      <c r="M119" s="10">
        <f t="shared" si="0"/>
        <v>110000</v>
      </c>
      <c r="O119" s="67">
        <f t="array" ref="O119">INDEX(Honor!$L$2:$L800,MATCH($I119,Honor!$A$2:$A800,0))</f>
        <v>45342</v>
      </c>
      <c r="P119" s="10">
        <f t="shared" si="1"/>
        <v>2024</v>
      </c>
      <c r="Q119" s="10">
        <f t="shared" si="2"/>
        <v>2</v>
      </c>
      <c r="R119" s="10" t="str">
        <f t="array" ref="R119">INDEX(Honor!$Q$2:$Q800,MATCH($I119,Honor!$A$2:$A800,0))</f>
        <v>SURVEI-PPL</v>
      </c>
      <c r="S119" s="10" t="str">
        <f t="shared" si="3"/>
        <v>610422100124-2024-2</v>
      </c>
      <c r="T119" s="10" t="str">
        <f t="shared" si="4"/>
        <v>610422100124-2024-2-SURVEI-PPL</v>
      </c>
      <c r="U119" s="64">
        <v>1</v>
      </c>
      <c r="V119" s="10" t="e">
        <f t="array" aca="1" ref="V119" ca="1">INDEX(Honor!$O$2:$O800,MATCH($I119,Honor!$A$2:$A800,0))</f>
        <v>#NAME?</v>
      </c>
      <c r="W119" s="68">
        <v>45373</v>
      </c>
      <c r="X119" s="7" t="str">
        <f t="array" ref="X119">INDEX('Input Kegiatan'!$B$2:$B800,MATCH(B119,'Input Kegiatan'!$A$2:$A800,0))</f>
        <v>Survei Harga Produsen Beras di Penggilingan 2024 (HPBG24) Februari</v>
      </c>
      <c r="Y119" s="7" t="s">
        <v>1921</v>
      </c>
      <c r="Z119" s="7" t="s">
        <v>2140</v>
      </c>
      <c r="AA119" s="68">
        <f t="shared" si="5"/>
        <v>45322</v>
      </c>
      <c r="AB119" s="68">
        <f t="shared" si="6"/>
        <v>45323</v>
      </c>
      <c r="AC119" s="68">
        <f t="shared" si="7"/>
        <v>45351</v>
      </c>
      <c r="AD119" s="68">
        <f t="shared" si="8"/>
        <v>45350</v>
      </c>
      <c r="AE119" s="68">
        <f t="shared" si="9"/>
        <v>45351</v>
      </c>
    </row>
    <row r="120" spans="1:31" ht="12.5">
      <c r="A120" s="125">
        <v>610422100244</v>
      </c>
      <c r="B120" s="65" t="s">
        <v>99</v>
      </c>
      <c r="D120" s="10">
        <f t="array" aca="1" ref="D120" ca="1">INDEX('Mitra per Bulan'!$M$2:$M800,MATCH(S120,'Mitra per Bulan'!$B$2:$B800,0))</f>
        <v>1</v>
      </c>
      <c r="E120" s="10" t="str">
        <f t="array" ref="E120">INDEX('Database Mitra'!$A$2:$A800,MATCH(A120,'Database Mitra'!$B$2:$B800,0))</f>
        <v>Sugianto</v>
      </c>
      <c r="F120" s="64" t="s">
        <v>25</v>
      </c>
      <c r="G120" s="5" t="str">
        <f t="array" ref="G120">INDEX('Database Mitra'!$G$2:$G800,MATCH(A120,'Database Mitra'!$B$2:$B800,0))</f>
        <v>6102171003900002</v>
      </c>
      <c r="H120" s="64" t="s">
        <v>67</v>
      </c>
      <c r="I120" s="65" t="s">
        <v>100</v>
      </c>
      <c r="J120" s="10" t="str">
        <f t="array" ref="J120">INDEX(Honor!$H$2:$H800,MATCH($I120,Honor!$A$2:$A800,0))</f>
        <v>Dokumen</v>
      </c>
      <c r="K120" s="66">
        <f t="array" ref="K120">INDEX(Honor!$I$2:$I800,MATCH($I120,Honor!$A$2:$A800,0))</f>
        <v>55000</v>
      </c>
      <c r="L120" s="64">
        <v>2</v>
      </c>
      <c r="M120" s="10">
        <f t="shared" si="0"/>
        <v>110000</v>
      </c>
      <c r="O120" s="67">
        <f t="array" ref="O120">INDEX(Honor!$L$2:$L800,MATCH($I120,Honor!$A$2:$A800,0))</f>
        <v>45342</v>
      </c>
      <c r="P120" s="10">
        <f t="shared" si="1"/>
        <v>2024</v>
      </c>
      <c r="Q120" s="10">
        <f t="shared" si="2"/>
        <v>2</v>
      </c>
      <c r="R120" s="10" t="str">
        <f t="array" ref="R120">INDEX(Honor!$Q$2:$Q800,MATCH($I120,Honor!$A$2:$A800,0))</f>
        <v>SURVEI-PPL</v>
      </c>
      <c r="S120" s="10" t="str">
        <f t="shared" si="3"/>
        <v>610422100244-2024-2</v>
      </c>
      <c r="T120" s="10" t="str">
        <f t="shared" si="4"/>
        <v>610422100244-2024-2-SURVEI-PPL</v>
      </c>
      <c r="U120" s="64">
        <v>1</v>
      </c>
      <c r="V120" s="10" t="e">
        <f t="array" aca="1" ref="V120" ca="1">INDEX(Honor!$O$2:$O800,MATCH($I120,Honor!$A$2:$A800,0))</f>
        <v>#NAME?</v>
      </c>
      <c r="W120" s="68">
        <v>45373</v>
      </c>
      <c r="X120" s="7" t="str">
        <f t="array" ref="X120">INDEX('Input Kegiatan'!$B$2:$B800,MATCH(B120,'Input Kegiatan'!$A$2:$A800,0))</f>
        <v>Survei Harga Produsen Beras di Penggilingan 2024 (HPBG24) Februari</v>
      </c>
      <c r="Y120" s="7" t="s">
        <v>5741</v>
      </c>
      <c r="Z120" s="7" t="s">
        <v>5796</v>
      </c>
      <c r="AA120" s="68">
        <f t="shared" si="5"/>
        <v>45322</v>
      </c>
      <c r="AB120" s="68">
        <f t="shared" si="6"/>
        <v>45323</v>
      </c>
      <c r="AC120" s="68">
        <f t="shared" si="7"/>
        <v>45351</v>
      </c>
      <c r="AD120" s="68">
        <f t="shared" si="8"/>
        <v>45350</v>
      </c>
      <c r="AE120" s="68">
        <f t="shared" si="9"/>
        <v>45351</v>
      </c>
    </row>
    <row r="121" spans="1:31" ht="12.5">
      <c r="A121" s="125">
        <v>610422100165</v>
      </c>
      <c r="B121" s="65" t="s">
        <v>99</v>
      </c>
      <c r="D121" s="10">
        <f t="array" aca="1" ref="D121" ca="1">INDEX('Mitra per Bulan'!$M$2:$M800,MATCH(S121,'Mitra per Bulan'!$B$2:$B800,0))</f>
        <v>1</v>
      </c>
      <c r="E121" s="10" t="str">
        <f t="array" ref="E121">INDEX('Database Mitra'!$A$2:$A800,MATCH(A121,'Database Mitra'!$B$2:$B800,0))</f>
        <v>Yanti</v>
      </c>
      <c r="F121" s="64" t="s">
        <v>25</v>
      </c>
      <c r="G121" s="5" t="str">
        <f t="array" ref="G121">INDEX('Database Mitra'!$G$2:$G800,MATCH(A121,'Database Mitra'!$B$2:$B800,0))</f>
        <v>6102074803980002</v>
      </c>
      <c r="H121" s="64" t="s">
        <v>67</v>
      </c>
      <c r="I121" s="65" t="s">
        <v>100</v>
      </c>
      <c r="J121" s="10" t="str">
        <f t="array" ref="J121">INDEX(Honor!$H$2:$H800,MATCH($I121,Honor!$A$2:$A800,0))</f>
        <v>Dokumen</v>
      </c>
      <c r="K121" s="66">
        <f t="array" ref="K121">INDEX(Honor!$I$2:$I800,MATCH($I121,Honor!$A$2:$A800,0))</f>
        <v>55000</v>
      </c>
      <c r="L121" s="64">
        <v>2</v>
      </c>
      <c r="M121" s="10">
        <f t="shared" si="0"/>
        <v>110000</v>
      </c>
      <c r="O121" s="67">
        <f t="array" ref="O121">INDEX(Honor!$L$2:$L800,MATCH($I121,Honor!$A$2:$A800,0))</f>
        <v>45342</v>
      </c>
      <c r="P121" s="10">
        <f t="shared" si="1"/>
        <v>2024</v>
      </c>
      <c r="Q121" s="10">
        <f t="shared" si="2"/>
        <v>2</v>
      </c>
      <c r="R121" s="10" t="str">
        <f t="array" ref="R121">INDEX(Honor!$Q$2:$Q800,MATCH($I121,Honor!$A$2:$A800,0))</f>
        <v>SURVEI-PPL</v>
      </c>
      <c r="S121" s="10" t="str">
        <f t="shared" si="3"/>
        <v>610422100165-2024-2</v>
      </c>
      <c r="T121" s="10" t="str">
        <f t="shared" si="4"/>
        <v>610422100165-2024-2-SURVEI-PPL</v>
      </c>
      <c r="U121" s="64">
        <v>1</v>
      </c>
      <c r="V121" s="10" t="e">
        <f t="array" aca="1" ref="V121" ca="1">INDEX(Honor!$O$2:$O800,MATCH($I121,Honor!$A$2:$A800,0))</f>
        <v>#NAME?</v>
      </c>
      <c r="W121" s="68">
        <v>45373</v>
      </c>
      <c r="X121" s="7" t="str">
        <f t="array" ref="X121">INDEX('Input Kegiatan'!$B$2:$B800,MATCH(B121,'Input Kegiatan'!$A$2:$A800,0))</f>
        <v>Survei Harga Produsen Beras di Penggilingan 2024 (HPBG24) Februari</v>
      </c>
      <c r="Y121" s="7" t="s">
        <v>3990</v>
      </c>
      <c r="Z121" s="7" t="s">
        <v>4332</v>
      </c>
      <c r="AA121" s="68">
        <f t="shared" si="5"/>
        <v>45322</v>
      </c>
      <c r="AB121" s="68">
        <f t="shared" si="6"/>
        <v>45323</v>
      </c>
      <c r="AC121" s="68">
        <f t="shared" si="7"/>
        <v>45351</v>
      </c>
      <c r="AD121" s="68">
        <f t="shared" si="8"/>
        <v>45350</v>
      </c>
      <c r="AE121" s="68">
        <f t="shared" si="9"/>
        <v>45351</v>
      </c>
    </row>
    <row r="122" spans="1:31" ht="12.5">
      <c r="A122" s="125">
        <v>610422100165</v>
      </c>
      <c r="B122" s="65" t="s">
        <v>101</v>
      </c>
      <c r="D122" s="10">
        <f t="array" aca="1" ref="D122" ca="1">INDEX('Mitra per Bulan'!$M$2:$M800,MATCH(S122,'Mitra per Bulan'!$B$2:$B800,0))</f>
        <v>1</v>
      </c>
      <c r="E122" s="10" t="str">
        <f t="array" ref="E122">INDEX('Database Mitra'!$A$2:$A800,MATCH(A122,'Database Mitra'!$B$2:$B800,0))</f>
        <v>Yanti</v>
      </c>
      <c r="F122" s="64" t="s">
        <v>25</v>
      </c>
      <c r="G122" s="5" t="str">
        <f t="array" ref="G122">INDEX('Database Mitra'!$G$2:$G800,MATCH(A122,'Database Mitra'!$B$2:$B800,0))</f>
        <v>6102074803980002</v>
      </c>
      <c r="H122" s="64" t="s">
        <v>67</v>
      </c>
      <c r="I122" s="65" t="s">
        <v>102</v>
      </c>
      <c r="J122" s="10" t="str">
        <f t="array" ref="J122">INDEX(Honor!$H$2:$H800,MATCH($I122,Honor!$A$2:$A800,0))</f>
        <v>Dokumen</v>
      </c>
      <c r="K122" s="66">
        <f t="array" ref="K122">INDEX(Honor!$I$2:$I800,MATCH($I122,Honor!$A$2:$A800,0))</f>
        <v>50000</v>
      </c>
      <c r="L122" s="64">
        <v>1</v>
      </c>
      <c r="M122" s="10">
        <f t="shared" si="0"/>
        <v>50000</v>
      </c>
      <c r="O122" s="67">
        <f t="array" ref="O122">INDEX(Honor!$L$2:$L800,MATCH($I122,Honor!$A$2:$A800,0))</f>
        <v>45342</v>
      </c>
      <c r="P122" s="10">
        <f t="shared" si="1"/>
        <v>2024</v>
      </c>
      <c r="Q122" s="10">
        <f t="shared" si="2"/>
        <v>2</v>
      </c>
      <c r="R122" s="10" t="str">
        <f t="array" ref="R122">INDEX(Honor!$Q$2:$Q800,MATCH($I122,Honor!$A$2:$A800,0))</f>
        <v>SURVEI-PPL</v>
      </c>
      <c r="S122" s="10" t="str">
        <f t="shared" si="3"/>
        <v>610422100165-2024-2</v>
      </c>
      <c r="T122" s="10" t="str">
        <f t="shared" si="4"/>
        <v>610422100165-2024-2-SURVEI-PPL</v>
      </c>
      <c r="U122" s="64">
        <v>1</v>
      </c>
      <c r="V122" s="10" t="e">
        <f t="array" aca="1" ref="V122" ca="1">INDEX(Honor!$O$2:$O800,MATCH($I122,Honor!$A$2:$A800,0))</f>
        <v>#NAME?</v>
      </c>
      <c r="W122" s="68">
        <v>45373</v>
      </c>
      <c r="X122" s="7" t="str">
        <f t="array" ref="X122">INDEX('Input Kegiatan'!$B$2:$B800,MATCH(B122,'Input Kegiatan'!$A$2:$A800,0))</f>
        <v>Survei Harga Produsen Jasa (HPJ24) Februari</v>
      </c>
      <c r="Y122" s="7" t="s">
        <v>3990</v>
      </c>
      <c r="Z122" s="7" t="s">
        <v>4332</v>
      </c>
      <c r="AA122" s="68">
        <f t="shared" si="5"/>
        <v>45322</v>
      </c>
      <c r="AB122" s="68">
        <f t="shared" si="6"/>
        <v>45323</v>
      </c>
      <c r="AC122" s="68">
        <f t="shared" si="7"/>
        <v>45351</v>
      </c>
      <c r="AD122" s="68">
        <f t="shared" si="8"/>
        <v>45350</v>
      </c>
      <c r="AE122" s="68">
        <f t="shared" si="9"/>
        <v>45351</v>
      </c>
    </row>
    <row r="123" spans="1:31" ht="12.5">
      <c r="A123" s="125">
        <v>610422040029</v>
      </c>
      <c r="B123" s="69" t="s">
        <v>103</v>
      </c>
      <c r="D123" s="10">
        <f t="array" aca="1" ref="D123" ca="1">INDEX('Mitra per Bulan'!$M$2:$M800,MATCH(S123,'Mitra per Bulan'!$B$2:$B800,0))</f>
        <v>1</v>
      </c>
      <c r="E123" s="10" t="str">
        <f t="array" ref="E123">INDEX('Database Mitra'!$A$2:$A800,MATCH(A123,'Database Mitra'!$B$2:$B800,0))</f>
        <v>Zaini</v>
      </c>
      <c r="F123" s="64" t="s">
        <v>25</v>
      </c>
      <c r="G123" s="5" t="str">
        <f t="array" ref="G123">INDEX('Database Mitra'!$G$2:$G800,MATCH(A123,'Database Mitra'!$B$2:$B800,0))</f>
        <v>6102010607870002</v>
      </c>
      <c r="H123" s="64" t="s">
        <v>67</v>
      </c>
      <c r="I123" s="65" t="s">
        <v>104</v>
      </c>
      <c r="J123" s="10" t="str">
        <f t="array" ref="J123">INDEX(Honor!$H$2:$H800,MATCH($I123,Honor!$A$2:$A800,0))</f>
        <v>Dokumen</v>
      </c>
      <c r="K123" s="66">
        <f t="array" ref="K123">INDEX(Honor!$I$2:$I800,MATCH($I123,Honor!$A$2:$A800,0))</f>
        <v>55000</v>
      </c>
      <c r="L123" s="64">
        <v>3</v>
      </c>
      <c r="M123" s="10">
        <f t="shared" si="0"/>
        <v>165000</v>
      </c>
      <c r="O123" s="67">
        <f t="array" ref="O123">INDEX(Honor!$L$2:$L800,MATCH($I123,Honor!$A$2:$A800,0))</f>
        <v>45342</v>
      </c>
      <c r="P123" s="10">
        <f t="shared" si="1"/>
        <v>2024</v>
      </c>
      <c r="Q123" s="10">
        <f t="shared" si="2"/>
        <v>2</v>
      </c>
      <c r="R123" s="10" t="str">
        <f t="array" ref="R123">INDEX(Honor!$Q$2:$Q800,MATCH($I123,Honor!$A$2:$A800,0))</f>
        <v>SURVEI-PPL</v>
      </c>
      <c r="S123" s="10" t="str">
        <f t="shared" si="3"/>
        <v>610422040029-2024-2</v>
      </c>
      <c r="T123" s="10" t="str">
        <f t="shared" si="4"/>
        <v>610422040029-2024-2-SURVEI-PPL</v>
      </c>
      <c r="U123" s="64">
        <v>1</v>
      </c>
      <c r="V123" s="10" t="e">
        <f t="array" aca="1" ref="V123" ca="1">INDEX(Honor!$O$2:$O800,MATCH($I123,Honor!$A$2:$A800,0))</f>
        <v>#NAME?</v>
      </c>
      <c r="W123" s="68">
        <v>45373</v>
      </c>
      <c r="X123" s="7" t="str">
        <f t="array" ref="X123">INDEX('Input Kegiatan'!$B$2:$B800,MATCH(B123,'Input Kegiatan'!$A$2:$A800,0))</f>
        <v>Survei Hotel dan Jasa Akomodasi Bulanan (VHTS) 2024 Februari</v>
      </c>
      <c r="Y123" s="7" t="s">
        <v>4572</v>
      </c>
      <c r="Z123" s="7" t="s">
        <v>4619</v>
      </c>
      <c r="AA123" s="68">
        <f t="shared" si="5"/>
        <v>45322</v>
      </c>
      <c r="AB123" s="68">
        <f t="shared" si="6"/>
        <v>45323</v>
      </c>
      <c r="AC123" s="68">
        <f t="shared" si="7"/>
        <v>45351</v>
      </c>
      <c r="AD123" s="68">
        <f t="shared" si="8"/>
        <v>45350</v>
      </c>
      <c r="AE123" s="68">
        <f t="shared" si="9"/>
        <v>45351</v>
      </c>
    </row>
    <row r="124" spans="1:31" ht="12.5">
      <c r="A124" s="125">
        <v>610422100165</v>
      </c>
      <c r="B124" s="69" t="s">
        <v>103</v>
      </c>
      <c r="D124" s="10">
        <f t="array" aca="1" ref="D124" ca="1">INDEX('Mitra per Bulan'!$M$2:$M800,MATCH(S124,'Mitra per Bulan'!$B$2:$B800,0))</f>
        <v>1</v>
      </c>
      <c r="E124" s="10" t="str">
        <f t="array" ref="E124">INDEX('Database Mitra'!$A$2:$A800,MATCH(A124,'Database Mitra'!$B$2:$B800,0))</f>
        <v>Yanti</v>
      </c>
      <c r="F124" s="64" t="s">
        <v>25</v>
      </c>
      <c r="G124" s="5" t="str">
        <f t="array" ref="G124">INDEX('Database Mitra'!$G$2:$G800,MATCH(A124,'Database Mitra'!$B$2:$B800,0))</f>
        <v>6102074803980002</v>
      </c>
      <c r="H124" s="64" t="s">
        <v>67</v>
      </c>
      <c r="I124" s="65" t="s">
        <v>104</v>
      </c>
      <c r="J124" s="10" t="str">
        <f t="array" ref="J124">INDEX(Honor!$H$2:$H800,MATCH($I124,Honor!$A$2:$A800,0))</f>
        <v>Dokumen</v>
      </c>
      <c r="K124" s="66">
        <f t="array" ref="K124">INDEX(Honor!$I$2:$I800,MATCH($I124,Honor!$A$2:$A800,0))</f>
        <v>55000</v>
      </c>
      <c r="L124" s="64">
        <v>3</v>
      </c>
      <c r="M124" s="10">
        <f t="shared" si="0"/>
        <v>165000</v>
      </c>
      <c r="O124" s="67">
        <f t="array" ref="O124">INDEX(Honor!$L$2:$L800,MATCH($I124,Honor!$A$2:$A800,0))</f>
        <v>45342</v>
      </c>
      <c r="P124" s="10">
        <f t="shared" si="1"/>
        <v>2024</v>
      </c>
      <c r="Q124" s="10">
        <f t="shared" si="2"/>
        <v>2</v>
      </c>
      <c r="R124" s="10" t="str">
        <f t="array" ref="R124">INDEX(Honor!$Q$2:$Q800,MATCH($I124,Honor!$A$2:$A800,0))</f>
        <v>SURVEI-PPL</v>
      </c>
      <c r="S124" s="10" t="str">
        <f t="shared" si="3"/>
        <v>610422100165-2024-2</v>
      </c>
      <c r="T124" s="10" t="str">
        <f t="shared" si="4"/>
        <v>610422100165-2024-2-SURVEI-PPL</v>
      </c>
      <c r="U124" s="64">
        <v>1</v>
      </c>
      <c r="V124" s="10" t="e">
        <f t="array" aca="1" ref="V124" ca="1">INDEX(Honor!$O$2:$O800,MATCH($I124,Honor!$A$2:$A800,0))</f>
        <v>#NAME?</v>
      </c>
      <c r="W124" s="68">
        <v>45373</v>
      </c>
      <c r="X124" s="7" t="str">
        <f t="array" ref="X124">INDEX('Input Kegiatan'!$B$2:$B800,MATCH(B124,'Input Kegiatan'!$A$2:$A800,0))</f>
        <v>Survei Hotel dan Jasa Akomodasi Bulanan (VHTS) 2024 Februari</v>
      </c>
      <c r="Y124" s="7" t="s">
        <v>3990</v>
      </c>
      <c r="Z124" s="7" t="s">
        <v>4332</v>
      </c>
      <c r="AA124" s="68">
        <f t="shared" si="5"/>
        <v>45322</v>
      </c>
      <c r="AB124" s="68">
        <f t="shared" si="6"/>
        <v>45323</v>
      </c>
      <c r="AC124" s="68">
        <f t="shared" si="7"/>
        <v>45351</v>
      </c>
      <c r="AD124" s="68">
        <f t="shared" si="8"/>
        <v>45350</v>
      </c>
      <c r="AE124" s="68">
        <f t="shared" si="9"/>
        <v>45351</v>
      </c>
    </row>
    <row r="125" spans="1:31" ht="12.5">
      <c r="A125" s="125">
        <v>610422050001</v>
      </c>
      <c r="B125" s="69" t="s">
        <v>103</v>
      </c>
      <c r="D125" s="10">
        <f t="array" aca="1" ref="D125" ca="1">INDEX('Mitra per Bulan'!$M$2:$M800,MATCH(S125,'Mitra per Bulan'!$B$2:$B800,0))</f>
        <v>1</v>
      </c>
      <c r="E125" s="10" t="str">
        <f t="array" ref="E125">INDEX('Database Mitra'!$A$2:$A800,MATCH(A125,'Database Mitra'!$B$2:$B800,0))</f>
        <v>Evi Juniarty</v>
      </c>
      <c r="F125" s="64" t="s">
        <v>25</v>
      </c>
      <c r="G125" s="5" t="str">
        <f t="array" ref="G125">INDEX('Database Mitra'!$G$2:$G800,MATCH(A125,'Database Mitra'!$B$2:$B800,0))</f>
        <v>6102165101840001</v>
      </c>
      <c r="H125" s="64" t="s">
        <v>67</v>
      </c>
      <c r="I125" s="65" t="s">
        <v>104</v>
      </c>
      <c r="J125" s="10" t="str">
        <f t="array" ref="J125">INDEX(Honor!$H$2:$H800,MATCH($I125,Honor!$A$2:$A800,0))</f>
        <v>Dokumen</v>
      </c>
      <c r="K125" s="66">
        <f t="array" ref="K125">INDEX(Honor!$I$2:$I800,MATCH($I125,Honor!$A$2:$A800,0))</f>
        <v>55000</v>
      </c>
      <c r="L125" s="64">
        <v>3</v>
      </c>
      <c r="M125" s="10">
        <f t="shared" si="0"/>
        <v>165000</v>
      </c>
      <c r="O125" s="67">
        <f t="array" ref="O125">INDEX(Honor!$L$2:$L800,MATCH($I125,Honor!$A$2:$A800,0))</f>
        <v>45342</v>
      </c>
      <c r="P125" s="10">
        <f t="shared" si="1"/>
        <v>2024</v>
      </c>
      <c r="Q125" s="10">
        <f t="shared" si="2"/>
        <v>2</v>
      </c>
      <c r="R125" s="10" t="str">
        <f t="array" ref="R125">INDEX(Honor!$Q$2:$Q800,MATCH($I125,Honor!$A$2:$A800,0))</f>
        <v>SURVEI-PPL</v>
      </c>
      <c r="S125" s="10" t="str">
        <f t="shared" si="3"/>
        <v>610422050001-2024-2</v>
      </c>
      <c r="T125" s="10" t="str">
        <f t="shared" si="4"/>
        <v>610422050001-2024-2-SURVEI-PPL</v>
      </c>
      <c r="U125" s="64">
        <v>1</v>
      </c>
      <c r="V125" s="10" t="e">
        <f t="array" aca="1" ref="V125" ca="1">INDEX(Honor!$O$2:$O800,MATCH($I125,Honor!$A$2:$A800,0))</f>
        <v>#NAME?</v>
      </c>
      <c r="W125" s="68">
        <v>45373</v>
      </c>
      <c r="X125" s="7" t="str">
        <f t="array" ref="X125">INDEX('Input Kegiatan'!$B$2:$B800,MATCH(B125,'Input Kegiatan'!$A$2:$A800,0))</f>
        <v>Survei Hotel dan Jasa Akomodasi Bulanan (VHTS) 2024 Februari</v>
      </c>
      <c r="Y125" s="7" t="s">
        <v>4408</v>
      </c>
      <c r="Z125" s="7" t="s">
        <v>4409</v>
      </c>
      <c r="AA125" s="68">
        <f t="shared" si="5"/>
        <v>45322</v>
      </c>
      <c r="AB125" s="68">
        <f t="shared" si="6"/>
        <v>45323</v>
      </c>
      <c r="AC125" s="68">
        <f t="shared" si="7"/>
        <v>45351</v>
      </c>
      <c r="AD125" s="68">
        <f t="shared" si="8"/>
        <v>45350</v>
      </c>
      <c r="AE125" s="68">
        <f t="shared" si="9"/>
        <v>45351</v>
      </c>
    </row>
    <row r="126" spans="1:31" ht="12.5">
      <c r="A126" s="125">
        <v>610422040056</v>
      </c>
      <c r="B126" s="69" t="s">
        <v>103</v>
      </c>
      <c r="D126" s="10">
        <f t="array" aca="1" ref="D126" ca="1">INDEX('Mitra per Bulan'!$M$2:$M800,MATCH(S126,'Mitra per Bulan'!$B$2:$B800,0))</f>
        <v>1</v>
      </c>
      <c r="E126" s="10" t="str">
        <f t="array" ref="E126">INDEX('Database Mitra'!$A$2:$A800,MATCH(A126,'Database Mitra'!$B$2:$B800,0))</f>
        <v>Wandi Syafari</v>
      </c>
      <c r="F126" s="64" t="s">
        <v>25</v>
      </c>
      <c r="G126" s="5" t="str">
        <f t="array" ref="G126">INDEX('Database Mitra'!$G$2:$G800,MATCH(A126,'Database Mitra'!$B$2:$B800,0))</f>
        <v>6102010802760001</v>
      </c>
      <c r="H126" s="64" t="s">
        <v>67</v>
      </c>
      <c r="I126" s="65" t="s">
        <v>104</v>
      </c>
      <c r="J126" s="10" t="str">
        <f t="array" ref="J126">INDEX(Honor!$H$2:$H800,MATCH($I126,Honor!$A$2:$A800,0))</f>
        <v>Dokumen</v>
      </c>
      <c r="K126" s="66">
        <f t="array" ref="K126">INDEX(Honor!$I$2:$I800,MATCH($I126,Honor!$A$2:$A800,0))</f>
        <v>55000</v>
      </c>
      <c r="L126" s="64">
        <v>2</v>
      </c>
      <c r="M126" s="10">
        <f t="shared" si="0"/>
        <v>110000</v>
      </c>
      <c r="O126" s="67">
        <f t="array" ref="O126">INDEX(Honor!$L$2:$L800,MATCH($I126,Honor!$A$2:$A800,0))</f>
        <v>45342</v>
      </c>
      <c r="P126" s="10">
        <f t="shared" si="1"/>
        <v>2024</v>
      </c>
      <c r="Q126" s="10">
        <f t="shared" si="2"/>
        <v>2</v>
      </c>
      <c r="R126" s="10" t="str">
        <f t="array" ref="R126">INDEX(Honor!$Q$2:$Q800,MATCH($I126,Honor!$A$2:$A800,0))</f>
        <v>SURVEI-PPL</v>
      </c>
      <c r="S126" s="10" t="str">
        <f t="shared" si="3"/>
        <v>610422040056-2024-2</v>
      </c>
      <c r="T126" s="10" t="str">
        <f t="shared" si="4"/>
        <v>610422040056-2024-2-SURVEI-PPL</v>
      </c>
      <c r="U126" s="64">
        <v>1</v>
      </c>
      <c r="V126" s="10" t="e">
        <f t="array" aca="1" ref="V126" ca="1">INDEX(Honor!$O$2:$O800,MATCH($I126,Honor!$A$2:$A800,0))</f>
        <v>#NAME?</v>
      </c>
      <c r="W126" s="68">
        <v>45373</v>
      </c>
      <c r="X126" s="7" t="str">
        <f t="array" ref="X126">INDEX('Input Kegiatan'!$B$2:$B800,MATCH(B126,'Input Kegiatan'!$A$2:$A800,0))</f>
        <v>Survei Hotel dan Jasa Akomodasi Bulanan (VHTS) 2024 Februari</v>
      </c>
      <c r="Y126" s="7" t="s">
        <v>4572</v>
      </c>
      <c r="Z126" s="7" t="s">
        <v>4656</v>
      </c>
      <c r="AA126" s="68">
        <f t="shared" si="5"/>
        <v>45322</v>
      </c>
      <c r="AB126" s="68">
        <f t="shared" si="6"/>
        <v>45323</v>
      </c>
      <c r="AC126" s="68">
        <f t="shared" si="7"/>
        <v>45351</v>
      </c>
      <c r="AD126" s="68">
        <f t="shared" si="8"/>
        <v>45350</v>
      </c>
      <c r="AE126" s="68">
        <f t="shared" si="9"/>
        <v>45351</v>
      </c>
    </row>
    <row r="127" spans="1:31" ht="12.5">
      <c r="A127" s="125">
        <v>610423040004</v>
      </c>
      <c r="B127" s="64" t="s">
        <v>105</v>
      </c>
      <c r="D127" s="10">
        <f t="array" aca="1" ref="D127" ca="1">INDEX('Mitra per Bulan'!$M$2:$M800,MATCH(S127,'Mitra per Bulan'!$B$2:$B800,0))</f>
        <v>1</v>
      </c>
      <c r="E127" s="10" t="str">
        <f t="array" ref="E127">INDEX('Database Mitra'!$A$2:$A800,MATCH(A127,'Database Mitra'!$B$2:$B800,0))</f>
        <v>Ayu Agustin</v>
      </c>
      <c r="F127" s="64" t="s">
        <v>25</v>
      </c>
      <c r="G127" s="5" t="str">
        <f t="array" ref="G127">INDEX('Database Mitra'!$G$2:$G800,MATCH(A127,'Database Mitra'!$B$2:$B800,0))</f>
        <v>6111025008930002</v>
      </c>
      <c r="H127" s="64" t="s">
        <v>67</v>
      </c>
      <c r="I127" s="65" t="s">
        <v>106</v>
      </c>
      <c r="J127" s="10" t="str">
        <f t="array" ref="J127">INDEX(Honor!$H$2:$H800,MATCH($I127,Honor!$A$2:$A800,0))</f>
        <v>Dokumen</v>
      </c>
      <c r="K127" s="66">
        <f t="array" ref="K127">INDEX(Honor!$I$2:$I800,MATCH($I127,Honor!$A$2:$A800,0))</f>
        <v>60000</v>
      </c>
      <c r="L127" s="64">
        <v>10</v>
      </c>
      <c r="M127" s="10">
        <f t="shared" si="0"/>
        <v>600000</v>
      </c>
      <c r="O127" s="67">
        <f t="array" ref="O127">INDEX(Honor!$L$2:$L800,MATCH($I127,Honor!$A$2:$A800,0))</f>
        <v>45350</v>
      </c>
      <c r="P127" s="10">
        <f t="shared" si="1"/>
        <v>2024</v>
      </c>
      <c r="Q127" s="10">
        <f t="shared" si="2"/>
        <v>2</v>
      </c>
      <c r="R127" s="10" t="str">
        <f t="array" ref="R127">INDEX(Honor!$Q$2:$Q800,MATCH($I127,Honor!$A$2:$A800,0))</f>
        <v>SURVEI-PPL</v>
      </c>
      <c r="S127" s="10" t="str">
        <f t="shared" si="3"/>
        <v>610423040004-2024-2</v>
      </c>
      <c r="T127" s="10" t="str">
        <f t="shared" si="4"/>
        <v>610423040004-2024-2-SURVEI-PPL</v>
      </c>
      <c r="U127" s="64">
        <v>1</v>
      </c>
      <c r="V127" s="10" t="e">
        <f t="array" aca="1" ref="V127" ca="1">INDEX(Honor!$O$2:$O800,MATCH($I127,Honor!$A$2:$A800,0))</f>
        <v>#NAME?</v>
      </c>
      <c r="W127" s="68">
        <v>45376</v>
      </c>
      <c r="X127" s="7" t="str">
        <f t="array" ref="X127">INDEX('Input Kegiatan'!$B$2:$B800,MATCH(B127,'Input Kegiatan'!$A$2:$A800,0))</f>
        <v>Survei Ekonomi Rumah Tangga Triwulanan (SERUTI24) Triwulan I Kegiatan Lapangan</v>
      </c>
      <c r="Y127" s="7" t="s">
        <v>4408</v>
      </c>
      <c r="Z127" s="7" t="s">
        <v>4531</v>
      </c>
      <c r="AA127" s="68">
        <f t="shared" si="5"/>
        <v>45322</v>
      </c>
      <c r="AB127" s="68">
        <f t="shared" si="6"/>
        <v>45323</v>
      </c>
      <c r="AC127" s="68">
        <f t="shared" si="7"/>
        <v>45351</v>
      </c>
      <c r="AD127" s="68">
        <f t="shared" si="8"/>
        <v>45350</v>
      </c>
      <c r="AE127" s="68">
        <f t="shared" si="9"/>
        <v>45351</v>
      </c>
    </row>
    <row r="128" spans="1:31" ht="12.5">
      <c r="A128" s="125">
        <v>610422100144</v>
      </c>
      <c r="B128" s="64" t="s">
        <v>105</v>
      </c>
      <c r="D128" s="10">
        <f t="array" aca="1" ref="D128" ca="1">INDEX('Mitra per Bulan'!$M$2:$M800,MATCH(S128,'Mitra per Bulan'!$B$2:$B800,0))</f>
        <v>1</v>
      </c>
      <c r="E128" s="10" t="str">
        <f t="array" ref="E128">INDEX('Database Mitra'!$A$2:$A800,MATCH(A128,'Database Mitra'!$B$2:$B800,0))</f>
        <v>Irfan Faozi Sunaryo</v>
      </c>
      <c r="F128" s="64" t="s">
        <v>25</v>
      </c>
      <c r="G128" s="5" t="str">
        <f t="array" ref="G128">INDEX('Database Mitra'!$G$2:$G800,MATCH(A128,'Database Mitra'!$B$2:$B800,0))</f>
        <v>6102122710990001</v>
      </c>
      <c r="H128" s="64" t="s">
        <v>67</v>
      </c>
      <c r="I128" s="65" t="s">
        <v>106</v>
      </c>
      <c r="J128" s="10" t="str">
        <f t="array" ref="J128">INDEX(Honor!$H$2:$H800,MATCH($I128,Honor!$A$2:$A800,0))</f>
        <v>Dokumen</v>
      </c>
      <c r="K128" s="66">
        <f t="array" ref="K128">INDEX(Honor!$I$2:$I800,MATCH($I128,Honor!$A$2:$A800,0))</f>
        <v>60000</v>
      </c>
      <c r="L128" s="64">
        <v>10</v>
      </c>
      <c r="M128" s="10">
        <f t="shared" si="0"/>
        <v>600000</v>
      </c>
      <c r="O128" s="67">
        <f t="array" ref="O128">INDEX(Honor!$L$2:$L800,MATCH($I128,Honor!$A$2:$A800,0))</f>
        <v>45350</v>
      </c>
      <c r="P128" s="10">
        <f t="shared" si="1"/>
        <v>2024</v>
      </c>
      <c r="Q128" s="10">
        <f t="shared" si="2"/>
        <v>2</v>
      </c>
      <c r="R128" s="10" t="str">
        <f t="array" ref="R128">INDEX(Honor!$Q$2:$Q800,MATCH($I128,Honor!$A$2:$A800,0))</f>
        <v>SURVEI-PPL</v>
      </c>
      <c r="S128" s="10" t="str">
        <f t="shared" si="3"/>
        <v>610422100144-2024-2</v>
      </c>
      <c r="T128" s="10" t="str">
        <f t="shared" si="4"/>
        <v>610422100144-2024-2-SURVEI-PPL</v>
      </c>
      <c r="U128" s="64">
        <v>1</v>
      </c>
      <c r="V128" s="10" t="e">
        <f t="array" aca="1" ref="V128" ca="1">INDEX(Honor!$O$2:$O800,MATCH($I128,Honor!$A$2:$A800,0))</f>
        <v>#NAME?</v>
      </c>
      <c r="W128" s="68">
        <v>45376</v>
      </c>
      <c r="X128" s="7" t="str">
        <f t="array" ref="X128">INDEX('Input Kegiatan'!$B$2:$B800,MATCH(B128,'Input Kegiatan'!$A$2:$A800,0))</f>
        <v>Survei Ekonomi Rumah Tangga Triwulanan (SERUTI24) Triwulan I Kegiatan Lapangan</v>
      </c>
      <c r="Y128" s="7" t="s">
        <v>5250</v>
      </c>
      <c r="Z128" s="7" t="s">
        <v>5488</v>
      </c>
      <c r="AA128" s="68">
        <f t="shared" si="5"/>
        <v>45322</v>
      </c>
      <c r="AB128" s="68">
        <f t="shared" si="6"/>
        <v>45323</v>
      </c>
      <c r="AC128" s="68">
        <f t="shared" si="7"/>
        <v>45351</v>
      </c>
      <c r="AD128" s="68">
        <f t="shared" si="8"/>
        <v>45350</v>
      </c>
      <c r="AE128" s="68">
        <f t="shared" si="9"/>
        <v>45351</v>
      </c>
    </row>
    <row r="129" spans="1:31" ht="12.5">
      <c r="A129" s="125">
        <v>610422020032</v>
      </c>
      <c r="B129" s="64" t="s">
        <v>105</v>
      </c>
      <c r="D129" s="10">
        <f t="array" aca="1" ref="D129" ca="1">INDEX('Mitra per Bulan'!$M$2:$M800,MATCH(S129,'Mitra per Bulan'!$B$2:$B800,0))</f>
        <v>1</v>
      </c>
      <c r="E129" s="10" t="str">
        <f t="array" ref="E129">INDEX('Database Mitra'!$A$2:$A800,MATCH(A129,'Database Mitra'!$B$2:$B800,0))</f>
        <v>Lilis Suryani</v>
      </c>
      <c r="F129" s="64" t="s">
        <v>25</v>
      </c>
      <c r="G129" s="5" t="str">
        <f t="array" ref="G129">INDEX('Database Mitra'!$G$2:$G800,MATCH(A129,'Database Mitra'!$B$2:$B800,0))</f>
        <v>6102185102880001</v>
      </c>
      <c r="H129" s="64" t="s">
        <v>67</v>
      </c>
      <c r="I129" s="65" t="s">
        <v>106</v>
      </c>
      <c r="J129" s="10" t="str">
        <f t="array" ref="J129">INDEX(Honor!$H$2:$H800,MATCH($I129,Honor!$A$2:$A800,0))</f>
        <v>Dokumen</v>
      </c>
      <c r="K129" s="66">
        <f t="array" ref="K129">INDEX(Honor!$I$2:$I800,MATCH($I129,Honor!$A$2:$A800,0))</f>
        <v>60000</v>
      </c>
      <c r="L129" s="64">
        <v>10</v>
      </c>
      <c r="M129" s="10">
        <f t="shared" si="0"/>
        <v>600000</v>
      </c>
      <c r="O129" s="67">
        <f t="array" ref="O129">INDEX(Honor!$L$2:$L800,MATCH($I129,Honor!$A$2:$A800,0))</f>
        <v>45350</v>
      </c>
      <c r="P129" s="10">
        <f t="shared" si="1"/>
        <v>2024</v>
      </c>
      <c r="Q129" s="10">
        <f t="shared" si="2"/>
        <v>2</v>
      </c>
      <c r="R129" s="10" t="str">
        <f t="array" ref="R129">INDEX(Honor!$Q$2:$Q800,MATCH($I129,Honor!$A$2:$A800,0))</f>
        <v>SURVEI-PPL</v>
      </c>
      <c r="S129" s="10" t="str">
        <f t="shared" si="3"/>
        <v>610422020032-2024-2</v>
      </c>
      <c r="T129" s="10" t="str">
        <f t="shared" si="4"/>
        <v>610422020032-2024-2-SURVEI-PPL</v>
      </c>
      <c r="U129" s="64">
        <v>1</v>
      </c>
      <c r="V129" s="10" t="e">
        <f t="array" aca="1" ref="V129" ca="1">INDEX(Honor!$O$2:$O800,MATCH($I129,Honor!$A$2:$A800,0))</f>
        <v>#NAME?</v>
      </c>
      <c r="W129" s="68">
        <v>45376</v>
      </c>
      <c r="X129" s="7" t="str">
        <f t="array" ref="X129">INDEX('Input Kegiatan'!$B$2:$B800,MATCH(B129,'Input Kegiatan'!$A$2:$A800,0))</f>
        <v>Survei Ekonomi Rumah Tangga Triwulanan (SERUTI24) Triwulan I Kegiatan Lapangan</v>
      </c>
      <c r="Y129" s="7" t="s">
        <v>4931</v>
      </c>
      <c r="Z129" s="7" t="s">
        <v>5209</v>
      </c>
      <c r="AA129" s="68">
        <f t="shared" si="5"/>
        <v>45322</v>
      </c>
      <c r="AB129" s="68">
        <f t="shared" si="6"/>
        <v>45323</v>
      </c>
      <c r="AC129" s="68">
        <f t="shared" si="7"/>
        <v>45351</v>
      </c>
      <c r="AD129" s="68">
        <f t="shared" si="8"/>
        <v>45350</v>
      </c>
      <c r="AE129" s="68">
        <f t="shared" si="9"/>
        <v>45351</v>
      </c>
    </row>
    <row r="130" spans="1:31" ht="12.5">
      <c r="A130" s="125">
        <v>610422100085</v>
      </c>
      <c r="B130" s="64" t="s">
        <v>105</v>
      </c>
      <c r="D130" s="10">
        <f t="array" aca="1" ref="D130" ca="1">INDEX('Mitra per Bulan'!$M$2:$M800,MATCH(S130,'Mitra per Bulan'!$B$2:$B800,0))</f>
        <v>1</v>
      </c>
      <c r="E130" s="10" t="str">
        <f t="array" ref="E130">INDEX('Database Mitra'!$A$2:$A800,MATCH(A130,'Database Mitra'!$B$2:$B800,0))</f>
        <v>Lina Agustin Widya Siwi</v>
      </c>
      <c r="F130" s="64" t="s">
        <v>25</v>
      </c>
      <c r="G130" s="5" t="str">
        <f t="array" ref="G130">INDEX('Database Mitra'!$G$2:$G800,MATCH(A130,'Database Mitra'!$B$2:$B800,0))</f>
        <v>3301225608850001</v>
      </c>
      <c r="H130" s="64" t="s">
        <v>67</v>
      </c>
      <c r="I130" s="65" t="s">
        <v>106</v>
      </c>
      <c r="J130" s="10" t="str">
        <f t="array" ref="J130">INDEX(Honor!$H$2:$H800,MATCH($I130,Honor!$A$2:$A800,0))</f>
        <v>Dokumen</v>
      </c>
      <c r="K130" s="66">
        <f t="array" ref="K130">INDEX(Honor!$I$2:$I800,MATCH($I130,Honor!$A$2:$A800,0))</f>
        <v>60000</v>
      </c>
      <c r="L130" s="64">
        <v>10</v>
      </c>
      <c r="M130" s="10">
        <f t="shared" si="0"/>
        <v>600000</v>
      </c>
      <c r="O130" s="67">
        <f t="array" ref="O130">INDEX(Honor!$L$2:$L800,MATCH($I130,Honor!$A$2:$A800,0))</f>
        <v>45350</v>
      </c>
      <c r="P130" s="10">
        <f t="shared" si="1"/>
        <v>2024</v>
      </c>
      <c r="Q130" s="10">
        <f t="shared" si="2"/>
        <v>2</v>
      </c>
      <c r="R130" s="10" t="str">
        <f t="array" ref="R130">INDEX(Honor!$Q$2:$Q800,MATCH($I130,Honor!$A$2:$A800,0))</f>
        <v>SURVEI-PPL</v>
      </c>
      <c r="S130" s="10" t="str">
        <f t="shared" si="3"/>
        <v>610422100085-2024-2</v>
      </c>
      <c r="T130" s="10" t="str">
        <f t="shared" si="4"/>
        <v>610422100085-2024-2-SURVEI-PPL</v>
      </c>
      <c r="U130" s="64">
        <v>1</v>
      </c>
      <c r="V130" s="10" t="e">
        <f t="array" aca="1" ref="V130" ca="1">INDEX(Honor!$O$2:$O800,MATCH($I130,Honor!$A$2:$A800,0))</f>
        <v>#NAME?</v>
      </c>
      <c r="W130" s="68">
        <v>45376</v>
      </c>
      <c r="X130" s="7" t="str">
        <f t="array" ref="X130">INDEX('Input Kegiatan'!$B$2:$B800,MATCH(B130,'Input Kegiatan'!$A$2:$A800,0))</f>
        <v>Survei Ekonomi Rumah Tangga Triwulanan (SERUTI24) Triwulan I Kegiatan Lapangan</v>
      </c>
      <c r="Y130" s="7" t="s">
        <v>3990</v>
      </c>
      <c r="Z130" s="7" t="s">
        <v>4087</v>
      </c>
      <c r="AA130" s="68">
        <f t="shared" si="5"/>
        <v>45322</v>
      </c>
      <c r="AB130" s="68">
        <f t="shared" si="6"/>
        <v>45323</v>
      </c>
      <c r="AC130" s="68">
        <f t="shared" si="7"/>
        <v>45351</v>
      </c>
      <c r="AD130" s="68">
        <f t="shared" si="8"/>
        <v>45350</v>
      </c>
      <c r="AE130" s="68">
        <f t="shared" si="9"/>
        <v>45351</v>
      </c>
    </row>
    <row r="131" spans="1:31" ht="12.5">
      <c r="A131" s="125">
        <v>610423040013</v>
      </c>
      <c r="B131" s="64" t="s">
        <v>105</v>
      </c>
      <c r="D131" s="10">
        <f t="array" aca="1" ref="D131" ca="1">INDEX('Mitra per Bulan'!$M$2:$M800,MATCH(S131,'Mitra per Bulan'!$B$2:$B800,0))</f>
        <v>1</v>
      </c>
      <c r="E131" s="10" t="str">
        <f t="array" ref="E131">INDEX('Database Mitra'!$A$2:$A800,MATCH(A131,'Database Mitra'!$B$2:$B800,0))</f>
        <v>Lulu Gesti Gunawati</v>
      </c>
      <c r="F131" s="64" t="s">
        <v>25</v>
      </c>
      <c r="G131" s="5" t="str">
        <f t="array" ref="G131">INDEX('Database Mitra'!$G$2:$G800,MATCH(A131,'Database Mitra'!$B$2:$B800,0))</f>
        <v>3314066101000001</v>
      </c>
      <c r="H131" s="64" t="s">
        <v>67</v>
      </c>
      <c r="I131" s="65" t="s">
        <v>106</v>
      </c>
      <c r="J131" s="10" t="str">
        <f t="array" ref="J131">INDEX(Honor!$H$2:$H800,MATCH($I131,Honor!$A$2:$A800,0))</f>
        <v>Dokumen</v>
      </c>
      <c r="K131" s="66">
        <f t="array" ref="K131">INDEX(Honor!$I$2:$I800,MATCH($I131,Honor!$A$2:$A800,0))</f>
        <v>60000</v>
      </c>
      <c r="L131" s="64">
        <v>10</v>
      </c>
      <c r="M131" s="10">
        <f t="shared" si="0"/>
        <v>600000</v>
      </c>
      <c r="O131" s="67">
        <f t="array" ref="O131">INDEX(Honor!$L$2:$L800,MATCH($I131,Honor!$A$2:$A800,0))</f>
        <v>45350</v>
      </c>
      <c r="P131" s="10">
        <f t="shared" si="1"/>
        <v>2024</v>
      </c>
      <c r="Q131" s="10">
        <f t="shared" si="2"/>
        <v>2</v>
      </c>
      <c r="R131" s="10" t="str">
        <f t="array" ref="R131">INDEX(Honor!$Q$2:$Q800,MATCH($I131,Honor!$A$2:$A800,0))</f>
        <v>SURVEI-PPL</v>
      </c>
      <c r="S131" s="10" t="str">
        <f t="shared" si="3"/>
        <v>610423040013-2024-2</v>
      </c>
      <c r="T131" s="10" t="str">
        <f t="shared" si="4"/>
        <v>610423040013-2024-2-SURVEI-PPL</v>
      </c>
      <c r="U131" s="64">
        <v>1</v>
      </c>
      <c r="V131" s="10" t="e">
        <f t="array" aca="1" ref="V131" ca="1">INDEX(Honor!$O$2:$O800,MATCH($I131,Honor!$A$2:$A800,0))</f>
        <v>#NAME?</v>
      </c>
      <c r="W131" s="68">
        <v>45376</v>
      </c>
      <c r="X131" s="7" t="str">
        <f t="array" ref="X131">INDEX('Input Kegiatan'!$B$2:$B800,MATCH(B131,'Input Kegiatan'!$A$2:$A800,0))</f>
        <v>Survei Ekonomi Rumah Tangga Triwulanan (SERUTI24) Triwulan I Kegiatan Lapangan</v>
      </c>
      <c r="Y131" s="7" t="s">
        <v>5250</v>
      </c>
      <c r="Z131" s="7" t="s">
        <v>5304</v>
      </c>
      <c r="AA131" s="68">
        <f t="shared" si="5"/>
        <v>45322</v>
      </c>
      <c r="AB131" s="68">
        <f t="shared" si="6"/>
        <v>45323</v>
      </c>
      <c r="AC131" s="68">
        <f t="shared" si="7"/>
        <v>45351</v>
      </c>
      <c r="AD131" s="68">
        <f t="shared" si="8"/>
        <v>45350</v>
      </c>
      <c r="AE131" s="68">
        <f t="shared" si="9"/>
        <v>45351</v>
      </c>
    </row>
    <row r="132" spans="1:31" ht="12.5">
      <c r="A132" s="125">
        <v>610422100137</v>
      </c>
      <c r="B132" s="64" t="s">
        <v>105</v>
      </c>
      <c r="D132" s="10">
        <f t="array" aca="1" ref="D132" ca="1">INDEX('Mitra per Bulan'!$M$2:$M800,MATCH(S132,'Mitra per Bulan'!$B$2:$B800,0))</f>
        <v>1</v>
      </c>
      <c r="E132" s="10" t="str">
        <f t="array" ref="E132">INDEX('Database Mitra'!$A$2:$A800,MATCH(A132,'Database Mitra'!$B$2:$B800,0))</f>
        <v>Masturi</v>
      </c>
      <c r="F132" s="64" t="s">
        <v>25</v>
      </c>
      <c r="G132" s="5" t="str">
        <f t="array" ref="G132">INDEX('Database Mitra'!$G$2:$G800,MATCH(A132,'Database Mitra'!$B$2:$B800,0))</f>
        <v>6102060709870002</v>
      </c>
      <c r="H132" s="64" t="s">
        <v>67</v>
      </c>
      <c r="I132" s="65" t="s">
        <v>106</v>
      </c>
      <c r="J132" s="10" t="str">
        <f t="array" ref="J132">INDEX(Honor!$H$2:$H800,MATCH($I132,Honor!$A$2:$A800,0))</f>
        <v>Dokumen</v>
      </c>
      <c r="K132" s="66">
        <f t="array" ref="K132">INDEX(Honor!$I$2:$I800,MATCH($I132,Honor!$A$2:$A800,0))</f>
        <v>60000</v>
      </c>
      <c r="L132" s="64">
        <v>10</v>
      </c>
      <c r="M132" s="10">
        <f t="shared" si="0"/>
        <v>600000</v>
      </c>
      <c r="O132" s="67">
        <f t="array" ref="O132">INDEX(Honor!$L$2:$L800,MATCH($I132,Honor!$A$2:$A800,0))</f>
        <v>45350</v>
      </c>
      <c r="P132" s="10">
        <f t="shared" si="1"/>
        <v>2024</v>
      </c>
      <c r="Q132" s="10">
        <f t="shared" si="2"/>
        <v>2</v>
      </c>
      <c r="R132" s="10" t="str">
        <f t="array" ref="R132">INDEX(Honor!$Q$2:$Q800,MATCH($I132,Honor!$A$2:$A800,0))</f>
        <v>SURVEI-PPL</v>
      </c>
      <c r="S132" s="10" t="str">
        <f t="shared" si="3"/>
        <v>610422100137-2024-2</v>
      </c>
      <c r="T132" s="10" t="str">
        <f t="shared" si="4"/>
        <v>610422100137-2024-2-SURVEI-PPL</v>
      </c>
      <c r="U132" s="64">
        <v>1</v>
      </c>
      <c r="V132" s="10" t="e">
        <f t="array" aca="1" ref="V132" ca="1">INDEX(Honor!$O$2:$O800,MATCH($I132,Honor!$A$2:$A800,0))</f>
        <v>#NAME?</v>
      </c>
      <c r="W132" s="68">
        <v>45376</v>
      </c>
      <c r="X132" s="7" t="str">
        <f t="array" ref="X132">INDEX('Input Kegiatan'!$B$2:$B800,MATCH(B132,'Input Kegiatan'!$A$2:$A800,0))</f>
        <v>Survei Ekonomi Rumah Tangga Triwulanan (SERUTI24) Triwulan I Kegiatan Lapangan</v>
      </c>
      <c r="Y132" s="7" t="s">
        <v>5534</v>
      </c>
      <c r="Z132" s="7" t="s">
        <v>5535</v>
      </c>
      <c r="AA132" s="68">
        <f t="shared" si="5"/>
        <v>45322</v>
      </c>
      <c r="AB132" s="68">
        <f t="shared" si="6"/>
        <v>45323</v>
      </c>
      <c r="AC132" s="68">
        <f t="shared" si="7"/>
        <v>45351</v>
      </c>
      <c r="AD132" s="68">
        <f t="shared" si="8"/>
        <v>45350</v>
      </c>
      <c r="AE132" s="68">
        <f t="shared" si="9"/>
        <v>45351</v>
      </c>
    </row>
    <row r="133" spans="1:31" ht="12.5">
      <c r="A133" s="125">
        <v>610422100256</v>
      </c>
      <c r="B133" s="64" t="s">
        <v>105</v>
      </c>
      <c r="D133" s="10">
        <f t="array" aca="1" ref="D133" ca="1">INDEX('Mitra per Bulan'!$M$2:$M800,MATCH(S133,'Mitra per Bulan'!$B$2:$B800,0))</f>
        <v>1</v>
      </c>
      <c r="E133" s="10" t="str">
        <f t="array" ref="E133">INDEX('Database Mitra'!$A$2:$A800,MATCH(A133,'Database Mitra'!$B$2:$B800,0))</f>
        <v>Meta</v>
      </c>
      <c r="F133" s="64" t="s">
        <v>25</v>
      </c>
      <c r="G133" s="5" t="str">
        <f t="array" ref="G133">INDEX('Database Mitra'!$G$2:$G800,MATCH(A133,'Database Mitra'!$B$2:$B800,0))</f>
        <v>6102174505970001</v>
      </c>
      <c r="H133" s="64" t="s">
        <v>67</v>
      </c>
      <c r="I133" s="65" t="s">
        <v>106</v>
      </c>
      <c r="J133" s="10" t="str">
        <f t="array" ref="J133">INDEX(Honor!$H$2:$H800,MATCH($I133,Honor!$A$2:$A800,0))</f>
        <v>Dokumen</v>
      </c>
      <c r="K133" s="66">
        <f t="array" ref="K133">INDEX(Honor!$I$2:$I800,MATCH($I133,Honor!$A$2:$A800,0))</f>
        <v>60000</v>
      </c>
      <c r="L133" s="64">
        <v>10</v>
      </c>
      <c r="M133" s="10">
        <f t="shared" si="0"/>
        <v>600000</v>
      </c>
      <c r="O133" s="67">
        <f t="array" ref="O133">INDEX(Honor!$L$2:$L800,MATCH($I133,Honor!$A$2:$A800,0))</f>
        <v>45350</v>
      </c>
      <c r="P133" s="10">
        <f t="shared" si="1"/>
        <v>2024</v>
      </c>
      <c r="Q133" s="10">
        <f t="shared" si="2"/>
        <v>2</v>
      </c>
      <c r="R133" s="10" t="str">
        <f t="array" ref="R133">INDEX(Honor!$Q$2:$Q800,MATCH($I133,Honor!$A$2:$A800,0))</f>
        <v>SURVEI-PPL</v>
      </c>
      <c r="S133" s="10" t="str">
        <f t="shared" si="3"/>
        <v>610422100256-2024-2</v>
      </c>
      <c r="T133" s="10" t="str">
        <f t="shared" si="4"/>
        <v>610422100256-2024-2-SURVEI-PPL</v>
      </c>
      <c r="U133" s="64">
        <v>1</v>
      </c>
      <c r="V133" s="10" t="e">
        <f t="array" aca="1" ref="V133" ca="1">INDEX(Honor!$O$2:$O800,MATCH($I133,Honor!$A$2:$A800,0))</f>
        <v>#NAME?</v>
      </c>
      <c r="W133" s="68">
        <v>45376</v>
      </c>
      <c r="X133" s="7" t="str">
        <f t="array" ref="X133">INDEX('Input Kegiatan'!$B$2:$B800,MATCH(B133,'Input Kegiatan'!$A$2:$A800,0))</f>
        <v>Survei Ekonomi Rumah Tangga Triwulanan (SERUTI24) Triwulan I Kegiatan Lapangan</v>
      </c>
      <c r="Y133" s="7" t="s">
        <v>5741</v>
      </c>
      <c r="Z133" s="7" t="s">
        <v>5742</v>
      </c>
      <c r="AA133" s="68">
        <f t="shared" si="5"/>
        <v>45322</v>
      </c>
      <c r="AB133" s="68">
        <f t="shared" si="6"/>
        <v>45323</v>
      </c>
      <c r="AC133" s="68">
        <f t="shared" si="7"/>
        <v>45351</v>
      </c>
      <c r="AD133" s="68">
        <f t="shared" si="8"/>
        <v>45350</v>
      </c>
      <c r="AE133" s="68">
        <f t="shared" si="9"/>
        <v>45351</v>
      </c>
    </row>
    <row r="134" spans="1:31" ht="12.5">
      <c r="A134" s="125">
        <v>610422040050</v>
      </c>
      <c r="B134" s="64" t="s">
        <v>105</v>
      </c>
      <c r="D134" s="10">
        <f t="array" aca="1" ref="D134" ca="1">INDEX('Mitra per Bulan'!$M$2:$M800,MATCH(S134,'Mitra per Bulan'!$B$2:$B800,0))</f>
        <v>1</v>
      </c>
      <c r="E134" s="10" t="str">
        <f t="array" ref="E134">INDEX('Database Mitra'!$A$2:$A800,MATCH(A134,'Database Mitra'!$B$2:$B800,0))</f>
        <v>Novita Sari</v>
      </c>
      <c r="F134" s="64" t="s">
        <v>25</v>
      </c>
      <c r="G134" s="5" t="str">
        <f t="array" ref="G134">INDEX('Database Mitra'!$G$2:$G800,MATCH(A134,'Database Mitra'!$B$2:$B800,0))</f>
        <v>6102085906990001</v>
      </c>
      <c r="H134" s="64" t="s">
        <v>67</v>
      </c>
      <c r="I134" s="65" t="s">
        <v>106</v>
      </c>
      <c r="J134" s="10" t="str">
        <f t="array" ref="J134">INDEX(Honor!$H$2:$H800,MATCH($I134,Honor!$A$2:$A800,0))</f>
        <v>Dokumen</v>
      </c>
      <c r="K134" s="66">
        <f t="array" ref="K134">INDEX(Honor!$I$2:$I800,MATCH($I134,Honor!$A$2:$A800,0))</f>
        <v>60000</v>
      </c>
      <c r="L134" s="64">
        <v>10</v>
      </c>
      <c r="M134" s="10">
        <f t="shared" si="0"/>
        <v>600000</v>
      </c>
      <c r="O134" s="67">
        <f t="array" ref="O134">INDEX(Honor!$L$2:$L800,MATCH($I134,Honor!$A$2:$A800,0))</f>
        <v>45350</v>
      </c>
      <c r="P134" s="10">
        <f t="shared" si="1"/>
        <v>2024</v>
      </c>
      <c r="Q134" s="10">
        <f t="shared" si="2"/>
        <v>2</v>
      </c>
      <c r="R134" s="10" t="str">
        <f t="array" ref="R134">INDEX(Honor!$Q$2:$Q800,MATCH($I134,Honor!$A$2:$A800,0))</f>
        <v>SURVEI-PPL</v>
      </c>
      <c r="S134" s="10" t="str">
        <f t="shared" si="3"/>
        <v>610422040050-2024-2</v>
      </c>
      <c r="T134" s="10" t="str">
        <f t="shared" si="4"/>
        <v>610422040050-2024-2-SURVEI-PPL</v>
      </c>
      <c r="U134" s="64">
        <v>1</v>
      </c>
      <c r="V134" s="10" t="e">
        <f t="array" aca="1" ref="V134" ca="1">INDEX(Honor!$O$2:$O800,MATCH($I134,Honor!$A$2:$A800,0))</f>
        <v>#NAME?</v>
      </c>
      <c r="W134" s="68">
        <v>45376</v>
      </c>
      <c r="X134" s="7" t="str">
        <f t="array" ref="X134">INDEX('Input Kegiatan'!$B$2:$B800,MATCH(B134,'Input Kegiatan'!$A$2:$A800,0))</f>
        <v>Survei Ekonomi Rumah Tangga Triwulanan (SERUTI24) Triwulan I Kegiatan Lapangan</v>
      </c>
      <c r="Y134" s="7" t="s">
        <v>3241</v>
      </c>
      <c r="Z134" s="7" t="s">
        <v>3289</v>
      </c>
      <c r="AA134" s="68">
        <f t="shared" si="5"/>
        <v>45322</v>
      </c>
      <c r="AB134" s="68">
        <f t="shared" si="6"/>
        <v>45323</v>
      </c>
      <c r="AC134" s="68">
        <f t="shared" si="7"/>
        <v>45351</v>
      </c>
      <c r="AD134" s="68">
        <f t="shared" si="8"/>
        <v>45350</v>
      </c>
      <c r="AE134" s="68">
        <f t="shared" si="9"/>
        <v>45351</v>
      </c>
    </row>
    <row r="135" spans="1:31" ht="12.5">
      <c r="A135" s="125">
        <v>610422040035</v>
      </c>
      <c r="B135" s="64" t="s">
        <v>105</v>
      </c>
      <c r="D135" s="10">
        <f t="array" aca="1" ref="D135" ca="1">INDEX('Mitra per Bulan'!$M$2:$M800,MATCH(S135,'Mitra per Bulan'!$B$2:$B800,0))</f>
        <v>1</v>
      </c>
      <c r="E135" s="10" t="str">
        <f t="array" ref="E135">INDEX('Database Mitra'!$A$2:$A800,MATCH(A135,'Database Mitra'!$B$2:$B800,0))</f>
        <v>Rahmayani</v>
      </c>
      <c r="F135" s="64" t="s">
        <v>25</v>
      </c>
      <c r="G135" s="5" t="str">
        <f t="array" ref="G135">INDEX('Database Mitra'!$G$2:$G800,MATCH(A135,'Database Mitra'!$B$2:$B800,0))</f>
        <v>6102186404970003</v>
      </c>
      <c r="H135" s="64" t="s">
        <v>67</v>
      </c>
      <c r="I135" s="65" t="s">
        <v>106</v>
      </c>
      <c r="J135" s="10" t="str">
        <f t="array" ref="J135">INDEX(Honor!$H$2:$H800,MATCH($I135,Honor!$A$2:$A800,0))</f>
        <v>Dokumen</v>
      </c>
      <c r="K135" s="66">
        <f t="array" ref="K135">INDEX(Honor!$I$2:$I800,MATCH($I135,Honor!$A$2:$A800,0))</f>
        <v>60000</v>
      </c>
      <c r="L135" s="64">
        <v>10</v>
      </c>
      <c r="M135" s="10">
        <f t="shared" si="0"/>
        <v>600000</v>
      </c>
      <c r="O135" s="67">
        <f t="array" ref="O135">INDEX(Honor!$L$2:$L800,MATCH($I135,Honor!$A$2:$A800,0))</f>
        <v>45350</v>
      </c>
      <c r="P135" s="10">
        <f t="shared" si="1"/>
        <v>2024</v>
      </c>
      <c r="Q135" s="10">
        <f t="shared" si="2"/>
        <v>2</v>
      </c>
      <c r="R135" s="10" t="str">
        <f t="array" ref="R135">INDEX(Honor!$Q$2:$Q800,MATCH($I135,Honor!$A$2:$A800,0))</f>
        <v>SURVEI-PPL</v>
      </c>
      <c r="S135" s="10" t="str">
        <f t="shared" si="3"/>
        <v>610422040035-2024-2</v>
      </c>
      <c r="T135" s="10" t="str">
        <f t="shared" si="4"/>
        <v>610422040035-2024-2-SURVEI-PPL</v>
      </c>
      <c r="U135" s="64">
        <v>1</v>
      </c>
      <c r="V135" s="10" t="e">
        <f t="array" aca="1" ref="V135" ca="1">INDEX(Honor!$O$2:$O800,MATCH($I135,Honor!$A$2:$A800,0))</f>
        <v>#NAME?</v>
      </c>
      <c r="W135" s="68">
        <v>45376</v>
      </c>
      <c r="X135" s="7" t="str">
        <f t="array" ref="X135">INDEX('Input Kegiatan'!$B$2:$B800,MATCH(B135,'Input Kegiatan'!$A$2:$A800,0))</f>
        <v>Survei Ekonomi Rumah Tangga Triwulanan (SERUTI24) Triwulan I Kegiatan Lapangan</v>
      </c>
      <c r="Y135" s="7" t="s">
        <v>4931</v>
      </c>
      <c r="Z135" s="7" t="s">
        <v>5171</v>
      </c>
      <c r="AA135" s="68">
        <f t="shared" si="5"/>
        <v>45322</v>
      </c>
      <c r="AB135" s="68">
        <f t="shared" si="6"/>
        <v>45323</v>
      </c>
      <c r="AC135" s="68">
        <f t="shared" si="7"/>
        <v>45351</v>
      </c>
      <c r="AD135" s="68">
        <f t="shared" si="8"/>
        <v>45350</v>
      </c>
      <c r="AE135" s="68">
        <f t="shared" si="9"/>
        <v>45351</v>
      </c>
    </row>
    <row r="136" spans="1:31" ht="12.5">
      <c r="A136" s="125">
        <v>610422040061</v>
      </c>
      <c r="B136" s="64" t="s">
        <v>105</v>
      </c>
      <c r="D136" s="10">
        <f t="array" aca="1" ref="D136" ca="1">INDEX('Mitra per Bulan'!$M$2:$M800,MATCH(S136,'Mitra per Bulan'!$B$2:$B800,0))</f>
        <v>1</v>
      </c>
      <c r="E136" s="10" t="str">
        <f t="array" ref="E136">INDEX('Database Mitra'!$A$2:$A800,MATCH(A136,'Database Mitra'!$B$2:$B800,0))</f>
        <v>Sabani</v>
      </c>
      <c r="F136" s="64" t="s">
        <v>25</v>
      </c>
      <c r="G136" s="5" t="str">
        <f t="array" ref="G136">INDEX('Database Mitra'!$G$2:$G800,MATCH(A136,'Database Mitra'!$B$2:$B800,0))</f>
        <v>6102153112860003</v>
      </c>
      <c r="H136" s="64" t="s">
        <v>67</v>
      </c>
      <c r="I136" s="65" t="s">
        <v>106</v>
      </c>
      <c r="J136" s="10" t="str">
        <f t="array" ref="J136">INDEX(Honor!$H$2:$H800,MATCH($I136,Honor!$A$2:$A800,0))</f>
        <v>Dokumen</v>
      </c>
      <c r="K136" s="66">
        <f t="array" ref="K136">INDEX(Honor!$I$2:$I800,MATCH($I136,Honor!$A$2:$A800,0))</f>
        <v>60000</v>
      </c>
      <c r="L136" s="64">
        <v>10</v>
      </c>
      <c r="M136" s="10">
        <f t="shared" si="0"/>
        <v>600000</v>
      </c>
      <c r="O136" s="67">
        <f t="array" ref="O136">INDEX(Honor!$L$2:$L800,MATCH($I136,Honor!$A$2:$A800,0))</f>
        <v>45350</v>
      </c>
      <c r="P136" s="10">
        <f t="shared" si="1"/>
        <v>2024</v>
      </c>
      <c r="Q136" s="10">
        <f t="shared" si="2"/>
        <v>2</v>
      </c>
      <c r="R136" s="10" t="str">
        <f t="array" ref="R136">INDEX(Honor!$Q$2:$Q800,MATCH($I136,Honor!$A$2:$A800,0))</f>
        <v>SURVEI-PPL</v>
      </c>
      <c r="S136" s="10" t="str">
        <f t="shared" si="3"/>
        <v>610422040061-2024-2</v>
      </c>
      <c r="T136" s="10" t="str">
        <f t="shared" si="4"/>
        <v>610422040061-2024-2-SURVEI-PPL</v>
      </c>
      <c r="U136" s="64">
        <v>1</v>
      </c>
      <c r="V136" s="10" t="e">
        <f t="array" aca="1" ref="V136" ca="1">INDEX(Honor!$O$2:$O800,MATCH($I136,Honor!$A$2:$A800,0))</f>
        <v>#NAME?</v>
      </c>
      <c r="W136" s="68">
        <v>45376</v>
      </c>
      <c r="X136" s="7" t="str">
        <f t="array" ref="X136">INDEX('Input Kegiatan'!$B$2:$B800,MATCH(B136,'Input Kegiatan'!$A$2:$A800,0))</f>
        <v>Survei Ekonomi Rumah Tangga Triwulanan (SERUTI24) Triwulan I Kegiatan Lapangan</v>
      </c>
      <c r="Y136" s="7" t="s">
        <v>3715</v>
      </c>
      <c r="Z136" s="7" t="s">
        <v>3862</v>
      </c>
      <c r="AA136" s="68">
        <f t="shared" si="5"/>
        <v>45322</v>
      </c>
      <c r="AB136" s="68">
        <f t="shared" si="6"/>
        <v>45323</v>
      </c>
      <c r="AC136" s="68">
        <f t="shared" si="7"/>
        <v>45351</v>
      </c>
      <c r="AD136" s="68">
        <f t="shared" si="8"/>
        <v>45350</v>
      </c>
      <c r="AE136" s="68">
        <f t="shared" si="9"/>
        <v>45351</v>
      </c>
    </row>
    <row r="137" spans="1:31" ht="12.5">
      <c r="A137" s="125">
        <v>610422040053</v>
      </c>
      <c r="B137" s="64" t="s">
        <v>105</v>
      </c>
      <c r="D137" s="10">
        <f t="array" aca="1" ref="D137" ca="1">INDEX('Mitra per Bulan'!$M$2:$M800,MATCH(S137,'Mitra per Bulan'!$B$2:$B800,0))</f>
        <v>1</v>
      </c>
      <c r="E137" s="10" t="str">
        <f t="array" ref="E137">INDEX('Database Mitra'!$A$2:$A800,MATCH(A137,'Database Mitra'!$B$2:$B800,0))</f>
        <v>Veti Ningsi</v>
      </c>
      <c r="F137" s="64" t="s">
        <v>25</v>
      </c>
      <c r="G137" s="5" t="str">
        <f t="array" ref="G137">INDEX('Database Mitra'!$G$2:$G800,MATCH(A137,'Database Mitra'!$B$2:$B800,0))</f>
        <v>6102125604010002</v>
      </c>
      <c r="H137" s="64" t="s">
        <v>67</v>
      </c>
      <c r="I137" s="65" t="s">
        <v>106</v>
      </c>
      <c r="J137" s="10" t="str">
        <f t="array" ref="J137">INDEX(Honor!$H$2:$H800,MATCH($I137,Honor!$A$2:$A800,0))</f>
        <v>Dokumen</v>
      </c>
      <c r="K137" s="66">
        <f t="array" ref="K137">INDEX(Honor!$I$2:$I800,MATCH($I137,Honor!$A$2:$A800,0))</f>
        <v>60000</v>
      </c>
      <c r="L137" s="64">
        <v>10</v>
      </c>
      <c r="M137" s="10">
        <f t="shared" si="0"/>
        <v>600000</v>
      </c>
      <c r="O137" s="67">
        <f t="array" ref="O137">INDEX(Honor!$L$2:$L800,MATCH($I137,Honor!$A$2:$A800,0))</f>
        <v>45350</v>
      </c>
      <c r="P137" s="10">
        <f t="shared" si="1"/>
        <v>2024</v>
      </c>
      <c r="Q137" s="10">
        <f t="shared" si="2"/>
        <v>2</v>
      </c>
      <c r="R137" s="10" t="str">
        <f t="array" ref="R137">INDEX(Honor!$Q$2:$Q800,MATCH($I137,Honor!$A$2:$A800,0))</f>
        <v>SURVEI-PPL</v>
      </c>
      <c r="S137" s="10" t="str">
        <f t="shared" si="3"/>
        <v>610422040053-2024-2</v>
      </c>
      <c r="T137" s="10" t="str">
        <f t="shared" si="4"/>
        <v>610422040053-2024-2-SURVEI-PPL</v>
      </c>
      <c r="U137" s="64">
        <v>1</v>
      </c>
      <c r="V137" s="10" t="e">
        <f t="array" aca="1" ref="V137" ca="1">INDEX(Honor!$O$2:$O800,MATCH($I137,Honor!$A$2:$A800,0))</f>
        <v>#NAME?</v>
      </c>
      <c r="W137" s="68">
        <v>45376</v>
      </c>
      <c r="X137" s="7" t="str">
        <f t="array" ref="X137">INDEX('Input Kegiatan'!$B$2:$B800,MATCH(B137,'Input Kegiatan'!$A$2:$A800,0))</f>
        <v>Survei Ekonomi Rumah Tangga Triwulanan (SERUTI24) Triwulan I Kegiatan Lapangan</v>
      </c>
      <c r="Y137" s="7" t="s">
        <v>5250</v>
      </c>
      <c r="Z137" s="7" t="s">
        <v>5464</v>
      </c>
      <c r="AA137" s="68">
        <f t="shared" si="5"/>
        <v>45322</v>
      </c>
      <c r="AB137" s="68">
        <f t="shared" si="6"/>
        <v>45323</v>
      </c>
      <c r="AC137" s="68">
        <f t="shared" si="7"/>
        <v>45351</v>
      </c>
      <c r="AD137" s="68">
        <f t="shared" si="8"/>
        <v>45350</v>
      </c>
      <c r="AE137" s="68">
        <f t="shared" si="9"/>
        <v>45351</v>
      </c>
    </row>
    <row r="138" spans="1:31" ht="12.5">
      <c r="A138" s="125">
        <v>610422100055</v>
      </c>
      <c r="B138" s="64" t="s">
        <v>105</v>
      </c>
      <c r="D138" s="10">
        <f t="array" aca="1" ref="D138" ca="1">INDEX('Mitra per Bulan'!$M$2:$M800,MATCH(S138,'Mitra per Bulan'!$B$2:$B800,0))</f>
        <v>1</v>
      </c>
      <c r="E138" s="10" t="str">
        <f t="array" ref="E138">INDEX('Database Mitra'!$A$2:$A800,MATCH(A138,'Database Mitra'!$B$2:$B800,0))</f>
        <v>Vika Rizkiani</v>
      </c>
      <c r="F138" s="64" t="s">
        <v>25</v>
      </c>
      <c r="G138" s="5" t="str">
        <f t="array" ref="G138">INDEX('Database Mitra'!$G$2:$G800,MATCH(A138,'Database Mitra'!$B$2:$B800,0))</f>
        <v>6102084207980006</v>
      </c>
      <c r="H138" s="64" t="s">
        <v>67</v>
      </c>
      <c r="I138" s="65" t="s">
        <v>106</v>
      </c>
      <c r="J138" s="10" t="str">
        <f t="array" ref="J138">INDEX(Honor!$H$2:$H800,MATCH($I138,Honor!$A$2:$A800,0))</f>
        <v>Dokumen</v>
      </c>
      <c r="K138" s="66">
        <f t="array" ref="K138">INDEX(Honor!$I$2:$I800,MATCH($I138,Honor!$A$2:$A800,0))</f>
        <v>60000</v>
      </c>
      <c r="L138" s="64">
        <v>10</v>
      </c>
      <c r="M138" s="10">
        <f t="shared" si="0"/>
        <v>600000</v>
      </c>
      <c r="O138" s="67">
        <f t="array" ref="O138">INDEX(Honor!$L$2:$L800,MATCH($I138,Honor!$A$2:$A800,0))</f>
        <v>45350</v>
      </c>
      <c r="P138" s="10">
        <f t="shared" si="1"/>
        <v>2024</v>
      </c>
      <c r="Q138" s="10">
        <f t="shared" si="2"/>
        <v>2</v>
      </c>
      <c r="R138" s="10" t="str">
        <f t="array" ref="R138">INDEX(Honor!$Q$2:$Q800,MATCH($I138,Honor!$A$2:$A800,0))</f>
        <v>SURVEI-PPL</v>
      </c>
      <c r="S138" s="10" t="str">
        <f t="shared" si="3"/>
        <v>610422100055-2024-2</v>
      </c>
      <c r="T138" s="10" t="str">
        <f t="shared" si="4"/>
        <v>610422100055-2024-2-SURVEI-PPL</v>
      </c>
      <c r="U138" s="64">
        <v>1</v>
      </c>
      <c r="V138" s="10" t="e">
        <f t="array" aca="1" ref="V138" ca="1">INDEX(Honor!$O$2:$O800,MATCH($I138,Honor!$A$2:$A800,0))</f>
        <v>#NAME?</v>
      </c>
      <c r="W138" s="68">
        <v>45376</v>
      </c>
      <c r="X138" s="7" t="str">
        <f t="array" ref="X138">INDEX('Input Kegiatan'!$B$2:$B800,MATCH(B138,'Input Kegiatan'!$A$2:$A800,0))</f>
        <v>Survei Ekonomi Rumah Tangga Triwulanan (SERUTI24) Triwulan I Kegiatan Lapangan</v>
      </c>
      <c r="Y138" s="7" t="s">
        <v>3241</v>
      </c>
      <c r="Z138" s="7" t="s">
        <v>3289</v>
      </c>
      <c r="AA138" s="68">
        <f t="shared" si="5"/>
        <v>45322</v>
      </c>
      <c r="AB138" s="68">
        <f t="shared" si="6"/>
        <v>45323</v>
      </c>
      <c r="AC138" s="68">
        <f t="shared" si="7"/>
        <v>45351</v>
      </c>
      <c r="AD138" s="68">
        <f t="shared" si="8"/>
        <v>45350</v>
      </c>
      <c r="AE138" s="68">
        <f t="shared" si="9"/>
        <v>45351</v>
      </c>
    </row>
    <row r="139" spans="1:31" ht="12.5">
      <c r="A139" s="125">
        <v>610422100139</v>
      </c>
      <c r="B139" s="64" t="s">
        <v>105</v>
      </c>
      <c r="D139" s="10">
        <f t="array" aca="1" ref="D139" ca="1">INDEX('Mitra per Bulan'!$M$2:$M800,MATCH(S139,'Mitra per Bulan'!$B$2:$B800,0))</f>
        <v>1</v>
      </c>
      <c r="E139" s="10" t="str">
        <f t="array" ref="E139">INDEX('Database Mitra'!$A$2:$A800,MATCH(A139,'Database Mitra'!$B$2:$B800,0))</f>
        <v>Winda Dwi Ananda</v>
      </c>
      <c r="F139" s="64" t="s">
        <v>25</v>
      </c>
      <c r="G139" s="5" t="str">
        <f t="array" ref="G139">INDEX('Database Mitra'!$G$2:$G800,MATCH(A139,'Database Mitra'!$B$2:$B800,0))</f>
        <v>6102016812990001</v>
      </c>
      <c r="H139" s="64" t="s">
        <v>67</v>
      </c>
      <c r="I139" s="65" t="s">
        <v>106</v>
      </c>
      <c r="J139" s="10" t="str">
        <f t="array" ref="J139">INDEX(Honor!$H$2:$H800,MATCH($I139,Honor!$A$2:$A800,0))</f>
        <v>Dokumen</v>
      </c>
      <c r="K139" s="66">
        <f t="array" ref="K139">INDEX(Honor!$I$2:$I800,MATCH($I139,Honor!$A$2:$A800,0))</f>
        <v>60000</v>
      </c>
      <c r="L139" s="64">
        <v>10</v>
      </c>
      <c r="M139" s="10">
        <f t="shared" si="0"/>
        <v>600000</v>
      </c>
      <c r="O139" s="67">
        <f t="array" ref="O139">INDEX(Honor!$L$2:$L800,MATCH($I139,Honor!$A$2:$A800,0))</f>
        <v>45350</v>
      </c>
      <c r="P139" s="10">
        <f t="shared" si="1"/>
        <v>2024</v>
      </c>
      <c r="Q139" s="10">
        <f t="shared" si="2"/>
        <v>2</v>
      </c>
      <c r="R139" s="10" t="str">
        <f t="array" ref="R139">INDEX(Honor!$Q$2:$Q800,MATCH($I139,Honor!$A$2:$A800,0))</f>
        <v>SURVEI-PPL</v>
      </c>
      <c r="S139" s="10" t="str">
        <f t="shared" si="3"/>
        <v>610422100139-2024-2</v>
      </c>
      <c r="T139" s="10" t="str">
        <f t="shared" si="4"/>
        <v>610422100139-2024-2-SURVEI-PPL</v>
      </c>
      <c r="U139" s="64">
        <v>1</v>
      </c>
      <c r="V139" s="10" t="e">
        <f t="array" aca="1" ref="V139" ca="1">INDEX(Honor!$O$2:$O800,MATCH($I139,Honor!$A$2:$A800,0))</f>
        <v>#NAME?</v>
      </c>
      <c r="W139" s="68">
        <v>45376</v>
      </c>
      <c r="X139" s="7" t="str">
        <f t="array" ref="X139">INDEX('Input Kegiatan'!$B$2:$B800,MATCH(B139,'Input Kegiatan'!$A$2:$A800,0))</f>
        <v>Survei Ekonomi Rumah Tangga Triwulanan (SERUTI24) Triwulan I Kegiatan Lapangan</v>
      </c>
      <c r="Y139" s="7" t="s">
        <v>4572</v>
      </c>
      <c r="Z139" s="7" t="s">
        <v>4814</v>
      </c>
      <c r="AA139" s="68">
        <f t="shared" si="5"/>
        <v>45322</v>
      </c>
      <c r="AB139" s="68">
        <f t="shared" si="6"/>
        <v>45323</v>
      </c>
      <c r="AC139" s="68">
        <f t="shared" si="7"/>
        <v>45351</v>
      </c>
      <c r="AD139" s="68">
        <f t="shared" si="8"/>
        <v>45350</v>
      </c>
      <c r="AE139" s="68">
        <f t="shared" si="9"/>
        <v>45351</v>
      </c>
    </row>
    <row r="140" spans="1:31" ht="12.5">
      <c r="A140" s="125">
        <v>610422040052</v>
      </c>
      <c r="B140" s="64" t="s">
        <v>105</v>
      </c>
      <c r="D140" s="10">
        <f t="array" aca="1" ref="D140" ca="1">INDEX('Mitra per Bulan'!$M$2:$M800,MATCH(S140,'Mitra per Bulan'!$B$2:$B800,0))</f>
        <v>1</v>
      </c>
      <c r="E140" s="10" t="str">
        <f t="array" ref="E140">INDEX('Database Mitra'!$A$2:$A800,MATCH(A140,'Database Mitra'!$B$2:$B800,0))</f>
        <v>Yusimianto</v>
      </c>
      <c r="F140" s="64" t="s">
        <v>25</v>
      </c>
      <c r="G140" s="5" t="str">
        <f t="array" ref="G140">INDEX('Database Mitra'!$G$2:$G800,MATCH(A140,'Database Mitra'!$B$2:$B800,0))</f>
        <v>6102160603790001</v>
      </c>
      <c r="H140" s="64" t="s">
        <v>67</v>
      </c>
      <c r="I140" s="65" t="s">
        <v>106</v>
      </c>
      <c r="J140" s="10" t="str">
        <f t="array" ref="J140">INDEX(Honor!$H$2:$H800,MATCH($I140,Honor!$A$2:$A800,0))</f>
        <v>Dokumen</v>
      </c>
      <c r="K140" s="66">
        <f t="array" ref="K140">INDEX(Honor!$I$2:$I800,MATCH($I140,Honor!$A$2:$A800,0))</f>
        <v>60000</v>
      </c>
      <c r="L140" s="64">
        <v>10</v>
      </c>
      <c r="M140" s="10">
        <f t="shared" si="0"/>
        <v>600000</v>
      </c>
      <c r="O140" s="67">
        <f t="array" ref="O140">INDEX(Honor!$L$2:$L800,MATCH($I140,Honor!$A$2:$A800,0))</f>
        <v>45350</v>
      </c>
      <c r="P140" s="10">
        <f t="shared" si="1"/>
        <v>2024</v>
      </c>
      <c r="Q140" s="10">
        <f t="shared" si="2"/>
        <v>2</v>
      </c>
      <c r="R140" s="10" t="str">
        <f t="array" ref="R140">INDEX(Honor!$Q$2:$Q800,MATCH($I140,Honor!$A$2:$A800,0))</f>
        <v>SURVEI-PPL</v>
      </c>
      <c r="S140" s="10" t="str">
        <f t="shared" si="3"/>
        <v>610422040052-2024-2</v>
      </c>
      <c r="T140" s="10" t="str">
        <f t="shared" si="4"/>
        <v>610422040052-2024-2-SURVEI-PPL</v>
      </c>
      <c r="U140" s="64">
        <v>1</v>
      </c>
      <c r="V140" s="10" t="e">
        <f t="array" aca="1" ref="V140" ca="1">INDEX(Honor!$O$2:$O800,MATCH($I140,Honor!$A$2:$A800,0))</f>
        <v>#NAME?</v>
      </c>
      <c r="W140" s="68">
        <v>45376</v>
      </c>
      <c r="X140" s="7" t="str">
        <f t="array" ref="X140">INDEX('Input Kegiatan'!$B$2:$B800,MATCH(B140,'Input Kegiatan'!$A$2:$A800,0))</f>
        <v>Survei Ekonomi Rumah Tangga Triwulanan (SERUTI24) Triwulan I Kegiatan Lapangan</v>
      </c>
      <c r="Y140" s="7" t="s">
        <v>4408</v>
      </c>
      <c r="Z140" s="7" t="s">
        <v>4487</v>
      </c>
      <c r="AA140" s="68">
        <f t="shared" si="5"/>
        <v>45322</v>
      </c>
      <c r="AB140" s="68">
        <f t="shared" si="6"/>
        <v>45323</v>
      </c>
      <c r="AC140" s="68">
        <f t="shared" si="7"/>
        <v>45351</v>
      </c>
      <c r="AD140" s="68">
        <f t="shared" si="8"/>
        <v>45350</v>
      </c>
      <c r="AE140" s="68">
        <f t="shared" si="9"/>
        <v>45351</v>
      </c>
    </row>
    <row r="141" spans="1:31" ht="12.5">
      <c r="A141" s="125">
        <v>610422020016</v>
      </c>
      <c r="B141" s="64" t="s">
        <v>28</v>
      </c>
      <c r="D141" s="10">
        <f t="array" aca="1" ref="D141" ca="1">INDEX('Mitra per Bulan'!$M$2:$M800,MATCH(S141,'Mitra per Bulan'!$B$2:$B800,0))</f>
        <v>1</v>
      </c>
      <c r="E141" s="10" t="str">
        <f t="array" ref="E141">INDEX('Database Mitra'!$A$2:$A800,MATCH(A141,'Database Mitra'!$B$2:$B800,0))</f>
        <v>Abdul Aziz</v>
      </c>
      <c r="F141" s="65" t="s">
        <v>25</v>
      </c>
      <c r="G141" s="5" t="str">
        <f t="array" ref="G141">INDEX('Database Mitra'!$G$2:$G800,MATCH(A141,'Database Mitra'!$B$2:$B800,0))</f>
        <v>6102061507950006</v>
      </c>
      <c r="H141" s="64" t="s">
        <v>84</v>
      </c>
      <c r="I141" s="65" t="str">
        <f t="shared" ref="I141:I164" si="12">CONCATENATE(B141,"-",F141,"-",H141)</f>
        <v>KSA24-LAPANGAN-FEBRUARI-PPL-KSA PADI</v>
      </c>
      <c r="J141" s="10" t="str">
        <f t="array" ref="J141">INDEX(Honor!$H$2:$H800,MATCH($I141,Honor!$A$2:$A800,0))</f>
        <v>Segmen</v>
      </c>
      <c r="K141" s="66">
        <f t="array" ref="K141">INDEX(Honor!$I$2:$I800,MATCH($I141,Honor!$A$2:$A800,0))</f>
        <v>116000</v>
      </c>
      <c r="L141" s="64">
        <v>3</v>
      </c>
      <c r="M141" s="10">
        <f t="shared" si="0"/>
        <v>348000</v>
      </c>
      <c r="O141" s="67">
        <f t="array" ref="O141">INDEX(Honor!$L$2:$L800,MATCH($I141,Honor!$A$2:$A800,0))</f>
        <v>45351</v>
      </c>
      <c r="P141" s="10">
        <f t="shared" si="1"/>
        <v>2024</v>
      </c>
      <c r="Q141" s="10">
        <f t="shared" si="2"/>
        <v>2</v>
      </c>
      <c r="R141" s="10" t="str">
        <f t="array" ref="R141">INDEX(Honor!$Q$2:$Q800,MATCH($I141,Honor!$A$2:$A800,0))</f>
        <v>SURVEI-PPL</v>
      </c>
      <c r="S141" s="10" t="str">
        <f t="shared" si="3"/>
        <v>610422020016-2024-2</v>
      </c>
      <c r="T141" s="10" t="str">
        <f t="shared" si="4"/>
        <v>610422020016-2024-2-SURVEI-PPL</v>
      </c>
      <c r="U141" s="64">
        <v>1</v>
      </c>
      <c r="V141" s="10" t="e">
        <f t="array" aca="1" ref="V141" ca="1">INDEX(Honor!$O$2:$O800,MATCH($I141,Honor!$A$2:$A800,0))</f>
        <v>#NAME?</v>
      </c>
      <c r="W141" s="68">
        <v>45373</v>
      </c>
      <c r="X141" s="7" t="str">
        <f t="array" ref="X141">INDEX('Input Kegiatan'!$B$2:$B800,MATCH(B141,'Input Kegiatan'!$A$2:$A800,0))</f>
        <v>Kerangka Sampel Area (KSA) 2024 Februari</v>
      </c>
      <c r="Y141" s="7" t="s">
        <v>5534</v>
      </c>
      <c r="Z141" s="7" t="s">
        <v>5535</v>
      </c>
      <c r="AA141" s="68">
        <f t="shared" si="5"/>
        <v>45322</v>
      </c>
      <c r="AB141" s="68">
        <f t="shared" si="6"/>
        <v>45323</v>
      </c>
      <c r="AC141" s="68">
        <f t="shared" si="7"/>
        <v>45351</v>
      </c>
      <c r="AD141" s="68">
        <f t="shared" si="8"/>
        <v>45350</v>
      </c>
      <c r="AE141" s="68">
        <f t="shared" si="9"/>
        <v>45351</v>
      </c>
    </row>
    <row r="142" spans="1:31" ht="12.5">
      <c r="A142" s="125">
        <v>610422040012</v>
      </c>
      <c r="B142" s="64" t="s">
        <v>28</v>
      </c>
      <c r="D142" s="10">
        <f t="array" aca="1" ref="D142" ca="1">INDEX('Mitra per Bulan'!$M$2:$M800,MATCH(S142,'Mitra per Bulan'!$B$2:$B800,0))</f>
        <v>1</v>
      </c>
      <c r="E142" s="10" t="str">
        <f t="array" ref="E142">INDEX('Database Mitra'!$A$2:$A800,MATCH(A142,'Database Mitra'!$B$2:$B800,0))</f>
        <v>Misdi</v>
      </c>
      <c r="F142" s="65" t="s">
        <v>25</v>
      </c>
      <c r="G142" s="5" t="str">
        <f t="array" ref="G142">INDEX('Database Mitra'!$G$2:$G800,MATCH(A142,'Database Mitra'!$B$2:$B800,0))</f>
        <v>6102070706940001</v>
      </c>
      <c r="H142" s="64" t="s">
        <v>84</v>
      </c>
      <c r="I142" s="65" t="str">
        <f t="shared" si="12"/>
        <v>KSA24-LAPANGAN-FEBRUARI-PPL-KSA PADI</v>
      </c>
      <c r="J142" s="10" t="str">
        <f t="array" ref="J142">INDEX(Honor!$H$2:$H800,MATCH($I142,Honor!$A$2:$A800,0))</f>
        <v>Segmen</v>
      </c>
      <c r="K142" s="66">
        <f t="array" ref="K142">INDEX(Honor!$I$2:$I800,MATCH($I142,Honor!$A$2:$A800,0))</f>
        <v>116000</v>
      </c>
      <c r="L142" s="64">
        <v>3</v>
      </c>
      <c r="M142" s="10">
        <f t="shared" si="0"/>
        <v>348000</v>
      </c>
      <c r="O142" s="67">
        <f t="array" ref="O142">INDEX(Honor!$L$2:$L800,MATCH($I142,Honor!$A$2:$A800,0))</f>
        <v>45351</v>
      </c>
      <c r="P142" s="10">
        <f t="shared" si="1"/>
        <v>2024</v>
      </c>
      <c r="Q142" s="10">
        <f t="shared" si="2"/>
        <v>2</v>
      </c>
      <c r="R142" s="10" t="str">
        <f t="array" ref="R142">INDEX(Honor!$Q$2:$Q800,MATCH($I142,Honor!$A$2:$A800,0))</f>
        <v>SURVEI-PPL</v>
      </c>
      <c r="S142" s="10" t="str">
        <f t="shared" si="3"/>
        <v>610422040012-2024-2</v>
      </c>
      <c r="T142" s="10" t="str">
        <f t="shared" si="4"/>
        <v>610422040012-2024-2-SURVEI-PPL</v>
      </c>
      <c r="U142" s="64">
        <v>1</v>
      </c>
      <c r="V142" s="10" t="e">
        <f t="array" aca="1" ref="V142" ca="1">INDEX(Honor!$O$2:$O800,MATCH($I142,Honor!$A$2:$A800,0))</f>
        <v>#NAME?</v>
      </c>
      <c r="W142" s="68">
        <v>45373</v>
      </c>
      <c r="X142" s="7" t="str">
        <f t="array" ref="X142">INDEX('Input Kegiatan'!$B$2:$B800,MATCH(B142,'Input Kegiatan'!$A$2:$A800,0))</f>
        <v>Kerangka Sampel Area (KSA) 2024 Februari</v>
      </c>
      <c r="Y142" s="7" t="s">
        <v>3990</v>
      </c>
      <c r="Z142" s="7" t="s">
        <v>4365</v>
      </c>
      <c r="AA142" s="68">
        <f t="shared" si="5"/>
        <v>45322</v>
      </c>
      <c r="AB142" s="68">
        <f t="shared" si="6"/>
        <v>45323</v>
      </c>
      <c r="AC142" s="68">
        <f t="shared" si="7"/>
        <v>45351</v>
      </c>
      <c r="AD142" s="68">
        <f t="shared" si="8"/>
        <v>45350</v>
      </c>
      <c r="AE142" s="68">
        <f t="shared" si="9"/>
        <v>45351</v>
      </c>
    </row>
    <row r="143" spans="1:31" ht="12.5">
      <c r="A143" s="125">
        <v>610422040059</v>
      </c>
      <c r="B143" s="64" t="s">
        <v>28</v>
      </c>
      <c r="D143" s="10">
        <f t="array" aca="1" ref="D143" ca="1">INDEX('Mitra per Bulan'!$M$2:$M800,MATCH(S143,'Mitra per Bulan'!$B$2:$B800,0))</f>
        <v>1</v>
      </c>
      <c r="E143" s="10" t="str">
        <f t="array" ref="E143">INDEX('Database Mitra'!$A$2:$A800,MATCH(A143,'Database Mitra'!$B$2:$B800,0))</f>
        <v>Abang Handri</v>
      </c>
      <c r="F143" s="65" t="s">
        <v>25</v>
      </c>
      <c r="G143" s="5" t="str">
        <f t="array" ref="G143">INDEX('Database Mitra'!$G$2:$G800,MATCH(A143,'Database Mitra'!$B$2:$B800,0))</f>
        <v>6102072211780002</v>
      </c>
      <c r="H143" s="64" t="s">
        <v>84</v>
      </c>
      <c r="I143" s="65" t="str">
        <f t="shared" si="12"/>
        <v>KSA24-LAPANGAN-FEBRUARI-PPL-KSA PADI</v>
      </c>
      <c r="J143" s="10" t="str">
        <f t="array" ref="J143">INDEX(Honor!$H$2:$H800,MATCH($I143,Honor!$A$2:$A800,0))</f>
        <v>Segmen</v>
      </c>
      <c r="K143" s="66">
        <f t="array" ref="K143">INDEX(Honor!$I$2:$I800,MATCH($I143,Honor!$A$2:$A800,0))</f>
        <v>116000</v>
      </c>
      <c r="L143" s="64">
        <v>4</v>
      </c>
      <c r="M143" s="10">
        <f t="shared" si="0"/>
        <v>464000</v>
      </c>
      <c r="O143" s="67">
        <f t="array" ref="O143">INDEX(Honor!$L$2:$L800,MATCH($I143,Honor!$A$2:$A800,0))</f>
        <v>45351</v>
      </c>
      <c r="P143" s="10">
        <f t="shared" si="1"/>
        <v>2024</v>
      </c>
      <c r="Q143" s="10">
        <f t="shared" si="2"/>
        <v>2</v>
      </c>
      <c r="R143" s="10" t="str">
        <f t="array" ref="R143">INDEX(Honor!$Q$2:$Q800,MATCH($I143,Honor!$A$2:$A800,0))</f>
        <v>SURVEI-PPL</v>
      </c>
      <c r="S143" s="10" t="str">
        <f t="shared" si="3"/>
        <v>610422040059-2024-2</v>
      </c>
      <c r="T143" s="10" t="str">
        <f t="shared" si="4"/>
        <v>610422040059-2024-2-SURVEI-PPL</v>
      </c>
      <c r="U143" s="64">
        <v>1</v>
      </c>
      <c r="V143" s="10" t="e">
        <f t="array" aca="1" ref="V143" ca="1">INDEX(Honor!$O$2:$O800,MATCH($I143,Honor!$A$2:$A800,0))</f>
        <v>#NAME?</v>
      </c>
      <c r="W143" s="68">
        <v>45373</v>
      </c>
      <c r="X143" s="7" t="str">
        <f t="array" ref="X143">INDEX('Input Kegiatan'!$B$2:$B800,MATCH(B143,'Input Kegiatan'!$A$2:$A800,0))</f>
        <v>Kerangka Sampel Area (KSA) 2024 Februari</v>
      </c>
      <c r="Y143" s="7" t="s">
        <v>4572</v>
      </c>
      <c r="Z143" s="7" t="s">
        <v>4656</v>
      </c>
      <c r="AA143" s="68">
        <f t="shared" si="5"/>
        <v>45322</v>
      </c>
      <c r="AB143" s="68">
        <f t="shared" si="6"/>
        <v>45323</v>
      </c>
      <c r="AC143" s="68">
        <f t="shared" si="7"/>
        <v>45351</v>
      </c>
      <c r="AD143" s="68">
        <f t="shared" si="8"/>
        <v>45350</v>
      </c>
      <c r="AE143" s="68">
        <f t="shared" si="9"/>
        <v>45351</v>
      </c>
    </row>
    <row r="144" spans="1:31" ht="12.5">
      <c r="A144" s="125">
        <v>610422040061</v>
      </c>
      <c r="B144" s="64" t="s">
        <v>28</v>
      </c>
      <c r="D144" s="10">
        <f t="array" aca="1" ref="D144" ca="1">INDEX('Mitra per Bulan'!$M$2:$M800,MATCH(S144,'Mitra per Bulan'!$B$2:$B800,0))</f>
        <v>1</v>
      </c>
      <c r="E144" s="10" t="str">
        <f t="array" ref="E144">INDEX('Database Mitra'!$A$2:$A800,MATCH(A144,'Database Mitra'!$B$2:$B800,0))</f>
        <v>Sabani</v>
      </c>
      <c r="F144" s="65" t="s">
        <v>25</v>
      </c>
      <c r="G144" s="5" t="str">
        <f t="array" ref="G144">INDEX('Database Mitra'!$G$2:$G800,MATCH(A144,'Database Mitra'!$B$2:$B800,0))</f>
        <v>6102153112860003</v>
      </c>
      <c r="H144" s="64" t="s">
        <v>84</v>
      </c>
      <c r="I144" s="65" t="str">
        <f t="shared" si="12"/>
        <v>KSA24-LAPANGAN-FEBRUARI-PPL-KSA PADI</v>
      </c>
      <c r="J144" s="10" t="str">
        <f t="array" ref="J144">INDEX(Honor!$H$2:$H800,MATCH($I144,Honor!$A$2:$A800,0))</f>
        <v>Segmen</v>
      </c>
      <c r="K144" s="66">
        <f t="array" ref="K144">INDEX(Honor!$I$2:$I800,MATCH($I144,Honor!$A$2:$A800,0))</f>
        <v>116000</v>
      </c>
      <c r="L144" s="64">
        <v>3</v>
      </c>
      <c r="M144" s="10">
        <f t="shared" si="0"/>
        <v>348000</v>
      </c>
      <c r="O144" s="67">
        <f t="array" ref="O144">INDEX(Honor!$L$2:$L800,MATCH($I144,Honor!$A$2:$A800,0))</f>
        <v>45351</v>
      </c>
      <c r="P144" s="10">
        <f t="shared" si="1"/>
        <v>2024</v>
      </c>
      <c r="Q144" s="10">
        <f t="shared" si="2"/>
        <v>2</v>
      </c>
      <c r="R144" s="10" t="str">
        <f t="array" ref="R144">INDEX(Honor!$Q$2:$Q800,MATCH($I144,Honor!$A$2:$A800,0))</f>
        <v>SURVEI-PPL</v>
      </c>
      <c r="S144" s="10" t="str">
        <f t="shared" si="3"/>
        <v>610422040061-2024-2</v>
      </c>
      <c r="T144" s="10" t="str">
        <f t="shared" si="4"/>
        <v>610422040061-2024-2-SURVEI-PPL</v>
      </c>
      <c r="U144" s="64">
        <v>1</v>
      </c>
      <c r="V144" s="10" t="e">
        <f t="array" aca="1" ref="V144" ca="1">INDEX(Honor!$O$2:$O800,MATCH($I144,Honor!$A$2:$A800,0))</f>
        <v>#NAME?</v>
      </c>
      <c r="W144" s="68">
        <v>45373</v>
      </c>
      <c r="X144" s="7" t="str">
        <f t="array" ref="X144">INDEX('Input Kegiatan'!$B$2:$B800,MATCH(B144,'Input Kegiatan'!$A$2:$A800,0))</f>
        <v>Kerangka Sampel Area (KSA) 2024 Februari</v>
      </c>
      <c r="Y144" s="7" t="s">
        <v>3715</v>
      </c>
      <c r="Z144" s="7" t="s">
        <v>3862</v>
      </c>
      <c r="AA144" s="68">
        <f t="shared" si="5"/>
        <v>45322</v>
      </c>
      <c r="AB144" s="68">
        <f t="shared" si="6"/>
        <v>45323</v>
      </c>
      <c r="AC144" s="68">
        <f t="shared" si="7"/>
        <v>45351</v>
      </c>
      <c r="AD144" s="68">
        <f t="shared" si="8"/>
        <v>45350</v>
      </c>
      <c r="AE144" s="68">
        <f t="shared" si="9"/>
        <v>45351</v>
      </c>
    </row>
    <row r="145" spans="1:31" ht="12.5">
      <c r="A145" s="125">
        <v>610422100131</v>
      </c>
      <c r="B145" s="64" t="s">
        <v>28</v>
      </c>
      <c r="D145" s="10">
        <f t="array" aca="1" ref="D145" ca="1">INDEX('Mitra per Bulan'!$M$2:$M800,MATCH(S145,'Mitra per Bulan'!$B$2:$B800,0))</f>
        <v>1</v>
      </c>
      <c r="E145" s="10" t="str">
        <f t="array" ref="E145">INDEX('Database Mitra'!$A$2:$A800,MATCH(A145,'Database Mitra'!$B$2:$B800,0))</f>
        <v>Syamsul</v>
      </c>
      <c r="F145" s="65" t="s">
        <v>25</v>
      </c>
      <c r="G145" s="5" t="str">
        <f t="array" ref="G145">INDEX('Database Mitra'!$G$2:$G800,MATCH(A145,'Database Mitra'!$B$2:$B800,0))</f>
        <v>6102150907860003</v>
      </c>
      <c r="H145" s="64" t="s">
        <v>84</v>
      </c>
      <c r="I145" s="65" t="str">
        <f t="shared" si="12"/>
        <v>KSA24-LAPANGAN-FEBRUARI-PPL-KSA PADI</v>
      </c>
      <c r="J145" s="10" t="str">
        <f t="array" ref="J145">INDEX(Honor!$H$2:$H800,MATCH($I145,Honor!$A$2:$A800,0))</f>
        <v>Segmen</v>
      </c>
      <c r="K145" s="66">
        <f t="array" ref="K145">INDEX(Honor!$I$2:$I800,MATCH($I145,Honor!$A$2:$A800,0))</f>
        <v>116000</v>
      </c>
      <c r="L145" s="64">
        <v>3</v>
      </c>
      <c r="M145" s="10">
        <f t="shared" si="0"/>
        <v>348000</v>
      </c>
      <c r="O145" s="67">
        <f t="array" ref="O145">INDEX(Honor!$L$2:$L800,MATCH($I145,Honor!$A$2:$A800,0))</f>
        <v>45351</v>
      </c>
      <c r="P145" s="10">
        <f t="shared" si="1"/>
        <v>2024</v>
      </c>
      <c r="Q145" s="10">
        <f t="shared" si="2"/>
        <v>2</v>
      </c>
      <c r="R145" s="10" t="str">
        <f t="array" ref="R145">INDEX(Honor!$Q$2:$Q800,MATCH($I145,Honor!$A$2:$A800,0))</f>
        <v>SURVEI-PPL</v>
      </c>
      <c r="S145" s="10" t="str">
        <f t="shared" si="3"/>
        <v>610422100131-2024-2</v>
      </c>
      <c r="T145" s="10" t="str">
        <f t="shared" si="4"/>
        <v>610422100131-2024-2-SURVEI-PPL</v>
      </c>
      <c r="U145" s="64">
        <v>1</v>
      </c>
      <c r="V145" s="10" t="e">
        <f t="array" aca="1" ref="V145" ca="1">INDEX(Honor!$O$2:$O800,MATCH($I145,Honor!$A$2:$A800,0))</f>
        <v>#NAME?</v>
      </c>
      <c r="W145" s="68">
        <v>45373</v>
      </c>
      <c r="X145" s="7" t="str">
        <f t="array" ref="X145">INDEX('Input Kegiatan'!$B$2:$B800,MATCH(B145,'Input Kegiatan'!$A$2:$A800,0))</f>
        <v>Kerangka Sampel Area (KSA) 2024 Februari</v>
      </c>
      <c r="Y145" s="7" t="s">
        <v>5250</v>
      </c>
      <c r="Z145" s="7" t="s">
        <v>5365</v>
      </c>
      <c r="AA145" s="68">
        <f t="shared" si="5"/>
        <v>45322</v>
      </c>
      <c r="AB145" s="68">
        <f t="shared" si="6"/>
        <v>45323</v>
      </c>
      <c r="AC145" s="68">
        <f t="shared" si="7"/>
        <v>45351</v>
      </c>
      <c r="AD145" s="68">
        <f t="shared" si="8"/>
        <v>45350</v>
      </c>
      <c r="AE145" s="68">
        <f t="shared" si="9"/>
        <v>45351</v>
      </c>
    </row>
    <row r="146" spans="1:31" ht="12.5">
      <c r="A146" s="125">
        <v>610422100244</v>
      </c>
      <c r="B146" s="64" t="s">
        <v>28</v>
      </c>
      <c r="D146" s="10">
        <f t="array" aca="1" ref="D146" ca="1">INDEX('Mitra per Bulan'!$M$2:$M800,MATCH(S146,'Mitra per Bulan'!$B$2:$B800,0))</f>
        <v>1</v>
      </c>
      <c r="E146" s="10" t="str">
        <f t="array" ref="E146">INDEX('Database Mitra'!$A$2:$A800,MATCH(A146,'Database Mitra'!$B$2:$B800,0))</f>
        <v>Sugianto</v>
      </c>
      <c r="F146" s="65" t="s">
        <v>25</v>
      </c>
      <c r="G146" s="5" t="str">
        <f t="array" ref="G146">INDEX('Database Mitra'!$G$2:$G800,MATCH(A146,'Database Mitra'!$B$2:$B800,0))</f>
        <v>6102171003900002</v>
      </c>
      <c r="H146" s="64" t="s">
        <v>84</v>
      </c>
      <c r="I146" s="65" t="str">
        <f t="shared" si="12"/>
        <v>KSA24-LAPANGAN-FEBRUARI-PPL-KSA PADI</v>
      </c>
      <c r="J146" s="10" t="str">
        <f t="array" ref="J146">INDEX(Honor!$H$2:$H800,MATCH($I146,Honor!$A$2:$A800,0))</f>
        <v>Segmen</v>
      </c>
      <c r="K146" s="66">
        <f t="array" ref="K146">INDEX(Honor!$I$2:$I800,MATCH($I146,Honor!$A$2:$A800,0))</f>
        <v>116000</v>
      </c>
      <c r="L146" s="64">
        <v>3</v>
      </c>
      <c r="M146" s="10">
        <f t="shared" si="0"/>
        <v>348000</v>
      </c>
      <c r="O146" s="67">
        <f t="array" ref="O146">INDEX(Honor!$L$2:$L800,MATCH($I146,Honor!$A$2:$A800,0))</f>
        <v>45351</v>
      </c>
      <c r="P146" s="10">
        <f t="shared" si="1"/>
        <v>2024</v>
      </c>
      <c r="Q146" s="10">
        <f t="shared" si="2"/>
        <v>2</v>
      </c>
      <c r="R146" s="10" t="str">
        <f t="array" ref="R146">INDEX(Honor!$Q$2:$Q800,MATCH($I146,Honor!$A$2:$A800,0))</f>
        <v>SURVEI-PPL</v>
      </c>
      <c r="S146" s="10" t="str">
        <f t="shared" si="3"/>
        <v>610422100244-2024-2</v>
      </c>
      <c r="T146" s="10" t="str">
        <f t="shared" si="4"/>
        <v>610422100244-2024-2-SURVEI-PPL</v>
      </c>
      <c r="U146" s="64">
        <v>1</v>
      </c>
      <c r="V146" s="10" t="e">
        <f t="array" aca="1" ref="V146" ca="1">INDEX(Honor!$O$2:$O800,MATCH($I146,Honor!$A$2:$A800,0))</f>
        <v>#NAME?</v>
      </c>
      <c r="W146" s="68">
        <v>45373</v>
      </c>
      <c r="X146" s="7" t="str">
        <f t="array" ref="X146">INDEX('Input Kegiatan'!$B$2:$B800,MATCH(B146,'Input Kegiatan'!$A$2:$A800,0))</f>
        <v>Kerangka Sampel Area (KSA) 2024 Februari</v>
      </c>
      <c r="Y146" s="7" t="s">
        <v>5741</v>
      </c>
      <c r="Z146" s="7" t="s">
        <v>5796</v>
      </c>
      <c r="AA146" s="68">
        <f t="shared" si="5"/>
        <v>45322</v>
      </c>
      <c r="AB146" s="68">
        <f t="shared" si="6"/>
        <v>45323</v>
      </c>
      <c r="AC146" s="68">
        <f t="shared" si="7"/>
        <v>45351</v>
      </c>
      <c r="AD146" s="68">
        <f t="shared" si="8"/>
        <v>45350</v>
      </c>
      <c r="AE146" s="68">
        <f t="shared" si="9"/>
        <v>45351</v>
      </c>
    </row>
    <row r="147" spans="1:31" ht="12.5">
      <c r="A147" s="125">
        <v>610422100176</v>
      </c>
      <c r="B147" s="64" t="s">
        <v>28</v>
      </c>
      <c r="D147" s="10">
        <f t="array" aca="1" ref="D147" ca="1">INDEX('Mitra per Bulan'!$M$2:$M800,MATCH(S147,'Mitra per Bulan'!$B$2:$B800,0))</f>
        <v>1</v>
      </c>
      <c r="E147" s="10" t="str">
        <f t="array" ref="E147">INDEX('Database Mitra'!$A$2:$A800,MATCH(A147,'Database Mitra'!$B$2:$B800,0))</f>
        <v>Feri Firdaus</v>
      </c>
      <c r="F147" s="65" t="s">
        <v>25</v>
      </c>
      <c r="G147" s="5" t="str">
        <f t="array" ref="G147">INDEX('Database Mitra'!$G$2:$G800,MATCH(A147,'Database Mitra'!$B$2:$B800,0))</f>
        <v>6102150412880001</v>
      </c>
      <c r="H147" s="64" t="s">
        <v>84</v>
      </c>
      <c r="I147" s="65" t="str">
        <f t="shared" si="12"/>
        <v>KSA24-LAPANGAN-FEBRUARI-PPL-KSA PADI</v>
      </c>
      <c r="J147" s="10" t="str">
        <f t="array" ref="J147">INDEX(Honor!$H$2:$H800,MATCH($I147,Honor!$A$2:$A800,0))</f>
        <v>Segmen</v>
      </c>
      <c r="K147" s="66">
        <f t="array" ref="K147">INDEX(Honor!$I$2:$I800,MATCH($I147,Honor!$A$2:$A800,0))</f>
        <v>116000</v>
      </c>
      <c r="L147" s="64">
        <v>3</v>
      </c>
      <c r="M147" s="10">
        <f t="shared" si="0"/>
        <v>348000</v>
      </c>
      <c r="O147" s="67">
        <f t="array" ref="O147">INDEX(Honor!$L$2:$L800,MATCH($I147,Honor!$A$2:$A800,0))</f>
        <v>45351</v>
      </c>
      <c r="P147" s="10">
        <f t="shared" si="1"/>
        <v>2024</v>
      </c>
      <c r="Q147" s="10">
        <f t="shared" si="2"/>
        <v>2</v>
      </c>
      <c r="R147" s="10" t="str">
        <f t="array" ref="R147">INDEX(Honor!$Q$2:$Q800,MATCH($I147,Honor!$A$2:$A800,0))</f>
        <v>SURVEI-PPL</v>
      </c>
      <c r="S147" s="10" t="str">
        <f t="shared" si="3"/>
        <v>610422100176-2024-2</v>
      </c>
      <c r="T147" s="10" t="str">
        <f t="shared" si="4"/>
        <v>610422100176-2024-2-SURVEI-PPL</v>
      </c>
      <c r="U147" s="64">
        <v>1</v>
      </c>
      <c r="V147" s="10" t="e">
        <f t="array" aca="1" ref="V147" ca="1">INDEX(Honor!$O$2:$O800,MATCH($I147,Honor!$A$2:$A800,0))</f>
        <v>#NAME?</v>
      </c>
      <c r="W147" s="68">
        <v>45373</v>
      </c>
      <c r="X147" s="7" t="str">
        <f t="array" ref="X147">INDEX('Input Kegiatan'!$B$2:$B800,MATCH(B147,'Input Kegiatan'!$A$2:$A800,0))</f>
        <v>Kerangka Sampel Area (KSA) 2024 Februari</v>
      </c>
      <c r="Y147" s="7" t="s">
        <v>3715</v>
      </c>
      <c r="Z147" s="7" t="s">
        <v>3765</v>
      </c>
      <c r="AA147" s="68">
        <f t="shared" si="5"/>
        <v>45322</v>
      </c>
      <c r="AB147" s="68">
        <f t="shared" si="6"/>
        <v>45323</v>
      </c>
      <c r="AC147" s="68">
        <f t="shared" si="7"/>
        <v>45351</v>
      </c>
      <c r="AD147" s="68">
        <f t="shared" si="8"/>
        <v>45350</v>
      </c>
      <c r="AE147" s="68">
        <f t="shared" si="9"/>
        <v>45351</v>
      </c>
    </row>
    <row r="148" spans="1:31" ht="12.5">
      <c r="A148" s="125">
        <v>610423110183</v>
      </c>
      <c r="B148" s="64" t="s">
        <v>28</v>
      </c>
      <c r="D148" s="10">
        <f t="array" aca="1" ref="D148" ca="1">INDEX('Mitra per Bulan'!$M$2:$M800,MATCH(S148,'Mitra per Bulan'!$B$2:$B800,0))</f>
        <v>1</v>
      </c>
      <c r="E148" s="10" t="str">
        <f t="array" ref="E148">INDEX('Database Mitra'!$A$2:$A800,MATCH(A148,'Database Mitra'!$B$2:$B800,0))</f>
        <v>Azhar</v>
      </c>
      <c r="F148" s="65" t="s">
        <v>25</v>
      </c>
      <c r="G148" s="5" t="str">
        <f t="array" ref="G148">INDEX('Database Mitra'!$G$2:$G800,MATCH(A148,'Database Mitra'!$B$2:$B800,0))</f>
        <v>6102081211790004</v>
      </c>
      <c r="H148" s="64" t="s">
        <v>84</v>
      </c>
      <c r="I148" s="65" t="str">
        <f t="shared" si="12"/>
        <v>KSA24-LAPANGAN-FEBRUARI-PPL-KSA PADI</v>
      </c>
      <c r="J148" s="10" t="str">
        <f t="array" ref="J148">INDEX(Honor!$H$2:$H800,MATCH($I148,Honor!$A$2:$A800,0))</f>
        <v>Segmen</v>
      </c>
      <c r="K148" s="66">
        <f t="array" ref="K148">INDEX(Honor!$I$2:$I800,MATCH($I148,Honor!$A$2:$A800,0))</f>
        <v>116000</v>
      </c>
      <c r="L148" s="64">
        <v>6</v>
      </c>
      <c r="M148" s="10">
        <f t="shared" si="0"/>
        <v>696000</v>
      </c>
      <c r="O148" s="67">
        <f t="array" ref="O148">INDEX(Honor!$L$2:$L800,MATCH($I148,Honor!$A$2:$A800,0))</f>
        <v>45351</v>
      </c>
      <c r="P148" s="10">
        <f t="shared" si="1"/>
        <v>2024</v>
      </c>
      <c r="Q148" s="10">
        <f t="shared" si="2"/>
        <v>2</v>
      </c>
      <c r="R148" s="10" t="str">
        <f t="array" ref="R148">INDEX(Honor!$Q$2:$Q800,MATCH($I148,Honor!$A$2:$A800,0))</f>
        <v>SURVEI-PPL</v>
      </c>
      <c r="S148" s="10" t="str">
        <f t="shared" si="3"/>
        <v>610423110183-2024-2</v>
      </c>
      <c r="T148" s="10" t="str">
        <f t="shared" si="4"/>
        <v>610423110183-2024-2-SURVEI-PPL</v>
      </c>
      <c r="U148" s="64">
        <v>1</v>
      </c>
      <c r="V148" s="10" t="e">
        <f t="array" aca="1" ref="V148" ca="1">INDEX(Honor!$O$2:$O800,MATCH($I148,Honor!$A$2:$A800,0))</f>
        <v>#NAME?</v>
      </c>
      <c r="W148" s="68">
        <v>45373</v>
      </c>
      <c r="X148" s="7" t="str">
        <f t="array" ref="X148">INDEX('Input Kegiatan'!$B$2:$B800,MATCH(B148,'Input Kegiatan'!$A$2:$A800,0))</f>
        <v>Kerangka Sampel Area (KSA) 2024 Februari</v>
      </c>
      <c r="Y148" s="7" t="s">
        <v>3241</v>
      </c>
      <c r="Z148" s="7" t="s">
        <v>3242</v>
      </c>
      <c r="AA148" s="68">
        <f t="shared" si="5"/>
        <v>45322</v>
      </c>
      <c r="AB148" s="68">
        <f t="shared" si="6"/>
        <v>45323</v>
      </c>
      <c r="AC148" s="68">
        <f t="shared" si="7"/>
        <v>45351</v>
      </c>
      <c r="AD148" s="68">
        <f t="shared" si="8"/>
        <v>45350</v>
      </c>
      <c r="AE148" s="68">
        <f t="shared" si="9"/>
        <v>45351</v>
      </c>
    </row>
    <row r="149" spans="1:31" ht="12.5">
      <c r="A149" s="125">
        <v>610423040018</v>
      </c>
      <c r="B149" s="64" t="s">
        <v>28</v>
      </c>
      <c r="D149" s="10">
        <f t="array" aca="1" ref="D149" ca="1">INDEX('Mitra per Bulan'!$M$2:$M800,MATCH(S149,'Mitra per Bulan'!$B$2:$B800,0))</f>
        <v>1</v>
      </c>
      <c r="E149" s="10" t="str">
        <f t="array" ref="E149">INDEX('Database Mitra'!$A$2:$A800,MATCH(A149,'Database Mitra'!$B$2:$B800,0))</f>
        <v>Handoko Tuah Sabarman Sipayung</v>
      </c>
      <c r="F149" s="64" t="s">
        <v>25</v>
      </c>
      <c r="G149" s="5" t="str">
        <f t="array" ref="G149">INDEX('Database Mitra'!$G$2:$G800,MATCH(A149,'Database Mitra'!$B$2:$B800,0))</f>
        <v>1212092309880001</v>
      </c>
      <c r="H149" s="64" t="s">
        <v>84</v>
      </c>
      <c r="I149" s="65" t="str">
        <f t="shared" si="12"/>
        <v>KSA24-LAPANGAN-FEBRUARI-PPL-KSA PADI</v>
      </c>
      <c r="J149" s="10" t="str">
        <f t="array" ref="J149">INDEX(Honor!$H$2:$H800,MATCH($I149,Honor!$A$2:$A800,0))</f>
        <v>Segmen</v>
      </c>
      <c r="K149" s="66">
        <f t="array" ref="K149">INDEX(Honor!$I$2:$I800,MATCH($I149,Honor!$A$2:$A800,0))</f>
        <v>116000</v>
      </c>
      <c r="L149" s="64">
        <v>4</v>
      </c>
      <c r="M149" s="10">
        <f t="shared" si="0"/>
        <v>464000</v>
      </c>
      <c r="O149" s="67">
        <f t="array" ref="O149">INDEX(Honor!$L$2:$L800,MATCH($I149,Honor!$A$2:$A800,0))</f>
        <v>45351</v>
      </c>
      <c r="P149" s="10">
        <f t="shared" si="1"/>
        <v>2024</v>
      </c>
      <c r="Q149" s="10">
        <f t="shared" si="2"/>
        <v>2</v>
      </c>
      <c r="R149" s="10" t="str">
        <f t="array" ref="R149">INDEX(Honor!$Q$2:$Q800,MATCH($I149,Honor!$A$2:$A800,0))</f>
        <v>SURVEI-PPL</v>
      </c>
      <c r="S149" s="10" t="str">
        <f t="shared" si="3"/>
        <v>610423040018-2024-2</v>
      </c>
      <c r="T149" s="10" t="str">
        <f t="shared" si="4"/>
        <v>610423040018-2024-2-SURVEI-PPL</v>
      </c>
      <c r="U149" s="64">
        <v>1</v>
      </c>
      <c r="V149" s="10" t="e">
        <f t="array" aca="1" ref="V149" ca="1">INDEX(Honor!$O$2:$O800,MATCH($I149,Honor!$A$2:$A800,0))</f>
        <v>#NAME?</v>
      </c>
      <c r="W149" s="68">
        <v>45373</v>
      </c>
      <c r="X149" s="7" t="str">
        <f t="array" ref="X149">INDEX('Input Kegiatan'!$B$2:$B800,MATCH(B149,'Input Kegiatan'!$A$2:$A800,0))</f>
        <v>Kerangka Sampel Area (KSA) 2024 Februari</v>
      </c>
      <c r="Y149" s="7" t="s">
        <v>5534</v>
      </c>
      <c r="Z149" s="7" t="s">
        <v>5647</v>
      </c>
      <c r="AA149" s="68">
        <f t="shared" si="5"/>
        <v>45322</v>
      </c>
      <c r="AB149" s="68">
        <f t="shared" si="6"/>
        <v>45323</v>
      </c>
      <c r="AC149" s="68">
        <f t="shared" si="7"/>
        <v>45351</v>
      </c>
      <c r="AD149" s="68">
        <f t="shared" si="8"/>
        <v>45350</v>
      </c>
      <c r="AE149" s="68">
        <f t="shared" si="9"/>
        <v>45351</v>
      </c>
    </row>
    <row r="150" spans="1:31" ht="12.5">
      <c r="A150" s="125">
        <v>610422040059</v>
      </c>
      <c r="B150" s="64" t="s">
        <v>28</v>
      </c>
      <c r="D150" s="10">
        <f t="array" aca="1" ref="D150" ca="1">INDEX('Mitra per Bulan'!$M$2:$M800,MATCH(S150,'Mitra per Bulan'!$B$2:$B800,0))</f>
        <v>1</v>
      </c>
      <c r="E150" s="10" t="str">
        <f t="array" ref="E150">INDEX('Database Mitra'!$A$2:$A800,MATCH(A150,'Database Mitra'!$B$2:$B800,0))</f>
        <v>Abang Handri</v>
      </c>
      <c r="F150" s="64" t="s">
        <v>25</v>
      </c>
      <c r="G150" s="5" t="str">
        <f t="array" ref="G150">INDEX('Database Mitra'!$G$2:$G800,MATCH(A150,'Database Mitra'!$B$2:$B800,0))</f>
        <v>6102072211780002</v>
      </c>
      <c r="H150" s="64" t="s">
        <v>85</v>
      </c>
      <c r="I150" s="65" t="str">
        <f t="shared" si="12"/>
        <v>KSA24-LAPANGAN-FEBRUARI-PPL-KSA JAGUNG</v>
      </c>
      <c r="J150" s="10" t="str">
        <f t="array" ref="J150">INDEX(Honor!$H$2:$H800,MATCH($I150,Honor!$A$2:$A800,0))</f>
        <v>Segmen</v>
      </c>
      <c r="K150" s="66">
        <f t="array" ref="K150">INDEX(Honor!$I$2:$I800,MATCH($I150,Honor!$A$2:$A800,0))</f>
        <v>59000</v>
      </c>
      <c r="L150" s="64">
        <v>6</v>
      </c>
      <c r="M150" s="10">
        <f t="shared" si="0"/>
        <v>354000</v>
      </c>
      <c r="O150" s="67">
        <f t="array" ref="O150">INDEX(Honor!$L$2:$L800,MATCH($I150,Honor!$A$2:$A800,0))</f>
        <v>45351</v>
      </c>
      <c r="P150" s="10">
        <f t="shared" si="1"/>
        <v>2024</v>
      </c>
      <c r="Q150" s="10">
        <f t="shared" si="2"/>
        <v>2</v>
      </c>
      <c r="R150" s="10" t="str">
        <f t="array" ref="R150">INDEX(Honor!$Q$2:$Q800,MATCH($I150,Honor!$A$2:$A800,0))</f>
        <v>SURVEI-PPL</v>
      </c>
      <c r="S150" s="10" t="str">
        <f t="shared" si="3"/>
        <v>610422040059-2024-2</v>
      </c>
      <c r="T150" s="10" t="str">
        <f t="shared" si="4"/>
        <v>610422040059-2024-2-SURVEI-PPL</v>
      </c>
      <c r="U150" s="64">
        <v>1</v>
      </c>
      <c r="V150" s="10" t="e">
        <f t="array" aca="1" ref="V150" ca="1">INDEX(Honor!$O$2:$O800,MATCH($I150,Honor!$A$2:$A800,0))</f>
        <v>#NAME?</v>
      </c>
      <c r="W150" s="68">
        <v>45373</v>
      </c>
      <c r="X150" s="7" t="str">
        <f t="array" ref="X150">INDEX('Input Kegiatan'!$B$2:$B800,MATCH(B150,'Input Kegiatan'!$A$2:$A800,0))</f>
        <v>Kerangka Sampel Area (KSA) 2024 Februari</v>
      </c>
      <c r="Y150" s="7" t="s">
        <v>4572</v>
      </c>
      <c r="Z150" s="7" t="s">
        <v>4656</v>
      </c>
      <c r="AA150" s="68">
        <f t="shared" si="5"/>
        <v>45322</v>
      </c>
      <c r="AB150" s="68">
        <f t="shared" si="6"/>
        <v>45323</v>
      </c>
      <c r="AC150" s="68">
        <f t="shared" si="7"/>
        <v>45351</v>
      </c>
      <c r="AD150" s="68">
        <f t="shared" si="8"/>
        <v>45350</v>
      </c>
      <c r="AE150" s="68">
        <f t="shared" si="9"/>
        <v>45351</v>
      </c>
    </row>
    <row r="151" spans="1:31" ht="12.5">
      <c r="A151" s="125">
        <v>610422020048</v>
      </c>
      <c r="B151" s="64" t="s">
        <v>28</v>
      </c>
      <c r="D151" s="10">
        <f t="array" aca="1" ref="D151" ca="1">INDEX('Mitra per Bulan'!$M$2:$M800,MATCH(S151,'Mitra per Bulan'!$B$2:$B800,0))</f>
        <v>1</v>
      </c>
      <c r="E151" s="10" t="str">
        <f t="array" ref="E151">INDEX('Database Mitra'!$A$2:$A800,MATCH(A151,'Database Mitra'!$B$2:$B800,0))</f>
        <v>Herri Gustaman</v>
      </c>
      <c r="F151" s="64" t="s">
        <v>25</v>
      </c>
      <c r="G151" s="5" t="str">
        <f t="array" ref="G151">INDEX('Database Mitra'!$G$2:$G800,MATCH(A151,'Database Mitra'!$B$2:$B800,0))</f>
        <v>6102072503800001</v>
      </c>
      <c r="H151" s="64" t="s">
        <v>85</v>
      </c>
      <c r="I151" s="65" t="str">
        <f t="shared" si="12"/>
        <v>KSA24-LAPANGAN-FEBRUARI-PPL-KSA JAGUNG</v>
      </c>
      <c r="J151" s="10" t="str">
        <f t="array" ref="J151">INDEX(Honor!$H$2:$H800,MATCH($I151,Honor!$A$2:$A800,0))</f>
        <v>Segmen</v>
      </c>
      <c r="K151" s="66">
        <f t="array" ref="K151">INDEX(Honor!$I$2:$I800,MATCH($I151,Honor!$A$2:$A800,0))</f>
        <v>59000</v>
      </c>
      <c r="L151" s="64">
        <v>6</v>
      </c>
      <c r="M151" s="10">
        <f t="shared" si="0"/>
        <v>354000</v>
      </c>
      <c r="O151" s="67">
        <f t="array" ref="O151">INDEX(Honor!$L$2:$L800,MATCH($I151,Honor!$A$2:$A800,0))</f>
        <v>45351</v>
      </c>
      <c r="P151" s="10">
        <f t="shared" si="1"/>
        <v>2024</v>
      </c>
      <c r="Q151" s="10">
        <f t="shared" si="2"/>
        <v>2</v>
      </c>
      <c r="R151" s="10" t="str">
        <f t="array" ref="R151">INDEX(Honor!$Q$2:$Q800,MATCH($I151,Honor!$A$2:$A800,0))</f>
        <v>SURVEI-PPL</v>
      </c>
      <c r="S151" s="10" t="str">
        <f t="shared" si="3"/>
        <v>610422020048-2024-2</v>
      </c>
      <c r="T151" s="10" t="str">
        <f t="shared" si="4"/>
        <v>610422020048-2024-2-SURVEI-PPL</v>
      </c>
      <c r="U151" s="64">
        <v>1</v>
      </c>
      <c r="V151" s="10" t="e">
        <f t="array" aca="1" ref="V151" ca="1">INDEX(Honor!$O$2:$O800,MATCH($I151,Honor!$A$2:$A800,0))</f>
        <v>#NAME?</v>
      </c>
      <c r="W151" s="68">
        <v>45373</v>
      </c>
      <c r="X151" s="7" t="str">
        <f t="array" ref="X151">INDEX('Input Kegiatan'!$B$2:$B800,MATCH(B151,'Input Kegiatan'!$A$2:$A800,0))</f>
        <v>Kerangka Sampel Area (KSA) 2024 Februari</v>
      </c>
      <c r="Y151" s="7" t="s">
        <v>4931</v>
      </c>
      <c r="Z151" s="7" t="s">
        <v>5171</v>
      </c>
      <c r="AA151" s="68">
        <f t="shared" si="5"/>
        <v>45322</v>
      </c>
      <c r="AB151" s="68">
        <f t="shared" si="6"/>
        <v>45323</v>
      </c>
      <c r="AC151" s="68">
        <f t="shared" si="7"/>
        <v>45351</v>
      </c>
      <c r="AD151" s="68">
        <f t="shared" si="8"/>
        <v>45350</v>
      </c>
      <c r="AE151" s="68">
        <f t="shared" si="9"/>
        <v>45351</v>
      </c>
    </row>
    <row r="152" spans="1:31" ht="12.5">
      <c r="A152" s="125">
        <v>610422040058</v>
      </c>
      <c r="B152" s="64" t="s">
        <v>28</v>
      </c>
      <c r="D152" s="10">
        <f t="array" aca="1" ref="D152" ca="1">INDEX('Mitra per Bulan'!$M$2:$M800,MATCH(S152,'Mitra per Bulan'!$B$2:$B800,0))</f>
        <v>1</v>
      </c>
      <c r="E152" s="10" t="str">
        <f t="array" ref="E152">INDEX('Database Mitra'!$A$2:$A800,MATCH(A152,'Database Mitra'!$B$2:$B800,0))</f>
        <v>Jamaluddin, Sp</v>
      </c>
      <c r="F152" s="64" t="s">
        <v>25</v>
      </c>
      <c r="G152" s="5" t="str">
        <f t="array" ref="G152">INDEX('Database Mitra'!$G$2:$G800,MATCH(A152,'Database Mitra'!$B$2:$B800,0))</f>
        <v>6102152607940002</v>
      </c>
      <c r="H152" s="64" t="s">
        <v>85</v>
      </c>
      <c r="I152" s="65" t="str">
        <f t="shared" si="12"/>
        <v>KSA24-LAPANGAN-FEBRUARI-PPL-KSA JAGUNG</v>
      </c>
      <c r="J152" s="10" t="str">
        <f t="array" ref="J152">INDEX(Honor!$H$2:$H800,MATCH($I152,Honor!$A$2:$A800,0))</f>
        <v>Segmen</v>
      </c>
      <c r="K152" s="66">
        <f t="array" ref="K152">INDEX(Honor!$I$2:$I800,MATCH($I152,Honor!$A$2:$A800,0))</f>
        <v>59000</v>
      </c>
      <c r="L152" s="64">
        <v>10</v>
      </c>
      <c r="M152" s="10">
        <f t="shared" si="0"/>
        <v>590000</v>
      </c>
      <c r="O152" s="67">
        <f t="array" ref="O152">INDEX(Honor!$L$2:$L800,MATCH($I152,Honor!$A$2:$A800,0))</f>
        <v>45351</v>
      </c>
      <c r="P152" s="10">
        <f t="shared" si="1"/>
        <v>2024</v>
      </c>
      <c r="Q152" s="10">
        <f t="shared" si="2"/>
        <v>2</v>
      </c>
      <c r="R152" s="10" t="str">
        <f t="array" ref="R152">INDEX(Honor!$Q$2:$Q800,MATCH($I152,Honor!$A$2:$A800,0))</f>
        <v>SURVEI-PPL</v>
      </c>
      <c r="S152" s="10" t="str">
        <f t="shared" si="3"/>
        <v>610422040058-2024-2</v>
      </c>
      <c r="T152" s="10" t="str">
        <f t="shared" si="4"/>
        <v>610422040058-2024-2-SURVEI-PPL</v>
      </c>
      <c r="U152" s="64">
        <v>1</v>
      </c>
      <c r="V152" s="10" t="e">
        <f t="array" aca="1" ref="V152" ca="1">INDEX(Honor!$O$2:$O800,MATCH($I152,Honor!$A$2:$A800,0))</f>
        <v>#NAME?</v>
      </c>
      <c r="W152" s="68">
        <v>45373</v>
      </c>
      <c r="X152" s="7" t="str">
        <f t="array" ref="X152">INDEX('Input Kegiatan'!$B$2:$B800,MATCH(B152,'Input Kegiatan'!$A$2:$A800,0))</f>
        <v>Kerangka Sampel Area (KSA) 2024 Februari</v>
      </c>
      <c r="Y152" s="7" t="s">
        <v>3715</v>
      </c>
      <c r="Z152" s="7" t="s">
        <v>3716</v>
      </c>
      <c r="AA152" s="68">
        <f t="shared" si="5"/>
        <v>45322</v>
      </c>
      <c r="AB152" s="68">
        <f t="shared" si="6"/>
        <v>45323</v>
      </c>
      <c r="AC152" s="68">
        <f t="shared" si="7"/>
        <v>45351</v>
      </c>
      <c r="AD152" s="68">
        <f t="shared" si="8"/>
        <v>45350</v>
      </c>
      <c r="AE152" s="68">
        <f t="shared" si="9"/>
        <v>45351</v>
      </c>
    </row>
    <row r="153" spans="1:31" ht="12.5">
      <c r="A153" s="125">
        <v>610423110183</v>
      </c>
      <c r="B153" s="64" t="s">
        <v>28</v>
      </c>
      <c r="D153" s="10">
        <f t="array" aca="1" ref="D153" ca="1">INDEX('Mitra per Bulan'!$M$2:$M800,MATCH(S153,'Mitra per Bulan'!$B$2:$B800,0))</f>
        <v>1</v>
      </c>
      <c r="E153" s="10" t="str">
        <f t="array" ref="E153">INDEX('Database Mitra'!$A$2:$A800,MATCH(A153,'Database Mitra'!$B$2:$B800,0))</f>
        <v>Azhar</v>
      </c>
      <c r="F153" s="64" t="s">
        <v>25</v>
      </c>
      <c r="G153" s="5" t="str">
        <f t="array" ref="G153">INDEX('Database Mitra'!$G$2:$G800,MATCH(A153,'Database Mitra'!$B$2:$B800,0))</f>
        <v>6102081211790004</v>
      </c>
      <c r="H153" s="64" t="s">
        <v>85</v>
      </c>
      <c r="I153" s="65" t="str">
        <f t="shared" si="12"/>
        <v>KSA24-LAPANGAN-FEBRUARI-PPL-KSA JAGUNG</v>
      </c>
      <c r="J153" s="10" t="str">
        <f t="array" ref="J153">INDEX(Honor!$H$2:$H800,MATCH($I153,Honor!$A$2:$A800,0))</f>
        <v>Segmen</v>
      </c>
      <c r="K153" s="66">
        <f t="array" ref="K153">INDEX(Honor!$I$2:$I800,MATCH($I153,Honor!$A$2:$A800,0))</f>
        <v>59000</v>
      </c>
      <c r="L153" s="64">
        <v>6</v>
      </c>
      <c r="M153" s="10">
        <f t="shared" si="0"/>
        <v>354000</v>
      </c>
      <c r="O153" s="67">
        <f t="array" ref="O153">INDEX(Honor!$L$2:$L800,MATCH($I153,Honor!$A$2:$A800,0))</f>
        <v>45351</v>
      </c>
      <c r="P153" s="10">
        <f t="shared" si="1"/>
        <v>2024</v>
      </c>
      <c r="Q153" s="10">
        <f t="shared" si="2"/>
        <v>2</v>
      </c>
      <c r="R153" s="10" t="str">
        <f t="array" ref="R153">INDEX(Honor!$Q$2:$Q800,MATCH($I153,Honor!$A$2:$A800,0))</f>
        <v>SURVEI-PPL</v>
      </c>
      <c r="S153" s="10" t="str">
        <f t="shared" si="3"/>
        <v>610423110183-2024-2</v>
      </c>
      <c r="T153" s="10" t="str">
        <f t="shared" si="4"/>
        <v>610423110183-2024-2-SURVEI-PPL</v>
      </c>
      <c r="U153" s="64">
        <v>1</v>
      </c>
      <c r="V153" s="10" t="e">
        <f t="array" aca="1" ref="V153" ca="1">INDEX(Honor!$O$2:$O800,MATCH($I153,Honor!$A$2:$A800,0))</f>
        <v>#NAME?</v>
      </c>
      <c r="W153" s="68">
        <v>45373</v>
      </c>
      <c r="X153" s="7" t="str">
        <f t="array" ref="X153">INDEX('Input Kegiatan'!$B$2:$B800,MATCH(B153,'Input Kegiatan'!$A$2:$A800,0))</f>
        <v>Kerangka Sampel Area (KSA) 2024 Februari</v>
      </c>
      <c r="Y153" s="7" t="s">
        <v>3241</v>
      </c>
      <c r="Z153" s="7" t="s">
        <v>3242</v>
      </c>
      <c r="AA153" s="68">
        <f t="shared" si="5"/>
        <v>45322</v>
      </c>
      <c r="AB153" s="68">
        <f t="shared" si="6"/>
        <v>45323</v>
      </c>
      <c r="AC153" s="68">
        <f t="shared" si="7"/>
        <v>45351</v>
      </c>
      <c r="AD153" s="68">
        <f t="shared" si="8"/>
        <v>45350</v>
      </c>
      <c r="AE153" s="68">
        <f t="shared" si="9"/>
        <v>45351</v>
      </c>
    </row>
    <row r="154" spans="1:31" ht="12.5">
      <c r="A154" s="125">
        <v>610422100244</v>
      </c>
      <c r="B154" s="64" t="s">
        <v>28</v>
      </c>
      <c r="D154" s="10">
        <f t="array" aca="1" ref="D154" ca="1">INDEX('Mitra per Bulan'!$M$2:$M800,MATCH(S154,'Mitra per Bulan'!$B$2:$B800,0))</f>
        <v>1</v>
      </c>
      <c r="E154" s="10" t="str">
        <f t="array" ref="E154">INDEX('Database Mitra'!$A$2:$A800,MATCH(A154,'Database Mitra'!$B$2:$B800,0))</f>
        <v>Sugianto</v>
      </c>
      <c r="F154" s="64" t="s">
        <v>25</v>
      </c>
      <c r="G154" s="5" t="str">
        <f t="array" ref="G154">INDEX('Database Mitra'!$G$2:$G800,MATCH(A154,'Database Mitra'!$B$2:$B800,0))</f>
        <v>6102171003900002</v>
      </c>
      <c r="H154" s="64" t="s">
        <v>85</v>
      </c>
      <c r="I154" s="65" t="str">
        <f t="shared" si="12"/>
        <v>KSA24-LAPANGAN-FEBRUARI-PPL-KSA JAGUNG</v>
      </c>
      <c r="J154" s="10" t="str">
        <f t="array" ref="J154">INDEX(Honor!$H$2:$H800,MATCH($I154,Honor!$A$2:$A800,0))</f>
        <v>Segmen</v>
      </c>
      <c r="K154" s="66">
        <f t="array" ref="K154">INDEX(Honor!$I$2:$I800,MATCH($I154,Honor!$A$2:$A800,0))</f>
        <v>59000</v>
      </c>
      <c r="L154" s="64">
        <v>8</v>
      </c>
      <c r="M154" s="10">
        <f t="shared" si="0"/>
        <v>472000</v>
      </c>
      <c r="O154" s="67">
        <f t="array" ref="O154">INDEX(Honor!$L$2:$L800,MATCH($I154,Honor!$A$2:$A800,0))</f>
        <v>45351</v>
      </c>
      <c r="P154" s="10">
        <f t="shared" si="1"/>
        <v>2024</v>
      </c>
      <c r="Q154" s="10">
        <f t="shared" si="2"/>
        <v>2</v>
      </c>
      <c r="R154" s="10" t="str">
        <f t="array" ref="R154">INDEX(Honor!$Q$2:$Q800,MATCH($I154,Honor!$A$2:$A800,0))</f>
        <v>SURVEI-PPL</v>
      </c>
      <c r="S154" s="10" t="str">
        <f t="shared" si="3"/>
        <v>610422100244-2024-2</v>
      </c>
      <c r="T154" s="10" t="str">
        <f t="shared" si="4"/>
        <v>610422100244-2024-2-SURVEI-PPL</v>
      </c>
      <c r="U154" s="64">
        <v>1</v>
      </c>
      <c r="V154" s="10" t="e">
        <f t="array" aca="1" ref="V154" ca="1">INDEX(Honor!$O$2:$O800,MATCH($I154,Honor!$A$2:$A800,0))</f>
        <v>#NAME?</v>
      </c>
      <c r="W154" s="68">
        <v>45373</v>
      </c>
      <c r="X154" s="7" t="str">
        <f t="array" ref="X154">INDEX('Input Kegiatan'!$B$2:$B800,MATCH(B154,'Input Kegiatan'!$A$2:$A800,0))</f>
        <v>Kerangka Sampel Area (KSA) 2024 Februari</v>
      </c>
      <c r="Y154" s="7" t="s">
        <v>5741</v>
      </c>
      <c r="Z154" s="7" t="s">
        <v>5796</v>
      </c>
      <c r="AA154" s="68">
        <f t="shared" si="5"/>
        <v>45322</v>
      </c>
      <c r="AB154" s="68">
        <f t="shared" si="6"/>
        <v>45323</v>
      </c>
      <c r="AC154" s="68">
        <f t="shared" si="7"/>
        <v>45351</v>
      </c>
      <c r="AD154" s="68">
        <f t="shared" si="8"/>
        <v>45350</v>
      </c>
      <c r="AE154" s="68">
        <f t="shared" si="9"/>
        <v>45351</v>
      </c>
    </row>
    <row r="155" spans="1:31" ht="12.5">
      <c r="A155" s="125">
        <v>610422030001</v>
      </c>
      <c r="B155" s="64" t="s">
        <v>23</v>
      </c>
      <c r="D155" s="10">
        <f t="array" aca="1" ref="D155" ca="1">INDEX('Mitra per Bulan'!$M$2:$M800,MATCH(S155,'Mitra per Bulan'!$B$2:$B800,0))</f>
        <v>1</v>
      </c>
      <c r="E155" s="10" t="str">
        <f t="array" ref="E155">INDEX('Database Mitra'!$A$2:$A800,MATCH(A155,'Database Mitra'!$B$2:$B800,0))</f>
        <v>Pitra,Sp</v>
      </c>
      <c r="F155" s="65" t="s">
        <v>24</v>
      </c>
      <c r="G155" s="5" t="str">
        <f t="array" ref="G155">INDEX('Database Mitra'!$G$2:$G800,MATCH(A155,'Database Mitra'!$B$2:$B800,0))</f>
        <v>6102010808800006</v>
      </c>
      <c r="H155" s="64" t="s">
        <v>67</v>
      </c>
      <c r="I155" s="65" t="str">
        <f t="shared" si="12"/>
        <v>SAKERNAS24-LAPANGAN-SEMESTER1-PML-PENDATAAN</v>
      </c>
      <c r="J155" s="10" t="str">
        <f t="array" ref="J155">INDEX(Honor!$H$2:$H800,MATCH($I155,Honor!$A$2:$A800,0))</f>
        <v>Dokumen</v>
      </c>
      <c r="K155" s="66">
        <f t="array" ref="K155">INDEX(Honor!$I$2:$I800,MATCH($I155,Honor!$A$2:$A800,0))</f>
        <v>23000</v>
      </c>
      <c r="L155" s="64">
        <v>40</v>
      </c>
      <c r="M155" s="10">
        <f t="shared" si="0"/>
        <v>920000</v>
      </c>
      <c r="O155" s="67">
        <f t="array" ref="O155">INDEX(Honor!$L$2:$L800,MATCH($I155,Honor!$A$2:$A800,0))</f>
        <v>45359</v>
      </c>
      <c r="P155" s="10">
        <f t="shared" si="1"/>
        <v>2024</v>
      </c>
      <c r="Q155" s="10">
        <f t="shared" si="2"/>
        <v>3</v>
      </c>
      <c r="R155" s="10" t="str">
        <f t="array" ref="R155">INDEX(Honor!$Q$2:$Q800,MATCH($I155,Honor!$A$2:$A800,0))</f>
        <v>SURVEI-PML</v>
      </c>
      <c r="S155" s="10" t="str">
        <f t="shared" si="3"/>
        <v>610422030001-2024-3</v>
      </c>
      <c r="T155" s="10" t="str">
        <f t="shared" si="4"/>
        <v>610422030001-2024-3-SURVEI-PML</v>
      </c>
      <c r="U155" s="64">
        <v>1</v>
      </c>
      <c r="V155" s="10" t="e">
        <f t="array" aca="1" ref="V155" ca="1">INDEX(Honor!$O$2:$O800,MATCH($I155,Honor!$A$2:$A800,0))</f>
        <v>#NAME?</v>
      </c>
      <c r="W155" s="68">
        <v>45351</v>
      </c>
      <c r="X155" s="7" t="str">
        <f t="array" ref="X155">INDEX('Input Kegiatan'!$B$2:$B800,MATCH(B155,'Input Kegiatan'!$A$2:$A800,0))</f>
        <v>Sakernas Februari 2024</v>
      </c>
      <c r="Y155" s="7" t="s">
        <v>3715</v>
      </c>
      <c r="Z155" s="7" t="s">
        <v>3716</v>
      </c>
      <c r="AA155" s="68">
        <f t="shared" si="5"/>
        <v>45351</v>
      </c>
      <c r="AB155" s="68">
        <f t="shared" si="6"/>
        <v>45352</v>
      </c>
      <c r="AC155" s="68">
        <f t="shared" si="7"/>
        <v>45382</v>
      </c>
      <c r="AD155" s="68">
        <f t="shared" si="8"/>
        <v>45381</v>
      </c>
      <c r="AE155" s="68">
        <f t="shared" si="9"/>
        <v>45382</v>
      </c>
    </row>
    <row r="156" spans="1:31" ht="12.5">
      <c r="A156" s="125">
        <v>610422040056</v>
      </c>
      <c r="B156" s="64" t="s">
        <v>23</v>
      </c>
      <c r="D156" s="10">
        <f t="array" aca="1" ref="D156" ca="1">INDEX('Mitra per Bulan'!$M$2:$M800,MATCH(S156,'Mitra per Bulan'!$B$2:$B800,0))</f>
        <v>1</v>
      </c>
      <c r="E156" s="10" t="str">
        <f t="array" ref="E156">INDEX('Database Mitra'!$A$2:$A800,MATCH(A156,'Database Mitra'!$B$2:$B800,0))</f>
        <v>Wandi Syafari</v>
      </c>
      <c r="F156" s="65" t="s">
        <v>24</v>
      </c>
      <c r="G156" s="5" t="str">
        <f t="array" ref="G156">INDEX('Database Mitra'!$G$2:$G800,MATCH(A156,'Database Mitra'!$B$2:$B800,0))</f>
        <v>6102010802760001</v>
      </c>
      <c r="H156" s="64" t="s">
        <v>67</v>
      </c>
      <c r="I156" s="65" t="str">
        <f t="shared" si="12"/>
        <v>SAKERNAS24-LAPANGAN-SEMESTER1-PML-PENDATAAN</v>
      </c>
      <c r="J156" s="10" t="str">
        <f t="array" ref="J156">INDEX(Honor!$H$2:$H800,MATCH($I156,Honor!$A$2:$A800,0))</f>
        <v>Dokumen</v>
      </c>
      <c r="K156" s="66">
        <f t="array" ref="K156">INDEX(Honor!$I$2:$I800,MATCH($I156,Honor!$A$2:$A800,0))</f>
        <v>23000</v>
      </c>
      <c r="L156" s="64">
        <v>60</v>
      </c>
      <c r="M156" s="10">
        <f t="shared" si="0"/>
        <v>1380000</v>
      </c>
      <c r="O156" s="67">
        <f t="array" ref="O156">INDEX(Honor!$L$2:$L800,MATCH($I156,Honor!$A$2:$A800,0))</f>
        <v>45359</v>
      </c>
      <c r="P156" s="10">
        <f t="shared" si="1"/>
        <v>2024</v>
      </c>
      <c r="Q156" s="10">
        <f t="shared" si="2"/>
        <v>3</v>
      </c>
      <c r="R156" s="10" t="str">
        <f t="array" ref="R156">INDEX(Honor!$Q$2:$Q800,MATCH($I156,Honor!$A$2:$A800,0))</f>
        <v>SURVEI-PML</v>
      </c>
      <c r="S156" s="10" t="str">
        <f t="shared" si="3"/>
        <v>610422040056-2024-3</v>
      </c>
      <c r="T156" s="10" t="str">
        <f t="shared" si="4"/>
        <v>610422040056-2024-3-SURVEI-PML</v>
      </c>
      <c r="U156" s="64">
        <v>1</v>
      </c>
      <c r="V156" s="10" t="e">
        <f t="array" aca="1" ref="V156" ca="1">INDEX(Honor!$O$2:$O800,MATCH($I156,Honor!$A$2:$A800,0))</f>
        <v>#NAME?</v>
      </c>
      <c r="W156" s="68">
        <v>45351</v>
      </c>
      <c r="X156" s="7" t="str">
        <f t="array" ref="X156">INDEX('Input Kegiatan'!$B$2:$B800,MATCH(B156,'Input Kegiatan'!$A$2:$A800,0))</f>
        <v>Sakernas Februari 2024</v>
      </c>
      <c r="Y156" s="7" t="s">
        <v>4572</v>
      </c>
      <c r="Z156" s="7" t="s">
        <v>4656</v>
      </c>
      <c r="AA156" s="68">
        <f t="shared" si="5"/>
        <v>45351</v>
      </c>
      <c r="AB156" s="68">
        <f t="shared" si="6"/>
        <v>45352</v>
      </c>
      <c r="AC156" s="68">
        <f t="shared" si="7"/>
        <v>45382</v>
      </c>
      <c r="AD156" s="68">
        <f t="shared" si="8"/>
        <v>45381</v>
      </c>
      <c r="AE156" s="68">
        <f t="shared" si="9"/>
        <v>45382</v>
      </c>
    </row>
    <row r="157" spans="1:31" ht="12.5">
      <c r="A157" s="125">
        <v>610423030006</v>
      </c>
      <c r="B157" s="64" t="s">
        <v>23</v>
      </c>
      <c r="D157" s="10">
        <f t="array" aca="1" ref="D157" ca="1">INDEX('Mitra per Bulan'!$M$2:$M800,MATCH(S157,'Mitra per Bulan'!$B$2:$B800,0))</f>
        <v>1</v>
      </c>
      <c r="E157" s="10" t="str">
        <f t="array" ref="E157">INDEX('Database Mitra'!$A$2:$A800,MATCH(A157,'Database Mitra'!$B$2:$B800,0))</f>
        <v>Desta Dara Ayu Lestari, S.Pd</v>
      </c>
      <c r="F157" s="65" t="s">
        <v>24</v>
      </c>
      <c r="G157" s="5" t="str">
        <f t="array" ref="G157">INDEX('Database Mitra'!$G$2:$G800,MATCH(A157,'Database Mitra'!$B$2:$B800,0))</f>
        <v>6102065012950003</v>
      </c>
      <c r="H157" s="64" t="s">
        <v>67</v>
      </c>
      <c r="I157" s="65" t="str">
        <f t="shared" si="12"/>
        <v>SAKERNAS24-LAPANGAN-SEMESTER1-PML-PENDATAAN</v>
      </c>
      <c r="J157" s="10" t="str">
        <f t="array" ref="J157">INDEX(Honor!$H$2:$H800,MATCH($I157,Honor!$A$2:$A800,0))</f>
        <v>Dokumen</v>
      </c>
      <c r="K157" s="66">
        <f t="array" ref="K157">INDEX(Honor!$I$2:$I800,MATCH($I157,Honor!$A$2:$A800,0))</f>
        <v>23000</v>
      </c>
      <c r="L157" s="64">
        <v>40</v>
      </c>
      <c r="M157" s="10">
        <f t="shared" si="0"/>
        <v>920000</v>
      </c>
      <c r="O157" s="67">
        <f t="array" ref="O157">INDEX(Honor!$L$2:$L800,MATCH($I157,Honor!$A$2:$A800,0))</f>
        <v>45359</v>
      </c>
      <c r="P157" s="10">
        <f t="shared" si="1"/>
        <v>2024</v>
      </c>
      <c r="Q157" s="10">
        <f t="shared" si="2"/>
        <v>3</v>
      </c>
      <c r="R157" s="10" t="str">
        <f t="array" ref="R157">INDEX(Honor!$Q$2:$Q800,MATCH($I157,Honor!$A$2:$A800,0))</f>
        <v>SURVEI-PML</v>
      </c>
      <c r="S157" s="10" t="str">
        <f t="shared" si="3"/>
        <v>610423030006-2024-3</v>
      </c>
      <c r="T157" s="10" t="str">
        <f t="shared" si="4"/>
        <v>610423030006-2024-3-SURVEI-PML</v>
      </c>
      <c r="U157" s="64">
        <v>1</v>
      </c>
      <c r="V157" s="10" t="e">
        <f t="array" aca="1" ref="V157" ca="1">INDEX(Honor!$O$2:$O800,MATCH($I157,Honor!$A$2:$A800,0))</f>
        <v>#NAME?</v>
      </c>
      <c r="W157" s="68">
        <v>45351</v>
      </c>
      <c r="X157" s="7" t="str">
        <f t="array" ref="X157">INDEX('Input Kegiatan'!$B$2:$B800,MATCH(B157,'Input Kegiatan'!$A$2:$A800,0))</f>
        <v>Sakernas Februari 2024</v>
      </c>
      <c r="Y157" s="7" t="s">
        <v>5534</v>
      </c>
      <c r="Z157" s="7" t="s">
        <v>5616</v>
      </c>
      <c r="AA157" s="68">
        <f t="shared" si="5"/>
        <v>45351</v>
      </c>
      <c r="AB157" s="68">
        <f t="shared" si="6"/>
        <v>45352</v>
      </c>
      <c r="AC157" s="68">
        <f t="shared" si="7"/>
        <v>45382</v>
      </c>
      <c r="AD157" s="68">
        <f t="shared" si="8"/>
        <v>45381</v>
      </c>
      <c r="AE157" s="68">
        <f t="shared" si="9"/>
        <v>45382</v>
      </c>
    </row>
    <row r="158" spans="1:31" ht="12.5">
      <c r="A158" s="125">
        <v>610423090001</v>
      </c>
      <c r="B158" s="64" t="s">
        <v>23</v>
      </c>
      <c r="D158" s="10">
        <f t="array" aca="1" ref="D158" ca="1">INDEX('Mitra per Bulan'!$M$2:$M800,MATCH(S158,'Mitra per Bulan'!$B$2:$B800,0))</f>
        <v>1</v>
      </c>
      <c r="E158" s="10" t="str">
        <f t="array" ref="E158">INDEX('Database Mitra'!$A$2:$A800,MATCH(A158,'Database Mitra'!$B$2:$B800,0))</f>
        <v>Utami Angraini</v>
      </c>
      <c r="F158" s="65" t="s">
        <v>25</v>
      </c>
      <c r="G158" s="5" t="str">
        <f t="array" ref="G158">INDEX('Database Mitra'!$G$2:$G800,MATCH(A158,'Database Mitra'!$B$2:$B800,0))</f>
        <v>6102086810980002</v>
      </c>
      <c r="H158" s="64" t="s">
        <v>67</v>
      </c>
      <c r="I158" s="65" t="str">
        <f t="shared" si="12"/>
        <v>SAKERNAS24-LAPANGAN-SEMESTER1-PPL-PENDATAAN</v>
      </c>
      <c r="J158" s="10" t="str">
        <f t="array" ref="J158">INDEX(Honor!$H$2:$H800,MATCH($I158,Honor!$A$2:$A800,0))</f>
        <v>Rumah Tangga</v>
      </c>
      <c r="K158" s="66">
        <f t="array" ref="K158">INDEX(Honor!$I$2:$I800,MATCH($I158,Honor!$A$2:$A800,0))</f>
        <v>66000</v>
      </c>
      <c r="L158" s="64">
        <v>20</v>
      </c>
      <c r="M158" s="10">
        <f t="shared" si="0"/>
        <v>1320000</v>
      </c>
      <c r="O158" s="67">
        <f t="array" ref="O158">INDEX(Honor!$L$2:$L800,MATCH($I158,Honor!$A$2:$A800,0))</f>
        <v>45359</v>
      </c>
      <c r="P158" s="10">
        <f t="shared" si="1"/>
        <v>2024</v>
      </c>
      <c r="Q158" s="10">
        <f t="shared" si="2"/>
        <v>3</v>
      </c>
      <c r="R158" s="10" t="str">
        <f t="array" ref="R158">INDEX(Honor!$Q$2:$Q800,MATCH($I158,Honor!$A$2:$A800,0))</f>
        <v>SURVEI-PPL</v>
      </c>
      <c r="S158" s="10" t="str">
        <f t="shared" si="3"/>
        <v>610423090001-2024-3</v>
      </c>
      <c r="T158" s="10" t="str">
        <f t="shared" si="4"/>
        <v>610423090001-2024-3-SURVEI-PPL</v>
      </c>
      <c r="U158" s="64">
        <v>1</v>
      </c>
      <c r="V158" s="10" t="e">
        <f t="array" aca="1" ref="V158" ca="1">INDEX(Honor!$O$2:$O800,MATCH($I158,Honor!$A$2:$A800,0))</f>
        <v>#NAME?</v>
      </c>
      <c r="W158" s="68">
        <v>45351</v>
      </c>
      <c r="X158" s="7" t="str">
        <f t="array" ref="X158">INDEX('Input Kegiatan'!$B$2:$B800,MATCH(B158,'Input Kegiatan'!$A$2:$A800,0))</f>
        <v>Sakernas Februari 2024</v>
      </c>
      <c r="Y158" s="7" t="s">
        <v>3241</v>
      </c>
      <c r="Z158" s="7" t="s">
        <v>3289</v>
      </c>
      <c r="AA158" s="68">
        <f t="shared" si="5"/>
        <v>45351</v>
      </c>
      <c r="AB158" s="68">
        <f t="shared" si="6"/>
        <v>45352</v>
      </c>
      <c r="AC158" s="68">
        <f t="shared" si="7"/>
        <v>45382</v>
      </c>
      <c r="AD158" s="68">
        <f t="shared" si="8"/>
        <v>45381</v>
      </c>
      <c r="AE158" s="68">
        <f t="shared" si="9"/>
        <v>45382</v>
      </c>
    </row>
    <row r="159" spans="1:31" ht="12.5">
      <c r="A159" s="125">
        <v>610422040059</v>
      </c>
      <c r="B159" s="64" t="s">
        <v>23</v>
      </c>
      <c r="D159" s="10">
        <f t="array" aca="1" ref="D159" ca="1">INDEX('Mitra per Bulan'!$M$2:$M800,MATCH(S159,'Mitra per Bulan'!$B$2:$B800,0))</f>
        <v>1</v>
      </c>
      <c r="E159" s="10" t="str">
        <f t="array" ref="E159">INDEX('Database Mitra'!$A$2:$A800,MATCH(A159,'Database Mitra'!$B$2:$B800,0))</f>
        <v>Abang Handri</v>
      </c>
      <c r="F159" s="65" t="s">
        <v>25</v>
      </c>
      <c r="G159" s="5" t="str">
        <f t="array" ref="G159">INDEX('Database Mitra'!$G$2:$G800,MATCH(A159,'Database Mitra'!$B$2:$B800,0))</f>
        <v>6102072211780002</v>
      </c>
      <c r="H159" s="64" t="s">
        <v>67</v>
      </c>
      <c r="I159" s="65" t="str">
        <f t="shared" si="12"/>
        <v>SAKERNAS24-LAPANGAN-SEMESTER1-PPL-PENDATAAN</v>
      </c>
      <c r="J159" s="10" t="str">
        <f t="array" ref="J159">INDEX(Honor!$H$2:$H800,MATCH($I159,Honor!$A$2:$A800,0))</f>
        <v>Rumah Tangga</v>
      </c>
      <c r="K159" s="66">
        <f t="array" ref="K159">INDEX(Honor!$I$2:$I800,MATCH($I159,Honor!$A$2:$A800,0))</f>
        <v>66000</v>
      </c>
      <c r="L159" s="64">
        <v>20</v>
      </c>
      <c r="M159" s="10">
        <f t="shared" si="0"/>
        <v>1320000</v>
      </c>
      <c r="O159" s="67">
        <f t="array" ref="O159">INDEX(Honor!$L$2:$L800,MATCH($I159,Honor!$A$2:$A800,0))</f>
        <v>45359</v>
      </c>
      <c r="P159" s="10">
        <f t="shared" si="1"/>
        <v>2024</v>
      </c>
      <c r="Q159" s="10">
        <f t="shared" si="2"/>
        <v>3</v>
      </c>
      <c r="R159" s="10" t="str">
        <f t="array" ref="R159">INDEX(Honor!$Q$2:$Q800,MATCH($I159,Honor!$A$2:$A800,0))</f>
        <v>SURVEI-PPL</v>
      </c>
      <c r="S159" s="10" t="str">
        <f t="shared" si="3"/>
        <v>610422040059-2024-3</v>
      </c>
      <c r="T159" s="10" t="str">
        <f t="shared" si="4"/>
        <v>610422040059-2024-3-SURVEI-PPL</v>
      </c>
      <c r="U159" s="64">
        <v>1</v>
      </c>
      <c r="V159" s="10" t="e">
        <f t="array" aca="1" ref="V159" ca="1">INDEX(Honor!$O$2:$O800,MATCH($I159,Honor!$A$2:$A800,0))</f>
        <v>#NAME?</v>
      </c>
      <c r="W159" s="68">
        <v>45351</v>
      </c>
      <c r="X159" s="7" t="str">
        <f t="array" ref="X159">INDEX('Input Kegiatan'!$B$2:$B800,MATCH(B159,'Input Kegiatan'!$A$2:$A800,0))</f>
        <v>Sakernas Februari 2024</v>
      </c>
      <c r="Y159" s="7" t="s">
        <v>4572</v>
      </c>
      <c r="Z159" s="7" t="s">
        <v>4656</v>
      </c>
      <c r="AA159" s="68">
        <f t="shared" si="5"/>
        <v>45351</v>
      </c>
      <c r="AB159" s="68">
        <f t="shared" si="6"/>
        <v>45352</v>
      </c>
      <c r="AC159" s="68">
        <f t="shared" si="7"/>
        <v>45382</v>
      </c>
      <c r="AD159" s="68">
        <f t="shared" si="8"/>
        <v>45381</v>
      </c>
      <c r="AE159" s="68">
        <f t="shared" si="9"/>
        <v>45382</v>
      </c>
    </row>
    <row r="160" spans="1:31" ht="12.5">
      <c r="A160" s="125">
        <v>610422100008</v>
      </c>
      <c r="B160" s="64" t="s">
        <v>23</v>
      </c>
      <c r="D160" s="10">
        <f t="array" aca="1" ref="D160" ca="1">INDEX('Mitra per Bulan'!$M$2:$M800,MATCH(S160,'Mitra per Bulan'!$B$2:$B800,0))</f>
        <v>1</v>
      </c>
      <c r="E160" s="10" t="str">
        <f t="array" ref="E160">INDEX('Database Mitra'!$A$2:$A800,MATCH(A160,'Database Mitra'!$B$2:$B800,0))</f>
        <v>Novi Sri Wulandari</v>
      </c>
      <c r="F160" s="65" t="s">
        <v>25</v>
      </c>
      <c r="G160" s="5" t="str">
        <f t="array" ref="G160">INDEX('Database Mitra'!$G$2:$G800,MATCH(A160,'Database Mitra'!$B$2:$B800,0))</f>
        <v>6171055411880008</v>
      </c>
      <c r="H160" s="64" t="s">
        <v>67</v>
      </c>
      <c r="I160" s="65" t="str">
        <f t="shared" si="12"/>
        <v>SAKERNAS24-LAPANGAN-SEMESTER1-PPL-PENDATAAN</v>
      </c>
      <c r="J160" s="10" t="str">
        <f t="array" ref="J160">INDEX(Honor!$H$2:$H800,MATCH($I160,Honor!$A$2:$A800,0))</f>
        <v>Rumah Tangga</v>
      </c>
      <c r="K160" s="66">
        <f t="array" ref="K160">INDEX(Honor!$I$2:$I800,MATCH($I160,Honor!$A$2:$A800,0))</f>
        <v>66000</v>
      </c>
      <c r="L160" s="64">
        <v>20</v>
      </c>
      <c r="M160" s="10">
        <f t="shared" si="0"/>
        <v>1320000</v>
      </c>
      <c r="O160" s="67">
        <f t="array" ref="O160">INDEX(Honor!$L$2:$L800,MATCH($I160,Honor!$A$2:$A800,0))</f>
        <v>45359</v>
      </c>
      <c r="P160" s="10">
        <f t="shared" si="1"/>
        <v>2024</v>
      </c>
      <c r="Q160" s="10">
        <f t="shared" si="2"/>
        <v>3</v>
      </c>
      <c r="R160" s="10" t="str">
        <f t="array" ref="R160">INDEX(Honor!$Q$2:$Q800,MATCH($I160,Honor!$A$2:$A800,0))</f>
        <v>SURVEI-PPL</v>
      </c>
      <c r="S160" s="10" t="str">
        <f t="shared" si="3"/>
        <v>610422100008-2024-3</v>
      </c>
      <c r="T160" s="10" t="str">
        <f t="shared" si="4"/>
        <v>610422100008-2024-3-SURVEI-PPL</v>
      </c>
      <c r="U160" s="64">
        <v>1</v>
      </c>
      <c r="V160" s="10" t="e">
        <f t="array" aca="1" ref="V160" ca="1">INDEX(Honor!$O$2:$O800,MATCH($I160,Honor!$A$2:$A800,0))</f>
        <v>#NAME?</v>
      </c>
      <c r="W160" s="68">
        <v>45351</v>
      </c>
      <c r="X160" s="7" t="str">
        <f t="array" ref="X160">INDEX('Input Kegiatan'!$B$2:$B800,MATCH(B160,'Input Kegiatan'!$A$2:$A800,0))</f>
        <v>Sakernas Februari 2024</v>
      </c>
      <c r="Y160" s="7" t="s">
        <v>1921</v>
      </c>
      <c r="Z160" s="7" t="s">
        <v>2140</v>
      </c>
      <c r="AA160" s="68">
        <f t="shared" si="5"/>
        <v>45351</v>
      </c>
      <c r="AB160" s="68">
        <f t="shared" si="6"/>
        <v>45352</v>
      </c>
      <c r="AC160" s="68">
        <f t="shared" si="7"/>
        <v>45382</v>
      </c>
      <c r="AD160" s="68">
        <f t="shared" si="8"/>
        <v>45381</v>
      </c>
      <c r="AE160" s="68">
        <f t="shared" si="9"/>
        <v>45382</v>
      </c>
    </row>
    <row r="161" spans="1:31" ht="12.5">
      <c r="A161" s="125">
        <v>610422100043</v>
      </c>
      <c r="B161" s="64" t="s">
        <v>23</v>
      </c>
      <c r="D161" s="10">
        <f t="array" aca="1" ref="D161" ca="1">INDEX('Mitra per Bulan'!$M$2:$M800,MATCH(S161,'Mitra per Bulan'!$B$2:$B800,0))</f>
        <v>1</v>
      </c>
      <c r="E161" s="10" t="str">
        <f t="array" ref="E161">INDEX('Database Mitra'!$A$2:$A800,MATCH(A161,'Database Mitra'!$B$2:$B800,0))</f>
        <v>Eligia Giok</v>
      </c>
      <c r="F161" s="65" t="s">
        <v>25</v>
      </c>
      <c r="G161" s="5" t="str">
        <f t="array" ref="G161">INDEX('Database Mitra'!$G$2:$G800,MATCH(A161,'Database Mitra'!$B$2:$B800,0))</f>
        <v>6102165612000001</v>
      </c>
      <c r="H161" s="64" t="s">
        <v>67</v>
      </c>
      <c r="I161" s="65" t="str">
        <f t="shared" si="12"/>
        <v>SAKERNAS24-LAPANGAN-SEMESTER1-PPL-PENDATAAN</v>
      </c>
      <c r="J161" s="10" t="str">
        <f t="array" ref="J161">INDEX(Honor!$H$2:$H800,MATCH($I161,Honor!$A$2:$A800,0))</f>
        <v>Rumah Tangga</v>
      </c>
      <c r="K161" s="66">
        <f t="array" ref="K161">INDEX(Honor!$I$2:$I800,MATCH($I161,Honor!$A$2:$A800,0))</f>
        <v>66000</v>
      </c>
      <c r="L161" s="64">
        <v>20</v>
      </c>
      <c r="M161" s="10">
        <f t="shared" si="0"/>
        <v>1320000</v>
      </c>
      <c r="O161" s="67">
        <f t="array" ref="O161">INDEX(Honor!$L$2:$L800,MATCH($I161,Honor!$A$2:$A800,0))</f>
        <v>45359</v>
      </c>
      <c r="P161" s="10">
        <f t="shared" si="1"/>
        <v>2024</v>
      </c>
      <c r="Q161" s="10">
        <f t="shared" si="2"/>
        <v>3</v>
      </c>
      <c r="R161" s="10" t="str">
        <f t="array" ref="R161">INDEX(Honor!$Q$2:$Q800,MATCH($I161,Honor!$A$2:$A800,0))</f>
        <v>SURVEI-PPL</v>
      </c>
      <c r="S161" s="10" t="str">
        <f t="shared" si="3"/>
        <v>610422100043-2024-3</v>
      </c>
      <c r="T161" s="10" t="str">
        <f t="shared" si="4"/>
        <v>610422100043-2024-3-SURVEI-PPL</v>
      </c>
      <c r="U161" s="64">
        <v>1</v>
      </c>
      <c r="V161" s="10" t="e">
        <f t="array" aca="1" ref="V161" ca="1">INDEX(Honor!$O$2:$O800,MATCH($I161,Honor!$A$2:$A800,0))</f>
        <v>#NAME?</v>
      </c>
      <c r="W161" s="68">
        <v>45351</v>
      </c>
      <c r="X161" s="7" t="str">
        <f t="array" ref="X161">INDEX('Input Kegiatan'!$B$2:$B800,MATCH(B161,'Input Kegiatan'!$A$2:$A800,0))</f>
        <v>Sakernas Februari 2024</v>
      </c>
      <c r="Y161" s="7" t="s">
        <v>4408</v>
      </c>
      <c r="Z161" s="7" t="s">
        <v>4506</v>
      </c>
      <c r="AA161" s="68">
        <f t="shared" si="5"/>
        <v>45351</v>
      </c>
      <c r="AB161" s="68">
        <f t="shared" si="6"/>
        <v>45352</v>
      </c>
      <c r="AC161" s="68">
        <f t="shared" si="7"/>
        <v>45382</v>
      </c>
      <c r="AD161" s="68">
        <f t="shared" si="8"/>
        <v>45381</v>
      </c>
      <c r="AE161" s="68">
        <f t="shared" si="9"/>
        <v>45382</v>
      </c>
    </row>
    <row r="162" spans="1:31" ht="12.5">
      <c r="A162" s="125">
        <v>610422100086</v>
      </c>
      <c r="B162" s="64" t="s">
        <v>23</v>
      </c>
      <c r="D162" s="10">
        <f t="array" aca="1" ref="D162" ca="1">INDEX('Mitra per Bulan'!$M$2:$M800,MATCH(S162,'Mitra per Bulan'!$B$2:$B800,0))</f>
        <v>1</v>
      </c>
      <c r="E162" s="10" t="str">
        <f t="array" ref="E162">INDEX('Database Mitra'!$A$2:$A800,MATCH(A162,'Database Mitra'!$B$2:$B800,0))</f>
        <v>Imamul Akhyar</v>
      </c>
      <c r="F162" s="65" t="s">
        <v>25</v>
      </c>
      <c r="G162" s="5" t="str">
        <f t="array" ref="G162">INDEX('Database Mitra'!$G$2:$G800,MATCH(A162,'Database Mitra'!$B$2:$B800,0))</f>
        <v>6102012211930002</v>
      </c>
      <c r="H162" s="64" t="s">
        <v>67</v>
      </c>
      <c r="I162" s="65" t="str">
        <f t="shared" si="12"/>
        <v>SAKERNAS24-LAPANGAN-SEMESTER1-PPL-PENDATAAN</v>
      </c>
      <c r="J162" s="10" t="str">
        <f t="array" ref="J162">INDEX(Honor!$H$2:$H800,MATCH($I162,Honor!$A$2:$A800,0))</f>
        <v>Rumah Tangga</v>
      </c>
      <c r="K162" s="66">
        <f t="array" ref="K162">INDEX(Honor!$I$2:$I800,MATCH($I162,Honor!$A$2:$A800,0))</f>
        <v>66000</v>
      </c>
      <c r="L162" s="64">
        <v>20</v>
      </c>
      <c r="M162" s="10">
        <f t="shared" si="0"/>
        <v>1320000</v>
      </c>
      <c r="O162" s="67">
        <f t="array" ref="O162">INDEX(Honor!$L$2:$L800,MATCH($I162,Honor!$A$2:$A800,0))</f>
        <v>45359</v>
      </c>
      <c r="P162" s="10">
        <f t="shared" si="1"/>
        <v>2024</v>
      </c>
      <c r="Q162" s="10">
        <f t="shared" si="2"/>
        <v>3</v>
      </c>
      <c r="R162" s="10" t="str">
        <f t="array" ref="R162">INDEX(Honor!$Q$2:$Q800,MATCH($I162,Honor!$A$2:$A800,0))</f>
        <v>SURVEI-PPL</v>
      </c>
      <c r="S162" s="10" t="str">
        <f t="shared" si="3"/>
        <v>610422100086-2024-3</v>
      </c>
      <c r="T162" s="10" t="str">
        <f t="shared" si="4"/>
        <v>610422100086-2024-3-SURVEI-PPL</v>
      </c>
      <c r="U162" s="64">
        <v>1</v>
      </c>
      <c r="V162" s="10" t="e">
        <f t="array" aca="1" ref="V162" ca="1">INDEX(Honor!$O$2:$O800,MATCH($I162,Honor!$A$2:$A800,0))</f>
        <v>#NAME?</v>
      </c>
      <c r="W162" s="68">
        <v>45351</v>
      </c>
      <c r="X162" s="7" t="str">
        <f t="array" ref="X162">INDEX('Input Kegiatan'!$B$2:$B800,MATCH(B162,'Input Kegiatan'!$A$2:$A800,0))</f>
        <v>Sakernas Februari 2024</v>
      </c>
      <c r="Y162" s="7" t="s">
        <v>4572</v>
      </c>
      <c r="Z162" s="7" t="s">
        <v>4841</v>
      </c>
      <c r="AA162" s="68">
        <f t="shared" si="5"/>
        <v>45351</v>
      </c>
      <c r="AB162" s="68">
        <f t="shared" si="6"/>
        <v>45352</v>
      </c>
      <c r="AC162" s="68">
        <f t="shared" si="7"/>
        <v>45382</v>
      </c>
      <c r="AD162" s="68">
        <f t="shared" si="8"/>
        <v>45381</v>
      </c>
      <c r="AE162" s="68">
        <f t="shared" si="9"/>
        <v>45382</v>
      </c>
    </row>
    <row r="163" spans="1:31" ht="12.5">
      <c r="A163" s="125">
        <v>610422100111</v>
      </c>
      <c r="B163" s="64" t="s">
        <v>23</v>
      </c>
      <c r="D163" s="10">
        <f t="array" aca="1" ref="D163" ca="1">INDEX('Mitra per Bulan'!$M$2:$M800,MATCH(S163,'Mitra per Bulan'!$B$2:$B800,0))</f>
        <v>1</v>
      </c>
      <c r="E163" s="10" t="str">
        <f t="array" ref="E163">INDEX('Database Mitra'!$A$2:$A800,MATCH(A163,'Database Mitra'!$B$2:$B800,0))</f>
        <v>Cici Purnamasari</v>
      </c>
      <c r="F163" s="65" t="s">
        <v>25</v>
      </c>
      <c r="G163" s="5" t="str">
        <f t="array" ref="G163">INDEX('Database Mitra'!$G$2:$G800,MATCH(A163,'Database Mitra'!$B$2:$B800,0))</f>
        <v>6102074203010007</v>
      </c>
      <c r="H163" s="64" t="s">
        <v>67</v>
      </c>
      <c r="I163" s="65" t="str">
        <f t="shared" si="12"/>
        <v>SAKERNAS24-LAPANGAN-SEMESTER1-PPL-PENDATAAN</v>
      </c>
      <c r="J163" s="10" t="str">
        <f t="array" ref="J163">INDEX(Honor!$H$2:$H800,MATCH($I163,Honor!$A$2:$A800,0))</f>
        <v>Rumah Tangga</v>
      </c>
      <c r="K163" s="66">
        <f t="array" ref="K163">INDEX(Honor!$I$2:$I800,MATCH($I163,Honor!$A$2:$A800,0))</f>
        <v>66000</v>
      </c>
      <c r="L163" s="64">
        <v>20</v>
      </c>
      <c r="M163" s="10">
        <f t="shared" si="0"/>
        <v>1320000</v>
      </c>
      <c r="O163" s="67">
        <f t="array" ref="O163">INDEX(Honor!$L$2:$L800,MATCH($I163,Honor!$A$2:$A800,0))</f>
        <v>45359</v>
      </c>
      <c r="P163" s="10">
        <f t="shared" si="1"/>
        <v>2024</v>
      </c>
      <c r="Q163" s="10">
        <f t="shared" si="2"/>
        <v>3</v>
      </c>
      <c r="R163" s="10" t="str">
        <f t="array" ref="R163">INDEX(Honor!$Q$2:$Q800,MATCH($I163,Honor!$A$2:$A800,0))</f>
        <v>SURVEI-PPL</v>
      </c>
      <c r="S163" s="10" t="str">
        <f t="shared" si="3"/>
        <v>610422100111-2024-3</v>
      </c>
      <c r="T163" s="10" t="str">
        <f t="shared" si="4"/>
        <v>610422100111-2024-3-SURVEI-PPL</v>
      </c>
      <c r="U163" s="64">
        <v>1</v>
      </c>
      <c r="V163" s="10" t="e">
        <f t="array" aca="1" ref="V163" ca="1">INDEX(Honor!$O$2:$O800,MATCH($I163,Honor!$A$2:$A800,0))</f>
        <v>#NAME?</v>
      </c>
      <c r="W163" s="68">
        <v>45351</v>
      </c>
      <c r="X163" s="7" t="str">
        <f t="array" ref="X163">INDEX('Input Kegiatan'!$B$2:$B800,MATCH(B163,'Input Kegiatan'!$A$2:$A800,0))</f>
        <v>Sakernas Februari 2024</v>
      </c>
      <c r="Y163" s="7" t="s">
        <v>3990</v>
      </c>
      <c r="Z163" s="7" t="s">
        <v>4038</v>
      </c>
      <c r="AA163" s="68">
        <f t="shared" si="5"/>
        <v>45351</v>
      </c>
      <c r="AB163" s="68">
        <f t="shared" si="6"/>
        <v>45352</v>
      </c>
      <c r="AC163" s="68">
        <f t="shared" si="7"/>
        <v>45382</v>
      </c>
      <c r="AD163" s="68">
        <f t="shared" si="8"/>
        <v>45381</v>
      </c>
      <c r="AE163" s="68">
        <f t="shared" si="9"/>
        <v>45382</v>
      </c>
    </row>
    <row r="164" spans="1:31" ht="12.5">
      <c r="A164" s="125">
        <v>610422100175</v>
      </c>
      <c r="B164" s="64" t="s">
        <v>23</v>
      </c>
      <c r="D164" s="10">
        <f t="array" aca="1" ref="D164" ca="1">INDEX('Mitra per Bulan'!$M$2:$M800,MATCH(S164,'Mitra per Bulan'!$B$2:$B800,0))</f>
        <v>1</v>
      </c>
      <c r="E164" s="10" t="str">
        <f t="array" ref="E164">INDEX('Database Mitra'!$A$2:$A800,MATCH(A164,'Database Mitra'!$B$2:$B800,0))</f>
        <v>Rara Shati</v>
      </c>
      <c r="F164" s="65" t="s">
        <v>25</v>
      </c>
      <c r="G164" s="5" t="str">
        <f t="array" ref="G164">INDEX('Database Mitra'!$G$2:$G800,MATCH(A164,'Database Mitra'!$B$2:$B800,0))</f>
        <v>6102066507980001</v>
      </c>
      <c r="H164" s="64" t="s">
        <v>67</v>
      </c>
      <c r="I164" s="65" t="str">
        <f t="shared" si="12"/>
        <v>SAKERNAS24-LAPANGAN-SEMESTER1-PPL-PENDATAAN</v>
      </c>
      <c r="J164" s="10" t="str">
        <f t="array" ref="J164">INDEX(Honor!$H$2:$H800,MATCH($I164,Honor!$A$2:$A800,0))</f>
        <v>Rumah Tangga</v>
      </c>
      <c r="K164" s="66">
        <f t="array" ref="K164">INDEX(Honor!$I$2:$I800,MATCH($I164,Honor!$A$2:$A800,0))</f>
        <v>66000</v>
      </c>
      <c r="L164" s="64">
        <v>20</v>
      </c>
      <c r="M164" s="10">
        <f t="shared" si="0"/>
        <v>1320000</v>
      </c>
      <c r="O164" s="67">
        <f t="array" ref="O164">INDEX(Honor!$L$2:$L800,MATCH($I164,Honor!$A$2:$A800,0))</f>
        <v>45359</v>
      </c>
      <c r="P164" s="10">
        <f t="shared" si="1"/>
        <v>2024</v>
      </c>
      <c r="Q164" s="10">
        <f t="shared" si="2"/>
        <v>3</v>
      </c>
      <c r="R164" s="10" t="str">
        <f t="array" ref="R164">INDEX(Honor!$Q$2:$Q800,MATCH($I164,Honor!$A$2:$A800,0))</f>
        <v>SURVEI-PPL</v>
      </c>
      <c r="S164" s="10" t="str">
        <f t="shared" si="3"/>
        <v>610422100175-2024-3</v>
      </c>
      <c r="T164" s="10" t="str">
        <f t="shared" si="4"/>
        <v>610422100175-2024-3-SURVEI-PPL</v>
      </c>
      <c r="U164" s="64">
        <v>1</v>
      </c>
      <c r="V164" s="10" t="e">
        <f t="array" aca="1" ref="V164" ca="1">INDEX(Honor!$O$2:$O800,MATCH($I164,Honor!$A$2:$A800,0))</f>
        <v>#NAME?</v>
      </c>
      <c r="W164" s="68">
        <v>45351</v>
      </c>
      <c r="X164" s="7" t="str">
        <f t="array" ref="X164">INDEX('Input Kegiatan'!$B$2:$B800,MATCH(B164,'Input Kegiatan'!$A$2:$A800,0))</f>
        <v>Sakernas Februari 2024</v>
      </c>
      <c r="Y164" s="7" t="s">
        <v>5534</v>
      </c>
      <c r="Z164" s="7" t="s">
        <v>5616</v>
      </c>
      <c r="AA164" s="68">
        <f t="shared" si="5"/>
        <v>45351</v>
      </c>
      <c r="AB164" s="68">
        <f t="shared" si="6"/>
        <v>45352</v>
      </c>
      <c r="AC164" s="68">
        <f t="shared" si="7"/>
        <v>45382</v>
      </c>
      <c r="AD164" s="68">
        <f t="shared" si="8"/>
        <v>45381</v>
      </c>
      <c r="AE164" s="68">
        <f t="shared" si="9"/>
        <v>45382</v>
      </c>
    </row>
    <row r="165" spans="1:31" ht="12.5">
      <c r="A165" s="125">
        <v>610422020006</v>
      </c>
      <c r="B165" s="64" t="s">
        <v>107</v>
      </c>
      <c r="D165" s="10">
        <f t="array" aca="1" ref="D165" ca="1">INDEX('Mitra per Bulan'!$M$2:$M800,MATCH(S165,'Mitra per Bulan'!$B$2:$B800,0))</f>
        <v>1</v>
      </c>
      <c r="E165" s="10" t="str">
        <f t="array" ref="E165">INDEX('Database Mitra'!$A$2:$A800,MATCH(A165,'Database Mitra'!$B$2:$B800,0))</f>
        <v>Nasrullah</v>
      </c>
      <c r="F165" s="64" t="s">
        <v>90</v>
      </c>
      <c r="G165" s="5" t="str">
        <f t="array" ref="G165">INDEX('Database Mitra'!$G$2:$G800,MATCH(A165,'Database Mitra'!$B$2:$B800,0))</f>
        <v>6102011011970003</v>
      </c>
      <c r="H165" s="64" t="s">
        <v>108</v>
      </c>
      <c r="I165" s="65" t="s">
        <v>109</v>
      </c>
      <c r="J165" s="10" t="str">
        <f t="array" ref="J165">INDEX(Honor!$H$2:$H800,MATCH($I165,Honor!$A$2:$A800,0))</f>
        <v>Dokumen</v>
      </c>
      <c r="K165" s="66">
        <f t="array" ref="K165">INDEX(Honor!$I$2:$I800,MATCH($I165,Honor!$A$2:$A800,0))</f>
        <v>12000</v>
      </c>
      <c r="L165" s="64">
        <v>13</v>
      </c>
      <c r="M165" s="10">
        <f t="shared" si="0"/>
        <v>156000</v>
      </c>
      <c r="O165" s="67">
        <f t="array" ref="O165">INDEX(Honor!$L$2:$L800,MATCH($I165,Honor!$A$2:$A800,0))</f>
        <v>45366</v>
      </c>
      <c r="P165" s="10">
        <f t="shared" si="1"/>
        <v>2024</v>
      </c>
      <c r="Q165" s="10">
        <f t="shared" si="2"/>
        <v>3</v>
      </c>
      <c r="R165" s="10" t="str">
        <f t="array" ref="R165">INDEX(Honor!$Q$2:$Q800,MATCH($I165,Honor!$A$2:$A800,0))</f>
        <v>SURVEI-PETUGAS ENTRI</v>
      </c>
      <c r="S165" s="10" t="str">
        <f t="shared" si="3"/>
        <v>610422020006-2024-3</v>
      </c>
      <c r="T165" s="10" t="str">
        <f t="shared" si="4"/>
        <v>610422020006-2024-3-SURVEI-PETUGAS ENTRI</v>
      </c>
      <c r="U165" s="64">
        <v>1</v>
      </c>
      <c r="V165" s="10" t="e">
        <f t="array" aca="1" ref="V165" ca="1">INDEX(Honor!$O$2:$O800,MATCH($I165,Honor!$A$2:$A800,0))</f>
        <v>#NAME?</v>
      </c>
      <c r="W165" s="68">
        <v>45326</v>
      </c>
      <c r="X165" s="7" t="str">
        <f t="array" ref="X165">INDEX('Input Kegiatan'!$B$2:$B800,MATCH(B165,'Input Kegiatan'!$A$2:$A800,0))</f>
        <v>Survei Ekonomi Rumah Tangga Triwulanan (SERUTI24) Triwulan I Kegiatan Pengolahan</v>
      </c>
      <c r="Y165" s="7" t="s">
        <v>4572</v>
      </c>
      <c r="Z165" s="7" t="s">
        <v>4874</v>
      </c>
      <c r="AA165" s="68">
        <f t="shared" si="5"/>
        <v>45351</v>
      </c>
      <c r="AB165" s="68">
        <f t="shared" si="6"/>
        <v>45352</v>
      </c>
      <c r="AC165" s="68">
        <f t="shared" si="7"/>
        <v>45382</v>
      </c>
      <c r="AD165" s="68">
        <f t="shared" si="8"/>
        <v>45381</v>
      </c>
      <c r="AE165" s="68">
        <f t="shared" si="9"/>
        <v>45382</v>
      </c>
    </row>
    <row r="166" spans="1:31" ht="12.5">
      <c r="A166" s="125">
        <v>610423110150</v>
      </c>
      <c r="B166" s="64" t="s">
        <v>107</v>
      </c>
      <c r="D166" s="10">
        <f t="array" aca="1" ref="D166" ca="1">INDEX('Mitra per Bulan'!$M$2:$M800,MATCH(S166,'Mitra per Bulan'!$B$2:$B800,0))</f>
        <v>1</v>
      </c>
      <c r="E166" s="10" t="str">
        <f t="array" ref="E166">INDEX('Database Mitra'!$A$2:$A800,MATCH(A166,'Database Mitra'!$B$2:$B800,0))</f>
        <v>Risa Yolani</v>
      </c>
      <c r="F166" s="64" t="s">
        <v>90</v>
      </c>
      <c r="G166" s="5" t="str">
        <f t="array" ref="G166">INDEX('Database Mitra'!$G$2:$G800,MATCH(A166,'Database Mitra'!$B$2:$B800,0))</f>
        <v>6102015802940002</v>
      </c>
      <c r="H166" s="64" t="s">
        <v>108</v>
      </c>
      <c r="I166" s="65" t="s">
        <v>109</v>
      </c>
      <c r="J166" s="10" t="str">
        <f t="array" ref="J166">INDEX(Honor!$H$2:$H800,MATCH($I166,Honor!$A$2:$A800,0))</f>
        <v>Dokumen</v>
      </c>
      <c r="K166" s="66">
        <f t="array" ref="K166">INDEX(Honor!$I$2:$I800,MATCH($I166,Honor!$A$2:$A800,0))</f>
        <v>12000</v>
      </c>
      <c r="L166" s="64">
        <v>12</v>
      </c>
      <c r="M166" s="10">
        <f t="shared" si="0"/>
        <v>144000</v>
      </c>
      <c r="O166" s="67">
        <f t="array" ref="O166">INDEX(Honor!$L$2:$L800,MATCH($I166,Honor!$A$2:$A800,0))</f>
        <v>45366</v>
      </c>
      <c r="P166" s="10">
        <f t="shared" si="1"/>
        <v>2024</v>
      </c>
      <c r="Q166" s="10">
        <f t="shared" si="2"/>
        <v>3</v>
      </c>
      <c r="R166" s="10" t="str">
        <f t="array" ref="R166">INDEX(Honor!$Q$2:$Q800,MATCH($I166,Honor!$A$2:$A800,0))</f>
        <v>SURVEI-PETUGAS ENTRI</v>
      </c>
      <c r="S166" s="10" t="str">
        <f t="shared" si="3"/>
        <v>610423110150-2024-3</v>
      </c>
      <c r="T166" s="10" t="str">
        <f t="shared" si="4"/>
        <v>610423110150-2024-3-SURVEI-PETUGAS ENTRI</v>
      </c>
      <c r="U166" s="64">
        <v>1</v>
      </c>
      <c r="V166" s="10" t="e">
        <f t="array" aca="1" ref="V166" ca="1">INDEX(Honor!$O$2:$O800,MATCH($I166,Honor!$A$2:$A800,0))</f>
        <v>#NAME?</v>
      </c>
      <c r="W166" s="68">
        <v>45326</v>
      </c>
      <c r="X166" s="7" t="str">
        <f t="array" ref="X166">INDEX('Input Kegiatan'!$B$2:$B800,MATCH(B166,'Input Kegiatan'!$A$2:$A800,0))</f>
        <v>Survei Ekonomi Rumah Tangga Triwulanan (SERUTI24) Triwulan I Kegiatan Pengolahan</v>
      </c>
      <c r="Y166" s="7" t="s">
        <v>4572</v>
      </c>
      <c r="Z166" s="7" t="s">
        <v>4619</v>
      </c>
      <c r="AA166" s="68">
        <f t="shared" si="5"/>
        <v>45351</v>
      </c>
      <c r="AB166" s="68">
        <f t="shared" si="6"/>
        <v>45352</v>
      </c>
      <c r="AC166" s="68">
        <f t="shared" si="7"/>
        <v>45382</v>
      </c>
      <c r="AD166" s="68">
        <f t="shared" si="8"/>
        <v>45381</v>
      </c>
      <c r="AE166" s="68">
        <f t="shared" si="9"/>
        <v>45382</v>
      </c>
    </row>
    <row r="167" spans="1:31" ht="12.5">
      <c r="A167" s="125">
        <v>610423110129</v>
      </c>
      <c r="B167" s="64" t="s">
        <v>107</v>
      </c>
      <c r="D167" s="10">
        <f t="array" aca="1" ref="D167" ca="1">INDEX('Mitra per Bulan'!$M$2:$M800,MATCH(S167,'Mitra per Bulan'!$B$2:$B800,0))</f>
        <v>1</v>
      </c>
      <c r="E167" s="10" t="str">
        <f t="array" ref="E167">INDEX('Database Mitra'!$A$2:$A800,MATCH(A167,'Database Mitra'!$B$2:$B800,0))</f>
        <v>Athalia Meifira</v>
      </c>
      <c r="F167" s="64" t="s">
        <v>90</v>
      </c>
      <c r="G167" s="5" t="str">
        <f t="array" ref="G167">INDEX('Database Mitra'!$G$2:$G800,MATCH(A167,'Database Mitra'!$B$2:$B800,0))</f>
        <v>6102015905000001</v>
      </c>
      <c r="H167" s="64" t="s">
        <v>108</v>
      </c>
      <c r="I167" s="65" t="s">
        <v>109</v>
      </c>
      <c r="J167" s="10" t="str">
        <f t="array" ref="J167">INDEX(Honor!$H$2:$H800,MATCH($I167,Honor!$A$2:$A800,0))</f>
        <v>Dokumen</v>
      </c>
      <c r="K167" s="66">
        <f t="array" ref="K167">INDEX(Honor!$I$2:$I800,MATCH($I167,Honor!$A$2:$A800,0))</f>
        <v>12000</v>
      </c>
      <c r="L167" s="64">
        <v>12</v>
      </c>
      <c r="M167" s="10">
        <f t="shared" si="0"/>
        <v>144000</v>
      </c>
      <c r="O167" s="67">
        <f t="array" ref="O167">INDEX(Honor!$L$2:$L800,MATCH($I167,Honor!$A$2:$A800,0))</f>
        <v>45366</v>
      </c>
      <c r="P167" s="10">
        <f t="shared" si="1"/>
        <v>2024</v>
      </c>
      <c r="Q167" s="10">
        <f t="shared" si="2"/>
        <v>3</v>
      </c>
      <c r="R167" s="10" t="str">
        <f t="array" ref="R167">INDEX(Honor!$Q$2:$Q800,MATCH($I167,Honor!$A$2:$A800,0))</f>
        <v>SURVEI-PETUGAS ENTRI</v>
      </c>
      <c r="S167" s="10" t="str">
        <f t="shared" si="3"/>
        <v>610423110129-2024-3</v>
      </c>
      <c r="T167" s="10" t="str">
        <f t="shared" si="4"/>
        <v>610423110129-2024-3-SURVEI-PETUGAS ENTRI</v>
      </c>
      <c r="U167" s="64">
        <v>1</v>
      </c>
      <c r="V167" s="10" t="e">
        <f t="array" aca="1" ref="V167" ca="1">INDEX(Honor!$O$2:$O800,MATCH($I167,Honor!$A$2:$A800,0))</f>
        <v>#NAME?</v>
      </c>
      <c r="W167" s="68">
        <v>45326</v>
      </c>
      <c r="X167" s="7" t="str">
        <f t="array" ref="X167">INDEX('Input Kegiatan'!$B$2:$B800,MATCH(B167,'Input Kegiatan'!$A$2:$A800,0))</f>
        <v>Survei Ekonomi Rumah Tangga Triwulanan (SERUTI24) Triwulan I Kegiatan Pengolahan</v>
      </c>
      <c r="Y167" s="7" t="s">
        <v>4572</v>
      </c>
      <c r="Z167" s="7" t="s">
        <v>4656</v>
      </c>
      <c r="AA167" s="68">
        <f t="shared" si="5"/>
        <v>45351</v>
      </c>
      <c r="AB167" s="68">
        <f t="shared" si="6"/>
        <v>45352</v>
      </c>
      <c r="AC167" s="68">
        <f t="shared" si="7"/>
        <v>45382</v>
      </c>
      <c r="AD167" s="68">
        <f t="shared" si="8"/>
        <v>45381</v>
      </c>
      <c r="AE167" s="68">
        <f t="shared" si="9"/>
        <v>45382</v>
      </c>
    </row>
    <row r="168" spans="1:31" ht="12.5">
      <c r="A168" s="125">
        <v>610422020029</v>
      </c>
      <c r="B168" s="64" t="s">
        <v>26</v>
      </c>
      <c r="D168" s="10">
        <f t="array" aca="1" ref="D168" ca="1">INDEX('Mitra per Bulan'!$M$2:$M800,MATCH(S168,'Mitra per Bulan'!$B$2:$B800,0))</f>
        <v>1</v>
      </c>
      <c r="E168" s="10" t="str">
        <f t="array" ref="E168">INDEX('Database Mitra'!$A$2:$A800,MATCH(A168,'Database Mitra'!$B$2:$B800,0))</f>
        <v>Kurniadi</v>
      </c>
      <c r="F168" s="65" t="s">
        <v>24</v>
      </c>
      <c r="G168" s="5" t="str">
        <f t="array" ref="G168">INDEX('Database Mitra'!$G$2:$G800,MATCH(A168,'Database Mitra'!$B$2:$B800,0))</f>
        <v>6102011110970002</v>
      </c>
      <c r="H168" s="64" t="s">
        <v>67</v>
      </c>
      <c r="I168" s="65" t="str">
        <f t="shared" ref="I168:I217" si="13">CONCATENATE(B168,"-",F168,"-",H168)</f>
        <v>SUSENAS24-LAPANGAN-SEMESTER1-PML-PENDATAAN</v>
      </c>
      <c r="J168" s="10" t="str">
        <f t="array" ref="J168">INDEX(Honor!$H$2:$H800,MATCH($I168,Honor!$A$2:$A800,0))</f>
        <v>Rumah Tangga</v>
      </c>
      <c r="K168" s="66">
        <f t="array" ref="K168">INDEX(Honor!$I$2:$I800,MATCH($I168,Honor!$A$2:$A800,0))</f>
        <v>62000</v>
      </c>
      <c r="L168" s="65">
        <v>40</v>
      </c>
      <c r="M168" s="10">
        <f t="shared" si="0"/>
        <v>2480000</v>
      </c>
      <c r="N168" s="70"/>
      <c r="O168" s="67">
        <f t="array" ref="O168">INDEX(Honor!$L$2:$L800,MATCH($I168,Honor!$A$2:$A800,0))</f>
        <v>45367</v>
      </c>
      <c r="P168" s="10">
        <f t="shared" si="1"/>
        <v>2024</v>
      </c>
      <c r="Q168" s="10">
        <f t="shared" si="2"/>
        <v>3</v>
      </c>
      <c r="R168" s="10" t="str">
        <f t="array" ref="R168">INDEX(Honor!$Q$2:$Q800,MATCH($I168,Honor!$A$2:$A800,0))</f>
        <v>SURVEI-PML</v>
      </c>
      <c r="S168" s="10" t="str">
        <f t="shared" si="3"/>
        <v>610422020029-2024-3</v>
      </c>
      <c r="T168" s="10" t="str">
        <f t="shared" si="4"/>
        <v>610422020029-2024-3-SURVEI-PML</v>
      </c>
      <c r="U168" s="64">
        <v>1</v>
      </c>
      <c r="V168" s="10" t="e">
        <f t="array" aca="1" ref="V168" ca="1">INDEX(Honor!$O$2:$O800,MATCH($I168,Honor!$A$2:$A800,0))</f>
        <v>#NAME?</v>
      </c>
      <c r="W168" s="68">
        <v>45376</v>
      </c>
      <c r="X168" s="7" t="str">
        <f t="array" ref="X168">INDEX('Input Kegiatan'!$B$2:$B800,MATCH(B168,'Input Kegiatan'!$A$2:$A800,0))</f>
        <v>Susenas Maret 2024</v>
      </c>
      <c r="Y168" s="7" t="s">
        <v>4572</v>
      </c>
      <c r="Z168" s="7" t="s">
        <v>4656</v>
      </c>
      <c r="AA168" s="68">
        <f t="shared" si="5"/>
        <v>45351</v>
      </c>
      <c r="AB168" s="68">
        <f t="shared" si="6"/>
        <v>45352</v>
      </c>
      <c r="AC168" s="68">
        <f t="shared" si="7"/>
        <v>45382</v>
      </c>
      <c r="AD168" s="68">
        <f t="shared" si="8"/>
        <v>45381</v>
      </c>
      <c r="AE168" s="68">
        <f t="shared" si="9"/>
        <v>45382</v>
      </c>
    </row>
    <row r="169" spans="1:31" ht="12.5">
      <c r="A169" s="125">
        <v>610422020016</v>
      </c>
      <c r="B169" s="64" t="s">
        <v>26</v>
      </c>
      <c r="D169" s="10">
        <f t="array" aca="1" ref="D169" ca="1">INDEX('Mitra per Bulan'!$M$2:$M800,MATCH(S169,'Mitra per Bulan'!$B$2:$B800,0))</f>
        <v>1</v>
      </c>
      <c r="E169" s="10" t="str">
        <f t="array" ref="E169">INDEX('Database Mitra'!$A$2:$A800,MATCH(A169,'Database Mitra'!$B$2:$B800,0))</f>
        <v>Abdul Aziz</v>
      </c>
      <c r="F169" s="65" t="s">
        <v>24</v>
      </c>
      <c r="G169" s="5" t="str">
        <f t="array" ref="G169">INDEX('Database Mitra'!$G$2:$G800,MATCH(A169,'Database Mitra'!$B$2:$B800,0))</f>
        <v>6102061507950006</v>
      </c>
      <c r="H169" s="64" t="s">
        <v>67</v>
      </c>
      <c r="I169" s="65" t="str">
        <f t="shared" si="13"/>
        <v>SUSENAS24-LAPANGAN-SEMESTER1-PML-PENDATAAN</v>
      </c>
      <c r="J169" s="10" t="str">
        <f t="array" ref="J169">INDEX(Honor!$H$2:$H800,MATCH($I169,Honor!$A$2:$A800,0))</f>
        <v>Rumah Tangga</v>
      </c>
      <c r="K169" s="66">
        <f t="array" ref="K169">INDEX(Honor!$I$2:$I800,MATCH($I169,Honor!$A$2:$A800,0))</f>
        <v>62000</v>
      </c>
      <c r="L169" s="65">
        <v>40</v>
      </c>
      <c r="M169" s="10">
        <f t="shared" si="0"/>
        <v>2480000</v>
      </c>
      <c r="N169" s="70"/>
      <c r="O169" s="67">
        <f t="array" ref="O169">INDEX(Honor!$L$2:$L800,MATCH($I169,Honor!$A$2:$A800,0))</f>
        <v>45367</v>
      </c>
      <c r="P169" s="10">
        <f t="shared" si="1"/>
        <v>2024</v>
      </c>
      <c r="Q169" s="10">
        <f t="shared" si="2"/>
        <v>3</v>
      </c>
      <c r="R169" s="10" t="str">
        <f t="array" ref="R169">INDEX(Honor!$Q$2:$Q800,MATCH($I169,Honor!$A$2:$A800,0))</f>
        <v>SURVEI-PML</v>
      </c>
      <c r="S169" s="10" t="str">
        <f t="shared" si="3"/>
        <v>610422020016-2024-3</v>
      </c>
      <c r="T169" s="10" t="str">
        <f t="shared" si="4"/>
        <v>610422020016-2024-3-SURVEI-PML</v>
      </c>
      <c r="U169" s="64">
        <v>1</v>
      </c>
      <c r="V169" s="10" t="e">
        <f t="array" aca="1" ref="V169" ca="1">INDEX(Honor!$O$2:$O800,MATCH($I169,Honor!$A$2:$A800,0))</f>
        <v>#NAME?</v>
      </c>
      <c r="W169" s="68">
        <v>45376</v>
      </c>
      <c r="X169" s="7" t="str">
        <f t="array" ref="X169">INDEX('Input Kegiatan'!$B$2:$B800,MATCH(B169,'Input Kegiatan'!$A$2:$A800,0))</f>
        <v>Susenas Maret 2024</v>
      </c>
      <c r="Y169" s="7" t="s">
        <v>5534</v>
      </c>
      <c r="Z169" s="7" t="s">
        <v>5535</v>
      </c>
      <c r="AA169" s="68">
        <f t="shared" si="5"/>
        <v>45351</v>
      </c>
      <c r="AB169" s="68">
        <f t="shared" si="6"/>
        <v>45352</v>
      </c>
      <c r="AC169" s="68">
        <f t="shared" si="7"/>
        <v>45382</v>
      </c>
      <c r="AD169" s="68">
        <f t="shared" si="8"/>
        <v>45381</v>
      </c>
      <c r="AE169" s="68">
        <f t="shared" si="9"/>
        <v>45382</v>
      </c>
    </row>
    <row r="170" spans="1:31" ht="12.5">
      <c r="A170" s="125">
        <v>610422040031</v>
      </c>
      <c r="B170" s="64" t="s">
        <v>26</v>
      </c>
      <c r="D170" s="10">
        <f t="array" aca="1" ref="D170" ca="1">INDEX('Mitra per Bulan'!$M$2:$M800,MATCH(S170,'Mitra per Bulan'!$B$2:$B800,0))</f>
        <v>1</v>
      </c>
      <c r="E170" s="10" t="str">
        <f t="array" ref="E170">INDEX('Database Mitra'!$A$2:$A800,MATCH(A170,'Database Mitra'!$B$2:$B800,0))</f>
        <v>Imam Fajri Muslim</v>
      </c>
      <c r="F170" s="65" t="s">
        <v>24</v>
      </c>
      <c r="G170" s="5" t="str">
        <f t="array" ref="G170">INDEX('Database Mitra'!$G$2:$G800,MATCH(A170,'Database Mitra'!$B$2:$B800,0))</f>
        <v>6102161208010001</v>
      </c>
      <c r="H170" s="64" t="s">
        <v>67</v>
      </c>
      <c r="I170" s="65" t="str">
        <f t="shared" si="13"/>
        <v>SUSENAS24-LAPANGAN-SEMESTER1-PML-PENDATAAN</v>
      </c>
      <c r="J170" s="10" t="str">
        <f t="array" ref="J170">INDEX(Honor!$H$2:$H800,MATCH($I170,Honor!$A$2:$A800,0))</f>
        <v>Rumah Tangga</v>
      </c>
      <c r="K170" s="66">
        <f t="array" ref="K170">INDEX(Honor!$I$2:$I800,MATCH($I170,Honor!$A$2:$A800,0))</f>
        <v>62000</v>
      </c>
      <c r="L170" s="65">
        <v>40</v>
      </c>
      <c r="M170" s="10">
        <f t="shared" si="0"/>
        <v>2480000</v>
      </c>
      <c r="N170" s="70"/>
      <c r="O170" s="67">
        <f t="array" ref="O170">INDEX(Honor!$L$2:$L800,MATCH($I170,Honor!$A$2:$A800,0))</f>
        <v>45367</v>
      </c>
      <c r="P170" s="10">
        <f t="shared" si="1"/>
        <v>2024</v>
      </c>
      <c r="Q170" s="10">
        <f t="shared" si="2"/>
        <v>3</v>
      </c>
      <c r="R170" s="10" t="str">
        <f t="array" ref="R170">INDEX(Honor!$Q$2:$Q800,MATCH($I170,Honor!$A$2:$A800,0))</f>
        <v>SURVEI-PML</v>
      </c>
      <c r="S170" s="10" t="str">
        <f t="shared" si="3"/>
        <v>610422040031-2024-3</v>
      </c>
      <c r="T170" s="10" t="str">
        <f t="shared" si="4"/>
        <v>610422040031-2024-3-SURVEI-PML</v>
      </c>
      <c r="U170" s="64">
        <v>1</v>
      </c>
      <c r="V170" s="10" t="e">
        <f t="array" aca="1" ref="V170" ca="1">INDEX(Honor!$O$2:$O800,MATCH($I170,Honor!$A$2:$A800,0))</f>
        <v>#NAME?</v>
      </c>
      <c r="W170" s="68">
        <v>45376</v>
      </c>
      <c r="X170" s="7" t="str">
        <f t="array" ref="X170">INDEX('Input Kegiatan'!$B$2:$B800,MATCH(B170,'Input Kegiatan'!$A$2:$A800,0))</f>
        <v>Susenas Maret 2024</v>
      </c>
      <c r="Y170" s="7" t="s">
        <v>4572</v>
      </c>
      <c r="Z170" s="7" t="s">
        <v>4656</v>
      </c>
      <c r="AA170" s="68">
        <f t="shared" si="5"/>
        <v>45351</v>
      </c>
      <c r="AB170" s="68">
        <f t="shared" si="6"/>
        <v>45352</v>
      </c>
      <c r="AC170" s="68">
        <f t="shared" si="7"/>
        <v>45382</v>
      </c>
      <c r="AD170" s="68">
        <f t="shared" si="8"/>
        <v>45381</v>
      </c>
      <c r="AE170" s="68">
        <f t="shared" si="9"/>
        <v>45382</v>
      </c>
    </row>
    <row r="171" spans="1:31" ht="12.5">
      <c r="A171" s="125">
        <v>610422040005</v>
      </c>
      <c r="B171" s="64" t="s">
        <v>26</v>
      </c>
      <c r="D171" s="10">
        <f t="array" aca="1" ref="D171" ca="1">INDEX('Mitra per Bulan'!$M$2:$M800,MATCH(S171,'Mitra per Bulan'!$B$2:$B800,0))</f>
        <v>1</v>
      </c>
      <c r="E171" s="10" t="str">
        <f t="array" ref="E171">INDEX('Database Mitra'!$A$2:$A800,MATCH(A171,'Database Mitra'!$B$2:$B800,0))</f>
        <v>Nanda Ariska</v>
      </c>
      <c r="F171" s="65" t="s">
        <v>24</v>
      </c>
      <c r="G171" s="5" t="str">
        <f t="array" ref="G171">INDEX('Database Mitra'!$G$2:$G800,MATCH(A171,'Database Mitra'!$B$2:$B800,0))</f>
        <v>6102186812000004</v>
      </c>
      <c r="H171" s="64" t="s">
        <v>67</v>
      </c>
      <c r="I171" s="65" t="str">
        <f t="shared" si="13"/>
        <v>SUSENAS24-LAPANGAN-SEMESTER1-PML-PENDATAAN</v>
      </c>
      <c r="J171" s="10" t="str">
        <f t="array" ref="J171">INDEX(Honor!$H$2:$H800,MATCH($I171,Honor!$A$2:$A800,0))</f>
        <v>Rumah Tangga</v>
      </c>
      <c r="K171" s="66">
        <f t="array" ref="K171">INDEX(Honor!$I$2:$I800,MATCH($I171,Honor!$A$2:$A800,0))</f>
        <v>62000</v>
      </c>
      <c r="L171" s="65">
        <v>40</v>
      </c>
      <c r="M171" s="10">
        <f t="shared" si="0"/>
        <v>2480000</v>
      </c>
      <c r="N171" s="70"/>
      <c r="O171" s="67">
        <f t="array" ref="O171">INDEX(Honor!$L$2:$L800,MATCH($I171,Honor!$A$2:$A800,0))</f>
        <v>45367</v>
      </c>
      <c r="P171" s="10">
        <f t="shared" si="1"/>
        <v>2024</v>
      </c>
      <c r="Q171" s="10">
        <f t="shared" si="2"/>
        <v>3</v>
      </c>
      <c r="R171" s="10" t="str">
        <f t="array" ref="R171">INDEX(Honor!$Q$2:$Q800,MATCH($I171,Honor!$A$2:$A800,0))</f>
        <v>SURVEI-PML</v>
      </c>
      <c r="S171" s="10" t="str">
        <f t="shared" si="3"/>
        <v>610422040005-2024-3</v>
      </c>
      <c r="T171" s="10" t="str">
        <f t="shared" si="4"/>
        <v>610422040005-2024-3-SURVEI-PML</v>
      </c>
      <c r="U171" s="64">
        <v>1</v>
      </c>
      <c r="V171" s="10" t="e">
        <f t="array" aca="1" ref="V171" ca="1">INDEX(Honor!$O$2:$O800,MATCH($I171,Honor!$A$2:$A800,0))</f>
        <v>#NAME?</v>
      </c>
      <c r="W171" s="68">
        <v>45376</v>
      </c>
      <c r="X171" s="7" t="str">
        <f t="array" ref="X171">INDEX('Input Kegiatan'!$B$2:$B800,MATCH(B171,'Input Kegiatan'!$A$2:$A800,0))</f>
        <v>Susenas Maret 2024</v>
      </c>
      <c r="Y171" s="7" t="s">
        <v>4931</v>
      </c>
      <c r="Z171" s="7" t="s">
        <v>5171</v>
      </c>
      <c r="AA171" s="68">
        <f t="shared" si="5"/>
        <v>45351</v>
      </c>
      <c r="AB171" s="68">
        <f t="shared" si="6"/>
        <v>45352</v>
      </c>
      <c r="AC171" s="68">
        <f t="shared" si="7"/>
        <v>45382</v>
      </c>
      <c r="AD171" s="68">
        <f t="shared" si="8"/>
        <v>45381</v>
      </c>
      <c r="AE171" s="68">
        <f t="shared" si="9"/>
        <v>45382</v>
      </c>
    </row>
    <row r="172" spans="1:31" ht="12.5">
      <c r="A172" s="125">
        <v>610422040038</v>
      </c>
      <c r="B172" s="64" t="s">
        <v>26</v>
      </c>
      <c r="D172" s="10">
        <f t="array" aca="1" ref="D172" ca="1">INDEX('Mitra per Bulan'!$M$2:$M800,MATCH(S172,'Mitra per Bulan'!$B$2:$B800,0))</f>
        <v>1</v>
      </c>
      <c r="E172" s="10" t="str">
        <f t="array" ref="E172">INDEX('Database Mitra'!$A$2:$A800,MATCH(A172,'Database Mitra'!$B$2:$B800,0))</f>
        <v>Yuyun Antoni, S.E.</v>
      </c>
      <c r="F172" s="65" t="s">
        <v>24</v>
      </c>
      <c r="G172" s="5" t="str">
        <f t="array" ref="G172">INDEX('Database Mitra'!$G$2:$G800,MATCH(A172,'Database Mitra'!$B$2:$B800,0))</f>
        <v>6102122106750003</v>
      </c>
      <c r="H172" s="64" t="s">
        <v>67</v>
      </c>
      <c r="I172" s="65" t="str">
        <f t="shared" si="13"/>
        <v>SUSENAS24-LAPANGAN-SEMESTER1-PML-PENDATAAN</v>
      </c>
      <c r="J172" s="10" t="str">
        <f t="array" ref="J172">INDEX(Honor!$H$2:$H800,MATCH($I172,Honor!$A$2:$A800,0))</f>
        <v>Rumah Tangga</v>
      </c>
      <c r="K172" s="66">
        <f t="array" ref="K172">INDEX(Honor!$I$2:$I800,MATCH($I172,Honor!$A$2:$A800,0))</f>
        <v>62000</v>
      </c>
      <c r="L172" s="64">
        <v>40</v>
      </c>
      <c r="M172" s="10">
        <f t="shared" si="0"/>
        <v>2480000</v>
      </c>
      <c r="N172" s="70"/>
      <c r="O172" s="67">
        <f t="array" ref="O172">INDEX(Honor!$L$2:$L800,MATCH($I172,Honor!$A$2:$A800,0))</f>
        <v>45367</v>
      </c>
      <c r="P172" s="10">
        <f t="shared" si="1"/>
        <v>2024</v>
      </c>
      <c r="Q172" s="10">
        <f t="shared" si="2"/>
        <v>3</v>
      </c>
      <c r="R172" s="10" t="str">
        <f t="array" ref="R172">INDEX(Honor!$Q$2:$Q800,MATCH($I172,Honor!$A$2:$A800,0))</f>
        <v>SURVEI-PML</v>
      </c>
      <c r="S172" s="10" t="str">
        <f t="shared" si="3"/>
        <v>610422040038-2024-3</v>
      </c>
      <c r="T172" s="10" t="str">
        <f t="shared" si="4"/>
        <v>610422040038-2024-3-SURVEI-PML</v>
      </c>
      <c r="U172" s="64">
        <v>1</v>
      </c>
      <c r="V172" s="10" t="e">
        <f t="array" aca="1" ref="V172" ca="1">INDEX(Honor!$O$2:$O800,MATCH($I172,Honor!$A$2:$A800,0))</f>
        <v>#NAME?</v>
      </c>
      <c r="W172" s="68">
        <v>45376</v>
      </c>
      <c r="X172" s="7" t="str">
        <f t="array" ref="X172">INDEX('Input Kegiatan'!$B$2:$B800,MATCH(B172,'Input Kegiatan'!$A$2:$A800,0))</f>
        <v>Susenas Maret 2024</v>
      </c>
      <c r="Y172" s="7" t="s">
        <v>5250</v>
      </c>
      <c r="Z172" s="7" t="s">
        <v>5346</v>
      </c>
      <c r="AA172" s="68">
        <f t="shared" si="5"/>
        <v>45351</v>
      </c>
      <c r="AB172" s="68">
        <f t="shared" si="6"/>
        <v>45352</v>
      </c>
      <c r="AC172" s="68">
        <f t="shared" si="7"/>
        <v>45382</v>
      </c>
      <c r="AD172" s="68">
        <f t="shared" si="8"/>
        <v>45381</v>
      </c>
      <c r="AE172" s="68">
        <f t="shared" si="9"/>
        <v>45382</v>
      </c>
    </row>
    <row r="173" spans="1:31" ht="12.5">
      <c r="A173" s="125">
        <v>610422040030</v>
      </c>
      <c r="B173" s="64" t="s">
        <v>26</v>
      </c>
      <c r="D173" s="10">
        <f t="array" aca="1" ref="D173" ca="1">INDEX('Mitra per Bulan'!$M$2:$M800,MATCH(S173,'Mitra per Bulan'!$B$2:$B800,0))</f>
        <v>1</v>
      </c>
      <c r="E173" s="10" t="str">
        <f t="array" ref="E173">INDEX('Database Mitra'!$A$2:$A800,MATCH(A173,'Database Mitra'!$B$2:$B800,0))</f>
        <v>Syarifah Desti Pratiwi</v>
      </c>
      <c r="F173" s="65" t="s">
        <v>24</v>
      </c>
      <c r="G173" s="5" t="str">
        <f t="array" ref="G173">INDEX('Database Mitra'!$G$2:$G800,MATCH(A173,'Database Mitra'!$B$2:$B800,0))</f>
        <v>6102084512950002</v>
      </c>
      <c r="H173" s="64" t="s">
        <v>67</v>
      </c>
      <c r="I173" s="65" t="str">
        <f t="shared" si="13"/>
        <v>SUSENAS24-LAPANGAN-SEMESTER1-PML-PENDATAAN</v>
      </c>
      <c r="J173" s="10" t="str">
        <f t="array" ref="J173">INDEX(Honor!$H$2:$H800,MATCH($I173,Honor!$A$2:$A800,0))</f>
        <v>Rumah Tangga</v>
      </c>
      <c r="K173" s="66">
        <f t="array" ref="K173">INDEX(Honor!$I$2:$I800,MATCH($I173,Honor!$A$2:$A800,0))</f>
        <v>62000</v>
      </c>
      <c r="L173" s="65">
        <v>40</v>
      </c>
      <c r="M173" s="10">
        <f t="shared" si="0"/>
        <v>2480000</v>
      </c>
      <c r="N173" s="70"/>
      <c r="O173" s="67">
        <f t="array" ref="O173">INDEX(Honor!$L$2:$L800,MATCH($I173,Honor!$A$2:$A800,0))</f>
        <v>45367</v>
      </c>
      <c r="P173" s="10">
        <f t="shared" si="1"/>
        <v>2024</v>
      </c>
      <c r="Q173" s="10">
        <f t="shared" si="2"/>
        <v>3</v>
      </c>
      <c r="R173" s="10" t="str">
        <f t="array" ref="R173">INDEX(Honor!$Q$2:$Q800,MATCH($I173,Honor!$A$2:$A800,0))</f>
        <v>SURVEI-PML</v>
      </c>
      <c r="S173" s="10" t="str">
        <f t="shared" si="3"/>
        <v>610422040030-2024-3</v>
      </c>
      <c r="T173" s="10" t="str">
        <f t="shared" si="4"/>
        <v>610422040030-2024-3-SURVEI-PML</v>
      </c>
      <c r="U173" s="64">
        <v>1</v>
      </c>
      <c r="V173" s="10" t="e">
        <f t="array" aca="1" ref="V173" ca="1">INDEX(Honor!$O$2:$O800,MATCH($I173,Honor!$A$2:$A800,0))</f>
        <v>#NAME?</v>
      </c>
      <c r="W173" s="68">
        <v>45376</v>
      </c>
      <c r="X173" s="7" t="str">
        <f t="array" ref="X173">INDEX('Input Kegiatan'!$B$2:$B800,MATCH(B173,'Input Kegiatan'!$A$2:$A800,0))</f>
        <v>Susenas Maret 2024</v>
      </c>
      <c r="Y173" s="7" t="s">
        <v>3241</v>
      </c>
      <c r="Z173" s="7" t="s">
        <v>3289</v>
      </c>
      <c r="AA173" s="68">
        <f t="shared" si="5"/>
        <v>45351</v>
      </c>
      <c r="AB173" s="68">
        <f t="shared" si="6"/>
        <v>45352</v>
      </c>
      <c r="AC173" s="68">
        <f t="shared" si="7"/>
        <v>45382</v>
      </c>
      <c r="AD173" s="68">
        <f t="shared" si="8"/>
        <v>45381</v>
      </c>
      <c r="AE173" s="68">
        <f t="shared" si="9"/>
        <v>45382</v>
      </c>
    </row>
    <row r="174" spans="1:31" ht="12.5">
      <c r="A174" s="125">
        <v>610422040062</v>
      </c>
      <c r="B174" s="64" t="s">
        <v>26</v>
      </c>
      <c r="D174" s="10">
        <f t="array" aca="1" ref="D174" ca="1">INDEX('Mitra per Bulan'!$M$2:$M800,MATCH(S174,'Mitra per Bulan'!$B$2:$B800,0))</f>
        <v>1</v>
      </c>
      <c r="E174" s="10" t="str">
        <f t="array" ref="E174">INDEX('Database Mitra'!$A$2:$A800,MATCH(A174,'Database Mitra'!$B$2:$B800,0))</f>
        <v>Yudi Wahyudi</v>
      </c>
      <c r="F174" s="65" t="s">
        <v>24</v>
      </c>
      <c r="G174" s="5" t="str">
        <f t="array" ref="G174">INDEX('Database Mitra'!$G$2:$G800,MATCH(A174,'Database Mitra'!$B$2:$B800,0))</f>
        <v>6108011805800004</v>
      </c>
      <c r="H174" s="64" t="s">
        <v>67</v>
      </c>
      <c r="I174" s="65" t="str">
        <f t="shared" si="13"/>
        <v>SUSENAS24-LAPANGAN-SEMESTER1-PML-PENDATAAN</v>
      </c>
      <c r="J174" s="10" t="str">
        <f t="array" ref="J174">INDEX(Honor!$H$2:$H800,MATCH($I174,Honor!$A$2:$A800,0))</f>
        <v>Rumah Tangga</v>
      </c>
      <c r="K174" s="66">
        <f t="array" ref="K174">INDEX(Honor!$I$2:$I800,MATCH($I174,Honor!$A$2:$A800,0))</f>
        <v>62000</v>
      </c>
      <c r="L174" s="65">
        <v>40</v>
      </c>
      <c r="M174" s="10">
        <f t="shared" si="0"/>
        <v>2480000</v>
      </c>
      <c r="N174" s="70"/>
      <c r="O174" s="67">
        <f t="array" ref="O174">INDEX(Honor!$L$2:$L800,MATCH($I174,Honor!$A$2:$A800,0))</f>
        <v>45367</v>
      </c>
      <c r="P174" s="10">
        <f t="shared" si="1"/>
        <v>2024</v>
      </c>
      <c r="Q174" s="10">
        <f t="shared" si="2"/>
        <v>3</v>
      </c>
      <c r="R174" s="10" t="str">
        <f t="array" ref="R174">INDEX(Honor!$Q$2:$Q800,MATCH($I174,Honor!$A$2:$A800,0))</f>
        <v>SURVEI-PML</v>
      </c>
      <c r="S174" s="10" t="str">
        <f t="shared" si="3"/>
        <v>610422040062-2024-3</v>
      </c>
      <c r="T174" s="10" t="str">
        <f t="shared" si="4"/>
        <v>610422040062-2024-3-SURVEI-PML</v>
      </c>
      <c r="U174" s="64">
        <v>1</v>
      </c>
      <c r="V174" s="10" t="e">
        <f t="array" aca="1" ref="V174" ca="1">INDEX(Honor!$O$2:$O800,MATCH($I174,Honor!$A$2:$A800,0))</f>
        <v>#NAME?</v>
      </c>
      <c r="W174" s="68">
        <v>45376</v>
      </c>
      <c r="X174" s="7" t="str">
        <f t="array" ref="X174">INDEX('Input Kegiatan'!$B$2:$B800,MATCH(B174,'Input Kegiatan'!$A$2:$A800,0))</f>
        <v>Susenas Maret 2024</v>
      </c>
      <c r="Y174" s="7" t="s">
        <v>3990</v>
      </c>
      <c r="Z174" s="7" t="s">
        <v>4332</v>
      </c>
      <c r="AA174" s="68">
        <f t="shared" si="5"/>
        <v>45351</v>
      </c>
      <c r="AB174" s="68">
        <f t="shared" si="6"/>
        <v>45352</v>
      </c>
      <c r="AC174" s="68">
        <f t="shared" si="7"/>
        <v>45382</v>
      </c>
      <c r="AD174" s="68">
        <f t="shared" si="8"/>
        <v>45381</v>
      </c>
      <c r="AE174" s="68">
        <f t="shared" si="9"/>
        <v>45382</v>
      </c>
    </row>
    <row r="175" spans="1:31" ht="12.5">
      <c r="A175" s="125">
        <v>610422100274</v>
      </c>
      <c r="B175" s="64" t="s">
        <v>26</v>
      </c>
      <c r="D175" s="10">
        <f t="array" aca="1" ref="D175" ca="1">INDEX('Mitra per Bulan'!$M$2:$M800,MATCH(S175,'Mitra per Bulan'!$B$2:$B800,0))</f>
        <v>1</v>
      </c>
      <c r="E175" s="10" t="str">
        <f t="array" ref="E175">INDEX('Database Mitra'!$A$2:$A800,MATCH(A175,'Database Mitra'!$B$2:$B800,0))</f>
        <v>Anisatunnabilah</v>
      </c>
      <c r="F175" s="65" t="s">
        <v>24</v>
      </c>
      <c r="G175" s="5" t="str">
        <f t="array" ref="G175">INDEX('Database Mitra'!$G$2:$G800,MATCH(A175,'Database Mitra'!$B$2:$B800,0))</f>
        <v>6102184310990001</v>
      </c>
      <c r="H175" s="64" t="s">
        <v>67</v>
      </c>
      <c r="I175" s="65" t="str">
        <f t="shared" si="13"/>
        <v>SUSENAS24-LAPANGAN-SEMESTER1-PML-PENDATAAN</v>
      </c>
      <c r="J175" s="10" t="str">
        <f t="array" ref="J175">INDEX(Honor!$H$2:$H800,MATCH($I175,Honor!$A$2:$A800,0))</f>
        <v>Rumah Tangga</v>
      </c>
      <c r="K175" s="66">
        <f t="array" ref="K175">INDEX(Honor!$I$2:$I800,MATCH($I175,Honor!$A$2:$A800,0))</f>
        <v>62000</v>
      </c>
      <c r="L175" s="65">
        <v>40</v>
      </c>
      <c r="M175" s="10">
        <f t="shared" si="0"/>
        <v>2480000</v>
      </c>
      <c r="N175" s="70"/>
      <c r="O175" s="67">
        <f t="array" ref="O175">INDEX(Honor!$L$2:$L800,MATCH($I175,Honor!$A$2:$A800,0))</f>
        <v>45367</v>
      </c>
      <c r="P175" s="10">
        <f t="shared" si="1"/>
        <v>2024</v>
      </c>
      <c r="Q175" s="10">
        <f t="shared" si="2"/>
        <v>3</v>
      </c>
      <c r="R175" s="10" t="str">
        <f t="array" ref="R175">INDEX(Honor!$Q$2:$Q800,MATCH($I175,Honor!$A$2:$A800,0))</f>
        <v>SURVEI-PML</v>
      </c>
      <c r="S175" s="10" t="str">
        <f t="shared" si="3"/>
        <v>610422100274-2024-3</v>
      </c>
      <c r="T175" s="10" t="str">
        <f t="shared" si="4"/>
        <v>610422100274-2024-3-SURVEI-PML</v>
      </c>
      <c r="U175" s="64">
        <v>1</v>
      </c>
      <c r="V175" s="10" t="e">
        <f t="array" aca="1" ref="V175" ca="1">INDEX(Honor!$O$2:$O800,MATCH($I175,Honor!$A$2:$A800,0))</f>
        <v>#NAME?</v>
      </c>
      <c r="W175" s="68">
        <v>45376</v>
      </c>
      <c r="X175" s="7" t="str">
        <f t="array" ref="X175">INDEX('Input Kegiatan'!$B$2:$B800,MATCH(B175,'Input Kegiatan'!$A$2:$A800,0))</f>
        <v>Susenas Maret 2024</v>
      </c>
      <c r="Y175" s="7" t="s">
        <v>4931</v>
      </c>
      <c r="Z175" s="7" t="s">
        <v>5171</v>
      </c>
      <c r="AA175" s="68">
        <f t="shared" si="5"/>
        <v>45351</v>
      </c>
      <c r="AB175" s="68">
        <f t="shared" si="6"/>
        <v>45352</v>
      </c>
      <c r="AC175" s="68">
        <f t="shared" si="7"/>
        <v>45382</v>
      </c>
      <c r="AD175" s="68">
        <f t="shared" si="8"/>
        <v>45381</v>
      </c>
      <c r="AE175" s="68">
        <f t="shared" si="9"/>
        <v>45382</v>
      </c>
    </row>
    <row r="176" spans="1:31" ht="12.5">
      <c r="A176" s="125">
        <v>610422100108</v>
      </c>
      <c r="B176" s="64" t="s">
        <v>26</v>
      </c>
      <c r="D176" s="10">
        <f t="array" aca="1" ref="D176" ca="1">INDEX('Mitra per Bulan'!$M$2:$M800,MATCH(S176,'Mitra per Bulan'!$B$2:$B800,0))</f>
        <v>1</v>
      </c>
      <c r="E176" s="10" t="str">
        <f t="array" ref="E176">INDEX('Database Mitra'!$A$2:$A800,MATCH(A176,'Database Mitra'!$B$2:$B800,0))</f>
        <v>Ermi Tiyarni</v>
      </c>
      <c r="F176" s="65" t="s">
        <v>24</v>
      </c>
      <c r="G176" s="5" t="str">
        <f t="array" ref="G176">INDEX('Database Mitra'!$G$2:$G800,MATCH(A176,'Database Mitra'!$B$2:$B800,0))</f>
        <v>6102016512980004</v>
      </c>
      <c r="H176" s="64" t="s">
        <v>67</v>
      </c>
      <c r="I176" s="65" t="str">
        <f t="shared" si="13"/>
        <v>SUSENAS24-LAPANGAN-SEMESTER1-PML-PENDATAAN</v>
      </c>
      <c r="J176" s="10" t="str">
        <f t="array" ref="J176">INDEX(Honor!$H$2:$H800,MATCH($I176,Honor!$A$2:$A800,0))</f>
        <v>Rumah Tangga</v>
      </c>
      <c r="K176" s="66">
        <f t="array" ref="K176">INDEX(Honor!$I$2:$I800,MATCH($I176,Honor!$A$2:$A800,0))</f>
        <v>62000</v>
      </c>
      <c r="L176" s="65">
        <v>40</v>
      </c>
      <c r="M176" s="10">
        <f t="shared" si="0"/>
        <v>2480000</v>
      </c>
      <c r="N176" s="70"/>
      <c r="O176" s="67">
        <f t="array" ref="O176">INDEX(Honor!$L$2:$L800,MATCH($I176,Honor!$A$2:$A800,0))</f>
        <v>45367</v>
      </c>
      <c r="P176" s="10">
        <f t="shared" si="1"/>
        <v>2024</v>
      </c>
      <c r="Q176" s="10">
        <f t="shared" si="2"/>
        <v>3</v>
      </c>
      <c r="R176" s="10" t="str">
        <f t="array" ref="R176">INDEX(Honor!$Q$2:$Q800,MATCH($I176,Honor!$A$2:$A800,0))</f>
        <v>SURVEI-PML</v>
      </c>
      <c r="S176" s="10" t="str">
        <f t="shared" si="3"/>
        <v>610422100108-2024-3</v>
      </c>
      <c r="T176" s="10" t="str">
        <f t="shared" si="4"/>
        <v>610422100108-2024-3-SURVEI-PML</v>
      </c>
      <c r="U176" s="64">
        <v>1</v>
      </c>
      <c r="V176" s="10" t="e">
        <f t="array" aca="1" ref="V176" ca="1">INDEX(Honor!$O$2:$O800,MATCH($I176,Honor!$A$2:$A800,0))</f>
        <v>#NAME?</v>
      </c>
      <c r="W176" s="68">
        <v>45376</v>
      </c>
      <c r="X176" s="7" t="str">
        <f t="array" ref="X176">INDEX('Input Kegiatan'!$B$2:$B800,MATCH(B176,'Input Kegiatan'!$A$2:$A800,0))</f>
        <v>Susenas Maret 2024</v>
      </c>
      <c r="Y176" s="7" t="s">
        <v>4572</v>
      </c>
      <c r="Z176" s="7" t="s">
        <v>4619</v>
      </c>
      <c r="AA176" s="68">
        <f t="shared" si="5"/>
        <v>45351</v>
      </c>
      <c r="AB176" s="68">
        <f t="shared" si="6"/>
        <v>45352</v>
      </c>
      <c r="AC176" s="68">
        <f t="shared" si="7"/>
        <v>45382</v>
      </c>
      <c r="AD176" s="68">
        <f t="shared" si="8"/>
        <v>45381</v>
      </c>
      <c r="AE176" s="68">
        <f t="shared" si="9"/>
        <v>45382</v>
      </c>
    </row>
    <row r="177" spans="1:31" ht="12.5">
      <c r="A177" s="125">
        <v>610423040016</v>
      </c>
      <c r="B177" s="64" t="s">
        <v>26</v>
      </c>
      <c r="D177" s="10">
        <f t="array" aca="1" ref="D177" ca="1">INDEX('Mitra per Bulan'!$M$2:$M800,MATCH(S177,'Mitra per Bulan'!$B$2:$B800,0))</f>
        <v>1</v>
      </c>
      <c r="E177" s="10" t="str">
        <f t="array" ref="E177">INDEX('Database Mitra'!$A$2:$A800,MATCH(A177,'Database Mitra'!$B$2:$B800,0))</f>
        <v>Fairuztia Atiqah Putri</v>
      </c>
      <c r="F177" s="65" t="s">
        <v>24</v>
      </c>
      <c r="G177" s="5" t="str">
        <f t="array" ref="G177">INDEX('Database Mitra'!$G$2:$G800,MATCH(A177,'Database Mitra'!$B$2:$B800,0))</f>
        <v>6102016709010003</v>
      </c>
      <c r="H177" s="64" t="s">
        <v>67</v>
      </c>
      <c r="I177" s="65" t="str">
        <f t="shared" si="13"/>
        <v>SUSENAS24-LAPANGAN-SEMESTER1-PML-PENDATAAN</v>
      </c>
      <c r="J177" s="10" t="str">
        <f t="array" ref="J177">INDEX(Honor!$H$2:$H800,MATCH($I177,Honor!$A$2:$A800,0))</f>
        <v>Rumah Tangga</v>
      </c>
      <c r="K177" s="66">
        <f t="array" ref="K177">INDEX(Honor!$I$2:$I800,MATCH($I177,Honor!$A$2:$A800,0))</f>
        <v>62000</v>
      </c>
      <c r="L177" s="65">
        <v>40</v>
      </c>
      <c r="M177" s="10">
        <f t="shared" si="0"/>
        <v>2480000</v>
      </c>
      <c r="N177" s="70"/>
      <c r="O177" s="67">
        <f t="array" ref="O177">INDEX(Honor!$L$2:$L800,MATCH($I177,Honor!$A$2:$A800,0))</f>
        <v>45367</v>
      </c>
      <c r="P177" s="10">
        <f t="shared" si="1"/>
        <v>2024</v>
      </c>
      <c r="Q177" s="10">
        <f t="shared" si="2"/>
        <v>3</v>
      </c>
      <c r="R177" s="10" t="str">
        <f t="array" ref="R177">INDEX(Honor!$Q$2:$Q800,MATCH($I177,Honor!$A$2:$A800,0))</f>
        <v>SURVEI-PML</v>
      </c>
      <c r="S177" s="10" t="str">
        <f t="shared" si="3"/>
        <v>610423040016-2024-3</v>
      </c>
      <c r="T177" s="10" t="str">
        <f t="shared" si="4"/>
        <v>610423040016-2024-3-SURVEI-PML</v>
      </c>
      <c r="U177" s="64">
        <v>1</v>
      </c>
      <c r="V177" s="10" t="e">
        <f t="array" aca="1" ref="V177" ca="1">INDEX(Honor!$O$2:$O800,MATCH($I177,Honor!$A$2:$A800,0))</f>
        <v>#NAME?</v>
      </c>
      <c r="W177" s="68">
        <v>45376</v>
      </c>
      <c r="X177" s="7" t="str">
        <f t="array" ref="X177">INDEX('Input Kegiatan'!$B$2:$B800,MATCH(B177,'Input Kegiatan'!$A$2:$A800,0))</f>
        <v>Susenas Maret 2024</v>
      </c>
      <c r="Y177" s="7" t="s">
        <v>4572</v>
      </c>
      <c r="Z177" s="7" t="s">
        <v>4619</v>
      </c>
      <c r="AA177" s="68">
        <f t="shared" si="5"/>
        <v>45351</v>
      </c>
      <c r="AB177" s="68">
        <f t="shared" si="6"/>
        <v>45352</v>
      </c>
      <c r="AC177" s="68">
        <f t="shared" si="7"/>
        <v>45382</v>
      </c>
      <c r="AD177" s="68">
        <f t="shared" si="8"/>
        <v>45381</v>
      </c>
      <c r="AE177" s="68">
        <f t="shared" si="9"/>
        <v>45382</v>
      </c>
    </row>
    <row r="178" spans="1:31" ht="12.5">
      <c r="A178" s="125">
        <v>610422100032</v>
      </c>
      <c r="B178" s="64" t="s">
        <v>26</v>
      </c>
      <c r="D178" s="10">
        <f t="array" aca="1" ref="D178" ca="1">INDEX('Mitra per Bulan'!$M$2:$M800,MATCH(S178,'Mitra per Bulan'!$B$2:$B800,0))</f>
        <v>1</v>
      </c>
      <c r="E178" s="10" t="str">
        <f t="array" ref="E178">INDEX('Database Mitra'!$A$2:$A800,MATCH(A178,'Database Mitra'!$B$2:$B800,0))</f>
        <v>Muhammad Rizki Pratomo</v>
      </c>
      <c r="F178" s="65" t="s">
        <v>24</v>
      </c>
      <c r="G178" s="5" t="str">
        <f t="array" ref="G178">INDEX('Database Mitra'!$G$2:$G800,MATCH(A178,'Database Mitra'!$B$2:$B800,0))</f>
        <v>6102011810970004</v>
      </c>
      <c r="H178" s="64" t="s">
        <v>67</v>
      </c>
      <c r="I178" s="65" t="str">
        <f t="shared" si="13"/>
        <v>SUSENAS24-LAPANGAN-SEMESTER1-PML-PENDATAAN</v>
      </c>
      <c r="J178" s="10" t="str">
        <f t="array" ref="J178">INDEX(Honor!$H$2:$H800,MATCH($I178,Honor!$A$2:$A800,0))</f>
        <v>Rumah Tangga</v>
      </c>
      <c r="K178" s="66">
        <f t="array" ref="K178">INDEX(Honor!$I$2:$I800,MATCH($I178,Honor!$A$2:$A800,0))</f>
        <v>62000</v>
      </c>
      <c r="L178" s="65">
        <v>40</v>
      </c>
      <c r="M178" s="10">
        <f t="shared" si="0"/>
        <v>2480000</v>
      </c>
      <c r="N178" s="70"/>
      <c r="O178" s="67">
        <f t="array" ref="O178">INDEX(Honor!$L$2:$L800,MATCH($I178,Honor!$A$2:$A800,0))</f>
        <v>45367</v>
      </c>
      <c r="P178" s="10">
        <f t="shared" si="1"/>
        <v>2024</v>
      </c>
      <c r="Q178" s="10">
        <f t="shared" si="2"/>
        <v>3</v>
      </c>
      <c r="R178" s="10" t="str">
        <f t="array" ref="R178">INDEX(Honor!$Q$2:$Q800,MATCH($I178,Honor!$A$2:$A800,0))</f>
        <v>SURVEI-PML</v>
      </c>
      <c r="S178" s="10" t="str">
        <f t="shared" si="3"/>
        <v>610422100032-2024-3</v>
      </c>
      <c r="T178" s="10" t="str">
        <f t="shared" si="4"/>
        <v>610422100032-2024-3-SURVEI-PML</v>
      </c>
      <c r="U178" s="64">
        <v>1</v>
      </c>
      <c r="V178" s="10" t="e">
        <f t="array" aca="1" ref="V178" ca="1">INDEX(Honor!$O$2:$O800,MATCH($I178,Honor!$A$2:$A800,0))</f>
        <v>#NAME?</v>
      </c>
      <c r="W178" s="68">
        <v>45376</v>
      </c>
      <c r="X178" s="7" t="str">
        <f t="array" ref="X178">INDEX('Input Kegiatan'!$B$2:$B800,MATCH(B178,'Input Kegiatan'!$A$2:$A800,0))</f>
        <v>Susenas Maret 2024</v>
      </c>
      <c r="Y178" s="7" t="s">
        <v>4572</v>
      </c>
      <c r="Z178" s="7" t="s">
        <v>4656</v>
      </c>
      <c r="AA178" s="68">
        <f t="shared" si="5"/>
        <v>45351</v>
      </c>
      <c r="AB178" s="68">
        <f t="shared" si="6"/>
        <v>45352</v>
      </c>
      <c r="AC178" s="68">
        <f t="shared" si="7"/>
        <v>45382</v>
      </c>
      <c r="AD178" s="68">
        <f t="shared" si="8"/>
        <v>45381</v>
      </c>
      <c r="AE178" s="68">
        <f t="shared" si="9"/>
        <v>45382</v>
      </c>
    </row>
    <row r="179" spans="1:31" ht="12.5">
      <c r="A179" s="125">
        <v>610422100244</v>
      </c>
      <c r="B179" s="64" t="s">
        <v>26</v>
      </c>
      <c r="D179" s="10">
        <f t="array" aca="1" ref="D179" ca="1">INDEX('Mitra per Bulan'!$M$2:$M800,MATCH(S179,'Mitra per Bulan'!$B$2:$B800,0))</f>
        <v>1</v>
      </c>
      <c r="E179" s="10" t="str">
        <f t="array" ref="E179">INDEX('Database Mitra'!$A$2:$A800,MATCH(A179,'Database Mitra'!$B$2:$B800,0))</f>
        <v>Sugianto</v>
      </c>
      <c r="F179" s="65" t="s">
        <v>24</v>
      </c>
      <c r="G179" s="5" t="str">
        <f t="array" ref="G179">INDEX('Database Mitra'!$G$2:$G800,MATCH(A179,'Database Mitra'!$B$2:$B800,0))</f>
        <v>6102171003900002</v>
      </c>
      <c r="H179" s="64" t="s">
        <v>67</v>
      </c>
      <c r="I179" s="65" t="str">
        <f t="shared" si="13"/>
        <v>SUSENAS24-LAPANGAN-SEMESTER1-PML-PENDATAAN</v>
      </c>
      <c r="J179" s="10" t="str">
        <f t="array" ref="J179">INDEX(Honor!$H$2:$H800,MATCH($I179,Honor!$A$2:$A800,0))</f>
        <v>Rumah Tangga</v>
      </c>
      <c r="K179" s="66">
        <f t="array" ref="K179">INDEX(Honor!$I$2:$I800,MATCH($I179,Honor!$A$2:$A800,0))</f>
        <v>62000</v>
      </c>
      <c r="L179" s="65">
        <v>40</v>
      </c>
      <c r="M179" s="10">
        <f t="shared" si="0"/>
        <v>2480000</v>
      </c>
      <c r="N179" s="70"/>
      <c r="O179" s="67">
        <f t="array" ref="O179">INDEX(Honor!$L$2:$L800,MATCH($I179,Honor!$A$2:$A800,0))</f>
        <v>45367</v>
      </c>
      <c r="P179" s="10">
        <f t="shared" si="1"/>
        <v>2024</v>
      </c>
      <c r="Q179" s="10">
        <f t="shared" si="2"/>
        <v>3</v>
      </c>
      <c r="R179" s="10" t="str">
        <f t="array" ref="R179">INDEX(Honor!$Q$2:$Q800,MATCH($I179,Honor!$A$2:$A800,0))</f>
        <v>SURVEI-PML</v>
      </c>
      <c r="S179" s="10" t="str">
        <f t="shared" si="3"/>
        <v>610422100244-2024-3</v>
      </c>
      <c r="T179" s="10" t="str">
        <f t="shared" si="4"/>
        <v>610422100244-2024-3-SURVEI-PML</v>
      </c>
      <c r="U179" s="64">
        <v>1</v>
      </c>
      <c r="V179" s="10" t="e">
        <f t="array" aca="1" ref="V179" ca="1">INDEX(Honor!$O$2:$O800,MATCH($I179,Honor!$A$2:$A800,0))</f>
        <v>#NAME?</v>
      </c>
      <c r="W179" s="68">
        <v>45376</v>
      </c>
      <c r="X179" s="7" t="str">
        <f t="array" ref="X179">INDEX('Input Kegiatan'!$B$2:$B800,MATCH(B179,'Input Kegiatan'!$A$2:$A800,0))</f>
        <v>Susenas Maret 2024</v>
      </c>
      <c r="Y179" s="7" t="s">
        <v>5741</v>
      </c>
      <c r="Z179" s="7" t="s">
        <v>5796</v>
      </c>
      <c r="AA179" s="68">
        <f t="shared" si="5"/>
        <v>45351</v>
      </c>
      <c r="AB179" s="68">
        <f t="shared" si="6"/>
        <v>45352</v>
      </c>
      <c r="AC179" s="68">
        <f t="shared" si="7"/>
        <v>45382</v>
      </c>
      <c r="AD179" s="68">
        <f t="shared" si="8"/>
        <v>45381</v>
      </c>
      <c r="AE179" s="68">
        <f t="shared" si="9"/>
        <v>45382</v>
      </c>
    </row>
    <row r="180" spans="1:31" ht="12.5">
      <c r="A180" s="125">
        <v>610422100256</v>
      </c>
      <c r="B180" s="64" t="s">
        <v>26</v>
      </c>
      <c r="D180" s="10">
        <f t="array" aca="1" ref="D180" ca="1">INDEX('Mitra per Bulan'!$M$2:$M800,MATCH(S180,'Mitra per Bulan'!$B$2:$B800,0))</f>
        <v>1</v>
      </c>
      <c r="E180" s="10" t="str">
        <f t="array" ref="E180">INDEX('Database Mitra'!$A$2:$A800,MATCH(A180,'Database Mitra'!$B$2:$B800,0))</f>
        <v>Meta</v>
      </c>
      <c r="F180" s="65" t="s">
        <v>25</v>
      </c>
      <c r="G180" s="5" t="str">
        <f t="array" ref="G180">INDEX('Database Mitra'!$G$2:$G800,MATCH(A180,'Database Mitra'!$B$2:$B800,0))</f>
        <v>6102174505970001</v>
      </c>
      <c r="H180" s="64" t="s">
        <v>67</v>
      </c>
      <c r="I180" s="65" t="str">
        <f t="shared" si="13"/>
        <v>SUSENAS24-LAPANGAN-SEMESTER1-PPL-PENDATAAN</v>
      </c>
      <c r="J180" s="10" t="str">
        <f t="array" ref="J180">INDEX(Honor!$H$2:$H800,MATCH($I180,Honor!$A$2:$A800,0))</f>
        <v>Rumah Tangga</v>
      </c>
      <c r="K180" s="66">
        <f t="array" ref="K180">INDEX(Honor!$I$2:$I800,MATCH($I180,Honor!$A$2:$A800,0))</f>
        <v>119000</v>
      </c>
      <c r="L180" s="65">
        <v>10</v>
      </c>
      <c r="M180" s="10">
        <f t="shared" si="0"/>
        <v>1190000</v>
      </c>
      <c r="N180" s="70"/>
      <c r="O180" s="67">
        <f t="array" ref="O180">INDEX(Honor!$L$2:$L800,MATCH($I180,Honor!$A$2:$A800,0))</f>
        <v>45367</v>
      </c>
      <c r="P180" s="10">
        <f t="shared" si="1"/>
        <v>2024</v>
      </c>
      <c r="Q180" s="10">
        <f t="shared" si="2"/>
        <v>3</v>
      </c>
      <c r="R180" s="10" t="str">
        <f t="array" ref="R180">INDEX(Honor!$Q$2:$Q800,MATCH($I180,Honor!$A$2:$A800,0))</f>
        <v>SURVEI-PPL</v>
      </c>
      <c r="S180" s="10" t="str">
        <f t="shared" si="3"/>
        <v>610422100256-2024-3</v>
      </c>
      <c r="T180" s="10" t="str">
        <f t="shared" si="4"/>
        <v>610422100256-2024-3-SURVEI-PPL</v>
      </c>
      <c r="U180" s="64">
        <v>1</v>
      </c>
      <c r="V180" s="10" t="e">
        <f t="array" aca="1" ref="V180" ca="1">INDEX(Honor!$O$2:$O800,MATCH($I180,Honor!$A$2:$A800,0))</f>
        <v>#NAME?</v>
      </c>
      <c r="W180" s="68">
        <v>45376</v>
      </c>
      <c r="X180" s="7" t="str">
        <f t="array" ref="X180">INDEX('Input Kegiatan'!$B$2:$B800,MATCH(B180,'Input Kegiatan'!$A$2:$A800,0))</f>
        <v>Susenas Maret 2024</v>
      </c>
      <c r="Y180" s="7" t="s">
        <v>5741</v>
      </c>
      <c r="Z180" s="7" t="s">
        <v>5742</v>
      </c>
      <c r="AA180" s="68">
        <f t="shared" si="5"/>
        <v>45351</v>
      </c>
      <c r="AB180" s="68">
        <f t="shared" si="6"/>
        <v>45352</v>
      </c>
      <c r="AC180" s="68">
        <f t="shared" si="7"/>
        <v>45382</v>
      </c>
      <c r="AD180" s="68">
        <f t="shared" si="8"/>
        <v>45381</v>
      </c>
      <c r="AE180" s="68">
        <f t="shared" si="9"/>
        <v>45382</v>
      </c>
    </row>
    <row r="181" spans="1:31" ht="12.5">
      <c r="A181" s="125">
        <v>610422100055</v>
      </c>
      <c r="B181" s="64" t="s">
        <v>26</v>
      </c>
      <c r="D181" s="10">
        <f t="array" aca="1" ref="D181" ca="1">INDEX('Mitra per Bulan'!$M$2:$M800,MATCH(S181,'Mitra per Bulan'!$B$2:$B800,0))</f>
        <v>1</v>
      </c>
      <c r="E181" s="10" t="str">
        <f t="array" ref="E181">INDEX('Database Mitra'!$A$2:$A800,MATCH(A181,'Database Mitra'!$B$2:$B800,0))</f>
        <v>Vika Rizkiani</v>
      </c>
      <c r="F181" s="65" t="s">
        <v>25</v>
      </c>
      <c r="G181" s="5" t="str">
        <f t="array" ref="G181">INDEX('Database Mitra'!$G$2:$G800,MATCH(A181,'Database Mitra'!$B$2:$B800,0))</f>
        <v>6102084207980006</v>
      </c>
      <c r="H181" s="64" t="s">
        <v>67</v>
      </c>
      <c r="I181" s="65" t="str">
        <f t="shared" si="13"/>
        <v>SUSENAS24-LAPANGAN-SEMESTER1-PPL-PENDATAAN</v>
      </c>
      <c r="J181" s="10" t="str">
        <f t="array" ref="J181">INDEX(Honor!$H$2:$H800,MATCH($I181,Honor!$A$2:$A800,0))</f>
        <v>Rumah Tangga</v>
      </c>
      <c r="K181" s="66">
        <f t="array" ref="K181">INDEX(Honor!$I$2:$I800,MATCH($I181,Honor!$A$2:$A800,0))</f>
        <v>119000</v>
      </c>
      <c r="L181" s="65">
        <v>10</v>
      </c>
      <c r="M181" s="10">
        <f t="shared" si="0"/>
        <v>1190000</v>
      </c>
      <c r="N181" s="70"/>
      <c r="O181" s="67">
        <f t="array" ref="O181">INDEX(Honor!$L$2:$L800,MATCH($I181,Honor!$A$2:$A800,0))</f>
        <v>45367</v>
      </c>
      <c r="P181" s="10">
        <f t="shared" si="1"/>
        <v>2024</v>
      </c>
      <c r="Q181" s="10">
        <f t="shared" si="2"/>
        <v>3</v>
      </c>
      <c r="R181" s="10" t="str">
        <f t="array" ref="R181">INDEX(Honor!$Q$2:$Q800,MATCH($I181,Honor!$A$2:$A800,0))</f>
        <v>SURVEI-PPL</v>
      </c>
      <c r="S181" s="10" t="str">
        <f t="shared" si="3"/>
        <v>610422100055-2024-3</v>
      </c>
      <c r="T181" s="10" t="str">
        <f t="shared" si="4"/>
        <v>610422100055-2024-3-SURVEI-PPL</v>
      </c>
      <c r="U181" s="64">
        <v>1</v>
      </c>
      <c r="V181" s="10" t="e">
        <f t="array" aca="1" ref="V181" ca="1">INDEX(Honor!$O$2:$O800,MATCH($I181,Honor!$A$2:$A800,0))</f>
        <v>#NAME?</v>
      </c>
      <c r="W181" s="68">
        <v>45376</v>
      </c>
      <c r="X181" s="7" t="str">
        <f t="array" ref="X181">INDEX('Input Kegiatan'!$B$2:$B800,MATCH(B181,'Input Kegiatan'!$A$2:$A800,0))</f>
        <v>Susenas Maret 2024</v>
      </c>
      <c r="Y181" s="7" t="s">
        <v>3241</v>
      </c>
      <c r="Z181" s="7" t="s">
        <v>3289</v>
      </c>
      <c r="AA181" s="68">
        <f t="shared" si="5"/>
        <v>45351</v>
      </c>
      <c r="AB181" s="68">
        <f t="shared" si="6"/>
        <v>45352</v>
      </c>
      <c r="AC181" s="68">
        <f t="shared" si="7"/>
        <v>45382</v>
      </c>
      <c r="AD181" s="68">
        <f t="shared" si="8"/>
        <v>45381</v>
      </c>
      <c r="AE181" s="68">
        <f t="shared" si="9"/>
        <v>45382</v>
      </c>
    </row>
    <row r="182" spans="1:31" ht="12.5">
      <c r="A182" s="125">
        <v>610422020008</v>
      </c>
      <c r="B182" s="64" t="s">
        <v>26</v>
      </c>
      <c r="D182" s="10">
        <f t="array" aca="1" ref="D182" ca="1">INDEX('Mitra per Bulan'!$M$2:$M800,MATCH(S182,'Mitra per Bulan'!$B$2:$B800,0))</f>
        <v>1</v>
      </c>
      <c r="E182" s="10" t="str">
        <f t="array" ref="E182">INDEX('Database Mitra'!$A$2:$A800,MATCH(A182,'Database Mitra'!$B$2:$B800,0))</f>
        <v>Ilfi Nur Diana</v>
      </c>
      <c r="F182" s="65" t="s">
        <v>25</v>
      </c>
      <c r="G182" s="5" t="str">
        <f t="array" ref="G182">INDEX('Database Mitra'!$G$2:$G800,MATCH(A182,'Database Mitra'!$B$2:$B800,0))</f>
        <v>6102125203970003</v>
      </c>
      <c r="H182" s="64" t="s">
        <v>67</v>
      </c>
      <c r="I182" s="65" t="str">
        <f t="shared" si="13"/>
        <v>SUSENAS24-LAPANGAN-SEMESTER1-PPL-PENDATAAN</v>
      </c>
      <c r="J182" s="10" t="str">
        <f t="array" ref="J182">INDEX(Honor!$H$2:$H800,MATCH($I182,Honor!$A$2:$A800,0))</f>
        <v>Rumah Tangga</v>
      </c>
      <c r="K182" s="66">
        <f t="array" ref="K182">INDEX(Honor!$I$2:$I800,MATCH($I182,Honor!$A$2:$A800,0))</f>
        <v>119000</v>
      </c>
      <c r="L182" s="65">
        <v>20</v>
      </c>
      <c r="M182" s="10">
        <f t="shared" si="0"/>
        <v>2380000</v>
      </c>
      <c r="N182" s="70"/>
      <c r="O182" s="67">
        <f t="array" ref="O182">INDEX(Honor!$L$2:$L800,MATCH($I182,Honor!$A$2:$A800,0))</f>
        <v>45367</v>
      </c>
      <c r="P182" s="10">
        <f t="shared" si="1"/>
        <v>2024</v>
      </c>
      <c r="Q182" s="10">
        <f t="shared" si="2"/>
        <v>3</v>
      </c>
      <c r="R182" s="10" t="str">
        <f t="array" ref="R182">INDEX(Honor!$Q$2:$Q800,MATCH($I182,Honor!$A$2:$A800,0))</f>
        <v>SURVEI-PPL</v>
      </c>
      <c r="S182" s="10" t="str">
        <f t="shared" si="3"/>
        <v>610422020008-2024-3</v>
      </c>
      <c r="T182" s="10" t="str">
        <f t="shared" si="4"/>
        <v>610422020008-2024-3-SURVEI-PPL</v>
      </c>
      <c r="U182" s="64">
        <v>1</v>
      </c>
      <c r="V182" s="10" t="e">
        <f t="array" aca="1" ref="V182" ca="1">INDEX(Honor!$O$2:$O800,MATCH($I182,Honor!$A$2:$A800,0))</f>
        <v>#NAME?</v>
      </c>
      <c r="W182" s="68">
        <v>45376</v>
      </c>
      <c r="X182" s="7" t="str">
        <f t="array" ref="X182">INDEX('Input Kegiatan'!$B$2:$B800,MATCH(B182,'Input Kegiatan'!$A$2:$A800,0))</f>
        <v>Susenas Maret 2024</v>
      </c>
      <c r="Y182" s="7" t="s">
        <v>5250</v>
      </c>
      <c r="Z182" s="7" t="s">
        <v>5365</v>
      </c>
      <c r="AA182" s="68">
        <f t="shared" si="5"/>
        <v>45351</v>
      </c>
      <c r="AB182" s="68">
        <f t="shared" si="6"/>
        <v>45352</v>
      </c>
      <c r="AC182" s="68">
        <f t="shared" si="7"/>
        <v>45382</v>
      </c>
      <c r="AD182" s="68">
        <f t="shared" si="8"/>
        <v>45381</v>
      </c>
      <c r="AE182" s="68">
        <f t="shared" si="9"/>
        <v>45382</v>
      </c>
    </row>
    <row r="183" spans="1:31" ht="12.5">
      <c r="A183" s="125">
        <v>610423040014</v>
      </c>
      <c r="B183" s="64" t="s">
        <v>26</v>
      </c>
      <c r="D183" s="10">
        <f t="array" aca="1" ref="D183" ca="1">INDEX('Mitra per Bulan'!$M$2:$M800,MATCH(S183,'Mitra per Bulan'!$B$2:$B800,0))</f>
        <v>1</v>
      </c>
      <c r="E183" s="10" t="str">
        <f t="array" ref="E183">INDEX('Database Mitra'!$A$2:$A800,MATCH(A183,'Database Mitra'!$B$2:$B800,0))</f>
        <v>Fransiska Romana</v>
      </c>
      <c r="F183" s="65" t="s">
        <v>25</v>
      </c>
      <c r="G183" s="5" t="str">
        <f t="array" ref="G183">INDEX('Database Mitra'!$G$2:$G800,MATCH(A183,'Database Mitra'!$B$2:$B800,0))</f>
        <v>6107036103910001</v>
      </c>
      <c r="H183" s="64" t="s">
        <v>67</v>
      </c>
      <c r="I183" s="65" t="str">
        <f t="shared" si="13"/>
        <v>SUSENAS24-LAPANGAN-SEMESTER1-PPL-PENDATAAN</v>
      </c>
      <c r="J183" s="10" t="str">
        <f t="array" ref="J183">INDEX(Honor!$H$2:$H800,MATCH($I183,Honor!$A$2:$A800,0))</f>
        <v>Rumah Tangga</v>
      </c>
      <c r="K183" s="66">
        <f t="array" ref="K183">INDEX(Honor!$I$2:$I800,MATCH($I183,Honor!$A$2:$A800,0))</f>
        <v>119000</v>
      </c>
      <c r="L183" s="65">
        <v>20</v>
      </c>
      <c r="M183" s="10">
        <f t="shared" si="0"/>
        <v>2380000</v>
      </c>
      <c r="N183" s="70"/>
      <c r="O183" s="67">
        <f t="array" ref="O183">INDEX(Honor!$L$2:$L800,MATCH($I183,Honor!$A$2:$A800,0))</f>
        <v>45367</v>
      </c>
      <c r="P183" s="10">
        <f t="shared" si="1"/>
        <v>2024</v>
      </c>
      <c r="Q183" s="10">
        <f t="shared" si="2"/>
        <v>3</v>
      </c>
      <c r="R183" s="10" t="str">
        <f t="array" ref="R183">INDEX(Honor!$Q$2:$Q800,MATCH($I183,Honor!$A$2:$A800,0))</f>
        <v>SURVEI-PPL</v>
      </c>
      <c r="S183" s="10" t="str">
        <f t="shared" si="3"/>
        <v>610423040014-2024-3</v>
      </c>
      <c r="T183" s="10" t="str">
        <f t="shared" si="4"/>
        <v>610423040014-2024-3-SURVEI-PPL</v>
      </c>
      <c r="U183" s="64">
        <v>1</v>
      </c>
      <c r="V183" s="10" t="e">
        <f t="array" aca="1" ref="V183" ca="1">INDEX(Honor!$O$2:$O800,MATCH($I183,Honor!$A$2:$A800,0))</f>
        <v>#NAME?</v>
      </c>
      <c r="W183" s="68">
        <v>45376</v>
      </c>
      <c r="X183" s="7" t="str">
        <f t="array" ref="X183">INDEX('Input Kegiatan'!$B$2:$B800,MATCH(B183,'Input Kegiatan'!$A$2:$A800,0))</f>
        <v>Susenas Maret 2024</v>
      </c>
      <c r="Y183" s="7" t="s">
        <v>5534</v>
      </c>
      <c r="Z183" s="7" t="s">
        <v>5714</v>
      </c>
      <c r="AA183" s="68">
        <f t="shared" si="5"/>
        <v>45351</v>
      </c>
      <c r="AB183" s="68">
        <f t="shared" si="6"/>
        <v>45352</v>
      </c>
      <c r="AC183" s="68">
        <f t="shared" si="7"/>
        <v>45382</v>
      </c>
      <c r="AD183" s="68">
        <f t="shared" si="8"/>
        <v>45381</v>
      </c>
      <c r="AE183" s="68">
        <f t="shared" si="9"/>
        <v>45382</v>
      </c>
    </row>
    <row r="184" spans="1:31" ht="12.5">
      <c r="A184" s="125">
        <v>610423040022</v>
      </c>
      <c r="B184" s="64" t="s">
        <v>26</v>
      </c>
      <c r="D184" s="10">
        <f t="array" aca="1" ref="D184" ca="1">INDEX('Mitra per Bulan'!$M$2:$M800,MATCH(S184,'Mitra per Bulan'!$B$2:$B800,0))</f>
        <v>1</v>
      </c>
      <c r="E184" s="10" t="str">
        <f t="array" ref="E184">INDEX('Database Mitra'!$A$2:$A800,MATCH(A184,'Database Mitra'!$B$2:$B800,0))</f>
        <v>Alip Susanto</v>
      </c>
      <c r="F184" s="65" t="s">
        <v>25</v>
      </c>
      <c r="G184" s="5" t="str">
        <f t="array" ref="G184">INDEX('Database Mitra'!$G$2:$G800,MATCH(A184,'Database Mitra'!$B$2:$B800,0))</f>
        <v>6102172001980001</v>
      </c>
      <c r="H184" s="64" t="s">
        <v>67</v>
      </c>
      <c r="I184" s="65" t="str">
        <f t="shared" si="13"/>
        <v>SUSENAS24-LAPANGAN-SEMESTER1-PPL-PENDATAAN</v>
      </c>
      <c r="J184" s="10" t="str">
        <f t="array" ref="J184">INDEX(Honor!$H$2:$H800,MATCH($I184,Honor!$A$2:$A800,0))</f>
        <v>Rumah Tangga</v>
      </c>
      <c r="K184" s="66">
        <f t="array" ref="K184">INDEX(Honor!$I$2:$I800,MATCH($I184,Honor!$A$2:$A800,0))</f>
        <v>119000</v>
      </c>
      <c r="L184" s="65">
        <v>20</v>
      </c>
      <c r="M184" s="10">
        <f t="shared" si="0"/>
        <v>2380000</v>
      </c>
      <c r="N184" s="70"/>
      <c r="O184" s="67">
        <f t="array" ref="O184">INDEX(Honor!$L$2:$L800,MATCH($I184,Honor!$A$2:$A800,0))</f>
        <v>45367</v>
      </c>
      <c r="P184" s="10">
        <f t="shared" si="1"/>
        <v>2024</v>
      </c>
      <c r="Q184" s="10">
        <f t="shared" si="2"/>
        <v>3</v>
      </c>
      <c r="R184" s="10" t="str">
        <f t="array" ref="R184">INDEX(Honor!$Q$2:$Q800,MATCH($I184,Honor!$A$2:$A800,0))</f>
        <v>SURVEI-PPL</v>
      </c>
      <c r="S184" s="10" t="str">
        <f t="shared" si="3"/>
        <v>610423040022-2024-3</v>
      </c>
      <c r="T184" s="10" t="str">
        <f t="shared" si="4"/>
        <v>610423040022-2024-3-SURVEI-PPL</v>
      </c>
      <c r="U184" s="64">
        <v>1</v>
      </c>
      <c r="V184" s="10" t="e">
        <f t="array" aca="1" ref="V184" ca="1">INDEX(Honor!$O$2:$O800,MATCH($I184,Honor!$A$2:$A800,0))</f>
        <v>#NAME?</v>
      </c>
      <c r="W184" s="68">
        <v>45376</v>
      </c>
      <c r="X184" s="7" t="str">
        <f t="array" ref="X184">INDEX('Input Kegiatan'!$B$2:$B800,MATCH(B184,'Input Kegiatan'!$A$2:$A800,0))</f>
        <v>Susenas Maret 2024</v>
      </c>
      <c r="Y184" s="7" t="s">
        <v>5741</v>
      </c>
      <c r="Z184" s="7" t="s">
        <v>5796</v>
      </c>
      <c r="AA184" s="68">
        <f t="shared" si="5"/>
        <v>45351</v>
      </c>
      <c r="AB184" s="68">
        <f t="shared" si="6"/>
        <v>45352</v>
      </c>
      <c r="AC184" s="68">
        <f t="shared" si="7"/>
        <v>45382</v>
      </c>
      <c r="AD184" s="68">
        <f t="shared" si="8"/>
        <v>45381</v>
      </c>
      <c r="AE184" s="68">
        <f t="shared" si="9"/>
        <v>45382</v>
      </c>
    </row>
    <row r="185" spans="1:31" ht="12.5">
      <c r="A185" s="125">
        <v>610423030004</v>
      </c>
      <c r="B185" s="64" t="s">
        <v>26</v>
      </c>
      <c r="D185" s="10">
        <f t="array" aca="1" ref="D185" ca="1">INDEX('Mitra per Bulan'!$M$2:$M800,MATCH(S185,'Mitra per Bulan'!$B$2:$B800,0))</f>
        <v>1</v>
      </c>
      <c r="E185" s="10" t="str">
        <f t="array" ref="E185">INDEX('Database Mitra'!$A$2:$A800,MATCH(A185,'Database Mitra'!$B$2:$B800,0))</f>
        <v>Laras Nanda Julita</v>
      </c>
      <c r="F185" s="65" t="s">
        <v>25</v>
      </c>
      <c r="G185" s="5" t="str">
        <f t="array" ref="G185">INDEX('Database Mitra'!$G$2:$G800,MATCH(A185,'Database Mitra'!$B$2:$B800,0))</f>
        <v>6102074407000003</v>
      </c>
      <c r="H185" s="64" t="s">
        <v>67</v>
      </c>
      <c r="I185" s="65" t="str">
        <f t="shared" si="13"/>
        <v>SUSENAS24-LAPANGAN-SEMESTER1-PPL-PENDATAAN</v>
      </c>
      <c r="J185" s="10" t="str">
        <f t="array" ref="J185">INDEX(Honor!$H$2:$H800,MATCH($I185,Honor!$A$2:$A800,0))</f>
        <v>Rumah Tangga</v>
      </c>
      <c r="K185" s="66">
        <f t="array" ref="K185">INDEX(Honor!$I$2:$I800,MATCH($I185,Honor!$A$2:$A800,0))</f>
        <v>119000</v>
      </c>
      <c r="L185" s="65">
        <v>20</v>
      </c>
      <c r="M185" s="10">
        <f t="shared" si="0"/>
        <v>2380000</v>
      </c>
      <c r="N185" s="70"/>
      <c r="O185" s="67">
        <f t="array" ref="O185">INDEX(Honor!$L$2:$L800,MATCH($I185,Honor!$A$2:$A800,0))</f>
        <v>45367</v>
      </c>
      <c r="P185" s="10">
        <f t="shared" si="1"/>
        <v>2024</v>
      </c>
      <c r="Q185" s="10">
        <f t="shared" si="2"/>
        <v>3</v>
      </c>
      <c r="R185" s="10" t="str">
        <f t="array" ref="R185">INDEX(Honor!$Q$2:$Q800,MATCH($I185,Honor!$A$2:$A800,0))</f>
        <v>SURVEI-PPL</v>
      </c>
      <c r="S185" s="10" t="str">
        <f t="shared" si="3"/>
        <v>610423030004-2024-3</v>
      </c>
      <c r="T185" s="10" t="str">
        <f t="shared" si="4"/>
        <v>610423030004-2024-3-SURVEI-PPL</v>
      </c>
      <c r="U185" s="64">
        <v>1</v>
      </c>
      <c r="V185" s="10" t="e">
        <f t="array" aca="1" ref="V185" ca="1">INDEX(Honor!$O$2:$O800,MATCH($I185,Honor!$A$2:$A800,0))</f>
        <v>#NAME?</v>
      </c>
      <c r="W185" s="68">
        <v>45376</v>
      </c>
      <c r="X185" s="7" t="str">
        <f t="array" ref="X185">INDEX('Input Kegiatan'!$B$2:$B800,MATCH(B185,'Input Kegiatan'!$A$2:$A800,0))</f>
        <v>Susenas Maret 2024</v>
      </c>
      <c r="Y185" s="7" t="s">
        <v>3990</v>
      </c>
      <c r="Z185" s="7" t="s">
        <v>4143</v>
      </c>
      <c r="AA185" s="68">
        <f t="shared" si="5"/>
        <v>45351</v>
      </c>
      <c r="AB185" s="68">
        <f t="shared" si="6"/>
        <v>45352</v>
      </c>
      <c r="AC185" s="68">
        <f t="shared" si="7"/>
        <v>45382</v>
      </c>
      <c r="AD185" s="68">
        <f t="shared" si="8"/>
        <v>45381</v>
      </c>
      <c r="AE185" s="68">
        <f t="shared" si="9"/>
        <v>45382</v>
      </c>
    </row>
    <row r="186" spans="1:31" ht="12.5">
      <c r="A186" s="125">
        <v>610423040004</v>
      </c>
      <c r="B186" s="64" t="s">
        <v>26</v>
      </c>
      <c r="D186" s="10">
        <f t="array" aca="1" ref="D186" ca="1">INDEX('Mitra per Bulan'!$M$2:$M800,MATCH(S186,'Mitra per Bulan'!$B$2:$B800,0))</f>
        <v>1</v>
      </c>
      <c r="E186" s="10" t="str">
        <f t="array" ref="E186">INDEX('Database Mitra'!$A$2:$A800,MATCH(A186,'Database Mitra'!$B$2:$B800,0))</f>
        <v>Ayu Agustin</v>
      </c>
      <c r="F186" s="65" t="s">
        <v>25</v>
      </c>
      <c r="G186" s="5" t="str">
        <f t="array" ref="G186">INDEX('Database Mitra'!$G$2:$G800,MATCH(A186,'Database Mitra'!$B$2:$B800,0))</f>
        <v>6111025008930002</v>
      </c>
      <c r="H186" s="64" t="s">
        <v>67</v>
      </c>
      <c r="I186" s="65" t="str">
        <f t="shared" si="13"/>
        <v>SUSENAS24-LAPANGAN-SEMESTER1-PPL-PENDATAAN</v>
      </c>
      <c r="J186" s="10" t="str">
        <f t="array" ref="J186">INDEX(Honor!$H$2:$H800,MATCH($I186,Honor!$A$2:$A800,0))</f>
        <v>Rumah Tangga</v>
      </c>
      <c r="K186" s="66">
        <f t="array" ref="K186">INDEX(Honor!$I$2:$I800,MATCH($I186,Honor!$A$2:$A800,0))</f>
        <v>119000</v>
      </c>
      <c r="L186" s="65">
        <v>10</v>
      </c>
      <c r="M186" s="10">
        <f t="shared" si="0"/>
        <v>1190000</v>
      </c>
      <c r="N186" s="70"/>
      <c r="O186" s="67">
        <f t="array" ref="O186">INDEX(Honor!$L$2:$L800,MATCH($I186,Honor!$A$2:$A800,0))</f>
        <v>45367</v>
      </c>
      <c r="P186" s="10">
        <f t="shared" si="1"/>
        <v>2024</v>
      </c>
      <c r="Q186" s="10">
        <f t="shared" si="2"/>
        <v>3</v>
      </c>
      <c r="R186" s="10" t="str">
        <f t="array" ref="R186">INDEX(Honor!$Q$2:$Q800,MATCH($I186,Honor!$A$2:$A800,0))</f>
        <v>SURVEI-PPL</v>
      </c>
      <c r="S186" s="10" t="str">
        <f t="shared" si="3"/>
        <v>610423040004-2024-3</v>
      </c>
      <c r="T186" s="10" t="str">
        <f t="shared" si="4"/>
        <v>610423040004-2024-3-SURVEI-PPL</v>
      </c>
      <c r="U186" s="64">
        <v>1</v>
      </c>
      <c r="V186" s="10" t="e">
        <f t="array" aca="1" ref="V186" ca="1">INDEX(Honor!$O$2:$O800,MATCH($I186,Honor!$A$2:$A800,0))</f>
        <v>#NAME?</v>
      </c>
      <c r="W186" s="68">
        <v>45376</v>
      </c>
      <c r="X186" s="7" t="str">
        <f t="array" ref="X186">INDEX('Input Kegiatan'!$B$2:$B800,MATCH(B186,'Input Kegiatan'!$A$2:$A800,0))</f>
        <v>Susenas Maret 2024</v>
      </c>
      <c r="Y186" s="7" t="s">
        <v>4408</v>
      </c>
      <c r="Z186" s="7" t="s">
        <v>4531</v>
      </c>
      <c r="AA186" s="68">
        <f t="shared" si="5"/>
        <v>45351</v>
      </c>
      <c r="AB186" s="68">
        <f t="shared" si="6"/>
        <v>45352</v>
      </c>
      <c r="AC186" s="68">
        <f t="shared" si="7"/>
        <v>45382</v>
      </c>
      <c r="AD186" s="68">
        <f t="shared" si="8"/>
        <v>45381</v>
      </c>
      <c r="AE186" s="68">
        <f t="shared" si="9"/>
        <v>45382</v>
      </c>
    </row>
    <row r="187" spans="1:31" ht="12.5">
      <c r="A187" s="125">
        <v>610423040006</v>
      </c>
      <c r="B187" s="64" t="s">
        <v>26</v>
      </c>
      <c r="D187" s="10">
        <f t="array" aca="1" ref="D187" ca="1">INDEX('Mitra per Bulan'!$M$2:$M800,MATCH(S187,'Mitra per Bulan'!$B$2:$B800,0))</f>
        <v>1</v>
      </c>
      <c r="E187" s="10" t="str">
        <f t="array" ref="E187">INDEX('Database Mitra'!$A$2:$A800,MATCH(A187,'Database Mitra'!$B$2:$B800,0))</f>
        <v>Mitasya Fitri Nainggolan</v>
      </c>
      <c r="F187" s="65" t="s">
        <v>25</v>
      </c>
      <c r="G187" s="5" t="str">
        <f t="array" ref="G187">INDEX('Database Mitra'!$G$2:$G800,MATCH(A187,'Database Mitra'!$B$2:$B800,0))</f>
        <v>6102185705000003</v>
      </c>
      <c r="H187" s="64" t="s">
        <v>67</v>
      </c>
      <c r="I187" s="65" t="str">
        <f t="shared" si="13"/>
        <v>SUSENAS24-LAPANGAN-SEMESTER1-PPL-PENDATAAN</v>
      </c>
      <c r="J187" s="10" t="str">
        <f t="array" ref="J187">INDEX(Honor!$H$2:$H800,MATCH($I187,Honor!$A$2:$A800,0))</f>
        <v>Rumah Tangga</v>
      </c>
      <c r="K187" s="66">
        <f t="array" ref="K187">INDEX(Honor!$I$2:$I800,MATCH($I187,Honor!$A$2:$A800,0))</f>
        <v>119000</v>
      </c>
      <c r="L187" s="65">
        <v>20</v>
      </c>
      <c r="M187" s="10">
        <f t="shared" si="0"/>
        <v>2380000</v>
      </c>
      <c r="N187" s="70"/>
      <c r="O187" s="67">
        <f t="array" ref="O187">INDEX(Honor!$L$2:$L800,MATCH($I187,Honor!$A$2:$A800,0))</f>
        <v>45367</v>
      </c>
      <c r="P187" s="10">
        <f t="shared" si="1"/>
        <v>2024</v>
      </c>
      <c r="Q187" s="10">
        <f t="shared" si="2"/>
        <v>3</v>
      </c>
      <c r="R187" s="10" t="str">
        <f t="array" ref="R187">INDEX(Honor!$Q$2:$Q800,MATCH($I187,Honor!$A$2:$A800,0))</f>
        <v>SURVEI-PPL</v>
      </c>
      <c r="S187" s="10" t="str">
        <f t="shared" si="3"/>
        <v>610423040006-2024-3</v>
      </c>
      <c r="T187" s="10" t="str">
        <f t="shared" si="4"/>
        <v>610423040006-2024-3-SURVEI-PPL</v>
      </c>
      <c r="U187" s="64">
        <v>1</v>
      </c>
      <c r="V187" s="10" t="e">
        <f t="array" aca="1" ref="V187" ca="1">INDEX(Honor!$O$2:$O800,MATCH($I187,Honor!$A$2:$A800,0))</f>
        <v>#NAME?</v>
      </c>
      <c r="W187" s="68">
        <v>45376</v>
      </c>
      <c r="X187" s="7" t="str">
        <f t="array" ref="X187">INDEX('Input Kegiatan'!$B$2:$B800,MATCH(B187,'Input Kegiatan'!$A$2:$A800,0))</f>
        <v>Susenas Maret 2024</v>
      </c>
      <c r="Y187" s="7" t="s">
        <v>4931</v>
      </c>
      <c r="Z187" s="7" t="s">
        <v>5104</v>
      </c>
      <c r="AA187" s="68">
        <f t="shared" si="5"/>
        <v>45351</v>
      </c>
      <c r="AB187" s="68">
        <f t="shared" si="6"/>
        <v>45352</v>
      </c>
      <c r="AC187" s="68">
        <f t="shared" si="7"/>
        <v>45382</v>
      </c>
      <c r="AD187" s="68">
        <f t="shared" si="8"/>
        <v>45381</v>
      </c>
      <c r="AE187" s="68">
        <f t="shared" si="9"/>
        <v>45382</v>
      </c>
    </row>
    <row r="188" spans="1:31" ht="12.5">
      <c r="A188" s="125">
        <v>610423040013</v>
      </c>
      <c r="B188" s="64" t="s">
        <v>26</v>
      </c>
      <c r="D188" s="10">
        <f t="array" aca="1" ref="D188" ca="1">INDEX('Mitra per Bulan'!$M$2:$M800,MATCH(S188,'Mitra per Bulan'!$B$2:$B800,0))</f>
        <v>1</v>
      </c>
      <c r="E188" s="10" t="str">
        <f t="array" ref="E188">INDEX('Database Mitra'!$A$2:$A800,MATCH(A188,'Database Mitra'!$B$2:$B800,0))</f>
        <v>Lulu Gesti Gunawati</v>
      </c>
      <c r="F188" s="65" t="s">
        <v>25</v>
      </c>
      <c r="G188" s="5" t="str">
        <f t="array" ref="G188">INDEX('Database Mitra'!$G$2:$G800,MATCH(A188,'Database Mitra'!$B$2:$B800,0))</f>
        <v>3314066101000001</v>
      </c>
      <c r="H188" s="64" t="s">
        <v>67</v>
      </c>
      <c r="I188" s="65" t="str">
        <f t="shared" si="13"/>
        <v>SUSENAS24-LAPANGAN-SEMESTER1-PPL-PENDATAAN</v>
      </c>
      <c r="J188" s="10" t="str">
        <f t="array" ref="J188">INDEX(Honor!$H$2:$H800,MATCH($I188,Honor!$A$2:$A800,0))</f>
        <v>Rumah Tangga</v>
      </c>
      <c r="K188" s="66">
        <f t="array" ref="K188">INDEX(Honor!$I$2:$I800,MATCH($I188,Honor!$A$2:$A800,0))</f>
        <v>119000</v>
      </c>
      <c r="L188" s="65">
        <v>10</v>
      </c>
      <c r="M188" s="10">
        <f t="shared" si="0"/>
        <v>1190000</v>
      </c>
      <c r="N188" s="70"/>
      <c r="O188" s="67">
        <f t="array" ref="O188">INDEX(Honor!$L$2:$L800,MATCH($I188,Honor!$A$2:$A800,0))</f>
        <v>45367</v>
      </c>
      <c r="P188" s="10">
        <f t="shared" si="1"/>
        <v>2024</v>
      </c>
      <c r="Q188" s="10">
        <f t="shared" si="2"/>
        <v>3</v>
      </c>
      <c r="R188" s="10" t="str">
        <f t="array" ref="R188">INDEX(Honor!$Q$2:$Q800,MATCH($I188,Honor!$A$2:$A800,0))</f>
        <v>SURVEI-PPL</v>
      </c>
      <c r="S188" s="10" t="str">
        <f t="shared" si="3"/>
        <v>610423040013-2024-3</v>
      </c>
      <c r="T188" s="10" t="str">
        <f t="shared" si="4"/>
        <v>610423040013-2024-3-SURVEI-PPL</v>
      </c>
      <c r="U188" s="64">
        <v>1</v>
      </c>
      <c r="V188" s="10" t="e">
        <f t="array" aca="1" ref="V188" ca="1">INDEX(Honor!$O$2:$O800,MATCH($I188,Honor!$A$2:$A800,0))</f>
        <v>#NAME?</v>
      </c>
      <c r="W188" s="68">
        <v>45376</v>
      </c>
      <c r="X188" s="7" t="str">
        <f t="array" ref="X188">INDEX('Input Kegiatan'!$B$2:$B800,MATCH(B188,'Input Kegiatan'!$A$2:$A800,0))</f>
        <v>Susenas Maret 2024</v>
      </c>
      <c r="Y188" s="7" t="s">
        <v>5250</v>
      </c>
      <c r="Z188" s="7" t="s">
        <v>5304</v>
      </c>
      <c r="AA188" s="68">
        <f t="shared" si="5"/>
        <v>45351</v>
      </c>
      <c r="AB188" s="68">
        <f t="shared" si="6"/>
        <v>45352</v>
      </c>
      <c r="AC188" s="68">
        <f t="shared" si="7"/>
        <v>45382</v>
      </c>
      <c r="AD188" s="68">
        <f t="shared" si="8"/>
        <v>45381</v>
      </c>
      <c r="AE188" s="68">
        <f t="shared" si="9"/>
        <v>45382</v>
      </c>
    </row>
    <row r="189" spans="1:31" ht="12.5">
      <c r="A189" s="125">
        <v>610423090019</v>
      </c>
      <c r="B189" s="64" t="s">
        <v>26</v>
      </c>
      <c r="D189" s="10">
        <f t="array" aca="1" ref="D189" ca="1">INDEX('Mitra per Bulan'!$M$2:$M800,MATCH(S189,'Mitra per Bulan'!$B$2:$B800,0))</f>
        <v>1</v>
      </c>
      <c r="E189" s="10" t="str">
        <f t="array" ref="E189">INDEX('Database Mitra'!$A$2:$A800,MATCH(A189,'Database Mitra'!$B$2:$B800,0))</f>
        <v>Nurul Huda</v>
      </c>
      <c r="F189" s="65" t="s">
        <v>25</v>
      </c>
      <c r="G189" s="5" t="str">
        <f t="array" ref="G189">INDEX('Database Mitra'!$G$2:$G800,MATCH(A189,'Database Mitra'!$B$2:$B800,0))</f>
        <v>6102014511840003</v>
      </c>
      <c r="H189" s="64" t="s">
        <v>67</v>
      </c>
      <c r="I189" s="65" t="str">
        <f t="shared" si="13"/>
        <v>SUSENAS24-LAPANGAN-SEMESTER1-PPL-PENDATAAN</v>
      </c>
      <c r="J189" s="10" t="str">
        <f t="array" ref="J189">INDEX(Honor!$H$2:$H800,MATCH($I189,Honor!$A$2:$A800,0))</f>
        <v>Rumah Tangga</v>
      </c>
      <c r="K189" s="66">
        <f t="array" ref="K189">INDEX(Honor!$I$2:$I800,MATCH($I189,Honor!$A$2:$A800,0))</f>
        <v>119000</v>
      </c>
      <c r="L189" s="65">
        <v>20</v>
      </c>
      <c r="M189" s="10">
        <f t="shared" si="0"/>
        <v>2380000</v>
      </c>
      <c r="N189" s="70"/>
      <c r="O189" s="67">
        <f t="array" ref="O189">INDEX(Honor!$L$2:$L800,MATCH($I189,Honor!$A$2:$A800,0))</f>
        <v>45367</v>
      </c>
      <c r="P189" s="10">
        <f t="shared" si="1"/>
        <v>2024</v>
      </c>
      <c r="Q189" s="10">
        <f t="shared" si="2"/>
        <v>3</v>
      </c>
      <c r="R189" s="10" t="str">
        <f t="array" ref="R189">INDEX(Honor!$Q$2:$Q800,MATCH($I189,Honor!$A$2:$A800,0))</f>
        <v>SURVEI-PPL</v>
      </c>
      <c r="S189" s="10" t="str">
        <f t="shared" si="3"/>
        <v>610423090019-2024-3</v>
      </c>
      <c r="T189" s="10" t="str">
        <f t="shared" si="4"/>
        <v>610423090019-2024-3-SURVEI-PPL</v>
      </c>
      <c r="U189" s="64">
        <v>1</v>
      </c>
      <c r="V189" s="10" t="e">
        <f t="array" aca="1" ref="V189" ca="1">INDEX(Honor!$O$2:$O800,MATCH($I189,Honor!$A$2:$A800,0))</f>
        <v>#NAME?</v>
      </c>
      <c r="W189" s="68">
        <v>45376</v>
      </c>
      <c r="X189" s="7" t="str">
        <f t="array" ref="X189">INDEX('Input Kegiatan'!$B$2:$B800,MATCH(B189,'Input Kegiatan'!$A$2:$A800,0))</f>
        <v>Susenas Maret 2024</v>
      </c>
      <c r="Y189" s="7" t="s">
        <v>4572</v>
      </c>
      <c r="Z189" s="7" t="s">
        <v>4586</v>
      </c>
      <c r="AA189" s="68">
        <f t="shared" si="5"/>
        <v>45351</v>
      </c>
      <c r="AB189" s="68">
        <f t="shared" si="6"/>
        <v>45352</v>
      </c>
      <c r="AC189" s="68">
        <f t="shared" si="7"/>
        <v>45382</v>
      </c>
      <c r="AD189" s="68">
        <f t="shared" si="8"/>
        <v>45381</v>
      </c>
      <c r="AE189" s="68">
        <f t="shared" si="9"/>
        <v>45382</v>
      </c>
    </row>
    <row r="190" spans="1:31" ht="12.5">
      <c r="A190" s="125">
        <v>610422100165</v>
      </c>
      <c r="B190" s="64" t="s">
        <v>26</v>
      </c>
      <c r="D190" s="10">
        <f t="array" aca="1" ref="D190" ca="1">INDEX('Mitra per Bulan'!$M$2:$M800,MATCH(S190,'Mitra per Bulan'!$B$2:$B800,0))</f>
        <v>1</v>
      </c>
      <c r="E190" s="10" t="str">
        <f t="array" ref="E190">INDEX('Database Mitra'!$A$2:$A800,MATCH(A190,'Database Mitra'!$B$2:$B800,0))</f>
        <v>Yanti</v>
      </c>
      <c r="F190" s="65" t="s">
        <v>25</v>
      </c>
      <c r="G190" s="5" t="str">
        <f t="array" ref="G190">INDEX('Database Mitra'!$G$2:$G800,MATCH(A190,'Database Mitra'!$B$2:$B800,0))</f>
        <v>6102074803980002</v>
      </c>
      <c r="H190" s="64" t="s">
        <v>67</v>
      </c>
      <c r="I190" s="65" t="str">
        <f t="shared" si="13"/>
        <v>SUSENAS24-LAPANGAN-SEMESTER1-PPL-PENDATAAN</v>
      </c>
      <c r="J190" s="10" t="str">
        <f t="array" ref="J190">INDEX(Honor!$H$2:$H800,MATCH($I190,Honor!$A$2:$A800,0))</f>
        <v>Rumah Tangga</v>
      </c>
      <c r="K190" s="66">
        <f t="array" ref="K190">INDEX(Honor!$I$2:$I800,MATCH($I190,Honor!$A$2:$A800,0))</f>
        <v>119000</v>
      </c>
      <c r="L190" s="65">
        <v>20</v>
      </c>
      <c r="M190" s="10">
        <f t="shared" si="0"/>
        <v>2380000</v>
      </c>
      <c r="N190" s="70"/>
      <c r="O190" s="67">
        <f t="array" ref="O190">INDEX(Honor!$L$2:$L800,MATCH($I190,Honor!$A$2:$A800,0))</f>
        <v>45367</v>
      </c>
      <c r="P190" s="10">
        <f t="shared" si="1"/>
        <v>2024</v>
      </c>
      <c r="Q190" s="10">
        <f t="shared" si="2"/>
        <v>3</v>
      </c>
      <c r="R190" s="10" t="str">
        <f t="array" ref="R190">INDEX(Honor!$Q$2:$Q800,MATCH($I190,Honor!$A$2:$A800,0))</f>
        <v>SURVEI-PPL</v>
      </c>
      <c r="S190" s="10" t="str">
        <f t="shared" si="3"/>
        <v>610422100165-2024-3</v>
      </c>
      <c r="T190" s="10" t="str">
        <f t="shared" si="4"/>
        <v>610422100165-2024-3-SURVEI-PPL</v>
      </c>
      <c r="U190" s="64">
        <v>1</v>
      </c>
      <c r="V190" s="10" t="e">
        <f t="array" aca="1" ref="V190" ca="1">INDEX(Honor!$O$2:$O800,MATCH($I190,Honor!$A$2:$A800,0))</f>
        <v>#NAME?</v>
      </c>
      <c r="W190" s="68">
        <v>45376</v>
      </c>
      <c r="X190" s="7" t="str">
        <f t="array" ref="X190">INDEX('Input Kegiatan'!$B$2:$B800,MATCH(B190,'Input Kegiatan'!$A$2:$A800,0))</f>
        <v>Susenas Maret 2024</v>
      </c>
      <c r="Y190" s="7" t="s">
        <v>3990</v>
      </c>
      <c r="Z190" s="7" t="s">
        <v>4332</v>
      </c>
      <c r="AA190" s="68">
        <f t="shared" si="5"/>
        <v>45351</v>
      </c>
      <c r="AB190" s="68">
        <f t="shared" si="6"/>
        <v>45352</v>
      </c>
      <c r="AC190" s="68">
        <f t="shared" si="7"/>
        <v>45382</v>
      </c>
      <c r="AD190" s="68">
        <f t="shared" si="8"/>
        <v>45381</v>
      </c>
      <c r="AE190" s="68">
        <f t="shared" si="9"/>
        <v>45382</v>
      </c>
    </row>
    <row r="191" spans="1:31" ht="12.5">
      <c r="A191" s="125">
        <v>610422100139</v>
      </c>
      <c r="B191" s="64" t="s">
        <v>26</v>
      </c>
      <c r="D191" s="10">
        <f t="array" aca="1" ref="D191" ca="1">INDEX('Mitra per Bulan'!$M$2:$M800,MATCH(S191,'Mitra per Bulan'!$B$2:$B800,0))</f>
        <v>1</v>
      </c>
      <c r="E191" s="10" t="str">
        <f t="array" ref="E191">INDEX('Database Mitra'!$A$2:$A800,MATCH(A191,'Database Mitra'!$B$2:$B800,0))</f>
        <v>Winda Dwi Ananda</v>
      </c>
      <c r="F191" s="65" t="s">
        <v>25</v>
      </c>
      <c r="G191" s="5" t="str">
        <f t="array" ref="G191">INDEX('Database Mitra'!$G$2:$G800,MATCH(A191,'Database Mitra'!$B$2:$B800,0))</f>
        <v>6102016812990001</v>
      </c>
      <c r="H191" s="64" t="s">
        <v>67</v>
      </c>
      <c r="I191" s="65" t="str">
        <f t="shared" si="13"/>
        <v>SUSENAS24-LAPANGAN-SEMESTER1-PPL-PENDATAAN</v>
      </c>
      <c r="J191" s="10" t="str">
        <f t="array" ref="J191">INDEX(Honor!$H$2:$H800,MATCH($I191,Honor!$A$2:$A800,0))</f>
        <v>Rumah Tangga</v>
      </c>
      <c r="K191" s="66">
        <f t="array" ref="K191">INDEX(Honor!$I$2:$I800,MATCH($I191,Honor!$A$2:$A800,0))</f>
        <v>119000</v>
      </c>
      <c r="L191" s="64">
        <v>10</v>
      </c>
      <c r="M191" s="10">
        <f t="shared" si="0"/>
        <v>1190000</v>
      </c>
      <c r="N191" s="70"/>
      <c r="O191" s="67">
        <f t="array" ref="O191">INDEX(Honor!$L$2:$L800,MATCH($I191,Honor!$A$2:$A800,0))</f>
        <v>45367</v>
      </c>
      <c r="P191" s="10">
        <f t="shared" si="1"/>
        <v>2024</v>
      </c>
      <c r="Q191" s="10">
        <f t="shared" si="2"/>
        <v>3</v>
      </c>
      <c r="R191" s="10" t="str">
        <f t="array" ref="R191">INDEX(Honor!$Q$2:$Q800,MATCH($I191,Honor!$A$2:$A800,0))</f>
        <v>SURVEI-PPL</v>
      </c>
      <c r="S191" s="10" t="str">
        <f t="shared" si="3"/>
        <v>610422100139-2024-3</v>
      </c>
      <c r="T191" s="10" t="str">
        <f t="shared" si="4"/>
        <v>610422100139-2024-3-SURVEI-PPL</v>
      </c>
      <c r="U191" s="64">
        <v>1</v>
      </c>
      <c r="V191" s="10" t="e">
        <f t="array" aca="1" ref="V191" ca="1">INDEX(Honor!$O$2:$O800,MATCH($I191,Honor!$A$2:$A800,0))</f>
        <v>#NAME?</v>
      </c>
      <c r="W191" s="68">
        <v>45376</v>
      </c>
      <c r="X191" s="7" t="str">
        <f t="array" ref="X191">INDEX('Input Kegiatan'!$B$2:$B800,MATCH(B191,'Input Kegiatan'!$A$2:$A800,0))</f>
        <v>Susenas Maret 2024</v>
      </c>
      <c r="Y191" s="7" t="s">
        <v>4572</v>
      </c>
      <c r="Z191" s="7" t="s">
        <v>4814</v>
      </c>
      <c r="AA191" s="68">
        <f t="shared" si="5"/>
        <v>45351</v>
      </c>
      <c r="AB191" s="68">
        <f t="shared" si="6"/>
        <v>45352</v>
      </c>
      <c r="AC191" s="68">
        <f t="shared" si="7"/>
        <v>45382</v>
      </c>
      <c r="AD191" s="68">
        <f t="shared" si="8"/>
        <v>45381</v>
      </c>
      <c r="AE191" s="68">
        <f t="shared" si="9"/>
        <v>45382</v>
      </c>
    </row>
    <row r="192" spans="1:31" ht="12.5">
      <c r="A192" s="125">
        <v>610422100137</v>
      </c>
      <c r="B192" s="64" t="s">
        <v>26</v>
      </c>
      <c r="D192" s="10">
        <f t="array" aca="1" ref="D192" ca="1">INDEX('Mitra per Bulan'!$M$2:$M800,MATCH(S192,'Mitra per Bulan'!$B$2:$B800,0))</f>
        <v>1</v>
      </c>
      <c r="E192" s="10" t="str">
        <f t="array" ref="E192">INDEX('Database Mitra'!$A$2:$A800,MATCH(A192,'Database Mitra'!$B$2:$B800,0))</f>
        <v>Masturi</v>
      </c>
      <c r="F192" s="65" t="s">
        <v>25</v>
      </c>
      <c r="G192" s="5" t="str">
        <f t="array" ref="G192">INDEX('Database Mitra'!$G$2:$G800,MATCH(A192,'Database Mitra'!$B$2:$B800,0))</f>
        <v>6102060709870002</v>
      </c>
      <c r="H192" s="64" t="s">
        <v>67</v>
      </c>
      <c r="I192" s="65" t="str">
        <f t="shared" si="13"/>
        <v>SUSENAS24-LAPANGAN-SEMESTER1-PPL-PENDATAAN</v>
      </c>
      <c r="J192" s="10" t="str">
        <f t="array" ref="J192">INDEX(Honor!$H$2:$H800,MATCH($I192,Honor!$A$2:$A800,0))</f>
        <v>Rumah Tangga</v>
      </c>
      <c r="K192" s="66">
        <f t="array" ref="K192">INDEX(Honor!$I$2:$I800,MATCH($I192,Honor!$A$2:$A800,0))</f>
        <v>119000</v>
      </c>
      <c r="L192" s="65">
        <v>10</v>
      </c>
      <c r="M192" s="10">
        <f t="shared" si="0"/>
        <v>1190000</v>
      </c>
      <c r="N192" s="70"/>
      <c r="O192" s="67">
        <f t="array" ref="O192">INDEX(Honor!$L$2:$L800,MATCH($I192,Honor!$A$2:$A800,0))</f>
        <v>45367</v>
      </c>
      <c r="P192" s="10">
        <f t="shared" si="1"/>
        <v>2024</v>
      </c>
      <c r="Q192" s="10">
        <f t="shared" si="2"/>
        <v>3</v>
      </c>
      <c r="R192" s="10" t="str">
        <f t="array" ref="R192">INDEX(Honor!$Q$2:$Q800,MATCH($I192,Honor!$A$2:$A800,0))</f>
        <v>SURVEI-PPL</v>
      </c>
      <c r="S192" s="10" t="str">
        <f t="shared" si="3"/>
        <v>610422100137-2024-3</v>
      </c>
      <c r="T192" s="10" t="str">
        <f t="shared" si="4"/>
        <v>610422100137-2024-3-SURVEI-PPL</v>
      </c>
      <c r="U192" s="64">
        <v>1</v>
      </c>
      <c r="V192" s="10" t="e">
        <f t="array" aca="1" ref="V192" ca="1">INDEX(Honor!$O$2:$O800,MATCH($I192,Honor!$A$2:$A800,0))</f>
        <v>#NAME?</v>
      </c>
      <c r="W192" s="68">
        <v>45376</v>
      </c>
      <c r="X192" s="7" t="str">
        <f t="array" ref="X192">INDEX('Input Kegiatan'!$B$2:$B800,MATCH(B192,'Input Kegiatan'!$A$2:$A800,0))</f>
        <v>Susenas Maret 2024</v>
      </c>
      <c r="Y192" s="7" t="s">
        <v>5534</v>
      </c>
      <c r="Z192" s="7" t="s">
        <v>5535</v>
      </c>
      <c r="AA192" s="68">
        <f t="shared" si="5"/>
        <v>45351</v>
      </c>
      <c r="AB192" s="68">
        <f t="shared" si="6"/>
        <v>45352</v>
      </c>
      <c r="AC192" s="68">
        <f t="shared" si="7"/>
        <v>45382</v>
      </c>
      <c r="AD192" s="68">
        <f t="shared" si="8"/>
        <v>45381</v>
      </c>
      <c r="AE192" s="68">
        <f t="shared" si="9"/>
        <v>45382</v>
      </c>
    </row>
    <row r="193" spans="1:31" ht="12.5">
      <c r="A193" s="125">
        <v>610422100144</v>
      </c>
      <c r="B193" s="64" t="s">
        <v>26</v>
      </c>
      <c r="D193" s="10">
        <f t="array" aca="1" ref="D193" ca="1">INDEX('Mitra per Bulan'!$M$2:$M800,MATCH(S193,'Mitra per Bulan'!$B$2:$B800,0))</f>
        <v>1</v>
      </c>
      <c r="E193" s="10" t="str">
        <f t="array" ref="E193">INDEX('Database Mitra'!$A$2:$A800,MATCH(A193,'Database Mitra'!$B$2:$B800,0))</f>
        <v>Irfan Faozi Sunaryo</v>
      </c>
      <c r="F193" s="65" t="s">
        <v>25</v>
      </c>
      <c r="G193" s="5" t="str">
        <f t="array" ref="G193">INDEX('Database Mitra'!$G$2:$G800,MATCH(A193,'Database Mitra'!$B$2:$B800,0))</f>
        <v>6102122710990001</v>
      </c>
      <c r="H193" s="64" t="s">
        <v>67</v>
      </c>
      <c r="I193" s="65" t="str">
        <f t="shared" si="13"/>
        <v>SUSENAS24-LAPANGAN-SEMESTER1-PPL-PENDATAAN</v>
      </c>
      <c r="J193" s="10" t="str">
        <f t="array" ref="J193">INDEX(Honor!$H$2:$H800,MATCH($I193,Honor!$A$2:$A800,0))</f>
        <v>Rumah Tangga</v>
      </c>
      <c r="K193" s="66">
        <f t="array" ref="K193">INDEX(Honor!$I$2:$I800,MATCH($I193,Honor!$A$2:$A800,0))</f>
        <v>119000</v>
      </c>
      <c r="L193" s="64">
        <v>10</v>
      </c>
      <c r="M193" s="10">
        <f t="shared" si="0"/>
        <v>1190000</v>
      </c>
      <c r="N193" s="70"/>
      <c r="O193" s="67">
        <f t="array" ref="O193">INDEX(Honor!$L$2:$L800,MATCH($I193,Honor!$A$2:$A800,0))</f>
        <v>45367</v>
      </c>
      <c r="P193" s="10">
        <f t="shared" si="1"/>
        <v>2024</v>
      </c>
      <c r="Q193" s="10">
        <f t="shared" si="2"/>
        <v>3</v>
      </c>
      <c r="R193" s="10" t="str">
        <f t="array" ref="R193">INDEX(Honor!$Q$2:$Q800,MATCH($I193,Honor!$A$2:$A800,0))</f>
        <v>SURVEI-PPL</v>
      </c>
      <c r="S193" s="10" t="str">
        <f t="shared" si="3"/>
        <v>610422100144-2024-3</v>
      </c>
      <c r="T193" s="10" t="str">
        <f t="shared" si="4"/>
        <v>610422100144-2024-3-SURVEI-PPL</v>
      </c>
      <c r="U193" s="64">
        <v>1</v>
      </c>
      <c r="V193" s="10" t="e">
        <f t="array" aca="1" ref="V193" ca="1">INDEX(Honor!$O$2:$O800,MATCH($I193,Honor!$A$2:$A800,0))</f>
        <v>#NAME?</v>
      </c>
      <c r="W193" s="68">
        <v>45376</v>
      </c>
      <c r="X193" s="7" t="str">
        <f t="array" ref="X193">INDEX('Input Kegiatan'!$B$2:$B800,MATCH(B193,'Input Kegiatan'!$A$2:$A800,0))</f>
        <v>Susenas Maret 2024</v>
      </c>
      <c r="Y193" s="7" t="s">
        <v>5250</v>
      </c>
      <c r="Z193" s="7" t="s">
        <v>5488</v>
      </c>
      <c r="AA193" s="68">
        <f t="shared" si="5"/>
        <v>45351</v>
      </c>
      <c r="AB193" s="68">
        <f t="shared" si="6"/>
        <v>45352</v>
      </c>
      <c r="AC193" s="68">
        <f t="shared" si="7"/>
        <v>45382</v>
      </c>
      <c r="AD193" s="68">
        <f t="shared" si="8"/>
        <v>45381</v>
      </c>
      <c r="AE193" s="68">
        <f t="shared" si="9"/>
        <v>45382</v>
      </c>
    </row>
    <row r="194" spans="1:31" ht="12.5">
      <c r="A194" s="125">
        <v>610422100236</v>
      </c>
      <c r="B194" s="64" t="s">
        <v>26</v>
      </c>
      <c r="D194" s="10">
        <f t="array" aca="1" ref="D194" ca="1">INDEX('Mitra per Bulan'!$M$2:$M800,MATCH(S194,'Mitra per Bulan'!$B$2:$B800,0))</f>
        <v>1</v>
      </c>
      <c r="E194" s="10" t="str">
        <f t="array" ref="E194">INDEX('Database Mitra'!$A$2:$A800,MATCH(A194,'Database Mitra'!$B$2:$B800,0))</f>
        <v>Tesa</v>
      </c>
      <c r="F194" s="65" t="s">
        <v>25</v>
      </c>
      <c r="G194" s="5" t="str">
        <f t="array" ref="G194">INDEX('Database Mitra'!$G$2:$G800,MATCH(A194,'Database Mitra'!$B$2:$B800,0))</f>
        <v>6102174604010003</v>
      </c>
      <c r="H194" s="64" t="s">
        <v>67</v>
      </c>
      <c r="I194" s="65" t="str">
        <f t="shared" si="13"/>
        <v>SUSENAS24-LAPANGAN-SEMESTER1-PPL-PENDATAAN</v>
      </c>
      <c r="J194" s="10" t="str">
        <f t="array" ref="J194">INDEX(Honor!$H$2:$H800,MATCH($I194,Honor!$A$2:$A800,0))</f>
        <v>Rumah Tangga</v>
      </c>
      <c r="K194" s="66">
        <f t="array" ref="K194">INDEX(Honor!$I$2:$I800,MATCH($I194,Honor!$A$2:$A800,0))</f>
        <v>119000</v>
      </c>
      <c r="L194" s="65">
        <v>20</v>
      </c>
      <c r="M194" s="10">
        <f t="shared" si="0"/>
        <v>2380000</v>
      </c>
      <c r="N194" s="70"/>
      <c r="O194" s="67">
        <f t="array" ref="O194">INDEX(Honor!$L$2:$L800,MATCH($I194,Honor!$A$2:$A800,0))</f>
        <v>45367</v>
      </c>
      <c r="P194" s="10">
        <f t="shared" si="1"/>
        <v>2024</v>
      </c>
      <c r="Q194" s="10">
        <f t="shared" si="2"/>
        <v>3</v>
      </c>
      <c r="R194" s="10" t="str">
        <f t="array" ref="R194">INDEX(Honor!$Q$2:$Q800,MATCH($I194,Honor!$A$2:$A800,0))</f>
        <v>SURVEI-PPL</v>
      </c>
      <c r="S194" s="10" t="str">
        <f t="shared" si="3"/>
        <v>610422100236-2024-3</v>
      </c>
      <c r="T194" s="10" t="str">
        <f t="shared" si="4"/>
        <v>610422100236-2024-3-SURVEI-PPL</v>
      </c>
      <c r="U194" s="64">
        <v>1</v>
      </c>
      <c r="V194" s="10" t="e">
        <f t="array" aca="1" ref="V194" ca="1">INDEX(Honor!$O$2:$O800,MATCH($I194,Honor!$A$2:$A800,0))</f>
        <v>#NAME?</v>
      </c>
      <c r="W194" s="68">
        <v>45376</v>
      </c>
      <c r="X194" s="7" t="str">
        <f t="array" ref="X194">INDEX('Input Kegiatan'!$B$2:$B800,MATCH(B194,'Input Kegiatan'!$A$2:$A800,0))</f>
        <v>Susenas Maret 2024</v>
      </c>
      <c r="Y194" s="7" t="s">
        <v>5741</v>
      </c>
      <c r="Z194" s="7" t="s">
        <v>5742</v>
      </c>
      <c r="AA194" s="68">
        <f t="shared" si="5"/>
        <v>45351</v>
      </c>
      <c r="AB194" s="68">
        <f t="shared" si="6"/>
        <v>45352</v>
      </c>
      <c r="AC194" s="68">
        <f t="shared" si="7"/>
        <v>45382</v>
      </c>
      <c r="AD194" s="68">
        <f t="shared" si="8"/>
        <v>45381</v>
      </c>
      <c r="AE194" s="68">
        <f t="shared" si="9"/>
        <v>45382</v>
      </c>
    </row>
    <row r="195" spans="1:31" ht="12.5">
      <c r="A195" s="125">
        <v>610422100016</v>
      </c>
      <c r="B195" s="64" t="s">
        <v>26</v>
      </c>
      <c r="D195" s="10">
        <f t="array" aca="1" ref="D195" ca="1">INDEX('Mitra per Bulan'!$M$2:$M800,MATCH(S195,'Mitra per Bulan'!$B$2:$B800,0))</f>
        <v>1</v>
      </c>
      <c r="E195" s="10" t="str">
        <f t="array" ref="E195">INDEX('Database Mitra'!$A$2:$A800,MATCH(A195,'Database Mitra'!$B$2:$B800,0))</f>
        <v>Amalia Faisya</v>
      </c>
      <c r="F195" s="65" t="s">
        <v>25</v>
      </c>
      <c r="G195" s="5" t="str">
        <f t="array" ref="G195">INDEX('Database Mitra'!$G$2:$G800,MATCH(A195,'Database Mitra'!$B$2:$B800,0))</f>
        <v>6102124210010005</v>
      </c>
      <c r="H195" s="64" t="s">
        <v>67</v>
      </c>
      <c r="I195" s="65" t="str">
        <f t="shared" si="13"/>
        <v>SUSENAS24-LAPANGAN-SEMESTER1-PPL-PENDATAAN</v>
      </c>
      <c r="J195" s="10" t="str">
        <f t="array" ref="J195">INDEX(Honor!$H$2:$H800,MATCH($I195,Honor!$A$2:$A800,0))</f>
        <v>Rumah Tangga</v>
      </c>
      <c r="K195" s="66">
        <f t="array" ref="K195">INDEX(Honor!$I$2:$I800,MATCH($I195,Honor!$A$2:$A800,0))</f>
        <v>119000</v>
      </c>
      <c r="L195" s="65">
        <v>20</v>
      </c>
      <c r="M195" s="10">
        <f t="shared" si="0"/>
        <v>2380000</v>
      </c>
      <c r="N195" s="70"/>
      <c r="O195" s="67">
        <f t="array" ref="O195">INDEX(Honor!$L$2:$L800,MATCH($I195,Honor!$A$2:$A800,0))</f>
        <v>45367</v>
      </c>
      <c r="P195" s="10">
        <f t="shared" si="1"/>
        <v>2024</v>
      </c>
      <c r="Q195" s="10">
        <f t="shared" si="2"/>
        <v>3</v>
      </c>
      <c r="R195" s="10" t="str">
        <f t="array" ref="R195">INDEX(Honor!$Q$2:$Q800,MATCH($I195,Honor!$A$2:$A800,0))</f>
        <v>SURVEI-PPL</v>
      </c>
      <c r="S195" s="10" t="str">
        <f t="shared" si="3"/>
        <v>610422100016-2024-3</v>
      </c>
      <c r="T195" s="10" t="str">
        <f t="shared" si="4"/>
        <v>610422100016-2024-3-SURVEI-PPL</v>
      </c>
      <c r="U195" s="64">
        <v>1</v>
      </c>
      <c r="V195" s="10" t="e">
        <f t="array" aca="1" ref="V195" ca="1">INDEX(Honor!$O$2:$O800,MATCH($I195,Honor!$A$2:$A800,0))</f>
        <v>#NAME?</v>
      </c>
      <c r="W195" s="68">
        <v>45376</v>
      </c>
      <c r="X195" s="7" t="str">
        <f t="array" ref="X195">INDEX('Input Kegiatan'!$B$2:$B800,MATCH(B195,'Input Kegiatan'!$A$2:$A800,0))</f>
        <v>Susenas Maret 2024</v>
      </c>
      <c r="Y195" s="7" t="s">
        <v>5250</v>
      </c>
      <c r="Z195" s="7" t="s">
        <v>5365</v>
      </c>
      <c r="AA195" s="68">
        <f t="shared" si="5"/>
        <v>45351</v>
      </c>
      <c r="AB195" s="68">
        <f t="shared" si="6"/>
        <v>45352</v>
      </c>
      <c r="AC195" s="68">
        <f t="shared" si="7"/>
        <v>45382</v>
      </c>
      <c r="AD195" s="68">
        <f t="shared" si="8"/>
        <v>45381</v>
      </c>
      <c r="AE195" s="68">
        <f t="shared" si="9"/>
        <v>45382</v>
      </c>
    </row>
    <row r="196" spans="1:31" ht="12.5">
      <c r="A196" s="125">
        <v>610422100101</v>
      </c>
      <c r="B196" s="64" t="s">
        <v>26</v>
      </c>
      <c r="D196" s="10">
        <f t="array" aca="1" ref="D196" ca="1">INDEX('Mitra per Bulan'!$M$2:$M800,MATCH(S196,'Mitra per Bulan'!$B$2:$B800,0))</f>
        <v>1</v>
      </c>
      <c r="E196" s="10" t="str">
        <f t="array" ref="E196">INDEX('Database Mitra'!$A$2:$A800,MATCH(A196,'Database Mitra'!$B$2:$B800,0))</f>
        <v>Sukmawati,S.Si</v>
      </c>
      <c r="F196" s="65" t="s">
        <v>25</v>
      </c>
      <c r="G196" s="5" t="str">
        <f t="array" ref="G196">INDEX('Database Mitra'!$G$2:$G800,MATCH(A196,'Database Mitra'!$B$2:$B800,0))</f>
        <v>3402135601880001</v>
      </c>
      <c r="H196" s="64" t="s">
        <v>67</v>
      </c>
      <c r="I196" s="65" t="str">
        <f t="shared" si="13"/>
        <v>SUSENAS24-LAPANGAN-SEMESTER1-PPL-PENDATAAN</v>
      </c>
      <c r="J196" s="10" t="str">
        <f t="array" ref="J196">INDEX(Honor!$H$2:$H800,MATCH($I196,Honor!$A$2:$A800,0))</f>
        <v>Rumah Tangga</v>
      </c>
      <c r="K196" s="66">
        <f t="array" ref="K196">INDEX(Honor!$I$2:$I800,MATCH($I196,Honor!$A$2:$A800,0))</f>
        <v>119000</v>
      </c>
      <c r="L196" s="64">
        <v>20</v>
      </c>
      <c r="M196" s="10">
        <f t="shared" si="0"/>
        <v>2380000</v>
      </c>
      <c r="N196" s="70"/>
      <c r="O196" s="67">
        <f t="array" ref="O196">INDEX(Honor!$L$2:$L800,MATCH($I196,Honor!$A$2:$A800,0))</f>
        <v>45367</v>
      </c>
      <c r="P196" s="10">
        <f t="shared" si="1"/>
        <v>2024</v>
      </c>
      <c r="Q196" s="10">
        <f t="shared" si="2"/>
        <v>3</v>
      </c>
      <c r="R196" s="10" t="str">
        <f t="array" ref="R196">INDEX(Honor!$Q$2:$Q800,MATCH($I196,Honor!$A$2:$A800,0))</f>
        <v>SURVEI-PPL</v>
      </c>
      <c r="S196" s="10" t="str">
        <f t="shared" si="3"/>
        <v>610422100101-2024-3</v>
      </c>
      <c r="T196" s="10" t="str">
        <f t="shared" si="4"/>
        <v>610422100101-2024-3-SURVEI-PPL</v>
      </c>
      <c r="U196" s="64">
        <v>1</v>
      </c>
      <c r="V196" s="10" t="e">
        <f t="array" aca="1" ref="V196" ca="1">INDEX(Honor!$O$2:$O800,MATCH($I196,Honor!$A$2:$A800,0))</f>
        <v>#NAME?</v>
      </c>
      <c r="W196" s="68">
        <v>45376</v>
      </c>
      <c r="X196" s="7" t="str">
        <f t="array" ref="X196">INDEX('Input Kegiatan'!$B$2:$B800,MATCH(B196,'Input Kegiatan'!$A$2:$A800,0))</f>
        <v>Susenas Maret 2024</v>
      </c>
      <c r="Y196" s="7" t="s">
        <v>4408</v>
      </c>
      <c r="Z196" s="7" t="s">
        <v>4409</v>
      </c>
      <c r="AA196" s="68">
        <f t="shared" si="5"/>
        <v>45351</v>
      </c>
      <c r="AB196" s="68">
        <f t="shared" si="6"/>
        <v>45352</v>
      </c>
      <c r="AC196" s="68">
        <f t="shared" si="7"/>
        <v>45382</v>
      </c>
      <c r="AD196" s="68">
        <f t="shared" si="8"/>
        <v>45381</v>
      </c>
      <c r="AE196" s="68">
        <f t="shared" si="9"/>
        <v>45382</v>
      </c>
    </row>
    <row r="197" spans="1:31" ht="12.5">
      <c r="A197" s="125">
        <v>610422100147</v>
      </c>
      <c r="B197" s="64" t="s">
        <v>26</v>
      </c>
      <c r="D197" s="10">
        <f t="array" aca="1" ref="D197" ca="1">INDEX('Mitra per Bulan'!$M$2:$M800,MATCH(S197,'Mitra per Bulan'!$B$2:$B800,0))</f>
        <v>1</v>
      </c>
      <c r="E197" s="10" t="str">
        <f t="array" ref="E197">INDEX('Database Mitra'!$A$2:$A800,MATCH(A197,'Database Mitra'!$B$2:$B800,0))</f>
        <v>Bella</v>
      </c>
      <c r="F197" s="65" t="s">
        <v>25</v>
      </c>
      <c r="G197" s="5" t="str">
        <f t="array" ref="G197">INDEX('Database Mitra'!$G$2:$G800,MATCH(A197,'Database Mitra'!$B$2:$B800,0))</f>
        <v>6102067009940001</v>
      </c>
      <c r="H197" s="64" t="s">
        <v>67</v>
      </c>
      <c r="I197" s="65" t="str">
        <f t="shared" si="13"/>
        <v>SUSENAS24-LAPANGAN-SEMESTER1-PPL-PENDATAAN</v>
      </c>
      <c r="J197" s="10" t="str">
        <f t="array" ref="J197">INDEX(Honor!$H$2:$H800,MATCH($I197,Honor!$A$2:$A800,0))</f>
        <v>Rumah Tangga</v>
      </c>
      <c r="K197" s="66">
        <f t="array" ref="K197">INDEX(Honor!$I$2:$I800,MATCH($I197,Honor!$A$2:$A800,0))</f>
        <v>119000</v>
      </c>
      <c r="L197" s="64">
        <v>20</v>
      </c>
      <c r="M197" s="10">
        <f t="shared" si="0"/>
        <v>2380000</v>
      </c>
      <c r="N197" s="70"/>
      <c r="O197" s="67">
        <f t="array" ref="O197">INDEX(Honor!$L$2:$L800,MATCH($I197,Honor!$A$2:$A800,0))</f>
        <v>45367</v>
      </c>
      <c r="P197" s="10">
        <f t="shared" si="1"/>
        <v>2024</v>
      </c>
      <c r="Q197" s="10">
        <f t="shared" si="2"/>
        <v>3</v>
      </c>
      <c r="R197" s="10" t="str">
        <f t="array" ref="R197">INDEX(Honor!$Q$2:$Q800,MATCH($I197,Honor!$A$2:$A800,0))</f>
        <v>SURVEI-PPL</v>
      </c>
      <c r="S197" s="10" t="str">
        <f t="shared" si="3"/>
        <v>610422100147-2024-3</v>
      </c>
      <c r="T197" s="10" t="str">
        <f t="shared" si="4"/>
        <v>610422100147-2024-3-SURVEI-PPL</v>
      </c>
      <c r="U197" s="64">
        <v>1</v>
      </c>
      <c r="V197" s="10" t="e">
        <f t="array" aca="1" ref="V197" ca="1">INDEX(Honor!$O$2:$O800,MATCH($I197,Honor!$A$2:$A800,0))</f>
        <v>#NAME?</v>
      </c>
      <c r="W197" s="68">
        <v>45376</v>
      </c>
      <c r="X197" s="7" t="str">
        <f t="array" ref="X197">INDEX('Input Kegiatan'!$B$2:$B800,MATCH(B197,'Input Kegiatan'!$A$2:$A800,0))</f>
        <v>Susenas Maret 2024</v>
      </c>
      <c r="Y197" s="7" t="s">
        <v>5534</v>
      </c>
      <c r="Z197" s="7" t="s">
        <v>5714</v>
      </c>
      <c r="AA197" s="68">
        <f t="shared" si="5"/>
        <v>45351</v>
      </c>
      <c r="AB197" s="68">
        <f t="shared" si="6"/>
        <v>45352</v>
      </c>
      <c r="AC197" s="68">
        <f t="shared" si="7"/>
        <v>45382</v>
      </c>
      <c r="AD197" s="68">
        <f t="shared" si="8"/>
        <v>45381</v>
      </c>
      <c r="AE197" s="68">
        <f t="shared" si="9"/>
        <v>45382</v>
      </c>
    </row>
    <row r="198" spans="1:31" ht="12.5">
      <c r="A198" s="125">
        <v>610422050008</v>
      </c>
      <c r="B198" s="64" t="s">
        <v>26</v>
      </c>
      <c r="D198" s="10">
        <f t="array" aca="1" ref="D198" ca="1">INDEX('Mitra per Bulan'!$M$2:$M800,MATCH(S198,'Mitra per Bulan'!$B$2:$B800,0))</f>
        <v>1</v>
      </c>
      <c r="E198" s="10" t="str">
        <f t="array" ref="E198">INDEX('Database Mitra'!$A$2:$A800,MATCH(A198,'Database Mitra'!$B$2:$B800,0))</f>
        <v>Desi Natalia</v>
      </c>
      <c r="F198" s="65" t="s">
        <v>25</v>
      </c>
      <c r="G198" s="5" t="str">
        <f t="array" ref="G198">INDEX('Database Mitra'!$G$2:$G800,MATCH(A198,'Database Mitra'!$B$2:$B800,0))</f>
        <v>6102066912860001</v>
      </c>
      <c r="H198" s="64" t="s">
        <v>67</v>
      </c>
      <c r="I198" s="65" t="str">
        <f t="shared" si="13"/>
        <v>SUSENAS24-LAPANGAN-SEMESTER1-PPL-PENDATAAN</v>
      </c>
      <c r="J198" s="10" t="str">
        <f t="array" ref="J198">INDEX(Honor!$H$2:$H800,MATCH($I198,Honor!$A$2:$A800,0))</f>
        <v>Rumah Tangga</v>
      </c>
      <c r="K198" s="66">
        <f t="array" ref="K198">INDEX(Honor!$I$2:$I800,MATCH($I198,Honor!$A$2:$A800,0))</f>
        <v>119000</v>
      </c>
      <c r="L198" s="65">
        <v>20</v>
      </c>
      <c r="M198" s="10">
        <f t="shared" si="0"/>
        <v>2380000</v>
      </c>
      <c r="N198" s="70"/>
      <c r="O198" s="67">
        <f t="array" ref="O198">INDEX(Honor!$L$2:$L800,MATCH($I198,Honor!$A$2:$A800,0))</f>
        <v>45367</v>
      </c>
      <c r="P198" s="10">
        <f t="shared" si="1"/>
        <v>2024</v>
      </c>
      <c r="Q198" s="10">
        <f t="shared" si="2"/>
        <v>3</v>
      </c>
      <c r="R198" s="10" t="str">
        <f t="array" ref="R198">INDEX(Honor!$Q$2:$Q800,MATCH($I198,Honor!$A$2:$A800,0))</f>
        <v>SURVEI-PPL</v>
      </c>
      <c r="S198" s="10" t="str">
        <f t="shared" si="3"/>
        <v>610422050008-2024-3</v>
      </c>
      <c r="T198" s="10" t="str">
        <f t="shared" si="4"/>
        <v>610422050008-2024-3-SURVEI-PPL</v>
      </c>
      <c r="U198" s="64">
        <v>1</v>
      </c>
      <c r="V198" s="10" t="e">
        <f t="array" aca="1" ref="V198" ca="1">INDEX(Honor!$O$2:$O800,MATCH($I198,Honor!$A$2:$A800,0))</f>
        <v>#NAME?</v>
      </c>
      <c r="W198" s="68">
        <v>45376</v>
      </c>
      <c r="X198" s="7" t="str">
        <f t="array" ref="X198">INDEX('Input Kegiatan'!$B$2:$B800,MATCH(B198,'Input Kegiatan'!$A$2:$A800,0))</f>
        <v>Susenas Maret 2024</v>
      </c>
      <c r="Y198" s="7" t="s">
        <v>5534</v>
      </c>
      <c r="Z198" s="7" t="s">
        <v>5670</v>
      </c>
      <c r="AA198" s="68">
        <f t="shared" si="5"/>
        <v>45351</v>
      </c>
      <c r="AB198" s="68">
        <f t="shared" si="6"/>
        <v>45352</v>
      </c>
      <c r="AC198" s="68">
        <f t="shared" si="7"/>
        <v>45382</v>
      </c>
      <c r="AD198" s="68">
        <f t="shared" si="8"/>
        <v>45381</v>
      </c>
      <c r="AE198" s="68">
        <f t="shared" si="9"/>
        <v>45382</v>
      </c>
    </row>
    <row r="199" spans="1:31" ht="12.5">
      <c r="A199" s="125">
        <v>610422100085</v>
      </c>
      <c r="B199" s="64" t="s">
        <v>26</v>
      </c>
      <c r="D199" s="10">
        <f t="array" aca="1" ref="D199" ca="1">INDEX('Mitra per Bulan'!$M$2:$M800,MATCH(S199,'Mitra per Bulan'!$B$2:$B800,0))</f>
        <v>1</v>
      </c>
      <c r="E199" s="10" t="str">
        <f t="array" ref="E199">INDEX('Database Mitra'!$A$2:$A800,MATCH(A199,'Database Mitra'!$B$2:$B800,0))</f>
        <v>Lina Agustin Widya Siwi</v>
      </c>
      <c r="F199" s="65" t="s">
        <v>25</v>
      </c>
      <c r="G199" s="5" t="str">
        <f t="array" ref="G199">INDEX('Database Mitra'!$G$2:$G800,MATCH(A199,'Database Mitra'!$B$2:$B800,0))</f>
        <v>3301225608850001</v>
      </c>
      <c r="H199" s="64" t="s">
        <v>67</v>
      </c>
      <c r="I199" s="65" t="str">
        <f t="shared" si="13"/>
        <v>SUSENAS24-LAPANGAN-SEMESTER1-PPL-PENDATAAN</v>
      </c>
      <c r="J199" s="10" t="str">
        <f t="array" ref="J199">INDEX(Honor!$H$2:$H800,MATCH($I199,Honor!$A$2:$A800,0))</f>
        <v>Rumah Tangga</v>
      </c>
      <c r="K199" s="66">
        <f t="array" ref="K199">INDEX(Honor!$I$2:$I800,MATCH($I199,Honor!$A$2:$A800,0))</f>
        <v>119000</v>
      </c>
      <c r="L199" s="65">
        <v>10</v>
      </c>
      <c r="M199" s="10">
        <f t="shared" si="0"/>
        <v>1190000</v>
      </c>
      <c r="N199" s="70"/>
      <c r="O199" s="67">
        <f t="array" ref="O199">INDEX(Honor!$L$2:$L800,MATCH($I199,Honor!$A$2:$A800,0))</f>
        <v>45367</v>
      </c>
      <c r="P199" s="10">
        <f t="shared" si="1"/>
        <v>2024</v>
      </c>
      <c r="Q199" s="10">
        <f t="shared" si="2"/>
        <v>3</v>
      </c>
      <c r="R199" s="10" t="str">
        <f t="array" ref="R199">INDEX(Honor!$Q$2:$Q800,MATCH($I199,Honor!$A$2:$A800,0))</f>
        <v>SURVEI-PPL</v>
      </c>
      <c r="S199" s="10" t="str">
        <f t="shared" si="3"/>
        <v>610422100085-2024-3</v>
      </c>
      <c r="T199" s="10" t="str">
        <f t="shared" si="4"/>
        <v>610422100085-2024-3-SURVEI-PPL</v>
      </c>
      <c r="U199" s="64">
        <v>1</v>
      </c>
      <c r="V199" s="10" t="e">
        <f t="array" aca="1" ref="V199" ca="1">INDEX(Honor!$O$2:$O800,MATCH($I199,Honor!$A$2:$A800,0))</f>
        <v>#NAME?</v>
      </c>
      <c r="W199" s="68">
        <v>45376</v>
      </c>
      <c r="X199" s="7" t="str">
        <f t="array" ref="X199">INDEX('Input Kegiatan'!$B$2:$B800,MATCH(B199,'Input Kegiatan'!$A$2:$A800,0))</f>
        <v>Susenas Maret 2024</v>
      </c>
      <c r="Y199" s="7" t="s">
        <v>3990</v>
      </c>
      <c r="Z199" s="7" t="s">
        <v>4087</v>
      </c>
      <c r="AA199" s="68">
        <f t="shared" si="5"/>
        <v>45351</v>
      </c>
      <c r="AB199" s="68">
        <f t="shared" si="6"/>
        <v>45352</v>
      </c>
      <c r="AC199" s="68">
        <f t="shared" si="7"/>
        <v>45382</v>
      </c>
      <c r="AD199" s="68">
        <f t="shared" si="8"/>
        <v>45381</v>
      </c>
      <c r="AE199" s="68">
        <f t="shared" si="9"/>
        <v>45382</v>
      </c>
    </row>
    <row r="200" spans="1:31" ht="12.5">
      <c r="A200" s="125">
        <v>610422060001</v>
      </c>
      <c r="B200" s="64" t="s">
        <v>26</v>
      </c>
      <c r="D200" s="10">
        <f t="array" aca="1" ref="D200" ca="1">INDEX('Mitra per Bulan'!$M$2:$M800,MATCH(S200,'Mitra per Bulan'!$B$2:$B800,0))</f>
        <v>1</v>
      </c>
      <c r="E200" s="10" t="str">
        <f t="array" ref="E200">INDEX('Database Mitra'!$A$2:$A800,MATCH(A200,'Database Mitra'!$B$2:$B800,0))</f>
        <v>Elman</v>
      </c>
      <c r="F200" s="65" t="s">
        <v>25</v>
      </c>
      <c r="G200" s="5" t="str">
        <f t="array" ref="G200">INDEX('Database Mitra'!$G$2:$G800,MATCH(A200,'Database Mitra'!$B$2:$B800,0))</f>
        <v>6102120510950002</v>
      </c>
      <c r="H200" s="64" t="s">
        <v>67</v>
      </c>
      <c r="I200" s="65" t="str">
        <f t="shared" si="13"/>
        <v>SUSENAS24-LAPANGAN-SEMESTER1-PPL-PENDATAAN</v>
      </c>
      <c r="J200" s="10" t="str">
        <f t="array" ref="J200">INDEX(Honor!$H$2:$H800,MATCH($I200,Honor!$A$2:$A800,0))</f>
        <v>Rumah Tangga</v>
      </c>
      <c r="K200" s="66">
        <f t="array" ref="K200">INDEX(Honor!$I$2:$I800,MATCH($I200,Honor!$A$2:$A800,0))</f>
        <v>119000</v>
      </c>
      <c r="L200" s="65">
        <v>20</v>
      </c>
      <c r="M200" s="10">
        <f t="shared" si="0"/>
        <v>2380000</v>
      </c>
      <c r="N200" s="70"/>
      <c r="O200" s="67">
        <f t="array" ref="O200">INDEX(Honor!$L$2:$L800,MATCH($I200,Honor!$A$2:$A800,0))</f>
        <v>45367</v>
      </c>
      <c r="P200" s="10">
        <f t="shared" si="1"/>
        <v>2024</v>
      </c>
      <c r="Q200" s="10">
        <f t="shared" si="2"/>
        <v>3</v>
      </c>
      <c r="R200" s="10" t="str">
        <f t="array" ref="R200">INDEX(Honor!$Q$2:$Q800,MATCH($I200,Honor!$A$2:$A800,0))</f>
        <v>SURVEI-PPL</v>
      </c>
      <c r="S200" s="10" t="str">
        <f t="shared" si="3"/>
        <v>610422060001-2024-3</v>
      </c>
      <c r="T200" s="10" t="str">
        <f t="shared" si="4"/>
        <v>610422060001-2024-3-SURVEI-PPL</v>
      </c>
      <c r="U200" s="64">
        <v>1</v>
      </c>
      <c r="V200" s="10" t="e">
        <f t="array" aca="1" ref="V200" ca="1">INDEX(Honor!$O$2:$O800,MATCH($I200,Honor!$A$2:$A800,0))</f>
        <v>#NAME?</v>
      </c>
      <c r="W200" s="68">
        <v>45376</v>
      </c>
      <c r="X200" s="7" t="str">
        <f t="array" ref="X200">INDEX('Input Kegiatan'!$B$2:$B800,MATCH(B200,'Input Kegiatan'!$A$2:$A800,0))</f>
        <v>Susenas Maret 2024</v>
      </c>
      <c r="Y200" s="7" t="s">
        <v>5250</v>
      </c>
      <c r="Z200" s="7" t="s">
        <v>5415</v>
      </c>
      <c r="AA200" s="68">
        <f t="shared" si="5"/>
        <v>45351</v>
      </c>
      <c r="AB200" s="68">
        <f t="shared" si="6"/>
        <v>45352</v>
      </c>
      <c r="AC200" s="68">
        <f t="shared" si="7"/>
        <v>45382</v>
      </c>
      <c r="AD200" s="68">
        <f t="shared" si="8"/>
        <v>45381</v>
      </c>
      <c r="AE200" s="68">
        <f t="shared" si="9"/>
        <v>45382</v>
      </c>
    </row>
    <row r="201" spans="1:31" ht="12.5">
      <c r="A201" s="125">
        <v>610422100001</v>
      </c>
      <c r="B201" s="64" t="s">
        <v>26</v>
      </c>
      <c r="D201" s="10">
        <f t="array" aca="1" ref="D201" ca="1">INDEX('Mitra per Bulan'!$M$2:$M800,MATCH(S201,'Mitra per Bulan'!$B$2:$B800,0))</f>
        <v>1</v>
      </c>
      <c r="E201" s="10" t="str">
        <f t="array" ref="E201">INDEX('Database Mitra'!$A$2:$A800,MATCH(A201,'Database Mitra'!$B$2:$B800,0))</f>
        <v>Fatmawati,S.Hut</v>
      </c>
      <c r="F201" s="65" t="s">
        <v>25</v>
      </c>
      <c r="G201" s="5" t="str">
        <f t="array" ref="G201">INDEX('Database Mitra'!$G$2:$G800,MATCH(A201,'Database Mitra'!$B$2:$B800,0))</f>
        <v>6102075007830003</v>
      </c>
      <c r="H201" s="64" t="s">
        <v>67</v>
      </c>
      <c r="I201" s="65" t="str">
        <f t="shared" si="13"/>
        <v>SUSENAS24-LAPANGAN-SEMESTER1-PPL-PENDATAAN</v>
      </c>
      <c r="J201" s="10" t="str">
        <f t="array" ref="J201">INDEX(Honor!$H$2:$H800,MATCH($I201,Honor!$A$2:$A800,0))</f>
        <v>Rumah Tangga</v>
      </c>
      <c r="K201" s="66">
        <f t="array" ref="K201">INDEX(Honor!$I$2:$I800,MATCH($I201,Honor!$A$2:$A800,0))</f>
        <v>119000</v>
      </c>
      <c r="L201" s="64">
        <v>20</v>
      </c>
      <c r="M201" s="10">
        <f t="shared" si="0"/>
        <v>2380000</v>
      </c>
      <c r="N201" s="70"/>
      <c r="O201" s="67">
        <f t="array" ref="O201">INDEX(Honor!$L$2:$L800,MATCH($I201,Honor!$A$2:$A800,0))</f>
        <v>45367</v>
      </c>
      <c r="P201" s="10">
        <f t="shared" si="1"/>
        <v>2024</v>
      </c>
      <c r="Q201" s="10">
        <f t="shared" si="2"/>
        <v>3</v>
      </c>
      <c r="R201" s="10" t="str">
        <f t="array" ref="R201">INDEX(Honor!$Q$2:$Q800,MATCH($I201,Honor!$A$2:$A800,0))</f>
        <v>SURVEI-PPL</v>
      </c>
      <c r="S201" s="10" t="str">
        <f t="shared" si="3"/>
        <v>610422100001-2024-3</v>
      </c>
      <c r="T201" s="10" t="str">
        <f t="shared" si="4"/>
        <v>610422100001-2024-3-SURVEI-PPL</v>
      </c>
      <c r="U201" s="64">
        <v>1</v>
      </c>
      <c r="V201" s="10" t="e">
        <f t="array" aca="1" ref="V201" ca="1">INDEX(Honor!$O$2:$O800,MATCH($I201,Honor!$A$2:$A800,0))</f>
        <v>#NAME?</v>
      </c>
      <c r="W201" s="68">
        <v>45376</v>
      </c>
      <c r="X201" s="7" t="str">
        <f t="array" ref="X201">INDEX('Input Kegiatan'!$B$2:$B800,MATCH(B201,'Input Kegiatan'!$A$2:$A800,0))</f>
        <v>Susenas Maret 2024</v>
      </c>
      <c r="Y201" s="7" t="s">
        <v>3990</v>
      </c>
      <c r="Z201" s="7" t="s">
        <v>4332</v>
      </c>
      <c r="AA201" s="68">
        <f t="shared" si="5"/>
        <v>45351</v>
      </c>
      <c r="AB201" s="68">
        <f t="shared" si="6"/>
        <v>45352</v>
      </c>
      <c r="AC201" s="68">
        <f t="shared" si="7"/>
        <v>45382</v>
      </c>
      <c r="AD201" s="68">
        <f t="shared" si="8"/>
        <v>45381</v>
      </c>
      <c r="AE201" s="68">
        <f t="shared" si="9"/>
        <v>45382</v>
      </c>
    </row>
    <row r="202" spans="1:31" ht="12.5">
      <c r="A202" s="125">
        <v>610422040034</v>
      </c>
      <c r="B202" s="64" t="s">
        <v>26</v>
      </c>
      <c r="D202" s="10">
        <f t="array" aca="1" ref="D202" ca="1">INDEX('Mitra per Bulan'!$M$2:$M800,MATCH(S202,'Mitra per Bulan'!$B$2:$B800,0))</f>
        <v>1</v>
      </c>
      <c r="E202" s="10" t="str">
        <f t="array" ref="E202">INDEX('Database Mitra'!$A$2:$A800,MATCH(A202,'Database Mitra'!$B$2:$B800,0))</f>
        <v>Nelly Nalita</v>
      </c>
      <c r="F202" s="65" t="s">
        <v>25</v>
      </c>
      <c r="G202" s="5" t="str">
        <f t="array" ref="G202">INDEX('Database Mitra'!$G$2:$G800,MATCH(A202,'Database Mitra'!$B$2:$B800,0))</f>
        <v>6102014712890004</v>
      </c>
      <c r="H202" s="64" t="s">
        <v>67</v>
      </c>
      <c r="I202" s="65" t="str">
        <f t="shared" si="13"/>
        <v>SUSENAS24-LAPANGAN-SEMESTER1-PPL-PENDATAAN</v>
      </c>
      <c r="J202" s="10" t="str">
        <f t="array" ref="J202">INDEX(Honor!$H$2:$H800,MATCH($I202,Honor!$A$2:$A800,0))</f>
        <v>Rumah Tangga</v>
      </c>
      <c r="K202" s="66">
        <f t="array" ref="K202">INDEX(Honor!$I$2:$I800,MATCH($I202,Honor!$A$2:$A800,0))</f>
        <v>119000</v>
      </c>
      <c r="L202" s="65">
        <v>20</v>
      </c>
      <c r="M202" s="10">
        <f t="shared" si="0"/>
        <v>2380000</v>
      </c>
      <c r="N202" s="70"/>
      <c r="O202" s="67">
        <f t="array" ref="O202">INDEX(Honor!$L$2:$L800,MATCH($I202,Honor!$A$2:$A800,0))</f>
        <v>45367</v>
      </c>
      <c r="P202" s="10">
        <f t="shared" si="1"/>
        <v>2024</v>
      </c>
      <c r="Q202" s="10">
        <f t="shared" si="2"/>
        <v>3</v>
      </c>
      <c r="R202" s="10" t="str">
        <f t="array" ref="R202">INDEX(Honor!$Q$2:$Q800,MATCH($I202,Honor!$A$2:$A800,0))</f>
        <v>SURVEI-PPL</v>
      </c>
      <c r="S202" s="10" t="str">
        <f t="shared" si="3"/>
        <v>610422040034-2024-3</v>
      </c>
      <c r="T202" s="10" t="str">
        <f t="shared" si="4"/>
        <v>610422040034-2024-3-SURVEI-PPL</v>
      </c>
      <c r="U202" s="64">
        <v>1</v>
      </c>
      <c r="V202" s="10" t="e">
        <f t="array" aca="1" ref="V202" ca="1">INDEX(Honor!$O$2:$O800,MATCH($I202,Honor!$A$2:$A800,0))</f>
        <v>#NAME?</v>
      </c>
      <c r="W202" s="68">
        <v>45376</v>
      </c>
      <c r="X202" s="7" t="str">
        <f t="array" ref="X202">INDEX('Input Kegiatan'!$B$2:$B800,MATCH(B202,'Input Kegiatan'!$A$2:$A800,0))</f>
        <v>Susenas Maret 2024</v>
      </c>
      <c r="Y202" s="7" t="s">
        <v>4572</v>
      </c>
      <c r="Z202" s="7" t="s">
        <v>4841</v>
      </c>
      <c r="AA202" s="68">
        <f t="shared" si="5"/>
        <v>45351</v>
      </c>
      <c r="AB202" s="68">
        <f t="shared" si="6"/>
        <v>45352</v>
      </c>
      <c r="AC202" s="68">
        <f t="shared" si="7"/>
        <v>45382</v>
      </c>
      <c r="AD202" s="68">
        <f t="shared" si="8"/>
        <v>45381</v>
      </c>
      <c r="AE202" s="68">
        <f t="shared" si="9"/>
        <v>45382</v>
      </c>
    </row>
    <row r="203" spans="1:31" ht="12.5">
      <c r="A203" s="125">
        <v>610422040058</v>
      </c>
      <c r="B203" s="64" t="s">
        <v>26</v>
      </c>
      <c r="D203" s="10">
        <f t="array" aca="1" ref="D203" ca="1">INDEX('Mitra per Bulan'!$M$2:$M800,MATCH(S203,'Mitra per Bulan'!$B$2:$B800,0))</f>
        <v>1</v>
      </c>
      <c r="E203" s="10" t="str">
        <f t="array" ref="E203">INDEX('Database Mitra'!$A$2:$A800,MATCH(A203,'Database Mitra'!$B$2:$B800,0))</f>
        <v>Jamaluddin, Sp</v>
      </c>
      <c r="F203" s="65" t="s">
        <v>25</v>
      </c>
      <c r="G203" s="5" t="str">
        <f t="array" ref="G203">INDEX('Database Mitra'!$G$2:$G800,MATCH(A203,'Database Mitra'!$B$2:$B800,0))</f>
        <v>6102152607940002</v>
      </c>
      <c r="H203" s="64" t="s">
        <v>67</v>
      </c>
      <c r="I203" s="65" t="str">
        <f t="shared" si="13"/>
        <v>SUSENAS24-LAPANGAN-SEMESTER1-PPL-PENDATAAN</v>
      </c>
      <c r="J203" s="10" t="str">
        <f t="array" ref="J203">INDEX(Honor!$H$2:$H800,MATCH($I203,Honor!$A$2:$A800,0))</f>
        <v>Rumah Tangga</v>
      </c>
      <c r="K203" s="66">
        <f t="array" ref="K203">INDEX(Honor!$I$2:$I800,MATCH($I203,Honor!$A$2:$A800,0))</f>
        <v>119000</v>
      </c>
      <c r="L203" s="64">
        <v>20</v>
      </c>
      <c r="M203" s="10">
        <f t="shared" si="0"/>
        <v>2380000</v>
      </c>
      <c r="N203" s="70"/>
      <c r="O203" s="67">
        <f t="array" ref="O203">INDEX(Honor!$L$2:$L800,MATCH($I203,Honor!$A$2:$A800,0))</f>
        <v>45367</v>
      </c>
      <c r="P203" s="10">
        <f t="shared" si="1"/>
        <v>2024</v>
      </c>
      <c r="Q203" s="10">
        <f t="shared" si="2"/>
        <v>3</v>
      </c>
      <c r="R203" s="10" t="str">
        <f t="array" ref="R203">INDEX(Honor!$Q$2:$Q800,MATCH($I203,Honor!$A$2:$A800,0))</f>
        <v>SURVEI-PPL</v>
      </c>
      <c r="S203" s="10" t="str">
        <f t="shared" si="3"/>
        <v>610422040058-2024-3</v>
      </c>
      <c r="T203" s="10" t="str">
        <f t="shared" si="4"/>
        <v>610422040058-2024-3-SURVEI-PPL</v>
      </c>
      <c r="U203" s="64">
        <v>1</v>
      </c>
      <c r="V203" s="10" t="e">
        <f t="array" aca="1" ref="V203" ca="1">INDEX(Honor!$O$2:$O800,MATCH($I203,Honor!$A$2:$A800,0))</f>
        <v>#NAME?</v>
      </c>
      <c r="W203" s="68">
        <v>45376</v>
      </c>
      <c r="X203" s="7" t="str">
        <f t="array" ref="X203">INDEX('Input Kegiatan'!$B$2:$B800,MATCH(B203,'Input Kegiatan'!$A$2:$A800,0))</f>
        <v>Susenas Maret 2024</v>
      </c>
      <c r="Y203" s="7" t="s">
        <v>3715</v>
      </c>
      <c r="Z203" s="7" t="s">
        <v>3716</v>
      </c>
      <c r="AA203" s="68">
        <f t="shared" si="5"/>
        <v>45351</v>
      </c>
      <c r="AB203" s="68">
        <f t="shared" si="6"/>
        <v>45352</v>
      </c>
      <c r="AC203" s="68">
        <f t="shared" si="7"/>
        <v>45382</v>
      </c>
      <c r="AD203" s="68">
        <f t="shared" si="8"/>
        <v>45381</v>
      </c>
      <c r="AE203" s="68">
        <f t="shared" si="9"/>
        <v>45382</v>
      </c>
    </row>
    <row r="204" spans="1:31" ht="12.5">
      <c r="A204" s="125">
        <v>610422040052</v>
      </c>
      <c r="B204" s="64" t="s">
        <v>26</v>
      </c>
      <c r="D204" s="10">
        <f t="array" aca="1" ref="D204" ca="1">INDEX('Mitra per Bulan'!$M$2:$M800,MATCH(S204,'Mitra per Bulan'!$B$2:$B800,0))</f>
        <v>1</v>
      </c>
      <c r="E204" s="10" t="str">
        <f t="array" ref="E204">INDEX('Database Mitra'!$A$2:$A800,MATCH(A204,'Database Mitra'!$B$2:$B800,0))</f>
        <v>Yusimianto</v>
      </c>
      <c r="F204" s="65" t="s">
        <v>25</v>
      </c>
      <c r="G204" s="5" t="str">
        <f t="array" ref="G204">INDEX('Database Mitra'!$G$2:$G800,MATCH(A204,'Database Mitra'!$B$2:$B800,0))</f>
        <v>6102160603790001</v>
      </c>
      <c r="H204" s="64" t="s">
        <v>67</v>
      </c>
      <c r="I204" s="65" t="str">
        <f t="shared" si="13"/>
        <v>SUSENAS24-LAPANGAN-SEMESTER1-PPL-PENDATAAN</v>
      </c>
      <c r="J204" s="10" t="str">
        <f t="array" ref="J204">INDEX(Honor!$H$2:$H800,MATCH($I204,Honor!$A$2:$A800,0))</f>
        <v>Rumah Tangga</v>
      </c>
      <c r="K204" s="66">
        <f t="array" ref="K204">INDEX(Honor!$I$2:$I800,MATCH($I204,Honor!$A$2:$A800,0))</f>
        <v>119000</v>
      </c>
      <c r="L204" s="65">
        <v>10</v>
      </c>
      <c r="M204" s="10">
        <f t="shared" si="0"/>
        <v>1190000</v>
      </c>
      <c r="N204" s="70"/>
      <c r="O204" s="67">
        <f t="array" ref="O204">INDEX(Honor!$L$2:$L800,MATCH($I204,Honor!$A$2:$A800,0))</f>
        <v>45367</v>
      </c>
      <c r="P204" s="10">
        <f t="shared" si="1"/>
        <v>2024</v>
      </c>
      <c r="Q204" s="10">
        <f t="shared" si="2"/>
        <v>3</v>
      </c>
      <c r="R204" s="10" t="str">
        <f t="array" ref="R204">INDEX(Honor!$Q$2:$Q800,MATCH($I204,Honor!$A$2:$A800,0))</f>
        <v>SURVEI-PPL</v>
      </c>
      <c r="S204" s="10" t="str">
        <f t="shared" si="3"/>
        <v>610422040052-2024-3</v>
      </c>
      <c r="T204" s="10" t="str">
        <f t="shared" si="4"/>
        <v>610422040052-2024-3-SURVEI-PPL</v>
      </c>
      <c r="U204" s="64">
        <v>1</v>
      </c>
      <c r="V204" s="10" t="e">
        <f t="array" aca="1" ref="V204" ca="1">INDEX(Honor!$O$2:$O800,MATCH($I204,Honor!$A$2:$A800,0))</f>
        <v>#NAME?</v>
      </c>
      <c r="W204" s="68">
        <v>45376</v>
      </c>
      <c r="X204" s="7" t="str">
        <f t="array" ref="X204">INDEX('Input Kegiatan'!$B$2:$B800,MATCH(B204,'Input Kegiatan'!$A$2:$A800,0))</f>
        <v>Susenas Maret 2024</v>
      </c>
      <c r="Y204" s="7" t="s">
        <v>4408</v>
      </c>
      <c r="Z204" s="7" t="s">
        <v>4487</v>
      </c>
      <c r="AA204" s="68">
        <f t="shared" si="5"/>
        <v>45351</v>
      </c>
      <c r="AB204" s="68">
        <f t="shared" si="6"/>
        <v>45352</v>
      </c>
      <c r="AC204" s="68">
        <f t="shared" si="7"/>
        <v>45382</v>
      </c>
      <c r="AD204" s="68">
        <f t="shared" si="8"/>
        <v>45381</v>
      </c>
      <c r="AE204" s="68">
        <f t="shared" si="9"/>
        <v>45382</v>
      </c>
    </row>
    <row r="205" spans="1:31" ht="12.5">
      <c r="A205" s="125">
        <v>610422040061</v>
      </c>
      <c r="B205" s="64" t="s">
        <v>26</v>
      </c>
      <c r="D205" s="10">
        <f t="array" aca="1" ref="D205" ca="1">INDEX('Mitra per Bulan'!$M$2:$M800,MATCH(S205,'Mitra per Bulan'!$B$2:$B800,0))</f>
        <v>1</v>
      </c>
      <c r="E205" s="10" t="str">
        <f t="array" ref="E205">INDEX('Database Mitra'!$A$2:$A800,MATCH(A205,'Database Mitra'!$B$2:$B800,0))</f>
        <v>Sabani</v>
      </c>
      <c r="F205" s="65" t="s">
        <v>25</v>
      </c>
      <c r="G205" s="5" t="str">
        <f t="array" ref="G205">INDEX('Database Mitra'!$G$2:$G800,MATCH(A205,'Database Mitra'!$B$2:$B800,0))</f>
        <v>6102153112860003</v>
      </c>
      <c r="H205" s="64" t="s">
        <v>67</v>
      </c>
      <c r="I205" s="65" t="str">
        <f t="shared" si="13"/>
        <v>SUSENAS24-LAPANGAN-SEMESTER1-PPL-PENDATAAN</v>
      </c>
      <c r="J205" s="10" t="str">
        <f t="array" ref="J205">INDEX(Honor!$H$2:$H800,MATCH($I205,Honor!$A$2:$A800,0))</f>
        <v>Rumah Tangga</v>
      </c>
      <c r="K205" s="66">
        <f t="array" ref="K205">INDEX(Honor!$I$2:$I800,MATCH($I205,Honor!$A$2:$A800,0))</f>
        <v>119000</v>
      </c>
      <c r="L205" s="65">
        <v>10</v>
      </c>
      <c r="M205" s="10">
        <f t="shared" si="0"/>
        <v>1190000</v>
      </c>
      <c r="N205" s="70"/>
      <c r="O205" s="67">
        <f t="array" ref="O205">INDEX(Honor!$L$2:$L800,MATCH($I205,Honor!$A$2:$A800,0))</f>
        <v>45367</v>
      </c>
      <c r="P205" s="10">
        <f t="shared" si="1"/>
        <v>2024</v>
      </c>
      <c r="Q205" s="10">
        <f t="shared" si="2"/>
        <v>3</v>
      </c>
      <c r="R205" s="10" t="str">
        <f t="array" ref="R205">INDEX(Honor!$Q$2:$Q800,MATCH($I205,Honor!$A$2:$A800,0))</f>
        <v>SURVEI-PPL</v>
      </c>
      <c r="S205" s="10" t="str">
        <f t="shared" si="3"/>
        <v>610422040061-2024-3</v>
      </c>
      <c r="T205" s="10" t="str">
        <f t="shared" si="4"/>
        <v>610422040061-2024-3-SURVEI-PPL</v>
      </c>
      <c r="U205" s="64">
        <v>1</v>
      </c>
      <c r="V205" s="10" t="e">
        <f t="array" aca="1" ref="V205" ca="1">INDEX(Honor!$O$2:$O800,MATCH($I205,Honor!$A$2:$A800,0))</f>
        <v>#NAME?</v>
      </c>
      <c r="W205" s="68">
        <v>45376</v>
      </c>
      <c r="X205" s="7" t="str">
        <f t="array" ref="X205">INDEX('Input Kegiatan'!$B$2:$B800,MATCH(B205,'Input Kegiatan'!$A$2:$A800,0))</f>
        <v>Susenas Maret 2024</v>
      </c>
      <c r="Y205" s="7" t="s">
        <v>3715</v>
      </c>
      <c r="Z205" s="7" t="s">
        <v>3862</v>
      </c>
      <c r="AA205" s="68">
        <f t="shared" si="5"/>
        <v>45351</v>
      </c>
      <c r="AB205" s="68">
        <f t="shared" si="6"/>
        <v>45352</v>
      </c>
      <c r="AC205" s="68">
        <f t="shared" si="7"/>
        <v>45382</v>
      </c>
      <c r="AD205" s="68">
        <f t="shared" si="8"/>
        <v>45381</v>
      </c>
      <c r="AE205" s="68">
        <f t="shared" si="9"/>
        <v>45382</v>
      </c>
    </row>
    <row r="206" spans="1:31" ht="12.5">
      <c r="A206" s="125">
        <v>610422040006</v>
      </c>
      <c r="B206" s="64" t="s">
        <v>26</v>
      </c>
      <c r="D206" s="10">
        <f t="array" aca="1" ref="D206" ca="1">INDEX('Mitra per Bulan'!$M$2:$M800,MATCH(S206,'Mitra per Bulan'!$B$2:$B800,0))</f>
        <v>1</v>
      </c>
      <c r="E206" s="10" t="str">
        <f t="array" ref="E206">INDEX('Database Mitra'!$A$2:$A800,MATCH(A206,'Database Mitra'!$B$2:$B800,0))</f>
        <v>Ridha Nur Mitha</v>
      </c>
      <c r="F206" s="65" t="s">
        <v>25</v>
      </c>
      <c r="G206" s="5" t="str">
        <f t="array" ref="G206">INDEX('Database Mitra'!$G$2:$G800,MATCH(A206,'Database Mitra'!$B$2:$B800,0))</f>
        <v>6102186803020002</v>
      </c>
      <c r="H206" s="64" t="s">
        <v>67</v>
      </c>
      <c r="I206" s="65" t="str">
        <f t="shared" si="13"/>
        <v>SUSENAS24-LAPANGAN-SEMESTER1-PPL-PENDATAAN</v>
      </c>
      <c r="J206" s="10" t="str">
        <f t="array" ref="J206">INDEX(Honor!$H$2:$H800,MATCH($I206,Honor!$A$2:$A800,0))</f>
        <v>Rumah Tangga</v>
      </c>
      <c r="K206" s="66">
        <f t="array" ref="K206">INDEX(Honor!$I$2:$I800,MATCH($I206,Honor!$A$2:$A800,0))</f>
        <v>119000</v>
      </c>
      <c r="L206" s="65">
        <v>20</v>
      </c>
      <c r="M206" s="10">
        <f t="shared" si="0"/>
        <v>2380000</v>
      </c>
      <c r="N206" s="70"/>
      <c r="O206" s="67">
        <f t="array" ref="O206">INDEX(Honor!$L$2:$L800,MATCH($I206,Honor!$A$2:$A800,0))</f>
        <v>45367</v>
      </c>
      <c r="P206" s="10">
        <f t="shared" si="1"/>
        <v>2024</v>
      </c>
      <c r="Q206" s="10">
        <f t="shared" si="2"/>
        <v>3</v>
      </c>
      <c r="R206" s="10" t="str">
        <f t="array" ref="R206">INDEX(Honor!$Q$2:$Q800,MATCH($I206,Honor!$A$2:$A800,0))</f>
        <v>SURVEI-PPL</v>
      </c>
      <c r="S206" s="10" t="str">
        <f t="shared" si="3"/>
        <v>610422040006-2024-3</v>
      </c>
      <c r="T206" s="10" t="str">
        <f t="shared" si="4"/>
        <v>610422040006-2024-3-SURVEI-PPL</v>
      </c>
      <c r="U206" s="64">
        <v>1</v>
      </c>
      <c r="V206" s="10" t="e">
        <f t="array" aca="1" ref="V206" ca="1">INDEX(Honor!$O$2:$O800,MATCH($I206,Honor!$A$2:$A800,0))</f>
        <v>#NAME?</v>
      </c>
      <c r="W206" s="68">
        <v>45376</v>
      </c>
      <c r="X206" s="7" t="str">
        <f t="array" ref="X206">INDEX('Input Kegiatan'!$B$2:$B800,MATCH(B206,'Input Kegiatan'!$A$2:$A800,0))</f>
        <v>Susenas Maret 2024</v>
      </c>
      <c r="Y206" s="7" t="s">
        <v>4931</v>
      </c>
      <c r="Z206" s="7" t="s">
        <v>5104</v>
      </c>
      <c r="AA206" s="68">
        <f t="shared" si="5"/>
        <v>45351</v>
      </c>
      <c r="AB206" s="68">
        <f t="shared" si="6"/>
        <v>45352</v>
      </c>
      <c r="AC206" s="68">
        <f t="shared" si="7"/>
        <v>45382</v>
      </c>
      <c r="AD206" s="68">
        <f t="shared" si="8"/>
        <v>45381</v>
      </c>
      <c r="AE206" s="68">
        <f t="shared" si="9"/>
        <v>45382</v>
      </c>
    </row>
    <row r="207" spans="1:31" ht="12.5">
      <c r="A207" s="125">
        <v>610422040028</v>
      </c>
      <c r="B207" s="64" t="s">
        <v>26</v>
      </c>
      <c r="D207" s="10">
        <f t="array" aca="1" ref="D207" ca="1">INDEX('Mitra per Bulan'!$M$2:$M800,MATCH(S207,'Mitra per Bulan'!$B$2:$B800,0))</f>
        <v>1</v>
      </c>
      <c r="E207" s="10" t="str">
        <f t="array" ref="E207">INDEX('Database Mitra'!$A$2:$A800,MATCH(A207,'Database Mitra'!$B$2:$B800,0))</f>
        <v>Hafizh</v>
      </c>
      <c r="F207" s="65" t="s">
        <v>25</v>
      </c>
      <c r="G207" s="5" t="str">
        <f t="array" ref="G207">INDEX('Database Mitra'!$G$2:$G800,MATCH(A207,'Database Mitra'!$B$2:$B800,0))</f>
        <v>6102184304950003</v>
      </c>
      <c r="H207" s="64" t="s">
        <v>67</v>
      </c>
      <c r="I207" s="65" t="str">
        <f t="shared" si="13"/>
        <v>SUSENAS24-LAPANGAN-SEMESTER1-PPL-PENDATAAN</v>
      </c>
      <c r="J207" s="10" t="str">
        <f t="array" ref="J207">INDEX(Honor!$H$2:$H800,MATCH($I207,Honor!$A$2:$A800,0))</f>
        <v>Rumah Tangga</v>
      </c>
      <c r="K207" s="66">
        <f t="array" ref="K207">INDEX(Honor!$I$2:$I800,MATCH($I207,Honor!$A$2:$A800,0))</f>
        <v>119000</v>
      </c>
      <c r="L207" s="65">
        <v>20</v>
      </c>
      <c r="M207" s="10">
        <f t="shared" si="0"/>
        <v>2380000</v>
      </c>
      <c r="N207" s="70"/>
      <c r="O207" s="67">
        <f t="array" ref="O207">INDEX(Honor!$L$2:$L800,MATCH($I207,Honor!$A$2:$A800,0))</f>
        <v>45367</v>
      </c>
      <c r="P207" s="10">
        <f t="shared" si="1"/>
        <v>2024</v>
      </c>
      <c r="Q207" s="10">
        <f t="shared" si="2"/>
        <v>3</v>
      </c>
      <c r="R207" s="10" t="str">
        <f t="array" ref="R207">INDEX(Honor!$Q$2:$Q800,MATCH($I207,Honor!$A$2:$A800,0))</f>
        <v>SURVEI-PPL</v>
      </c>
      <c r="S207" s="10" t="str">
        <f t="shared" si="3"/>
        <v>610422040028-2024-3</v>
      </c>
      <c r="T207" s="10" t="str">
        <f t="shared" si="4"/>
        <v>610422040028-2024-3-SURVEI-PPL</v>
      </c>
      <c r="U207" s="64">
        <v>1</v>
      </c>
      <c r="V207" s="10" t="e">
        <f t="array" aca="1" ref="V207" ca="1">INDEX(Honor!$O$2:$O800,MATCH($I207,Honor!$A$2:$A800,0))</f>
        <v>#NAME?</v>
      </c>
      <c r="W207" s="68">
        <v>45376</v>
      </c>
      <c r="X207" s="7" t="str">
        <f t="array" ref="X207">INDEX('Input Kegiatan'!$B$2:$B800,MATCH(B207,'Input Kegiatan'!$A$2:$A800,0))</f>
        <v>Susenas Maret 2024</v>
      </c>
      <c r="Y207" s="7" t="s">
        <v>4931</v>
      </c>
      <c r="Z207" s="7" t="s">
        <v>5036</v>
      </c>
      <c r="AA207" s="68">
        <f t="shared" si="5"/>
        <v>45351</v>
      </c>
      <c r="AB207" s="68">
        <f t="shared" si="6"/>
        <v>45352</v>
      </c>
      <c r="AC207" s="68">
        <f t="shared" si="7"/>
        <v>45382</v>
      </c>
      <c r="AD207" s="68">
        <f t="shared" si="8"/>
        <v>45381</v>
      </c>
      <c r="AE207" s="68">
        <f t="shared" si="9"/>
        <v>45382</v>
      </c>
    </row>
    <row r="208" spans="1:31" ht="12.5">
      <c r="A208" s="125">
        <v>610422040035</v>
      </c>
      <c r="B208" s="64" t="s">
        <v>26</v>
      </c>
      <c r="D208" s="10">
        <f t="array" aca="1" ref="D208" ca="1">INDEX('Mitra per Bulan'!$M$2:$M800,MATCH(S208,'Mitra per Bulan'!$B$2:$B800,0))</f>
        <v>1</v>
      </c>
      <c r="E208" s="10" t="str">
        <f t="array" ref="E208">INDEX('Database Mitra'!$A$2:$A800,MATCH(A208,'Database Mitra'!$B$2:$B800,0))</f>
        <v>Rahmayani</v>
      </c>
      <c r="F208" s="65" t="s">
        <v>25</v>
      </c>
      <c r="G208" s="5" t="str">
        <f t="array" ref="G208">INDEX('Database Mitra'!$G$2:$G800,MATCH(A208,'Database Mitra'!$B$2:$B800,0))</f>
        <v>6102186404970003</v>
      </c>
      <c r="H208" s="64" t="s">
        <v>67</v>
      </c>
      <c r="I208" s="65" t="str">
        <f t="shared" si="13"/>
        <v>SUSENAS24-LAPANGAN-SEMESTER1-PPL-PENDATAAN</v>
      </c>
      <c r="J208" s="10" t="str">
        <f t="array" ref="J208">INDEX(Honor!$H$2:$H800,MATCH($I208,Honor!$A$2:$A800,0))</f>
        <v>Rumah Tangga</v>
      </c>
      <c r="K208" s="66">
        <f t="array" ref="K208">INDEX(Honor!$I$2:$I800,MATCH($I208,Honor!$A$2:$A800,0))</f>
        <v>119000</v>
      </c>
      <c r="L208" s="65">
        <v>10</v>
      </c>
      <c r="M208" s="10">
        <f t="shared" si="0"/>
        <v>1190000</v>
      </c>
      <c r="N208" s="70"/>
      <c r="O208" s="67">
        <f t="array" ref="O208">INDEX(Honor!$L$2:$L800,MATCH($I208,Honor!$A$2:$A800,0))</f>
        <v>45367</v>
      </c>
      <c r="P208" s="10">
        <f t="shared" si="1"/>
        <v>2024</v>
      </c>
      <c r="Q208" s="10">
        <f t="shared" si="2"/>
        <v>3</v>
      </c>
      <c r="R208" s="10" t="str">
        <f t="array" ref="R208">INDEX(Honor!$Q$2:$Q800,MATCH($I208,Honor!$A$2:$A800,0))</f>
        <v>SURVEI-PPL</v>
      </c>
      <c r="S208" s="10" t="str">
        <f t="shared" si="3"/>
        <v>610422040035-2024-3</v>
      </c>
      <c r="T208" s="10" t="str">
        <f t="shared" si="4"/>
        <v>610422040035-2024-3-SURVEI-PPL</v>
      </c>
      <c r="U208" s="64">
        <v>1</v>
      </c>
      <c r="V208" s="10" t="e">
        <f t="array" aca="1" ref="V208" ca="1">INDEX(Honor!$O$2:$O800,MATCH($I208,Honor!$A$2:$A800,0))</f>
        <v>#NAME?</v>
      </c>
      <c r="W208" s="68">
        <v>45376</v>
      </c>
      <c r="X208" s="7" t="str">
        <f t="array" ref="X208">INDEX('Input Kegiatan'!$B$2:$B800,MATCH(B208,'Input Kegiatan'!$A$2:$A800,0))</f>
        <v>Susenas Maret 2024</v>
      </c>
      <c r="Y208" s="7" t="s">
        <v>4931</v>
      </c>
      <c r="Z208" s="7" t="s">
        <v>5171</v>
      </c>
      <c r="AA208" s="68">
        <f t="shared" si="5"/>
        <v>45351</v>
      </c>
      <c r="AB208" s="68">
        <f t="shared" si="6"/>
        <v>45352</v>
      </c>
      <c r="AC208" s="68">
        <f t="shared" si="7"/>
        <v>45382</v>
      </c>
      <c r="AD208" s="68">
        <f t="shared" si="8"/>
        <v>45381</v>
      </c>
      <c r="AE208" s="68">
        <f t="shared" si="9"/>
        <v>45382</v>
      </c>
    </row>
    <row r="209" spans="1:31" ht="12.5">
      <c r="A209" s="125">
        <v>610422040049</v>
      </c>
      <c r="B209" s="64" t="s">
        <v>26</v>
      </c>
      <c r="D209" s="10">
        <f t="array" aca="1" ref="D209" ca="1">INDEX('Mitra per Bulan'!$M$2:$M800,MATCH(S209,'Mitra per Bulan'!$B$2:$B800,0))</f>
        <v>1</v>
      </c>
      <c r="E209" s="10" t="str">
        <f t="array" ref="E209">INDEX('Database Mitra'!$A$2:$A800,MATCH(A209,'Database Mitra'!$B$2:$B800,0))</f>
        <v>Sulis Tri Handayani</v>
      </c>
      <c r="F209" s="65" t="s">
        <v>25</v>
      </c>
      <c r="G209" s="5" t="str">
        <f t="array" ref="G209">INDEX('Database Mitra'!$G$2:$G800,MATCH(A209,'Database Mitra'!$B$2:$B800,0))</f>
        <v>6102074307840004</v>
      </c>
      <c r="H209" s="64" t="s">
        <v>67</v>
      </c>
      <c r="I209" s="65" t="str">
        <f t="shared" si="13"/>
        <v>SUSENAS24-LAPANGAN-SEMESTER1-PPL-PENDATAAN</v>
      </c>
      <c r="J209" s="10" t="str">
        <f t="array" ref="J209">INDEX(Honor!$H$2:$H800,MATCH($I209,Honor!$A$2:$A800,0))</f>
        <v>Rumah Tangga</v>
      </c>
      <c r="K209" s="66">
        <f t="array" ref="K209">INDEX(Honor!$I$2:$I800,MATCH($I209,Honor!$A$2:$A800,0))</f>
        <v>119000</v>
      </c>
      <c r="L209" s="65">
        <v>20</v>
      </c>
      <c r="M209" s="10">
        <f t="shared" si="0"/>
        <v>2380000</v>
      </c>
      <c r="N209" s="70"/>
      <c r="O209" s="67">
        <f t="array" ref="O209">INDEX(Honor!$L$2:$L800,MATCH($I209,Honor!$A$2:$A800,0))</f>
        <v>45367</v>
      </c>
      <c r="P209" s="10">
        <f t="shared" si="1"/>
        <v>2024</v>
      </c>
      <c r="Q209" s="10">
        <f t="shared" si="2"/>
        <v>3</v>
      </c>
      <c r="R209" s="10" t="str">
        <f t="array" ref="R209">INDEX(Honor!$Q$2:$Q800,MATCH($I209,Honor!$A$2:$A800,0))</f>
        <v>SURVEI-PPL</v>
      </c>
      <c r="S209" s="10" t="str">
        <f t="shared" si="3"/>
        <v>610422040049-2024-3</v>
      </c>
      <c r="T209" s="10" t="str">
        <f t="shared" si="4"/>
        <v>610422040049-2024-3-SURVEI-PPL</v>
      </c>
      <c r="U209" s="64">
        <v>1</v>
      </c>
      <c r="V209" s="10" t="e">
        <f t="array" aca="1" ref="V209" ca="1">INDEX(Honor!$O$2:$O800,MATCH($I209,Honor!$A$2:$A800,0))</f>
        <v>#NAME?</v>
      </c>
      <c r="W209" s="68">
        <v>45376</v>
      </c>
      <c r="X209" s="7" t="str">
        <f t="array" ref="X209">INDEX('Input Kegiatan'!$B$2:$B800,MATCH(B209,'Input Kegiatan'!$A$2:$A800,0))</f>
        <v>Susenas Maret 2024</v>
      </c>
      <c r="Y209" s="7" t="s">
        <v>3990</v>
      </c>
      <c r="Z209" s="7" t="s">
        <v>3990</v>
      </c>
      <c r="AA209" s="68">
        <f t="shared" si="5"/>
        <v>45351</v>
      </c>
      <c r="AB209" s="68">
        <f t="shared" si="6"/>
        <v>45352</v>
      </c>
      <c r="AC209" s="68">
        <f t="shared" si="7"/>
        <v>45382</v>
      </c>
      <c r="AD209" s="68">
        <f t="shared" si="8"/>
        <v>45381</v>
      </c>
      <c r="AE209" s="68">
        <f t="shared" si="9"/>
        <v>45382</v>
      </c>
    </row>
    <row r="210" spans="1:31" ht="12.5">
      <c r="A210" s="125">
        <v>610422040033</v>
      </c>
      <c r="B210" s="64" t="s">
        <v>26</v>
      </c>
      <c r="D210" s="10">
        <f t="array" aca="1" ref="D210" ca="1">INDEX('Mitra per Bulan'!$M$2:$M800,MATCH(S210,'Mitra per Bulan'!$B$2:$B800,0))</f>
        <v>1</v>
      </c>
      <c r="E210" s="10" t="str">
        <f t="array" ref="E210">INDEX('Database Mitra'!$A$2:$A800,MATCH(A210,'Database Mitra'!$B$2:$B800,0))</f>
        <v>Nurlian</v>
      </c>
      <c r="F210" s="65" t="s">
        <v>25</v>
      </c>
      <c r="G210" s="5" t="str">
        <f t="array" ref="G210">INDEX('Database Mitra'!$G$2:$G800,MATCH(A210,'Database Mitra'!$B$2:$B800,0))</f>
        <v>6102085104960002</v>
      </c>
      <c r="H210" s="64" t="s">
        <v>67</v>
      </c>
      <c r="I210" s="65" t="str">
        <f t="shared" si="13"/>
        <v>SUSENAS24-LAPANGAN-SEMESTER1-PPL-PENDATAAN</v>
      </c>
      <c r="J210" s="10" t="str">
        <f t="array" ref="J210">INDEX(Honor!$H$2:$H800,MATCH($I210,Honor!$A$2:$A800,0))</f>
        <v>Rumah Tangga</v>
      </c>
      <c r="K210" s="66">
        <f t="array" ref="K210">INDEX(Honor!$I$2:$I800,MATCH($I210,Honor!$A$2:$A800,0))</f>
        <v>119000</v>
      </c>
      <c r="L210" s="65">
        <v>20</v>
      </c>
      <c r="M210" s="10">
        <f t="shared" si="0"/>
        <v>2380000</v>
      </c>
      <c r="N210" s="70"/>
      <c r="O210" s="67">
        <f t="array" ref="O210">INDEX(Honor!$L$2:$L800,MATCH($I210,Honor!$A$2:$A800,0))</f>
        <v>45367</v>
      </c>
      <c r="P210" s="10">
        <f t="shared" si="1"/>
        <v>2024</v>
      </c>
      <c r="Q210" s="10">
        <f t="shared" si="2"/>
        <v>3</v>
      </c>
      <c r="R210" s="10" t="str">
        <f t="array" ref="R210">INDEX(Honor!$Q$2:$Q800,MATCH($I210,Honor!$A$2:$A800,0))</f>
        <v>SURVEI-PPL</v>
      </c>
      <c r="S210" s="10" t="str">
        <f t="shared" si="3"/>
        <v>610422040033-2024-3</v>
      </c>
      <c r="T210" s="10" t="str">
        <f t="shared" si="4"/>
        <v>610422040033-2024-3-SURVEI-PPL</v>
      </c>
      <c r="U210" s="64">
        <v>1</v>
      </c>
      <c r="V210" s="10" t="e">
        <f t="array" aca="1" ref="V210" ca="1">INDEX(Honor!$O$2:$O800,MATCH($I210,Honor!$A$2:$A800,0))</f>
        <v>#NAME?</v>
      </c>
      <c r="W210" s="68">
        <v>45376</v>
      </c>
      <c r="X210" s="7" t="str">
        <f t="array" ref="X210">INDEX('Input Kegiatan'!$B$2:$B800,MATCH(B210,'Input Kegiatan'!$A$2:$A800,0))</f>
        <v>Susenas Maret 2024</v>
      </c>
      <c r="Y210" s="7" t="s">
        <v>3241</v>
      </c>
      <c r="Z210" s="7" t="s">
        <v>3289</v>
      </c>
      <c r="AA210" s="68">
        <f t="shared" si="5"/>
        <v>45351</v>
      </c>
      <c r="AB210" s="68">
        <f t="shared" si="6"/>
        <v>45352</v>
      </c>
      <c r="AC210" s="68">
        <f t="shared" si="7"/>
        <v>45382</v>
      </c>
      <c r="AD210" s="68">
        <f t="shared" si="8"/>
        <v>45381</v>
      </c>
      <c r="AE210" s="68">
        <f t="shared" si="9"/>
        <v>45382</v>
      </c>
    </row>
    <row r="211" spans="1:31" ht="12.5">
      <c r="A211" s="125">
        <v>610422040050</v>
      </c>
      <c r="B211" s="64" t="s">
        <v>26</v>
      </c>
      <c r="D211" s="10">
        <f t="array" aca="1" ref="D211" ca="1">INDEX('Mitra per Bulan'!$M$2:$M800,MATCH(S211,'Mitra per Bulan'!$B$2:$B800,0))</f>
        <v>1</v>
      </c>
      <c r="E211" s="10" t="str">
        <f t="array" ref="E211">INDEX('Database Mitra'!$A$2:$A800,MATCH(A211,'Database Mitra'!$B$2:$B800,0))</f>
        <v>Novita Sari</v>
      </c>
      <c r="F211" s="65" t="s">
        <v>25</v>
      </c>
      <c r="G211" s="5" t="str">
        <f t="array" ref="G211">INDEX('Database Mitra'!$G$2:$G800,MATCH(A211,'Database Mitra'!$B$2:$B800,0))</f>
        <v>6102085906990001</v>
      </c>
      <c r="H211" s="64" t="s">
        <v>67</v>
      </c>
      <c r="I211" s="65" t="str">
        <f t="shared" si="13"/>
        <v>SUSENAS24-LAPANGAN-SEMESTER1-PPL-PENDATAAN</v>
      </c>
      <c r="J211" s="10" t="str">
        <f t="array" ref="J211">INDEX(Honor!$H$2:$H800,MATCH($I211,Honor!$A$2:$A800,0))</f>
        <v>Rumah Tangga</v>
      </c>
      <c r="K211" s="66">
        <f t="array" ref="K211">INDEX(Honor!$I$2:$I800,MATCH($I211,Honor!$A$2:$A800,0))</f>
        <v>119000</v>
      </c>
      <c r="L211" s="65">
        <v>10</v>
      </c>
      <c r="M211" s="10">
        <f t="shared" si="0"/>
        <v>1190000</v>
      </c>
      <c r="N211" s="70"/>
      <c r="O211" s="67">
        <f t="array" ref="O211">INDEX(Honor!$L$2:$L800,MATCH($I211,Honor!$A$2:$A800,0))</f>
        <v>45367</v>
      </c>
      <c r="P211" s="10">
        <f t="shared" si="1"/>
        <v>2024</v>
      </c>
      <c r="Q211" s="10">
        <f t="shared" si="2"/>
        <v>3</v>
      </c>
      <c r="R211" s="10" t="str">
        <f t="array" ref="R211">INDEX(Honor!$Q$2:$Q800,MATCH($I211,Honor!$A$2:$A800,0))</f>
        <v>SURVEI-PPL</v>
      </c>
      <c r="S211" s="10" t="str">
        <f t="shared" si="3"/>
        <v>610422040050-2024-3</v>
      </c>
      <c r="T211" s="10" t="str">
        <f t="shared" si="4"/>
        <v>610422040050-2024-3-SURVEI-PPL</v>
      </c>
      <c r="U211" s="64">
        <v>1</v>
      </c>
      <c r="V211" s="10" t="e">
        <f t="array" aca="1" ref="V211" ca="1">INDEX(Honor!$O$2:$O800,MATCH($I211,Honor!$A$2:$A800,0))</f>
        <v>#NAME?</v>
      </c>
      <c r="W211" s="68">
        <v>45376</v>
      </c>
      <c r="X211" s="7" t="str">
        <f t="array" ref="X211">INDEX('Input Kegiatan'!$B$2:$B800,MATCH(B211,'Input Kegiatan'!$A$2:$A800,0))</f>
        <v>Susenas Maret 2024</v>
      </c>
      <c r="Y211" s="7" t="s">
        <v>3241</v>
      </c>
      <c r="Z211" s="7" t="s">
        <v>3289</v>
      </c>
      <c r="AA211" s="68">
        <f t="shared" si="5"/>
        <v>45351</v>
      </c>
      <c r="AB211" s="68">
        <f t="shared" si="6"/>
        <v>45352</v>
      </c>
      <c r="AC211" s="68">
        <f t="shared" si="7"/>
        <v>45382</v>
      </c>
      <c r="AD211" s="68">
        <f t="shared" si="8"/>
        <v>45381</v>
      </c>
      <c r="AE211" s="68">
        <f t="shared" si="9"/>
        <v>45382</v>
      </c>
    </row>
    <row r="212" spans="1:31" ht="12.5">
      <c r="A212" s="125">
        <v>610422030002</v>
      </c>
      <c r="B212" s="64" t="s">
        <v>26</v>
      </c>
      <c r="D212" s="10">
        <f t="array" aca="1" ref="D212" ca="1">INDEX('Mitra per Bulan'!$M$2:$M800,MATCH(S212,'Mitra per Bulan'!$B$2:$B800,0))</f>
        <v>1</v>
      </c>
      <c r="E212" s="10" t="str">
        <f t="array" ref="E212">INDEX('Database Mitra'!$A$2:$A800,MATCH(A212,'Database Mitra'!$B$2:$B800,0))</f>
        <v>Deti Erni Widiastuti</v>
      </c>
      <c r="F212" s="65" t="s">
        <v>25</v>
      </c>
      <c r="G212" s="5" t="str">
        <f t="array" ref="G212">INDEX('Database Mitra'!$G$2:$G800,MATCH(A212,'Database Mitra'!$B$2:$B800,0))</f>
        <v>6102016712860001</v>
      </c>
      <c r="H212" s="64" t="s">
        <v>67</v>
      </c>
      <c r="I212" s="65" t="str">
        <f t="shared" si="13"/>
        <v>SUSENAS24-LAPANGAN-SEMESTER1-PPL-PENDATAAN</v>
      </c>
      <c r="J212" s="10" t="str">
        <f t="array" ref="J212">INDEX(Honor!$H$2:$H800,MATCH($I212,Honor!$A$2:$A800,0))</f>
        <v>Rumah Tangga</v>
      </c>
      <c r="K212" s="66">
        <f t="array" ref="K212">INDEX(Honor!$I$2:$I800,MATCH($I212,Honor!$A$2:$A800,0))</f>
        <v>119000</v>
      </c>
      <c r="L212" s="65">
        <v>20</v>
      </c>
      <c r="M212" s="10">
        <f t="shared" si="0"/>
        <v>2380000</v>
      </c>
      <c r="N212" s="70"/>
      <c r="O212" s="67">
        <f t="array" ref="O212">INDEX(Honor!$L$2:$L800,MATCH($I212,Honor!$A$2:$A800,0))</f>
        <v>45367</v>
      </c>
      <c r="P212" s="10">
        <f t="shared" si="1"/>
        <v>2024</v>
      </c>
      <c r="Q212" s="10">
        <f t="shared" si="2"/>
        <v>3</v>
      </c>
      <c r="R212" s="10" t="str">
        <f t="array" ref="R212">INDEX(Honor!$Q$2:$Q800,MATCH($I212,Honor!$A$2:$A800,0))</f>
        <v>SURVEI-PPL</v>
      </c>
      <c r="S212" s="10" t="str">
        <f t="shared" si="3"/>
        <v>610422030002-2024-3</v>
      </c>
      <c r="T212" s="10" t="str">
        <f t="shared" si="4"/>
        <v>610422030002-2024-3-SURVEI-PPL</v>
      </c>
      <c r="U212" s="64">
        <v>1</v>
      </c>
      <c r="V212" s="10" t="e">
        <f t="array" aca="1" ref="V212" ca="1">INDEX(Honor!$O$2:$O800,MATCH($I212,Honor!$A$2:$A800,0))</f>
        <v>#NAME?</v>
      </c>
      <c r="W212" s="68">
        <v>45376</v>
      </c>
      <c r="X212" s="7" t="str">
        <f t="array" ref="X212">INDEX('Input Kegiatan'!$B$2:$B800,MATCH(B212,'Input Kegiatan'!$A$2:$A800,0))</f>
        <v>Susenas Maret 2024</v>
      </c>
      <c r="Y212" s="7" t="s">
        <v>3715</v>
      </c>
      <c r="Z212" s="7" t="s">
        <v>3716</v>
      </c>
      <c r="AA212" s="68">
        <f t="shared" si="5"/>
        <v>45351</v>
      </c>
      <c r="AB212" s="68">
        <f t="shared" si="6"/>
        <v>45352</v>
      </c>
      <c r="AC212" s="68">
        <f t="shared" si="7"/>
        <v>45382</v>
      </c>
      <c r="AD212" s="68">
        <f t="shared" si="8"/>
        <v>45381</v>
      </c>
      <c r="AE212" s="68">
        <f t="shared" si="9"/>
        <v>45382</v>
      </c>
    </row>
    <row r="213" spans="1:31" ht="12.5">
      <c r="A213" s="125">
        <v>610422040029</v>
      </c>
      <c r="B213" s="64" t="s">
        <v>26</v>
      </c>
      <c r="D213" s="10">
        <f t="array" aca="1" ref="D213" ca="1">INDEX('Mitra per Bulan'!$M$2:$M800,MATCH(S213,'Mitra per Bulan'!$B$2:$B800,0))</f>
        <v>1</v>
      </c>
      <c r="E213" s="10" t="str">
        <f t="array" ref="E213">INDEX('Database Mitra'!$A$2:$A800,MATCH(A213,'Database Mitra'!$B$2:$B800,0))</f>
        <v>Zaini</v>
      </c>
      <c r="F213" s="65" t="s">
        <v>25</v>
      </c>
      <c r="G213" s="5" t="str">
        <f t="array" ref="G213">INDEX('Database Mitra'!$G$2:$G800,MATCH(A213,'Database Mitra'!$B$2:$B800,0))</f>
        <v>6102010607870002</v>
      </c>
      <c r="H213" s="64" t="s">
        <v>67</v>
      </c>
      <c r="I213" s="65" t="str">
        <f t="shared" si="13"/>
        <v>SUSENAS24-LAPANGAN-SEMESTER1-PPL-PENDATAAN</v>
      </c>
      <c r="J213" s="10" t="str">
        <f t="array" ref="J213">INDEX(Honor!$H$2:$H800,MATCH($I213,Honor!$A$2:$A800,0))</f>
        <v>Rumah Tangga</v>
      </c>
      <c r="K213" s="66">
        <f t="array" ref="K213">INDEX(Honor!$I$2:$I800,MATCH($I213,Honor!$A$2:$A800,0))</f>
        <v>119000</v>
      </c>
      <c r="L213" s="65">
        <v>20</v>
      </c>
      <c r="M213" s="10">
        <f t="shared" si="0"/>
        <v>2380000</v>
      </c>
      <c r="N213" s="70"/>
      <c r="O213" s="67">
        <f t="array" ref="O213">INDEX(Honor!$L$2:$L800,MATCH($I213,Honor!$A$2:$A800,0))</f>
        <v>45367</v>
      </c>
      <c r="P213" s="10">
        <f t="shared" si="1"/>
        <v>2024</v>
      </c>
      <c r="Q213" s="10">
        <f t="shared" si="2"/>
        <v>3</v>
      </c>
      <c r="R213" s="10" t="str">
        <f t="array" ref="R213">INDEX(Honor!$Q$2:$Q800,MATCH($I213,Honor!$A$2:$A800,0))</f>
        <v>SURVEI-PPL</v>
      </c>
      <c r="S213" s="10" t="str">
        <f t="shared" si="3"/>
        <v>610422040029-2024-3</v>
      </c>
      <c r="T213" s="10" t="str">
        <f t="shared" si="4"/>
        <v>610422040029-2024-3-SURVEI-PPL</v>
      </c>
      <c r="U213" s="64">
        <v>1</v>
      </c>
      <c r="V213" s="10" t="e">
        <f t="array" aca="1" ref="V213" ca="1">INDEX(Honor!$O$2:$O800,MATCH($I213,Honor!$A$2:$A800,0))</f>
        <v>#NAME?</v>
      </c>
      <c r="W213" s="68">
        <v>45376</v>
      </c>
      <c r="X213" s="7" t="str">
        <f t="array" ref="X213">INDEX('Input Kegiatan'!$B$2:$B800,MATCH(B213,'Input Kegiatan'!$A$2:$A800,0))</f>
        <v>Susenas Maret 2024</v>
      </c>
      <c r="Y213" s="7" t="s">
        <v>4572</v>
      </c>
      <c r="Z213" s="7" t="s">
        <v>4619</v>
      </c>
      <c r="AA213" s="68">
        <f t="shared" si="5"/>
        <v>45351</v>
      </c>
      <c r="AB213" s="68">
        <f t="shared" si="6"/>
        <v>45352</v>
      </c>
      <c r="AC213" s="68">
        <f t="shared" si="7"/>
        <v>45382</v>
      </c>
      <c r="AD213" s="68">
        <f t="shared" si="8"/>
        <v>45381</v>
      </c>
      <c r="AE213" s="68">
        <f t="shared" si="9"/>
        <v>45382</v>
      </c>
    </row>
    <row r="214" spans="1:31" ht="12.5">
      <c r="A214" s="125">
        <v>610422040053</v>
      </c>
      <c r="B214" s="64" t="s">
        <v>26</v>
      </c>
      <c r="D214" s="10">
        <f t="array" aca="1" ref="D214" ca="1">INDEX('Mitra per Bulan'!$M$2:$M800,MATCH(S214,'Mitra per Bulan'!$B$2:$B800,0))</f>
        <v>1</v>
      </c>
      <c r="E214" s="10" t="str">
        <f t="array" ref="E214">INDEX('Database Mitra'!$A$2:$A800,MATCH(A214,'Database Mitra'!$B$2:$B800,0))</f>
        <v>Veti Ningsi</v>
      </c>
      <c r="F214" s="65" t="s">
        <v>25</v>
      </c>
      <c r="G214" s="5" t="str">
        <f t="array" ref="G214">INDEX('Database Mitra'!$G$2:$G800,MATCH(A214,'Database Mitra'!$B$2:$B800,0))</f>
        <v>6102125604010002</v>
      </c>
      <c r="H214" s="64" t="s">
        <v>67</v>
      </c>
      <c r="I214" s="65" t="str">
        <f t="shared" si="13"/>
        <v>SUSENAS24-LAPANGAN-SEMESTER1-PPL-PENDATAAN</v>
      </c>
      <c r="J214" s="10" t="str">
        <f t="array" ref="J214">INDEX(Honor!$H$2:$H800,MATCH($I214,Honor!$A$2:$A800,0))</f>
        <v>Rumah Tangga</v>
      </c>
      <c r="K214" s="66">
        <f t="array" ref="K214">INDEX(Honor!$I$2:$I800,MATCH($I214,Honor!$A$2:$A800,0))</f>
        <v>119000</v>
      </c>
      <c r="L214" s="65">
        <v>10</v>
      </c>
      <c r="M214" s="10">
        <f t="shared" si="0"/>
        <v>1190000</v>
      </c>
      <c r="N214" s="70"/>
      <c r="O214" s="67">
        <f t="array" ref="O214">INDEX(Honor!$L$2:$L800,MATCH($I214,Honor!$A$2:$A800,0))</f>
        <v>45367</v>
      </c>
      <c r="P214" s="10">
        <f t="shared" si="1"/>
        <v>2024</v>
      </c>
      <c r="Q214" s="10">
        <f t="shared" si="2"/>
        <v>3</v>
      </c>
      <c r="R214" s="10" t="str">
        <f t="array" ref="R214">INDEX(Honor!$Q$2:$Q800,MATCH($I214,Honor!$A$2:$A800,0))</f>
        <v>SURVEI-PPL</v>
      </c>
      <c r="S214" s="10" t="str">
        <f t="shared" si="3"/>
        <v>610422040053-2024-3</v>
      </c>
      <c r="T214" s="10" t="str">
        <f t="shared" si="4"/>
        <v>610422040053-2024-3-SURVEI-PPL</v>
      </c>
      <c r="U214" s="64">
        <v>1</v>
      </c>
      <c r="V214" s="10" t="e">
        <f t="array" aca="1" ref="V214" ca="1">INDEX(Honor!$O$2:$O800,MATCH($I214,Honor!$A$2:$A800,0))</f>
        <v>#NAME?</v>
      </c>
      <c r="W214" s="68">
        <v>45376</v>
      </c>
      <c r="X214" s="7" t="str">
        <f t="array" ref="X214">INDEX('Input Kegiatan'!$B$2:$B800,MATCH(B214,'Input Kegiatan'!$A$2:$A800,0))</f>
        <v>Susenas Maret 2024</v>
      </c>
      <c r="Y214" s="7" t="s">
        <v>5250</v>
      </c>
      <c r="Z214" s="7" t="s">
        <v>5464</v>
      </c>
      <c r="AA214" s="68">
        <f t="shared" si="5"/>
        <v>45351</v>
      </c>
      <c r="AB214" s="68">
        <f t="shared" si="6"/>
        <v>45352</v>
      </c>
      <c r="AC214" s="68">
        <f t="shared" si="7"/>
        <v>45382</v>
      </c>
      <c r="AD214" s="68">
        <f t="shared" si="8"/>
        <v>45381</v>
      </c>
      <c r="AE214" s="68">
        <f t="shared" si="9"/>
        <v>45382</v>
      </c>
    </row>
    <row r="215" spans="1:31" ht="12.5">
      <c r="A215" s="125">
        <v>610422040013</v>
      </c>
      <c r="B215" s="64" t="s">
        <v>26</v>
      </c>
      <c r="D215" s="10">
        <f t="array" aca="1" ref="D215" ca="1">INDEX('Mitra per Bulan'!$M$2:$M800,MATCH(S215,'Mitra per Bulan'!$B$2:$B800,0))</f>
        <v>1</v>
      </c>
      <c r="E215" s="10" t="str">
        <f t="array" ref="E215">INDEX('Database Mitra'!$A$2:$A800,MATCH(A215,'Database Mitra'!$B$2:$B800,0))</f>
        <v>Yusra, Se</v>
      </c>
      <c r="F215" s="65" t="s">
        <v>25</v>
      </c>
      <c r="G215" s="5" t="str">
        <f t="array" ref="G215">INDEX('Database Mitra'!$G$2:$G800,MATCH(A215,'Database Mitra'!$B$2:$B800,0))</f>
        <v>6102152011890001</v>
      </c>
      <c r="H215" s="64" t="s">
        <v>67</v>
      </c>
      <c r="I215" s="65" t="str">
        <f t="shared" si="13"/>
        <v>SUSENAS24-LAPANGAN-SEMESTER1-PPL-PENDATAAN</v>
      </c>
      <c r="J215" s="10" t="str">
        <f t="array" ref="J215">INDEX(Honor!$H$2:$H800,MATCH($I215,Honor!$A$2:$A800,0))</f>
        <v>Rumah Tangga</v>
      </c>
      <c r="K215" s="66">
        <f t="array" ref="K215">INDEX(Honor!$I$2:$I800,MATCH($I215,Honor!$A$2:$A800,0))</f>
        <v>119000</v>
      </c>
      <c r="L215" s="64">
        <v>20</v>
      </c>
      <c r="M215" s="10">
        <f t="shared" si="0"/>
        <v>2380000</v>
      </c>
      <c r="N215" s="70"/>
      <c r="O215" s="67">
        <f t="array" ref="O215">INDEX(Honor!$L$2:$L800,MATCH($I215,Honor!$A$2:$A800,0))</f>
        <v>45367</v>
      </c>
      <c r="P215" s="10">
        <f t="shared" si="1"/>
        <v>2024</v>
      </c>
      <c r="Q215" s="10">
        <f t="shared" si="2"/>
        <v>3</v>
      </c>
      <c r="R215" s="10" t="str">
        <f t="array" ref="R215">INDEX(Honor!$Q$2:$Q800,MATCH($I215,Honor!$A$2:$A800,0))</f>
        <v>SURVEI-PPL</v>
      </c>
      <c r="S215" s="10" t="str">
        <f t="shared" si="3"/>
        <v>610422040013-2024-3</v>
      </c>
      <c r="T215" s="10" t="str">
        <f t="shared" si="4"/>
        <v>610422040013-2024-3-SURVEI-PPL</v>
      </c>
      <c r="U215" s="64">
        <v>1</v>
      </c>
      <c r="V215" s="10" t="e">
        <f t="array" aca="1" ref="V215" ca="1">INDEX(Honor!$O$2:$O800,MATCH($I215,Honor!$A$2:$A800,0))</f>
        <v>#NAME?</v>
      </c>
      <c r="W215" s="68">
        <v>45376</v>
      </c>
      <c r="X215" s="7" t="str">
        <f t="array" ref="X215">INDEX('Input Kegiatan'!$B$2:$B800,MATCH(B215,'Input Kegiatan'!$A$2:$A800,0))</f>
        <v>Susenas Maret 2024</v>
      </c>
      <c r="Y215" s="7" t="s">
        <v>3715</v>
      </c>
      <c r="Z215" s="7" t="s">
        <v>3937</v>
      </c>
      <c r="AA215" s="68">
        <f t="shared" si="5"/>
        <v>45351</v>
      </c>
      <c r="AB215" s="68">
        <f t="shared" si="6"/>
        <v>45352</v>
      </c>
      <c r="AC215" s="68">
        <f t="shared" si="7"/>
        <v>45382</v>
      </c>
      <c r="AD215" s="68">
        <f t="shared" si="8"/>
        <v>45381</v>
      </c>
      <c r="AE215" s="68">
        <f t="shared" si="9"/>
        <v>45382</v>
      </c>
    </row>
    <row r="216" spans="1:31" ht="12.5">
      <c r="A216" s="125">
        <v>610422020032</v>
      </c>
      <c r="B216" s="64" t="s">
        <v>26</v>
      </c>
      <c r="D216" s="10">
        <f t="array" aca="1" ref="D216" ca="1">INDEX('Mitra per Bulan'!$M$2:$M800,MATCH(S216,'Mitra per Bulan'!$B$2:$B800,0))</f>
        <v>1</v>
      </c>
      <c r="E216" s="10" t="str">
        <f t="array" ref="E216">INDEX('Database Mitra'!$A$2:$A800,MATCH(A216,'Database Mitra'!$B$2:$B800,0))</f>
        <v>Lilis Suryani</v>
      </c>
      <c r="F216" s="65" t="s">
        <v>25</v>
      </c>
      <c r="G216" s="5" t="str">
        <f t="array" ref="G216">INDEX('Database Mitra'!$G$2:$G800,MATCH(A216,'Database Mitra'!$B$2:$B800,0))</f>
        <v>6102185102880001</v>
      </c>
      <c r="H216" s="64" t="s">
        <v>67</v>
      </c>
      <c r="I216" s="65" t="str">
        <f t="shared" si="13"/>
        <v>SUSENAS24-LAPANGAN-SEMESTER1-PPL-PENDATAAN</v>
      </c>
      <c r="J216" s="10" t="str">
        <f t="array" ref="J216">INDEX(Honor!$H$2:$H800,MATCH($I216,Honor!$A$2:$A800,0))</f>
        <v>Rumah Tangga</v>
      </c>
      <c r="K216" s="66">
        <f t="array" ref="K216">INDEX(Honor!$I$2:$I800,MATCH($I216,Honor!$A$2:$A800,0))</f>
        <v>119000</v>
      </c>
      <c r="L216" s="65">
        <v>10</v>
      </c>
      <c r="M216" s="10">
        <f t="shared" si="0"/>
        <v>1190000</v>
      </c>
      <c r="N216" s="70"/>
      <c r="O216" s="67">
        <f t="array" ref="O216">INDEX(Honor!$L$2:$L800,MATCH($I216,Honor!$A$2:$A800,0))</f>
        <v>45367</v>
      </c>
      <c r="P216" s="10">
        <f t="shared" si="1"/>
        <v>2024</v>
      </c>
      <c r="Q216" s="10">
        <f t="shared" si="2"/>
        <v>3</v>
      </c>
      <c r="R216" s="10" t="str">
        <f t="array" ref="R216">INDEX(Honor!$Q$2:$Q800,MATCH($I216,Honor!$A$2:$A800,0))</f>
        <v>SURVEI-PPL</v>
      </c>
      <c r="S216" s="10" t="str">
        <f t="shared" si="3"/>
        <v>610422020032-2024-3</v>
      </c>
      <c r="T216" s="10" t="str">
        <f t="shared" si="4"/>
        <v>610422020032-2024-3-SURVEI-PPL</v>
      </c>
      <c r="U216" s="64">
        <v>1</v>
      </c>
      <c r="V216" s="10" t="e">
        <f t="array" aca="1" ref="V216" ca="1">INDEX(Honor!$O$2:$O800,MATCH($I216,Honor!$A$2:$A800,0))</f>
        <v>#NAME?</v>
      </c>
      <c r="W216" s="68">
        <v>45376</v>
      </c>
      <c r="X216" s="7" t="str">
        <f t="array" ref="X216">INDEX('Input Kegiatan'!$B$2:$B800,MATCH(B216,'Input Kegiatan'!$A$2:$A800,0))</f>
        <v>Susenas Maret 2024</v>
      </c>
      <c r="Y216" s="7" t="s">
        <v>4931</v>
      </c>
      <c r="Z216" s="7" t="s">
        <v>5209</v>
      </c>
      <c r="AA216" s="68">
        <f t="shared" si="5"/>
        <v>45351</v>
      </c>
      <c r="AB216" s="68">
        <f t="shared" si="6"/>
        <v>45352</v>
      </c>
      <c r="AC216" s="68">
        <f t="shared" si="7"/>
        <v>45382</v>
      </c>
      <c r="AD216" s="68">
        <f t="shared" si="8"/>
        <v>45381</v>
      </c>
      <c r="AE216" s="68">
        <f t="shared" si="9"/>
        <v>45382</v>
      </c>
    </row>
    <row r="217" spans="1:31" ht="12.5">
      <c r="A217" s="125">
        <v>610422020045</v>
      </c>
      <c r="B217" s="64" t="s">
        <v>26</v>
      </c>
      <c r="D217" s="10">
        <f t="array" aca="1" ref="D217" ca="1">INDEX('Mitra per Bulan'!$M$2:$M800,MATCH(S217,'Mitra per Bulan'!$B$2:$B800,0))</f>
        <v>1</v>
      </c>
      <c r="E217" s="10" t="str">
        <f t="array" ref="E217">INDEX('Database Mitra'!$A$2:$A800,MATCH(A217,'Database Mitra'!$B$2:$B800,0))</f>
        <v>Herdinatara Febria</v>
      </c>
      <c r="F217" s="65" t="s">
        <v>25</v>
      </c>
      <c r="G217" s="5" t="str">
        <f t="array" ref="G217">INDEX('Database Mitra'!$G$2:$G800,MATCH(A217,'Database Mitra'!$B$2:$B800,0))</f>
        <v>6107086009930002</v>
      </c>
      <c r="H217" s="64" t="s">
        <v>67</v>
      </c>
      <c r="I217" s="65" t="str">
        <f t="shared" si="13"/>
        <v>SUSENAS24-LAPANGAN-SEMESTER1-PPL-PENDATAAN</v>
      </c>
      <c r="J217" s="10" t="str">
        <f t="array" ref="J217">INDEX(Honor!$H$2:$H800,MATCH($I217,Honor!$A$2:$A800,0))</f>
        <v>Rumah Tangga</v>
      </c>
      <c r="K217" s="66">
        <f t="array" ref="K217">INDEX(Honor!$I$2:$I800,MATCH($I217,Honor!$A$2:$A800,0))</f>
        <v>119000</v>
      </c>
      <c r="L217" s="65">
        <v>20</v>
      </c>
      <c r="M217" s="10">
        <f t="shared" si="0"/>
        <v>2380000</v>
      </c>
      <c r="N217" s="70"/>
      <c r="O217" s="67">
        <f t="array" ref="O217">INDEX(Honor!$L$2:$L800,MATCH($I217,Honor!$A$2:$A800,0))</f>
        <v>45367</v>
      </c>
      <c r="P217" s="10">
        <f t="shared" si="1"/>
        <v>2024</v>
      </c>
      <c r="Q217" s="10">
        <f t="shared" si="2"/>
        <v>3</v>
      </c>
      <c r="R217" s="10" t="str">
        <f t="array" ref="R217">INDEX(Honor!$Q$2:$Q800,MATCH($I217,Honor!$A$2:$A800,0))</f>
        <v>SURVEI-PPL</v>
      </c>
      <c r="S217" s="10" t="str">
        <f t="shared" si="3"/>
        <v>610422020045-2024-3</v>
      </c>
      <c r="T217" s="10" t="str">
        <f t="shared" si="4"/>
        <v>610422020045-2024-3-SURVEI-PPL</v>
      </c>
      <c r="U217" s="64">
        <v>1</v>
      </c>
      <c r="V217" s="10" t="e">
        <f t="array" aca="1" ref="V217" ca="1">INDEX(Honor!$O$2:$O800,MATCH($I217,Honor!$A$2:$A800,0))</f>
        <v>#NAME?</v>
      </c>
      <c r="W217" s="68">
        <v>45376</v>
      </c>
      <c r="X217" s="7" t="str">
        <f t="array" ref="X217">INDEX('Input Kegiatan'!$B$2:$B800,MATCH(B217,'Input Kegiatan'!$A$2:$A800,0))</f>
        <v>Susenas Maret 2024</v>
      </c>
      <c r="Y217" s="7" t="s">
        <v>3241</v>
      </c>
      <c r="Z217" s="7" t="s">
        <v>3430</v>
      </c>
      <c r="AA217" s="68">
        <f t="shared" si="5"/>
        <v>45351</v>
      </c>
      <c r="AB217" s="68">
        <f t="shared" si="6"/>
        <v>45352</v>
      </c>
      <c r="AC217" s="68">
        <f t="shared" si="7"/>
        <v>45382</v>
      </c>
      <c r="AD217" s="68">
        <f t="shared" si="8"/>
        <v>45381</v>
      </c>
      <c r="AE217" s="68">
        <f t="shared" si="9"/>
        <v>45382</v>
      </c>
    </row>
    <row r="218" spans="1:31" ht="12.5">
      <c r="A218" s="125">
        <v>610422030002</v>
      </c>
      <c r="B218" s="65" t="s">
        <v>110</v>
      </c>
      <c r="D218" s="10">
        <f t="array" aca="1" ref="D218" ca="1">INDEX('Mitra per Bulan'!$M$2:$M800,MATCH(S218,'Mitra per Bulan'!$B$2:$B800,0))</f>
        <v>1</v>
      </c>
      <c r="E218" s="10" t="str">
        <f t="array" ref="E218">INDEX('Database Mitra'!$A$2:$A800,MATCH(A218,'Database Mitra'!$B$2:$B800,0))</f>
        <v>Deti Erni Widiastuti</v>
      </c>
      <c r="F218" s="64" t="s">
        <v>25</v>
      </c>
      <c r="G218" s="5" t="str">
        <f t="array" ref="G218">INDEX('Database Mitra'!$G$2:$G800,MATCH(A218,'Database Mitra'!$B$2:$B800,0))</f>
        <v>6102016712860001</v>
      </c>
      <c r="H218" s="64" t="s">
        <v>67</v>
      </c>
      <c r="I218" s="65" t="s">
        <v>111</v>
      </c>
      <c r="J218" s="10" t="str">
        <f t="array" ref="J218">INDEX(Honor!$H$2:$H800,MATCH($I218,Honor!$A$2:$A800,0))</f>
        <v>Dokumen</v>
      </c>
      <c r="K218" s="66">
        <f t="array" ref="K218">INDEX(Honor!$I$2:$I800,MATCH($I218,Honor!$A$2:$A800,0))</f>
        <v>50000</v>
      </c>
      <c r="L218" s="64">
        <v>15</v>
      </c>
      <c r="M218" s="10">
        <f t="shared" si="0"/>
        <v>750000</v>
      </c>
      <c r="O218" s="67">
        <f t="array" ref="O218">INDEX(Honor!$L$2:$L800,MATCH($I218,Honor!$A$2:$A800,0))</f>
        <v>45371</v>
      </c>
      <c r="P218" s="10">
        <f t="shared" si="1"/>
        <v>2024</v>
      </c>
      <c r="Q218" s="10">
        <f t="shared" si="2"/>
        <v>3</v>
      </c>
      <c r="R218" s="10" t="str">
        <f t="array" ref="R218">INDEX(Honor!$Q$2:$Q800,MATCH($I218,Honor!$A$2:$A800,0))</f>
        <v>SURVEI-PPL</v>
      </c>
      <c r="S218" s="10" t="str">
        <f t="shared" si="3"/>
        <v>610422030002-2024-3</v>
      </c>
      <c r="T218" s="10" t="str">
        <f t="shared" si="4"/>
        <v>610422030002-2024-3-SURVEI-PPL</v>
      </c>
      <c r="U218" s="64">
        <v>1</v>
      </c>
      <c r="V218" s="10" t="e">
        <f t="array" aca="1" ref="V218" ca="1">INDEX(Honor!$O$2:$O800,MATCH($I218,Honor!$A$2:$A800,0))</f>
        <v>#NAME?</v>
      </c>
      <c r="W218" s="68">
        <v>45426</v>
      </c>
      <c r="X218" s="7" t="str">
        <f t="array" ref="X218">INDEX('Input Kegiatan'!$B$2:$B800,MATCH(B218,'Input Kegiatan'!$A$2:$A800,0))</f>
        <v>Survei Harga Perdagangan Besar (SHPB24) Maret</v>
      </c>
      <c r="Y218" s="7" t="s">
        <v>3715</v>
      </c>
      <c r="Z218" s="7" t="s">
        <v>3716</v>
      </c>
      <c r="AA218" s="68">
        <f t="shared" si="5"/>
        <v>45351</v>
      </c>
      <c r="AB218" s="68">
        <f t="shared" si="6"/>
        <v>45352</v>
      </c>
      <c r="AC218" s="68">
        <f t="shared" si="7"/>
        <v>45382</v>
      </c>
      <c r="AD218" s="68">
        <f t="shared" si="8"/>
        <v>45381</v>
      </c>
      <c r="AE218" s="68">
        <f t="shared" si="9"/>
        <v>45382</v>
      </c>
    </row>
    <row r="219" spans="1:31" ht="12.5">
      <c r="A219" s="125">
        <v>610422100244</v>
      </c>
      <c r="B219" s="64" t="s">
        <v>112</v>
      </c>
      <c r="D219" s="10">
        <f t="array" aca="1" ref="D219" ca="1">INDEX('Mitra per Bulan'!$M$2:$M800,MATCH(S219,'Mitra per Bulan'!$B$2:$B800,0))</f>
        <v>1</v>
      </c>
      <c r="E219" s="10" t="str">
        <f t="array" ref="E219">INDEX('Database Mitra'!$A$2:$A800,MATCH(A219,'Database Mitra'!$B$2:$B800,0))</f>
        <v>Sugianto</v>
      </c>
      <c r="F219" s="64" t="s">
        <v>25</v>
      </c>
      <c r="G219" s="5" t="str">
        <f t="array" ref="G219">INDEX('Database Mitra'!$G$2:$G800,MATCH(A219,'Database Mitra'!$B$2:$B800,0))</f>
        <v>6102171003900002</v>
      </c>
      <c r="H219" s="64" t="s">
        <v>67</v>
      </c>
      <c r="I219" s="65" t="s">
        <v>113</v>
      </c>
      <c r="J219" s="10" t="str">
        <f t="array" ref="J219">INDEX(Honor!$H$2:$H800,MATCH($I219,Honor!$A$2:$A800,0))</f>
        <v>Dokumen</v>
      </c>
      <c r="K219" s="66">
        <f t="array" ref="K219">INDEX(Honor!$I$2:$I800,MATCH($I219,Honor!$A$2:$A800,0))</f>
        <v>50000</v>
      </c>
      <c r="L219" s="64">
        <v>1</v>
      </c>
      <c r="M219" s="10">
        <f t="shared" si="0"/>
        <v>50000</v>
      </c>
      <c r="O219" s="67">
        <f t="array" ref="O219">INDEX(Honor!$L$2:$L800,MATCH($I219,Honor!$A$2:$A800,0))</f>
        <v>45371</v>
      </c>
      <c r="P219" s="10">
        <f t="shared" si="1"/>
        <v>2024</v>
      </c>
      <c r="Q219" s="10">
        <f t="shared" si="2"/>
        <v>3</v>
      </c>
      <c r="R219" s="10" t="str">
        <f t="array" ref="R219">INDEX(Honor!$Q$2:$Q800,MATCH($I219,Honor!$A$2:$A800,0))</f>
        <v>SURVEI-PPL</v>
      </c>
      <c r="S219" s="10" t="str">
        <f t="shared" si="3"/>
        <v>610422100244-2024-3</v>
      </c>
      <c r="T219" s="10" t="str">
        <f t="shared" si="4"/>
        <v>610422100244-2024-3-SURVEI-PPL</v>
      </c>
      <c r="U219" s="64">
        <v>1</v>
      </c>
      <c r="V219" s="10" t="e">
        <f t="array" aca="1" ref="V219" ca="1">INDEX(Honor!$O$2:$O800,MATCH($I219,Honor!$A$2:$A800,0))</f>
        <v>#NAME?</v>
      </c>
      <c r="W219" s="68">
        <v>45426</v>
      </c>
      <c r="X219" s="7" t="str">
        <f t="array" ref="X219">INDEX('Input Kegiatan'!$B$2:$B800,MATCH(B219,'Input Kegiatan'!$A$2:$A800,0))</f>
        <v>Survei Harga Produsen Gabah (HPG24) Maret</v>
      </c>
      <c r="Y219" s="7" t="s">
        <v>5741</v>
      </c>
      <c r="Z219" s="7" t="s">
        <v>5796</v>
      </c>
      <c r="AA219" s="68">
        <f t="shared" si="5"/>
        <v>45351</v>
      </c>
      <c r="AB219" s="68">
        <f t="shared" si="6"/>
        <v>45352</v>
      </c>
      <c r="AC219" s="68">
        <f t="shared" si="7"/>
        <v>45382</v>
      </c>
      <c r="AD219" s="68">
        <f t="shared" si="8"/>
        <v>45381</v>
      </c>
      <c r="AE219" s="68">
        <f t="shared" si="9"/>
        <v>45382</v>
      </c>
    </row>
    <row r="220" spans="1:31" ht="12.5">
      <c r="A220" s="125">
        <v>610422100124</v>
      </c>
      <c r="B220" s="64" t="s">
        <v>112</v>
      </c>
      <c r="D220" s="10">
        <f t="array" aca="1" ref="D220" ca="1">INDEX('Mitra per Bulan'!$M$2:$M800,MATCH(S220,'Mitra per Bulan'!$B$2:$B800,0))</f>
        <v>1</v>
      </c>
      <c r="E220" s="10" t="str">
        <f t="array" ref="E220">INDEX('Database Mitra'!$A$2:$A800,MATCH(A220,'Database Mitra'!$B$2:$B800,0))</f>
        <v>Prabowo</v>
      </c>
      <c r="F220" s="64" t="s">
        <v>25</v>
      </c>
      <c r="G220" s="5" t="str">
        <f t="array" ref="G220">INDEX('Database Mitra'!$G$2:$G800,MATCH(A220,'Database Mitra'!$B$2:$B800,0))</f>
        <v>6171010108790015</v>
      </c>
      <c r="H220" s="64" t="s">
        <v>67</v>
      </c>
      <c r="I220" s="65" t="s">
        <v>113</v>
      </c>
      <c r="J220" s="10" t="str">
        <f t="array" ref="J220">INDEX(Honor!$H$2:$H800,MATCH($I220,Honor!$A$2:$A800,0))</f>
        <v>Dokumen</v>
      </c>
      <c r="K220" s="66">
        <f t="array" ref="K220">INDEX(Honor!$I$2:$I800,MATCH($I220,Honor!$A$2:$A800,0))</f>
        <v>50000</v>
      </c>
      <c r="L220" s="64">
        <v>1</v>
      </c>
      <c r="M220" s="10">
        <f t="shared" si="0"/>
        <v>50000</v>
      </c>
      <c r="O220" s="67">
        <f t="array" ref="O220">INDEX(Honor!$L$2:$L800,MATCH($I220,Honor!$A$2:$A800,0))</f>
        <v>45371</v>
      </c>
      <c r="P220" s="10">
        <f t="shared" si="1"/>
        <v>2024</v>
      </c>
      <c r="Q220" s="10">
        <f t="shared" si="2"/>
        <v>3</v>
      </c>
      <c r="R220" s="10" t="str">
        <f t="array" ref="R220">INDEX(Honor!$Q$2:$Q800,MATCH($I220,Honor!$A$2:$A800,0))</f>
        <v>SURVEI-PPL</v>
      </c>
      <c r="S220" s="10" t="str">
        <f t="shared" si="3"/>
        <v>610422100124-2024-3</v>
      </c>
      <c r="T220" s="10" t="str">
        <f t="shared" si="4"/>
        <v>610422100124-2024-3-SURVEI-PPL</v>
      </c>
      <c r="U220" s="64">
        <v>1</v>
      </c>
      <c r="V220" s="10" t="e">
        <f t="array" aca="1" ref="V220" ca="1">INDEX(Honor!$O$2:$O800,MATCH($I220,Honor!$A$2:$A800,0))</f>
        <v>#NAME?</v>
      </c>
      <c r="W220" s="68">
        <v>45426</v>
      </c>
      <c r="X220" s="7" t="str">
        <f t="array" ref="X220">INDEX('Input Kegiatan'!$B$2:$B800,MATCH(B220,'Input Kegiatan'!$A$2:$A800,0))</f>
        <v>Survei Harga Produsen Gabah (HPG24) Maret</v>
      </c>
      <c r="Y220" s="7" t="s">
        <v>1921</v>
      </c>
      <c r="Z220" s="7" t="s">
        <v>2140</v>
      </c>
      <c r="AA220" s="68">
        <f t="shared" si="5"/>
        <v>45351</v>
      </c>
      <c r="AB220" s="68">
        <f t="shared" si="6"/>
        <v>45352</v>
      </c>
      <c r="AC220" s="68">
        <f t="shared" si="7"/>
        <v>45382</v>
      </c>
      <c r="AD220" s="68">
        <f t="shared" si="8"/>
        <v>45381</v>
      </c>
      <c r="AE220" s="68">
        <f t="shared" si="9"/>
        <v>45382</v>
      </c>
    </row>
    <row r="221" spans="1:31" ht="12.5">
      <c r="A221" s="125">
        <v>610422100016</v>
      </c>
      <c r="B221" s="65" t="s">
        <v>114</v>
      </c>
      <c r="D221" s="10">
        <f t="array" aca="1" ref="D221" ca="1">INDEX('Mitra per Bulan'!$M$2:$M800,MATCH(S221,'Mitra per Bulan'!$B$2:$B800,0))</f>
        <v>1</v>
      </c>
      <c r="E221" s="10" t="str">
        <f t="array" ref="E221">INDEX('Database Mitra'!$A$2:$A800,MATCH(A221,'Database Mitra'!$B$2:$B800,0))</f>
        <v>Amalia Faisya</v>
      </c>
      <c r="F221" s="64" t="s">
        <v>25</v>
      </c>
      <c r="G221" s="5" t="str">
        <f t="array" ref="G221">INDEX('Database Mitra'!$G$2:$G800,MATCH(A221,'Database Mitra'!$B$2:$B800,0))</f>
        <v>6102124210010005</v>
      </c>
      <c r="H221" s="64" t="s">
        <v>72</v>
      </c>
      <c r="I221" s="65" t="s">
        <v>115</v>
      </c>
      <c r="J221" s="10" t="str">
        <f t="array" ref="J221">INDEX(Honor!$H$2:$H800,MATCH($I221,Honor!$A$2:$A800,0))</f>
        <v>Dokumen</v>
      </c>
      <c r="K221" s="66">
        <f t="array" ref="K221">INDEX(Honor!$I$2:$I800,MATCH($I221,Honor!$A$2:$A800,0))</f>
        <v>65000</v>
      </c>
      <c r="L221" s="64">
        <v>3</v>
      </c>
      <c r="M221" s="10">
        <f t="shared" si="0"/>
        <v>195000</v>
      </c>
      <c r="O221" s="67">
        <f t="array" ref="O221">INDEX(Honor!$L$2:$L800,MATCH($I221,Honor!$A$2:$A800,0))</f>
        <v>45371</v>
      </c>
      <c r="P221" s="10">
        <f t="shared" si="1"/>
        <v>2024</v>
      </c>
      <c r="Q221" s="10">
        <f t="shared" si="2"/>
        <v>3</v>
      </c>
      <c r="R221" s="10" t="str">
        <f t="array" ref="R221">INDEX(Honor!$Q$2:$Q800,MATCH($I221,Honor!$A$2:$A800,0))</f>
        <v>SURVEI-PPL</v>
      </c>
      <c r="S221" s="10" t="str">
        <f t="shared" si="3"/>
        <v>610422100016-2024-3</v>
      </c>
      <c r="T221" s="10" t="str">
        <f t="shared" si="4"/>
        <v>610422100016-2024-3-SURVEI-PPL</v>
      </c>
      <c r="U221" s="64">
        <v>1</v>
      </c>
      <c r="V221" s="10" t="e">
        <f t="array" aca="1" ref="V221" ca="1">INDEX(Honor!$O$2:$O800,MATCH($I221,Honor!$A$2:$A800,0))</f>
        <v>#NAME?</v>
      </c>
      <c r="W221" s="68">
        <v>45426</v>
      </c>
      <c r="X221" s="7" t="str">
        <f t="array" ref="X221">INDEX('Input Kegiatan'!$B$2:$B800,MATCH(B221,'Input Kegiatan'!$A$2:$A800,0))</f>
        <v>Survei Harga Perdesaan (SHPED24) Maret</v>
      </c>
      <c r="Y221" s="7" t="s">
        <v>5250</v>
      </c>
      <c r="Z221" s="7" t="s">
        <v>5365</v>
      </c>
      <c r="AA221" s="68">
        <f t="shared" si="5"/>
        <v>45351</v>
      </c>
      <c r="AB221" s="68">
        <f t="shared" si="6"/>
        <v>45352</v>
      </c>
      <c r="AC221" s="68">
        <f t="shared" si="7"/>
        <v>45382</v>
      </c>
      <c r="AD221" s="68">
        <f t="shared" si="8"/>
        <v>45381</v>
      </c>
      <c r="AE221" s="68">
        <f t="shared" si="9"/>
        <v>45382</v>
      </c>
    </row>
    <row r="222" spans="1:31" ht="12.5">
      <c r="A222" s="125">
        <v>610422050001</v>
      </c>
      <c r="B222" s="65" t="s">
        <v>114</v>
      </c>
      <c r="D222" s="10">
        <f t="array" aca="1" ref="D222" ca="1">INDEX('Mitra per Bulan'!$M$2:$M800,MATCH(S222,'Mitra per Bulan'!$B$2:$B800,0))</f>
        <v>1</v>
      </c>
      <c r="E222" s="10" t="str">
        <f t="array" ref="E222">INDEX('Database Mitra'!$A$2:$A800,MATCH(A222,'Database Mitra'!$B$2:$B800,0))</f>
        <v>Evi Juniarty</v>
      </c>
      <c r="F222" s="64" t="s">
        <v>25</v>
      </c>
      <c r="G222" s="5" t="str">
        <f t="array" ref="G222">INDEX('Database Mitra'!$G$2:$G800,MATCH(A222,'Database Mitra'!$B$2:$B800,0))</f>
        <v>6102165101840001</v>
      </c>
      <c r="H222" s="64" t="s">
        <v>72</v>
      </c>
      <c r="I222" s="65" t="s">
        <v>115</v>
      </c>
      <c r="J222" s="10" t="str">
        <f t="array" ref="J222">INDEX(Honor!$H$2:$H800,MATCH($I222,Honor!$A$2:$A800,0))</f>
        <v>Dokumen</v>
      </c>
      <c r="K222" s="66">
        <f t="array" ref="K222">INDEX(Honor!$I$2:$I800,MATCH($I222,Honor!$A$2:$A800,0))</f>
        <v>65000</v>
      </c>
      <c r="L222" s="64">
        <v>3</v>
      </c>
      <c r="M222" s="10">
        <f t="shared" si="0"/>
        <v>195000</v>
      </c>
      <c r="O222" s="67">
        <f t="array" ref="O222">INDEX(Honor!$L$2:$L800,MATCH($I222,Honor!$A$2:$A800,0))</f>
        <v>45371</v>
      </c>
      <c r="P222" s="10">
        <f t="shared" si="1"/>
        <v>2024</v>
      </c>
      <c r="Q222" s="10">
        <f t="shared" si="2"/>
        <v>3</v>
      </c>
      <c r="R222" s="10" t="str">
        <f t="array" ref="R222">INDEX(Honor!$Q$2:$Q800,MATCH($I222,Honor!$A$2:$A800,0))</f>
        <v>SURVEI-PPL</v>
      </c>
      <c r="S222" s="10" t="str">
        <f t="shared" si="3"/>
        <v>610422050001-2024-3</v>
      </c>
      <c r="T222" s="10" t="str">
        <f t="shared" si="4"/>
        <v>610422050001-2024-3-SURVEI-PPL</v>
      </c>
      <c r="U222" s="64">
        <v>1</v>
      </c>
      <c r="V222" s="10" t="e">
        <f t="array" aca="1" ref="V222" ca="1">INDEX(Honor!$O$2:$O800,MATCH($I222,Honor!$A$2:$A800,0))</f>
        <v>#NAME?</v>
      </c>
      <c r="W222" s="68">
        <v>45426</v>
      </c>
      <c r="X222" s="7" t="str">
        <f t="array" ref="X222">INDEX('Input Kegiatan'!$B$2:$B800,MATCH(B222,'Input Kegiatan'!$A$2:$A800,0))</f>
        <v>Survei Harga Perdesaan (SHPED24) Maret</v>
      </c>
      <c r="Y222" s="7" t="s">
        <v>4408</v>
      </c>
      <c r="Z222" s="7" t="s">
        <v>4409</v>
      </c>
      <c r="AA222" s="68">
        <f t="shared" si="5"/>
        <v>45351</v>
      </c>
      <c r="AB222" s="68">
        <f t="shared" si="6"/>
        <v>45352</v>
      </c>
      <c r="AC222" s="68">
        <f t="shared" si="7"/>
        <v>45382</v>
      </c>
      <c r="AD222" s="68">
        <f t="shared" si="8"/>
        <v>45381</v>
      </c>
      <c r="AE222" s="68">
        <f t="shared" si="9"/>
        <v>45382</v>
      </c>
    </row>
    <row r="223" spans="1:31" ht="12.5">
      <c r="A223" s="125">
        <v>610422040030</v>
      </c>
      <c r="B223" s="65" t="s">
        <v>114</v>
      </c>
      <c r="D223" s="10">
        <f t="array" aca="1" ref="D223" ca="1">INDEX('Mitra per Bulan'!$M$2:$M800,MATCH(S223,'Mitra per Bulan'!$B$2:$B800,0))</f>
        <v>1</v>
      </c>
      <c r="E223" s="10" t="str">
        <f t="array" ref="E223">INDEX('Database Mitra'!$A$2:$A800,MATCH(A223,'Database Mitra'!$B$2:$B800,0))</f>
        <v>Syarifah Desti Pratiwi</v>
      </c>
      <c r="F223" s="64" t="s">
        <v>25</v>
      </c>
      <c r="G223" s="5" t="str">
        <f t="array" ref="G223">INDEX('Database Mitra'!$G$2:$G800,MATCH(A223,'Database Mitra'!$B$2:$B800,0))</f>
        <v>6102084512950002</v>
      </c>
      <c r="H223" s="64" t="s">
        <v>74</v>
      </c>
      <c r="I223" s="65" t="s">
        <v>116</v>
      </c>
      <c r="J223" s="10" t="str">
        <f t="array" ref="J223">INDEX(Honor!$H$2:$H800,MATCH($I223,Honor!$A$2:$A800,0))</f>
        <v>Dokumen</v>
      </c>
      <c r="K223" s="66">
        <f t="array" ref="K223">INDEX(Honor!$I$2:$I800,MATCH($I223,Honor!$A$2:$A800,0))</f>
        <v>55000</v>
      </c>
      <c r="L223" s="64">
        <v>1</v>
      </c>
      <c r="M223" s="10">
        <f t="shared" si="0"/>
        <v>55000</v>
      </c>
      <c r="O223" s="67">
        <f t="array" ref="O223">INDEX(Honor!$L$2:$L800,MATCH($I223,Honor!$A$2:$A800,0))</f>
        <v>45371</v>
      </c>
      <c r="P223" s="10">
        <f t="shared" si="1"/>
        <v>2024</v>
      </c>
      <c r="Q223" s="10">
        <f t="shared" si="2"/>
        <v>3</v>
      </c>
      <c r="R223" s="10" t="str">
        <f t="array" ref="R223">INDEX(Honor!$Q$2:$Q800,MATCH($I223,Honor!$A$2:$A800,0))</f>
        <v>SURVEI-PPL</v>
      </c>
      <c r="S223" s="10" t="str">
        <f t="shared" si="3"/>
        <v>610422040030-2024-3</v>
      </c>
      <c r="T223" s="10" t="str">
        <f t="shared" si="4"/>
        <v>610422040030-2024-3-SURVEI-PPL</v>
      </c>
      <c r="U223" s="64">
        <v>1</v>
      </c>
      <c r="V223" s="10" t="e">
        <f t="array" aca="1" ref="V223" ca="1">INDEX(Honor!$O$2:$O800,MATCH($I223,Honor!$A$2:$A800,0))</f>
        <v>#NAME?</v>
      </c>
      <c r="W223" s="68">
        <v>45426</v>
      </c>
      <c r="X223" s="7" t="str">
        <f t="array" ref="X223">INDEX('Input Kegiatan'!$B$2:$B800,MATCH(B223,'Input Kegiatan'!$A$2:$A800,0))</f>
        <v>Survei Harga Perdesaan (SHPED24) Maret</v>
      </c>
      <c r="Y223" s="7" t="s">
        <v>3241</v>
      </c>
      <c r="Z223" s="7" t="s">
        <v>3289</v>
      </c>
      <c r="AA223" s="68">
        <f t="shared" si="5"/>
        <v>45351</v>
      </c>
      <c r="AB223" s="68">
        <f t="shared" si="6"/>
        <v>45352</v>
      </c>
      <c r="AC223" s="68">
        <f t="shared" si="7"/>
        <v>45382</v>
      </c>
      <c r="AD223" s="68">
        <f t="shared" si="8"/>
        <v>45381</v>
      </c>
      <c r="AE223" s="68">
        <f t="shared" si="9"/>
        <v>45382</v>
      </c>
    </row>
    <row r="224" spans="1:31" ht="12.5">
      <c r="A224" s="125">
        <v>610422100124</v>
      </c>
      <c r="B224" s="65" t="s">
        <v>114</v>
      </c>
      <c r="D224" s="10">
        <f t="array" aca="1" ref="D224" ca="1">INDEX('Mitra per Bulan'!$M$2:$M800,MATCH(S224,'Mitra per Bulan'!$B$2:$B800,0))</f>
        <v>1</v>
      </c>
      <c r="E224" s="10" t="str">
        <f t="array" ref="E224">INDEX('Database Mitra'!$A$2:$A800,MATCH(A224,'Database Mitra'!$B$2:$B800,0))</f>
        <v>Prabowo</v>
      </c>
      <c r="F224" s="64" t="s">
        <v>25</v>
      </c>
      <c r="G224" s="5" t="str">
        <f t="array" ref="G224">INDEX('Database Mitra'!$G$2:$G800,MATCH(A224,'Database Mitra'!$B$2:$B800,0))</f>
        <v>6171010108790015</v>
      </c>
      <c r="H224" s="64" t="s">
        <v>74</v>
      </c>
      <c r="I224" s="65" t="s">
        <v>116</v>
      </c>
      <c r="J224" s="10" t="str">
        <f t="array" ref="J224">INDEX(Honor!$H$2:$H800,MATCH($I224,Honor!$A$2:$A800,0))</f>
        <v>Dokumen</v>
      </c>
      <c r="K224" s="66">
        <f t="array" ref="K224">INDEX(Honor!$I$2:$I800,MATCH($I224,Honor!$A$2:$A800,0))</f>
        <v>55000</v>
      </c>
      <c r="L224" s="64">
        <v>3</v>
      </c>
      <c r="M224" s="10">
        <f t="shared" si="0"/>
        <v>165000</v>
      </c>
      <c r="O224" s="67">
        <f t="array" ref="O224">INDEX(Honor!$L$2:$L800,MATCH($I224,Honor!$A$2:$A800,0))</f>
        <v>45371</v>
      </c>
      <c r="P224" s="10">
        <f t="shared" si="1"/>
        <v>2024</v>
      </c>
      <c r="Q224" s="10">
        <f t="shared" si="2"/>
        <v>3</v>
      </c>
      <c r="R224" s="10" t="str">
        <f t="array" ref="R224">INDEX(Honor!$Q$2:$Q800,MATCH($I224,Honor!$A$2:$A800,0))</f>
        <v>SURVEI-PPL</v>
      </c>
      <c r="S224" s="10" t="str">
        <f t="shared" si="3"/>
        <v>610422100124-2024-3</v>
      </c>
      <c r="T224" s="10" t="str">
        <f t="shared" si="4"/>
        <v>610422100124-2024-3-SURVEI-PPL</v>
      </c>
      <c r="U224" s="64">
        <v>1</v>
      </c>
      <c r="V224" s="10" t="e">
        <f t="array" aca="1" ref="V224" ca="1">INDEX(Honor!$O$2:$O800,MATCH($I224,Honor!$A$2:$A800,0))</f>
        <v>#NAME?</v>
      </c>
      <c r="W224" s="68">
        <v>45426</v>
      </c>
      <c r="X224" s="7" t="str">
        <f t="array" ref="X224">INDEX('Input Kegiatan'!$B$2:$B800,MATCH(B224,'Input Kegiatan'!$A$2:$A800,0))</f>
        <v>Survei Harga Perdesaan (SHPED24) Maret</v>
      </c>
      <c r="Y224" s="7" t="s">
        <v>1921</v>
      </c>
      <c r="Z224" s="7" t="s">
        <v>2140</v>
      </c>
      <c r="AA224" s="68">
        <f t="shared" si="5"/>
        <v>45351</v>
      </c>
      <c r="AB224" s="68">
        <f t="shared" si="6"/>
        <v>45352</v>
      </c>
      <c r="AC224" s="68">
        <f t="shared" si="7"/>
        <v>45382</v>
      </c>
      <c r="AD224" s="68">
        <f t="shared" si="8"/>
        <v>45381</v>
      </c>
      <c r="AE224" s="68">
        <f t="shared" si="9"/>
        <v>45382</v>
      </c>
    </row>
    <row r="225" spans="1:31" ht="12.5">
      <c r="A225" s="125">
        <v>610422100244</v>
      </c>
      <c r="B225" s="65" t="s">
        <v>114</v>
      </c>
      <c r="D225" s="10">
        <f t="array" aca="1" ref="D225" ca="1">INDEX('Mitra per Bulan'!$M$2:$M800,MATCH(S225,'Mitra per Bulan'!$B$2:$B800,0))</f>
        <v>1</v>
      </c>
      <c r="E225" s="10" t="str">
        <f t="array" ref="E225">INDEX('Database Mitra'!$A$2:$A800,MATCH(A225,'Database Mitra'!$B$2:$B800,0))</f>
        <v>Sugianto</v>
      </c>
      <c r="F225" s="64" t="s">
        <v>25</v>
      </c>
      <c r="G225" s="5" t="str">
        <f t="array" ref="G225">INDEX('Database Mitra'!$G$2:$G800,MATCH(A225,'Database Mitra'!$B$2:$B800,0))</f>
        <v>6102171003900002</v>
      </c>
      <c r="H225" s="64" t="s">
        <v>74</v>
      </c>
      <c r="I225" s="65" t="s">
        <v>116</v>
      </c>
      <c r="J225" s="10" t="str">
        <f t="array" ref="J225">INDEX(Honor!$H$2:$H800,MATCH($I225,Honor!$A$2:$A800,0))</f>
        <v>Dokumen</v>
      </c>
      <c r="K225" s="66">
        <f t="array" ref="K225">INDEX(Honor!$I$2:$I800,MATCH($I225,Honor!$A$2:$A800,0))</f>
        <v>55000</v>
      </c>
      <c r="L225" s="64">
        <v>2</v>
      </c>
      <c r="M225" s="10">
        <f t="shared" si="0"/>
        <v>110000</v>
      </c>
      <c r="O225" s="67">
        <f t="array" ref="O225">INDEX(Honor!$L$2:$L800,MATCH($I225,Honor!$A$2:$A800,0))</f>
        <v>45371</v>
      </c>
      <c r="P225" s="10">
        <f t="shared" si="1"/>
        <v>2024</v>
      </c>
      <c r="Q225" s="10">
        <f t="shared" si="2"/>
        <v>3</v>
      </c>
      <c r="R225" s="10" t="str">
        <f t="array" ref="R225">INDEX(Honor!$Q$2:$Q800,MATCH($I225,Honor!$A$2:$A800,0))</f>
        <v>SURVEI-PPL</v>
      </c>
      <c r="S225" s="10" t="str">
        <f t="shared" si="3"/>
        <v>610422100244-2024-3</v>
      </c>
      <c r="T225" s="10" t="str">
        <f t="shared" si="4"/>
        <v>610422100244-2024-3-SURVEI-PPL</v>
      </c>
      <c r="U225" s="64">
        <v>1</v>
      </c>
      <c r="V225" s="10" t="e">
        <f t="array" aca="1" ref="V225" ca="1">INDEX(Honor!$O$2:$O800,MATCH($I225,Honor!$A$2:$A800,0))</f>
        <v>#NAME?</v>
      </c>
      <c r="W225" s="68">
        <v>45426</v>
      </c>
      <c r="X225" s="7" t="str">
        <f t="array" ref="X225">INDEX('Input Kegiatan'!$B$2:$B800,MATCH(B225,'Input Kegiatan'!$A$2:$A800,0))</f>
        <v>Survei Harga Perdesaan (SHPED24) Maret</v>
      </c>
      <c r="Y225" s="7" t="s">
        <v>5741</v>
      </c>
      <c r="Z225" s="7" t="s">
        <v>5796</v>
      </c>
      <c r="AA225" s="68">
        <f t="shared" si="5"/>
        <v>45351</v>
      </c>
      <c r="AB225" s="68">
        <f t="shared" si="6"/>
        <v>45352</v>
      </c>
      <c r="AC225" s="68">
        <f t="shared" si="7"/>
        <v>45382</v>
      </c>
      <c r="AD225" s="68">
        <f t="shared" si="8"/>
        <v>45381</v>
      </c>
      <c r="AE225" s="68">
        <f t="shared" si="9"/>
        <v>45382</v>
      </c>
    </row>
    <row r="226" spans="1:31" ht="12.5">
      <c r="A226" s="125">
        <v>610422020016</v>
      </c>
      <c r="B226" s="65" t="s">
        <v>114</v>
      </c>
      <c r="D226" s="10">
        <f t="array" aca="1" ref="D226" ca="1">INDEX('Mitra per Bulan'!$M$2:$M800,MATCH(S226,'Mitra per Bulan'!$B$2:$B800,0))</f>
        <v>1</v>
      </c>
      <c r="E226" s="10" t="str">
        <f t="array" ref="E226">INDEX('Database Mitra'!$A$2:$A800,MATCH(A226,'Database Mitra'!$B$2:$B800,0))</f>
        <v>Abdul Aziz</v>
      </c>
      <c r="F226" s="64" t="s">
        <v>25</v>
      </c>
      <c r="G226" s="5" t="str">
        <f t="array" ref="G226">INDEX('Database Mitra'!$G$2:$G800,MATCH(A226,'Database Mitra'!$B$2:$B800,0))</f>
        <v>6102061507950006</v>
      </c>
      <c r="H226" s="64" t="s">
        <v>74</v>
      </c>
      <c r="I226" s="65" t="s">
        <v>116</v>
      </c>
      <c r="J226" s="10" t="str">
        <f t="array" ref="J226">INDEX(Honor!$H$2:$H800,MATCH($I226,Honor!$A$2:$A800,0))</f>
        <v>Dokumen</v>
      </c>
      <c r="K226" s="66">
        <f t="array" ref="K226">INDEX(Honor!$I$2:$I800,MATCH($I226,Honor!$A$2:$A800,0))</f>
        <v>55000</v>
      </c>
      <c r="L226" s="64">
        <v>3</v>
      </c>
      <c r="M226" s="10">
        <f t="shared" si="0"/>
        <v>165000</v>
      </c>
      <c r="O226" s="67">
        <f t="array" ref="O226">INDEX(Honor!$L$2:$L800,MATCH($I226,Honor!$A$2:$A800,0))</f>
        <v>45371</v>
      </c>
      <c r="P226" s="10">
        <f t="shared" si="1"/>
        <v>2024</v>
      </c>
      <c r="Q226" s="10">
        <f t="shared" si="2"/>
        <v>3</v>
      </c>
      <c r="R226" s="10" t="str">
        <f t="array" ref="R226">INDEX(Honor!$Q$2:$Q800,MATCH($I226,Honor!$A$2:$A800,0))</f>
        <v>SURVEI-PPL</v>
      </c>
      <c r="S226" s="10" t="str">
        <f t="shared" si="3"/>
        <v>610422020016-2024-3</v>
      </c>
      <c r="T226" s="10" t="str">
        <f t="shared" si="4"/>
        <v>610422020016-2024-3-SURVEI-PPL</v>
      </c>
      <c r="U226" s="64">
        <v>1</v>
      </c>
      <c r="V226" s="10" t="e">
        <f t="array" aca="1" ref="V226" ca="1">INDEX(Honor!$O$2:$O800,MATCH($I226,Honor!$A$2:$A800,0))</f>
        <v>#NAME?</v>
      </c>
      <c r="W226" s="68">
        <v>45426</v>
      </c>
      <c r="X226" s="7" t="str">
        <f t="array" ref="X226">INDEX('Input Kegiatan'!$B$2:$B800,MATCH(B226,'Input Kegiatan'!$A$2:$A800,0))</f>
        <v>Survei Harga Perdesaan (SHPED24) Maret</v>
      </c>
      <c r="Y226" s="7" t="s">
        <v>5534</v>
      </c>
      <c r="Z226" s="7" t="s">
        <v>5535</v>
      </c>
      <c r="AA226" s="68">
        <f t="shared" si="5"/>
        <v>45351</v>
      </c>
      <c r="AB226" s="68">
        <f t="shared" si="6"/>
        <v>45352</v>
      </c>
      <c r="AC226" s="68">
        <f t="shared" si="7"/>
        <v>45382</v>
      </c>
      <c r="AD226" s="68">
        <f t="shared" si="8"/>
        <v>45381</v>
      </c>
      <c r="AE226" s="68">
        <f t="shared" si="9"/>
        <v>45382</v>
      </c>
    </row>
    <row r="227" spans="1:31" ht="12.5">
      <c r="A227" s="125">
        <v>610422100016</v>
      </c>
      <c r="B227" s="65" t="s">
        <v>114</v>
      </c>
      <c r="D227" s="10">
        <f t="array" aca="1" ref="D227" ca="1">INDEX('Mitra per Bulan'!$M$2:$M800,MATCH(S227,'Mitra per Bulan'!$B$2:$B800,0))</f>
        <v>1</v>
      </c>
      <c r="E227" s="10" t="str">
        <f t="array" ref="E227">INDEX('Database Mitra'!$A$2:$A800,MATCH(A227,'Database Mitra'!$B$2:$B800,0))</f>
        <v>Amalia Faisya</v>
      </c>
      <c r="F227" s="64" t="s">
        <v>25</v>
      </c>
      <c r="G227" s="5" t="str">
        <f t="array" ref="G227">INDEX('Database Mitra'!$G$2:$G800,MATCH(A227,'Database Mitra'!$B$2:$B800,0))</f>
        <v>6102124210010005</v>
      </c>
      <c r="H227" s="64" t="s">
        <v>74</v>
      </c>
      <c r="I227" s="65" t="s">
        <v>116</v>
      </c>
      <c r="J227" s="10" t="str">
        <f t="array" ref="J227">INDEX(Honor!$H$2:$H800,MATCH($I227,Honor!$A$2:$A800,0))</f>
        <v>Dokumen</v>
      </c>
      <c r="K227" s="66">
        <f t="array" ref="K227">INDEX(Honor!$I$2:$I800,MATCH($I227,Honor!$A$2:$A800,0))</f>
        <v>55000</v>
      </c>
      <c r="L227" s="64">
        <v>1</v>
      </c>
      <c r="M227" s="10">
        <f t="shared" si="0"/>
        <v>55000</v>
      </c>
      <c r="O227" s="67">
        <f t="array" ref="O227">INDEX(Honor!$L$2:$L800,MATCH($I227,Honor!$A$2:$A800,0))</f>
        <v>45371</v>
      </c>
      <c r="P227" s="10">
        <f t="shared" si="1"/>
        <v>2024</v>
      </c>
      <c r="Q227" s="10">
        <f t="shared" si="2"/>
        <v>3</v>
      </c>
      <c r="R227" s="10" t="str">
        <f t="array" ref="R227">INDEX(Honor!$Q$2:$Q800,MATCH($I227,Honor!$A$2:$A800,0))</f>
        <v>SURVEI-PPL</v>
      </c>
      <c r="S227" s="10" t="str">
        <f t="shared" si="3"/>
        <v>610422100016-2024-3</v>
      </c>
      <c r="T227" s="10" t="str">
        <f t="shared" si="4"/>
        <v>610422100016-2024-3-SURVEI-PPL</v>
      </c>
      <c r="U227" s="64">
        <v>1</v>
      </c>
      <c r="V227" s="10" t="e">
        <f t="array" aca="1" ref="V227" ca="1">INDEX(Honor!$O$2:$O800,MATCH($I227,Honor!$A$2:$A800,0))</f>
        <v>#NAME?</v>
      </c>
      <c r="W227" s="68">
        <v>45426</v>
      </c>
      <c r="X227" s="7" t="str">
        <f t="array" ref="X227">INDEX('Input Kegiatan'!$B$2:$B800,MATCH(B227,'Input Kegiatan'!$A$2:$A800,0))</f>
        <v>Survei Harga Perdesaan (SHPED24) Maret</v>
      </c>
      <c r="Y227" s="7" t="s">
        <v>5250</v>
      </c>
      <c r="Z227" s="7" t="s">
        <v>5365</v>
      </c>
      <c r="AA227" s="68">
        <f t="shared" si="5"/>
        <v>45351</v>
      </c>
      <c r="AB227" s="68">
        <f t="shared" si="6"/>
        <v>45352</v>
      </c>
      <c r="AC227" s="68">
        <f t="shared" si="7"/>
        <v>45382</v>
      </c>
      <c r="AD227" s="68">
        <f t="shared" si="8"/>
        <v>45381</v>
      </c>
      <c r="AE227" s="68">
        <f t="shared" si="9"/>
        <v>45382</v>
      </c>
    </row>
    <row r="228" spans="1:31" ht="12.5">
      <c r="A228" s="125">
        <v>610422020048</v>
      </c>
      <c r="B228" s="65" t="s">
        <v>114</v>
      </c>
      <c r="D228" s="10">
        <f t="array" aca="1" ref="D228" ca="1">INDEX('Mitra per Bulan'!$M$2:$M800,MATCH(S228,'Mitra per Bulan'!$B$2:$B800,0))</f>
        <v>1</v>
      </c>
      <c r="E228" s="10" t="str">
        <f t="array" ref="E228">INDEX('Database Mitra'!$A$2:$A800,MATCH(A228,'Database Mitra'!$B$2:$B800,0))</f>
        <v>Herri Gustaman</v>
      </c>
      <c r="F228" s="64" t="s">
        <v>25</v>
      </c>
      <c r="G228" s="5" t="str">
        <f t="array" ref="G228">INDEX('Database Mitra'!$G$2:$G800,MATCH(A228,'Database Mitra'!$B$2:$B800,0))</f>
        <v>6102072503800001</v>
      </c>
      <c r="H228" s="64" t="s">
        <v>74</v>
      </c>
      <c r="I228" s="65" t="s">
        <v>116</v>
      </c>
      <c r="J228" s="10" t="str">
        <f t="array" ref="J228">INDEX(Honor!$H$2:$H800,MATCH($I228,Honor!$A$2:$A800,0))</f>
        <v>Dokumen</v>
      </c>
      <c r="K228" s="66">
        <f t="array" ref="K228">INDEX(Honor!$I$2:$I800,MATCH($I228,Honor!$A$2:$A800,0))</f>
        <v>55000</v>
      </c>
      <c r="L228" s="64">
        <v>3</v>
      </c>
      <c r="M228" s="10">
        <f t="shared" si="0"/>
        <v>165000</v>
      </c>
      <c r="O228" s="67">
        <f t="array" ref="O228">INDEX(Honor!$L$2:$L800,MATCH($I228,Honor!$A$2:$A800,0))</f>
        <v>45371</v>
      </c>
      <c r="P228" s="10">
        <f t="shared" si="1"/>
        <v>2024</v>
      </c>
      <c r="Q228" s="10">
        <f t="shared" si="2"/>
        <v>3</v>
      </c>
      <c r="R228" s="10" t="str">
        <f t="array" ref="R228">INDEX(Honor!$Q$2:$Q800,MATCH($I228,Honor!$A$2:$A800,0))</f>
        <v>SURVEI-PPL</v>
      </c>
      <c r="S228" s="10" t="str">
        <f t="shared" si="3"/>
        <v>610422020048-2024-3</v>
      </c>
      <c r="T228" s="10" t="str">
        <f t="shared" si="4"/>
        <v>610422020048-2024-3-SURVEI-PPL</v>
      </c>
      <c r="U228" s="64">
        <v>1</v>
      </c>
      <c r="V228" s="10" t="e">
        <f t="array" aca="1" ref="V228" ca="1">INDEX(Honor!$O$2:$O800,MATCH($I228,Honor!$A$2:$A800,0))</f>
        <v>#NAME?</v>
      </c>
      <c r="W228" s="68">
        <v>45426</v>
      </c>
      <c r="X228" s="7" t="str">
        <f t="array" ref="X228">INDEX('Input Kegiatan'!$B$2:$B800,MATCH(B228,'Input Kegiatan'!$A$2:$A800,0))</f>
        <v>Survei Harga Perdesaan (SHPED24) Maret</v>
      </c>
      <c r="Y228" s="7" t="s">
        <v>4931</v>
      </c>
      <c r="Z228" s="7" t="s">
        <v>5171</v>
      </c>
      <c r="AA228" s="68">
        <f t="shared" si="5"/>
        <v>45351</v>
      </c>
      <c r="AB228" s="68">
        <f t="shared" si="6"/>
        <v>45352</v>
      </c>
      <c r="AC228" s="68">
        <f t="shared" si="7"/>
        <v>45382</v>
      </c>
      <c r="AD228" s="68">
        <f t="shared" si="8"/>
        <v>45381</v>
      </c>
      <c r="AE228" s="68">
        <f t="shared" si="9"/>
        <v>45382</v>
      </c>
    </row>
    <row r="229" spans="1:31" ht="12.5">
      <c r="A229" s="125">
        <v>610422040029</v>
      </c>
      <c r="B229" s="65" t="s">
        <v>114</v>
      </c>
      <c r="D229" s="10">
        <f t="array" aca="1" ref="D229" ca="1">INDEX('Mitra per Bulan'!$M$2:$M800,MATCH(S229,'Mitra per Bulan'!$B$2:$B800,0))</f>
        <v>1</v>
      </c>
      <c r="E229" s="10" t="str">
        <f t="array" ref="E229">INDEX('Database Mitra'!$A$2:$A800,MATCH(A229,'Database Mitra'!$B$2:$B800,0))</f>
        <v>Zaini</v>
      </c>
      <c r="F229" s="64" t="s">
        <v>25</v>
      </c>
      <c r="G229" s="5" t="str">
        <f t="array" ref="G229">INDEX('Database Mitra'!$G$2:$G800,MATCH(A229,'Database Mitra'!$B$2:$B800,0))</f>
        <v>6102010607870002</v>
      </c>
      <c r="H229" s="64" t="s">
        <v>74</v>
      </c>
      <c r="I229" s="65" t="s">
        <v>116</v>
      </c>
      <c r="J229" s="10" t="str">
        <f t="array" ref="J229">INDEX(Honor!$H$2:$H800,MATCH($I229,Honor!$A$2:$A800,0))</f>
        <v>Dokumen</v>
      </c>
      <c r="K229" s="66">
        <f t="array" ref="K229">INDEX(Honor!$I$2:$I800,MATCH($I229,Honor!$A$2:$A800,0))</f>
        <v>55000</v>
      </c>
      <c r="L229" s="64">
        <v>4</v>
      </c>
      <c r="M229" s="10">
        <f t="shared" si="0"/>
        <v>220000</v>
      </c>
      <c r="O229" s="67">
        <f t="array" ref="O229">INDEX(Honor!$L$2:$L800,MATCH($I229,Honor!$A$2:$A800,0))</f>
        <v>45371</v>
      </c>
      <c r="P229" s="10">
        <f t="shared" si="1"/>
        <v>2024</v>
      </c>
      <c r="Q229" s="10">
        <f t="shared" si="2"/>
        <v>3</v>
      </c>
      <c r="R229" s="10" t="str">
        <f t="array" ref="R229">INDEX(Honor!$Q$2:$Q800,MATCH($I229,Honor!$A$2:$A800,0))</f>
        <v>SURVEI-PPL</v>
      </c>
      <c r="S229" s="10" t="str">
        <f t="shared" si="3"/>
        <v>610422040029-2024-3</v>
      </c>
      <c r="T229" s="10" t="str">
        <f t="shared" si="4"/>
        <v>610422040029-2024-3-SURVEI-PPL</v>
      </c>
      <c r="U229" s="64">
        <v>1</v>
      </c>
      <c r="V229" s="10" t="e">
        <f t="array" aca="1" ref="V229" ca="1">INDEX(Honor!$O$2:$O800,MATCH($I229,Honor!$A$2:$A800,0))</f>
        <v>#NAME?</v>
      </c>
      <c r="W229" s="68">
        <v>45426</v>
      </c>
      <c r="X229" s="7" t="str">
        <f t="array" ref="X229">INDEX('Input Kegiatan'!$B$2:$B800,MATCH(B229,'Input Kegiatan'!$A$2:$A800,0))</f>
        <v>Survei Harga Perdesaan (SHPED24) Maret</v>
      </c>
      <c r="Y229" s="7" t="s">
        <v>4572</v>
      </c>
      <c r="Z229" s="7" t="s">
        <v>4619</v>
      </c>
      <c r="AA229" s="68">
        <f t="shared" si="5"/>
        <v>45351</v>
      </c>
      <c r="AB229" s="68">
        <f t="shared" si="6"/>
        <v>45352</v>
      </c>
      <c r="AC229" s="68">
        <f t="shared" si="7"/>
        <v>45382</v>
      </c>
      <c r="AD229" s="68">
        <f t="shared" si="8"/>
        <v>45381</v>
      </c>
      <c r="AE229" s="68">
        <f t="shared" si="9"/>
        <v>45382</v>
      </c>
    </row>
    <row r="230" spans="1:31" ht="12.5">
      <c r="A230" s="125">
        <v>610422050001</v>
      </c>
      <c r="B230" s="65" t="s">
        <v>114</v>
      </c>
      <c r="D230" s="10">
        <f t="array" aca="1" ref="D230" ca="1">INDEX('Mitra per Bulan'!$M$2:$M800,MATCH(S230,'Mitra per Bulan'!$B$2:$B800,0))</f>
        <v>1</v>
      </c>
      <c r="E230" s="10" t="str">
        <f t="array" ref="E230">INDEX('Database Mitra'!$A$2:$A800,MATCH(A230,'Database Mitra'!$B$2:$B800,0))</f>
        <v>Evi Juniarty</v>
      </c>
      <c r="F230" s="64" t="s">
        <v>25</v>
      </c>
      <c r="G230" s="5" t="str">
        <f t="array" ref="G230">INDEX('Database Mitra'!$G$2:$G800,MATCH(A230,'Database Mitra'!$B$2:$B800,0))</f>
        <v>6102165101840001</v>
      </c>
      <c r="H230" s="64" t="s">
        <v>74</v>
      </c>
      <c r="I230" s="65" t="s">
        <v>116</v>
      </c>
      <c r="J230" s="10" t="str">
        <f t="array" ref="J230">INDEX(Honor!$H$2:$H800,MATCH($I230,Honor!$A$2:$A800,0))</f>
        <v>Dokumen</v>
      </c>
      <c r="K230" s="66">
        <f t="array" ref="K230">INDEX(Honor!$I$2:$I800,MATCH($I230,Honor!$A$2:$A800,0))</f>
        <v>55000</v>
      </c>
      <c r="L230" s="64">
        <v>1</v>
      </c>
      <c r="M230" s="10">
        <f t="shared" si="0"/>
        <v>55000</v>
      </c>
      <c r="O230" s="67">
        <f t="array" ref="O230">INDEX(Honor!$L$2:$L800,MATCH($I230,Honor!$A$2:$A800,0))</f>
        <v>45371</v>
      </c>
      <c r="P230" s="10">
        <f t="shared" si="1"/>
        <v>2024</v>
      </c>
      <c r="Q230" s="10">
        <f t="shared" si="2"/>
        <v>3</v>
      </c>
      <c r="R230" s="10" t="str">
        <f t="array" ref="R230">INDEX(Honor!$Q$2:$Q800,MATCH($I230,Honor!$A$2:$A800,0))</f>
        <v>SURVEI-PPL</v>
      </c>
      <c r="S230" s="10" t="str">
        <f t="shared" si="3"/>
        <v>610422050001-2024-3</v>
      </c>
      <c r="T230" s="10" t="str">
        <f t="shared" si="4"/>
        <v>610422050001-2024-3-SURVEI-PPL</v>
      </c>
      <c r="U230" s="64">
        <v>1</v>
      </c>
      <c r="V230" s="10" t="e">
        <f t="array" aca="1" ref="V230" ca="1">INDEX(Honor!$O$2:$O800,MATCH($I230,Honor!$A$2:$A800,0))</f>
        <v>#NAME?</v>
      </c>
      <c r="W230" s="68">
        <v>45426</v>
      </c>
      <c r="X230" s="7" t="str">
        <f t="array" ref="X230">INDEX('Input Kegiatan'!$B$2:$B800,MATCH(B230,'Input Kegiatan'!$A$2:$A800,0))</f>
        <v>Survei Harga Perdesaan (SHPED24) Maret</v>
      </c>
      <c r="Y230" s="7" t="s">
        <v>4408</v>
      </c>
      <c r="Z230" s="7" t="s">
        <v>4409</v>
      </c>
      <c r="AA230" s="68">
        <f t="shared" si="5"/>
        <v>45351</v>
      </c>
      <c r="AB230" s="68">
        <f t="shared" si="6"/>
        <v>45352</v>
      </c>
      <c r="AC230" s="68">
        <f t="shared" si="7"/>
        <v>45382</v>
      </c>
      <c r="AD230" s="68">
        <f t="shared" si="8"/>
        <v>45381</v>
      </c>
      <c r="AE230" s="68">
        <f t="shared" si="9"/>
        <v>45382</v>
      </c>
    </row>
    <row r="231" spans="1:31" ht="12.5">
      <c r="A231" s="125">
        <v>610422100124</v>
      </c>
      <c r="B231" s="65" t="s">
        <v>117</v>
      </c>
      <c r="D231" s="10">
        <f t="array" aca="1" ref="D231" ca="1">INDEX('Mitra per Bulan'!$M$2:$M800,MATCH(S231,'Mitra per Bulan'!$B$2:$B800,0))</f>
        <v>1</v>
      </c>
      <c r="E231" s="10" t="str">
        <f t="array" ref="E231">INDEX('Database Mitra'!$A$2:$A800,MATCH(A231,'Database Mitra'!$B$2:$B800,0))</f>
        <v>Prabowo</v>
      </c>
      <c r="F231" s="64" t="s">
        <v>25</v>
      </c>
      <c r="G231" s="5" t="str">
        <f t="array" ref="G231">INDEX('Database Mitra'!$G$2:$G800,MATCH(A231,'Database Mitra'!$B$2:$B800,0))</f>
        <v>6171010108790015</v>
      </c>
      <c r="H231" s="64" t="s">
        <v>67</v>
      </c>
      <c r="I231" s="65" t="s">
        <v>118</v>
      </c>
      <c r="J231" s="10" t="str">
        <f t="array" ref="J231">INDEX(Honor!$H$2:$H800,MATCH($I231,Honor!$A$2:$A800,0))</f>
        <v>Dokumen</v>
      </c>
      <c r="K231" s="66">
        <f t="array" ref="K231">INDEX(Honor!$I$2:$I800,MATCH($I231,Honor!$A$2:$A800,0))</f>
        <v>55000</v>
      </c>
      <c r="L231" s="64">
        <v>2</v>
      </c>
      <c r="M231" s="10">
        <f t="shared" si="0"/>
        <v>110000</v>
      </c>
      <c r="O231" s="67">
        <f t="array" ref="O231">INDEX(Honor!$L$2:$L800,MATCH($I231,Honor!$A$2:$A800,0))</f>
        <v>45371</v>
      </c>
      <c r="P231" s="10">
        <f t="shared" si="1"/>
        <v>2024</v>
      </c>
      <c r="Q231" s="10">
        <f t="shared" si="2"/>
        <v>3</v>
      </c>
      <c r="R231" s="10" t="str">
        <f t="array" ref="R231">INDEX(Honor!$Q$2:$Q800,MATCH($I231,Honor!$A$2:$A800,0))</f>
        <v>SURVEI-PPL</v>
      </c>
      <c r="S231" s="10" t="str">
        <f t="shared" si="3"/>
        <v>610422100124-2024-3</v>
      </c>
      <c r="T231" s="10" t="str">
        <f t="shared" si="4"/>
        <v>610422100124-2024-3-SURVEI-PPL</v>
      </c>
      <c r="U231" s="64">
        <v>1</v>
      </c>
      <c r="V231" s="10" t="e">
        <f t="array" aca="1" ref="V231" ca="1">INDEX(Honor!$O$2:$O800,MATCH($I231,Honor!$A$2:$A800,0))</f>
        <v>#NAME?</v>
      </c>
      <c r="W231" s="68">
        <v>45426</v>
      </c>
      <c r="X231" s="7" t="str">
        <f t="array" ref="X231">INDEX('Input Kegiatan'!$B$2:$B800,MATCH(B231,'Input Kegiatan'!$A$2:$A800,0))</f>
        <v>Survei Harga Produsen Beras di Penggilingan 2024 (HPBG24) Maret</v>
      </c>
      <c r="Y231" s="7" t="s">
        <v>1921</v>
      </c>
      <c r="Z231" s="7" t="s">
        <v>2140</v>
      </c>
      <c r="AA231" s="68">
        <f t="shared" si="5"/>
        <v>45351</v>
      </c>
      <c r="AB231" s="68">
        <f t="shared" si="6"/>
        <v>45352</v>
      </c>
      <c r="AC231" s="68">
        <f t="shared" si="7"/>
        <v>45382</v>
      </c>
      <c r="AD231" s="68">
        <f t="shared" si="8"/>
        <v>45381</v>
      </c>
      <c r="AE231" s="68">
        <f t="shared" si="9"/>
        <v>45382</v>
      </c>
    </row>
    <row r="232" spans="1:31" ht="12.5">
      <c r="A232" s="125">
        <v>610422100244</v>
      </c>
      <c r="B232" s="65" t="s">
        <v>117</v>
      </c>
      <c r="D232" s="10">
        <f t="array" aca="1" ref="D232" ca="1">INDEX('Mitra per Bulan'!$M$2:$M800,MATCH(S232,'Mitra per Bulan'!$B$2:$B800,0))</f>
        <v>1</v>
      </c>
      <c r="E232" s="10" t="str">
        <f t="array" ref="E232">INDEX('Database Mitra'!$A$2:$A800,MATCH(A232,'Database Mitra'!$B$2:$B800,0))</f>
        <v>Sugianto</v>
      </c>
      <c r="F232" s="64" t="s">
        <v>25</v>
      </c>
      <c r="G232" s="5" t="str">
        <f t="array" ref="G232">INDEX('Database Mitra'!$G$2:$G800,MATCH(A232,'Database Mitra'!$B$2:$B800,0))</f>
        <v>6102171003900002</v>
      </c>
      <c r="H232" s="64" t="s">
        <v>67</v>
      </c>
      <c r="I232" s="65" t="s">
        <v>118</v>
      </c>
      <c r="J232" s="10" t="str">
        <f t="array" ref="J232">INDEX(Honor!$H$2:$H800,MATCH($I232,Honor!$A$2:$A800,0))</f>
        <v>Dokumen</v>
      </c>
      <c r="K232" s="66">
        <f t="array" ref="K232">INDEX(Honor!$I$2:$I800,MATCH($I232,Honor!$A$2:$A800,0))</f>
        <v>55000</v>
      </c>
      <c r="L232" s="64">
        <v>2</v>
      </c>
      <c r="M232" s="10">
        <f t="shared" si="0"/>
        <v>110000</v>
      </c>
      <c r="O232" s="67">
        <f t="array" ref="O232">INDEX(Honor!$L$2:$L800,MATCH($I232,Honor!$A$2:$A800,0))</f>
        <v>45371</v>
      </c>
      <c r="P232" s="10">
        <f t="shared" si="1"/>
        <v>2024</v>
      </c>
      <c r="Q232" s="10">
        <f t="shared" si="2"/>
        <v>3</v>
      </c>
      <c r="R232" s="10" t="str">
        <f t="array" ref="R232">INDEX(Honor!$Q$2:$Q800,MATCH($I232,Honor!$A$2:$A800,0))</f>
        <v>SURVEI-PPL</v>
      </c>
      <c r="S232" s="10" t="str">
        <f t="shared" si="3"/>
        <v>610422100244-2024-3</v>
      </c>
      <c r="T232" s="10" t="str">
        <f t="shared" si="4"/>
        <v>610422100244-2024-3-SURVEI-PPL</v>
      </c>
      <c r="U232" s="64">
        <v>1</v>
      </c>
      <c r="V232" s="10" t="e">
        <f t="array" aca="1" ref="V232" ca="1">INDEX(Honor!$O$2:$O800,MATCH($I232,Honor!$A$2:$A800,0))</f>
        <v>#NAME?</v>
      </c>
      <c r="W232" s="68">
        <v>45426</v>
      </c>
      <c r="X232" s="7" t="str">
        <f t="array" ref="X232">INDEX('Input Kegiatan'!$B$2:$B800,MATCH(B232,'Input Kegiatan'!$A$2:$A800,0))</f>
        <v>Survei Harga Produsen Beras di Penggilingan 2024 (HPBG24) Maret</v>
      </c>
      <c r="Y232" s="7" t="s">
        <v>5741</v>
      </c>
      <c r="Z232" s="7" t="s">
        <v>5796</v>
      </c>
      <c r="AA232" s="68">
        <f t="shared" si="5"/>
        <v>45351</v>
      </c>
      <c r="AB232" s="68">
        <f t="shared" si="6"/>
        <v>45352</v>
      </c>
      <c r="AC232" s="68">
        <f t="shared" si="7"/>
        <v>45382</v>
      </c>
      <c r="AD232" s="68">
        <f t="shared" si="8"/>
        <v>45381</v>
      </c>
      <c r="AE232" s="68">
        <f t="shared" si="9"/>
        <v>45382</v>
      </c>
    </row>
    <row r="233" spans="1:31" ht="12.5">
      <c r="A233" s="125">
        <v>610422100165</v>
      </c>
      <c r="B233" s="65" t="s">
        <v>117</v>
      </c>
      <c r="D233" s="10">
        <f t="array" aca="1" ref="D233" ca="1">INDEX('Mitra per Bulan'!$M$2:$M800,MATCH(S233,'Mitra per Bulan'!$B$2:$B800,0))</f>
        <v>1</v>
      </c>
      <c r="E233" s="10" t="str">
        <f t="array" ref="E233">INDEX('Database Mitra'!$A$2:$A800,MATCH(A233,'Database Mitra'!$B$2:$B800,0))</f>
        <v>Yanti</v>
      </c>
      <c r="F233" s="64" t="s">
        <v>25</v>
      </c>
      <c r="G233" s="5" t="str">
        <f t="array" ref="G233">INDEX('Database Mitra'!$G$2:$G800,MATCH(A233,'Database Mitra'!$B$2:$B800,0))</f>
        <v>6102074803980002</v>
      </c>
      <c r="H233" s="64" t="s">
        <v>67</v>
      </c>
      <c r="I233" s="65" t="s">
        <v>118</v>
      </c>
      <c r="J233" s="10" t="str">
        <f t="array" ref="J233">INDEX(Honor!$H$2:$H800,MATCH($I233,Honor!$A$2:$A800,0))</f>
        <v>Dokumen</v>
      </c>
      <c r="K233" s="66">
        <f t="array" ref="K233">INDEX(Honor!$I$2:$I800,MATCH($I233,Honor!$A$2:$A800,0))</f>
        <v>55000</v>
      </c>
      <c r="L233" s="64">
        <v>2</v>
      </c>
      <c r="M233" s="10">
        <f t="shared" si="0"/>
        <v>110000</v>
      </c>
      <c r="O233" s="67">
        <f t="array" ref="O233">INDEX(Honor!$L$2:$L800,MATCH($I233,Honor!$A$2:$A800,0))</f>
        <v>45371</v>
      </c>
      <c r="P233" s="10">
        <f t="shared" si="1"/>
        <v>2024</v>
      </c>
      <c r="Q233" s="10">
        <f t="shared" si="2"/>
        <v>3</v>
      </c>
      <c r="R233" s="10" t="str">
        <f t="array" ref="R233">INDEX(Honor!$Q$2:$Q800,MATCH($I233,Honor!$A$2:$A800,0))</f>
        <v>SURVEI-PPL</v>
      </c>
      <c r="S233" s="10" t="str">
        <f t="shared" si="3"/>
        <v>610422100165-2024-3</v>
      </c>
      <c r="T233" s="10" t="str">
        <f t="shared" si="4"/>
        <v>610422100165-2024-3-SURVEI-PPL</v>
      </c>
      <c r="U233" s="64">
        <v>1</v>
      </c>
      <c r="V233" s="10" t="e">
        <f t="array" aca="1" ref="V233" ca="1">INDEX(Honor!$O$2:$O800,MATCH($I233,Honor!$A$2:$A800,0))</f>
        <v>#NAME?</v>
      </c>
      <c r="W233" s="68">
        <v>45426</v>
      </c>
      <c r="X233" s="7" t="str">
        <f t="array" ref="X233">INDEX('Input Kegiatan'!$B$2:$B800,MATCH(B233,'Input Kegiatan'!$A$2:$A800,0))</f>
        <v>Survei Harga Produsen Beras di Penggilingan 2024 (HPBG24) Maret</v>
      </c>
      <c r="Y233" s="7" t="s">
        <v>3990</v>
      </c>
      <c r="Z233" s="7" t="s">
        <v>4332</v>
      </c>
      <c r="AA233" s="68">
        <f t="shared" si="5"/>
        <v>45351</v>
      </c>
      <c r="AB233" s="68">
        <f t="shared" si="6"/>
        <v>45352</v>
      </c>
      <c r="AC233" s="68">
        <f t="shared" si="7"/>
        <v>45382</v>
      </c>
      <c r="AD233" s="68">
        <f t="shared" si="8"/>
        <v>45381</v>
      </c>
      <c r="AE233" s="68">
        <f t="shared" si="9"/>
        <v>45382</v>
      </c>
    </row>
    <row r="234" spans="1:31" ht="12.5">
      <c r="A234" s="125">
        <v>610422100165</v>
      </c>
      <c r="B234" s="65" t="s">
        <v>119</v>
      </c>
      <c r="D234" s="10">
        <f t="array" aca="1" ref="D234" ca="1">INDEX('Mitra per Bulan'!$M$2:$M800,MATCH(S234,'Mitra per Bulan'!$B$2:$B800,0))</f>
        <v>1</v>
      </c>
      <c r="E234" s="10" t="str">
        <f t="array" ref="E234">INDEX('Database Mitra'!$A$2:$A800,MATCH(A234,'Database Mitra'!$B$2:$B800,0))</f>
        <v>Yanti</v>
      </c>
      <c r="F234" s="64" t="s">
        <v>25</v>
      </c>
      <c r="G234" s="5" t="str">
        <f t="array" ref="G234">INDEX('Database Mitra'!$G$2:$G800,MATCH(A234,'Database Mitra'!$B$2:$B800,0))</f>
        <v>6102074803980002</v>
      </c>
      <c r="H234" s="64" t="s">
        <v>67</v>
      </c>
      <c r="I234" s="65" t="s">
        <v>120</v>
      </c>
      <c r="J234" s="10" t="str">
        <f t="array" ref="J234">INDEX(Honor!$H$2:$H800,MATCH($I234,Honor!$A$2:$A800,0))</f>
        <v>Dokumen</v>
      </c>
      <c r="K234" s="66">
        <f t="array" ref="K234">INDEX(Honor!$I$2:$I800,MATCH($I234,Honor!$A$2:$A800,0))</f>
        <v>50000</v>
      </c>
      <c r="L234" s="64">
        <v>1</v>
      </c>
      <c r="M234" s="10">
        <f t="shared" si="0"/>
        <v>50000</v>
      </c>
      <c r="O234" s="67">
        <f t="array" ref="O234">INDEX(Honor!$L$2:$L800,MATCH($I234,Honor!$A$2:$A800,0))</f>
        <v>45371</v>
      </c>
      <c r="P234" s="10">
        <f t="shared" si="1"/>
        <v>2024</v>
      </c>
      <c r="Q234" s="10">
        <f t="shared" si="2"/>
        <v>3</v>
      </c>
      <c r="R234" s="10" t="str">
        <f t="array" ref="R234">INDEX(Honor!$Q$2:$Q800,MATCH($I234,Honor!$A$2:$A800,0))</f>
        <v>SURVEI-PPL</v>
      </c>
      <c r="S234" s="10" t="str">
        <f t="shared" si="3"/>
        <v>610422100165-2024-3</v>
      </c>
      <c r="T234" s="10" t="str">
        <f t="shared" si="4"/>
        <v>610422100165-2024-3-SURVEI-PPL</v>
      </c>
      <c r="U234" s="64">
        <v>1</v>
      </c>
      <c r="V234" s="10" t="e">
        <f t="array" aca="1" ref="V234" ca="1">INDEX(Honor!$O$2:$O800,MATCH($I234,Honor!$A$2:$A800,0))</f>
        <v>#NAME?</v>
      </c>
      <c r="W234" s="68">
        <v>45426</v>
      </c>
      <c r="X234" s="7" t="str">
        <f t="array" ref="X234">INDEX('Input Kegiatan'!$B$2:$B800,MATCH(B234,'Input Kegiatan'!$A$2:$A800,0))</f>
        <v>Survei Harga Produsen Jasa (HPJ24) Maret</v>
      </c>
      <c r="Y234" s="7" t="s">
        <v>3990</v>
      </c>
      <c r="Z234" s="7" t="s">
        <v>4332</v>
      </c>
      <c r="AA234" s="68">
        <f t="shared" si="5"/>
        <v>45351</v>
      </c>
      <c r="AB234" s="68">
        <f t="shared" si="6"/>
        <v>45352</v>
      </c>
      <c r="AC234" s="68">
        <f t="shared" si="7"/>
        <v>45382</v>
      </c>
      <c r="AD234" s="68">
        <f t="shared" si="8"/>
        <v>45381</v>
      </c>
      <c r="AE234" s="68">
        <f t="shared" si="9"/>
        <v>45382</v>
      </c>
    </row>
    <row r="235" spans="1:31" ht="12.5">
      <c r="A235" s="125">
        <v>610422040029</v>
      </c>
      <c r="B235" s="69" t="s">
        <v>121</v>
      </c>
      <c r="D235" s="10">
        <f t="array" aca="1" ref="D235" ca="1">INDEX('Mitra per Bulan'!$M$2:$M800,MATCH(S235,'Mitra per Bulan'!$B$2:$B800,0))</f>
        <v>1</v>
      </c>
      <c r="E235" s="10" t="str">
        <f t="array" ref="E235">INDEX('Database Mitra'!$A$2:$A800,MATCH(A235,'Database Mitra'!$B$2:$B800,0))</f>
        <v>Zaini</v>
      </c>
      <c r="F235" s="64" t="s">
        <v>25</v>
      </c>
      <c r="G235" s="5" t="str">
        <f t="array" ref="G235">INDEX('Database Mitra'!$G$2:$G800,MATCH(A235,'Database Mitra'!$B$2:$B800,0))</f>
        <v>6102010607870002</v>
      </c>
      <c r="H235" s="64" t="s">
        <v>67</v>
      </c>
      <c r="I235" s="65" t="s">
        <v>122</v>
      </c>
      <c r="J235" s="10" t="str">
        <f t="array" ref="J235">INDEX(Honor!$H$2:$H800,MATCH($I235,Honor!$A$2:$A800,0))</f>
        <v>Dokumen</v>
      </c>
      <c r="K235" s="66">
        <f t="array" ref="K235">INDEX(Honor!$I$2:$I800,MATCH($I235,Honor!$A$2:$A800,0))</f>
        <v>55000</v>
      </c>
      <c r="L235" s="64">
        <v>3</v>
      </c>
      <c r="M235" s="10">
        <f t="shared" si="0"/>
        <v>165000</v>
      </c>
      <c r="O235" s="67">
        <f t="array" ref="O235">INDEX(Honor!$L$2:$L800,MATCH($I235,Honor!$A$2:$A800,0))</f>
        <v>45371</v>
      </c>
      <c r="P235" s="10">
        <f t="shared" si="1"/>
        <v>2024</v>
      </c>
      <c r="Q235" s="10">
        <f t="shared" si="2"/>
        <v>3</v>
      </c>
      <c r="R235" s="10" t="str">
        <f t="array" ref="R235">INDEX(Honor!$Q$2:$Q800,MATCH($I235,Honor!$A$2:$A800,0))</f>
        <v>SURVEI-PPL</v>
      </c>
      <c r="S235" s="10" t="str">
        <f t="shared" si="3"/>
        <v>610422040029-2024-3</v>
      </c>
      <c r="T235" s="10" t="str">
        <f t="shared" si="4"/>
        <v>610422040029-2024-3-SURVEI-PPL</v>
      </c>
      <c r="U235" s="64">
        <v>1</v>
      </c>
      <c r="V235" s="10" t="e">
        <f t="array" aca="1" ref="V235" ca="1">INDEX(Honor!$O$2:$O800,MATCH($I235,Honor!$A$2:$A800,0))</f>
        <v>#NAME?</v>
      </c>
      <c r="W235" s="68">
        <v>45426</v>
      </c>
      <c r="X235" s="7" t="str">
        <f t="array" ref="X235">INDEX('Input Kegiatan'!$B$2:$B800,MATCH(B235,'Input Kegiatan'!$A$2:$A800,0))</f>
        <v>Survei Hotel dan Jasa Akomodasi Bulanan (VHTS) 2024 Maret</v>
      </c>
      <c r="Y235" s="7" t="s">
        <v>4572</v>
      </c>
      <c r="Z235" s="7" t="s">
        <v>4619</v>
      </c>
      <c r="AA235" s="68">
        <f t="shared" si="5"/>
        <v>45351</v>
      </c>
      <c r="AB235" s="68">
        <f t="shared" si="6"/>
        <v>45352</v>
      </c>
      <c r="AC235" s="68">
        <f t="shared" si="7"/>
        <v>45382</v>
      </c>
      <c r="AD235" s="68">
        <f t="shared" si="8"/>
        <v>45381</v>
      </c>
      <c r="AE235" s="68">
        <f t="shared" si="9"/>
        <v>45382</v>
      </c>
    </row>
    <row r="236" spans="1:31" ht="12.5">
      <c r="A236" s="125">
        <v>610422100165</v>
      </c>
      <c r="B236" s="69" t="s">
        <v>121</v>
      </c>
      <c r="D236" s="10">
        <f t="array" aca="1" ref="D236" ca="1">INDEX('Mitra per Bulan'!$M$2:$M800,MATCH(S236,'Mitra per Bulan'!$B$2:$B800,0))</f>
        <v>1</v>
      </c>
      <c r="E236" s="10" t="str">
        <f t="array" ref="E236">INDEX('Database Mitra'!$A$2:$A800,MATCH(A236,'Database Mitra'!$B$2:$B800,0))</f>
        <v>Yanti</v>
      </c>
      <c r="F236" s="64" t="s">
        <v>25</v>
      </c>
      <c r="G236" s="5" t="str">
        <f t="array" ref="G236">INDEX('Database Mitra'!$G$2:$G800,MATCH(A236,'Database Mitra'!$B$2:$B800,0))</f>
        <v>6102074803980002</v>
      </c>
      <c r="H236" s="64" t="s">
        <v>67</v>
      </c>
      <c r="I236" s="65" t="s">
        <v>122</v>
      </c>
      <c r="J236" s="10" t="str">
        <f t="array" ref="J236">INDEX(Honor!$H$2:$H800,MATCH($I236,Honor!$A$2:$A800,0))</f>
        <v>Dokumen</v>
      </c>
      <c r="K236" s="66">
        <f t="array" ref="K236">INDEX(Honor!$I$2:$I800,MATCH($I236,Honor!$A$2:$A800,0))</f>
        <v>55000</v>
      </c>
      <c r="L236" s="64">
        <v>3</v>
      </c>
      <c r="M236" s="10">
        <f t="shared" si="0"/>
        <v>165000</v>
      </c>
      <c r="O236" s="67">
        <f t="array" ref="O236">INDEX(Honor!$L$2:$L800,MATCH($I236,Honor!$A$2:$A800,0))</f>
        <v>45371</v>
      </c>
      <c r="P236" s="10">
        <f t="shared" si="1"/>
        <v>2024</v>
      </c>
      <c r="Q236" s="10">
        <f t="shared" si="2"/>
        <v>3</v>
      </c>
      <c r="R236" s="10" t="str">
        <f t="array" ref="R236">INDEX(Honor!$Q$2:$Q800,MATCH($I236,Honor!$A$2:$A800,0))</f>
        <v>SURVEI-PPL</v>
      </c>
      <c r="S236" s="10" t="str">
        <f t="shared" si="3"/>
        <v>610422100165-2024-3</v>
      </c>
      <c r="T236" s="10" t="str">
        <f t="shared" si="4"/>
        <v>610422100165-2024-3-SURVEI-PPL</v>
      </c>
      <c r="U236" s="64">
        <v>1</v>
      </c>
      <c r="V236" s="10" t="e">
        <f t="array" aca="1" ref="V236" ca="1">INDEX(Honor!$O$2:$O800,MATCH($I236,Honor!$A$2:$A800,0))</f>
        <v>#NAME?</v>
      </c>
      <c r="W236" s="68">
        <v>45426</v>
      </c>
      <c r="X236" s="7" t="str">
        <f t="array" ref="X236">INDEX('Input Kegiatan'!$B$2:$B800,MATCH(B236,'Input Kegiatan'!$A$2:$A800,0))</f>
        <v>Survei Hotel dan Jasa Akomodasi Bulanan (VHTS) 2024 Maret</v>
      </c>
      <c r="Y236" s="7" t="s">
        <v>3990</v>
      </c>
      <c r="Z236" s="7" t="s">
        <v>4332</v>
      </c>
      <c r="AA236" s="68">
        <f t="shared" si="5"/>
        <v>45351</v>
      </c>
      <c r="AB236" s="68">
        <f t="shared" si="6"/>
        <v>45352</v>
      </c>
      <c r="AC236" s="68">
        <f t="shared" si="7"/>
        <v>45382</v>
      </c>
      <c r="AD236" s="68">
        <f t="shared" si="8"/>
        <v>45381</v>
      </c>
      <c r="AE236" s="68">
        <f t="shared" si="9"/>
        <v>45382</v>
      </c>
    </row>
    <row r="237" spans="1:31" ht="12.5">
      <c r="A237" s="125">
        <v>610422050001</v>
      </c>
      <c r="B237" s="69" t="s">
        <v>121</v>
      </c>
      <c r="D237" s="10">
        <f t="array" aca="1" ref="D237" ca="1">INDEX('Mitra per Bulan'!$M$2:$M800,MATCH(S237,'Mitra per Bulan'!$B$2:$B800,0))</f>
        <v>1</v>
      </c>
      <c r="E237" s="10" t="str">
        <f t="array" ref="E237">INDEX('Database Mitra'!$A$2:$A800,MATCH(A237,'Database Mitra'!$B$2:$B800,0))</f>
        <v>Evi Juniarty</v>
      </c>
      <c r="F237" s="64" t="s">
        <v>25</v>
      </c>
      <c r="G237" s="5" t="str">
        <f t="array" ref="G237">INDEX('Database Mitra'!$G$2:$G800,MATCH(A237,'Database Mitra'!$B$2:$B800,0))</f>
        <v>6102165101840001</v>
      </c>
      <c r="H237" s="64" t="s">
        <v>67</v>
      </c>
      <c r="I237" s="65" t="s">
        <v>122</v>
      </c>
      <c r="J237" s="10" t="str">
        <f t="array" ref="J237">INDEX(Honor!$H$2:$H800,MATCH($I237,Honor!$A$2:$A800,0))</f>
        <v>Dokumen</v>
      </c>
      <c r="K237" s="66">
        <f t="array" ref="K237">INDEX(Honor!$I$2:$I800,MATCH($I237,Honor!$A$2:$A800,0))</f>
        <v>55000</v>
      </c>
      <c r="L237" s="64">
        <v>3</v>
      </c>
      <c r="M237" s="10">
        <f t="shared" si="0"/>
        <v>165000</v>
      </c>
      <c r="O237" s="67">
        <f t="array" ref="O237">INDEX(Honor!$L$2:$L800,MATCH($I237,Honor!$A$2:$A800,0))</f>
        <v>45371</v>
      </c>
      <c r="P237" s="10">
        <f t="shared" si="1"/>
        <v>2024</v>
      </c>
      <c r="Q237" s="10">
        <f t="shared" si="2"/>
        <v>3</v>
      </c>
      <c r="R237" s="10" t="str">
        <f t="array" ref="R237">INDEX(Honor!$Q$2:$Q800,MATCH($I237,Honor!$A$2:$A800,0))</f>
        <v>SURVEI-PPL</v>
      </c>
      <c r="S237" s="10" t="str">
        <f t="shared" si="3"/>
        <v>610422050001-2024-3</v>
      </c>
      <c r="T237" s="10" t="str">
        <f t="shared" si="4"/>
        <v>610422050001-2024-3-SURVEI-PPL</v>
      </c>
      <c r="U237" s="64">
        <v>1</v>
      </c>
      <c r="V237" s="10" t="e">
        <f t="array" aca="1" ref="V237" ca="1">INDEX(Honor!$O$2:$O800,MATCH($I237,Honor!$A$2:$A800,0))</f>
        <v>#NAME?</v>
      </c>
      <c r="W237" s="68">
        <v>45426</v>
      </c>
      <c r="X237" s="7" t="str">
        <f t="array" ref="X237">INDEX('Input Kegiatan'!$B$2:$B800,MATCH(B237,'Input Kegiatan'!$A$2:$A800,0))</f>
        <v>Survei Hotel dan Jasa Akomodasi Bulanan (VHTS) 2024 Maret</v>
      </c>
      <c r="Y237" s="7" t="s">
        <v>4408</v>
      </c>
      <c r="Z237" s="7" t="s">
        <v>4409</v>
      </c>
      <c r="AA237" s="68">
        <f t="shared" si="5"/>
        <v>45351</v>
      </c>
      <c r="AB237" s="68">
        <f t="shared" si="6"/>
        <v>45352</v>
      </c>
      <c r="AC237" s="68">
        <f t="shared" si="7"/>
        <v>45382</v>
      </c>
      <c r="AD237" s="68">
        <f t="shared" si="8"/>
        <v>45381</v>
      </c>
      <c r="AE237" s="68">
        <f t="shared" si="9"/>
        <v>45382</v>
      </c>
    </row>
    <row r="238" spans="1:31" ht="12.5">
      <c r="A238" s="125">
        <v>610422040056</v>
      </c>
      <c r="B238" s="69" t="s">
        <v>121</v>
      </c>
      <c r="D238" s="10">
        <f t="array" aca="1" ref="D238" ca="1">INDEX('Mitra per Bulan'!$M$2:$M800,MATCH(S238,'Mitra per Bulan'!$B$2:$B800,0))</f>
        <v>1</v>
      </c>
      <c r="E238" s="10" t="str">
        <f t="array" ref="E238">INDEX('Database Mitra'!$A$2:$A800,MATCH(A238,'Database Mitra'!$B$2:$B800,0))</f>
        <v>Wandi Syafari</v>
      </c>
      <c r="F238" s="64" t="s">
        <v>25</v>
      </c>
      <c r="G238" s="5" t="str">
        <f t="array" ref="G238">INDEX('Database Mitra'!$G$2:$G800,MATCH(A238,'Database Mitra'!$B$2:$B800,0))</f>
        <v>6102010802760001</v>
      </c>
      <c r="H238" s="64" t="s">
        <v>67</v>
      </c>
      <c r="I238" s="65" t="s">
        <v>122</v>
      </c>
      <c r="J238" s="10" t="str">
        <f t="array" ref="J238">INDEX(Honor!$H$2:$H800,MATCH($I238,Honor!$A$2:$A800,0))</f>
        <v>Dokumen</v>
      </c>
      <c r="K238" s="66">
        <f t="array" ref="K238">INDEX(Honor!$I$2:$I800,MATCH($I238,Honor!$A$2:$A800,0))</f>
        <v>55000</v>
      </c>
      <c r="L238" s="64">
        <v>2</v>
      </c>
      <c r="M238" s="10">
        <f t="shared" si="0"/>
        <v>110000</v>
      </c>
      <c r="O238" s="67">
        <f t="array" ref="O238">INDEX(Honor!$L$2:$L800,MATCH($I238,Honor!$A$2:$A800,0))</f>
        <v>45371</v>
      </c>
      <c r="P238" s="10">
        <f t="shared" si="1"/>
        <v>2024</v>
      </c>
      <c r="Q238" s="10">
        <f t="shared" si="2"/>
        <v>3</v>
      </c>
      <c r="R238" s="10" t="str">
        <f t="array" ref="R238">INDEX(Honor!$Q$2:$Q800,MATCH($I238,Honor!$A$2:$A800,0))</f>
        <v>SURVEI-PPL</v>
      </c>
      <c r="S238" s="10" t="str">
        <f t="shared" si="3"/>
        <v>610422040056-2024-3</v>
      </c>
      <c r="T238" s="10" t="str">
        <f t="shared" si="4"/>
        <v>610422040056-2024-3-SURVEI-PPL</v>
      </c>
      <c r="U238" s="64">
        <v>1</v>
      </c>
      <c r="V238" s="10" t="e">
        <f t="array" aca="1" ref="V238" ca="1">INDEX(Honor!$O$2:$O800,MATCH($I238,Honor!$A$2:$A800,0))</f>
        <v>#NAME?</v>
      </c>
      <c r="W238" s="68">
        <v>45426</v>
      </c>
      <c r="X238" s="7" t="str">
        <f t="array" ref="X238">INDEX('Input Kegiatan'!$B$2:$B800,MATCH(B238,'Input Kegiatan'!$A$2:$A800,0))</f>
        <v>Survei Hotel dan Jasa Akomodasi Bulanan (VHTS) 2024 Maret</v>
      </c>
      <c r="Y238" s="7" t="s">
        <v>4572</v>
      </c>
      <c r="Z238" s="7" t="s">
        <v>4656</v>
      </c>
      <c r="AA238" s="68">
        <f t="shared" si="5"/>
        <v>45351</v>
      </c>
      <c r="AB238" s="68">
        <f t="shared" si="6"/>
        <v>45352</v>
      </c>
      <c r="AC238" s="68">
        <f t="shared" si="7"/>
        <v>45382</v>
      </c>
      <c r="AD238" s="68">
        <f t="shared" si="8"/>
        <v>45381</v>
      </c>
      <c r="AE238" s="68">
        <f t="shared" si="9"/>
        <v>45382</v>
      </c>
    </row>
    <row r="239" spans="1:31" ht="12.5">
      <c r="A239" s="125">
        <v>610422100129</v>
      </c>
      <c r="B239" s="64" t="s">
        <v>123</v>
      </c>
      <c r="D239" s="10">
        <f t="array" aca="1" ref="D239" ca="1">INDEX('Mitra per Bulan'!$M$2:$M800,MATCH(S239,'Mitra per Bulan'!$B$2:$B800,0))</f>
        <v>1</v>
      </c>
      <c r="E239" s="10" t="str">
        <f t="array" ref="E239">INDEX('Database Mitra'!$A$2:$A800,MATCH(A239,'Database Mitra'!$B$2:$B800,0))</f>
        <v>Andre</v>
      </c>
      <c r="F239" s="64" t="s">
        <v>25</v>
      </c>
      <c r="G239" s="5" t="str">
        <f t="array" ref="G239">INDEX('Database Mitra'!$G$2:$G800,MATCH(A239,'Database Mitra'!$B$2:$B800,0))</f>
        <v>6102121606980001</v>
      </c>
      <c r="H239" s="64" t="s">
        <v>67</v>
      </c>
      <c r="I239" s="65" t="s">
        <v>124</v>
      </c>
      <c r="J239" s="10" t="str">
        <f t="array" ref="J239">INDEX(Honor!$H$2:$H800,MATCH($I239,Honor!$A$2:$A800,0))</f>
        <v>Dokumen</v>
      </c>
      <c r="K239" s="66">
        <f t="array" ref="K239">INDEX(Honor!$I$2:$I800,MATCH($I239,Honor!$A$2:$A800,0))</f>
        <v>73000</v>
      </c>
      <c r="L239" s="64">
        <v>15</v>
      </c>
      <c r="M239" s="10">
        <f t="shared" si="0"/>
        <v>1095000</v>
      </c>
      <c r="N239" s="70"/>
      <c r="O239" s="67">
        <f t="array" ref="O239">INDEX(Honor!$L$2:$L800,MATCH($I239,Honor!$A$2:$A800,0))</f>
        <v>45371</v>
      </c>
      <c r="P239" s="10">
        <f t="shared" si="1"/>
        <v>2024</v>
      </c>
      <c r="Q239" s="10">
        <f t="shared" si="2"/>
        <v>3</v>
      </c>
      <c r="R239" s="10" t="str">
        <f t="array" ref="R239">INDEX(Honor!$Q$2:$Q800,MATCH($I239,Honor!$A$2:$A800,0))</f>
        <v>SURVEI-PPL</v>
      </c>
      <c r="S239" s="10" t="str">
        <f t="shared" si="3"/>
        <v>610422100129-2024-3</v>
      </c>
      <c r="T239" s="10" t="str">
        <f t="shared" si="4"/>
        <v>610422100129-2024-3-SURVEI-PPL</v>
      </c>
      <c r="U239" s="64">
        <v>1</v>
      </c>
      <c r="V239" s="10" t="e">
        <f t="array" aca="1" ref="V239" ca="1">INDEX(Honor!$O$2:$O800,MATCH($I239,Honor!$A$2:$A800,0))</f>
        <v>#NAME?</v>
      </c>
      <c r="W239" s="67"/>
      <c r="X239" s="7" t="str">
        <f t="array" ref="X239">INDEX('Input Kegiatan'!$B$2:$B800,MATCH(B239,'Input Kegiatan'!$A$2:$A800,0))</f>
        <v>(SKTH24) Survei Perusahaan Konstruksi Tahunan 2024</v>
      </c>
      <c r="Y239" s="7" t="s">
        <v>5250</v>
      </c>
      <c r="Z239" s="7" t="s">
        <v>5304</v>
      </c>
      <c r="AA239" s="68">
        <f t="shared" si="5"/>
        <v>45351</v>
      </c>
      <c r="AB239" s="68">
        <f t="shared" si="6"/>
        <v>45352</v>
      </c>
      <c r="AC239" s="68">
        <f t="shared" si="7"/>
        <v>45382</v>
      </c>
      <c r="AD239" s="68">
        <f t="shared" si="8"/>
        <v>45381</v>
      </c>
      <c r="AE239" s="68">
        <f t="shared" si="9"/>
        <v>45382</v>
      </c>
    </row>
    <row r="240" spans="1:31" ht="12.5">
      <c r="A240" s="125">
        <v>610422020006</v>
      </c>
      <c r="B240" s="64" t="s">
        <v>26</v>
      </c>
      <c r="D240" s="10">
        <f t="array" aca="1" ref="D240" ca="1">INDEX('Mitra per Bulan'!$M$2:$M800,MATCH(S240,'Mitra per Bulan'!$B$2:$B800,0))</f>
        <v>1</v>
      </c>
      <c r="E240" s="10" t="str">
        <f t="array" ref="E240">INDEX('Database Mitra'!$A$2:$A800,MATCH(A240,'Database Mitra'!$B$2:$B800,0))</f>
        <v>Nasrullah</v>
      </c>
      <c r="F240" s="64" t="s">
        <v>90</v>
      </c>
      <c r="G240" s="5" t="str">
        <f t="array" ref="G240">INDEX('Database Mitra'!$G$2:$G800,MATCH(A240,'Database Mitra'!$B$2:$B800,0))</f>
        <v>6102011011970003</v>
      </c>
      <c r="H240" s="64" t="s">
        <v>125</v>
      </c>
      <c r="I240" s="65" t="str">
        <f t="shared" ref="I240:I263" si="14">CONCATENATE(B240,"-",F240,"-",H240)</f>
        <v>SUSENAS24-LAPANGAN-SEMESTER1-PETUGAS ENTRI-PENGOLAHAN PENDATAAN</v>
      </c>
      <c r="J240" s="10" t="str">
        <f t="array" ref="J240">INDEX(Honor!$H$2:$H800,MATCH($I240,Honor!$A$2:$A800,0))</f>
        <v>Rumah Tangga</v>
      </c>
      <c r="K240" s="66">
        <f t="array" ref="K240">INDEX(Honor!$I$2:$I800,MATCH($I240,Honor!$A$2:$A800,0))</f>
        <v>27500</v>
      </c>
      <c r="L240" s="64">
        <v>63</v>
      </c>
      <c r="M240" s="10">
        <f t="shared" si="0"/>
        <v>1732500</v>
      </c>
      <c r="N240" s="70"/>
      <c r="O240" s="67">
        <f t="array" ref="O240">INDEX(Honor!$L$2:$L800,MATCH($I240,Honor!$A$2:$A800,0))</f>
        <v>45373</v>
      </c>
      <c r="P240" s="10">
        <f t="shared" si="1"/>
        <v>2024</v>
      </c>
      <c r="Q240" s="10">
        <f t="shared" si="2"/>
        <v>3</v>
      </c>
      <c r="R240" s="10" t="str">
        <f t="array" ref="R240">INDEX(Honor!$Q$2:$Q800,MATCH($I240,Honor!$A$2:$A800,0))</f>
        <v>SURVEI-PETUGAS ENTRI</v>
      </c>
      <c r="S240" s="10" t="str">
        <f t="shared" si="3"/>
        <v>610422020006-2024-3</v>
      </c>
      <c r="T240" s="10" t="str">
        <f t="shared" si="4"/>
        <v>610422020006-2024-3-SURVEI-PETUGAS ENTRI</v>
      </c>
      <c r="U240" s="64">
        <v>1</v>
      </c>
      <c r="V240" s="10" t="e">
        <f t="array" aca="1" ref="V240" ca="1">INDEX(Honor!$O$2:$O800,MATCH($I240,Honor!$A$2:$A800,0))</f>
        <v>#NAME?</v>
      </c>
      <c r="W240" s="68">
        <v>45384</v>
      </c>
      <c r="X240" s="7" t="str">
        <f t="array" ref="X240">INDEX('Input Kegiatan'!$B$2:$B800,MATCH(B240,'Input Kegiatan'!$A$2:$A800,0))</f>
        <v>Susenas Maret 2024</v>
      </c>
      <c r="Y240" s="7" t="s">
        <v>4572</v>
      </c>
      <c r="Z240" s="7" t="s">
        <v>4874</v>
      </c>
      <c r="AA240" s="68">
        <f t="shared" si="5"/>
        <v>45351</v>
      </c>
      <c r="AB240" s="68">
        <f t="shared" si="6"/>
        <v>45352</v>
      </c>
      <c r="AC240" s="68">
        <f t="shared" si="7"/>
        <v>45382</v>
      </c>
      <c r="AD240" s="68">
        <f t="shared" si="8"/>
        <v>45381</v>
      </c>
      <c r="AE240" s="68">
        <f t="shared" si="9"/>
        <v>45382</v>
      </c>
    </row>
    <row r="241" spans="1:31" ht="12.5">
      <c r="A241" s="125">
        <v>617122110049</v>
      </c>
      <c r="B241" s="64" t="s">
        <v>26</v>
      </c>
      <c r="D241" s="10">
        <f t="array" aca="1" ref="D241" ca="1">INDEX('Mitra per Bulan'!$M$2:$M800,MATCH(S241,'Mitra per Bulan'!$B$2:$B800,0))</f>
        <v>1</v>
      </c>
      <c r="E241" s="10" t="str">
        <f t="array" ref="E241">INDEX('Database Mitra'!$A$2:$A800,MATCH(A241,'Database Mitra'!$B$2:$B800,0))</f>
        <v>Muhammad Deny Hafizzul Muttaqin</v>
      </c>
      <c r="F241" s="64" t="s">
        <v>90</v>
      </c>
      <c r="G241" s="5" t="str">
        <f t="array" ref="G241">INDEX('Database Mitra'!$G$2:$G800,MATCH(A241,'Database Mitra'!$B$2:$B800,0))</f>
        <v>6102181908990001</v>
      </c>
      <c r="H241" s="64" t="s">
        <v>125</v>
      </c>
      <c r="I241" s="65" t="str">
        <f t="shared" si="14"/>
        <v>SUSENAS24-LAPANGAN-SEMESTER1-PETUGAS ENTRI-PENGOLAHAN PENDATAAN</v>
      </c>
      <c r="J241" s="10" t="str">
        <f t="array" ref="J241">INDEX(Honor!$H$2:$H800,MATCH($I241,Honor!$A$2:$A800,0))</f>
        <v>Rumah Tangga</v>
      </c>
      <c r="K241" s="66">
        <f t="array" ref="K241">INDEX(Honor!$I$2:$I800,MATCH($I241,Honor!$A$2:$A800,0))</f>
        <v>27500</v>
      </c>
      <c r="L241" s="64">
        <v>64</v>
      </c>
      <c r="M241" s="10">
        <f t="shared" si="0"/>
        <v>1760000</v>
      </c>
      <c r="N241" s="70"/>
      <c r="O241" s="67">
        <f t="array" ref="O241">INDEX(Honor!$L$2:$L800,MATCH($I241,Honor!$A$2:$A800,0))</f>
        <v>45373</v>
      </c>
      <c r="P241" s="10">
        <f t="shared" si="1"/>
        <v>2024</v>
      </c>
      <c r="Q241" s="10">
        <f t="shared" si="2"/>
        <v>3</v>
      </c>
      <c r="R241" s="10" t="str">
        <f t="array" ref="R241">INDEX(Honor!$Q$2:$Q800,MATCH($I241,Honor!$A$2:$A800,0))</f>
        <v>SURVEI-PETUGAS ENTRI</v>
      </c>
      <c r="S241" s="10" t="str">
        <f t="shared" si="3"/>
        <v>617122110049-2024-3</v>
      </c>
      <c r="T241" s="10" t="str">
        <f t="shared" si="4"/>
        <v>617122110049-2024-3-SURVEI-PETUGAS ENTRI</v>
      </c>
      <c r="U241" s="64">
        <v>1</v>
      </c>
      <c r="V241" s="10" t="e">
        <f t="array" aca="1" ref="V241" ca="1">INDEX(Honor!$O$2:$O800,MATCH($I241,Honor!$A$2:$A800,0))</f>
        <v>#NAME?</v>
      </c>
      <c r="W241" s="68">
        <v>45384</v>
      </c>
      <c r="X241" s="7" t="str">
        <f t="array" ref="X241">INDEX('Input Kegiatan'!$B$2:$B800,MATCH(B241,'Input Kegiatan'!$A$2:$A800,0))</f>
        <v>Susenas Maret 2024</v>
      </c>
      <c r="Y241" s="7" t="s">
        <v>4931</v>
      </c>
      <c r="Z241" s="7" t="s">
        <v>4960</v>
      </c>
      <c r="AA241" s="68">
        <f t="shared" si="5"/>
        <v>45351</v>
      </c>
      <c r="AB241" s="68">
        <f t="shared" si="6"/>
        <v>45352</v>
      </c>
      <c r="AC241" s="68">
        <f t="shared" si="7"/>
        <v>45382</v>
      </c>
      <c r="AD241" s="68">
        <f t="shared" si="8"/>
        <v>45381</v>
      </c>
      <c r="AE241" s="68">
        <f t="shared" si="9"/>
        <v>45382</v>
      </c>
    </row>
    <row r="242" spans="1:31" ht="12.5">
      <c r="A242" s="125">
        <v>610422100010</v>
      </c>
      <c r="B242" s="64" t="s">
        <v>26</v>
      </c>
      <c r="D242" s="10">
        <f t="array" aca="1" ref="D242" ca="1">INDEX('Mitra per Bulan'!$M$2:$M800,MATCH(S242,'Mitra per Bulan'!$B$2:$B800,0))</f>
        <v>1</v>
      </c>
      <c r="E242" s="10" t="str">
        <f t="array" ref="E242">INDEX('Database Mitra'!$A$2:$A800,MATCH(A242,'Database Mitra'!$B$2:$B800,0))</f>
        <v>Muhammad Rendi Fakhrian</v>
      </c>
      <c r="F242" s="64" t="s">
        <v>90</v>
      </c>
      <c r="G242" s="5" t="str">
        <f t="array" ref="G242">INDEX('Database Mitra'!$G$2:$G800,MATCH(A242,'Database Mitra'!$B$2:$B800,0))</f>
        <v>6102012210990001</v>
      </c>
      <c r="H242" s="64" t="s">
        <v>125</v>
      </c>
      <c r="I242" s="65" t="str">
        <f t="shared" si="14"/>
        <v>SUSENAS24-LAPANGAN-SEMESTER1-PETUGAS ENTRI-PENGOLAHAN PENDATAAN</v>
      </c>
      <c r="J242" s="10" t="str">
        <f t="array" ref="J242">INDEX(Honor!$H$2:$H800,MATCH($I242,Honor!$A$2:$A800,0))</f>
        <v>Rumah Tangga</v>
      </c>
      <c r="K242" s="66">
        <f t="array" ref="K242">INDEX(Honor!$I$2:$I800,MATCH($I242,Honor!$A$2:$A800,0))</f>
        <v>27500</v>
      </c>
      <c r="L242" s="64">
        <v>58</v>
      </c>
      <c r="M242" s="10">
        <f t="shared" si="0"/>
        <v>1595000</v>
      </c>
      <c r="N242" s="70"/>
      <c r="O242" s="67">
        <f t="array" ref="O242">INDEX(Honor!$L$2:$L800,MATCH($I242,Honor!$A$2:$A800,0))</f>
        <v>45373</v>
      </c>
      <c r="P242" s="10">
        <f t="shared" si="1"/>
        <v>2024</v>
      </c>
      <c r="Q242" s="10">
        <f t="shared" si="2"/>
        <v>3</v>
      </c>
      <c r="R242" s="10" t="str">
        <f t="array" ref="R242">INDEX(Honor!$Q$2:$Q800,MATCH($I242,Honor!$A$2:$A800,0))</f>
        <v>SURVEI-PETUGAS ENTRI</v>
      </c>
      <c r="S242" s="10" t="str">
        <f t="shared" si="3"/>
        <v>610422100010-2024-3</v>
      </c>
      <c r="T242" s="10" t="str">
        <f t="shared" si="4"/>
        <v>610422100010-2024-3-SURVEI-PETUGAS ENTRI</v>
      </c>
      <c r="U242" s="64">
        <v>1</v>
      </c>
      <c r="V242" s="10" t="e">
        <f t="array" aca="1" ref="V242" ca="1">INDEX(Honor!$O$2:$O800,MATCH($I242,Honor!$A$2:$A800,0))</f>
        <v>#NAME?</v>
      </c>
      <c r="W242" s="68">
        <v>45384</v>
      </c>
      <c r="X242" s="7" t="str">
        <f t="array" ref="X242">INDEX('Input Kegiatan'!$B$2:$B800,MATCH(B242,'Input Kegiatan'!$A$2:$A800,0))</f>
        <v>Susenas Maret 2024</v>
      </c>
      <c r="Y242" s="7" t="s">
        <v>4572</v>
      </c>
      <c r="Z242" s="7" t="s">
        <v>4619</v>
      </c>
      <c r="AA242" s="68">
        <f t="shared" si="5"/>
        <v>45351</v>
      </c>
      <c r="AB242" s="68">
        <f t="shared" si="6"/>
        <v>45352</v>
      </c>
      <c r="AC242" s="68">
        <f t="shared" si="7"/>
        <v>45382</v>
      </c>
      <c r="AD242" s="68">
        <f t="shared" si="8"/>
        <v>45381</v>
      </c>
      <c r="AE242" s="68">
        <f t="shared" si="9"/>
        <v>45382</v>
      </c>
    </row>
    <row r="243" spans="1:31" ht="12.5">
      <c r="A243" s="125">
        <v>610422100177</v>
      </c>
      <c r="B243" s="64" t="s">
        <v>26</v>
      </c>
      <c r="D243" s="10">
        <f t="array" aca="1" ref="D243" ca="1">INDEX('Mitra per Bulan'!$M$2:$M800,MATCH(S243,'Mitra per Bulan'!$B$2:$B800,0))</f>
        <v>1</v>
      </c>
      <c r="E243" s="10" t="str">
        <f t="array" ref="E243">INDEX('Database Mitra'!$A$2:$A800,MATCH(A243,'Database Mitra'!$B$2:$B800,0))</f>
        <v>Amirah</v>
      </c>
      <c r="F243" s="64" t="s">
        <v>90</v>
      </c>
      <c r="G243" s="5" t="str">
        <f t="array" ref="G243">INDEX('Database Mitra'!$G$2:$G800,MATCH(A243,'Database Mitra'!$B$2:$B800,0))</f>
        <v>6102015302980003</v>
      </c>
      <c r="H243" s="64" t="s">
        <v>125</v>
      </c>
      <c r="I243" s="65" t="str">
        <f t="shared" si="14"/>
        <v>SUSENAS24-LAPANGAN-SEMESTER1-PETUGAS ENTRI-PENGOLAHAN PENDATAAN</v>
      </c>
      <c r="J243" s="10" t="str">
        <f t="array" ref="J243">INDEX(Honor!$H$2:$H800,MATCH($I243,Honor!$A$2:$A800,0))</f>
        <v>Rumah Tangga</v>
      </c>
      <c r="K243" s="66">
        <f t="array" ref="K243">INDEX(Honor!$I$2:$I800,MATCH($I243,Honor!$A$2:$A800,0))</f>
        <v>27500</v>
      </c>
      <c r="L243" s="64">
        <v>64</v>
      </c>
      <c r="M243" s="10">
        <f t="shared" si="0"/>
        <v>1760000</v>
      </c>
      <c r="N243" s="70"/>
      <c r="O243" s="67">
        <f t="array" ref="O243">INDEX(Honor!$L$2:$L800,MATCH($I243,Honor!$A$2:$A800,0))</f>
        <v>45373</v>
      </c>
      <c r="P243" s="10">
        <f t="shared" si="1"/>
        <v>2024</v>
      </c>
      <c r="Q243" s="10">
        <f t="shared" si="2"/>
        <v>3</v>
      </c>
      <c r="R243" s="10" t="str">
        <f t="array" ref="R243">INDEX(Honor!$Q$2:$Q800,MATCH($I243,Honor!$A$2:$A800,0))</f>
        <v>SURVEI-PETUGAS ENTRI</v>
      </c>
      <c r="S243" s="10" t="str">
        <f t="shared" si="3"/>
        <v>610422100177-2024-3</v>
      </c>
      <c r="T243" s="10" t="str">
        <f t="shared" si="4"/>
        <v>610422100177-2024-3-SURVEI-PETUGAS ENTRI</v>
      </c>
      <c r="U243" s="64">
        <v>1</v>
      </c>
      <c r="V243" s="10" t="e">
        <f t="array" aca="1" ref="V243" ca="1">INDEX(Honor!$O$2:$O800,MATCH($I243,Honor!$A$2:$A800,0))</f>
        <v>#NAME?</v>
      </c>
      <c r="W243" s="68">
        <v>45384</v>
      </c>
      <c r="X243" s="7" t="str">
        <f t="array" ref="X243">INDEX('Input Kegiatan'!$B$2:$B800,MATCH(B243,'Input Kegiatan'!$A$2:$A800,0))</f>
        <v>Susenas Maret 2024</v>
      </c>
      <c r="Y243" s="7" t="s">
        <v>4572</v>
      </c>
      <c r="Z243" s="7" t="s">
        <v>4656</v>
      </c>
      <c r="AA243" s="68">
        <f t="shared" si="5"/>
        <v>45351</v>
      </c>
      <c r="AB243" s="68">
        <f t="shared" si="6"/>
        <v>45352</v>
      </c>
      <c r="AC243" s="68">
        <f t="shared" si="7"/>
        <v>45382</v>
      </c>
      <c r="AD243" s="68">
        <f t="shared" si="8"/>
        <v>45381</v>
      </c>
      <c r="AE243" s="68">
        <f t="shared" si="9"/>
        <v>45382</v>
      </c>
    </row>
    <row r="244" spans="1:31" ht="12.5">
      <c r="A244" s="125">
        <v>610422100083</v>
      </c>
      <c r="B244" s="64" t="s">
        <v>26</v>
      </c>
      <c r="D244" s="10">
        <f t="array" aca="1" ref="D244" ca="1">INDEX('Mitra per Bulan'!$M$2:$M800,MATCH(S244,'Mitra per Bulan'!$B$2:$B800,0))</f>
        <v>1</v>
      </c>
      <c r="E244" s="10" t="str">
        <f t="array" ref="E244">INDEX('Database Mitra'!$A$2:$A800,MATCH(A244,'Database Mitra'!$B$2:$B800,0))</f>
        <v>Ilham Subagio</v>
      </c>
      <c r="F244" s="64" t="s">
        <v>90</v>
      </c>
      <c r="G244" s="5" t="str">
        <f t="array" ref="G244">INDEX('Database Mitra'!$G$2:$G800,MATCH(A244,'Database Mitra'!$B$2:$B800,0))</f>
        <v>6102012006970002</v>
      </c>
      <c r="H244" s="64" t="s">
        <v>125</v>
      </c>
      <c r="I244" s="65" t="str">
        <f t="shared" si="14"/>
        <v>SUSENAS24-LAPANGAN-SEMESTER1-PETUGAS ENTRI-PENGOLAHAN PENDATAAN</v>
      </c>
      <c r="J244" s="10" t="str">
        <f t="array" ref="J244">INDEX(Honor!$H$2:$H800,MATCH($I244,Honor!$A$2:$A800,0))</f>
        <v>Rumah Tangga</v>
      </c>
      <c r="K244" s="66">
        <f t="array" ref="K244">INDEX(Honor!$I$2:$I800,MATCH($I244,Honor!$A$2:$A800,0))</f>
        <v>27500</v>
      </c>
      <c r="L244" s="64">
        <v>62</v>
      </c>
      <c r="M244" s="10">
        <f t="shared" si="0"/>
        <v>1705000</v>
      </c>
      <c r="N244" s="70"/>
      <c r="O244" s="67">
        <f t="array" ref="O244">INDEX(Honor!$L$2:$L800,MATCH($I244,Honor!$A$2:$A800,0))</f>
        <v>45373</v>
      </c>
      <c r="P244" s="10">
        <f t="shared" si="1"/>
        <v>2024</v>
      </c>
      <c r="Q244" s="10">
        <f t="shared" si="2"/>
        <v>3</v>
      </c>
      <c r="R244" s="10" t="str">
        <f t="array" ref="R244">INDEX(Honor!$Q$2:$Q800,MATCH($I244,Honor!$A$2:$A800,0))</f>
        <v>SURVEI-PETUGAS ENTRI</v>
      </c>
      <c r="S244" s="10" t="str">
        <f t="shared" si="3"/>
        <v>610422100083-2024-3</v>
      </c>
      <c r="T244" s="10" t="str">
        <f t="shared" si="4"/>
        <v>610422100083-2024-3-SURVEI-PETUGAS ENTRI</v>
      </c>
      <c r="U244" s="64">
        <v>1</v>
      </c>
      <c r="V244" s="10" t="e">
        <f t="array" aca="1" ref="V244" ca="1">INDEX(Honor!$O$2:$O800,MATCH($I244,Honor!$A$2:$A800,0))</f>
        <v>#NAME?</v>
      </c>
      <c r="W244" s="68">
        <v>45384</v>
      </c>
      <c r="X244" s="7" t="str">
        <f t="array" ref="X244">INDEX('Input Kegiatan'!$B$2:$B800,MATCH(B244,'Input Kegiatan'!$A$2:$A800,0))</f>
        <v>Susenas Maret 2024</v>
      </c>
      <c r="Y244" s="7" t="s">
        <v>4572</v>
      </c>
      <c r="Z244" s="7" t="s">
        <v>4619</v>
      </c>
      <c r="AA244" s="68">
        <f t="shared" si="5"/>
        <v>45351</v>
      </c>
      <c r="AB244" s="68">
        <f t="shared" si="6"/>
        <v>45352</v>
      </c>
      <c r="AC244" s="68">
        <f t="shared" si="7"/>
        <v>45382</v>
      </c>
      <c r="AD244" s="68">
        <f t="shared" si="8"/>
        <v>45381</v>
      </c>
      <c r="AE244" s="68">
        <f t="shared" si="9"/>
        <v>45382</v>
      </c>
    </row>
    <row r="245" spans="1:31" ht="12.5">
      <c r="A245" s="125">
        <v>610422110006</v>
      </c>
      <c r="B245" s="64" t="s">
        <v>26</v>
      </c>
      <c r="D245" s="10">
        <f t="array" aca="1" ref="D245" ca="1">INDEX('Mitra per Bulan'!$M$2:$M800,MATCH(S245,'Mitra per Bulan'!$B$2:$B800,0))</f>
        <v>1</v>
      </c>
      <c r="E245" s="10" t="str">
        <f t="array" ref="E245">INDEX('Database Mitra'!$A$2:$A800,MATCH(A245,'Database Mitra'!$B$2:$B800,0))</f>
        <v>Muhammad Habibie</v>
      </c>
      <c r="F245" s="64" t="s">
        <v>90</v>
      </c>
      <c r="G245" s="5" t="str">
        <f t="array" ref="G245">INDEX('Database Mitra'!$G$2:$G800,MATCH(A245,'Database Mitra'!$B$2:$B800,0))</f>
        <v>6102161209040001</v>
      </c>
      <c r="H245" s="64" t="s">
        <v>125</v>
      </c>
      <c r="I245" s="65" t="str">
        <f t="shared" si="14"/>
        <v>SUSENAS24-LAPANGAN-SEMESTER1-PETUGAS ENTRI-PENGOLAHAN PENDATAAN</v>
      </c>
      <c r="J245" s="10" t="str">
        <f t="array" ref="J245">INDEX(Honor!$H$2:$H800,MATCH($I245,Honor!$A$2:$A800,0))</f>
        <v>Rumah Tangga</v>
      </c>
      <c r="K245" s="66">
        <f t="array" ref="K245">INDEX(Honor!$I$2:$I800,MATCH($I245,Honor!$A$2:$A800,0))</f>
        <v>27500</v>
      </c>
      <c r="L245" s="64">
        <v>60</v>
      </c>
      <c r="M245" s="10">
        <f t="shared" si="0"/>
        <v>1650000</v>
      </c>
      <c r="N245" s="70"/>
      <c r="O245" s="67">
        <f t="array" ref="O245">INDEX(Honor!$L$2:$L800,MATCH($I245,Honor!$A$2:$A800,0))</f>
        <v>45373</v>
      </c>
      <c r="P245" s="10">
        <f t="shared" si="1"/>
        <v>2024</v>
      </c>
      <c r="Q245" s="10">
        <f t="shared" si="2"/>
        <v>3</v>
      </c>
      <c r="R245" s="10" t="str">
        <f t="array" ref="R245">INDEX(Honor!$Q$2:$Q800,MATCH($I245,Honor!$A$2:$A800,0))</f>
        <v>SURVEI-PETUGAS ENTRI</v>
      </c>
      <c r="S245" s="10" t="str">
        <f t="shared" si="3"/>
        <v>610422110006-2024-3</v>
      </c>
      <c r="T245" s="10" t="str">
        <f t="shared" si="4"/>
        <v>610422110006-2024-3-SURVEI-PETUGAS ENTRI</v>
      </c>
      <c r="U245" s="64">
        <v>1</v>
      </c>
      <c r="V245" s="10" t="e">
        <f t="array" aca="1" ref="V245" ca="1">INDEX(Honor!$O$2:$O800,MATCH($I245,Honor!$A$2:$A800,0))</f>
        <v>#NAME?</v>
      </c>
      <c r="W245" s="68">
        <v>45384</v>
      </c>
      <c r="X245" s="7" t="str">
        <f t="array" ref="X245">INDEX('Input Kegiatan'!$B$2:$B800,MATCH(B245,'Input Kegiatan'!$A$2:$A800,0))</f>
        <v>Susenas Maret 2024</v>
      </c>
      <c r="Y245" s="7" t="s">
        <v>4572</v>
      </c>
      <c r="Z245" s="7" t="s">
        <v>4656</v>
      </c>
      <c r="AA245" s="68">
        <f t="shared" si="5"/>
        <v>45351</v>
      </c>
      <c r="AB245" s="68">
        <f t="shared" si="6"/>
        <v>45352</v>
      </c>
      <c r="AC245" s="68">
        <f t="shared" si="7"/>
        <v>45382</v>
      </c>
      <c r="AD245" s="68">
        <f t="shared" si="8"/>
        <v>45381</v>
      </c>
      <c r="AE245" s="68">
        <f t="shared" si="9"/>
        <v>45382</v>
      </c>
    </row>
    <row r="246" spans="1:31" ht="12.5">
      <c r="A246" s="125">
        <v>610422110005</v>
      </c>
      <c r="B246" s="64" t="s">
        <v>26</v>
      </c>
      <c r="D246" s="10">
        <f t="array" aca="1" ref="D246" ca="1">INDEX('Mitra per Bulan'!$M$2:$M800,MATCH(S246,'Mitra per Bulan'!$B$2:$B800,0))</f>
        <v>1</v>
      </c>
      <c r="E246" s="10" t="str">
        <f t="array" ref="E246">INDEX('Database Mitra'!$A$2:$A800,MATCH(A246,'Database Mitra'!$B$2:$B800,0))</f>
        <v>Indra</v>
      </c>
      <c r="F246" s="64" t="s">
        <v>90</v>
      </c>
      <c r="G246" s="5" t="str">
        <f t="array" ref="G246">INDEX('Database Mitra'!$G$2:$G800,MATCH(A246,'Database Mitra'!$B$2:$B800,0))</f>
        <v>6102010506950003</v>
      </c>
      <c r="H246" s="64" t="s">
        <v>125</v>
      </c>
      <c r="I246" s="65" t="str">
        <f t="shared" si="14"/>
        <v>SUSENAS24-LAPANGAN-SEMESTER1-PETUGAS ENTRI-PENGOLAHAN PENDATAAN</v>
      </c>
      <c r="J246" s="10" t="str">
        <f t="array" ref="J246">INDEX(Honor!$H$2:$H800,MATCH($I246,Honor!$A$2:$A800,0))</f>
        <v>Rumah Tangga</v>
      </c>
      <c r="K246" s="66">
        <f t="array" ref="K246">INDEX(Honor!$I$2:$I800,MATCH($I246,Honor!$A$2:$A800,0))</f>
        <v>27500</v>
      </c>
      <c r="L246" s="64">
        <v>71</v>
      </c>
      <c r="M246" s="10">
        <f t="shared" si="0"/>
        <v>1952500</v>
      </c>
      <c r="N246" s="70"/>
      <c r="O246" s="67">
        <f t="array" ref="O246">INDEX(Honor!$L$2:$L800,MATCH($I246,Honor!$A$2:$A800,0))</f>
        <v>45373</v>
      </c>
      <c r="P246" s="10">
        <f t="shared" si="1"/>
        <v>2024</v>
      </c>
      <c r="Q246" s="10">
        <f t="shared" si="2"/>
        <v>3</v>
      </c>
      <c r="R246" s="10" t="str">
        <f t="array" ref="R246">INDEX(Honor!$Q$2:$Q800,MATCH($I246,Honor!$A$2:$A800,0))</f>
        <v>SURVEI-PETUGAS ENTRI</v>
      </c>
      <c r="S246" s="10" t="str">
        <f t="shared" si="3"/>
        <v>610422110005-2024-3</v>
      </c>
      <c r="T246" s="10" t="str">
        <f t="shared" si="4"/>
        <v>610422110005-2024-3-SURVEI-PETUGAS ENTRI</v>
      </c>
      <c r="U246" s="64">
        <v>1</v>
      </c>
      <c r="V246" s="10" t="e">
        <f t="array" aca="1" ref="V246" ca="1">INDEX(Honor!$O$2:$O800,MATCH($I246,Honor!$A$2:$A800,0))</f>
        <v>#NAME?</v>
      </c>
      <c r="W246" s="68">
        <v>45384</v>
      </c>
      <c r="X246" s="7" t="str">
        <f t="array" ref="X246">INDEX('Input Kegiatan'!$B$2:$B800,MATCH(B246,'Input Kegiatan'!$A$2:$A800,0))</f>
        <v>Susenas Maret 2024</v>
      </c>
      <c r="Y246" s="7" t="s">
        <v>4572</v>
      </c>
      <c r="Z246" s="7" t="s">
        <v>4874</v>
      </c>
      <c r="AA246" s="68">
        <f t="shared" si="5"/>
        <v>45351</v>
      </c>
      <c r="AB246" s="68">
        <f t="shared" si="6"/>
        <v>45352</v>
      </c>
      <c r="AC246" s="68">
        <f t="shared" si="7"/>
        <v>45382</v>
      </c>
      <c r="AD246" s="68">
        <f t="shared" si="8"/>
        <v>45381</v>
      </c>
      <c r="AE246" s="68">
        <f t="shared" si="9"/>
        <v>45382</v>
      </c>
    </row>
    <row r="247" spans="1:31" ht="12.5">
      <c r="A247" s="125">
        <v>610423090021</v>
      </c>
      <c r="B247" s="64" t="s">
        <v>26</v>
      </c>
      <c r="D247" s="10">
        <f t="array" aca="1" ref="D247" ca="1">INDEX('Mitra per Bulan'!$M$2:$M800,MATCH(S247,'Mitra per Bulan'!$B$2:$B800,0))</f>
        <v>1</v>
      </c>
      <c r="E247" s="10" t="str">
        <f t="array" ref="E247">INDEX('Database Mitra'!$A$2:$A800,MATCH(A247,'Database Mitra'!$B$2:$B800,0))</f>
        <v>Thama Riewanty Oesman</v>
      </c>
      <c r="F247" s="64" t="s">
        <v>90</v>
      </c>
      <c r="G247" s="5" t="str">
        <f t="array" ref="G247">INDEX('Database Mitra'!$G$2:$G800,MATCH(A247,'Database Mitra'!$B$2:$B800,0))</f>
        <v>6102016603990004</v>
      </c>
      <c r="H247" s="64" t="s">
        <v>125</v>
      </c>
      <c r="I247" s="65" t="str">
        <f t="shared" si="14"/>
        <v>SUSENAS24-LAPANGAN-SEMESTER1-PETUGAS ENTRI-PENGOLAHAN PENDATAAN</v>
      </c>
      <c r="J247" s="10" t="str">
        <f t="array" ref="J247">INDEX(Honor!$H$2:$H800,MATCH($I247,Honor!$A$2:$A800,0))</f>
        <v>Rumah Tangga</v>
      </c>
      <c r="K247" s="66">
        <f t="array" ref="K247">INDEX(Honor!$I$2:$I800,MATCH($I247,Honor!$A$2:$A800,0))</f>
        <v>27500</v>
      </c>
      <c r="L247" s="64">
        <v>58</v>
      </c>
      <c r="M247" s="10">
        <f t="shared" si="0"/>
        <v>1595000</v>
      </c>
      <c r="N247" s="70"/>
      <c r="O247" s="67">
        <f t="array" ref="O247">INDEX(Honor!$L$2:$L800,MATCH($I247,Honor!$A$2:$A800,0))</f>
        <v>45373</v>
      </c>
      <c r="P247" s="10">
        <f t="shared" si="1"/>
        <v>2024</v>
      </c>
      <c r="Q247" s="10">
        <f t="shared" si="2"/>
        <v>3</v>
      </c>
      <c r="R247" s="10" t="str">
        <f t="array" ref="R247">INDEX(Honor!$Q$2:$Q800,MATCH($I247,Honor!$A$2:$A800,0))</f>
        <v>SURVEI-PETUGAS ENTRI</v>
      </c>
      <c r="S247" s="10" t="str">
        <f t="shared" si="3"/>
        <v>610423090021-2024-3</v>
      </c>
      <c r="T247" s="10" t="str">
        <f t="shared" si="4"/>
        <v>610423090021-2024-3-SURVEI-PETUGAS ENTRI</v>
      </c>
      <c r="U247" s="64">
        <v>1</v>
      </c>
      <c r="V247" s="10" t="e">
        <f t="array" aca="1" ref="V247" ca="1">INDEX(Honor!$O$2:$O800,MATCH($I247,Honor!$A$2:$A800,0))</f>
        <v>#NAME?</v>
      </c>
      <c r="W247" s="68">
        <v>45384</v>
      </c>
      <c r="X247" s="7" t="str">
        <f t="array" ref="X247">INDEX('Input Kegiatan'!$B$2:$B800,MATCH(B247,'Input Kegiatan'!$A$2:$A800,0))</f>
        <v>Susenas Maret 2024</v>
      </c>
      <c r="Y247" s="7" t="s">
        <v>4572</v>
      </c>
      <c r="Z247" s="7" t="s">
        <v>4656</v>
      </c>
      <c r="AA247" s="68">
        <f t="shared" si="5"/>
        <v>45351</v>
      </c>
      <c r="AB247" s="68">
        <f t="shared" si="6"/>
        <v>45352</v>
      </c>
      <c r="AC247" s="68">
        <f t="shared" si="7"/>
        <v>45382</v>
      </c>
      <c r="AD247" s="68">
        <f t="shared" si="8"/>
        <v>45381</v>
      </c>
      <c r="AE247" s="68">
        <f t="shared" si="9"/>
        <v>45382</v>
      </c>
    </row>
    <row r="248" spans="1:31" ht="12.5">
      <c r="A248" s="125">
        <v>610423110150</v>
      </c>
      <c r="B248" s="64" t="s">
        <v>26</v>
      </c>
      <c r="D248" s="10">
        <f t="array" aca="1" ref="D248" ca="1">INDEX('Mitra per Bulan'!$M$2:$M800,MATCH(S248,'Mitra per Bulan'!$B$2:$B800,0))</f>
        <v>1</v>
      </c>
      <c r="E248" s="10" t="str">
        <f t="array" ref="E248">INDEX('Database Mitra'!$A$2:$A800,MATCH(A248,'Database Mitra'!$B$2:$B800,0))</f>
        <v>Risa Yolani</v>
      </c>
      <c r="F248" s="64" t="s">
        <v>90</v>
      </c>
      <c r="G248" s="5" t="str">
        <f t="array" ref="G248">INDEX('Database Mitra'!$G$2:$G800,MATCH(A248,'Database Mitra'!$B$2:$B800,0))</f>
        <v>6102015802940002</v>
      </c>
      <c r="H248" s="64" t="s">
        <v>125</v>
      </c>
      <c r="I248" s="65" t="str">
        <f t="shared" si="14"/>
        <v>SUSENAS24-LAPANGAN-SEMESTER1-PETUGAS ENTRI-PENGOLAHAN PENDATAAN</v>
      </c>
      <c r="J248" s="10" t="str">
        <f t="array" ref="J248">INDEX(Honor!$H$2:$H800,MATCH($I248,Honor!$A$2:$A800,0))</f>
        <v>Rumah Tangga</v>
      </c>
      <c r="K248" s="66">
        <f t="array" ref="K248">INDEX(Honor!$I$2:$I800,MATCH($I248,Honor!$A$2:$A800,0))</f>
        <v>27500</v>
      </c>
      <c r="L248" s="64">
        <v>58</v>
      </c>
      <c r="M248" s="10">
        <f t="shared" si="0"/>
        <v>1595000</v>
      </c>
      <c r="N248" s="70"/>
      <c r="O248" s="67">
        <f t="array" ref="O248">INDEX(Honor!$L$2:$L800,MATCH($I248,Honor!$A$2:$A800,0))</f>
        <v>45373</v>
      </c>
      <c r="P248" s="10">
        <f t="shared" si="1"/>
        <v>2024</v>
      </c>
      <c r="Q248" s="10">
        <f t="shared" si="2"/>
        <v>3</v>
      </c>
      <c r="R248" s="10" t="str">
        <f t="array" ref="R248">INDEX(Honor!$Q$2:$Q800,MATCH($I248,Honor!$A$2:$A800,0))</f>
        <v>SURVEI-PETUGAS ENTRI</v>
      </c>
      <c r="S248" s="10" t="str">
        <f t="shared" si="3"/>
        <v>610423110150-2024-3</v>
      </c>
      <c r="T248" s="10" t="str">
        <f t="shared" si="4"/>
        <v>610423110150-2024-3-SURVEI-PETUGAS ENTRI</v>
      </c>
      <c r="U248" s="64">
        <v>1</v>
      </c>
      <c r="V248" s="10" t="e">
        <f t="array" aca="1" ref="V248" ca="1">INDEX(Honor!$O$2:$O800,MATCH($I248,Honor!$A$2:$A800,0))</f>
        <v>#NAME?</v>
      </c>
      <c r="W248" s="68">
        <v>45384</v>
      </c>
      <c r="X248" s="7" t="str">
        <f t="array" ref="X248">INDEX('Input Kegiatan'!$B$2:$B800,MATCH(B248,'Input Kegiatan'!$A$2:$A800,0))</f>
        <v>Susenas Maret 2024</v>
      </c>
      <c r="Y248" s="7" t="s">
        <v>4572</v>
      </c>
      <c r="Z248" s="7" t="s">
        <v>4619</v>
      </c>
      <c r="AA248" s="68">
        <f t="shared" si="5"/>
        <v>45351</v>
      </c>
      <c r="AB248" s="68">
        <f t="shared" si="6"/>
        <v>45352</v>
      </c>
      <c r="AC248" s="68">
        <f t="shared" si="7"/>
        <v>45382</v>
      </c>
      <c r="AD248" s="68">
        <f t="shared" si="8"/>
        <v>45381</v>
      </c>
      <c r="AE248" s="68">
        <f t="shared" si="9"/>
        <v>45382</v>
      </c>
    </row>
    <row r="249" spans="1:31" ht="12.5">
      <c r="A249" s="125">
        <v>610423110129</v>
      </c>
      <c r="B249" s="64" t="s">
        <v>26</v>
      </c>
      <c r="D249" s="10">
        <f t="array" aca="1" ref="D249" ca="1">INDEX('Mitra per Bulan'!$M$2:$M800,MATCH(S249,'Mitra per Bulan'!$B$2:$B800,0))</f>
        <v>1</v>
      </c>
      <c r="E249" s="10" t="str">
        <f t="array" ref="E249">INDEX('Database Mitra'!$A$2:$A800,MATCH(A249,'Database Mitra'!$B$2:$B800,0))</f>
        <v>Athalia Meifira</v>
      </c>
      <c r="F249" s="64" t="s">
        <v>90</v>
      </c>
      <c r="G249" s="5" t="str">
        <f t="array" ref="G249">INDEX('Database Mitra'!$G$2:$G800,MATCH(A249,'Database Mitra'!$B$2:$B800,0))</f>
        <v>6102015905000001</v>
      </c>
      <c r="H249" s="64" t="s">
        <v>125</v>
      </c>
      <c r="I249" s="65" t="str">
        <f t="shared" si="14"/>
        <v>SUSENAS24-LAPANGAN-SEMESTER1-PETUGAS ENTRI-PENGOLAHAN PENDATAAN</v>
      </c>
      <c r="J249" s="10" t="str">
        <f t="array" ref="J249">INDEX(Honor!$H$2:$H800,MATCH($I249,Honor!$A$2:$A800,0))</f>
        <v>Rumah Tangga</v>
      </c>
      <c r="K249" s="66">
        <f t="array" ref="K249">INDEX(Honor!$I$2:$I800,MATCH($I249,Honor!$A$2:$A800,0))</f>
        <v>27500</v>
      </c>
      <c r="L249" s="64">
        <v>62</v>
      </c>
      <c r="M249" s="10">
        <f t="shared" si="0"/>
        <v>1705000</v>
      </c>
      <c r="N249" s="70"/>
      <c r="O249" s="67">
        <f t="array" ref="O249">INDEX(Honor!$L$2:$L800,MATCH($I249,Honor!$A$2:$A800,0))</f>
        <v>45373</v>
      </c>
      <c r="P249" s="10">
        <f t="shared" si="1"/>
        <v>2024</v>
      </c>
      <c r="Q249" s="10">
        <f t="shared" si="2"/>
        <v>3</v>
      </c>
      <c r="R249" s="10" t="str">
        <f t="array" ref="R249">INDEX(Honor!$Q$2:$Q800,MATCH($I249,Honor!$A$2:$A800,0))</f>
        <v>SURVEI-PETUGAS ENTRI</v>
      </c>
      <c r="S249" s="10" t="str">
        <f t="shared" si="3"/>
        <v>610423110129-2024-3</v>
      </c>
      <c r="T249" s="10" t="str">
        <f t="shared" si="4"/>
        <v>610423110129-2024-3-SURVEI-PETUGAS ENTRI</v>
      </c>
      <c r="U249" s="64">
        <v>1</v>
      </c>
      <c r="V249" s="10" t="e">
        <f t="array" aca="1" ref="V249" ca="1">INDEX(Honor!$O$2:$O800,MATCH($I249,Honor!$A$2:$A800,0))</f>
        <v>#NAME?</v>
      </c>
      <c r="W249" s="68">
        <v>45384</v>
      </c>
      <c r="X249" s="7" t="str">
        <f t="array" ref="X249">INDEX('Input Kegiatan'!$B$2:$B800,MATCH(B249,'Input Kegiatan'!$A$2:$A800,0))</f>
        <v>Susenas Maret 2024</v>
      </c>
      <c r="Y249" s="7" t="s">
        <v>4572</v>
      </c>
      <c r="Z249" s="7" t="s">
        <v>4656</v>
      </c>
      <c r="AA249" s="68">
        <f t="shared" si="5"/>
        <v>45351</v>
      </c>
      <c r="AB249" s="68">
        <f t="shared" si="6"/>
        <v>45352</v>
      </c>
      <c r="AC249" s="68">
        <f t="shared" si="7"/>
        <v>45382</v>
      </c>
      <c r="AD249" s="68">
        <f t="shared" si="8"/>
        <v>45381</v>
      </c>
      <c r="AE249" s="68">
        <f t="shared" si="9"/>
        <v>45382</v>
      </c>
    </row>
    <row r="250" spans="1:31" ht="12.5">
      <c r="A250" s="125">
        <v>610422020016</v>
      </c>
      <c r="B250" s="64" t="s">
        <v>30</v>
      </c>
      <c r="D250" s="10">
        <f t="array" aca="1" ref="D250" ca="1">INDEX('Mitra per Bulan'!$M$2:$M800,MATCH(S250,'Mitra per Bulan'!$B$2:$B800,0))</f>
        <v>1</v>
      </c>
      <c r="E250" s="10" t="str">
        <f t="array" ref="E250">INDEX('Database Mitra'!$A$2:$A800,MATCH(A250,'Database Mitra'!$B$2:$B800,0))</f>
        <v>Abdul Aziz</v>
      </c>
      <c r="F250" s="65" t="s">
        <v>25</v>
      </c>
      <c r="G250" s="5" t="str">
        <f t="array" ref="G250">INDEX('Database Mitra'!$G$2:$G800,MATCH(A250,'Database Mitra'!$B$2:$B800,0))</f>
        <v>6102061507950006</v>
      </c>
      <c r="H250" s="64" t="s">
        <v>84</v>
      </c>
      <c r="I250" s="65" t="str">
        <f t="shared" si="14"/>
        <v>KSA24-LAPANGAN-MARET-PPL-KSA PADI</v>
      </c>
      <c r="J250" s="10" t="str">
        <f t="array" ref="J250">INDEX(Honor!$H$2:$H800,MATCH($I250,Honor!$A$2:$A800,0))</f>
        <v>Segmen</v>
      </c>
      <c r="K250" s="66">
        <f t="array" ref="K250">INDEX(Honor!$I$2:$I800,MATCH($I250,Honor!$A$2:$A800,0))</f>
        <v>116000</v>
      </c>
      <c r="L250" s="64">
        <v>3</v>
      </c>
      <c r="M250" s="10">
        <f t="shared" si="0"/>
        <v>348000</v>
      </c>
      <c r="O250" s="67">
        <f t="array" ref="O250">INDEX(Honor!$L$2:$L800,MATCH($I250,Honor!$A$2:$A800,0))</f>
        <v>45382</v>
      </c>
      <c r="P250" s="10">
        <f t="shared" si="1"/>
        <v>2024</v>
      </c>
      <c r="Q250" s="10">
        <f t="shared" si="2"/>
        <v>3</v>
      </c>
      <c r="R250" s="10" t="str">
        <f t="array" ref="R250">INDEX(Honor!$Q$2:$Q800,MATCH($I250,Honor!$A$2:$A800,0))</f>
        <v>SURVEI-PPL</v>
      </c>
      <c r="S250" s="10" t="str">
        <f t="shared" si="3"/>
        <v>610422020016-2024-3</v>
      </c>
      <c r="T250" s="10" t="str">
        <f t="shared" si="4"/>
        <v>610422020016-2024-3-SURVEI-PPL</v>
      </c>
      <c r="U250" s="64">
        <v>1</v>
      </c>
      <c r="V250" s="10" t="e">
        <f t="array" aca="1" ref="V250" ca="1">INDEX(Honor!$O$2:$O800,MATCH($I250,Honor!$A$2:$A800,0))</f>
        <v>#NAME?</v>
      </c>
      <c r="W250" s="68">
        <v>45419</v>
      </c>
      <c r="X250" s="7" t="str">
        <f t="array" ref="X250">INDEX('Input Kegiatan'!$B$2:$B800,MATCH(B250,'Input Kegiatan'!$A$2:$A800,0))</f>
        <v>Kerangka Sampel Area (KSA) 2024 Maret</v>
      </c>
      <c r="Y250" s="7" t="s">
        <v>5534</v>
      </c>
      <c r="Z250" s="7" t="s">
        <v>5535</v>
      </c>
      <c r="AA250" s="68">
        <f t="shared" si="5"/>
        <v>45351</v>
      </c>
      <c r="AB250" s="68">
        <f t="shared" si="6"/>
        <v>45352</v>
      </c>
      <c r="AC250" s="68">
        <f t="shared" si="7"/>
        <v>45382</v>
      </c>
      <c r="AD250" s="68">
        <f t="shared" si="8"/>
        <v>45381</v>
      </c>
      <c r="AE250" s="68">
        <f t="shared" si="9"/>
        <v>45382</v>
      </c>
    </row>
    <row r="251" spans="1:31" ht="12.5">
      <c r="A251" s="125">
        <v>610422040012</v>
      </c>
      <c r="B251" s="64" t="s">
        <v>30</v>
      </c>
      <c r="D251" s="10">
        <f t="array" aca="1" ref="D251" ca="1">INDEX('Mitra per Bulan'!$M$2:$M800,MATCH(S251,'Mitra per Bulan'!$B$2:$B800,0))</f>
        <v>1</v>
      </c>
      <c r="E251" s="10" t="str">
        <f t="array" ref="E251">INDEX('Database Mitra'!$A$2:$A800,MATCH(A251,'Database Mitra'!$B$2:$B800,0))</f>
        <v>Misdi</v>
      </c>
      <c r="F251" s="65" t="s">
        <v>25</v>
      </c>
      <c r="G251" s="5" t="str">
        <f t="array" ref="G251">INDEX('Database Mitra'!$G$2:$G800,MATCH(A251,'Database Mitra'!$B$2:$B800,0))</f>
        <v>6102070706940001</v>
      </c>
      <c r="H251" s="64" t="s">
        <v>84</v>
      </c>
      <c r="I251" s="65" t="str">
        <f t="shared" si="14"/>
        <v>KSA24-LAPANGAN-MARET-PPL-KSA PADI</v>
      </c>
      <c r="J251" s="10" t="str">
        <f t="array" ref="J251">INDEX(Honor!$H$2:$H800,MATCH($I251,Honor!$A$2:$A800,0))</f>
        <v>Segmen</v>
      </c>
      <c r="K251" s="66">
        <f t="array" ref="K251">INDEX(Honor!$I$2:$I800,MATCH($I251,Honor!$A$2:$A800,0))</f>
        <v>116000</v>
      </c>
      <c r="L251" s="64">
        <v>3</v>
      </c>
      <c r="M251" s="10">
        <f t="shared" si="0"/>
        <v>348000</v>
      </c>
      <c r="O251" s="67">
        <f t="array" ref="O251">INDEX(Honor!$L$2:$L800,MATCH($I251,Honor!$A$2:$A800,0))</f>
        <v>45382</v>
      </c>
      <c r="P251" s="10">
        <f t="shared" si="1"/>
        <v>2024</v>
      </c>
      <c r="Q251" s="10">
        <f t="shared" si="2"/>
        <v>3</v>
      </c>
      <c r="R251" s="10" t="str">
        <f t="array" ref="R251">INDEX(Honor!$Q$2:$Q800,MATCH($I251,Honor!$A$2:$A800,0))</f>
        <v>SURVEI-PPL</v>
      </c>
      <c r="S251" s="10" t="str">
        <f t="shared" si="3"/>
        <v>610422040012-2024-3</v>
      </c>
      <c r="T251" s="10" t="str">
        <f t="shared" si="4"/>
        <v>610422040012-2024-3-SURVEI-PPL</v>
      </c>
      <c r="U251" s="64">
        <v>1</v>
      </c>
      <c r="V251" s="10" t="e">
        <f t="array" aca="1" ref="V251" ca="1">INDEX(Honor!$O$2:$O800,MATCH($I251,Honor!$A$2:$A800,0))</f>
        <v>#NAME?</v>
      </c>
      <c r="W251" s="68">
        <v>45419</v>
      </c>
      <c r="X251" s="7" t="str">
        <f t="array" ref="X251">INDEX('Input Kegiatan'!$B$2:$B800,MATCH(B251,'Input Kegiatan'!$A$2:$A800,0))</f>
        <v>Kerangka Sampel Area (KSA) 2024 Maret</v>
      </c>
      <c r="Y251" s="7" t="s">
        <v>3990</v>
      </c>
      <c r="Z251" s="7" t="s">
        <v>4365</v>
      </c>
      <c r="AA251" s="68">
        <f t="shared" si="5"/>
        <v>45351</v>
      </c>
      <c r="AB251" s="68">
        <f t="shared" si="6"/>
        <v>45352</v>
      </c>
      <c r="AC251" s="68">
        <f t="shared" si="7"/>
        <v>45382</v>
      </c>
      <c r="AD251" s="68">
        <f t="shared" si="8"/>
        <v>45381</v>
      </c>
      <c r="AE251" s="68">
        <f t="shared" si="9"/>
        <v>45382</v>
      </c>
    </row>
    <row r="252" spans="1:31" ht="12.5">
      <c r="A252" s="125">
        <v>610422040059</v>
      </c>
      <c r="B252" s="64" t="s">
        <v>30</v>
      </c>
      <c r="D252" s="10">
        <f t="array" aca="1" ref="D252" ca="1">INDEX('Mitra per Bulan'!$M$2:$M800,MATCH(S252,'Mitra per Bulan'!$B$2:$B800,0))</f>
        <v>1</v>
      </c>
      <c r="E252" s="10" t="str">
        <f t="array" ref="E252">INDEX('Database Mitra'!$A$2:$A800,MATCH(A252,'Database Mitra'!$B$2:$B800,0))</f>
        <v>Abang Handri</v>
      </c>
      <c r="F252" s="65" t="s">
        <v>25</v>
      </c>
      <c r="G252" s="5" t="str">
        <f t="array" ref="G252">INDEX('Database Mitra'!$G$2:$G800,MATCH(A252,'Database Mitra'!$B$2:$B800,0))</f>
        <v>6102072211780002</v>
      </c>
      <c r="H252" s="64" t="s">
        <v>84</v>
      </c>
      <c r="I252" s="65" t="str">
        <f t="shared" si="14"/>
        <v>KSA24-LAPANGAN-MARET-PPL-KSA PADI</v>
      </c>
      <c r="J252" s="10" t="str">
        <f t="array" ref="J252">INDEX(Honor!$H$2:$H800,MATCH($I252,Honor!$A$2:$A800,0))</f>
        <v>Segmen</v>
      </c>
      <c r="K252" s="66">
        <f t="array" ref="K252">INDEX(Honor!$I$2:$I800,MATCH($I252,Honor!$A$2:$A800,0))</f>
        <v>116000</v>
      </c>
      <c r="L252" s="64">
        <v>4</v>
      </c>
      <c r="M252" s="10">
        <f t="shared" si="0"/>
        <v>464000</v>
      </c>
      <c r="O252" s="67">
        <f t="array" ref="O252">INDEX(Honor!$L$2:$L800,MATCH($I252,Honor!$A$2:$A800,0))</f>
        <v>45382</v>
      </c>
      <c r="P252" s="10">
        <f t="shared" si="1"/>
        <v>2024</v>
      </c>
      <c r="Q252" s="10">
        <f t="shared" si="2"/>
        <v>3</v>
      </c>
      <c r="R252" s="10" t="str">
        <f t="array" ref="R252">INDEX(Honor!$Q$2:$Q800,MATCH($I252,Honor!$A$2:$A800,0))</f>
        <v>SURVEI-PPL</v>
      </c>
      <c r="S252" s="10" t="str">
        <f t="shared" si="3"/>
        <v>610422040059-2024-3</v>
      </c>
      <c r="T252" s="10" t="str">
        <f t="shared" si="4"/>
        <v>610422040059-2024-3-SURVEI-PPL</v>
      </c>
      <c r="U252" s="64">
        <v>1</v>
      </c>
      <c r="V252" s="10" t="e">
        <f t="array" aca="1" ref="V252" ca="1">INDEX(Honor!$O$2:$O800,MATCH($I252,Honor!$A$2:$A800,0))</f>
        <v>#NAME?</v>
      </c>
      <c r="W252" s="68">
        <v>45419</v>
      </c>
      <c r="X252" s="7" t="str">
        <f t="array" ref="X252">INDEX('Input Kegiatan'!$B$2:$B800,MATCH(B252,'Input Kegiatan'!$A$2:$A800,0))</f>
        <v>Kerangka Sampel Area (KSA) 2024 Maret</v>
      </c>
      <c r="Y252" s="7" t="s">
        <v>4572</v>
      </c>
      <c r="Z252" s="7" t="s">
        <v>4656</v>
      </c>
      <c r="AA252" s="68">
        <f t="shared" si="5"/>
        <v>45351</v>
      </c>
      <c r="AB252" s="68">
        <f t="shared" si="6"/>
        <v>45352</v>
      </c>
      <c r="AC252" s="68">
        <f t="shared" si="7"/>
        <v>45382</v>
      </c>
      <c r="AD252" s="68">
        <f t="shared" si="8"/>
        <v>45381</v>
      </c>
      <c r="AE252" s="68">
        <f t="shared" si="9"/>
        <v>45382</v>
      </c>
    </row>
    <row r="253" spans="1:31" ht="12.5">
      <c r="A253" s="125">
        <v>610422040061</v>
      </c>
      <c r="B253" s="64" t="s">
        <v>30</v>
      </c>
      <c r="D253" s="10">
        <f t="array" aca="1" ref="D253" ca="1">INDEX('Mitra per Bulan'!$M$2:$M800,MATCH(S253,'Mitra per Bulan'!$B$2:$B800,0))</f>
        <v>1</v>
      </c>
      <c r="E253" s="10" t="str">
        <f t="array" ref="E253">INDEX('Database Mitra'!$A$2:$A800,MATCH(A253,'Database Mitra'!$B$2:$B800,0))</f>
        <v>Sabani</v>
      </c>
      <c r="F253" s="65" t="s">
        <v>25</v>
      </c>
      <c r="G253" s="5" t="str">
        <f t="array" ref="G253">INDEX('Database Mitra'!$G$2:$G800,MATCH(A253,'Database Mitra'!$B$2:$B800,0))</f>
        <v>6102153112860003</v>
      </c>
      <c r="H253" s="64" t="s">
        <v>84</v>
      </c>
      <c r="I253" s="65" t="str">
        <f t="shared" si="14"/>
        <v>KSA24-LAPANGAN-MARET-PPL-KSA PADI</v>
      </c>
      <c r="J253" s="10" t="str">
        <f t="array" ref="J253">INDEX(Honor!$H$2:$H800,MATCH($I253,Honor!$A$2:$A800,0))</f>
        <v>Segmen</v>
      </c>
      <c r="K253" s="66">
        <f t="array" ref="K253">INDEX(Honor!$I$2:$I800,MATCH($I253,Honor!$A$2:$A800,0))</f>
        <v>116000</v>
      </c>
      <c r="L253" s="64">
        <v>3</v>
      </c>
      <c r="M253" s="10">
        <f t="shared" si="0"/>
        <v>348000</v>
      </c>
      <c r="O253" s="67">
        <f t="array" ref="O253">INDEX(Honor!$L$2:$L800,MATCH($I253,Honor!$A$2:$A800,0))</f>
        <v>45382</v>
      </c>
      <c r="P253" s="10">
        <f t="shared" si="1"/>
        <v>2024</v>
      </c>
      <c r="Q253" s="10">
        <f t="shared" si="2"/>
        <v>3</v>
      </c>
      <c r="R253" s="10" t="str">
        <f t="array" ref="R253">INDEX(Honor!$Q$2:$Q800,MATCH($I253,Honor!$A$2:$A800,0))</f>
        <v>SURVEI-PPL</v>
      </c>
      <c r="S253" s="10" t="str">
        <f t="shared" si="3"/>
        <v>610422040061-2024-3</v>
      </c>
      <c r="T253" s="10" t="str">
        <f t="shared" si="4"/>
        <v>610422040061-2024-3-SURVEI-PPL</v>
      </c>
      <c r="U253" s="64">
        <v>1</v>
      </c>
      <c r="V253" s="10" t="e">
        <f t="array" aca="1" ref="V253" ca="1">INDEX(Honor!$O$2:$O800,MATCH($I253,Honor!$A$2:$A800,0))</f>
        <v>#NAME?</v>
      </c>
      <c r="W253" s="68">
        <v>45419</v>
      </c>
      <c r="X253" s="7" t="str">
        <f t="array" ref="X253">INDEX('Input Kegiatan'!$B$2:$B800,MATCH(B253,'Input Kegiatan'!$A$2:$A800,0))</f>
        <v>Kerangka Sampel Area (KSA) 2024 Maret</v>
      </c>
      <c r="Y253" s="7" t="s">
        <v>3715</v>
      </c>
      <c r="Z253" s="7" t="s">
        <v>3862</v>
      </c>
      <c r="AA253" s="68">
        <f t="shared" si="5"/>
        <v>45351</v>
      </c>
      <c r="AB253" s="68">
        <f t="shared" si="6"/>
        <v>45352</v>
      </c>
      <c r="AC253" s="68">
        <f t="shared" si="7"/>
        <v>45382</v>
      </c>
      <c r="AD253" s="68">
        <f t="shared" si="8"/>
        <v>45381</v>
      </c>
      <c r="AE253" s="68">
        <f t="shared" si="9"/>
        <v>45382</v>
      </c>
    </row>
    <row r="254" spans="1:31" ht="12.5">
      <c r="A254" s="125">
        <v>610422100131</v>
      </c>
      <c r="B254" s="64" t="s">
        <v>30</v>
      </c>
      <c r="D254" s="10">
        <f t="array" aca="1" ref="D254" ca="1">INDEX('Mitra per Bulan'!$M$2:$M800,MATCH(S254,'Mitra per Bulan'!$B$2:$B800,0))</f>
        <v>1</v>
      </c>
      <c r="E254" s="10" t="str">
        <f t="array" ref="E254">INDEX('Database Mitra'!$A$2:$A800,MATCH(A254,'Database Mitra'!$B$2:$B800,0))</f>
        <v>Syamsul</v>
      </c>
      <c r="F254" s="65" t="s">
        <v>25</v>
      </c>
      <c r="G254" s="5" t="str">
        <f t="array" ref="G254">INDEX('Database Mitra'!$G$2:$G800,MATCH(A254,'Database Mitra'!$B$2:$B800,0))</f>
        <v>6102150907860003</v>
      </c>
      <c r="H254" s="64" t="s">
        <v>84</v>
      </c>
      <c r="I254" s="65" t="str">
        <f t="shared" si="14"/>
        <v>KSA24-LAPANGAN-MARET-PPL-KSA PADI</v>
      </c>
      <c r="J254" s="10" t="str">
        <f t="array" ref="J254">INDEX(Honor!$H$2:$H800,MATCH($I254,Honor!$A$2:$A800,0))</f>
        <v>Segmen</v>
      </c>
      <c r="K254" s="66">
        <f t="array" ref="K254">INDEX(Honor!$I$2:$I800,MATCH($I254,Honor!$A$2:$A800,0))</f>
        <v>116000</v>
      </c>
      <c r="L254" s="64">
        <v>3</v>
      </c>
      <c r="M254" s="10">
        <f t="shared" si="0"/>
        <v>348000</v>
      </c>
      <c r="O254" s="67">
        <f t="array" ref="O254">INDEX(Honor!$L$2:$L800,MATCH($I254,Honor!$A$2:$A800,0))</f>
        <v>45382</v>
      </c>
      <c r="P254" s="10">
        <f t="shared" si="1"/>
        <v>2024</v>
      </c>
      <c r="Q254" s="10">
        <f t="shared" si="2"/>
        <v>3</v>
      </c>
      <c r="R254" s="10" t="str">
        <f t="array" ref="R254">INDEX(Honor!$Q$2:$Q800,MATCH($I254,Honor!$A$2:$A800,0))</f>
        <v>SURVEI-PPL</v>
      </c>
      <c r="S254" s="10" t="str">
        <f t="shared" si="3"/>
        <v>610422100131-2024-3</v>
      </c>
      <c r="T254" s="10" t="str">
        <f t="shared" si="4"/>
        <v>610422100131-2024-3-SURVEI-PPL</v>
      </c>
      <c r="U254" s="64">
        <v>1</v>
      </c>
      <c r="V254" s="10" t="e">
        <f t="array" aca="1" ref="V254" ca="1">INDEX(Honor!$O$2:$O800,MATCH($I254,Honor!$A$2:$A800,0))</f>
        <v>#NAME?</v>
      </c>
      <c r="W254" s="68">
        <v>45419</v>
      </c>
      <c r="X254" s="7" t="str">
        <f t="array" ref="X254">INDEX('Input Kegiatan'!$B$2:$B800,MATCH(B254,'Input Kegiatan'!$A$2:$A800,0))</f>
        <v>Kerangka Sampel Area (KSA) 2024 Maret</v>
      </c>
      <c r="Y254" s="7" t="s">
        <v>5250</v>
      </c>
      <c r="Z254" s="7" t="s">
        <v>5365</v>
      </c>
      <c r="AA254" s="68">
        <f t="shared" si="5"/>
        <v>45351</v>
      </c>
      <c r="AB254" s="68">
        <f t="shared" si="6"/>
        <v>45352</v>
      </c>
      <c r="AC254" s="68">
        <f t="shared" si="7"/>
        <v>45382</v>
      </c>
      <c r="AD254" s="68">
        <f t="shared" si="8"/>
        <v>45381</v>
      </c>
      <c r="AE254" s="68">
        <f t="shared" si="9"/>
        <v>45382</v>
      </c>
    </row>
    <row r="255" spans="1:31" ht="12.5">
      <c r="A255" s="125">
        <v>610422100244</v>
      </c>
      <c r="B255" s="64" t="s">
        <v>30</v>
      </c>
      <c r="D255" s="10">
        <f t="array" aca="1" ref="D255" ca="1">INDEX('Mitra per Bulan'!$M$2:$M800,MATCH(S255,'Mitra per Bulan'!$B$2:$B800,0))</f>
        <v>1</v>
      </c>
      <c r="E255" s="10" t="str">
        <f t="array" ref="E255">INDEX('Database Mitra'!$A$2:$A800,MATCH(A255,'Database Mitra'!$B$2:$B800,0))</f>
        <v>Sugianto</v>
      </c>
      <c r="F255" s="65" t="s">
        <v>25</v>
      </c>
      <c r="G255" s="5" t="str">
        <f t="array" ref="G255">INDEX('Database Mitra'!$G$2:$G800,MATCH(A255,'Database Mitra'!$B$2:$B800,0))</f>
        <v>6102171003900002</v>
      </c>
      <c r="H255" s="64" t="s">
        <v>84</v>
      </c>
      <c r="I255" s="65" t="str">
        <f t="shared" si="14"/>
        <v>KSA24-LAPANGAN-MARET-PPL-KSA PADI</v>
      </c>
      <c r="J255" s="10" t="str">
        <f t="array" ref="J255">INDEX(Honor!$H$2:$H800,MATCH($I255,Honor!$A$2:$A800,0))</f>
        <v>Segmen</v>
      </c>
      <c r="K255" s="66">
        <f t="array" ref="K255">INDEX(Honor!$I$2:$I800,MATCH($I255,Honor!$A$2:$A800,0))</f>
        <v>116000</v>
      </c>
      <c r="L255" s="64">
        <v>3</v>
      </c>
      <c r="M255" s="10">
        <f t="shared" si="0"/>
        <v>348000</v>
      </c>
      <c r="O255" s="67">
        <f t="array" ref="O255">INDEX(Honor!$L$2:$L800,MATCH($I255,Honor!$A$2:$A800,0))</f>
        <v>45382</v>
      </c>
      <c r="P255" s="10">
        <f t="shared" si="1"/>
        <v>2024</v>
      </c>
      <c r="Q255" s="10">
        <f t="shared" si="2"/>
        <v>3</v>
      </c>
      <c r="R255" s="10" t="str">
        <f t="array" ref="R255">INDEX(Honor!$Q$2:$Q800,MATCH($I255,Honor!$A$2:$A800,0))</f>
        <v>SURVEI-PPL</v>
      </c>
      <c r="S255" s="10" t="str">
        <f t="shared" si="3"/>
        <v>610422100244-2024-3</v>
      </c>
      <c r="T255" s="10" t="str">
        <f t="shared" si="4"/>
        <v>610422100244-2024-3-SURVEI-PPL</v>
      </c>
      <c r="U255" s="64">
        <v>1</v>
      </c>
      <c r="V255" s="10" t="e">
        <f t="array" aca="1" ref="V255" ca="1">INDEX(Honor!$O$2:$O800,MATCH($I255,Honor!$A$2:$A800,0))</f>
        <v>#NAME?</v>
      </c>
      <c r="W255" s="68">
        <v>45419</v>
      </c>
      <c r="X255" s="7" t="str">
        <f t="array" ref="X255">INDEX('Input Kegiatan'!$B$2:$B800,MATCH(B255,'Input Kegiatan'!$A$2:$A800,0))</f>
        <v>Kerangka Sampel Area (KSA) 2024 Maret</v>
      </c>
      <c r="Y255" s="7" t="s">
        <v>5741</v>
      </c>
      <c r="Z255" s="7" t="s">
        <v>5796</v>
      </c>
      <c r="AA255" s="68">
        <f t="shared" si="5"/>
        <v>45351</v>
      </c>
      <c r="AB255" s="68">
        <f t="shared" si="6"/>
        <v>45352</v>
      </c>
      <c r="AC255" s="68">
        <f t="shared" si="7"/>
        <v>45382</v>
      </c>
      <c r="AD255" s="68">
        <f t="shared" si="8"/>
        <v>45381</v>
      </c>
      <c r="AE255" s="68">
        <f t="shared" si="9"/>
        <v>45382</v>
      </c>
    </row>
    <row r="256" spans="1:31" ht="12.5">
      <c r="A256" s="125">
        <v>610422100176</v>
      </c>
      <c r="B256" s="64" t="s">
        <v>30</v>
      </c>
      <c r="D256" s="10">
        <f t="array" aca="1" ref="D256" ca="1">INDEX('Mitra per Bulan'!$M$2:$M800,MATCH(S256,'Mitra per Bulan'!$B$2:$B800,0))</f>
        <v>1</v>
      </c>
      <c r="E256" s="10" t="str">
        <f t="array" ref="E256">INDEX('Database Mitra'!$A$2:$A800,MATCH(A256,'Database Mitra'!$B$2:$B800,0))</f>
        <v>Feri Firdaus</v>
      </c>
      <c r="F256" s="65" t="s">
        <v>25</v>
      </c>
      <c r="G256" s="5" t="str">
        <f t="array" ref="G256">INDEX('Database Mitra'!$G$2:$G800,MATCH(A256,'Database Mitra'!$B$2:$B800,0))</f>
        <v>6102150412880001</v>
      </c>
      <c r="H256" s="64" t="s">
        <v>84</v>
      </c>
      <c r="I256" s="65" t="str">
        <f t="shared" si="14"/>
        <v>KSA24-LAPANGAN-MARET-PPL-KSA PADI</v>
      </c>
      <c r="J256" s="10" t="str">
        <f t="array" ref="J256">INDEX(Honor!$H$2:$H800,MATCH($I256,Honor!$A$2:$A800,0))</f>
        <v>Segmen</v>
      </c>
      <c r="K256" s="66">
        <f t="array" ref="K256">INDEX(Honor!$I$2:$I800,MATCH($I256,Honor!$A$2:$A800,0))</f>
        <v>116000</v>
      </c>
      <c r="L256" s="64">
        <v>3</v>
      </c>
      <c r="M256" s="10">
        <f t="shared" si="0"/>
        <v>348000</v>
      </c>
      <c r="O256" s="67">
        <f t="array" ref="O256">INDEX(Honor!$L$2:$L800,MATCH($I256,Honor!$A$2:$A800,0))</f>
        <v>45382</v>
      </c>
      <c r="P256" s="10">
        <f t="shared" si="1"/>
        <v>2024</v>
      </c>
      <c r="Q256" s="10">
        <f t="shared" si="2"/>
        <v>3</v>
      </c>
      <c r="R256" s="10" t="str">
        <f t="array" ref="R256">INDEX(Honor!$Q$2:$Q800,MATCH($I256,Honor!$A$2:$A800,0))</f>
        <v>SURVEI-PPL</v>
      </c>
      <c r="S256" s="10" t="str">
        <f t="shared" si="3"/>
        <v>610422100176-2024-3</v>
      </c>
      <c r="T256" s="10" t="str">
        <f t="shared" si="4"/>
        <v>610422100176-2024-3-SURVEI-PPL</v>
      </c>
      <c r="U256" s="64">
        <v>1</v>
      </c>
      <c r="V256" s="10" t="e">
        <f t="array" aca="1" ref="V256" ca="1">INDEX(Honor!$O$2:$O800,MATCH($I256,Honor!$A$2:$A800,0))</f>
        <v>#NAME?</v>
      </c>
      <c r="W256" s="68">
        <v>45419</v>
      </c>
      <c r="X256" s="7" t="str">
        <f t="array" ref="X256">INDEX('Input Kegiatan'!$B$2:$B800,MATCH(B256,'Input Kegiatan'!$A$2:$A800,0))</f>
        <v>Kerangka Sampel Area (KSA) 2024 Maret</v>
      </c>
      <c r="Y256" s="7" t="s">
        <v>3715</v>
      </c>
      <c r="Z256" s="7" t="s">
        <v>3765</v>
      </c>
      <c r="AA256" s="68">
        <f t="shared" si="5"/>
        <v>45351</v>
      </c>
      <c r="AB256" s="68">
        <f t="shared" si="6"/>
        <v>45352</v>
      </c>
      <c r="AC256" s="68">
        <f t="shared" si="7"/>
        <v>45382</v>
      </c>
      <c r="AD256" s="68">
        <f t="shared" si="8"/>
        <v>45381</v>
      </c>
      <c r="AE256" s="68">
        <f t="shared" si="9"/>
        <v>45382</v>
      </c>
    </row>
    <row r="257" spans="1:31" ht="12.5">
      <c r="A257" s="125">
        <v>610423110183</v>
      </c>
      <c r="B257" s="64" t="s">
        <v>30</v>
      </c>
      <c r="D257" s="10">
        <f t="array" aca="1" ref="D257" ca="1">INDEX('Mitra per Bulan'!$M$2:$M800,MATCH(S257,'Mitra per Bulan'!$B$2:$B800,0))</f>
        <v>1</v>
      </c>
      <c r="E257" s="10" t="str">
        <f t="array" ref="E257">INDEX('Database Mitra'!$A$2:$A800,MATCH(A257,'Database Mitra'!$B$2:$B800,0))</f>
        <v>Azhar</v>
      </c>
      <c r="F257" s="65" t="s">
        <v>25</v>
      </c>
      <c r="G257" s="5" t="str">
        <f t="array" ref="G257">INDEX('Database Mitra'!$G$2:$G800,MATCH(A257,'Database Mitra'!$B$2:$B800,0))</f>
        <v>6102081211790004</v>
      </c>
      <c r="H257" s="64" t="s">
        <v>84</v>
      </c>
      <c r="I257" s="65" t="str">
        <f t="shared" si="14"/>
        <v>KSA24-LAPANGAN-MARET-PPL-KSA PADI</v>
      </c>
      <c r="J257" s="10" t="str">
        <f t="array" ref="J257">INDEX(Honor!$H$2:$H800,MATCH($I257,Honor!$A$2:$A800,0))</f>
        <v>Segmen</v>
      </c>
      <c r="K257" s="66">
        <f t="array" ref="K257">INDEX(Honor!$I$2:$I800,MATCH($I257,Honor!$A$2:$A800,0))</f>
        <v>116000</v>
      </c>
      <c r="L257" s="64">
        <v>6</v>
      </c>
      <c r="M257" s="10">
        <f t="shared" si="0"/>
        <v>696000</v>
      </c>
      <c r="O257" s="67">
        <f t="array" ref="O257">INDEX(Honor!$L$2:$L800,MATCH($I257,Honor!$A$2:$A800,0))</f>
        <v>45382</v>
      </c>
      <c r="P257" s="10">
        <f t="shared" si="1"/>
        <v>2024</v>
      </c>
      <c r="Q257" s="10">
        <f t="shared" si="2"/>
        <v>3</v>
      </c>
      <c r="R257" s="10" t="str">
        <f t="array" ref="R257">INDEX(Honor!$Q$2:$Q800,MATCH($I257,Honor!$A$2:$A800,0))</f>
        <v>SURVEI-PPL</v>
      </c>
      <c r="S257" s="10" t="str">
        <f t="shared" si="3"/>
        <v>610423110183-2024-3</v>
      </c>
      <c r="T257" s="10" t="str">
        <f t="shared" si="4"/>
        <v>610423110183-2024-3-SURVEI-PPL</v>
      </c>
      <c r="U257" s="64">
        <v>1</v>
      </c>
      <c r="V257" s="10" t="e">
        <f t="array" aca="1" ref="V257" ca="1">INDEX(Honor!$O$2:$O800,MATCH($I257,Honor!$A$2:$A800,0))</f>
        <v>#NAME?</v>
      </c>
      <c r="W257" s="68">
        <v>45419</v>
      </c>
      <c r="X257" s="7" t="str">
        <f t="array" ref="X257">INDEX('Input Kegiatan'!$B$2:$B800,MATCH(B257,'Input Kegiatan'!$A$2:$A800,0))</f>
        <v>Kerangka Sampel Area (KSA) 2024 Maret</v>
      </c>
      <c r="Y257" s="7" t="s">
        <v>3241</v>
      </c>
      <c r="Z257" s="7" t="s">
        <v>3242</v>
      </c>
      <c r="AA257" s="68">
        <f t="shared" si="5"/>
        <v>45351</v>
      </c>
      <c r="AB257" s="68">
        <f t="shared" si="6"/>
        <v>45352</v>
      </c>
      <c r="AC257" s="68">
        <f t="shared" si="7"/>
        <v>45382</v>
      </c>
      <c r="AD257" s="68">
        <f t="shared" si="8"/>
        <v>45381</v>
      </c>
      <c r="AE257" s="68">
        <f t="shared" si="9"/>
        <v>45382</v>
      </c>
    </row>
    <row r="258" spans="1:31" ht="12.5">
      <c r="A258" s="125">
        <v>610423040018</v>
      </c>
      <c r="B258" s="64" t="s">
        <v>30</v>
      </c>
      <c r="D258" s="10">
        <f t="array" aca="1" ref="D258" ca="1">INDEX('Mitra per Bulan'!$M$2:$M800,MATCH(S258,'Mitra per Bulan'!$B$2:$B800,0))</f>
        <v>1</v>
      </c>
      <c r="E258" s="10" t="str">
        <f t="array" ref="E258">INDEX('Database Mitra'!$A$2:$A800,MATCH(A258,'Database Mitra'!$B$2:$B800,0))</f>
        <v>Handoko Tuah Sabarman Sipayung</v>
      </c>
      <c r="F258" s="64" t="s">
        <v>25</v>
      </c>
      <c r="G258" s="5" t="str">
        <f t="array" ref="G258">INDEX('Database Mitra'!$G$2:$G800,MATCH(A258,'Database Mitra'!$B$2:$B800,0))</f>
        <v>1212092309880001</v>
      </c>
      <c r="H258" s="64" t="s">
        <v>84</v>
      </c>
      <c r="I258" s="65" t="str">
        <f t="shared" si="14"/>
        <v>KSA24-LAPANGAN-MARET-PPL-KSA PADI</v>
      </c>
      <c r="J258" s="10" t="str">
        <f t="array" ref="J258">INDEX(Honor!$H$2:$H800,MATCH($I258,Honor!$A$2:$A800,0))</f>
        <v>Segmen</v>
      </c>
      <c r="K258" s="66">
        <f t="array" ref="K258">INDEX(Honor!$I$2:$I800,MATCH($I258,Honor!$A$2:$A800,0))</f>
        <v>116000</v>
      </c>
      <c r="L258" s="64">
        <v>4</v>
      </c>
      <c r="M258" s="10">
        <f t="shared" si="0"/>
        <v>464000</v>
      </c>
      <c r="O258" s="67">
        <f t="array" ref="O258">INDEX(Honor!$L$2:$L800,MATCH($I258,Honor!$A$2:$A800,0))</f>
        <v>45382</v>
      </c>
      <c r="P258" s="10">
        <f t="shared" si="1"/>
        <v>2024</v>
      </c>
      <c r="Q258" s="10">
        <f t="shared" si="2"/>
        <v>3</v>
      </c>
      <c r="R258" s="10" t="str">
        <f t="array" ref="R258">INDEX(Honor!$Q$2:$Q800,MATCH($I258,Honor!$A$2:$A800,0))</f>
        <v>SURVEI-PPL</v>
      </c>
      <c r="S258" s="10" t="str">
        <f t="shared" si="3"/>
        <v>610423040018-2024-3</v>
      </c>
      <c r="T258" s="10" t="str">
        <f t="shared" si="4"/>
        <v>610423040018-2024-3-SURVEI-PPL</v>
      </c>
      <c r="U258" s="64">
        <v>1</v>
      </c>
      <c r="V258" s="10" t="e">
        <f t="array" aca="1" ref="V258" ca="1">INDEX(Honor!$O$2:$O800,MATCH($I258,Honor!$A$2:$A800,0))</f>
        <v>#NAME?</v>
      </c>
      <c r="W258" s="68">
        <v>45419</v>
      </c>
      <c r="X258" s="7" t="str">
        <f t="array" ref="X258">INDEX('Input Kegiatan'!$B$2:$B800,MATCH(B258,'Input Kegiatan'!$A$2:$A800,0))</f>
        <v>Kerangka Sampel Area (KSA) 2024 Maret</v>
      </c>
      <c r="Y258" s="7" t="s">
        <v>5534</v>
      </c>
      <c r="Z258" s="7" t="s">
        <v>5647</v>
      </c>
      <c r="AA258" s="68">
        <f t="shared" si="5"/>
        <v>45351</v>
      </c>
      <c r="AB258" s="68">
        <f t="shared" si="6"/>
        <v>45352</v>
      </c>
      <c r="AC258" s="68">
        <f t="shared" si="7"/>
        <v>45382</v>
      </c>
      <c r="AD258" s="68">
        <f t="shared" si="8"/>
        <v>45381</v>
      </c>
      <c r="AE258" s="68">
        <f t="shared" si="9"/>
        <v>45382</v>
      </c>
    </row>
    <row r="259" spans="1:31" ht="12.5">
      <c r="A259" s="125">
        <v>610422040059</v>
      </c>
      <c r="B259" s="64" t="s">
        <v>30</v>
      </c>
      <c r="D259" s="10">
        <f t="array" aca="1" ref="D259" ca="1">INDEX('Mitra per Bulan'!$M$2:$M800,MATCH(S259,'Mitra per Bulan'!$B$2:$B800,0))</f>
        <v>1</v>
      </c>
      <c r="E259" s="10" t="str">
        <f t="array" ref="E259">INDEX('Database Mitra'!$A$2:$A800,MATCH(A259,'Database Mitra'!$B$2:$B800,0))</f>
        <v>Abang Handri</v>
      </c>
      <c r="F259" s="64" t="s">
        <v>25</v>
      </c>
      <c r="G259" s="5" t="str">
        <f t="array" ref="G259">INDEX('Database Mitra'!$G$2:$G800,MATCH(A259,'Database Mitra'!$B$2:$B800,0))</f>
        <v>6102072211780002</v>
      </c>
      <c r="H259" s="64" t="s">
        <v>85</v>
      </c>
      <c r="I259" s="65" t="str">
        <f t="shared" si="14"/>
        <v>KSA24-LAPANGAN-MARET-PPL-KSA JAGUNG</v>
      </c>
      <c r="J259" s="10" t="str">
        <f t="array" ref="J259">INDEX(Honor!$H$2:$H800,MATCH($I259,Honor!$A$2:$A800,0))</f>
        <v>Segmen</v>
      </c>
      <c r="K259" s="66">
        <f t="array" ref="K259">INDEX(Honor!$I$2:$I800,MATCH($I259,Honor!$A$2:$A800,0))</f>
        <v>59000</v>
      </c>
      <c r="L259" s="64">
        <v>6</v>
      </c>
      <c r="M259" s="10">
        <f t="shared" si="0"/>
        <v>354000</v>
      </c>
      <c r="O259" s="67">
        <f t="array" ref="O259">INDEX(Honor!$L$2:$L800,MATCH($I259,Honor!$A$2:$A800,0))</f>
        <v>45382</v>
      </c>
      <c r="P259" s="10">
        <f t="shared" si="1"/>
        <v>2024</v>
      </c>
      <c r="Q259" s="10">
        <f t="shared" si="2"/>
        <v>3</v>
      </c>
      <c r="R259" s="10" t="str">
        <f t="array" ref="R259">INDEX(Honor!$Q$2:$Q800,MATCH($I259,Honor!$A$2:$A800,0))</f>
        <v>SURVEI-PPL</v>
      </c>
      <c r="S259" s="10" t="str">
        <f t="shared" si="3"/>
        <v>610422040059-2024-3</v>
      </c>
      <c r="T259" s="10" t="str">
        <f t="shared" si="4"/>
        <v>610422040059-2024-3-SURVEI-PPL</v>
      </c>
      <c r="U259" s="64">
        <v>1</v>
      </c>
      <c r="V259" s="10" t="e">
        <f t="array" aca="1" ref="V259" ca="1">INDEX(Honor!$O$2:$O800,MATCH($I259,Honor!$A$2:$A800,0))</f>
        <v>#NAME?</v>
      </c>
      <c r="W259" s="68">
        <v>45419</v>
      </c>
      <c r="X259" s="7" t="str">
        <f t="array" ref="X259">INDEX('Input Kegiatan'!$B$2:$B800,MATCH(B259,'Input Kegiatan'!$A$2:$A800,0))</f>
        <v>Kerangka Sampel Area (KSA) 2024 Maret</v>
      </c>
      <c r="Y259" s="7" t="s">
        <v>4572</v>
      </c>
      <c r="Z259" s="7" t="s">
        <v>4656</v>
      </c>
      <c r="AA259" s="68">
        <f t="shared" si="5"/>
        <v>45351</v>
      </c>
      <c r="AB259" s="68">
        <f t="shared" si="6"/>
        <v>45352</v>
      </c>
      <c r="AC259" s="68">
        <f t="shared" si="7"/>
        <v>45382</v>
      </c>
      <c r="AD259" s="68">
        <f t="shared" si="8"/>
        <v>45381</v>
      </c>
      <c r="AE259" s="68">
        <f t="shared" si="9"/>
        <v>45382</v>
      </c>
    </row>
    <row r="260" spans="1:31" ht="12.5">
      <c r="A260" s="125">
        <v>610422020048</v>
      </c>
      <c r="B260" s="64" t="s">
        <v>30</v>
      </c>
      <c r="D260" s="10">
        <f t="array" aca="1" ref="D260" ca="1">INDEX('Mitra per Bulan'!$M$2:$M800,MATCH(S260,'Mitra per Bulan'!$B$2:$B800,0))</f>
        <v>1</v>
      </c>
      <c r="E260" s="10" t="str">
        <f t="array" ref="E260">INDEX('Database Mitra'!$A$2:$A800,MATCH(A260,'Database Mitra'!$B$2:$B800,0))</f>
        <v>Herri Gustaman</v>
      </c>
      <c r="F260" s="64" t="s">
        <v>25</v>
      </c>
      <c r="G260" s="5" t="str">
        <f t="array" ref="G260">INDEX('Database Mitra'!$G$2:$G800,MATCH(A260,'Database Mitra'!$B$2:$B800,0))</f>
        <v>6102072503800001</v>
      </c>
      <c r="H260" s="64" t="s">
        <v>85</v>
      </c>
      <c r="I260" s="65" t="str">
        <f t="shared" si="14"/>
        <v>KSA24-LAPANGAN-MARET-PPL-KSA JAGUNG</v>
      </c>
      <c r="J260" s="10" t="str">
        <f t="array" ref="J260">INDEX(Honor!$H$2:$H800,MATCH($I260,Honor!$A$2:$A800,0))</f>
        <v>Segmen</v>
      </c>
      <c r="K260" s="66">
        <f t="array" ref="K260">INDEX(Honor!$I$2:$I800,MATCH($I260,Honor!$A$2:$A800,0))</f>
        <v>59000</v>
      </c>
      <c r="L260" s="64">
        <v>6</v>
      </c>
      <c r="M260" s="10">
        <f t="shared" si="0"/>
        <v>354000</v>
      </c>
      <c r="O260" s="67">
        <f t="array" ref="O260">INDEX(Honor!$L$2:$L800,MATCH($I260,Honor!$A$2:$A800,0))</f>
        <v>45382</v>
      </c>
      <c r="P260" s="10">
        <f t="shared" si="1"/>
        <v>2024</v>
      </c>
      <c r="Q260" s="10">
        <f t="shared" si="2"/>
        <v>3</v>
      </c>
      <c r="R260" s="10" t="str">
        <f t="array" ref="R260">INDEX(Honor!$Q$2:$Q800,MATCH($I260,Honor!$A$2:$A800,0))</f>
        <v>SURVEI-PPL</v>
      </c>
      <c r="S260" s="10" t="str">
        <f t="shared" si="3"/>
        <v>610422020048-2024-3</v>
      </c>
      <c r="T260" s="10" t="str">
        <f t="shared" si="4"/>
        <v>610422020048-2024-3-SURVEI-PPL</v>
      </c>
      <c r="U260" s="64">
        <v>1</v>
      </c>
      <c r="V260" s="10" t="e">
        <f t="array" aca="1" ref="V260" ca="1">INDEX(Honor!$O$2:$O800,MATCH($I260,Honor!$A$2:$A800,0))</f>
        <v>#NAME?</v>
      </c>
      <c r="W260" s="68">
        <v>45419</v>
      </c>
      <c r="X260" s="7" t="str">
        <f t="array" ref="X260">INDEX('Input Kegiatan'!$B$2:$B800,MATCH(B260,'Input Kegiatan'!$A$2:$A800,0))</f>
        <v>Kerangka Sampel Area (KSA) 2024 Maret</v>
      </c>
      <c r="Y260" s="7" t="s">
        <v>4931</v>
      </c>
      <c r="Z260" s="7" t="s">
        <v>5171</v>
      </c>
      <c r="AA260" s="68">
        <f t="shared" si="5"/>
        <v>45351</v>
      </c>
      <c r="AB260" s="68">
        <f t="shared" si="6"/>
        <v>45352</v>
      </c>
      <c r="AC260" s="68">
        <f t="shared" si="7"/>
        <v>45382</v>
      </c>
      <c r="AD260" s="68">
        <f t="shared" si="8"/>
        <v>45381</v>
      </c>
      <c r="AE260" s="68">
        <f t="shared" si="9"/>
        <v>45382</v>
      </c>
    </row>
    <row r="261" spans="1:31" ht="12.5">
      <c r="A261" s="125">
        <v>610422040058</v>
      </c>
      <c r="B261" s="64" t="s">
        <v>30</v>
      </c>
      <c r="D261" s="10">
        <f t="array" aca="1" ref="D261" ca="1">INDEX('Mitra per Bulan'!$M$2:$M800,MATCH(S261,'Mitra per Bulan'!$B$2:$B800,0))</f>
        <v>1</v>
      </c>
      <c r="E261" s="10" t="str">
        <f t="array" ref="E261">INDEX('Database Mitra'!$A$2:$A800,MATCH(A261,'Database Mitra'!$B$2:$B800,0))</f>
        <v>Jamaluddin, Sp</v>
      </c>
      <c r="F261" s="64" t="s">
        <v>25</v>
      </c>
      <c r="G261" s="5" t="str">
        <f t="array" ref="G261">INDEX('Database Mitra'!$G$2:$G800,MATCH(A261,'Database Mitra'!$B$2:$B800,0))</f>
        <v>6102152607940002</v>
      </c>
      <c r="H261" s="64" t="s">
        <v>85</v>
      </c>
      <c r="I261" s="65" t="str">
        <f t="shared" si="14"/>
        <v>KSA24-LAPANGAN-MARET-PPL-KSA JAGUNG</v>
      </c>
      <c r="J261" s="10" t="str">
        <f t="array" ref="J261">INDEX(Honor!$H$2:$H800,MATCH($I261,Honor!$A$2:$A800,0))</f>
        <v>Segmen</v>
      </c>
      <c r="K261" s="66">
        <f t="array" ref="K261">INDEX(Honor!$I$2:$I800,MATCH($I261,Honor!$A$2:$A800,0))</f>
        <v>59000</v>
      </c>
      <c r="L261" s="64">
        <v>10</v>
      </c>
      <c r="M261" s="10">
        <f t="shared" si="0"/>
        <v>590000</v>
      </c>
      <c r="O261" s="67">
        <f t="array" ref="O261">INDEX(Honor!$L$2:$L800,MATCH($I261,Honor!$A$2:$A800,0))</f>
        <v>45382</v>
      </c>
      <c r="P261" s="10">
        <f t="shared" si="1"/>
        <v>2024</v>
      </c>
      <c r="Q261" s="10">
        <f t="shared" si="2"/>
        <v>3</v>
      </c>
      <c r="R261" s="10" t="str">
        <f t="array" ref="R261">INDEX(Honor!$Q$2:$Q800,MATCH($I261,Honor!$A$2:$A800,0))</f>
        <v>SURVEI-PPL</v>
      </c>
      <c r="S261" s="10" t="str">
        <f t="shared" si="3"/>
        <v>610422040058-2024-3</v>
      </c>
      <c r="T261" s="10" t="str">
        <f t="shared" si="4"/>
        <v>610422040058-2024-3-SURVEI-PPL</v>
      </c>
      <c r="U261" s="64">
        <v>1</v>
      </c>
      <c r="V261" s="10" t="e">
        <f t="array" aca="1" ref="V261" ca="1">INDEX(Honor!$O$2:$O800,MATCH($I261,Honor!$A$2:$A800,0))</f>
        <v>#NAME?</v>
      </c>
      <c r="W261" s="68">
        <v>45419</v>
      </c>
      <c r="X261" s="7" t="str">
        <f t="array" ref="X261">INDEX('Input Kegiatan'!$B$2:$B800,MATCH(B261,'Input Kegiatan'!$A$2:$A800,0))</f>
        <v>Kerangka Sampel Area (KSA) 2024 Maret</v>
      </c>
      <c r="Y261" s="7" t="s">
        <v>3715</v>
      </c>
      <c r="Z261" s="7" t="s">
        <v>3716</v>
      </c>
      <c r="AA261" s="68">
        <f t="shared" si="5"/>
        <v>45351</v>
      </c>
      <c r="AB261" s="68">
        <f t="shared" si="6"/>
        <v>45352</v>
      </c>
      <c r="AC261" s="68">
        <f t="shared" si="7"/>
        <v>45382</v>
      </c>
      <c r="AD261" s="68">
        <f t="shared" si="8"/>
        <v>45381</v>
      </c>
      <c r="AE261" s="68">
        <f t="shared" si="9"/>
        <v>45382</v>
      </c>
    </row>
    <row r="262" spans="1:31" ht="12.5">
      <c r="A262" s="125">
        <v>610423110183</v>
      </c>
      <c r="B262" s="64" t="s">
        <v>30</v>
      </c>
      <c r="D262" s="10">
        <f t="array" aca="1" ref="D262" ca="1">INDEX('Mitra per Bulan'!$M$2:$M800,MATCH(S262,'Mitra per Bulan'!$B$2:$B800,0))</f>
        <v>1</v>
      </c>
      <c r="E262" s="10" t="str">
        <f t="array" ref="E262">INDEX('Database Mitra'!$A$2:$A800,MATCH(A262,'Database Mitra'!$B$2:$B800,0))</f>
        <v>Azhar</v>
      </c>
      <c r="F262" s="64" t="s">
        <v>25</v>
      </c>
      <c r="G262" s="5" t="str">
        <f t="array" ref="G262">INDEX('Database Mitra'!$G$2:$G800,MATCH(A262,'Database Mitra'!$B$2:$B800,0))</f>
        <v>6102081211790004</v>
      </c>
      <c r="H262" s="64" t="s">
        <v>85</v>
      </c>
      <c r="I262" s="65" t="str">
        <f t="shared" si="14"/>
        <v>KSA24-LAPANGAN-MARET-PPL-KSA JAGUNG</v>
      </c>
      <c r="J262" s="10" t="str">
        <f t="array" ref="J262">INDEX(Honor!$H$2:$H800,MATCH($I262,Honor!$A$2:$A800,0))</f>
        <v>Segmen</v>
      </c>
      <c r="K262" s="66">
        <f t="array" ref="K262">INDEX(Honor!$I$2:$I800,MATCH($I262,Honor!$A$2:$A800,0))</f>
        <v>59000</v>
      </c>
      <c r="L262" s="64">
        <v>6</v>
      </c>
      <c r="M262" s="10">
        <f t="shared" si="0"/>
        <v>354000</v>
      </c>
      <c r="O262" s="67">
        <f t="array" ref="O262">INDEX(Honor!$L$2:$L800,MATCH($I262,Honor!$A$2:$A800,0))</f>
        <v>45382</v>
      </c>
      <c r="P262" s="10">
        <f t="shared" si="1"/>
        <v>2024</v>
      </c>
      <c r="Q262" s="10">
        <f t="shared" si="2"/>
        <v>3</v>
      </c>
      <c r="R262" s="10" t="str">
        <f t="array" ref="R262">INDEX(Honor!$Q$2:$Q800,MATCH($I262,Honor!$A$2:$A800,0))</f>
        <v>SURVEI-PPL</v>
      </c>
      <c r="S262" s="10" t="str">
        <f t="shared" si="3"/>
        <v>610423110183-2024-3</v>
      </c>
      <c r="T262" s="10" t="str">
        <f t="shared" si="4"/>
        <v>610423110183-2024-3-SURVEI-PPL</v>
      </c>
      <c r="U262" s="64">
        <v>1</v>
      </c>
      <c r="V262" s="10" t="e">
        <f t="array" aca="1" ref="V262" ca="1">INDEX(Honor!$O$2:$O800,MATCH($I262,Honor!$A$2:$A800,0))</f>
        <v>#NAME?</v>
      </c>
      <c r="W262" s="68">
        <v>45419</v>
      </c>
      <c r="X262" s="7" t="str">
        <f t="array" ref="X262">INDEX('Input Kegiatan'!$B$2:$B800,MATCH(B262,'Input Kegiatan'!$A$2:$A800,0))</f>
        <v>Kerangka Sampel Area (KSA) 2024 Maret</v>
      </c>
      <c r="Y262" s="7" t="s">
        <v>3241</v>
      </c>
      <c r="Z262" s="7" t="s">
        <v>3242</v>
      </c>
      <c r="AA262" s="68">
        <f t="shared" si="5"/>
        <v>45351</v>
      </c>
      <c r="AB262" s="68">
        <f t="shared" si="6"/>
        <v>45352</v>
      </c>
      <c r="AC262" s="68">
        <f t="shared" si="7"/>
        <v>45382</v>
      </c>
      <c r="AD262" s="68">
        <f t="shared" si="8"/>
        <v>45381</v>
      </c>
      <c r="AE262" s="68">
        <f t="shared" si="9"/>
        <v>45382</v>
      </c>
    </row>
    <row r="263" spans="1:31" ht="12.5">
      <c r="A263" s="125">
        <v>610422100244</v>
      </c>
      <c r="B263" s="64" t="s">
        <v>30</v>
      </c>
      <c r="D263" s="10">
        <f t="array" aca="1" ref="D263" ca="1">INDEX('Mitra per Bulan'!$M$2:$M800,MATCH(S263,'Mitra per Bulan'!$B$2:$B800,0))</f>
        <v>1</v>
      </c>
      <c r="E263" s="10" t="str">
        <f t="array" ref="E263">INDEX('Database Mitra'!$A$2:$A800,MATCH(A263,'Database Mitra'!$B$2:$B800,0))</f>
        <v>Sugianto</v>
      </c>
      <c r="F263" s="64" t="s">
        <v>25</v>
      </c>
      <c r="G263" s="5" t="str">
        <f t="array" ref="G263">INDEX('Database Mitra'!$G$2:$G800,MATCH(A263,'Database Mitra'!$B$2:$B800,0))</f>
        <v>6102171003900002</v>
      </c>
      <c r="H263" s="64" t="s">
        <v>85</v>
      </c>
      <c r="I263" s="65" t="str">
        <f t="shared" si="14"/>
        <v>KSA24-LAPANGAN-MARET-PPL-KSA JAGUNG</v>
      </c>
      <c r="J263" s="10" t="str">
        <f t="array" ref="J263">INDEX(Honor!$H$2:$H800,MATCH($I263,Honor!$A$2:$A800,0))</f>
        <v>Segmen</v>
      </c>
      <c r="K263" s="66">
        <f t="array" ref="K263">INDEX(Honor!$I$2:$I800,MATCH($I263,Honor!$A$2:$A800,0))</f>
        <v>59000</v>
      </c>
      <c r="L263" s="64">
        <v>8</v>
      </c>
      <c r="M263" s="10">
        <f t="shared" si="0"/>
        <v>472000</v>
      </c>
      <c r="O263" s="67">
        <f t="array" ref="O263">INDEX(Honor!$L$2:$L800,MATCH($I263,Honor!$A$2:$A800,0))</f>
        <v>45382</v>
      </c>
      <c r="P263" s="10">
        <f t="shared" si="1"/>
        <v>2024</v>
      </c>
      <c r="Q263" s="10">
        <f t="shared" si="2"/>
        <v>3</v>
      </c>
      <c r="R263" s="10" t="str">
        <f t="array" ref="R263">INDEX(Honor!$Q$2:$Q800,MATCH($I263,Honor!$A$2:$A800,0))</f>
        <v>SURVEI-PPL</v>
      </c>
      <c r="S263" s="10" t="str">
        <f t="shared" si="3"/>
        <v>610422100244-2024-3</v>
      </c>
      <c r="T263" s="10" t="str">
        <f t="shared" si="4"/>
        <v>610422100244-2024-3-SURVEI-PPL</v>
      </c>
      <c r="U263" s="64">
        <v>1</v>
      </c>
      <c r="V263" s="10" t="e">
        <f t="array" aca="1" ref="V263" ca="1">INDEX(Honor!$O$2:$O800,MATCH($I263,Honor!$A$2:$A800,0))</f>
        <v>#NAME?</v>
      </c>
      <c r="W263" s="68">
        <v>45419</v>
      </c>
      <c r="X263" s="7" t="str">
        <f t="array" ref="X263">INDEX('Input Kegiatan'!$B$2:$B800,MATCH(B263,'Input Kegiatan'!$A$2:$A800,0))</f>
        <v>Kerangka Sampel Area (KSA) 2024 Maret</v>
      </c>
      <c r="Y263" s="7" t="s">
        <v>5741</v>
      </c>
      <c r="Z263" s="7" t="s">
        <v>5796</v>
      </c>
      <c r="AA263" s="68">
        <f t="shared" si="5"/>
        <v>45351</v>
      </c>
      <c r="AB263" s="68">
        <f t="shared" si="6"/>
        <v>45352</v>
      </c>
      <c r="AC263" s="68">
        <f t="shared" si="7"/>
        <v>45382</v>
      </c>
      <c r="AD263" s="68">
        <f t="shared" si="8"/>
        <v>45381</v>
      </c>
      <c r="AE263" s="68">
        <f t="shared" si="9"/>
        <v>45382</v>
      </c>
    </row>
    <row r="264" spans="1:31" ht="12.5">
      <c r="A264" s="125">
        <v>610422100129</v>
      </c>
      <c r="B264" s="64" t="s">
        <v>126</v>
      </c>
      <c r="D264" s="10">
        <f t="array" aca="1" ref="D264" ca="1">INDEX('Mitra per Bulan'!$M$2:$M800,MATCH(S264,'Mitra per Bulan'!$B$2:$B800,0))</f>
        <v>1</v>
      </c>
      <c r="E264" s="10" t="str">
        <f t="array" ref="E264">INDEX('Database Mitra'!$A$2:$A800,MATCH(A264,'Database Mitra'!$B$2:$B800,0))</f>
        <v>Andre</v>
      </c>
      <c r="F264" s="64" t="s">
        <v>25</v>
      </c>
      <c r="G264" s="5" t="str">
        <f t="array" ref="G264">INDEX('Database Mitra'!$G$2:$G800,MATCH(A264,'Database Mitra'!$B$2:$B800,0))</f>
        <v>6102121606980001</v>
      </c>
      <c r="H264" s="64" t="s">
        <v>67</v>
      </c>
      <c r="I264" s="65" t="s">
        <v>127</v>
      </c>
      <c r="J264" s="10" t="str">
        <f t="array" ref="J264">INDEX(Honor!$H$2:$H800,MATCH($I264,Honor!$A$2:$A800,0))</f>
        <v>Dokumen</v>
      </c>
      <c r="K264" s="66">
        <f t="array" ref="K264">INDEX(Honor!$I$2:$I800,MATCH($I264,Honor!$A$2:$A800,0))</f>
        <v>60000</v>
      </c>
      <c r="L264" s="64">
        <v>3</v>
      </c>
      <c r="M264" s="10">
        <f t="shared" si="0"/>
        <v>180000</v>
      </c>
      <c r="N264" s="70"/>
      <c r="O264" s="67">
        <f t="array" ref="O264">INDEX(Honor!$L$2:$L800,MATCH($I264,Honor!$A$2:$A800,0))</f>
        <v>45383</v>
      </c>
      <c r="P264" s="10">
        <f t="shared" si="1"/>
        <v>2024</v>
      </c>
      <c r="Q264" s="10">
        <f t="shared" si="2"/>
        <v>4</v>
      </c>
      <c r="R264" s="10" t="str">
        <f t="array" ref="R264">INDEX(Honor!$Q$2:$Q800,MATCH($I264,Honor!$A$2:$A800,0))</f>
        <v>SURVEI-PPL</v>
      </c>
      <c r="S264" s="10" t="str">
        <f t="shared" si="3"/>
        <v>610422100129-2024-4</v>
      </c>
      <c r="T264" s="10" t="str">
        <f t="shared" si="4"/>
        <v>610422100129-2024-4-SURVEI-PPL</v>
      </c>
      <c r="U264" s="64">
        <v>1</v>
      </c>
      <c r="V264" s="10" t="e">
        <f t="array" aca="1" ref="V264" ca="1">INDEX(Honor!$O$2:$O800,MATCH($I264,Honor!$A$2:$A800,0))</f>
        <v>#NAME?</v>
      </c>
      <c r="W264" s="67"/>
      <c r="X264" s="7" t="str">
        <f t="array" ref="X264">INDEX('Input Kegiatan'!$B$2:$B800,MATCH(B264,'Input Kegiatan'!$A$2:$A800,0))</f>
        <v>Survei Perusahaan Konstruksi Triwulan (SKTR) 2024</v>
      </c>
      <c r="Y264" s="7" t="s">
        <v>5250</v>
      </c>
      <c r="Z264" s="7" t="s">
        <v>5304</v>
      </c>
      <c r="AA264" s="68">
        <f t="shared" si="5"/>
        <v>45382</v>
      </c>
      <c r="AB264" s="68">
        <f t="shared" si="6"/>
        <v>45383</v>
      </c>
      <c r="AC264" s="68">
        <f t="shared" si="7"/>
        <v>45412</v>
      </c>
      <c r="AD264" s="68">
        <f t="shared" si="8"/>
        <v>45411</v>
      </c>
      <c r="AE264" s="68">
        <f t="shared" si="9"/>
        <v>45412</v>
      </c>
    </row>
    <row r="265" spans="1:31" ht="12.5">
      <c r="A265" s="125">
        <v>610422030002</v>
      </c>
      <c r="B265" s="65" t="s">
        <v>128</v>
      </c>
      <c r="D265" s="10">
        <f t="array" aca="1" ref="D265" ca="1">INDEX('Mitra per Bulan'!$M$2:$M800,MATCH(S265,'Mitra per Bulan'!$B$2:$B800,0))</f>
        <v>1</v>
      </c>
      <c r="E265" s="10" t="str">
        <f t="array" ref="E265">INDEX('Database Mitra'!$A$2:$A800,MATCH(A265,'Database Mitra'!$B$2:$B800,0))</f>
        <v>Deti Erni Widiastuti</v>
      </c>
      <c r="F265" s="64" t="s">
        <v>25</v>
      </c>
      <c r="G265" s="5" t="str">
        <f t="array" ref="G265">INDEX('Database Mitra'!$G$2:$G800,MATCH(A265,'Database Mitra'!$B$2:$B800,0))</f>
        <v>6102016712860001</v>
      </c>
      <c r="H265" s="64" t="s">
        <v>67</v>
      </c>
      <c r="I265" s="65" t="s">
        <v>129</v>
      </c>
      <c r="J265" s="10" t="str">
        <f t="array" ref="J265">INDEX(Honor!$H$2:$H800,MATCH($I265,Honor!$A$2:$A800,0))</f>
        <v>Dokumen</v>
      </c>
      <c r="K265" s="66">
        <f t="array" ref="K265">INDEX(Honor!$I$2:$I800,MATCH($I265,Honor!$A$2:$A800,0))</f>
        <v>50000</v>
      </c>
      <c r="L265" s="64">
        <v>15</v>
      </c>
      <c r="M265" s="10">
        <f t="shared" si="0"/>
        <v>750000</v>
      </c>
      <c r="O265" s="67">
        <f t="array" ref="O265">INDEX(Honor!$L$2:$L800,MATCH($I265,Honor!$A$2:$A800,0))</f>
        <v>45402</v>
      </c>
      <c r="P265" s="10">
        <f t="shared" si="1"/>
        <v>2024</v>
      </c>
      <c r="Q265" s="10">
        <f t="shared" si="2"/>
        <v>4</v>
      </c>
      <c r="R265" s="10" t="str">
        <f t="array" ref="R265">INDEX(Honor!$Q$2:$Q800,MATCH($I265,Honor!$A$2:$A800,0))</f>
        <v>SURVEI-PPL</v>
      </c>
      <c r="S265" s="10" t="str">
        <f t="shared" si="3"/>
        <v>610422030002-2024-4</v>
      </c>
      <c r="T265" s="10" t="str">
        <f t="shared" si="4"/>
        <v>610422030002-2024-4-SURVEI-PPL</v>
      </c>
      <c r="U265" s="64">
        <v>1</v>
      </c>
      <c r="V265" s="10" t="e">
        <f t="array" aca="1" ref="V265" ca="1">INDEX(Honor!$O$2:$O800,MATCH($I265,Honor!$A$2:$A800,0))</f>
        <v>#NAME?</v>
      </c>
      <c r="W265" s="67"/>
      <c r="X265" s="7" t="str">
        <f t="array" ref="X265">INDEX('Input Kegiatan'!$B$2:$B800,MATCH(B265,'Input Kegiatan'!$A$2:$A800,0))</f>
        <v>Survei Harga Perdagangan Besar (SHPB24) April</v>
      </c>
      <c r="Y265" s="7" t="s">
        <v>3715</v>
      </c>
      <c r="Z265" s="7" t="s">
        <v>3716</v>
      </c>
      <c r="AA265" s="68">
        <f t="shared" si="5"/>
        <v>45382</v>
      </c>
      <c r="AB265" s="68">
        <f t="shared" si="6"/>
        <v>45383</v>
      </c>
      <c r="AC265" s="68">
        <f t="shared" si="7"/>
        <v>45412</v>
      </c>
      <c r="AD265" s="68">
        <f t="shared" si="8"/>
        <v>45411</v>
      </c>
      <c r="AE265" s="68">
        <f t="shared" si="9"/>
        <v>45412</v>
      </c>
    </row>
    <row r="266" spans="1:31" ht="12.5">
      <c r="A266" s="125">
        <v>610422100244</v>
      </c>
      <c r="B266" s="64" t="s">
        <v>130</v>
      </c>
      <c r="D266" s="10">
        <f t="array" aca="1" ref="D266" ca="1">INDEX('Mitra per Bulan'!$M$2:$M800,MATCH(S266,'Mitra per Bulan'!$B$2:$B800,0))</f>
        <v>1</v>
      </c>
      <c r="E266" s="10" t="str">
        <f t="array" ref="E266">INDEX('Database Mitra'!$A$2:$A800,MATCH(A266,'Database Mitra'!$B$2:$B800,0))</f>
        <v>Sugianto</v>
      </c>
      <c r="F266" s="64" t="s">
        <v>25</v>
      </c>
      <c r="G266" s="5" t="str">
        <f t="array" ref="G266">INDEX('Database Mitra'!$G$2:$G800,MATCH(A266,'Database Mitra'!$B$2:$B800,0))</f>
        <v>6102171003900002</v>
      </c>
      <c r="H266" s="64" t="s">
        <v>67</v>
      </c>
      <c r="I266" s="65" t="s">
        <v>131</v>
      </c>
      <c r="J266" s="10" t="str">
        <f t="array" ref="J266">INDEX(Honor!$H$2:$H800,MATCH($I266,Honor!$A$2:$A800,0))</f>
        <v>Dokumen</v>
      </c>
      <c r="K266" s="66">
        <f t="array" ref="K266">INDEX(Honor!$I$2:$I800,MATCH($I266,Honor!$A$2:$A800,0))</f>
        <v>50000</v>
      </c>
      <c r="L266" s="64">
        <v>1</v>
      </c>
      <c r="M266" s="10">
        <f t="shared" si="0"/>
        <v>50000</v>
      </c>
      <c r="O266" s="67">
        <f t="array" ref="O266">INDEX(Honor!$L$2:$L800,MATCH($I266,Honor!$A$2:$A800,0))</f>
        <v>45402</v>
      </c>
      <c r="P266" s="10">
        <f t="shared" si="1"/>
        <v>2024</v>
      </c>
      <c r="Q266" s="10">
        <f t="shared" si="2"/>
        <v>4</v>
      </c>
      <c r="R266" s="10" t="str">
        <f t="array" ref="R266">INDEX(Honor!$Q$2:$Q800,MATCH($I266,Honor!$A$2:$A800,0))</f>
        <v>SURVEI-PPL</v>
      </c>
      <c r="S266" s="10" t="str">
        <f t="shared" si="3"/>
        <v>610422100244-2024-4</v>
      </c>
      <c r="T266" s="10" t="str">
        <f t="shared" si="4"/>
        <v>610422100244-2024-4-SURVEI-PPL</v>
      </c>
      <c r="U266" s="64">
        <v>1</v>
      </c>
      <c r="V266" s="10" t="e">
        <f t="array" aca="1" ref="V266" ca="1">INDEX(Honor!$O$2:$O800,MATCH($I266,Honor!$A$2:$A800,0))</f>
        <v>#NAME?</v>
      </c>
      <c r="W266" s="67"/>
      <c r="X266" s="7" t="str">
        <f t="array" ref="X266">INDEX('Input Kegiatan'!$B$2:$B800,MATCH(B266,'Input Kegiatan'!$A$2:$A800,0))</f>
        <v>Survei Harga Produsen Gabah (HPG24) April</v>
      </c>
      <c r="Y266" s="7" t="s">
        <v>5741</v>
      </c>
      <c r="Z266" s="7" t="s">
        <v>5796</v>
      </c>
      <c r="AA266" s="68">
        <f t="shared" si="5"/>
        <v>45382</v>
      </c>
      <c r="AB266" s="68">
        <f t="shared" si="6"/>
        <v>45383</v>
      </c>
      <c r="AC266" s="68">
        <f t="shared" si="7"/>
        <v>45412</v>
      </c>
      <c r="AD266" s="68">
        <f t="shared" si="8"/>
        <v>45411</v>
      </c>
      <c r="AE266" s="68">
        <f t="shared" si="9"/>
        <v>45412</v>
      </c>
    </row>
    <row r="267" spans="1:31" ht="12.5">
      <c r="A267" s="125">
        <v>610422100124</v>
      </c>
      <c r="B267" s="64" t="s">
        <v>130</v>
      </c>
      <c r="D267" s="10">
        <f t="array" aca="1" ref="D267" ca="1">INDEX('Mitra per Bulan'!$M$2:$M800,MATCH(S267,'Mitra per Bulan'!$B$2:$B800,0))</f>
        <v>1</v>
      </c>
      <c r="E267" s="10" t="str">
        <f t="array" ref="E267">INDEX('Database Mitra'!$A$2:$A800,MATCH(A267,'Database Mitra'!$B$2:$B800,0))</f>
        <v>Prabowo</v>
      </c>
      <c r="F267" s="64" t="s">
        <v>25</v>
      </c>
      <c r="G267" s="5" t="str">
        <f t="array" ref="G267">INDEX('Database Mitra'!$G$2:$G800,MATCH(A267,'Database Mitra'!$B$2:$B800,0))</f>
        <v>6171010108790015</v>
      </c>
      <c r="H267" s="64" t="s">
        <v>67</v>
      </c>
      <c r="I267" s="65" t="s">
        <v>131</v>
      </c>
      <c r="J267" s="10" t="str">
        <f t="array" ref="J267">INDEX(Honor!$H$2:$H800,MATCH($I267,Honor!$A$2:$A800,0))</f>
        <v>Dokumen</v>
      </c>
      <c r="K267" s="66">
        <f t="array" ref="K267">INDEX(Honor!$I$2:$I800,MATCH($I267,Honor!$A$2:$A800,0))</f>
        <v>50000</v>
      </c>
      <c r="L267" s="64">
        <v>1</v>
      </c>
      <c r="M267" s="10">
        <f t="shared" si="0"/>
        <v>50000</v>
      </c>
      <c r="O267" s="67">
        <f t="array" ref="O267">INDEX(Honor!$L$2:$L800,MATCH($I267,Honor!$A$2:$A800,0))</f>
        <v>45402</v>
      </c>
      <c r="P267" s="10">
        <f t="shared" si="1"/>
        <v>2024</v>
      </c>
      <c r="Q267" s="10">
        <f t="shared" si="2"/>
        <v>4</v>
      </c>
      <c r="R267" s="10" t="str">
        <f t="array" ref="R267">INDEX(Honor!$Q$2:$Q800,MATCH($I267,Honor!$A$2:$A800,0))</f>
        <v>SURVEI-PPL</v>
      </c>
      <c r="S267" s="10" t="str">
        <f t="shared" si="3"/>
        <v>610422100124-2024-4</v>
      </c>
      <c r="T267" s="10" t="str">
        <f t="shared" si="4"/>
        <v>610422100124-2024-4-SURVEI-PPL</v>
      </c>
      <c r="U267" s="64">
        <v>1</v>
      </c>
      <c r="V267" s="10" t="e">
        <f t="array" aca="1" ref="V267" ca="1">INDEX(Honor!$O$2:$O800,MATCH($I267,Honor!$A$2:$A800,0))</f>
        <v>#NAME?</v>
      </c>
      <c r="W267" s="67"/>
      <c r="X267" s="7" t="str">
        <f t="array" ref="X267">INDEX('Input Kegiatan'!$B$2:$B800,MATCH(B267,'Input Kegiatan'!$A$2:$A800,0))</f>
        <v>Survei Harga Produsen Gabah (HPG24) April</v>
      </c>
      <c r="Y267" s="7" t="s">
        <v>1921</v>
      </c>
      <c r="Z267" s="7" t="s">
        <v>2140</v>
      </c>
      <c r="AA267" s="68">
        <f t="shared" si="5"/>
        <v>45382</v>
      </c>
      <c r="AB267" s="68">
        <f t="shared" si="6"/>
        <v>45383</v>
      </c>
      <c r="AC267" s="68">
        <f t="shared" si="7"/>
        <v>45412</v>
      </c>
      <c r="AD267" s="68">
        <f t="shared" si="8"/>
        <v>45411</v>
      </c>
      <c r="AE267" s="68">
        <f t="shared" si="9"/>
        <v>45412</v>
      </c>
    </row>
    <row r="268" spans="1:31" ht="12.5">
      <c r="A268" s="125">
        <v>610422040029</v>
      </c>
      <c r="B268" s="65" t="s">
        <v>132</v>
      </c>
      <c r="D268" s="10">
        <f t="array" aca="1" ref="D268" ca="1">INDEX('Mitra per Bulan'!$M$2:$M800,MATCH(S268,'Mitra per Bulan'!$B$2:$B800,0))</f>
        <v>1</v>
      </c>
      <c r="E268" s="10" t="str">
        <f t="array" ref="E268">INDEX('Database Mitra'!$A$2:$A800,MATCH(A268,'Database Mitra'!$B$2:$B800,0))</f>
        <v>Zaini</v>
      </c>
      <c r="F268" s="64" t="s">
        <v>25</v>
      </c>
      <c r="G268" s="5" t="str">
        <f t="array" ref="G268">INDEX('Database Mitra'!$G$2:$G800,MATCH(A268,'Database Mitra'!$B$2:$B800,0))</f>
        <v>6102010607870002</v>
      </c>
      <c r="H268" s="64" t="s">
        <v>67</v>
      </c>
      <c r="I268" s="65" t="s">
        <v>133</v>
      </c>
      <c r="J268" s="10" t="str">
        <f t="array" ref="J268">INDEX(Honor!$H$2:$H800,MATCH($I268,Honor!$A$2:$A800,0))</f>
        <v>Dokumen</v>
      </c>
      <c r="K268" s="66">
        <f t="array" ref="K268">INDEX(Honor!$I$2:$I800,MATCH($I268,Honor!$A$2:$A800,0))</f>
        <v>60000</v>
      </c>
      <c r="L268" s="64">
        <v>16</v>
      </c>
      <c r="M268" s="10">
        <f t="shared" si="0"/>
        <v>960000</v>
      </c>
      <c r="O268" s="67">
        <f t="array" ref="O268">INDEX(Honor!$L$2:$L800,MATCH($I268,Honor!$A$2:$A800,0))</f>
        <v>45402</v>
      </c>
      <c r="P268" s="10">
        <f t="shared" si="1"/>
        <v>2024</v>
      </c>
      <c r="Q268" s="10">
        <f t="shared" si="2"/>
        <v>4</v>
      </c>
      <c r="R268" s="10" t="str">
        <f t="array" ref="R268">INDEX(Honor!$Q$2:$Q800,MATCH($I268,Honor!$A$2:$A800,0))</f>
        <v>SURVEI-PPL</v>
      </c>
      <c r="S268" s="10" t="str">
        <f t="shared" si="3"/>
        <v>610422040029-2024-4</v>
      </c>
      <c r="T268" s="10" t="str">
        <f t="shared" si="4"/>
        <v>610422040029-2024-4-SURVEI-PPL</v>
      </c>
      <c r="U268" s="64">
        <v>1</v>
      </c>
      <c r="V268" s="10" t="e">
        <f t="array" aca="1" ref="V268" ca="1">INDEX(Honor!$O$2:$O800,MATCH($I268,Honor!$A$2:$A800,0))</f>
        <v>#NAME?</v>
      </c>
      <c r="W268" s="67"/>
      <c r="X268" s="7" t="str">
        <f t="array" ref="X268">INDEX('Input Kegiatan'!$B$2:$B800,MATCH(B268,'Input Kegiatan'!$A$2:$A800,0))</f>
        <v>Survei Harga Kemahalan Konstruksi (SHKK24) April</v>
      </c>
      <c r="Y268" s="7" t="s">
        <v>4572</v>
      </c>
      <c r="Z268" s="7" t="s">
        <v>4619</v>
      </c>
      <c r="AA268" s="68">
        <f t="shared" si="5"/>
        <v>45382</v>
      </c>
      <c r="AB268" s="68">
        <f t="shared" si="6"/>
        <v>45383</v>
      </c>
      <c r="AC268" s="68">
        <f t="shared" si="7"/>
        <v>45412</v>
      </c>
      <c r="AD268" s="68">
        <f t="shared" si="8"/>
        <v>45411</v>
      </c>
      <c r="AE268" s="68">
        <f t="shared" si="9"/>
        <v>45412</v>
      </c>
    </row>
    <row r="269" spans="1:31" ht="12.5">
      <c r="A269" s="125">
        <v>610422020048</v>
      </c>
      <c r="B269" s="65" t="s">
        <v>132</v>
      </c>
      <c r="D269" s="10">
        <f t="array" aca="1" ref="D269" ca="1">INDEX('Mitra per Bulan'!$M$2:$M800,MATCH(S269,'Mitra per Bulan'!$B$2:$B800,0))</f>
        <v>1</v>
      </c>
      <c r="E269" s="10" t="str">
        <f t="array" ref="E269">INDEX('Database Mitra'!$A$2:$A800,MATCH(A269,'Database Mitra'!$B$2:$B800,0))</f>
        <v>Herri Gustaman</v>
      </c>
      <c r="F269" s="64" t="s">
        <v>25</v>
      </c>
      <c r="G269" s="5" t="str">
        <f t="array" ref="G269">INDEX('Database Mitra'!$G$2:$G800,MATCH(A269,'Database Mitra'!$B$2:$B800,0))</f>
        <v>6102072503800001</v>
      </c>
      <c r="H269" s="64" t="s">
        <v>67</v>
      </c>
      <c r="I269" s="65" t="s">
        <v>133</v>
      </c>
      <c r="J269" s="10" t="str">
        <f t="array" ref="J269">INDEX(Honor!$H$2:$H800,MATCH($I269,Honor!$A$2:$A800,0))</f>
        <v>Dokumen</v>
      </c>
      <c r="K269" s="66">
        <f t="array" ref="K269">INDEX(Honor!$I$2:$I800,MATCH($I269,Honor!$A$2:$A800,0))</f>
        <v>60000</v>
      </c>
      <c r="L269" s="64">
        <v>10</v>
      </c>
      <c r="M269" s="10">
        <f t="shared" si="0"/>
        <v>600000</v>
      </c>
      <c r="O269" s="67">
        <f t="array" ref="O269">INDEX(Honor!$L$2:$L800,MATCH($I269,Honor!$A$2:$A800,0))</f>
        <v>45402</v>
      </c>
      <c r="P269" s="10">
        <f t="shared" si="1"/>
        <v>2024</v>
      </c>
      <c r="Q269" s="10">
        <f t="shared" si="2"/>
        <v>4</v>
      </c>
      <c r="R269" s="10" t="str">
        <f t="array" ref="R269">INDEX(Honor!$Q$2:$Q800,MATCH($I269,Honor!$A$2:$A800,0))</f>
        <v>SURVEI-PPL</v>
      </c>
      <c r="S269" s="10" t="str">
        <f t="shared" si="3"/>
        <v>610422020048-2024-4</v>
      </c>
      <c r="T269" s="10" t="str">
        <f t="shared" si="4"/>
        <v>610422020048-2024-4-SURVEI-PPL</v>
      </c>
      <c r="U269" s="64">
        <v>1</v>
      </c>
      <c r="V269" s="10" t="e">
        <f t="array" aca="1" ref="V269" ca="1">INDEX(Honor!$O$2:$O800,MATCH($I269,Honor!$A$2:$A800,0))</f>
        <v>#NAME?</v>
      </c>
      <c r="W269" s="67"/>
      <c r="X269" s="7" t="str">
        <f t="array" ref="X269">INDEX('Input Kegiatan'!$B$2:$B800,MATCH(B269,'Input Kegiatan'!$A$2:$A800,0))</f>
        <v>Survei Harga Kemahalan Konstruksi (SHKK24) April</v>
      </c>
      <c r="Y269" s="7" t="s">
        <v>4931</v>
      </c>
      <c r="Z269" s="7" t="s">
        <v>5171</v>
      </c>
      <c r="AA269" s="68">
        <f t="shared" si="5"/>
        <v>45382</v>
      </c>
      <c r="AB269" s="68">
        <f t="shared" si="6"/>
        <v>45383</v>
      </c>
      <c r="AC269" s="68">
        <f t="shared" si="7"/>
        <v>45412</v>
      </c>
      <c r="AD269" s="68">
        <f t="shared" si="8"/>
        <v>45411</v>
      </c>
      <c r="AE269" s="68">
        <f t="shared" si="9"/>
        <v>45412</v>
      </c>
    </row>
    <row r="270" spans="1:31" ht="12.5">
      <c r="A270" s="125">
        <v>610422100165</v>
      </c>
      <c r="B270" s="65" t="s">
        <v>132</v>
      </c>
      <c r="D270" s="10">
        <f t="array" aca="1" ref="D270" ca="1">INDEX('Mitra per Bulan'!$M$2:$M800,MATCH(S270,'Mitra per Bulan'!$B$2:$B800,0))</f>
        <v>1</v>
      </c>
      <c r="E270" s="10" t="str">
        <f t="array" ref="E270">INDEX('Database Mitra'!$A$2:$A800,MATCH(A270,'Database Mitra'!$B$2:$B800,0))</f>
        <v>Yanti</v>
      </c>
      <c r="F270" s="64" t="s">
        <v>25</v>
      </c>
      <c r="G270" s="5" t="str">
        <f t="array" ref="G270">INDEX('Database Mitra'!$G$2:$G800,MATCH(A270,'Database Mitra'!$B$2:$B800,0))</f>
        <v>6102074803980002</v>
      </c>
      <c r="H270" s="64" t="s">
        <v>67</v>
      </c>
      <c r="I270" s="65" t="s">
        <v>133</v>
      </c>
      <c r="J270" s="10" t="str">
        <f t="array" ref="J270">INDEX(Honor!$H$2:$H800,MATCH($I270,Honor!$A$2:$A800,0))</f>
        <v>Dokumen</v>
      </c>
      <c r="K270" s="66">
        <f t="array" ref="K270">INDEX(Honor!$I$2:$I800,MATCH($I270,Honor!$A$2:$A800,0))</f>
        <v>60000</v>
      </c>
      <c r="L270" s="64">
        <v>6</v>
      </c>
      <c r="M270" s="10">
        <f t="shared" si="0"/>
        <v>360000</v>
      </c>
      <c r="O270" s="67">
        <f t="array" ref="O270">INDEX(Honor!$L$2:$L800,MATCH($I270,Honor!$A$2:$A800,0))</f>
        <v>45402</v>
      </c>
      <c r="P270" s="10">
        <f t="shared" si="1"/>
        <v>2024</v>
      </c>
      <c r="Q270" s="10">
        <f t="shared" si="2"/>
        <v>4</v>
      </c>
      <c r="R270" s="10" t="str">
        <f t="array" ref="R270">INDEX(Honor!$Q$2:$Q800,MATCH($I270,Honor!$A$2:$A800,0))</f>
        <v>SURVEI-PPL</v>
      </c>
      <c r="S270" s="10" t="str">
        <f t="shared" si="3"/>
        <v>610422100165-2024-4</v>
      </c>
      <c r="T270" s="10" t="str">
        <f t="shared" si="4"/>
        <v>610422100165-2024-4-SURVEI-PPL</v>
      </c>
      <c r="U270" s="64">
        <v>1</v>
      </c>
      <c r="V270" s="10" t="e">
        <f t="array" aca="1" ref="V270" ca="1">INDEX(Honor!$O$2:$O800,MATCH($I270,Honor!$A$2:$A800,0))</f>
        <v>#NAME?</v>
      </c>
      <c r="W270" s="67"/>
      <c r="X270" s="7" t="str">
        <f t="array" ref="X270">INDEX('Input Kegiatan'!$B$2:$B800,MATCH(B270,'Input Kegiatan'!$A$2:$A800,0))</f>
        <v>Survei Harga Kemahalan Konstruksi (SHKK24) April</v>
      </c>
      <c r="Y270" s="7" t="s">
        <v>3990</v>
      </c>
      <c r="Z270" s="7" t="s">
        <v>4332</v>
      </c>
      <c r="AA270" s="68">
        <f t="shared" si="5"/>
        <v>45382</v>
      </c>
      <c r="AB270" s="68">
        <f t="shared" si="6"/>
        <v>45383</v>
      </c>
      <c r="AC270" s="68">
        <f t="shared" si="7"/>
        <v>45412</v>
      </c>
      <c r="AD270" s="68">
        <f t="shared" si="8"/>
        <v>45411</v>
      </c>
      <c r="AE270" s="68">
        <f t="shared" si="9"/>
        <v>45412</v>
      </c>
    </row>
    <row r="271" spans="1:31" ht="12.5">
      <c r="A271" s="125">
        <v>610422020052</v>
      </c>
      <c r="B271" s="65" t="s">
        <v>132</v>
      </c>
      <c r="D271" s="10">
        <f t="array" aca="1" ref="D271" ca="1">INDEX('Mitra per Bulan'!$M$2:$M800,MATCH(S271,'Mitra per Bulan'!$B$2:$B800,0))</f>
        <v>1</v>
      </c>
      <c r="E271" s="10" t="str">
        <f t="array" ref="E271">INDEX('Database Mitra'!$A$2:$A800,MATCH(A271,'Database Mitra'!$B$2:$B800,0))</f>
        <v>Agus Supriyanto</v>
      </c>
      <c r="F271" s="64" t="s">
        <v>25</v>
      </c>
      <c r="G271" s="5" t="str">
        <f t="array" ref="G271">INDEX('Database Mitra'!$G$2:$G800,MATCH(A271,'Database Mitra'!$B$2:$B800,0))</f>
        <v>6102071811790001</v>
      </c>
      <c r="H271" s="64" t="s">
        <v>67</v>
      </c>
      <c r="I271" s="65" t="s">
        <v>133</v>
      </c>
      <c r="J271" s="10" t="str">
        <f t="array" ref="J271">INDEX(Honor!$H$2:$H800,MATCH($I271,Honor!$A$2:$A800,0))</f>
        <v>Dokumen</v>
      </c>
      <c r="K271" s="66">
        <f t="array" ref="K271">INDEX(Honor!$I$2:$I800,MATCH($I271,Honor!$A$2:$A800,0))</f>
        <v>60000</v>
      </c>
      <c r="L271" s="64">
        <v>7</v>
      </c>
      <c r="M271" s="10">
        <f t="shared" si="0"/>
        <v>420000</v>
      </c>
      <c r="O271" s="67">
        <f t="array" ref="O271">INDEX(Honor!$L$2:$L800,MATCH($I271,Honor!$A$2:$A800,0))</f>
        <v>45402</v>
      </c>
      <c r="P271" s="10">
        <f t="shared" si="1"/>
        <v>2024</v>
      </c>
      <c r="Q271" s="10">
        <f t="shared" si="2"/>
        <v>4</v>
      </c>
      <c r="R271" s="10" t="str">
        <f t="array" ref="R271">INDEX(Honor!$Q$2:$Q800,MATCH($I271,Honor!$A$2:$A800,0))</f>
        <v>SURVEI-PPL</v>
      </c>
      <c r="S271" s="10" t="str">
        <f t="shared" si="3"/>
        <v>610422020052-2024-4</v>
      </c>
      <c r="T271" s="10" t="str">
        <f t="shared" si="4"/>
        <v>610422020052-2024-4-SURVEI-PPL</v>
      </c>
      <c r="U271" s="64">
        <v>1</v>
      </c>
      <c r="V271" s="10" t="e">
        <f t="array" aca="1" ref="V271" ca="1">INDEX(Honor!$O$2:$O800,MATCH($I271,Honor!$A$2:$A800,0))</f>
        <v>#NAME?</v>
      </c>
      <c r="W271" s="67"/>
      <c r="X271" s="7" t="str">
        <f t="array" ref="X271">INDEX('Input Kegiatan'!$B$2:$B800,MATCH(B271,'Input Kegiatan'!$A$2:$A800,0))</f>
        <v>Survei Harga Kemahalan Konstruksi (SHKK24) April</v>
      </c>
      <c r="Y271" s="7" t="s">
        <v>3990</v>
      </c>
      <c r="Z271" s="7" t="s">
        <v>4087</v>
      </c>
      <c r="AA271" s="68">
        <f t="shared" si="5"/>
        <v>45382</v>
      </c>
      <c r="AB271" s="68">
        <f t="shared" si="6"/>
        <v>45383</v>
      </c>
      <c r="AC271" s="68">
        <f t="shared" si="7"/>
        <v>45412</v>
      </c>
      <c r="AD271" s="68">
        <f t="shared" si="8"/>
        <v>45411</v>
      </c>
      <c r="AE271" s="68">
        <f t="shared" si="9"/>
        <v>45412</v>
      </c>
    </row>
    <row r="272" spans="1:31" ht="12.5">
      <c r="A272" s="125">
        <v>610422100016</v>
      </c>
      <c r="B272" s="65" t="s">
        <v>134</v>
      </c>
      <c r="D272" s="10">
        <f t="array" aca="1" ref="D272" ca="1">INDEX('Mitra per Bulan'!$M$2:$M800,MATCH(S272,'Mitra per Bulan'!$B$2:$B800,0))</f>
        <v>1</v>
      </c>
      <c r="E272" s="10" t="str">
        <f t="array" ref="E272">INDEX('Database Mitra'!$A$2:$A800,MATCH(A272,'Database Mitra'!$B$2:$B800,0))</f>
        <v>Amalia Faisya</v>
      </c>
      <c r="F272" s="64" t="s">
        <v>25</v>
      </c>
      <c r="G272" s="5" t="str">
        <f t="array" ref="G272">INDEX('Database Mitra'!$G$2:$G800,MATCH(A272,'Database Mitra'!$B$2:$B800,0))</f>
        <v>6102124210010005</v>
      </c>
      <c r="H272" s="64" t="s">
        <v>72</v>
      </c>
      <c r="I272" s="65" t="s">
        <v>135</v>
      </c>
      <c r="J272" s="10" t="str">
        <f t="array" ref="J272">INDEX(Honor!$H$2:$H800,MATCH($I272,Honor!$A$2:$A800,0))</f>
        <v>Dokumen</v>
      </c>
      <c r="K272" s="66">
        <f t="array" ref="K272">INDEX(Honor!$I$2:$I800,MATCH($I272,Honor!$A$2:$A800,0))</f>
        <v>65000</v>
      </c>
      <c r="L272" s="64">
        <v>3</v>
      </c>
      <c r="M272" s="10">
        <f t="shared" si="0"/>
        <v>195000</v>
      </c>
      <c r="O272" s="67">
        <f t="array" ref="O272">INDEX(Honor!$L$2:$L800,MATCH($I272,Honor!$A$2:$A800,0))</f>
        <v>45402</v>
      </c>
      <c r="P272" s="10">
        <f t="shared" si="1"/>
        <v>2024</v>
      </c>
      <c r="Q272" s="10">
        <f t="shared" si="2"/>
        <v>4</v>
      </c>
      <c r="R272" s="10" t="str">
        <f t="array" ref="R272">INDEX(Honor!$Q$2:$Q800,MATCH($I272,Honor!$A$2:$A800,0))</f>
        <v>SURVEI-PPL</v>
      </c>
      <c r="S272" s="10" t="str">
        <f t="shared" si="3"/>
        <v>610422100016-2024-4</v>
      </c>
      <c r="T272" s="10" t="str">
        <f t="shared" si="4"/>
        <v>610422100016-2024-4-SURVEI-PPL</v>
      </c>
      <c r="U272" s="64">
        <v>1</v>
      </c>
      <c r="V272" s="10" t="e">
        <f t="array" aca="1" ref="V272" ca="1">INDEX(Honor!$O$2:$O800,MATCH($I272,Honor!$A$2:$A800,0))</f>
        <v>#NAME?</v>
      </c>
      <c r="W272" s="67"/>
      <c r="X272" s="7" t="str">
        <f t="array" ref="X272">INDEX('Input Kegiatan'!$B$2:$B800,MATCH(B272,'Input Kegiatan'!$A$2:$A800,0))</f>
        <v>Survei Harga Perdesaan (SHPED24) April</v>
      </c>
      <c r="Y272" s="7" t="s">
        <v>5250</v>
      </c>
      <c r="Z272" s="7" t="s">
        <v>5365</v>
      </c>
      <c r="AA272" s="68">
        <f t="shared" si="5"/>
        <v>45382</v>
      </c>
      <c r="AB272" s="68">
        <f t="shared" si="6"/>
        <v>45383</v>
      </c>
      <c r="AC272" s="68">
        <f t="shared" si="7"/>
        <v>45412</v>
      </c>
      <c r="AD272" s="68">
        <f t="shared" si="8"/>
        <v>45411</v>
      </c>
      <c r="AE272" s="68">
        <f t="shared" si="9"/>
        <v>45412</v>
      </c>
    </row>
    <row r="273" spans="1:31" ht="12.5">
      <c r="A273" s="125">
        <v>610422050001</v>
      </c>
      <c r="B273" s="65" t="s">
        <v>134</v>
      </c>
      <c r="D273" s="10">
        <f t="array" aca="1" ref="D273" ca="1">INDEX('Mitra per Bulan'!$M$2:$M800,MATCH(S273,'Mitra per Bulan'!$B$2:$B800,0))</f>
        <v>1</v>
      </c>
      <c r="E273" s="10" t="str">
        <f t="array" ref="E273">INDEX('Database Mitra'!$A$2:$A800,MATCH(A273,'Database Mitra'!$B$2:$B800,0))</f>
        <v>Evi Juniarty</v>
      </c>
      <c r="F273" s="64" t="s">
        <v>25</v>
      </c>
      <c r="G273" s="5" t="str">
        <f t="array" ref="G273">INDEX('Database Mitra'!$G$2:$G800,MATCH(A273,'Database Mitra'!$B$2:$B800,0))</f>
        <v>6102165101840001</v>
      </c>
      <c r="H273" s="64" t="s">
        <v>72</v>
      </c>
      <c r="I273" s="65" t="s">
        <v>135</v>
      </c>
      <c r="J273" s="10" t="str">
        <f t="array" ref="J273">INDEX(Honor!$H$2:$H800,MATCH($I273,Honor!$A$2:$A800,0))</f>
        <v>Dokumen</v>
      </c>
      <c r="K273" s="66">
        <f t="array" ref="K273">INDEX(Honor!$I$2:$I800,MATCH($I273,Honor!$A$2:$A800,0))</f>
        <v>65000</v>
      </c>
      <c r="L273" s="64">
        <v>3</v>
      </c>
      <c r="M273" s="10">
        <f t="shared" si="0"/>
        <v>195000</v>
      </c>
      <c r="O273" s="67">
        <f t="array" ref="O273">INDEX(Honor!$L$2:$L800,MATCH($I273,Honor!$A$2:$A800,0))</f>
        <v>45402</v>
      </c>
      <c r="P273" s="10">
        <f t="shared" si="1"/>
        <v>2024</v>
      </c>
      <c r="Q273" s="10">
        <f t="shared" si="2"/>
        <v>4</v>
      </c>
      <c r="R273" s="10" t="str">
        <f t="array" ref="R273">INDEX(Honor!$Q$2:$Q800,MATCH($I273,Honor!$A$2:$A800,0))</f>
        <v>SURVEI-PPL</v>
      </c>
      <c r="S273" s="10" t="str">
        <f t="shared" si="3"/>
        <v>610422050001-2024-4</v>
      </c>
      <c r="T273" s="10" t="str">
        <f t="shared" si="4"/>
        <v>610422050001-2024-4-SURVEI-PPL</v>
      </c>
      <c r="U273" s="64">
        <v>1</v>
      </c>
      <c r="V273" s="10" t="e">
        <f t="array" aca="1" ref="V273" ca="1">INDEX(Honor!$O$2:$O800,MATCH($I273,Honor!$A$2:$A800,0))</f>
        <v>#NAME?</v>
      </c>
      <c r="W273" s="67"/>
      <c r="X273" s="7" t="str">
        <f t="array" ref="X273">INDEX('Input Kegiatan'!$B$2:$B800,MATCH(B273,'Input Kegiatan'!$A$2:$A800,0))</f>
        <v>Survei Harga Perdesaan (SHPED24) April</v>
      </c>
      <c r="Y273" s="7" t="s">
        <v>4408</v>
      </c>
      <c r="Z273" s="7" t="s">
        <v>4409</v>
      </c>
      <c r="AA273" s="68">
        <f t="shared" si="5"/>
        <v>45382</v>
      </c>
      <c r="AB273" s="68">
        <f t="shared" si="6"/>
        <v>45383</v>
      </c>
      <c r="AC273" s="68">
        <f t="shared" si="7"/>
        <v>45412</v>
      </c>
      <c r="AD273" s="68">
        <f t="shared" si="8"/>
        <v>45411</v>
      </c>
      <c r="AE273" s="68">
        <f t="shared" si="9"/>
        <v>45412</v>
      </c>
    </row>
    <row r="274" spans="1:31" ht="12.5">
      <c r="A274" s="125">
        <v>610422040030</v>
      </c>
      <c r="B274" s="65" t="s">
        <v>134</v>
      </c>
      <c r="D274" s="10">
        <f t="array" aca="1" ref="D274" ca="1">INDEX('Mitra per Bulan'!$M$2:$M800,MATCH(S274,'Mitra per Bulan'!$B$2:$B800,0))</f>
        <v>1</v>
      </c>
      <c r="E274" s="10" t="str">
        <f t="array" ref="E274">INDEX('Database Mitra'!$A$2:$A800,MATCH(A274,'Database Mitra'!$B$2:$B800,0))</f>
        <v>Syarifah Desti Pratiwi</v>
      </c>
      <c r="F274" s="64" t="s">
        <v>25</v>
      </c>
      <c r="G274" s="5" t="str">
        <f t="array" ref="G274">INDEX('Database Mitra'!$G$2:$G800,MATCH(A274,'Database Mitra'!$B$2:$B800,0))</f>
        <v>6102084512950002</v>
      </c>
      <c r="H274" s="64" t="s">
        <v>74</v>
      </c>
      <c r="I274" s="65" t="s">
        <v>136</v>
      </c>
      <c r="J274" s="10" t="str">
        <f t="array" ref="J274">INDEX(Honor!$H$2:$H800,MATCH($I274,Honor!$A$2:$A800,0))</f>
        <v>Dokumen</v>
      </c>
      <c r="K274" s="66">
        <f t="array" ref="K274">INDEX(Honor!$I$2:$I800,MATCH($I274,Honor!$A$2:$A800,0))</f>
        <v>55000</v>
      </c>
      <c r="L274" s="64">
        <v>1</v>
      </c>
      <c r="M274" s="10">
        <f t="shared" si="0"/>
        <v>55000</v>
      </c>
      <c r="O274" s="67">
        <f t="array" ref="O274">INDEX(Honor!$L$2:$L800,MATCH($I274,Honor!$A$2:$A800,0))</f>
        <v>45402</v>
      </c>
      <c r="P274" s="10">
        <f t="shared" si="1"/>
        <v>2024</v>
      </c>
      <c r="Q274" s="10">
        <f t="shared" si="2"/>
        <v>4</v>
      </c>
      <c r="R274" s="10" t="str">
        <f t="array" ref="R274">INDEX(Honor!$Q$2:$Q800,MATCH($I274,Honor!$A$2:$A800,0))</f>
        <v>SURVEI-PPL</v>
      </c>
      <c r="S274" s="10" t="str">
        <f t="shared" si="3"/>
        <v>610422040030-2024-4</v>
      </c>
      <c r="T274" s="10" t="str">
        <f t="shared" si="4"/>
        <v>610422040030-2024-4-SURVEI-PPL</v>
      </c>
      <c r="U274" s="64">
        <v>1</v>
      </c>
      <c r="V274" s="10" t="e">
        <f t="array" aca="1" ref="V274" ca="1">INDEX(Honor!$O$2:$O800,MATCH($I274,Honor!$A$2:$A800,0))</f>
        <v>#NAME?</v>
      </c>
      <c r="W274" s="67"/>
      <c r="X274" s="7" t="str">
        <f t="array" ref="X274">INDEX('Input Kegiatan'!$B$2:$B800,MATCH(B274,'Input Kegiatan'!$A$2:$A800,0))</f>
        <v>Survei Harga Perdesaan (SHPED24) April</v>
      </c>
      <c r="Y274" s="7" t="s">
        <v>3241</v>
      </c>
      <c r="Z274" s="7" t="s">
        <v>3289</v>
      </c>
      <c r="AA274" s="68">
        <f t="shared" si="5"/>
        <v>45382</v>
      </c>
      <c r="AB274" s="68">
        <f t="shared" si="6"/>
        <v>45383</v>
      </c>
      <c r="AC274" s="68">
        <f t="shared" si="7"/>
        <v>45412</v>
      </c>
      <c r="AD274" s="68">
        <f t="shared" si="8"/>
        <v>45411</v>
      </c>
      <c r="AE274" s="68">
        <f t="shared" si="9"/>
        <v>45412</v>
      </c>
    </row>
    <row r="275" spans="1:31" ht="12.5">
      <c r="A275" s="125">
        <v>610422100124</v>
      </c>
      <c r="B275" s="65" t="s">
        <v>134</v>
      </c>
      <c r="D275" s="10">
        <f t="array" aca="1" ref="D275" ca="1">INDEX('Mitra per Bulan'!$M$2:$M800,MATCH(S275,'Mitra per Bulan'!$B$2:$B800,0))</f>
        <v>1</v>
      </c>
      <c r="E275" s="10" t="str">
        <f t="array" ref="E275">INDEX('Database Mitra'!$A$2:$A800,MATCH(A275,'Database Mitra'!$B$2:$B800,0))</f>
        <v>Prabowo</v>
      </c>
      <c r="F275" s="64" t="s">
        <v>25</v>
      </c>
      <c r="G275" s="5" t="str">
        <f t="array" ref="G275">INDEX('Database Mitra'!$G$2:$G800,MATCH(A275,'Database Mitra'!$B$2:$B800,0))</f>
        <v>6171010108790015</v>
      </c>
      <c r="H275" s="64" t="s">
        <v>74</v>
      </c>
      <c r="I275" s="65" t="s">
        <v>136</v>
      </c>
      <c r="J275" s="10" t="str">
        <f t="array" ref="J275">INDEX(Honor!$H$2:$H800,MATCH($I275,Honor!$A$2:$A800,0))</f>
        <v>Dokumen</v>
      </c>
      <c r="K275" s="66">
        <f t="array" ref="K275">INDEX(Honor!$I$2:$I800,MATCH($I275,Honor!$A$2:$A800,0))</f>
        <v>55000</v>
      </c>
      <c r="L275" s="64">
        <v>3</v>
      </c>
      <c r="M275" s="10">
        <f t="shared" si="0"/>
        <v>165000</v>
      </c>
      <c r="O275" s="67">
        <f t="array" ref="O275">INDEX(Honor!$L$2:$L800,MATCH($I275,Honor!$A$2:$A800,0))</f>
        <v>45402</v>
      </c>
      <c r="P275" s="10">
        <f t="shared" si="1"/>
        <v>2024</v>
      </c>
      <c r="Q275" s="10">
        <f t="shared" si="2"/>
        <v>4</v>
      </c>
      <c r="R275" s="10" t="str">
        <f t="array" ref="R275">INDEX(Honor!$Q$2:$Q800,MATCH($I275,Honor!$A$2:$A800,0))</f>
        <v>SURVEI-PPL</v>
      </c>
      <c r="S275" s="10" t="str">
        <f t="shared" si="3"/>
        <v>610422100124-2024-4</v>
      </c>
      <c r="T275" s="10" t="str">
        <f t="shared" si="4"/>
        <v>610422100124-2024-4-SURVEI-PPL</v>
      </c>
      <c r="U275" s="64">
        <v>1</v>
      </c>
      <c r="V275" s="10" t="e">
        <f t="array" aca="1" ref="V275" ca="1">INDEX(Honor!$O$2:$O800,MATCH($I275,Honor!$A$2:$A800,0))</f>
        <v>#NAME?</v>
      </c>
      <c r="W275" s="67"/>
      <c r="X275" s="7" t="str">
        <f t="array" ref="X275">INDEX('Input Kegiatan'!$B$2:$B800,MATCH(B275,'Input Kegiatan'!$A$2:$A800,0))</f>
        <v>Survei Harga Perdesaan (SHPED24) April</v>
      </c>
      <c r="Y275" s="7" t="s">
        <v>1921</v>
      </c>
      <c r="Z275" s="7" t="s">
        <v>2140</v>
      </c>
      <c r="AA275" s="68">
        <f t="shared" si="5"/>
        <v>45382</v>
      </c>
      <c r="AB275" s="68">
        <f t="shared" si="6"/>
        <v>45383</v>
      </c>
      <c r="AC275" s="68">
        <f t="shared" si="7"/>
        <v>45412</v>
      </c>
      <c r="AD275" s="68">
        <f t="shared" si="8"/>
        <v>45411</v>
      </c>
      <c r="AE275" s="68">
        <f t="shared" si="9"/>
        <v>45412</v>
      </c>
    </row>
    <row r="276" spans="1:31" ht="12.5">
      <c r="A276" s="125">
        <v>610422100244</v>
      </c>
      <c r="B276" s="65" t="s">
        <v>134</v>
      </c>
      <c r="D276" s="10">
        <f t="array" aca="1" ref="D276" ca="1">INDEX('Mitra per Bulan'!$M$2:$M800,MATCH(S276,'Mitra per Bulan'!$B$2:$B800,0))</f>
        <v>1</v>
      </c>
      <c r="E276" s="10" t="str">
        <f t="array" ref="E276">INDEX('Database Mitra'!$A$2:$A800,MATCH(A276,'Database Mitra'!$B$2:$B800,0))</f>
        <v>Sugianto</v>
      </c>
      <c r="F276" s="64" t="s">
        <v>25</v>
      </c>
      <c r="G276" s="5" t="str">
        <f t="array" ref="G276">INDEX('Database Mitra'!$G$2:$G800,MATCH(A276,'Database Mitra'!$B$2:$B800,0))</f>
        <v>6102171003900002</v>
      </c>
      <c r="H276" s="64" t="s">
        <v>74</v>
      </c>
      <c r="I276" s="65" t="s">
        <v>136</v>
      </c>
      <c r="J276" s="10" t="str">
        <f t="array" ref="J276">INDEX(Honor!$H$2:$H800,MATCH($I276,Honor!$A$2:$A800,0))</f>
        <v>Dokumen</v>
      </c>
      <c r="K276" s="66">
        <f t="array" ref="K276">INDEX(Honor!$I$2:$I800,MATCH($I276,Honor!$A$2:$A800,0))</f>
        <v>55000</v>
      </c>
      <c r="L276" s="64">
        <v>2</v>
      </c>
      <c r="M276" s="10">
        <f t="shared" si="0"/>
        <v>110000</v>
      </c>
      <c r="O276" s="67">
        <f t="array" ref="O276">INDEX(Honor!$L$2:$L800,MATCH($I276,Honor!$A$2:$A800,0))</f>
        <v>45402</v>
      </c>
      <c r="P276" s="10">
        <f t="shared" si="1"/>
        <v>2024</v>
      </c>
      <c r="Q276" s="10">
        <f t="shared" si="2"/>
        <v>4</v>
      </c>
      <c r="R276" s="10" t="str">
        <f t="array" ref="R276">INDEX(Honor!$Q$2:$Q800,MATCH($I276,Honor!$A$2:$A800,0))</f>
        <v>SURVEI-PPL</v>
      </c>
      <c r="S276" s="10" t="str">
        <f t="shared" si="3"/>
        <v>610422100244-2024-4</v>
      </c>
      <c r="T276" s="10" t="str">
        <f t="shared" si="4"/>
        <v>610422100244-2024-4-SURVEI-PPL</v>
      </c>
      <c r="U276" s="64">
        <v>1</v>
      </c>
      <c r="V276" s="10" t="e">
        <f t="array" aca="1" ref="V276" ca="1">INDEX(Honor!$O$2:$O800,MATCH($I276,Honor!$A$2:$A800,0))</f>
        <v>#NAME?</v>
      </c>
      <c r="W276" s="67"/>
      <c r="X276" s="7" t="str">
        <f t="array" ref="X276">INDEX('Input Kegiatan'!$B$2:$B800,MATCH(B276,'Input Kegiatan'!$A$2:$A800,0))</f>
        <v>Survei Harga Perdesaan (SHPED24) April</v>
      </c>
      <c r="Y276" s="7" t="s">
        <v>5741</v>
      </c>
      <c r="Z276" s="7" t="s">
        <v>5796</v>
      </c>
      <c r="AA276" s="68">
        <f t="shared" si="5"/>
        <v>45382</v>
      </c>
      <c r="AB276" s="68">
        <f t="shared" si="6"/>
        <v>45383</v>
      </c>
      <c r="AC276" s="68">
        <f t="shared" si="7"/>
        <v>45412</v>
      </c>
      <c r="AD276" s="68">
        <f t="shared" si="8"/>
        <v>45411</v>
      </c>
      <c r="AE276" s="68">
        <f t="shared" si="9"/>
        <v>45412</v>
      </c>
    </row>
    <row r="277" spans="1:31" ht="12.5">
      <c r="A277" s="125">
        <v>610422020016</v>
      </c>
      <c r="B277" s="65" t="s">
        <v>134</v>
      </c>
      <c r="D277" s="10">
        <f t="array" aca="1" ref="D277" ca="1">INDEX('Mitra per Bulan'!$M$2:$M800,MATCH(S277,'Mitra per Bulan'!$B$2:$B800,0))</f>
        <v>1</v>
      </c>
      <c r="E277" s="10" t="str">
        <f t="array" ref="E277">INDEX('Database Mitra'!$A$2:$A800,MATCH(A277,'Database Mitra'!$B$2:$B800,0))</f>
        <v>Abdul Aziz</v>
      </c>
      <c r="F277" s="64" t="s">
        <v>25</v>
      </c>
      <c r="G277" s="5" t="str">
        <f t="array" ref="G277">INDEX('Database Mitra'!$G$2:$G800,MATCH(A277,'Database Mitra'!$B$2:$B800,0))</f>
        <v>6102061507950006</v>
      </c>
      <c r="H277" s="64" t="s">
        <v>74</v>
      </c>
      <c r="I277" s="65" t="s">
        <v>136</v>
      </c>
      <c r="J277" s="10" t="str">
        <f t="array" ref="J277">INDEX(Honor!$H$2:$H800,MATCH($I277,Honor!$A$2:$A800,0))</f>
        <v>Dokumen</v>
      </c>
      <c r="K277" s="66">
        <f t="array" ref="K277">INDEX(Honor!$I$2:$I800,MATCH($I277,Honor!$A$2:$A800,0))</f>
        <v>55000</v>
      </c>
      <c r="L277" s="64">
        <v>3</v>
      </c>
      <c r="M277" s="10">
        <f t="shared" si="0"/>
        <v>165000</v>
      </c>
      <c r="O277" s="67">
        <f t="array" ref="O277">INDEX(Honor!$L$2:$L800,MATCH($I277,Honor!$A$2:$A800,0))</f>
        <v>45402</v>
      </c>
      <c r="P277" s="10">
        <f t="shared" si="1"/>
        <v>2024</v>
      </c>
      <c r="Q277" s="10">
        <f t="shared" si="2"/>
        <v>4</v>
      </c>
      <c r="R277" s="10" t="str">
        <f t="array" ref="R277">INDEX(Honor!$Q$2:$Q800,MATCH($I277,Honor!$A$2:$A800,0))</f>
        <v>SURVEI-PPL</v>
      </c>
      <c r="S277" s="10" t="str">
        <f t="shared" si="3"/>
        <v>610422020016-2024-4</v>
      </c>
      <c r="T277" s="10" t="str">
        <f t="shared" si="4"/>
        <v>610422020016-2024-4-SURVEI-PPL</v>
      </c>
      <c r="U277" s="64">
        <v>1</v>
      </c>
      <c r="V277" s="10" t="e">
        <f t="array" aca="1" ref="V277" ca="1">INDEX(Honor!$O$2:$O800,MATCH($I277,Honor!$A$2:$A800,0))</f>
        <v>#NAME?</v>
      </c>
      <c r="W277" s="67"/>
      <c r="X277" s="7" t="str">
        <f t="array" ref="X277">INDEX('Input Kegiatan'!$B$2:$B800,MATCH(B277,'Input Kegiatan'!$A$2:$A800,0))</f>
        <v>Survei Harga Perdesaan (SHPED24) April</v>
      </c>
      <c r="Y277" s="7" t="s">
        <v>5534</v>
      </c>
      <c r="Z277" s="7" t="s">
        <v>5535</v>
      </c>
      <c r="AA277" s="68">
        <f t="shared" si="5"/>
        <v>45382</v>
      </c>
      <c r="AB277" s="68">
        <f t="shared" si="6"/>
        <v>45383</v>
      </c>
      <c r="AC277" s="68">
        <f t="shared" si="7"/>
        <v>45412</v>
      </c>
      <c r="AD277" s="68">
        <f t="shared" si="8"/>
        <v>45411</v>
      </c>
      <c r="AE277" s="68">
        <f t="shared" si="9"/>
        <v>45412</v>
      </c>
    </row>
    <row r="278" spans="1:31" ht="12.5">
      <c r="A278" s="125">
        <v>610422100016</v>
      </c>
      <c r="B278" s="65" t="s">
        <v>134</v>
      </c>
      <c r="D278" s="10">
        <f t="array" aca="1" ref="D278" ca="1">INDEX('Mitra per Bulan'!$M$2:$M800,MATCH(S278,'Mitra per Bulan'!$B$2:$B800,0))</f>
        <v>1</v>
      </c>
      <c r="E278" s="10" t="str">
        <f t="array" ref="E278">INDEX('Database Mitra'!$A$2:$A800,MATCH(A278,'Database Mitra'!$B$2:$B800,0))</f>
        <v>Amalia Faisya</v>
      </c>
      <c r="F278" s="64" t="s">
        <v>25</v>
      </c>
      <c r="G278" s="5" t="str">
        <f t="array" ref="G278">INDEX('Database Mitra'!$G$2:$G800,MATCH(A278,'Database Mitra'!$B$2:$B800,0))</f>
        <v>6102124210010005</v>
      </c>
      <c r="H278" s="64" t="s">
        <v>74</v>
      </c>
      <c r="I278" s="65" t="s">
        <v>136</v>
      </c>
      <c r="J278" s="10" t="str">
        <f t="array" ref="J278">INDEX(Honor!$H$2:$H800,MATCH($I278,Honor!$A$2:$A800,0))</f>
        <v>Dokumen</v>
      </c>
      <c r="K278" s="66">
        <f t="array" ref="K278">INDEX(Honor!$I$2:$I800,MATCH($I278,Honor!$A$2:$A800,0))</f>
        <v>55000</v>
      </c>
      <c r="L278" s="64">
        <v>1</v>
      </c>
      <c r="M278" s="10">
        <f t="shared" si="0"/>
        <v>55000</v>
      </c>
      <c r="O278" s="67">
        <f t="array" ref="O278">INDEX(Honor!$L$2:$L800,MATCH($I278,Honor!$A$2:$A800,0))</f>
        <v>45402</v>
      </c>
      <c r="P278" s="10">
        <f t="shared" si="1"/>
        <v>2024</v>
      </c>
      <c r="Q278" s="10">
        <f t="shared" si="2"/>
        <v>4</v>
      </c>
      <c r="R278" s="10" t="str">
        <f t="array" ref="R278">INDEX(Honor!$Q$2:$Q800,MATCH($I278,Honor!$A$2:$A800,0))</f>
        <v>SURVEI-PPL</v>
      </c>
      <c r="S278" s="10" t="str">
        <f t="shared" si="3"/>
        <v>610422100016-2024-4</v>
      </c>
      <c r="T278" s="10" t="str">
        <f t="shared" si="4"/>
        <v>610422100016-2024-4-SURVEI-PPL</v>
      </c>
      <c r="U278" s="64">
        <v>1</v>
      </c>
      <c r="V278" s="10" t="e">
        <f t="array" aca="1" ref="V278" ca="1">INDEX(Honor!$O$2:$O800,MATCH($I278,Honor!$A$2:$A800,0))</f>
        <v>#NAME?</v>
      </c>
      <c r="W278" s="67"/>
      <c r="X278" s="7" t="str">
        <f t="array" ref="X278">INDEX('Input Kegiatan'!$B$2:$B800,MATCH(B278,'Input Kegiatan'!$A$2:$A800,0))</f>
        <v>Survei Harga Perdesaan (SHPED24) April</v>
      </c>
      <c r="Y278" s="7" t="s">
        <v>5250</v>
      </c>
      <c r="Z278" s="7" t="s">
        <v>5365</v>
      </c>
      <c r="AA278" s="68">
        <f t="shared" si="5"/>
        <v>45382</v>
      </c>
      <c r="AB278" s="68">
        <f t="shared" si="6"/>
        <v>45383</v>
      </c>
      <c r="AC278" s="68">
        <f t="shared" si="7"/>
        <v>45412</v>
      </c>
      <c r="AD278" s="68">
        <f t="shared" si="8"/>
        <v>45411</v>
      </c>
      <c r="AE278" s="68">
        <f t="shared" si="9"/>
        <v>45412</v>
      </c>
    </row>
    <row r="279" spans="1:31" ht="12.5">
      <c r="A279" s="125">
        <v>610422020048</v>
      </c>
      <c r="B279" s="65" t="s">
        <v>134</v>
      </c>
      <c r="D279" s="10">
        <f t="array" aca="1" ref="D279" ca="1">INDEX('Mitra per Bulan'!$M$2:$M800,MATCH(S279,'Mitra per Bulan'!$B$2:$B800,0))</f>
        <v>1</v>
      </c>
      <c r="E279" s="10" t="str">
        <f t="array" ref="E279">INDEX('Database Mitra'!$A$2:$A800,MATCH(A279,'Database Mitra'!$B$2:$B800,0))</f>
        <v>Herri Gustaman</v>
      </c>
      <c r="F279" s="64" t="s">
        <v>25</v>
      </c>
      <c r="G279" s="5" t="str">
        <f t="array" ref="G279">INDEX('Database Mitra'!$G$2:$G800,MATCH(A279,'Database Mitra'!$B$2:$B800,0))</f>
        <v>6102072503800001</v>
      </c>
      <c r="H279" s="64" t="s">
        <v>74</v>
      </c>
      <c r="I279" s="65" t="s">
        <v>136</v>
      </c>
      <c r="J279" s="10" t="str">
        <f t="array" ref="J279">INDEX(Honor!$H$2:$H800,MATCH($I279,Honor!$A$2:$A800,0))</f>
        <v>Dokumen</v>
      </c>
      <c r="K279" s="66">
        <f t="array" ref="K279">INDEX(Honor!$I$2:$I800,MATCH($I279,Honor!$A$2:$A800,0))</f>
        <v>55000</v>
      </c>
      <c r="L279" s="64">
        <v>3</v>
      </c>
      <c r="M279" s="10">
        <f t="shared" si="0"/>
        <v>165000</v>
      </c>
      <c r="O279" s="67">
        <f t="array" ref="O279">INDEX(Honor!$L$2:$L800,MATCH($I279,Honor!$A$2:$A800,0))</f>
        <v>45402</v>
      </c>
      <c r="P279" s="10">
        <f t="shared" si="1"/>
        <v>2024</v>
      </c>
      <c r="Q279" s="10">
        <f t="shared" si="2"/>
        <v>4</v>
      </c>
      <c r="R279" s="10" t="str">
        <f t="array" ref="R279">INDEX(Honor!$Q$2:$Q800,MATCH($I279,Honor!$A$2:$A800,0))</f>
        <v>SURVEI-PPL</v>
      </c>
      <c r="S279" s="10" t="str">
        <f t="shared" si="3"/>
        <v>610422020048-2024-4</v>
      </c>
      <c r="T279" s="10" t="str">
        <f t="shared" si="4"/>
        <v>610422020048-2024-4-SURVEI-PPL</v>
      </c>
      <c r="U279" s="64">
        <v>1</v>
      </c>
      <c r="V279" s="10" t="e">
        <f t="array" aca="1" ref="V279" ca="1">INDEX(Honor!$O$2:$O800,MATCH($I279,Honor!$A$2:$A800,0))</f>
        <v>#NAME?</v>
      </c>
      <c r="W279" s="67"/>
      <c r="X279" s="7" t="str">
        <f t="array" ref="X279">INDEX('Input Kegiatan'!$B$2:$B800,MATCH(B279,'Input Kegiatan'!$A$2:$A800,0))</f>
        <v>Survei Harga Perdesaan (SHPED24) April</v>
      </c>
      <c r="Y279" s="7" t="s">
        <v>4931</v>
      </c>
      <c r="Z279" s="7" t="s">
        <v>5171</v>
      </c>
      <c r="AA279" s="68">
        <f t="shared" si="5"/>
        <v>45382</v>
      </c>
      <c r="AB279" s="68">
        <f t="shared" si="6"/>
        <v>45383</v>
      </c>
      <c r="AC279" s="68">
        <f t="shared" si="7"/>
        <v>45412</v>
      </c>
      <c r="AD279" s="68">
        <f t="shared" si="8"/>
        <v>45411</v>
      </c>
      <c r="AE279" s="68">
        <f t="shared" si="9"/>
        <v>45412</v>
      </c>
    </row>
    <row r="280" spans="1:31" ht="12.5">
      <c r="A280" s="125">
        <v>610422040029</v>
      </c>
      <c r="B280" s="65" t="s">
        <v>134</v>
      </c>
      <c r="D280" s="10">
        <f t="array" aca="1" ref="D280" ca="1">INDEX('Mitra per Bulan'!$M$2:$M800,MATCH(S280,'Mitra per Bulan'!$B$2:$B800,0))</f>
        <v>1</v>
      </c>
      <c r="E280" s="10" t="str">
        <f t="array" ref="E280">INDEX('Database Mitra'!$A$2:$A800,MATCH(A280,'Database Mitra'!$B$2:$B800,0))</f>
        <v>Zaini</v>
      </c>
      <c r="F280" s="64" t="s">
        <v>25</v>
      </c>
      <c r="G280" s="5" t="str">
        <f t="array" ref="G280">INDEX('Database Mitra'!$G$2:$G800,MATCH(A280,'Database Mitra'!$B$2:$B800,0))</f>
        <v>6102010607870002</v>
      </c>
      <c r="H280" s="64" t="s">
        <v>74</v>
      </c>
      <c r="I280" s="65" t="s">
        <v>136</v>
      </c>
      <c r="J280" s="10" t="str">
        <f t="array" ref="J280">INDEX(Honor!$H$2:$H800,MATCH($I280,Honor!$A$2:$A800,0))</f>
        <v>Dokumen</v>
      </c>
      <c r="K280" s="66">
        <f t="array" ref="K280">INDEX(Honor!$I$2:$I800,MATCH($I280,Honor!$A$2:$A800,0))</f>
        <v>55000</v>
      </c>
      <c r="L280" s="64">
        <v>4</v>
      </c>
      <c r="M280" s="10">
        <f t="shared" si="0"/>
        <v>220000</v>
      </c>
      <c r="O280" s="67">
        <f t="array" ref="O280">INDEX(Honor!$L$2:$L800,MATCH($I280,Honor!$A$2:$A800,0))</f>
        <v>45402</v>
      </c>
      <c r="P280" s="10">
        <f t="shared" si="1"/>
        <v>2024</v>
      </c>
      <c r="Q280" s="10">
        <f t="shared" si="2"/>
        <v>4</v>
      </c>
      <c r="R280" s="10" t="str">
        <f t="array" ref="R280">INDEX(Honor!$Q$2:$Q800,MATCH($I280,Honor!$A$2:$A800,0))</f>
        <v>SURVEI-PPL</v>
      </c>
      <c r="S280" s="10" t="str">
        <f t="shared" si="3"/>
        <v>610422040029-2024-4</v>
      </c>
      <c r="T280" s="10" t="str">
        <f t="shared" si="4"/>
        <v>610422040029-2024-4-SURVEI-PPL</v>
      </c>
      <c r="U280" s="64">
        <v>1</v>
      </c>
      <c r="V280" s="10" t="e">
        <f t="array" aca="1" ref="V280" ca="1">INDEX(Honor!$O$2:$O800,MATCH($I280,Honor!$A$2:$A800,0))</f>
        <v>#NAME?</v>
      </c>
      <c r="W280" s="67"/>
      <c r="X280" s="7" t="str">
        <f t="array" ref="X280">INDEX('Input Kegiatan'!$B$2:$B800,MATCH(B280,'Input Kegiatan'!$A$2:$A800,0))</f>
        <v>Survei Harga Perdesaan (SHPED24) April</v>
      </c>
      <c r="Y280" s="7" t="s">
        <v>4572</v>
      </c>
      <c r="Z280" s="7" t="s">
        <v>4619</v>
      </c>
      <c r="AA280" s="68">
        <f t="shared" si="5"/>
        <v>45382</v>
      </c>
      <c r="AB280" s="68">
        <f t="shared" si="6"/>
        <v>45383</v>
      </c>
      <c r="AC280" s="68">
        <f t="shared" si="7"/>
        <v>45412</v>
      </c>
      <c r="AD280" s="68">
        <f t="shared" si="8"/>
        <v>45411</v>
      </c>
      <c r="AE280" s="68">
        <f t="shared" si="9"/>
        <v>45412</v>
      </c>
    </row>
    <row r="281" spans="1:31" ht="12.5">
      <c r="A281" s="125">
        <v>610422050001</v>
      </c>
      <c r="B281" s="65" t="s">
        <v>134</v>
      </c>
      <c r="D281" s="10">
        <f t="array" aca="1" ref="D281" ca="1">INDEX('Mitra per Bulan'!$M$2:$M800,MATCH(S281,'Mitra per Bulan'!$B$2:$B800,0))</f>
        <v>1</v>
      </c>
      <c r="E281" s="10" t="str">
        <f t="array" ref="E281">INDEX('Database Mitra'!$A$2:$A800,MATCH(A281,'Database Mitra'!$B$2:$B800,0))</f>
        <v>Evi Juniarty</v>
      </c>
      <c r="F281" s="64" t="s">
        <v>25</v>
      </c>
      <c r="G281" s="5" t="str">
        <f t="array" ref="G281">INDEX('Database Mitra'!$G$2:$G800,MATCH(A281,'Database Mitra'!$B$2:$B800,0))</f>
        <v>6102165101840001</v>
      </c>
      <c r="H281" s="64" t="s">
        <v>74</v>
      </c>
      <c r="I281" s="65" t="s">
        <v>136</v>
      </c>
      <c r="J281" s="10" t="str">
        <f t="array" ref="J281">INDEX(Honor!$H$2:$H800,MATCH($I281,Honor!$A$2:$A800,0))</f>
        <v>Dokumen</v>
      </c>
      <c r="K281" s="66">
        <f t="array" ref="K281">INDEX(Honor!$I$2:$I800,MATCH($I281,Honor!$A$2:$A800,0))</f>
        <v>55000</v>
      </c>
      <c r="L281" s="64">
        <v>1</v>
      </c>
      <c r="M281" s="10">
        <f t="shared" si="0"/>
        <v>55000</v>
      </c>
      <c r="O281" s="67">
        <f t="array" ref="O281">INDEX(Honor!$L$2:$L800,MATCH($I281,Honor!$A$2:$A800,0))</f>
        <v>45402</v>
      </c>
      <c r="P281" s="10">
        <f t="shared" si="1"/>
        <v>2024</v>
      </c>
      <c r="Q281" s="10">
        <f t="shared" si="2"/>
        <v>4</v>
      </c>
      <c r="R281" s="10" t="str">
        <f t="array" ref="R281">INDEX(Honor!$Q$2:$Q800,MATCH($I281,Honor!$A$2:$A800,0))</f>
        <v>SURVEI-PPL</v>
      </c>
      <c r="S281" s="10" t="str">
        <f t="shared" si="3"/>
        <v>610422050001-2024-4</v>
      </c>
      <c r="T281" s="10" t="str">
        <f t="shared" si="4"/>
        <v>610422050001-2024-4-SURVEI-PPL</v>
      </c>
      <c r="U281" s="64">
        <v>1</v>
      </c>
      <c r="V281" s="10" t="e">
        <f t="array" aca="1" ref="V281" ca="1">INDEX(Honor!$O$2:$O800,MATCH($I281,Honor!$A$2:$A800,0))</f>
        <v>#NAME?</v>
      </c>
      <c r="W281" s="67"/>
      <c r="X281" s="7" t="str">
        <f t="array" ref="X281">INDEX('Input Kegiatan'!$B$2:$B800,MATCH(B281,'Input Kegiatan'!$A$2:$A800,0))</f>
        <v>Survei Harga Perdesaan (SHPED24) April</v>
      </c>
      <c r="Y281" s="7" t="s">
        <v>4408</v>
      </c>
      <c r="Z281" s="7" t="s">
        <v>4409</v>
      </c>
      <c r="AA281" s="68">
        <f t="shared" si="5"/>
        <v>45382</v>
      </c>
      <c r="AB281" s="68">
        <f t="shared" si="6"/>
        <v>45383</v>
      </c>
      <c r="AC281" s="68">
        <f t="shared" si="7"/>
        <v>45412</v>
      </c>
      <c r="AD281" s="68">
        <f t="shared" si="8"/>
        <v>45411</v>
      </c>
      <c r="AE281" s="68">
        <f t="shared" si="9"/>
        <v>45412</v>
      </c>
    </row>
    <row r="282" spans="1:31" ht="12.5">
      <c r="A282" s="125">
        <v>610422100124</v>
      </c>
      <c r="B282" s="65" t="s">
        <v>137</v>
      </c>
      <c r="D282" s="10">
        <f t="array" aca="1" ref="D282" ca="1">INDEX('Mitra per Bulan'!$M$2:$M800,MATCH(S282,'Mitra per Bulan'!$B$2:$B800,0))</f>
        <v>1</v>
      </c>
      <c r="E282" s="10" t="str">
        <f t="array" ref="E282">INDEX('Database Mitra'!$A$2:$A800,MATCH(A282,'Database Mitra'!$B$2:$B800,0))</f>
        <v>Prabowo</v>
      </c>
      <c r="F282" s="64" t="s">
        <v>25</v>
      </c>
      <c r="G282" s="5" t="str">
        <f t="array" ref="G282">INDEX('Database Mitra'!$G$2:$G800,MATCH(A282,'Database Mitra'!$B$2:$B800,0))</f>
        <v>6171010108790015</v>
      </c>
      <c r="H282" s="64" t="s">
        <v>67</v>
      </c>
      <c r="I282" s="65" t="s">
        <v>138</v>
      </c>
      <c r="J282" s="10" t="str">
        <f t="array" ref="J282">INDEX(Honor!$H$2:$H800,MATCH($I282,Honor!$A$2:$A800,0))</f>
        <v>Dokumen</v>
      </c>
      <c r="K282" s="66">
        <f t="array" ref="K282">INDEX(Honor!$I$2:$I800,MATCH($I282,Honor!$A$2:$A800,0))</f>
        <v>55000</v>
      </c>
      <c r="L282" s="64">
        <v>2</v>
      </c>
      <c r="M282" s="10">
        <f t="shared" si="0"/>
        <v>110000</v>
      </c>
      <c r="O282" s="67">
        <f t="array" ref="O282">INDEX(Honor!$L$2:$L800,MATCH($I282,Honor!$A$2:$A800,0))</f>
        <v>45402</v>
      </c>
      <c r="P282" s="10">
        <f t="shared" si="1"/>
        <v>2024</v>
      </c>
      <c r="Q282" s="10">
        <f t="shared" si="2"/>
        <v>4</v>
      </c>
      <c r="R282" s="10" t="str">
        <f t="array" ref="R282">INDEX(Honor!$Q$2:$Q800,MATCH($I282,Honor!$A$2:$A800,0))</f>
        <v>SURVEI-PPL</v>
      </c>
      <c r="S282" s="10" t="str">
        <f t="shared" si="3"/>
        <v>610422100124-2024-4</v>
      </c>
      <c r="T282" s="10" t="str">
        <f t="shared" si="4"/>
        <v>610422100124-2024-4-SURVEI-PPL</v>
      </c>
      <c r="U282" s="64">
        <v>1</v>
      </c>
      <c r="V282" s="10" t="e">
        <f t="array" aca="1" ref="V282" ca="1">INDEX(Honor!$O$2:$O800,MATCH($I282,Honor!$A$2:$A800,0))</f>
        <v>#NAME?</v>
      </c>
      <c r="W282" s="67"/>
      <c r="X282" s="7" t="str">
        <f t="array" ref="X282">INDEX('Input Kegiatan'!$B$2:$B800,MATCH(B282,'Input Kegiatan'!$A$2:$A800,0))</f>
        <v>Survei Harga Produsen Beras di Penggilingan 2024 (HPBG24) April</v>
      </c>
      <c r="Y282" s="7" t="s">
        <v>1921</v>
      </c>
      <c r="Z282" s="7" t="s">
        <v>2140</v>
      </c>
      <c r="AA282" s="68">
        <f t="shared" si="5"/>
        <v>45382</v>
      </c>
      <c r="AB282" s="68">
        <f t="shared" si="6"/>
        <v>45383</v>
      </c>
      <c r="AC282" s="68">
        <f t="shared" si="7"/>
        <v>45412</v>
      </c>
      <c r="AD282" s="68">
        <f t="shared" si="8"/>
        <v>45411</v>
      </c>
      <c r="AE282" s="68">
        <f t="shared" si="9"/>
        <v>45412</v>
      </c>
    </row>
    <row r="283" spans="1:31" ht="12.5">
      <c r="A283" s="125">
        <v>610422100244</v>
      </c>
      <c r="B283" s="65" t="s">
        <v>137</v>
      </c>
      <c r="D283" s="10">
        <f t="array" aca="1" ref="D283" ca="1">INDEX('Mitra per Bulan'!$M$2:$M800,MATCH(S283,'Mitra per Bulan'!$B$2:$B800,0))</f>
        <v>1</v>
      </c>
      <c r="E283" s="10" t="str">
        <f t="array" ref="E283">INDEX('Database Mitra'!$A$2:$A800,MATCH(A283,'Database Mitra'!$B$2:$B800,0))</f>
        <v>Sugianto</v>
      </c>
      <c r="F283" s="64" t="s">
        <v>25</v>
      </c>
      <c r="G283" s="5" t="str">
        <f t="array" ref="G283">INDEX('Database Mitra'!$G$2:$G800,MATCH(A283,'Database Mitra'!$B$2:$B800,0))</f>
        <v>6102171003900002</v>
      </c>
      <c r="H283" s="64" t="s">
        <v>67</v>
      </c>
      <c r="I283" s="65" t="s">
        <v>138</v>
      </c>
      <c r="J283" s="10" t="str">
        <f t="array" ref="J283">INDEX(Honor!$H$2:$H800,MATCH($I283,Honor!$A$2:$A800,0))</f>
        <v>Dokumen</v>
      </c>
      <c r="K283" s="66">
        <f t="array" ref="K283">INDEX(Honor!$I$2:$I800,MATCH($I283,Honor!$A$2:$A800,0))</f>
        <v>55000</v>
      </c>
      <c r="L283" s="64">
        <v>2</v>
      </c>
      <c r="M283" s="10">
        <f t="shared" si="0"/>
        <v>110000</v>
      </c>
      <c r="O283" s="67">
        <f t="array" ref="O283">INDEX(Honor!$L$2:$L800,MATCH($I283,Honor!$A$2:$A800,0))</f>
        <v>45402</v>
      </c>
      <c r="P283" s="10">
        <f t="shared" si="1"/>
        <v>2024</v>
      </c>
      <c r="Q283" s="10">
        <f t="shared" si="2"/>
        <v>4</v>
      </c>
      <c r="R283" s="10" t="str">
        <f t="array" ref="R283">INDEX(Honor!$Q$2:$Q800,MATCH($I283,Honor!$A$2:$A800,0))</f>
        <v>SURVEI-PPL</v>
      </c>
      <c r="S283" s="10" t="str">
        <f t="shared" si="3"/>
        <v>610422100244-2024-4</v>
      </c>
      <c r="T283" s="10" t="str">
        <f t="shared" si="4"/>
        <v>610422100244-2024-4-SURVEI-PPL</v>
      </c>
      <c r="U283" s="64">
        <v>1</v>
      </c>
      <c r="V283" s="10" t="e">
        <f t="array" aca="1" ref="V283" ca="1">INDEX(Honor!$O$2:$O800,MATCH($I283,Honor!$A$2:$A800,0))</f>
        <v>#NAME?</v>
      </c>
      <c r="W283" s="67"/>
      <c r="X283" s="7" t="str">
        <f t="array" ref="X283">INDEX('Input Kegiatan'!$B$2:$B800,MATCH(B283,'Input Kegiatan'!$A$2:$A800,0))</f>
        <v>Survei Harga Produsen Beras di Penggilingan 2024 (HPBG24) April</v>
      </c>
      <c r="Y283" s="7" t="s">
        <v>5741</v>
      </c>
      <c r="Z283" s="7" t="s">
        <v>5796</v>
      </c>
      <c r="AA283" s="68">
        <f t="shared" si="5"/>
        <v>45382</v>
      </c>
      <c r="AB283" s="68">
        <f t="shared" si="6"/>
        <v>45383</v>
      </c>
      <c r="AC283" s="68">
        <f t="shared" si="7"/>
        <v>45412</v>
      </c>
      <c r="AD283" s="68">
        <f t="shared" si="8"/>
        <v>45411</v>
      </c>
      <c r="AE283" s="68">
        <f t="shared" si="9"/>
        <v>45412</v>
      </c>
    </row>
    <row r="284" spans="1:31" ht="12.5">
      <c r="A284" s="125">
        <v>610422100165</v>
      </c>
      <c r="B284" s="65" t="s">
        <v>137</v>
      </c>
      <c r="D284" s="10">
        <f t="array" aca="1" ref="D284" ca="1">INDEX('Mitra per Bulan'!$M$2:$M800,MATCH(S284,'Mitra per Bulan'!$B$2:$B800,0))</f>
        <v>1</v>
      </c>
      <c r="E284" s="10" t="str">
        <f t="array" ref="E284">INDEX('Database Mitra'!$A$2:$A800,MATCH(A284,'Database Mitra'!$B$2:$B800,0))</f>
        <v>Yanti</v>
      </c>
      <c r="F284" s="64" t="s">
        <v>25</v>
      </c>
      <c r="G284" s="5" t="str">
        <f t="array" ref="G284">INDEX('Database Mitra'!$G$2:$G800,MATCH(A284,'Database Mitra'!$B$2:$B800,0))</f>
        <v>6102074803980002</v>
      </c>
      <c r="H284" s="64" t="s">
        <v>67</v>
      </c>
      <c r="I284" s="65" t="s">
        <v>138</v>
      </c>
      <c r="J284" s="10" t="str">
        <f t="array" ref="J284">INDEX(Honor!$H$2:$H800,MATCH($I284,Honor!$A$2:$A800,0))</f>
        <v>Dokumen</v>
      </c>
      <c r="K284" s="66">
        <f t="array" ref="K284">INDEX(Honor!$I$2:$I800,MATCH($I284,Honor!$A$2:$A800,0))</f>
        <v>55000</v>
      </c>
      <c r="L284" s="64">
        <v>2</v>
      </c>
      <c r="M284" s="10">
        <f t="shared" si="0"/>
        <v>110000</v>
      </c>
      <c r="O284" s="67">
        <f t="array" ref="O284">INDEX(Honor!$L$2:$L800,MATCH($I284,Honor!$A$2:$A800,0))</f>
        <v>45402</v>
      </c>
      <c r="P284" s="10">
        <f t="shared" si="1"/>
        <v>2024</v>
      </c>
      <c r="Q284" s="10">
        <f t="shared" si="2"/>
        <v>4</v>
      </c>
      <c r="R284" s="10" t="str">
        <f t="array" ref="R284">INDEX(Honor!$Q$2:$Q800,MATCH($I284,Honor!$A$2:$A800,0))</f>
        <v>SURVEI-PPL</v>
      </c>
      <c r="S284" s="10" t="str">
        <f t="shared" si="3"/>
        <v>610422100165-2024-4</v>
      </c>
      <c r="T284" s="10" t="str">
        <f t="shared" si="4"/>
        <v>610422100165-2024-4-SURVEI-PPL</v>
      </c>
      <c r="U284" s="64">
        <v>1</v>
      </c>
      <c r="V284" s="10" t="e">
        <f t="array" aca="1" ref="V284" ca="1">INDEX(Honor!$O$2:$O800,MATCH($I284,Honor!$A$2:$A800,0))</f>
        <v>#NAME?</v>
      </c>
      <c r="W284" s="67"/>
      <c r="X284" s="7" t="str">
        <f t="array" ref="X284">INDEX('Input Kegiatan'!$B$2:$B800,MATCH(B284,'Input Kegiatan'!$A$2:$A800,0))</f>
        <v>Survei Harga Produsen Beras di Penggilingan 2024 (HPBG24) April</v>
      </c>
      <c r="Y284" s="7" t="s">
        <v>3990</v>
      </c>
      <c r="Z284" s="7" t="s">
        <v>4332</v>
      </c>
      <c r="AA284" s="68">
        <f t="shared" si="5"/>
        <v>45382</v>
      </c>
      <c r="AB284" s="68">
        <f t="shared" si="6"/>
        <v>45383</v>
      </c>
      <c r="AC284" s="68">
        <f t="shared" si="7"/>
        <v>45412</v>
      </c>
      <c r="AD284" s="68">
        <f t="shared" si="8"/>
        <v>45411</v>
      </c>
      <c r="AE284" s="68">
        <f t="shared" si="9"/>
        <v>45412</v>
      </c>
    </row>
    <row r="285" spans="1:31" ht="12.5">
      <c r="A285" s="125">
        <v>610422100165</v>
      </c>
      <c r="B285" s="65" t="s">
        <v>139</v>
      </c>
      <c r="D285" s="10">
        <f t="array" aca="1" ref="D285" ca="1">INDEX('Mitra per Bulan'!$M$2:$M800,MATCH(S285,'Mitra per Bulan'!$B$2:$B800,0))</f>
        <v>1</v>
      </c>
      <c r="E285" s="10" t="str">
        <f t="array" ref="E285">INDEX('Database Mitra'!$A$2:$A800,MATCH(A285,'Database Mitra'!$B$2:$B800,0))</f>
        <v>Yanti</v>
      </c>
      <c r="F285" s="64" t="s">
        <v>25</v>
      </c>
      <c r="G285" s="5" t="str">
        <f t="array" ref="G285">INDEX('Database Mitra'!$G$2:$G800,MATCH(A285,'Database Mitra'!$B$2:$B800,0))</f>
        <v>6102074803980002</v>
      </c>
      <c r="H285" s="64" t="s">
        <v>67</v>
      </c>
      <c r="I285" s="65" t="s">
        <v>140</v>
      </c>
      <c r="J285" s="10" t="str">
        <f t="array" ref="J285">INDEX(Honor!$H$2:$H800,MATCH($I285,Honor!$A$2:$A800,0))</f>
        <v>Dokumen</v>
      </c>
      <c r="K285" s="66">
        <f t="array" ref="K285">INDEX(Honor!$I$2:$I800,MATCH($I285,Honor!$A$2:$A800,0))</f>
        <v>50000</v>
      </c>
      <c r="L285" s="64">
        <v>1</v>
      </c>
      <c r="M285" s="10">
        <f t="shared" si="0"/>
        <v>50000</v>
      </c>
      <c r="O285" s="67">
        <f t="array" ref="O285">INDEX(Honor!$L$2:$L800,MATCH($I285,Honor!$A$2:$A800,0))</f>
        <v>45402</v>
      </c>
      <c r="P285" s="10">
        <f t="shared" si="1"/>
        <v>2024</v>
      </c>
      <c r="Q285" s="10">
        <f t="shared" si="2"/>
        <v>4</v>
      </c>
      <c r="R285" s="10" t="str">
        <f t="array" ref="R285">INDEX(Honor!$Q$2:$Q800,MATCH($I285,Honor!$A$2:$A800,0))</f>
        <v>SURVEI-PPL</v>
      </c>
      <c r="S285" s="10" t="str">
        <f t="shared" si="3"/>
        <v>610422100165-2024-4</v>
      </c>
      <c r="T285" s="10" t="str">
        <f t="shared" si="4"/>
        <v>610422100165-2024-4-SURVEI-PPL</v>
      </c>
      <c r="U285" s="64">
        <v>1</v>
      </c>
      <c r="V285" s="10" t="e">
        <f t="array" aca="1" ref="V285" ca="1">INDEX(Honor!$O$2:$O800,MATCH($I285,Honor!$A$2:$A800,0))</f>
        <v>#NAME?</v>
      </c>
      <c r="W285" s="67"/>
      <c r="X285" s="7" t="str">
        <f t="array" ref="X285">INDEX('Input Kegiatan'!$B$2:$B800,MATCH(B285,'Input Kegiatan'!$A$2:$A800,0))</f>
        <v>Survei Harga Produsen Jasa (HPJ24) April</v>
      </c>
      <c r="Y285" s="7" t="s">
        <v>3990</v>
      </c>
      <c r="Z285" s="7" t="s">
        <v>4332</v>
      </c>
      <c r="AA285" s="68">
        <f t="shared" si="5"/>
        <v>45382</v>
      </c>
      <c r="AB285" s="68">
        <f t="shared" si="6"/>
        <v>45383</v>
      </c>
      <c r="AC285" s="68">
        <f t="shared" si="7"/>
        <v>45412</v>
      </c>
      <c r="AD285" s="68">
        <f t="shared" si="8"/>
        <v>45411</v>
      </c>
      <c r="AE285" s="68">
        <f t="shared" si="9"/>
        <v>45412</v>
      </c>
    </row>
    <row r="286" spans="1:31" ht="12.5">
      <c r="A286" s="125">
        <v>610422040029</v>
      </c>
      <c r="B286" s="69" t="s">
        <v>141</v>
      </c>
      <c r="D286" s="10">
        <f t="array" aca="1" ref="D286" ca="1">INDEX('Mitra per Bulan'!$M$2:$M800,MATCH(S286,'Mitra per Bulan'!$B$2:$B800,0))</f>
        <v>1</v>
      </c>
      <c r="E286" s="10" t="str">
        <f t="array" ref="E286">INDEX('Database Mitra'!$A$2:$A800,MATCH(A286,'Database Mitra'!$B$2:$B800,0))</f>
        <v>Zaini</v>
      </c>
      <c r="F286" s="64" t="s">
        <v>25</v>
      </c>
      <c r="G286" s="5" t="str">
        <f t="array" ref="G286">INDEX('Database Mitra'!$G$2:$G800,MATCH(A286,'Database Mitra'!$B$2:$B800,0))</f>
        <v>6102010607870002</v>
      </c>
      <c r="H286" s="64" t="s">
        <v>67</v>
      </c>
      <c r="I286" s="65" t="s">
        <v>142</v>
      </c>
      <c r="J286" s="10" t="str">
        <f t="array" ref="J286">INDEX(Honor!$H$2:$H800,MATCH($I286,Honor!$A$2:$A800,0))</f>
        <v>Dokumen</v>
      </c>
      <c r="K286" s="66">
        <f t="array" ref="K286">INDEX(Honor!$I$2:$I800,MATCH($I286,Honor!$A$2:$A800,0))</f>
        <v>55000</v>
      </c>
      <c r="L286" s="64">
        <v>3</v>
      </c>
      <c r="M286" s="10">
        <f t="shared" si="0"/>
        <v>165000</v>
      </c>
      <c r="O286" s="67">
        <f t="array" ref="O286">INDEX(Honor!$L$2:$L800,MATCH($I286,Honor!$A$2:$A800,0))</f>
        <v>45402</v>
      </c>
      <c r="P286" s="10">
        <f t="shared" si="1"/>
        <v>2024</v>
      </c>
      <c r="Q286" s="10">
        <f t="shared" si="2"/>
        <v>4</v>
      </c>
      <c r="R286" s="10" t="str">
        <f t="array" ref="R286">INDEX(Honor!$Q$2:$Q800,MATCH($I286,Honor!$A$2:$A800,0))</f>
        <v>SURVEI-PPL</v>
      </c>
      <c r="S286" s="10" t="str">
        <f t="shared" si="3"/>
        <v>610422040029-2024-4</v>
      </c>
      <c r="T286" s="10" t="str">
        <f t="shared" si="4"/>
        <v>610422040029-2024-4-SURVEI-PPL</v>
      </c>
      <c r="U286" s="64">
        <v>1</v>
      </c>
      <c r="V286" s="10" t="e">
        <f t="array" aca="1" ref="V286" ca="1">INDEX(Honor!$O$2:$O800,MATCH($I286,Honor!$A$2:$A800,0))</f>
        <v>#NAME?</v>
      </c>
      <c r="W286" s="67"/>
      <c r="X286" s="7" t="str">
        <f t="array" ref="X286">INDEX('Input Kegiatan'!$B$2:$B800,MATCH(B286,'Input Kegiatan'!$A$2:$A800,0))</f>
        <v>Survei Hotel dan Jasa Akomodasi Bulanan (VHTS) 2024 April</v>
      </c>
      <c r="Y286" s="7" t="s">
        <v>4572</v>
      </c>
      <c r="Z286" s="7" t="s">
        <v>4619</v>
      </c>
      <c r="AA286" s="68">
        <f t="shared" si="5"/>
        <v>45382</v>
      </c>
      <c r="AB286" s="68">
        <f t="shared" si="6"/>
        <v>45383</v>
      </c>
      <c r="AC286" s="68">
        <f t="shared" si="7"/>
        <v>45412</v>
      </c>
      <c r="AD286" s="68">
        <f t="shared" si="8"/>
        <v>45411</v>
      </c>
      <c r="AE286" s="68">
        <f t="shared" si="9"/>
        <v>45412</v>
      </c>
    </row>
    <row r="287" spans="1:31" ht="12.5">
      <c r="A287" s="125">
        <v>610422100165</v>
      </c>
      <c r="B287" s="69" t="s">
        <v>141</v>
      </c>
      <c r="D287" s="10">
        <f t="array" aca="1" ref="D287" ca="1">INDEX('Mitra per Bulan'!$M$2:$M800,MATCH(S287,'Mitra per Bulan'!$B$2:$B800,0))</f>
        <v>1</v>
      </c>
      <c r="E287" s="10" t="str">
        <f t="array" ref="E287">INDEX('Database Mitra'!$A$2:$A800,MATCH(A287,'Database Mitra'!$B$2:$B800,0))</f>
        <v>Yanti</v>
      </c>
      <c r="F287" s="64" t="s">
        <v>25</v>
      </c>
      <c r="G287" s="5" t="str">
        <f t="array" ref="G287">INDEX('Database Mitra'!$G$2:$G800,MATCH(A287,'Database Mitra'!$B$2:$B800,0))</f>
        <v>6102074803980002</v>
      </c>
      <c r="H287" s="64" t="s">
        <v>67</v>
      </c>
      <c r="I287" s="65" t="s">
        <v>142</v>
      </c>
      <c r="J287" s="10" t="str">
        <f t="array" ref="J287">INDEX(Honor!$H$2:$H800,MATCH($I287,Honor!$A$2:$A800,0))</f>
        <v>Dokumen</v>
      </c>
      <c r="K287" s="66">
        <f t="array" ref="K287">INDEX(Honor!$I$2:$I800,MATCH($I287,Honor!$A$2:$A800,0))</f>
        <v>55000</v>
      </c>
      <c r="L287" s="64">
        <v>3</v>
      </c>
      <c r="M287" s="10">
        <f t="shared" si="0"/>
        <v>165000</v>
      </c>
      <c r="O287" s="67">
        <f t="array" ref="O287">INDEX(Honor!$L$2:$L800,MATCH($I287,Honor!$A$2:$A800,0))</f>
        <v>45402</v>
      </c>
      <c r="P287" s="10">
        <f t="shared" si="1"/>
        <v>2024</v>
      </c>
      <c r="Q287" s="10">
        <f t="shared" si="2"/>
        <v>4</v>
      </c>
      <c r="R287" s="10" t="str">
        <f t="array" ref="R287">INDEX(Honor!$Q$2:$Q800,MATCH($I287,Honor!$A$2:$A800,0))</f>
        <v>SURVEI-PPL</v>
      </c>
      <c r="S287" s="10" t="str">
        <f t="shared" si="3"/>
        <v>610422100165-2024-4</v>
      </c>
      <c r="T287" s="10" t="str">
        <f t="shared" si="4"/>
        <v>610422100165-2024-4-SURVEI-PPL</v>
      </c>
      <c r="U287" s="64">
        <v>1</v>
      </c>
      <c r="V287" s="10" t="e">
        <f t="array" aca="1" ref="V287" ca="1">INDEX(Honor!$O$2:$O800,MATCH($I287,Honor!$A$2:$A800,0))</f>
        <v>#NAME?</v>
      </c>
      <c r="W287" s="67"/>
      <c r="X287" s="7" t="str">
        <f t="array" ref="X287">INDEX('Input Kegiatan'!$B$2:$B800,MATCH(B287,'Input Kegiatan'!$A$2:$A800,0))</f>
        <v>Survei Hotel dan Jasa Akomodasi Bulanan (VHTS) 2024 April</v>
      </c>
      <c r="Y287" s="7" t="s">
        <v>3990</v>
      </c>
      <c r="Z287" s="7" t="s">
        <v>4332</v>
      </c>
      <c r="AA287" s="68">
        <f t="shared" si="5"/>
        <v>45382</v>
      </c>
      <c r="AB287" s="68">
        <f t="shared" si="6"/>
        <v>45383</v>
      </c>
      <c r="AC287" s="68">
        <f t="shared" si="7"/>
        <v>45412</v>
      </c>
      <c r="AD287" s="68">
        <f t="shared" si="8"/>
        <v>45411</v>
      </c>
      <c r="AE287" s="68">
        <f t="shared" si="9"/>
        <v>45412</v>
      </c>
    </row>
    <row r="288" spans="1:31" ht="12.5">
      <c r="A288" s="125">
        <v>610422050001</v>
      </c>
      <c r="B288" s="69" t="s">
        <v>141</v>
      </c>
      <c r="D288" s="10">
        <f t="array" aca="1" ref="D288" ca="1">INDEX('Mitra per Bulan'!$M$2:$M800,MATCH(S288,'Mitra per Bulan'!$B$2:$B800,0))</f>
        <v>1</v>
      </c>
      <c r="E288" s="10" t="str">
        <f t="array" ref="E288">INDEX('Database Mitra'!$A$2:$A800,MATCH(A288,'Database Mitra'!$B$2:$B800,0))</f>
        <v>Evi Juniarty</v>
      </c>
      <c r="F288" s="64" t="s">
        <v>25</v>
      </c>
      <c r="G288" s="5" t="str">
        <f t="array" ref="G288">INDEX('Database Mitra'!$G$2:$G800,MATCH(A288,'Database Mitra'!$B$2:$B800,0))</f>
        <v>6102165101840001</v>
      </c>
      <c r="H288" s="64" t="s">
        <v>67</v>
      </c>
      <c r="I288" s="65" t="s">
        <v>142</v>
      </c>
      <c r="J288" s="10" t="str">
        <f t="array" ref="J288">INDEX(Honor!$H$2:$H800,MATCH($I288,Honor!$A$2:$A800,0))</f>
        <v>Dokumen</v>
      </c>
      <c r="K288" s="66">
        <f t="array" ref="K288">INDEX(Honor!$I$2:$I800,MATCH($I288,Honor!$A$2:$A800,0))</f>
        <v>55000</v>
      </c>
      <c r="L288" s="64">
        <v>3</v>
      </c>
      <c r="M288" s="10">
        <f t="shared" si="0"/>
        <v>165000</v>
      </c>
      <c r="O288" s="67">
        <f t="array" ref="O288">INDEX(Honor!$L$2:$L800,MATCH($I288,Honor!$A$2:$A800,0))</f>
        <v>45402</v>
      </c>
      <c r="P288" s="10">
        <f t="shared" si="1"/>
        <v>2024</v>
      </c>
      <c r="Q288" s="10">
        <f t="shared" si="2"/>
        <v>4</v>
      </c>
      <c r="R288" s="10" t="str">
        <f t="array" ref="R288">INDEX(Honor!$Q$2:$Q800,MATCH($I288,Honor!$A$2:$A800,0))</f>
        <v>SURVEI-PPL</v>
      </c>
      <c r="S288" s="10" t="str">
        <f t="shared" si="3"/>
        <v>610422050001-2024-4</v>
      </c>
      <c r="T288" s="10" t="str">
        <f t="shared" si="4"/>
        <v>610422050001-2024-4-SURVEI-PPL</v>
      </c>
      <c r="U288" s="64">
        <v>1</v>
      </c>
      <c r="V288" s="10" t="e">
        <f t="array" aca="1" ref="V288" ca="1">INDEX(Honor!$O$2:$O800,MATCH($I288,Honor!$A$2:$A800,0))</f>
        <v>#NAME?</v>
      </c>
      <c r="W288" s="67"/>
      <c r="X288" s="7" t="str">
        <f t="array" ref="X288">INDEX('Input Kegiatan'!$B$2:$B800,MATCH(B288,'Input Kegiatan'!$A$2:$A800,0))</f>
        <v>Survei Hotel dan Jasa Akomodasi Bulanan (VHTS) 2024 April</v>
      </c>
      <c r="Y288" s="7" t="s">
        <v>4408</v>
      </c>
      <c r="Z288" s="7" t="s">
        <v>4409</v>
      </c>
      <c r="AA288" s="68">
        <f t="shared" si="5"/>
        <v>45382</v>
      </c>
      <c r="AB288" s="68">
        <f t="shared" si="6"/>
        <v>45383</v>
      </c>
      <c r="AC288" s="68">
        <f t="shared" si="7"/>
        <v>45412</v>
      </c>
      <c r="AD288" s="68">
        <f t="shared" si="8"/>
        <v>45411</v>
      </c>
      <c r="AE288" s="68">
        <f t="shared" si="9"/>
        <v>45412</v>
      </c>
    </row>
    <row r="289" spans="1:31" ht="12.5">
      <c r="A289" s="125">
        <v>610422040056</v>
      </c>
      <c r="B289" s="69" t="s">
        <v>141</v>
      </c>
      <c r="D289" s="10">
        <f t="array" aca="1" ref="D289" ca="1">INDEX('Mitra per Bulan'!$M$2:$M800,MATCH(S289,'Mitra per Bulan'!$B$2:$B800,0))</f>
        <v>1</v>
      </c>
      <c r="E289" s="10" t="str">
        <f t="array" ref="E289">INDEX('Database Mitra'!$A$2:$A800,MATCH(A289,'Database Mitra'!$B$2:$B800,0))</f>
        <v>Wandi Syafari</v>
      </c>
      <c r="F289" s="64" t="s">
        <v>25</v>
      </c>
      <c r="G289" s="5" t="str">
        <f t="array" ref="G289">INDEX('Database Mitra'!$G$2:$G800,MATCH(A289,'Database Mitra'!$B$2:$B800,0))</f>
        <v>6102010802760001</v>
      </c>
      <c r="H289" s="64" t="s">
        <v>67</v>
      </c>
      <c r="I289" s="65" t="s">
        <v>142</v>
      </c>
      <c r="J289" s="10" t="str">
        <f t="array" ref="J289">INDEX(Honor!$H$2:$H800,MATCH($I289,Honor!$A$2:$A800,0))</f>
        <v>Dokumen</v>
      </c>
      <c r="K289" s="66">
        <f t="array" ref="K289">INDEX(Honor!$I$2:$I800,MATCH($I289,Honor!$A$2:$A800,0))</f>
        <v>55000</v>
      </c>
      <c r="L289" s="64">
        <v>2</v>
      </c>
      <c r="M289" s="10">
        <f t="shared" si="0"/>
        <v>110000</v>
      </c>
      <c r="O289" s="67">
        <f t="array" ref="O289">INDEX(Honor!$L$2:$L800,MATCH($I289,Honor!$A$2:$A800,0))</f>
        <v>45402</v>
      </c>
      <c r="P289" s="10">
        <f t="shared" si="1"/>
        <v>2024</v>
      </c>
      <c r="Q289" s="10">
        <f t="shared" si="2"/>
        <v>4</v>
      </c>
      <c r="R289" s="10" t="str">
        <f t="array" ref="R289">INDEX(Honor!$Q$2:$Q800,MATCH($I289,Honor!$A$2:$A800,0))</f>
        <v>SURVEI-PPL</v>
      </c>
      <c r="S289" s="10" t="str">
        <f t="shared" si="3"/>
        <v>610422040056-2024-4</v>
      </c>
      <c r="T289" s="10" t="str">
        <f t="shared" si="4"/>
        <v>610422040056-2024-4-SURVEI-PPL</v>
      </c>
      <c r="U289" s="64">
        <v>1</v>
      </c>
      <c r="V289" s="10" t="e">
        <f t="array" aca="1" ref="V289" ca="1">INDEX(Honor!$O$2:$O800,MATCH($I289,Honor!$A$2:$A800,0))</f>
        <v>#NAME?</v>
      </c>
      <c r="W289" s="67"/>
      <c r="X289" s="7" t="str">
        <f t="array" ref="X289">INDEX('Input Kegiatan'!$B$2:$B800,MATCH(B289,'Input Kegiatan'!$A$2:$A800,0))</f>
        <v>Survei Hotel dan Jasa Akomodasi Bulanan (VHTS) 2024 April</v>
      </c>
      <c r="Y289" s="7" t="s">
        <v>4572</v>
      </c>
      <c r="Z289" s="7" t="s">
        <v>4656</v>
      </c>
      <c r="AA289" s="68">
        <f t="shared" si="5"/>
        <v>45382</v>
      </c>
      <c r="AB289" s="68">
        <f t="shared" si="6"/>
        <v>45383</v>
      </c>
      <c r="AC289" s="68">
        <f t="shared" si="7"/>
        <v>45412</v>
      </c>
      <c r="AD289" s="68">
        <f t="shared" si="8"/>
        <v>45411</v>
      </c>
      <c r="AE289" s="68">
        <f t="shared" si="9"/>
        <v>45412</v>
      </c>
    </row>
    <row r="290" spans="1:31" ht="12.5">
      <c r="A290" s="125">
        <v>610422040029</v>
      </c>
      <c r="B290" s="64" t="s">
        <v>143</v>
      </c>
      <c r="D290" s="10">
        <f t="array" aca="1" ref="D290" ca="1">INDEX('Mitra per Bulan'!$M$2:$M800,MATCH(S290,'Mitra per Bulan'!$B$2:$B800,0))</f>
        <v>1</v>
      </c>
      <c r="E290" s="10" t="str">
        <f t="array" ref="E290">INDEX('Database Mitra'!$A$2:$A800,MATCH(A290,'Database Mitra'!$B$2:$B800,0))</f>
        <v>Zaini</v>
      </c>
      <c r="F290" s="64" t="s">
        <v>25</v>
      </c>
      <c r="G290" s="5" t="str">
        <f t="array" ref="G290">INDEX('Database Mitra'!$G$2:$G800,MATCH(A290,'Database Mitra'!$B$2:$B800,0))</f>
        <v>6102010607870002</v>
      </c>
      <c r="H290" s="64" t="s">
        <v>67</v>
      </c>
      <c r="I290" s="64" t="s">
        <v>144</v>
      </c>
      <c r="J290" s="10" t="str">
        <f t="array" ref="J290">INDEX(Honor!$H$2:$H800,MATCH($I290,Honor!$A$2:$A800,0))</f>
        <v>Dokumen</v>
      </c>
      <c r="K290" s="66">
        <f t="array" ref="K290">INDEX(Honor!$I$2:$I800,MATCH($I290,Honor!$A$2:$A800,0))</f>
        <v>55000</v>
      </c>
      <c r="L290" s="64">
        <v>20</v>
      </c>
      <c r="M290" s="10">
        <f t="shared" si="0"/>
        <v>1100000</v>
      </c>
      <c r="N290" s="70"/>
      <c r="O290" s="67">
        <f t="array" ref="O290">INDEX(Honor!$L$2:$L800,MATCH($I290,Honor!$A$2:$A800,0))</f>
        <v>45404</v>
      </c>
      <c r="P290" s="10">
        <f t="shared" si="1"/>
        <v>2024</v>
      </c>
      <c r="Q290" s="10">
        <f t="shared" si="2"/>
        <v>4</v>
      </c>
      <c r="R290" s="10" t="str">
        <f t="array" ref="R290">INDEX(Honor!$Q$2:$Q800,MATCH($I290,Honor!$A$2:$A800,0))</f>
        <v>SURVEI-PPL</v>
      </c>
      <c r="S290" s="10" t="str">
        <f t="shared" si="3"/>
        <v>610422040029-2024-4</v>
      </c>
      <c r="T290" s="10" t="str">
        <f t="shared" si="4"/>
        <v>610422040029-2024-4-SURVEI-PPL</v>
      </c>
      <c r="U290" s="64">
        <v>1</v>
      </c>
      <c r="V290" s="10" t="e">
        <f t="array" aca="1" ref="V290" ca="1">INDEX(Honor!$O$2:$O800,MATCH($I290,Honor!$A$2:$A800,0))</f>
        <v>#NAME?</v>
      </c>
      <c r="W290" s="67"/>
      <c r="X290" s="7" t="str">
        <f t="array" ref="X290">INDEX('Input Kegiatan'!$B$2:$B800,MATCH(B290,'Input Kegiatan'!$A$2:$A800,0))</f>
        <v>(SPAK24) Survei Perilaku Anti Korupsi 2024</v>
      </c>
      <c r="Y290" s="7" t="s">
        <v>4572</v>
      </c>
      <c r="Z290" s="7" t="s">
        <v>4619</v>
      </c>
      <c r="AA290" s="68">
        <f t="shared" si="5"/>
        <v>45382</v>
      </c>
      <c r="AB290" s="68">
        <f t="shared" si="6"/>
        <v>45383</v>
      </c>
      <c r="AC290" s="68">
        <f t="shared" si="7"/>
        <v>45412</v>
      </c>
      <c r="AD290" s="68">
        <f t="shared" si="8"/>
        <v>45411</v>
      </c>
      <c r="AE290" s="68">
        <f t="shared" si="9"/>
        <v>45412</v>
      </c>
    </row>
    <row r="291" spans="1:31" ht="12.5">
      <c r="A291" s="125">
        <v>610422020016</v>
      </c>
      <c r="B291" s="64" t="s">
        <v>31</v>
      </c>
      <c r="D291" s="10">
        <f t="array" aca="1" ref="D291" ca="1">INDEX('Mitra per Bulan'!$M$2:$M800,MATCH(S291,'Mitra per Bulan'!$B$2:$B800,0))</f>
        <v>1</v>
      </c>
      <c r="E291" s="10" t="str">
        <f t="array" ref="E291">INDEX('Database Mitra'!$A$2:$A800,MATCH(A291,'Database Mitra'!$B$2:$B800,0))</f>
        <v>Abdul Aziz</v>
      </c>
      <c r="F291" s="65" t="s">
        <v>25</v>
      </c>
      <c r="G291" s="5" t="str">
        <f t="array" ref="G291">INDEX('Database Mitra'!$G$2:$G800,MATCH(A291,'Database Mitra'!$B$2:$B800,0))</f>
        <v>6102061507950006</v>
      </c>
      <c r="H291" s="64" t="s">
        <v>84</v>
      </c>
      <c r="I291" s="65" t="str">
        <f t="shared" ref="I291:I304" si="15">CONCATENATE(B291,"-",F291,"-",H291)</f>
        <v>KSA24-LAPANGAN-APRIL-PPL-KSA PADI</v>
      </c>
      <c r="J291" s="10" t="str">
        <f t="array" ref="J291">INDEX(Honor!$H$2:$H800,MATCH($I291,Honor!$A$2:$A800,0))</f>
        <v>Segmen</v>
      </c>
      <c r="K291" s="66">
        <f t="array" ref="K291">INDEX(Honor!$I$2:$I800,MATCH($I291,Honor!$A$2:$A800,0))</f>
        <v>116000</v>
      </c>
      <c r="L291" s="64">
        <v>3</v>
      </c>
      <c r="M291" s="10">
        <f t="shared" si="0"/>
        <v>348000</v>
      </c>
      <c r="O291" s="67">
        <f t="array" ref="O291">INDEX(Honor!$L$2:$L800,MATCH($I291,Honor!$A$2:$A800,0))</f>
        <v>45412</v>
      </c>
      <c r="P291" s="10">
        <f t="shared" si="1"/>
        <v>2024</v>
      </c>
      <c r="Q291" s="10">
        <f t="shared" si="2"/>
        <v>4</v>
      </c>
      <c r="R291" s="10" t="str">
        <f t="array" ref="R291">INDEX(Honor!$Q$2:$Q800,MATCH($I291,Honor!$A$2:$A800,0))</f>
        <v>SURVEI-PPL</v>
      </c>
      <c r="S291" s="10" t="str">
        <f t="shared" si="3"/>
        <v>610422020016-2024-4</v>
      </c>
      <c r="T291" s="10" t="str">
        <f t="shared" si="4"/>
        <v>610422020016-2024-4-SURVEI-PPL</v>
      </c>
      <c r="U291" s="64">
        <v>1</v>
      </c>
      <c r="V291" s="10" t="e">
        <f t="array" aca="1" ref="V291" ca="1">INDEX(Honor!$O$2:$O800,MATCH($I291,Honor!$A$2:$A800,0))</f>
        <v>#NAME?</v>
      </c>
      <c r="W291" s="68">
        <v>45419</v>
      </c>
      <c r="X291" s="7" t="str">
        <f t="array" ref="X291">INDEX('Input Kegiatan'!$B$2:$B800,MATCH(B291,'Input Kegiatan'!$A$2:$A800,0))</f>
        <v>Kerangka Sampel Area (KSA) 2024 April</v>
      </c>
      <c r="Y291" s="7" t="s">
        <v>5534</v>
      </c>
      <c r="Z291" s="7" t="s">
        <v>5535</v>
      </c>
      <c r="AA291" s="68">
        <f t="shared" si="5"/>
        <v>45382</v>
      </c>
      <c r="AB291" s="68">
        <f t="shared" si="6"/>
        <v>45383</v>
      </c>
      <c r="AC291" s="68">
        <f t="shared" si="7"/>
        <v>45412</v>
      </c>
      <c r="AD291" s="68">
        <f t="shared" si="8"/>
        <v>45411</v>
      </c>
      <c r="AE291" s="68">
        <f t="shared" si="9"/>
        <v>45412</v>
      </c>
    </row>
    <row r="292" spans="1:31" ht="12.5">
      <c r="A292" s="125">
        <v>610422040012</v>
      </c>
      <c r="B292" s="64" t="s">
        <v>31</v>
      </c>
      <c r="D292" s="10">
        <f t="array" aca="1" ref="D292" ca="1">INDEX('Mitra per Bulan'!$M$2:$M800,MATCH(S292,'Mitra per Bulan'!$B$2:$B800,0))</f>
        <v>1</v>
      </c>
      <c r="E292" s="10" t="str">
        <f t="array" ref="E292">INDEX('Database Mitra'!$A$2:$A800,MATCH(A292,'Database Mitra'!$B$2:$B800,0))</f>
        <v>Misdi</v>
      </c>
      <c r="F292" s="65" t="s">
        <v>25</v>
      </c>
      <c r="G292" s="5" t="str">
        <f t="array" ref="G292">INDEX('Database Mitra'!$G$2:$G800,MATCH(A292,'Database Mitra'!$B$2:$B800,0))</f>
        <v>6102070706940001</v>
      </c>
      <c r="H292" s="64" t="s">
        <v>84</v>
      </c>
      <c r="I292" s="65" t="str">
        <f t="shared" si="15"/>
        <v>KSA24-LAPANGAN-APRIL-PPL-KSA PADI</v>
      </c>
      <c r="J292" s="10" t="str">
        <f t="array" ref="J292">INDEX(Honor!$H$2:$H800,MATCH($I292,Honor!$A$2:$A800,0))</f>
        <v>Segmen</v>
      </c>
      <c r="K292" s="66">
        <f t="array" ref="K292">INDEX(Honor!$I$2:$I800,MATCH($I292,Honor!$A$2:$A800,0))</f>
        <v>116000</v>
      </c>
      <c r="L292" s="64">
        <v>3</v>
      </c>
      <c r="M292" s="10">
        <f t="shared" si="0"/>
        <v>348000</v>
      </c>
      <c r="O292" s="67">
        <f t="array" ref="O292">INDEX(Honor!$L$2:$L800,MATCH($I292,Honor!$A$2:$A800,0))</f>
        <v>45412</v>
      </c>
      <c r="P292" s="10">
        <f t="shared" si="1"/>
        <v>2024</v>
      </c>
      <c r="Q292" s="10">
        <f t="shared" si="2"/>
        <v>4</v>
      </c>
      <c r="R292" s="10" t="str">
        <f t="array" ref="R292">INDEX(Honor!$Q$2:$Q800,MATCH($I292,Honor!$A$2:$A800,0))</f>
        <v>SURVEI-PPL</v>
      </c>
      <c r="S292" s="10" t="str">
        <f t="shared" si="3"/>
        <v>610422040012-2024-4</v>
      </c>
      <c r="T292" s="10" t="str">
        <f t="shared" si="4"/>
        <v>610422040012-2024-4-SURVEI-PPL</v>
      </c>
      <c r="U292" s="64">
        <v>1</v>
      </c>
      <c r="V292" s="10" t="e">
        <f t="array" aca="1" ref="V292" ca="1">INDEX(Honor!$O$2:$O800,MATCH($I292,Honor!$A$2:$A800,0))</f>
        <v>#NAME?</v>
      </c>
      <c r="W292" s="68">
        <v>45419</v>
      </c>
      <c r="X292" s="7" t="str">
        <f t="array" ref="X292">INDEX('Input Kegiatan'!$B$2:$B800,MATCH(B292,'Input Kegiatan'!$A$2:$A800,0))</f>
        <v>Kerangka Sampel Area (KSA) 2024 April</v>
      </c>
      <c r="Y292" s="7" t="s">
        <v>3990</v>
      </c>
      <c r="Z292" s="7" t="s">
        <v>4365</v>
      </c>
      <c r="AA292" s="68">
        <f t="shared" si="5"/>
        <v>45382</v>
      </c>
      <c r="AB292" s="68">
        <f t="shared" si="6"/>
        <v>45383</v>
      </c>
      <c r="AC292" s="68">
        <f t="shared" si="7"/>
        <v>45412</v>
      </c>
      <c r="AD292" s="68">
        <f t="shared" si="8"/>
        <v>45411</v>
      </c>
      <c r="AE292" s="68">
        <f t="shared" si="9"/>
        <v>45412</v>
      </c>
    </row>
    <row r="293" spans="1:31" ht="12.5">
      <c r="A293" s="125">
        <v>610422040059</v>
      </c>
      <c r="B293" s="64" t="s">
        <v>31</v>
      </c>
      <c r="D293" s="10">
        <f t="array" aca="1" ref="D293" ca="1">INDEX('Mitra per Bulan'!$M$2:$M800,MATCH(S293,'Mitra per Bulan'!$B$2:$B800,0))</f>
        <v>1</v>
      </c>
      <c r="E293" s="10" t="str">
        <f t="array" ref="E293">INDEX('Database Mitra'!$A$2:$A800,MATCH(A293,'Database Mitra'!$B$2:$B800,0))</f>
        <v>Abang Handri</v>
      </c>
      <c r="F293" s="65" t="s">
        <v>25</v>
      </c>
      <c r="G293" s="5" t="str">
        <f t="array" ref="G293">INDEX('Database Mitra'!$G$2:$G800,MATCH(A293,'Database Mitra'!$B$2:$B800,0))</f>
        <v>6102072211780002</v>
      </c>
      <c r="H293" s="64" t="s">
        <v>84</v>
      </c>
      <c r="I293" s="65" t="str">
        <f t="shared" si="15"/>
        <v>KSA24-LAPANGAN-APRIL-PPL-KSA PADI</v>
      </c>
      <c r="J293" s="10" t="str">
        <f t="array" ref="J293">INDEX(Honor!$H$2:$H800,MATCH($I293,Honor!$A$2:$A800,0))</f>
        <v>Segmen</v>
      </c>
      <c r="K293" s="66">
        <f t="array" ref="K293">INDEX(Honor!$I$2:$I800,MATCH($I293,Honor!$A$2:$A800,0))</f>
        <v>116000</v>
      </c>
      <c r="L293" s="64">
        <v>4</v>
      </c>
      <c r="M293" s="10">
        <f t="shared" si="0"/>
        <v>464000</v>
      </c>
      <c r="O293" s="67">
        <f t="array" ref="O293">INDEX(Honor!$L$2:$L800,MATCH($I293,Honor!$A$2:$A800,0))</f>
        <v>45412</v>
      </c>
      <c r="P293" s="10">
        <f t="shared" si="1"/>
        <v>2024</v>
      </c>
      <c r="Q293" s="10">
        <f t="shared" si="2"/>
        <v>4</v>
      </c>
      <c r="R293" s="10" t="str">
        <f t="array" ref="R293">INDEX(Honor!$Q$2:$Q800,MATCH($I293,Honor!$A$2:$A800,0))</f>
        <v>SURVEI-PPL</v>
      </c>
      <c r="S293" s="10" t="str">
        <f t="shared" si="3"/>
        <v>610422040059-2024-4</v>
      </c>
      <c r="T293" s="10" t="str">
        <f t="shared" si="4"/>
        <v>610422040059-2024-4-SURVEI-PPL</v>
      </c>
      <c r="U293" s="64">
        <v>1</v>
      </c>
      <c r="V293" s="10" t="e">
        <f t="array" aca="1" ref="V293" ca="1">INDEX(Honor!$O$2:$O800,MATCH($I293,Honor!$A$2:$A800,0))</f>
        <v>#NAME?</v>
      </c>
      <c r="W293" s="68">
        <v>45419</v>
      </c>
      <c r="X293" s="7" t="str">
        <f t="array" ref="X293">INDEX('Input Kegiatan'!$B$2:$B800,MATCH(B293,'Input Kegiatan'!$A$2:$A800,0))</f>
        <v>Kerangka Sampel Area (KSA) 2024 April</v>
      </c>
      <c r="Y293" s="7" t="s">
        <v>4572</v>
      </c>
      <c r="Z293" s="7" t="s">
        <v>4656</v>
      </c>
      <c r="AA293" s="68">
        <f t="shared" si="5"/>
        <v>45382</v>
      </c>
      <c r="AB293" s="68">
        <f t="shared" si="6"/>
        <v>45383</v>
      </c>
      <c r="AC293" s="68">
        <f t="shared" si="7"/>
        <v>45412</v>
      </c>
      <c r="AD293" s="68">
        <f t="shared" si="8"/>
        <v>45411</v>
      </c>
      <c r="AE293" s="68">
        <f t="shared" si="9"/>
        <v>45412</v>
      </c>
    </row>
    <row r="294" spans="1:31" ht="12.5">
      <c r="A294" s="125">
        <v>610422040061</v>
      </c>
      <c r="B294" s="64" t="s">
        <v>31</v>
      </c>
      <c r="D294" s="10">
        <f t="array" aca="1" ref="D294" ca="1">INDEX('Mitra per Bulan'!$M$2:$M800,MATCH(S294,'Mitra per Bulan'!$B$2:$B800,0))</f>
        <v>1</v>
      </c>
      <c r="E294" s="10" t="str">
        <f t="array" ref="E294">INDEX('Database Mitra'!$A$2:$A800,MATCH(A294,'Database Mitra'!$B$2:$B800,0))</f>
        <v>Sabani</v>
      </c>
      <c r="F294" s="65" t="s">
        <v>25</v>
      </c>
      <c r="G294" s="5" t="str">
        <f t="array" ref="G294">INDEX('Database Mitra'!$G$2:$G800,MATCH(A294,'Database Mitra'!$B$2:$B800,0))</f>
        <v>6102153112860003</v>
      </c>
      <c r="H294" s="64" t="s">
        <v>84</v>
      </c>
      <c r="I294" s="65" t="str">
        <f t="shared" si="15"/>
        <v>KSA24-LAPANGAN-APRIL-PPL-KSA PADI</v>
      </c>
      <c r="J294" s="10" t="str">
        <f t="array" ref="J294">INDEX(Honor!$H$2:$H800,MATCH($I294,Honor!$A$2:$A800,0))</f>
        <v>Segmen</v>
      </c>
      <c r="K294" s="66">
        <f t="array" ref="K294">INDEX(Honor!$I$2:$I800,MATCH($I294,Honor!$A$2:$A800,0))</f>
        <v>116000</v>
      </c>
      <c r="L294" s="64">
        <v>3</v>
      </c>
      <c r="M294" s="10">
        <f t="shared" si="0"/>
        <v>348000</v>
      </c>
      <c r="O294" s="67">
        <f t="array" ref="O294">INDEX(Honor!$L$2:$L800,MATCH($I294,Honor!$A$2:$A800,0))</f>
        <v>45412</v>
      </c>
      <c r="P294" s="10">
        <f t="shared" si="1"/>
        <v>2024</v>
      </c>
      <c r="Q294" s="10">
        <f t="shared" si="2"/>
        <v>4</v>
      </c>
      <c r="R294" s="10" t="str">
        <f t="array" ref="R294">INDEX(Honor!$Q$2:$Q800,MATCH($I294,Honor!$A$2:$A800,0))</f>
        <v>SURVEI-PPL</v>
      </c>
      <c r="S294" s="10" t="str">
        <f t="shared" si="3"/>
        <v>610422040061-2024-4</v>
      </c>
      <c r="T294" s="10" t="str">
        <f t="shared" si="4"/>
        <v>610422040061-2024-4-SURVEI-PPL</v>
      </c>
      <c r="U294" s="64">
        <v>1</v>
      </c>
      <c r="V294" s="10" t="e">
        <f t="array" aca="1" ref="V294" ca="1">INDEX(Honor!$O$2:$O800,MATCH($I294,Honor!$A$2:$A800,0))</f>
        <v>#NAME?</v>
      </c>
      <c r="W294" s="68">
        <v>45419</v>
      </c>
      <c r="X294" s="7" t="str">
        <f t="array" ref="X294">INDEX('Input Kegiatan'!$B$2:$B800,MATCH(B294,'Input Kegiatan'!$A$2:$A800,0))</f>
        <v>Kerangka Sampel Area (KSA) 2024 April</v>
      </c>
      <c r="Y294" s="7" t="s">
        <v>3715</v>
      </c>
      <c r="Z294" s="7" t="s">
        <v>3862</v>
      </c>
      <c r="AA294" s="68">
        <f t="shared" si="5"/>
        <v>45382</v>
      </c>
      <c r="AB294" s="68">
        <f t="shared" si="6"/>
        <v>45383</v>
      </c>
      <c r="AC294" s="68">
        <f t="shared" si="7"/>
        <v>45412</v>
      </c>
      <c r="AD294" s="68">
        <f t="shared" si="8"/>
        <v>45411</v>
      </c>
      <c r="AE294" s="68">
        <f t="shared" si="9"/>
        <v>45412</v>
      </c>
    </row>
    <row r="295" spans="1:31" ht="12.5">
      <c r="A295" s="125">
        <v>610422100131</v>
      </c>
      <c r="B295" s="64" t="s">
        <v>31</v>
      </c>
      <c r="D295" s="10">
        <f t="array" aca="1" ref="D295" ca="1">INDEX('Mitra per Bulan'!$M$2:$M800,MATCH(S295,'Mitra per Bulan'!$B$2:$B800,0))</f>
        <v>1</v>
      </c>
      <c r="E295" s="10" t="str">
        <f t="array" ref="E295">INDEX('Database Mitra'!$A$2:$A800,MATCH(A295,'Database Mitra'!$B$2:$B800,0))</f>
        <v>Syamsul</v>
      </c>
      <c r="F295" s="65" t="s">
        <v>25</v>
      </c>
      <c r="G295" s="5" t="str">
        <f t="array" ref="G295">INDEX('Database Mitra'!$G$2:$G800,MATCH(A295,'Database Mitra'!$B$2:$B800,0))</f>
        <v>6102150907860003</v>
      </c>
      <c r="H295" s="64" t="s">
        <v>84</v>
      </c>
      <c r="I295" s="65" t="str">
        <f t="shared" si="15"/>
        <v>KSA24-LAPANGAN-APRIL-PPL-KSA PADI</v>
      </c>
      <c r="J295" s="10" t="str">
        <f t="array" ref="J295">INDEX(Honor!$H$2:$H800,MATCH($I295,Honor!$A$2:$A800,0))</f>
        <v>Segmen</v>
      </c>
      <c r="K295" s="66">
        <f t="array" ref="K295">INDEX(Honor!$I$2:$I800,MATCH($I295,Honor!$A$2:$A800,0))</f>
        <v>116000</v>
      </c>
      <c r="L295" s="64">
        <v>3</v>
      </c>
      <c r="M295" s="10">
        <f t="shared" si="0"/>
        <v>348000</v>
      </c>
      <c r="O295" s="67">
        <f t="array" ref="O295">INDEX(Honor!$L$2:$L800,MATCH($I295,Honor!$A$2:$A800,0))</f>
        <v>45412</v>
      </c>
      <c r="P295" s="10">
        <f t="shared" si="1"/>
        <v>2024</v>
      </c>
      <c r="Q295" s="10">
        <f t="shared" si="2"/>
        <v>4</v>
      </c>
      <c r="R295" s="10" t="str">
        <f t="array" ref="R295">INDEX(Honor!$Q$2:$Q800,MATCH($I295,Honor!$A$2:$A800,0))</f>
        <v>SURVEI-PPL</v>
      </c>
      <c r="S295" s="10" t="str">
        <f t="shared" si="3"/>
        <v>610422100131-2024-4</v>
      </c>
      <c r="T295" s="10" t="str">
        <f t="shared" si="4"/>
        <v>610422100131-2024-4-SURVEI-PPL</v>
      </c>
      <c r="U295" s="64">
        <v>1</v>
      </c>
      <c r="V295" s="10" t="e">
        <f t="array" aca="1" ref="V295" ca="1">INDEX(Honor!$O$2:$O800,MATCH($I295,Honor!$A$2:$A800,0))</f>
        <v>#NAME?</v>
      </c>
      <c r="W295" s="68">
        <v>45419</v>
      </c>
      <c r="X295" s="7" t="str">
        <f t="array" ref="X295">INDEX('Input Kegiatan'!$B$2:$B800,MATCH(B295,'Input Kegiatan'!$A$2:$A800,0))</f>
        <v>Kerangka Sampel Area (KSA) 2024 April</v>
      </c>
      <c r="Y295" s="7" t="s">
        <v>5250</v>
      </c>
      <c r="Z295" s="7" t="s">
        <v>5365</v>
      </c>
      <c r="AA295" s="68">
        <f t="shared" si="5"/>
        <v>45382</v>
      </c>
      <c r="AB295" s="68">
        <f t="shared" si="6"/>
        <v>45383</v>
      </c>
      <c r="AC295" s="68">
        <f t="shared" si="7"/>
        <v>45412</v>
      </c>
      <c r="AD295" s="68">
        <f t="shared" si="8"/>
        <v>45411</v>
      </c>
      <c r="AE295" s="68">
        <f t="shared" si="9"/>
        <v>45412</v>
      </c>
    </row>
    <row r="296" spans="1:31" ht="12.5">
      <c r="A296" s="125">
        <v>610422100244</v>
      </c>
      <c r="B296" s="64" t="s">
        <v>31</v>
      </c>
      <c r="D296" s="10">
        <f t="array" aca="1" ref="D296" ca="1">INDEX('Mitra per Bulan'!$M$2:$M800,MATCH(S296,'Mitra per Bulan'!$B$2:$B800,0))</f>
        <v>1</v>
      </c>
      <c r="E296" s="10" t="str">
        <f t="array" ref="E296">INDEX('Database Mitra'!$A$2:$A800,MATCH(A296,'Database Mitra'!$B$2:$B800,0))</f>
        <v>Sugianto</v>
      </c>
      <c r="F296" s="65" t="s">
        <v>25</v>
      </c>
      <c r="G296" s="5" t="str">
        <f t="array" ref="G296">INDEX('Database Mitra'!$G$2:$G800,MATCH(A296,'Database Mitra'!$B$2:$B800,0))</f>
        <v>6102171003900002</v>
      </c>
      <c r="H296" s="64" t="s">
        <v>84</v>
      </c>
      <c r="I296" s="65" t="str">
        <f t="shared" si="15"/>
        <v>KSA24-LAPANGAN-APRIL-PPL-KSA PADI</v>
      </c>
      <c r="J296" s="10" t="str">
        <f t="array" ref="J296">INDEX(Honor!$H$2:$H800,MATCH($I296,Honor!$A$2:$A800,0))</f>
        <v>Segmen</v>
      </c>
      <c r="K296" s="66">
        <f t="array" ref="K296">INDEX(Honor!$I$2:$I800,MATCH($I296,Honor!$A$2:$A800,0))</f>
        <v>116000</v>
      </c>
      <c r="L296" s="64">
        <v>3</v>
      </c>
      <c r="M296" s="10">
        <f t="shared" si="0"/>
        <v>348000</v>
      </c>
      <c r="O296" s="67">
        <f t="array" ref="O296">INDEX(Honor!$L$2:$L800,MATCH($I296,Honor!$A$2:$A800,0))</f>
        <v>45412</v>
      </c>
      <c r="P296" s="10">
        <f t="shared" si="1"/>
        <v>2024</v>
      </c>
      <c r="Q296" s="10">
        <f t="shared" si="2"/>
        <v>4</v>
      </c>
      <c r="R296" s="10" t="str">
        <f t="array" ref="R296">INDEX(Honor!$Q$2:$Q800,MATCH($I296,Honor!$A$2:$A800,0))</f>
        <v>SURVEI-PPL</v>
      </c>
      <c r="S296" s="10" t="str">
        <f t="shared" si="3"/>
        <v>610422100244-2024-4</v>
      </c>
      <c r="T296" s="10" t="str">
        <f t="shared" si="4"/>
        <v>610422100244-2024-4-SURVEI-PPL</v>
      </c>
      <c r="U296" s="64">
        <v>1</v>
      </c>
      <c r="V296" s="10" t="e">
        <f t="array" aca="1" ref="V296" ca="1">INDEX(Honor!$O$2:$O800,MATCH($I296,Honor!$A$2:$A800,0))</f>
        <v>#NAME?</v>
      </c>
      <c r="W296" s="68">
        <v>45419</v>
      </c>
      <c r="X296" s="7" t="str">
        <f t="array" ref="X296">INDEX('Input Kegiatan'!$B$2:$B800,MATCH(B296,'Input Kegiatan'!$A$2:$A800,0))</f>
        <v>Kerangka Sampel Area (KSA) 2024 April</v>
      </c>
      <c r="Y296" s="7" t="s">
        <v>5741</v>
      </c>
      <c r="Z296" s="7" t="s">
        <v>5796</v>
      </c>
      <c r="AA296" s="68">
        <f t="shared" si="5"/>
        <v>45382</v>
      </c>
      <c r="AB296" s="68">
        <f t="shared" si="6"/>
        <v>45383</v>
      </c>
      <c r="AC296" s="68">
        <f t="shared" si="7"/>
        <v>45412</v>
      </c>
      <c r="AD296" s="68">
        <f t="shared" si="8"/>
        <v>45411</v>
      </c>
      <c r="AE296" s="68">
        <f t="shared" si="9"/>
        <v>45412</v>
      </c>
    </row>
    <row r="297" spans="1:31" ht="12.5">
      <c r="A297" s="125">
        <v>610422100176</v>
      </c>
      <c r="B297" s="64" t="s">
        <v>31</v>
      </c>
      <c r="D297" s="10">
        <f t="array" aca="1" ref="D297" ca="1">INDEX('Mitra per Bulan'!$M$2:$M800,MATCH(S297,'Mitra per Bulan'!$B$2:$B800,0))</f>
        <v>1</v>
      </c>
      <c r="E297" s="10" t="str">
        <f t="array" ref="E297">INDEX('Database Mitra'!$A$2:$A800,MATCH(A297,'Database Mitra'!$B$2:$B800,0))</f>
        <v>Feri Firdaus</v>
      </c>
      <c r="F297" s="65" t="s">
        <v>25</v>
      </c>
      <c r="G297" s="5" t="str">
        <f t="array" ref="G297">INDEX('Database Mitra'!$G$2:$G800,MATCH(A297,'Database Mitra'!$B$2:$B800,0))</f>
        <v>6102150412880001</v>
      </c>
      <c r="H297" s="64" t="s">
        <v>84</v>
      </c>
      <c r="I297" s="65" t="str">
        <f t="shared" si="15"/>
        <v>KSA24-LAPANGAN-APRIL-PPL-KSA PADI</v>
      </c>
      <c r="J297" s="10" t="str">
        <f t="array" ref="J297">INDEX(Honor!$H$2:$H800,MATCH($I297,Honor!$A$2:$A800,0))</f>
        <v>Segmen</v>
      </c>
      <c r="K297" s="66">
        <f t="array" ref="K297">INDEX(Honor!$I$2:$I800,MATCH($I297,Honor!$A$2:$A800,0))</f>
        <v>116000</v>
      </c>
      <c r="L297" s="64">
        <v>3</v>
      </c>
      <c r="M297" s="10">
        <f t="shared" si="0"/>
        <v>348000</v>
      </c>
      <c r="O297" s="67">
        <f t="array" ref="O297">INDEX(Honor!$L$2:$L800,MATCH($I297,Honor!$A$2:$A800,0))</f>
        <v>45412</v>
      </c>
      <c r="P297" s="10">
        <f t="shared" si="1"/>
        <v>2024</v>
      </c>
      <c r="Q297" s="10">
        <f t="shared" si="2"/>
        <v>4</v>
      </c>
      <c r="R297" s="10" t="str">
        <f t="array" ref="R297">INDEX(Honor!$Q$2:$Q800,MATCH($I297,Honor!$A$2:$A800,0))</f>
        <v>SURVEI-PPL</v>
      </c>
      <c r="S297" s="10" t="str">
        <f t="shared" si="3"/>
        <v>610422100176-2024-4</v>
      </c>
      <c r="T297" s="10" t="str">
        <f t="shared" si="4"/>
        <v>610422100176-2024-4-SURVEI-PPL</v>
      </c>
      <c r="U297" s="64">
        <v>1</v>
      </c>
      <c r="V297" s="10" t="e">
        <f t="array" aca="1" ref="V297" ca="1">INDEX(Honor!$O$2:$O800,MATCH($I297,Honor!$A$2:$A800,0))</f>
        <v>#NAME?</v>
      </c>
      <c r="W297" s="68">
        <v>45419</v>
      </c>
      <c r="X297" s="7" t="str">
        <f t="array" ref="X297">INDEX('Input Kegiatan'!$B$2:$B800,MATCH(B297,'Input Kegiatan'!$A$2:$A800,0))</f>
        <v>Kerangka Sampel Area (KSA) 2024 April</v>
      </c>
      <c r="Y297" s="7" t="s">
        <v>3715</v>
      </c>
      <c r="Z297" s="7" t="s">
        <v>3765</v>
      </c>
      <c r="AA297" s="68">
        <f t="shared" si="5"/>
        <v>45382</v>
      </c>
      <c r="AB297" s="68">
        <f t="shared" si="6"/>
        <v>45383</v>
      </c>
      <c r="AC297" s="68">
        <f t="shared" si="7"/>
        <v>45412</v>
      </c>
      <c r="AD297" s="68">
        <f t="shared" si="8"/>
        <v>45411</v>
      </c>
      <c r="AE297" s="68">
        <f t="shared" si="9"/>
        <v>45412</v>
      </c>
    </row>
    <row r="298" spans="1:31" ht="12.5">
      <c r="A298" s="125">
        <v>610423110183</v>
      </c>
      <c r="B298" s="64" t="s">
        <v>31</v>
      </c>
      <c r="D298" s="10">
        <f t="array" aca="1" ref="D298" ca="1">INDEX('Mitra per Bulan'!$M$2:$M800,MATCH(S298,'Mitra per Bulan'!$B$2:$B800,0))</f>
        <v>1</v>
      </c>
      <c r="E298" s="10" t="str">
        <f t="array" ref="E298">INDEX('Database Mitra'!$A$2:$A800,MATCH(A298,'Database Mitra'!$B$2:$B800,0))</f>
        <v>Azhar</v>
      </c>
      <c r="F298" s="65" t="s">
        <v>25</v>
      </c>
      <c r="G298" s="5" t="str">
        <f t="array" ref="G298">INDEX('Database Mitra'!$G$2:$G800,MATCH(A298,'Database Mitra'!$B$2:$B800,0))</f>
        <v>6102081211790004</v>
      </c>
      <c r="H298" s="64" t="s">
        <v>84</v>
      </c>
      <c r="I298" s="65" t="str">
        <f t="shared" si="15"/>
        <v>KSA24-LAPANGAN-APRIL-PPL-KSA PADI</v>
      </c>
      <c r="J298" s="10" t="str">
        <f t="array" ref="J298">INDEX(Honor!$H$2:$H800,MATCH($I298,Honor!$A$2:$A800,0))</f>
        <v>Segmen</v>
      </c>
      <c r="K298" s="66">
        <f t="array" ref="K298">INDEX(Honor!$I$2:$I800,MATCH($I298,Honor!$A$2:$A800,0))</f>
        <v>116000</v>
      </c>
      <c r="L298" s="64">
        <v>6</v>
      </c>
      <c r="M298" s="10">
        <f t="shared" si="0"/>
        <v>696000</v>
      </c>
      <c r="O298" s="67">
        <f t="array" ref="O298">INDEX(Honor!$L$2:$L800,MATCH($I298,Honor!$A$2:$A800,0))</f>
        <v>45412</v>
      </c>
      <c r="P298" s="10">
        <f t="shared" si="1"/>
        <v>2024</v>
      </c>
      <c r="Q298" s="10">
        <f t="shared" si="2"/>
        <v>4</v>
      </c>
      <c r="R298" s="10" t="str">
        <f t="array" ref="R298">INDEX(Honor!$Q$2:$Q800,MATCH($I298,Honor!$A$2:$A800,0))</f>
        <v>SURVEI-PPL</v>
      </c>
      <c r="S298" s="10" t="str">
        <f t="shared" si="3"/>
        <v>610423110183-2024-4</v>
      </c>
      <c r="T298" s="10" t="str">
        <f t="shared" si="4"/>
        <v>610423110183-2024-4-SURVEI-PPL</v>
      </c>
      <c r="U298" s="64">
        <v>1</v>
      </c>
      <c r="V298" s="10" t="e">
        <f t="array" aca="1" ref="V298" ca="1">INDEX(Honor!$O$2:$O800,MATCH($I298,Honor!$A$2:$A800,0))</f>
        <v>#NAME?</v>
      </c>
      <c r="W298" s="68">
        <v>45419</v>
      </c>
      <c r="X298" s="7" t="str">
        <f t="array" ref="X298">INDEX('Input Kegiatan'!$B$2:$B800,MATCH(B298,'Input Kegiatan'!$A$2:$A800,0))</f>
        <v>Kerangka Sampel Area (KSA) 2024 April</v>
      </c>
      <c r="Y298" s="7" t="s">
        <v>3241</v>
      </c>
      <c r="Z298" s="7" t="s">
        <v>3242</v>
      </c>
      <c r="AA298" s="68">
        <f t="shared" si="5"/>
        <v>45382</v>
      </c>
      <c r="AB298" s="68">
        <f t="shared" si="6"/>
        <v>45383</v>
      </c>
      <c r="AC298" s="68">
        <f t="shared" si="7"/>
        <v>45412</v>
      </c>
      <c r="AD298" s="68">
        <f t="shared" si="8"/>
        <v>45411</v>
      </c>
      <c r="AE298" s="68">
        <f t="shared" si="9"/>
        <v>45412</v>
      </c>
    </row>
    <row r="299" spans="1:31" ht="12.5">
      <c r="A299" s="125">
        <v>610423040018</v>
      </c>
      <c r="B299" s="64" t="s">
        <v>31</v>
      </c>
      <c r="D299" s="10">
        <f t="array" aca="1" ref="D299" ca="1">INDEX('Mitra per Bulan'!$M$2:$M800,MATCH(S299,'Mitra per Bulan'!$B$2:$B800,0))</f>
        <v>1</v>
      </c>
      <c r="E299" s="10" t="str">
        <f t="array" ref="E299">INDEX('Database Mitra'!$A$2:$A800,MATCH(A299,'Database Mitra'!$B$2:$B800,0))</f>
        <v>Handoko Tuah Sabarman Sipayung</v>
      </c>
      <c r="F299" s="64" t="s">
        <v>25</v>
      </c>
      <c r="G299" s="5" t="str">
        <f t="array" ref="G299">INDEX('Database Mitra'!$G$2:$G800,MATCH(A299,'Database Mitra'!$B$2:$B800,0))</f>
        <v>1212092309880001</v>
      </c>
      <c r="H299" s="64" t="s">
        <v>84</v>
      </c>
      <c r="I299" s="65" t="str">
        <f t="shared" si="15"/>
        <v>KSA24-LAPANGAN-APRIL-PPL-KSA PADI</v>
      </c>
      <c r="J299" s="10" t="str">
        <f t="array" ref="J299">INDEX(Honor!$H$2:$H800,MATCH($I299,Honor!$A$2:$A800,0))</f>
        <v>Segmen</v>
      </c>
      <c r="K299" s="66">
        <f t="array" ref="K299">INDEX(Honor!$I$2:$I800,MATCH($I299,Honor!$A$2:$A800,0))</f>
        <v>116000</v>
      </c>
      <c r="L299" s="64">
        <v>4</v>
      </c>
      <c r="M299" s="10">
        <f t="shared" si="0"/>
        <v>464000</v>
      </c>
      <c r="O299" s="67">
        <f t="array" ref="O299">INDEX(Honor!$L$2:$L800,MATCH($I299,Honor!$A$2:$A800,0))</f>
        <v>45412</v>
      </c>
      <c r="P299" s="10">
        <f t="shared" si="1"/>
        <v>2024</v>
      </c>
      <c r="Q299" s="10">
        <f t="shared" si="2"/>
        <v>4</v>
      </c>
      <c r="R299" s="10" t="str">
        <f t="array" ref="R299">INDEX(Honor!$Q$2:$Q800,MATCH($I299,Honor!$A$2:$A800,0))</f>
        <v>SURVEI-PPL</v>
      </c>
      <c r="S299" s="10" t="str">
        <f t="shared" si="3"/>
        <v>610423040018-2024-4</v>
      </c>
      <c r="T299" s="10" t="str">
        <f t="shared" si="4"/>
        <v>610423040018-2024-4-SURVEI-PPL</v>
      </c>
      <c r="U299" s="64">
        <v>1</v>
      </c>
      <c r="V299" s="10" t="e">
        <f t="array" aca="1" ref="V299" ca="1">INDEX(Honor!$O$2:$O800,MATCH($I299,Honor!$A$2:$A800,0))</f>
        <v>#NAME?</v>
      </c>
      <c r="W299" s="68">
        <v>45419</v>
      </c>
      <c r="X299" s="7" t="str">
        <f t="array" ref="X299">INDEX('Input Kegiatan'!$B$2:$B800,MATCH(B299,'Input Kegiatan'!$A$2:$A800,0))</f>
        <v>Kerangka Sampel Area (KSA) 2024 April</v>
      </c>
      <c r="Y299" s="7" t="s">
        <v>5534</v>
      </c>
      <c r="Z299" s="7" t="s">
        <v>5647</v>
      </c>
      <c r="AA299" s="68">
        <f t="shared" si="5"/>
        <v>45382</v>
      </c>
      <c r="AB299" s="68">
        <f t="shared" si="6"/>
        <v>45383</v>
      </c>
      <c r="AC299" s="68">
        <f t="shared" si="7"/>
        <v>45412</v>
      </c>
      <c r="AD299" s="68">
        <f t="shared" si="8"/>
        <v>45411</v>
      </c>
      <c r="AE299" s="68">
        <f t="shared" si="9"/>
        <v>45412</v>
      </c>
    </row>
    <row r="300" spans="1:31" ht="12.5">
      <c r="A300" s="125">
        <v>610422040059</v>
      </c>
      <c r="B300" s="64" t="s">
        <v>31</v>
      </c>
      <c r="D300" s="10">
        <f t="array" aca="1" ref="D300" ca="1">INDEX('Mitra per Bulan'!$M$2:$M800,MATCH(S300,'Mitra per Bulan'!$B$2:$B800,0))</f>
        <v>1</v>
      </c>
      <c r="E300" s="10" t="str">
        <f t="array" ref="E300">INDEX('Database Mitra'!$A$2:$A800,MATCH(A300,'Database Mitra'!$B$2:$B800,0))</f>
        <v>Abang Handri</v>
      </c>
      <c r="F300" s="64" t="s">
        <v>25</v>
      </c>
      <c r="G300" s="5" t="str">
        <f t="array" ref="G300">INDEX('Database Mitra'!$G$2:$G800,MATCH(A300,'Database Mitra'!$B$2:$B800,0))</f>
        <v>6102072211780002</v>
      </c>
      <c r="H300" s="64" t="s">
        <v>85</v>
      </c>
      <c r="I300" s="65" t="str">
        <f t="shared" si="15"/>
        <v>KSA24-LAPANGAN-APRIL-PPL-KSA JAGUNG</v>
      </c>
      <c r="J300" s="10" t="str">
        <f t="array" ref="J300">INDEX(Honor!$H$2:$H800,MATCH($I300,Honor!$A$2:$A800,0))</f>
        <v>Segmen</v>
      </c>
      <c r="K300" s="66">
        <f t="array" ref="K300">INDEX(Honor!$I$2:$I800,MATCH($I300,Honor!$A$2:$A800,0))</f>
        <v>59000</v>
      </c>
      <c r="L300" s="64">
        <v>6</v>
      </c>
      <c r="M300" s="10">
        <f t="shared" si="0"/>
        <v>354000</v>
      </c>
      <c r="O300" s="67">
        <f t="array" ref="O300">INDEX(Honor!$L$2:$L800,MATCH($I300,Honor!$A$2:$A800,0))</f>
        <v>45412</v>
      </c>
      <c r="P300" s="10">
        <f t="shared" si="1"/>
        <v>2024</v>
      </c>
      <c r="Q300" s="10">
        <f t="shared" si="2"/>
        <v>4</v>
      </c>
      <c r="R300" s="10" t="str">
        <f t="array" ref="R300">INDEX(Honor!$Q$2:$Q800,MATCH($I300,Honor!$A$2:$A800,0))</f>
        <v>SURVEI-PPL</v>
      </c>
      <c r="S300" s="10" t="str">
        <f t="shared" si="3"/>
        <v>610422040059-2024-4</v>
      </c>
      <c r="T300" s="10" t="str">
        <f t="shared" si="4"/>
        <v>610422040059-2024-4-SURVEI-PPL</v>
      </c>
      <c r="U300" s="64">
        <v>1</v>
      </c>
      <c r="V300" s="10" t="e">
        <f t="array" aca="1" ref="V300" ca="1">INDEX(Honor!$O$2:$O800,MATCH($I300,Honor!$A$2:$A800,0))</f>
        <v>#NAME?</v>
      </c>
      <c r="W300" s="68">
        <v>45419</v>
      </c>
      <c r="X300" s="7" t="str">
        <f t="array" ref="X300">INDEX('Input Kegiatan'!$B$2:$B800,MATCH(B300,'Input Kegiatan'!$A$2:$A800,0))</f>
        <v>Kerangka Sampel Area (KSA) 2024 April</v>
      </c>
      <c r="Y300" s="7" t="s">
        <v>4572</v>
      </c>
      <c r="Z300" s="7" t="s">
        <v>4656</v>
      </c>
      <c r="AA300" s="68">
        <f t="shared" si="5"/>
        <v>45382</v>
      </c>
      <c r="AB300" s="68">
        <f t="shared" si="6"/>
        <v>45383</v>
      </c>
      <c r="AC300" s="68">
        <f t="shared" si="7"/>
        <v>45412</v>
      </c>
      <c r="AD300" s="68">
        <f t="shared" si="8"/>
        <v>45411</v>
      </c>
      <c r="AE300" s="68">
        <f t="shared" si="9"/>
        <v>45412</v>
      </c>
    </row>
    <row r="301" spans="1:31" ht="12.5">
      <c r="A301" s="125">
        <v>610422020048</v>
      </c>
      <c r="B301" s="64" t="s">
        <v>31</v>
      </c>
      <c r="D301" s="10">
        <f t="array" aca="1" ref="D301" ca="1">INDEX('Mitra per Bulan'!$M$2:$M800,MATCH(S301,'Mitra per Bulan'!$B$2:$B800,0))</f>
        <v>1</v>
      </c>
      <c r="E301" s="10" t="str">
        <f t="array" ref="E301">INDEX('Database Mitra'!$A$2:$A800,MATCH(A301,'Database Mitra'!$B$2:$B800,0))</f>
        <v>Herri Gustaman</v>
      </c>
      <c r="F301" s="64" t="s">
        <v>25</v>
      </c>
      <c r="G301" s="5" t="str">
        <f t="array" ref="G301">INDEX('Database Mitra'!$G$2:$G800,MATCH(A301,'Database Mitra'!$B$2:$B800,0))</f>
        <v>6102072503800001</v>
      </c>
      <c r="H301" s="64" t="s">
        <v>85</v>
      </c>
      <c r="I301" s="65" t="str">
        <f t="shared" si="15"/>
        <v>KSA24-LAPANGAN-APRIL-PPL-KSA JAGUNG</v>
      </c>
      <c r="J301" s="10" t="str">
        <f t="array" ref="J301">INDEX(Honor!$H$2:$H800,MATCH($I301,Honor!$A$2:$A800,0))</f>
        <v>Segmen</v>
      </c>
      <c r="K301" s="66">
        <f t="array" ref="K301">INDEX(Honor!$I$2:$I800,MATCH($I301,Honor!$A$2:$A800,0))</f>
        <v>59000</v>
      </c>
      <c r="L301" s="64">
        <v>6</v>
      </c>
      <c r="M301" s="10">
        <f t="shared" si="0"/>
        <v>354000</v>
      </c>
      <c r="O301" s="67">
        <f t="array" ref="O301">INDEX(Honor!$L$2:$L800,MATCH($I301,Honor!$A$2:$A800,0))</f>
        <v>45412</v>
      </c>
      <c r="P301" s="10">
        <f t="shared" si="1"/>
        <v>2024</v>
      </c>
      <c r="Q301" s="10">
        <f t="shared" si="2"/>
        <v>4</v>
      </c>
      <c r="R301" s="10" t="str">
        <f t="array" ref="R301">INDEX(Honor!$Q$2:$Q800,MATCH($I301,Honor!$A$2:$A800,0))</f>
        <v>SURVEI-PPL</v>
      </c>
      <c r="S301" s="10" t="str">
        <f t="shared" si="3"/>
        <v>610422020048-2024-4</v>
      </c>
      <c r="T301" s="10" t="str">
        <f t="shared" si="4"/>
        <v>610422020048-2024-4-SURVEI-PPL</v>
      </c>
      <c r="U301" s="64">
        <v>1</v>
      </c>
      <c r="V301" s="10" t="e">
        <f t="array" aca="1" ref="V301" ca="1">INDEX(Honor!$O$2:$O800,MATCH($I301,Honor!$A$2:$A800,0))</f>
        <v>#NAME?</v>
      </c>
      <c r="W301" s="68">
        <v>45419</v>
      </c>
      <c r="X301" s="7" t="str">
        <f t="array" ref="X301">INDEX('Input Kegiatan'!$B$2:$B800,MATCH(B301,'Input Kegiatan'!$A$2:$A800,0))</f>
        <v>Kerangka Sampel Area (KSA) 2024 April</v>
      </c>
      <c r="Y301" s="7" t="s">
        <v>4931</v>
      </c>
      <c r="Z301" s="7" t="s">
        <v>5171</v>
      </c>
      <c r="AA301" s="68">
        <f t="shared" si="5"/>
        <v>45382</v>
      </c>
      <c r="AB301" s="68">
        <f t="shared" si="6"/>
        <v>45383</v>
      </c>
      <c r="AC301" s="68">
        <f t="shared" si="7"/>
        <v>45412</v>
      </c>
      <c r="AD301" s="68">
        <f t="shared" si="8"/>
        <v>45411</v>
      </c>
      <c r="AE301" s="68">
        <f t="shared" si="9"/>
        <v>45412</v>
      </c>
    </row>
    <row r="302" spans="1:31" ht="12.5">
      <c r="A302" s="125">
        <v>610422040058</v>
      </c>
      <c r="B302" s="64" t="s">
        <v>31</v>
      </c>
      <c r="D302" s="10">
        <f t="array" aca="1" ref="D302" ca="1">INDEX('Mitra per Bulan'!$M$2:$M800,MATCH(S302,'Mitra per Bulan'!$B$2:$B800,0))</f>
        <v>1</v>
      </c>
      <c r="E302" s="10" t="str">
        <f t="array" ref="E302">INDEX('Database Mitra'!$A$2:$A800,MATCH(A302,'Database Mitra'!$B$2:$B800,0))</f>
        <v>Jamaluddin, Sp</v>
      </c>
      <c r="F302" s="64" t="s">
        <v>25</v>
      </c>
      <c r="G302" s="5" t="str">
        <f t="array" ref="G302">INDEX('Database Mitra'!$G$2:$G800,MATCH(A302,'Database Mitra'!$B$2:$B800,0))</f>
        <v>6102152607940002</v>
      </c>
      <c r="H302" s="64" t="s">
        <v>85</v>
      </c>
      <c r="I302" s="65" t="str">
        <f t="shared" si="15"/>
        <v>KSA24-LAPANGAN-APRIL-PPL-KSA JAGUNG</v>
      </c>
      <c r="J302" s="10" t="str">
        <f t="array" ref="J302">INDEX(Honor!$H$2:$H800,MATCH($I302,Honor!$A$2:$A800,0))</f>
        <v>Segmen</v>
      </c>
      <c r="K302" s="66">
        <f t="array" ref="K302">INDEX(Honor!$I$2:$I800,MATCH($I302,Honor!$A$2:$A800,0))</f>
        <v>59000</v>
      </c>
      <c r="L302" s="64">
        <v>10</v>
      </c>
      <c r="M302" s="10">
        <f t="shared" si="0"/>
        <v>590000</v>
      </c>
      <c r="O302" s="67">
        <f t="array" ref="O302">INDEX(Honor!$L$2:$L800,MATCH($I302,Honor!$A$2:$A800,0))</f>
        <v>45412</v>
      </c>
      <c r="P302" s="10">
        <f t="shared" si="1"/>
        <v>2024</v>
      </c>
      <c r="Q302" s="10">
        <f t="shared" si="2"/>
        <v>4</v>
      </c>
      <c r="R302" s="10" t="str">
        <f t="array" ref="R302">INDEX(Honor!$Q$2:$Q800,MATCH($I302,Honor!$A$2:$A800,0))</f>
        <v>SURVEI-PPL</v>
      </c>
      <c r="S302" s="10" t="str">
        <f t="shared" si="3"/>
        <v>610422040058-2024-4</v>
      </c>
      <c r="T302" s="10" t="str">
        <f t="shared" si="4"/>
        <v>610422040058-2024-4-SURVEI-PPL</v>
      </c>
      <c r="U302" s="64">
        <v>1</v>
      </c>
      <c r="V302" s="10" t="e">
        <f t="array" aca="1" ref="V302" ca="1">INDEX(Honor!$O$2:$O800,MATCH($I302,Honor!$A$2:$A800,0))</f>
        <v>#NAME?</v>
      </c>
      <c r="W302" s="68">
        <v>45419</v>
      </c>
      <c r="X302" s="7" t="str">
        <f t="array" ref="X302">INDEX('Input Kegiatan'!$B$2:$B800,MATCH(B302,'Input Kegiatan'!$A$2:$A800,0))</f>
        <v>Kerangka Sampel Area (KSA) 2024 April</v>
      </c>
      <c r="Y302" s="7" t="s">
        <v>3715</v>
      </c>
      <c r="Z302" s="7" t="s">
        <v>3716</v>
      </c>
      <c r="AA302" s="68">
        <f t="shared" si="5"/>
        <v>45382</v>
      </c>
      <c r="AB302" s="68">
        <f t="shared" si="6"/>
        <v>45383</v>
      </c>
      <c r="AC302" s="68">
        <f t="shared" si="7"/>
        <v>45412</v>
      </c>
      <c r="AD302" s="68">
        <f t="shared" si="8"/>
        <v>45411</v>
      </c>
      <c r="AE302" s="68">
        <f t="shared" si="9"/>
        <v>45412</v>
      </c>
    </row>
    <row r="303" spans="1:31" ht="12.5">
      <c r="A303" s="125">
        <v>610423110183</v>
      </c>
      <c r="B303" s="64" t="s">
        <v>31</v>
      </c>
      <c r="D303" s="10">
        <f t="array" aca="1" ref="D303" ca="1">INDEX('Mitra per Bulan'!$M$2:$M800,MATCH(S303,'Mitra per Bulan'!$B$2:$B800,0))</f>
        <v>1</v>
      </c>
      <c r="E303" s="10" t="str">
        <f t="array" ref="E303">INDEX('Database Mitra'!$A$2:$A800,MATCH(A303,'Database Mitra'!$B$2:$B800,0))</f>
        <v>Azhar</v>
      </c>
      <c r="F303" s="64" t="s">
        <v>25</v>
      </c>
      <c r="G303" s="5" t="str">
        <f t="array" ref="G303">INDEX('Database Mitra'!$G$2:$G800,MATCH(A303,'Database Mitra'!$B$2:$B800,0))</f>
        <v>6102081211790004</v>
      </c>
      <c r="H303" s="64" t="s">
        <v>85</v>
      </c>
      <c r="I303" s="65" t="str">
        <f t="shared" si="15"/>
        <v>KSA24-LAPANGAN-APRIL-PPL-KSA JAGUNG</v>
      </c>
      <c r="J303" s="10" t="str">
        <f t="array" ref="J303">INDEX(Honor!$H$2:$H800,MATCH($I303,Honor!$A$2:$A800,0))</f>
        <v>Segmen</v>
      </c>
      <c r="K303" s="66">
        <f t="array" ref="K303">INDEX(Honor!$I$2:$I800,MATCH($I303,Honor!$A$2:$A800,0))</f>
        <v>59000</v>
      </c>
      <c r="L303" s="64">
        <v>6</v>
      </c>
      <c r="M303" s="10">
        <f t="shared" si="0"/>
        <v>354000</v>
      </c>
      <c r="O303" s="67">
        <f t="array" ref="O303">INDEX(Honor!$L$2:$L800,MATCH($I303,Honor!$A$2:$A800,0))</f>
        <v>45412</v>
      </c>
      <c r="P303" s="10">
        <f t="shared" si="1"/>
        <v>2024</v>
      </c>
      <c r="Q303" s="10">
        <f t="shared" si="2"/>
        <v>4</v>
      </c>
      <c r="R303" s="10" t="str">
        <f t="array" ref="R303">INDEX(Honor!$Q$2:$Q800,MATCH($I303,Honor!$A$2:$A800,0))</f>
        <v>SURVEI-PPL</v>
      </c>
      <c r="S303" s="10" t="str">
        <f t="shared" si="3"/>
        <v>610423110183-2024-4</v>
      </c>
      <c r="T303" s="10" t="str">
        <f t="shared" si="4"/>
        <v>610423110183-2024-4-SURVEI-PPL</v>
      </c>
      <c r="U303" s="64">
        <v>1</v>
      </c>
      <c r="V303" s="10" t="e">
        <f t="array" aca="1" ref="V303" ca="1">INDEX(Honor!$O$2:$O800,MATCH($I303,Honor!$A$2:$A800,0))</f>
        <v>#NAME?</v>
      </c>
      <c r="W303" s="68">
        <v>45419</v>
      </c>
      <c r="X303" s="7" t="str">
        <f t="array" ref="X303">INDEX('Input Kegiatan'!$B$2:$B800,MATCH(B303,'Input Kegiatan'!$A$2:$A800,0))</f>
        <v>Kerangka Sampel Area (KSA) 2024 April</v>
      </c>
      <c r="Y303" s="7" t="s">
        <v>3241</v>
      </c>
      <c r="Z303" s="7" t="s">
        <v>3242</v>
      </c>
      <c r="AA303" s="68">
        <f t="shared" si="5"/>
        <v>45382</v>
      </c>
      <c r="AB303" s="68">
        <f t="shared" si="6"/>
        <v>45383</v>
      </c>
      <c r="AC303" s="68">
        <f t="shared" si="7"/>
        <v>45412</v>
      </c>
      <c r="AD303" s="68">
        <f t="shared" si="8"/>
        <v>45411</v>
      </c>
      <c r="AE303" s="68">
        <f t="shared" si="9"/>
        <v>45412</v>
      </c>
    </row>
    <row r="304" spans="1:31" ht="12.5">
      <c r="A304" s="125">
        <v>610422100244</v>
      </c>
      <c r="B304" s="64" t="s">
        <v>31</v>
      </c>
      <c r="D304" s="10">
        <f t="array" aca="1" ref="D304" ca="1">INDEX('Mitra per Bulan'!$M$2:$M800,MATCH(S304,'Mitra per Bulan'!$B$2:$B800,0))</f>
        <v>1</v>
      </c>
      <c r="E304" s="10" t="str">
        <f t="array" ref="E304">INDEX('Database Mitra'!$A$2:$A800,MATCH(A304,'Database Mitra'!$B$2:$B800,0))</f>
        <v>Sugianto</v>
      </c>
      <c r="F304" s="64" t="s">
        <v>25</v>
      </c>
      <c r="G304" s="5" t="str">
        <f t="array" ref="G304">INDEX('Database Mitra'!$G$2:$G800,MATCH(A304,'Database Mitra'!$B$2:$B800,0))</f>
        <v>6102171003900002</v>
      </c>
      <c r="H304" s="64" t="s">
        <v>85</v>
      </c>
      <c r="I304" s="65" t="str">
        <f t="shared" si="15"/>
        <v>KSA24-LAPANGAN-APRIL-PPL-KSA JAGUNG</v>
      </c>
      <c r="J304" s="10" t="str">
        <f t="array" ref="J304">INDEX(Honor!$H$2:$H800,MATCH($I304,Honor!$A$2:$A800,0))</f>
        <v>Segmen</v>
      </c>
      <c r="K304" s="66">
        <f t="array" ref="K304">INDEX(Honor!$I$2:$I800,MATCH($I304,Honor!$A$2:$A800,0))</f>
        <v>59000</v>
      </c>
      <c r="L304" s="64">
        <v>8</v>
      </c>
      <c r="M304" s="10">
        <f t="shared" si="0"/>
        <v>472000</v>
      </c>
      <c r="O304" s="67">
        <f t="array" ref="O304">INDEX(Honor!$L$2:$L800,MATCH($I304,Honor!$A$2:$A800,0))</f>
        <v>45412</v>
      </c>
      <c r="P304" s="10">
        <f t="shared" si="1"/>
        <v>2024</v>
      </c>
      <c r="Q304" s="10">
        <f t="shared" si="2"/>
        <v>4</v>
      </c>
      <c r="R304" s="10" t="str">
        <f t="array" ref="R304">INDEX(Honor!$Q$2:$Q800,MATCH($I304,Honor!$A$2:$A800,0))</f>
        <v>SURVEI-PPL</v>
      </c>
      <c r="S304" s="10" t="str">
        <f t="shared" si="3"/>
        <v>610422100244-2024-4</v>
      </c>
      <c r="T304" s="10" t="str">
        <f t="shared" si="4"/>
        <v>610422100244-2024-4-SURVEI-PPL</v>
      </c>
      <c r="U304" s="64">
        <v>1</v>
      </c>
      <c r="V304" s="10" t="e">
        <f t="array" aca="1" ref="V304" ca="1">INDEX(Honor!$O$2:$O800,MATCH($I304,Honor!$A$2:$A800,0))</f>
        <v>#NAME?</v>
      </c>
      <c r="W304" s="68">
        <v>45419</v>
      </c>
      <c r="X304" s="7" t="str">
        <f t="array" ref="X304">INDEX('Input Kegiatan'!$B$2:$B800,MATCH(B304,'Input Kegiatan'!$A$2:$A800,0))</f>
        <v>Kerangka Sampel Area (KSA) 2024 April</v>
      </c>
      <c r="Y304" s="7" t="s">
        <v>5741</v>
      </c>
      <c r="Z304" s="7" t="s">
        <v>5796</v>
      </c>
      <c r="AA304" s="68">
        <f t="shared" si="5"/>
        <v>45382</v>
      </c>
      <c r="AB304" s="68">
        <f t="shared" si="6"/>
        <v>45383</v>
      </c>
      <c r="AC304" s="68">
        <f t="shared" si="7"/>
        <v>45412</v>
      </c>
      <c r="AD304" s="68">
        <f t="shared" si="8"/>
        <v>45411</v>
      </c>
      <c r="AE304" s="68">
        <f t="shared" si="9"/>
        <v>45412</v>
      </c>
    </row>
    <row r="305" spans="1:31" ht="12.5">
      <c r="A305" s="125">
        <v>610422040056</v>
      </c>
      <c r="B305" s="64" t="s">
        <v>145</v>
      </c>
      <c r="D305" s="10">
        <f t="array" aca="1" ref="D305" ca="1">INDEX('Mitra per Bulan'!$M$2:$M800,MATCH(S305,'Mitra per Bulan'!$B$2:$B800,0))</f>
        <v>1</v>
      </c>
      <c r="E305" s="10" t="str">
        <f t="array" ref="E305">INDEX('Database Mitra'!$A$2:$A800,MATCH(A305,'Database Mitra'!$B$2:$B800,0))</f>
        <v>Wandi Syafari</v>
      </c>
      <c r="F305" s="64" t="s">
        <v>25</v>
      </c>
      <c r="G305" s="5" t="str">
        <f t="array" ref="G305">INDEX('Database Mitra'!$G$2:$G800,MATCH(A305,'Database Mitra'!$B$2:$B800,0))</f>
        <v>6102010802760001</v>
      </c>
      <c r="H305" s="64" t="s">
        <v>67</v>
      </c>
      <c r="I305" s="65" t="s">
        <v>146</v>
      </c>
      <c r="J305" s="10" t="str">
        <f t="array" ref="J305">INDEX(Honor!$H$2:$H800,MATCH($I305,Honor!$A$2:$A800,0))</f>
        <v>Dokumen</v>
      </c>
      <c r="K305" s="66">
        <f t="array" ref="K305">INDEX(Honor!$I$2:$I800,MATCH($I305,Honor!$A$2:$A800,0))</f>
        <v>65000</v>
      </c>
      <c r="L305" s="64">
        <v>10</v>
      </c>
      <c r="M305" s="10">
        <f t="shared" si="0"/>
        <v>650000</v>
      </c>
      <c r="O305" s="67">
        <f t="array" ref="O305">INDEX(Honor!$L$2:$L800,MATCH($I305,Honor!$A$2:$A800,0))</f>
        <v>45412</v>
      </c>
      <c r="P305" s="10">
        <f t="shared" si="1"/>
        <v>2024</v>
      </c>
      <c r="Q305" s="10">
        <f t="shared" si="2"/>
        <v>4</v>
      </c>
      <c r="R305" s="10" t="str">
        <f t="array" ref="R305">INDEX(Honor!$Q$2:$Q800,MATCH($I305,Honor!$A$2:$A800,0))</f>
        <v>SURVEI-PPL</v>
      </c>
      <c r="S305" s="10" t="str">
        <f t="shared" si="3"/>
        <v>610422040056-2024-4</v>
      </c>
      <c r="T305" s="10" t="str">
        <f t="shared" si="4"/>
        <v>610422040056-2024-4-SURVEI-PPL</v>
      </c>
      <c r="U305" s="64">
        <v>1</v>
      </c>
      <c r="V305" s="10" t="e">
        <f t="array" aca="1" ref="V305" ca="1">INDEX(Honor!$O$2:$O800,MATCH($I305,Honor!$A$2:$A800,0))</f>
        <v>#NAME?</v>
      </c>
      <c r="W305" s="67"/>
      <c r="X305" s="7" t="str">
        <f t="array" ref="X305">INDEX('Input Kegiatan'!$B$2:$B800,MATCH(B305,'Input Kegiatan'!$A$2:$A800,0))</f>
        <v>Survei Khusus Lembaga Nonprofit yang Melayani Rumah Tangga 2024 (SKLNPT24) Triwulan I</v>
      </c>
      <c r="Y305" s="7" t="s">
        <v>4572</v>
      </c>
      <c r="Z305" s="7" t="s">
        <v>4656</v>
      </c>
      <c r="AA305" s="68">
        <f t="shared" si="5"/>
        <v>45382</v>
      </c>
      <c r="AB305" s="68">
        <f t="shared" si="6"/>
        <v>45383</v>
      </c>
      <c r="AC305" s="68">
        <f t="shared" si="7"/>
        <v>45412</v>
      </c>
      <c r="AD305" s="68">
        <f t="shared" si="8"/>
        <v>45411</v>
      </c>
      <c r="AE305" s="68">
        <f t="shared" si="9"/>
        <v>45412</v>
      </c>
    </row>
    <row r="306" spans="1:31" ht="12.5">
      <c r="A306" s="125">
        <v>610422040029</v>
      </c>
      <c r="B306" s="64" t="s">
        <v>147</v>
      </c>
      <c r="D306" s="10">
        <f t="array" aca="1" ref="D306" ca="1">INDEX('Mitra per Bulan'!$M$2:$M800,MATCH(S306,'Mitra per Bulan'!$B$2:$B800,0))</f>
        <v>1</v>
      </c>
      <c r="E306" s="10" t="str">
        <f t="array" ref="E306">INDEX('Database Mitra'!$A$2:$A800,MATCH(A306,'Database Mitra'!$B$2:$B800,0))</f>
        <v>Zaini</v>
      </c>
      <c r="F306" s="64" t="s">
        <v>25</v>
      </c>
      <c r="G306" s="5" t="str">
        <f t="array" ref="G306">INDEX('Database Mitra'!$G$2:$G800,MATCH(A306,'Database Mitra'!$B$2:$B800,0))</f>
        <v>6102010607870002</v>
      </c>
      <c r="H306" s="64" t="s">
        <v>67</v>
      </c>
      <c r="I306" s="65" t="s">
        <v>148</v>
      </c>
      <c r="J306" s="10" t="str">
        <f t="array" ref="J306">INDEX(Honor!$H$2:$H800,MATCH($I306,Honor!$A$2:$A800,0))</f>
        <v>Dokumen</v>
      </c>
      <c r="K306" s="66">
        <f t="array" ref="K306">INDEX(Honor!$I$2:$I800,MATCH($I306,Honor!$A$2:$A800,0))</f>
        <v>55000</v>
      </c>
      <c r="L306" s="64">
        <v>1</v>
      </c>
      <c r="M306" s="10">
        <f t="shared" si="0"/>
        <v>55000</v>
      </c>
      <c r="O306" s="67">
        <f t="array" ref="O306">INDEX(Honor!$L$2:$L800,MATCH($I306,Honor!$A$2:$A800,0))</f>
        <v>45412</v>
      </c>
      <c r="P306" s="10">
        <f t="shared" si="1"/>
        <v>2024</v>
      </c>
      <c r="Q306" s="10">
        <f t="shared" si="2"/>
        <v>4</v>
      </c>
      <c r="R306" s="10" t="str">
        <f t="array" ref="R306">INDEX(Honor!$Q$2:$Q800,MATCH($I306,Honor!$A$2:$A800,0))</f>
        <v>SURVEI-PPL</v>
      </c>
      <c r="S306" s="10" t="str">
        <f t="shared" si="3"/>
        <v>610422040029-2024-4</v>
      </c>
      <c r="T306" s="10" t="str">
        <f t="shared" si="4"/>
        <v>610422040029-2024-4-SURVEI-PPL</v>
      </c>
      <c r="U306" s="64">
        <v>1</v>
      </c>
      <c r="V306" s="10" t="e">
        <f t="array" aca="1" ref="V306" ca="1">INDEX(Honor!$O$2:$O800,MATCH($I306,Honor!$A$2:$A800,0))</f>
        <v>#NAME?</v>
      </c>
      <c r="W306" s="67"/>
      <c r="X306" s="7" t="str">
        <f t="array" ref="X306">INDEX('Input Kegiatan'!$B$2:$B800,MATCH(B306,'Input Kegiatan'!$A$2:$A800,0))</f>
        <v>Survei Khusus Triwulan Neraca Produksi Barang Jasa (SKTNP) 2024 Triwulan I</v>
      </c>
      <c r="Y306" s="7" t="s">
        <v>4572</v>
      </c>
      <c r="Z306" s="7" t="s">
        <v>4619</v>
      </c>
      <c r="AA306" s="68">
        <f t="shared" si="5"/>
        <v>45382</v>
      </c>
      <c r="AB306" s="68">
        <f t="shared" si="6"/>
        <v>45383</v>
      </c>
      <c r="AC306" s="68">
        <f t="shared" si="7"/>
        <v>45412</v>
      </c>
      <c r="AD306" s="68">
        <f t="shared" si="8"/>
        <v>45411</v>
      </c>
      <c r="AE306" s="68">
        <f t="shared" si="9"/>
        <v>45412</v>
      </c>
    </row>
    <row r="307" spans="1:31" ht="12.5">
      <c r="A307" s="125">
        <v>610422040029</v>
      </c>
      <c r="B307" s="64" t="s">
        <v>147</v>
      </c>
      <c r="D307" s="10">
        <f t="array" aca="1" ref="D307" ca="1">INDEX('Mitra per Bulan'!$M$2:$M800,MATCH(S307,'Mitra per Bulan'!$B$2:$B800,0))</f>
        <v>1</v>
      </c>
      <c r="E307" s="10" t="str">
        <f t="array" ref="E307">INDEX('Database Mitra'!$A$2:$A800,MATCH(A307,'Database Mitra'!$B$2:$B800,0))</f>
        <v>Zaini</v>
      </c>
      <c r="F307" s="64" t="s">
        <v>25</v>
      </c>
      <c r="G307" s="5" t="str">
        <f t="array" ref="G307">INDEX('Database Mitra'!$G$2:$G800,MATCH(A307,'Database Mitra'!$B$2:$B800,0))</f>
        <v>6102010607870002</v>
      </c>
      <c r="H307" s="64" t="s">
        <v>67</v>
      </c>
      <c r="I307" s="65" t="s">
        <v>149</v>
      </c>
      <c r="J307" s="10" t="str">
        <f t="array" ref="J307">INDEX(Honor!$H$2:$H800,MATCH($I307,Honor!$A$2:$A800,0))</f>
        <v>Dokumen</v>
      </c>
      <c r="K307" s="66">
        <f t="array" ref="K307">INDEX(Honor!$I$2:$I800,MATCH($I307,Honor!$A$2:$A800,0))</f>
        <v>55000</v>
      </c>
      <c r="L307" s="64">
        <v>2</v>
      </c>
      <c r="M307" s="10">
        <f t="shared" si="0"/>
        <v>110000</v>
      </c>
      <c r="O307" s="67">
        <f t="array" ref="O307">INDEX(Honor!$L$2:$L800,MATCH($I307,Honor!$A$2:$A800,0))</f>
        <v>45412</v>
      </c>
      <c r="P307" s="10">
        <f t="shared" si="1"/>
        <v>2024</v>
      </c>
      <c r="Q307" s="10">
        <f t="shared" si="2"/>
        <v>4</v>
      </c>
      <c r="R307" s="10" t="str">
        <f t="array" ref="R307">INDEX(Honor!$Q$2:$Q800,MATCH($I307,Honor!$A$2:$A800,0))</f>
        <v>SURVEI-PPL</v>
      </c>
      <c r="S307" s="10" t="str">
        <f t="shared" si="3"/>
        <v>610422040029-2024-4</v>
      </c>
      <c r="T307" s="10" t="str">
        <f t="shared" si="4"/>
        <v>610422040029-2024-4-SURVEI-PPL</v>
      </c>
      <c r="U307" s="64">
        <v>1</v>
      </c>
      <c r="V307" s="10" t="e">
        <f t="array" aca="1" ref="V307" ca="1">INDEX(Honor!$O$2:$O800,MATCH($I307,Honor!$A$2:$A800,0))</f>
        <v>#NAME?</v>
      </c>
      <c r="W307" s="67"/>
      <c r="X307" s="7" t="str">
        <f t="array" ref="X307">INDEX('Input Kegiatan'!$B$2:$B800,MATCH(B307,'Input Kegiatan'!$A$2:$A800,0))</f>
        <v>Survei Khusus Triwulan Neraca Produksi Barang Jasa (SKTNP) 2024 Triwulan I</v>
      </c>
      <c r="Y307" s="7" t="s">
        <v>4572</v>
      </c>
      <c r="Z307" s="7" t="s">
        <v>4619</v>
      </c>
      <c r="AA307" s="68">
        <f t="shared" si="5"/>
        <v>45382</v>
      </c>
      <c r="AB307" s="68">
        <f t="shared" si="6"/>
        <v>45383</v>
      </c>
      <c r="AC307" s="68">
        <f t="shared" si="7"/>
        <v>45412</v>
      </c>
      <c r="AD307" s="68">
        <f t="shared" si="8"/>
        <v>45411</v>
      </c>
      <c r="AE307" s="68">
        <f t="shared" si="9"/>
        <v>45412</v>
      </c>
    </row>
    <row r="308" spans="1:31" ht="12.5">
      <c r="A308" s="125">
        <v>610422030002</v>
      </c>
      <c r="B308" s="65" t="s">
        <v>150</v>
      </c>
      <c r="D308" s="10">
        <f t="array" aca="1" ref="D308" ca="1">INDEX('Mitra per Bulan'!$M$2:$M800,MATCH(S308,'Mitra per Bulan'!$B$2:$B800,0))</f>
        <v>1</v>
      </c>
      <c r="E308" s="10" t="str">
        <f t="array" ref="E308">INDEX('Database Mitra'!$A$2:$A800,MATCH(A308,'Database Mitra'!$B$2:$B800,0))</f>
        <v>Deti Erni Widiastuti</v>
      </c>
      <c r="F308" s="64" t="s">
        <v>25</v>
      </c>
      <c r="G308" s="5" t="str">
        <f t="array" ref="G308">INDEX('Database Mitra'!$G$2:$G800,MATCH(A308,'Database Mitra'!$B$2:$B800,0))</f>
        <v>6102016712860001</v>
      </c>
      <c r="H308" s="64" t="s">
        <v>67</v>
      </c>
      <c r="I308" s="65" t="s">
        <v>151</v>
      </c>
      <c r="J308" s="10" t="str">
        <f t="array" ref="J308">INDEX(Honor!$H$2:$H800,MATCH($I308,Honor!$A$2:$A800,0))</f>
        <v>Dokumen</v>
      </c>
      <c r="K308" s="66">
        <f t="array" ref="K308">INDEX(Honor!$I$2:$I800,MATCH($I308,Honor!$A$2:$A800,0))</f>
        <v>50000</v>
      </c>
      <c r="L308" s="64">
        <v>15</v>
      </c>
      <c r="M308" s="10">
        <f t="shared" si="0"/>
        <v>750000</v>
      </c>
      <c r="O308" s="67">
        <f t="array" ref="O308">INDEX(Honor!$L$2:$L800,MATCH($I308,Honor!$A$2:$A800,0))</f>
        <v>45432</v>
      </c>
      <c r="P308" s="10">
        <f t="shared" si="1"/>
        <v>2024</v>
      </c>
      <c r="Q308" s="10">
        <f t="shared" si="2"/>
        <v>5</v>
      </c>
      <c r="R308" s="10" t="str">
        <f t="array" ref="R308">INDEX(Honor!$Q$2:$Q800,MATCH($I308,Honor!$A$2:$A800,0))</f>
        <v>SURVEI-PPL</v>
      </c>
      <c r="S308" s="10" t="str">
        <f t="shared" si="3"/>
        <v>610422030002-2024-5</v>
      </c>
      <c r="T308" s="10" t="str">
        <f t="shared" si="4"/>
        <v>610422030002-2024-5-SURVEI-PPL</v>
      </c>
      <c r="U308" s="64">
        <v>1</v>
      </c>
      <c r="V308" s="10" t="e">
        <f t="array" aca="1" ref="V308" ca="1">INDEX(Honor!$O$2:$O800,MATCH($I308,Honor!$A$2:$A800,0))</f>
        <v>#NAME?</v>
      </c>
      <c r="W308" s="67"/>
      <c r="X308" s="7" t="str">
        <f t="array" ref="X308">INDEX('Input Kegiatan'!$B$2:$B800,MATCH(B308,'Input Kegiatan'!$A$2:$A800,0))</f>
        <v>Survei Harga Perdagangan Besar (SHPB24) Mei</v>
      </c>
      <c r="Y308" s="7" t="s">
        <v>3715</v>
      </c>
      <c r="Z308" s="7" t="s">
        <v>3716</v>
      </c>
      <c r="AA308" s="68">
        <f t="shared" si="5"/>
        <v>45412</v>
      </c>
      <c r="AB308" s="68">
        <f t="shared" si="6"/>
        <v>45413</v>
      </c>
      <c r="AC308" s="68">
        <f t="shared" si="7"/>
        <v>45443</v>
      </c>
      <c r="AD308" s="68">
        <f t="shared" si="8"/>
        <v>45442</v>
      </c>
      <c r="AE308" s="68">
        <f t="shared" si="9"/>
        <v>45443</v>
      </c>
    </row>
    <row r="309" spans="1:31" ht="12.5">
      <c r="A309" s="125">
        <v>610422100244</v>
      </c>
      <c r="B309" s="64" t="s">
        <v>152</v>
      </c>
      <c r="D309" s="10">
        <f t="array" aca="1" ref="D309" ca="1">INDEX('Mitra per Bulan'!$M$2:$M800,MATCH(S309,'Mitra per Bulan'!$B$2:$B800,0))</f>
        <v>1</v>
      </c>
      <c r="E309" s="10" t="str">
        <f t="array" ref="E309">INDEX('Database Mitra'!$A$2:$A800,MATCH(A309,'Database Mitra'!$B$2:$B800,0))</f>
        <v>Sugianto</v>
      </c>
      <c r="F309" s="64" t="s">
        <v>25</v>
      </c>
      <c r="G309" s="5" t="str">
        <f t="array" ref="G309">INDEX('Database Mitra'!$G$2:$G800,MATCH(A309,'Database Mitra'!$B$2:$B800,0))</f>
        <v>6102171003900002</v>
      </c>
      <c r="H309" s="64" t="s">
        <v>67</v>
      </c>
      <c r="I309" s="65" t="s">
        <v>153</v>
      </c>
      <c r="J309" s="10" t="str">
        <f t="array" ref="J309">INDEX(Honor!$H$2:$H800,MATCH($I309,Honor!$A$2:$A800,0))</f>
        <v>Dokumen</v>
      </c>
      <c r="K309" s="66">
        <f t="array" ref="K309">INDEX(Honor!$I$2:$I800,MATCH($I309,Honor!$A$2:$A800,0))</f>
        <v>50000</v>
      </c>
      <c r="L309" s="64">
        <v>1</v>
      </c>
      <c r="M309" s="10">
        <f t="shared" si="0"/>
        <v>50000</v>
      </c>
      <c r="O309" s="67">
        <f t="array" ref="O309">INDEX(Honor!$L$2:$L800,MATCH($I309,Honor!$A$2:$A800,0))</f>
        <v>45432</v>
      </c>
      <c r="P309" s="10">
        <f t="shared" si="1"/>
        <v>2024</v>
      </c>
      <c r="Q309" s="10">
        <f t="shared" si="2"/>
        <v>5</v>
      </c>
      <c r="R309" s="10" t="str">
        <f t="array" ref="R309">INDEX(Honor!$Q$2:$Q800,MATCH($I309,Honor!$A$2:$A800,0))</f>
        <v>SURVEI-PPL</v>
      </c>
      <c r="S309" s="10" t="str">
        <f t="shared" si="3"/>
        <v>610422100244-2024-5</v>
      </c>
      <c r="T309" s="10" t="str">
        <f t="shared" si="4"/>
        <v>610422100244-2024-5-SURVEI-PPL</v>
      </c>
      <c r="U309" s="64">
        <v>1</v>
      </c>
      <c r="V309" s="10" t="e">
        <f t="array" aca="1" ref="V309" ca="1">INDEX(Honor!$O$2:$O800,MATCH($I309,Honor!$A$2:$A800,0))</f>
        <v>#NAME?</v>
      </c>
      <c r="W309" s="67"/>
      <c r="X309" s="7" t="str">
        <f t="array" ref="X309">INDEX('Input Kegiatan'!$B$2:$B800,MATCH(B309,'Input Kegiatan'!$A$2:$A800,0))</f>
        <v>Survei Harga Produsen Gabah (HPG24) Mei</v>
      </c>
      <c r="Y309" s="7" t="s">
        <v>5741</v>
      </c>
      <c r="Z309" s="7" t="s">
        <v>5796</v>
      </c>
      <c r="AA309" s="68">
        <f t="shared" si="5"/>
        <v>45412</v>
      </c>
      <c r="AB309" s="68">
        <f t="shared" si="6"/>
        <v>45413</v>
      </c>
      <c r="AC309" s="68">
        <f t="shared" si="7"/>
        <v>45443</v>
      </c>
      <c r="AD309" s="68">
        <f t="shared" si="8"/>
        <v>45442</v>
      </c>
      <c r="AE309" s="68">
        <f t="shared" si="9"/>
        <v>45443</v>
      </c>
    </row>
    <row r="310" spans="1:31" ht="12.5">
      <c r="A310" s="125">
        <v>610422100124</v>
      </c>
      <c r="B310" s="64" t="s">
        <v>152</v>
      </c>
      <c r="D310" s="10">
        <f t="array" aca="1" ref="D310" ca="1">INDEX('Mitra per Bulan'!$M$2:$M800,MATCH(S310,'Mitra per Bulan'!$B$2:$B800,0))</f>
        <v>1</v>
      </c>
      <c r="E310" s="10" t="str">
        <f t="array" ref="E310">INDEX('Database Mitra'!$A$2:$A800,MATCH(A310,'Database Mitra'!$B$2:$B800,0))</f>
        <v>Prabowo</v>
      </c>
      <c r="F310" s="64" t="s">
        <v>25</v>
      </c>
      <c r="G310" s="5" t="str">
        <f t="array" ref="G310">INDEX('Database Mitra'!$G$2:$G800,MATCH(A310,'Database Mitra'!$B$2:$B800,0))</f>
        <v>6171010108790015</v>
      </c>
      <c r="H310" s="64" t="s">
        <v>67</v>
      </c>
      <c r="I310" s="65" t="s">
        <v>153</v>
      </c>
      <c r="J310" s="10" t="str">
        <f t="array" ref="J310">INDEX(Honor!$H$2:$H800,MATCH($I310,Honor!$A$2:$A800,0))</f>
        <v>Dokumen</v>
      </c>
      <c r="K310" s="66">
        <f t="array" ref="K310">INDEX(Honor!$I$2:$I800,MATCH($I310,Honor!$A$2:$A800,0))</f>
        <v>50000</v>
      </c>
      <c r="L310" s="64">
        <v>1</v>
      </c>
      <c r="M310" s="10">
        <f t="shared" si="0"/>
        <v>50000</v>
      </c>
      <c r="O310" s="67">
        <f t="array" ref="O310">INDEX(Honor!$L$2:$L800,MATCH($I310,Honor!$A$2:$A800,0))</f>
        <v>45432</v>
      </c>
      <c r="P310" s="10">
        <f t="shared" si="1"/>
        <v>2024</v>
      </c>
      <c r="Q310" s="10">
        <f t="shared" si="2"/>
        <v>5</v>
      </c>
      <c r="R310" s="10" t="str">
        <f t="array" ref="R310">INDEX(Honor!$Q$2:$Q800,MATCH($I310,Honor!$A$2:$A800,0))</f>
        <v>SURVEI-PPL</v>
      </c>
      <c r="S310" s="10" t="str">
        <f t="shared" si="3"/>
        <v>610422100124-2024-5</v>
      </c>
      <c r="T310" s="10" t="str">
        <f t="shared" si="4"/>
        <v>610422100124-2024-5-SURVEI-PPL</v>
      </c>
      <c r="U310" s="64">
        <v>1</v>
      </c>
      <c r="V310" s="10" t="e">
        <f t="array" aca="1" ref="V310" ca="1">INDEX(Honor!$O$2:$O800,MATCH($I310,Honor!$A$2:$A800,0))</f>
        <v>#NAME?</v>
      </c>
      <c r="W310" s="67"/>
      <c r="X310" s="7" t="str">
        <f t="array" ref="X310">INDEX('Input Kegiatan'!$B$2:$B800,MATCH(B310,'Input Kegiatan'!$A$2:$A800,0))</f>
        <v>Survei Harga Produsen Gabah (HPG24) Mei</v>
      </c>
      <c r="Y310" s="7" t="s">
        <v>1921</v>
      </c>
      <c r="Z310" s="7" t="s">
        <v>2140</v>
      </c>
      <c r="AA310" s="68">
        <f t="shared" si="5"/>
        <v>45412</v>
      </c>
      <c r="AB310" s="68">
        <f t="shared" si="6"/>
        <v>45413</v>
      </c>
      <c r="AC310" s="68">
        <f t="shared" si="7"/>
        <v>45443</v>
      </c>
      <c r="AD310" s="68">
        <f t="shared" si="8"/>
        <v>45442</v>
      </c>
      <c r="AE310" s="68">
        <f t="shared" si="9"/>
        <v>45443</v>
      </c>
    </row>
    <row r="311" spans="1:31" ht="12.5">
      <c r="A311" s="125">
        <v>610422100016</v>
      </c>
      <c r="B311" s="65" t="s">
        <v>154</v>
      </c>
      <c r="D311" s="10">
        <f t="array" aca="1" ref="D311" ca="1">INDEX('Mitra per Bulan'!$M$2:$M800,MATCH(S311,'Mitra per Bulan'!$B$2:$B800,0))</f>
        <v>1</v>
      </c>
      <c r="E311" s="10" t="str">
        <f t="array" ref="E311">INDEX('Database Mitra'!$A$2:$A800,MATCH(A311,'Database Mitra'!$B$2:$B800,0))</f>
        <v>Amalia Faisya</v>
      </c>
      <c r="F311" s="64" t="s">
        <v>25</v>
      </c>
      <c r="G311" s="5" t="str">
        <f t="array" ref="G311">INDEX('Database Mitra'!$G$2:$G800,MATCH(A311,'Database Mitra'!$B$2:$B800,0))</f>
        <v>6102124210010005</v>
      </c>
      <c r="H311" s="64" t="s">
        <v>72</v>
      </c>
      <c r="I311" s="65" t="s">
        <v>155</v>
      </c>
      <c r="J311" s="10" t="str">
        <f t="array" ref="J311">INDEX(Honor!$H$2:$H800,MATCH($I311,Honor!$A$2:$A800,0))</f>
        <v>Dokumen</v>
      </c>
      <c r="K311" s="66">
        <f t="array" ref="K311">INDEX(Honor!$I$2:$I800,MATCH($I311,Honor!$A$2:$A800,0))</f>
        <v>65000</v>
      </c>
      <c r="L311" s="64">
        <v>3</v>
      </c>
      <c r="M311" s="10">
        <f t="shared" si="0"/>
        <v>195000</v>
      </c>
      <c r="O311" s="67">
        <f t="array" ref="O311">INDEX(Honor!$L$2:$L800,MATCH($I311,Honor!$A$2:$A800,0))</f>
        <v>45432</v>
      </c>
      <c r="P311" s="10">
        <f t="shared" si="1"/>
        <v>2024</v>
      </c>
      <c r="Q311" s="10">
        <f t="shared" si="2"/>
        <v>5</v>
      </c>
      <c r="R311" s="10" t="str">
        <f t="array" ref="R311">INDEX(Honor!$Q$2:$Q800,MATCH($I311,Honor!$A$2:$A800,0))</f>
        <v>SURVEI-PPL</v>
      </c>
      <c r="S311" s="10" t="str">
        <f t="shared" si="3"/>
        <v>610422100016-2024-5</v>
      </c>
      <c r="T311" s="10" t="str">
        <f t="shared" si="4"/>
        <v>610422100016-2024-5-SURVEI-PPL</v>
      </c>
      <c r="U311" s="64">
        <v>1</v>
      </c>
      <c r="V311" s="10" t="e">
        <f t="array" aca="1" ref="V311" ca="1">INDEX(Honor!$O$2:$O800,MATCH($I311,Honor!$A$2:$A800,0))</f>
        <v>#NAME?</v>
      </c>
      <c r="W311" s="67"/>
      <c r="X311" s="7" t="str">
        <f t="array" ref="X311">INDEX('Input Kegiatan'!$B$2:$B800,MATCH(B311,'Input Kegiatan'!$A$2:$A800,0))</f>
        <v>Survei Harga Perdesaan (SHPED24) Mei</v>
      </c>
      <c r="Y311" s="7" t="s">
        <v>5250</v>
      </c>
      <c r="Z311" s="7" t="s">
        <v>5365</v>
      </c>
      <c r="AA311" s="68">
        <f t="shared" si="5"/>
        <v>45412</v>
      </c>
      <c r="AB311" s="68">
        <f t="shared" si="6"/>
        <v>45413</v>
      </c>
      <c r="AC311" s="68">
        <f t="shared" si="7"/>
        <v>45443</v>
      </c>
      <c r="AD311" s="68">
        <f t="shared" si="8"/>
        <v>45442</v>
      </c>
      <c r="AE311" s="68">
        <f t="shared" si="9"/>
        <v>45443</v>
      </c>
    </row>
    <row r="312" spans="1:31" ht="12.5">
      <c r="A312" s="125">
        <v>610422050001</v>
      </c>
      <c r="B312" s="65" t="s">
        <v>154</v>
      </c>
      <c r="D312" s="10">
        <f t="array" aca="1" ref="D312" ca="1">INDEX('Mitra per Bulan'!$M$2:$M800,MATCH(S312,'Mitra per Bulan'!$B$2:$B800,0))</f>
        <v>1</v>
      </c>
      <c r="E312" s="10" t="str">
        <f t="array" ref="E312">INDEX('Database Mitra'!$A$2:$A800,MATCH(A312,'Database Mitra'!$B$2:$B800,0))</f>
        <v>Evi Juniarty</v>
      </c>
      <c r="F312" s="64" t="s">
        <v>25</v>
      </c>
      <c r="G312" s="5" t="str">
        <f t="array" ref="G312">INDEX('Database Mitra'!$G$2:$G800,MATCH(A312,'Database Mitra'!$B$2:$B800,0))</f>
        <v>6102165101840001</v>
      </c>
      <c r="H312" s="64" t="s">
        <v>72</v>
      </c>
      <c r="I312" s="65" t="s">
        <v>155</v>
      </c>
      <c r="J312" s="10" t="str">
        <f t="array" ref="J312">INDEX(Honor!$H$2:$H800,MATCH($I312,Honor!$A$2:$A800,0))</f>
        <v>Dokumen</v>
      </c>
      <c r="K312" s="66">
        <f t="array" ref="K312">INDEX(Honor!$I$2:$I800,MATCH($I312,Honor!$A$2:$A800,0))</f>
        <v>65000</v>
      </c>
      <c r="L312" s="64">
        <v>3</v>
      </c>
      <c r="M312" s="10">
        <f t="shared" si="0"/>
        <v>195000</v>
      </c>
      <c r="O312" s="67">
        <f t="array" ref="O312">INDEX(Honor!$L$2:$L800,MATCH($I312,Honor!$A$2:$A800,0))</f>
        <v>45432</v>
      </c>
      <c r="P312" s="10">
        <f t="shared" si="1"/>
        <v>2024</v>
      </c>
      <c r="Q312" s="10">
        <f t="shared" si="2"/>
        <v>5</v>
      </c>
      <c r="R312" s="10" t="str">
        <f t="array" ref="R312">INDEX(Honor!$Q$2:$Q800,MATCH($I312,Honor!$A$2:$A800,0))</f>
        <v>SURVEI-PPL</v>
      </c>
      <c r="S312" s="10" t="str">
        <f t="shared" si="3"/>
        <v>610422050001-2024-5</v>
      </c>
      <c r="T312" s="10" t="str">
        <f t="shared" si="4"/>
        <v>610422050001-2024-5-SURVEI-PPL</v>
      </c>
      <c r="U312" s="64">
        <v>1</v>
      </c>
      <c r="V312" s="10" t="e">
        <f t="array" aca="1" ref="V312" ca="1">INDEX(Honor!$O$2:$O800,MATCH($I312,Honor!$A$2:$A800,0))</f>
        <v>#NAME?</v>
      </c>
      <c r="W312" s="67"/>
      <c r="X312" s="7" t="str">
        <f t="array" ref="X312">INDEX('Input Kegiatan'!$B$2:$B800,MATCH(B312,'Input Kegiatan'!$A$2:$A800,0))</f>
        <v>Survei Harga Perdesaan (SHPED24) Mei</v>
      </c>
      <c r="Y312" s="7" t="s">
        <v>4408</v>
      </c>
      <c r="Z312" s="7" t="s">
        <v>4409</v>
      </c>
      <c r="AA312" s="68">
        <f t="shared" si="5"/>
        <v>45412</v>
      </c>
      <c r="AB312" s="68">
        <f t="shared" si="6"/>
        <v>45413</v>
      </c>
      <c r="AC312" s="68">
        <f t="shared" si="7"/>
        <v>45443</v>
      </c>
      <c r="AD312" s="68">
        <f t="shared" si="8"/>
        <v>45442</v>
      </c>
      <c r="AE312" s="68">
        <f t="shared" si="9"/>
        <v>45443</v>
      </c>
    </row>
    <row r="313" spans="1:31" ht="12.5">
      <c r="A313" s="125">
        <v>610422040030</v>
      </c>
      <c r="B313" s="65" t="s">
        <v>154</v>
      </c>
      <c r="D313" s="10">
        <f t="array" aca="1" ref="D313" ca="1">INDEX('Mitra per Bulan'!$M$2:$M800,MATCH(S313,'Mitra per Bulan'!$B$2:$B800,0))</f>
        <v>1</v>
      </c>
      <c r="E313" s="10" t="str">
        <f t="array" ref="E313">INDEX('Database Mitra'!$A$2:$A800,MATCH(A313,'Database Mitra'!$B$2:$B800,0))</f>
        <v>Syarifah Desti Pratiwi</v>
      </c>
      <c r="F313" s="64" t="s">
        <v>25</v>
      </c>
      <c r="G313" s="5" t="str">
        <f t="array" ref="G313">INDEX('Database Mitra'!$G$2:$G800,MATCH(A313,'Database Mitra'!$B$2:$B800,0))</f>
        <v>6102084512950002</v>
      </c>
      <c r="H313" s="64" t="s">
        <v>74</v>
      </c>
      <c r="I313" s="65" t="s">
        <v>156</v>
      </c>
      <c r="J313" s="10" t="str">
        <f t="array" ref="J313">INDEX(Honor!$H$2:$H800,MATCH($I313,Honor!$A$2:$A800,0))</f>
        <v>Dokumen</v>
      </c>
      <c r="K313" s="66">
        <f t="array" ref="K313">INDEX(Honor!$I$2:$I800,MATCH($I313,Honor!$A$2:$A800,0))</f>
        <v>55000</v>
      </c>
      <c r="L313" s="64">
        <v>1</v>
      </c>
      <c r="M313" s="10">
        <f t="shared" si="0"/>
        <v>55000</v>
      </c>
      <c r="O313" s="67">
        <f t="array" ref="O313">INDEX(Honor!$L$2:$L800,MATCH($I313,Honor!$A$2:$A800,0))</f>
        <v>45432</v>
      </c>
      <c r="P313" s="10">
        <f t="shared" si="1"/>
        <v>2024</v>
      </c>
      <c r="Q313" s="10">
        <f t="shared" si="2"/>
        <v>5</v>
      </c>
      <c r="R313" s="10" t="str">
        <f t="array" ref="R313">INDEX(Honor!$Q$2:$Q800,MATCH($I313,Honor!$A$2:$A800,0))</f>
        <v>SURVEI-PPL</v>
      </c>
      <c r="S313" s="10" t="str">
        <f t="shared" si="3"/>
        <v>610422040030-2024-5</v>
      </c>
      <c r="T313" s="10" t="str">
        <f t="shared" si="4"/>
        <v>610422040030-2024-5-SURVEI-PPL</v>
      </c>
      <c r="U313" s="64">
        <v>1</v>
      </c>
      <c r="V313" s="10" t="e">
        <f t="array" aca="1" ref="V313" ca="1">INDEX(Honor!$O$2:$O800,MATCH($I313,Honor!$A$2:$A800,0))</f>
        <v>#NAME?</v>
      </c>
      <c r="W313" s="67"/>
      <c r="X313" s="7" t="str">
        <f t="array" ref="X313">INDEX('Input Kegiatan'!$B$2:$B800,MATCH(B313,'Input Kegiatan'!$A$2:$A800,0))</f>
        <v>Survei Harga Perdesaan (SHPED24) Mei</v>
      </c>
      <c r="Y313" s="7" t="s">
        <v>3241</v>
      </c>
      <c r="Z313" s="7" t="s">
        <v>3289</v>
      </c>
      <c r="AA313" s="68">
        <f t="shared" si="5"/>
        <v>45412</v>
      </c>
      <c r="AB313" s="68">
        <f t="shared" si="6"/>
        <v>45413</v>
      </c>
      <c r="AC313" s="68">
        <f t="shared" si="7"/>
        <v>45443</v>
      </c>
      <c r="AD313" s="68">
        <f t="shared" si="8"/>
        <v>45442</v>
      </c>
      <c r="AE313" s="68">
        <f t="shared" si="9"/>
        <v>45443</v>
      </c>
    </row>
    <row r="314" spans="1:31" ht="12.5">
      <c r="A314" s="125">
        <v>610422100124</v>
      </c>
      <c r="B314" s="65" t="s">
        <v>154</v>
      </c>
      <c r="D314" s="10">
        <f t="array" aca="1" ref="D314" ca="1">INDEX('Mitra per Bulan'!$M$2:$M800,MATCH(S314,'Mitra per Bulan'!$B$2:$B800,0))</f>
        <v>1</v>
      </c>
      <c r="E314" s="10" t="str">
        <f t="array" ref="E314">INDEX('Database Mitra'!$A$2:$A800,MATCH(A314,'Database Mitra'!$B$2:$B800,0))</f>
        <v>Prabowo</v>
      </c>
      <c r="F314" s="64" t="s">
        <v>25</v>
      </c>
      <c r="G314" s="5" t="str">
        <f t="array" ref="G314">INDEX('Database Mitra'!$G$2:$G800,MATCH(A314,'Database Mitra'!$B$2:$B800,0))</f>
        <v>6171010108790015</v>
      </c>
      <c r="H314" s="64" t="s">
        <v>74</v>
      </c>
      <c r="I314" s="65" t="s">
        <v>156</v>
      </c>
      <c r="J314" s="10" t="str">
        <f t="array" ref="J314">INDEX(Honor!$H$2:$H800,MATCH($I314,Honor!$A$2:$A800,0))</f>
        <v>Dokumen</v>
      </c>
      <c r="K314" s="66">
        <f t="array" ref="K314">INDEX(Honor!$I$2:$I800,MATCH($I314,Honor!$A$2:$A800,0))</f>
        <v>55000</v>
      </c>
      <c r="L314" s="64">
        <v>3</v>
      </c>
      <c r="M314" s="10">
        <f t="shared" si="0"/>
        <v>165000</v>
      </c>
      <c r="O314" s="67">
        <f t="array" ref="O314">INDEX(Honor!$L$2:$L800,MATCH($I314,Honor!$A$2:$A800,0))</f>
        <v>45432</v>
      </c>
      <c r="P314" s="10">
        <f t="shared" si="1"/>
        <v>2024</v>
      </c>
      <c r="Q314" s="10">
        <f t="shared" si="2"/>
        <v>5</v>
      </c>
      <c r="R314" s="10" t="str">
        <f t="array" ref="R314">INDEX(Honor!$Q$2:$Q800,MATCH($I314,Honor!$A$2:$A800,0))</f>
        <v>SURVEI-PPL</v>
      </c>
      <c r="S314" s="10" t="str">
        <f t="shared" si="3"/>
        <v>610422100124-2024-5</v>
      </c>
      <c r="T314" s="10" t="str">
        <f t="shared" si="4"/>
        <v>610422100124-2024-5-SURVEI-PPL</v>
      </c>
      <c r="U314" s="64">
        <v>1</v>
      </c>
      <c r="V314" s="10" t="e">
        <f t="array" aca="1" ref="V314" ca="1">INDEX(Honor!$O$2:$O800,MATCH($I314,Honor!$A$2:$A800,0))</f>
        <v>#NAME?</v>
      </c>
      <c r="W314" s="67"/>
      <c r="X314" s="7" t="str">
        <f t="array" ref="X314">INDEX('Input Kegiatan'!$B$2:$B800,MATCH(B314,'Input Kegiatan'!$A$2:$A800,0))</f>
        <v>Survei Harga Perdesaan (SHPED24) Mei</v>
      </c>
      <c r="Y314" s="7" t="s">
        <v>1921</v>
      </c>
      <c r="Z314" s="7" t="s">
        <v>2140</v>
      </c>
      <c r="AA314" s="68">
        <f t="shared" si="5"/>
        <v>45412</v>
      </c>
      <c r="AB314" s="68">
        <f t="shared" si="6"/>
        <v>45413</v>
      </c>
      <c r="AC314" s="68">
        <f t="shared" si="7"/>
        <v>45443</v>
      </c>
      <c r="AD314" s="68">
        <f t="shared" si="8"/>
        <v>45442</v>
      </c>
      <c r="AE314" s="68">
        <f t="shared" si="9"/>
        <v>45443</v>
      </c>
    </row>
    <row r="315" spans="1:31" ht="12.5">
      <c r="A315" s="125">
        <v>610422100244</v>
      </c>
      <c r="B315" s="65" t="s">
        <v>154</v>
      </c>
      <c r="D315" s="10">
        <f t="array" aca="1" ref="D315" ca="1">INDEX('Mitra per Bulan'!$M$2:$M800,MATCH(S315,'Mitra per Bulan'!$B$2:$B800,0))</f>
        <v>1</v>
      </c>
      <c r="E315" s="10" t="str">
        <f t="array" ref="E315">INDEX('Database Mitra'!$A$2:$A800,MATCH(A315,'Database Mitra'!$B$2:$B800,0))</f>
        <v>Sugianto</v>
      </c>
      <c r="F315" s="64" t="s">
        <v>25</v>
      </c>
      <c r="G315" s="5" t="str">
        <f t="array" ref="G315">INDEX('Database Mitra'!$G$2:$G800,MATCH(A315,'Database Mitra'!$B$2:$B800,0))</f>
        <v>6102171003900002</v>
      </c>
      <c r="H315" s="64" t="s">
        <v>74</v>
      </c>
      <c r="I315" s="65" t="s">
        <v>156</v>
      </c>
      <c r="J315" s="10" t="str">
        <f t="array" ref="J315">INDEX(Honor!$H$2:$H800,MATCH($I315,Honor!$A$2:$A800,0))</f>
        <v>Dokumen</v>
      </c>
      <c r="K315" s="66">
        <f t="array" ref="K315">INDEX(Honor!$I$2:$I800,MATCH($I315,Honor!$A$2:$A800,0))</f>
        <v>55000</v>
      </c>
      <c r="L315" s="64">
        <v>2</v>
      </c>
      <c r="M315" s="10">
        <f t="shared" si="0"/>
        <v>110000</v>
      </c>
      <c r="O315" s="67">
        <f t="array" ref="O315">INDEX(Honor!$L$2:$L800,MATCH($I315,Honor!$A$2:$A800,0))</f>
        <v>45432</v>
      </c>
      <c r="P315" s="10">
        <f t="shared" si="1"/>
        <v>2024</v>
      </c>
      <c r="Q315" s="10">
        <f t="shared" si="2"/>
        <v>5</v>
      </c>
      <c r="R315" s="10" t="str">
        <f t="array" ref="R315">INDEX(Honor!$Q$2:$Q800,MATCH($I315,Honor!$A$2:$A800,0))</f>
        <v>SURVEI-PPL</v>
      </c>
      <c r="S315" s="10" t="str">
        <f t="shared" si="3"/>
        <v>610422100244-2024-5</v>
      </c>
      <c r="T315" s="10" t="str">
        <f t="shared" si="4"/>
        <v>610422100244-2024-5-SURVEI-PPL</v>
      </c>
      <c r="U315" s="64">
        <v>1</v>
      </c>
      <c r="V315" s="10" t="e">
        <f t="array" aca="1" ref="V315" ca="1">INDEX(Honor!$O$2:$O800,MATCH($I315,Honor!$A$2:$A800,0))</f>
        <v>#NAME?</v>
      </c>
      <c r="W315" s="67"/>
      <c r="X315" s="7" t="str">
        <f t="array" ref="X315">INDEX('Input Kegiatan'!$B$2:$B800,MATCH(B315,'Input Kegiatan'!$A$2:$A800,0))</f>
        <v>Survei Harga Perdesaan (SHPED24) Mei</v>
      </c>
      <c r="Y315" s="7" t="s">
        <v>5741</v>
      </c>
      <c r="Z315" s="7" t="s">
        <v>5796</v>
      </c>
      <c r="AA315" s="68">
        <f t="shared" si="5"/>
        <v>45412</v>
      </c>
      <c r="AB315" s="68">
        <f t="shared" si="6"/>
        <v>45413</v>
      </c>
      <c r="AC315" s="68">
        <f t="shared" si="7"/>
        <v>45443</v>
      </c>
      <c r="AD315" s="68">
        <f t="shared" si="8"/>
        <v>45442</v>
      </c>
      <c r="AE315" s="68">
        <f t="shared" si="9"/>
        <v>45443</v>
      </c>
    </row>
    <row r="316" spans="1:31" ht="12.5">
      <c r="A316" s="125">
        <v>610422020016</v>
      </c>
      <c r="B316" s="65" t="s">
        <v>154</v>
      </c>
      <c r="D316" s="10">
        <f t="array" aca="1" ref="D316" ca="1">INDEX('Mitra per Bulan'!$M$2:$M800,MATCH(S316,'Mitra per Bulan'!$B$2:$B800,0))</f>
        <v>1</v>
      </c>
      <c r="E316" s="10" t="str">
        <f t="array" ref="E316">INDEX('Database Mitra'!$A$2:$A800,MATCH(A316,'Database Mitra'!$B$2:$B800,0))</f>
        <v>Abdul Aziz</v>
      </c>
      <c r="F316" s="64" t="s">
        <v>25</v>
      </c>
      <c r="G316" s="5" t="str">
        <f t="array" ref="G316">INDEX('Database Mitra'!$G$2:$G800,MATCH(A316,'Database Mitra'!$B$2:$B800,0))</f>
        <v>6102061507950006</v>
      </c>
      <c r="H316" s="64" t="s">
        <v>74</v>
      </c>
      <c r="I316" s="65" t="s">
        <v>156</v>
      </c>
      <c r="J316" s="10" t="str">
        <f t="array" ref="J316">INDEX(Honor!$H$2:$H800,MATCH($I316,Honor!$A$2:$A800,0))</f>
        <v>Dokumen</v>
      </c>
      <c r="K316" s="66">
        <f t="array" ref="K316">INDEX(Honor!$I$2:$I800,MATCH($I316,Honor!$A$2:$A800,0))</f>
        <v>55000</v>
      </c>
      <c r="L316" s="64">
        <v>3</v>
      </c>
      <c r="M316" s="10">
        <f t="shared" si="0"/>
        <v>165000</v>
      </c>
      <c r="O316" s="67">
        <f t="array" ref="O316">INDEX(Honor!$L$2:$L800,MATCH($I316,Honor!$A$2:$A800,0))</f>
        <v>45432</v>
      </c>
      <c r="P316" s="10">
        <f t="shared" si="1"/>
        <v>2024</v>
      </c>
      <c r="Q316" s="10">
        <f t="shared" si="2"/>
        <v>5</v>
      </c>
      <c r="R316" s="10" t="str">
        <f t="array" ref="R316">INDEX(Honor!$Q$2:$Q800,MATCH($I316,Honor!$A$2:$A800,0))</f>
        <v>SURVEI-PPL</v>
      </c>
      <c r="S316" s="10" t="str">
        <f t="shared" si="3"/>
        <v>610422020016-2024-5</v>
      </c>
      <c r="T316" s="10" t="str">
        <f t="shared" si="4"/>
        <v>610422020016-2024-5-SURVEI-PPL</v>
      </c>
      <c r="U316" s="64">
        <v>1</v>
      </c>
      <c r="V316" s="10" t="e">
        <f t="array" aca="1" ref="V316" ca="1">INDEX(Honor!$O$2:$O800,MATCH($I316,Honor!$A$2:$A800,0))</f>
        <v>#NAME?</v>
      </c>
      <c r="W316" s="67"/>
      <c r="X316" s="7" t="str">
        <f t="array" ref="X316">INDEX('Input Kegiatan'!$B$2:$B800,MATCH(B316,'Input Kegiatan'!$A$2:$A800,0))</f>
        <v>Survei Harga Perdesaan (SHPED24) Mei</v>
      </c>
      <c r="Y316" s="7" t="s">
        <v>5534</v>
      </c>
      <c r="Z316" s="7" t="s">
        <v>5535</v>
      </c>
      <c r="AA316" s="68">
        <f t="shared" si="5"/>
        <v>45412</v>
      </c>
      <c r="AB316" s="68">
        <f t="shared" si="6"/>
        <v>45413</v>
      </c>
      <c r="AC316" s="68">
        <f t="shared" si="7"/>
        <v>45443</v>
      </c>
      <c r="AD316" s="68">
        <f t="shared" si="8"/>
        <v>45442</v>
      </c>
      <c r="AE316" s="68">
        <f t="shared" si="9"/>
        <v>45443</v>
      </c>
    </row>
    <row r="317" spans="1:31" ht="12.5">
      <c r="A317" s="125">
        <v>610422100016</v>
      </c>
      <c r="B317" s="65" t="s">
        <v>154</v>
      </c>
      <c r="D317" s="10">
        <f t="array" aca="1" ref="D317" ca="1">INDEX('Mitra per Bulan'!$M$2:$M800,MATCH(S317,'Mitra per Bulan'!$B$2:$B800,0))</f>
        <v>1</v>
      </c>
      <c r="E317" s="10" t="str">
        <f t="array" ref="E317">INDEX('Database Mitra'!$A$2:$A800,MATCH(A317,'Database Mitra'!$B$2:$B800,0))</f>
        <v>Amalia Faisya</v>
      </c>
      <c r="F317" s="64" t="s">
        <v>25</v>
      </c>
      <c r="G317" s="5" t="str">
        <f t="array" ref="G317">INDEX('Database Mitra'!$G$2:$G800,MATCH(A317,'Database Mitra'!$B$2:$B800,0))</f>
        <v>6102124210010005</v>
      </c>
      <c r="H317" s="64" t="s">
        <v>74</v>
      </c>
      <c r="I317" s="65" t="s">
        <v>156</v>
      </c>
      <c r="J317" s="10" t="str">
        <f t="array" ref="J317">INDEX(Honor!$H$2:$H800,MATCH($I317,Honor!$A$2:$A800,0))</f>
        <v>Dokumen</v>
      </c>
      <c r="K317" s="66">
        <f t="array" ref="K317">INDEX(Honor!$I$2:$I800,MATCH($I317,Honor!$A$2:$A800,0))</f>
        <v>55000</v>
      </c>
      <c r="L317" s="64">
        <v>1</v>
      </c>
      <c r="M317" s="10">
        <f t="shared" si="0"/>
        <v>55000</v>
      </c>
      <c r="O317" s="67">
        <f t="array" ref="O317">INDEX(Honor!$L$2:$L800,MATCH($I317,Honor!$A$2:$A800,0))</f>
        <v>45432</v>
      </c>
      <c r="P317" s="10">
        <f t="shared" si="1"/>
        <v>2024</v>
      </c>
      <c r="Q317" s="10">
        <f t="shared" si="2"/>
        <v>5</v>
      </c>
      <c r="R317" s="10" t="str">
        <f t="array" ref="R317">INDEX(Honor!$Q$2:$Q800,MATCH($I317,Honor!$A$2:$A800,0))</f>
        <v>SURVEI-PPL</v>
      </c>
      <c r="S317" s="10" t="str">
        <f t="shared" si="3"/>
        <v>610422100016-2024-5</v>
      </c>
      <c r="T317" s="10" t="str">
        <f t="shared" si="4"/>
        <v>610422100016-2024-5-SURVEI-PPL</v>
      </c>
      <c r="U317" s="64">
        <v>1</v>
      </c>
      <c r="V317" s="10" t="e">
        <f t="array" aca="1" ref="V317" ca="1">INDEX(Honor!$O$2:$O800,MATCH($I317,Honor!$A$2:$A800,0))</f>
        <v>#NAME?</v>
      </c>
      <c r="W317" s="67"/>
      <c r="X317" s="7" t="str">
        <f t="array" ref="X317">INDEX('Input Kegiatan'!$B$2:$B800,MATCH(B317,'Input Kegiatan'!$A$2:$A800,0))</f>
        <v>Survei Harga Perdesaan (SHPED24) Mei</v>
      </c>
      <c r="Y317" s="7" t="s">
        <v>5250</v>
      </c>
      <c r="Z317" s="7" t="s">
        <v>5365</v>
      </c>
      <c r="AA317" s="68">
        <f t="shared" si="5"/>
        <v>45412</v>
      </c>
      <c r="AB317" s="68">
        <f t="shared" si="6"/>
        <v>45413</v>
      </c>
      <c r="AC317" s="68">
        <f t="shared" si="7"/>
        <v>45443</v>
      </c>
      <c r="AD317" s="68">
        <f t="shared" si="8"/>
        <v>45442</v>
      </c>
      <c r="AE317" s="68">
        <f t="shared" si="9"/>
        <v>45443</v>
      </c>
    </row>
    <row r="318" spans="1:31" ht="12.5">
      <c r="A318" s="125">
        <v>610422020048</v>
      </c>
      <c r="B318" s="65" t="s">
        <v>154</v>
      </c>
      <c r="D318" s="10">
        <f t="array" aca="1" ref="D318" ca="1">INDEX('Mitra per Bulan'!$M$2:$M800,MATCH(S318,'Mitra per Bulan'!$B$2:$B800,0))</f>
        <v>1</v>
      </c>
      <c r="E318" s="10" t="str">
        <f t="array" ref="E318">INDEX('Database Mitra'!$A$2:$A800,MATCH(A318,'Database Mitra'!$B$2:$B800,0))</f>
        <v>Herri Gustaman</v>
      </c>
      <c r="F318" s="64" t="s">
        <v>25</v>
      </c>
      <c r="G318" s="5" t="str">
        <f t="array" ref="G318">INDEX('Database Mitra'!$G$2:$G800,MATCH(A318,'Database Mitra'!$B$2:$B800,0))</f>
        <v>6102072503800001</v>
      </c>
      <c r="H318" s="64" t="s">
        <v>74</v>
      </c>
      <c r="I318" s="65" t="s">
        <v>156</v>
      </c>
      <c r="J318" s="10" t="str">
        <f t="array" ref="J318">INDEX(Honor!$H$2:$H800,MATCH($I318,Honor!$A$2:$A800,0))</f>
        <v>Dokumen</v>
      </c>
      <c r="K318" s="66">
        <f t="array" ref="K318">INDEX(Honor!$I$2:$I800,MATCH($I318,Honor!$A$2:$A800,0))</f>
        <v>55000</v>
      </c>
      <c r="L318" s="64">
        <v>3</v>
      </c>
      <c r="M318" s="10">
        <f t="shared" si="0"/>
        <v>165000</v>
      </c>
      <c r="O318" s="67">
        <f t="array" ref="O318">INDEX(Honor!$L$2:$L800,MATCH($I318,Honor!$A$2:$A800,0))</f>
        <v>45432</v>
      </c>
      <c r="P318" s="10">
        <f t="shared" si="1"/>
        <v>2024</v>
      </c>
      <c r="Q318" s="10">
        <f t="shared" si="2"/>
        <v>5</v>
      </c>
      <c r="R318" s="10" t="str">
        <f t="array" ref="R318">INDEX(Honor!$Q$2:$Q800,MATCH($I318,Honor!$A$2:$A800,0))</f>
        <v>SURVEI-PPL</v>
      </c>
      <c r="S318" s="10" t="str">
        <f t="shared" si="3"/>
        <v>610422020048-2024-5</v>
      </c>
      <c r="T318" s="10" t="str">
        <f t="shared" si="4"/>
        <v>610422020048-2024-5-SURVEI-PPL</v>
      </c>
      <c r="U318" s="64">
        <v>1</v>
      </c>
      <c r="V318" s="10" t="e">
        <f t="array" aca="1" ref="V318" ca="1">INDEX(Honor!$O$2:$O800,MATCH($I318,Honor!$A$2:$A800,0))</f>
        <v>#NAME?</v>
      </c>
      <c r="W318" s="67"/>
      <c r="X318" s="7" t="str">
        <f t="array" ref="X318">INDEX('Input Kegiatan'!$B$2:$B800,MATCH(B318,'Input Kegiatan'!$A$2:$A800,0))</f>
        <v>Survei Harga Perdesaan (SHPED24) Mei</v>
      </c>
      <c r="Y318" s="7" t="s">
        <v>4931</v>
      </c>
      <c r="Z318" s="7" t="s">
        <v>5171</v>
      </c>
      <c r="AA318" s="68">
        <f t="shared" si="5"/>
        <v>45412</v>
      </c>
      <c r="AB318" s="68">
        <f t="shared" si="6"/>
        <v>45413</v>
      </c>
      <c r="AC318" s="68">
        <f t="shared" si="7"/>
        <v>45443</v>
      </c>
      <c r="AD318" s="68">
        <f t="shared" si="8"/>
        <v>45442</v>
      </c>
      <c r="AE318" s="68">
        <f t="shared" si="9"/>
        <v>45443</v>
      </c>
    </row>
    <row r="319" spans="1:31" ht="12.5">
      <c r="A319" s="125">
        <v>610422040029</v>
      </c>
      <c r="B319" s="65" t="s">
        <v>154</v>
      </c>
      <c r="D319" s="10">
        <f t="array" aca="1" ref="D319" ca="1">INDEX('Mitra per Bulan'!$M$2:$M800,MATCH(S319,'Mitra per Bulan'!$B$2:$B800,0))</f>
        <v>1</v>
      </c>
      <c r="E319" s="10" t="str">
        <f t="array" ref="E319">INDEX('Database Mitra'!$A$2:$A800,MATCH(A319,'Database Mitra'!$B$2:$B800,0))</f>
        <v>Zaini</v>
      </c>
      <c r="F319" s="64" t="s">
        <v>25</v>
      </c>
      <c r="G319" s="5" t="str">
        <f t="array" ref="G319">INDEX('Database Mitra'!$G$2:$G800,MATCH(A319,'Database Mitra'!$B$2:$B800,0))</f>
        <v>6102010607870002</v>
      </c>
      <c r="H319" s="64" t="s">
        <v>74</v>
      </c>
      <c r="I319" s="65" t="s">
        <v>156</v>
      </c>
      <c r="J319" s="10" t="str">
        <f t="array" ref="J319">INDEX(Honor!$H$2:$H800,MATCH($I319,Honor!$A$2:$A800,0))</f>
        <v>Dokumen</v>
      </c>
      <c r="K319" s="66">
        <f t="array" ref="K319">INDEX(Honor!$I$2:$I800,MATCH($I319,Honor!$A$2:$A800,0))</f>
        <v>55000</v>
      </c>
      <c r="L319" s="64">
        <v>4</v>
      </c>
      <c r="M319" s="10">
        <f t="shared" si="0"/>
        <v>220000</v>
      </c>
      <c r="O319" s="67">
        <f t="array" ref="O319">INDEX(Honor!$L$2:$L800,MATCH($I319,Honor!$A$2:$A800,0))</f>
        <v>45432</v>
      </c>
      <c r="P319" s="10">
        <f t="shared" si="1"/>
        <v>2024</v>
      </c>
      <c r="Q319" s="10">
        <f t="shared" si="2"/>
        <v>5</v>
      </c>
      <c r="R319" s="10" t="str">
        <f t="array" ref="R319">INDEX(Honor!$Q$2:$Q800,MATCH($I319,Honor!$A$2:$A800,0))</f>
        <v>SURVEI-PPL</v>
      </c>
      <c r="S319" s="10" t="str">
        <f t="shared" si="3"/>
        <v>610422040029-2024-5</v>
      </c>
      <c r="T319" s="10" t="str">
        <f t="shared" si="4"/>
        <v>610422040029-2024-5-SURVEI-PPL</v>
      </c>
      <c r="U319" s="64">
        <v>1</v>
      </c>
      <c r="V319" s="10" t="e">
        <f t="array" aca="1" ref="V319" ca="1">INDEX(Honor!$O$2:$O800,MATCH($I319,Honor!$A$2:$A800,0))</f>
        <v>#NAME?</v>
      </c>
      <c r="W319" s="67"/>
      <c r="X319" s="7" t="str">
        <f t="array" ref="X319">INDEX('Input Kegiatan'!$B$2:$B800,MATCH(B319,'Input Kegiatan'!$A$2:$A800,0))</f>
        <v>Survei Harga Perdesaan (SHPED24) Mei</v>
      </c>
      <c r="Y319" s="7" t="s">
        <v>4572</v>
      </c>
      <c r="Z319" s="7" t="s">
        <v>4619</v>
      </c>
      <c r="AA319" s="68">
        <f t="shared" si="5"/>
        <v>45412</v>
      </c>
      <c r="AB319" s="68">
        <f t="shared" si="6"/>
        <v>45413</v>
      </c>
      <c r="AC319" s="68">
        <f t="shared" si="7"/>
        <v>45443</v>
      </c>
      <c r="AD319" s="68">
        <f t="shared" si="8"/>
        <v>45442</v>
      </c>
      <c r="AE319" s="68">
        <f t="shared" si="9"/>
        <v>45443</v>
      </c>
    </row>
    <row r="320" spans="1:31" ht="12.5">
      <c r="A320" s="125">
        <v>610422050001</v>
      </c>
      <c r="B320" s="65" t="s">
        <v>154</v>
      </c>
      <c r="D320" s="10">
        <f t="array" aca="1" ref="D320" ca="1">INDEX('Mitra per Bulan'!$M$2:$M800,MATCH(S320,'Mitra per Bulan'!$B$2:$B800,0))</f>
        <v>1</v>
      </c>
      <c r="E320" s="10" t="str">
        <f t="array" ref="E320">INDEX('Database Mitra'!$A$2:$A800,MATCH(A320,'Database Mitra'!$B$2:$B800,0))</f>
        <v>Evi Juniarty</v>
      </c>
      <c r="F320" s="64" t="s">
        <v>25</v>
      </c>
      <c r="G320" s="5" t="str">
        <f t="array" ref="G320">INDEX('Database Mitra'!$G$2:$G800,MATCH(A320,'Database Mitra'!$B$2:$B800,0))</f>
        <v>6102165101840001</v>
      </c>
      <c r="H320" s="64" t="s">
        <v>74</v>
      </c>
      <c r="I320" s="65" t="s">
        <v>156</v>
      </c>
      <c r="J320" s="10" t="str">
        <f t="array" ref="J320">INDEX(Honor!$H$2:$H800,MATCH($I320,Honor!$A$2:$A800,0))</f>
        <v>Dokumen</v>
      </c>
      <c r="K320" s="66">
        <f t="array" ref="K320">INDEX(Honor!$I$2:$I800,MATCH($I320,Honor!$A$2:$A800,0))</f>
        <v>55000</v>
      </c>
      <c r="L320" s="64">
        <v>1</v>
      </c>
      <c r="M320" s="10">
        <f t="shared" si="0"/>
        <v>55000</v>
      </c>
      <c r="O320" s="67">
        <f t="array" ref="O320">INDEX(Honor!$L$2:$L800,MATCH($I320,Honor!$A$2:$A800,0))</f>
        <v>45432</v>
      </c>
      <c r="P320" s="10">
        <f t="shared" si="1"/>
        <v>2024</v>
      </c>
      <c r="Q320" s="10">
        <f t="shared" si="2"/>
        <v>5</v>
      </c>
      <c r="R320" s="10" t="str">
        <f t="array" ref="R320">INDEX(Honor!$Q$2:$Q800,MATCH($I320,Honor!$A$2:$A800,0))</f>
        <v>SURVEI-PPL</v>
      </c>
      <c r="S320" s="10" t="str">
        <f t="shared" si="3"/>
        <v>610422050001-2024-5</v>
      </c>
      <c r="T320" s="10" t="str">
        <f t="shared" si="4"/>
        <v>610422050001-2024-5-SURVEI-PPL</v>
      </c>
      <c r="U320" s="64">
        <v>1</v>
      </c>
      <c r="V320" s="10" t="e">
        <f t="array" aca="1" ref="V320" ca="1">INDEX(Honor!$O$2:$O800,MATCH($I320,Honor!$A$2:$A800,0))</f>
        <v>#NAME?</v>
      </c>
      <c r="W320" s="67"/>
      <c r="X320" s="7" t="str">
        <f t="array" ref="X320">INDEX('Input Kegiatan'!$B$2:$B800,MATCH(B320,'Input Kegiatan'!$A$2:$A800,0))</f>
        <v>Survei Harga Perdesaan (SHPED24) Mei</v>
      </c>
      <c r="Y320" s="7" t="s">
        <v>4408</v>
      </c>
      <c r="Z320" s="7" t="s">
        <v>4409</v>
      </c>
      <c r="AA320" s="68">
        <f t="shared" si="5"/>
        <v>45412</v>
      </c>
      <c r="AB320" s="68">
        <f t="shared" si="6"/>
        <v>45413</v>
      </c>
      <c r="AC320" s="68">
        <f t="shared" si="7"/>
        <v>45443</v>
      </c>
      <c r="AD320" s="68">
        <f t="shared" si="8"/>
        <v>45442</v>
      </c>
      <c r="AE320" s="68">
        <f t="shared" si="9"/>
        <v>45443</v>
      </c>
    </row>
    <row r="321" spans="1:31" ht="12.5">
      <c r="A321" s="125">
        <v>610422100124</v>
      </c>
      <c r="B321" s="65" t="s">
        <v>157</v>
      </c>
      <c r="D321" s="10">
        <f t="array" aca="1" ref="D321" ca="1">INDEX('Mitra per Bulan'!$M$2:$M800,MATCH(S321,'Mitra per Bulan'!$B$2:$B800,0))</f>
        <v>1</v>
      </c>
      <c r="E321" s="10" t="str">
        <f t="array" ref="E321">INDEX('Database Mitra'!$A$2:$A800,MATCH(A321,'Database Mitra'!$B$2:$B800,0))</f>
        <v>Prabowo</v>
      </c>
      <c r="F321" s="64" t="s">
        <v>25</v>
      </c>
      <c r="G321" s="5" t="str">
        <f t="array" ref="G321">INDEX('Database Mitra'!$G$2:$G800,MATCH(A321,'Database Mitra'!$B$2:$B800,0))</f>
        <v>6171010108790015</v>
      </c>
      <c r="H321" s="64" t="s">
        <v>67</v>
      </c>
      <c r="I321" s="65" t="s">
        <v>158</v>
      </c>
      <c r="J321" s="10" t="str">
        <f t="array" ref="J321">INDEX(Honor!$H$2:$H800,MATCH($I321,Honor!$A$2:$A800,0))</f>
        <v>Dokumen</v>
      </c>
      <c r="K321" s="66">
        <f t="array" ref="K321">INDEX(Honor!$I$2:$I800,MATCH($I321,Honor!$A$2:$A800,0))</f>
        <v>55000</v>
      </c>
      <c r="L321" s="64">
        <v>2</v>
      </c>
      <c r="M321" s="10">
        <f t="shared" si="0"/>
        <v>110000</v>
      </c>
      <c r="O321" s="67">
        <f t="array" ref="O321">INDEX(Honor!$L$2:$L800,MATCH($I321,Honor!$A$2:$A800,0))</f>
        <v>45432</v>
      </c>
      <c r="P321" s="10">
        <f t="shared" si="1"/>
        <v>2024</v>
      </c>
      <c r="Q321" s="10">
        <f t="shared" si="2"/>
        <v>5</v>
      </c>
      <c r="R321" s="10" t="str">
        <f t="array" ref="R321">INDEX(Honor!$Q$2:$Q800,MATCH($I321,Honor!$A$2:$A800,0))</f>
        <v>SURVEI-PPL</v>
      </c>
      <c r="S321" s="10" t="str">
        <f t="shared" si="3"/>
        <v>610422100124-2024-5</v>
      </c>
      <c r="T321" s="10" t="str">
        <f t="shared" si="4"/>
        <v>610422100124-2024-5-SURVEI-PPL</v>
      </c>
      <c r="U321" s="64">
        <v>1</v>
      </c>
      <c r="V321" s="10" t="e">
        <f t="array" aca="1" ref="V321" ca="1">INDEX(Honor!$O$2:$O800,MATCH($I321,Honor!$A$2:$A800,0))</f>
        <v>#NAME?</v>
      </c>
      <c r="W321" s="67"/>
      <c r="X321" s="7" t="str">
        <f t="array" ref="X321">INDEX('Input Kegiatan'!$B$2:$B800,MATCH(B321,'Input Kegiatan'!$A$2:$A800,0))</f>
        <v>Survei Harga Produsen Beras di Penggilingan 2024 (HPBG24) Mei</v>
      </c>
      <c r="Y321" s="7" t="s">
        <v>1921</v>
      </c>
      <c r="Z321" s="7" t="s">
        <v>2140</v>
      </c>
      <c r="AA321" s="68">
        <f t="shared" si="5"/>
        <v>45412</v>
      </c>
      <c r="AB321" s="68">
        <f t="shared" si="6"/>
        <v>45413</v>
      </c>
      <c r="AC321" s="68">
        <f t="shared" si="7"/>
        <v>45443</v>
      </c>
      <c r="AD321" s="68">
        <f t="shared" si="8"/>
        <v>45442</v>
      </c>
      <c r="AE321" s="68">
        <f t="shared" si="9"/>
        <v>45443</v>
      </c>
    </row>
    <row r="322" spans="1:31" ht="12.5">
      <c r="A322" s="125">
        <v>610422100244</v>
      </c>
      <c r="B322" s="65" t="s">
        <v>157</v>
      </c>
      <c r="D322" s="10">
        <f t="array" aca="1" ref="D322" ca="1">INDEX('Mitra per Bulan'!$M$2:$M800,MATCH(S322,'Mitra per Bulan'!$B$2:$B800,0))</f>
        <v>1</v>
      </c>
      <c r="E322" s="10" t="str">
        <f t="array" ref="E322">INDEX('Database Mitra'!$A$2:$A800,MATCH(A322,'Database Mitra'!$B$2:$B800,0))</f>
        <v>Sugianto</v>
      </c>
      <c r="F322" s="64" t="s">
        <v>25</v>
      </c>
      <c r="G322" s="5" t="str">
        <f t="array" ref="G322">INDEX('Database Mitra'!$G$2:$G800,MATCH(A322,'Database Mitra'!$B$2:$B800,0))</f>
        <v>6102171003900002</v>
      </c>
      <c r="H322" s="64" t="s">
        <v>67</v>
      </c>
      <c r="I322" s="65" t="s">
        <v>158</v>
      </c>
      <c r="J322" s="10" t="str">
        <f t="array" ref="J322">INDEX(Honor!$H$2:$H800,MATCH($I322,Honor!$A$2:$A800,0))</f>
        <v>Dokumen</v>
      </c>
      <c r="K322" s="66">
        <f t="array" ref="K322">INDEX(Honor!$I$2:$I800,MATCH($I322,Honor!$A$2:$A800,0))</f>
        <v>55000</v>
      </c>
      <c r="L322" s="64">
        <v>2</v>
      </c>
      <c r="M322" s="10">
        <f t="shared" si="0"/>
        <v>110000</v>
      </c>
      <c r="O322" s="67">
        <f t="array" ref="O322">INDEX(Honor!$L$2:$L800,MATCH($I322,Honor!$A$2:$A800,0))</f>
        <v>45432</v>
      </c>
      <c r="P322" s="10">
        <f t="shared" si="1"/>
        <v>2024</v>
      </c>
      <c r="Q322" s="10">
        <f t="shared" si="2"/>
        <v>5</v>
      </c>
      <c r="R322" s="10" t="str">
        <f t="array" ref="R322">INDEX(Honor!$Q$2:$Q800,MATCH($I322,Honor!$A$2:$A800,0))</f>
        <v>SURVEI-PPL</v>
      </c>
      <c r="S322" s="10" t="str">
        <f t="shared" si="3"/>
        <v>610422100244-2024-5</v>
      </c>
      <c r="T322" s="10" t="str">
        <f t="shared" si="4"/>
        <v>610422100244-2024-5-SURVEI-PPL</v>
      </c>
      <c r="U322" s="64">
        <v>1</v>
      </c>
      <c r="V322" s="10" t="e">
        <f t="array" aca="1" ref="V322" ca="1">INDEX(Honor!$O$2:$O800,MATCH($I322,Honor!$A$2:$A800,0))</f>
        <v>#NAME?</v>
      </c>
      <c r="W322" s="67"/>
      <c r="X322" s="7" t="str">
        <f t="array" ref="X322">INDEX('Input Kegiatan'!$B$2:$B800,MATCH(B322,'Input Kegiatan'!$A$2:$A800,0))</f>
        <v>Survei Harga Produsen Beras di Penggilingan 2024 (HPBG24) Mei</v>
      </c>
      <c r="Y322" s="7" t="s">
        <v>5741</v>
      </c>
      <c r="Z322" s="7" t="s">
        <v>5796</v>
      </c>
      <c r="AA322" s="68">
        <f t="shared" si="5"/>
        <v>45412</v>
      </c>
      <c r="AB322" s="68">
        <f t="shared" si="6"/>
        <v>45413</v>
      </c>
      <c r="AC322" s="68">
        <f t="shared" si="7"/>
        <v>45443</v>
      </c>
      <c r="AD322" s="68">
        <f t="shared" si="8"/>
        <v>45442</v>
      </c>
      <c r="AE322" s="68">
        <f t="shared" si="9"/>
        <v>45443</v>
      </c>
    </row>
    <row r="323" spans="1:31" ht="12.5">
      <c r="A323" s="125">
        <v>610422100165</v>
      </c>
      <c r="B323" s="65" t="s">
        <v>157</v>
      </c>
      <c r="D323" s="10">
        <f t="array" aca="1" ref="D323" ca="1">INDEX('Mitra per Bulan'!$M$2:$M800,MATCH(S323,'Mitra per Bulan'!$B$2:$B800,0))</f>
        <v>1</v>
      </c>
      <c r="E323" s="10" t="str">
        <f t="array" ref="E323">INDEX('Database Mitra'!$A$2:$A800,MATCH(A323,'Database Mitra'!$B$2:$B800,0))</f>
        <v>Yanti</v>
      </c>
      <c r="F323" s="64" t="s">
        <v>25</v>
      </c>
      <c r="G323" s="5" t="str">
        <f t="array" ref="G323">INDEX('Database Mitra'!$G$2:$G800,MATCH(A323,'Database Mitra'!$B$2:$B800,0))</f>
        <v>6102074803980002</v>
      </c>
      <c r="H323" s="64" t="s">
        <v>67</v>
      </c>
      <c r="I323" s="65" t="s">
        <v>158</v>
      </c>
      <c r="J323" s="10" t="str">
        <f t="array" ref="J323">INDEX(Honor!$H$2:$H800,MATCH($I323,Honor!$A$2:$A800,0))</f>
        <v>Dokumen</v>
      </c>
      <c r="K323" s="66">
        <f t="array" ref="K323">INDEX(Honor!$I$2:$I800,MATCH($I323,Honor!$A$2:$A800,0))</f>
        <v>55000</v>
      </c>
      <c r="L323" s="64">
        <v>2</v>
      </c>
      <c r="M323" s="10">
        <f t="shared" si="0"/>
        <v>110000</v>
      </c>
      <c r="O323" s="67">
        <f t="array" ref="O323">INDEX(Honor!$L$2:$L800,MATCH($I323,Honor!$A$2:$A800,0))</f>
        <v>45432</v>
      </c>
      <c r="P323" s="10">
        <f t="shared" si="1"/>
        <v>2024</v>
      </c>
      <c r="Q323" s="10">
        <f t="shared" si="2"/>
        <v>5</v>
      </c>
      <c r="R323" s="10" t="str">
        <f t="array" ref="R323">INDEX(Honor!$Q$2:$Q800,MATCH($I323,Honor!$A$2:$A800,0))</f>
        <v>SURVEI-PPL</v>
      </c>
      <c r="S323" s="10" t="str">
        <f t="shared" si="3"/>
        <v>610422100165-2024-5</v>
      </c>
      <c r="T323" s="10" t="str">
        <f t="shared" si="4"/>
        <v>610422100165-2024-5-SURVEI-PPL</v>
      </c>
      <c r="U323" s="64">
        <v>1</v>
      </c>
      <c r="V323" s="10" t="e">
        <f t="array" aca="1" ref="V323" ca="1">INDEX(Honor!$O$2:$O800,MATCH($I323,Honor!$A$2:$A800,0))</f>
        <v>#NAME?</v>
      </c>
      <c r="W323" s="67"/>
      <c r="X323" s="7" t="str">
        <f t="array" ref="X323">INDEX('Input Kegiatan'!$B$2:$B800,MATCH(B323,'Input Kegiatan'!$A$2:$A800,0))</f>
        <v>Survei Harga Produsen Beras di Penggilingan 2024 (HPBG24) Mei</v>
      </c>
      <c r="Y323" s="7" t="s">
        <v>3990</v>
      </c>
      <c r="Z323" s="7" t="s">
        <v>4332</v>
      </c>
      <c r="AA323" s="68">
        <f t="shared" si="5"/>
        <v>45412</v>
      </c>
      <c r="AB323" s="68">
        <f t="shared" si="6"/>
        <v>45413</v>
      </c>
      <c r="AC323" s="68">
        <f t="shared" si="7"/>
        <v>45443</v>
      </c>
      <c r="AD323" s="68">
        <f t="shared" si="8"/>
        <v>45442</v>
      </c>
      <c r="AE323" s="68">
        <f t="shared" si="9"/>
        <v>45443</v>
      </c>
    </row>
    <row r="324" spans="1:31" ht="12.5">
      <c r="A324" s="125">
        <v>610422100165</v>
      </c>
      <c r="B324" s="65" t="s">
        <v>159</v>
      </c>
      <c r="D324" s="10">
        <f t="array" aca="1" ref="D324" ca="1">INDEX('Mitra per Bulan'!$M$2:$M800,MATCH(S324,'Mitra per Bulan'!$B$2:$B800,0))</f>
        <v>1</v>
      </c>
      <c r="E324" s="10" t="str">
        <f t="array" ref="E324">INDEX('Database Mitra'!$A$2:$A800,MATCH(A324,'Database Mitra'!$B$2:$B800,0))</f>
        <v>Yanti</v>
      </c>
      <c r="F324" s="64" t="s">
        <v>25</v>
      </c>
      <c r="G324" s="5" t="str">
        <f t="array" ref="G324">INDEX('Database Mitra'!$G$2:$G800,MATCH(A324,'Database Mitra'!$B$2:$B800,0))</f>
        <v>6102074803980002</v>
      </c>
      <c r="H324" s="64" t="s">
        <v>67</v>
      </c>
      <c r="I324" s="65" t="s">
        <v>160</v>
      </c>
      <c r="J324" s="10" t="str">
        <f t="array" ref="J324">INDEX(Honor!$H$2:$H800,MATCH($I324,Honor!$A$2:$A800,0))</f>
        <v>Dokumen</v>
      </c>
      <c r="K324" s="66">
        <f t="array" ref="K324">INDEX(Honor!$I$2:$I800,MATCH($I324,Honor!$A$2:$A800,0))</f>
        <v>50000</v>
      </c>
      <c r="L324" s="64">
        <v>1</v>
      </c>
      <c r="M324" s="10">
        <f t="shared" si="0"/>
        <v>50000</v>
      </c>
      <c r="O324" s="67">
        <f t="array" ref="O324">INDEX(Honor!$L$2:$L800,MATCH($I324,Honor!$A$2:$A800,0))</f>
        <v>45432</v>
      </c>
      <c r="P324" s="10">
        <f t="shared" si="1"/>
        <v>2024</v>
      </c>
      <c r="Q324" s="10">
        <f t="shared" si="2"/>
        <v>5</v>
      </c>
      <c r="R324" s="10" t="str">
        <f t="array" ref="R324">INDEX(Honor!$Q$2:$Q800,MATCH($I324,Honor!$A$2:$A800,0))</f>
        <v>SURVEI-PPL</v>
      </c>
      <c r="S324" s="10" t="str">
        <f t="shared" si="3"/>
        <v>610422100165-2024-5</v>
      </c>
      <c r="T324" s="10" t="str">
        <f t="shared" si="4"/>
        <v>610422100165-2024-5-SURVEI-PPL</v>
      </c>
      <c r="U324" s="64">
        <v>1</v>
      </c>
      <c r="V324" s="10" t="e">
        <f t="array" aca="1" ref="V324" ca="1">INDEX(Honor!$O$2:$O800,MATCH($I324,Honor!$A$2:$A800,0))</f>
        <v>#NAME?</v>
      </c>
      <c r="W324" s="67"/>
      <c r="X324" s="7" t="str">
        <f t="array" ref="X324">INDEX('Input Kegiatan'!$B$2:$B800,MATCH(B324,'Input Kegiatan'!$A$2:$A800,0))</f>
        <v>Survei Harga Produsen Jasa (HPJ24) Mei</v>
      </c>
      <c r="Y324" s="7" t="s">
        <v>3990</v>
      </c>
      <c r="Z324" s="7" t="s">
        <v>4332</v>
      </c>
      <c r="AA324" s="68">
        <f t="shared" si="5"/>
        <v>45412</v>
      </c>
      <c r="AB324" s="68">
        <f t="shared" si="6"/>
        <v>45413</v>
      </c>
      <c r="AC324" s="68">
        <f t="shared" si="7"/>
        <v>45443</v>
      </c>
      <c r="AD324" s="68">
        <f t="shared" si="8"/>
        <v>45442</v>
      </c>
      <c r="AE324" s="68">
        <f t="shared" si="9"/>
        <v>45443</v>
      </c>
    </row>
    <row r="325" spans="1:31" ht="12.5">
      <c r="A325" s="125">
        <v>610422040029</v>
      </c>
      <c r="B325" s="69" t="s">
        <v>161</v>
      </c>
      <c r="D325" s="10">
        <f t="array" aca="1" ref="D325" ca="1">INDEX('Mitra per Bulan'!$M$2:$M800,MATCH(S325,'Mitra per Bulan'!$B$2:$B800,0))</f>
        <v>1</v>
      </c>
      <c r="E325" s="10" t="str">
        <f t="array" ref="E325">INDEX('Database Mitra'!$A$2:$A800,MATCH(A325,'Database Mitra'!$B$2:$B800,0))</f>
        <v>Zaini</v>
      </c>
      <c r="F325" s="64" t="s">
        <v>25</v>
      </c>
      <c r="G325" s="5" t="str">
        <f t="array" ref="G325">INDEX('Database Mitra'!$G$2:$G800,MATCH(A325,'Database Mitra'!$B$2:$B800,0))</f>
        <v>6102010607870002</v>
      </c>
      <c r="H325" s="64" t="s">
        <v>67</v>
      </c>
      <c r="I325" s="65" t="s">
        <v>162</v>
      </c>
      <c r="J325" s="10" t="str">
        <f t="array" ref="J325">INDEX(Honor!$H$2:$H800,MATCH($I325,Honor!$A$2:$A800,0))</f>
        <v>Dokumen</v>
      </c>
      <c r="K325" s="66">
        <f t="array" ref="K325">INDEX(Honor!$I$2:$I800,MATCH($I325,Honor!$A$2:$A800,0))</f>
        <v>55000</v>
      </c>
      <c r="L325" s="64">
        <v>3</v>
      </c>
      <c r="M325" s="10">
        <f t="shared" si="0"/>
        <v>165000</v>
      </c>
      <c r="O325" s="67">
        <f t="array" ref="O325">INDEX(Honor!$L$2:$L800,MATCH($I325,Honor!$A$2:$A800,0))</f>
        <v>45432</v>
      </c>
      <c r="P325" s="10">
        <f t="shared" si="1"/>
        <v>2024</v>
      </c>
      <c r="Q325" s="10">
        <f t="shared" si="2"/>
        <v>5</v>
      </c>
      <c r="R325" s="10" t="str">
        <f t="array" ref="R325">INDEX(Honor!$Q$2:$Q800,MATCH($I325,Honor!$A$2:$A800,0))</f>
        <v>SURVEI-PPL</v>
      </c>
      <c r="S325" s="10" t="str">
        <f t="shared" si="3"/>
        <v>610422040029-2024-5</v>
      </c>
      <c r="T325" s="10" t="str">
        <f t="shared" si="4"/>
        <v>610422040029-2024-5-SURVEI-PPL</v>
      </c>
      <c r="U325" s="64">
        <v>1</v>
      </c>
      <c r="V325" s="10" t="e">
        <f t="array" aca="1" ref="V325" ca="1">INDEX(Honor!$O$2:$O800,MATCH($I325,Honor!$A$2:$A800,0))</f>
        <v>#NAME?</v>
      </c>
      <c r="W325" s="67"/>
      <c r="X325" s="7" t="str">
        <f t="array" ref="X325">INDEX('Input Kegiatan'!$B$2:$B800,MATCH(B325,'Input Kegiatan'!$A$2:$A800,0))</f>
        <v>Survei Hotel dan Jasa Akomodasi Bulanan (VHTS) 2024 Mei</v>
      </c>
      <c r="Y325" s="7" t="s">
        <v>4572</v>
      </c>
      <c r="Z325" s="7" t="s">
        <v>4619</v>
      </c>
      <c r="AA325" s="68">
        <f t="shared" si="5"/>
        <v>45412</v>
      </c>
      <c r="AB325" s="68">
        <f t="shared" si="6"/>
        <v>45413</v>
      </c>
      <c r="AC325" s="68">
        <f t="shared" si="7"/>
        <v>45443</v>
      </c>
      <c r="AD325" s="68">
        <f t="shared" si="8"/>
        <v>45442</v>
      </c>
      <c r="AE325" s="68">
        <f t="shared" si="9"/>
        <v>45443</v>
      </c>
    </row>
    <row r="326" spans="1:31" ht="12.5">
      <c r="A326" s="125">
        <v>610422100165</v>
      </c>
      <c r="B326" s="69" t="s">
        <v>161</v>
      </c>
      <c r="D326" s="10">
        <f t="array" aca="1" ref="D326" ca="1">INDEX('Mitra per Bulan'!$M$2:$M800,MATCH(S326,'Mitra per Bulan'!$B$2:$B800,0))</f>
        <v>1</v>
      </c>
      <c r="E326" s="10" t="str">
        <f t="array" ref="E326">INDEX('Database Mitra'!$A$2:$A800,MATCH(A326,'Database Mitra'!$B$2:$B800,0))</f>
        <v>Yanti</v>
      </c>
      <c r="F326" s="64" t="s">
        <v>25</v>
      </c>
      <c r="G326" s="5" t="str">
        <f t="array" ref="G326">INDEX('Database Mitra'!$G$2:$G800,MATCH(A326,'Database Mitra'!$B$2:$B800,0))</f>
        <v>6102074803980002</v>
      </c>
      <c r="H326" s="64" t="s">
        <v>67</v>
      </c>
      <c r="I326" s="65" t="s">
        <v>162</v>
      </c>
      <c r="J326" s="10" t="str">
        <f t="array" ref="J326">INDEX(Honor!$H$2:$H800,MATCH($I326,Honor!$A$2:$A800,0))</f>
        <v>Dokumen</v>
      </c>
      <c r="K326" s="66">
        <f t="array" ref="K326">INDEX(Honor!$I$2:$I800,MATCH($I326,Honor!$A$2:$A800,0))</f>
        <v>55000</v>
      </c>
      <c r="L326" s="64">
        <v>3</v>
      </c>
      <c r="M326" s="10">
        <f t="shared" si="0"/>
        <v>165000</v>
      </c>
      <c r="O326" s="67">
        <f t="array" ref="O326">INDEX(Honor!$L$2:$L800,MATCH($I326,Honor!$A$2:$A800,0))</f>
        <v>45432</v>
      </c>
      <c r="P326" s="10">
        <f t="shared" si="1"/>
        <v>2024</v>
      </c>
      <c r="Q326" s="10">
        <f t="shared" si="2"/>
        <v>5</v>
      </c>
      <c r="R326" s="10" t="str">
        <f t="array" ref="R326">INDEX(Honor!$Q$2:$Q800,MATCH($I326,Honor!$A$2:$A800,0))</f>
        <v>SURVEI-PPL</v>
      </c>
      <c r="S326" s="10" t="str">
        <f t="shared" si="3"/>
        <v>610422100165-2024-5</v>
      </c>
      <c r="T326" s="10" t="str">
        <f t="shared" si="4"/>
        <v>610422100165-2024-5-SURVEI-PPL</v>
      </c>
      <c r="U326" s="64">
        <v>1</v>
      </c>
      <c r="V326" s="10" t="e">
        <f t="array" aca="1" ref="V326" ca="1">INDEX(Honor!$O$2:$O800,MATCH($I326,Honor!$A$2:$A800,0))</f>
        <v>#NAME?</v>
      </c>
      <c r="W326" s="67"/>
      <c r="X326" s="7" t="str">
        <f t="array" ref="X326">INDEX('Input Kegiatan'!$B$2:$B800,MATCH(B326,'Input Kegiatan'!$A$2:$A800,0))</f>
        <v>Survei Hotel dan Jasa Akomodasi Bulanan (VHTS) 2024 Mei</v>
      </c>
      <c r="Y326" s="7" t="s">
        <v>3990</v>
      </c>
      <c r="Z326" s="7" t="s">
        <v>4332</v>
      </c>
      <c r="AA326" s="68">
        <f t="shared" si="5"/>
        <v>45412</v>
      </c>
      <c r="AB326" s="68">
        <f t="shared" si="6"/>
        <v>45413</v>
      </c>
      <c r="AC326" s="68">
        <f t="shared" si="7"/>
        <v>45443</v>
      </c>
      <c r="AD326" s="68">
        <f t="shared" si="8"/>
        <v>45442</v>
      </c>
      <c r="AE326" s="68">
        <f t="shared" si="9"/>
        <v>45443</v>
      </c>
    </row>
    <row r="327" spans="1:31" ht="12.5">
      <c r="A327" s="125">
        <v>610422050001</v>
      </c>
      <c r="B327" s="69" t="s">
        <v>161</v>
      </c>
      <c r="D327" s="10">
        <f t="array" aca="1" ref="D327" ca="1">INDEX('Mitra per Bulan'!$M$2:$M800,MATCH(S327,'Mitra per Bulan'!$B$2:$B800,0))</f>
        <v>1</v>
      </c>
      <c r="E327" s="10" t="str">
        <f t="array" ref="E327">INDEX('Database Mitra'!$A$2:$A800,MATCH(A327,'Database Mitra'!$B$2:$B800,0))</f>
        <v>Evi Juniarty</v>
      </c>
      <c r="F327" s="64" t="s">
        <v>25</v>
      </c>
      <c r="G327" s="5" t="str">
        <f t="array" ref="G327">INDEX('Database Mitra'!$G$2:$G800,MATCH(A327,'Database Mitra'!$B$2:$B800,0))</f>
        <v>6102165101840001</v>
      </c>
      <c r="H327" s="64" t="s">
        <v>67</v>
      </c>
      <c r="I327" s="65" t="s">
        <v>162</v>
      </c>
      <c r="J327" s="10" t="str">
        <f t="array" ref="J327">INDEX(Honor!$H$2:$H800,MATCH($I327,Honor!$A$2:$A800,0))</f>
        <v>Dokumen</v>
      </c>
      <c r="K327" s="66">
        <f t="array" ref="K327">INDEX(Honor!$I$2:$I800,MATCH($I327,Honor!$A$2:$A800,0))</f>
        <v>55000</v>
      </c>
      <c r="L327" s="64">
        <v>3</v>
      </c>
      <c r="M327" s="10">
        <f t="shared" si="0"/>
        <v>165000</v>
      </c>
      <c r="O327" s="67">
        <f t="array" ref="O327">INDEX(Honor!$L$2:$L800,MATCH($I327,Honor!$A$2:$A800,0))</f>
        <v>45432</v>
      </c>
      <c r="P327" s="10">
        <f t="shared" si="1"/>
        <v>2024</v>
      </c>
      <c r="Q327" s="10">
        <f t="shared" si="2"/>
        <v>5</v>
      </c>
      <c r="R327" s="10" t="str">
        <f t="array" ref="R327">INDEX(Honor!$Q$2:$Q800,MATCH($I327,Honor!$A$2:$A800,0))</f>
        <v>SURVEI-PPL</v>
      </c>
      <c r="S327" s="10" t="str">
        <f t="shared" si="3"/>
        <v>610422050001-2024-5</v>
      </c>
      <c r="T327" s="10" t="str">
        <f t="shared" si="4"/>
        <v>610422050001-2024-5-SURVEI-PPL</v>
      </c>
      <c r="U327" s="64">
        <v>1</v>
      </c>
      <c r="V327" s="10" t="e">
        <f t="array" aca="1" ref="V327" ca="1">INDEX(Honor!$O$2:$O800,MATCH($I327,Honor!$A$2:$A800,0))</f>
        <v>#NAME?</v>
      </c>
      <c r="W327" s="67"/>
      <c r="X327" s="7" t="str">
        <f t="array" ref="X327">INDEX('Input Kegiatan'!$B$2:$B800,MATCH(B327,'Input Kegiatan'!$A$2:$A800,0))</f>
        <v>Survei Hotel dan Jasa Akomodasi Bulanan (VHTS) 2024 Mei</v>
      </c>
      <c r="Y327" s="7" t="s">
        <v>4408</v>
      </c>
      <c r="Z327" s="7" t="s">
        <v>4409</v>
      </c>
      <c r="AA327" s="68">
        <f t="shared" si="5"/>
        <v>45412</v>
      </c>
      <c r="AB327" s="68">
        <f t="shared" si="6"/>
        <v>45413</v>
      </c>
      <c r="AC327" s="68">
        <f t="shared" si="7"/>
        <v>45443</v>
      </c>
      <c r="AD327" s="68">
        <f t="shared" si="8"/>
        <v>45442</v>
      </c>
      <c r="AE327" s="68">
        <f t="shared" si="9"/>
        <v>45443</v>
      </c>
    </row>
    <row r="328" spans="1:31" ht="12.5">
      <c r="A328" s="125">
        <v>610422040056</v>
      </c>
      <c r="B328" s="69" t="s">
        <v>161</v>
      </c>
      <c r="D328" s="10">
        <f t="array" aca="1" ref="D328" ca="1">INDEX('Mitra per Bulan'!$M$2:$M800,MATCH(S328,'Mitra per Bulan'!$B$2:$B800,0))</f>
        <v>1</v>
      </c>
      <c r="E328" s="10" t="str">
        <f t="array" ref="E328">INDEX('Database Mitra'!$A$2:$A800,MATCH(A328,'Database Mitra'!$B$2:$B800,0))</f>
        <v>Wandi Syafari</v>
      </c>
      <c r="F328" s="64" t="s">
        <v>25</v>
      </c>
      <c r="G328" s="5" t="str">
        <f t="array" ref="G328">INDEX('Database Mitra'!$G$2:$G800,MATCH(A328,'Database Mitra'!$B$2:$B800,0))</f>
        <v>6102010802760001</v>
      </c>
      <c r="H328" s="64" t="s">
        <v>67</v>
      </c>
      <c r="I328" s="65" t="s">
        <v>162</v>
      </c>
      <c r="J328" s="10" t="str">
        <f t="array" ref="J328">INDEX(Honor!$H$2:$H800,MATCH($I328,Honor!$A$2:$A800,0))</f>
        <v>Dokumen</v>
      </c>
      <c r="K328" s="66">
        <f t="array" ref="K328">INDEX(Honor!$I$2:$I800,MATCH($I328,Honor!$A$2:$A800,0))</f>
        <v>55000</v>
      </c>
      <c r="L328" s="64">
        <v>2</v>
      </c>
      <c r="M328" s="10">
        <f t="shared" si="0"/>
        <v>110000</v>
      </c>
      <c r="O328" s="67">
        <f t="array" ref="O328">INDEX(Honor!$L$2:$L800,MATCH($I328,Honor!$A$2:$A800,0))</f>
        <v>45432</v>
      </c>
      <c r="P328" s="10">
        <f t="shared" si="1"/>
        <v>2024</v>
      </c>
      <c r="Q328" s="10">
        <f t="shared" si="2"/>
        <v>5</v>
      </c>
      <c r="R328" s="10" t="str">
        <f t="array" ref="R328">INDEX(Honor!$Q$2:$Q800,MATCH($I328,Honor!$A$2:$A800,0))</f>
        <v>SURVEI-PPL</v>
      </c>
      <c r="S328" s="10" t="str">
        <f t="shared" si="3"/>
        <v>610422040056-2024-5</v>
      </c>
      <c r="T328" s="10" t="str">
        <f t="shared" si="4"/>
        <v>610422040056-2024-5-SURVEI-PPL</v>
      </c>
      <c r="U328" s="64">
        <v>1</v>
      </c>
      <c r="V328" s="10" t="e">
        <f t="array" aca="1" ref="V328" ca="1">INDEX(Honor!$O$2:$O800,MATCH($I328,Honor!$A$2:$A800,0))</f>
        <v>#NAME?</v>
      </c>
      <c r="W328" s="67"/>
      <c r="X328" s="7" t="str">
        <f t="array" ref="X328">INDEX('Input Kegiatan'!$B$2:$B800,MATCH(B328,'Input Kegiatan'!$A$2:$A800,0))</f>
        <v>Survei Hotel dan Jasa Akomodasi Bulanan (VHTS) 2024 Mei</v>
      </c>
      <c r="Y328" s="7" t="s">
        <v>4572</v>
      </c>
      <c r="Z328" s="7" t="s">
        <v>4656</v>
      </c>
      <c r="AA328" s="68">
        <f t="shared" si="5"/>
        <v>45412</v>
      </c>
      <c r="AB328" s="68">
        <f t="shared" si="6"/>
        <v>45413</v>
      </c>
      <c r="AC328" s="68">
        <f t="shared" si="7"/>
        <v>45443</v>
      </c>
      <c r="AD328" s="68">
        <f t="shared" si="8"/>
        <v>45442</v>
      </c>
      <c r="AE328" s="68">
        <f t="shared" si="9"/>
        <v>45443</v>
      </c>
    </row>
    <row r="329" spans="1:31" ht="12.5">
      <c r="A329" s="125">
        <v>610422020016</v>
      </c>
      <c r="B329" s="64" t="s">
        <v>32</v>
      </c>
      <c r="D329" s="10">
        <f t="array" aca="1" ref="D329" ca="1">INDEX('Mitra per Bulan'!$M$2:$M800,MATCH(S329,'Mitra per Bulan'!$B$2:$B800,0))</f>
        <v>1</v>
      </c>
      <c r="E329" s="10" t="str">
        <f t="array" ref="E329">INDEX('Database Mitra'!$A$2:$A800,MATCH(A329,'Database Mitra'!$B$2:$B800,0))</f>
        <v>Abdul Aziz</v>
      </c>
      <c r="F329" s="65" t="s">
        <v>25</v>
      </c>
      <c r="G329" s="5" t="str">
        <f t="array" ref="G329">INDEX('Database Mitra'!$G$2:$G800,MATCH(A329,'Database Mitra'!$B$2:$B800,0))</f>
        <v>6102061507950006</v>
      </c>
      <c r="H329" s="64" t="s">
        <v>84</v>
      </c>
      <c r="I329" s="65" t="str">
        <f t="shared" ref="I329:I342" si="16">CONCATENATE(B329,"-",F329,"-",H329)</f>
        <v>KSA24-LAPANGAN-MEI-PPL-KSA PADI</v>
      </c>
      <c r="J329" s="10" t="str">
        <f t="array" ref="J329">INDEX(Honor!$H$2:$H800,MATCH($I329,Honor!$A$2:$A800,0))</f>
        <v>Segmen</v>
      </c>
      <c r="K329" s="66">
        <f t="array" ref="K329">INDEX(Honor!$I$2:$I800,MATCH($I329,Honor!$A$2:$A800,0))</f>
        <v>116000</v>
      </c>
      <c r="L329" s="64">
        <v>3</v>
      </c>
      <c r="M329" s="10">
        <f t="shared" si="0"/>
        <v>348000</v>
      </c>
      <c r="O329" s="67">
        <f t="array" ref="O329">INDEX(Honor!$L$2:$L800,MATCH($I329,Honor!$A$2:$A800,0))</f>
        <v>45443</v>
      </c>
      <c r="P329" s="10">
        <f t="shared" si="1"/>
        <v>2024</v>
      </c>
      <c r="Q329" s="10">
        <f t="shared" si="2"/>
        <v>5</v>
      </c>
      <c r="R329" s="10" t="str">
        <f t="array" ref="R329">INDEX(Honor!$Q$2:$Q800,MATCH($I329,Honor!$A$2:$A800,0))</f>
        <v>SURVEI-PPL</v>
      </c>
      <c r="S329" s="10" t="str">
        <f t="shared" si="3"/>
        <v>610422020016-2024-5</v>
      </c>
      <c r="T329" s="10" t="str">
        <f t="shared" si="4"/>
        <v>610422020016-2024-5-SURVEI-PPL</v>
      </c>
      <c r="U329" s="64">
        <v>1</v>
      </c>
      <c r="V329" s="10" t="e">
        <f t="array" aca="1" ref="V329" ca="1">INDEX(Honor!$O$2:$O800,MATCH($I329,Honor!$A$2:$A800,0))</f>
        <v>#NAME?</v>
      </c>
      <c r="W329" s="67"/>
      <c r="X329" s="7" t="str">
        <f t="array" ref="X329">INDEX('Input Kegiatan'!$B$2:$B800,MATCH(B329,'Input Kegiatan'!$A$2:$A800,0))</f>
        <v>Kerangka Sampel Area (KSA) 2024 Mei</v>
      </c>
      <c r="Y329" s="7" t="s">
        <v>5534</v>
      </c>
      <c r="Z329" s="7" t="s">
        <v>5535</v>
      </c>
      <c r="AA329" s="68">
        <f t="shared" si="5"/>
        <v>45412</v>
      </c>
      <c r="AB329" s="68">
        <f t="shared" si="6"/>
        <v>45413</v>
      </c>
      <c r="AC329" s="68">
        <f t="shared" si="7"/>
        <v>45443</v>
      </c>
      <c r="AD329" s="68">
        <f t="shared" si="8"/>
        <v>45442</v>
      </c>
      <c r="AE329" s="68">
        <f t="shared" si="9"/>
        <v>45443</v>
      </c>
    </row>
    <row r="330" spans="1:31" ht="12.5">
      <c r="A330" s="125">
        <v>610422040012</v>
      </c>
      <c r="B330" s="64" t="s">
        <v>32</v>
      </c>
      <c r="D330" s="10">
        <f t="array" aca="1" ref="D330" ca="1">INDEX('Mitra per Bulan'!$M$2:$M800,MATCH(S330,'Mitra per Bulan'!$B$2:$B800,0))</f>
        <v>1</v>
      </c>
      <c r="E330" s="10" t="str">
        <f t="array" ref="E330">INDEX('Database Mitra'!$A$2:$A800,MATCH(A330,'Database Mitra'!$B$2:$B800,0))</f>
        <v>Misdi</v>
      </c>
      <c r="F330" s="65" t="s">
        <v>25</v>
      </c>
      <c r="G330" s="5" t="str">
        <f t="array" ref="G330">INDEX('Database Mitra'!$G$2:$G800,MATCH(A330,'Database Mitra'!$B$2:$B800,0))</f>
        <v>6102070706940001</v>
      </c>
      <c r="H330" s="64" t="s">
        <v>84</v>
      </c>
      <c r="I330" s="65" t="str">
        <f t="shared" si="16"/>
        <v>KSA24-LAPANGAN-MEI-PPL-KSA PADI</v>
      </c>
      <c r="J330" s="10" t="str">
        <f t="array" ref="J330">INDEX(Honor!$H$2:$H800,MATCH($I330,Honor!$A$2:$A800,0))</f>
        <v>Segmen</v>
      </c>
      <c r="K330" s="66">
        <f t="array" ref="K330">INDEX(Honor!$I$2:$I800,MATCH($I330,Honor!$A$2:$A800,0))</f>
        <v>116000</v>
      </c>
      <c r="L330" s="64">
        <v>3</v>
      </c>
      <c r="M330" s="10">
        <f t="shared" si="0"/>
        <v>348000</v>
      </c>
      <c r="O330" s="67">
        <f t="array" ref="O330">INDEX(Honor!$L$2:$L800,MATCH($I330,Honor!$A$2:$A800,0))</f>
        <v>45443</v>
      </c>
      <c r="P330" s="10">
        <f t="shared" si="1"/>
        <v>2024</v>
      </c>
      <c r="Q330" s="10">
        <f t="shared" si="2"/>
        <v>5</v>
      </c>
      <c r="R330" s="10" t="str">
        <f t="array" ref="R330">INDEX(Honor!$Q$2:$Q800,MATCH($I330,Honor!$A$2:$A800,0))</f>
        <v>SURVEI-PPL</v>
      </c>
      <c r="S330" s="10" t="str">
        <f t="shared" si="3"/>
        <v>610422040012-2024-5</v>
      </c>
      <c r="T330" s="10" t="str">
        <f t="shared" si="4"/>
        <v>610422040012-2024-5-SURVEI-PPL</v>
      </c>
      <c r="U330" s="64">
        <v>1</v>
      </c>
      <c r="V330" s="10" t="e">
        <f t="array" aca="1" ref="V330" ca="1">INDEX(Honor!$O$2:$O800,MATCH($I330,Honor!$A$2:$A800,0))</f>
        <v>#NAME?</v>
      </c>
      <c r="W330" s="67"/>
      <c r="X330" s="7" t="str">
        <f t="array" ref="X330">INDEX('Input Kegiatan'!$B$2:$B800,MATCH(B330,'Input Kegiatan'!$A$2:$A800,0))</f>
        <v>Kerangka Sampel Area (KSA) 2024 Mei</v>
      </c>
      <c r="Y330" s="7" t="s">
        <v>3990</v>
      </c>
      <c r="Z330" s="7" t="s">
        <v>4365</v>
      </c>
      <c r="AA330" s="68">
        <f t="shared" si="5"/>
        <v>45412</v>
      </c>
      <c r="AB330" s="68">
        <f t="shared" si="6"/>
        <v>45413</v>
      </c>
      <c r="AC330" s="68">
        <f t="shared" si="7"/>
        <v>45443</v>
      </c>
      <c r="AD330" s="68">
        <f t="shared" si="8"/>
        <v>45442</v>
      </c>
      <c r="AE330" s="68">
        <f t="shared" si="9"/>
        <v>45443</v>
      </c>
    </row>
    <row r="331" spans="1:31" ht="12.5">
      <c r="A331" s="125">
        <v>610422040059</v>
      </c>
      <c r="B331" s="64" t="s">
        <v>32</v>
      </c>
      <c r="D331" s="10">
        <f t="array" aca="1" ref="D331" ca="1">INDEX('Mitra per Bulan'!$M$2:$M800,MATCH(S331,'Mitra per Bulan'!$B$2:$B800,0))</f>
        <v>1</v>
      </c>
      <c r="E331" s="10" t="str">
        <f t="array" ref="E331">INDEX('Database Mitra'!$A$2:$A800,MATCH(A331,'Database Mitra'!$B$2:$B800,0))</f>
        <v>Abang Handri</v>
      </c>
      <c r="F331" s="65" t="s">
        <v>25</v>
      </c>
      <c r="G331" s="5" t="str">
        <f t="array" ref="G331">INDEX('Database Mitra'!$G$2:$G800,MATCH(A331,'Database Mitra'!$B$2:$B800,0))</f>
        <v>6102072211780002</v>
      </c>
      <c r="H331" s="64" t="s">
        <v>84</v>
      </c>
      <c r="I331" s="65" t="str">
        <f t="shared" si="16"/>
        <v>KSA24-LAPANGAN-MEI-PPL-KSA PADI</v>
      </c>
      <c r="J331" s="10" t="str">
        <f t="array" ref="J331">INDEX(Honor!$H$2:$H800,MATCH($I331,Honor!$A$2:$A800,0))</f>
        <v>Segmen</v>
      </c>
      <c r="K331" s="66">
        <f t="array" ref="K331">INDEX(Honor!$I$2:$I800,MATCH($I331,Honor!$A$2:$A800,0))</f>
        <v>116000</v>
      </c>
      <c r="L331" s="64">
        <v>4</v>
      </c>
      <c r="M331" s="10">
        <f t="shared" si="0"/>
        <v>464000</v>
      </c>
      <c r="O331" s="67">
        <f t="array" ref="O331">INDEX(Honor!$L$2:$L800,MATCH($I331,Honor!$A$2:$A800,0))</f>
        <v>45443</v>
      </c>
      <c r="P331" s="10">
        <f t="shared" si="1"/>
        <v>2024</v>
      </c>
      <c r="Q331" s="10">
        <f t="shared" si="2"/>
        <v>5</v>
      </c>
      <c r="R331" s="10" t="str">
        <f t="array" ref="R331">INDEX(Honor!$Q$2:$Q800,MATCH($I331,Honor!$A$2:$A800,0))</f>
        <v>SURVEI-PPL</v>
      </c>
      <c r="S331" s="10" t="str">
        <f t="shared" si="3"/>
        <v>610422040059-2024-5</v>
      </c>
      <c r="T331" s="10" t="str">
        <f t="shared" si="4"/>
        <v>610422040059-2024-5-SURVEI-PPL</v>
      </c>
      <c r="U331" s="64">
        <v>1</v>
      </c>
      <c r="V331" s="10" t="e">
        <f t="array" aca="1" ref="V331" ca="1">INDEX(Honor!$O$2:$O800,MATCH($I331,Honor!$A$2:$A800,0))</f>
        <v>#NAME?</v>
      </c>
      <c r="W331" s="67"/>
      <c r="X331" s="7" t="str">
        <f t="array" ref="X331">INDEX('Input Kegiatan'!$B$2:$B800,MATCH(B331,'Input Kegiatan'!$A$2:$A800,0))</f>
        <v>Kerangka Sampel Area (KSA) 2024 Mei</v>
      </c>
      <c r="Y331" s="7" t="s">
        <v>4572</v>
      </c>
      <c r="Z331" s="7" t="s">
        <v>4656</v>
      </c>
      <c r="AA331" s="68">
        <f t="shared" si="5"/>
        <v>45412</v>
      </c>
      <c r="AB331" s="68">
        <f t="shared" si="6"/>
        <v>45413</v>
      </c>
      <c r="AC331" s="68">
        <f t="shared" si="7"/>
        <v>45443</v>
      </c>
      <c r="AD331" s="68">
        <f t="shared" si="8"/>
        <v>45442</v>
      </c>
      <c r="AE331" s="68">
        <f t="shared" si="9"/>
        <v>45443</v>
      </c>
    </row>
    <row r="332" spans="1:31" ht="12.5">
      <c r="A332" s="125">
        <v>610422040061</v>
      </c>
      <c r="B332" s="64" t="s">
        <v>32</v>
      </c>
      <c r="D332" s="10">
        <f t="array" aca="1" ref="D332" ca="1">INDEX('Mitra per Bulan'!$M$2:$M800,MATCH(S332,'Mitra per Bulan'!$B$2:$B800,0))</f>
        <v>1</v>
      </c>
      <c r="E332" s="10" t="str">
        <f t="array" ref="E332">INDEX('Database Mitra'!$A$2:$A800,MATCH(A332,'Database Mitra'!$B$2:$B800,0))</f>
        <v>Sabani</v>
      </c>
      <c r="F332" s="65" t="s">
        <v>25</v>
      </c>
      <c r="G332" s="5" t="str">
        <f t="array" ref="G332">INDEX('Database Mitra'!$G$2:$G800,MATCH(A332,'Database Mitra'!$B$2:$B800,0))</f>
        <v>6102153112860003</v>
      </c>
      <c r="H332" s="64" t="s">
        <v>84</v>
      </c>
      <c r="I332" s="65" t="str">
        <f t="shared" si="16"/>
        <v>KSA24-LAPANGAN-MEI-PPL-KSA PADI</v>
      </c>
      <c r="J332" s="10" t="str">
        <f t="array" ref="J332">INDEX(Honor!$H$2:$H800,MATCH($I332,Honor!$A$2:$A800,0))</f>
        <v>Segmen</v>
      </c>
      <c r="K332" s="66">
        <f t="array" ref="K332">INDEX(Honor!$I$2:$I800,MATCH($I332,Honor!$A$2:$A800,0))</f>
        <v>116000</v>
      </c>
      <c r="L332" s="64">
        <v>3</v>
      </c>
      <c r="M332" s="10">
        <f t="shared" si="0"/>
        <v>348000</v>
      </c>
      <c r="O332" s="67">
        <f t="array" ref="O332">INDEX(Honor!$L$2:$L800,MATCH($I332,Honor!$A$2:$A800,0))</f>
        <v>45443</v>
      </c>
      <c r="P332" s="10">
        <f t="shared" si="1"/>
        <v>2024</v>
      </c>
      <c r="Q332" s="10">
        <f t="shared" si="2"/>
        <v>5</v>
      </c>
      <c r="R332" s="10" t="str">
        <f t="array" ref="R332">INDEX(Honor!$Q$2:$Q800,MATCH($I332,Honor!$A$2:$A800,0))</f>
        <v>SURVEI-PPL</v>
      </c>
      <c r="S332" s="10" t="str">
        <f t="shared" si="3"/>
        <v>610422040061-2024-5</v>
      </c>
      <c r="T332" s="10" t="str">
        <f t="shared" si="4"/>
        <v>610422040061-2024-5-SURVEI-PPL</v>
      </c>
      <c r="U332" s="64">
        <v>1</v>
      </c>
      <c r="V332" s="10" t="e">
        <f t="array" aca="1" ref="V332" ca="1">INDEX(Honor!$O$2:$O800,MATCH($I332,Honor!$A$2:$A800,0))</f>
        <v>#NAME?</v>
      </c>
      <c r="W332" s="67"/>
      <c r="X332" s="7" t="str">
        <f t="array" ref="X332">INDEX('Input Kegiatan'!$B$2:$B800,MATCH(B332,'Input Kegiatan'!$A$2:$A800,0))</f>
        <v>Kerangka Sampel Area (KSA) 2024 Mei</v>
      </c>
      <c r="Y332" s="7" t="s">
        <v>3715</v>
      </c>
      <c r="Z332" s="7" t="s">
        <v>3862</v>
      </c>
      <c r="AA332" s="68">
        <f t="shared" si="5"/>
        <v>45412</v>
      </c>
      <c r="AB332" s="68">
        <f t="shared" si="6"/>
        <v>45413</v>
      </c>
      <c r="AC332" s="68">
        <f t="shared" si="7"/>
        <v>45443</v>
      </c>
      <c r="AD332" s="68">
        <f t="shared" si="8"/>
        <v>45442</v>
      </c>
      <c r="AE332" s="68">
        <f t="shared" si="9"/>
        <v>45443</v>
      </c>
    </row>
    <row r="333" spans="1:31" ht="12.5">
      <c r="A333" s="125">
        <v>610422100131</v>
      </c>
      <c r="B333" s="64" t="s">
        <v>32</v>
      </c>
      <c r="D333" s="10">
        <f t="array" aca="1" ref="D333" ca="1">INDEX('Mitra per Bulan'!$M$2:$M800,MATCH(S333,'Mitra per Bulan'!$B$2:$B800,0))</f>
        <v>1</v>
      </c>
      <c r="E333" s="10" t="str">
        <f t="array" ref="E333">INDEX('Database Mitra'!$A$2:$A800,MATCH(A333,'Database Mitra'!$B$2:$B800,0))</f>
        <v>Syamsul</v>
      </c>
      <c r="F333" s="65" t="s">
        <v>25</v>
      </c>
      <c r="G333" s="5" t="str">
        <f t="array" ref="G333">INDEX('Database Mitra'!$G$2:$G800,MATCH(A333,'Database Mitra'!$B$2:$B800,0))</f>
        <v>6102150907860003</v>
      </c>
      <c r="H333" s="64" t="s">
        <v>84</v>
      </c>
      <c r="I333" s="65" t="str">
        <f t="shared" si="16"/>
        <v>KSA24-LAPANGAN-MEI-PPL-KSA PADI</v>
      </c>
      <c r="J333" s="10" t="str">
        <f t="array" ref="J333">INDEX(Honor!$H$2:$H800,MATCH($I333,Honor!$A$2:$A800,0))</f>
        <v>Segmen</v>
      </c>
      <c r="K333" s="66">
        <f t="array" ref="K333">INDEX(Honor!$I$2:$I800,MATCH($I333,Honor!$A$2:$A800,0))</f>
        <v>116000</v>
      </c>
      <c r="L333" s="64">
        <v>3</v>
      </c>
      <c r="M333" s="10">
        <f t="shared" si="0"/>
        <v>348000</v>
      </c>
      <c r="O333" s="67">
        <f t="array" ref="O333">INDEX(Honor!$L$2:$L800,MATCH($I333,Honor!$A$2:$A800,0))</f>
        <v>45443</v>
      </c>
      <c r="P333" s="10">
        <f t="shared" si="1"/>
        <v>2024</v>
      </c>
      <c r="Q333" s="10">
        <f t="shared" si="2"/>
        <v>5</v>
      </c>
      <c r="R333" s="10" t="str">
        <f t="array" ref="R333">INDEX(Honor!$Q$2:$Q800,MATCH($I333,Honor!$A$2:$A800,0))</f>
        <v>SURVEI-PPL</v>
      </c>
      <c r="S333" s="10" t="str">
        <f t="shared" si="3"/>
        <v>610422100131-2024-5</v>
      </c>
      <c r="T333" s="10" t="str">
        <f t="shared" si="4"/>
        <v>610422100131-2024-5-SURVEI-PPL</v>
      </c>
      <c r="U333" s="64">
        <v>1</v>
      </c>
      <c r="V333" s="10" t="e">
        <f t="array" aca="1" ref="V333" ca="1">INDEX(Honor!$O$2:$O800,MATCH($I333,Honor!$A$2:$A800,0))</f>
        <v>#NAME?</v>
      </c>
      <c r="W333" s="67"/>
      <c r="X333" s="7" t="str">
        <f t="array" ref="X333">INDEX('Input Kegiatan'!$B$2:$B800,MATCH(B333,'Input Kegiatan'!$A$2:$A800,0))</f>
        <v>Kerangka Sampel Area (KSA) 2024 Mei</v>
      </c>
      <c r="Y333" s="7" t="s">
        <v>5250</v>
      </c>
      <c r="Z333" s="7" t="s">
        <v>5365</v>
      </c>
      <c r="AA333" s="68">
        <f t="shared" si="5"/>
        <v>45412</v>
      </c>
      <c r="AB333" s="68">
        <f t="shared" si="6"/>
        <v>45413</v>
      </c>
      <c r="AC333" s="68">
        <f t="shared" si="7"/>
        <v>45443</v>
      </c>
      <c r="AD333" s="68">
        <f t="shared" si="8"/>
        <v>45442</v>
      </c>
      <c r="AE333" s="68">
        <f t="shared" si="9"/>
        <v>45443</v>
      </c>
    </row>
    <row r="334" spans="1:31" ht="12.5">
      <c r="A334" s="125">
        <v>610422100244</v>
      </c>
      <c r="B334" s="64" t="s">
        <v>32</v>
      </c>
      <c r="D334" s="10">
        <f t="array" aca="1" ref="D334" ca="1">INDEX('Mitra per Bulan'!$M$2:$M800,MATCH(S334,'Mitra per Bulan'!$B$2:$B800,0))</f>
        <v>1</v>
      </c>
      <c r="E334" s="10" t="str">
        <f t="array" ref="E334">INDEX('Database Mitra'!$A$2:$A800,MATCH(A334,'Database Mitra'!$B$2:$B800,0))</f>
        <v>Sugianto</v>
      </c>
      <c r="F334" s="65" t="s">
        <v>25</v>
      </c>
      <c r="G334" s="5" t="str">
        <f t="array" ref="G334">INDEX('Database Mitra'!$G$2:$G800,MATCH(A334,'Database Mitra'!$B$2:$B800,0))</f>
        <v>6102171003900002</v>
      </c>
      <c r="H334" s="64" t="s">
        <v>84</v>
      </c>
      <c r="I334" s="65" t="str">
        <f t="shared" si="16"/>
        <v>KSA24-LAPANGAN-MEI-PPL-KSA PADI</v>
      </c>
      <c r="J334" s="10" t="str">
        <f t="array" ref="J334">INDEX(Honor!$H$2:$H800,MATCH($I334,Honor!$A$2:$A800,0))</f>
        <v>Segmen</v>
      </c>
      <c r="K334" s="66">
        <f t="array" ref="K334">INDEX(Honor!$I$2:$I800,MATCH($I334,Honor!$A$2:$A800,0))</f>
        <v>116000</v>
      </c>
      <c r="L334" s="64">
        <v>3</v>
      </c>
      <c r="M334" s="10">
        <f t="shared" si="0"/>
        <v>348000</v>
      </c>
      <c r="O334" s="67">
        <f t="array" ref="O334">INDEX(Honor!$L$2:$L800,MATCH($I334,Honor!$A$2:$A800,0))</f>
        <v>45443</v>
      </c>
      <c r="P334" s="10">
        <f t="shared" si="1"/>
        <v>2024</v>
      </c>
      <c r="Q334" s="10">
        <f t="shared" si="2"/>
        <v>5</v>
      </c>
      <c r="R334" s="10" t="str">
        <f t="array" ref="R334">INDEX(Honor!$Q$2:$Q800,MATCH($I334,Honor!$A$2:$A800,0))</f>
        <v>SURVEI-PPL</v>
      </c>
      <c r="S334" s="10" t="str">
        <f t="shared" si="3"/>
        <v>610422100244-2024-5</v>
      </c>
      <c r="T334" s="10" t="str">
        <f t="shared" si="4"/>
        <v>610422100244-2024-5-SURVEI-PPL</v>
      </c>
      <c r="U334" s="64">
        <v>1</v>
      </c>
      <c r="V334" s="10" t="e">
        <f t="array" aca="1" ref="V334" ca="1">INDEX(Honor!$O$2:$O800,MATCH($I334,Honor!$A$2:$A800,0))</f>
        <v>#NAME?</v>
      </c>
      <c r="W334" s="67"/>
      <c r="X334" s="7" t="str">
        <f t="array" ref="X334">INDEX('Input Kegiatan'!$B$2:$B800,MATCH(B334,'Input Kegiatan'!$A$2:$A800,0))</f>
        <v>Kerangka Sampel Area (KSA) 2024 Mei</v>
      </c>
      <c r="Y334" s="7" t="s">
        <v>5741</v>
      </c>
      <c r="Z334" s="7" t="s">
        <v>5796</v>
      </c>
      <c r="AA334" s="68">
        <f t="shared" si="5"/>
        <v>45412</v>
      </c>
      <c r="AB334" s="68">
        <f t="shared" si="6"/>
        <v>45413</v>
      </c>
      <c r="AC334" s="68">
        <f t="shared" si="7"/>
        <v>45443</v>
      </c>
      <c r="AD334" s="68">
        <f t="shared" si="8"/>
        <v>45442</v>
      </c>
      <c r="AE334" s="68">
        <f t="shared" si="9"/>
        <v>45443</v>
      </c>
    </row>
    <row r="335" spans="1:31" ht="12.5">
      <c r="A335" s="125">
        <v>610422100176</v>
      </c>
      <c r="B335" s="64" t="s">
        <v>32</v>
      </c>
      <c r="D335" s="10">
        <f t="array" aca="1" ref="D335" ca="1">INDEX('Mitra per Bulan'!$M$2:$M800,MATCH(S335,'Mitra per Bulan'!$B$2:$B800,0))</f>
        <v>1</v>
      </c>
      <c r="E335" s="10" t="str">
        <f t="array" ref="E335">INDEX('Database Mitra'!$A$2:$A800,MATCH(A335,'Database Mitra'!$B$2:$B800,0))</f>
        <v>Feri Firdaus</v>
      </c>
      <c r="F335" s="65" t="s">
        <v>25</v>
      </c>
      <c r="G335" s="5" t="str">
        <f t="array" ref="G335">INDEX('Database Mitra'!$G$2:$G800,MATCH(A335,'Database Mitra'!$B$2:$B800,0))</f>
        <v>6102150412880001</v>
      </c>
      <c r="H335" s="64" t="s">
        <v>84</v>
      </c>
      <c r="I335" s="65" t="str">
        <f t="shared" si="16"/>
        <v>KSA24-LAPANGAN-MEI-PPL-KSA PADI</v>
      </c>
      <c r="J335" s="10" t="str">
        <f t="array" ref="J335">INDEX(Honor!$H$2:$H800,MATCH($I335,Honor!$A$2:$A800,0))</f>
        <v>Segmen</v>
      </c>
      <c r="K335" s="66">
        <f t="array" ref="K335">INDEX(Honor!$I$2:$I800,MATCH($I335,Honor!$A$2:$A800,0))</f>
        <v>116000</v>
      </c>
      <c r="L335" s="64">
        <v>3</v>
      </c>
      <c r="M335" s="10">
        <f t="shared" si="0"/>
        <v>348000</v>
      </c>
      <c r="O335" s="67">
        <f t="array" ref="O335">INDEX(Honor!$L$2:$L800,MATCH($I335,Honor!$A$2:$A800,0))</f>
        <v>45443</v>
      </c>
      <c r="P335" s="10">
        <f t="shared" si="1"/>
        <v>2024</v>
      </c>
      <c r="Q335" s="10">
        <f t="shared" si="2"/>
        <v>5</v>
      </c>
      <c r="R335" s="10" t="str">
        <f t="array" ref="R335">INDEX(Honor!$Q$2:$Q800,MATCH($I335,Honor!$A$2:$A800,0))</f>
        <v>SURVEI-PPL</v>
      </c>
      <c r="S335" s="10" t="str">
        <f t="shared" si="3"/>
        <v>610422100176-2024-5</v>
      </c>
      <c r="T335" s="10" t="str">
        <f t="shared" si="4"/>
        <v>610422100176-2024-5-SURVEI-PPL</v>
      </c>
      <c r="U335" s="64">
        <v>1</v>
      </c>
      <c r="V335" s="10" t="e">
        <f t="array" aca="1" ref="V335" ca="1">INDEX(Honor!$O$2:$O800,MATCH($I335,Honor!$A$2:$A800,0))</f>
        <v>#NAME?</v>
      </c>
      <c r="W335" s="67"/>
      <c r="X335" s="7" t="str">
        <f t="array" ref="X335">INDEX('Input Kegiatan'!$B$2:$B800,MATCH(B335,'Input Kegiatan'!$A$2:$A800,0))</f>
        <v>Kerangka Sampel Area (KSA) 2024 Mei</v>
      </c>
      <c r="Y335" s="7" t="s">
        <v>3715</v>
      </c>
      <c r="Z335" s="7" t="s">
        <v>3765</v>
      </c>
      <c r="AA335" s="68">
        <f t="shared" si="5"/>
        <v>45412</v>
      </c>
      <c r="AB335" s="68">
        <f t="shared" si="6"/>
        <v>45413</v>
      </c>
      <c r="AC335" s="68">
        <f t="shared" si="7"/>
        <v>45443</v>
      </c>
      <c r="AD335" s="68">
        <f t="shared" si="8"/>
        <v>45442</v>
      </c>
      <c r="AE335" s="68">
        <f t="shared" si="9"/>
        <v>45443</v>
      </c>
    </row>
    <row r="336" spans="1:31" ht="12.5">
      <c r="A336" s="125">
        <v>610423110183</v>
      </c>
      <c r="B336" s="64" t="s">
        <v>32</v>
      </c>
      <c r="D336" s="10">
        <f t="array" aca="1" ref="D336" ca="1">INDEX('Mitra per Bulan'!$M$2:$M800,MATCH(S336,'Mitra per Bulan'!$B$2:$B800,0))</f>
        <v>1</v>
      </c>
      <c r="E336" s="10" t="str">
        <f t="array" ref="E336">INDEX('Database Mitra'!$A$2:$A800,MATCH(A336,'Database Mitra'!$B$2:$B800,0))</f>
        <v>Azhar</v>
      </c>
      <c r="F336" s="65" t="s">
        <v>25</v>
      </c>
      <c r="G336" s="5" t="str">
        <f t="array" ref="G336">INDEX('Database Mitra'!$G$2:$G800,MATCH(A336,'Database Mitra'!$B$2:$B800,0))</f>
        <v>6102081211790004</v>
      </c>
      <c r="H336" s="64" t="s">
        <v>84</v>
      </c>
      <c r="I336" s="65" t="str">
        <f t="shared" si="16"/>
        <v>KSA24-LAPANGAN-MEI-PPL-KSA PADI</v>
      </c>
      <c r="J336" s="10" t="str">
        <f t="array" ref="J336">INDEX(Honor!$H$2:$H800,MATCH($I336,Honor!$A$2:$A800,0))</f>
        <v>Segmen</v>
      </c>
      <c r="K336" s="66">
        <f t="array" ref="K336">INDEX(Honor!$I$2:$I800,MATCH($I336,Honor!$A$2:$A800,0))</f>
        <v>116000</v>
      </c>
      <c r="L336" s="64">
        <v>6</v>
      </c>
      <c r="M336" s="10">
        <f t="shared" si="0"/>
        <v>696000</v>
      </c>
      <c r="O336" s="67">
        <f t="array" ref="O336">INDEX(Honor!$L$2:$L800,MATCH($I336,Honor!$A$2:$A800,0))</f>
        <v>45443</v>
      </c>
      <c r="P336" s="10">
        <f t="shared" si="1"/>
        <v>2024</v>
      </c>
      <c r="Q336" s="10">
        <f t="shared" si="2"/>
        <v>5</v>
      </c>
      <c r="R336" s="10" t="str">
        <f t="array" ref="R336">INDEX(Honor!$Q$2:$Q800,MATCH($I336,Honor!$A$2:$A800,0))</f>
        <v>SURVEI-PPL</v>
      </c>
      <c r="S336" s="10" t="str">
        <f t="shared" si="3"/>
        <v>610423110183-2024-5</v>
      </c>
      <c r="T336" s="10" t="str">
        <f t="shared" si="4"/>
        <v>610423110183-2024-5-SURVEI-PPL</v>
      </c>
      <c r="U336" s="64">
        <v>1</v>
      </c>
      <c r="V336" s="10" t="e">
        <f t="array" aca="1" ref="V336" ca="1">INDEX(Honor!$O$2:$O800,MATCH($I336,Honor!$A$2:$A800,0))</f>
        <v>#NAME?</v>
      </c>
      <c r="W336" s="67"/>
      <c r="X336" s="7" t="str">
        <f t="array" ref="X336">INDEX('Input Kegiatan'!$B$2:$B800,MATCH(B336,'Input Kegiatan'!$A$2:$A800,0))</f>
        <v>Kerangka Sampel Area (KSA) 2024 Mei</v>
      </c>
      <c r="Y336" s="7" t="s">
        <v>3241</v>
      </c>
      <c r="Z336" s="7" t="s">
        <v>3242</v>
      </c>
      <c r="AA336" s="68">
        <f t="shared" si="5"/>
        <v>45412</v>
      </c>
      <c r="AB336" s="68">
        <f t="shared" si="6"/>
        <v>45413</v>
      </c>
      <c r="AC336" s="68">
        <f t="shared" si="7"/>
        <v>45443</v>
      </c>
      <c r="AD336" s="68">
        <f t="shared" si="8"/>
        <v>45442</v>
      </c>
      <c r="AE336" s="68">
        <f t="shared" si="9"/>
        <v>45443</v>
      </c>
    </row>
    <row r="337" spans="1:31" ht="12.5">
      <c r="A337" s="125">
        <v>610423040018</v>
      </c>
      <c r="B337" s="64" t="s">
        <v>32</v>
      </c>
      <c r="D337" s="10">
        <f t="array" aca="1" ref="D337" ca="1">INDEX('Mitra per Bulan'!$M$2:$M800,MATCH(S337,'Mitra per Bulan'!$B$2:$B800,0))</f>
        <v>1</v>
      </c>
      <c r="E337" s="10" t="str">
        <f t="array" ref="E337">INDEX('Database Mitra'!$A$2:$A800,MATCH(A337,'Database Mitra'!$B$2:$B800,0))</f>
        <v>Handoko Tuah Sabarman Sipayung</v>
      </c>
      <c r="F337" s="64" t="s">
        <v>25</v>
      </c>
      <c r="G337" s="5" t="str">
        <f t="array" ref="G337">INDEX('Database Mitra'!$G$2:$G800,MATCH(A337,'Database Mitra'!$B$2:$B800,0))</f>
        <v>1212092309880001</v>
      </c>
      <c r="H337" s="64" t="s">
        <v>84</v>
      </c>
      <c r="I337" s="65" t="str">
        <f t="shared" si="16"/>
        <v>KSA24-LAPANGAN-MEI-PPL-KSA PADI</v>
      </c>
      <c r="J337" s="10" t="str">
        <f t="array" ref="J337">INDEX(Honor!$H$2:$H800,MATCH($I337,Honor!$A$2:$A800,0))</f>
        <v>Segmen</v>
      </c>
      <c r="K337" s="66">
        <f t="array" ref="K337">INDEX(Honor!$I$2:$I800,MATCH($I337,Honor!$A$2:$A800,0))</f>
        <v>116000</v>
      </c>
      <c r="L337" s="64">
        <v>4</v>
      </c>
      <c r="M337" s="10">
        <f t="shared" si="0"/>
        <v>464000</v>
      </c>
      <c r="O337" s="67">
        <f t="array" ref="O337">INDEX(Honor!$L$2:$L800,MATCH($I337,Honor!$A$2:$A800,0))</f>
        <v>45443</v>
      </c>
      <c r="P337" s="10">
        <f t="shared" si="1"/>
        <v>2024</v>
      </c>
      <c r="Q337" s="10">
        <f t="shared" si="2"/>
        <v>5</v>
      </c>
      <c r="R337" s="10" t="str">
        <f t="array" ref="R337">INDEX(Honor!$Q$2:$Q800,MATCH($I337,Honor!$A$2:$A800,0))</f>
        <v>SURVEI-PPL</v>
      </c>
      <c r="S337" s="10" t="str">
        <f t="shared" si="3"/>
        <v>610423040018-2024-5</v>
      </c>
      <c r="T337" s="10" t="str">
        <f t="shared" si="4"/>
        <v>610423040018-2024-5-SURVEI-PPL</v>
      </c>
      <c r="U337" s="64">
        <v>1</v>
      </c>
      <c r="V337" s="10" t="e">
        <f t="array" aca="1" ref="V337" ca="1">INDEX(Honor!$O$2:$O800,MATCH($I337,Honor!$A$2:$A800,0))</f>
        <v>#NAME?</v>
      </c>
      <c r="W337" s="67"/>
      <c r="X337" s="7" t="str">
        <f t="array" ref="X337">INDEX('Input Kegiatan'!$B$2:$B800,MATCH(B337,'Input Kegiatan'!$A$2:$A800,0))</f>
        <v>Kerangka Sampel Area (KSA) 2024 Mei</v>
      </c>
      <c r="Y337" s="7" t="s">
        <v>5534</v>
      </c>
      <c r="Z337" s="7" t="s">
        <v>5647</v>
      </c>
      <c r="AA337" s="68">
        <f t="shared" si="5"/>
        <v>45412</v>
      </c>
      <c r="AB337" s="68">
        <f t="shared" si="6"/>
        <v>45413</v>
      </c>
      <c r="AC337" s="68">
        <f t="shared" si="7"/>
        <v>45443</v>
      </c>
      <c r="AD337" s="68">
        <f t="shared" si="8"/>
        <v>45442</v>
      </c>
      <c r="AE337" s="68">
        <f t="shared" si="9"/>
        <v>45443</v>
      </c>
    </row>
    <row r="338" spans="1:31" ht="12.5">
      <c r="A338" s="125">
        <v>610422040059</v>
      </c>
      <c r="B338" s="64" t="s">
        <v>32</v>
      </c>
      <c r="D338" s="10">
        <f t="array" aca="1" ref="D338" ca="1">INDEX('Mitra per Bulan'!$M$2:$M800,MATCH(S338,'Mitra per Bulan'!$B$2:$B800,0))</f>
        <v>1</v>
      </c>
      <c r="E338" s="10" t="str">
        <f t="array" ref="E338">INDEX('Database Mitra'!$A$2:$A800,MATCH(A338,'Database Mitra'!$B$2:$B800,0))</f>
        <v>Abang Handri</v>
      </c>
      <c r="F338" s="64" t="s">
        <v>25</v>
      </c>
      <c r="G338" s="5" t="str">
        <f t="array" ref="G338">INDEX('Database Mitra'!$G$2:$G800,MATCH(A338,'Database Mitra'!$B$2:$B800,0))</f>
        <v>6102072211780002</v>
      </c>
      <c r="H338" s="64" t="s">
        <v>85</v>
      </c>
      <c r="I338" s="65" t="str">
        <f t="shared" si="16"/>
        <v>KSA24-LAPANGAN-MEI-PPL-KSA JAGUNG</v>
      </c>
      <c r="J338" s="10" t="str">
        <f t="array" ref="J338">INDEX(Honor!$H$2:$H800,MATCH($I338,Honor!$A$2:$A800,0))</f>
        <v>Segmen</v>
      </c>
      <c r="K338" s="66">
        <f t="array" ref="K338">INDEX(Honor!$I$2:$I800,MATCH($I338,Honor!$A$2:$A800,0))</f>
        <v>59000</v>
      </c>
      <c r="L338" s="64">
        <v>6</v>
      </c>
      <c r="M338" s="10">
        <f t="shared" si="0"/>
        <v>354000</v>
      </c>
      <c r="O338" s="67">
        <f t="array" ref="O338">INDEX(Honor!$L$2:$L800,MATCH($I338,Honor!$A$2:$A800,0))</f>
        <v>45443</v>
      </c>
      <c r="P338" s="10">
        <f t="shared" si="1"/>
        <v>2024</v>
      </c>
      <c r="Q338" s="10">
        <f t="shared" si="2"/>
        <v>5</v>
      </c>
      <c r="R338" s="10" t="str">
        <f t="array" ref="R338">INDEX(Honor!$Q$2:$Q800,MATCH($I338,Honor!$A$2:$A800,0))</f>
        <v>SURVEI-PPL</v>
      </c>
      <c r="S338" s="10" t="str">
        <f t="shared" si="3"/>
        <v>610422040059-2024-5</v>
      </c>
      <c r="T338" s="10" t="str">
        <f t="shared" si="4"/>
        <v>610422040059-2024-5-SURVEI-PPL</v>
      </c>
      <c r="U338" s="64">
        <v>1</v>
      </c>
      <c r="V338" s="10" t="e">
        <f t="array" aca="1" ref="V338" ca="1">INDEX(Honor!$O$2:$O800,MATCH($I338,Honor!$A$2:$A800,0))</f>
        <v>#NAME?</v>
      </c>
      <c r="W338" s="67"/>
      <c r="X338" s="7" t="str">
        <f t="array" ref="X338">INDEX('Input Kegiatan'!$B$2:$B800,MATCH(B338,'Input Kegiatan'!$A$2:$A800,0))</f>
        <v>Kerangka Sampel Area (KSA) 2024 Mei</v>
      </c>
      <c r="Y338" s="7" t="s">
        <v>4572</v>
      </c>
      <c r="Z338" s="7" t="s">
        <v>4656</v>
      </c>
      <c r="AA338" s="68">
        <f t="shared" si="5"/>
        <v>45412</v>
      </c>
      <c r="AB338" s="68">
        <f t="shared" si="6"/>
        <v>45413</v>
      </c>
      <c r="AC338" s="68">
        <f t="shared" si="7"/>
        <v>45443</v>
      </c>
      <c r="AD338" s="68">
        <f t="shared" si="8"/>
        <v>45442</v>
      </c>
      <c r="AE338" s="68">
        <f t="shared" si="9"/>
        <v>45443</v>
      </c>
    </row>
    <row r="339" spans="1:31" ht="12.5">
      <c r="A339" s="125">
        <v>610422020048</v>
      </c>
      <c r="B339" s="64" t="s">
        <v>32</v>
      </c>
      <c r="D339" s="10">
        <f t="array" aca="1" ref="D339" ca="1">INDEX('Mitra per Bulan'!$M$2:$M800,MATCH(S339,'Mitra per Bulan'!$B$2:$B800,0))</f>
        <v>1</v>
      </c>
      <c r="E339" s="10" t="str">
        <f t="array" ref="E339">INDEX('Database Mitra'!$A$2:$A800,MATCH(A339,'Database Mitra'!$B$2:$B800,0))</f>
        <v>Herri Gustaman</v>
      </c>
      <c r="F339" s="64" t="s">
        <v>25</v>
      </c>
      <c r="G339" s="5" t="str">
        <f t="array" ref="G339">INDEX('Database Mitra'!$G$2:$G800,MATCH(A339,'Database Mitra'!$B$2:$B800,0))</f>
        <v>6102072503800001</v>
      </c>
      <c r="H339" s="64" t="s">
        <v>85</v>
      </c>
      <c r="I339" s="65" t="str">
        <f t="shared" si="16"/>
        <v>KSA24-LAPANGAN-MEI-PPL-KSA JAGUNG</v>
      </c>
      <c r="J339" s="10" t="str">
        <f t="array" ref="J339">INDEX(Honor!$H$2:$H800,MATCH($I339,Honor!$A$2:$A800,0))</f>
        <v>Segmen</v>
      </c>
      <c r="K339" s="66">
        <f t="array" ref="K339">INDEX(Honor!$I$2:$I800,MATCH($I339,Honor!$A$2:$A800,0))</f>
        <v>59000</v>
      </c>
      <c r="L339" s="64">
        <v>6</v>
      </c>
      <c r="M339" s="10">
        <f t="shared" si="0"/>
        <v>354000</v>
      </c>
      <c r="O339" s="67">
        <f t="array" ref="O339">INDEX(Honor!$L$2:$L800,MATCH($I339,Honor!$A$2:$A800,0))</f>
        <v>45443</v>
      </c>
      <c r="P339" s="10">
        <f t="shared" si="1"/>
        <v>2024</v>
      </c>
      <c r="Q339" s="10">
        <f t="shared" si="2"/>
        <v>5</v>
      </c>
      <c r="R339" s="10" t="str">
        <f t="array" ref="R339">INDEX(Honor!$Q$2:$Q800,MATCH($I339,Honor!$A$2:$A800,0))</f>
        <v>SURVEI-PPL</v>
      </c>
      <c r="S339" s="10" t="str">
        <f t="shared" si="3"/>
        <v>610422020048-2024-5</v>
      </c>
      <c r="T339" s="10" t="str">
        <f t="shared" si="4"/>
        <v>610422020048-2024-5-SURVEI-PPL</v>
      </c>
      <c r="U339" s="64">
        <v>1</v>
      </c>
      <c r="V339" s="10" t="e">
        <f t="array" aca="1" ref="V339" ca="1">INDEX(Honor!$O$2:$O800,MATCH($I339,Honor!$A$2:$A800,0))</f>
        <v>#NAME?</v>
      </c>
      <c r="W339" s="67"/>
      <c r="X339" s="7" t="str">
        <f t="array" ref="X339">INDEX('Input Kegiatan'!$B$2:$B800,MATCH(B339,'Input Kegiatan'!$A$2:$A800,0))</f>
        <v>Kerangka Sampel Area (KSA) 2024 Mei</v>
      </c>
      <c r="Y339" s="7" t="s">
        <v>4931</v>
      </c>
      <c r="Z339" s="7" t="s">
        <v>5171</v>
      </c>
      <c r="AA339" s="68">
        <f t="shared" si="5"/>
        <v>45412</v>
      </c>
      <c r="AB339" s="68">
        <f t="shared" si="6"/>
        <v>45413</v>
      </c>
      <c r="AC339" s="68">
        <f t="shared" si="7"/>
        <v>45443</v>
      </c>
      <c r="AD339" s="68">
        <f t="shared" si="8"/>
        <v>45442</v>
      </c>
      <c r="AE339" s="68">
        <f t="shared" si="9"/>
        <v>45443</v>
      </c>
    </row>
    <row r="340" spans="1:31" ht="12.5">
      <c r="A340" s="125">
        <v>610422040058</v>
      </c>
      <c r="B340" s="64" t="s">
        <v>32</v>
      </c>
      <c r="D340" s="10">
        <f t="array" aca="1" ref="D340" ca="1">INDEX('Mitra per Bulan'!$M$2:$M800,MATCH(S340,'Mitra per Bulan'!$B$2:$B800,0))</f>
        <v>1</v>
      </c>
      <c r="E340" s="10" t="str">
        <f t="array" ref="E340">INDEX('Database Mitra'!$A$2:$A800,MATCH(A340,'Database Mitra'!$B$2:$B800,0))</f>
        <v>Jamaluddin, Sp</v>
      </c>
      <c r="F340" s="64" t="s">
        <v>25</v>
      </c>
      <c r="G340" s="5" t="str">
        <f t="array" ref="G340">INDEX('Database Mitra'!$G$2:$G800,MATCH(A340,'Database Mitra'!$B$2:$B800,0))</f>
        <v>6102152607940002</v>
      </c>
      <c r="H340" s="64" t="s">
        <v>85</v>
      </c>
      <c r="I340" s="65" t="str">
        <f t="shared" si="16"/>
        <v>KSA24-LAPANGAN-MEI-PPL-KSA JAGUNG</v>
      </c>
      <c r="J340" s="10" t="str">
        <f t="array" ref="J340">INDEX(Honor!$H$2:$H800,MATCH($I340,Honor!$A$2:$A800,0))</f>
        <v>Segmen</v>
      </c>
      <c r="K340" s="66">
        <f t="array" ref="K340">INDEX(Honor!$I$2:$I800,MATCH($I340,Honor!$A$2:$A800,0))</f>
        <v>59000</v>
      </c>
      <c r="L340" s="64">
        <v>10</v>
      </c>
      <c r="M340" s="10">
        <f t="shared" si="0"/>
        <v>590000</v>
      </c>
      <c r="O340" s="67">
        <f t="array" ref="O340">INDEX(Honor!$L$2:$L800,MATCH($I340,Honor!$A$2:$A800,0))</f>
        <v>45443</v>
      </c>
      <c r="P340" s="10">
        <f t="shared" si="1"/>
        <v>2024</v>
      </c>
      <c r="Q340" s="10">
        <f t="shared" si="2"/>
        <v>5</v>
      </c>
      <c r="R340" s="10" t="str">
        <f t="array" ref="R340">INDEX(Honor!$Q$2:$Q800,MATCH($I340,Honor!$A$2:$A800,0))</f>
        <v>SURVEI-PPL</v>
      </c>
      <c r="S340" s="10" t="str">
        <f t="shared" si="3"/>
        <v>610422040058-2024-5</v>
      </c>
      <c r="T340" s="10" t="str">
        <f t="shared" si="4"/>
        <v>610422040058-2024-5-SURVEI-PPL</v>
      </c>
      <c r="U340" s="64">
        <v>1</v>
      </c>
      <c r="V340" s="10" t="e">
        <f t="array" aca="1" ref="V340" ca="1">INDEX(Honor!$O$2:$O800,MATCH($I340,Honor!$A$2:$A800,0))</f>
        <v>#NAME?</v>
      </c>
      <c r="W340" s="67"/>
      <c r="X340" s="7" t="str">
        <f t="array" ref="X340">INDEX('Input Kegiatan'!$B$2:$B800,MATCH(B340,'Input Kegiatan'!$A$2:$A800,0))</f>
        <v>Kerangka Sampel Area (KSA) 2024 Mei</v>
      </c>
      <c r="Y340" s="7" t="s">
        <v>3715</v>
      </c>
      <c r="Z340" s="7" t="s">
        <v>3716</v>
      </c>
      <c r="AA340" s="68">
        <f t="shared" si="5"/>
        <v>45412</v>
      </c>
      <c r="AB340" s="68">
        <f t="shared" si="6"/>
        <v>45413</v>
      </c>
      <c r="AC340" s="68">
        <f t="shared" si="7"/>
        <v>45443</v>
      </c>
      <c r="AD340" s="68">
        <f t="shared" si="8"/>
        <v>45442</v>
      </c>
      <c r="AE340" s="68">
        <f t="shared" si="9"/>
        <v>45443</v>
      </c>
    </row>
    <row r="341" spans="1:31" ht="12.5">
      <c r="A341" s="125">
        <v>610423110183</v>
      </c>
      <c r="B341" s="64" t="s">
        <v>32</v>
      </c>
      <c r="D341" s="10">
        <f t="array" aca="1" ref="D341" ca="1">INDEX('Mitra per Bulan'!$M$2:$M800,MATCH(S341,'Mitra per Bulan'!$B$2:$B800,0))</f>
        <v>1</v>
      </c>
      <c r="E341" s="10" t="str">
        <f t="array" ref="E341">INDEX('Database Mitra'!$A$2:$A800,MATCH(A341,'Database Mitra'!$B$2:$B800,0))</f>
        <v>Azhar</v>
      </c>
      <c r="F341" s="64" t="s">
        <v>25</v>
      </c>
      <c r="G341" s="5" t="str">
        <f t="array" ref="G341">INDEX('Database Mitra'!$G$2:$G800,MATCH(A341,'Database Mitra'!$B$2:$B800,0))</f>
        <v>6102081211790004</v>
      </c>
      <c r="H341" s="64" t="s">
        <v>85</v>
      </c>
      <c r="I341" s="65" t="str">
        <f t="shared" si="16"/>
        <v>KSA24-LAPANGAN-MEI-PPL-KSA JAGUNG</v>
      </c>
      <c r="J341" s="10" t="str">
        <f t="array" ref="J341">INDEX(Honor!$H$2:$H800,MATCH($I341,Honor!$A$2:$A800,0))</f>
        <v>Segmen</v>
      </c>
      <c r="K341" s="66">
        <f t="array" ref="K341">INDEX(Honor!$I$2:$I800,MATCH($I341,Honor!$A$2:$A800,0))</f>
        <v>59000</v>
      </c>
      <c r="L341" s="64">
        <v>6</v>
      </c>
      <c r="M341" s="10">
        <f t="shared" si="0"/>
        <v>354000</v>
      </c>
      <c r="O341" s="67">
        <f t="array" ref="O341">INDEX(Honor!$L$2:$L800,MATCH($I341,Honor!$A$2:$A800,0))</f>
        <v>45443</v>
      </c>
      <c r="P341" s="10">
        <f t="shared" si="1"/>
        <v>2024</v>
      </c>
      <c r="Q341" s="10">
        <f t="shared" si="2"/>
        <v>5</v>
      </c>
      <c r="R341" s="10" t="str">
        <f t="array" ref="R341">INDEX(Honor!$Q$2:$Q800,MATCH($I341,Honor!$A$2:$A800,0))</f>
        <v>SURVEI-PPL</v>
      </c>
      <c r="S341" s="10" t="str">
        <f t="shared" si="3"/>
        <v>610423110183-2024-5</v>
      </c>
      <c r="T341" s="10" t="str">
        <f t="shared" si="4"/>
        <v>610423110183-2024-5-SURVEI-PPL</v>
      </c>
      <c r="U341" s="64">
        <v>1</v>
      </c>
      <c r="V341" s="10" t="e">
        <f t="array" aca="1" ref="V341" ca="1">INDEX(Honor!$O$2:$O800,MATCH($I341,Honor!$A$2:$A800,0))</f>
        <v>#NAME?</v>
      </c>
      <c r="W341" s="67"/>
      <c r="X341" s="7" t="str">
        <f t="array" ref="X341">INDEX('Input Kegiatan'!$B$2:$B800,MATCH(B341,'Input Kegiatan'!$A$2:$A800,0))</f>
        <v>Kerangka Sampel Area (KSA) 2024 Mei</v>
      </c>
      <c r="Y341" s="7" t="s">
        <v>3241</v>
      </c>
      <c r="Z341" s="7" t="s">
        <v>3242</v>
      </c>
      <c r="AA341" s="68">
        <f t="shared" si="5"/>
        <v>45412</v>
      </c>
      <c r="AB341" s="68">
        <f t="shared" si="6"/>
        <v>45413</v>
      </c>
      <c r="AC341" s="68">
        <f t="shared" si="7"/>
        <v>45443</v>
      </c>
      <c r="AD341" s="68">
        <f t="shared" si="8"/>
        <v>45442</v>
      </c>
      <c r="AE341" s="68">
        <f t="shared" si="9"/>
        <v>45443</v>
      </c>
    </row>
    <row r="342" spans="1:31" ht="12.5">
      <c r="A342" s="125">
        <v>610422100244</v>
      </c>
      <c r="B342" s="64" t="s">
        <v>32</v>
      </c>
      <c r="D342" s="10">
        <f t="array" aca="1" ref="D342" ca="1">INDEX('Mitra per Bulan'!$M$2:$M800,MATCH(S342,'Mitra per Bulan'!$B$2:$B800,0))</f>
        <v>1</v>
      </c>
      <c r="E342" s="10" t="str">
        <f t="array" ref="E342">INDEX('Database Mitra'!$A$2:$A800,MATCH(A342,'Database Mitra'!$B$2:$B800,0))</f>
        <v>Sugianto</v>
      </c>
      <c r="F342" s="64" t="s">
        <v>25</v>
      </c>
      <c r="G342" s="5" t="str">
        <f t="array" ref="G342">INDEX('Database Mitra'!$G$2:$G800,MATCH(A342,'Database Mitra'!$B$2:$B800,0))</f>
        <v>6102171003900002</v>
      </c>
      <c r="H342" s="64" t="s">
        <v>85</v>
      </c>
      <c r="I342" s="65" t="str">
        <f t="shared" si="16"/>
        <v>KSA24-LAPANGAN-MEI-PPL-KSA JAGUNG</v>
      </c>
      <c r="J342" s="10" t="str">
        <f t="array" ref="J342">INDEX(Honor!$H$2:$H800,MATCH($I342,Honor!$A$2:$A800,0))</f>
        <v>Segmen</v>
      </c>
      <c r="K342" s="66">
        <f t="array" ref="K342">INDEX(Honor!$I$2:$I800,MATCH($I342,Honor!$A$2:$A800,0))</f>
        <v>59000</v>
      </c>
      <c r="L342" s="64">
        <v>8</v>
      </c>
      <c r="M342" s="10">
        <f t="shared" si="0"/>
        <v>472000</v>
      </c>
      <c r="O342" s="67">
        <f t="array" ref="O342">INDEX(Honor!$L$2:$L800,MATCH($I342,Honor!$A$2:$A800,0))</f>
        <v>45443</v>
      </c>
      <c r="P342" s="10">
        <f t="shared" si="1"/>
        <v>2024</v>
      </c>
      <c r="Q342" s="10">
        <f t="shared" si="2"/>
        <v>5</v>
      </c>
      <c r="R342" s="10" t="str">
        <f t="array" ref="R342">INDEX(Honor!$Q$2:$Q800,MATCH($I342,Honor!$A$2:$A800,0))</f>
        <v>SURVEI-PPL</v>
      </c>
      <c r="S342" s="10" t="str">
        <f t="shared" si="3"/>
        <v>610422100244-2024-5</v>
      </c>
      <c r="T342" s="10" t="str">
        <f t="shared" si="4"/>
        <v>610422100244-2024-5-SURVEI-PPL</v>
      </c>
      <c r="U342" s="64">
        <v>1</v>
      </c>
      <c r="V342" s="10" t="e">
        <f t="array" aca="1" ref="V342" ca="1">INDEX(Honor!$O$2:$O800,MATCH($I342,Honor!$A$2:$A800,0))</f>
        <v>#NAME?</v>
      </c>
      <c r="W342" s="67"/>
      <c r="X342" s="7" t="str">
        <f t="array" ref="X342">INDEX('Input Kegiatan'!$B$2:$B800,MATCH(B342,'Input Kegiatan'!$A$2:$A800,0))</f>
        <v>Kerangka Sampel Area (KSA) 2024 Mei</v>
      </c>
      <c r="Y342" s="7" t="s">
        <v>5741</v>
      </c>
      <c r="Z342" s="7" t="s">
        <v>5796</v>
      </c>
      <c r="AA342" s="68">
        <f t="shared" si="5"/>
        <v>45412</v>
      </c>
      <c r="AB342" s="68">
        <f t="shared" si="6"/>
        <v>45413</v>
      </c>
      <c r="AC342" s="68">
        <f t="shared" si="7"/>
        <v>45443</v>
      </c>
      <c r="AD342" s="68">
        <f t="shared" si="8"/>
        <v>45442</v>
      </c>
      <c r="AE342" s="68">
        <f t="shared" si="9"/>
        <v>45443</v>
      </c>
    </row>
    <row r="343" spans="1:31" ht="12.5">
      <c r="A343" s="125">
        <v>610422040012</v>
      </c>
      <c r="B343" s="64" t="s">
        <v>163</v>
      </c>
      <c r="D343" s="10">
        <f t="array" aca="1" ref="D343" ca="1">INDEX('Mitra per Bulan'!$M$2:$M800,MATCH(S343,'Mitra per Bulan'!$B$2:$B800,0))</f>
        <v>1</v>
      </c>
      <c r="E343" s="10" t="str">
        <f t="array" ref="E343">INDEX('Database Mitra'!$A$2:$A800,MATCH(A343,'Database Mitra'!$B$2:$B800,0))</f>
        <v>Misdi</v>
      </c>
      <c r="F343" s="64" t="s">
        <v>25</v>
      </c>
      <c r="G343" s="5" t="str">
        <f t="array" ref="G343">INDEX('Database Mitra'!$G$2:$G800,MATCH(A343,'Database Mitra'!$B$2:$B800,0))</f>
        <v>6102070706940001</v>
      </c>
      <c r="H343" s="64" t="s">
        <v>164</v>
      </c>
      <c r="I343" s="65" t="s">
        <v>165</v>
      </c>
      <c r="J343" s="10" t="str">
        <f t="array" ref="J343">INDEX(Honor!$H$2:$H800,MATCH($I343,Honor!$A$2:$A800,0))</f>
        <v>Dokumen</v>
      </c>
      <c r="K343" s="66">
        <f t="array" ref="K343">INDEX(Honor!$I$2:$I800,MATCH($I343,Honor!$A$2:$A800,0))</f>
        <v>78000</v>
      </c>
      <c r="L343" s="64">
        <v>25</v>
      </c>
      <c r="M343" s="10">
        <f t="shared" si="0"/>
        <v>1950000</v>
      </c>
      <c r="O343" s="67">
        <f t="array" ref="O343">INDEX(Honor!$L$2:$L800,MATCH($I343,Honor!$A$2:$A800,0))</f>
        <v>45443</v>
      </c>
      <c r="P343" s="10">
        <f t="shared" si="1"/>
        <v>2024</v>
      </c>
      <c r="Q343" s="10">
        <f t="shared" si="2"/>
        <v>5</v>
      </c>
      <c r="R343" s="10" t="str">
        <f t="array" ref="R343">INDEX(Honor!$Q$2:$Q800,MATCH($I343,Honor!$A$2:$A800,0))</f>
        <v>SURVEI-PPL</v>
      </c>
      <c r="S343" s="10" t="str">
        <f t="shared" si="3"/>
        <v>610422040012-2024-5</v>
      </c>
      <c r="T343" s="10" t="str">
        <f t="shared" si="4"/>
        <v>610422040012-2024-5-SURVEI-PPL</v>
      </c>
      <c r="U343" s="64">
        <v>1</v>
      </c>
      <c r="V343" s="10" t="e">
        <f t="array" aca="1" ref="V343" ca="1">INDEX(Honor!$O$2:$O800,MATCH($I343,Honor!$A$2:$A800,0))</f>
        <v>#NAME?</v>
      </c>
      <c r="W343" s="67"/>
      <c r="X343" s="7" t="str">
        <f t="array" ref="X343">INDEX('Input Kegiatan'!$B$2:$B800,MATCH(B343,'Input Kegiatan'!$A$2:$A800,0))</f>
        <v>Survei Ubinan 2024 Subround 1 dan 2</v>
      </c>
      <c r="Y343" s="7" t="s">
        <v>3990</v>
      </c>
      <c r="Z343" s="7" t="s">
        <v>4365</v>
      </c>
      <c r="AA343" s="68">
        <f t="shared" si="5"/>
        <v>45412</v>
      </c>
      <c r="AB343" s="68">
        <f t="shared" si="6"/>
        <v>45413</v>
      </c>
      <c r="AC343" s="68">
        <f t="shared" si="7"/>
        <v>45443</v>
      </c>
      <c r="AD343" s="68">
        <f t="shared" si="8"/>
        <v>45442</v>
      </c>
      <c r="AE343" s="68">
        <f t="shared" si="9"/>
        <v>45443</v>
      </c>
    </row>
    <row r="344" spans="1:31" ht="12.5">
      <c r="A344" s="125">
        <v>610422040012</v>
      </c>
      <c r="B344" s="64" t="s">
        <v>163</v>
      </c>
      <c r="D344" s="10">
        <f t="array" aca="1" ref="D344" ca="1">INDEX('Mitra per Bulan'!$M$2:$M800,MATCH(S344,'Mitra per Bulan'!$B$2:$B800,0))</f>
        <v>1</v>
      </c>
      <c r="E344" s="10" t="str">
        <f t="array" ref="E344">INDEX('Database Mitra'!$A$2:$A800,MATCH(A344,'Database Mitra'!$B$2:$B800,0))</f>
        <v>Misdi</v>
      </c>
      <c r="F344" s="64" t="s">
        <v>25</v>
      </c>
      <c r="G344" s="5" t="str">
        <f t="array" ref="G344">INDEX('Database Mitra'!$G$2:$G800,MATCH(A344,'Database Mitra'!$B$2:$B800,0))</f>
        <v>6102070706940001</v>
      </c>
      <c r="H344" s="64" t="s">
        <v>164</v>
      </c>
      <c r="I344" s="65" t="s">
        <v>166</v>
      </c>
      <c r="J344" s="10" t="str">
        <f t="array" ref="J344">INDEX(Honor!$H$2:$H800,MATCH($I344,Honor!$A$2:$A800,0))</f>
        <v>Dokumen</v>
      </c>
      <c r="K344" s="66">
        <f t="array" ref="K344">INDEX(Honor!$I$2:$I800,MATCH($I344,Honor!$A$2:$A800,0))</f>
        <v>78000</v>
      </c>
      <c r="L344" s="64">
        <v>11</v>
      </c>
      <c r="M344" s="10">
        <f t="shared" si="0"/>
        <v>858000</v>
      </c>
      <c r="O344" s="67">
        <f t="array" ref="O344">INDEX(Honor!$L$2:$L800,MATCH($I344,Honor!$A$2:$A800,0))</f>
        <v>45443</v>
      </c>
      <c r="P344" s="10">
        <f t="shared" si="1"/>
        <v>2024</v>
      </c>
      <c r="Q344" s="10">
        <f t="shared" si="2"/>
        <v>5</v>
      </c>
      <c r="R344" s="10" t="str">
        <f t="array" ref="R344">INDEX(Honor!$Q$2:$Q800,MATCH($I344,Honor!$A$2:$A800,0))</f>
        <v>SURVEI-PPL</v>
      </c>
      <c r="S344" s="10" t="str">
        <f t="shared" si="3"/>
        <v>610422040012-2024-5</v>
      </c>
      <c r="T344" s="10" t="str">
        <f t="shared" si="4"/>
        <v>610422040012-2024-5-SURVEI-PPL</v>
      </c>
      <c r="U344" s="64">
        <v>1</v>
      </c>
      <c r="V344" s="10" t="e">
        <f t="array" aca="1" ref="V344" ca="1">INDEX(Honor!$O$2:$O800,MATCH($I344,Honor!$A$2:$A800,0))</f>
        <v>#NAME?</v>
      </c>
      <c r="W344" s="67"/>
      <c r="X344" s="7" t="str">
        <f t="array" ref="X344">INDEX('Input Kegiatan'!$B$2:$B800,MATCH(B344,'Input Kegiatan'!$A$2:$A800,0))</f>
        <v>Survei Ubinan 2024 Subround 1 dan 2</v>
      </c>
      <c r="Y344" s="7" t="s">
        <v>3990</v>
      </c>
      <c r="Z344" s="7" t="s">
        <v>4365</v>
      </c>
      <c r="AA344" s="68">
        <f t="shared" si="5"/>
        <v>45412</v>
      </c>
      <c r="AB344" s="68">
        <f t="shared" si="6"/>
        <v>45413</v>
      </c>
      <c r="AC344" s="68">
        <f t="shared" si="7"/>
        <v>45443</v>
      </c>
      <c r="AD344" s="68">
        <f t="shared" si="8"/>
        <v>45442</v>
      </c>
      <c r="AE344" s="68">
        <f t="shared" si="9"/>
        <v>45443</v>
      </c>
    </row>
    <row r="345" spans="1:31" ht="12.5">
      <c r="A345" s="125">
        <v>610423040018</v>
      </c>
      <c r="B345" s="64" t="s">
        <v>163</v>
      </c>
      <c r="D345" s="10">
        <f t="array" aca="1" ref="D345" ca="1">INDEX('Mitra per Bulan'!$M$2:$M800,MATCH(S345,'Mitra per Bulan'!$B$2:$B800,0))</f>
        <v>1</v>
      </c>
      <c r="E345" s="10" t="str">
        <f t="array" ref="E345">INDEX('Database Mitra'!$A$2:$A800,MATCH(A345,'Database Mitra'!$B$2:$B800,0))</f>
        <v>Handoko Tuah Sabarman Sipayung</v>
      </c>
      <c r="F345" s="64" t="s">
        <v>25</v>
      </c>
      <c r="G345" s="5" t="str">
        <f t="array" ref="G345">INDEX('Database Mitra'!$G$2:$G800,MATCH(A345,'Database Mitra'!$B$2:$B800,0))</f>
        <v>1212092309880001</v>
      </c>
      <c r="H345" s="64" t="s">
        <v>164</v>
      </c>
      <c r="I345" s="65" t="s">
        <v>166</v>
      </c>
      <c r="J345" s="10" t="str">
        <f t="array" ref="J345">INDEX(Honor!$H$2:$H800,MATCH($I345,Honor!$A$2:$A800,0))</f>
        <v>Dokumen</v>
      </c>
      <c r="K345" s="66">
        <f t="array" ref="K345">INDEX(Honor!$I$2:$I800,MATCH($I345,Honor!$A$2:$A800,0))</f>
        <v>78000</v>
      </c>
      <c r="L345" s="64">
        <v>4</v>
      </c>
      <c r="M345" s="10">
        <f t="shared" si="0"/>
        <v>312000</v>
      </c>
      <c r="N345" s="70"/>
      <c r="O345" s="67">
        <f t="array" ref="O345">INDEX(Honor!$L$2:$L800,MATCH($I345,Honor!$A$2:$A800,0))</f>
        <v>45443</v>
      </c>
      <c r="P345" s="10">
        <f t="shared" si="1"/>
        <v>2024</v>
      </c>
      <c r="Q345" s="10">
        <f t="shared" si="2"/>
        <v>5</v>
      </c>
      <c r="R345" s="10" t="str">
        <f t="array" ref="R345">INDEX(Honor!$Q$2:$Q800,MATCH($I345,Honor!$A$2:$A800,0))</f>
        <v>SURVEI-PPL</v>
      </c>
      <c r="S345" s="10" t="str">
        <f t="shared" si="3"/>
        <v>610423040018-2024-5</v>
      </c>
      <c r="T345" s="10" t="str">
        <f t="shared" si="4"/>
        <v>610423040018-2024-5-SURVEI-PPL</v>
      </c>
      <c r="U345" s="64">
        <v>1</v>
      </c>
      <c r="V345" s="10" t="e">
        <f t="array" aca="1" ref="V345" ca="1">INDEX(Honor!$O$2:$O800,MATCH($I345,Honor!$A$2:$A800,0))</f>
        <v>#NAME?</v>
      </c>
      <c r="W345" s="67"/>
      <c r="X345" s="7" t="str">
        <f t="array" ref="X345">INDEX('Input Kegiatan'!$B$2:$B800,MATCH(B345,'Input Kegiatan'!$A$2:$A800,0))</f>
        <v>Survei Ubinan 2024 Subround 1 dan 2</v>
      </c>
      <c r="Y345" s="7" t="s">
        <v>5534</v>
      </c>
      <c r="Z345" s="7" t="s">
        <v>5647</v>
      </c>
      <c r="AA345" s="68">
        <f t="shared" si="5"/>
        <v>45412</v>
      </c>
      <c r="AB345" s="68">
        <f t="shared" si="6"/>
        <v>45413</v>
      </c>
      <c r="AC345" s="68">
        <f t="shared" si="7"/>
        <v>45443</v>
      </c>
      <c r="AD345" s="68">
        <f t="shared" si="8"/>
        <v>45442</v>
      </c>
      <c r="AE345" s="68">
        <f t="shared" si="9"/>
        <v>45443</v>
      </c>
    </row>
    <row r="346" spans="1:31" ht="12.5">
      <c r="A346" s="125">
        <v>610422020016</v>
      </c>
      <c r="B346" s="64" t="s">
        <v>163</v>
      </c>
      <c r="D346" s="10">
        <f t="array" aca="1" ref="D346" ca="1">INDEX('Mitra per Bulan'!$M$2:$M800,MATCH(S346,'Mitra per Bulan'!$B$2:$B800,0))</f>
        <v>1</v>
      </c>
      <c r="E346" s="10" t="str">
        <f t="array" ref="E346">INDEX('Database Mitra'!$A$2:$A800,MATCH(A346,'Database Mitra'!$B$2:$B800,0))</f>
        <v>Abdul Aziz</v>
      </c>
      <c r="F346" s="64" t="s">
        <v>25</v>
      </c>
      <c r="G346" s="5" t="str">
        <f t="array" ref="G346">INDEX('Database Mitra'!$G$2:$G800,MATCH(A346,'Database Mitra'!$B$2:$B800,0))</f>
        <v>6102061507950006</v>
      </c>
      <c r="H346" s="64" t="s">
        <v>164</v>
      </c>
      <c r="I346" s="65" t="s">
        <v>166</v>
      </c>
      <c r="J346" s="10" t="str">
        <f t="array" ref="J346">INDEX(Honor!$H$2:$H800,MATCH($I346,Honor!$A$2:$A800,0))</f>
        <v>Dokumen</v>
      </c>
      <c r="K346" s="66">
        <f t="array" ref="K346">INDEX(Honor!$I$2:$I800,MATCH($I346,Honor!$A$2:$A800,0))</f>
        <v>78000</v>
      </c>
      <c r="L346" s="64">
        <v>3</v>
      </c>
      <c r="M346" s="10">
        <f t="shared" si="0"/>
        <v>234000</v>
      </c>
      <c r="N346" s="70"/>
      <c r="O346" s="67">
        <f t="array" ref="O346">INDEX(Honor!$L$2:$L800,MATCH($I346,Honor!$A$2:$A800,0))</f>
        <v>45443</v>
      </c>
      <c r="P346" s="10">
        <f t="shared" si="1"/>
        <v>2024</v>
      </c>
      <c r="Q346" s="10">
        <f t="shared" si="2"/>
        <v>5</v>
      </c>
      <c r="R346" s="10" t="str">
        <f t="array" ref="R346">INDEX(Honor!$Q$2:$Q800,MATCH($I346,Honor!$A$2:$A800,0))</f>
        <v>SURVEI-PPL</v>
      </c>
      <c r="S346" s="10" t="str">
        <f t="shared" si="3"/>
        <v>610422020016-2024-5</v>
      </c>
      <c r="T346" s="10" t="str">
        <f t="shared" si="4"/>
        <v>610422020016-2024-5-SURVEI-PPL</v>
      </c>
      <c r="U346" s="64">
        <v>1</v>
      </c>
      <c r="V346" s="10" t="e">
        <f t="array" aca="1" ref="V346" ca="1">INDEX(Honor!$O$2:$O800,MATCH($I346,Honor!$A$2:$A800,0))</f>
        <v>#NAME?</v>
      </c>
      <c r="W346" s="67"/>
      <c r="X346" s="7" t="str">
        <f t="array" ref="X346">INDEX('Input Kegiatan'!$B$2:$B800,MATCH(B346,'Input Kegiatan'!$A$2:$A800,0))</f>
        <v>Survei Ubinan 2024 Subround 1 dan 2</v>
      </c>
      <c r="Y346" s="7" t="s">
        <v>5534</v>
      </c>
      <c r="Z346" s="7" t="s">
        <v>5535</v>
      </c>
      <c r="AA346" s="68">
        <f t="shared" si="5"/>
        <v>45412</v>
      </c>
      <c r="AB346" s="68">
        <f t="shared" si="6"/>
        <v>45413</v>
      </c>
      <c r="AC346" s="68">
        <f t="shared" si="7"/>
        <v>45443</v>
      </c>
      <c r="AD346" s="68">
        <f t="shared" si="8"/>
        <v>45442</v>
      </c>
      <c r="AE346" s="68">
        <f t="shared" si="9"/>
        <v>45443</v>
      </c>
    </row>
    <row r="347" spans="1:31" ht="12.5">
      <c r="A347" s="125">
        <v>610422040059</v>
      </c>
      <c r="B347" s="64" t="s">
        <v>163</v>
      </c>
      <c r="D347" s="10">
        <f t="array" aca="1" ref="D347" ca="1">INDEX('Mitra per Bulan'!$M$2:$M800,MATCH(S347,'Mitra per Bulan'!$B$2:$B800,0))</f>
        <v>1</v>
      </c>
      <c r="E347" s="10" t="str">
        <f t="array" ref="E347">INDEX('Database Mitra'!$A$2:$A800,MATCH(A347,'Database Mitra'!$B$2:$B800,0))</f>
        <v>Abang Handri</v>
      </c>
      <c r="F347" s="64" t="s">
        <v>25</v>
      </c>
      <c r="G347" s="5" t="str">
        <f t="array" ref="G347">INDEX('Database Mitra'!$G$2:$G800,MATCH(A347,'Database Mitra'!$B$2:$B800,0))</f>
        <v>6102072211780002</v>
      </c>
      <c r="H347" s="64" t="s">
        <v>164</v>
      </c>
      <c r="I347" s="65" t="s">
        <v>166</v>
      </c>
      <c r="J347" s="10" t="str">
        <f t="array" ref="J347">INDEX(Honor!$H$2:$H800,MATCH($I347,Honor!$A$2:$A800,0))</f>
        <v>Dokumen</v>
      </c>
      <c r="K347" s="66">
        <f t="array" ref="K347">INDEX(Honor!$I$2:$I800,MATCH($I347,Honor!$A$2:$A800,0))</f>
        <v>78000</v>
      </c>
      <c r="L347" s="64">
        <v>1</v>
      </c>
      <c r="M347" s="10">
        <f t="shared" si="0"/>
        <v>78000</v>
      </c>
      <c r="N347" s="70"/>
      <c r="O347" s="67">
        <f t="array" ref="O347">INDEX(Honor!$L$2:$L800,MATCH($I347,Honor!$A$2:$A800,0))</f>
        <v>45443</v>
      </c>
      <c r="P347" s="10">
        <f t="shared" si="1"/>
        <v>2024</v>
      </c>
      <c r="Q347" s="10">
        <f t="shared" si="2"/>
        <v>5</v>
      </c>
      <c r="R347" s="10" t="str">
        <f t="array" ref="R347">INDEX(Honor!$Q$2:$Q800,MATCH($I347,Honor!$A$2:$A800,0))</f>
        <v>SURVEI-PPL</v>
      </c>
      <c r="S347" s="10" t="str">
        <f t="shared" si="3"/>
        <v>610422040059-2024-5</v>
      </c>
      <c r="T347" s="10" t="str">
        <f t="shared" si="4"/>
        <v>610422040059-2024-5-SURVEI-PPL</v>
      </c>
      <c r="U347" s="64">
        <v>1</v>
      </c>
      <c r="V347" s="10" t="e">
        <f t="array" aca="1" ref="V347" ca="1">INDEX(Honor!$O$2:$O800,MATCH($I347,Honor!$A$2:$A800,0))</f>
        <v>#NAME?</v>
      </c>
      <c r="W347" s="67"/>
      <c r="X347" s="7" t="str">
        <f t="array" ref="X347">INDEX('Input Kegiatan'!$B$2:$B800,MATCH(B347,'Input Kegiatan'!$A$2:$A800,0))</f>
        <v>Survei Ubinan 2024 Subround 1 dan 2</v>
      </c>
      <c r="Y347" s="7" t="s">
        <v>4572</v>
      </c>
      <c r="Z347" s="7" t="s">
        <v>4656</v>
      </c>
      <c r="AA347" s="68">
        <f t="shared" si="5"/>
        <v>45412</v>
      </c>
      <c r="AB347" s="68">
        <f t="shared" si="6"/>
        <v>45413</v>
      </c>
      <c r="AC347" s="68">
        <f t="shared" si="7"/>
        <v>45443</v>
      </c>
      <c r="AD347" s="68">
        <f t="shared" si="8"/>
        <v>45442</v>
      </c>
      <c r="AE347" s="68">
        <f t="shared" si="9"/>
        <v>45443</v>
      </c>
    </row>
    <row r="348" spans="1:31" ht="12.5">
      <c r="A348" s="125">
        <v>610422100176</v>
      </c>
      <c r="B348" s="64" t="s">
        <v>163</v>
      </c>
      <c r="D348" s="10">
        <f t="array" aca="1" ref="D348" ca="1">INDEX('Mitra per Bulan'!$M$2:$M800,MATCH(S348,'Mitra per Bulan'!$B$2:$B800,0))</f>
        <v>1</v>
      </c>
      <c r="E348" s="10" t="str">
        <f t="array" ref="E348">INDEX('Database Mitra'!$A$2:$A800,MATCH(A348,'Database Mitra'!$B$2:$B800,0))</f>
        <v>Feri Firdaus</v>
      </c>
      <c r="F348" s="64" t="s">
        <v>25</v>
      </c>
      <c r="G348" s="5" t="str">
        <f t="array" ref="G348">INDEX('Database Mitra'!$G$2:$G800,MATCH(A348,'Database Mitra'!$B$2:$B800,0))</f>
        <v>6102150412880001</v>
      </c>
      <c r="H348" s="64" t="s">
        <v>164</v>
      </c>
      <c r="I348" s="65" t="s">
        <v>166</v>
      </c>
      <c r="J348" s="10" t="str">
        <f t="array" ref="J348">INDEX(Honor!$H$2:$H800,MATCH($I348,Honor!$A$2:$A800,0))</f>
        <v>Dokumen</v>
      </c>
      <c r="K348" s="66">
        <f t="array" ref="K348">INDEX(Honor!$I$2:$I800,MATCH($I348,Honor!$A$2:$A800,0))</f>
        <v>78000</v>
      </c>
      <c r="L348" s="64">
        <v>1</v>
      </c>
      <c r="M348" s="10">
        <f t="shared" si="0"/>
        <v>78000</v>
      </c>
      <c r="N348" s="70"/>
      <c r="O348" s="67">
        <f t="array" ref="O348">INDEX(Honor!$L$2:$L800,MATCH($I348,Honor!$A$2:$A800,0))</f>
        <v>45443</v>
      </c>
      <c r="P348" s="10">
        <f t="shared" si="1"/>
        <v>2024</v>
      </c>
      <c r="Q348" s="10">
        <f t="shared" si="2"/>
        <v>5</v>
      </c>
      <c r="R348" s="10" t="str">
        <f t="array" ref="R348">INDEX(Honor!$Q$2:$Q800,MATCH($I348,Honor!$A$2:$A800,0))</f>
        <v>SURVEI-PPL</v>
      </c>
      <c r="S348" s="10" t="str">
        <f t="shared" si="3"/>
        <v>610422100176-2024-5</v>
      </c>
      <c r="T348" s="10" t="str">
        <f t="shared" si="4"/>
        <v>610422100176-2024-5-SURVEI-PPL</v>
      </c>
      <c r="U348" s="64">
        <v>1</v>
      </c>
      <c r="V348" s="10" t="e">
        <f t="array" aca="1" ref="V348" ca="1">INDEX(Honor!$O$2:$O800,MATCH($I348,Honor!$A$2:$A800,0))</f>
        <v>#NAME?</v>
      </c>
      <c r="W348" s="67"/>
      <c r="X348" s="7" t="str">
        <f t="array" ref="X348">INDEX('Input Kegiatan'!$B$2:$B800,MATCH(B348,'Input Kegiatan'!$A$2:$A800,0))</f>
        <v>Survei Ubinan 2024 Subround 1 dan 2</v>
      </c>
      <c r="Y348" s="7" t="s">
        <v>3715</v>
      </c>
      <c r="Z348" s="7" t="s">
        <v>3765</v>
      </c>
      <c r="AA348" s="68">
        <f t="shared" si="5"/>
        <v>45412</v>
      </c>
      <c r="AB348" s="68">
        <f t="shared" si="6"/>
        <v>45413</v>
      </c>
      <c r="AC348" s="68">
        <f t="shared" si="7"/>
        <v>45443</v>
      </c>
      <c r="AD348" s="68">
        <f t="shared" si="8"/>
        <v>45442</v>
      </c>
      <c r="AE348" s="68">
        <f t="shared" si="9"/>
        <v>45443</v>
      </c>
    </row>
    <row r="349" spans="1:31" ht="12.5">
      <c r="A349" s="125">
        <v>610422100006</v>
      </c>
      <c r="B349" s="64" t="s">
        <v>163</v>
      </c>
      <c r="D349" s="10">
        <f t="array" aca="1" ref="D349" ca="1">INDEX('Mitra per Bulan'!$M$2:$M800,MATCH(S349,'Mitra per Bulan'!$B$2:$B800,0))</f>
        <v>1</v>
      </c>
      <c r="E349" s="10" t="str">
        <f t="array" ref="E349">INDEX('Database Mitra'!$A$2:$A800,MATCH(A349,'Database Mitra'!$B$2:$B800,0))</f>
        <v>Dandy</v>
      </c>
      <c r="F349" s="64" t="s">
        <v>25</v>
      </c>
      <c r="G349" s="5" t="str">
        <f t="array" ref="G349">INDEX('Database Mitra'!$G$2:$G800,MATCH(A349,'Database Mitra'!$B$2:$B800,0))</f>
        <v>6102082010980003</v>
      </c>
      <c r="H349" s="64" t="s">
        <v>164</v>
      </c>
      <c r="I349" s="65" t="s">
        <v>166</v>
      </c>
      <c r="J349" s="10" t="str">
        <f t="array" ref="J349">INDEX(Honor!$H$2:$H800,MATCH($I349,Honor!$A$2:$A800,0))</f>
        <v>Dokumen</v>
      </c>
      <c r="K349" s="66">
        <f t="array" ref="K349">INDEX(Honor!$I$2:$I800,MATCH($I349,Honor!$A$2:$A800,0))</f>
        <v>78000</v>
      </c>
      <c r="L349" s="64">
        <v>4</v>
      </c>
      <c r="M349" s="10">
        <f t="shared" si="0"/>
        <v>312000</v>
      </c>
      <c r="N349" s="70"/>
      <c r="O349" s="67">
        <f t="array" ref="O349">INDEX(Honor!$L$2:$L800,MATCH($I349,Honor!$A$2:$A800,0))</f>
        <v>45443</v>
      </c>
      <c r="P349" s="10">
        <f t="shared" si="1"/>
        <v>2024</v>
      </c>
      <c r="Q349" s="10">
        <f t="shared" si="2"/>
        <v>5</v>
      </c>
      <c r="R349" s="10" t="str">
        <f t="array" ref="R349">INDEX(Honor!$Q$2:$Q800,MATCH($I349,Honor!$A$2:$A800,0))</f>
        <v>SURVEI-PPL</v>
      </c>
      <c r="S349" s="10" t="str">
        <f t="shared" si="3"/>
        <v>610422100006-2024-5</v>
      </c>
      <c r="T349" s="10" t="str">
        <f t="shared" si="4"/>
        <v>610422100006-2024-5-SURVEI-PPL</v>
      </c>
      <c r="U349" s="64">
        <v>1</v>
      </c>
      <c r="V349" s="10" t="e">
        <f t="array" aca="1" ref="V349" ca="1">INDEX(Honor!$O$2:$O800,MATCH($I349,Honor!$A$2:$A800,0))</f>
        <v>#NAME?</v>
      </c>
      <c r="W349" s="67"/>
      <c r="X349" s="7" t="str">
        <f t="array" ref="X349">INDEX('Input Kegiatan'!$B$2:$B800,MATCH(B349,'Input Kegiatan'!$A$2:$A800,0))</f>
        <v>Survei Ubinan 2024 Subround 1 dan 2</v>
      </c>
      <c r="Y349" s="7" t="s">
        <v>3241</v>
      </c>
      <c r="Z349" s="7" t="s">
        <v>3676</v>
      </c>
      <c r="AA349" s="68">
        <f t="shared" si="5"/>
        <v>45412</v>
      </c>
      <c r="AB349" s="68">
        <f t="shared" si="6"/>
        <v>45413</v>
      </c>
      <c r="AC349" s="68">
        <f t="shared" si="7"/>
        <v>45443</v>
      </c>
      <c r="AD349" s="68">
        <f t="shared" si="8"/>
        <v>45442</v>
      </c>
      <c r="AE349" s="68">
        <f t="shared" si="9"/>
        <v>45443</v>
      </c>
    </row>
    <row r="350" spans="1:31" ht="12.5">
      <c r="A350" s="125">
        <v>610423040021</v>
      </c>
      <c r="B350" s="64" t="s">
        <v>163</v>
      </c>
      <c r="D350" s="10">
        <f t="array" aca="1" ref="D350" ca="1">INDEX('Mitra per Bulan'!$M$2:$M800,MATCH(S350,'Mitra per Bulan'!$B$2:$B800,0))</f>
        <v>1</v>
      </c>
      <c r="E350" s="10" t="str">
        <f t="array" ref="E350">INDEX('Database Mitra'!$A$2:$A800,MATCH(A350,'Database Mitra'!$B$2:$B800,0))</f>
        <v>Seliana</v>
      </c>
      <c r="F350" s="64" t="s">
        <v>25</v>
      </c>
      <c r="G350" s="5" t="str">
        <f t="array" ref="G350">INDEX('Database Mitra'!$G$2:$G800,MATCH(A350,'Database Mitra'!$B$2:$B800,0))</f>
        <v>6102176606880001</v>
      </c>
      <c r="H350" s="64" t="s">
        <v>164</v>
      </c>
      <c r="I350" s="65" t="s">
        <v>166</v>
      </c>
      <c r="J350" s="10" t="str">
        <f t="array" ref="J350">INDEX(Honor!$H$2:$H800,MATCH($I350,Honor!$A$2:$A800,0))</f>
        <v>Dokumen</v>
      </c>
      <c r="K350" s="66">
        <f t="array" ref="K350">INDEX(Honor!$I$2:$I800,MATCH($I350,Honor!$A$2:$A800,0))</f>
        <v>78000</v>
      </c>
      <c r="L350" s="64">
        <v>4</v>
      </c>
      <c r="M350" s="10">
        <f t="shared" si="0"/>
        <v>312000</v>
      </c>
      <c r="N350" s="70"/>
      <c r="O350" s="67">
        <f t="array" ref="O350">INDEX(Honor!$L$2:$L800,MATCH($I350,Honor!$A$2:$A800,0))</f>
        <v>45443</v>
      </c>
      <c r="P350" s="10">
        <f t="shared" si="1"/>
        <v>2024</v>
      </c>
      <c r="Q350" s="10">
        <f t="shared" si="2"/>
        <v>5</v>
      </c>
      <c r="R350" s="10" t="str">
        <f t="array" ref="R350">INDEX(Honor!$Q$2:$Q800,MATCH($I350,Honor!$A$2:$A800,0))</f>
        <v>SURVEI-PPL</v>
      </c>
      <c r="S350" s="10" t="str">
        <f t="shared" si="3"/>
        <v>610423040021-2024-5</v>
      </c>
      <c r="T350" s="10" t="str">
        <f t="shared" si="4"/>
        <v>610423040021-2024-5-SURVEI-PPL</v>
      </c>
      <c r="U350" s="64">
        <v>1</v>
      </c>
      <c r="V350" s="10" t="e">
        <f t="array" aca="1" ref="V350" ca="1">INDEX(Honor!$O$2:$O800,MATCH($I350,Honor!$A$2:$A800,0))</f>
        <v>#NAME?</v>
      </c>
      <c r="W350" s="67"/>
      <c r="X350" s="7" t="str">
        <f t="array" ref="X350">INDEX('Input Kegiatan'!$B$2:$B800,MATCH(B350,'Input Kegiatan'!$A$2:$A800,0))</f>
        <v>Survei Ubinan 2024 Subround 1 dan 2</v>
      </c>
      <c r="Y350" s="7" t="s">
        <v>5741</v>
      </c>
      <c r="Z350" s="7" t="s">
        <v>5855</v>
      </c>
      <c r="AA350" s="68">
        <f t="shared" si="5"/>
        <v>45412</v>
      </c>
      <c r="AB350" s="68">
        <f t="shared" si="6"/>
        <v>45413</v>
      </c>
      <c r="AC350" s="68">
        <f t="shared" si="7"/>
        <v>45443</v>
      </c>
      <c r="AD350" s="68">
        <f t="shared" si="8"/>
        <v>45442</v>
      </c>
      <c r="AE350" s="68">
        <f t="shared" si="9"/>
        <v>45443</v>
      </c>
    </row>
    <row r="351" spans="1:31" ht="12.5">
      <c r="A351" s="125">
        <v>610422030002</v>
      </c>
      <c r="B351" s="65" t="s">
        <v>167</v>
      </c>
      <c r="D351" s="10">
        <f t="array" aca="1" ref="D351" ca="1">INDEX('Mitra per Bulan'!$M$2:$M800,MATCH(S351,'Mitra per Bulan'!$B$2:$B800,0))</f>
        <v>1</v>
      </c>
      <c r="E351" s="10" t="str">
        <f t="array" ref="E351">INDEX('Database Mitra'!$A$2:$A800,MATCH(A351,'Database Mitra'!$B$2:$B800,0))</f>
        <v>Deti Erni Widiastuti</v>
      </c>
      <c r="F351" s="64" t="s">
        <v>25</v>
      </c>
      <c r="G351" s="5" t="str">
        <f t="array" ref="G351">INDEX('Database Mitra'!$G$2:$G800,MATCH(A351,'Database Mitra'!$B$2:$B800,0))</f>
        <v>6102016712860001</v>
      </c>
      <c r="H351" s="64" t="s">
        <v>67</v>
      </c>
      <c r="I351" s="65" t="s">
        <v>168</v>
      </c>
      <c r="J351" s="10" t="str">
        <f t="array" ref="J351">INDEX(Honor!$H$2:$H800,MATCH($I351,Honor!$A$2:$A800,0))</f>
        <v>Dokumen</v>
      </c>
      <c r="K351" s="66">
        <f t="array" ref="K351">INDEX(Honor!$I$2:$I800,MATCH($I351,Honor!$A$2:$A800,0))</f>
        <v>50000</v>
      </c>
      <c r="L351" s="64">
        <v>15</v>
      </c>
      <c r="M351" s="10">
        <f t="shared" si="0"/>
        <v>750000</v>
      </c>
      <c r="O351" s="67">
        <f t="array" ref="O351">INDEX(Honor!$L$2:$L800,MATCH($I351,Honor!$A$2:$A800,0))</f>
        <v>45463</v>
      </c>
      <c r="P351" s="10">
        <f t="shared" si="1"/>
        <v>2024</v>
      </c>
      <c r="Q351" s="10">
        <f t="shared" si="2"/>
        <v>6</v>
      </c>
      <c r="R351" s="10" t="str">
        <f t="array" ref="R351">INDEX(Honor!$Q$2:$Q800,MATCH($I351,Honor!$A$2:$A800,0))</f>
        <v>SURVEI-PPL</v>
      </c>
      <c r="S351" s="10" t="str">
        <f t="shared" si="3"/>
        <v>610422030002-2024-6</v>
      </c>
      <c r="T351" s="10" t="str">
        <f t="shared" si="4"/>
        <v>610422030002-2024-6-SURVEI-PPL</v>
      </c>
      <c r="U351" s="64">
        <v>1</v>
      </c>
      <c r="V351" s="10" t="e">
        <f t="array" aca="1" ref="V351" ca="1">INDEX(Honor!$O$2:$O800,MATCH($I351,Honor!$A$2:$A800,0))</f>
        <v>#NAME?</v>
      </c>
      <c r="W351" s="67"/>
      <c r="X351" s="7" t="str">
        <f t="array" ref="X351">INDEX('Input Kegiatan'!$B$2:$B800,MATCH(B351,'Input Kegiatan'!$A$2:$A800,0))</f>
        <v>Survei Harga Perdagangan Besar (SHPB24) Juni</v>
      </c>
      <c r="Y351" s="7" t="s">
        <v>3715</v>
      </c>
      <c r="Z351" s="7" t="s">
        <v>3716</v>
      </c>
      <c r="AA351" s="68">
        <f t="shared" si="5"/>
        <v>45443</v>
      </c>
      <c r="AB351" s="68">
        <f t="shared" si="6"/>
        <v>45444</v>
      </c>
      <c r="AC351" s="68">
        <f t="shared" si="7"/>
        <v>45473</v>
      </c>
      <c r="AD351" s="68">
        <f t="shared" si="8"/>
        <v>45472</v>
      </c>
      <c r="AE351" s="68">
        <f t="shared" si="9"/>
        <v>45473</v>
      </c>
    </row>
    <row r="352" spans="1:31" ht="12.5">
      <c r="A352" s="125">
        <v>610422100244</v>
      </c>
      <c r="B352" s="64" t="s">
        <v>169</v>
      </c>
      <c r="D352" s="10">
        <f t="array" aca="1" ref="D352" ca="1">INDEX('Mitra per Bulan'!$M$2:$M800,MATCH(S352,'Mitra per Bulan'!$B$2:$B800,0))</f>
        <v>1</v>
      </c>
      <c r="E352" s="10" t="str">
        <f t="array" ref="E352">INDEX('Database Mitra'!$A$2:$A800,MATCH(A352,'Database Mitra'!$B$2:$B800,0))</f>
        <v>Sugianto</v>
      </c>
      <c r="F352" s="64" t="s">
        <v>25</v>
      </c>
      <c r="G352" s="5" t="str">
        <f t="array" ref="G352">INDEX('Database Mitra'!$G$2:$G800,MATCH(A352,'Database Mitra'!$B$2:$B800,0))</f>
        <v>6102171003900002</v>
      </c>
      <c r="H352" s="64" t="s">
        <v>67</v>
      </c>
      <c r="I352" s="65" t="s">
        <v>170</v>
      </c>
      <c r="J352" s="10" t="str">
        <f t="array" ref="J352">INDEX(Honor!$H$2:$H800,MATCH($I352,Honor!$A$2:$A800,0))</f>
        <v>Dokumen</v>
      </c>
      <c r="K352" s="66">
        <f t="array" ref="K352">INDEX(Honor!$I$2:$I800,MATCH($I352,Honor!$A$2:$A800,0))</f>
        <v>50000</v>
      </c>
      <c r="L352" s="64">
        <v>1</v>
      </c>
      <c r="M352" s="10">
        <f t="shared" si="0"/>
        <v>50000</v>
      </c>
      <c r="O352" s="67">
        <f t="array" ref="O352">INDEX(Honor!$L$2:$L800,MATCH($I352,Honor!$A$2:$A800,0))</f>
        <v>45463</v>
      </c>
      <c r="P352" s="10">
        <f t="shared" si="1"/>
        <v>2024</v>
      </c>
      <c r="Q352" s="10">
        <f t="shared" si="2"/>
        <v>6</v>
      </c>
      <c r="R352" s="10" t="str">
        <f t="array" ref="R352">INDEX(Honor!$Q$2:$Q800,MATCH($I352,Honor!$A$2:$A800,0))</f>
        <v>SURVEI-PPL</v>
      </c>
      <c r="S352" s="10" t="str">
        <f t="shared" si="3"/>
        <v>610422100244-2024-6</v>
      </c>
      <c r="T352" s="10" t="str">
        <f t="shared" si="4"/>
        <v>610422100244-2024-6-SURVEI-PPL</v>
      </c>
      <c r="U352" s="64">
        <v>1</v>
      </c>
      <c r="V352" s="10" t="e">
        <f t="array" aca="1" ref="V352" ca="1">INDEX(Honor!$O$2:$O800,MATCH($I352,Honor!$A$2:$A800,0))</f>
        <v>#NAME?</v>
      </c>
      <c r="W352" s="67"/>
      <c r="X352" s="7" t="str">
        <f t="array" ref="X352">INDEX('Input Kegiatan'!$B$2:$B800,MATCH(B352,'Input Kegiatan'!$A$2:$A800,0))</f>
        <v>Survei Harga Produsen Gabah (HPG24) Juni</v>
      </c>
      <c r="Y352" s="7" t="s">
        <v>5741</v>
      </c>
      <c r="Z352" s="7" t="s">
        <v>5796</v>
      </c>
      <c r="AA352" s="68">
        <f t="shared" si="5"/>
        <v>45443</v>
      </c>
      <c r="AB352" s="68">
        <f t="shared" si="6"/>
        <v>45444</v>
      </c>
      <c r="AC352" s="68">
        <f t="shared" si="7"/>
        <v>45473</v>
      </c>
      <c r="AD352" s="68">
        <f t="shared" si="8"/>
        <v>45472</v>
      </c>
      <c r="AE352" s="68">
        <f t="shared" si="9"/>
        <v>45473</v>
      </c>
    </row>
    <row r="353" spans="1:31" ht="12.5">
      <c r="A353" s="125">
        <v>610422100124</v>
      </c>
      <c r="B353" s="64" t="s">
        <v>169</v>
      </c>
      <c r="D353" s="10">
        <f t="array" aca="1" ref="D353" ca="1">INDEX('Mitra per Bulan'!$M$2:$M800,MATCH(S353,'Mitra per Bulan'!$B$2:$B800,0))</f>
        <v>1</v>
      </c>
      <c r="E353" s="10" t="str">
        <f t="array" ref="E353">INDEX('Database Mitra'!$A$2:$A800,MATCH(A353,'Database Mitra'!$B$2:$B800,0))</f>
        <v>Prabowo</v>
      </c>
      <c r="F353" s="64" t="s">
        <v>25</v>
      </c>
      <c r="G353" s="5" t="str">
        <f t="array" ref="G353">INDEX('Database Mitra'!$G$2:$G800,MATCH(A353,'Database Mitra'!$B$2:$B800,0))</f>
        <v>6171010108790015</v>
      </c>
      <c r="H353" s="64" t="s">
        <v>67</v>
      </c>
      <c r="I353" s="65" t="s">
        <v>170</v>
      </c>
      <c r="J353" s="10" t="str">
        <f t="array" ref="J353">INDEX(Honor!$H$2:$H800,MATCH($I353,Honor!$A$2:$A800,0))</f>
        <v>Dokumen</v>
      </c>
      <c r="K353" s="66">
        <f t="array" ref="K353">INDEX(Honor!$I$2:$I800,MATCH($I353,Honor!$A$2:$A800,0))</f>
        <v>50000</v>
      </c>
      <c r="L353" s="64">
        <v>1</v>
      </c>
      <c r="M353" s="10">
        <f t="shared" si="0"/>
        <v>50000</v>
      </c>
      <c r="O353" s="67">
        <f t="array" ref="O353">INDEX(Honor!$L$2:$L800,MATCH($I353,Honor!$A$2:$A800,0))</f>
        <v>45463</v>
      </c>
      <c r="P353" s="10">
        <f t="shared" si="1"/>
        <v>2024</v>
      </c>
      <c r="Q353" s="10">
        <f t="shared" si="2"/>
        <v>6</v>
      </c>
      <c r="R353" s="10" t="str">
        <f t="array" ref="R353">INDEX(Honor!$Q$2:$Q800,MATCH($I353,Honor!$A$2:$A800,0))</f>
        <v>SURVEI-PPL</v>
      </c>
      <c r="S353" s="10" t="str">
        <f t="shared" si="3"/>
        <v>610422100124-2024-6</v>
      </c>
      <c r="T353" s="10" t="str">
        <f t="shared" si="4"/>
        <v>610422100124-2024-6-SURVEI-PPL</v>
      </c>
      <c r="U353" s="64">
        <v>1</v>
      </c>
      <c r="V353" s="10" t="e">
        <f t="array" aca="1" ref="V353" ca="1">INDEX(Honor!$O$2:$O800,MATCH($I353,Honor!$A$2:$A800,0))</f>
        <v>#NAME?</v>
      </c>
      <c r="W353" s="67"/>
      <c r="X353" s="7" t="str">
        <f t="array" ref="X353">INDEX('Input Kegiatan'!$B$2:$B800,MATCH(B353,'Input Kegiatan'!$A$2:$A800,0))</f>
        <v>Survei Harga Produsen Gabah (HPG24) Juni</v>
      </c>
      <c r="Y353" s="7" t="s">
        <v>1921</v>
      </c>
      <c r="Z353" s="7" t="s">
        <v>2140</v>
      </c>
      <c r="AA353" s="68">
        <f t="shared" si="5"/>
        <v>45443</v>
      </c>
      <c r="AB353" s="68">
        <f t="shared" si="6"/>
        <v>45444</v>
      </c>
      <c r="AC353" s="68">
        <f t="shared" si="7"/>
        <v>45473</v>
      </c>
      <c r="AD353" s="68">
        <f t="shared" si="8"/>
        <v>45472</v>
      </c>
      <c r="AE353" s="68">
        <f t="shared" si="9"/>
        <v>45473</v>
      </c>
    </row>
    <row r="354" spans="1:31" ht="12.5">
      <c r="A354" s="125">
        <v>610422050001</v>
      </c>
      <c r="B354" s="65" t="s">
        <v>171</v>
      </c>
      <c r="D354" s="5">
        <v>1</v>
      </c>
      <c r="E354" s="10" t="str">
        <f t="array" ref="E354">INDEX('Database Mitra'!$A$2:$A800,MATCH(A354,'Database Mitra'!$B$2:$B800,0))</f>
        <v>Evi Juniarty</v>
      </c>
      <c r="F354" s="64" t="s">
        <v>25</v>
      </c>
      <c r="G354" s="5" t="str">
        <f t="array" ref="G354">INDEX('Database Mitra'!$G$2:$G800,MATCH(A354,'Database Mitra'!$B$2:$B800,0))</f>
        <v>6102165101840001</v>
      </c>
      <c r="H354" s="64" t="s">
        <v>72</v>
      </c>
      <c r="I354" s="65" t="s">
        <v>172</v>
      </c>
      <c r="J354" s="10" t="str">
        <f t="array" ref="J354">INDEX(Honor!$H$2:$H800,MATCH($I354,Honor!$A$2:$A800,0))</f>
        <v>Dokumen</v>
      </c>
      <c r="K354" s="66">
        <f t="array" ref="K354">INDEX(Honor!$I$2:$I800,MATCH($I354,Honor!$A$2:$A800,0))</f>
        <v>65000</v>
      </c>
      <c r="L354" s="64">
        <v>3</v>
      </c>
      <c r="M354" s="10">
        <f t="shared" si="0"/>
        <v>195000</v>
      </c>
      <c r="O354" s="67">
        <f t="array" ref="O354">INDEX(Honor!$L$2:$L800,MATCH($I354,Honor!$A$2:$A800,0))</f>
        <v>45463</v>
      </c>
      <c r="P354" s="10">
        <f t="shared" si="1"/>
        <v>2024</v>
      </c>
      <c r="Q354" s="10">
        <f t="shared" si="2"/>
        <v>6</v>
      </c>
      <c r="R354" s="10" t="str">
        <f t="array" ref="R354">INDEX(Honor!$Q$2:$Q800,MATCH($I354,Honor!$A$2:$A800,0))</f>
        <v>SURVEI-PPL</v>
      </c>
      <c r="S354" s="10" t="str">
        <f t="shared" si="3"/>
        <v>610422050001-2024-6</v>
      </c>
      <c r="T354" s="10" t="str">
        <f t="shared" si="4"/>
        <v>610422050001-2024-6-SURVEI-PPL</v>
      </c>
      <c r="U354" s="64">
        <v>1</v>
      </c>
      <c r="V354" s="10" t="e">
        <f t="array" aca="1" ref="V354" ca="1">INDEX(Honor!$O$2:$O800,MATCH($I354,Honor!$A$2:$A800,0))</f>
        <v>#NAME?</v>
      </c>
      <c r="W354" s="67"/>
      <c r="X354" s="7" t="str">
        <f t="array" ref="X354">INDEX('Input Kegiatan'!$B$2:$B800,MATCH(B354,'Input Kegiatan'!$A$2:$A800,0))</f>
        <v>Survei Harga Perdesaan (SHPED24) Juni</v>
      </c>
      <c r="Y354" s="7" t="s">
        <v>4408</v>
      </c>
      <c r="Z354" s="7" t="s">
        <v>4409</v>
      </c>
      <c r="AA354" s="68">
        <f t="shared" si="5"/>
        <v>45443</v>
      </c>
      <c r="AB354" s="68">
        <f t="shared" si="6"/>
        <v>45444</v>
      </c>
      <c r="AC354" s="68">
        <f t="shared" si="7"/>
        <v>45473</v>
      </c>
      <c r="AD354" s="68">
        <f t="shared" si="8"/>
        <v>45472</v>
      </c>
      <c r="AE354" s="68">
        <f t="shared" si="9"/>
        <v>45473</v>
      </c>
    </row>
    <row r="355" spans="1:31" ht="12.5">
      <c r="A355" s="125">
        <v>610422020016</v>
      </c>
      <c r="B355" s="65" t="s">
        <v>171</v>
      </c>
      <c r="D355" s="10">
        <f t="array" aca="1" ref="D355" ca="1">INDEX('Mitra per Bulan'!$M$2:$M800,MATCH(S355,'Mitra per Bulan'!$B$2:$B800,0))</f>
        <v>1</v>
      </c>
      <c r="E355" s="10" t="str">
        <f t="array" ref="E355">INDEX('Database Mitra'!$A$2:$A800,MATCH(A355,'Database Mitra'!$B$2:$B800,0))</f>
        <v>Abdul Aziz</v>
      </c>
      <c r="F355" s="64" t="s">
        <v>25</v>
      </c>
      <c r="G355" s="5" t="str">
        <f t="array" ref="G355">INDEX('Database Mitra'!$G$2:$G800,MATCH(A355,'Database Mitra'!$B$2:$B800,0))</f>
        <v>6102061507950006</v>
      </c>
      <c r="H355" s="64" t="s">
        <v>72</v>
      </c>
      <c r="I355" s="65" t="s">
        <v>172</v>
      </c>
      <c r="J355" s="10" t="str">
        <f t="array" ref="J355">INDEX(Honor!$H$2:$H800,MATCH($I355,Honor!$A$2:$A800,0))</f>
        <v>Dokumen</v>
      </c>
      <c r="K355" s="66">
        <f t="array" ref="K355">INDEX(Honor!$I$2:$I800,MATCH($I355,Honor!$A$2:$A800,0))</f>
        <v>65000</v>
      </c>
      <c r="L355" s="64">
        <v>3</v>
      </c>
      <c r="M355" s="10">
        <f t="shared" si="0"/>
        <v>195000</v>
      </c>
      <c r="O355" s="67">
        <f t="array" ref="O355">INDEX(Honor!$L$2:$L800,MATCH($I355,Honor!$A$2:$A800,0))</f>
        <v>45463</v>
      </c>
      <c r="P355" s="10">
        <f t="shared" si="1"/>
        <v>2024</v>
      </c>
      <c r="Q355" s="10">
        <f t="shared" si="2"/>
        <v>6</v>
      </c>
      <c r="R355" s="10" t="str">
        <f t="array" ref="R355">INDEX(Honor!$Q$2:$Q800,MATCH($I355,Honor!$A$2:$A800,0))</f>
        <v>SURVEI-PPL</v>
      </c>
      <c r="S355" s="10" t="str">
        <f t="shared" si="3"/>
        <v>610422020016-2024-6</v>
      </c>
      <c r="T355" s="10" t="str">
        <f t="shared" si="4"/>
        <v>610422020016-2024-6-SURVEI-PPL</v>
      </c>
      <c r="U355" s="64">
        <v>1</v>
      </c>
      <c r="V355" s="10" t="e">
        <f t="array" aca="1" ref="V355" ca="1">INDEX(Honor!$O$2:$O800,MATCH($I355,Honor!$A$2:$A800,0))</f>
        <v>#NAME?</v>
      </c>
      <c r="W355" s="67"/>
      <c r="X355" s="7" t="str">
        <f t="array" ref="X355">INDEX('Input Kegiatan'!$B$2:$B800,MATCH(B355,'Input Kegiatan'!$A$2:$A800,0))</f>
        <v>Survei Harga Perdesaan (SHPED24) Juni</v>
      </c>
      <c r="Y355" s="7" t="s">
        <v>5534</v>
      </c>
      <c r="Z355" s="7" t="s">
        <v>5535</v>
      </c>
      <c r="AA355" s="68">
        <f t="shared" si="5"/>
        <v>45443</v>
      </c>
      <c r="AB355" s="68">
        <f t="shared" si="6"/>
        <v>45444</v>
      </c>
      <c r="AC355" s="68">
        <f t="shared" si="7"/>
        <v>45473</v>
      </c>
      <c r="AD355" s="68">
        <f t="shared" si="8"/>
        <v>45472</v>
      </c>
      <c r="AE355" s="68">
        <f t="shared" si="9"/>
        <v>45473</v>
      </c>
    </row>
    <row r="356" spans="1:31" ht="12.5">
      <c r="A356" s="125">
        <v>610422040030</v>
      </c>
      <c r="B356" s="65" t="s">
        <v>171</v>
      </c>
      <c r="D356" s="10">
        <f t="array" aca="1" ref="D356" ca="1">INDEX('Mitra per Bulan'!$M$2:$M800,MATCH(S356,'Mitra per Bulan'!$B$2:$B800,0))</f>
        <v>1</v>
      </c>
      <c r="E356" s="10" t="str">
        <f t="array" ref="E356">INDEX('Database Mitra'!$A$2:$A800,MATCH(A356,'Database Mitra'!$B$2:$B800,0))</f>
        <v>Syarifah Desti Pratiwi</v>
      </c>
      <c r="F356" s="64" t="s">
        <v>25</v>
      </c>
      <c r="G356" s="5" t="str">
        <f t="array" ref="G356">INDEX('Database Mitra'!$G$2:$G800,MATCH(A356,'Database Mitra'!$B$2:$B800,0))</f>
        <v>6102084512950002</v>
      </c>
      <c r="H356" s="64" t="s">
        <v>74</v>
      </c>
      <c r="I356" s="65" t="s">
        <v>173</v>
      </c>
      <c r="J356" s="10" t="str">
        <f t="array" ref="J356">INDEX(Honor!$H$2:$H800,MATCH($I356,Honor!$A$2:$A800,0))</f>
        <v>Dokumen</v>
      </c>
      <c r="K356" s="66">
        <f t="array" ref="K356">INDEX(Honor!$I$2:$I800,MATCH($I356,Honor!$A$2:$A800,0))</f>
        <v>55000</v>
      </c>
      <c r="L356" s="64">
        <v>1</v>
      </c>
      <c r="M356" s="10">
        <f t="shared" si="0"/>
        <v>55000</v>
      </c>
      <c r="O356" s="67">
        <f t="array" ref="O356">INDEX(Honor!$L$2:$L800,MATCH($I356,Honor!$A$2:$A800,0))</f>
        <v>45463</v>
      </c>
      <c r="P356" s="10">
        <f t="shared" si="1"/>
        <v>2024</v>
      </c>
      <c r="Q356" s="10">
        <f t="shared" si="2"/>
        <v>6</v>
      </c>
      <c r="R356" s="10" t="str">
        <f t="array" ref="R356">INDEX(Honor!$Q$2:$Q800,MATCH($I356,Honor!$A$2:$A800,0))</f>
        <v>SURVEI-PPL</v>
      </c>
      <c r="S356" s="10" t="str">
        <f t="shared" si="3"/>
        <v>610422040030-2024-6</v>
      </c>
      <c r="T356" s="10" t="str">
        <f t="shared" si="4"/>
        <v>610422040030-2024-6-SURVEI-PPL</v>
      </c>
      <c r="U356" s="64">
        <v>1</v>
      </c>
      <c r="V356" s="10" t="e">
        <f t="array" aca="1" ref="V356" ca="1">INDEX(Honor!$O$2:$O800,MATCH($I356,Honor!$A$2:$A800,0))</f>
        <v>#NAME?</v>
      </c>
      <c r="W356" s="67"/>
      <c r="X356" s="7" t="str">
        <f t="array" ref="X356">INDEX('Input Kegiatan'!$B$2:$B800,MATCH(B356,'Input Kegiatan'!$A$2:$A800,0))</f>
        <v>Survei Harga Perdesaan (SHPED24) Juni</v>
      </c>
      <c r="Y356" s="7" t="s">
        <v>3241</v>
      </c>
      <c r="Z356" s="7" t="s">
        <v>3289</v>
      </c>
      <c r="AA356" s="68">
        <f t="shared" si="5"/>
        <v>45443</v>
      </c>
      <c r="AB356" s="68">
        <f t="shared" si="6"/>
        <v>45444</v>
      </c>
      <c r="AC356" s="68">
        <f t="shared" si="7"/>
        <v>45473</v>
      </c>
      <c r="AD356" s="68">
        <f t="shared" si="8"/>
        <v>45472</v>
      </c>
      <c r="AE356" s="68">
        <f t="shared" si="9"/>
        <v>45473</v>
      </c>
    </row>
    <row r="357" spans="1:31" ht="12.5">
      <c r="A357" s="125">
        <v>610422100124</v>
      </c>
      <c r="B357" s="65" t="s">
        <v>171</v>
      </c>
      <c r="D357" s="10">
        <f t="array" aca="1" ref="D357" ca="1">INDEX('Mitra per Bulan'!$M$2:$M800,MATCH(S357,'Mitra per Bulan'!$B$2:$B800,0))</f>
        <v>1</v>
      </c>
      <c r="E357" s="10" t="str">
        <f t="array" ref="E357">INDEX('Database Mitra'!$A$2:$A800,MATCH(A357,'Database Mitra'!$B$2:$B800,0))</f>
        <v>Prabowo</v>
      </c>
      <c r="F357" s="64" t="s">
        <v>25</v>
      </c>
      <c r="G357" s="5" t="str">
        <f t="array" ref="G357">INDEX('Database Mitra'!$G$2:$G800,MATCH(A357,'Database Mitra'!$B$2:$B800,0))</f>
        <v>6171010108790015</v>
      </c>
      <c r="H357" s="64" t="s">
        <v>74</v>
      </c>
      <c r="I357" s="65" t="s">
        <v>173</v>
      </c>
      <c r="J357" s="10" t="str">
        <f t="array" ref="J357">INDEX(Honor!$H$2:$H800,MATCH($I357,Honor!$A$2:$A800,0))</f>
        <v>Dokumen</v>
      </c>
      <c r="K357" s="66">
        <f t="array" ref="K357">INDEX(Honor!$I$2:$I800,MATCH($I357,Honor!$A$2:$A800,0))</f>
        <v>55000</v>
      </c>
      <c r="L357" s="64">
        <v>3</v>
      </c>
      <c r="M357" s="10">
        <f t="shared" si="0"/>
        <v>165000</v>
      </c>
      <c r="O357" s="67">
        <f t="array" ref="O357">INDEX(Honor!$L$2:$L800,MATCH($I357,Honor!$A$2:$A800,0))</f>
        <v>45463</v>
      </c>
      <c r="P357" s="10">
        <f t="shared" si="1"/>
        <v>2024</v>
      </c>
      <c r="Q357" s="10">
        <f t="shared" si="2"/>
        <v>6</v>
      </c>
      <c r="R357" s="10" t="str">
        <f t="array" ref="R357">INDEX(Honor!$Q$2:$Q800,MATCH($I357,Honor!$A$2:$A800,0))</f>
        <v>SURVEI-PPL</v>
      </c>
      <c r="S357" s="10" t="str">
        <f t="shared" si="3"/>
        <v>610422100124-2024-6</v>
      </c>
      <c r="T357" s="10" t="str">
        <f t="shared" si="4"/>
        <v>610422100124-2024-6-SURVEI-PPL</v>
      </c>
      <c r="U357" s="64">
        <v>1</v>
      </c>
      <c r="V357" s="10" t="e">
        <f t="array" aca="1" ref="V357" ca="1">INDEX(Honor!$O$2:$O800,MATCH($I357,Honor!$A$2:$A800,0))</f>
        <v>#NAME?</v>
      </c>
      <c r="W357" s="67"/>
      <c r="X357" s="7" t="str">
        <f t="array" ref="X357">INDEX('Input Kegiatan'!$B$2:$B800,MATCH(B357,'Input Kegiatan'!$A$2:$A800,0))</f>
        <v>Survei Harga Perdesaan (SHPED24) Juni</v>
      </c>
      <c r="Y357" s="7" t="s">
        <v>1921</v>
      </c>
      <c r="Z357" s="7" t="s">
        <v>2140</v>
      </c>
      <c r="AA357" s="68">
        <f t="shared" si="5"/>
        <v>45443</v>
      </c>
      <c r="AB357" s="68">
        <f t="shared" si="6"/>
        <v>45444</v>
      </c>
      <c r="AC357" s="68">
        <f t="shared" si="7"/>
        <v>45473</v>
      </c>
      <c r="AD357" s="68">
        <f t="shared" si="8"/>
        <v>45472</v>
      </c>
      <c r="AE357" s="68">
        <f t="shared" si="9"/>
        <v>45473</v>
      </c>
    </row>
    <row r="358" spans="1:31" ht="12.5">
      <c r="A358" s="125">
        <v>610422100244</v>
      </c>
      <c r="B358" s="65" t="s">
        <v>171</v>
      </c>
      <c r="D358" s="10">
        <f t="array" aca="1" ref="D358" ca="1">INDEX('Mitra per Bulan'!$M$2:$M800,MATCH(S358,'Mitra per Bulan'!$B$2:$B800,0))</f>
        <v>1</v>
      </c>
      <c r="E358" s="10" t="str">
        <f t="array" ref="E358">INDEX('Database Mitra'!$A$2:$A800,MATCH(A358,'Database Mitra'!$B$2:$B800,0))</f>
        <v>Sugianto</v>
      </c>
      <c r="F358" s="64" t="s">
        <v>25</v>
      </c>
      <c r="G358" s="5" t="str">
        <f t="array" ref="G358">INDEX('Database Mitra'!$G$2:$G800,MATCH(A358,'Database Mitra'!$B$2:$B800,0))</f>
        <v>6102171003900002</v>
      </c>
      <c r="H358" s="64" t="s">
        <v>74</v>
      </c>
      <c r="I358" s="65" t="s">
        <v>173</v>
      </c>
      <c r="J358" s="10" t="str">
        <f t="array" ref="J358">INDEX(Honor!$H$2:$H800,MATCH($I358,Honor!$A$2:$A800,0))</f>
        <v>Dokumen</v>
      </c>
      <c r="K358" s="66">
        <f t="array" ref="K358">INDEX(Honor!$I$2:$I800,MATCH($I358,Honor!$A$2:$A800,0))</f>
        <v>55000</v>
      </c>
      <c r="L358" s="64">
        <v>2</v>
      </c>
      <c r="M358" s="10">
        <f t="shared" si="0"/>
        <v>110000</v>
      </c>
      <c r="O358" s="67">
        <f t="array" ref="O358">INDEX(Honor!$L$2:$L800,MATCH($I358,Honor!$A$2:$A800,0))</f>
        <v>45463</v>
      </c>
      <c r="P358" s="10">
        <f t="shared" si="1"/>
        <v>2024</v>
      </c>
      <c r="Q358" s="10">
        <f t="shared" si="2"/>
        <v>6</v>
      </c>
      <c r="R358" s="10" t="str">
        <f t="array" ref="R358">INDEX(Honor!$Q$2:$Q800,MATCH($I358,Honor!$A$2:$A800,0))</f>
        <v>SURVEI-PPL</v>
      </c>
      <c r="S358" s="10" t="str">
        <f t="shared" si="3"/>
        <v>610422100244-2024-6</v>
      </c>
      <c r="T358" s="10" t="str">
        <f t="shared" si="4"/>
        <v>610422100244-2024-6-SURVEI-PPL</v>
      </c>
      <c r="U358" s="64">
        <v>1</v>
      </c>
      <c r="V358" s="10" t="e">
        <f t="array" aca="1" ref="V358" ca="1">INDEX(Honor!$O$2:$O800,MATCH($I358,Honor!$A$2:$A800,0))</f>
        <v>#NAME?</v>
      </c>
      <c r="W358" s="67"/>
      <c r="X358" s="7" t="str">
        <f t="array" ref="X358">INDEX('Input Kegiatan'!$B$2:$B800,MATCH(B358,'Input Kegiatan'!$A$2:$A800,0))</f>
        <v>Survei Harga Perdesaan (SHPED24) Juni</v>
      </c>
      <c r="Y358" s="7" t="s">
        <v>5741</v>
      </c>
      <c r="Z358" s="7" t="s">
        <v>5796</v>
      </c>
      <c r="AA358" s="68">
        <f t="shared" si="5"/>
        <v>45443</v>
      </c>
      <c r="AB358" s="68">
        <f t="shared" si="6"/>
        <v>45444</v>
      </c>
      <c r="AC358" s="68">
        <f t="shared" si="7"/>
        <v>45473</v>
      </c>
      <c r="AD358" s="68">
        <f t="shared" si="8"/>
        <v>45472</v>
      </c>
      <c r="AE358" s="68">
        <f t="shared" si="9"/>
        <v>45473</v>
      </c>
    </row>
    <row r="359" spans="1:31" ht="12.5">
      <c r="A359" s="125">
        <v>610422020016</v>
      </c>
      <c r="B359" s="65" t="s">
        <v>171</v>
      </c>
      <c r="D359" s="10">
        <f t="array" aca="1" ref="D359" ca="1">INDEX('Mitra per Bulan'!$M$2:$M800,MATCH(S359,'Mitra per Bulan'!$B$2:$B800,0))</f>
        <v>1</v>
      </c>
      <c r="E359" s="10" t="str">
        <f t="array" ref="E359">INDEX('Database Mitra'!$A$2:$A800,MATCH(A359,'Database Mitra'!$B$2:$B800,0))</f>
        <v>Abdul Aziz</v>
      </c>
      <c r="F359" s="64" t="s">
        <v>25</v>
      </c>
      <c r="G359" s="5" t="str">
        <f t="array" ref="G359">INDEX('Database Mitra'!$G$2:$G800,MATCH(A359,'Database Mitra'!$B$2:$B800,0))</f>
        <v>6102061507950006</v>
      </c>
      <c r="H359" s="64" t="s">
        <v>74</v>
      </c>
      <c r="I359" s="65" t="s">
        <v>173</v>
      </c>
      <c r="J359" s="10" t="str">
        <f t="array" ref="J359">INDEX(Honor!$H$2:$H800,MATCH($I359,Honor!$A$2:$A800,0))</f>
        <v>Dokumen</v>
      </c>
      <c r="K359" s="66">
        <f t="array" ref="K359">INDEX(Honor!$I$2:$I800,MATCH($I359,Honor!$A$2:$A800,0))</f>
        <v>55000</v>
      </c>
      <c r="L359" s="64">
        <v>3</v>
      </c>
      <c r="M359" s="10">
        <f t="shared" si="0"/>
        <v>165000</v>
      </c>
      <c r="O359" s="67">
        <f t="array" ref="O359">INDEX(Honor!$L$2:$L800,MATCH($I359,Honor!$A$2:$A800,0))</f>
        <v>45463</v>
      </c>
      <c r="P359" s="10">
        <f t="shared" si="1"/>
        <v>2024</v>
      </c>
      <c r="Q359" s="10">
        <f t="shared" si="2"/>
        <v>6</v>
      </c>
      <c r="R359" s="10" t="str">
        <f t="array" ref="R359">INDEX(Honor!$Q$2:$Q800,MATCH($I359,Honor!$A$2:$A800,0))</f>
        <v>SURVEI-PPL</v>
      </c>
      <c r="S359" s="10" t="str">
        <f t="shared" si="3"/>
        <v>610422020016-2024-6</v>
      </c>
      <c r="T359" s="10" t="str">
        <f t="shared" si="4"/>
        <v>610422020016-2024-6-SURVEI-PPL</v>
      </c>
      <c r="U359" s="64">
        <v>1</v>
      </c>
      <c r="V359" s="10" t="e">
        <f t="array" aca="1" ref="V359" ca="1">INDEX(Honor!$O$2:$O800,MATCH($I359,Honor!$A$2:$A800,0))</f>
        <v>#NAME?</v>
      </c>
      <c r="W359" s="67"/>
      <c r="X359" s="7" t="str">
        <f t="array" ref="X359">INDEX('Input Kegiatan'!$B$2:$B800,MATCH(B359,'Input Kegiatan'!$A$2:$A800,0))</f>
        <v>Survei Harga Perdesaan (SHPED24) Juni</v>
      </c>
      <c r="Y359" s="7" t="s">
        <v>5534</v>
      </c>
      <c r="Z359" s="7" t="s">
        <v>5535</v>
      </c>
      <c r="AA359" s="68">
        <f t="shared" si="5"/>
        <v>45443</v>
      </c>
      <c r="AB359" s="68">
        <f t="shared" si="6"/>
        <v>45444</v>
      </c>
      <c r="AC359" s="68">
        <f t="shared" si="7"/>
        <v>45473</v>
      </c>
      <c r="AD359" s="68">
        <f t="shared" si="8"/>
        <v>45472</v>
      </c>
      <c r="AE359" s="68">
        <f t="shared" si="9"/>
        <v>45473</v>
      </c>
    </row>
    <row r="360" spans="1:31" ht="12.5">
      <c r="A360" s="125">
        <v>610422050001</v>
      </c>
      <c r="B360" s="65" t="s">
        <v>171</v>
      </c>
      <c r="D360" s="5">
        <v>1</v>
      </c>
      <c r="E360" s="10" t="str">
        <f t="array" ref="E360">INDEX('Database Mitra'!$A$2:$A800,MATCH(A360,'Database Mitra'!$B$2:$B800,0))</f>
        <v>Evi Juniarty</v>
      </c>
      <c r="F360" s="64" t="s">
        <v>25</v>
      </c>
      <c r="G360" s="5" t="str">
        <f t="array" ref="G360">INDEX('Database Mitra'!$G$2:$G800,MATCH(A360,'Database Mitra'!$B$2:$B800,0))</f>
        <v>6102165101840001</v>
      </c>
      <c r="H360" s="64" t="s">
        <v>74</v>
      </c>
      <c r="I360" s="65" t="s">
        <v>173</v>
      </c>
      <c r="J360" s="10" t="str">
        <f t="array" ref="J360">INDEX(Honor!$H$2:$H800,MATCH($I360,Honor!$A$2:$A800,0))</f>
        <v>Dokumen</v>
      </c>
      <c r="K360" s="66">
        <f t="array" ref="K360">INDEX(Honor!$I$2:$I800,MATCH($I360,Honor!$A$2:$A800,0))</f>
        <v>55000</v>
      </c>
      <c r="L360" s="64">
        <v>1</v>
      </c>
      <c r="M360" s="10">
        <f t="shared" si="0"/>
        <v>55000</v>
      </c>
      <c r="O360" s="67">
        <f t="array" ref="O360">INDEX(Honor!$L$2:$L800,MATCH($I360,Honor!$A$2:$A800,0))</f>
        <v>45463</v>
      </c>
      <c r="P360" s="10">
        <f t="shared" si="1"/>
        <v>2024</v>
      </c>
      <c r="Q360" s="10">
        <f t="shared" si="2"/>
        <v>6</v>
      </c>
      <c r="R360" s="10" t="str">
        <f t="array" ref="R360">INDEX(Honor!$Q$2:$Q800,MATCH($I360,Honor!$A$2:$A800,0))</f>
        <v>SURVEI-PPL</v>
      </c>
      <c r="S360" s="10" t="str">
        <f t="shared" si="3"/>
        <v>610422050001-2024-6</v>
      </c>
      <c r="T360" s="10" t="str">
        <f t="shared" si="4"/>
        <v>610422050001-2024-6-SURVEI-PPL</v>
      </c>
      <c r="U360" s="64">
        <v>1</v>
      </c>
      <c r="V360" s="10" t="e">
        <f t="array" aca="1" ref="V360" ca="1">INDEX(Honor!$O$2:$O800,MATCH($I360,Honor!$A$2:$A800,0))</f>
        <v>#NAME?</v>
      </c>
      <c r="W360" s="67"/>
      <c r="X360" s="7" t="str">
        <f t="array" ref="X360">INDEX('Input Kegiatan'!$B$2:$B800,MATCH(B360,'Input Kegiatan'!$A$2:$A800,0))</f>
        <v>Survei Harga Perdesaan (SHPED24) Juni</v>
      </c>
      <c r="Y360" s="7" t="s">
        <v>4408</v>
      </c>
      <c r="Z360" s="7" t="s">
        <v>4409</v>
      </c>
      <c r="AA360" s="68">
        <f t="shared" si="5"/>
        <v>45443</v>
      </c>
      <c r="AB360" s="68">
        <f t="shared" si="6"/>
        <v>45444</v>
      </c>
      <c r="AC360" s="68">
        <f t="shared" si="7"/>
        <v>45473</v>
      </c>
      <c r="AD360" s="68">
        <f t="shared" si="8"/>
        <v>45472</v>
      </c>
      <c r="AE360" s="68">
        <f t="shared" si="9"/>
        <v>45473</v>
      </c>
    </row>
    <row r="361" spans="1:31" ht="12.5">
      <c r="A361" s="125">
        <v>610422020048</v>
      </c>
      <c r="B361" s="65" t="s">
        <v>171</v>
      </c>
      <c r="D361" s="10">
        <f t="array" aca="1" ref="D361" ca="1">INDEX('Mitra per Bulan'!$M$2:$M800,MATCH(S361,'Mitra per Bulan'!$B$2:$B800,0))</f>
        <v>1</v>
      </c>
      <c r="E361" s="10" t="str">
        <f t="array" ref="E361">INDEX('Database Mitra'!$A$2:$A800,MATCH(A361,'Database Mitra'!$B$2:$B800,0))</f>
        <v>Herri Gustaman</v>
      </c>
      <c r="F361" s="64" t="s">
        <v>25</v>
      </c>
      <c r="G361" s="5" t="str">
        <f t="array" ref="G361">INDEX('Database Mitra'!$G$2:$G800,MATCH(A361,'Database Mitra'!$B$2:$B800,0))</f>
        <v>6102072503800001</v>
      </c>
      <c r="H361" s="64" t="s">
        <v>74</v>
      </c>
      <c r="I361" s="65" t="s">
        <v>173</v>
      </c>
      <c r="J361" s="10" t="str">
        <f t="array" ref="J361">INDEX(Honor!$H$2:$H800,MATCH($I361,Honor!$A$2:$A800,0))</f>
        <v>Dokumen</v>
      </c>
      <c r="K361" s="66">
        <f t="array" ref="K361">INDEX(Honor!$I$2:$I800,MATCH($I361,Honor!$A$2:$A800,0))</f>
        <v>55000</v>
      </c>
      <c r="L361" s="64">
        <v>3</v>
      </c>
      <c r="M361" s="10">
        <f t="shared" si="0"/>
        <v>165000</v>
      </c>
      <c r="O361" s="67">
        <f t="array" ref="O361">INDEX(Honor!$L$2:$L800,MATCH($I361,Honor!$A$2:$A800,0))</f>
        <v>45463</v>
      </c>
      <c r="P361" s="10">
        <f t="shared" si="1"/>
        <v>2024</v>
      </c>
      <c r="Q361" s="10">
        <f t="shared" si="2"/>
        <v>6</v>
      </c>
      <c r="R361" s="10" t="str">
        <f t="array" ref="R361">INDEX(Honor!$Q$2:$Q800,MATCH($I361,Honor!$A$2:$A800,0))</f>
        <v>SURVEI-PPL</v>
      </c>
      <c r="S361" s="10" t="str">
        <f t="shared" si="3"/>
        <v>610422020048-2024-6</v>
      </c>
      <c r="T361" s="10" t="str">
        <f t="shared" si="4"/>
        <v>610422020048-2024-6-SURVEI-PPL</v>
      </c>
      <c r="U361" s="64">
        <v>1</v>
      </c>
      <c r="V361" s="10" t="e">
        <f t="array" aca="1" ref="V361" ca="1">INDEX(Honor!$O$2:$O800,MATCH($I361,Honor!$A$2:$A800,0))</f>
        <v>#NAME?</v>
      </c>
      <c r="W361" s="67"/>
      <c r="X361" s="7" t="str">
        <f t="array" ref="X361">INDEX('Input Kegiatan'!$B$2:$B800,MATCH(B361,'Input Kegiatan'!$A$2:$A800,0))</f>
        <v>Survei Harga Perdesaan (SHPED24) Juni</v>
      </c>
      <c r="Y361" s="7" t="s">
        <v>4931</v>
      </c>
      <c r="Z361" s="7" t="s">
        <v>5171</v>
      </c>
      <c r="AA361" s="68">
        <f t="shared" si="5"/>
        <v>45443</v>
      </c>
      <c r="AB361" s="68">
        <f t="shared" si="6"/>
        <v>45444</v>
      </c>
      <c r="AC361" s="68">
        <f t="shared" si="7"/>
        <v>45473</v>
      </c>
      <c r="AD361" s="68">
        <f t="shared" si="8"/>
        <v>45472</v>
      </c>
      <c r="AE361" s="68">
        <f t="shared" si="9"/>
        <v>45473</v>
      </c>
    </row>
    <row r="362" spans="1:31" ht="12.5">
      <c r="A362" s="125">
        <v>610422040029</v>
      </c>
      <c r="B362" s="65" t="s">
        <v>171</v>
      </c>
      <c r="D362" s="10">
        <f t="array" aca="1" ref="D362" ca="1">INDEX('Mitra per Bulan'!$M$2:$M800,MATCH(S362,'Mitra per Bulan'!$B$2:$B800,0))</f>
        <v>1</v>
      </c>
      <c r="E362" s="10" t="str">
        <f t="array" ref="E362">INDEX('Database Mitra'!$A$2:$A800,MATCH(A362,'Database Mitra'!$B$2:$B800,0))</f>
        <v>Zaini</v>
      </c>
      <c r="F362" s="64" t="s">
        <v>25</v>
      </c>
      <c r="G362" s="5" t="str">
        <f t="array" ref="G362">INDEX('Database Mitra'!$G$2:$G800,MATCH(A362,'Database Mitra'!$B$2:$B800,0))</f>
        <v>6102010607870002</v>
      </c>
      <c r="H362" s="64" t="s">
        <v>74</v>
      </c>
      <c r="I362" s="65" t="s">
        <v>173</v>
      </c>
      <c r="J362" s="10" t="str">
        <f t="array" ref="J362">INDEX(Honor!$H$2:$H800,MATCH($I362,Honor!$A$2:$A800,0))</f>
        <v>Dokumen</v>
      </c>
      <c r="K362" s="66">
        <f t="array" ref="K362">INDEX(Honor!$I$2:$I800,MATCH($I362,Honor!$A$2:$A800,0))</f>
        <v>55000</v>
      </c>
      <c r="L362" s="64">
        <v>4</v>
      </c>
      <c r="M362" s="10">
        <f t="shared" si="0"/>
        <v>220000</v>
      </c>
      <c r="O362" s="67">
        <f t="array" ref="O362">INDEX(Honor!$L$2:$L800,MATCH($I362,Honor!$A$2:$A800,0))</f>
        <v>45463</v>
      </c>
      <c r="P362" s="10">
        <f t="shared" si="1"/>
        <v>2024</v>
      </c>
      <c r="Q362" s="10">
        <f t="shared" si="2"/>
        <v>6</v>
      </c>
      <c r="R362" s="10" t="str">
        <f t="array" ref="R362">INDEX(Honor!$Q$2:$Q800,MATCH($I362,Honor!$A$2:$A800,0))</f>
        <v>SURVEI-PPL</v>
      </c>
      <c r="S362" s="10" t="str">
        <f t="shared" si="3"/>
        <v>610422040029-2024-6</v>
      </c>
      <c r="T362" s="10" t="str">
        <f t="shared" si="4"/>
        <v>610422040029-2024-6-SURVEI-PPL</v>
      </c>
      <c r="U362" s="64">
        <v>1</v>
      </c>
      <c r="V362" s="10" t="e">
        <f t="array" aca="1" ref="V362" ca="1">INDEX(Honor!$O$2:$O800,MATCH($I362,Honor!$A$2:$A800,0))</f>
        <v>#NAME?</v>
      </c>
      <c r="W362" s="67"/>
      <c r="X362" s="7" t="str">
        <f t="array" ref="X362">INDEX('Input Kegiatan'!$B$2:$B800,MATCH(B362,'Input Kegiatan'!$A$2:$A800,0))</f>
        <v>Survei Harga Perdesaan (SHPED24) Juni</v>
      </c>
      <c r="Y362" s="7" t="s">
        <v>4572</v>
      </c>
      <c r="Z362" s="7" t="s">
        <v>4619</v>
      </c>
      <c r="AA362" s="68">
        <f t="shared" si="5"/>
        <v>45443</v>
      </c>
      <c r="AB362" s="68">
        <f t="shared" si="6"/>
        <v>45444</v>
      </c>
      <c r="AC362" s="68">
        <f t="shared" si="7"/>
        <v>45473</v>
      </c>
      <c r="AD362" s="68">
        <f t="shared" si="8"/>
        <v>45472</v>
      </c>
      <c r="AE362" s="68">
        <f t="shared" si="9"/>
        <v>45473</v>
      </c>
    </row>
    <row r="363" spans="1:31" ht="12.5">
      <c r="A363" s="125">
        <v>610422020016</v>
      </c>
      <c r="B363" s="65" t="s">
        <v>171</v>
      </c>
      <c r="D363" s="10">
        <f t="array" aca="1" ref="D363" ca="1">INDEX('Mitra per Bulan'!$M$2:$M800,MATCH(S363,'Mitra per Bulan'!$B$2:$B800,0))</f>
        <v>1</v>
      </c>
      <c r="E363" s="10" t="str">
        <f t="array" ref="E363">INDEX('Database Mitra'!$A$2:$A800,MATCH(A363,'Database Mitra'!$B$2:$B800,0))</f>
        <v>Abdul Aziz</v>
      </c>
      <c r="F363" s="64" t="s">
        <v>25</v>
      </c>
      <c r="G363" s="5" t="str">
        <f t="array" ref="G363">INDEX('Database Mitra'!$G$2:$G800,MATCH(A363,'Database Mitra'!$B$2:$B800,0))</f>
        <v>6102061507950006</v>
      </c>
      <c r="H363" s="64" t="s">
        <v>74</v>
      </c>
      <c r="I363" s="65" t="s">
        <v>173</v>
      </c>
      <c r="J363" s="10" t="str">
        <f t="array" ref="J363">INDEX(Honor!$H$2:$H800,MATCH($I363,Honor!$A$2:$A800,0))</f>
        <v>Dokumen</v>
      </c>
      <c r="K363" s="66">
        <f t="array" ref="K363">INDEX(Honor!$I$2:$I800,MATCH($I363,Honor!$A$2:$A800,0))</f>
        <v>55000</v>
      </c>
      <c r="L363" s="64">
        <v>1</v>
      </c>
      <c r="M363" s="10">
        <f t="shared" si="0"/>
        <v>55000</v>
      </c>
      <c r="O363" s="67">
        <f t="array" ref="O363">INDEX(Honor!$L$2:$L800,MATCH($I363,Honor!$A$2:$A800,0))</f>
        <v>45463</v>
      </c>
      <c r="P363" s="10">
        <f t="shared" si="1"/>
        <v>2024</v>
      </c>
      <c r="Q363" s="10">
        <f t="shared" si="2"/>
        <v>6</v>
      </c>
      <c r="R363" s="10" t="str">
        <f t="array" ref="R363">INDEX(Honor!$Q$2:$Q800,MATCH($I363,Honor!$A$2:$A800,0))</f>
        <v>SURVEI-PPL</v>
      </c>
      <c r="S363" s="10" t="str">
        <f t="shared" si="3"/>
        <v>610422020016-2024-6</v>
      </c>
      <c r="T363" s="10" t="str">
        <f t="shared" si="4"/>
        <v>610422020016-2024-6-SURVEI-PPL</v>
      </c>
      <c r="U363" s="64">
        <v>1</v>
      </c>
      <c r="V363" s="10" t="e">
        <f t="array" aca="1" ref="V363" ca="1">INDEX(Honor!$O$2:$O800,MATCH($I363,Honor!$A$2:$A800,0))</f>
        <v>#NAME?</v>
      </c>
      <c r="W363" s="67"/>
      <c r="X363" s="7" t="str">
        <f t="array" ref="X363">INDEX('Input Kegiatan'!$B$2:$B800,MATCH(B363,'Input Kegiatan'!$A$2:$A800,0))</f>
        <v>Survei Harga Perdesaan (SHPED24) Juni</v>
      </c>
      <c r="Y363" s="7" t="s">
        <v>5534</v>
      </c>
      <c r="Z363" s="7" t="s">
        <v>5535</v>
      </c>
      <c r="AA363" s="68">
        <f t="shared" si="5"/>
        <v>45443</v>
      </c>
      <c r="AB363" s="68">
        <f t="shared" si="6"/>
        <v>45444</v>
      </c>
      <c r="AC363" s="68">
        <f t="shared" si="7"/>
        <v>45473</v>
      </c>
      <c r="AD363" s="68">
        <f t="shared" si="8"/>
        <v>45472</v>
      </c>
      <c r="AE363" s="68">
        <f t="shared" si="9"/>
        <v>45473</v>
      </c>
    </row>
    <row r="364" spans="1:31" ht="12.5">
      <c r="A364" s="125">
        <v>610422100124</v>
      </c>
      <c r="B364" s="65" t="s">
        <v>174</v>
      </c>
      <c r="D364" s="10">
        <f t="array" aca="1" ref="D364" ca="1">INDEX('Mitra per Bulan'!$M$2:$M800,MATCH(S364,'Mitra per Bulan'!$B$2:$B800,0))</f>
        <v>1</v>
      </c>
      <c r="E364" s="10" t="str">
        <f t="array" ref="E364">INDEX('Database Mitra'!$A$2:$A800,MATCH(A364,'Database Mitra'!$B$2:$B800,0))</f>
        <v>Prabowo</v>
      </c>
      <c r="F364" s="64" t="s">
        <v>25</v>
      </c>
      <c r="G364" s="5" t="str">
        <f t="array" ref="G364">INDEX('Database Mitra'!$G$2:$G800,MATCH(A364,'Database Mitra'!$B$2:$B800,0))</f>
        <v>6171010108790015</v>
      </c>
      <c r="H364" s="64" t="s">
        <v>67</v>
      </c>
      <c r="I364" s="65" t="s">
        <v>175</v>
      </c>
      <c r="J364" s="10" t="str">
        <f t="array" ref="J364">INDEX(Honor!$H$2:$H800,MATCH($I364,Honor!$A$2:$A800,0))</f>
        <v>Dokumen</v>
      </c>
      <c r="K364" s="66">
        <f t="array" ref="K364">INDEX(Honor!$I$2:$I800,MATCH($I364,Honor!$A$2:$A800,0))</f>
        <v>55000</v>
      </c>
      <c r="L364" s="64">
        <v>2</v>
      </c>
      <c r="M364" s="10">
        <f t="shared" si="0"/>
        <v>110000</v>
      </c>
      <c r="O364" s="67">
        <f t="array" ref="O364">INDEX(Honor!$L$2:$L800,MATCH($I364,Honor!$A$2:$A800,0))</f>
        <v>45463</v>
      </c>
      <c r="P364" s="10">
        <f t="shared" si="1"/>
        <v>2024</v>
      </c>
      <c r="Q364" s="10">
        <f t="shared" si="2"/>
        <v>6</v>
      </c>
      <c r="R364" s="10" t="str">
        <f t="array" ref="R364">INDEX(Honor!$Q$2:$Q800,MATCH($I364,Honor!$A$2:$A800,0))</f>
        <v>SURVEI-PPL</v>
      </c>
      <c r="S364" s="10" t="str">
        <f t="shared" si="3"/>
        <v>610422100124-2024-6</v>
      </c>
      <c r="T364" s="10" t="str">
        <f t="shared" si="4"/>
        <v>610422100124-2024-6-SURVEI-PPL</v>
      </c>
      <c r="U364" s="64">
        <v>1</v>
      </c>
      <c r="V364" s="10" t="e">
        <f t="array" aca="1" ref="V364" ca="1">INDEX(Honor!$O$2:$O800,MATCH($I364,Honor!$A$2:$A800,0))</f>
        <v>#NAME?</v>
      </c>
      <c r="W364" s="67"/>
      <c r="X364" s="7" t="str">
        <f t="array" ref="X364">INDEX('Input Kegiatan'!$B$2:$B800,MATCH(B364,'Input Kegiatan'!$A$2:$A800,0))</f>
        <v>Survei Harga Produsen Beras di Penggilingan 2024 (HPBG24) Juni</v>
      </c>
      <c r="Y364" s="7" t="s">
        <v>1921</v>
      </c>
      <c r="Z364" s="7" t="s">
        <v>2140</v>
      </c>
      <c r="AA364" s="68">
        <f t="shared" si="5"/>
        <v>45443</v>
      </c>
      <c r="AB364" s="68">
        <f t="shared" si="6"/>
        <v>45444</v>
      </c>
      <c r="AC364" s="68">
        <f t="shared" si="7"/>
        <v>45473</v>
      </c>
      <c r="AD364" s="68">
        <f t="shared" si="8"/>
        <v>45472</v>
      </c>
      <c r="AE364" s="68">
        <f t="shared" si="9"/>
        <v>45473</v>
      </c>
    </row>
    <row r="365" spans="1:31" ht="12.5">
      <c r="A365" s="125">
        <v>610422100244</v>
      </c>
      <c r="B365" s="65" t="s">
        <v>174</v>
      </c>
      <c r="D365" s="10">
        <f t="array" aca="1" ref="D365" ca="1">INDEX('Mitra per Bulan'!$M$2:$M800,MATCH(S365,'Mitra per Bulan'!$B$2:$B800,0))</f>
        <v>1</v>
      </c>
      <c r="E365" s="10" t="str">
        <f t="array" ref="E365">INDEX('Database Mitra'!$A$2:$A800,MATCH(A365,'Database Mitra'!$B$2:$B800,0))</f>
        <v>Sugianto</v>
      </c>
      <c r="F365" s="64" t="s">
        <v>25</v>
      </c>
      <c r="G365" s="5" t="str">
        <f t="array" ref="G365">INDEX('Database Mitra'!$G$2:$G800,MATCH(A365,'Database Mitra'!$B$2:$B800,0))</f>
        <v>6102171003900002</v>
      </c>
      <c r="H365" s="64" t="s">
        <v>67</v>
      </c>
      <c r="I365" s="65" t="s">
        <v>175</v>
      </c>
      <c r="J365" s="10" t="str">
        <f t="array" ref="J365">INDEX(Honor!$H$2:$H800,MATCH($I365,Honor!$A$2:$A800,0))</f>
        <v>Dokumen</v>
      </c>
      <c r="K365" s="66">
        <f t="array" ref="K365">INDEX(Honor!$I$2:$I800,MATCH($I365,Honor!$A$2:$A800,0))</f>
        <v>55000</v>
      </c>
      <c r="L365" s="64">
        <v>2</v>
      </c>
      <c r="M365" s="10">
        <f t="shared" si="0"/>
        <v>110000</v>
      </c>
      <c r="O365" s="67">
        <f t="array" ref="O365">INDEX(Honor!$L$2:$L800,MATCH($I365,Honor!$A$2:$A800,0))</f>
        <v>45463</v>
      </c>
      <c r="P365" s="10">
        <f t="shared" si="1"/>
        <v>2024</v>
      </c>
      <c r="Q365" s="10">
        <f t="shared" si="2"/>
        <v>6</v>
      </c>
      <c r="R365" s="10" t="str">
        <f t="array" ref="R365">INDEX(Honor!$Q$2:$Q800,MATCH($I365,Honor!$A$2:$A800,0))</f>
        <v>SURVEI-PPL</v>
      </c>
      <c r="S365" s="10" t="str">
        <f t="shared" si="3"/>
        <v>610422100244-2024-6</v>
      </c>
      <c r="T365" s="10" t="str">
        <f t="shared" si="4"/>
        <v>610422100244-2024-6-SURVEI-PPL</v>
      </c>
      <c r="U365" s="64">
        <v>1</v>
      </c>
      <c r="V365" s="10" t="e">
        <f t="array" aca="1" ref="V365" ca="1">INDEX(Honor!$O$2:$O800,MATCH($I365,Honor!$A$2:$A800,0))</f>
        <v>#NAME?</v>
      </c>
      <c r="W365" s="67"/>
      <c r="X365" s="7" t="str">
        <f t="array" ref="X365">INDEX('Input Kegiatan'!$B$2:$B800,MATCH(B365,'Input Kegiatan'!$A$2:$A800,0))</f>
        <v>Survei Harga Produsen Beras di Penggilingan 2024 (HPBG24) Juni</v>
      </c>
      <c r="Y365" s="7" t="s">
        <v>5741</v>
      </c>
      <c r="Z365" s="7" t="s">
        <v>5796</v>
      </c>
      <c r="AA365" s="68">
        <f t="shared" si="5"/>
        <v>45443</v>
      </c>
      <c r="AB365" s="68">
        <f t="shared" si="6"/>
        <v>45444</v>
      </c>
      <c r="AC365" s="68">
        <f t="shared" si="7"/>
        <v>45473</v>
      </c>
      <c r="AD365" s="68">
        <f t="shared" si="8"/>
        <v>45472</v>
      </c>
      <c r="AE365" s="68">
        <f t="shared" si="9"/>
        <v>45473</v>
      </c>
    </row>
    <row r="366" spans="1:31" ht="12.5">
      <c r="A366" s="125">
        <v>610422100165</v>
      </c>
      <c r="B366" s="65" t="s">
        <v>174</v>
      </c>
      <c r="D366" s="10">
        <f t="array" aca="1" ref="D366" ca="1">INDEX('Mitra per Bulan'!$M$2:$M800,MATCH(S366,'Mitra per Bulan'!$B$2:$B800,0))</f>
        <v>1</v>
      </c>
      <c r="E366" s="10" t="str">
        <f t="array" ref="E366">INDEX('Database Mitra'!$A$2:$A800,MATCH(A366,'Database Mitra'!$B$2:$B800,0))</f>
        <v>Yanti</v>
      </c>
      <c r="F366" s="64" t="s">
        <v>25</v>
      </c>
      <c r="G366" s="5" t="str">
        <f t="array" ref="G366">INDEX('Database Mitra'!$G$2:$G800,MATCH(A366,'Database Mitra'!$B$2:$B800,0))</f>
        <v>6102074803980002</v>
      </c>
      <c r="H366" s="64" t="s">
        <v>67</v>
      </c>
      <c r="I366" s="65" t="s">
        <v>175</v>
      </c>
      <c r="J366" s="10" t="str">
        <f t="array" ref="J366">INDEX(Honor!$H$2:$H800,MATCH($I366,Honor!$A$2:$A800,0))</f>
        <v>Dokumen</v>
      </c>
      <c r="K366" s="66">
        <f t="array" ref="K366">INDEX(Honor!$I$2:$I800,MATCH($I366,Honor!$A$2:$A800,0))</f>
        <v>55000</v>
      </c>
      <c r="L366" s="64">
        <v>2</v>
      </c>
      <c r="M366" s="10">
        <f t="shared" si="0"/>
        <v>110000</v>
      </c>
      <c r="O366" s="67">
        <f t="array" ref="O366">INDEX(Honor!$L$2:$L800,MATCH($I366,Honor!$A$2:$A800,0))</f>
        <v>45463</v>
      </c>
      <c r="P366" s="10">
        <f t="shared" si="1"/>
        <v>2024</v>
      </c>
      <c r="Q366" s="10">
        <f t="shared" si="2"/>
        <v>6</v>
      </c>
      <c r="R366" s="10" t="str">
        <f t="array" ref="R366">INDEX(Honor!$Q$2:$Q800,MATCH($I366,Honor!$A$2:$A800,0))</f>
        <v>SURVEI-PPL</v>
      </c>
      <c r="S366" s="10" t="str">
        <f t="shared" si="3"/>
        <v>610422100165-2024-6</v>
      </c>
      <c r="T366" s="10" t="str">
        <f t="shared" si="4"/>
        <v>610422100165-2024-6-SURVEI-PPL</v>
      </c>
      <c r="U366" s="64">
        <v>1</v>
      </c>
      <c r="V366" s="10" t="e">
        <f t="array" aca="1" ref="V366" ca="1">INDEX(Honor!$O$2:$O800,MATCH($I366,Honor!$A$2:$A800,0))</f>
        <v>#NAME?</v>
      </c>
      <c r="W366" s="67"/>
      <c r="X366" s="7" t="str">
        <f t="array" ref="X366">INDEX('Input Kegiatan'!$B$2:$B800,MATCH(B366,'Input Kegiatan'!$A$2:$A800,0))</f>
        <v>Survei Harga Produsen Beras di Penggilingan 2024 (HPBG24) Juni</v>
      </c>
      <c r="Y366" s="7" t="s">
        <v>3990</v>
      </c>
      <c r="Z366" s="7" t="s">
        <v>4332</v>
      </c>
      <c r="AA366" s="68">
        <f t="shared" si="5"/>
        <v>45443</v>
      </c>
      <c r="AB366" s="68">
        <f t="shared" si="6"/>
        <v>45444</v>
      </c>
      <c r="AC366" s="68">
        <f t="shared" si="7"/>
        <v>45473</v>
      </c>
      <c r="AD366" s="68">
        <f t="shared" si="8"/>
        <v>45472</v>
      </c>
      <c r="AE366" s="68">
        <f t="shared" si="9"/>
        <v>45473</v>
      </c>
    </row>
    <row r="367" spans="1:31" ht="12.5">
      <c r="A367" s="125">
        <v>610422100165</v>
      </c>
      <c r="B367" s="65" t="s">
        <v>176</v>
      </c>
      <c r="D367" s="10">
        <f t="array" aca="1" ref="D367" ca="1">INDEX('Mitra per Bulan'!$M$2:$M800,MATCH(S367,'Mitra per Bulan'!$B$2:$B800,0))</f>
        <v>1</v>
      </c>
      <c r="E367" s="10" t="str">
        <f t="array" ref="E367">INDEX('Database Mitra'!$A$2:$A800,MATCH(A367,'Database Mitra'!$B$2:$B800,0))</f>
        <v>Yanti</v>
      </c>
      <c r="F367" s="64" t="s">
        <v>25</v>
      </c>
      <c r="G367" s="5" t="str">
        <f t="array" ref="G367">INDEX('Database Mitra'!$G$2:$G800,MATCH(A367,'Database Mitra'!$B$2:$B800,0))</f>
        <v>6102074803980002</v>
      </c>
      <c r="H367" s="64" t="s">
        <v>67</v>
      </c>
      <c r="I367" s="65" t="s">
        <v>177</v>
      </c>
      <c r="J367" s="10" t="str">
        <f t="array" ref="J367">INDEX(Honor!$H$2:$H800,MATCH($I367,Honor!$A$2:$A800,0))</f>
        <v>Dokumen</v>
      </c>
      <c r="K367" s="66">
        <f t="array" ref="K367">INDEX(Honor!$I$2:$I800,MATCH($I367,Honor!$A$2:$A800,0))</f>
        <v>50000</v>
      </c>
      <c r="L367" s="64">
        <v>1</v>
      </c>
      <c r="M367" s="10">
        <f t="shared" si="0"/>
        <v>50000</v>
      </c>
      <c r="O367" s="67">
        <f t="array" ref="O367">INDEX(Honor!$L$2:$L800,MATCH($I367,Honor!$A$2:$A800,0))</f>
        <v>45463</v>
      </c>
      <c r="P367" s="10">
        <f t="shared" si="1"/>
        <v>2024</v>
      </c>
      <c r="Q367" s="10">
        <f t="shared" si="2"/>
        <v>6</v>
      </c>
      <c r="R367" s="10" t="str">
        <f t="array" ref="R367">INDEX(Honor!$Q$2:$Q800,MATCH($I367,Honor!$A$2:$A800,0))</f>
        <v>SURVEI-PPL</v>
      </c>
      <c r="S367" s="10" t="str">
        <f t="shared" si="3"/>
        <v>610422100165-2024-6</v>
      </c>
      <c r="T367" s="10" t="str">
        <f t="shared" si="4"/>
        <v>610422100165-2024-6-SURVEI-PPL</v>
      </c>
      <c r="U367" s="64">
        <v>1</v>
      </c>
      <c r="V367" s="10" t="e">
        <f t="array" aca="1" ref="V367" ca="1">INDEX(Honor!$O$2:$O800,MATCH($I367,Honor!$A$2:$A800,0))</f>
        <v>#NAME?</v>
      </c>
      <c r="W367" s="67"/>
      <c r="X367" s="7" t="str">
        <f t="array" ref="X367">INDEX('Input Kegiatan'!$B$2:$B800,MATCH(B367,'Input Kegiatan'!$A$2:$A800,0))</f>
        <v>Survei Harga Produsen Jasa (HPJ24) Juni</v>
      </c>
      <c r="Y367" s="7" t="s">
        <v>3990</v>
      </c>
      <c r="Z367" s="7" t="s">
        <v>4332</v>
      </c>
      <c r="AA367" s="68">
        <f t="shared" si="5"/>
        <v>45443</v>
      </c>
      <c r="AB367" s="68">
        <f t="shared" si="6"/>
        <v>45444</v>
      </c>
      <c r="AC367" s="68">
        <f t="shared" si="7"/>
        <v>45473</v>
      </c>
      <c r="AD367" s="68">
        <f t="shared" si="8"/>
        <v>45472</v>
      </c>
      <c r="AE367" s="68">
        <f t="shared" si="9"/>
        <v>45473</v>
      </c>
    </row>
    <row r="368" spans="1:31" ht="12.5">
      <c r="A368" s="125">
        <v>610422040029</v>
      </c>
      <c r="B368" s="69" t="s">
        <v>178</v>
      </c>
      <c r="D368" s="10">
        <f t="array" aca="1" ref="D368" ca="1">INDEX('Mitra per Bulan'!$M$2:$M800,MATCH(S368,'Mitra per Bulan'!$B$2:$B800,0))</f>
        <v>1</v>
      </c>
      <c r="E368" s="10" t="str">
        <f t="array" ref="E368">INDEX('Database Mitra'!$A$2:$A800,MATCH(A368,'Database Mitra'!$B$2:$B800,0))</f>
        <v>Zaini</v>
      </c>
      <c r="F368" s="64" t="s">
        <v>25</v>
      </c>
      <c r="G368" s="5" t="str">
        <f t="array" ref="G368">INDEX('Database Mitra'!$G$2:$G800,MATCH(A368,'Database Mitra'!$B$2:$B800,0))</f>
        <v>6102010607870002</v>
      </c>
      <c r="H368" s="64" t="s">
        <v>67</v>
      </c>
      <c r="I368" s="65" t="s">
        <v>179</v>
      </c>
      <c r="J368" s="10" t="str">
        <f t="array" ref="J368">INDEX(Honor!$H$2:$H800,MATCH($I368,Honor!$A$2:$A800,0))</f>
        <v>Dokumen</v>
      </c>
      <c r="K368" s="66">
        <f t="array" ref="K368">INDEX(Honor!$I$2:$I800,MATCH($I368,Honor!$A$2:$A800,0))</f>
        <v>55000</v>
      </c>
      <c r="L368" s="64">
        <v>3</v>
      </c>
      <c r="M368" s="10">
        <f t="shared" si="0"/>
        <v>165000</v>
      </c>
      <c r="O368" s="67">
        <f t="array" ref="O368">INDEX(Honor!$L$2:$L800,MATCH($I368,Honor!$A$2:$A800,0))</f>
        <v>45463</v>
      </c>
      <c r="P368" s="10">
        <f t="shared" si="1"/>
        <v>2024</v>
      </c>
      <c r="Q368" s="10">
        <f t="shared" si="2"/>
        <v>6</v>
      </c>
      <c r="R368" s="10" t="str">
        <f t="array" ref="R368">INDEX(Honor!$Q$2:$Q800,MATCH($I368,Honor!$A$2:$A800,0))</f>
        <v>SURVEI-PPL</v>
      </c>
      <c r="S368" s="10" t="str">
        <f t="shared" si="3"/>
        <v>610422040029-2024-6</v>
      </c>
      <c r="T368" s="10" t="str">
        <f t="shared" si="4"/>
        <v>610422040029-2024-6-SURVEI-PPL</v>
      </c>
      <c r="U368" s="64">
        <v>1</v>
      </c>
      <c r="V368" s="10" t="e">
        <f t="array" aca="1" ref="V368" ca="1">INDEX(Honor!$O$2:$O800,MATCH($I368,Honor!$A$2:$A800,0))</f>
        <v>#NAME?</v>
      </c>
      <c r="W368" s="67"/>
      <c r="X368" s="7" t="str">
        <f t="array" ref="X368">INDEX('Input Kegiatan'!$B$2:$B800,MATCH(B368,'Input Kegiatan'!$A$2:$A800,0))</f>
        <v>Survei Hotel dan Jasa Akomodasi Bulanan (VHTS) 2024 Juni</v>
      </c>
      <c r="Y368" s="7" t="s">
        <v>4572</v>
      </c>
      <c r="Z368" s="7" t="s">
        <v>4619</v>
      </c>
      <c r="AA368" s="68">
        <f t="shared" si="5"/>
        <v>45443</v>
      </c>
      <c r="AB368" s="68">
        <f t="shared" si="6"/>
        <v>45444</v>
      </c>
      <c r="AC368" s="68">
        <f t="shared" si="7"/>
        <v>45473</v>
      </c>
      <c r="AD368" s="68">
        <f t="shared" si="8"/>
        <v>45472</v>
      </c>
      <c r="AE368" s="68">
        <f t="shared" si="9"/>
        <v>45473</v>
      </c>
    </row>
    <row r="369" spans="1:31" ht="12.5">
      <c r="A369" s="125">
        <v>610422100165</v>
      </c>
      <c r="B369" s="69" t="s">
        <v>178</v>
      </c>
      <c r="D369" s="10">
        <f t="array" aca="1" ref="D369" ca="1">INDEX('Mitra per Bulan'!$M$2:$M800,MATCH(S369,'Mitra per Bulan'!$B$2:$B800,0))</f>
        <v>1</v>
      </c>
      <c r="E369" s="10" t="str">
        <f t="array" ref="E369">INDEX('Database Mitra'!$A$2:$A800,MATCH(A369,'Database Mitra'!$B$2:$B800,0))</f>
        <v>Yanti</v>
      </c>
      <c r="F369" s="64" t="s">
        <v>25</v>
      </c>
      <c r="G369" s="5" t="str">
        <f t="array" ref="G369">INDEX('Database Mitra'!$G$2:$G800,MATCH(A369,'Database Mitra'!$B$2:$B800,0))</f>
        <v>6102074803980002</v>
      </c>
      <c r="H369" s="64" t="s">
        <v>67</v>
      </c>
      <c r="I369" s="65" t="s">
        <v>179</v>
      </c>
      <c r="J369" s="10" t="str">
        <f t="array" ref="J369">INDEX(Honor!$H$2:$H800,MATCH($I369,Honor!$A$2:$A800,0))</f>
        <v>Dokumen</v>
      </c>
      <c r="K369" s="66">
        <f t="array" ref="K369">INDEX(Honor!$I$2:$I800,MATCH($I369,Honor!$A$2:$A800,0))</f>
        <v>55000</v>
      </c>
      <c r="L369" s="64">
        <v>3</v>
      </c>
      <c r="M369" s="10">
        <f t="shared" si="0"/>
        <v>165000</v>
      </c>
      <c r="O369" s="67">
        <f t="array" ref="O369">INDEX(Honor!$L$2:$L800,MATCH($I369,Honor!$A$2:$A800,0))</f>
        <v>45463</v>
      </c>
      <c r="P369" s="10">
        <f t="shared" si="1"/>
        <v>2024</v>
      </c>
      <c r="Q369" s="10">
        <f t="shared" si="2"/>
        <v>6</v>
      </c>
      <c r="R369" s="10" t="str">
        <f t="array" ref="R369">INDEX(Honor!$Q$2:$Q800,MATCH($I369,Honor!$A$2:$A800,0))</f>
        <v>SURVEI-PPL</v>
      </c>
      <c r="S369" s="10" t="str">
        <f t="shared" si="3"/>
        <v>610422100165-2024-6</v>
      </c>
      <c r="T369" s="10" t="str">
        <f t="shared" si="4"/>
        <v>610422100165-2024-6-SURVEI-PPL</v>
      </c>
      <c r="U369" s="64">
        <v>1</v>
      </c>
      <c r="V369" s="10" t="e">
        <f t="array" aca="1" ref="V369" ca="1">INDEX(Honor!$O$2:$O800,MATCH($I369,Honor!$A$2:$A800,0))</f>
        <v>#NAME?</v>
      </c>
      <c r="W369" s="67"/>
      <c r="X369" s="7" t="str">
        <f t="array" ref="X369">INDEX('Input Kegiatan'!$B$2:$B800,MATCH(B369,'Input Kegiatan'!$A$2:$A800,0))</f>
        <v>Survei Hotel dan Jasa Akomodasi Bulanan (VHTS) 2024 Juni</v>
      </c>
      <c r="Y369" s="7" t="s">
        <v>3990</v>
      </c>
      <c r="Z369" s="7" t="s">
        <v>4332</v>
      </c>
      <c r="AA369" s="68">
        <f t="shared" si="5"/>
        <v>45443</v>
      </c>
      <c r="AB369" s="68">
        <f t="shared" si="6"/>
        <v>45444</v>
      </c>
      <c r="AC369" s="68">
        <f t="shared" si="7"/>
        <v>45473</v>
      </c>
      <c r="AD369" s="68">
        <f t="shared" si="8"/>
        <v>45472</v>
      </c>
      <c r="AE369" s="68">
        <f t="shared" si="9"/>
        <v>45473</v>
      </c>
    </row>
    <row r="370" spans="1:31" ht="12.5">
      <c r="A370" s="125">
        <v>610422040056</v>
      </c>
      <c r="B370" s="69" t="s">
        <v>178</v>
      </c>
      <c r="D370" s="10">
        <f t="array" aca="1" ref="D370" ca="1">INDEX('Mitra per Bulan'!$M$2:$M800,MATCH(S370,'Mitra per Bulan'!$B$2:$B800,0))</f>
        <v>1</v>
      </c>
      <c r="E370" s="10" t="str">
        <f t="array" ref="E370">INDEX('Database Mitra'!$A$2:$A800,MATCH(A370,'Database Mitra'!$B$2:$B800,0))</f>
        <v>Wandi Syafari</v>
      </c>
      <c r="F370" s="64" t="s">
        <v>25</v>
      </c>
      <c r="G370" s="5" t="str">
        <f t="array" ref="G370">INDEX('Database Mitra'!$G$2:$G800,MATCH(A370,'Database Mitra'!$B$2:$B800,0))</f>
        <v>6102010802760001</v>
      </c>
      <c r="H370" s="64" t="s">
        <v>67</v>
      </c>
      <c r="I370" s="65" t="s">
        <v>179</v>
      </c>
      <c r="J370" s="10" t="str">
        <f t="array" ref="J370">INDEX(Honor!$H$2:$H800,MATCH($I370,Honor!$A$2:$A800,0))</f>
        <v>Dokumen</v>
      </c>
      <c r="K370" s="66">
        <f t="array" ref="K370">INDEX(Honor!$I$2:$I800,MATCH($I370,Honor!$A$2:$A800,0))</f>
        <v>55000</v>
      </c>
      <c r="L370" s="64">
        <v>3</v>
      </c>
      <c r="M370" s="10">
        <f t="shared" si="0"/>
        <v>165000</v>
      </c>
      <c r="O370" s="67">
        <f t="array" ref="O370">INDEX(Honor!$L$2:$L800,MATCH($I370,Honor!$A$2:$A800,0))</f>
        <v>45463</v>
      </c>
      <c r="P370" s="10">
        <f t="shared" si="1"/>
        <v>2024</v>
      </c>
      <c r="Q370" s="10">
        <f t="shared" si="2"/>
        <v>6</v>
      </c>
      <c r="R370" s="10" t="str">
        <f t="array" ref="R370">INDEX(Honor!$Q$2:$Q800,MATCH($I370,Honor!$A$2:$A800,0))</f>
        <v>SURVEI-PPL</v>
      </c>
      <c r="S370" s="10" t="str">
        <f t="shared" si="3"/>
        <v>610422040056-2024-6</v>
      </c>
      <c r="T370" s="10" t="str">
        <f t="shared" si="4"/>
        <v>610422040056-2024-6-SURVEI-PPL</v>
      </c>
      <c r="U370" s="64">
        <v>1</v>
      </c>
      <c r="V370" s="10" t="e">
        <f t="array" aca="1" ref="V370" ca="1">INDEX(Honor!$O$2:$O800,MATCH($I370,Honor!$A$2:$A800,0))</f>
        <v>#NAME?</v>
      </c>
      <c r="W370" s="67"/>
      <c r="X370" s="7" t="str">
        <f t="array" ref="X370">INDEX('Input Kegiatan'!$B$2:$B800,MATCH(B370,'Input Kegiatan'!$A$2:$A800,0))</f>
        <v>Survei Hotel dan Jasa Akomodasi Bulanan (VHTS) 2024 Juni</v>
      </c>
      <c r="Y370" s="7" t="s">
        <v>4572</v>
      </c>
      <c r="Z370" s="7" t="s">
        <v>4656</v>
      </c>
      <c r="AA370" s="68">
        <f t="shared" si="5"/>
        <v>45443</v>
      </c>
      <c r="AB370" s="68">
        <f t="shared" si="6"/>
        <v>45444</v>
      </c>
      <c r="AC370" s="68">
        <f t="shared" si="7"/>
        <v>45473</v>
      </c>
      <c r="AD370" s="68">
        <f t="shared" si="8"/>
        <v>45472</v>
      </c>
      <c r="AE370" s="68">
        <f t="shared" si="9"/>
        <v>45473</v>
      </c>
    </row>
    <row r="371" spans="1:31" ht="12.5">
      <c r="A371" s="125">
        <v>610422040056</v>
      </c>
      <c r="B371" s="69" t="s">
        <v>178</v>
      </c>
      <c r="D371" s="10">
        <f t="array" aca="1" ref="D371" ca="1">INDEX('Mitra per Bulan'!$M$2:$M800,MATCH(S371,'Mitra per Bulan'!$B$2:$B800,0))</f>
        <v>1</v>
      </c>
      <c r="E371" s="10" t="str">
        <f t="array" ref="E371">INDEX('Database Mitra'!$A$2:$A800,MATCH(A371,'Database Mitra'!$B$2:$B800,0))</f>
        <v>Wandi Syafari</v>
      </c>
      <c r="F371" s="64" t="s">
        <v>25</v>
      </c>
      <c r="G371" s="5" t="str">
        <f t="array" ref="G371">INDEX('Database Mitra'!$G$2:$G800,MATCH(A371,'Database Mitra'!$B$2:$B800,0))</f>
        <v>6102010802760001</v>
      </c>
      <c r="H371" s="64" t="s">
        <v>67</v>
      </c>
      <c r="I371" s="65" t="s">
        <v>179</v>
      </c>
      <c r="J371" s="10" t="str">
        <f t="array" ref="J371">INDEX(Honor!$H$2:$H800,MATCH($I371,Honor!$A$2:$A800,0))</f>
        <v>Dokumen</v>
      </c>
      <c r="K371" s="66">
        <f t="array" ref="K371">INDEX(Honor!$I$2:$I800,MATCH($I371,Honor!$A$2:$A800,0))</f>
        <v>55000</v>
      </c>
      <c r="L371" s="64">
        <v>2</v>
      </c>
      <c r="M371" s="10">
        <f t="shared" si="0"/>
        <v>110000</v>
      </c>
      <c r="O371" s="67">
        <f t="array" ref="O371">INDEX(Honor!$L$2:$L800,MATCH($I371,Honor!$A$2:$A800,0))</f>
        <v>45463</v>
      </c>
      <c r="P371" s="10">
        <f t="shared" si="1"/>
        <v>2024</v>
      </c>
      <c r="Q371" s="10">
        <f t="shared" si="2"/>
        <v>6</v>
      </c>
      <c r="R371" s="10" t="str">
        <f t="array" ref="R371">INDEX(Honor!$Q$2:$Q800,MATCH($I371,Honor!$A$2:$A800,0))</f>
        <v>SURVEI-PPL</v>
      </c>
      <c r="S371" s="10" t="str">
        <f t="shared" si="3"/>
        <v>610422040056-2024-6</v>
      </c>
      <c r="T371" s="10" t="str">
        <f t="shared" si="4"/>
        <v>610422040056-2024-6-SURVEI-PPL</v>
      </c>
      <c r="U371" s="64">
        <v>1</v>
      </c>
      <c r="V371" s="10" t="e">
        <f t="array" aca="1" ref="V371" ca="1">INDEX(Honor!$O$2:$O800,MATCH($I371,Honor!$A$2:$A800,0))</f>
        <v>#NAME?</v>
      </c>
      <c r="W371" s="67"/>
      <c r="X371" s="7" t="str">
        <f t="array" ref="X371">INDEX('Input Kegiatan'!$B$2:$B800,MATCH(B371,'Input Kegiatan'!$A$2:$A800,0))</f>
        <v>Survei Hotel dan Jasa Akomodasi Bulanan (VHTS) 2024 Juni</v>
      </c>
      <c r="Y371" s="7" t="s">
        <v>4572</v>
      </c>
      <c r="Z371" s="7" t="s">
        <v>4656</v>
      </c>
      <c r="AA371" s="68">
        <f t="shared" si="5"/>
        <v>45443</v>
      </c>
      <c r="AB371" s="68">
        <f t="shared" si="6"/>
        <v>45444</v>
      </c>
      <c r="AC371" s="68">
        <f t="shared" si="7"/>
        <v>45473</v>
      </c>
      <c r="AD371" s="68">
        <f t="shared" si="8"/>
        <v>45472</v>
      </c>
      <c r="AE371" s="68">
        <f t="shared" si="9"/>
        <v>45473</v>
      </c>
    </row>
    <row r="372" spans="1:31" ht="12.5">
      <c r="A372" s="125">
        <v>610422020016</v>
      </c>
      <c r="B372" s="64" t="s">
        <v>180</v>
      </c>
      <c r="D372" s="10">
        <f t="array" aca="1" ref="D372" ca="1">INDEX('Mitra per Bulan'!$M$2:$M800,MATCH(S372,'Mitra per Bulan'!$B$2:$B800,0))</f>
        <v>1</v>
      </c>
      <c r="E372" s="10" t="str">
        <f t="array" ref="E372">INDEX('Database Mitra'!$A$2:$A800,MATCH(A372,'Database Mitra'!$B$2:$B800,0))</f>
        <v>Abdul Aziz</v>
      </c>
      <c r="F372" s="65" t="s">
        <v>25</v>
      </c>
      <c r="G372" s="5" t="str">
        <f t="array" ref="G372">INDEX('Database Mitra'!$G$2:$G800,MATCH(A372,'Database Mitra'!$B$2:$B800,0))</f>
        <v>6102061507950006</v>
      </c>
      <c r="H372" s="64" t="s">
        <v>84</v>
      </c>
      <c r="I372" s="65" t="str">
        <f t="shared" ref="I372:I382" si="17">CONCATENATE(B372,"-",F372,"-",H372)</f>
        <v>KSA24-LAPANGAN-JUNI-PPL-KSA PADI</v>
      </c>
      <c r="J372" s="10" t="str">
        <f t="array" ref="J372">INDEX(Honor!$H$2:$H800,MATCH($I372,Honor!$A$2:$A800,0))</f>
        <v>Segmen</v>
      </c>
      <c r="K372" s="66">
        <f t="array" ref="K372">INDEX(Honor!$I$2:$I800,MATCH($I372,Honor!$A$2:$A800,0))</f>
        <v>116000</v>
      </c>
      <c r="L372" s="64">
        <v>3</v>
      </c>
      <c r="M372" s="10">
        <f t="shared" si="0"/>
        <v>348000</v>
      </c>
      <c r="O372" s="67">
        <f t="array" ref="O372">INDEX(Honor!$L$2:$L800,MATCH($I372,Honor!$A$2:$A800,0))</f>
        <v>45473</v>
      </c>
      <c r="P372" s="10">
        <f t="shared" si="1"/>
        <v>2024</v>
      </c>
      <c r="Q372" s="10">
        <f t="shared" si="2"/>
        <v>6</v>
      </c>
      <c r="R372" s="10" t="str">
        <f t="array" ref="R372">INDEX(Honor!$Q$2:$Q800,MATCH($I372,Honor!$A$2:$A800,0))</f>
        <v>SURVEI-PPL</v>
      </c>
      <c r="S372" s="10" t="str">
        <f t="shared" si="3"/>
        <v>610422020016-2024-6</v>
      </c>
      <c r="T372" s="10" t="str">
        <f t="shared" si="4"/>
        <v>610422020016-2024-6-SURVEI-PPL</v>
      </c>
      <c r="U372" s="64">
        <v>1</v>
      </c>
      <c r="V372" s="10" t="e">
        <f t="array" aca="1" ref="V372" ca="1">INDEX(Honor!$O$2:$O800,MATCH($I372,Honor!$A$2:$A800,0))</f>
        <v>#NAME?</v>
      </c>
      <c r="W372" s="67"/>
      <c r="X372" s="7" t="str">
        <f t="array" ref="X372">INDEX('Input Kegiatan'!$B$2:$B800,MATCH(B372,'Input Kegiatan'!$A$2:$A800,0))</f>
        <v>Kerangka Sampel Area (KSA) 2024 Juni</v>
      </c>
      <c r="Y372" s="7" t="s">
        <v>5534</v>
      </c>
      <c r="Z372" s="7" t="s">
        <v>5535</v>
      </c>
      <c r="AA372" s="68">
        <f t="shared" si="5"/>
        <v>45443</v>
      </c>
      <c r="AB372" s="68">
        <f t="shared" si="6"/>
        <v>45444</v>
      </c>
      <c r="AC372" s="68">
        <f t="shared" si="7"/>
        <v>45473</v>
      </c>
      <c r="AD372" s="68">
        <f t="shared" si="8"/>
        <v>45472</v>
      </c>
      <c r="AE372" s="68">
        <f t="shared" si="9"/>
        <v>45473</v>
      </c>
    </row>
    <row r="373" spans="1:31" ht="12.5">
      <c r="A373" s="125">
        <v>610422040012</v>
      </c>
      <c r="B373" s="64" t="s">
        <v>180</v>
      </c>
      <c r="D373" s="10">
        <f t="array" aca="1" ref="D373" ca="1">INDEX('Mitra per Bulan'!$M$2:$M800,MATCH(S373,'Mitra per Bulan'!$B$2:$B800,0))</f>
        <v>1</v>
      </c>
      <c r="E373" s="10" t="str">
        <f t="array" ref="E373">INDEX('Database Mitra'!$A$2:$A800,MATCH(A373,'Database Mitra'!$B$2:$B800,0))</f>
        <v>Misdi</v>
      </c>
      <c r="F373" s="65" t="s">
        <v>25</v>
      </c>
      <c r="G373" s="5" t="str">
        <f t="array" ref="G373">INDEX('Database Mitra'!$G$2:$G800,MATCH(A373,'Database Mitra'!$B$2:$B800,0))</f>
        <v>6102070706940001</v>
      </c>
      <c r="H373" s="64" t="s">
        <v>84</v>
      </c>
      <c r="I373" s="65" t="str">
        <f t="shared" si="17"/>
        <v>KSA24-LAPANGAN-JUNI-PPL-KSA PADI</v>
      </c>
      <c r="J373" s="10" t="str">
        <f t="array" ref="J373">INDEX(Honor!$H$2:$H800,MATCH($I373,Honor!$A$2:$A800,0))</f>
        <v>Segmen</v>
      </c>
      <c r="K373" s="66">
        <f t="array" ref="K373">INDEX(Honor!$I$2:$I800,MATCH($I373,Honor!$A$2:$A800,0))</f>
        <v>116000</v>
      </c>
      <c r="L373" s="64">
        <v>3</v>
      </c>
      <c r="M373" s="10">
        <f t="shared" si="0"/>
        <v>348000</v>
      </c>
      <c r="O373" s="67">
        <f t="array" ref="O373">INDEX(Honor!$L$2:$L800,MATCH($I373,Honor!$A$2:$A800,0))</f>
        <v>45473</v>
      </c>
      <c r="P373" s="10">
        <f t="shared" si="1"/>
        <v>2024</v>
      </c>
      <c r="Q373" s="10">
        <f t="shared" si="2"/>
        <v>6</v>
      </c>
      <c r="R373" s="10" t="str">
        <f t="array" ref="R373">INDEX(Honor!$Q$2:$Q800,MATCH($I373,Honor!$A$2:$A800,0))</f>
        <v>SURVEI-PPL</v>
      </c>
      <c r="S373" s="10" t="str">
        <f t="shared" si="3"/>
        <v>610422040012-2024-6</v>
      </c>
      <c r="T373" s="10" t="str">
        <f t="shared" si="4"/>
        <v>610422040012-2024-6-SURVEI-PPL</v>
      </c>
      <c r="U373" s="64">
        <v>1</v>
      </c>
      <c r="V373" s="10" t="e">
        <f t="array" aca="1" ref="V373" ca="1">INDEX(Honor!$O$2:$O800,MATCH($I373,Honor!$A$2:$A800,0))</f>
        <v>#NAME?</v>
      </c>
      <c r="W373" s="67"/>
      <c r="X373" s="7" t="str">
        <f t="array" ref="X373">INDEX('Input Kegiatan'!$B$2:$B800,MATCH(B373,'Input Kegiatan'!$A$2:$A800,0))</f>
        <v>Kerangka Sampel Area (KSA) 2024 Juni</v>
      </c>
      <c r="Y373" s="7" t="s">
        <v>3990</v>
      </c>
      <c r="Z373" s="7" t="s">
        <v>4365</v>
      </c>
      <c r="AA373" s="68">
        <f t="shared" si="5"/>
        <v>45443</v>
      </c>
      <c r="AB373" s="68">
        <f t="shared" si="6"/>
        <v>45444</v>
      </c>
      <c r="AC373" s="68">
        <f t="shared" si="7"/>
        <v>45473</v>
      </c>
      <c r="AD373" s="68">
        <f t="shared" si="8"/>
        <v>45472</v>
      </c>
      <c r="AE373" s="68">
        <f t="shared" si="9"/>
        <v>45473</v>
      </c>
    </row>
    <row r="374" spans="1:31" ht="12.5">
      <c r="A374" s="125">
        <v>610422020048</v>
      </c>
      <c r="B374" s="64" t="s">
        <v>180</v>
      </c>
      <c r="D374" s="10">
        <f t="array" aca="1" ref="D374" ca="1">INDEX('Mitra per Bulan'!$M$2:$M800,MATCH(S374,'Mitra per Bulan'!$B$2:$B800,0))</f>
        <v>1</v>
      </c>
      <c r="E374" s="10" t="str">
        <f t="array" ref="E374">INDEX('Database Mitra'!$A$2:$A800,MATCH(A374,'Database Mitra'!$B$2:$B800,0))</f>
        <v>Herri Gustaman</v>
      </c>
      <c r="F374" s="65" t="s">
        <v>25</v>
      </c>
      <c r="G374" s="5" t="str">
        <f t="array" ref="G374">INDEX('Database Mitra'!$G$2:$G800,MATCH(A374,'Database Mitra'!$B$2:$B800,0))</f>
        <v>6102072503800001</v>
      </c>
      <c r="H374" s="64" t="s">
        <v>84</v>
      </c>
      <c r="I374" s="65" t="str">
        <f t="shared" si="17"/>
        <v>KSA24-LAPANGAN-JUNI-PPL-KSA PADI</v>
      </c>
      <c r="J374" s="10" t="str">
        <f t="array" ref="J374">INDEX(Honor!$H$2:$H800,MATCH($I374,Honor!$A$2:$A800,0))</f>
        <v>Segmen</v>
      </c>
      <c r="K374" s="66">
        <f t="array" ref="K374">INDEX(Honor!$I$2:$I800,MATCH($I374,Honor!$A$2:$A800,0))</f>
        <v>116000</v>
      </c>
      <c r="L374" s="64">
        <v>4</v>
      </c>
      <c r="M374" s="10">
        <f t="shared" si="0"/>
        <v>464000</v>
      </c>
      <c r="O374" s="67">
        <f t="array" ref="O374">INDEX(Honor!$L$2:$L800,MATCH($I374,Honor!$A$2:$A800,0))</f>
        <v>45473</v>
      </c>
      <c r="P374" s="10">
        <f t="shared" si="1"/>
        <v>2024</v>
      </c>
      <c r="Q374" s="10">
        <f t="shared" si="2"/>
        <v>6</v>
      </c>
      <c r="R374" s="10" t="str">
        <f t="array" ref="R374">INDEX(Honor!$Q$2:$Q800,MATCH($I374,Honor!$A$2:$A800,0))</f>
        <v>SURVEI-PPL</v>
      </c>
      <c r="S374" s="10" t="str">
        <f t="shared" si="3"/>
        <v>610422020048-2024-6</v>
      </c>
      <c r="T374" s="10" t="str">
        <f t="shared" si="4"/>
        <v>610422020048-2024-6-SURVEI-PPL</v>
      </c>
      <c r="U374" s="64">
        <v>1</v>
      </c>
      <c r="V374" s="10" t="e">
        <f t="array" aca="1" ref="V374" ca="1">INDEX(Honor!$O$2:$O800,MATCH($I374,Honor!$A$2:$A800,0))</f>
        <v>#NAME?</v>
      </c>
      <c r="W374" s="67"/>
      <c r="X374" s="7" t="str">
        <f t="array" ref="X374">INDEX('Input Kegiatan'!$B$2:$B800,MATCH(B374,'Input Kegiatan'!$A$2:$A800,0))</f>
        <v>Kerangka Sampel Area (KSA) 2024 Juni</v>
      </c>
      <c r="Y374" s="7" t="s">
        <v>4931</v>
      </c>
      <c r="Z374" s="7" t="s">
        <v>5171</v>
      </c>
      <c r="AA374" s="68">
        <f t="shared" si="5"/>
        <v>45443</v>
      </c>
      <c r="AB374" s="68">
        <f t="shared" si="6"/>
        <v>45444</v>
      </c>
      <c r="AC374" s="68">
        <f t="shared" si="7"/>
        <v>45473</v>
      </c>
      <c r="AD374" s="68">
        <f t="shared" si="8"/>
        <v>45472</v>
      </c>
      <c r="AE374" s="68">
        <f t="shared" si="9"/>
        <v>45473</v>
      </c>
    </row>
    <row r="375" spans="1:31" ht="12.5">
      <c r="A375" s="125">
        <v>610422040061</v>
      </c>
      <c r="B375" s="64" t="s">
        <v>180</v>
      </c>
      <c r="D375" s="10">
        <f t="array" aca="1" ref="D375" ca="1">INDEX('Mitra per Bulan'!$M$2:$M800,MATCH(S375,'Mitra per Bulan'!$B$2:$B800,0))</f>
        <v>1</v>
      </c>
      <c r="E375" s="10" t="str">
        <f t="array" ref="E375">INDEX('Database Mitra'!$A$2:$A800,MATCH(A375,'Database Mitra'!$B$2:$B800,0))</f>
        <v>Sabani</v>
      </c>
      <c r="F375" s="65" t="s">
        <v>25</v>
      </c>
      <c r="G375" s="5" t="str">
        <f t="array" ref="G375">INDEX('Database Mitra'!$G$2:$G800,MATCH(A375,'Database Mitra'!$B$2:$B800,0))</f>
        <v>6102153112860003</v>
      </c>
      <c r="H375" s="64" t="s">
        <v>84</v>
      </c>
      <c r="I375" s="65" t="str">
        <f t="shared" si="17"/>
        <v>KSA24-LAPANGAN-JUNI-PPL-KSA PADI</v>
      </c>
      <c r="J375" s="10" t="str">
        <f t="array" ref="J375">INDEX(Honor!$H$2:$H800,MATCH($I375,Honor!$A$2:$A800,0))</f>
        <v>Segmen</v>
      </c>
      <c r="K375" s="66">
        <f t="array" ref="K375">INDEX(Honor!$I$2:$I800,MATCH($I375,Honor!$A$2:$A800,0))</f>
        <v>116000</v>
      </c>
      <c r="L375" s="64">
        <v>6</v>
      </c>
      <c r="M375" s="10">
        <f t="shared" si="0"/>
        <v>696000</v>
      </c>
      <c r="O375" s="67">
        <f t="array" ref="O375">INDEX(Honor!$L$2:$L800,MATCH($I375,Honor!$A$2:$A800,0))</f>
        <v>45473</v>
      </c>
      <c r="P375" s="10">
        <f t="shared" si="1"/>
        <v>2024</v>
      </c>
      <c r="Q375" s="10">
        <f t="shared" si="2"/>
        <v>6</v>
      </c>
      <c r="R375" s="10" t="str">
        <f t="array" ref="R375">INDEX(Honor!$Q$2:$Q800,MATCH($I375,Honor!$A$2:$A800,0))</f>
        <v>SURVEI-PPL</v>
      </c>
      <c r="S375" s="10" t="str">
        <f t="shared" si="3"/>
        <v>610422040061-2024-6</v>
      </c>
      <c r="T375" s="10" t="str">
        <f t="shared" si="4"/>
        <v>610422040061-2024-6-SURVEI-PPL</v>
      </c>
      <c r="U375" s="64">
        <v>1</v>
      </c>
      <c r="V375" s="10" t="e">
        <f t="array" aca="1" ref="V375" ca="1">INDEX(Honor!$O$2:$O800,MATCH($I375,Honor!$A$2:$A800,0))</f>
        <v>#NAME?</v>
      </c>
      <c r="W375" s="67"/>
      <c r="X375" s="7" t="str">
        <f t="array" ref="X375">INDEX('Input Kegiatan'!$B$2:$B800,MATCH(B375,'Input Kegiatan'!$A$2:$A800,0))</f>
        <v>Kerangka Sampel Area (KSA) 2024 Juni</v>
      </c>
      <c r="Y375" s="7" t="s">
        <v>3715</v>
      </c>
      <c r="Z375" s="7" t="s">
        <v>3862</v>
      </c>
      <c r="AA375" s="68">
        <f t="shared" si="5"/>
        <v>45443</v>
      </c>
      <c r="AB375" s="68">
        <f t="shared" si="6"/>
        <v>45444</v>
      </c>
      <c r="AC375" s="68">
        <f t="shared" si="7"/>
        <v>45473</v>
      </c>
      <c r="AD375" s="68">
        <f t="shared" si="8"/>
        <v>45472</v>
      </c>
      <c r="AE375" s="68">
        <f t="shared" si="9"/>
        <v>45473</v>
      </c>
    </row>
    <row r="376" spans="1:31" ht="12.5">
      <c r="A376" s="125">
        <v>610422100244</v>
      </c>
      <c r="B376" s="64" t="s">
        <v>180</v>
      </c>
      <c r="D376" s="10">
        <f t="array" aca="1" ref="D376" ca="1">INDEX('Mitra per Bulan'!$M$2:$M800,MATCH(S376,'Mitra per Bulan'!$B$2:$B800,0))</f>
        <v>1</v>
      </c>
      <c r="E376" s="10" t="str">
        <f t="array" ref="E376">INDEX('Database Mitra'!$A$2:$A800,MATCH(A376,'Database Mitra'!$B$2:$B800,0))</f>
        <v>Sugianto</v>
      </c>
      <c r="F376" s="65" t="s">
        <v>25</v>
      </c>
      <c r="G376" s="5" t="str">
        <f t="array" ref="G376">INDEX('Database Mitra'!$G$2:$G800,MATCH(A376,'Database Mitra'!$B$2:$B800,0))</f>
        <v>6102171003900002</v>
      </c>
      <c r="H376" s="64" t="s">
        <v>84</v>
      </c>
      <c r="I376" s="65" t="str">
        <f t="shared" si="17"/>
        <v>KSA24-LAPANGAN-JUNI-PPL-KSA PADI</v>
      </c>
      <c r="J376" s="10" t="str">
        <f t="array" ref="J376">INDEX(Honor!$H$2:$H800,MATCH($I376,Honor!$A$2:$A800,0))</f>
        <v>Segmen</v>
      </c>
      <c r="K376" s="66">
        <f t="array" ref="K376">INDEX(Honor!$I$2:$I800,MATCH($I376,Honor!$A$2:$A800,0))</f>
        <v>116000</v>
      </c>
      <c r="L376" s="64">
        <v>7</v>
      </c>
      <c r="M376" s="10">
        <f t="shared" si="0"/>
        <v>812000</v>
      </c>
      <c r="O376" s="67">
        <f t="array" ref="O376">INDEX(Honor!$L$2:$L800,MATCH($I376,Honor!$A$2:$A800,0))</f>
        <v>45473</v>
      </c>
      <c r="P376" s="10">
        <f t="shared" si="1"/>
        <v>2024</v>
      </c>
      <c r="Q376" s="10">
        <f t="shared" si="2"/>
        <v>6</v>
      </c>
      <c r="R376" s="10" t="str">
        <f t="array" ref="R376">INDEX(Honor!$Q$2:$Q800,MATCH($I376,Honor!$A$2:$A800,0))</f>
        <v>SURVEI-PPL</v>
      </c>
      <c r="S376" s="10" t="str">
        <f t="shared" si="3"/>
        <v>610422100244-2024-6</v>
      </c>
      <c r="T376" s="10" t="str">
        <f t="shared" si="4"/>
        <v>610422100244-2024-6-SURVEI-PPL</v>
      </c>
      <c r="U376" s="64">
        <v>1</v>
      </c>
      <c r="V376" s="10" t="e">
        <f t="array" aca="1" ref="V376" ca="1">INDEX(Honor!$O$2:$O800,MATCH($I376,Honor!$A$2:$A800,0))</f>
        <v>#NAME?</v>
      </c>
      <c r="W376" s="67"/>
      <c r="X376" s="7" t="str">
        <f t="array" ref="X376">INDEX('Input Kegiatan'!$B$2:$B800,MATCH(B376,'Input Kegiatan'!$A$2:$A800,0))</f>
        <v>Kerangka Sampel Area (KSA) 2024 Juni</v>
      </c>
      <c r="Y376" s="7" t="s">
        <v>5741</v>
      </c>
      <c r="Z376" s="7" t="s">
        <v>5796</v>
      </c>
      <c r="AA376" s="68">
        <f t="shared" si="5"/>
        <v>45443</v>
      </c>
      <c r="AB376" s="68">
        <f t="shared" si="6"/>
        <v>45444</v>
      </c>
      <c r="AC376" s="68">
        <f t="shared" si="7"/>
        <v>45473</v>
      </c>
      <c r="AD376" s="68">
        <f t="shared" si="8"/>
        <v>45472</v>
      </c>
      <c r="AE376" s="68">
        <f t="shared" si="9"/>
        <v>45473</v>
      </c>
    </row>
    <row r="377" spans="1:31" ht="12.5">
      <c r="A377" s="125">
        <v>610422100176</v>
      </c>
      <c r="B377" s="64" t="s">
        <v>180</v>
      </c>
      <c r="D377" s="10">
        <f t="array" aca="1" ref="D377" ca="1">INDEX('Mitra per Bulan'!$M$2:$M800,MATCH(S377,'Mitra per Bulan'!$B$2:$B800,0))</f>
        <v>1</v>
      </c>
      <c r="E377" s="10" t="str">
        <f t="array" ref="E377">INDEX('Database Mitra'!$A$2:$A800,MATCH(A377,'Database Mitra'!$B$2:$B800,0))</f>
        <v>Feri Firdaus</v>
      </c>
      <c r="F377" s="65" t="s">
        <v>25</v>
      </c>
      <c r="G377" s="5" t="str">
        <f t="array" ref="G377">INDEX('Database Mitra'!$G$2:$G800,MATCH(A377,'Database Mitra'!$B$2:$B800,0))</f>
        <v>6102150412880001</v>
      </c>
      <c r="H377" s="64" t="s">
        <v>84</v>
      </c>
      <c r="I377" s="65" t="str">
        <f t="shared" si="17"/>
        <v>KSA24-LAPANGAN-JUNI-PPL-KSA PADI</v>
      </c>
      <c r="J377" s="10" t="str">
        <f t="array" ref="J377">INDEX(Honor!$H$2:$H800,MATCH($I377,Honor!$A$2:$A800,0))</f>
        <v>Segmen</v>
      </c>
      <c r="K377" s="66">
        <f t="array" ref="K377">INDEX(Honor!$I$2:$I800,MATCH($I377,Honor!$A$2:$A800,0))</f>
        <v>116000</v>
      </c>
      <c r="L377" s="64">
        <v>3</v>
      </c>
      <c r="M377" s="10">
        <f t="shared" si="0"/>
        <v>348000</v>
      </c>
      <c r="O377" s="67">
        <f t="array" ref="O377">INDEX(Honor!$L$2:$L800,MATCH($I377,Honor!$A$2:$A800,0))</f>
        <v>45473</v>
      </c>
      <c r="P377" s="10">
        <f t="shared" si="1"/>
        <v>2024</v>
      </c>
      <c r="Q377" s="10">
        <f t="shared" si="2"/>
        <v>6</v>
      </c>
      <c r="R377" s="10" t="str">
        <f t="array" ref="R377">INDEX(Honor!$Q$2:$Q800,MATCH($I377,Honor!$A$2:$A800,0))</f>
        <v>SURVEI-PPL</v>
      </c>
      <c r="S377" s="10" t="str">
        <f t="shared" si="3"/>
        <v>610422100176-2024-6</v>
      </c>
      <c r="T377" s="10" t="str">
        <f t="shared" si="4"/>
        <v>610422100176-2024-6-SURVEI-PPL</v>
      </c>
      <c r="U377" s="64">
        <v>1</v>
      </c>
      <c r="V377" s="10" t="e">
        <f t="array" aca="1" ref="V377" ca="1">INDEX(Honor!$O$2:$O800,MATCH($I377,Honor!$A$2:$A800,0))</f>
        <v>#NAME?</v>
      </c>
      <c r="W377" s="67"/>
      <c r="X377" s="7" t="str">
        <f t="array" ref="X377">INDEX('Input Kegiatan'!$B$2:$B800,MATCH(B377,'Input Kegiatan'!$A$2:$A800,0))</f>
        <v>Kerangka Sampel Area (KSA) 2024 Juni</v>
      </c>
      <c r="Y377" s="7" t="s">
        <v>3715</v>
      </c>
      <c r="Z377" s="7" t="s">
        <v>3765</v>
      </c>
      <c r="AA377" s="68">
        <f t="shared" si="5"/>
        <v>45443</v>
      </c>
      <c r="AB377" s="68">
        <f t="shared" si="6"/>
        <v>45444</v>
      </c>
      <c r="AC377" s="68">
        <f t="shared" si="7"/>
        <v>45473</v>
      </c>
      <c r="AD377" s="68">
        <f t="shared" si="8"/>
        <v>45472</v>
      </c>
      <c r="AE377" s="68">
        <f t="shared" si="9"/>
        <v>45473</v>
      </c>
    </row>
    <row r="378" spans="1:31" ht="12.5">
      <c r="A378" s="125">
        <v>610423110183</v>
      </c>
      <c r="B378" s="64" t="s">
        <v>180</v>
      </c>
      <c r="D378" s="10">
        <f t="array" aca="1" ref="D378" ca="1">INDEX('Mitra per Bulan'!$M$2:$M800,MATCH(S378,'Mitra per Bulan'!$B$2:$B800,0))</f>
        <v>1</v>
      </c>
      <c r="E378" s="10" t="str">
        <f t="array" ref="E378">INDEX('Database Mitra'!$A$2:$A800,MATCH(A378,'Database Mitra'!$B$2:$B800,0))</f>
        <v>Azhar</v>
      </c>
      <c r="F378" s="65" t="s">
        <v>25</v>
      </c>
      <c r="G378" s="5" t="str">
        <f t="array" ref="G378">INDEX('Database Mitra'!$G$2:$G800,MATCH(A378,'Database Mitra'!$B$2:$B800,0))</f>
        <v>6102081211790004</v>
      </c>
      <c r="H378" s="64" t="s">
        <v>84</v>
      </c>
      <c r="I378" s="65" t="str">
        <f t="shared" si="17"/>
        <v>KSA24-LAPANGAN-JUNI-PPL-KSA PADI</v>
      </c>
      <c r="J378" s="10" t="str">
        <f t="array" ref="J378">INDEX(Honor!$H$2:$H800,MATCH($I378,Honor!$A$2:$A800,0))</f>
        <v>Segmen</v>
      </c>
      <c r="K378" s="66">
        <f t="array" ref="K378">INDEX(Honor!$I$2:$I800,MATCH($I378,Honor!$A$2:$A800,0))</f>
        <v>116000</v>
      </c>
      <c r="L378" s="64">
        <v>6</v>
      </c>
      <c r="M378" s="10">
        <f t="shared" si="0"/>
        <v>696000</v>
      </c>
      <c r="O378" s="67">
        <f t="array" ref="O378">INDEX(Honor!$L$2:$L800,MATCH($I378,Honor!$A$2:$A800,0))</f>
        <v>45473</v>
      </c>
      <c r="P378" s="10">
        <f t="shared" si="1"/>
        <v>2024</v>
      </c>
      <c r="Q378" s="10">
        <f t="shared" si="2"/>
        <v>6</v>
      </c>
      <c r="R378" s="10" t="str">
        <f t="array" ref="R378">INDEX(Honor!$Q$2:$Q800,MATCH($I378,Honor!$A$2:$A800,0))</f>
        <v>SURVEI-PPL</v>
      </c>
      <c r="S378" s="10" t="str">
        <f t="shared" si="3"/>
        <v>610423110183-2024-6</v>
      </c>
      <c r="T378" s="10" t="str">
        <f t="shared" si="4"/>
        <v>610423110183-2024-6-SURVEI-PPL</v>
      </c>
      <c r="U378" s="64">
        <v>1</v>
      </c>
      <c r="V378" s="10" t="e">
        <f t="array" aca="1" ref="V378" ca="1">INDEX(Honor!$O$2:$O800,MATCH($I378,Honor!$A$2:$A800,0))</f>
        <v>#NAME?</v>
      </c>
      <c r="W378" s="67"/>
      <c r="X378" s="7" t="str">
        <f t="array" ref="X378">INDEX('Input Kegiatan'!$B$2:$B800,MATCH(B378,'Input Kegiatan'!$A$2:$A800,0))</f>
        <v>Kerangka Sampel Area (KSA) 2024 Juni</v>
      </c>
      <c r="Y378" s="7" t="s">
        <v>3241</v>
      </c>
      <c r="Z378" s="7" t="s">
        <v>3242</v>
      </c>
      <c r="AA378" s="68">
        <f t="shared" si="5"/>
        <v>45443</v>
      </c>
      <c r="AB378" s="68">
        <f t="shared" si="6"/>
        <v>45444</v>
      </c>
      <c r="AC378" s="68">
        <f t="shared" si="7"/>
        <v>45473</v>
      </c>
      <c r="AD378" s="68">
        <f t="shared" si="8"/>
        <v>45472</v>
      </c>
      <c r="AE378" s="68">
        <f t="shared" si="9"/>
        <v>45473</v>
      </c>
    </row>
    <row r="379" spans="1:31" ht="12.5">
      <c r="A379" s="125">
        <v>610422020048</v>
      </c>
      <c r="B379" s="64" t="s">
        <v>180</v>
      </c>
      <c r="D379" s="10">
        <f t="array" aca="1" ref="D379" ca="1">INDEX('Mitra per Bulan'!$M$2:$M800,MATCH(S379,'Mitra per Bulan'!$B$2:$B800,0))</f>
        <v>1</v>
      </c>
      <c r="E379" s="10" t="str">
        <f t="array" ref="E379">INDEX('Database Mitra'!$A$2:$A800,MATCH(A379,'Database Mitra'!$B$2:$B800,0))</f>
        <v>Herri Gustaman</v>
      </c>
      <c r="F379" s="64" t="s">
        <v>25</v>
      </c>
      <c r="G379" s="5" t="str">
        <f t="array" ref="G379">INDEX('Database Mitra'!$G$2:$G800,MATCH(A379,'Database Mitra'!$B$2:$B800,0))</f>
        <v>6102072503800001</v>
      </c>
      <c r="H379" s="64" t="s">
        <v>85</v>
      </c>
      <c r="I379" s="65" t="str">
        <f t="shared" si="17"/>
        <v>KSA24-LAPANGAN-JUNI-PPL-KSA JAGUNG</v>
      </c>
      <c r="J379" s="10" t="str">
        <f t="array" ref="J379">INDEX(Honor!$H$2:$H800,MATCH($I379,Honor!$A$2:$A800,0))</f>
        <v>Segmen</v>
      </c>
      <c r="K379" s="66">
        <f t="array" ref="K379">INDEX(Honor!$I$2:$I800,MATCH($I379,Honor!$A$2:$A800,0))</f>
        <v>59000</v>
      </c>
      <c r="L379" s="64">
        <v>12</v>
      </c>
      <c r="M379" s="10">
        <f t="shared" si="0"/>
        <v>708000</v>
      </c>
      <c r="O379" s="67">
        <f t="array" ref="O379">INDEX(Honor!$L$2:$L800,MATCH($I379,Honor!$A$2:$A800,0))</f>
        <v>45473</v>
      </c>
      <c r="P379" s="10">
        <f t="shared" si="1"/>
        <v>2024</v>
      </c>
      <c r="Q379" s="10">
        <f t="shared" si="2"/>
        <v>6</v>
      </c>
      <c r="R379" s="10" t="str">
        <f t="array" ref="R379">INDEX(Honor!$Q$2:$Q800,MATCH($I379,Honor!$A$2:$A800,0))</f>
        <v>SURVEI-PPL</v>
      </c>
      <c r="S379" s="10" t="str">
        <f t="shared" si="3"/>
        <v>610422020048-2024-6</v>
      </c>
      <c r="T379" s="10" t="str">
        <f t="shared" si="4"/>
        <v>610422020048-2024-6-SURVEI-PPL</v>
      </c>
      <c r="U379" s="64">
        <v>1</v>
      </c>
      <c r="V379" s="10" t="e">
        <f t="array" aca="1" ref="V379" ca="1">INDEX(Honor!$O$2:$O800,MATCH($I379,Honor!$A$2:$A800,0))</f>
        <v>#NAME?</v>
      </c>
      <c r="W379" s="67"/>
      <c r="X379" s="7" t="str">
        <f t="array" ref="X379">INDEX('Input Kegiatan'!$B$2:$B800,MATCH(B379,'Input Kegiatan'!$A$2:$A800,0))</f>
        <v>Kerangka Sampel Area (KSA) 2024 Juni</v>
      </c>
      <c r="Y379" s="7" t="s">
        <v>4931</v>
      </c>
      <c r="Z379" s="7" t="s">
        <v>5171</v>
      </c>
      <c r="AA379" s="68">
        <f t="shared" si="5"/>
        <v>45443</v>
      </c>
      <c r="AB379" s="68">
        <f t="shared" si="6"/>
        <v>45444</v>
      </c>
      <c r="AC379" s="68">
        <f t="shared" si="7"/>
        <v>45473</v>
      </c>
      <c r="AD379" s="68">
        <f t="shared" si="8"/>
        <v>45472</v>
      </c>
      <c r="AE379" s="68">
        <f t="shared" si="9"/>
        <v>45473</v>
      </c>
    </row>
    <row r="380" spans="1:31" ht="12.5">
      <c r="A380" s="125">
        <v>610422040058</v>
      </c>
      <c r="B380" s="64" t="s">
        <v>180</v>
      </c>
      <c r="D380" s="10">
        <f t="array" aca="1" ref="D380" ca="1">INDEX('Mitra per Bulan'!$M$2:$M800,MATCH(S380,'Mitra per Bulan'!$B$2:$B800,0))</f>
        <v>1</v>
      </c>
      <c r="E380" s="10" t="str">
        <f t="array" ref="E380">INDEX('Database Mitra'!$A$2:$A800,MATCH(A380,'Database Mitra'!$B$2:$B800,0))</f>
        <v>Jamaluddin, Sp</v>
      </c>
      <c r="F380" s="64" t="s">
        <v>25</v>
      </c>
      <c r="G380" s="5" t="str">
        <f t="array" ref="G380">INDEX('Database Mitra'!$G$2:$G800,MATCH(A380,'Database Mitra'!$B$2:$B800,0))</f>
        <v>6102152607940002</v>
      </c>
      <c r="H380" s="64" t="s">
        <v>85</v>
      </c>
      <c r="I380" s="65" t="str">
        <f t="shared" si="17"/>
        <v>KSA24-LAPANGAN-JUNI-PPL-KSA JAGUNG</v>
      </c>
      <c r="J380" s="10" t="str">
        <f t="array" ref="J380">INDEX(Honor!$H$2:$H800,MATCH($I380,Honor!$A$2:$A800,0))</f>
        <v>Segmen</v>
      </c>
      <c r="K380" s="66">
        <f t="array" ref="K380">INDEX(Honor!$I$2:$I800,MATCH($I380,Honor!$A$2:$A800,0))</f>
        <v>59000</v>
      </c>
      <c r="L380" s="64">
        <v>10</v>
      </c>
      <c r="M380" s="10">
        <f t="shared" si="0"/>
        <v>590000</v>
      </c>
      <c r="O380" s="67">
        <f t="array" ref="O380">INDEX(Honor!$L$2:$L800,MATCH($I380,Honor!$A$2:$A800,0))</f>
        <v>45473</v>
      </c>
      <c r="P380" s="10">
        <f t="shared" si="1"/>
        <v>2024</v>
      </c>
      <c r="Q380" s="10">
        <f t="shared" si="2"/>
        <v>6</v>
      </c>
      <c r="R380" s="10" t="str">
        <f t="array" ref="R380">INDEX(Honor!$Q$2:$Q800,MATCH($I380,Honor!$A$2:$A800,0))</f>
        <v>SURVEI-PPL</v>
      </c>
      <c r="S380" s="10" t="str">
        <f t="shared" si="3"/>
        <v>610422040058-2024-6</v>
      </c>
      <c r="T380" s="10" t="str">
        <f t="shared" si="4"/>
        <v>610422040058-2024-6-SURVEI-PPL</v>
      </c>
      <c r="U380" s="64">
        <v>1</v>
      </c>
      <c r="V380" s="10" t="e">
        <f t="array" aca="1" ref="V380" ca="1">INDEX(Honor!$O$2:$O800,MATCH($I380,Honor!$A$2:$A800,0))</f>
        <v>#NAME?</v>
      </c>
      <c r="W380" s="67"/>
      <c r="X380" s="7" t="str">
        <f t="array" ref="X380">INDEX('Input Kegiatan'!$B$2:$B800,MATCH(B380,'Input Kegiatan'!$A$2:$A800,0))</f>
        <v>Kerangka Sampel Area (KSA) 2024 Juni</v>
      </c>
      <c r="Y380" s="7" t="s">
        <v>3715</v>
      </c>
      <c r="Z380" s="7" t="s">
        <v>3716</v>
      </c>
      <c r="AA380" s="68">
        <f t="shared" si="5"/>
        <v>45443</v>
      </c>
      <c r="AB380" s="68">
        <f t="shared" si="6"/>
        <v>45444</v>
      </c>
      <c r="AC380" s="68">
        <f t="shared" si="7"/>
        <v>45473</v>
      </c>
      <c r="AD380" s="68">
        <f t="shared" si="8"/>
        <v>45472</v>
      </c>
      <c r="AE380" s="68">
        <f t="shared" si="9"/>
        <v>45473</v>
      </c>
    </row>
    <row r="381" spans="1:31" ht="12.5">
      <c r="A381" s="125">
        <v>610423110183</v>
      </c>
      <c r="B381" s="64" t="s">
        <v>180</v>
      </c>
      <c r="D381" s="10">
        <f t="array" aca="1" ref="D381" ca="1">INDEX('Mitra per Bulan'!$M$2:$M800,MATCH(S381,'Mitra per Bulan'!$B$2:$B800,0))</f>
        <v>1</v>
      </c>
      <c r="E381" s="10" t="str">
        <f t="array" ref="E381">INDEX('Database Mitra'!$A$2:$A800,MATCH(A381,'Database Mitra'!$B$2:$B800,0))</f>
        <v>Azhar</v>
      </c>
      <c r="F381" s="64" t="s">
        <v>25</v>
      </c>
      <c r="G381" s="5" t="str">
        <f t="array" ref="G381">INDEX('Database Mitra'!$G$2:$G800,MATCH(A381,'Database Mitra'!$B$2:$B800,0))</f>
        <v>6102081211790004</v>
      </c>
      <c r="H381" s="64" t="s">
        <v>85</v>
      </c>
      <c r="I381" s="65" t="str">
        <f t="shared" si="17"/>
        <v>KSA24-LAPANGAN-JUNI-PPL-KSA JAGUNG</v>
      </c>
      <c r="J381" s="10" t="str">
        <f t="array" ref="J381">INDEX(Honor!$H$2:$H800,MATCH($I381,Honor!$A$2:$A800,0))</f>
        <v>Segmen</v>
      </c>
      <c r="K381" s="66">
        <f t="array" ref="K381">INDEX(Honor!$I$2:$I800,MATCH($I381,Honor!$A$2:$A800,0))</f>
        <v>59000</v>
      </c>
      <c r="L381" s="64">
        <v>6</v>
      </c>
      <c r="M381" s="10">
        <f t="shared" si="0"/>
        <v>354000</v>
      </c>
      <c r="O381" s="67">
        <f t="array" ref="O381">INDEX(Honor!$L$2:$L800,MATCH($I381,Honor!$A$2:$A800,0))</f>
        <v>45473</v>
      </c>
      <c r="P381" s="10">
        <f t="shared" si="1"/>
        <v>2024</v>
      </c>
      <c r="Q381" s="10">
        <f t="shared" si="2"/>
        <v>6</v>
      </c>
      <c r="R381" s="10" t="str">
        <f t="array" ref="R381">INDEX(Honor!$Q$2:$Q800,MATCH($I381,Honor!$A$2:$A800,0))</f>
        <v>SURVEI-PPL</v>
      </c>
      <c r="S381" s="10" t="str">
        <f t="shared" si="3"/>
        <v>610423110183-2024-6</v>
      </c>
      <c r="T381" s="10" t="str">
        <f t="shared" si="4"/>
        <v>610423110183-2024-6-SURVEI-PPL</v>
      </c>
      <c r="U381" s="64">
        <v>1</v>
      </c>
      <c r="V381" s="10" t="e">
        <f t="array" aca="1" ref="V381" ca="1">INDEX(Honor!$O$2:$O800,MATCH($I381,Honor!$A$2:$A800,0))</f>
        <v>#NAME?</v>
      </c>
      <c r="W381" s="67"/>
      <c r="X381" s="7" t="str">
        <f t="array" ref="X381">INDEX('Input Kegiatan'!$B$2:$B800,MATCH(B381,'Input Kegiatan'!$A$2:$A800,0))</f>
        <v>Kerangka Sampel Area (KSA) 2024 Juni</v>
      </c>
      <c r="Y381" s="7" t="s">
        <v>3241</v>
      </c>
      <c r="Z381" s="7" t="s">
        <v>3242</v>
      </c>
      <c r="AA381" s="68">
        <f t="shared" si="5"/>
        <v>45443</v>
      </c>
      <c r="AB381" s="68">
        <f t="shared" si="6"/>
        <v>45444</v>
      </c>
      <c r="AC381" s="68">
        <f t="shared" si="7"/>
        <v>45473</v>
      </c>
      <c r="AD381" s="68">
        <f t="shared" si="8"/>
        <v>45472</v>
      </c>
      <c r="AE381" s="68">
        <f t="shared" si="9"/>
        <v>45473</v>
      </c>
    </row>
    <row r="382" spans="1:31" ht="12.5">
      <c r="A382" s="125">
        <v>610422100244</v>
      </c>
      <c r="B382" s="64" t="s">
        <v>180</v>
      </c>
      <c r="D382" s="10">
        <f t="array" aca="1" ref="D382" ca="1">INDEX('Mitra per Bulan'!$M$2:$M800,MATCH(S382,'Mitra per Bulan'!$B$2:$B800,0))</f>
        <v>1</v>
      </c>
      <c r="E382" s="10" t="str">
        <f t="array" ref="E382">INDEX('Database Mitra'!$A$2:$A800,MATCH(A382,'Database Mitra'!$B$2:$B800,0))</f>
        <v>Sugianto</v>
      </c>
      <c r="F382" s="64" t="s">
        <v>25</v>
      </c>
      <c r="G382" s="5" t="str">
        <f t="array" ref="G382">INDEX('Database Mitra'!$G$2:$G800,MATCH(A382,'Database Mitra'!$B$2:$B800,0))</f>
        <v>6102171003900002</v>
      </c>
      <c r="H382" s="64" t="s">
        <v>85</v>
      </c>
      <c r="I382" s="65" t="str">
        <f t="shared" si="17"/>
        <v>KSA24-LAPANGAN-JUNI-PPL-KSA JAGUNG</v>
      </c>
      <c r="J382" s="10" t="str">
        <f t="array" ref="J382">INDEX(Honor!$H$2:$H800,MATCH($I382,Honor!$A$2:$A800,0))</f>
        <v>Segmen</v>
      </c>
      <c r="K382" s="66">
        <f t="array" ref="K382">INDEX(Honor!$I$2:$I800,MATCH($I382,Honor!$A$2:$A800,0))</f>
        <v>59000</v>
      </c>
      <c r="L382" s="64">
        <v>8</v>
      </c>
      <c r="M382" s="10">
        <f t="shared" si="0"/>
        <v>472000</v>
      </c>
      <c r="O382" s="67">
        <f t="array" ref="O382">INDEX(Honor!$L$2:$L800,MATCH($I382,Honor!$A$2:$A800,0))</f>
        <v>45473</v>
      </c>
      <c r="P382" s="10">
        <f t="shared" si="1"/>
        <v>2024</v>
      </c>
      <c r="Q382" s="10">
        <f t="shared" si="2"/>
        <v>6</v>
      </c>
      <c r="R382" s="10" t="str">
        <f t="array" ref="R382">INDEX(Honor!$Q$2:$Q800,MATCH($I382,Honor!$A$2:$A800,0))</f>
        <v>SURVEI-PPL</v>
      </c>
      <c r="S382" s="10" t="str">
        <f t="shared" si="3"/>
        <v>610422100244-2024-6</v>
      </c>
      <c r="T382" s="10" t="str">
        <f t="shared" si="4"/>
        <v>610422100244-2024-6-SURVEI-PPL</v>
      </c>
      <c r="U382" s="64">
        <v>1</v>
      </c>
      <c r="V382" s="10" t="e">
        <f t="array" aca="1" ref="V382" ca="1">INDEX(Honor!$O$2:$O800,MATCH($I382,Honor!$A$2:$A800,0))</f>
        <v>#NAME?</v>
      </c>
      <c r="W382" s="67"/>
      <c r="X382" s="7" t="str">
        <f t="array" ref="X382">INDEX('Input Kegiatan'!$B$2:$B800,MATCH(B382,'Input Kegiatan'!$A$2:$A800,0))</f>
        <v>Kerangka Sampel Area (KSA) 2024 Juni</v>
      </c>
      <c r="Y382" s="7" t="s">
        <v>5741</v>
      </c>
      <c r="Z382" s="7" t="s">
        <v>5796</v>
      </c>
      <c r="AA382" s="68">
        <f t="shared" si="5"/>
        <v>45443</v>
      </c>
      <c r="AB382" s="68">
        <f t="shared" si="6"/>
        <v>45444</v>
      </c>
      <c r="AC382" s="68">
        <f t="shared" si="7"/>
        <v>45473</v>
      </c>
      <c r="AD382" s="68">
        <f t="shared" si="8"/>
        <v>45472</v>
      </c>
      <c r="AE382" s="68">
        <f t="shared" si="9"/>
        <v>45473</v>
      </c>
    </row>
    <row r="383" spans="1:31" ht="12.5">
      <c r="A383" s="125">
        <v>610422020045</v>
      </c>
      <c r="B383" s="64" t="s">
        <v>181</v>
      </c>
      <c r="D383" s="10">
        <f t="array" aca="1" ref="D383" ca="1">INDEX('Mitra per Bulan'!$M$2:$M800,MATCH(S383,'Mitra per Bulan'!$B$2:$B800,0))</f>
        <v>1</v>
      </c>
      <c r="E383" s="10" t="str">
        <f t="array" ref="E383">INDEX('Database Mitra'!$A$2:$A800,MATCH(A383,'Database Mitra'!$B$2:$B800,0))</f>
        <v>Herdinatara Febria</v>
      </c>
      <c r="F383" s="64" t="s">
        <v>25</v>
      </c>
      <c r="G383" s="5" t="str">
        <f t="array" ref="G383">INDEX('Database Mitra'!$G$2:$G800,MATCH(A383,'Database Mitra'!$B$2:$B800,0))</f>
        <v>6107086009930002</v>
      </c>
      <c r="H383" s="64" t="s">
        <v>182</v>
      </c>
      <c r="I383" s="65" t="s">
        <v>183</v>
      </c>
      <c r="J383" s="10" t="str">
        <f t="array" ref="J383">INDEX(Honor!$H$2:$H800,MATCH($I383,Honor!$A$2:$A800,0))</f>
        <v>OB</v>
      </c>
      <c r="K383" s="66">
        <f t="array" ref="K383">INDEX(Honor!$I$2:$I800,MATCH($I383,Honor!$A$2:$A800,0))</f>
        <v>4694000</v>
      </c>
      <c r="L383" s="64">
        <v>1</v>
      </c>
      <c r="M383" s="10">
        <f t="shared" si="0"/>
        <v>4694000</v>
      </c>
      <c r="O383" s="67">
        <f t="array" ref="O383">INDEX(Honor!$L$2:$L800,MATCH($I383,Honor!$A$2:$A800,0))</f>
        <v>45473</v>
      </c>
      <c r="P383" s="10">
        <f t="shared" si="1"/>
        <v>2024</v>
      </c>
      <c r="Q383" s="10">
        <f t="shared" si="2"/>
        <v>6</v>
      </c>
      <c r="R383" s="10" t="str">
        <f t="array" ref="R383">INDEX(Honor!$Q$2:$Q800,MATCH($I383,Honor!$A$2:$A800,0))</f>
        <v>SENSUS-PPL</v>
      </c>
      <c r="S383" s="10" t="str">
        <f t="shared" si="3"/>
        <v>610422020045-2024-6</v>
      </c>
      <c r="T383" s="10" t="str">
        <f t="shared" si="4"/>
        <v>610422020045-2024-6-SENSUS-PPL</v>
      </c>
      <c r="U383" s="64">
        <v>1</v>
      </c>
      <c r="V383" s="10" t="e">
        <f t="array" aca="1" ref="V383" ca="1">INDEX(Honor!$O$2:$O800,MATCH($I383,Honor!$A$2:$A800,0))</f>
        <v>#NAME?</v>
      </c>
      <c r="W383" s="67"/>
      <c r="X383" s="7" t="str">
        <f t="array" ref="X383">INDEX('Input Kegiatan'!$B$2:$B800,MATCH(B383,'Input Kegiatan'!$A$2:$A800,0))</f>
        <v>Survei Ekonomi Pertanian 2024</v>
      </c>
      <c r="Y383" s="7" t="s">
        <v>3241</v>
      </c>
      <c r="Z383" s="7" t="s">
        <v>3430</v>
      </c>
      <c r="AA383" s="68">
        <f t="shared" si="5"/>
        <v>45443</v>
      </c>
      <c r="AB383" s="68">
        <f t="shared" si="6"/>
        <v>45444</v>
      </c>
      <c r="AC383" s="68">
        <f t="shared" si="7"/>
        <v>45473</v>
      </c>
      <c r="AD383" s="68">
        <f t="shared" si="8"/>
        <v>45472</v>
      </c>
      <c r="AE383" s="68">
        <f t="shared" si="9"/>
        <v>45473</v>
      </c>
    </row>
    <row r="384" spans="1:31" ht="12.5">
      <c r="A384" s="125">
        <v>610422020012</v>
      </c>
      <c r="B384" s="64" t="s">
        <v>181</v>
      </c>
      <c r="D384" s="10">
        <f t="array" aca="1" ref="D384" ca="1">INDEX('Mitra per Bulan'!$M$2:$M800,MATCH(S384,'Mitra per Bulan'!$B$2:$B800,0))</f>
        <v>1</v>
      </c>
      <c r="E384" s="10" t="str">
        <f t="array" ref="E384">INDEX('Database Mitra'!$A$2:$A800,MATCH(A384,'Database Mitra'!$B$2:$B800,0))</f>
        <v>Isul</v>
      </c>
      <c r="F384" s="64" t="s">
        <v>25</v>
      </c>
      <c r="G384" s="5" t="str">
        <f t="array" ref="G384">INDEX('Database Mitra'!$G$2:$G800,MATCH(A384,'Database Mitra'!$B$2:$B800,0))</f>
        <v>6102176206860001</v>
      </c>
      <c r="H384" s="64" t="s">
        <v>182</v>
      </c>
      <c r="I384" s="65" t="s">
        <v>183</v>
      </c>
      <c r="J384" s="10" t="str">
        <f t="array" ref="J384">INDEX(Honor!$H$2:$H800,MATCH($I384,Honor!$A$2:$A800,0))</f>
        <v>OB</v>
      </c>
      <c r="K384" s="66">
        <f t="array" ref="K384">INDEX(Honor!$I$2:$I800,MATCH($I384,Honor!$A$2:$A800,0))</f>
        <v>4694000</v>
      </c>
      <c r="L384" s="64">
        <v>1</v>
      </c>
      <c r="M384" s="10">
        <f t="shared" si="0"/>
        <v>4694000</v>
      </c>
      <c r="O384" s="67">
        <f t="array" ref="O384">INDEX(Honor!$L$2:$L800,MATCH($I384,Honor!$A$2:$A800,0))</f>
        <v>45473</v>
      </c>
      <c r="P384" s="10">
        <f t="shared" si="1"/>
        <v>2024</v>
      </c>
      <c r="Q384" s="10">
        <f t="shared" si="2"/>
        <v>6</v>
      </c>
      <c r="R384" s="10" t="str">
        <f t="array" ref="R384">INDEX(Honor!$Q$2:$Q800,MATCH($I384,Honor!$A$2:$A800,0))</f>
        <v>SENSUS-PPL</v>
      </c>
      <c r="S384" s="10" t="str">
        <f t="shared" si="3"/>
        <v>610422020012-2024-6</v>
      </c>
      <c r="T384" s="10" t="str">
        <f t="shared" si="4"/>
        <v>610422020012-2024-6-SENSUS-PPL</v>
      </c>
      <c r="U384" s="64">
        <v>1</v>
      </c>
      <c r="V384" s="10" t="e">
        <f t="array" aca="1" ref="V384" ca="1">INDEX(Honor!$O$2:$O800,MATCH($I384,Honor!$A$2:$A800,0))</f>
        <v>#NAME?</v>
      </c>
      <c r="W384" s="67"/>
      <c r="X384" s="7" t="str">
        <f t="array" ref="X384">INDEX('Input Kegiatan'!$B$2:$B800,MATCH(B384,'Input Kegiatan'!$A$2:$A800,0))</f>
        <v>Survei Ekonomi Pertanian 2024</v>
      </c>
      <c r="Y384" s="7" t="s">
        <v>5741</v>
      </c>
      <c r="Z384" s="7" t="s">
        <v>5796</v>
      </c>
      <c r="AA384" s="68">
        <f t="shared" si="5"/>
        <v>45443</v>
      </c>
      <c r="AB384" s="68">
        <f t="shared" si="6"/>
        <v>45444</v>
      </c>
      <c r="AC384" s="68">
        <f t="shared" si="7"/>
        <v>45473</v>
      </c>
      <c r="AD384" s="68">
        <f t="shared" si="8"/>
        <v>45472</v>
      </c>
      <c r="AE384" s="68">
        <f t="shared" si="9"/>
        <v>45473</v>
      </c>
    </row>
    <row r="385" spans="1:31" ht="12.5">
      <c r="A385" s="125">
        <v>610422020032</v>
      </c>
      <c r="B385" s="64" t="s">
        <v>181</v>
      </c>
      <c r="D385" s="10">
        <f t="array" aca="1" ref="D385" ca="1">INDEX('Mitra per Bulan'!$M$2:$M800,MATCH(S385,'Mitra per Bulan'!$B$2:$B800,0))</f>
        <v>1</v>
      </c>
      <c r="E385" s="10" t="str">
        <f t="array" ref="E385">INDEX('Database Mitra'!$A$2:$A800,MATCH(A385,'Database Mitra'!$B$2:$B800,0))</f>
        <v>Lilis Suryani</v>
      </c>
      <c r="F385" s="64" t="s">
        <v>25</v>
      </c>
      <c r="G385" s="5" t="str">
        <f t="array" ref="G385">INDEX('Database Mitra'!$G$2:$G800,MATCH(A385,'Database Mitra'!$B$2:$B800,0))</f>
        <v>6102185102880001</v>
      </c>
      <c r="H385" s="64" t="s">
        <v>182</v>
      </c>
      <c r="I385" s="65" t="s">
        <v>183</v>
      </c>
      <c r="J385" s="10" t="str">
        <f t="array" ref="J385">INDEX(Honor!$H$2:$H800,MATCH($I385,Honor!$A$2:$A800,0))</f>
        <v>OB</v>
      </c>
      <c r="K385" s="66">
        <f t="array" ref="K385">INDEX(Honor!$I$2:$I800,MATCH($I385,Honor!$A$2:$A800,0))</f>
        <v>4694000</v>
      </c>
      <c r="L385" s="64">
        <v>1</v>
      </c>
      <c r="M385" s="10">
        <f t="shared" si="0"/>
        <v>4694000</v>
      </c>
      <c r="O385" s="67">
        <f t="array" ref="O385">INDEX(Honor!$L$2:$L800,MATCH($I385,Honor!$A$2:$A800,0))</f>
        <v>45473</v>
      </c>
      <c r="P385" s="10">
        <f t="shared" si="1"/>
        <v>2024</v>
      </c>
      <c r="Q385" s="10">
        <f t="shared" si="2"/>
        <v>6</v>
      </c>
      <c r="R385" s="10" t="str">
        <f t="array" ref="R385">INDEX(Honor!$Q$2:$Q800,MATCH($I385,Honor!$A$2:$A800,0))</f>
        <v>SENSUS-PPL</v>
      </c>
      <c r="S385" s="10" t="str">
        <f t="shared" si="3"/>
        <v>610422020032-2024-6</v>
      </c>
      <c r="T385" s="10" t="str">
        <f t="shared" si="4"/>
        <v>610422020032-2024-6-SENSUS-PPL</v>
      </c>
      <c r="U385" s="64">
        <v>1</v>
      </c>
      <c r="V385" s="10" t="e">
        <f t="array" aca="1" ref="V385" ca="1">INDEX(Honor!$O$2:$O800,MATCH($I385,Honor!$A$2:$A800,0))</f>
        <v>#NAME?</v>
      </c>
      <c r="W385" s="67"/>
      <c r="X385" s="7" t="str">
        <f t="array" ref="X385">INDEX('Input Kegiatan'!$B$2:$B800,MATCH(B385,'Input Kegiatan'!$A$2:$A800,0))</f>
        <v>Survei Ekonomi Pertanian 2024</v>
      </c>
      <c r="Y385" s="7" t="s">
        <v>4931</v>
      </c>
      <c r="Z385" s="7" t="s">
        <v>5209</v>
      </c>
      <c r="AA385" s="68">
        <f t="shared" si="5"/>
        <v>45443</v>
      </c>
      <c r="AB385" s="68">
        <f t="shared" si="6"/>
        <v>45444</v>
      </c>
      <c r="AC385" s="68">
        <f t="shared" si="7"/>
        <v>45473</v>
      </c>
      <c r="AD385" s="68">
        <f t="shared" si="8"/>
        <v>45472</v>
      </c>
      <c r="AE385" s="68">
        <f t="shared" si="9"/>
        <v>45473</v>
      </c>
    </row>
    <row r="386" spans="1:31" ht="12.5">
      <c r="A386" s="125">
        <v>610422030001</v>
      </c>
      <c r="B386" s="64" t="s">
        <v>181</v>
      </c>
      <c r="D386" s="10">
        <f t="array" aca="1" ref="D386" ca="1">INDEX('Mitra per Bulan'!$M$2:$M800,MATCH(S386,'Mitra per Bulan'!$B$2:$B800,0))</f>
        <v>1</v>
      </c>
      <c r="E386" s="10" t="str">
        <f t="array" ref="E386">INDEX('Database Mitra'!$A$2:$A800,MATCH(A386,'Database Mitra'!$B$2:$B800,0))</f>
        <v>Pitra,Sp</v>
      </c>
      <c r="F386" s="64" t="s">
        <v>25</v>
      </c>
      <c r="G386" s="5" t="str">
        <f t="array" ref="G386">INDEX('Database Mitra'!$G$2:$G800,MATCH(A386,'Database Mitra'!$B$2:$B800,0))</f>
        <v>6102010808800006</v>
      </c>
      <c r="H386" s="64" t="s">
        <v>182</v>
      </c>
      <c r="I386" s="65" t="s">
        <v>183</v>
      </c>
      <c r="J386" s="10" t="str">
        <f t="array" ref="J386">INDEX(Honor!$H$2:$H800,MATCH($I386,Honor!$A$2:$A800,0))</f>
        <v>OB</v>
      </c>
      <c r="K386" s="66">
        <f t="array" ref="K386">INDEX(Honor!$I$2:$I800,MATCH($I386,Honor!$A$2:$A800,0))</f>
        <v>4694000</v>
      </c>
      <c r="L386" s="64">
        <v>1</v>
      </c>
      <c r="M386" s="10">
        <f t="shared" si="0"/>
        <v>4694000</v>
      </c>
      <c r="O386" s="67">
        <f t="array" ref="O386">INDEX(Honor!$L$2:$L800,MATCH($I386,Honor!$A$2:$A800,0))</f>
        <v>45473</v>
      </c>
      <c r="P386" s="10">
        <f t="shared" si="1"/>
        <v>2024</v>
      </c>
      <c r="Q386" s="10">
        <f t="shared" si="2"/>
        <v>6</v>
      </c>
      <c r="R386" s="10" t="str">
        <f t="array" ref="R386">INDEX(Honor!$Q$2:$Q800,MATCH($I386,Honor!$A$2:$A800,0))</f>
        <v>SENSUS-PPL</v>
      </c>
      <c r="S386" s="10" t="str">
        <f t="shared" si="3"/>
        <v>610422030001-2024-6</v>
      </c>
      <c r="T386" s="10" t="str">
        <f t="shared" si="4"/>
        <v>610422030001-2024-6-SENSUS-PPL</v>
      </c>
      <c r="U386" s="64">
        <v>1</v>
      </c>
      <c r="V386" s="10" t="e">
        <f t="array" aca="1" ref="V386" ca="1">INDEX(Honor!$O$2:$O800,MATCH($I386,Honor!$A$2:$A800,0))</f>
        <v>#NAME?</v>
      </c>
      <c r="W386" s="67"/>
      <c r="X386" s="7" t="str">
        <f t="array" ref="X386">INDEX('Input Kegiatan'!$B$2:$B800,MATCH(B386,'Input Kegiatan'!$A$2:$A800,0))</f>
        <v>Survei Ekonomi Pertanian 2024</v>
      </c>
      <c r="Y386" s="7" t="s">
        <v>3715</v>
      </c>
      <c r="Z386" s="7" t="s">
        <v>3716</v>
      </c>
      <c r="AA386" s="68">
        <f t="shared" si="5"/>
        <v>45443</v>
      </c>
      <c r="AB386" s="68">
        <f t="shared" si="6"/>
        <v>45444</v>
      </c>
      <c r="AC386" s="68">
        <f t="shared" si="7"/>
        <v>45473</v>
      </c>
      <c r="AD386" s="68">
        <f t="shared" si="8"/>
        <v>45472</v>
      </c>
      <c r="AE386" s="68">
        <f t="shared" si="9"/>
        <v>45473</v>
      </c>
    </row>
    <row r="387" spans="1:31" ht="12.5">
      <c r="A387" s="125">
        <v>610422040053</v>
      </c>
      <c r="B387" s="64" t="s">
        <v>181</v>
      </c>
      <c r="D387" s="10">
        <f t="array" aca="1" ref="D387" ca="1">INDEX('Mitra per Bulan'!$M$2:$M800,MATCH(S387,'Mitra per Bulan'!$B$2:$B800,0))</f>
        <v>1</v>
      </c>
      <c r="E387" s="10" t="str">
        <f t="array" ref="E387">INDEX('Database Mitra'!$A$2:$A800,MATCH(A387,'Database Mitra'!$B$2:$B800,0))</f>
        <v>Veti Ningsi</v>
      </c>
      <c r="F387" s="64" t="s">
        <v>25</v>
      </c>
      <c r="G387" s="5" t="str">
        <f t="array" ref="G387">INDEX('Database Mitra'!$G$2:$G800,MATCH(A387,'Database Mitra'!$B$2:$B800,0))</f>
        <v>6102125604010002</v>
      </c>
      <c r="H387" s="64" t="s">
        <v>182</v>
      </c>
      <c r="I387" s="65" t="s">
        <v>183</v>
      </c>
      <c r="J387" s="10" t="str">
        <f t="array" ref="J387">INDEX(Honor!$H$2:$H800,MATCH($I387,Honor!$A$2:$A800,0))</f>
        <v>OB</v>
      </c>
      <c r="K387" s="66">
        <f t="array" ref="K387">INDEX(Honor!$I$2:$I800,MATCH($I387,Honor!$A$2:$A800,0))</f>
        <v>4694000</v>
      </c>
      <c r="L387" s="64">
        <v>1</v>
      </c>
      <c r="M387" s="10">
        <f t="shared" si="0"/>
        <v>4694000</v>
      </c>
      <c r="O387" s="67">
        <f t="array" ref="O387">INDEX(Honor!$L$2:$L800,MATCH($I387,Honor!$A$2:$A800,0))</f>
        <v>45473</v>
      </c>
      <c r="P387" s="10">
        <f t="shared" si="1"/>
        <v>2024</v>
      </c>
      <c r="Q387" s="10">
        <f t="shared" si="2"/>
        <v>6</v>
      </c>
      <c r="R387" s="10" t="str">
        <f t="array" ref="R387">INDEX(Honor!$Q$2:$Q800,MATCH($I387,Honor!$A$2:$A800,0))</f>
        <v>SENSUS-PPL</v>
      </c>
      <c r="S387" s="10" t="str">
        <f t="shared" si="3"/>
        <v>610422040053-2024-6</v>
      </c>
      <c r="T387" s="10" t="str">
        <f t="shared" si="4"/>
        <v>610422040053-2024-6-SENSUS-PPL</v>
      </c>
      <c r="U387" s="64">
        <v>1</v>
      </c>
      <c r="V387" s="10" t="e">
        <f t="array" aca="1" ref="V387" ca="1">INDEX(Honor!$O$2:$O800,MATCH($I387,Honor!$A$2:$A800,0))</f>
        <v>#NAME?</v>
      </c>
      <c r="W387" s="67"/>
      <c r="X387" s="7" t="str">
        <f t="array" ref="X387">INDEX('Input Kegiatan'!$B$2:$B800,MATCH(B387,'Input Kegiatan'!$A$2:$A800,0))</f>
        <v>Survei Ekonomi Pertanian 2024</v>
      </c>
      <c r="Y387" s="7" t="s">
        <v>5250</v>
      </c>
      <c r="Z387" s="7" t="s">
        <v>5464</v>
      </c>
      <c r="AA387" s="68">
        <f t="shared" si="5"/>
        <v>45443</v>
      </c>
      <c r="AB387" s="68">
        <f t="shared" si="6"/>
        <v>45444</v>
      </c>
      <c r="AC387" s="68">
        <f t="shared" si="7"/>
        <v>45473</v>
      </c>
      <c r="AD387" s="68">
        <f t="shared" si="8"/>
        <v>45472</v>
      </c>
      <c r="AE387" s="68">
        <f t="shared" si="9"/>
        <v>45473</v>
      </c>
    </row>
    <row r="388" spans="1:31" ht="12.5">
      <c r="A388" s="125">
        <v>610422040034</v>
      </c>
      <c r="B388" s="64" t="s">
        <v>181</v>
      </c>
      <c r="D388" s="10">
        <f t="array" aca="1" ref="D388" ca="1">INDEX('Mitra per Bulan'!$M$2:$M800,MATCH(S388,'Mitra per Bulan'!$B$2:$B800,0))</f>
        <v>1</v>
      </c>
      <c r="E388" s="10" t="str">
        <f t="array" ref="E388">INDEX('Database Mitra'!$A$2:$A800,MATCH(A388,'Database Mitra'!$B$2:$B800,0))</f>
        <v>Nelly Nalita</v>
      </c>
      <c r="F388" s="64" t="s">
        <v>25</v>
      </c>
      <c r="G388" s="5" t="str">
        <f t="array" ref="G388">INDEX('Database Mitra'!$G$2:$G800,MATCH(A388,'Database Mitra'!$B$2:$B800,0))</f>
        <v>6102014712890004</v>
      </c>
      <c r="H388" s="64" t="s">
        <v>182</v>
      </c>
      <c r="I388" s="65" t="s">
        <v>183</v>
      </c>
      <c r="J388" s="10" t="str">
        <f t="array" ref="J388">INDEX(Honor!$H$2:$H800,MATCH($I388,Honor!$A$2:$A800,0))</f>
        <v>OB</v>
      </c>
      <c r="K388" s="66">
        <f t="array" ref="K388">INDEX(Honor!$I$2:$I800,MATCH($I388,Honor!$A$2:$A800,0))</f>
        <v>4694000</v>
      </c>
      <c r="L388" s="64">
        <v>1</v>
      </c>
      <c r="M388" s="10">
        <f t="shared" si="0"/>
        <v>4694000</v>
      </c>
      <c r="O388" s="67">
        <f t="array" ref="O388">INDEX(Honor!$L$2:$L800,MATCH($I388,Honor!$A$2:$A800,0))</f>
        <v>45473</v>
      </c>
      <c r="P388" s="10">
        <f t="shared" si="1"/>
        <v>2024</v>
      </c>
      <c r="Q388" s="10">
        <f t="shared" si="2"/>
        <v>6</v>
      </c>
      <c r="R388" s="10" t="str">
        <f t="array" ref="R388">INDEX(Honor!$Q$2:$Q800,MATCH($I388,Honor!$A$2:$A800,0))</f>
        <v>SENSUS-PPL</v>
      </c>
      <c r="S388" s="10" t="str">
        <f t="shared" si="3"/>
        <v>610422040034-2024-6</v>
      </c>
      <c r="T388" s="10" t="str">
        <f t="shared" si="4"/>
        <v>610422040034-2024-6-SENSUS-PPL</v>
      </c>
      <c r="U388" s="64">
        <v>1</v>
      </c>
      <c r="V388" s="10" t="e">
        <f t="array" aca="1" ref="V388" ca="1">INDEX(Honor!$O$2:$O800,MATCH($I388,Honor!$A$2:$A800,0))</f>
        <v>#NAME?</v>
      </c>
      <c r="W388" s="67"/>
      <c r="X388" s="7" t="str">
        <f t="array" ref="X388">INDEX('Input Kegiatan'!$B$2:$B800,MATCH(B388,'Input Kegiatan'!$A$2:$A800,0))</f>
        <v>Survei Ekonomi Pertanian 2024</v>
      </c>
      <c r="Y388" s="7" t="s">
        <v>4572</v>
      </c>
      <c r="Z388" s="7" t="s">
        <v>4841</v>
      </c>
      <c r="AA388" s="68">
        <f t="shared" si="5"/>
        <v>45443</v>
      </c>
      <c r="AB388" s="68">
        <f t="shared" si="6"/>
        <v>45444</v>
      </c>
      <c r="AC388" s="68">
        <f t="shared" si="7"/>
        <v>45473</v>
      </c>
      <c r="AD388" s="68">
        <f t="shared" si="8"/>
        <v>45472</v>
      </c>
      <c r="AE388" s="68">
        <f t="shared" si="9"/>
        <v>45473</v>
      </c>
    </row>
    <row r="389" spans="1:31" ht="12.5">
      <c r="A389" s="125">
        <v>610422040051</v>
      </c>
      <c r="B389" s="64" t="s">
        <v>181</v>
      </c>
      <c r="D389" s="10">
        <f t="array" aca="1" ref="D389" ca="1">INDEX('Mitra per Bulan'!$M$2:$M800,MATCH(S389,'Mitra per Bulan'!$B$2:$B800,0))</f>
        <v>1</v>
      </c>
      <c r="E389" s="10" t="str">
        <f t="array" ref="E389">INDEX('Database Mitra'!$A$2:$A800,MATCH(A389,'Database Mitra'!$B$2:$B800,0))</f>
        <v>Dede Sri Delvey</v>
      </c>
      <c r="F389" s="64" t="s">
        <v>25</v>
      </c>
      <c r="G389" s="5" t="str">
        <f t="array" ref="G389">INDEX('Database Mitra'!$G$2:$G800,MATCH(A389,'Database Mitra'!$B$2:$B800,0))</f>
        <v>6102156611010002</v>
      </c>
      <c r="H389" s="64" t="s">
        <v>182</v>
      </c>
      <c r="I389" s="65" t="s">
        <v>183</v>
      </c>
      <c r="J389" s="10" t="str">
        <f t="array" ref="J389">INDEX(Honor!$H$2:$H800,MATCH($I389,Honor!$A$2:$A800,0))</f>
        <v>OB</v>
      </c>
      <c r="K389" s="66">
        <f t="array" ref="K389">INDEX(Honor!$I$2:$I800,MATCH($I389,Honor!$A$2:$A800,0))</f>
        <v>4694000</v>
      </c>
      <c r="L389" s="64">
        <v>1</v>
      </c>
      <c r="M389" s="10">
        <f t="shared" si="0"/>
        <v>4694000</v>
      </c>
      <c r="O389" s="67">
        <f t="array" ref="O389">INDEX(Honor!$L$2:$L800,MATCH($I389,Honor!$A$2:$A800,0))</f>
        <v>45473</v>
      </c>
      <c r="P389" s="10">
        <f t="shared" si="1"/>
        <v>2024</v>
      </c>
      <c r="Q389" s="10">
        <f t="shared" si="2"/>
        <v>6</v>
      </c>
      <c r="R389" s="10" t="str">
        <f t="array" ref="R389">INDEX(Honor!$Q$2:$Q800,MATCH($I389,Honor!$A$2:$A800,0))</f>
        <v>SENSUS-PPL</v>
      </c>
      <c r="S389" s="10" t="str">
        <f t="shared" si="3"/>
        <v>610422040051-2024-6</v>
      </c>
      <c r="T389" s="10" t="str">
        <f t="shared" si="4"/>
        <v>610422040051-2024-6-SENSUS-PPL</v>
      </c>
      <c r="U389" s="64">
        <v>1</v>
      </c>
      <c r="V389" s="10" t="e">
        <f t="array" aca="1" ref="V389" ca="1">INDEX(Honor!$O$2:$O800,MATCH($I389,Honor!$A$2:$A800,0))</f>
        <v>#NAME?</v>
      </c>
      <c r="W389" s="67"/>
      <c r="X389" s="7" t="str">
        <f t="array" ref="X389">INDEX('Input Kegiatan'!$B$2:$B800,MATCH(B389,'Input Kegiatan'!$A$2:$A800,0))</f>
        <v>Survei Ekonomi Pertanian 2024</v>
      </c>
      <c r="Y389" s="7" t="s">
        <v>3715</v>
      </c>
      <c r="Z389" s="7" t="s">
        <v>3794</v>
      </c>
      <c r="AA389" s="68">
        <f t="shared" si="5"/>
        <v>45443</v>
      </c>
      <c r="AB389" s="68">
        <f t="shared" si="6"/>
        <v>45444</v>
      </c>
      <c r="AC389" s="68">
        <f t="shared" si="7"/>
        <v>45473</v>
      </c>
      <c r="AD389" s="68">
        <f t="shared" si="8"/>
        <v>45472</v>
      </c>
      <c r="AE389" s="68">
        <f t="shared" si="9"/>
        <v>45473</v>
      </c>
    </row>
    <row r="390" spans="1:31" ht="12.5">
      <c r="A390" s="125">
        <v>610422040052</v>
      </c>
      <c r="B390" s="64" t="s">
        <v>181</v>
      </c>
      <c r="D390" s="10">
        <f t="array" aca="1" ref="D390" ca="1">INDEX('Mitra per Bulan'!$M$2:$M800,MATCH(S390,'Mitra per Bulan'!$B$2:$B800,0))</f>
        <v>1</v>
      </c>
      <c r="E390" s="10" t="str">
        <f t="array" ref="E390">INDEX('Database Mitra'!$A$2:$A800,MATCH(A390,'Database Mitra'!$B$2:$B800,0))</f>
        <v>Yusimianto</v>
      </c>
      <c r="F390" s="64" t="s">
        <v>25</v>
      </c>
      <c r="G390" s="5" t="str">
        <f t="array" ref="G390">INDEX('Database Mitra'!$G$2:$G800,MATCH(A390,'Database Mitra'!$B$2:$B800,0))</f>
        <v>6102160603790001</v>
      </c>
      <c r="H390" s="64" t="s">
        <v>182</v>
      </c>
      <c r="I390" s="65" t="s">
        <v>183</v>
      </c>
      <c r="J390" s="10" t="str">
        <f t="array" ref="J390">INDEX(Honor!$H$2:$H800,MATCH($I390,Honor!$A$2:$A800,0))</f>
        <v>OB</v>
      </c>
      <c r="K390" s="66">
        <f t="array" ref="K390">INDEX(Honor!$I$2:$I800,MATCH($I390,Honor!$A$2:$A800,0))</f>
        <v>4694000</v>
      </c>
      <c r="L390" s="64">
        <v>1</v>
      </c>
      <c r="M390" s="10">
        <f t="shared" si="0"/>
        <v>4694000</v>
      </c>
      <c r="O390" s="67">
        <f t="array" ref="O390">INDEX(Honor!$L$2:$L800,MATCH($I390,Honor!$A$2:$A800,0))</f>
        <v>45473</v>
      </c>
      <c r="P390" s="10">
        <f t="shared" si="1"/>
        <v>2024</v>
      </c>
      <c r="Q390" s="10">
        <f t="shared" si="2"/>
        <v>6</v>
      </c>
      <c r="R390" s="10" t="str">
        <f t="array" ref="R390">INDEX(Honor!$Q$2:$Q800,MATCH($I390,Honor!$A$2:$A800,0))</f>
        <v>SENSUS-PPL</v>
      </c>
      <c r="S390" s="10" t="str">
        <f t="shared" si="3"/>
        <v>610422040052-2024-6</v>
      </c>
      <c r="T390" s="10" t="str">
        <f t="shared" si="4"/>
        <v>610422040052-2024-6-SENSUS-PPL</v>
      </c>
      <c r="U390" s="64">
        <v>1</v>
      </c>
      <c r="V390" s="10" t="e">
        <f t="array" aca="1" ref="V390" ca="1">INDEX(Honor!$O$2:$O800,MATCH($I390,Honor!$A$2:$A800,0))</f>
        <v>#NAME?</v>
      </c>
      <c r="W390" s="67"/>
      <c r="X390" s="7" t="str">
        <f t="array" ref="X390">INDEX('Input Kegiatan'!$B$2:$B800,MATCH(B390,'Input Kegiatan'!$A$2:$A800,0))</f>
        <v>Survei Ekonomi Pertanian 2024</v>
      </c>
      <c r="Y390" s="7" t="s">
        <v>4408</v>
      </c>
      <c r="Z390" s="7" t="s">
        <v>4487</v>
      </c>
      <c r="AA390" s="68">
        <f t="shared" si="5"/>
        <v>45443</v>
      </c>
      <c r="AB390" s="68">
        <f t="shared" si="6"/>
        <v>45444</v>
      </c>
      <c r="AC390" s="68">
        <f t="shared" si="7"/>
        <v>45473</v>
      </c>
      <c r="AD390" s="68">
        <f t="shared" si="8"/>
        <v>45472</v>
      </c>
      <c r="AE390" s="68">
        <f t="shared" si="9"/>
        <v>45473</v>
      </c>
    </row>
    <row r="391" spans="1:31" ht="12.5">
      <c r="A391" s="125">
        <v>610422040059</v>
      </c>
      <c r="B391" s="64" t="s">
        <v>181</v>
      </c>
      <c r="D391" s="10">
        <f t="array" aca="1" ref="D391" ca="1">INDEX('Mitra per Bulan'!$M$2:$M800,MATCH(S391,'Mitra per Bulan'!$B$2:$B800,0))</f>
        <v>1</v>
      </c>
      <c r="E391" s="10" t="str">
        <f t="array" ref="E391">INDEX('Database Mitra'!$A$2:$A800,MATCH(A391,'Database Mitra'!$B$2:$B800,0))</f>
        <v>Abang Handri</v>
      </c>
      <c r="F391" s="64" t="s">
        <v>25</v>
      </c>
      <c r="G391" s="5" t="str">
        <f t="array" ref="G391">INDEX('Database Mitra'!$G$2:$G800,MATCH(A391,'Database Mitra'!$B$2:$B800,0))</f>
        <v>6102072211780002</v>
      </c>
      <c r="H391" s="64" t="s">
        <v>182</v>
      </c>
      <c r="I391" s="65" t="s">
        <v>183</v>
      </c>
      <c r="J391" s="10" t="str">
        <f t="array" ref="J391">INDEX(Honor!$H$2:$H800,MATCH($I391,Honor!$A$2:$A800,0))</f>
        <v>OB</v>
      </c>
      <c r="K391" s="66">
        <f t="array" ref="K391">INDEX(Honor!$I$2:$I800,MATCH($I391,Honor!$A$2:$A800,0))</f>
        <v>4694000</v>
      </c>
      <c r="L391" s="64">
        <v>1</v>
      </c>
      <c r="M391" s="10">
        <f t="shared" si="0"/>
        <v>4694000</v>
      </c>
      <c r="O391" s="67">
        <f t="array" ref="O391">INDEX(Honor!$L$2:$L800,MATCH($I391,Honor!$A$2:$A800,0))</f>
        <v>45473</v>
      </c>
      <c r="P391" s="10">
        <f t="shared" si="1"/>
        <v>2024</v>
      </c>
      <c r="Q391" s="10">
        <f t="shared" si="2"/>
        <v>6</v>
      </c>
      <c r="R391" s="10" t="str">
        <f t="array" ref="R391">INDEX(Honor!$Q$2:$Q800,MATCH($I391,Honor!$A$2:$A800,0))</f>
        <v>SENSUS-PPL</v>
      </c>
      <c r="S391" s="10" t="str">
        <f t="shared" si="3"/>
        <v>610422040059-2024-6</v>
      </c>
      <c r="T391" s="10" t="str">
        <f t="shared" si="4"/>
        <v>610422040059-2024-6-SENSUS-PPL</v>
      </c>
      <c r="U391" s="64">
        <v>1</v>
      </c>
      <c r="V391" s="10" t="e">
        <f t="array" aca="1" ref="V391" ca="1">INDEX(Honor!$O$2:$O800,MATCH($I391,Honor!$A$2:$A800,0))</f>
        <v>#NAME?</v>
      </c>
      <c r="W391" s="67"/>
      <c r="X391" s="7" t="str">
        <f t="array" ref="X391">INDEX('Input Kegiatan'!$B$2:$B800,MATCH(B391,'Input Kegiatan'!$A$2:$A800,0))</f>
        <v>Survei Ekonomi Pertanian 2024</v>
      </c>
      <c r="Y391" s="7" t="s">
        <v>4572</v>
      </c>
      <c r="Z391" s="7" t="s">
        <v>4656</v>
      </c>
      <c r="AA391" s="68">
        <f t="shared" si="5"/>
        <v>45443</v>
      </c>
      <c r="AB391" s="68">
        <f t="shared" si="6"/>
        <v>45444</v>
      </c>
      <c r="AC391" s="68">
        <f t="shared" si="7"/>
        <v>45473</v>
      </c>
      <c r="AD391" s="68">
        <f t="shared" si="8"/>
        <v>45472</v>
      </c>
      <c r="AE391" s="68">
        <f t="shared" si="9"/>
        <v>45473</v>
      </c>
    </row>
    <row r="392" spans="1:31" ht="12.5">
      <c r="A392" s="125">
        <v>610422050001</v>
      </c>
      <c r="B392" s="64" t="s">
        <v>181</v>
      </c>
      <c r="D392" s="5">
        <v>1</v>
      </c>
      <c r="E392" s="10" t="str">
        <f t="array" ref="E392">INDEX('Database Mitra'!$A$2:$A800,MATCH(A392,'Database Mitra'!$B$2:$B800,0))</f>
        <v>Evi Juniarty</v>
      </c>
      <c r="F392" s="64" t="s">
        <v>25</v>
      </c>
      <c r="G392" s="5" t="str">
        <f t="array" ref="G392">INDEX('Database Mitra'!$G$2:$G800,MATCH(A392,'Database Mitra'!$B$2:$B800,0))</f>
        <v>6102165101840001</v>
      </c>
      <c r="H392" s="64" t="s">
        <v>182</v>
      </c>
      <c r="I392" s="65" t="s">
        <v>183</v>
      </c>
      <c r="J392" s="10" t="str">
        <f t="array" ref="J392">INDEX(Honor!$H$2:$H800,MATCH($I392,Honor!$A$2:$A800,0))</f>
        <v>OB</v>
      </c>
      <c r="K392" s="66">
        <f t="array" ref="K392">INDEX(Honor!$I$2:$I800,MATCH($I392,Honor!$A$2:$A800,0))</f>
        <v>4694000</v>
      </c>
      <c r="L392" s="64">
        <v>1</v>
      </c>
      <c r="M392" s="10">
        <f t="shared" si="0"/>
        <v>4694000</v>
      </c>
      <c r="O392" s="67">
        <f t="array" ref="O392">INDEX(Honor!$L$2:$L800,MATCH($I392,Honor!$A$2:$A800,0))</f>
        <v>45473</v>
      </c>
      <c r="P392" s="10">
        <f t="shared" si="1"/>
        <v>2024</v>
      </c>
      <c r="Q392" s="10">
        <f t="shared" si="2"/>
        <v>6</v>
      </c>
      <c r="R392" s="10" t="str">
        <f t="array" ref="R392">INDEX(Honor!$Q$2:$Q800,MATCH($I392,Honor!$A$2:$A800,0))</f>
        <v>SENSUS-PPL</v>
      </c>
      <c r="S392" s="10" t="str">
        <f t="shared" si="3"/>
        <v>610422050001-2024-6</v>
      </c>
      <c r="T392" s="10" t="str">
        <f t="shared" si="4"/>
        <v>610422050001-2024-6-SENSUS-PPL</v>
      </c>
      <c r="U392" s="64">
        <v>1</v>
      </c>
      <c r="V392" s="10" t="e">
        <f t="array" aca="1" ref="V392" ca="1">INDEX(Honor!$O$2:$O800,MATCH($I392,Honor!$A$2:$A800,0))</f>
        <v>#NAME?</v>
      </c>
      <c r="W392" s="67"/>
      <c r="X392" s="7" t="str">
        <f t="array" ref="X392">INDEX('Input Kegiatan'!$B$2:$B800,MATCH(B392,'Input Kegiatan'!$A$2:$A800,0))</f>
        <v>Survei Ekonomi Pertanian 2024</v>
      </c>
      <c r="Y392" s="7" t="s">
        <v>4408</v>
      </c>
      <c r="Z392" s="7" t="s">
        <v>4409</v>
      </c>
      <c r="AA392" s="68">
        <f t="shared" si="5"/>
        <v>45443</v>
      </c>
      <c r="AB392" s="68">
        <f t="shared" si="6"/>
        <v>45444</v>
      </c>
      <c r="AC392" s="68">
        <f t="shared" si="7"/>
        <v>45473</v>
      </c>
      <c r="AD392" s="68">
        <f t="shared" si="8"/>
        <v>45472</v>
      </c>
      <c r="AE392" s="68">
        <f t="shared" si="9"/>
        <v>45473</v>
      </c>
    </row>
    <row r="393" spans="1:31" ht="12.5">
      <c r="A393" s="125">
        <v>610422100006</v>
      </c>
      <c r="B393" s="64" t="s">
        <v>181</v>
      </c>
      <c r="D393" s="10">
        <f t="array" aca="1" ref="D393" ca="1">INDEX('Mitra per Bulan'!$M$2:$M800,MATCH(S393,'Mitra per Bulan'!$B$2:$B800,0))</f>
        <v>1</v>
      </c>
      <c r="E393" s="10" t="str">
        <f t="array" ref="E393">INDEX('Database Mitra'!$A$2:$A800,MATCH(A393,'Database Mitra'!$B$2:$B800,0))</f>
        <v>Dandy</v>
      </c>
      <c r="F393" s="64" t="s">
        <v>25</v>
      </c>
      <c r="G393" s="5" t="str">
        <f t="array" ref="G393">INDEX('Database Mitra'!$G$2:$G800,MATCH(A393,'Database Mitra'!$B$2:$B800,0))</f>
        <v>6102082010980003</v>
      </c>
      <c r="H393" s="64" t="s">
        <v>182</v>
      </c>
      <c r="I393" s="65" t="s">
        <v>183</v>
      </c>
      <c r="J393" s="10" t="str">
        <f t="array" ref="J393">INDEX(Honor!$H$2:$H800,MATCH($I393,Honor!$A$2:$A800,0))</f>
        <v>OB</v>
      </c>
      <c r="K393" s="66">
        <f t="array" ref="K393">INDEX(Honor!$I$2:$I800,MATCH($I393,Honor!$A$2:$A800,0))</f>
        <v>4694000</v>
      </c>
      <c r="L393" s="64">
        <v>1</v>
      </c>
      <c r="M393" s="10">
        <f t="shared" si="0"/>
        <v>4694000</v>
      </c>
      <c r="O393" s="67">
        <f t="array" ref="O393">INDEX(Honor!$L$2:$L800,MATCH($I393,Honor!$A$2:$A800,0))</f>
        <v>45473</v>
      </c>
      <c r="P393" s="10">
        <f t="shared" si="1"/>
        <v>2024</v>
      </c>
      <c r="Q393" s="10">
        <f t="shared" si="2"/>
        <v>6</v>
      </c>
      <c r="R393" s="10" t="str">
        <f t="array" ref="R393">INDEX(Honor!$Q$2:$Q800,MATCH($I393,Honor!$A$2:$A800,0))</f>
        <v>SENSUS-PPL</v>
      </c>
      <c r="S393" s="10" t="str">
        <f t="shared" si="3"/>
        <v>610422100006-2024-6</v>
      </c>
      <c r="T393" s="10" t="str">
        <f t="shared" si="4"/>
        <v>610422100006-2024-6-SENSUS-PPL</v>
      </c>
      <c r="U393" s="64">
        <v>1</v>
      </c>
      <c r="V393" s="10" t="e">
        <f t="array" aca="1" ref="V393" ca="1">INDEX(Honor!$O$2:$O800,MATCH($I393,Honor!$A$2:$A800,0))</f>
        <v>#NAME?</v>
      </c>
      <c r="W393" s="67"/>
      <c r="X393" s="7" t="str">
        <f t="array" ref="X393">INDEX('Input Kegiatan'!$B$2:$B800,MATCH(B393,'Input Kegiatan'!$A$2:$A800,0))</f>
        <v>Survei Ekonomi Pertanian 2024</v>
      </c>
      <c r="Y393" s="7" t="s">
        <v>3241</v>
      </c>
      <c r="Z393" s="7" t="s">
        <v>3676</v>
      </c>
      <c r="AA393" s="68">
        <f t="shared" si="5"/>
        <v>45443</v>
      </c>
      <c r="AB393" s="68">
        <f t="shared" si="6"/>
        <v>45444</v>
      </c>
      <c r="AC393" s="68">
        <f t="shared" si="7"/>
        <v>45473</v>
      </c>
      <c r="AD393" s="68">
        <f t="shared" si="8"/>
        <v>45472</v>
      </c>
      <c r="AE393" s="68">
        <f t="shared" si="9"/>
        <v>45473</v>
      </c>
    </row>
    <row r="394" spans="1:31" ht="12.5">
      <c r="A394" s="125">
        <v>610422100101</v>
      </c>
      <c r="B394" s="64" t="s">
        <v>181</v>
      </c>
      <c r="D394" s="10">
        <f t="array" aca="1" ref="D394" ca="1">INDEX('Mitra per Bulan'!$M$2:$M800,MATCH(S394,'Mitra per Bulan'!$B$2:$B800,0))</f>
        <v>1</v>
      </c>
      <c r="E394" s="10" t="str">
        <f t="array" ref="E394">INDEX('Database Mitra'!$A$2:$A800,MATCH(A394,'Database Mitra'!$B$2:$B800,0))</f>
        <v>Sukmawati,S.Si</v>
      </c>
      <c r="F394" s="64" t="s">
        <v>25</v>
      </c>
      <c r="G394" s="5" t="str">
        <f t="array" ref="G394">INDEX('Database Mitra'!$G$2:$G800,MATCH(A394,'Database Mitra'!$B$2:$B800,0))</f>
        <v>3402135601880001</v>
      </c>
      <c r="H394" s="64" t="s">
        <v>182</v>
      </c>
      <c r="I394" s="65" t="s">
        <v>183</v>
      </c>
      <c r="J394" s="10" t="str">
        <f t="array" ref="J394">INDEX(Honor!$H$2:$H800,MATCH($I394,Honor!$A$2:$A800,0))</f>
        <v>OB</v>
      </c>
      <c r="K394" s="66">
        <f t="array" ref="K394">INDEX(Honor!$I$2:$I800,MATCH($I394,Honor!$A$2:$A800,0))</f>
        <v>4694000</v>
      </c>
      <c r="L394" s="64">
        <v>1</v>
      </c>
      <c r="M394" s="10">
        <f t="shared" si="0"/>
        <v>4694000</v>
      </c>
      <c r="O394" s="67">
        <f t="array" ref="O394">INDEX(Honor!$L$2:$L800,MATCH($I394,Honor!$A$2:$A800,0))</f>
        <v>45473</v>
      </c>
      <c r="P394" s="10">
        <f t="shared" si="1"/>
        <v>2024</v>
      </c>
      <c r="Q394" s="10">
        <f t="shared" si="2"/>
        <v>6</v>
      </c>
      <c r="R394" s="10" t="str">
        <f t="array" ref="R394">INDEX(Honor!$Q$2:$Q800,MATCH($I394,Honor!$A$2:$A800,0))</f>
        <v>SENSUS-PPL</v>
      </c>
      <c r="S394" s="10" t="str">
        <f t="shared" si="3"/>
        <v>610422100101-2024-6</v>
      </c>
      <c r="T394" s="10" t="str">
        <f t="shared" si="4"/>
        <v>610422100101-2024-6-SENSUS-PPL</v>
      </c>
      <c r="U394" s="64">
        <v>1</v>
      </c>
      <c r="V394" s="10" t="e">
        <f t="array" aca="1" ref="V394" ca="1">INDEX(Honor!$O$2:$O800,MATCH($I394,Honor!$A$2:$A800,0))</f>
        <v>#NAME?</v>
      </c>
      <c r="W394" s="67"/>
      <c r="X394" s="7" t="str">
        <f t="array" ref="X394">INDEX('Input Kegiatan'!$B$2:$B800,MATCH(B394,'Input Kegiatan'!$A$2:$A800,0))</f>
        <v>Survei Ekonomi Pertanian 2024</v>
      </c>
      <c r="Y394" s="7" t="s">
        <v>4408</v>
      </c>
      <c r="Z394" s="7" t="s">
        <v>4409</v>
      </c>
      <c r="AA394" s="68">
        <f t="shared" si="5"/>
        <v>45443</v>
      </c>
      <c r="AB394" s="68">
        <f t="shared" si="6"/>
        <v>45444</v>
      </c>
      <c r="AC394" s="68">
        <f t="shared" si="7"/>
        <v>45473</v>
      </c>
      <c r="AD394" s="68">
        <f t="shared" si="8"/>
        <v>45472</v>
      </c>
      <c r="AE394" s="68">
        <f t="shared" si="9"/>
        <v>45473</v>
      </c>
    </row>
    <row r="395" spans="1:31" ht="12.5">
      <c r="A395" s="125">
        <v>610422100131</v>
      </c>
      <c r="B395" s="64" t="s">
        <v>181</v>
      </c>
      <c r="D395" s="10">
        <f t="array" aca="1" ref="D395" ca="1">INDEX('Mitra per Bulan'!$M$2:$M800,MATCH(S395,'Mitra per Bulan'!$B$2:$B800,0))</f>
        <v>1</v>
      </c>
      <c r="E395" s="10" t="str">
        <f t="array" ref="E395">INDEX('Database Mitra'!$A$2:$A800,MATCH(A395,'Database Mitra'!$B$2:$B800,0))</f>
        <v>Syamsul</v>
      </c>
      <c r="F395" s="64" t="s">
        <v>25</v>
      </c>
      <c r="G395" s="5" t="str">
        <f t="array" ref="G395">INDEX('Database Mitra'!$G$2:$G800,MATCH(A395,'Database Mitra'!$B$2:$B800,0))</f>
        <v>6102150907860003</v>
      </c>
      <c r="H395" s="64" t="s">
        <v>182</v>
      </c>
      <c r="I395" s="65" t="s">
        <v>183</v>
      </c>
      <c r="J395" s="10" t="str">
        <f t="array" ref="J395">INDEX(Honor!$H$2:$H800,MATCH($I395,Honor!$A$2:$A800,0))</f>
        <v>OB</v>
      </c>
      <c r="K395" s="66">
        <f t="array" ref="K395">INDEX(Honor!$I$2:$I800,MATCH($I395,Honor!$A$2:$A800,0))</f>
        <v>4694000</v>
      </c>
      <c r="L395" s="64">
        <v>1</v>
      </c>
      <c r="M395" s="10">
        <f t="shared" si="0"/>
        <v>4694000</v>
      </c>
      <c r="O395" s="67">
        <f t="array" ref="O395">INDEX(Honor!$L$2:$L800,MATCH($I395,Honor!$A$2:$A800,0))</f>
        <v>45473</v>
      </c>
      <c r="P395" s="10">
        <f t="shared" si="1"/>
        <v>2024</v>
      </c>
      <c r="Q395" s="10">
        <f t="shared" si="2"/>
        <v>6</v>
      </c>
      <c r="R395" s="10" t="str">
        <f t="array" ref="R395">INDEX(Honor!$Q$2:$Q800,MATCH($I395,Honor!$A$2:$A800,0))</f>
        <v>SENSUS-PPL</v>
      </c>
      <c r="S395" s="10" t="str">
        <f t="shared" si="3"/>
        <v>610422100131-2024-6</v>
      </c>
      <c r="T395" s="10" t="str">
        <f t="shared" si="4"/>
        <v>610422100131-2024-6-SENSUS-PPL</v>
      </c>
      <c r="U395" s="64">
        <v>1</v>
      </c>
      <c r="V395" s="10" t="e">
        <f t="array" aca="1" ref="V395" ca="1">INDEX(Honor!$O$2:$O800,MATCH($I395,Honor!$A$2:$A800,0))</f>
        <v>#NAME?</v>
      </c>
      <c r="W395" s="67"/>
      <c r="X395" s="7" t="str">
        <f t="array" ref="X395">INDEX('Input Kegiatan'!$B$2:$B800,MATCH(B395,'Input Kegiatan'!$A$2:$A800,0))</f>
        <v>Survei Ekonomi Pertanian 2024</v>
      </c>
      <c r="Y395" s="7" t="s">
        <v>5250</v>
      </c>
      <c r="Z395" s="7" t="s">
        <v>5365</v>
      </c>
      <c r="AA395" s="68">
        <f t="shared" si="5"/>
        <v>45443</v>
      </c>
      <c r="AB395" s="68">
        <f t="shared" si="6"/>
        <v>45444</v>
      </c>
      <c r="AC395" s="68">
        <f t="shared" si="7"/>
        <v>45473</v>
      </c>
      <c r="AD395" s="68">
        <f t="shared" si="8"/>
        <v>45472</v>
      </c>
      <c r="AE395" s="68">
        <f t="shared" si="9"/>
        <v>45473</v>
      </c>
    </row>
    <row r="396" spans="1:31" ht="12.5">
      <c r="A396" s="125">
        <v>610423040014</v>
      </c>
      <c r="B396" s="64" t="s">
        <v>181</v>
      </c>
      <c r="D396" s="10">
        <f t="array" aca="1" ref="D396" ca="1">INDEX('Mitra per Bulan'!$M$2:$M800,MATCH(S396,'Mitra per Bulan'!$B$2:$B800,0))</f>
        <v>1</v>
      </c>
      <c r="E396" s="10" t="str">
        <f t="array" ref="E396">INDEX('Database Mitra'!$A$2:$A800,MATCH(A396,'Database Mitra'!$B$2:$B800,0))</f>
        <v>Fransiska Romana</v>
      </c>
      <c r="F396" s="64" t="s">
        <v>25</v>
      </c>
      <c r="G396" s="5" t="str">
        <f t="array" ref="G396">INDEX('Database Mitra'!$G$2:$G800,MATCH(A396,'Database Mitra'!$B$2:$B800,0))</f>
        <v>6107036103910001</v>
      </c>
      <c r="H396" s="64" t="s">
        <v>182</v>
      </c>
      <c r="I396" s="65" t="s">
        <v>183</v>
      </c>
      <c r="J396" s="10" t="str">
        <f t="array" ref="J396">INDEX(Honor!$H$2:$H800,MATCH($I396,Honor!$A$2:$A800,0))</f>
        <v>OB</v>
      </c>
      <c r="K396" s="66">
        <f t="array" ref="K396">INDEX(Honor!$I$2:$I800,MATCH($I396,Honor!$A$2:$A800,0))</f>
        <v>4694000</v>
      </c>
      <c r="L396" s="64">
        <v>1</v>
      </c>
      <c r="M396" s="10">
        <f t="shared" si="0"/>
        <v>4694000</v>
      </c>
      <c r="O396" s="67">
        <f t="array" ref="O396">INDEX(Honor!$L$2:$L800,MATCH($I396,Honor!$A$2:$A800,0))</f>
        <v>45473</v>
      </c>
      <c r="P396" s="10">
        <f t="shared" si="1"/>
        <v>2024</v>
      </c>
      <c r="Q396" s="10">
        <f t="shared" si="2"/>
        <v>6</v>
      </c>
      <c r="R396" s="10" t="str">
        <f t="array" ref="R396">INDEX(Honor!$Q$2:$Q800,MATCH($I396,Honor!$A$2:$A800,0))</f>
        <v>SENSUS-PPL</v>
      </c>
      <c r="S396" s="10" t="str">
        <f t="shared" si="3"/>
        <v>610423040014-2024-6</v>
      </c>
      <c r="T396" s="10" t="str">
        <f t="shared" si="4"/>
        <v>610423040014-2024-6-SENSUS-PPL</v>
      </c>
      <c r="U396" s="64">
        <v>1</v>
      </c>
      <c r="V396" s="10" t="e">
        <f t="array" aca="1" ref="V396" ca="1">INDEX(Honor!$O$2:$O800,MATCH($I396,Honor!$A$2:$A800,0))</f>
        <v>#NAME?</v>
      </c>
      <c r="W396" s="67"/>
      <c r="X396" s="7" t="str">
        <f t="array" ref="X396">INDEX('Input Kegiatan'!$B$2:$B800,MATCH(B396,'Input Kegiatan'!$A$2:$A800,0))</f>
        <v>Survei Ekonomi Pertanian 2024</v>
      </c>
      <c r="Y396" s="7" t="s">
        <v>5534</v>
      </c>
      <c r="Z396" s="7" t="s">
        <v>5714</v>
      </c>
      <c r="AA396" s="68">
        <f t="shared" si="5"/>
        <v>45443</v>
      </c>
      <c r="AB396" s="68">
        <f t="shared" si="6"/>
        <v>45444</v>
      </c>
      <c r="AC396" s="68">
        <f t="shared" si="7"/>
        <v>45473</v>
      </c>
      <c r="AD396" s="68">
        <f t="shared" si="8"/>
        <v>45472</v>
      </c>
      <c r="AE396" s="68">
        <f t="shared" si="9"/>
        <v>45473</v>
      </c>
    </row>
    <row r="397" spans="1:31" ht="12.5">
      <c r="A397" s="125">
        <v>610423040013</v>
      </c>
      <c r="B397" s="64" t="s">
        <v>181</v>
      </c>
      <c r="D397" s="10">
        <f t="array" aca="1" ref="D397" ca="1">INDEX('Mitra per Bulan'!$M$2:$M800,MATCH(S397,'Mitra per Bulan'!$B$2:$B800,0))</f>
        <v>1</v>
      </c>
      <c r="E397" s="10" t="str">
        <f t="array" ref="E397">INDEX('Database Mitra'!$A$2:$A800,MATCH(A397,'Database Mitra'!$B$2:$B800,0))</f>
        <v>Lulu Gesti Gunawati</v>
      </c>
      <c r="F397" s="64" t="s">
        <v>25</v>
      </c>
      <c r="G397" s="5" t="str">
        <f t="array" ref="G397">INDEX('Database Mitra'!$G$2:$G800,MATCH(A397,'Database Mitra'!$B$2:$B800,0))</f>
        <v>3314066101000001</v>
      </c>
      <c r="H397" s="64" t="s">
        <v>182</v>
      </c>
      <c r="I397" s="65" t="s">
        <v>183</v>
      </c>
      <c r="J397" s="10" t="str">
        <f t="array" ref="J397">INDEX(Honor!$H$2:$H800,MATCH($I397,Honor!$A$2:$A800,0))</f>
        <v>OB</v>
      </c>
      <c r="K397" s="66">
        <f t="array" ref="K397">INDEX(Honor!$I$2:$I800,MATCH($I397,Honor!$A$2:$A800,0))</f>
        <v>4694000</v>
      </c>
      <c r="L397" s="64">
        <v>1</v>
      </c>
      <c r="M397" s="10">
        <f t="shared" si="0"/>
        <v>4694000</v>
      </c>
      <c r="O397" s="67">
        <f t="array" ref="O397">INDEX(Honor!$L$2:$L800,MATCH($I397,Honor!$A$2:$A800,0))</f>
        <v>45473</v>
      </c>
      <c r="P397" s="10">
        <f t="shared" si="1"/>
        <v>2024</v>
      </c>
      <c r="Q397" s="10">
        <f t="shared" si="2"/>
        <v>6</v>
      </c>
      <c r="R397" s="10" t="str">
        <f t="array" ref="R397">INDEX(Honor!$Q$2:$Q800,MATCH($I397,Honor!$A$2:$A800,0))</f>
        <v>SENSUS-PPL</v>
      </c>
      <c r="S397" s="10" t="str">
        <f t="shared" si="3"/>
        <v>610423040013-2024-6</v>
      </c>
      <c r="T397" s="10" t="str">
        <f t="shared" si="4"/>
        <v>610423040013-2024-6-SENSUS-PPL</v>
      </c>
      <c r="U397" s="64">
        <v>1</v>
      </c>
      <c r="V397" s="10" t="e">
        <f t="array" aca="1" ref="V397" ca="1">INDEX(Honor!$O$2:$O800,MATCH($I397,Honor!$A$2:$A800,0))</f>
        <v>#NAME?</v>
      </c>
      <c r="W397" s="67"/>
      <c r="X397" s="7" t="str">
        <f t="array" ref="X397">INDEX('Input Kegiatan'!$B$2:$B800,MATCH(B397,'Input Kegiatan'!$A$2:$A800,0))</f>
        <v>Survei Ekonomi Pertanian 2024</v>
      </c>
      <c r="Y397" s="7" t="s">
        <v>5250</v>
      </c>
      <c r="Z397" s="7" t="s">
        <v>5304</v>
      </c>
      <c r="AA397" s="68">
        <f t="shared" si="5"/>
        <v>45443</v>
      </c>
      <c r="AB397" s="68">
        <f t="shared" si="6"/>
        <v>45444</v>
      </c>
      <c r="AC397" s="68">
        <f t="shared" si="7"/>
        <v>45473</v>
      </c>
      <c r="AD397" s="68">
        <f t="shared" si="8"/>
        <v>45472</v>
      </c>
      <c r="AE397" s="68">
        <f t="shared" si="9"/>
        <v>45473</v>
      </c>
    </row>
    <row r="398" spans="1:31" ht="12.5">
      <c r="A398" s="125">
        <v>610423040018</v>
      </c>
      <c r="B398" s="64" t="s">
        <v>181</v>
      </c>
      <c r="D398" s="10">
        <f t="array" aca="1" ref="D398" ca="1">INDEX('Mitra per Bulan'!$M$2:$M800,MATCH(S398,'Mitra per Bulan'!$B$2:$B800,0))</f>
        <v>1</v>
      </c>
      <c r="E398" s="10" t="str">
        <f t="array" ref="E398">INDEX('Database Mitra'!$A$2:$A800,MATCH(A398,'Database Mitra'!$B$2:$B800,0))</f>
        <v>Handoko Tuah Sabarman Sipayung</v>
      </c>
      <c r="F398" s="64" t="s">
        <v>25</v>
      </c>
      <c r="G398" s="5" t="str">
        <f t="array" ref="G398">INDEX('Database Mitra'!$G$2:$G800,MATCH(A398,'Database Mitra'!$B$2:$B800,0))</f>
        <v>1212092309880001</v>
      </c>
      <c r="H398" s="64" t="s">
        <v>182</v>
      </c>
      <c r="I398" s="65" t="s">
        <v>183</v>
      </c>
      <c r="J398" s="10" t="str">
        <f t="array" ref="J398">INDEX(Honor!$H$2:$H800,MATCH($I398,Honor!$A$2:$A800,0))</f>
        <v>OB</v>
      </c>
      <c r="K398" s="66">
        <f t="array" ref="K398">INDEX(Honor!$I$2:$I800,MATCH($I398,Honor!$A$2:$A800,0))</f>
        <v>4694000</v>
      </c>
      <c r="L398" s="64">
        <v>1</v>
      </c>
      <c r="M398" s="10">
        <f t="shared" si="0"/>
        <v>4694000</v>
      </c>
      <c r="O398" s="67">
        <f t="array" ref="O398">INDEX(Honor!$L$2:$L800,MATCH($I398,Honor!$A$2:$A800,0))</f>
        <v>45473</v>
      </c>
      <c r="P398" s="10">
        <f t="shared" si="1"/>
        <v>2024</v>
      </c>
      <c r="Q398" s="10">
        <f t="shared" si="2"/>
        <v>6</v>
      </c>
      <c r="R398" s="10" t="str">
        <f t="array" ref="R398">INDEX(Honor!$Q$2:$Q800,MATCH($I398,Honor!$A$2:$A800,0))</f>
        <v>SENSUS-PPL</v>
      </c>
      <c r="S398" s="10" t="str">
        <f t="shared" si="3"/>
        <v>610423040018-2024-6</v>
      </c>
      <c r="T398" s="10" t="str">
        <f t="shared" si="4"/>
        <v>610423040018-2024-6-SENSUS-PPL</v>
      </c>
      <c r="U398" s="64">
        <v>1</v>
      </c>
      <c r="V398" s="10" t="e">
        <f t="array" aca="1" ref="V398" ca="1">INDEX(Honor!$O$2:$O800,MATCH($I398,Honor!$A$2:$A800,0))</f>
        <v>#NAME?</v>
      </c>
      <c r="W398" s="67"/>
      <c r="X398" s="7" t="str">
        <f t="array" ref="X398">INDEX('Input Kegiatan'!$B$2:$B800,MATCH(B398,'Input Kegiatan'!$A$2:$A800,0))</f>
        <v>Survei Ekonomi Pertanian 2024</v>
      </c>
      <c r="Y398" s="7" t="s">
        <v>5534</v>
      </c>
      <c r="Z398" s="7" t="s">
        <v>5647</v>
      </c>
      <c r="AA398" s="68">
        <f t="shared" si="5"/>
        <v>45443</v>
      </c>
      <c r="AB398" s="68">
        <f t="shared" si="6"/>
        <v>45444</v>
      </c>
      <c r="AC398" s="68">
        <f t="shared" si="7"/>
        <v>45473</v>
      </c>
      <c r="AD398" s="68">
        <f t="shared" si="8"/>
        <v>45472</v>
      </c>
      <c r="AE398" s="68">
        <f t="shared" si="9"/>
        <v>45473</v>
      </c>
    </row>
    <row r="399" spans="1:31" ht="12.5">
      <c r="A399" s="125">
        <v>610422100108</v>
      </c>
      <c r="B399" s="64" t="s">
        <v>184</v>
      </c>
      <c r="D399" s="10">
        <f t="array" aca="1" ref="D399" ca="1">INDEX('Mitra per Bulan'!$M$2:$M800,MATCH(S399,'Mitra per Bulan'!$B$2:$B800,0))</f>
        <v>1</v>
      </c>
      <c r="E399" s="10" t="str">
        <f t="array" ref="E399">INDEX('Database Mitra'!$A$2:$A800,MATCH(A399,'Database Mitra'!$B$2:$B800,0))</f>
        <v>Ermi Tiyarni</v>
      </c>
      <c r="F399" s="64" t="s">
        <v>90</v>
      </c>
      <c r="G399" s="5" t="str">
        <f t="array" ref="G399">INDEX('Database Mitra'!$G$2:$G800,MATCH(A399,'Database Mitra'!$B$2:$B800,0))</f>
        <v>6102016512980004</v>
      </c>
      <c r="H399" s="64" t="s">
        <v>108</v>
      </c>
      <c r="I399" s="64" t="s">
        <v>185</v>
      </c>
      <c r="J399" s="10" t="str">
        <f t="array" ref="J399">INDEX(Honor!$H$2:$H800,MATCH($I399,Honor!$A$2:$A800,0))</f>
        <v>OB</v>
      </c>
      <c r="K399" s="66">
        <f t="array" ref="K399">INDEX(Honor!$I$2:$I800,MATCH($I399,Honor!$A$2:$A800,0))</f>
        <v>3298000</v>
      </c>
      <c r="L399" s="64">
        <v>1</v>
      </c>
      <c r="M399" s="10">
        <f t="shared" si="0"/>
        <v>3298000</v>
      </c>
      <c r="O399" s="67">
        <f t="array" ref="O399">INDEX(Honor!$L$2:$L800,MATCH($I399,Honor!$A$2:$A800,0))</f>
        <v>45476</v>
      </c>
      <c r="P399" s="10">
        <f t="shared" si="1"/>
        <v>2024</v>
      </c>
      <c r="Q399" s="10">
        <f t="shared" si="2"/>
        <v>7</v>
      </c>
      <c r="R399" s="10" t="str">
        <f t="array" ref="R399">INDEX(Honor!$Q$2:$Q800,MATCH($I399,Honor!$A$2:$A800,0))</f>
        <v>SENSUS-PETUGAS ENTRI</v>
      </c>
      <c r="S399" s="10" t="str">
        <f t="shared" si="3"/>
        <v>610422100108-2024-7</v>
      </c>
      <c r="T399" s="10" t="str">
        <f t="shared" si="4"/>
        <v>610422100108-2024-7-SENSUS-PETUGAS ENTRI</v>
      </c>
      <c r="U399" s="64">
        <v>1</v>
      </c>
      <c r="V399" s="10" t="e">
        <f t="array" aca="1" ref="V399" ca="1">INDEX(Honor!$O$2:$O800,MATCH($I399,Honor!$A$2:$A800,0))</f>
        <v>#NAME?</v>
      </c>
      <c r="W399" s="67"/>
      <c r="X399" s="7" t="str">
        <f t="array" ref="X399">INDEX('Input Kegiatan'!$B$2:$B800,MATCH(B399,'Input Kegiatan'!$A$2:$A800,0))</f>
        <v>Survei Ekonomi Pertanian 2024</v>
      </c>
      <c r="Y399" s="7" t="s">
        <v>4572</v>
      </c>
      <c r="Z399" s="7" t="s">
        <v>4619</v>
      </c>
      <c r="AA399" s="68">
        <f t="shared" si="5"/>
        <v>45473</v>
      </c>
      <c r="AB399" s="68">
        <f t="shared" si="6"/>
        <v>45474</v>
      </c>
      <c r="AC399" s="68">
        <f t="shared" si="7"/>
        <v>45504</v>
      </c>
      <c r="AD399" s="68">
        <f t="shared" si="8"/>
        <v>45503</v>
      </c>
      <c r="AE399" s="68">
        <f t="shared" si="9"/>
        <v>45504</v>
      </c>
    </row>
    <row r="400" spans="1:31" ht="12.5">
      <c r="A400" s="125">
        <v>610422100083</v>
      </c>
      <c r="B400" s="64" t="s">
        <v>184</v>
      </c>
      <c r="D400" s="10">
        <f t="array" aca="1" ref="D400" ca="1">INDEX('Mitra per Bulan'!$M$2:$M800,MATCH(S400,'Mitra per Bulan'!$B$2:$B800,0))</f>
        <v>1</v>
      </c>
      <c r="E400" s="10" t="str">
        <f t="array" ref="E400">INDEX('Database Mitra'!$A$2:$A800,MATCH(A400,'Database Mitra'!$B$2:$B800,0))</f>
        <v>Ilham Subagio</v>
      </c>
      <c r="F400" s="64" t="s">
        <v>90</v>
      </c>
      <c r="G400" s="5" t="str">
        <f t="array" ref="G400">INDEX('Database Mitra'!$G$2:$G800,MATCH(A400,'Database Mitra'!$B$2:$B800,0))</f>
        <v>6102012006970002</v>
      </c>
      <c r="H400" s="64" t="s">
        <v>108</v>
      </c>
      <c r="I400" s="64" t="s">
        <v>185</v>
      </c>
      <c r="J400" s="10" t="str">
        <f t="array" ref="J400">INDEX(Honor!$H$2:$H800,MATCH($I400,Honor!$A$2:$A800,0))</f>
        <v>OB</v>
      </c>
      <c r="K400" s="66">
        <f t="array" ref="K400">INDEX(Honor!$I$2:$I800,MATCH($I400,Honor!$A$2:$A800,0))</f>
        <v>3298000</v>
      </c>
      <c r="L400" s="64">
        <v>1</v>
      </c>
      <c r="M400" s="10">
        <f t="shared" si="0"/>
        <v>3298000</v>
      </c>
      <c r="O400" s="67">
        <f t="array" ref="O400">INDEX(Honor!$L$2:$L800,MATCH($I400,Honor!$A$2:$A800,0))</f>
        <v>45476</v>
      </c>
      <c r="P400" s="10">
        <f t="shared" si="1"/>
        <v>2024</v>
      </c>
      <c r="Q400" s="10">
        <f t="shared" si="2"/>
        <v>7</v>
      </c>
      <c r="R400" s="10" t="str">
        <f t="array" ref="R400">INDEX(Honor!$Q$2:$Q800,MATCH($I400,Honor!$A$2:$A800,0))</f>
        <v>SENSUS-PETUGAS ENTRI</v>
      </c>
      <c r="S400" s="10" t="str">
        <f t="shared" si="3"/>
        <v>610422100083-2024-7</v>
      </c>
      <c r="T400" s="10" t="str">
        <f t="shared" si="4"/>
        <v>610422100083-2024-7-SENSUS-PETUGAS ENTRI</v>
      </c>
      <c r="U400" s="64">
        <v>1</v>
      </c>
      <c r="V400" s="10" t="e">
        <f t="array" aca="1" ref="V400" ca="1">INDEX(Honor!$O$2:$O800,MATCH($I400,Honor!$A$2:$A800,0))</f>
        <v>#NAME?</v>
      </c>
      <c r="W400" s="67"/>
      <c r="X400" s="7" t="str">
        <f t="array" ref="X400">INDEX('Input Kegiatan'!$B$2:$B800,MATCH(B400,'Input Kegiatan'!$A$2:$A800,0))</f>
        <v>Survei Ekonomi Pertanian 2024</v>
      </c>
      <c r="Y400" s="7" t="s">
        <v>4572</v>
      </c>
      <c r="Z400" s="7" t="s">
        <v>4619</v>
      </c>
      <c r="AA400" s="68">
        <f t="shared" si="5"/>
        <v>45473</v>
      </c>
      <c r="AB400" s="68">
        <f t="shared" si="6"/>
        <v>45474</v>
      </c>
      <c r="AC400" s="68">
        <f t="shared" si="7"/>
        <v>45504</v>
      </c>
      <c r="AD400" s="68">
        <f t="shared" si="8"/>
        <v>45503</v>
      </c>
      <c r="AE400" s="68">
        <f t="shared" si="9"/>
        <v>45504</v>
      </c>
    </row>
    <row r="401" spans="1:31" ht="12.5">
      <c r="A401" s="125">
        <v>610423040016</v>
      </c>
      <c r="B401" s="64" t="s">
        <v>184</v>
      </c>
      <c r="D401" s="10">
        <f t="array" aca="1" ref="D401" ca="1">INDEX('Mitra per Bulan'!$M$2:$M800,MATCH(S401,'Mitra per Bulan'!$B$2:$B800,0))</f>
        <v>1</v>
      </c>
      <c r="E401" s="10" t="str">
        <f t="array" ref="E401">INDEX('Database Mitra'!$A$2:$A800,MATCH(A401,'Database Mitra'!$B$2:$B800,0))</f>
        <v>Fairuztia Atiqah Putri</v>
      </c>
      <c r="F401" s="64" t="s">
        <v>90</v>
      </c>
      <c r="G401" s="5" t="str">
        <f t="array" ref="G401">INDEX('Database Mitra'!$G$2:$G800,MATCH(A401,'Database Mitra'!$B$2:$B800,0))</f>
        <v>6102016709010003</v>
      </c>
      <c r="H401" s="64" t="s">
        <v>108</v>
      </c>
      <c r="I401" s="64" t="s">
        <v>185</v>
      </c>
      <c r="J401" s="10" t="str">
        <f t="array" ref="J401">INDEX(Honor!$H$2:$H800,MATCH($I401,Honor!$A$2:$A800,0))</f>
        <v>OB</v>
      </c>
      <c r="K401" s="66">
        <f t="array" ref="K401">INDEX(Honor!$I$2:$I800,MATCH($I401,Honor!$A$2:$A800,0))</f>
        <v>3298000</v>
      </c>
      <c r="L401" s="64">
        <v>1</v>
      </c>
      <c r="M401" s="10">
        <f t="shared" si="0"/>
        <v>3298000</v>
      </c>
      <c r="O401" s="67">
        <f t="array" ref="O401">INDEX(Honor!$L$2:$L800,MATCH($I401,Honor!$A$2:$A800,0))</f>
        <v>45476</v>
      </c>
      <c r="P401" s="10">
        <f t="shared" si="1"/>
        <v>2024</v>
      </c>
      <c r="Q401" s="10">
        <f t="shared" si="2"/>
        <v>7</v>
      </c>
      <c r="R401" s="10" t="str">
        <f t="array" ref="R401">INDEX(Honor!$Q$2:$Q800,MATCH($I401,Honor!$A$2:$A800,0))</f>
        <v>SENSUS-PETUGAS ENTRI</v>
      </c>
      <c r="S401" s="10" t="str">
        <f t="shared" si="3"/>
        <v>610423040016-2024-7</v>
      </c>
      <c r="T401" s="10" t="str">
        <f t="shared" si="4"/>
        <v>610423040016-2024-7-SENSUS-PETUGAS ENTRI</v>
      </c>
      <c r="U401" s="64">
        <v>1</v>
      </c>
      <c r="V401" s="10" t="e">
        <f t="array" aca="1" ref="V401" ca="1">INDEX(Honor!$O$2:$O800,MATCH($I401,Honor!$A$2:$A800,0))</f>
        <v>#NAME?</v>
      </c>
      <c r="W401" s="67"/>
      <c r="X401" s="7" t="str">
        <f t="array" ref="X401">INDEX('Input Kegiatan'!$B$2:$B800,MATCH(B401,'Input Kegiatan'!$A$2:$A800,0))</f>
        <v>Survei Ekonomi Pertanian 2024</v>
      </c>
      <c r="Y401" s="7" t="s">
        <v>4572</v>
      </c>
      <c r="Z401" s="7" t="s">
        <v>4619</v>
      </c>
      <c r="AA401" s="68">
        <f t="shared" si="5"/>
        <v>45473</v>
      </c>
      <c r="AB401" s="68">
        <f t="shared" si="6"/>
        <v>45474</v>
      </c>
      <c r="AC401" s="68">
        <f t="shared" si="7"/>
        <v>45504</v>
      </c>
      <c r="AD401" s="68">
        <f t="shared" si="8"/>
        <v>45503</v>
      </c>
      <c r="AE401" s="68">
        <f t="shared" si="9"/>
        <v>45504</v>
      </c>
    </row>
    <row r="402" spans="1:31" ht="12.5">
      <c r="A402" s="125">
        <v>610422100016</v>
      </c>
      <c r="B402" s="64" t="s">
        <v>184</v>
      </c>
      <c r="D402" s="10">
        <f t="array" aca="1" ref="D402" ca="1">INDEX('Mitra per Bulan'!$M$2:$M800,MATCH(S402,'Mitra per Bulan'!$B$2:$B800,0))</f>
        <v>1</v>
      </c>
      <c r="E402" s="10" t="str">
        <f t="array" ref="E402">INDEX('Database Mitra'!$A$2:$A800,MATCH(A402,'Database Mitra'!$B$2:$B800,0))</f>
        <v>Amalia Faisya</v>
      </c>
      <c r="F402" s="64" t="s">
        <v>90</v>
      </c>
      <c r="G402" s="5" t="str">
        <f t="array" ref="G402">INDEX('Database Mitra'!$G$2:$G800,MATCH(A402,'Database Mitra'!$B$2:$B800,0))</f>
        <v>6102124210010005</v>
      </c>
      <c r="H402" s="64" t="s">
        <v>108</v>
      </c>
      <c r="I402" s="64" t="s">
        <v>185</v>
      </c>
      <c r="J402" s="10" t="str">
        <f t="array" ref="J402">INDEX(Honor!$H$2:$H800,MATCH($I402,Honor!$A$2:$A800,0))</f>
        <v>OB</v>
      </c>
      <c r="K402" s="66">
        <f t="array" ref="K402">INDEX(Honor!$I$2:$I800,MATCH($I402,Honor!$A$2:$A800,0))</f>
        <v>3298000</v>
      </c>
      <c r="L402" s="64">
        <v>1</v>
      </c>
      <c r="M402" s="10">
        <f t="shared" si="0"/>
        <v>3298000</v>
      </c>
      <c r="O402" s="67">
        <f t="array" ref="O402">INDEX(Honor!$L$2:$L800,MATCH($I402,Honor!$A$2:$A800,0))</f>
        <v>45476</v>
      </c>
      <c r="P402" s="10">
        <f t="shared" si="1"/>
        <v>2024</v>
      </c>
      <c r="Q402" s="10">
        <f t="shared" si="2"/>
        <v>7</v>
      </c>
      <c r="R402" s="10" t="str">
        <f t="array" ref="R402">INDEX(Honor!$Q$2:$Q800,MATCH($I402,Honor!$A$2:$A800,0))</f>
        <v>SENSUS-PETUGAS ENTRI</v>
      </c>
      <c r="S402" s="10" t="str">
        <f t="shared" si="3"/>
        <v>610422100016-2024-7</v>
      </c>
      <c r="T402" s="10" t="str">
        <f t="shared" si="4"/>
        <v>610422100016-2024-7-SENSUS-PETUGAS ENTRI</v>
      </c>
      <c r="U402" s="64">
        <v>1</v>
      </c>
      <c r="V402" s="10" t="e">
        <f t="array" aca="1" ref="V402" ca="1">INDEX(Honor!$O$2:$O800,MATCH($I402,Honor!$A$2:$A800,0))</f>
        <v>#NAME?</v>
      </c>
      <c r="W402" s="67"/>
      <c r="X402" s="7" t="str">
        <f t="array" ref="X402">INDEX('Input Kegiatan'!$B$2:$B800,MATCH(B402,'Input Kegiatan'!$A$2:$A800,0))</f>
        <v>Survei Ekonomi Pertanian 2024</v>
      </c>
      <c r="Y402" s="7" t="s">
        <v>5250</v>
      </c>
      <c r="Z402" s="7" t="s">
        <v>5365</v>
      </c>
      <c r="AA402" s="68">
        <f t="shared" si="5"/>
        <v>45473</v>
      </c>
      <c r="AB402" s="68">
        <f t="shared" si="6"/>
        <v>45474</v>
      </c>
      <c r="AC402" s="68">
        <f t="shared" si="7"/>
        <v>45504</v>
      </c>
      <c r="AD402" s="68">
        <f t="shared" si="8"/>
        <v>45503</v>
      </c>
      <c r="AE402" s="68">
        <f t="shared" si="9"/>
        <v>45504</v>
      </c>
    </row>
    <row r="403" spans="1:31" ht="12.5">
      <c r="A403" s="125">
        <v>610423040004</v>
      </c>
      <c r="B403" s="64" t="s">
        <v>186</v>
      </c>
      <c r="D403" s="10">
        <f t="array" aca="1" ref="D403" ca="1">INDEX('Mitra per Bulan'!$M$2:$M800,MATCH(S403,'Mitra per Bulan'!$B$2:$B800,0))</f>
        <v>1</v>
      </c>
      <c r="E403" s="10" t="str">
        <f t="array" ref="E403">INDEX('Database Mitra'!$A$2:$A800,MATCH(A403,'Database Mitra'!$B$2:$B800,0))</f>
        <v>Ayu Agustin</v>
      </c>
      <c r="F403" s="64" t="s">
        <v>25</v>
      </c>
      <c r="G403" s="5" t="str">
        <f t="array" ref="G403">INDEX('Database Mitra'!$G$2:$G800,MATCH(A403,'Database Mitra'!$B$2:$B800,0))</f>
        <v>6111025008930002</v>
      </c>
      <c r="H403" s="64" t="s">
        <v>67</v>
      </c>
      <c r="I403" s="65" t="s">
        <v>187</v>
      </c>
      <c r="J403" s="10" t="str">
        <f t="array" ref="J403">INDEX(Honor!$H$2:$H800,MATCH($I403,Honor!$A$2:$A800,0))</f>
        <v>Dokumen</v>
      </c>
      <c r="K403" s="66">
        <f t="array" ref="K403">INDEX(Honor!$I$2:$I800,MATCH($I403,Honor!$A$2:$A800,0))</f>
        <v>91000</v>
      </c>
      <c r="L403" s="64">
        <v>10</v>
      </c>
      <c r="M403" s="10">
        <f t="shared" si="0"/>
        <v>910000</v>
      </c>
      <c r="O403" s="67">
        <f t="array" ref="O403">INDEX(Honor!$L$2:$L800,MATCH($I403,Honor!$A$2:$A800,0))</f>
        <v>45482</v>
      </c>
      <c r="P403" s="10">
        <f t="shared" si="1"/>
        <v>2024</v>
      </c>
      <c r="Q403" s="10">
        <f t="shared" si="2"/>
        <v>7</v>
      </c>
      <c r="R403" s="10" t="str">
        <f t="array" ref="R403">INDEX(Honor!$Q$2:$Q800,MATCH($I403,Honor!$A$2:$A800,0))</f>
        <v>SURVEI-PPL</v>
      </c>
      <c r="S403" s="10" t="str">
        <f t="shared" si="3"/>
        <v>610423040004-2024-7</v>
      </c>
      <c r="T403" s="10" t="str">
        <f t="shared" si="4"/>
        <v>610423040004-2024-7-SURVEI-PPL</v>
      </c>
      <c r="U403" s="64">
        <v>1</v>
      </c>
      <c r="V403" s="10" t="e">
        <f t="array" aca="1" ref="V403" ca="1">INDEX(Honor!$O$2:$O800,MATCH($I403,Honor!$A$2:$A800,0))</f>
        <v>#NAME?</v>
      </c>
      <c r="W403" s="67"/>
      <c r="X403" s="7" t="str">
        <f t="array" ref="X403">INDEX('Input Kegiatan'!$B$2:$B800,MATCH(B403,'Input Kegiatan'!$A$2:$A800,0))</f>
        <v>Survei Ekonomi Rumah Tangga Triwulanan (SERUTI24) Triwulan II Kegiatan Lapangan</v>
      </c>
      <c r="Y403" s="7" t="s">
        <v>4408</v>
      </c>
      <c r="Z403" s="7" t="s">
        <v>4531</v>
      </c>
      <c r="AA403" s="68">
        <f t="shared" si="5"/>
        <v>45473</v>
      </c>
      <c r="AB403" s="68">
        <f t="shared" si="6"/>
        <v>45474</v>
      </c>
      <c r="AC403" s="68">
        <f t="shared" si="7"/>
        <v>45504</v>
      </c>
      <c r="AD403" s="68">
        <f t="shared" si="8"/>
        <v>45503</v>
      </c>
      <c r="AE403" s="68">
        <f t="shared" si="9"/>
        <v>45504</v>
      </c>
    </row>
    <row r="404" spans="1:31" ht="12.5">
      <c r="A404" s="125">
        <v>610422100144</v>
      </c>
      <c r="B404" s="64" t="s">
        <v>186</v>
      </c>
      <c r="D404" s="10">
        <f t="array" aca="1" ref="D404" ca="1">INDEX('Mitra per Bulan'!$M$2:$M800,MATCH(S404,'Mitra per Bulan'!$B$2:$B800,0))</f>
        <v>1</v>
      </c>
      <c r="E404" s="10" t="str">
        <f t="array" ref="E404">INDEX('Database Mitra'!$A$2:$A800,MATCH(A404,'Database Mitra'!$B$2:$B800,0))</f>
        <v>Irfan Faozi Sunaryo</v>
      </c>
      <c r="F404" s="64" t="s">
        <v>25</v>
      </c>
      <c r="G404" s="5" t="str">
        <f t="array" ref="G404">INDEX('Database Mitra'!$G$2:$G800,MATCH(A404,'Database Mitra'!$B$2:$B800,0))</f>
        <v>6102122710990001</v>
      </c>
      <c r="H404" s="64" t="s">
        <v>67</v>
      </c>
      <c r="I404" s="65" t="s">
        <v>187</v>
      </c>
      <c r="J404" s="10" t="str">
        <f t="array" ref="J404">INDEX(Honor!$H$2:$H800,MATCH($I404,Honor!$A$2:$A800,0))</f>
        <v>Dokumen</v>
      </c>
      <c r="K404" s="66">
        <f t="array" ref="K404">INDEX(Honor!$I$2:$I800,MATCH($I404,Honor!$A$2:$A800,0))</f>
        <v>91000</v>
      </c>
      <c r="L404" s="64">
        <v>10</v>
      </c>
      <c r="M404" s="10">
        <f t="shared" si="0"/>
        <v>910000</v>
      </c>
      <c r="O404" s="67">
        <f t="array" ref="O404">INDEX(Honor!$L$2:$L800,MATCH($I404,Honor!$A$2:$A800,0))</f>
        <v>45482</v>
      </c>
      <c r="P404" s="10">
        <f t="shared" si="1"/>
        <v>2024</v>
      </c>
      <c r="Q404" s="10">
        <f t="shared" si="2"/>
        <v>7</v>
      </c>
      <c r="R404" s="10" t="str">
        <f t="array" ref="R404">INDEX(Honor!$Q$2:$Q800,MATCH($I404,Honor!$A$2:$A800,0))</f>
        <v>SURVEI-PPL</v>
      </c>
      <c r="S404" s="10" t="str">
        <f t="shared" si="3"/>
        <v>610422100144-2024-7</v>
      </c>
      <c r="T404" s="10" t="str">
        <f t="shared" si="4"/>
        <v>610422100144-2024-7-SURVEI-PPL</v>
      </c>
      <c r="U404" s="64">
        <v>1</v>
      </c>
      <c r="V404" s="10" t="e">
        <f t="array" aca="1" ref="V404" ca="1">INDEX(Honor!$O$2:$O800,MATCH($I404,Honor!$A$2:$A800,0))</f>
        <v>#NAME?</v>
      </c>
      <c r="W404" s="67"/>
      <c r="X404" s="7" t="str">
        <f t="array" ref="X404">INDEX('Input Kegiatan'!$B$2:$B800,MATCH(B404,'Input Kegiatan'!$A$2:$A800,0))</f>
        <v>Survei Ekonomi Rumah Tangga Triwulanan (SERUTI24) Triwulan II Kegiatan Lapangan</v>
      </c>
      <c r="Y404" s="7" t="s">
        <v>5250</v>
      </c>
      <c r="Z404" s="7" t="s">
        <v>5488</v>
      </c>
      <c r="AA404" s="68">
        <f t="shared" si="5"/>
        <v>45473</v>
      </c>
      <c r="AB404" s="68">
        <f t="shared" si="6"/>
        <v>45474</v>
      </c>
      <c r="AC404" s="68">
        <f t="shared" si="7"/>
        <v>45504</v>
      </c>
      <c r="AD404" s="68">
        <f t="shared" si="8"/>
        <v>45503</v>
      </c>
      <c r="AE404" s="68">
        <f t="shared" si="9"/>
        <v>45504</v>
      </c>
    </row>
    <row r="405" spans="1:31" ht="12.5">
      <c r="A405" s="125">
        <v>610422020032</v>
      </c>
      <c r="B405" s="64" t="s">
        <v>186</v>
      </c>
      <c r="D405" s="10">
        <f t="array" aca="1" ref="D405" ca="1">INDEX('Mitra per Bulan'!$M$2:$M800,MATCH(S405,'Mitra per Bulan'!$B$2:$B800,0))</f>
        <v>1</v>
      </c>
      <c r="E405" s="10" t="str">
        <f t="array" ref="E405">INDEX('Database Mitra'!$A$2:$A800,MATCH(A405,'Database Mitra'!$B$2:$B800,0))</f>
        <v>Lilis Suryani</v>
      </c>
      <c r="F405" s="64" t="s">
        <v>25</v>
      </c>
      <c r="G405" s="5" t="str">
        <f t="array" ref="G405">INDEX('Database Mitra'!$G$2:$G800,MATCH(A405,'Database Mitra'!$B$2:$B800,0))</f>
        <v>6102185102880001</v>
      </c>
      <c r="H405" s="64" t="s">
        <v>67</v>
      </c>
      <c r="I405" s="65" t="s">
        <v>187</v>
      </c>
      <c r="J405" s="10" t="str">
        <f t="array" ref="J405">INDEX(Honor!$H$2:$H800,MATCH($I405,Honor!$A$2:$A800,0))</f>
        <v>Dokumen</v>
      </c>
      <c r="K405" s="66">
        <f t="array" ref="K405">INDEX(Honor!$I$2:$I800,MATCH($I405,Honor!$A$2:$A800,0))</f>
        <v>91000</v>
      </c>
      <c r="L405" s="64">
        <v>10</v>
      </c>
      <c r="M405" s="10">
        <f t="shared" si="0"/>
        <v>910000</v>
      </c>
      <c r="O405" s="67">
        <f t="array" ref="O405">INDEX(Honor!$L$2:$L800,MATCH($I405,Honor!$A$2:$A800,0))</f>
        <v>45482</v>
      </c>
      <c r="P405" s="10">
        <f t="shared" si="1"/>
        <v>2024</v>
      </c>
      <c r="Q405" s="10">
        <f t="shared" si="2"/>
        <v>7</v>
      </c>
      <c r="R405" s="10" t="str">
        <f t="array" ref="R405">INDEX(Honor!$Q$2:$Q800,MATCH($I405,Honor!$A$2:$A800,0))</f>
        <v>SURVEI-PPL</v>
      </c>
      <c r="S405" s="10" t="str">
        <f t="shared" si="3"/>
        <v>610422020032-2024-7</v>
      </c>
      <c r="T405" s="10" t="str">
        <f t="shared" si="4"/>
        <v>610422020032-2024-7-SURVEI-PPL</v>
      </c>
      <c r="U405" s="64">
        <v>1</v>
      </c>
      <c r="V405" s="10" t="e">
        <f t="array" aca="1" ref="V405" ca="1">INDEX(Honor!$O$2:$O800,MATCH($I405,Honor!$A$2:$A800,0))</f>
        <v>#NAME?</v>
      </c>
      <c r="W405" s="67"/>
      <c r="X405" s="7" t="str">
        <f t="array" ref="X405">INDEX('Input Kegiatan'!$B$2:$B800,MATCH(B405,'Input Kegiatan'!$A$2:$A800,0))</f>
        <v>Survei Ekonomi Rumah Tangga Triwulanan (SERUTI24) Triwulan II Kegiatan Lapangan</v>
      </c>
      <c r="Y405" s="7" t="s">
        <v>4931</v>
      </c>
      <c r="Z405" s="7" t="s">
        <v>5209</v>
      </c>
      <c r="AA405" s="68">
        <f t="shared" si="5"/>
        <v>45473</v>
      </c>
      <c r="AB405" s="68">
        <f t="shared" si="6"/>
        <v>45474</v>
      </c>
      <c r="AC405" s="68">
        <f t="shared" si="7"/>
        <v>45504</v>
      </c>
      <c r="AD405" s="68">
        <f t="shared" si="8"/>
        <v>45503</v>
      </c>
      <c r="AE405" s="68">
        <f t="shared" si="9"/>
        <v>45504</v>
      </c>
    </row>
    <row r="406" spans="1:31" ht="12.5">
      <c r="A406" s="125">
        <v>610422100085</v>
      </c>
      <c r="B406" s="64" t="s">
        <v>186</v>
      </c>
      <c r="D406" s="10">
        <f t="array" aca="1" ref="D406" ca="1">INDEX('Mitra per Bulan'!$M$2:$M800,MATCH(S406,'Mitra per Bulan'!$B$2:$B800,0))</f>
        <v>1</v>
      </c>
      <c r="E406" s="10" t="str">
        <f t="array" ref="E406">INDEX('Database Mitra'!$A$2:$A800,MATCH(A406,'Database Mitra'!$B$2:$B800,0))</f>
        <v>Lina Agustin Widya Siwi</v>
      </c>
      <c r="F406" s="64" t="s">
        <v>25</v>
      </c>
      <c r="G406" s="5" t="str">
        <f t="array" ref="G406">INDEX('Database Mitra'!$G$2:$G800,MATCH(A406,'Database Mitra'!$B$2:$B800,0))</f>
        <v>3301225608850001</v>
      </c>
      <c r="H406" s="64" t="s">
        <v>67</v>
      </c>
      <c r="I406" s="65" t="s">
        <v>187</v>
      </c>
      <c r="J406" s="10" t="str">
        <f t="array" ref="J406">INDEX(Honor!$H$2:$H800,MATCH($I406,Honor!$A$2:$A800,0))</f>
        <v>Dokumen</v>
      </c>
      <c r="K406" s="66">
        <f t="array" ref="K406">INDEX(Honor!$I$2:$I800,MATCH($I406,Honor!$A$2:$A800,0))</f>
        <v>91000</v>
      </c>
      <c r="L406" s="64">
        <v>10</v>
      </c>
      <c r="M406" s="10">
        <f t="shared" si="0"/>
        <v>910000</v>
      </c>
      <c r="O406" s="67">
        <f t="array" ref="O406">INDEX(Honor!$L$2:$L800,MATCH($I406,Honor!$A$2:$A800,0))</f>
        <v>45482</v>
      </c>
      <c r="P406" s="10">
        <f t="shared" si="1"/>
        <v>2024</v>
      </c>
      <c r="Q406" s="10">
        <f t="shared" si="2"/>
        <v>7</v>
      </c>
      <c r="R406" s="10" t="str">
        <f t="array" ref="R406">INDEX(Honor!$Q$2:$Q800,MATCH($I406,Honor!$A$2:$A800,0))</f>
        <v>SURVEI-PPL</v>
      </c>
      <c r="S406" s="10" t="str">
        <f t="shared" si="3"/>
        <v>610422100085-2024-7</v>
      </c>
      <c r="T406" s="10" t="str">
        <f t="shared" si="4"/>
        <v>610422100085-2024-7-SURVEI-PPL</v>
      </c>
      <c r="U406" s="64">
        <v>1</v>
      </c>
      <c r="V406" s="10" t="e">
        <f t="array" aca="1" ref="V406" ca="1">INDEX(Honor!$O$2:$O800,MATCH($I406,Honor!$A$2:$A800,0))</f>
        <v>#NAME?</v>
      </c>
      <c r="W406" s="67"/>
      <c r="X406" s="7" t="str">
        <f t="array" ref="X406">INDEX('Input Kegiatan'!$B$2:$B800,MATCH(B406,'Input Kegiatan'!$A$2:$A800,0))</f>
        <v>Survei Ekonomi Rumah Tangga Triwulanan (SERUTI24) Triwulan II Kegiatan Lapangan</v>
      </c>
      <c r="Y406" s="7" t="s">
        <v>3990</v>
      </c>
      <c r="Z406" s="7" t="s">
        <v>4087</v>
      </c>
      <c r="AA406" s="68">
        <f t="shared" si="5"/>
        <v>45473</v>
      </c>
      <c r="AB406" s="68">
        <f t="shared" si="6"/>
        <v>45474</v>
      </c>
      <c r="AC406" s="68">
        <f t="shared" si="7"/>
        <v>45504</v>
      </c>
      <c r="AD406" s="68">
        <f t="shared" si="8"/>
        <v>45503</v>
      </c>
      <c r="AE406" s="68">
        <f t="shared" si="9"/>
        <v>45504</v>
      </c>
    </row>
    <row r="407" spans="1:31" ht="12.5">
      <c r="A407" s="125">
        <v>610423040013</v>
      </c>
      <c r="B407" s="64" t="s">
        <v>186</v>
      </c>
      <c r="D407" s="10">
        <f t="array" aca="1" ref="D407" ca="1">INDEX('Mitra per Bulan'!$M$2:$M800,MATCH(S407,'Mitra per Bulan'!$B$2:$B800,0))</f>
        <v>1</v>
      </c>
      <c r="E407" s="10" t="str">
        <f t="array" ref="E407">INDEX('Database Mitra'!$A$2:$A800,MATCH(A407,'Database Mitra'!$B$2:$B800,0))</f>
        <v>Lulu Gesti Gunawati</v>
      </c>
      <c r="F407" s="64" t="s">
        <v>25</v>
      </c>
      <c r="G407" s="5" t="str">
        <f t="array" ref="G407">INDEX('Database Mitra'!$G$2:$G800,MATCH(A407,'Database Mitra'!$B$2:$B800,0))</f>
        <v>3314066101000001</v>
      </c>
      <c r="H407" s="64" t="s">
        <v>67</v>
      </c>
      <c r="I407" s="65" t="s">
        <v>187</v>
      </c>
      <c r="J407" s="10" t="str">
        <f t="array" ref="J407">INDEX(Honor!$H$2:$H800,MATCH($I407,Honor!$A$2:$A800,0))</f>
        <v>Dokumen</v>
      </c>
      <c r="K407" s="66">
        <f t="array" ref="K407">INDEX(Honor!$I$2:$I800,MATCH($I407,Honor!$A$2:$A800,0))</f>
        <v>91000</v>
      </c>
      <c r="L407" s="64">
        <v>10</v>
      </c>
      <c r="M407" s="10">
        <f t="shared" si="0"/>
        <v>910000</v>
      </c>
      <c r="O407" s="67">
        <f t="array" ref="O407">INDEX(Honor!$L$2:$L800,MATCH($I407,Honor!$A$2:$A800,0))</f>
        <v>45482</v>
      </c>
      <c r="P407" s="10">
        <f t="shared" si="1"/>
        <v>2024</v>
      </c>
      <c r="Q407" s="10">
        <f t="shared" si="2"/>
        <v>7</v>
      </c>
      <c r="R407" s="10" t="str">
        <f t="array" ref="R407">INDEX(Honor!$Q$2:$Q800,MATCH($I407,Honor!$A$2:$A800,0))</f>
        <v>SURVEI-PPL</v>
      </c>
      <c r="S407" s="10" t="str">
        <f t="shared" si="3"/>
        <v>610423040013-2024-7</v>
      </c>
      <c r="T407" s="10" t="str">
        <f t="shared" si="4"/>
        <v>610423040013-2024-7-SURVEI-PPL</v>
      </c>
      <c r="U407" s="64">
        <v>1</v>
      </c>
      <c r="V407" s="10" t="e">
        <f t="array" aca="1" ref="V407" ca="1">INDEX(Honor!$O$2:$O800,MATCH($I407,Honor!$A$2:$A800,0))</f>
        <v>#NAME?</v>
      </c>
      <c r="W407" s="67"/>
      <c r="X407" s="7" t="str">
        <f t="array" ref="X407">INDEX('Input Kegiatan'!$B$2:$B800,MATCH(B407,'Input Kegiatan'!$A$2:$A800,0))</f>
        <v>Survei Ekonomi Rumah Tangga Triwulanan (SERUTI24) Triwulan II Kegiatan Lapangan</v>
      </c>
      <c r="Y407" s="7" t="s">
        <v>5250</v>
      </c>
      <c r="Z407" s="7" t="s">
        <v>5304</v>
      </c>
      <c r="AA407" s="68">
        <f t="shared" si="5"/>
        <v>45473</v>
      </c>
      <c r="AB407" s="68">
        <f t="shared" si="6"/>
        <v>45474</v>
      </c>
      <c r="AC407" s="68">
        <f t="shared" si="7"/>
        <v>45504</v>
      </c>
      <c r="AD407" s="68">
        <f t="shared" si="8"/>
        <v>45503</v>
      </c>
      <c r="AE407" s="68">
        <f t="shared" si="9"/>
        <v>45504</v>
      </c>
    </row>
    <row r="408" spans="1:31" ht="12.5">
      <c r="A408" s="125">
        <v>610422100137</v>
      </c>
      <c r="B408" s="64" t="s">
        <v>186</v>
      </c>
      <c r="D408" s="10">
        <f t="array" aca="1" ref="D408" ca="1">INDEX('Mitra per Bulan'!$M$2:$M800,MATCH(S408,'Mitra per Bulan'!$B$2:$B800,0))</f>
        <v>1</v>
      </c>
      <c r="E408" s="10" t="str">
        <f t="array" ref="E408">INDEX('Database Mitra'!$A$2:$A800,MATCH(A408,'Database Mitra'!$B$2:$B800,0))</f>
        <v>Masturi</v>
      </c>
      <c r="F408" s="64" t="s">
        <v>25</v>
      </c>
      <c r="G408" s="5" t="str">
        <f t="array" ref="G408">INDEX('Database Mitra'!$G$2:$G800,MATCH(A408,'Database Mitra'!$B$2:$B800,0))</f>
        <v>6102060709870002</v>
      </c>
      <c r="H408" s="64" t="s">
        <v>67</v>
      </c>
      <c r="I408" s="65" t="s">
        <v>187</v>
      </c>
      <c r="J408" s="10" t="str">
        <f t="array" ref="J408">INDEX(Honor!$H$2:$H800,MATCH($I408,Honor!$A$2:$A800,0))</f>
        <v>Dokumen</v>
      </c>
      <c r="K408" s="66">
        <f t="array" ref="K408">INDEX(Honor!$I$2:$I800,MATCH($I408,Honor!$A$2:$A800,0))</f>
        <v>91000</v>
      </c>
      <c r="L408" s="64">
        <v>10</v>
      </c>
      <c r="M408" s="10">
        <f t="shared" si="0"/>
        <v>910000</v>
      </c>
      <c r="O408" s="67">
        <f t="array" ref="O408">INDEX(Honor!$L$2:$L800,MATCH($I408,Honor!$A$2:$A800,0))</f>
        <v>45482</v>
      </c>
      <c r="P408" s="10">
        <f t="shared" si="1"/>
        <v>2024</v>
      </c>
      <c r="Q408" s="10">
        <f t="shared" si="2"/>
        <v>7</v>
      </c>
      <c r="R408" s="10" t="str">
        <f t="array" ref="R408">INDEX(Honor!$Q$2:$Q800,MATCH($I408,Honor!$A$2:$A800,0))</f>
        <v>SURVEI-PPL</v>
      </c>
      <c r="S408" s="10" t="str">
        <f t="shared" si="3"/>
        <v>610422100137-2024-7</v>
      </c>
      <c r="T408" s="10" t="str">
        <f t="shared" si="4"/>
        <v>610422100137-2024-7-SURVEI-PPL</v>
      </c>
      <c r="U408" s="64">
        <v>1</v>
      </c>
      <c r="V408" s="10" t="e">
        <f t="array" aca="1" ref="V408" ca="1">INDEX(Honor!$O$2:$O800,MATCH($I408,Honor!$A$2:$A800,0))</f>
        <v>#NAME?</v>
      </c>
      <c r="W408" s="67"/>
      <c r="X408" s="7" t="str">
        <f t="array" ref="X408">INDEX('Input Kegiatan'!$B$2:$B800,MATCH(B408,'Input Kegiatan'!$A$2:$A800,0))</f>
        <v>Survei Ekonomi Rumah Tangga Triwulanan (SERUTI24) Triwulan II Kegiatan Lapangan</v>
      </c>
      <c r="Y408" s="7" t="s">
        <v>5534</v>
      </c>
      <c r="Z408" s="7" t="s">
        <v>5535</v>
      </c>
      <c r="AA408" s="68">
        <f t="shared" si="5"/>
        <v>45473</v>
      </c>
      <c r="AB408" s="68">
        <f t="shared" si="6"/>
        <v>45474</v>
      </c>
      <c r="AC408" s="68">
        <f t="shared" si="7"/>
        <v>45504</v>
      </c>
      <c r="AD408" s="68">
        <f t="shared" si="8"/>
        <v>45503</v>
      </c>
      <c r="AE408" s="68">
        <f t="shared" si="9"/>
        <v>45504</v>
      </c>
    </row>
    <row r="409" spans="1:31" ht="12.5">
      <c r="A409" s="125">
        <v>610422100256</v>
      </c>
      <c r="B409" s="64" t="s">
        <v>186</v>
      </c>
      <c r="D409" s="10">
        <f t="array" aca="1" ref="D409" ca="1">INDEX('Mitra per Bulan'!$M$2:$M800,MATCH(S409,'Mitra per Bulan'!$B$2:$B800,0))</f>
        <v>1</v>
      </c>
      <c r="E409" s="10" t="str">
        <f t="array" ref="E409">INDEX('Database Mitra'!$A$2:$A800,MATCH(A409,'Database Mitra'!$B$2:$B800,0))</f>
        <v>Meta</v>
      </c>
      <c r="F409" s="64" t="s">
        <v>25</v>
      </c>
      <c r="G409" s="5" t="str">
        <f t="array" ref="G409">INDEX('Database Mitra'!$G$2:$G800,MATCH(A409,'Database Mitra'!$B$2:$B800,0))</f>
        <v>6102174505970001</v>
      </c>
      <c r="H409" s="64" t="s">
        <v>67</v>
      </c>
      <c r="I409" s="65" t="s">
        <v>187</v>
      </c>
      <c r="J409" s="10" t="str">
        <f t="array" ref="J409">INDEX(Honor!$H$2:$H800,MATCH($I409,Honor!$A$2:$A800,0))</f>
        <v>Dokumen</v>
      </c>
      <c r="K409" s="66">
        <f t="array" ref="K409">INDEX(Honor!$I$2:$I800,MATCH($I409,Honor!$A$2:$A800,0))</f>
        <v>91000</v>
      </c>
      <c r="L409" s="64">
        <v>10</v>
      </c>
      <c r="M409" s="10">
        <f t="shared" si="0"/>
        <v>910000</v>
      </c>
      <c r="O409" s="67">
        <f t="array" ref="O409">INDEX(Honor!$L$2:$L800,MATCH($I409,Honor!$A$2:$A800,0))</f>
        <v>45482</v>
      </c>
      <c r="P409" s="10">
        <f t="shared" si="1"/>
        <v>2024</v>
      </c>
      <c r="Q409" s="10">
        <f t="shared" si="2"/>
        <v>7</v>
      </c>
      <c r="R409" s="10" t="str">
        <f t="array" ref="R409">INDEX(Honor!$Q$2:$Q800,MATCH($I409,Honor!$A$2:$A800,0))</f>
        <v>SURVEI-PPL</v>
      </c>
      <c r="S409" s="10" t="str">
        <f t="shared" si="3"/>
        <v>610422100256-2024-7</v>
      </c>
      <c r="T409" s="10" t="str">
        <f t="shared" si="4"/>
        <v>610422100256-2024-7-SURVEI-PPL</v>
      </c>
      <c r="U409" s="64">
        <v>1</v>
      </c>
      <c r="V409" s="10" t="e">
        <f t="array" aca="1" ref="V409" ca="1">INDEX(Honor!$O$2:$O800,MATCH($I409,Honor!$A$2:$A800,0))</f>
        <v>#NAME?</v>
      </c>
      <c r="W409" s="67"/>
      <c r="X409" s="7" t="str">
        <f t="array" ref="X409">INDEX('Input Kegiatan'!$B$2:$B800,MATCH(B409,'Input Kegiatan'!$A$2:$A800,0))</f>
        <v>Survei Ekonomi Rumah Tangga Triwulanan (SERUTI24) Triwulan II Kegiatan Lapangan</v>
      </c>
      <c r="Y409" s="7" t="s">
        <v>5741</v>
      </c>
      <c r="Z409" s="7" t="s">
        <v>5742</v>
      </c>
      <c r="AA409" s="68">
        <f t="shared" si="5"/>
        <v>45473</v>
      </c>
      <c r="AB409" s="68">
        <f t="shared" si="6"/>
        <v>45474</v>
      </c>
      <c r="AC409" s="68">
        <f t="shared" si="7"/>
        <v>45504</v>
      </c>
      <c r="AD409" s="68">
        <f t="shared" si="8"/>
        <v>45503</v>
      </c>
      <c r="AE409" s="68">
        <f t="shared" si="9"/>
        <v>45504</v>
      </c>
    </row>
    <row r="410" spans="1:31" ht="12.5">
      <c r="A410" s="125">
        <v>610422040050</v>
      </c>
      <c r="B410" s="64" t="s">
        <v>186</v>
      </c>
      <c r="D410" s="10">
        <f t="array" aca="1" ref="D410" ca="1">INDEX('Mitra per Bulan'!$M$2:$M800,MATCH(S410,'Mitra per Bulan'!$B$2:$B800,0))</f>
        <v>1</v>
      </c>
      <c r="E410" s="10" t="str">
        <f t="array" ref="E410">INDEX('Database Mitra'!$A$2:$A800,MATCH(A410,'Database Mitra'!$B$2:$B800,0))</f>
        <v>Novita Sari</v>
      </c>
      <c r="F410" s="64" t="s">
        <v>25</v>
      </c>
      <c r="G410" s="5" t="str">
        <f t="array" ref="G410">INDEX('Database Mitra'!$G$2:$G800,MATCH(A410,'Database Mitra'!$B$2:$B800,0))</f>
        <v>6102085906990001</v>
      </c>
      <c r="H410" s="64" t="s">
        <v>67</v>
      </c>
      <c r="I410" s="65" t="s">
        <v>187</v>
      </c>
      <c r="J410" s="10" t="str">
        <f t="array" ref="J410">INDEX(Honor!$H$2:$H800,MATCH($I410,Honor!$A$2:$A800,0))</f>
        <v>Dokumen</v>
      </c>
      <c r="K410" s="66">
        <f t="array" ref="K410">INDEX(Honor!$I$2:$I800,MATCH($I410,Honor!$A$2:$A800,0))</f>
        <v>91000</v>
      </c>
      <c r="L410" s="64">
        <v>10</v>
      </c>
      <c r="M410" s="10">
        <f t="shared" si="0"/>
        <v>910000</v>
      </c>
      <c r="O410" s="67">
        <f t="array" ref="O410">INDEX(Honor!$L$2:$L800,MATCH($I410,Honor!$A$2:$A800,0))</f>
        <v>45482</v>
      </c>
      <c r="P410" s="10">
        <f t="shared" si="1"/>
        <v>2024</v>
      </c>
      <c r="Q410" s="10">
        <f t="shared" si="2"/>
        <v>7</v>
      </c>
      <c r="R410" s="10" t="str">
        <f t="array" ref="R410">INDEX(Honor!$Q$2:$Q800,MATCH($I410,Honor!$A$2:$A800,0))</f>
        <v>SURVEI-PPL</v>
      </c>
      <c r="S410" s="10" t="str">
        <f t="shared" si="3"/>
        <v>610422040050-2024-7</v>
      </c>
      <c r="T410" s="10" t="str">
        <f t="shared" si="4"/>
        <v>610422040050-2024-7-SURVEI-PPL</v>
      </c>
      <c r="U410" s="64">
        <v>1</v>
      </c>
      <c r="V410" s="10" t="e">
        <f t="array" aca="1" ref="V410" ca="1">INDEX(Honor!$O$2:$O800,MATCH($I410,Honor!$A$2:$A800,0))</f>
        <v>#NAME?</v>
      </c>
      <c r="W410" s="67"/>
      <c r="X410" s="7" t="str">
        <f t="array" ref="X410">INDEX('Input Kegiatan'!$B$2:$B800,MATCH(B410,'Input Kegiatan'!$A$2:$A800,0))</f>
        <v>Survei Ekonomi Rumah Tangga Triwulanan (SERUTI24) Triwulan II Kegiatan Lapangan</v>
      </c>
      <c r="Y410" s="7" t="s">
        <v>3241</v>
      </c>
      <c r="Z410" s="7" t="s">
        <v>3289</v>
      </c>
      <c r="AA410" s="68">
        <f t="shared" si="5"/>
        <v>45473</v>
      </c>
      <c r="AB410" s="68">
        <f t="shared" si="6"/>
        <v>45474</v>
      </c>
      <c r="AC410" s="68">
        <f t="shared" si="7"/>
        <v>45504</v>
      </c>
      <c r="AD410" s="68">
        <f t="shared" si="8"/>
        <v>45503</v>
      </c>
      <c r="AE410" s="68">
        <f t="shared" si="9"/>
        <v>45504</v>
      </c>
    </row>
    <row r="411" spans="1:31" ht="12.5">
      <c r="A411" s="125">
        <v>610422040035</v>
      </c>
      <c r="B411" s="64" t="s">
        <v>186</v>
      </c>
      <c r="D411" s="10">
        <f t="array" aca="1" ref="D411" ca="1">INDEX('Mitra per Bulan'!$M$2:$M800,MATCH(S411,'Mitra per Bulan'!$B$2:$B800,0))</f>
        <v>1</v>
      </c>
      <c r="E411" s="10" t="str">
        <f t="array" ref="E411">INDEX('Database Mitra'!$A$2:$A800,MATCH(A411,'Database Mitra'!$B$2:$B800,0))</f>
        <v>Rahmayani</v>
      </c>
      <c r="F411" s="64" t="s">
        <v>25</v>
      </c>
      <c r="G411" s="5" t="str">
        <f t="array" ref="G411">INDEX('Database Mitra'!$G$2:$G800,MATCH(A411,'Database Mitra'!$B$2:$B800,0))</f>
        <v>6102186404970003</v>
      </c>
      <c r="H411" s="64" t="s">
        <v>67</v>
      </c>
      <c r="I411" s="65" t="s">
        <v>187</v>
      </c>
      <c r="J411" s="10" t="str">
        <f t="array" ref="J411">INDEX(Honor!$H$2:$H800,MATCH($I411,Honor!$A$2:$A800,0))</f>
        <v>Dokumen</v>
      </c>
      <c r="K411" s="66">
        <f t="array" ref="K411">INDEX(Honor!$I$2:$I800,MATCH($I411,Honor!$A$2:$A800,0))</f>
        <v>91000</v>
      </c>
      <c r="L411" s="64">
        <v>10</v>
      </c>
      <c r="M411" s="10">
        <f t="shared" si="0"/>
        <v>910000</v>
      </c>
      <c r="O411" s="67">
        <f t="array" ref="O411">INDEX(Honor!$L$2:$L800,MATCH($I411,Honor!$A$2:$A800,0))</f>
        <v>45482</v>
      </c>
      <c r="P411" s="10">
        <f t="shared" si="1"/>
        <v>2024</v>
      </c>
      <c r="Q411" s="10">
        <f t="shared" si="2"/>
        <v>7</v>
      </c>
      <c r="R411" s="10" t="str">
        <f t="array" ref="R411">INDEX(Honor!$Q$2:$Q800,MATCH($I411,Honor!$A$2:$A800,0))</f>
        <v>SURVEI-PPL</v>
      </c>
      <c r="S411" s="10" t="str">
        <f t="shared" si="3"/>
        <v>610422040035-2024-7</v>
      </c>
      <c r="T411" s="10" t="str">
        <f t="shared" si="4"/>
        <v>610422040035-2024-7-SURVEI-PPL</v>
      </c>
      <c r="U411" s="64">
        <v>1</v>
      </c>
      <c r="V411" s="10" t="e">
        <f t="array" aca="1" ref="V411" ca="1">INDEX(Honor!$O$2:$O800,MATCH($I411,Honor!$A$2:$A800,0))</f>
        <v>#NAME?</v>
      </c>
      <c r="W411" s="67"/>
      <c r="X411" s="7" t="str">
        <f t="array" ref="X411">INDEX('Input Kegiatan'!$B$2:$B800,MATCH(B411,'Input Kegiatan'!$A$2:$A800,0))</f>
        <v>Survei Ekonomi Rumah Tangga Triwulanan (SERUTI24) Triwulan II Kegiatan Lapangan</v>
      </c>
      <c r="Y411" s="7" t="s">
        <v>4931</v>
      </c>
      <c r="Z411" s="7" t="s">
        <v>5171</v>
      </c>
      <c r="AA411" s="68">
        <f t="shared" si="5"/>
        <v>45473</v>
      </c>
      <c r="AB411" s="68">
        <f t="shared" si="6"/>
        <v>45474</v>
      </c>
      <c r="AC411" s="68">
        <f t="shared" si="7"/>
        <v>45504</v>
      </c>
      <c r="AD411" s="68">
        <f t="shared" si="8"/>
        <v>45503</v>
      </c>
      <c r="AE411" s="68">
        <f t="shared" si="9"/>
        <v>45504</v>
      </c>
    </row>
    <row r="412" spans="1:31" ht="16.5" customHeight="1">
      <c r="A412" s="125">
        <v>610422040061</v>
      </c>
      <c r="B412" s="64" t="s">
        <v>186</v>
      </c>
      <c r="D412" s="10">
        <f t="array" aca="1" ref="D412" ca="1">INDEX('Mitra per Bulan'!$M$2:$M800,MATCH(S412,'Mitra per Bulan'!$B$2:$B800,0))</f>
        <v>1</v>
      </c>
      <c r="E412" s="10" t="str">
        <f t="array" ref="E412">INDEX('Database Mitra'!$A$2:$A800,MATCH(A412,'Database Mitra'!$B$2:$B800,0))</f>
        <v>Sabani</v>
      </c>
      <c r="F412" s="64" t="s">
        <v>25</v>
      </c>
      <c r="G412" s="5" t="str">
        <f t="array" ref="G412">INDEX('Database Mitra'!$G$2:$G800,MATCH(A412,'Database Mitra'!$B$2:$B800,0))</f>
        <v>6102153112860003</v>
      </c>
      <c r="H412" s="64" t="s">
        <v>67</v>
      </c>
      <c r="I412" s="65" t="s">
        <v>187</v>
      </c>
      <c r="J412" s="10" t="str">
        <f t="array" ref="J412">INDEX(Honor!$H$2:$H800,MATCH($I412,Honor!$A$2:$A800,0))</f>
        <v>Dokumen</v>
      </c>
      <c r="K412" s="66">
        <f t="array" ref="K412">INDEX(Honor!$I$2:$I800,MATCH($I412,Honor!$A$2:$A800,0))</f>
        <v>91000</v>
      </c>
      <c r="L412" s="64">
        <v>10</v>
      </c>
      <c r="M412" s="10">
        <f t="shared" si="0"/>
        <v>910000</v>
      </c>
      <c r="O412" s="67">
        <f t="array" ref="O412">INDEX(Honor!$L$2:$L800,MATCH($I412,Honor!$A$2:$A800,0))</f>
        <v>45482</v>
      </c>
      <c r="P412" s="10">
        <f t="shared" si="1"/>
        <v>2024</v>
      </c>
      <c r="Q412" s="10">
        <f t="shared" si="2"/>
        <v>7</v>
      </c>
      <c r="R412" s="10" t="str">
        <f t="array" ref="R412">INDEX(Honor!$Q$2:$Q800,MATCH($I412,Honor!$A$2:$A800,0))</f>
        <v>SURVEI-PPL</v>
      </c>
      <c r="S412" s="10" t="str">
        <f t="shared" si="3"/>
        <v>610422040061-2024-7</v>
      </c>
      <c r="T412" s="10" t="str">
        <f t="shared" si="4"/>
        <v>610422040061-2024-7-SURVEI-PPL</v>
      </c>
      <c r="U412" s="64">
        <v>1</v>
      </c>
      <c r="V412" s="10" t="e">
        <f t="array" aca="1" ref="V412" ca="1">INDEX(Honor!$O$2:$O800,MATCH($I412,Honor!$A$2:$A800,0))</f>
        <v>#NAME?</v>
      </c>
      <c r="W412" s="67"/>
      <c r="X412" s="7" t="str">
        <f t="array" ref="X412">INDEX('Input Kegiatan'!$B$2:$B800,MATCH(B412,'Input Kegiatan'!$A$2:$A800,0))</f>
        <v>Survei Ekonomi Rumah Tangga Triwulanan (SERUTI24) Triwulan II Kegiatan Lapangan</v>
      </c>
      <c r="Y412" s="7" t="s">
        <v>3715</v>
      </c>
      <c r="Z412" s="7" t="s">
        <v>3862</v>
      </c>
      <c r="AA412" s="68">
        <f t="shared" si="5"/>
        <v>45473</v>
      </c>
      <c r="AB412" s="68">
        <f t="shared" si="6"/>
        <v>45474</v>
      </c>
      <c r="AC412" s="68">
        <f t="shared" si="7"/>
        <v>45504</v>
      </c>
      <c r="AD412" s="68">
        <f t="shared" si="8"/>
        <v>45503</v>
      </c>
      <c r="AE412" s="68">
        <f t="shared" si="9"/>
        <v>45504</v>
      </c>
    </row>
    <row r="413" spans="1:31" ht="12.5">
      <c r="A413" s="125">
        <v>610422040053</v>
      </c>
      <c r="B413" s="64" t="s">
        <v>186</v>
      </c>
      <c r="D413" s="10">
        <f t="array" aca="1" ref="D413" ca="1">INDEX('Mitra per Bulan'!$M$2:$M800,MATCH(S413,'Mitra per Bulan'!$B$2:$B800,0))</f>
        <v>1</v>
      </c>
      <c r="E413" s="10" t="str">
        <f t="array" ref="E413">INDEX('Database Mitra'!$A$2:$A800,MATCH(A413,'Database Mitra'!$B$2:$B800,0))</f>
        <v>Veti Ningsi</v>
      </c>
      <c r="F413" s="64" t="s">
        <v>25</v>
      </c>
      <c r="G413" s="5" t="str">
        <f t="array" ref="G413">INDEX('Database Mitra'!$G$2:$G800,MATCH(A413,'Database Mitra'!$B$2:$B800,0))</f>
        <v>6102125604010002</v>
      </c>
      <c r="H413" s="64" t="s">
        <v>67</v>
      </c>
      <c r="I413" s="65" t="s">
        <v>187</v>
      </c>
      <c r="J413" s="10" t="str">
        <f t="array" ref="J413">INDEX(Honor!$H$2:$H800,MATCH($I413,Honor!$A$2:$A800,0))</f>
        <v>Dokumen</v>
      </c>
      <c r="K413" s="66">
        <f t="array" ref="K413">INDEX(Honor!$I$2:$I800,MATCH($I413,Honor!$A$2:$A800,0))</f>
        <v>91000</v>
      </c>
      <c r="L413" s="64">
        <v>10</v>
      </c>
      <c r="M413" s="10">
        <f t="shared" si="0"/>
        <v>910000</v>
      </c>
      <c r="O413" s="67">
        <f t="array" ref="O413">INDEX(Honor!$L$2:$L800,MATCH($I413,Honor!$A$2:$A800,0))</f>
        <v>45482</v>
      </c>
      <c r="P413" s="10">
        <f t="shared" si="1"/>
        <v>2024</v>
      </c>
      <c r="Q413" s="10">
        <f t="shared" si="2"/>
        <v>7</v>
      </c>
      <c r="R413" s="10" t="str">
        <f t="array" ref="R413">INDEX(Honor!$Q$2:$Q800,MATCH($I413,Honor!$A$2:$A800,0))</f>
        <v>SURVEI-PPL</v>
      </c>
      <c r="S413" s="10" t="str">
        <f t="shared" si="3"/>
        <v>610422040053-2024-7</v>
      </c>
      <c r="T413" s="10" t="str">
        <f t="shared" si="4"/>
        <v>610422040053-2024-7-SURVEI-PPL</v>
      </c>
      <c r="U413" s="64">
        <v>1</v>
      </c>
      <c r="V413" s="10" t="e">
        <f t="array" aca="1" ref="V413" ca="1">INDEX(Honor!$O$2:$O800,MATCH($I413,Honor!$A$2:$A800,0))</f>
        <v>#NAME?</v>
      </c>
      <c r="W413" s="67"/>
      <c r="X413" s="7" t="str">
        <f t="array" ref="X413">INDEX('Input Kegiatan'!$B$2:$B800,MATCH(B413,'Input Kegiatan'!$A$2:$A800,0))</f>
        <v>Survei Ekonomi Rumah Tangga Triwulanan (SERUTI24) Triwulan II Kegiatan Lapangan</v>
      </c>
      <c r="Y413" s="7" t="s">
        <v>5250</v>
      </c>
      <c r="Z413" s="7" t="s">
        <v>5464</v>
      </c>
      <c r="AA413" s="68">
        <f t="shared" si="5"/>
        <v>45473</v>
      </c>
      <c r="AB413" s="68">
        <f t="shared" si="6"/>
        <v>45474</v>
      </c>
      <c r="AC413" s="68">
        <f t="shared" si="7"/>
        <v>45504</v>
      </c>
      <c r="AD413" s="68">
        <f t="shared" si="8"/>
        <v>45503</v>
      </c>
      <c r="AE413" s="68">
        <f t="shared" si="9"/>
        <v>45504</v>
      </c>
    </row>
    <row r="414" spans="1:31" ht="12.5">
      <c r="A414" s="125">
        <v>610422100055</v>
      </c>
      <c r="B414" s="64" t="s">
        <v>186</v>
      </c>
      <c r="D414" s="10">
        <f t="array" aca="1" ref="D414" ca="1">INDEX('Mitra per Bulan'!$M$2:$M800,MATCH(S414,'Mitra per Bulan'!$B$2:$B800,0))</f>
        <v>1</v>
      </c>
      <c r="E414" s="10" t="str">
        <f t="array" ref="E414">INDEX('Database Mitra'!$A$2:$A800,MATCH(A414,'Database Mitra'!$B$2:$B800,0))</f>
        <v>Vika Rizkiani</v>
      </c>
      <c r="F414" s="64" t="s">
        <v>25</v>
      </c>
      <c r="G414" s="5" t="str">
        <f t="array" ref="G414">INDEX('Database Mitra'!$G$2:$G800,MATCH(A414,'Database Mitra'!$B$2:$B800,0))</f>
        <v>6102084207980006</v>
      </c>
      <c r="H414" s="64" t="s">
        <v>67</v>
      </c>
      <c r="I414" s="65" t="s">
        <v>187</v>
      </c>
      <c r="J414" s="10" t="str">
        <f t="array" ref="J414">INDEX(Honor!$H$2:$H800,MATCH($I414,Honor!$A$2:$A800,0))</f>
        <v>Dokumen</v>
      </c>
      <c r="K414" s="66">
        <f t="array" ref="K414">INDEX(Honor!$I$2:$I800,MATCH($I414,Honor!$A$2:$A800,0))</f>
        <v>91000</v>
      </c>
      <c r="L414" s="64">
        <v>10</v>
      </c>
      <c r="M414" s="10">
        <f t="shared" si="0"/>
        <v>910000</v>
      </c>
      <c r="O414" s="67">
        <f t="array" ref="O414">INDEX(Honor!$L$2:$L800,MATCH($I414,Honor!$A$2:$A800,0))</f>
        <v>45482</v>
      </c>
      <c r="P414" s="10">
        <f t="shared" si="1"/>
        <v>2024</v>
      </c>
      <c r="Q414" s="10">
        <f t="shared" si="2"/>
        <v>7</v>
      </c>
      <c r="R414" s="10" t="str">
        <f t="array" ref="R414">INDEX(Honor!$Q$2:$Q800,MATCH($I414,Honor!$A$2:$A800,0))</f>
        <v>SURVEI-PPL</v>
      </c>
      <c r="S414" s="10" t="str">
        <f t="shared" si="3"/>
        <v>610422100055-2024-7</v>
      </c>
      <c r="T414" s="10" t="str">
        <f t="shared" si="4"/>
        <v>610422100055-2024-7-SURVEI-PPL</v>
      </c>
      <c r="U414" s="64">
        <v>1</v>
      </c>
      <c r="V414" s="10" t="e">
        <f t="array" aca="1" ref="V414" ca="1">INDEX(Honor!$O$2:$O800,MATCH($I414,Honor!$A$2:$A800,0))</f>
        <v>#NAME?</v>
      </c>
      <c r="W414" s="67"/>
      <c r="X414" s="7" t="str">
        <f t="array" ref="X414">INDEX('Input Kegiatan'!$B$2:$B800,MATCH(B414,'Input Kegiatan'!$A$2:$A800,0))</f>
        <v>Survei Ekonomi Rumah Tangga Triwulanan (SERUTI24) Triwulan II Kegiatan Lapangan</v>
      </c>
      <c r="Y414" s="7" t="s">
        <v>3241</v>
      </c>
      <c r="Z414" s="7" t="s">
        <v>3289</v>
      </c>
      <c r="AA414" s="68">
        <f t="shared" si="5"/>
        <v>45473</v>
      </c>
      <c r="AB414" s="68">
        <f t="shared" si="6"/>
        <v>45474</v>
      </c>
      <c r="AC414" s="68">
        <f t="shared" si="7"/>
        <v>45504</v>
      </c>
      <c r="AD414" s="68">
        <f t="shared" si="8"/>
        <v>45503</v>
      </c>
      <c r="AE414" s="68">
        <f t="shared" si="9"/>
        <v>45504</v>
      </c>
    </row>
    <row r="415" spans="1:31" ht="12.5">
      <c r="A415" s="125">
        <v>610422100139</v>
      </c>
      <c r="B415" s="64" t="s">
        <v>186</v>
      </c>
      <c r="D415" s="10">
        <f t="array" aca="1" ref="D415" ca="1">INDEX('Mitra per Bulan'!$M$2:$M800,MATCH(S415,'Mitra per Bulan'!$B$2:$B800,0))</f>
        <v>1</v>
      </c>
      <c r="E415" s="10" t="str">
        <f t="array" ref="E415">INDEX('Database Mitra'!$A$2:$A800,MATCH(A415,'Database Mitra'!$B$2:$B800,0))</f>
        <v>Winda Dwi Ananda</v>
      </c>
      <c r="F415" s="64" t="s">
        <v>25</v>
      </c>
      <c r="G415" s="5" t="str">
        <f t="array" ref="G415">INDEX('Database Mitra'!$G$2:$G800,MATCH(A415,'Database Mitra'!$B$2:$B800,0))</f>
        <v>6102016812990001</v>
      </c>
      <c r="H415" s="64" t="s">
        <v>67</v>
      </c>
      <c r="I415" s="65" t="s">
        <v>187</v>
      </c>
      <c r="J415" s="10" t="str">
        <f t="array" ref="J415">INDEX(Honor!$H$2:$H800,MATCH($I415,Honor!$A$2:$A800,0))</f>
        <v>Dokumen</v>
      </c>
      <c r="K415" s="66">
        <f t="array" ref="K415">INDEX(Honor!$I$2:$I800,MATCH($I415,Honor!$A$2:$A800,0))</f>
        <v>91000</v>
      </c>
      <c r="L415" s="64">
        <v>10</v>
      </c>
      <c r="M415" s="10">
        <f t="shared" si="0"/>
        <v>910000</v>
      </c>
      <c r="O415" s="67">
        <f t="array" ref="O415">INDEX(Honor!$L$2:$L800,MATCH($I415,Honor!$A$2:$A800,0))</f>
        <v>45482</v>
      </c>
      <c r="P415" s="10">
        <f t="shared" si="1"/>
        <v>2024</v>
      </c>
      <c r="Q415" s="10">
        <f t="shared" si="2"/>
        <v>7</v>
      </c>
      <c r="R415" s="10" t="str">
        <f t="array" ref="R415">INDEX(Honor!$Q$2:$Q800,MATCH($I415,Honor!$A$2:$A800,0))</f>
        <v>SURVEI-PPL</v>
      </c>
      <c r="S415" s="10" t="str">
        <f t="shared" si="3"/>
        <v>610422100139-2024-7</v>
      </c>
      <c r="T415" s="10" t="str">
        <f t="shared" si="4"/>
        <v>610422100139-2024-7-SURVEI-PPL</v>
      </c>
      <c r="U415" s="64">
        <v>1</v>
      </c>
      <c r="V415" s="10" t="e">
        <f t="array" aca="1" ref="V415" ca="1">INDEX(Honor!$O$2:$O800,MATCH($I415,Honor!$A$2:$A800,0))</f>
        <v>#NAME?</v>
      </c>
      <c r="W415" s="67"/>
      <c r="X415" s="7" t="str">
        <f t="array" ref="X415">INDEX('Input Kegiatan'!$B$2:$B800,MATCH(B415,'Input Kegiatan'!$A$2:$A800,0))</f>
        <v>Survei Ekonomi Rumah Tangga Triwulanan (SERUTI24) Triwulan II Kegiatan Lapangan</v>
      </c>
      <c r="Y415" s="7" t="s">
        <v>4572</v>
      </c>
      <c r="Z415" s="7" t="s">
        <v>4814</v>
      </c>
      <c r="AA415" s="68">
        <f t="shared" si="5"/>
        <v>45473</v>
      </c>
      <c r="AB415" s="68">
        <f t="shared" si="6"/>
        <v>45474</v>
      </c>
      <c r="AC415" s="68">
        <f t="shared" si="7"/>
        <v>45504</v>
      </c>
      <c r="AD415" s="68">
        <f t="shared" si="8"/>
        <v>45503</v>
      </c>
      <c r="AE415" s="68">
        <f t="shared" si="9"/>
        <v>45504</v>
      </c>
    </row>
    <row r="416" spans="1:31" ht="12.5">
      <c r="A416" s="125">
        <v>610422040052</v>
      </c>
      <c r="B416" s="64" t="s">
        <v>186</v>
      </c>
      <c r="D416" s="10">
        <f t="array" aca="1" ref="D416" ca="1">INDEX('Mitra per Bulan'!$M$2:$M800,MATCH(S416,'Mitra per Bulan'!$B$2:$B800,0))</f>
        <v>1</v>
      </c>
      <c r="E416" s="10" t="str">
        <f t="array" ref="E416">INDEX('Database Mitra'!$A$2:$A800,MATCH(A416,'Database Mitra'!$B$2:$B800,0))</f>
        <v>Yusimianto</v>
      </c>
      <c r="F416" s="64" t="s">
        <v>25</v>
      </c>
      <c r="G416" s="5" t="str">
        <f t="array" ref="G416">INDEX('Database Mitra'!$G$2:$G800,MATCH(A416,'Database Mitra'!$B$2:$B800,0))</f>
        <v>6102160603790001</v>
      </c>
      <c r="H416" s="64" t="s">
        <v>67</v>
      </c>
      <c r="I416" s="65" t="s">
        <v>187</v>
      </c>
      <c r="J416" s="10" t="str">
        <f t="array" ref="J416">INDEX(Honor!$H$2:$H800,MATCH($I416,Honor!$A$2:$A800,0))</f>
        <v>Dokumen</v>
      </c>
      <c r="K416" s="66">
        <f t="array" ref="K416">INDEX(Honor!$I$2:$I800,MATCH($I416,Honor!$A$2:$A800,0))</f>
        <v>91000</v>
      </c>
      <c r="L416" s="64">
        <v>10</v>
      </c>
      <c r="M416" s="10">
        <f t="shared" si="0"/>
        <v>910000</v>
      </c>
      <c r="O416" s="67">
        <f t="array" ref="O416">INDEX(Honor!$L$2:$L800,MATCH($I416,Honor!$A$2:$A800,0))</f>
        <v>45482</v>
      </c>
      <c r="P416" s="10">
        <f t="shared" si="1"/>
        <v>2024</v>
      </c>
      <c r="Q416" s="10">
        <f t="shared" si="2"/>
        <v>7</v>
      </c>
      <c r="R416" s="10" t="str">
        <f t="array" ref="R416">INDEX(Honor!$Q$2:$Q800,MATCH($I416,Honor!$A$2:$A800,0))</f>
        <v>SURVEI-PPL</v>
      </c>
      <c r="S416" s="10" t="str">
        <f t="shared" si="3"/>
        <v>610422040052-2024-7</v>
      </c>
      <c r="T416" s="10" t="str">
        <f t="shared" si="4"/>
        <v>610422040052-2024-7-SURVEI-PPL</v>
      </c>
      <c r="U416" s="64">
        <v>1</v>
      </c>
      <c r="V416" s="10" t="e">
        <f t="array" aca="1" ref="V416" ca="1">INDEX(Honor!$O$2:$O800,MATCH($I416,Honor!$A$2:$A800,0))</f>
        <v>#NAME?</v>
      </c>
      <c r="W416" s="67"/>
      <c r="X416" s="7" t="str">
        <f t="array" ref="X416">INDEX('Input Kegiatan'!$B$2:$B800,MATCH(B416,'Input Kegiatan'!$A$2:$A800,0))</f>
        <v>Survei Ekonomi Rumah Tangga Triwulanan (SERUTI24) Triwulan II Kegiatan Lapangan</v>
      </c>
      <c r="Y416" s="7" t="s">
        <v>4408</v>
      </c>
      <c r="Z416" s="7" t="s">
        <v>4487</v>
      </c>
      <c r="AA416" s="68">
        <f t="shared" si="5"/>
        <v>45473</v>
      </c>
      <c r="AB416" s="68">
        <f t="shared" si="6"/>
        <v>45474</v>
      </c>
      <c r="AC416" s="68">
        <f t="shared" si="7"/>
        <v>45504</v>
      </c>
      <c r="AD416" s="68">
        <f t="shared" si="8"/>
        <v>45503</v>
      </c>
      <c r="AE416" s="68">
        <f t="shared" si="9"/>
        <v>45504</v>
      </c>
    </row>
    <row r="417" spans="1:31" ht="12.5">
      <c r="A417" s="125">
        <v>610422020029</v>
      </c>
      <c r="B417" s="64" t="s">
        <v>188</v>
      </c>
      <c r="D417" s="10">
        <f t="array" aca="1" ref="D417" ca="1">INDEX('Mitra per Bulan'!$M$2:$M800,MATCH(S417,'Mitra per Bulan'!$B$2:$B800,0))</f>
        <v>1</v>
      </c>
      <c r="E417" s="10" t="str">
        <f t="array" ref="E417">INDEX('Database Mitra'!$A$2:$A800,MATCH(A417,'Database Mitra'!$B$2:$B800,0))</f>
        <v>Kurniadi</v>
      </c>
      <c r="F417" s="64" t="s">
        <v>90</v>
      </c>
      <c r="G417" s="5" t="str">
        <f t="array" ref="G417">INDEX('Database Mitra'!$G$2:$G800,MATCH(A417,'Database Mitra'!$B$2:$B800,0))</f>
        <v>6102011110970002</v>
      </c>
      <c r="H417" s="64" t="s">
        <v>108</v>
      </c>
      <c r="I417" s="65" t="s">
        <v>189</v>
      </c>
      <c r="J417" s="10" t="str">
        <f t="array" ref="J417">INDEX(Honor!$H$2:$H800,MATCH($I417,Honor!$A$2:$A800,0))</f>
        <v>Dokumen</v>
      </c>
      <c r="K417" s="72">
        <v>12000</v>
      </c>
      <c r="L417" s="64">
        <v>20</v>
      </c>
      <c r="M417" s="10">
        <f t="shared" si="0"/>
        <v>240000</v>
      </c>
      <c r="O417" s="67">
        <f t="array" ref="O417">INDEX(Honor!$L$2:$L800,MATCH($I417,Honor!$A$2:$A800,0))</f>
        <v>45482</v>
      </c>
      <c r="P417" s="10">
        <f t="shared" si="1"/>
        <v>2024</v>
      </c>
      <c r="Q417" s="10">
        <f t="shared" si="2"/>
        <v>7</v>
      </c>
      <c r="R417" s="10" t="str">
        <f t="array" ref="R417">INDEX(Honor!$Q$2:$Q800,MATCH($I417,Honor!$A$2:$A800,0))</f>
        <v>SURVEI-PETUGAS ENTRI</v>
      </c>
      <c r="S417" s="10" t="str">
        <f t="shared" si="3"/>
        <v>610422020029-2024-7</v>
      </c>
      <c r="T417" s="10" t="str">
        <f t="shared" si="4"/>
        <v>610422020029-2024-7-SURVEI-PETUGAS ENTRI</v>
      </c>
      <c r="U417" s="64">
        <v>1</v>
      </c>
      <c r="V417" s="10" t="e">
        <f t="array" aca="1" ref="V417" ca="1">INDEX(Honor!$O$2:$O800,MATCH($I417,Honor!$A$2:$A800,0))</f>
        <v>#NAME?</v>
      </c>
      <c r="W417" s="67"/>
      <c r="X417" s="7" t="str">
        <f t="array" ref="X417">INDEX('Input Kegiatan'!$B$2:$B800,MATCH(B417,'Input Kegiatan'!$A$2:$A800,0))</f>
        <v>Survei Ekonomi Rumah Tangga Triwulanan (SERUTI24) Triwulan II Kegiatan Pengolahan</v>
      </c>
      <c r="Y417" s="7" t="s">
        <v>4572</v>
      </c>
      <c r="Z417" s="7" t="s">
        <v>4656</v>
      </c>
      <c r="AA417" s="68">
        <f t="shared" si="5"/>
        <v>45473</v>
      </c>
      <c r="AB417" s="68">
        <f t="shared" si="6"/>
        <v>45474</v>
      </c>
      <c r="AC417" s="68">
        <f t="shared" si="7"/>
        <v>45504</v>
      </c>
      <c r="AD417" s="68">
        <f t="shared" si="8"/>
        <v>45503</v>
      </c>
      <c r="AE417" s="68">
        <f t="shared" si="9"/>
        <v>45504</v>
      </c>
    </row>
    <row r="418" spans="1:31" ht="12.5">
      <c r="A418" s="125">
        <v>610422030002</v>
      </c>
      <c r="B418" s="65" t="s">
        <v>190</v>
      </c>
      <c r="D418" s="10">
        <f t="array" aca="1" ref="D418" ca="1">INDEX('Mitra per Bulan'!$M$2:$M800,MATCH(S418,'Mitra per Bulan'!$B$2:$B800,0))</f>
        <v>1</v>
      </c>
      <c r="E418" s="10" t="str">
        <f t="array" ref="E418">INDEX('Database Mitra'!$A$2:$A800,MATCH(A418,'Database Mitra'!$B$2:$B800,0))</f>
        <v>Deti Erni Widiastuti</v>
      </c>
      <c r="F418" s="64" t="s">
        <v>25</v>
      </c>
      <c r="G418" s="5" t="str">
        <f t="array" ref="G418">INDEX('Database Mitra'!$G$2:$G800,MATCH(A418,'Database Mitra'!$B$2:$B800,0))</f>
        <v>6102016712860001</v>
      </c>
      <c r="H418" s="64" t="s">
        <v>67</v>
      </c>
      <c r="I418" s="65" t="s">
        <v>191</v>
      </c>
      <c r="J418" s="10" t="str">
        <f t="array" ref="J418">INDEX(Honor!$H$2:$H800,MATCH($I418,Honor!$A$2:$A800,0))</f>
        <v>Dokumen</v>
      </c>
      <c r="K418" s="66">
        <f t="array" ref="K418">INDEX(Honor!$I$2:$I800,MATCH($I418,Honor!$A$2:$A800,0))</f>
        <v>50000</v>
      </c>
      <c r="L418" s="64">
        <v>15</v>
      </c>
      <c r="M418" s="10">
        <f t="shared" si="0"/>
        <v>750000</v>
      </c>
      <c r="O418" s="67">
        <f t="array" ref="O418">INDEX(Honor!$L$2:$L800,MATCH($I418,Honor!$A$2:$A800,0))</f>
        <v>45493</v>
      </c>
      <c r="P418" s="10">
        <f t="shared" si="1"/>
        <v>2024</v>
      </c>
      <c r="Q418" s="10">
        <f t="shared" si="2"/>
        <v>7</v>
      </c>
      <c r="R418" s="10" t="str">
        <f t="array" ref="R418">INDEX(Honor!$Q$2:$Q800,MATCH($I418,Honor!$A$2:$A800,0))</f>
        <v>SURVEI-PPL</v>
      </c>
      <c r="S418" s="10" t="str">
        <f t="shared" si="3"/>
        <v>610422030002-2024-7</v>
      </c>
      <c r="T418" s="10" t="str">
        <f t="shared" si="4"/>
        <v>610422030002-2024-7-SURVEI-PPL</v>
      </c>
      <c r="U418" s="64">
        <v>1</v>
      </c>
      <c r="V418" s="10" t="e">
        <f t="array" aca="1" ref="V418" ca="1">INDEX(Honor!$O$2:$O800,MATCH($I418,Honor!$A$2:$A800,0))</f>
        <v>#NAME?</v>
      </c>
      <c r="W418" s="67"/>
      <c r="X418" s="7" t="str">
        <f t="array" ref="X418">INDEX('Input Kegiatan'!$B$2:$B800,MATCH(B418,'Input Kegiatan'!$A$2:$A800,0))</f>
        <v>Survei Harga Perdagangan Besar (SHPB24) Juli</v>
      </c>
      <c r="Y418" s="7" t="s">
        <v>3715</v>
      </c>
      <c r="Z418" s="7" t="s">
        <v>3716</v>
      </c>
      <c r="AA418" s="68">
        <f t="shared" si="5"/>
        <v>45473</v>
      </c>
      <c r="AB418" s="68">
        <f t="shared" si="6"/>
        <v>45474</v>
      </c>
      <c r="AC418" s="68">
        <f t="shared" si="7"/>
        <v>45504</v>
      </c>
      <c r="AD418" s="68">
        <f t="shared" si="8"/>
        <v>45503</v>
      </c>
      <c r="AE418" s="68">
        <f t="shared" si="9"/>
        <v>45504</v>
      </c>
    </row>
    <row r="419" spans="1:31" ht="12.5">
      <c r="A419" s="125">
        <v>610422100244</v>
      </c>
      <c r="B419" s="64" t="s">
        <v>192</v>
      </c>
      <c r="D419" s="10">
        <f t="array" aca="1" ref="D419" ca="1">INDEX('Mitra per Bulan'!$M$2:$M800,MATCH(S419,'Mitra per Bulan'!$B$2:$B800,0))</f>
        <v>1</v>
      </c>
      <c r="E419" s="10" t="str">
        <f t="array" ref="E419">INDEX('Database Mitra'!$A$2:$A800,MATCH(A419,'Database Mitra'!$B$2:$B800,0))</f>
        <v>Sugianto</v>
      </c>
      <c r="F419" s="64" t="s">
        <v>25</v>
      </c>
      <c r="G419" s="5" t="str">
        <f t="array" ref="G419">INDEX('Database Mitra'!$G$2:$G800,MATCH(A419,'Database Mitra'!$B$2:$B800,0))</f>
        <v>6102171003900002</v>
      </c>
      <c r="H419" s="64" t="s">
        <v>67</v>
      </c>
      <c r="I419" s="65" t="s">
        <v>193</v>
      </c>
      <c r="J419" s="10" t="str">
        <f t="array" ref="J419">INDEX(Honor!$H$2:$H800,MATCH($I419,Honor!$A$2:$A800,0))</f>
        <v>Dokumen</v>
      </c>
      <c r="K419" s="66">
        <f t="array" ref="K419">INDEX(Honor!$I$2:$I800,MATCH($I419,Honor!$A$2:$A800,0))</f>
        <v>50000</v>
      </c>
      <c r="L419" s="64">
        <v>1</v>
      </c>
      <c r="M419" s="10">
        <f t="shared" si="0"/>
        <v>50000</v>
      </c>
      <c r="O419" s="67">
        <f t="array" ref="O419">INDEX(Honor!$L$2:$L800,MATCH($I419,Honor!$A$2:$A800,0))</f>
        <v>45493</v>
      </c>
      <c r="P419" s="10">
        <f t="shared" si="1"/>
        <v>2024</v>
      </c>
      <c r="Q419" s="10">
        <f t="shared" si="2"/>
        <v>7</v>
      </c>
      <c r="R419" s="10" t="str">
        <f t="array" ref="R419">INDEX(Honor!$Q$2:$Q800,MATCH($I419,Honor!$A$2:$A800,0))</f>
        <v>SURVEI-PPL</v>
      </c>
      <c r="S419" s="10" t="str">
        <f t="shared" si="3"/>
        <v>610422100244-2024-7</v>
      </c>
      <c r="T419" s="10" t="str">
        <f t="shared" si="4"/>
        <v>610422100244-2024-7-SURVEI-PPL</v>
      </c>
      <c r="U419" s="64">
        <v>1</v>
      </c>
      <c r="V419" s="10" t="e">
        <f t="array" aca="1" ref="V419" ca="1">INDEX(Honor!$O$2:$O800,MATCH($I419,Honor!$A$2:$A800,0))</f>
        <v>#NAME?</v>
      </c>
      <c r="W419" s="67"/>
      <c r="X419" s="7" t="str">
        <f t="array" ref="X419">INDEX('Input Kegiatan'!$B$2:$B800,MATCH(B419,'Input Kegiatan'!$A$2:$A800,0))</f>
        <v>Survei Harga Produsen Gabah (HPG24) Juli</v>
      </c>
      <c r="Y419" s="7" t="s">
        <v>5741</v>
      </c>
      <c r="Z419" s="7" t="s">
        <v>5796</v>
      </c>
      <c r="AA419" s="68">
        <f t="shared" si="5"/>
        <v>45473</v>
      </c>
      <c r="AB419" s="68">
        <f t="shared" si="6"/>
        <v>45474</v>
      </c>
      <c r="AC419" s="68">
        <f t="shared" si="7"/>
        <v>45504</v>
      </c>
      <c r="AD419" s="68">
        <f t="shared" si="8"/>
        <v>45503</v>
      </c>
      <c r="AE419" s="68">
        <f t="shared" si="9"/>
        <v>45504</v>
      </c>
    </row>
    <row r="420" spans="1:31" ht="12.5">
      <c r="A420" s="125">
        <v>610422100124</v>
      </c>
      <c r="B420" s="64" t="s">
        <v>192</v>
      </c>
      <c r="D420" s="10">
        <f t="array" aca="1" ref="D420" ca="1">INDEX('Mitra per Bulan'!$M$2:$M800,MATCH(S420,'Mitra per Bulan'!$B$2:$B800,0))</f>
        <v>1</v>
      </c>
      <c r="E420" s="10" t="str">
        <f t="array" ref="E420">INDEX('Database Mitra'!$A$2:$A800,MATCH(A420,'Database Mitra'!$B$2:$B800,0))</f>
        <v>Prabowo</v>
      </c>
      <c r="F420" s="64" t="s">
        <v>25</v>
      </c>
      <c r="G420" s="5" t="str">
        <f t="array" ref="G420">INDEX('Database Mitra'!$G$2:$G800,MATCH(A420,'Database Mitra'!$B$2:$B800,0))</f>
        <v>6171010108790015</v>
      </c>
      <c r="H420" s="64" t="s">
        <v>67</v>
      </c>
      <c r="I420" s="65" t="s">
        <v>193</v>
      </c>
      <c r="J420" s="10" t="str">
        <f t="array" ref="J420">INDEX(Honor!$H$2:$H800,MATCH($I420,Honor!$A$2:$A800,0))</f>
        <v>Dokumen</v>
      </c>
      <c r="K420" s="66">
        <f t="array" ref="K420">INDEX(Honor!$I$2:$I800,MATCH($I420,Honor!$A$2:$A800,0))</f>
        <v>50000</v>
      </c>
      <c r="L420" s="64">
        <v>1</v>
      </c>
      <c r="M420" s="10">
        <f t="shared" si="0"/>
        <v>50000</v>
      </c>
      <c r="O420" s="67">
        <f t="array" ref="O420">INDEX(Honor!$L$2:$L800,MATCH($I420,Honor!$A$2:$A800,0))</f>
        <v>45493</v>
      </c>
      <c r="P420" s="10">
        <f t="shared" si="1"/>
        <v>2024</v>
      </c>
      <c r="Q420" s="10">
        <f t="shared" si="2"/>
        <v>7</v>
      </c>
      <c r="R420" s="10" t="str">
        <f t="array" ref="R420">INDEX(Honor!$Q$2:$Q800,MATCH($I420,Honor!$A$2:$A800,0))</f>
        <v>SURVEI-PPL</v>
      </c>
      <c r="S420" s="10" t="str">
        <f t="shared" si="3"/>
        <v>610422100124-2024-7</v>
      </c>
      <c r="T420" s="10" t="str">
        <f t="shared" si="4"/>
        <v>610422100124-2024-7-SURVEI-PPL</v>
      </c>
      <c r="U420" s="64">
        <v>1</v>
      </c>
      <c r="V420" s="10" t="e">
        <f t="array" aca="1" ref="V420" ca="1">INDEX(Honor!$O$2:$O800,MATCH($I420,Honor!$A$2:$A800,0))</f>
        <v>#NAME?</v>
      </c>
      <c r="W420" s="67"/>
      <c r="X420" s="7" t="str">
        <f t="array" ref="X420">INDEX('Input Kegiatan'!$B$2:$B800,MATCH(B420,'Input Kegiatan'!$A$2:$A800,0))</f>
        <v>Survei Harga Produsen Gabah (HPG24) Juli</v>
      </c>
      <c r="Y420" s="7" t="s">
        <v>1921</v>
      </c>
      <c r="Z420" s="7" t="s">
        <v>2140</v>
      </c>
      <c r="AA420" s="68">
        <f t="shared" si="5"/>
        <v>45473</v>
      </c>
      <c r="AB420" s="68">
        <f t="shared" si="6"/>
        <v>45474</v>
      </c>
      <c r="AC420" s="68">
        <f t="shared" si="7"/>
        <v>45504</v>
      </c>
      <c r="AD420" s="68">
        <f t="shared" si="8"/>
        <v>45503</v>
      </c>
      <c r="AE420" s="68">
        <f t="shared" si="9"/>
        <v>45504</v>
      </c>
    </row>
    <row r="421" spans="1:31" ht="12.5">
      <c r="A421" s="125">
        <v>610422040029</v>
      </c>
      <c r="B421" s="65" t="s">
        <v>194</v>
      </c>
      <c r="D421" s="10">
        <f t="array" aca="1" ref="D421" ca="1">INDEX('Mitra per Bulan'!$M$2:$M800,MATCH(S421,'Mitra per Bulan'!$B$2:$B800,0))</f>
        <v>1</v>
      </c>
      <c r="E421" s="10" t="str">
        <f t="array" ref="E421">INDEX('Database Mitra'!$A$2:$A800,MATCH(A421,'Database Mitra'!$B$2:$B800,0))</f>
        <v>Zaini</v>
      </c>
      <c r="F421" s="64" t="s">
        <v>25</v>
      </c>
      <c r="G421" s="5" t="str">
        <f t="array" ref="G421">INDEX('Database Mitra'!$G$2:$G800,MATCH(A421,'Database Mitra'!$B$2:$B800,0))</f>
        <v>6102010607870002</v>
      </c>
      <c r="H421" s="64" t="s">
        <v>67</v>
      </c>
      <c r="I421" s="65" t="s">
        <v>195</v>
      </c>
      <c r="J421" s="10" t="str">
        <f t="array" ref="J421">INDEX(Honor!$H$2:$H800,MATCH($I421,Honor!$A$2:$A800,0))</f>
        <v>Dokumen</v>
      </c>
      <c r="K421" s="66">
        <f t="array" ref="K421">INDEX(Honor!$I$2:$I800,MATCH($I421,Honor!$A$2:$A800,0))</f>
        <v>60000</v>
      </c>
      <c r="L421" s="64">
        <v>16</v>
      </c>
      <c r="M421" s="10">
        <f t="shared" si="0"/>
        <v>960000</v>
      </c>
      <c r="O421" s="67">
        <f t="array" ref="O421">INDEX(Honor!$L$2:$L800,MATCH($I421,Honor!$A$2:$A800,0))</f>
        <v>45493</v>
      </c>
      <c r="P421" s="10">
        <f t="shared" si="1"/>
        <v>2024</v>
      </c>
      <c r="Q421" s="10">
        <f t="shared" si="2"/>
        <v>7</v>
      </c>
      <c r="R421" s="10" t="str">
        <f t="array" ref="R421">INDEX(Honor!$Q$2:$Q800,MATCH($I421,Honor!$A$2:$A800,0))</f>
        <v>SURVEI-PPL</v>
      </c>
      <c r="S421" s="10" t="str">
        <f t="shared" si="3"/>
        <v>610422040029-2024-7</v>
      </c>
      <c r="T421" s="10" t="str">
        <f t="shared" si="4"/>
        <v>610422040029-2024-7-SURVEI-PPL</v>
      </c>
      <c r="U421" s="64">
        <v>1</v>
      </c>
      <c r="V421" s="10" t="e">
        <f t="array" aca="1" ref="V421" ca="1">INDEX(Honor!$O$2:$O800,MATCH($I421,Honor!$A$2:$A800,0))</f>
        <v>#NAME?</v>
      </c>
      <c r="W421" s="67"/>
      <c r="X421" s="7" t="str">
        <f t="array" ref="X421">INDEX('Input Kegiatan'!$B$2:$B800,MATCH(B421,'Input Kegiatan'!$A$2:$A800,0))</f>
        <v>Survei Harga Kemahalan Konstruksi (SHKK24) Juli</v>
      </c>
      <c r="Y421" s="7" t="s">
        <v>4572</v>
      </c>
      <c r="Z421" s="7" t="s">
        <v>4619</v>
      </c>
      <c r="AA421" s="68">
        <f t="shared" si="5"/>
        <v>45473</v>
      </c>
      <c r="AB421" s="68">
        <f t="shared" si="6"/>
        <v>45474</v>
      </c>
      <c r="AC421" s="68">
        <f t="shared" si="7"/>
        <v>45504</v>
      </c>
      <c r="AD421" s="68">
        <f t="shared" si="8"/>
        <v>45503</v>
      </c>
      <c r="AE421" s="68">
        <f t="shared" si="9"/>
        <v>45504</v>
      </c>
    </row>
    <row r="422" spans="1:31" ht="12.5">
      <c r="A422" s="125">
        <v>610422020048</v>
      </c>
      <c r="B422" s="65" t="s">
        <v>194</v>
      </c>
      <c r="D422" s="10">
        <f t="array" aca="1" ref="D422" ca="1">INDEX('Mitra per Bulan'!$M$2:$M800,MATCH(S422,'Mitra per Bulan'!$B$2:$B800,0))</f>
        <v>1</v>
      </c>
      <c r="E422" s="10" t="str">
        <f t="array" ref="E422">INDEX('Database Mitra'!$A$2:$A800,MATCH(A422,'Database Mitra'!$B$2:$B800,0))</f>
        <v>Herri Gustaman</v>
      </c>
      <c r="F422" s="64" t="s">
        <v>25</v>
      </c>
      <c r="G422" s="5" t="str">
        <f t="array" ref="G422">INDEX('Database Mitra'!$G$2:$G800,MATCH(A422,'Database Mitra'!$B$2:$B800,0))</f>
        <v>6102072503800001</v>
      </c>
      <c r="H422" s="64" t="s">
        <v>67</v>
      </c>
      <c r="I422" s="65" t="s">
        <v>195</v>
      </c>
      <c r="J422" s="10" t="str">
        <f t="array" ref="J422">INDEX(Honor!$H$2:$H800,MATCH($I422,Honor!$A$2:$A800,0))</f>
        <v>Dokumen</v>
      </c>
      <c r="K422" s="66">
        <f t="array" ref="K422">INDEX(Honor!$I$2:$I800,MATCH($I422,Honor!$A$2:$A800,0))</f>
        <v>60000</v>
      </c>
      <c r="L422" s="64">
        <v>10</v>
      </c>
      <c r="M422" s="10">
        <f t="shared" si="0"/>
        <v>600000</v>
      </c>
      <c r="O422" s="67">
        <f t="array" ref="O422">INDEX(Honor!$L$2:$L800,MATCH($I422,Honor!$A$2:$A800,0))</f>
        <v>45493</v>
      </c>
      <c r="P422" s="10">
        <f t="shared" si="1"/>
        <v>2024</v>
      </c>
      <c r="Q422" s="10">
        <f t="shared" si="2"/>
        <v>7</v>
      </c>
      <c r="R422" s="10" t="str">
        <f t="array" ref="R422">INDEX(Honor!$Q$2:$Q800,MATCH($I422,Honor!$A$2:$A800,0))</f>
        <v>SURVEI-PPL</v>
      </c>
      <c r="S422" s="10" t="str">
        <f t="shared" si="3"/>
        <v>610422020048-2024-7</v>
      </c>
      <c r="T422" s="10" t="str">
        <f t="shared" si="4"/>
        <v>610422020048-2024-7-SURVEI-PPL</v>
      </c>
      <c r="U422" s="64">
        <v>1</v>
      </c>
      <c r="V422" s="10" t="e">
        <f t="array" aca="1" ref="V422" ca="1">INDEX(Honor!$O$2:$O800,MATCH($I422,Honor!$A$2:$A800,0))</f>
        <v>#NAME?</v>
      </c>
      <c r="W422" s="67"/>
      <c r="X422" s="7" t="str">
        <f t="array" ref="X422">INDEX('Input Kegiatan'!$B$2:$B800,MATCH(B422,'Input Kegiatan'!$A$2:$A800,0))</f>
        <v>Survei Harga Kemahalan Konstruksi (SHKK24) Juli</v>
      </c>
      <c r="Y422" s="7" t="s">
        <v>4931</v>
      </c>
      <c r="Z422" s="7" t="s">
        <v>5171</v>
      </c>
      <c r="AA422" s="68">
        <f t="shared" si="5"/>
        <v>45473</v>
      </c>
      <c r="AB422" s="68">
        <f t="shared" si="6"/>
        <v>45474</v>
      </c>
      <c r="AC422" s="68">
        <f t="shared" si="7"/>
        <v>45504</v>
      </c>
      <c r="AD422" s="68">
        <f t="shared" si="8"/>
        <v>45503</v>
      </c>
      <c r="AE422" s="68">
        <f t="shared" si="9"/>
        <v>45504</v>
      </c>
    </row>
    <row r="423" spans="1:31" ht="12.5">
      <c r="A423" s="125">
        <v>610422100165</v>
      </c>
      <c r="B423" s="65" t="s">
        <v>194</v>
      </c>
      <c r="D423" s="10">
        <f t="array" aca="1" ref="D423" ca="1">INDEX('Mitra per Bulan'!$M$2:$M800,MATCH(S423,'Mitra per Bulan'!$B$2:$B800,0))</f>
        <v>1</v>
      </c>
      <c r="E423" s="10" t="str">
        <f t="array" ref="E423">INDEX('Database Mitra'!$A$2:$A800,MATCH(A423,'Database Mitra'!$B$2:$B800,0))</f>
        <v>Yanti</v>
      </c>
      <c r="F423" s="64" t="s">
        <v>25</v>
      </c>
      <c r="G423" s="5" t="str">
        <f t="array" ref="G423">INDEX('Database Mitra'!$G$2:$G800,MATCH(A423,'Database Mitra'!$B$2:$B800,0))</f>
        <v>6102074803980002</v>
      </c>
      <c r="H423" s="64" t="s">
        <v>67</v>
      </c>
      <c r="I423" s="65" t="s">
        <v>195</v>
      </c>
      <c r="J423" s="10" t="str">
        <f t="array" ref="J423">INDEX(Honor!$H$2:$H800,MATCH($I423,Honor!$A$2:$A800,0))</f>
        <v>Dokumen</v>
      </c>
      <c r="K423" s="66">
        <f t="array" ref="K423">INDEX(Honor!$I$2:$I800,MATCH($I423,Honor!$A$2:$A800,0))</f>
        <v>60000</v>
      </c>
      <c r="L423" s="64">
        <v>6</v>
      </c>
      <c r="M423" s="10">
        <f t="shared" si="0"/>
        <v>360000</v>
      </c>
      <c r="O423" s="67">
        <f t="array" ref="O423">INDEX(Honor!$L$2:$L800,MATCH($I423,Honor!$A$2:$A800,0))</f>
        <v>45493</v>
      </c>
      <c r="P423" s="10">
        <f t="shared" si="1"/>
        <v>2024</v>
      </c>
      <c r="Q423" s="10">
        <f t="shared" si="2"/>
        <v>7</v>
      </c>
      <c r="R423" s="10" t="str">
        <f t="array" ref="R423">INDEX(Honor!$Q$2:$Q800,MATCH($I423,Honor!$A$2:$A800,0))</f>
        <v>SURVEI-PPL</v>
      </c>
      <c r="S423" s="10" t="str">
        <f t="shared" si="3"/>
        <v>610422100165-2024-7</v>
      </c>
      <c r="T423" s="10" t="str">
        <f t="shared" si="4"/>
        <v>610422100165-2024-7-SURVEI-PPL</v>
      </c>
      <c r="U423" s="64">
        <v>1</v>
      </c>
      <c r="V423" s="10" t="e">
        <f t="array" aca="1" ref="V423" ca="1">INDEX(Honor!$O$2:$O800,MATCH($I423,Honor!$A$2:$A800,0))</f>
        <v>#NAME?</v>
      </c>
      <c r="W423" s="67"/>
      <c r="X423" s="7" t="str">
        <f t="array" ref="X423">INDEX('Input Kegiatan'!$B$2:$B800,MATCH(B423,'Input Kegiatan'!$A$2:$A800,0))</f>
        <v>Survei Harga Kemahalan Konstruksi (SHKK24) Juli</v>
      </c>
      <c r="Y423" s="7" t="s">
        <v>3990</v>
      </c>
      <c r="Z423" s="7" t="s">
        <v>4332</v>
      </c>
      <c r="AA423" s="68">
        <f t="shared" si="5"/>
        <v>45473</v>
      </c>
      <c r="AB423" s="68">
        <f t="shared" si="6"/>
        <v>45474</v>
      </c>
      <c r="AC423" s="68">
        <f t="shared" si="7"/>
        <v>45504</v>
      </c>
      <c r="AD423" s="68">
        <f t="shared" si="8"/>
        <v>45503</v>
      </c>
      <c r="AE423" s="68">
        <f t="shared" si="9"/>
        <v>45504</v>
      </c>
    </row>
    <row r="424" spans="1:31" ht="12.5">
      <c r="A424" s="125">
        <v>610422020052</v>
      </c>
      <c r="B424" s="65" t="s">
        <v>194</v>
      </c>
      <c r="D424" s="10">
        <f t="array" aca="1" ref="D424" ca="1">INDEX('Mitra per Bulan'!$M$2:$M800,MATCH(S424,'Mitra per Bulan'!$B$2:$B800,0))</f>
        <v>1</v>
      </c>
      <c r="E424" s="10" t="str">
        <f t="array" ref="E424">INDEX('Database Mitra'!$A$2:$A800,MATCH(A424,'Database Mitra'!$B$2:$B800,0))</f>
        <v>Agus Supriyanto</v>
      </c>
      <c r="F424" s="64" t="s">
        <v>25</v>
      </c>
      <c r="G424" s="5" t="str">
        <f t="array" ref="G424">INDEX('Database Mitra'!$G$2:$G800,MATCH(A424,'Database Mitra'!$B$2:$B800,0))</f>
        <v>6102071811790001</v>
      </c>
      <c r="H424" s="64" t="s">
        <v>67</v>
      </c>
      <c r="I424" s="65" t="s">
        <v>195</v>
      </c>
      <c r="J424" s="10" t="str">
        <f t="array" ref="J424">INDEX(Honor!$H$2:$H800,MATCH($I424,Honor!$A$2:$A800,0))</f>
        <v>Dokumen</v>
      </c>
      <c r="K424" s="66">
        <f t="array" ref="K424">INDEX(Honor!$I$2:$I800,MATCH($I424,Honor!$A$2:$A800,0))</f>
        <v>60000</v>
      </c>
      <c r="L424" s="64">
        <v>7</v>
      </c>
      <c r="M424" s="10">
        <f t="shared" si="0"/>
        <v>420000</v>
      </c>
      <c r="O424" s="67">
        <f t="array" ref="O424">INDEX(Honor!$L$2:$L800,MATCH($I424,Honor!$A$2:$A800,0))</f>
        <v>45493</v>
      </c>
      <c r="P424" s="10">
        <f t="shared" si="1"/>
        <v>2024</v>
      </c>
      <c r="Q424" s="10">
        <f t="shared" si="2"/>
        <v>7</v>
      </c>
      <c r="R424" s="10" t="str">
        <f t="array" ref="R424">INDEX(Honor!$Q$2:$Q800,MATCH($I424,Honor!$A$2:$A800,0))</f>
        <v>SURVEI-PPL</v>
      </c>
      <c r="S424" s="10" t="str">
        <f t="shared" si="3"/>
        <v>610422020052-2024-7</v>
      </c>
      <c r="T424" s="10" t="str">
        <f t="shared" si="4"/>
        <v>610422020052-2024-7-SURVEI-PPL</v>
      </c>
      <c r="U424" s="64">
        <v>1</v>
      </c>
      <c r="V424" s="10" t="e">
        <f t="array" aca="1" ref="V424" ca="1">INDEX(Honor!$O$2:$O800,MATCH($I424,Honor!$A$2:$A800,0))</f>
        <v>#NAME?</v>
      </c>
      <c r="W424" s="67"/>
      <c r="X424" s="7" t="str">
        <f t="array" ref="X424">INDEX('Input Kegiatan'!$B$2:$B800,MATCH(B424,'Input Kegiatan'!$A$2:$A800,0))</f>
        <v>Survei Harga Kemahalan Konstruksi (SHKK24) Juli</v>
      </c>
      <c r="Y424" s="7" t="s">
        <v>3990</v>
      </c>
      <c r="Z424" s="7" t="s">
        <v>4087</v>
      </c>
      <c r="AA424" s="68">
        <f t="shared" si="5"/>
        <v>45473</v>
      </c>
      <c r="AB424" s="68">
        <f t="shared" si="6"/>
        <v>45474</v>
      </c>
      <c r="AC424" s="68">
        <f t="shared" si="7"/>
        <v>45504</v>
      </c>
      <c r="AD424" s="68">
        <f t="shared" si="8"/>
        <v>45503</v>
      </c>
      <c r="AE424" s="68">
        <f t="shared" si="9"/>
        <v>45504</v>
      </c>
    </row>
    <row r="425" spans="1:31" ht="12.5">
      <c r="A425" s="125">
        <v>610422100016</v>
      </c>
      <c r="B425" s="65" t="s">
        <v>196</v>
      </c>
      <c r="D425" s="10">
        <f t="array" aca="1" ref="D425" ca="1">INDEX('Mitra per Bulan'!$M$2:$M800,MATCH(S425,'Mitra per Bulan'!$B$2:$B800,0))</f>
        <v>1</v>
      </c>
      <c r="E425" s="10" t="str">
        <f t="array" ref="E425">INDEX('Database Mitra'!$A$2:$A800,MATCH(A425,'Database Mitra'!$B$2:$B800,0))</f>
        <v>Amalia Faisya</v>
      </c>
      <c r="F425" s="64" t="s">
        <v>25</v>
      </c>
      <c r="G425" s="5" t="str">
        <f t="array" ref="G425">INDEX('Database Mitra'!$G$2:$G800,MATCH(A425,'Database Mitra'!$B$2:$B800,0))</f>
        <v>6102124210010005</v>
      </c>
      <c r="H425" s="64" t="s">
        <v>72</v>
      </c>
      <c r="I425" s="65" t="s">
        <v>197</v>
      </c>
      <c r="J425" s="10" t="str">
        <f t="array" ref="J425">INDEX(Honor!$H$2:$H800,MATCH($I425,Honor!$A$2:$A800,0))</f>
        <v>Dokumen</v>
      </c>
      <c r="K425" s="66">
        <f t="array" ref="K425">INDEX(Honor!$I$2:$I800,MATCH($I425,Honor!$A$2:$A800,0))</f>
        <v>65000</v>
      </c>
      <c r="L425" s="64">
        <v>3</v>
      </c>
      <c r="M425" s="10">
        <f t="shared" si="0"/>
        <v>195000</v>
      </c>
      <c r="O425" s="67">
        <f t="array" ref="O425">INDEX(Honor!$L$2:$L800,MATCH($I425,Honor!$A$2:$A800,0))</f>
        <v>45493</v>
      </c>
      <c r="P425" s="10">
        <f t="shared" si="1"/>
        <v>2024</v>
      </c>
      <c r="Q425" s="10">
        <f t="shared" si="2"/>
        <v>7</v>
      </c>
      <c r="R425" s="10" t="str">
        <f t="array" ref="R425">INDEX(Honor!$Q$2:$Q800,MATCH($I425,Honor!$A$2:$A800,0))</f>
        <v>SURVEI-PPL</v>
      </c>
      <c r="S425" s="10" t="str">
        <f t="shared" si="3"/>
        <v>610422100016-2024-7</v>
      </c>
      <c r="T425" s="10" t="str">
        <f t="shared" si="4"/>
        <v>610422100016-2024-7-SURVEI-PPL</v>
      </c>
      <c r="U425" s="64">
        <v>1</v>
      </c>
      <c r="V425" s="10" t="e">
        <f t="array" aca="1" ref="V425" ca="1">INDEX(Honor!$O$2:$O800,MATCH($I425,Honor!$A$2:$A800,0))</f>
        <v>#NAME?</v>
      </c>
      <c r="W425" s="67"/>
      <c r="X425" s="7" t="str">
        <f t="array" ref="X425">INDEX('Input Kegiatan'!$B$2:$B800,MATCH(B425,'Input Kegiatan'!$A$2:$A800,0))</f>
        <v>Survei Harga Perdesaan (SHPED24) Juli</v>
      </c>
      <c r="Y425" s="7" t="s">
        <v>5250</v>
      </c>
      <c r="Z425" s="7" t="s">
        <v>5365</v>
      </c>
      <c r="AA425" s="68">
        <f t="shared" si="5"/>
        <v>45473</v>
      </c>
      <c r="AB425" s="68">
        <f t="shared" si="6"/>
        <v>45474</v>
      </c>
      <c r="AC425" s="68">
        <f t="shared" si="7"/>
        <v>45504</v>
      </c>
      <c r="AD425" s="68">
        <f t="shared" si="8"/>
        <v>45503</v>
      </c>
      <c r="AE425" s="68">
        <f t="shared" si="9"/>
        <v>45504</v>
      </c>
    </row>
    <row r="426" spans="1:31" ht="12.5">
      <c r="A426" s="125">
        <v>610422050001</v>
      </c>
      <c r="B426" s="65" t="s">
        <v>196</v>
      </c>
      <c r="D426" s="10">
        <f t="array" aca="1" ref="D426" ca="1">INDEX('Mitra per Bulan'!$M$2:$M800,MATCH(S426,'Mitra per Bulan'!$B$2:$B800,0))</f>
        <v>1</v>
      </c>
      <c r="E426" s="10" t="str">
        <f t="array" ref="E426">INDEX('Database Mitra'!$A$2:$A800,MATCH(A426,'Database Mitra'!$B$2:$B800,0))</f>
        <v>Evi Juniarty</v>
      </c>
      <c r="F426" s="64" t="s">
        <v>25</v>
      </c>
      <c r="G426" s="5" t="str">
        <f t="array" ref="G426">INDEX('Database Mitra'!$G$2:$G800,MATCH(A426,'Database Mitra'!$B$2:$B800,0))</f>
        <v>6102165101840001</v>
      </c>
      <c r="H426" s="64" t="s">
        <v>72</v>
      </c>
      <c r="I426" s="65" t="s">
        <v>197</v>
      </c>
      <c r="J426" s="10" t="str">
        <f t="array" ref="J426">INDEX(Honor!$H$2:$H800,MATCH($I426,Honor!$A$2:$A800,0))</f>
        <v>Dokumen</v>
      </c>
      <c r="K426" s="66">
        <f t="array" ref="K426">INDEX(Honor!$I$2:$I800,MATCH($I426,Honor!$A$2:$A800,0))</f>
        <v>65000</v>
      </c>
      <c r="L426" s="64">
        <v>3</v>
      </c>
      <c r="M426" s="10">
        <f t="shared" si="0"/>
        <v>195000</v>
      </c>
      <c r="O426" s="67">
        <f t="array" ref="O426">INDEX(Honor!$L$2:$L800,MATCH($I426,Honor!$A$2:$A800,0))</f>
        <v>45493</v>
      </c>
      <c r="P426" s="10">
        <f t="shared" si="1"/>
        <v>2024</v>
      </c>
      <c r="Q426" s="10">
        <f t="shared" si="2"/>
        <v>7</v>
      </c>
      <c r="R426" s="10" t="str">
        <f t="array" ref="R426">INDEX(Honor!$Q$2:$Q800,MATCH($I426,Honor!$A$2:$A800,0))</f>
        <v>SURVEI-PPL</v>
      </c>
      <c r="S426" s="10" t="str">
        <f t="shared" si="3"/>
        <v>610422050001-2024-7</v>
      </c>
      <c r="T426" s="10" t="str">
        <f t="shared" si="4"/>
        <v>610422050001-2024-7-SURVEI-PPL</v>
      </c>
      <c r="U426" s="64">
        <v>1</v>
      </c>
      <c r="V426" s="10" t="e">
        <f t="array" aca="1" ref="V426" ca="1">INDEX(Honor!$O$2:$O800,MATCH($I426,Honor!$A$2:$A800,0))</f>
        <v>#NAME?</v>
      </c>
      <c r="W426" s="67"/>
      <c r="X426" s="7" t="str">
        <f t="array" ref="X426">INDEX('Input Kegiatan'!$B$2:$B800,MATCH(B426,'Input Kegiatan'!$A$2:$A800,0))</f>
        <v>Survei Harga Perdesaan (SHPED24) Juli</v>
      </c>
      <c r="Y426" s="7" t="s">
        <v>4408</v>
      </c>
      <c r="Z426" s="7" t="s">
        <v>4409</v>
      </c>
      <c r="AA426" s="68">
        <f t="shared" si="5"/>
        <v>45473</v>
      </c>
      <c r="AB426" s="68">
        <f t="shared" si="6"/>
        <v>45474</v>
      </c>
      <c r="AC426" s="68">
        <f t="shared" si="7"/>
        <v>45504</v>
      </c>
      <c r="AD426" s="68">
        <f t="shared" si="8"/>
        <v>45503</v>
      </c>
      <c r="AE426" s="68">
        <f t="shared" si="9"/>
        <v>45504</v>
      </c>
    </row>
    <row r="427" spans="1:31" ht="12.5">
      <c r="A427" s="125">
        <v>610422040030</v>
      </c>
      <c r="B427" s="65" t="s">
        <v>196</v>
      </c>
      <c r="D427" s="10">
        <f t="array" aca="1" ref="D427" ca="1">INDEX('Mitra per Bulan'!$M$2:$M800,MATCH(S427,'Mitra per Bulan'!$B$2:$B800,0))</f>
        <v>1</v>
      </c>
      <c r="E427" s="10" t="str">
        <f t="array" ref="E427">INDEX('Database Mitra'!$A$2:$A800,MATCH(A427,'Database Mitra'!$B$2:$B800,0))</f>
        <v>Syarifah Desti Pratiwi</v>
      </c>
      <c r="F427" s="64" t="s">
        <v>25</v>
      </c>
      <c r="G427" s="5" t="str">
        <f t="array" ref="G427">INDEX('Database Mitra'!$G$2:$G800,MATCH(A427,'Database Mitra'!$B$2:$B800,0))</f>
        <v>6102084512950002</v>
      </c>
      <c r="H427" s="64" t="s">
        <v>74</v>
      </c>
      <c r="I427" s="65" t="s">
        <v>198</v>
      </c>
      <c r="J427" s="10" t="str">
        <f t="array" ref="J427">INDEX(Honor!$H$2:$H800,MATCH($I427,Honor!$A$2:$A800,0))</f>
        <v>Dokumen</v>
      </c>
      <c r="K427" s="66">
        <f t="array" ref="K427">INDEX(Honor!$I$2:$I800,MATCH($I427,Honor!$A$2:$A800,0))</f>
        <v>55000</v>
      </c>
      <c r="L427" s="64">
        <v>1</v>
      </c>
      <c r="M427" s="10">
        <f t="shared" si="0"/>
        <v>55000</v>
      </c>
      <c r="O427" s="67">
        <f t="array" ref="O427">INDEX(Honor!$L$2:$L800,MATCH($I427,Honor!$A$2:$A800,0))</f>
        <v>45493</v>
      </c>
      <c r="P427" s="10">
        <f t="shared" si="1"/>
        <v>2024</v>
      </c>
      <c r="Q427" s="10">
        <f t="shared" si="2"/>
        <v>7</v>
      </c>
      <c r="R427" s="10" t="str">
        <f t="array" ref="R427">INDEX(Honor!$Q$2:$Q800,MATCH($I427,Honor!$A$2:$A800,0))</f>
        <v>SURVEI-PPL</v>
      </c>
      <c r="S427" s="10" t="str">
        <f t="shared" si="3"/>
        <v>610422040030-2024-7</v>
      </c>
      <c r="T427" s="10" t="str">
        <f t="shared" si="4"/>
        <v>610422040030-2024-7-SURVEI-PPL</v>
      </c>
      <c r="U427" s="64">
        <v>1</v>
      </c>
      <c r="V427" s="10" t="e">
        <f t="array" aca="1" ref="V427" ca="1">INDEX(Honor!$O$2:$O800,MATCH($I427,Honor!$A$2:$A800,0))</f>
        <v>#NAME?</v>
      </c>
      <c r="W427" s="67"/>
      <c r="X427" s="7" t="str">
        <f t="array" ref="X427">INDEX('Input Kegiatan'!$B$2:$B800,MATCH(B427,'Input Kegiatan'!$A$2:$A800,0))</f>
        <v>Survei Harga Perdesaan (SHPED24) Juli</v>
      </c>
      <c r="Y427" s="7" t="s">
        <v>3241</v>
      </c>
      <c r="Z427" s="7" t="s">
        <v>3289</v>
      </c>
      <c r="AA427" s="68">
        <f t="shared" si="5"/>
        <v>45473</v>
      </c>
      <c r="AB427" s="68">
        <f t="shared" si="6"/>
        <v>45474</v>
      </c>
      <c r="AC427" s="68">
        <f t="shared" si="7"/>
        <v>45504</v>
      </c>
      <c r="AD427" s="68">
        <f t="shared" si="8"/>
        <v>45503</v>
      </c>
      <c r="AE427" s="68">
        <f t="shared" si="9"/>
        <v>45504</v>
      </c>
    </row>
    <row r="428" spans="1:31" ht="12.5">
      <c r="A428" s="125">
        <v>610422100124</v>
      </c>
      <c r="B428" s="65" t="s">
        <v>196</v>
      </c>
      <c r="D428" s="10">
        <f t="array" aca="1" ref="D428" ca="1">INDEX('Mitra per Bulan'!$M$2:$M800,MATCH(S428,'Mitra per Bulan'!$B$2:$B800,0))</f>
        <v>1</v>
      </c>
      <c r="E428" s="10" t="str">
        <f t="array" ref="E428">INDEX('Database Mitra'!$A$2:$A800,MATCH(A428,'Database Mitra'!$B$2:$B800,0))</f>
        <v>Prabowo</v>
      </c>
      <c r="F428" s="64" t="s">
        <v>25</v>
      </c>
      <c r="G428" s="5" t="str">
        <f t="array" ref="G428">INDEX('Database Mitra'!$G$2:$G800,MATCH(A428,'Database Mitra'!$B$2:$B800,0))</f>
        <v>6171010108790015</v>
      </c>
      <c r="H428" s="64" t="s">
        <v>74</v>
      </c>
      <c r="I428" s="65" t="s">
        <v>198</v>
      </c>
      <c r="J428" s="10" t="str">
        <f t="array" ref="J428">INDEX(Honor!$H$2:$H800,MATCH($I428,Honor!$A$2:$A800,0))</f>
        <v>Dokumen</v>
      </c>
      <c r="K428" s="66">
        <f t="array" ref="K428">INDEX(Honor!$I$2:$I800,MATCH($I428,Honor!$A$2:$A800,0))</f>
        <v>55000</v>
      </c>
      <c r="L428" s="64">
        <v>3</v>
      </c>
      <c r="M428" s="10">
        <f t="shared" si="0"/>
        <v>165000</v>
      </c>
      <c r="O428" s="67">
        <f t="array" ref="O428">INDEX(Honor!$L$2:$L800,MATCH($I428,Honor!$A$2:$A800,0))</f>
        <v>45493</v>
      </c>
      <c r="P428" s="10">
        <f t="shared" si="1"/>
        <v>2024</v>
      </c>
      <c r="Q428" s="10">
        <f t="shared" si="2"/>
        <v>7</v>
      </c>
      <c r="R428" s="10" t="str">
        <f t="array" ref="R428">INDEX(Honor!$Q$2:$Q800,MATCH($I428,Honor!$A$2:$A800,0))</f>
        <v>SURVEI-PPL</v>
      </c>
      <c r="S428" s="10" t="str">
        <f t="shared" si="3"/>
        <v>610422100124-2024-7</v>
      </c>
      <c r="T428" s="10" t="str">
        <f t="shared" si="4"/>
        <v>610422100124-2024-7-SURVEI-PPL</v>
      </c>
      <c r="U428" s="64">
        <v>1</v>
      </c>
      <c r="V428" s="10" t="e">
        <f t="array" aca="1" ref="V428" ca="1">INDEX(Honor!$O$2:$O800,MATCH($I428,Honor!$A$2:$A800,0))</f>
        <v>#NAME?</v>
      </c>
      <c r="W428" s="67"/>
      <c r="X428" s="7" t="str">
        <f t="array" ref="X428">INDEX('Input Kegiatan'!$B$2:$B800,MATCH(B428,'Input Kegiatan'!$A$2:$A800,0))</f>
        <v>Survei Harga Perdesaan (SHPED24) Juli</v>
      </c>
      <c r="Y428" s="7" t="s">
        <v>1921</v>
      </c>
      <c r="Z428" s="7" t="s">
        <v>2140</v>
      </c>
      <c r="AA428" s="68">
        <f t="shared" si="5"/>
        <v>45473</v>
      </c>
      <c r="AB428" s="68">
        <f t="shared" si="6"/>
        <v>45474</v>
      </c>
      <c r="AC428" s="68">
        <f t="shared" si="7"/>
        <v>45504</v>
      </c>
      <c r="AD428" s="68">
        <f t="shared" si="8"/>
        <v>45503</v>
      </c>
      <c r="AE428" s="68">
        <f t="shared" si="9"/>
        <v>45504</v>
      </c>
    </row>
    <row r="429" spans="1:31" ht="12.5">
      <c r="A429" s="125">
        <v>610422100244</v>
      </c>
      <c r="B429" s="65" t="s">
        <v>196</v>
      </c>
      <c r="D429" s="10">
        <f t="array" aca="1" ref="D429" ca="1">INDEX('Mitra per Bulan'!$M$2:$M800,MATCH(S429,'Mitra per Bulan'!$B$2:$B800,0))</f>
        <v>1</v>
      </c>
      <c r="E429" s="10" t="str">
        <f t="array" ref="E429">INDEX('Database Mitra'!$A$2:$A800,MATCH(A429,'Database Mitra'!$B$2:$B800,0))</f>
        <v>Sugianto</v>
      </c>
      <c r="F429" s="64" t="s">
        <v>25</v>
      </c>
      <c r="G429" s="5" t="str">
        <f t="array" ref="G429">INDEX('Database Mitra'!$G$2:$G800,MATCH(A429,'Database Mitra'!$B$2:$B800,0))</f>
        <v>6102171003900002</v>
      </c>
      <c r="H429" s="64" t="s">
        <v>74</v>
      </c>
      <c r="I429" s="65" t="s">
        <v>198</v>
      </c>
      <c r="J429" s="10" t="str">
        <f t="array" ref="J429">INDEX(Honor!$H$2:$H800,MATCH($I429,Honor!$A$2:$A800,0))</f>
        <v>Dokumen</v>
      </c>
      <c r="K429" s="66">
        <f t="array" ref="K429">INDEX(Honor!$I$2:$I800,MATCH($I429,Honor!$A$2:$A800,0))</f>
        <v>55000</v>
      </c>
      <c r="L429" s="64">
        <v>2</v>
      </c>
      <c r="M429" s="10">
        <f t="shared" si="0"/>
        <v>110000</v>
      </c>
      <c r="O429" s="67">
        <f t="array" ref="O429">INDEX(Honor!$L$2:$L800,MATCH($I429,Honor!$A$2:$A800,0))</f>
        <v>45493</v>
      </c>
      <c r="P429" s="10">
        <f t="shared" si="1"/>
        <v>2024</v>
      </c>
      <c r="Q429" s="10">
        <f t="shared" si="2"/>
        <v>7</v>
      </c>
      <c r="R429" s="10" t="str">
        <f t="array" ref="R429">INDEX(Honor!$Q$2:$Q800,MATCH($I429,Honor!$A$2:$A800,0))</f>
        <v>SURVEI-PPL</v>
      </c>
      <c r="S429" s="10" t="str">
        <f t="shared" si="3"/>
        <v>610422100244-2024-7</v>
      </c>
      <c r="T429" s="10" t="str">
        <f t="shared" si="4"/>
        <v>610422100244-2024-7-SURVEI-PPL</v>
      </c>
      <c r="U429" s="64">
        <v>1</v>
      </c>
      <c r="V429" s="10" t="e">
        <f t="array" aca="1" ref="V429" ca="1">INDEX(Honor!$O$2:$O800,MATCH($I429,Honor!$A$2:$A800,0))</f>
        <v>#NAME?</v>
      </c>
      <c r="W429" s="67"/>
      <c r="X429" s="7" t="str">
        <f t="array" ref="X429">INDEX('Input Kegiatan'!$B$2:$B800,MATCH(B429,'Input Kegiatan'!$A$2:$A800,0))</f>
        <v>Survei Harga Perdesaan (SHPED24) Juli</v>
      </c>
      <c r="Y429" s="7" t="s">
        <v>5741</v>
      </c>
      <c r="Z429" s="7" t="s">
        <v>5796</v>
      </c>
      <c r="AA429" s="68">
        <f t="shared" si="5"/>
        <v>45473</v>
      </c>
      <c r="AB429" s="68">
        <f t="shared" si="6"/>
        <v>45474</v>
      </c>
      <c r="AC429" s="68">
        <f t="shared" si="7"/>
        <v>45504</v>
      </c>
      <c r="AD429" s="68">
        <f t="shared" si="8"/>
        <v>45503</v>
      </c>
      <c r="AE429" s="68">
        <f t="shared" si="9"/>
        <v>45504</v>
      </c>
    </row>
    <row r="430" spans="1:31" ht="12.5">
      <c r="A430" s="125">
        <v>610422020016</v>
      </c>
      <c r="B430" s="65" t="s">
        <v>196</v>
      </c>
      <c r="D430" s="10">
        <f t="array" aca="1" ref="D430" ca="1">INDEX('Mitra per Bulan'!$M$2:$M800,MATCH(S430,'Mitra per Bulan'!$B$2:$B800,0))</f>
        <v>1</v>
      </c>
      <c r="E430" s="10" t="str">
        <f t="array" ref="E430">INDEX('Database Mitra'!$A$2:$A800,MATCH(A430,'Database Mitra'!$B$2:$B800,0))</f>
        <v>Abdul Aziz</v>
      </c>
      <c r="F430" s="64" t="s">
        <v>25</v>
      </c>
      <c r="G430" s="5" t="str">
        <f t="array" ref="G430">INDEX('Database Mitra'!$G$2:$G800,MATCH(A430,'Database Mitra'!$B$2:$B800,0))</f>
        <v>6102061507950006</v>
      </c>
      <c r="H430" s="64" t="s">
        <v>74</v>
      </c>
      <c r="I430" s="65" t="s">
        <v>198</v>
      </c>
      <c r="J430" s="10" t="str">
        <f t="array" ref="J430">INDEX(Honor!$H$2:$H800,MATCH($I430,Honor!$A$2:$A800,0))</f>
        <v>Dokumen</v>
      </c>
      <c r="K430" s="66">
        <f t="array" ref="K430">INDEX(Honor!$I$2:$I800,MATCH($I430,Honor!$A$2:$A800,0))</f>
        <v>55000</v>
      </c>
      <c r="L430" s="64">
        <v>3</v>
      </c>
      <c r="M430" s="10">
        <f t="shared" si="0"/>
        <v>165000</v>
      </c>
      <c r="O430" s="67">
        <f t="array" ref="O430">INDEX(Honor!$L$2:$L800,MATCH($I430,Honor!$A$2:$A800,0))</f>
        <v>45493</v>
      </c>
      <c r="P430" s="10">
        <f t="shared" si="1"/>
        <v>2024</v>
      </c>
      <c r="Q430" s="10">
        <f t="shared" si="2"/>
        <v>7</v>
      </c>
      <c r="R430" s="10" t="str">
        <f t="array" ref="R430">INDEX(Honor!$Q$2:$Q800,MATCH($I430,Honor!$A$2:$A800,0))</f>
        <v>SURVEI-PPL</v>
      </c>
      <c r="S430" s="10" t="str">
        <f t="shared" si="3"/>
        <v>610422020016-2024-7</v>
      </c>
      <c r="T430" s="10" t="str">
        <f t="shared" si="4"/>
        <v>610422020016-2024-7-SURVEI-PPL</v>
      </c>
      <c r="U430" s="64">
        <v>1</v>
      </c>
      <c r="V430" s="10" t="e">
        <f t="array" aca="1" ref="V430" ca="1">INDEX(Honor!$O$2:$O800,MATCH($I430,Honor!$A$2:$A800,0))</f>
        <v>#NAME?</v>
      </c>
      <c r="W430" s="67"/>
      <c r="X430" s="7" t="str">
        <f t="array" ref="X430">INDEX('Input Kegiatan'!$B$2:$B800,MATCH(B430,'Input Kegiatan'!$A$2:$A800,0))</f>
        <v>Survei Harga Perdesaan (SHPED24) Juli</v>
      </c>
      <c r="Y430" s="7" t="s">
        <v>5534</v>
      </c>
      <c r="Z430" s="7" t="s">
        <v>5535</v>
      </c>
      <c r="AA430" s="68">
        <f t="shared" si="5"/>
        <v>45473</v>
      </c>
      <c r="AB430" s="68">
        <f t="shared" si="6"/>
        <v>45474</v>
      </c>
      <c r="AC430" s="68">
        <f t="shared" si="7"/>
        <v>45504</v>
      </c>
      <c r="AD430" s="68">
        <f t="shared" si="8"/>
        <v>45503</v>
      </c>
      <c r="AE430" s="68">
        <f t="shared" si="9"/>
        <v>45504</v>
      </c>
    </row>
    <row r="431" spans="1:31" ht="12.5">
      <c r="A431" s="125">
        <v>610422100016</v>
      </c>
      <c r="B431" s="65" t="s">
        <v>196</v>
      </c>
      <c r="D431" s="10">
        <f t="array" aca="1" ref="D431" ca="1">INDEX('Mitra per Bulan'!$M$2:$M800,MATCH(S431,'Mitra per Bulan'!$B$2:$B800,0))</f>
        <v>1</v>
      </c>
      <c r="E431" s="10" t="str">
        <f t="array" ref="E431">INDEX('Database Mitra'!$A$2:$A800,MATCH(A431,'Database Mitra'!$B$2:$B800,0))</f>
        <v>Amalia Faisya</v>
      </c>
      <c r="F431" s="64" t="s">
        <v>25</v>
      </c>
      <c r="G431" s="5" t="str">
        <f t="array" ref="G431">INDEX('Database Mitra'!$G$2:$G800,MATCH(A431,'Database Mitra'!$B$2:$B800,0))</f>
        <v>6102124210010005</v>
      </c>
      <c r="H431" s="64" t="s">
        <v>74</v>
      </c>
      <c r="I431" s="65" t="s">
        <v>198</v>
      </c>
      <c r="J431" s="10" t="str">
        <f t="array" ref="J431">INDEX(Honor!$H$2:$H800,MATCH($I431,Honor!$A$2:$A800,0))</f>
        <v>Dokumen</v>
      </c>
      <c r="K431" s="66">
        <f t="array" ref="K431">INDEX(Honor!$I$2:$I800,MATCH($I431,Honor!$A$2:$A800,0))</f>
        <v>55000</v>
      </c>
      <c r="L431" s="64">
        <v>1</v>
      </c>
      <c r="M431" s="10">
        <f t="shared" si="0"/>
        <v>55000</v>
      </c>
      <c r="O431" s="67">
        <f t="array" ref="O431">INDEX(Honor!$L$2:$L800,MATCH($I431,Honor!$A$2:$A800,0))</f>
        <v>45493</v>
      </c>
      <c r="P431" s="10">
        <f t="shared" si="1"/>
        <v>2024</v>
      </c>
      <c r="Q431" s="10">
        <f t="shared" si="2"/>
        <v>7</v>
      </c>
      <c r="R431" s="10" t="str">
        <f t="array" ref="R431">INDEX(Honor!$Q$2:$Q800,MATCH($I431,Honor!$A$2:$A800,0))</f>
        <v>SURVEI-PPL</v>
      </c>
      <c r="S431" s="10" t="str">
        <f t="shared" si="3"/>
        <v>610422100016-2024-7</v>
      </c>
      <c r="T431" s="10" t="str">
        <f t="shared" si="4"/>
        <v>610422100016-2024-7-SURVEI-PPL</v>
      </c>
      <c r="U431" s="64">
        <v>1</v>
      </c>
      <c r="V431" s="10" t="e">
        <f t="array" aca="1" ref="V431" ca="1">INDEX(Honor!$O$2:$O800,MATCH($I431,Honor!$A$2:$A800,0))</f>
        <v>#NAME?</v>
      </c>
      <c r="W431" s="67"/>
      <c r="X431" s="7" t="str">
        <f t="array" ref="X431">INDEX('Input Kegiatan'!$B$2:$B800,MATCH(B431,'Input Kegiatan'!$A$2:$A800,0))</f>
        <v>Survei Harga Perdesaan (SHPED24) Juli</v>
      </c>
      <c r="Y431" s="7" t="s">
        <v>5250</v>
      </c>
      <c r="Z431" s="7" t="s">
        <v>5365</v>
      </c>
      <c r="AA431" s="68">
        <f t="shared" si="5"/>
        <v>45473</v>
      </c>
      <c r="AB431" s="68">
        <f t="shared" si="6"/>
        <v>45474</v>
      </c>
      <c r="AC431" s="68">
        <f t="shared" si="7"/>
        <v>45504</v>
      </c>
      <c r="AD431" s="68">
        <f t="shared" si="8"/>
        <v>45503</v>
      </c>
      <c r="AE431" s="68">
        <f t="shared" si="9"/>
        <v>45504</v>
      </c>
    </row>
    <row r="432" spans="1:31" ht="12.5">
      <c r="A432" s="125">
        <v>610422020048</v>
      </c>
      <c r="B432" s="65" t="s">
        <v>196</v>
      </c>
      <c r="D432" s="10">
        <f t="array" aca="1" ref="D432" ca="1">INDEX('Mitra per Bulan'!$M$2:$M800,MATCH(S432,'Mitra per Bulan'!$B$2:$B800,0))</f>
        <v>1</v>
      </c>
      <c r="E432" s="10" t="str">
        <f t="array" ref="E432">INDEX('Database Mitra'!$A$2:$A800,MATCH(A432,'Database Mitra'!$B$2:$B800,0))</f>
        <v>Herri Gustaman</v>
      </c>
      <c r="F432" s="64" t="s">
        <v>25</v>
      </c>
      <c r="G432" s="5" t="str">
        <f t="array" ref="G432">INDEX('Database Mitra'!$G$2:$G800,MATCH(A432,'Database Mitra'!$B$2:$B800,0))</f>
        <v>6102072503800001</v>
      </c>
      <c r="H432" s="64" t="s">
        <v>74</v>
      </c>
      <c r="I432" s="65" t="s">
        <v>198</v>
      </c>
      <c r="J432" s="10" t="str">
        <f t="array" ref="J432">INDEX(Honor!$H$2:$H800,MATCH($I432,Honor!$A$2:$A800,0))</f>
        <v>Dokumen</v>
      </c>
      <c r="K432" s="66">
        <f t="array" ref="K432">INDEX(Honor!$I$2:$I800,MATCH($I432,Honor!$A$2:$A800,0))</f>
        <v>55000</v>
      </c>
      <c r="L432" s="64">
        <v>3</v>
      </c>
      <c r="M432" s="10">
        <f t="shared" si="0"/>
        <v>165000</v>
      </c>
      <c r="O432" s="67">
        <f t="array" ref="O432">INDEX(Honor!$L$2:$L800,MATCH($I432,Honor!$A$2:$A800,0))</f>
        <v>45493</v>
      </c>
      <c r="P432" s="10">
        <f t="shared" si="1"/>
        <v>2024</v>
      </c>
      <c r="Q432" s="10">
        <f t="shared" si="2"/>
        <v>7</v>
      </c>
      <c r="R432" s="10" t="str">
        <f t="array" ref="R432">INDEX(Honor!$Q$2:$Q800,MATCH($I432,Honor!$A$2:$A800,0))</f>
        <v>SURVEI-PPL</v>
      </c>
      <c r="S432" s="10" t="str">
        <f t="shared" si="3"/>
        <v>610422020048-2024-7</v>
      </c>
      <c r="T432" s="10" t="str">
        <f t="shared" si="4"/>
        <v>610422020048-2024-7-SURVEI-PPL</v>
      </c>
      <c r="U432" s="64">
        <v>1</v>
      </c>
      <c r="V432" s="10" t="e">
        <f t="array" aca="1" ref="V432" ca="1">INDEX(Honor!$O$2:$O800,MATCH($I432,Honor!$A$2:$A800,0))</f>
        <v>#NAME?</v>
      </c>
      <c r="W432" s="67"/>
      <c r="X432" s="7" t="str">
        <f t="array" ref="X432">INDEX('Input Kegiatan'!$B$2:$B800,MATCH(B432,'Input Kegiatan'!$A$2:$A800,0))</f>
        <v>Survei Harga Perdesaan (SHPED24) Juli</v>
      </c>
      <c r="Y432" s="7" t="s">
        <v>4931</v>
      </c>
      <c r="Z432" s="7" t="s">
        <v>5171</v>
      </c>
      <c r="AA432" s="68">
        <f t="shared" si="5"/>
        <v>45473</v>
      </c>
      <c r="AB432" s="68">
        <f t="shared" si="6"/>
        <v>45474</v>
      </c>
      <c r="AC432" s="68">
        <f t="shared" si="7"/>
        <v>45504</v>
      </c>
      <c r="AD432" s="68">
        <f t="shared" si="8"/>
        <v>45503</v>
      </c>
      <c r="AE432" s="68">
        <f t="shared" si="9"/>
        <v>45504</v>
      </c>
    </row>
    <row r="433" spans="1:31" ht="12.5">
      <c r="A433" s="125">
        <v>610422040029</v>
      </c>
      <c r="B433" s="65" t="s">
        <v>196</v>
      </c>
      <c r="D433" s="10">
        <f t="array" aca="1" ref="D433" ca="1">INDEX('Mitra per Bulan'!$M$2:$M800,MATCH(S433,'Mitra per Bulan'!$B$2:$B800,0))</f>
        <v>1</v>
      </c>
      <c r="E433" s="10" t="str">
        <f t="array" ref="E433">INDEX('Database Mitra'!$A$2:$A800,MATCH(A433,'Database Mitra'!$B$2:$B800,0))</f>
        <v>Zaini</v>
      </c>
      <c r="F433" s="64" t="s">
        <v>25</v>
      </c>
      <c r="G433" s="5" t="str">
        <f t="array" ref="G433">INDEX('Database Mitra'!$G$2:$G800,MATCH(A433,'Database Mitra'!$B$2:$B800,0))</f>
        <v>6102010607870002</v>
      </c>
      <c r="H433" s="64" t="s">
        <v>74</v>
      </c>
      <c r="I433" s="65" t="s">
        <v>198</v>
      </c>
      <c r="J433" s="10" t="str">
        <f t="array" ref="J433">INDEX(Honor!$H$2:$H800,MATCH($I433,Honor!$A$2:$A800,0))</f>
        <v>Dokumen</v>
      </c>
      <c r="K433" s="66">
        <f t="array" ref="K433">INDEX(Honor!$I$2:$I800,MATCH($I433,Honor!$A$2:$A800,0))</f>
        <v>55000</v>
      </c>
      <c r="L433" s="64">
        <v>4</v>
      </c>
      <c r="M433" s="10">
        <f t="shared" si="0"/>
        <v>220000</v>
      </c>
      <c r="O433" s="67">
        <f t="array" ref="O433">INDEX(Honor!$L$2:$L800,MATCH($I433,Honor!$A$2:$A800,0))</f>
        <v>45493</v>
      </c>
      <c r="P433" s="10">
        <f t="shared" si="1"/>
        <v>2024</v>
      </c>
      <c r="Q433" s="10">
        <f t="shared" si="2"/>
        <v>7</v>
      </c>
      <c r="R433" s="10" t="str">
        <f t="array" ref="R433">INDEX(Honor!$Q$2:$Q800,MATCH($I433,Honor!$A$2:$A800,0))</f>
        <v>SURVEI-PPL</v>
      </c>
      <c r="S433" s="10" t="str">
        <f t="shared" si="3"/>
        <v>610422040029-2024-7</v>
      </c>
      <c r="T433" s="10" t="str">
        <f t="shared" si="4"/>
        <v>610422040029-2024-7-SURVEI-PPL</v>
      </c>
      <c r="U433" s="64">
        <v>1</v>
      </c>
      <c r="V433" s="10" t="e">
        <f t="array" aca="1" ref="V433" ca="1">INDEX(Honor!$O$2:$O800,MATCH($I433,Honor!$A$2:$A800,0))</f>
        <v>#NAME?</v>
      </c>
      <c r="W433" s="67"/>
      <c r="X433" s="7" t="str">
        <f t="array" ref="X433">INDEX('Input Kegiatan'!$B$2:$B800,MATCH(B433,'Input Kegiatan'!$A$2:$A800,0))</f>
        <v>Survei Harga Perdesaan (SHPED24) Juli</v>
      </c>
      <c r="Y433" s="7" t="s">
        <v>4572</v>
      </c>
      <c r="Z433" s="7" t="s">
        <v>4619</v>
      </c>
      <c r="AA433" s="68">
        <f t="shared" si="5"/>
        <v>45473</v>
      </c>
      <c r="AB433" s="68">
        <f t="shared" si="6"/>
        <v>45474</v>
      </c>
      <c r="AC433" s="68">
        <f t="shared" si="7"/>
        <v>45504</v>
      </c>
      <c r="AD433" s="68">
        <f t="shared" si="8"/>
        <v>45503</v>
      </c>
      <c r="AE433" s="68">
        <f t="shared" si="9"/>
        <v>45504</v>
      </c>
    </row>
    <row r="434" spans="1:31" ht="12.5">
      <c r="A434" s="125">
        <v>610422050001</v>
      </c>
      <c r="B434" s="65" t="s">
        <v>196</v>
      </c>
      <c r="D434" s="10">
        <f t="array" aca="1" ref="D434" ca="1">INDEX('Mitra per Bulan'!$M$2:$M800,MATCH(S434,'Mitra per Bulan'!$B$2:$B800,0))</f>
        <v>1</v>
      </c>
      <c r="E434" s="10" t="str">
        <f t="array" ref="E434">INDEX('Database Mitra'!$A$2:$A800,MATCH(A434,'Database Mitra'!$B$2:$B800,0))</f>
        <v>Evi Juniarty</v>
      </c>
      <c r="F434" s="64" t="s">
        <v>25</v>
      </c>
      <c r="G434" s="5" t="str">
        <f t="array" ref="G434">INDEX('Database Mitra'!$G$2:$G800,MATCH(A434,'Database Mitra'!$B$2:$B800,0))</f>
        <v>6102165101840001</v>
      </c>
      <c r="H434" s="64" t="s">
        <v>74</v>
      </c>
      <c r="I434" s="65" t="s">
        <v>198</v>
      </c>
      <c r="J434" s="10" t="str">
        <f t="array" ref="J434">INDEX(Honor!$H$2:$H800,MATCH($I434,Honor!$A$2:$A800,0))</f>
        <v>Dokumen</v>
      </c>
      <c r="K434" s="66">
        <f t="array" ref="K434">INDEX(Honor!$I$2:$I800,MATCH($I434,Honor!$A$2:$A800,0))</f>
        <v>55000</v>
      </c>
      <c r="L434" s="64">
        <v>1</v>
      </c>
      <c r="M434" s="10">
        <f t="shared" si="0"/>
        <v>55000</v>
      </c>
      <c r="O434" s="67">
        <f t="array" ref="O434">INDEX(Honor!$L$2:$L800,MATCH($I434,Honor!$A$2:$A800,0))</f>
        <v>45493</v>
      </c>
      <c r="P434" s="10">
        <f t="shared" si="1"/>
        <v>2024</v>
      </c>
      <c r="Q434" s="10">
        <f t="shared" si="2"/>
        <v>7</v>
      </c>
      <c r="R434" s="10" t="str">
        <f t="array" ref="R434">INDEX(Honor!$Q$2:$Q800,MATCH($I434,Honor!$A$2:$A800,0))</f>
        <v>SURVEI-PPL</v>
      </c>
      <c r="S434" s="10" t="str">
        <f t="shared" si="3"/>
        <v>610422050001-2024-7</v>
      </c>
      <c r="T434" s="10" t="str">
        <f t="shared" si="4"/>
        <v>610422050001-2024-7-SURVEI-PPL</v>
      </c>
      <c r="U434" s="64">
        <v>1</v>
      </c>
      <c r="V434" s="10" t="e">
        <f t="array" aca="1" ref="V434" ca="1">INDEX(Honor!$O$2:$O800,MATCH($I434,Honor!$A$2:$A800,0))</f>
        <v>#NAME?</v>
      </c>
      <c r="W434" s="67"/>
      <c r="X434" s="7" t="str">
        <f t="array" ref="X434">INDEX('Input Kegiatan'!$B$2:$B800,MATCH(B434,'Input Kegiatan'!$A$2:$A800,0))</f>
        <v>Survei Harga Perdesaan (SHPED24) Juli</v>
      </c>
      <c r="Y434" s="7" t="s">
        <v>4408</v>
      </c>
      <c r="Z434" s="7" t="s">
        <v>4409</v>
      </c>
      <c r="AA434" s="68">
        <f t="shared" si="5"/>
        <v>45473</v>
      </c>
      <c r="AB434" s="68">
        <f t="shared" si="6"/>
        <v>45474</v>
      </c>
      <c r="AC434" s="68">
        <f t="shared" si="7"/>
        <v>45504</v>
      </c>
      <c r="AD434" s="68">
        <f t="shared" si="8"/>
        <v>45503</v>
      </c>
      <c r="AE434" s="68">
        <f t="shared" si="9"/>
        <v>45504</v>
      </c>
    </row>
    <row r="435" spans="1:31" ht="12.5">
      <c r="A435" s="125">
        <v>610422100124</v>
      </c>
      <c r="B435" s="65" t="s">
        <v>199</v>
      </c>
      <c r="D435" s="10">
        <f t="array" aca="1" ref="D435" ca="1">INDEX('Mitra per Bulan'!$M$2:$M800,MATCH(S435,'Mitra per Bulan'!$B$2:$B800,0))</f>
        <v>1</v>
      </c>
      <c r="E435" s="10" t="str">
        <f t="array" ref="E435">INDEX('Database Mitra'!$A$2:$A800,MATCH(A435,'Database Mitra'!$B$2:$B800,0))</f>
        <v>Prabowo</v>
      </c>
      <c r="F435" s="64" t="s">
        <v>25</v>
      </c>
      <c r="G435" s="5" t="str">
        <f t="array" ref="G435">INDEX('Database Mitra'!$G$2:$G800,MATCH(A435,'Database Mitra'!$B$2:$B800,0))</f>
        <v>6171010108790015</v>
      </c>
      <c r="H435" s="64" t="s">
        <v>67</v>
      </c>
      <c r="I435" s="65" t="s">
        <v>200</v>
      </c>
      <c r="J435" s="10" t="str">
        <f t="array" ref="J435">INDEX(Honor!$H$2:$H800,MATCH($I435,Honor!$A$2:$A800,0))</f>
        <v>Dokumen</v>
      </c>
      <c r="K435" s="66">
        <f t="array" ref="K435">INDEX(Honor!$I$2:$I800,MATCH($I435,Honor!$A$2:$A800,0))</f>
        <v>55000</v>
      </c>
      <c r="L435" s="64">
        <v>2</v>
      </c>
      <c r="M435" s="10">
        <f t="shared" si="0"/>
        <v>110000</v>
      </c>
      <c r="O435" s="67">
        <f t="array" ref="O435">INDEX(Honor!$L$2:$L800,MATCH($I435,Honor!$A$2:$A800,0))</f>
        <v>45493</v>
      </c>
      <c r="P435" s="10">
        <f t="shared" si="1"/>
        <v>2024</v>
      </c>
      <c r="Q435" s="10">
        <f t="shared" si="2"/>
        <v>7</v>
      </c>
      <c r="R435" s="10" t="str">
        <f t="array" ref="R435">INDEX(Honor!$Q$2:$Q800,MATCH($I435,Honor!$A$2:$A800,0))</f>
        <v>SURVEI-PPL</v>
      </c>
      <c r="S435" s="10" t="str">
        <f t="shared" si="3"/>
        <v>610422100124-2024-7</v>
      </c>
      <c r="T435" s="10" t="str">
        <f t="shared" si="4"/>
        <v>610422100124-2024-7-SURVEI-PPL</v>
      </c>
      <c r="U435" s="64">
        <v>1</v>
      </c>
      <c r="V435" s="10" t="e">
        <f t="array" aca="1" ref="V435" ca="1">INDEX(Honor!$O$2:$O800,MATCH($I435,Honor!$A$2:$A800,0))</f>
        <v>#NAME?</v>
      </c>
      <c r="W435" s="67"/>
      <c r="X435" s="7" t="str">
        <f t="array" ref="X435">INDEX('Input Kegiatan'!$B$2:$B800,MATCH(B435,'Input Kegiatan'!$A$2:$A800,0))</f>
        <v>Survei Harga Produsen Beras di Penggilingan 2024 (HPBG24) Juli</v>
      </c>
      <c r="Y435" s="7" t="s">
        <v>1921</v>
      </c>
      <c r="Z435" s="7" t="s">
        <v>2140</v>
      </c>
      <c r="AA435" s="68">
        <f t="shared" si="5"/>
        <v>45473</v>
      </c>
      <c r="AB435" s="68">
        <f t="shared" si="6"/>
        <v>45474</v>
      </c>
      <c r="AC435" s="68">
        <f t="shared" si="7"/>
        <v>45504</v>
      </c>
      <c r="AD435" s="68">
        <f t="shared" si="8"/>
        <v>45503</v>
      </c>
      <c r="AE435" s="68">
        <f t="shared" si="9"/>
        <v>45504</v>
      </c>
    </row>
    <row r="436" spans="1:31" ht="12.5">
      <c r="A436" s="125">
        <v>610422100244</v>
      </c>
      <c r="B436" s="65" t="s">
        <v>199</v>
      </c>
      <c r="D436" s="10">
        <f t="array" aca="1" ref="D436" ca="1">INDEX('Mitra per Bulan'!$M$2:$M800,MATCH(S436,'Mitra per Bulan'!$B$2:$B800,0))</f>
        <v>1</v>
      </c>
      <c r="E436" s="10" t="str">
        <f t="array" ref="E436">INDEX('Database Mitra'!$A$2:$A800,MATCH(A436,'Database Mitra'!$B$2:$B800,0))</f>
        <v>Sugianto</v>
      </c>
      <c r="F436" s="64" t="s">
        <v>25</v>
      </c>
      <c r="G436" s="5" t="str">
        <f t="array" ref="G436">INDEX('Database Mitra'!$G$2:$G800,MATCH(A436,'Database Mitra'!$B$2:$B800,0))</f>
        <v>6102171003900002</v>
      </c>
      <c r="H436" s="64" t="s">
        <v>67</v>
      </c>
      <c r="I436" s="65" t="s">
        <v>200</v>
      </c>
      <c r="J436" s="10" t="str">
        <f t="array" ref="J436">INDEX(Honor!$H$2:$H800,MATCH($I436,Honor!$A$2:$A800,0))</f>
        <v>Dokumen</v>
      </c>
      <c r="K436" s="66">
        <f t="array" ref="K436">INDEX(Honor!$I$2:$I800,MATCH($I436,Honor!$A$2:$A800,0))</f>
        <v>55000</v>
      </c>
      <c r="L436" s="64">
        <v>2</v>
      </c>
      <c r="M436" s="10">
        <f t="shared" si="0"/>
        <v>110000</v>
      </c>
      <c r="O436" s="67">
        <f t="array" ref="O436">INDEX(Honor!$L$2:$L800,MATCH($I436,Honor!$A$2:$A800,0))</f>
        <v>45493</v>
      </c>
      <c r="P436" s="10">
        <f t="shared" si="1"/>
        <v>2024</v>
      </c>
      <c r="Q436" s="10">
        <f t="shared" si="2"/>
        <v>7</v>
      </c>
      <c r="R436" s="10" t="str">
        <f t="array" ref="R436">INDEX(Honor!$Q$2:$Q800,MATCH($I436,Honor!$A$2:$A800,0))</f>
        <v>SURVEI-PPL</v>
      </c>
      <c r="S436" s="10" t="str">
        <f t="shared" si="3"/>
        <v>610422100244-2024-7</v>
      </c>
      <c r="T436" s="10" t="str">
        <f t="shared" si="4"/>
        <v>610422100244-2024-7-SURVEI-PPL</v>
      </c>
      <c r="U436" s="64">
        <v>1</v>
      </c>
      <c r="V436" s="10" t="e">
        <f t="array" aca="1" ref="V436" ca="1">INDEX(Honor!$O$2:$O800,MATCH($I436,Honor!$A$2:$A800,0))</f>
        <v>#NAME?</v>
      </c>
      <c r="W436" s="67"/>
      <c r="X436" s="7" t="str">
        <f t="array" ref="X436">INDEX('Input Kegiatan'!$B$2:$B800,MATCH(B436,'Input Kegiatan'!$A$2:$A800,0))</f>
        <v>Survei Harga Produsen Beras di Penggilingan 2024 (HPBG24) Juli</v>
      </c>
      <c r="Y436" s="7" t="s">
        <v>5741</v>
      </c>
      <c r="Z436" s="7" t="s">
        <v>5796</v>
      </c>
      <c r="AA436" s="68">
        <f t="shared" si="5"/>
        <v>45473</v>
      </c>
      <c r="AB436" s="68">
        <f t="shared" si="6"/>
        <v>45474</v>
      </c>
      <c r="AC436" s="68">
        <f t="shared" si="7"/>
        <v>45504</v>
      </c>
      <c r="AD436" s="68">
        <f t="shared" si="8"/>
        <v>45503</v>
      </c>
      <c r="AE436" s="68">
        <f t="shared" si="9"/>
        <v>45504</v>
      </c>
    </row>
    <row r="437" spans="1:31" ht="12.5">
      <c r="A437" s="125">
        <v>610422100165</v>
      </c>
      <c r="B437" s="65" t="s">
        <v>199</v>
      </c>
      <c r="D437" s="10">
        <f t="array" aca="1" ref="D437" ca="1">INDEX('Mitra per Bulan'!$M$2:$M800,MATCH(S437,'Mitra per Bulan'!$B$2:$B800,0))</f>
        <v>1</v>
      </c>
      <c r="E437" s="10" t="str">
        <f t="array" ref="E437">INDEX('Database Mitra'!$A$2:$A800,MATCH(A437,'Database Mitra'!$B$2:$B800,0))</f>
        <v>Yanti</v>
      </c>
      <c r="F437" s="64" t="s">
        <v>25</v>
      </c>
      <c r="G437" s="5" t="str">
        <f t="array" ref="G437">INDEX('Database Mitra'!$G$2:$G800,MATCH(A437,'Database Mitra'!$B$2:$B800,0))</f>
        <v>6102074803980002</v>
      </c>
      <c r="H437" s="64" t="s">
        <v>67</v>
      </c>
      <c r="I437" s="65" t="s">
        <v>200</v>
      </c>
      <c r="J437" s="10" t="str">
        <f t="array" ref="J437">INDEX(Honor!$H$2:$H800,MATCH($I437,Honor!$A$2:$A800,0))</f>
        <v>Dokumen</v>
      </c>
      <c r="K437" s="66">
        <f t="array" ref="K437">INDEX(Honor!$I$2:$I800,MATCH($I437,Honor!$A$2:$A800,0))</f>
        <v>55000</v>
      </c>
      <c r="L437" s="64">
        <v>2</v>
      </c>
      <c r="M437" s="10">
        <f t="shared" si="0"/>
        <v>110000</v>
      </c>
      <c r="O437" s="67">
        <f t="array" ref="O437">INDEX(Honor!$L$2:$L800,MATCH($I437,Honor!$A$2:$A800,0))</f>
        <v>45493</v>
      </c>
      <c r="P437" s="10">
        <f t="shared" si="1"/>
        <v>2024</v>
      </c>
      <c r="Q437" s="10">
        <f t="shared" si="2"/>
        <v>7</v>
      </c>
      <c r="R437" s="10" t="str">
        <f t="array" ref="R437">INDEX(Honor!$Q$2:$Q800,MATCH($I437,Honor!$A$2:$A800,0))</f>
        <v>SURVEI-PPL</v>
      </c>
      <c r="S437" s="10" t="str">
        <f t="shared" si="3"/>
        <v>610422100165-2024-7</v>
      </c>
      <c r="T437" s="10" t="str">
        <f t="shared" si="4"/>
        <v>610422100165-2024-7-SURVEI-PPL</v>
      </c>
      <c r="U437" s="64">
        <v>1</v>
      </c>
      <c r="V437" s="10" t="e">
        <f t="array" aca="1" ref="V437" ca="1">INDEX(Honor!$O$2:$O800,MATCH($I437,Honor!$A$2:$A800,0))</f>
        <v>#NAME?</v>
      </c>
      <c r="W437" s="67"/>
      <c r="X437" s="7" t="str">
        <f t="array" ref="X437">INDEX('Input Kegiatan'!$B$2:$B800,MATCH(B437,'Input Kegiatan'!$A$2:$A800,0))</f>
        <v>Survei Harga Produsen Beras di Penggilingan 2024 (HPBG24) Juli</v>
      </c>
      <c r="Y437" s="7" t="s">
        <v>3990</v>
      </c>
      <c r="Z437" s="7" t="s">
        <v>4332</v>
      </c>
      <c r="AA437" s="68">
        <f t="shared" si="5"/>
        <v>45473</v>
      </c>
      <c r="AB437" s="68">
        <f t="shared" si="6"/>
        <v>45474</v>
      </c>
      <c r="AC437" s="68">
        <f t="shared" si="7"/>
        <v>45504</v>
      </c>
      <c r="AD437" s="68">
        <f t="shared" si="8"/>
        <v>45503</v>
      </c>
      <c r="AE437" s="68">
        <f t="shared" si="9"/>
        <v>45504</v>
      </c>
    </row>
    <row r="438" spans="1:31" ht="12.5">
      <c r="A438" s="125">
        <v>610422100165</v>
      </c>
      <c r="B438" s="65" t="s">
        <v>201</v>
      </c>
      <c r="D438" s="10">
        <f t="array" aca="1" ref="D438" ca="1">INDEX('Mitra per Bulan'!$M$2:$M800,MATCH(S438,'Mitra per Bulan'!$B$2:$B800,0))</f>
        <v>1</v>
      </c>
      <c r="E438" s="10" t="str">
        <f t="array" ref="E438">INDEX('Database Mitra'!$A$2:$A800,MATCH(A438,'Database Mitra'!$B$2:$B800,0))</f>
        <v>Yanti</v>
      </c>
      <c r="F438" s="64" t="s">
        <v>25</v>
      </c>
      <c r="G438" s="5" t="str">
        <f t="array" ref="G438">INDEX('Database Mitra'!$G$2:$G800,MATCH(A438,'Database Mitra'!$B$2:$B800,0))</f>
        <v>6102074803980002</v>
      </c>
      <c r="H438" s="64" t="s">
        <v>67</v>
      </c>
      <c r="I438" s="65" t="s">
        <v>202</v>
      </c>
      <c r="J438" s="10" t="str">
        <f t="array" ref="J438">INDEX(Honor!$H$2:$H800,MATCH($I438,Honor!$A$2:$A800,0))</f>
        <v>Dokumen</v>
      </c>
      <c r="K438" s="66">
        <f t="array" ref="K438">INDEX(Honor!$I$2:$I800,MATCH($I438,Honor!$A$2:$A800,0))</f>
        <v>50000</v>
      </c>
      <c r="L438" s="64">
        <v>1</v>
      </c>
      <c r="M438" s="10">
        <f t="shared" si="0"/>
        <v>50000</v>
      </c>
      <c r="O438" s="67">
        <f t="array" ref="O438">INDEX(Honor!$L$2:$L800,MATCH($I438,Honor!$A$2:$A800,0))</f>
        <v>45493</v>
      </c>
      <c r="P438" s="10">
        <f t="shared" si="1"/>
        <v>2024</v>
      </c>
      <c r="Q438" s="10">
        <f t="shared" si="2"/>
        <v>7</v>
      </c>
      <c r="R438" s="10" t="str">
        <f t="array" ref="R438">INDEX(Honor!$Q$2:$Q800,MATCH($I438,Honor!$A$2:$A800,0))</f>
        <v>SURVEI-PPL</v>
      </c>
      <c r="S438" s="10" t="str">
        <f t="shared" si="3"/>
        <v>610422100165-2024-7</v>
      </c>
      <c r="T438" s="10" t="str">
        <f t="shared" si="4"/>
        <v>610422100165-2024-7-SURVEI-PPL</v>
      </c>
      <c r="U438" s="64">
        <v>1</v>
      </c>
      <c r="V438" s="10" t="e">
        <f t="array" aca="1" ref="V438" ca="1">INDEX(Honor!$O$2:$O800,MATCH($I438,Honor!$A$2:$A800,0))</f>
        <v>#NAME?</v>
      </c>
      <c r="W438" s="67"/>
      <c r="X438" s="7" t="str">
        <f t="array" ref="X438">INDEX('Input Kegiatan'!$B$2:$B800,MATCH(B438,'Input Kegiatan'!$A$2:$A800,0))</f>
        <v>Survei Harga Produsen Jasa (HPJ24) Juli</v>
      </c>
      <c r="Y438" s="7" t="s">
        <v>3990</v>
      </c>
      <c r="Z438" s="7" t="s">
        <v>4332</v>
      </c>
      <c r="AA438" s="68">
        <f t="shared" si="5"/>
        <v>45473</v>
      </c>
      <c r="AB438" s="68">
        <f t="shared" si="6"/>
        <v>45474</v>
      </c>
      <c r="AC438" s="68">
        <f t="shared" si="7"/>
        <v>45504</v>
      </c>
      <c r="AD438" s="68">
        <f t="shared" si="8"/>
        <v>45503</v>
      </c>
      <c r="AE438" s="68">
        <f t="shared" si="9"/>
        <v>45504</v>
      </c>
    </row>
    <row r="439" spans="1:31" ht="12.5">
      <c r="A439" s="125">
        <v>610422040029</v>
      </c>
      <c r="B439" s="69" t="s">
        <v>203</v>
      </c>
      <c r="D439" s="10">
        <f t="array" aca="1" ref="D439" ca="1">INDEX('Mitra per Bulan'!$M$2:$M800,MATCH(S439,'Mitra per Bulan'!$B$2:$B800,0))</f>
        <v>1</v>
      </c>
      <c r="E439" s="10" t="str">
        <f t="array" ref="E439">INDEX('Database Mitra'!$A$2:$A800,MATCH(A439,'Database Mitra'!$B$2:$B800,0))</f>
        <v>Zaini</v>
      </c>
      <c r="F439" s="64" t="s">
        <v>25</v>
      </c>
      <c r="G439" s="5" t="str">
        <f t="array" ref="G439">INDEX('Database Mitra'!$G$2:$G800,MATCH(A439,'Database Mitra'!$B$2:$B800,0))</f>
        <v>6102010607870002</v>
      </c>
      <c r="H439" s="64" t="s">
        <v>67</v>
      </c>
      <c r="I439" s="65" t="s">
        <v>204</v>
      </c>
      <c r="J439" s="10" t="str">
        <f t="array" ref="J439">INDEX(Honor!$H$2:$H800,MATCH($I439,Honor!$A$2:$A800,0))</f>
        <v>Dokumen</v>
      </c>
      <c r="K439" s="66">
        <f t="array" ref="K439">INDEX(Honor!$I$2:$I800,MATCH($I439,Honor!$A$2:$A800,0))</f>
        <v>55000</v>
      </c>
      <c r="L439" s="64">
        <v>3</v>
      </c>
      <c r="M439" s="10">
        <f t="shared" si="0"/>
        <v>165000</v>
      </c>
      <c r="O439" s="67">
        <f t="array" ref="O439">INDEX(Honor!$L$2:$L800,MATCH($I439,Honor!$A$2:$A800,0))</f>
        <v>45493</v>
      </c>
      <c r="P439" s="10">
        <f t="shared" si="1"/>
        <v>2024</v>
      </c>
      <c r="Q439" s="10">
        <f t="shared" si="2"/>
        <v>7</v>
      </c>
      <c r="R439" s="10" t="str">
        <f t="array" ref="R439">INDEX(Honor!$Q$2:$Q800,MATCH($I439,Honor!$A$2:$A800,0))</f>
        <v>SURVEI-PPL</v>
      </c>
      <c r="S439" s="10" t="str">
        <f t="shared" si="3"/>
        <v>610422040029-2024-7</v>
      </c>
      <c r="T439" s="10" t="str">
        <f t="shared" si="4"/>
        <v>610422040029-2024-7-SURVEI-PPL</v>
      </c>
      <c r="U439" s="64">
        <v>1</v>
      </c>
      <c r="V439" s="10" t="e">
        <f t="array" aca="1" ref="V439" ca="1">INDEX(Honor!$O$2:$O800,MATCH($I439,Honor!$A$2:$A800,0))</f>
        <v>#NAME?</v>
      </c>
      <c r="W439" s="67"/>
      <c r="X439" s="7" t="str">
        <f t="array" ref="X439">INDEX('Input Kegiatan'!$B$2:$B800,MATCH(B439,'Input Kegiatan'!$A$2:$A800,0))</f>
        <v>Survei Hotel dan Jasa Akomodasi Bulanan (VHTS) 2024 Juli</v>
      </c>
      <c r="Y439" s="7" t="s">
        <v>4572</v>
      </c>
      <c r="Z439" s="7" t="s">
        <v>4619</v>
      </c>
      <c r="AA439" s="68">
        <f t="shared" si="5"/>
        <v>45473</v>
      </c>
      <c r="AB439" s="68">
        <f t="shared" si="6"/>
        <v>45474</v>
      </c>
      <c r="AC439" s="68">
        <f t="shared" si="7"/>
        <v>45504</v>
      </c>
      <c r="AD439" s="68">
        <f t="shared" si="8"/>
        <v>45503</v>
      </c>
      <c r="AE439" s="68">
        <f t="shared" si="9"/>
        <v>45504</v>
      </c>
    </row>
    <row r="440" spans="1:31" ht="12.5">
      <c r="A440" s="125">
        <v>610422100165</v>
      </c>
      <c r="B440" s="69" t="s">
        <v>203</v>
      </c>
      <c r="D440" s="10">
        <f t="array" aca="1" ref="D440" ca="1">INDEX('Mitra per Bulan'!$M$2:$M800,MATCH(S440,'Mitra per Bulan'!$B$2:$B800,0))</f>
        <v>1</v>
      </c>
      <c r="E440" s="10" t="str">
        <f t="array" ref="E440">INDEX('Database Mitra'!$A$2:$A800,MATCH(A440,'Database Mitra'!$B$2:$B800,0))</f>
        <v>Yanti</v>
      </c>
      <c r="F440" s="64" t="s">
        <v>25</v>
      </c>
      <c r="G440" s="5" t="str">
        <f t="array" ref="G440">INDEX('Database Mitra'!$G$2:$G800,MATCH(A440,'Database Mitra'!$B$2:$B800,0))</f>
        <v>6102074803980002</v>
      </c>
      <c r="H440" s="64" t="s">
        <v>67</v>
      </c>
      <c r="I440" s="65" t="s">
        <v>204</v>
      </c>
      <c r="J440" s="10" t="str">
        <f t="array" ref="J440">INDEX(Honor!$H$2:$H800,MATCH($I440,Honor!$A$2:$A800,0))</f>
        <v>Dokumen</v>
      </c>
      <c r="K440" s="66">
        <f t="array" ref="K440">INDEX(Honor!$I$2:$I800,MATCH($I440,Honor!$A$2:$A800,0))</f>
        <v>55000</v>
      </c>
      <c r="L440" s="64">
        <v>3</v>
      </c>
      <c r="M440" s="10">
        <f t="shared" si="0"/>
        <v>165000</v>
      </c>
      <c r="O440" s="67">
        <f t="array" ref="O440">INDEX(Honor!$L$2:$L800,MATCH($I440,Honor!$A$2:$A800,0))</f>
        <v>45493</v>
      </c>
      <c r="P440" s="10">
        <f t="shared" si="1"/>
        <v>2024</v>
      </c>
      <c r="Q440" s="10">
        <f t="shared" si="2"/>
        <v>7</v>
      </c>
      <c r="R440" s="10" t="str">
        <f t="array" ref="R440">INDEX(Honor!$Q$2:$Q800,MATCH($I440,Honor!$A$2:$A800,0))</f>
        <v>SURVEI-PPL</v>
      </c>
      <c r="S440" s="10" t="str">
        <f t="shared" si="3"/>
        <v>610422100165-2024-7</v>
      </c>
      <c r="T440" s="10" t="str">
        <f t="shared" si="4"/>
        <v>610422100165-2024-7-SURVEI-PPL</v>
      </c>
      <c r="U440" s="64">
        <v>1</v>
      </c>
      <c r="V440" s="10" t="e">
        <f t="array" aca="1" ref="V440" ca="1">INDEX(Honor!$O$2:$O800,MATCH($I440,Honor!$A$2:$A800,0))</f>
        <v>#NAME?</v>
      </c>
      <c r="W440" s="67"/>
      <c r="X440" s="7" t="str">
        <f t="array" ref="X440">INDEX('Input Kegiatan'!$B$2:$B800,MATCH(B440,'Input Kegiatan'!$A$2:$A800,0))</f>
        <v>Survei Hotel dan Jasa Akomodasi Bulanan (VHTS) 2024 Juli</v>
      </c>
      <c r="Y440" s="7" t="s">
        <v>3990</v>
      </c>
      <c r="Z440" s="7" t="s">
        <v>4332</v>
      </c>
      <c r="AA440" s="68">
        <f t="shared" si="5"/>
        <v>45473</v>
      </c>
      <c r="AB440" s="68">
        <f t="shared" si="6"/>
        <v>45474</v>
      </c>
      <c r="AC440" s="68">
        <f t="shared" si="7"/>
        <v>45504</v>
      </c>
      <c r="AD440" s="68">
        <f t="shared" si="8"/>
        <v>45503</v>
      </c>
      <c r="AE440" s="68">
        <f t="shared" si="9"/>
        <v>45504</v>
      </c>
    </row>
    <row r="441" spans="1:31" ht="12.5">
      <c r="A441" s="125">
        <v>610422050001</v>
      </c>
      <c r="B441" s="69" t="s">
        <v>203</v>
      </c>
      <c r="D441" s="10">
        <f t="array" aca="1" ref="D441" ca="1">INDEX('Mitra per Bulan'!$M$2:$M800,MATCH(S441,'Mitra per Bulan'!$B$2:$B800,0))</f>
        <v>1</v>
      </c>
      <c r="E441" s="10" t="str">
        <f t="array" ref="E441">INDEX('Database Mitra'!$A$2:$A800,MATCH(A441,'Database Mitra'!$B$2:$B800,0))</f>
        <v>Evi Juniarty</v>
      </c>
      <c r="F441" s="64" t="s">
        <v>25</v>
      </c>
      <c r="G441" s="5" t="str">
        <f t="array" ref="G441">INDEX('Database Mitra'!$G$2:$G800,MATCH(A441,'Database Mitra'!$B$2:$B800,0))</f>
        <v>6102165101840001</v>
      </c>
      <c r="H441" s="64" t="s">
        <v>67</v>
      </c>
      <c r="I441" s="65" t="s">
        <v>204</v>
      </c>
      <c r="J441" s="10" t="str">
        <f t="array" ref="J441">INDEX(Honor!$H$2:$H800,MATCH($I441,Honor!$A$2:$A800,0))</f>
        <v>Dokumen</v>
      </c>
      <c r="K441" s="66">
        <f t="array" ref="K441">INDEX(Honor!$I$2:$I800,MATCH($I441,Honor!$A$2:$A800,0))</f>
        <v>55000</v>
      </c>
      <c r="L441" s="64">
        <v>3</v>
      </c>
      <c r="M441" s="10">
        <f t="shared" si="0"/>
        <v>165000</v>
      </c>
      <c r="O441" s="67">
        <f t="array" ref="O441">INDEX(Honor!$L$2:$L800,MATCH($I441,Honor!$A$2:$A800,0))</f>
        <v>45493</v>
      </c>
      <c r="P441" s="10">
        <f t="shared" si="1"/>
        <v>2024</v>
      </c>
      <c r="Q441" s="10">
        <f t="shared" si="2"/>
        <v>7</v>
      </c>
      <c r="R441" s="10" t="str">
        <f t="array" ref="R441">INDEX(Honor!$Q$2:$Q800,MATCH($I441,Honor!$A$2:$A800,0))</f>
        <v>SURVEI-PPL</v>
      </c>
      <c r="S441" s="10" t="str">
        <f t="shared" si="3"/>
        <v>610422050001-2024-7</v>
      </c>
      <c r="T441" s="10" t="str">
        <f t="shared" si="4"/>
        <v>610422050001-2024-7-SURVEI-PPL</v>
      </c>
      <c r="U441" s="64">
        <v>1</v>
      </c>
      <c r="V441" s="10" t="e">
        <f t="array" aca="1" ref="V441" ca="1">INDEX(Honor!$O$2:$O800,MATCH($I441,Honor!$A$2:$A800,0))</f>
        <v>#NAME?</v>
      </c>
      <c r="W441" s="67"/>
      <c r="X441" s="7" t="str">
        <f t="array" ref="X441">INDEX('Input Kegiatan'!$B$2:$B800,MATCH(B441,'Input Kegiatan'!$A$2:$A800,0))</f>
        <v>Survei Hotel dan Jasa Akomodasi Bulanan (VHTS) 2024 Juli</v>
      </c>
      <c r="Y441" s="7" t="s">
        <v>4408</v>
      </c>
      <c r="Z441" s="7" t="s">
        <v>4409</v>
      </c>
      <c r="AA441" s="68">
        <f t="shared" si="5"/>
        <v>45473</v>
      </c>
      <c r="AB441" s="68">
        <f t="shared" si="6"/>
        <v>45474</v>
      </c>
      <c r="AC441" s="68">
        <f t="shared" si="7"/>
        <v>45504</v>
      </c>
      <c r="AD441" s="68">
        <f t="shared" si="8"/>
        <v>45503</v>
      </c>
      <c r="AE441" s="68">
        <f t="shared" si="9"/>
        <v>45504</v>
      </c>
    </row>
    <row r="442" spans="1:31" ht="12.5">
      <c r="A442" s="125">
        <v>610422040056</v>
      </c>
      <c r="B442" s="69" t="s">
        <v>203</v>
      </c>
      <c r="D442" s="10">
        <f t="array" aca="1" ref="D442" ca="1">INDEX('Mitra per Bulan'!$M$2:$M800,MATCH(S442,'Mitra per Bulan'!$B$2:$B800,0))</f>
        <v>1</v>
      </c>
      <c r="E442" s="10" t="str">
        <f t="array" ref="E442">INDEX('Database Mitra'!$A$2:$A800,MATCH(A442,'Database Mitra'!$B$2:$B800,0))</f>
        <v>Wandi Syafari</v>
      </c>
      <c r="F442" s="64" t="s">
        <v>25</v>
      </c>
      <c r="G442" s="5" t="str">
        <f t="array" ref="G442">INDEX('Database Mitra'!$G$2:$G800,MATCH(A442,'Database Mitra'!$B$2:$B800,0))</f>
        <v>6102010802760001</v>
      </c>
      <c r="H442" s="64" t="s">
        <v>67</v>
      </c>
      <c r="I442" s="65" t="s">
        <v>204</v>
      </c>
      <c r="J442" s="10" t="str">
        <f t="array" ref="J442">INDEX(Honor!$H$2:$H800,MATCH($I442,Honor!$A$2:$A800,0))</f>
        <v>Dokumen</v>
      </c>
      <c r="K442" s="66">
        <f t="array" ref="K442">INDEX(Honor!$I$2:$I800,MATCH($I442,Honor!$A$2:$A800,0))</f>
        <v>55000</v>
      </c>
      <c r="L442" s="64">
        <v>2</v>
      </c>
      <c r="M442" s="10">
        <f t="shared" si="0"/>
        <v>110000</v>
      </c>
      <c r="O442" s="67">
        <f t="array" ref="O442">INDEX(Honor!$L$2:$L800,MATCH($I442,Honor!$A$2:$A800,0))</f>
        <v>45493</v>
      </c>
      <c r="P442" s="10">
        <f t="shared" si="1"/>
        <v>2024</v>
      </c>
      <c r="Q442" s="10">
        <f t="shared" si="2"/>
        <v>7</v>
      </c>
      <c r="R442" s="10" t="str">
        <f t="array" ref="R442">INDEX(Honor!$Q$2:$Q800,MATCH($I442,Honor!$A$2:$A800,0))</f>
        <v>SURVEI-PPL</v>
      </c>
      <c r="S442" s="10" t="str">
        <f t="shared" si="3"/>
        <v>610422040056-2024-7</v>
      </c>
      <c r="T442" s="10" t="str">
        <f t="shared" si="4"/>
        <v>610422040056-2024-7-SURVEI-PPL</v>
      </c>
      <c r="U442" s="64">
        <v>1</v>
      </c>
      <c r="V442" s="10" t="e">
        <f t="array" aca="1" ref="V442" ca="1">INDEX(Honor!$O$2:$O800,MATCH($I442,Honor!$A$2:$A800,0))</f>
        <v>#NAME?</v>
      </c>
      <c r="W442" s="67"/>
      <c r="X442" s="7" t="str">
        <f t="array" ref="X442">INDEX('Input Kegiatan'!$B$2:$B800,MATCH(B442,'Input Kegiatan'!$A$2:$A800,0))</f>
        <v>Survei Hotel dan Jasa Akomodasi Bulanan (VHTS) 2024 Juli</v>
      </c>
      <c r="Y442" s="7" t="s">
        <v>4572</v>
      </c>
      <c r="Z442" s="7" t="s">
        <v>4656</v>
      </c>
      <c r="AA442" s="68">
        <f t="shared" si="5"/>
        <v>45473</v>
      </c>
      <c r="AB442" s="68">
        <f t="shared" si="6"/>
        <v>45474</v>
      </c>
      <c r="AC442" s="68">
        <f t="shared" si="7"/>
        <v>45504</v>
      </c>
      <c r="AD442" s="68">
        <f t="shared" si="8"/>
        <v>45503</v>
      </c>
      <c r="AE442" s="68">
        <f t="shared" si="9"/>
        <v>45504</v>
      </c>
    </row>
    <row r="443" spans="1:31" ht="12.5">
      <c r="A443" s="125">
        <v>610422020016</v>
      </c>
      <c r="B443" s="64" t="s">
        <v>33</v>
      </c>
      <c r="D443" s="10">
        <f t="array" aca="1" ref="D443" ca="1">INDEX('Mitra per Bulan'!$M$2:$M800,MATCH(S443,'Mitra per Bulan'!$B$2:$B800,0))</f>
        <v>1</v>
      </c>
      <c r="E443" s="10" t="str">
        <f t="array" ref="E443">INDEX('Database Mitra'!$A$2:$A800,MATCH(A443,'Database Mitra'!$B$2:$B800,0))</f>
        <v>Abdul Aziz</v>
      </c>
      <c r="F443" s="65" t="s">
        <v>25</v>
      </c>
      <c r="G443" s="5" t="str">
        <f t="array" ref="G443">INDEX('Database Mitra'!$G$2:$G800,MATCH(A443,'Database Mitra'!$B$2:$B800,0))</f>
        <v>6102061507950006</v>
      </c>
      <c r="H443" s="64" t="s">
        <v>84</v>
      </c>
      <c r="I443" s="65" t="str">
        <f t="shared" ref="I443:I455" si="18">CONCATENATE(B443,"-",F443,"-",H443)</f>
        <v>KSA24-LAPANGAN-JULI-PPL-KSA PADI</v>
      </c>
      <c r="J443" s="10" t="str">
        <f t="array" ref="J443">INDEX(Honor!$H$2:$H800,MATCH($I443,Honor!$A$2:$A800,0))</f>
        <v>Segmen</v>
      </c>
      <c r="K443" s="66">
        <f t="array" ref="K443">INDEX(Honor!$I$2:$I800,MATCH($I443,Honor!$A$2:$A800,0))</f>
        <v>116000</v>
      </c>
      <c r="L443" s="64">
        <v>3</v>
      </c>
      <c r="M443" s="10">
        <f t="shared" si="0"/>
        <v>348000</v>
      </c>
      <c r="O443" s="67">
        <f t="array" ref="O443">INDEX(Honor!$L$2:$L800,MATCH($I443,Honor!$A$2:$A800,0))</f>
        <v>45504</v>
      </c>
      <c r="P443" s="10">
        <f t="shared" si="1"/>
        <v>2024</v>
      </c>
      <c r="Q443" s="10">
        <f t="shared" si="2"/>
        <v>7</v>
      </c>
      <c r="R443" s="10" t="str">
        <f t="array" ref="R443">INDEX(Honor!$Q$2:$Q800,MATCH($I443,Honor!$A$2:$A800,0))</f>
        <v>SURVEI-PPL</v>
      </c>
      <c r="S443" s="10" t="str">
        <f t="shared" si="3"/>
        <v>610422020016-2024-7</v>
      </c>
      <c r="T443" s="10" t="str">
        <f t="shared" si="4"/>
        <v>610422020016-2024-7-SURVEI-PPL</v>
      </c>
      <c r="U443" s="64">
        <v>1</v>
      </c>
      <c r="V443" s="10" t="e">
        <f t="array" aca="1" ref="V443" ca="1">INDEX(Honor!$O$2:$O800,MATCH($I443,Honor!$A$2:$A800,0))</f>
        <v>#NAME?</v>
      </c>
      <c r="W443" s="67"/>
      <c r="X443" s="7" t="str">
        <f t="array" ref="X443">INDEX('Input Kegiatan'!$B$2:$B800,MATCH(B443,'Input Kegiatan'!$A$2:$A800,0))</f>
        <v>Kerangka Sampel Area (KSA) 2024 Juli</v>
      </c>
      <c r="Y443" s="7" t="s">
        <v>5534</v>
      </c>
      <c r="Z443" s="7" t="s">
        <v>5535</v>
      </c>
      <c r="AA443" s="68">
        <f t="shared" si="5"/>
        <v>45473</v>
      </c>
      <c r="AB443" s="68">
        <f t="shared" si="6"/>
        <v>45474</v>
      </c>
      <c r="AC443" s="68">
        <f t="shared" si="7"/>
        <v>45504</v>
      </c>
      <c r="AD443" s="68">
        <f t="shared" si="8"/>
        <v>45503</v>
      </c>
      <c r="AE443" s="68">
        <f t="shared" si="9"/>
        <v>45504</v>
      </c>
    </row>
    <row r="444" spans="1:31" ht="12.5">
      <c r="A444" s="125">
        <v>610422040012</v>
      </c>
      <c r="B444" s="64" t="s">
        <v>33</v>
      </c>
      <c r="D444" s="10">
        <f t="array" aca="1" ref="D444" ca="1">INDEX('Mitra per Bulan'!$M$2:$M800,MATCH(S444,'Mitra per Bulan'!$B$2:$B800,0))</f>
        <v>1</v>
      </c>
      <c r="E444" s="10" t="str">
        <f t="array" ref="E444">INDEX('Database Mitra'!$A$2:$A800,MATCH(A444,'Database Mitra'!$B$2:$B800,0))</f>
        <v>Misdi</v>
      </c>
      <c r="F444" s="65" t="s">
        <v>25</v>
      </c>
      <c r="G444" s="5" t="str">
        <f t="array" ref="G444">INDEX('Database Mitra'!$G$2:$G800,MATCH(A444,'Database Mitra'!$B$2:$B800,0))</f>
        <v>6102070706940001</v>
      </c>
      <c r="H444" s="64" t="s">
        <v>84</v>
      </c>
      <c r="I444" s="65" t="str">
        <f t="shared" si="18"/>
        <v>KSA24-LAPANGAN-JULI-PPL-KSA PADI</v>
      </c>
      <c r="J444" s="10" t="str">
        <f t="array" ref="J444">INDEX(Honor!$H$2:$H800,MATCH($I444,Honor!$A$2:$A800,0))</f>
        <v>Segmen</v>
      </c>
      <c r="K444" s="66">
        <f t="array" ref="K444">INDEX(Honor!$I$2:$I800,MATCH($I444,Honor!$A$2:$A800,0))</f>
        <v>116000</v>
      </c>
      <c r="L444" s="64">
        <v>3</v>
      </c>
      <c r="M444" s="10">
        <f t="shared" si="0"/>
        <v>348000</v>
      </c>
      <c r="O444" s="67">
        <f t="array" ref="O444">INDEX(Honor!$L$2:$L800,MATCH($I444,Honor!$A$2:$A800,0))</f>
        <v>45504</v>
      </c>
      <c r="P444" s="10">
        <f t="shared" si="1"/>
        <v>2024</v>
      </c>
      <c r="Q444" s="10">
        <f t="shared" si="2"/>
        <v>7</v>
      </c>
      <c r="R444" s="10" t="str">
        <f t="array" ref="R444">INDEX(Honor!$Q$2:$Q800,MATCH($I444,Honor!$A$2:$A800,0))</f>
        <v>SURVEI-PPL</v>
      </c>
      <c r="S444" s="10" t="str">
        <f t="shared" si="3"/>
        <v>610422040012-2024-7</v>
      </c>
      <c r="T444" s="10" t="str">
        <f t="shared" si="4"/>
        <v>610422040012-2024-7-SURVEI-PPL</v>
      </c>
      <c r="U444" s="64">
        <v>1</v>
      </c>
      <c r="V444" s="10" t="e">
        <f t="array" aca="1" ref="V444" ca="1">INDEX(Honor!$O$2:$O800,MATCH($I444,Honor!$A$2:$A800,0))</f>
        <v>#NAME?</v>
      </c>
      <c r="W444" s="67"/>
      <c r="X444" s="7" t="str">
        <f t="array" ref="X444">INDEX('Input Kegiatan'!$B$2:$B800,MATCH(B444,'Input Kegiatan'!$A$2:$A800,0))</f>
        <v>Kerangka Sampel Area (KSA) 2024 Juli</v>
      </c>
      <c r="Y444" s="7" t="s">
        <v>3990</v>
      </c>
      <c r="Z444" s="7" t="s">
        <v>4365</v>
      </c>
      <c r="AA444" s="68">
        <f t="shared" si="5"/>
        <v>45473</v>
      </c>
      <c r="AB444" s="68">
        <f t="shared" si="6"/>
        <v>45474</v>
      </c>
      <c r="AC444" s="68">
        <f t="shared" si="7"/>
        <v>45504</v>
      </c>
      <c r="AD444" s="68">
        <f t="shared" si="8"/>
        <v>45503</v>
      </c>
      <c r="AE444" s="68">
        <f t="shared" si="9"/>
        <v>45504</v>
      </c>
    </row>
    <row r="445" spans="1:31" ht="12.5">
      <c r="A445" s="125">
        <v>610422040061</v>
      </c>
      <c r="B445" s="64" t="s">
        <v>33</v>
      </c>
      <c r="D445" s="10">
        <f t="array" aca="1" ref="D445" ca="1">INDEX('Mitra per Bulan'!$M$2:$M800,MATCH(S445,'Mitra per Bulan'!$B$2:$B800,0))</f>
        <v>1</v>
      </c>
      <c r="E445" s="10" t="str">
        <f t="array" ref="E445">INDEX('Database Mitra'!$A$2:$A800,MATCH(A445,'Database Mitra'!$B$2:$B800,0))</f>
        <v>Sabani</v>
      </c>
      <c r="F445" s="65" t="s">
        <v>25</v>
      </c>
      <c r="G445" s="5" t="str">
        <f t="array" ref="G445">INDEX('Database Mitra'!$G$2:$G800,MATCH(A445,'Database Mitra'!$B$2:$B800,0))</f>
        <v>6102153112860003</v>
      </c>
      <c r="H445" s="64" t="s">
        <v>84</v>
      </c>
      <c r="I445" s="65" t="str">
        <f t="shared" si="18"/>
        <v>KSA24-LAPANGAN-JULI-PPL-KSA PADI</v>
      </c>
      <c r="J445" s="10" t="str">
        <f t="array" ref="J445">INDEX(Honor!$H$2:$H800,MATCH($I445,Honor!$A$2:$A800,0))</f>
        <v>Segmen</v>
      </c>
      <c r="K445" s="66">
        <f t="array" ref="K445">INDEX(Honor!$I$2:$I800,MATCH($I445,Honor!$A$2:$A800,0))</f>
        <v>116000</v>
      </c>
      <c r="L445" s="64">
        <v>3</v>
      </c>
      <c r="M445" s="10">
        <f t="shared" si="0"/>
        <v>348000</v>
      </c>
      <c r="O445" s="67">
        <f t="array" ref="O445">INDEX(Honor!$L$2:$L800,MATCH($I445,Honor!$A$2:$A800,0))</f>
        <v>45504</v>
      </c>
      <c r="P445" s="10">
        <f t="shared" si="1"/>
        <v>2024</v>
      </c>
      <c r="Q445" s="10">
        <f t="shared" si="2"/>
        <v>7</v>
      </c>
      <c r="R445" s="10" t="str">
        <f t="array" ref="R445">INDEX(Honor!$Q$2:$Q800,MATCH($I445,Honor!$A$2:$A800,0))</f>
        <v>SURVEI-PPL</v>
      </c>
      <c r="S445" s="10" t="str">
        <f t="shared" si="3"/>
        <v>610422040061-2024-7</v>
      </c>
      <c r="T445" s="10" t="str">
        <f t="shared" si="4"/>
        <v>610422040061-2024-7-SURVEI-PPL</v>
      </c>
      <c r="U445" s="64">
        <v>1</v>
      </c>
      <c r="V445" s="10" t="e">
        <f t="array" aca="1" ref="V445" ca="1">INDEX(Honor!$O$2:$O800,MATCH($I445,Honor!$A$2:$A800,0))</f>
        <v>#NAME?</v>
      </c>
      <c r="W445" s="67"/>
      <c r="X445" s="7" t="str">
        <f t="array" ref="X445">INDEX('Input Kegiatan'!$B$2:$B800,MATCH(B445,'Input Kegiatan'!$A$2:$A800,0))</f>
        <v>Kerangka Sampel Area (KSA) 2024 Juli</v>
      </c>
      <c r="Y445" s="7" t="s">
        <v>3715</v>
      </c>
      <c r="Z445" s="7" t="s">
        <v>3862</v>
      </c>
      <c r="AA445" s="68">
        <f t="shared" si="5"/>
        <v>45473</v>
      </c>
      <c r="AB445" s="68">
        <f t="shared" si="6"/>
        <v>45474</v>
      </c>
      <c r="AC445" s="68">
        <f t="shared" si="7"/>
        <v>45504</v>
      </c>
      <c r="AD445" s="68">
        <f t="shared" si="8"/>
        <v>45503</v>
      </c>
      <c r="AE445" s="68">
        <f t="shared" si="9"/>
        <v>45504</v>
      </c>
    </row>
    <row r="446" spans="1:31" ht="12.5">
      <c r="A446" s="125">
        <v>610422100131</v>
      </c>
      <c r="B446" s="64" t="s">
        <v>33</v>
      </c>
      <c r="D446" s="10">
        <f t="array" aca="1" ref="D446" ca="1">INDEX('Mitra per Bulan'!$M$2:$M800,MATCH(S446,'Mitra per Bulan'!$B$2:$B800,0))</f>
        <v>1</v>
      </c>
      <c r="E446" s="10" t="str">
        <f t="array" ref="E446">INDEX('Database Mitra'!$A$2:$A800,MATCH(A446,'Database Mitra'!$B$2:$B800,0))</f>
        <v>Syamsul</v>
      </c>
      <c r="F446" s="65" t="s">
        <v>25</v>
      </c>
      <c r="G446" s="5" t="str">
        <f t="array" ref="G446">INDEX('Database Mitra'!$G$2:$G800,MATCH(A446,'Database Mitra'!$B$2:$B800,0))</f>
        <v>6102150907860003</v>
      </c>
      <c r="H446" s="64" t="s">
        <v>84</v>
      </c>
      <c r="I446" s="65" t="str">
        <f t="shared" si="18"/>
        <v>KSA24-LAPANGAN-JULI-PPL-KSA PADI</v>
      </c>
      <c r="J446" s="10" t="str">
        <f t="array" ref="J446">INDEX(Honor!$H$2:$H800,MATCH($I446,Honor!$A$2:$A800,0))</f>
        <v>Segmen</v>
      </c>
      <c r="K446" s="66">
        <f t="array" ref="K446">INDEX(Honor!$I$2:$I800,MATCH($I446,Honor!$A$2:$A800,0))</f>
        <v>116000</v>
      </c>
      <c r="L446" s="64">
        <v>7</v>
      </c>
      <c r="M446" s="10">
        <f t="shared" si="0"/>
        <v>812000</v>
      </c>
      <c r="O446" s="67">
        <f t="array" ref="O446">INDEX(Honor!$L$2:$L800,MATCH($I446,Honor!$A$2:$A800,0))</f>
        <v>45504</v>
      </c>
      <c r="P446" s="10">
        <f t="shared" si="1"/>
        <v>2024</v>
      </c>
      <c r="Q446" s="10">
        <f t="shared" si="2"/>
        <v>7</v>
      </c>
      <c r="R446" s="10" t="str">
        <f t="array" ref="R446">INDEX(Honor!$Q$2:$Q800,MATCH($I446,Honor!$A$2:$A800,0))</f>
        <v>SURVEI-PPL</v>
      </c>
      <c r="S446" s="10" t="str">
        <f t="shared" si="3"/>
        <v>610422100131-2024-7</v>
      </c>
      <c r="T446" s="10" t="str">
        <f t="shared" si="4"/>
        <v>610422100131-2024-7-SURVEI-PPL</v>
      </c>
      <c r="U446" s="64">
        <v>1</v>
      </c>
      <c r="V446" s="10" t="e">
        <f t="array" aca="1" ref="V446" ca="1">INDEX(Honor!$O$2:$O800,MATCH($I446,Honor!$A$2:$A800,0))</f>
        <v>#NAME?</v>
      </c>
      <c r="W446" s="67"/>
      <c r="X446" s="7" t="str">
        <f t="array" ref="X446">INDEX('Input Kegiatan'!$B$2:$B800,MATCH(B446,'Input Kegiatan'!$A$2:$A800,0))</f>
        <v>Kerangka Sampel Area (KSA) 2024 Juli</v>
      </c>
      <c r="Y446" s="7" t="s">
        <v>5250</v>
      </c>
      <c r="Z446" s="7" t="s">
        <v>5365</v>
      </c>
      <c r="AA446" s="68">
        <f t="shared" si="5"/>
        <v>45473</v>
      </c>
      <c r="AB446" s="68">
        <f t="shared" si="6"/>
        <v>45474</v>
      </c>
      <c r="AC446" s="68">
        <f t="shared" si="7"/>
        <v>45504</v>
      </c>
      <c r="AD446" s="68">
        <f t="shared" si="8"/>
        <v>45503</v>
      </c>
      <c r="AE446" s="68">
        <f t="shared" si="9"/>
        <v>45504</v>
      </c>
    </row>
    <row r="447" spans="1:31" ht="12.5">
      <c r="A447" s="125">
        <v>610422100244</v>
      </c>
      <c r="B447" s="64" t="s">
        <v>33</v>
      </c>
      <c r="D447" s="10">
        <f t="array" aca="1" ref="D447" ca="1">INDEX('Mitra per Bulan'!$M$2:$M800,MATCH(S447,'Mitra per Bulan'!$B$2:$B800,0))</f>
        <v>1</v>
      </c>
      <c r="E447" s="10" t="str">
        <f t="array" ref="E447">INDEX('Database Mitra'!$A$2:$A800,MATCH(A447,'Database Mitra'!$B$2:$B800,0))</f>
        <v>Sugianto</v>
      </c>
      <c r="F447" s="65" t="s">
        <v>25</v>
      </c>
      <c r="G447" s="5" t="str">
        <f t="array" ref="G447">INDEX('Database Mitra'!$G$2:$G800,MATCH(A447,'Database Mitra'!$B$2:$B800,0))</f>
        <v>6102171003900002</v>
      </c>
      <c r="H447" s="64" t="s">
        <v>84</v>
      </c>
      <c r="I447" s="65" t="str">
        <f t="shared" si="18"/>
        <v>KSA24-LAPANGAN-JULI-PPL-KSA PADI</v>
      </c>
      <c r="J447" s="10" t="str">
        <f t="array" ref="J447">INDEX(Honor!$H$2:$H800,MATCH($I447,Honor!$A$2:$A800,0))</f>
        <v>Segmen</v>
      </c>
      <c r="K447" s="66">
        <f t="array" ref="K447">INDEX(Honor!$I$2:$I800,MATCH($I447,Honor!$A$2:$A800,0))</f>
        <v>116000</v>
      </c>
      <c r="L447" s="64">
        <v>3</v>
      </c>
      <c r="M447" s="10">
        <f t="shared" si="0"/>
        <v>348000</v>
      </c>
      <c r="O447" s="67">
        <f t="array" ref="O447">INDEX(Honor!$L$2:$L800,MATCH($I447,Honor!$A$2:$A800,0))</f>
        <v>45504</v>
      </c>
      <c r="P447" s="10">
        <f t="shared" si="1"/>
        <v>2024</v>
      </c>
      <c r="Q447" s="10">
        <f t="shared" si="2"/>
        <v>7</v>
      </c>
      <c r="R447" s="10" t="str">
        <f t="array" ref="R447">INDEX(Honor!$Q$2:$Q800,MATCH($I447,Honor!$A$2:$A800,0))</f>
        <v>SURVEI-PPL</v>
      </c>
      <c r="S447" s="10" t="str">
        <f t="shared" si="3"/>
        <v>610422100244-2024-7</v>
      </c>
      <c r="T447" s="10" t="str">
        <f t="shared" si="4"/>
        <v>610422100244-2024-7-SURVEI-PPL</v>
      </c>
      <c r="U447" s="64">
        <v>1</v>
      </c>
      <c r="V447" s="10" t="e">
        <f t="array" aca="1" ref="V447" ca="1">INDEX(Honor!$O$2:$O800,MATCH($I447,Honor!$A$2:$A800,0))</f>
        <v>#NAME?</v>
      </c>
      <c r="W447" s="67"/>
      <c r="X447" s="7" t="str">
        <f t="array" ref="X447">INDEX('Input Kegiatan'!$B$2:$B800,MATCH(B447,'Input Kegiatan'!$A$2:$A800,0))</f>
        <v>Kerangka Sampel Area (KSA) 2024 Juli</v>
      </c>
      <c r="Y447" s="7" t="s">
        <v>5741</v>
      </c>
      <c r="Z447" s="7" t="s">
        <v>5796</v>
      </c>
      <c r="AA447" s="68">
        <f t="shared" si="5"/>
        <v>45473</v>
      </c>
      <c r="AB447" s="68">
        <f t="shared" si="6"/>
        <v>45474</v>
      </c>
      <c r="AC447" s="68">
        <f t="shared" si="7"/>
        <v>45504</v>
      </c>
      <c r="AD447" s="68">
        <f t="shared" si="8"/>
        <v>45503</v>
      </c>
      <c r="AE447" s="68">
        <f t="shared" si="9"/>
        <v>45504</v>
      </c>
    </row>
    <row r="448" spans="1:31" ht="12.5">
      <c r="A448" s="125">
        <v>610422100176</v>
      </c>
      <c r="B448" s="64" t="s">
        <v>33</v>
      </c>
      <c r="D448" s="10">
        <f t="array" aca="1" ref="D448" ca="1">INDEX('Mitra per Bulan'!$M$2:$M800,MATCH(S448,'Mitra per Bulan'!$B$2:$B800,0))</f>
        <v>1</v>
      </c>
      <c r="E448" s="10" t="str">
        <f t="array" ref="E448">INDEX('Database Mitra'!$A$2:$A800,MATCH(A448,'Database Mitra'!$B$2:$B800,0))</f>
        <v>Feri Firdaus</v>
      </c>
      <c r="F448" s="65" t="s">
        <v>25</v>
      </c>
      <c r="G448" s="5" t="str">
        <f t="array" ref="G448">INDEX('Database Mitra'!$G$2:$G800,MATCH(A448,'Database Mitra'!$B$2:$B800,0))</f>
        <v>6102150412880001</v>
      </c>
      <c r="H448" s="64" t="s">
        <v>84</v>
      </c>
      <c r="I448" s="65" t="str">
        <f t="shared" si="18"/>
        <v>KSA24-LAPANGAN-JULI-PPL-KSA PADI</v>
      </c>
      <c r="J448" s="10" t="str">
        <f t="array" ref="J448">INDEX(Honor!$H$2:$H800,MATCH($I448,Honor!$A$2:$A800,0))</f>
        <v>Segmen</v>
      </c>
      <c r="K448" s="66">
        <f t="array" ref="K448">INDEX(Honor!$I$2:$I800,MATCH($I448,Honor!$A$2:$A800,0))</f>
        <v>116000</v>
      </c>
      <c r="L448" s="64">
        <v>3</v>
      </c>
      <c r="M448" s="10">
        <f t="shared" si="0"/>
        <v>348000</v>
      </c>
      <c r="O448" s="67">
        <f t="array" ref="O448">INDEX(Honor!$L$2:$L800,MATCH($I448,Honor!$A$2:$A800,0))</f>
        <v>45504</v>
      </c>
      <c r="P448" s="10">
        <f t="shared" si="1"/>
        <v>2024</v>
      </c>
      <c r="Q448" s="10">
        <f t="shared" si="2"/>
        <v>7</v>
      </c>
      <c r="R448" s="10" t="str">
        <f t="array" ref="R448">INDEX(Honor!$Q$2:$Q800,MATCH($I448,Honor!$A$2:$A800,0))</f>
        <v>SURVEI-PPL</v>
      </c>
      <c r="S448" s="10" t="str">
        <f t="shared" si="3"/>
        <v>610422100176-2024-7</v>
      </c>
      <c r="T448" s="10" t="str">
        <f t="shared" si="4"/>
        <v>610422100176-2024-7-SURVEI-PPL</v>
      </c>
      <c r="U448" s="64">
        <v>1</v>
      </c>
      <c r="V448" s="10" t="e">
        <f t="array" aca="1" ref="V448" ca="1">INDEX(Honor!$O$2:$O800,MATCH($I448,Honor!$A$2:$A800,0))</f>
        <v>#NAME?</v>
      </c>
      <c r="W448" s="67"/>
      <c r="X448" s="7" t="str">
        <f t="array" ref="X448">INDEX('Input Kegiatan'!$B$2:$B800,MATCH(B448,'Input Kegiatan'!$A$2:$A800,0))</f>
        <v>Kerangka Sampel Area (KSA) 2024 Juli</v>
      </c>
      <c r="Y448" s="7" t="s">
        <v>3715</v>
      </c>
      <c r="Z448" s="7" t="s">
        <v>3765</v>
      </c>
      <c r="AA448" s="68">
        <f t="shared" si="5"/>
        <v>45473</v>
      </c>
      <c r="AB448" s="68">
        <f t="shared" si="6"/>
        <v>45474</v>
      </c>
      <c r="AC448" s="68">
        <f t="shared" si="7"/>
        <v>45504</v>
      </c>
      <c r="AD448" s="68">
        <f t="shared" si="8"/>
        <v>45503</v>
      </c>
      <c r="AE448" s="68">
        <f t="shared" si="9"/>
        <v>45504</v>
      </c>
    </row>
    <row r="449" spans="1:31" ht="12.5">
      <c r="A449" s="125">
        <v>610423110183</v>
      </c>
      <c r="B449" s="64" t="s">
        <v>33</v>
      </c>
      <c r="D449" s="10">
        <f t="array" aca="1" ref="D449" ca="1">INDEX('Mitra per Bulan'!$M$2:$M800,MATCH(S449,'Mitra per Bulan'!$B$2:$B800,0))</f>
        <v>1</v>
      </c>
      <c r="E449" s="10" t="str">
        <f t="array" ref="E449">INDEX('Database Mitra'!$A$2:$A800,MATCH(A449,'Database Mitra'!$B$2:$B800,0))</f>
        <v>Azhar</v>
      </c>
      <c r="F449" s="65" t="s">
        <v>25</v>
      </c>
      <c r="G449" s="5" t="str">
        <f t="array" ref="G449">INDEX('Database Mitra'!$G$2:$G800,MATCH(A449,'Database Mitra'!$B$2:$B800,0))</f>
        <v>6102081211790004</v>
      </c>
      <c r="H449" s="64" t="s">
        <v>84</v>
      </c>
      <c r="I449" s="65" t="str">
        <f t="shared" si="18"/>
        <v>KSA24-LAPANGAN-JULI-PPL-KSA PADI</v>
      </c>
      <c r="J449" s="10" t="str">
        <f t="array" ref="J449">INDEX(Honor!$H$2:$H800,MATCH($I449,Honor!$A$2:$A800,0))</f>
        <v>Segmen</v>
      </c>
      <c r="K449" s="66">
        <f t="array" ref="K449">INDEX(Honor!$I$2:$I800,MATCH($I449,Honor!$A$2:$A800,0))</f>
        <v>116000</v>
      </c>
      <c r="L449" s="64">
        <v>6</v>
      </c>
      <c r="M449" s="10">
        <f t="shared" si="0"/>
        <v>696000</v>
      </c>
      <c r="O449" s="67">
        <f t="array" ref="O449">INDEX(Honor!$L$2:$L800,MATCH($I449,Honor!$A$2:$A800,0))</f>
        <v>45504</v>
      </c>
      <c r="P449" s="10">
        <f t="shared" si="1"/>
        <v>2024</v>
      </c>
      <c r="Q449" s="10">
        <f t="shared" si="2"/>
        <v>7</v>
      </c>
      <c r="R449" s="10" t="str">
        <f t="array" ref="R449">INDEX(Honor!$Q$2:$Q800,MATCH($I449,Honor!$A$2:$A800,0))</f>
        <v>SURVEI-PPL</v>
      </c>
      <c r="S449" s="10" t="str">
        <f t="shared" si="3"/>
        <v>610423110183-2024-7</v>
      </c>
      <c r="T449" s="10" t="str">
        <f t="shared" si="4"/>
        <v>610423110183-2024-7-SURVEI-PPL</v>
      </c>
      <c r="U449" s="64">
        <v>1</v>
      </c>
      <c r="V449" s="10" t="e">
        <f t="array" aca="1" ref="V449" ca="1">INDEX(Honor!$O$2:$O800,MATCH($I449,Honor!$A$2:$A800,0))</f>
        <v>#NAME?</v>
      </c>
      <c r="W449" s="67"/>
      <c r="X449" s="7" t="str">
        <f t="array" ref="X449">INDEX('Input Kegiatan'!$B$2:$B800,MATCH(B449,'Input Kegiatan'!$A$2:$A800,0))</f>
        <v>Kerangka Sampel Area (KSA) 2024 Juli</v>
      </c>
      <c r="Y449" s="7" t="s">
        <v>3241</v>
      </c>
      <c r="Z449" s="7" t="s">
        <v>3242</v>
      </c>
      <c r="AA449" s="68">
        <f t="shared" si="5"/>
        <v>45473</v>
      </c>
      <c r="AB449" s="68">
        <f t="shared" si="6"/>
        <v>45474</v>
      </c>
      <c r="AC449" s="68">
        <f t="shared" si="7"/>
        <v>45504</v>
      </c>
      <c r="AD449" s="68">
        <f t="shared" si="8"/>
        <v>45503</v>
      </c>
      <c r="AE449" s="68">
        <f t="shared" si="9"/>
        <v>45504</v>
      </c>
    </row>
    <row r="450" spans="1:31" ht="12.5">
      <c r="A450" s="125">
        <v>610423040018</v>
      </c>
      <c r="B450" s="64" t="s">
        <v>33</v>
      </c>
      <c r="D450" s="10">
        <f t="array" aca="1" ref="D450" ca="1">INDEX('Mitra per Bulan'!$M$2:$M800,MATCH(S450,'Mitra per Bulan'!$B$2:$B800,0))</f>
        <v>1</v>
      </c>
      <c r="E450" s="10" t="str">
        <f t="array" ref="E450">INDEX('Database Mitra'!$A$2:$A800,MATCH(A450,'Database Mitra'!$B$2:$B800,0))</f>
        <v>Handoko Tuah Sabarman Sipayung</v>
      </c>
      <c r="F450" s="64" t="s">
        <v>25</v>
      </c>
      <c r="G450" s="5" t="str">
        <f t="array" ref="G450">INDEX('Database Mitra'!$G$2:$G800,MATCH(A450,'Database Mitra'!$B$2:$B800,0))</f>
        <v>1212092309880001</v>
      </c>
      <c r="H450" s="64" t="s">
        <v>84</v>
      </c>
      <c r="I450" s="65" t="str">
        <f t="shared" si="18"/>
        <v>KSA24-LAPANGAN-JULI-PPL-KSA PADI</v>
      </c>
      <c r="J450" s="10" t="str">
        <f t="array" ref="J450">INDEX(Honor!$H$2:$H800,MATCH($I450,Honor!$A$2:$A800,0))</f>
        <v>Segmen</v>
      </c>
      <c r="K450" s="66">
        <f t="array" ref="K450">INDEX(Honor!$I$2:$I800,MATCH($I450,Honor!$A$2:$A800,0))</f>
        <v>116000</v>
      </c>
      <c r="L450" s="64">
        <v>4</v>
      </c>
      <c r="M450" s="10">
        <f t="shared" si="0"/>
        <v>464000</v>
      </c>
      <c r="O450" s="67">
        <f t="array" ref="O450">INDEX(Honor!$L$2:$L800,MATCH($I450,Honor!$A$2:$A800,0))</f>
        <v>45504</v>
      </c>
      <c r="P450" s="10">
        <f t="shared" si="1"/>
        <v>2024</v>
      </c>
      <c r="Q450" s="10">
        <f t="shared" si="2"/>
        <v>7</v>
      </c>
      <c r="R450" s="10" t="str">
        <f t="array" ref="R450">INDEX(Honor!$Q$2:$Q800,MATCH($I450,Honor!$A$2:$A800,0))</f>
        <v>SURVEI-PPL</v>
      </c>
      <c r="S450" s="10" t="str">
        <f t="shared" si="3"/>
        <v>610423040018-2024-7</v>
      </c>
      <c r="T450" s="10" t="str">
        <f t="shared" si="4"/>
        <v>610423040018-2024-7-SURVEI-PPL</v>
      </c>
      <c r="U450" s="64">
        <v>1</v>
      </c>
      <c r="V450" s="10" t="e">
        <f t="array" aca="1" ref="V450" ca="1">INDEX(Honor!$O$2:$O800,MATCH($I450,Honor!$A$2:$A800,0))</f>
        <v>#NAME?</v>
      </c>
      <c r="W450" s="67"/>
      <c r="X450" s="7" t="str">
        <f t="array" ref="X450">INDEX('Input Kegiatan'!$B$2:$B800,MATCH(B450,'Input Kegiatan'!$A$2:$A800,0))</f>
        <v>Kerangka Sampel Area (KSA) 2024 Juli</v>
      </c>
      <c r="Y450" s="7" t="s">
        <v>5534</v>
      </c>
      <c r="Z450" s="7" t="s">
        <v>5647</v>
      </c>
      <c r="AA450" s="68">
        <f t="shared" si="5"/>
        <v>45473</v>
      </c>
      <c r="AB450" s="68">
        <f t="shared" si="6"/>
        <v>45474</v>
      </c>
      <c r="AC450" s="68">
        <f t="shared" si="7"/>
        <v>45504</v>
      </c>
      <c r="AD450" s="68">
        <f t="shared" si="8"/>
        <v>45503</v>
      </c>
      <c r="AE450" s="68">
        <f t="shared" si="9"/>
        <v>45504</v>
      </c>
    </row>
    <row r="451" spans="1:31" ht="12.5">
      <c r="A451" s="125">
        <v>610422040059</v>
      </c>
      <c r="B451" s="64" t="s">
        <v>33</v>
      </c>
      <c r="D451" s="10">
        <f t="array" aca="1" ref="D451" ca="1">INDEX('Mitra per Bulan'!$M$2:$M800,MATCH(S451,'Mitra per Bulan'!$B$2:$B800,0))</f>
        <v>1</v>
      </c>
      <c r="E451" s="10" t="str">
        <f t="array" ref="E451">INDEX('Database Mitra'!$A$2:$A800,MATCH(A451,'Database Mitra'!$B$2:$B800,0))</f>
        <v>Abang Handri</v>
      </c>
      <c r="F451" s="64" t="s">
        <v>25</v>
      </c>
      <c r="G451" s="5" t="str">
        <f t="array" ref="G451">INDEX('Database Mitra'!$G$2:$G800,MATCH(A451,'Database Mitra'!$B$2:$B800,0))</f>
        <v>6102072211780002</v>
      </c>
      <c r="H451" s="64" t="s">
        <v>85</v>
      </c>
      <c r="I451" s="65" t="str">
        <f t="shared" si="18"/>
        <v>KSA24-LAPANGAN-JULI-PPL-KSA JAGUNG</v>
      </c>
      <c r="J451" s="10" t="str">
        <f t="array" ref="J451">INDEX(Honor!$H$2:$H800,MATCH($I451,Honor!$A$2:$A800,0))</f>
        <v>Segmen</v>
      </c>
      <c r="K451" s="66">
        <f t="array" ref="K451">INDEX(Honor!$I$2:$I800,MATCH($I451,Honor!$A$2:$A800,0))</f>
        <v>59000</v>
      </c>
      <c r="L451" s="64">
        <v>6</v>
      </c>
      <c r="M451" s="10">
        <f t="shared" si="0"/>
        <v>354000</v>
      </c>
      <c r="O451" s="67">
        <f t="array" ref="O451">INDEX(Honor!$L$2:$L800,MATCH($I451,Honor!$A$2:$A800,0))</f>
        <v>45504</v>
      </c>
      <c r="P451" s="10">
        <f t="shared" si="1"/>
        <v>2024</v>
      </c>
      <c r="Q451" s="10">
        <f t="shared" si="2"/>
        <v>7</v>
      </c>
      <c r="R451" s="10" t="str">
        <f t="array" ref="R451">INDEX(Honor!$Q$2:$Q800,MATCH($I451,Honor!$A$2:$A800,0))</f>
        <v>SURVEI-PPL</v>
      </c>
      <c r="S451" s="10" t="str">
        <f t="shared" si="3"/>
        <v>610422040059-2024-7</v>
      </c>
      <c r="T451" s="10" t="str">
        <f t="shared" si="4"/>
        <v>610422040059-2024-7-SURVEI-PPL</v>
      </c>
      <c r="U451" s="64">
        <v>1</v>
      </c>
      <c r="V451" s="10" t="e">
        <f t="array" aca="1" ref="V451" ca="1">INDEX(Honor!$O$2:$O800,MATCH($I451,Honor!$A$2:$A800,0))</f>
        <v>#NAME?</v>
      </c>
      <c r="W451" s="67"/>
      <c r="X451" s="7" t="str">
        <f t="array" ref="X451">INDEX('Input Kegiatan'!$B$2:$B800,MATCH(B451,'Input Kegiatan'!$A$2:$A800,0))</f>
        <v>Kerangka Sampel Area (KSA) 2024 Juli</v>
      </c>
      <c r="Y451" s="7" t="s">
        <v>4572</v>
      </c>
      <c r="Z451" s="7" t="s">
        <v>4656</v>
      </c>
      <c r="AA451" s="68">
        <f t="shared" si="5"/>
        <v>45473</v>
      </c>
      <c r="AB451" s="68">
        <f t="shared" si="6"/>
        <v>45474</v>
      </c>
      <c r="AC451" s="68">
        <f t="shared" si="7"/>
        <v>45504</v>
      </c>
      <c r="AD451" s="68">
        <f t="shared" si="8"/>
        <v>45503</v>
      </c>
      <c r="AE451" s="68">
        <f t="shared" si="9"/>
        <v>45504</v>
      </c>
    </row>
    <row r="452" spans="1:31" ht="12.5">
      <c r="A452" s="125">
        <v>610422020048</v>
      </c>
      <c r="B452" s="64" t="s">
        <v>33</v>
      </c>
      <c r="D452" s="10">
        <f t="array" aca="1" ref="D452" ca="1">INDEX('Mitra per Bulan'!$M$2:$M800,MATCH(S452,'Mitra per Bulan'!$B$2:$B800,0))</f>
        <v>1</v>
      </c>
      <c r="E452" s="10" t="str">
        <f t="array" ref="E452">INDEX('Database Mitra'!$A$2:$A800,MATCH(A452,'Database Mitra'!$B$2:$B800,0))</f>
        <v>Herri Gustaman</v>
      </c>
      <c r="F452" s="64" t="s">
        <v>25</v>
      </c>
      <c r="G452" s="5" t="str">
        <f t="array" ref="G452">INDEX('Database Mitra'!$G$2:$G800,MATCH(A452,'Database Mitra'!$B$2:$B800,0))</f>
        <v>6102072503800001</v>
      </c>
      <c r="H452" s="64" t="s">
        <v>85</v>
      </c>
      <c r="I452" s="65" t="str">
        <f t="shared" si="18"/>
        <v>KSA24-LAPANGAN-JULI-PPL-KSA JAGUNG</v>
      </c>
      <c r="J452" s="10" t="str">
        <f t="array" ref="J452">INDEX(Honor!$H$2:$H800,MATCH($I452,Honor!$A$2:$A800,0))</f>
        <v>Segmen</v>
      </c>
      <c r="K452" s="66">
        <f t="array" ref="K452">INDEX(Honor!$I$2:$I800,MATCH($I452,Honor!$A$2:$A800,0))</f>
        <v>59000</v>
      </c>
      <c r="L452" s="64">
        <v>12</v>
      </c>
      <c r="M452" s="10">
        <f t="shared" si="0"/>
        <v>708000</v>
      </c>
      <c r="O452" s="67">
        <f t="array" ref="O452">INDEX(Honor!$L$2:$L800,MATCH($I452,Honor!$A$2:$A800,0))</f>
        <v>45504</v>
      </c>
      <c r="P452" s="10">
        <f t="shared" si="1"/>
        <v>2024</v>
      </c>
      <c r="Q452" s="10">
        <f t="shared" si="2"/>
        <v>7</v>
      </c>
      <c r="R452" s="10" t="str">
        <f t="array" ref="R452">INDEX(Honor!$Q$2:$Q800,MATCH($I452,Honor!$A$2:$A800,0))</f>
        <v>SURVEI-PPL</v>
      </c>
      <c r="S452" s="10" t="str">
        <f t="shared" si="3"/>
        <v>610422020048-2024-7</v>
      </c>
      <c r="T452" s="10" t="str">
        <f t="shared" si="4"/>
        <v>610422020048-2024-7-SURVEI-PPL</v>
      </c>
      <c r="U452" s="64">
        <v>1</v>
      </c>
      <c r="V452" s="10" t="e">
        <f t="array" aca="1" ref="V452" ca="1">INDEX(Honor!$O$2:$O800,MATCH($I452,Honor!$A$2:$A800,0))</f>
        <v>#NAME?</v>
      </c>
      <c r="W452" s="67"/>
      <c r="X452" s="7" t="str">
        <f t="array" ref="X452">INDEX('Input Kegiatan'!$B$2:$B800,MATCH(B452,'Input Kegiatan'!$A$2:$A800,0))</f>
        <v>Kerangka Sampel Area (KSA) 2024 Juli</v>
      </c>
      <c r="Y452" s="7" t="s">
        <v>4931</v>
      </c>
      <c r="Z452" s="7" t="s">
        <v>5171</v>
      </c>
      <c r="AA452" s="68">
        <f t="shared" si="5"/>
        <v>45473</v>
      </c>
      <c r="AB452" s="68">
        <f t="shared" si="6"/>
        <v>45474</v>
      </c>
      <c r="AC452" s="68">
        <f t="shared" si="7"/>
        <v>45504</v>
      </c>
      <c r="AD452" s="68">
        <f t="shared" si="8"/>
        <v>45503</v>
      </c>
      <c r="AE452" s="68">
        <f t="shared" si="9"/>
        <v>45504</v>
      </c>
    </row>
    <row r="453" spans="1:31" ht="12.5">
      <c r="A453" s="125">
        <v>610422040058</v>
      </c>
      <c r="B453" s="64" t="s">
        <v>33</v>
      </c>
      <c r="D453" s="10">
        <f t="array" aca="1" ref="D453" ca="1">INDEX('Mitra per Bulan'!$M$2:$M800,MATCH(S453,'Mitra per Bulan'!$B$2:$B800,0))</f>
        <v>1</v>
      </c>
      <c r="E453" s="10" t="str">
        <f t="array" ref="E453">INDEX('Database Mitra'!$A$2:$A800,MATCH(A453,'Database Mitra'!$B$2:$B800,0))</f>
        <v>Jamaluddin, Sp</v>
      </c>
      <c r="F453" s="64" t="s">
        <v>25</v>
      </c>
      <c r="G453" s="5" t="str">
        <f t="array" ref="G453">INDEX('Database Mitra'!$G$2:$G800,MATCH(A453,'Database Mitra'!$B$2:$B800,0))</f>
        <v>6102152607940002</v>
      </c>
      <c r="H453" s="64" t="s">
        <v>85</v>
      </c>
      <c r="I453" s="65" t="str">
        <f t="shared" si="18"/>
        <v>KSA24-LAPANGAN-JULI-PPL-KSA JAGUNG</v>
      </c>
      <c r="J453" s="10" t="str">
        <f t="array" ref="J453">INDEX(Honor!$H$2:$H800,MATCH($I453,Honor!$A$2:$A800,0))</f>
        <v>Segmen</v>
      </c>
      <c r="K453" s="66">
        <f t="array" ref="K453">INDEX(Honor!$I$2:$I800,MATCH($I453,Honor!$A$2:$A800,0))</f>
        <v>59000</v>
      </c>
      <c r="L453" s="64">
        <v>10</v>
      </c>
      <c r="M453" s="10">
        <f t="shared" si="0"/>
        <v>590000</v>
      </c>
      <c r="O453" s="67">
        <f t="array" ref="O453">INDEX(Honor!$L$2:$L800,MATCH($I453,Honor!$A$2:$A800,0))</f>
        <v>45504</v>
      </c>
      <c r="P453" s="10">
        <f t="shared" si="1"/>
        <v>2024</v>
      </c>
      <c r="Q453" s="10">
        <f t="shared" si="2"/>
        <v>7</v>
      </c>
      <c r="R453" s="10" t="str">
        <f t="array" ref="R453">INDEX(Honor!$Q$2:$Q800,MATCH($I453,Honor!$A$2:$A800,0))</f>
        <v>SURVEI-PPL</v>
      </c>
      <c r="S453" s="10" t="str">
        <f t="shared" si="3"/>
        <v>610422040058-2024-7</v>
      </c>
      <c r="T453" s="10" t="str">
        <f t="shared" si="4"/>
        <v>610422040058-2024-7-SURVEI-PPL</v>
      </c>
      <c r="U453" s="64">
        <v>1</v>
      </c>
      <c r="V453" s="10" t="e">
        <f t="array" aca="1" ref="V453" ca="1">INDEX(Honor!$O$2:$O800,MATCH($I453,Honor!$A$2:$A800,0))</f>
        <v>#NAME?</v>
      </c>
      <c r="W453" s="67"/>
      <c r="X453" s="7" t="str">
        <f t="array" ref="X453">INDEX('Input Kegiatan'!$B$2:$B800,MATCH(B453,'Input Kegiatan'!$A$2:$A800,0))</f>
        <v>Kerangka Sampel Area (KSA) 2024 Juli</v>
      </c>
      <c r="Y453" s="7" t="s">
        <v>3715</v>
      </c>
      <c r="Z453" s="7" t="s">
        <v>3716</v>
      </c>
      <c r="AA453" s="68">
        <f t="shared" si="5"/>
        <v>45473</v>
      </c>
      <c r="AB453" s="68">
        <f t="shared" si="6"/>
        <v>45474</v>
      </c>
      <c r="AC453" s="68">
        <f t="shared" si="7"/>
        <v>45504</v>
      </c>
      <c r="AD453" s="68">
        <f t="shared" si="8"/>
        <v>45503</v>
      </c>
      <c r="AE453" s="68">
        <f t="shared" si="9"/>
        <v>45504</v>
      </c>
    </row>
    <row r="454" spans="1:31" ht="12.5">
      <c r="A454" s="125">
        <v>610423110183</v>
      </c>
      <c r="B454" s="64" t="s">
        <v>33</v>
      </c>
      <c r="D454" s="10">
        <f t="array" aca="1" ref="D454" ca="1">INDEX('Mitra per Bulan'!$M$2:$M800,MATCH(S454,'Mitra per Bulan'!$B$2:$B800,0))</f>
        <v>1</v>
      </c>
      <c r="E454" s="10" t="str">
        <f t="array" ref="E454">INDEX('Database Mitra'!$A$2:$A800,MATCH(A454,'Database Mitra'!$B$2:$B800,0))</f>
        <v>Azhar</v>
      </c>
      <c r="F454" s="64" t="s">
        <v>25</v>
      </c>
      <c r="G454" s="5" t="str">
        <f t="array" ref="G454">INDEX('Database Mitra'!$G$2:$G800,MATCH(A454,'Database Mitra'!$B$2:$B800,0))</f>
        <v>6102081211790004</v>
      </c>
      <c r="H454" s="64" t="s">
        <v>85</v>
      </c>
      <c r="I454" s="65" t="str">
        <f t="shared" si="18"/>
        <v>KSA24-LAPANGAN-JULI-PPL-KSA JAGUNG</v>
      </c>
      <c r="J454" s="10" t="str">
        <f t="array" ref="J454">INDEX(Honor!$H$2:$H800,MATCH($I454,Honor!$A$2:$A800,0))</f>
        <v>Segmen</v>
      </c>
      <c r="K454" s="66">
        <f t="array" ref="K454">INDEX(Honor!$I$2:$I800,MATCH($I454,Honor!$A$2:$A800,0))</f>
        <v>59000</v>
      </c>
      <c r="L454" s="64">
        <v>6</v>
      </c>
      <c r="M454" s="10">
        <f t="shared" si="0"/>
        <v>354000</v>
      </c>
      <c r="O454" s="67">
        <f t="array" ref="O454">INDEX(Honor!$L$2:$L800,MATCH($I454,Honor!$A$2:$A800,0))</f>
        <v>45504</v>
      </c>
      <c r="P454" s="10">
        <f t="shared" si="1"/>
        <v>2024</v>
      </c>
      <c r="Q454" s="10">
        <f t="shared" si="2"/>
        <v>7</v>
      </c>
      <c r="R454" s="10" t="str">
        <f t="array" ref="R454">INDEX(Honor!$Q$2:$Q800,MATCH($I454,Honor!$A$2:$A800,0))</f>
        <v>SURVEI-PPL</v>
      </c>
      <c r="S454" s="10" t="str">
        <f t="shared" si="3"/>
        <v>610423110183-2024-7</v>
      </c>
      <c r="T454" s="10" t="str">
        <f t="shared" si="4"/>
        <v>610423110183-2024-7-SURVEI-PPL</v>
      </c>
      <c r="U454" s="64">
        <v>1</v>
      </c>
      <c r="V454" s="10" t="e">
        <f t="array" aca="1" ref="V454" ca="1">INDEX(Honor!$O$2:$O800,MATCH($I454,Honor!$A$2:$A800,0))</f>
        <v>#NAME?</v>
      </c>
      <c r="W454" s="67"/>
      <c r="X454" s="7" t="str">
        <f t="array" ref="X454">INDEX('Input Kegiatan'!$B$2:$B800,MATCH(B454,'Input Kegiatan'!$A$2:$A800,0))</f>
        <v>Kerangka Sampel Area (KSA) 2024 Juli</v>
      </c>
      <c r="Y454" s="7" t="s">
        <v>3241</v>
      </c>
      <c r="Z454" s="7" t="s">
        <v>3242</v>
      </c>
      <c r="AA454" s="68">
        <f t="shared" si="5"/>
        <v>45473</v>
      </c>
      <c r="AB454" s="68">
        <f t="shared" si="6"/>
        <v>45474</v>
      </c>
      <c r="AC454" s="68">
        <f t="shared" si="7"/>
        <v>45504</v>
      </c>
      <c r="AD454" s="68">
        <f t="shared" si="8"/>
        <v>45503</v>
      </c>
      <c r="AE454" s="68">
        <f t="shared" si="9"/>
        <v>45504</v>
      </c>
    </row>
    <row r="455" spans="1:31" ht="12.5">
      <c r="A455" s="125">
        <v>610422100244</v>
      </c>
      <c r="B455" s="64" t="s">
        <v>33</v>
      </c>
      <c r="D455" s="10">
        <f t="array" aca="1" ref="D455" ca="1">INDEX('Mitra per Bulan'!$M$2:$M800,MATCH(S455,'Mitra per Bulan'!$B$2:$B800,0))</f>
        <v>1</v>
      </c>
      <c r="E455" s="10" t="str">
        <f t="array" ref="E455">INDEX('Database Mitra'!$A$2:$A800,MATCH(A455,'Database Mitra'!$B$2:$B800,0))</f>
        <v>Sugianto</v>
      </c>
      <c r="F455" s="64" t="s">
        <v>25</v>
      </c>
      <c r="G455" s="5" t="str">
        <f t="array" ref="G455">INDEX('Database Mitra'!$G$2:$G800,MATCH(A455,'Database Mitra'!$B$2:$B800,0))</f>
        <v>6102171003900002</v>
      </c>
      <c r="H455" s="64" t="s">
        <v>85</v>
      </c>
      <c r="I455" s="65" t="str">
        <f t="shared" si="18"/>
        <v>KSA24-LAPANGAN-JULI-PPL-KSA JAGUNG</v>
      </c>
      <c r="J455" s="10" t="str">
        <f t="array" ref="J455">INDEX(Honor!$H$2:$H800,MATCH($I455,Honor!$A$2:$A800,0))</f>
        <v>Segmen</v>
      </c>
      <c r="K455" s="66">
        <f t="array" ref="K455">INDEX(Honor!$I$2:$I800,MATCH($I455,Honor!$A$2:$A800,0))</f>
        <v>59000</v>
      </c>
      <c r="L455" s="64">
        <v>8</v>
      </c>
      <c r="M455" s="10">
        <f t="shared" si="0"/>
        <v>472000</v>
      </c>
      <c r="O455" s="67">
        <f t="array" ref="O455">INDEX(Honor!$L$2:$L800,MATCH($I455,Honor!$A$2:$A800,0))</f>
        <v>45504</v>
      </c>
      <c r="P455" s="10">
        <f t="shared" si="1"/>
        <v>2024</v>
      </c>
      <c r="Q455" s="10">
        <f t="shared" si="2"/>
        <v>7</v>
      </c>
      <c r="R455" s="10" t="str">
        <f t="array" ref="R455">INDEX(Honor!$Q$2:$Q800,MATCH($I455,Honor!$A$2:$A800,0))</f>
        <v>SURVEI-PPL</v>
      </c>
      <c r="S455" s="10" t="str">
        <f t="shared" si="3"/>
        <v>610422100244-2024-7</v>
      </c>
      <c r="T455" s="10" t="str">
        <f t="shared" si="4"/>
        <v>610422100244-2024-7-SURVEI-PPL</v>
      </c>
      <c r="U455" s="64">
        <v>1</v>
      </c>
      <c r="V455" s="10" t="e">
        <f t="array" aca="1" ref="V455" ca="1">INDEX(Honor!$O$2:$O800,MATCH($I455,Honor!$A$2:$A800,0))</f>
        <v>#NAME?</v>
      </c>
      <c r="W455" s="67"/>
      <c r="X455" s="7" t="str">
        <f t="array" ref="X455">INDEX('Input Kegiatan'!$B$2:$B800,MATCH(B455,'Input Kegiatan'!$A$2:$A800,0))</f>
        <v>Kerangka Sampel Area (KSA) 2024 Juli</v>
      </c>
      <c r="Y455" s="7" t="s">
        <v>5741</v>
      </c>
      <c r="Z455" s="7" t="s">
        <v>5796</v>
      </c>
      <c r="AA455" s="68">
        <f t="shared" si="5"/>
        <v>45473</v>
      </c>
      <c r="AB455" s="68">
        <f t="shared" si="6"/>
        <v>45474</v>
      </c>
      <c r="AC455" s="68">
        <f t="shared" si="7"/>
        <v>45504</v>
      </c>
      <c r="AD455" s="68">
        <f t="shared" si="8"/>
        <v>45503</v>
      </c>
      <c r="AE455" s="68">
        <f t="shared" si="9"/>
        <v>45504</v>
      </c>
    </row>
    <row r="456" spans="1:31" ht="12.5">
      <c r="A456" s="125">
        <v>610422040056</v>
      </c>
      <c r="B456" s="64" t="s">
        <v>205</v>
      </c>
      <c r="D456" s="10">
        <f t="array" aca="1" ref="D456" ca="1">INDEX('Mitra per Bulan'!$M$2:$M800,MATCH(S456,'Mitra per Bulan'!$B$2:$B800,0))</f>
        <v>1</v>
      </c>
      <c r="E456" s="10" t="str">
        <f t="array" ref="E456">INDEX('Database Mitra'!$A$2:$A800,MATCH(A456,'Database Mitra'!$B$2:$B800,0))</f>
        <v>Wandi Syafari</v>
      </c>
      <c r="F456" s="64" t="s">
        <v>25</v>
      </c>
      <c r="G456" s="5" t="str">
        <f t="array" ref="G456">INDEX('Database Mitra'!$G$2:$G800,MATCH(A456,'Database Mitra'!$B$2:$B800,0))</f>
        <v>6102010802760001</v>
      </c>
      <c r="H456" s="64" t="s">
        <v>67</v>
      </c>
      <c r="I456" s="65" t="s">
        <v>206</v>
      </c>
      <c r="J456" s="10" t="str">
        <f t="array" ref="J456">INDEX(Honor!$H$2:$H800,MATCH($I456,Honor!$A$2:$A800,0))</f>
        <v>Dokumen</v>
      </c>
      <c r="K456" s="66">
        <f t="array" ref="K456">INDEX(Honor!$I$2:$I800,MATCH($I456,Honor!$A$2:$A800,0))</f>
        <v>65000</v>
      </c>
      <c r="L456" s="64">
        <v>10</v>
      </c>
      <c r="M456" s="10">
        <f t="shared" si="0"/>
        <v>650000</v>
      </c>
      <c r="O456" s="67">
        <f t="array" ref="O456">INDEX(Honor!$L$2:$L800,MATCH($I456,Honor!$A$2:$A800,0))</f>
        <v>45504</v>
      </c>
      <c r="P456" s="10">
        <f t="shared" si="1"/>
        <v>2024</v>
      </c>
      <c r="Q456" s="10">
        <f t="shared" si="2"/>
        <v>7</v>
      </c>
      <c r="R456" s="10" t="str">
        <f t="array" ref="R456">INDEX(Honor!$Q$2:$Q800,MATCH($I456,Honor!$A$2:$A800,0))</f>
        <v>SURVEI-PPL</v>
      </c>
      <c r="S456" s="10" t="str">
        <f t="shared" si="3"/>
        <v>610422040056-2024-7</v>
      </c>
      <c r="T456" s="10" t="str">
        <f t="shared" si="4"/>
        <v>610422040056-2024-7-SURVEI-PPL</v>
      </c>
      <c r="U456" s="64">
        <v>1</v>
      </c>
      <c r="V456" s="10" t="e">
        <f t="array" aca="1" ref="V456" ca="1">INDEX(Honor!$O$2:$O800,MATCH($I456,Honor!$A$2:$A800,0))</f>
        <v>#NAME?</v>
      </c>
      <c r="W456" s="67"/>
      <c r="X456" s="7" t="str">
        <f t="array" ref="X456">INDEX('Input Kegiatan'!$B$2:$B800,MATCH(B456,'Input Kegiatan'!$A$2:$A800,0))</f>
        <v>Survei Khusus Lembaga Nonprofit yang Melayani Rumah Tangga 2024 (SKLNPT24) Triwulan II</v>
      </c>
      <c r="Y456" s="7" t="s">
        <v>4572</v>
      </c>
      <c r="Z456" s="7" t="s">
        <v>4656</v>
      </c>
      <c r="AA456" s="68">
        <f t="shared" si="5"/>
        <v>45473</v>
      </c>
      <c r="AB456" s="68">
        <f t="shared" si="6"/>
        <v>45474</v>
      </c>
      <c r="AC456" s="68">
        <f t="shared" si="7"/>
        <v>45504</v>
      </c>
      <c r="AD456" s="68">
        <f t="shared" si="8"/>
        <v>45503</v>
      </c>
      <c r="AE456" s="68">
        <f t="shared" si="9"/>
        <v>45504</v>
      </c>
    </row>
    <row r="457" spans="1:31" ht="12.5">
      <c r="A457" s="125">
        <v>610422040029</v>
      </c>
      <c r="B457" s="64" t="s">
        <v>207</v>
      </c>
      <c r="D457" s="10">
        <f t="array" aca="1" ref="D457" ca="1">INDEX('Mitra per Bulan'!$M$2:$M800,MATCH(S457,'Mitra per Bulan'!$B$2:$B800,0))</f>
        <v>1</v>
      </c>
      <c r="E457" s="10" t="str">
        <f t="array" ref="E457">INDEX('Database Mitra'!$A$2:$A800,MATCH(A457,'Database Mitra'!$B$2:$B800,0))</f>
        <v>Zaini</v>
      </c>
      <c r="F457" s="64" t="s">
        <v>25</v>
      </c>
      <c r="G457" s="5" t="str">
        <f t="array" ref="G457">INDEX('Database Mitra'!$G$2:$G800,MATCH(A457,'Database Mitra'!$B$2:$B800,0))</f>
        <v>6102010607870002</v>
      </c>
      <c r="H457" s="64" t="s">
        <v>67</v>
      </c>
      <c r="I457" s="65" t="s">
        <v>208</v>
      </c>
      <c r="J457" s="10" t="str">
        <f t="array" ref="J457">INDEX(Honor!$H$2:$H800,MATCH($I457,Honor!$A$2:$A800,0))</f>
        <v>Dokumen</v>
      </c>
      <c r="K457" s="66">
        <f t="array" ref="K457">INDEX(Honor!$I$2:$I800,MATCH($I457,Honor!$A$2:$A800,0))</f>
        <v>55000</v>
      </c>
      <c r="L457" s="64">
        <v>1</v>
      </c>
      <c r="M457" s="10">
        <f t="shared" si="0"/>
        <v>55000</v>
      </c>
      <c r="O457" s="67">
        <f t="array" ref="O457">INDEX(Honor!$L$2:$L800,MATCH($I457,Honor!$A$2:$A800,0))</f>
        <v>45504</v>
      </c>
      <c r="P457" s="10">
        <f t="shared" si="1"/>
        <v>2024</v>
      </c>
      <c r="Q457" s="10">
        <f t="shared" si="2"/>
        <v>7</v>
      </c>
      <c r="R457" s="10" t="str">
        <f t="array" ref="R457">INDEX(Honor!$Q$2:$Q800,MATCH($I457,Honor!$A$2:$A800,0))</f>
        <v>SURVEI-PPL</v>
      </c>
      <c r="S457" s="10" t="str">
        <f t="shared" si="3"/>
        <v>610422040029-2024-7</v>
      </c>
      <c r="T457" s="10" t="str">
        <f t="shared" si="4"/>
        <v>610422040029-2024-7-SURVEI-PPL</v>
      </c>
      <c r="U457" s="64">
        <v>0</v>
      </c>
      <c r="V457" s="10" t="e">
        <f t="array" aca="1" ref="V457" ca="1">INDEX(Honor!$O$2:$O800,MATCH($I457,Honor!$A$2:$A800,0))</f>
        <v>#NAME?</v>
      </c>
      <c r="W457" s="67"/>
      <c r="X457" s="7" t="str">
        <f t="array" ref="X457">INDEX('Input Kegiatan'!$B$2:$B800,MATCH(B457,'Input Kegiatan'!$A$2:$A800,0))</f>
        <v>Survei Khusus Triwulan Neraca Produksi Barang Jasa (SKTNP) 2024 Triwulan II</v>
      </c>
      <c r="Y457" s="7" t="s">
        <v>4572</v>
      </c>
      <c r="Z457" s="7" t="s">
        <v>4619</v>
      </c>
      <c r="AA457" s="68">
        <f t="shared" si="5"/>
        <v>45473</v>
      </c>
      <c r="AB457" s="68">
        <f t="shared" si="6"/>
        <v>45474</v>
      </c>
      <c r="AC457" s="68">
        <f t="shared" si="7"/>
        <v>45504</v>
      </c>
      <c r="AD457" s="68">
        <f t="shared" si="8"/>
        <v>45503</v>
      </c>
      <c r="AE457" s="68">
        <f t="shared" si="9"/>
        <v>45504</v>
      </c>
    </row>
    <row r="458" spans="1:31" ht="12.5">
      <c r="A458" s="125">
        <v>610422040029</v>
      </c>
      <c r="B458" s="64" t="s">
        <v>207</v>
      </c>
      <c r="D458" s="10">
        <f t="array" aca="1" ref="D458" ca="1">INDEX('Mitra per Bulan'!$M$2:$M800,MATCH(S458,'Mitra per Bulan'!$B$2:$B800,0))</f>
        <v>1</v>
      </c>
      <c r="E458" s="10" t="str">
        <f t="array" ref="E458">INDEX('Database Mitra'!$A$2:$A800,MATCH(A458,'Database Mitra'!$B$2:$B800,0))</f>
        <v>Zaini</v>
      </c>
      <c r="F458" s="64" t="s">
        <v>25</v>
      </c>
      <c r="G458" s="5" t="str">
        <f t="array" ref="G458">INDEX('Database Mitra'!$G$2:$G800,MATCH(A458,'Database Mitra'!$B$2:$B800,0))</f>
        <v>6102010607870002</v>
      </c>
      <c r="H458" s="64" t="s">
        <v>67</v>
      </c>
      <c r="I458" s="65" t="s">
        <v>209</v>
      </c>
      <c r="J458" s="10" t="str">
        <f t="array" ref="J458">INDEX(Honor!$H$2:$H800,MATCH($I458,Honor!$A$2:$A800,0))</f>
        <v>Dokumen</v>
      </c>
      <c r="K458" s="66">
        <f t="array" ref="K458">INDEX(Honor!$I$2:$I800,MATCH($I458,Honor!$A$2:$A800,0))</f>
        <v>55000</v>
      </c>
      <c r="L458" s="64">
        <v>2</v>
      </c>
      <c r="M458" s="10">
        <f t="shared" si="0"/>
        <v>110000</v>
      </c>
      <c r="O458" s="67">
        <f t="array" ref="O458">INDEX(Honor!$L$2:$L800,MATCH($I458,Honor!$A$2:$A800,0))</f>
        <v>45504</v>
      </c>
      <c r="P458" s="10">
        <f t="shared" si="1"/>
        <v>2024</v>
      </c>
      <c r="Q458" s="10">
        <f t="shared" si="2"/>
        <v>7</v>
      </c>
      <c r="R458" s="10" t="str">
        <f t="array" ref="R458">INDEX(Honor!$Q$2:$Q800,MATCH($I458,Honor!$A$2:$A800,0))</f>
        <v>SURVEI-PPL</v>
      </c>
      <c r="S458" s="10" t="str">
        <f t="shared" si="3"/>
        <v>610422040029-2024-7</v>
      </c>
      <c r="T458" s="10" t="str">
        <f t="shared" si="4"/>
        <v>610422040029-2024-7-SURVEI-PPL</v>
      </c>
      <c r="U458" s="64">
        <v>0</v>
      </c>
      <c r="V458" s="10" t="e">
        <f t="array" aca="1" ref="V458" ca="1">INDEX(Honor!$O$2:$O800,MATCH($I458,Honor!$A$2:$A800,0))</f>
        <v>#NAME?</v>
      </c>
      <c r="W458" s="67"/>
      <c r="X458" s="7" t="str">
        <f t="array" ref="X458">INDEX('Input Kegiatan'!$B$2:$B800,MATCH(B458,'Input Kegiatan'!$A$2:$A800,0))</f>
        <v>Survei Khusus Triwulan Neraca Produksi Barang Jasa (SKTNP) 2024 Triwulan II</v>
      </c>
      <c r="Y458" s="7" t="s">
        <v>4572</v>
      </c>
      <c r="Z458" s="7" t="s">
        <v>4619</v>
      </c>
      <c r="AA458" s="68">
        <f t="shared" si="5"/>
        <v>45473</v>
      </c>
      <c r="AB458" s="68">
        <f t="shared" si="6"/>
        <v>45474</v>
      </c>
      <c r="AC458" s="68">
        <f t="shared" si="7"/>
        <v>45504</v>
      </c>
      <c r="AD458" s="68">
        <f t="shared" si="8"/>
        <v>45503</v>
      </c>
      <c r="AE458" s="68">
        <f t="shared" si="9"/>
        <v>45504</v>
      </c>
    </row>
    <row r="459" spans="1:31" ht="12.5">
      <c r="A459" s="125">
        <v>610422100153</v>
      </c>
      <c r="B459" s="5" t="s">
        <v>210</v>
      </c>
      <c r="D459" s="10">
        <f t="array" aca="1" ref="D459" ca="1">INDEX('Mitra per Bulan'!$M$2:$M800,MATCH(S459,'Mitra per Bulan'!$B$2:$B800,0))</f>
        <v>1</v>
      </c>
      <c r="E459" s="10" t="str">
        <f t="array" ref="E459">INDEX('Database Mitra'!$A$2:$A800,MATCH(A459,'Database Mitra'!$B$2:$B800,0))</f>
        <v>Kharim Marufah</v>
      </c>
      <c r="F459" s="64"/>
      <c r="G459" s="5"/>
      <c r="H459" s="64" t="s">
        <v>67</v>
      </c>
      <c r="I459" s="65" t="s">
        <v>211</v>
      </c>
      <c r="J459" s="10" t="str">
        <f t="array" ref="J459">INDEX(Honor!$H$2:$H800,MATCH($I459,Honor!$A$2:$A800,0))</f>
        <v>Dokumen</v>
      </c>
      <c r="K459" s="66">
        <f t="array" ref="K459">INDEX(Honor!$I$2:$I800,MATCH($I459,Honor!$A$2:$A800,0))</f>
        <v>50000</v>
      </c>
      <c r="L459" s="64">
        <v>5</v>
      </c>
      <c r="M459" s="10">
        <f t="shared" si="0"/>
        <v>250000</v>
      </c>
      <c r="O459" s="67">
        <f t="array" ref="O459">INDEX(Honor!$L$2:$L800,MATCH($I459,Honor!$A$2:$A800,0))</f>
        <v>45504</v>
      </c>
      <c r="P459" s="10">
        <f t="shared" si="1"/>
        <v>2024</v>
      </c>
      <c r="Q459" s="10">
        <f t="shared" si="2"/>
        <v>7</v>
      </c>
      <c r="R459" s="10" t="str">
        <f t="array" ref="R459">INDEX(Honor!$Q$2:$Q800,MATCH($I459,Honor!$A$2:$A800,0))</f>
        <v>SURVEI-PPL</v>
      </c>
      <c r="S459" s="10" t="str">
        <f t="shared" si="3"/>
        <v>610422100153-2024-7</v>
      </c>
      <c r="T459" s="10" t="str">
        <f t="shared" si="4"/>
        <v>610422100153-2024-7-SURVEI-PPL</v>
      </c>
      <c r="U459" s="64"/>
      <c r="V459" s="10">
        <f t="array" ref="V459">INDEX(Honor!$O$2:$O800,MATCH($I459,Honor!$A$2:$A800,0))</f>
        <v>-19</v>
      </c>
      <c r="W459" s="67"/>
      <c r="X459" s="7" t="str">
        <f t="array" ref="X459">INDEX('Input Kegiatan'!$B$2:$B800,MATCH(B459,'Input Kegiatan'!$A$2:$A800,0))</f>
        <v>(GALIAN-BH24-TW) SURVEI PENGGALIAN BERBADAN HUKUM TRIWULANAN 2024 TRIWULAN 2</v>
      </c>
      <c r="Y459" s="7" t="s">
        <v>3990</v>
      </c>
      <c r="Z459" s="7" t="s">
        <v>3991</v>
      </c>
      <c r="AA459" s="68">
        <f t="shared" si="5"/>
        <v>45473</v>
      </c>
      <c r="AB459" s="68">
        <f t="shared" si="6"/>
        <v>45474</v>
      </c>
      <c r="AC459" s="68">
        <f t="shared" si="7"/>
        <v>45504</v>
      </c>
      <c r="AD459" s="68">
        <f t="shared" si="8"/>
        <v>45503</v>
      </c>
      <c r="AE459" s="68">
        <f t="shared" si="9"/>
        <v>45504</v>
      </c>
    </row>
    <row r="460" spans="1:31" ht="12.5">
      <c r="A460" s="125">
        <v>610422020048</v>
      </c>
      <c r="B460" s="5" t="s">
        <v>212</v>
      </c>
      <c r="D460" s="10">
        <f t="array" aca="1" ref="D460" ca="1">INDEX('Mitra per Bulan'!$M$2:$M800,MATCH(S460,'Mitra per Bulan'!$B$2:$B800,0))</f>
        <v>1</v>
      </c>
      <c r="E460" s="10" t="str">
        <f t="array" ref="E460">INDEX('Database Mitra'!$A$2:$A800,MATCH(A460,'Database Mitra'!$B$2:$B800,0))</f>
        <v>Herri Gustaman</v>
      </c>
      <c r="F460" s="64" t="s">
        <v>25</v>
      </c>
      <c r="G460" s="5" t="str">
        <f t="array" ref="G460">INDEX('Database Mitra'!$G$2:$G800,MATCH(A460,'Database Mitra'!$B$2:$B800,0))</f>
        <v>6102072503800001</v>
      </c>
      <c r="H460" s="64" t="s">
        <v>67</v>
      </c>
      <c r="I460" s="64" t="s">
        <v>213</v>
      </c>
      <c r="J460" s="10" t="str">
        <f t="array" ref="J460">INDEX(Honor!$H$2:$H800,MATCH($I460,Honor!$A$2:$A800,0))</f>
        <v>Dokumen</v>
      </c>
      <c r="K460" s="66">
        <f t="array" ref="K460">INDEX(Honor!$I$2:$I800,MATCH($I460,Honor!$A$2:$A800,0))</f>
        <v>60000</v>
      </c>
      <c r="L460" s="64">
        <v>4</v>
      </c>
      <c r="M460" s="10">
        <f t="shared" si="0"/>
        <v>240000</v>
      </c>
      <c r="O460" s="67">
        <f t="array" ref="O460">INDEX(Honor!$L$2:$L800,MATCH($I460,Honor!$A$2:$A800,0))</f>
        <v>45505</v>
      </c>
      <c r="P460" s="10">
        <f t="shared" si="1"/>
        <v>2024</v>
      </c>
      <c r="Q460" s="10">
        <f t="shared" si="2"/>
        <v>8</v>
      </c>
      <c r="R460" s="10" t="str">
        <f t="array" ref="R460">INDEX(Honor!$Q$2:$Q800,MATCH($I460,Honor!$A$2:$A800,0))</f>
        <v>SURVEI-PPL</v>
      </c>
      <c r="S460" s="10" t="str">
        <f t="shared" si="3"/>
        <v>610422020048-2024-8</v>
      </c>
      <c r="T460" s="10" t="str">
        <f t="shared" si="4"/>
        <v>610422020048-2024-8-SURVEI-PPL</v>
      </c>
      <c r="U460" s="64">
        <v>1</v>
      </c>
      <c r="V460" s="10" t="e">
        <f t="array" aca="1" ref="V460" ca="1">INDEX(Honor!$O$2:$O800,MATCH($I460,Honor!$A$2:$A800,0))</f>
        <v>#NAME?</v>
      </c>
      <c r="W460" s="67"/>
      <c r="X460" s="7" t="str">
        <f t="array" ref="X460">INDEX('Input Kegiatan'!$B$2:$B800,MATCH(B460,'Input Kegiatan'!$A$2:$A800,0))</f>
        <v>Laporan Pemotongan Ternak Bulanan 2024 Agustus</v>
      </c>
      <c r="Y460" s="7" t="s">
        <v>4931</v>
      </c>
      <c r="Z460" s="7" t="s">
        <v>5171</v>
      </c>
      <c r="AA460" s="68">
        <f t="shared" si="5"/>
        <v>45504</v>
      </c>
      <c r="AB460" s="68">
        <f t="shared" si="6"/>
        <v>45505</v>
      </c>
      <c r="AC460" s="68">
        <f t="shared" si="7"/>
        <v>45535</v>
      </c>
      <c r="AD460" s="68">
        <f t="shared" si="8"/>
        <v>45534</v>
      </c>
      <c r="AE460" s="68">
        <f t="shared" si="9"/>
        <v>45535</v>
      </c>
    </row>
    <row r="461" spans="1:31" ht="12.5">
      <c r="A461" s="125">
        <v>610422030002</v>
      </c>
      <c r="B461" s="65" t="s">
        <v>214</v>
      </c>
      <c r="D461" s="10">
        <f t="array" aca="1" ref="D461" ca="1">INDEX('Mitra per Bulan'!$M$2:$M800,MATCH(S461,'Mitra per Bulan'!$B$2:$B800,0))</f>
        <v>1</v>
      </c>
      <c r="E461" s="10" t="str">
        <f t="array" ref="E461">INDEX('Database Mitra'!$A$2:$A800,MATCH(A461,'Database Mitra'!$B$2:$B800,0))</f>
        <v>Deti Erni Widiastuti</v>
      </c>
      <c r="F461" s="64" t="s">
        <v>25</v>
      </c>
      <c r="G461" s="5" t="str">
        <f t="array" ref="G461">INDEX('Database Mitra'!$G$2:$G800,MATCH(A461,'Database Mitra'!$B$2:$B800,0))</f>
        <v>6102016712860001</v>
      </c>
      <c r="H461" s="64" t="s">
        <v>67</v>
      </c>
      <c r="I461" s="65" t="s">
        <v>215</v>
      </c>
      <c r="J461" s="10" t="str">
        <f t="array" ref="J461">INDEX(Honor!$H$2:$H800,MATCH($I461,Honor!$A$2:$A800,0))</f>
        <v>Dokumen</v>
      </c>
      <c r="K461" s="66">
        <f t="array" ref="K461">INDEX(Honor!$I$2:$I800,MATCH($I461,Honor!$A$2:$A800,0))</f>
        <v>50000</v>
      </c>
      <c r="L461" s="64">
        <v>15</v>
      </c>
      <c r="M461" s="10">
        <f t="shared" si="0"/>
        <v>750000</v>
      </c>
      <c r="O461" s="67">
        <f t="array" ref="O461">INDEX(Honor!$L$2:$L800,MATCH($I461,Honor!$A$2:$A800,0))</f>
        <v>45524</v>
      </c>
      <c r="P461" s="10">
        <f t="shared" si="1"/>
        <v>2024</v>
      </c>
      <c r="Q461" s="10">
        <f t="shared" si="2"/>
        <v>8</v>
      </c>
      <c r="R461" s="10" t="str">
        <f t="array" ref="R461">INDEX(Honor!$Q$2:$Q800,MATCH($I461,Honor!$A$2:$A800,0))</f>
        <v>SURVEI-PPL</v>
      </c>
      <c r="S461" s="10" t="str">
        <f t="shared" si="3"/>
        <v>610422030002-2024-8</v>
      </c>
      <c r="T461" s="10" t="str">
        <f t="shared" si="4"/>
        <v>610422030002-2024-8-SURVEI-PPL</v>
      </c>
      <c r="U461" s="64">
        <v>0</v>
      </c>
      <c r="V461" s="10" t="e">
        <f t="array" aca="1" ref="V461" ca="1">INDEX(Honor!$O$2:$O800,MATCH($I461,Honor!$A$2:$A800,0))</f>
        <v>#NAME?</v>
      </c>
      <c r="W461" s="67"/>
      <c r="X461" s="7" t="str">
        <f t="array" ref="X461">INDEX('Input Kegiatan'!$B$2:$B800,MATCH(B461,'Input Kegiatan'!$A$2:$A800,0))</f>
        <v>Survei Harga Perdagangan Besar (SHPB24) Agustus</v>
      </c>
      <c r="Y461" s="7" t="s">
        <v>3715</v>
      </c>
      <c r="Z461" s="7" t="s">
        <v>3716</v>
      </c>
      <c r="AA461" s="68">
        <f t="shared" si="5"/>
        <v>45504</v>
      </c>
      <c r="AB461" s="68">
        <f t="shared" si="6"/>
        <v>45505</v>
      </c>
      <c r="AC461" s="68">
        <f t="shared" si="7"/>
        <v>45535</v>
      </c>
      <c r="AD461" s="68">
        <f t="shared" si="8"/>
        <v>45534</v>
      </c>
      <c r="AE461" s="68">
        <f t="shared" si="9"/>
        <v>45535</v>
      </c>
    </row>
    <row r="462" spans="1:31" ht="12.5">
      <c r="A462" s="125">
        <v>610422100244</v>
      </c>
      <c r="B462" s="64" t="s">
        <v>216</v>
      </c>
      <c r="D462" s="10">
        <f t="array" aca="1" ref="D462" ca="1">INDEX('Mitra per Bulan'!$M$2:$M800,MATCH(S462,'Mitra per Bulan'!$B$2:$B800,0))</f>
        <v>1</v>
      </c>
      <c r="E462" s="10" t="str">
        <f t="array" ref="E462">INDEX('Database Mitra'!$A$2:$A800,MATCH(A462,'Database Mitra'!$B$2:$B800,0))</f>
        <v>Sugianto</v>
      </c>
      <c r="F462" s="64" t="s">
        <v>25</v>
      </c>
      <c r="G462" s="5" t="str">
        <f t="array" ref="G462">INDEX('Database Mitra'!$G$2:$G800,MATCH(A462,'Database Mitra'!$B$2:$B800,0))</f>
        <v>6102171003900002</v>
      </c>
      <c r="H462" s="64" t="s">
        <v>67</v>
      </c>
      <c r="I462" s="65" t="s">
        <v>217</v>
      </c>
      <c r="J462" s="10" t="str">
        <f t="array" ref="J462">INDEX(Honor!$H$2:$H800,MATCH($I462,Honor!$A$2:$A800,0))</f>
        <v>Dokumen</v>
      </c>
      <c r="K462" s="66">
        <f t="array" ref="K462">INDEX(Honor!$I$2:$I800,MATCH($I462,Honor!$A$2:$A800,0))</f>
        <v>50000</v>
      </c>
      <c r="L462" s="64">
        <v>1</v>
      </c>
      <c r="M462" s="10">
        <f t="shared" si="0"/>
        <v>50000</v>
      </c>
      <c r="O462" s="67">
        <f t="array" ref="O462">INDEX(Honor!$L$2:$L800,MATCH($I462,Honor!$A$2:$A800,0))</f>
        <v>45524</v>
      </c>
      <c r="P462" s="10">
        <f t="shared" si="1"/>
        <v>2024</v>
      </c>
      <c r="Q462" s="10">
        <f t="shared" si="2"/>
        <v>8</v>
      </c>
      <c r="R462" s="10" t="str">
        <f t="array" ref="R462">INDEX(Honor!$Q$2:$Q800,MATCH($I462,Honor!$A$2:$A800,0))</f>
        <v>SURVEI-PPL</v>
      </c>
      <c r="S462" s="10" t="str">
        <f t="shared" si="3"/>
        <v>610422100244-2024-8</v>
      </c>
      <c r="T462" s="10" t="str">
        <f t="shared" si="4"/>
        <v>610422100244-2024-8-SURVEI-PPL</v>
      </c>
      <c r="U462" s="64">
        <v>0</v>
      </c>
      <c r="V462" s="10" t="e">
        <f t="array" aca="1" ref="V462" ca="1">INDEX(Honor!$O$2:$O800,MATCH($I462,Honor!$A$2:$A800,0))</f>
        <v>#NAME?</v>
      </c>
      <c r="W462" s="67"/>
      <c r="X462" s="7" t="str">
        <f t="array" ref="X462">INDEX('Input Kegiatan'!$B$2:$B800,MATCH(B462,'Input Kegiatan'!$A$2:$A800,0))</f>
        <v>Survei Harga Produsen Gabah (HPG24) Agustus</v>
      </c>
      <c r="Y462" s="7" t="s">
        <v>5741</v>
      </c>
      <c r="Z462" s="7" t="s">
        <v>5796</v>
      </c>
      <c r="AA462" s="68">
        <f t="shared" si="5"/>
        <v>45504</v>
      </c>
      <c r="AB462" s="68">
        <f t="shared" si="6"/>
        <v>45505</v>
      </c>
      <c r="AC462" s="68">
        <f t="shared" si="7"/>
        <v>45535</v>
      </c>
      <c r="AD462" s="68">
        <f t="shared" si="8"/>
        <v>45534</v>
      </c>
      <c r="AE462" s="68">
        <f t="shared" si="9"/>
        <v>45535</v>
      </c>
    </row>
    <row r="463" spans="1:31" ht="12.5">
      <c r="A463" s="125">
        <v>610422100124</v>
      </c>
      <c r="B463" s="64" t="s">
        <v>216</v>
      </c>
      <c r="D463" s="10">
        <f t="array" aca="1" ref="D463" ca="1">INDEX('Mitra per Bulan'!$M$2:$M800,MATCH(S463,'Mitra per Bulan'!$B$2:$B800,0))</f>
        <v>1</v>
      </c>
      <c r="E463" s="10" t="str">
        <f t="array" ref="E463">INDEX('Database Mitra'!$A$2:$A800,MATCH(A463,'Database Mitra'!$B$2:$B800,0))</f>
        <v>Prabowo</v>
      </c>
      <c r="F463" s="64" t="s">
        <v>25</v>
      </c>
      <c r="G463" s="5" t="str">
        <f t="array" ref="G463">INDEX('Database Mitra'!$G$2:$G800,MATCH(A463,'Database Mitra'!$B$2:$B800,0))</f>
        <v>6171010108790015</v>
      </c>
      <c r="H463" s="64" t="s">
        <v>67</v>
      </c>
      <c r="I463" s="65" t="s">
        <v>217</v>
      </c>
      <c r="J463" s="10" t="str">
        <f t="array" ref="J463">INDEX(Honor!$H$2:$H800,MATCH($I463,Honor!$A$2:$A800,0))</f>
        <v>Dokumen</v>
      </c>
      <c r="K463" s="66">
        <f t="array" ref="K463">INDEX(Honor!$I$2:$I800,MATCH($I463,Honor!$A$2:$A800,0))</f>
        <v>50000</v>
      </c>
      <c r="L463" s="64">
        <v>1</v>
      </c>
      <c r="M463" s="10">
        <f t="shared" si="0"/>
        <v>50000</v>
      </c>
      <c r="O463" s="67">
        <f t="array" ref="O463">INDEX(Honor!$L$2:$L800,MATCH($I463,Honor!$A$2:$A800,0))</f>
        <v>45524</v>
      </c>
      <c r="P463" s="10">
        <f t="shared" si="1"/>
        <v>2024</v>
      </c>
      <c r="Q463" s="10">
        <f t="shared" si="2"/>
        <v>8</v>
      </c>
      <c r="R463" s="10" t="str">
        <f t="array" ref="R463">INDEX(Honor!$Q$2:$Q800,MATCH($I463,Honor!$A$2:$A800,0))</f>
        <v>SURVEI-PPL</v>
      </c>
      <c r="S463" s="10" t="str">
        <f t="shared" si="3"/>
        <v>610422100124-2024-8</v>
      </c>
      <c r="T463" s="10" t="str">
        <f t="shared" si="4"/>
        <v>610422100124-2024-8-SURVEI-PPL</v>
      </c>
      <c r="U463" s="64">
        <v>0</v>
      </c>
      <c r="V463" s="10" t="e">
        <f t="array" aca="1" ref="V463" ca="1">INDEX(Honor!$O$2:$O800,MATCH($I463,Honor!$A$2:$A800,0))</f>
        <v>#NAME?</v>
      </c>
      <c r="W463" s="67"/>
      <c r="X463" s="7" t="str">
        <f t="array" ref="X463">INDEX('Input Kegiatan'!$B$2:$B800,MATCH(B463,'Input Kegiatan'!$A$2:$A800,0))</f>
        <v>Survei Harga Produsen Gabah (HPG24) Agustus</v>
      </c>
      <c r="Y463" s="7" t="s">
        <v>1921</v>
      </c>
      <c r="Z463" s="7" t="s">
        <v>2140</v>
      </c>
      <c r="AA463" s="68">
        <f t="shared" si="5"/>
        <v>45504</v>
      </c>
      <c r="AB463" s="68">
        <f t="shared" si="6"/>
        <v>45505</v>
      </c>
      <c r="AC463" s="68">
        <f t="shared" si="7"/>
        <v>45535</v>
      </c>
      <c r="AD463" s="68">
        <f t="shared" si="8"/>
        <v>45534</v>
      </c>
      <c r="AE463" s="68">
        <f t="shared" si="9"/>
        <v>45535</v>
      </c>
    </row>
    <row r="464" spans="1:31" ht="12.5">
      <c r="A464" s="125">
        <v>610422100016</v>
      </c>
      <c r="B464" s="65" t="s">
        <v>218</v>
      </c>
      <c r="D464" s="10">
        <f t="array" aca="1" ref="D464" ca="1">INDEX('Mitra per Bulan'!$M$2:$M800,MATCH(S464,'Mitra per Bulan'!$B$2:$B800,0))</f>
        <v>1</v>
      </c>
      <c r="E464" s="10" t="str">
        <f t="array" ref="E464">INDEX('Database Mitra'!$A$2:$A800,MATCH(A464,'Database Mitra'!$B$2:$B800,0))</f>
        <v>Amalia Faisya</v>
      </c>
      <c r="F464" s="64" t="s">
        <v>25</v>
      </c>
      <c r="G464" s="5" t="str">
        <f t="array" ref="G464">INDEX('Database Mitra'!$G$2:$G800,MATCH(A464,'Database Mitra'!$B$2:$B800,0))</f>
        <v>6102124210010005</v>
      </c>
      <c r="H464" s="64" t="s">
        <v>72</v>
      </c>
      <c r="I464" s="65" t="s">
        <v>219</v>
      </c>
      <c r="J464" s="10" t="str">
        <f t="array" ref="J464">INDEX(Honor!$H$2:$H800,MATCH($I464,Honor!$A$2:$A800,0))</f>
        <v>Dokumen</v>
      </c>
      <c r="K464" s="66">
        <f t="array" ref="K464">INDEX(Honor!$I$2:$I800,MATCH($I464,Honor!$A$2:$A800,0))</f>
        <v>65000</v>
      </c>
      <c r="L464" s="64">
        <v>3</v>
      </c>
      <c r="M464" s="10">
        <f t="shared" si="0"/>
        <v>195000</v>
      </c>
      <c r="O464" s="67">
        <f t="array" ref="O464">INDEX(Honor!$L$2:$L800,MATCH($I464,Honor!$A$2:$A800,0))</f>
        <v>45524</v>
      </c>
      <c r="P464" s="10">
        <f t="shared" si="1"/>
        <v>2024</v>
      </c>
      <c r="Q464" s="10">
        <f t="shared" si="2"/>
        <v>8</v>
      </c>
      <c r="R464" s="10" t="str">
        <f t="array" ref="R464">INDEX(Honor!$Q$2:$Q800,MATCH($I464,Honor!$A$2:$A800,0))</f>
        <v>SURVEI-PPL</v>
      </c>
      <c r="S464" s="10" t="str">
        <f t="shared" si="3"/>
        <v>610422100016-2024-8</v>
      </c>
      <c r="T464" s="10" t="str">
        <f t="shared" si="4"/>
        <v>610422100016-2024-8-SURVEI-PPL</v>
      </c>
      <c r="U464" s="64">
        <v>0</v>
      </c>
      <c r="V464" s="10" t="e">
        <f t="array" aca="1" ref="V464" ca="1">INDEX(Honor!$O$2:$O800,MATCH($I464,Honor!$A$2:$A800,0))</f>
        <v>#NAME?</v>
      </c>
      <c r="W464" s="67"/>
      <c r="X464" s="7" t="str">
        <f t="array" ref="X464">INDEX('Input Kegiatan'!$B$2:$B800,MATCH(B464,'Input Kegiatan'!$A$2:$A800,0))</f>
        <v>Survei Harga Perdesaan (SHPED24) Agustus</v>
      </c>
      <c r="Y464" s="7" t="s">
        <v>5250</v>
      </c>
      <c r="Z464" s="7" t="s">
        <v>5365</v>
      </c>
      <c r="AA464" s="68">
        <f t="shared" si="5"/>
        <v>45504</v>
      </c>
      <c r="AB464" s="68">
        <f t="shared" si="6"/>
        <v>45505</v>
      </c>
      <c r="AC464" s="68">
        <f t="shared" si="7"/>
        <v>45535</v>
      </c>
      <c r="AD464" s="68">
        <f t="shared" si="8"/>
        <v>45534</v>
      </c>
      <c r="AE464" s="68">
        <f t="shared" si="9"/>
        <v>45535</v>
      </c>
    </row>
    <row r="465" spans="1:31" ht="12.5">
      <c r="A465" s="125">
        <v>610422050001</v>
      </c>
      <c r="B465" s="65" t="s">
        <v>218</v>
      </c>
      <c r="D465" s="10">
        <f t="array" aca="1" ref="D465" ca="1">INDEX('Mitra per Bulan'!$M$2:$M800,MATCH(S465,'Mitra per Bulan'!$B$2:$B800,0))</f>
        <v>1</v>
      </c>
      <c r="E465" s="10" t="str">
        <f t="array" ref="E465">INDEX('Database Mitra'!$A$2:$A800,MATCH(A465,'Database Mitra'!$B$2:$B800,0))</f>
        <v>Evi Juniarty</v>
      </c>
      <c r="F465" s="64" t="s">
        <v>25</v>
      </c>
      <c r="G465" s="5" t="str">
        <f t="array" ref="G465">INDEX('Database Mitra'!$G$2:$G800,MATCH(A465,'Database Mitra'!$B$2:$B800,0))</f>
        <v>6102165101840001</v>
      </c>
      <c r="H465" s="64" t="s">
        <v>72</v>
      </c>
      <c r="I465" s="65" t="s">
        <v>219</v>
      </c>
      <c r="J465" s="10" t="str">
        <f t="array" ref="J465">INDEX(Honor!$H$2:$H800,MATCH($I465,Honor!$A$2:$A800,0))</f>
        <v>Dokumen</v>
      </c>
      <c r="K465" s="66">
        <f t="array" ref="K465">INDEX(Honor!$I$2:$I800,MATCH($I465,Honor!$A$2:$A800,0))</f>
        <v>65000</v>
      </c>
      <c r="L465" s="64">
        <v>3</v>
      </c>
      <c r="M465" s="10">
        <f t="shared" si="0"/>
        <v>195000</v>
      </c>
      <c r="O465" s="67">
        <f t="array" ref="O465">INDEX(Honor!$L$2:$L800,MATCH($I465,Honor!$A$2:$A800,0))</f>
        <v>45524</v>
      </c>
      <c r="P465" s="10">
        <f t="shared" si="1"/>
        <v>2024</v>
      </c>
      <c r="Q465" s="10">
        <f t="shared" si="2"/>
        <v>8</v>
      </c>
      <c r="R465" s="10" t="str">
        <f t="array" ref="R465">INDEX(Honor!$Q$2:$Q800,MATCH($I465,Honor!$A$2:$A800,0))</f>
        <v>SURVEI-PPL</v>
      </c>
      <c r="S465" s="10" t="str">
        <f t="shared" si="3"/>
        <v>610422050001-2024-8</v>
      </c>
      <c r="T465" s="10" t="str">
        <f t="shared" si="4"/>
        <v>610422050001-2024-8-SURVEI-PPL</v>
      </c>
      <c r="U465" s="64">
        <v>0</v>
      </c>
      <c r="V465" s="10" t="e">
        <f t="array" aca="1" ref="V465" ca="1">INDEX(Honor!$O$2:$O800,MATCH($I465,Honor!$A$2:$A800,0))</f>
        <v>#NAME?</v>
      </c>
      <c r="W465" s="67"/>
      <c r="X465" s="7" t="str">
        <f t="array" ref="X465">INDEX('Input Kegiatan'!$B$2:$B800,MATCH(B465,'Input Kegiatan'!$A$2:$A800,0))</f>
        <v>Survei Harga Perdesaan (SHPED24) Agustus</v>
      </c>
      <c r="Y465" s="7" t="s">
        <v>4408</v>
      </c>
      <c r="Z465" s="7" t="s">
        <v>4409</v>
      </c>
      <c r="AA465" s="68">
        <f t="shared" si="5"/>
        <v>45504</v>
      </c>
      <c r="AB465" s="68">
        <f t="shared" si="6"/>
        <v>45505</v>
      </c>
      <c r="AC465" s="68">
        <f t="shared" si="7"/>
        <v>45535</v>
      </c>
      <c r="AD465" s="68">
        <f t="shared" si="8"/>
        <v>45534</v>
      </c>
      <c r="AE465" s="68">
        <f t="shared" si="9"/>
        <v>45535</v>
      </c>
    </row>
    <row r="466" spans="1:31" ht="12.5">
      <c r="A466" s="125">
        <v>610422040030</v>
      </c>
      <c r="B466" s="65" t="s">
        <v>218</v>
      </c>
      <c r="D466" s="10">
        <f t="array" aca="1" ref="D466" ca="1">INDEX('Mitra per Bulan'!$M$2:$M800,MATCH(S466,'Mitra per Bulan'!$B$2:$B800,0))</f>
        <v>1</v>
      </c>
      <c r="E466" s="10" t="str">
        <f t="array" ref="E466">INDEX('Database Mitra'!$A$2:$A800,MATCH(A466,'Database Mitra'!$B$2:$B800,0))</f>
        <v>Syarifah Desti Pratiwi</v>
      </c>
      <c r="F466" s="64" t="s">
        <v>25</v>
      </c>
      <c r="G466" s="5" t="str">
        <f t="array" ref="G466">INDEX('Database Mitra'!$G$2:$G800,MATCH(A466,'Database Mitra'!$B$2:$B800,0))</f>
        <v>6102084512950002</v>
      </c>
      <c r="H466" s="64" t="s">
        <v>74</v>
      </c>
      <c r="I466" s="65" t="s">
        <v>220</v>
      </c>
      <c r="J466" s="10" t="str">
        <f t="array" ref="J466">INDEX(Honor!$H$2:$H800,MATCH($I466,Honor!$A$2:$A800,0))</f>
        <v>Dokumen</v>
      </c>
      <c r="K466" s="66">
        <f t="array" ref="K466">INDEX(Honor!$I$2:$I800,MATCH($I466,Honor!$A$2:$A800,0))</f>
        <v>55000</v>
      </c>
      <c r="L466" s="64">
        <v>1</v>
      </c>
      <c r="M466" s="10">
        <f t="shared" si="0"/>
        <v>55000</v>
      </c>
      <c r="O466" s="67">
        <f t="array" ref="O466">INDEX(Honor!$L$2:$L800,MATCH($I466,Honor!$A$2:$A800,0))</f>
        <v>45524</v>
      </c>
      <c r="P466" s="10">
        <f t="shared" si="1"/>
        <v>2024</v>
      </c>
      <c r="Q466" s="10">
        <f t="shared" si="2"/>
        <v>8</v>
      </c>
      <c r="R466" s="10" t="str">
        <f t="array" ref="R466">INDEX(Honor!$Q$2:$Q800,MATCH($I466,Honor!$A$2:$A800,0))</f>
        <v>SURVEI-PPL</v>
      </c>
      <c r="S466" s="10" t="str">
        <f t="shared" si="3"/>
        <v>610422040030-2024-8</v>
      </c>
      <c r="T466" s="10" t="str">
        <f t="shared" si="4"/>
        <v>610422040030-2024-8-SURVEI-PPL</v>
      </c>
      <c r="U466" s="64">
        <v>0</v>
      </c>
      <c r="V466" s="10" t="e">
        <f t="array" aca="1" ref="V466" ca="1">INDEX(Honor!$O$2:$O800,MATCH($I466,Honor!$A$2:$A800,0))</f>
        <v>#NAME?</v>
      </c>
      <c r="W466" s="67"/>
      <c r="X466" s="7" t="str">
        <f t="array" ref="X466">INDEX('Input Kegiatan'!$B$2:$B800,MATCH(B466,'Input Kegiatan'!$A$2:$A800,0))</f>
        <v>Survei Harga Perdesaan (SHPED24) Agustus</v>
      </c>
      <c r="Y466" s="7" t="s">
        <v>3241</v>
      </c>
      <c r="Z466" s="7" t="s">
        <v>3289</v>
      </c>
      <c r="AA466" s="68">
        <f t="shared" si="5"/>
        <v>45504</v>
      </c>
      <c r="AB466" s="68">
        <f t="shared" si="6"/>
        <v>45505</v>
      </c>
      <c r="AC466" s="68">
        <f t="shared" si="7"/>
        <v>45535</v>
      </c>
      <c r="AD466" s="68">
        <f t="shared" si="8"/>
        <v>45534</v>
      </c>
      <c r="AE466" s="68">
        <f t="shared" si="9"/>
        <v>45535</v>
      </c>
    </row>
    <row r="467" spans="1:31" ht="12.5">
      <c r="A467" s="125">
        <v>610422100124</v>
      </c>
      <c r="B467" s="65" t="s">
        <v>218</v>
      </c>
      <c r="D467" s="10">
        <f t="array" aca="1" ref="D467" ca="1">INDEX('Mitra per Bulan'!$M$2:$M800,MATCH(S467,'Mitra per Bulan'!$B$2:$B800,0))</f>
        <v>1</v>
      </c>
      <c r="E467" s="10" t="str">
        <f t="array" ref="E467">INDEX('Database Mitra'!$A$2:$A800,MATCH(A467,'Database Mitra'!$B$2:$B800,0))</f>
        <v>Prabowo</v>
      </c>
      <c r="F467" s="64" t="s">
        <v>25</v>
      </c>
      <c r="G467" s="5" t="str">
        <f t="array" ref="G467">INDEX('Database Mitra'!$G$2:$G800,MATCH(A467,'Database Mitra'!$B$2:$B800,0))</f>
        <v>6171010108790015</v>
      </c>
      <c r="H467" s="64" t="s">
        <v>74</v>
      </c>
      <c r="I467" s="65" t="s">
        <v>220</v>
      </c>
      <c r="J467" s="10" t="str">
        <f t="array" ref="J467">INDEX(Honor!$H$2:$H800,MATCH($I467,Honor!$A$2:$A800,0))</f>
        <v>Dokumen</v>
      </c>
      <c r="K467" s="66">
        <f t="array" ref="K467">INDEX(Honor!$I$2:$I800,MATCH($I467,Honor!$A$2:$A800,0))</f>
        <v>55000</v>
      </c>
      <c r="L467" s="64">
        <v>3</v>
      </c>
      <c r="M467" s="10">
        <f t="shared" si="0"/>
        <v>165000</v>
      </c>
      <c r="O467" s="67">
        <f t="array" ref="O467">INDEX(Honor!$L$2:$L800,MATCH($I467,Honor!$A$2:$A800,0))</f>
        <v>45524</v>
      </c>
      <c r="P467" s="10">
        <f t="shared" si="1"/>
        <v>2024</v>
      </c>
      <c r="Q467" s="10">
        <f t="shared" si="2"/>
        <v>8</v>
      </c>
      <c r="R467" s="10" t="str">
        <f t="array" ref="R467">INDEX(Honor!$Q$2:$Q800,MATCH($I467,Honor!$A$2:$A800,0))</f>
        <v>SURVEI-PPL</v>
      </c>
      <c r="S467" s="10" t="str">
        <f t="shared" si="3"/>
        <v>610422100124-2024-8</v>
      </c>
      <c r="T467" s="10" t="str">
        <f t="shared" si="4"/>
        <v>610422100124-2024-8-SURVEI-PPL</v>
      </c>
      <c r="U467" s="64">
        <v>0</v>
      </c>
      <c r="V467" s="10" t="e">
        <f t="array" aca="1" ref="V467" ca="1">INDEX(Honor!$O$2:$O800,MATCH($I467,Honor!$A$2:$A800,0))</f>
        <v>#NAME?</v>
      </c>
      <c r="W467" s="67"/>
      <c r="X467" s="7" t="str">
        <f t="array" ref="X467">INDEX('Input Kegiatan'!$B$2:$B800,MATCH(B467,'Input Kegiatan'!$A$2:$A800,0))</f>
        <v>Survei Harga Perdesaan (SHPED24) Agustus</v>
      </c>
      <c r="Y467" s="7" t="s">
        <v>1921</v>
      </c>
      <c r="Z467" s="7" t="s">
        <v>2140</v>
      </c>
      <c r="AA467" s="68">
        <f t="shared" si="5"/>
        <v>45504</v>
      </c>
      <c r="AB467" s="68">
        <f t="shared" si="6"/>
        <v>45505</v>
      </c>
      <c r="AC467" s="68">
        <f t="shared" si="7"/>
        <v>45535</v>
      </c>
      <c r="AD467" s="68">
        <f t="shared" si="8"/>
        <v>45534</v>
      </c>
      <c r="AE467" s="68">
        <f t="shared" si="9"/>
        <v>45535</v>
      </c>
    </row>
    <row r="468" spans="1:31" ht="12.5">
      <c r="A468" s="125">
        <v>610422100244</v>
      </c>
      <c r="B468" s="65" t="s">
        <v>218</v>
      </c>
      <c r="D468" s="10">
        <f t="array" aca="1" ref="D468" ca="1">INDEX('Mitra per Bulan'!$M$2:$M800,MATCH(S468,'Mitra per Bulan'!$B$2:$B800,0))</f>
        <v>1</v>
      </c>
      <c r="E468" s="10" t="str">
        <f t="array" ref="E468">INDEX('Database Mitra'!$A$2:$A800,MATCH(A468,'Database Mitra'!$B$2:$B800,0))</f>
        <v>Sugianto</v>
      </c>
      <c r="F468" s="64" t="s">
        <v>25</v>
      </c>
      <c r="G468" s="5" t="str">
        <f t="array" ref="G468">INDEX('Database Mitra'!$G$2:$G800,MATCH(A468,'Database Mitra'!$B$2:$B800,0))</f>
        <v>6102171003900002</v>
      </c>
      <c r="H468" s="64" t="s">
        <v>74</v>
      </c>
      <c r="I468" s="65" t="s">
        <v>220</v>
      </c>
      <c r="J468" s="10" t="str">
        <f t="array" ref="J468">INDEX(Honor!$H$2:$H800,MATCH($I468,Honor!$A$2:$A800,0))</f>
        <v>Dokumen</v>
      </c>
      <c r="K468" s="66">
        <f t="array" ref="K468">INDEX(Honor!$I$2:$I800,MATCH($I468,Honor!$A$2:$A800,0))</f>
        <v>55000</v>
      </c>
      <c r="L468" s="64">
        <v>2</v>
      </c>
      <c r="M468" s="10">
        <f t="shared" si="0"/>
        <v>110000</v>
      </c>
      <c r="O468" s="67">
        <f t="array" ref="O468">INDEX(Honor!$L$2:$L800,MATCH($I468,Honor!$A$2:$A800,0))</f>
        <v>45524</v>
      </c>
      <c r="P468" s="10">
        <f t="shared" si="1"/>
        <v>2024</v>
      </c>
      <c r="Q468" s="10">
        <f t="shared" si="2"/>
        <v>8</v>
      </c>
      <c r="R468" s="10" t="str">
        <f t="array" ref="R468">INDEX(Honor!$Q$2:$Q800,MATCH($I468,Honor!$A$2:$A800,0))</f>
        <v>SURVEI-PPL</v>
      </c>
      <c r="S468" s="10" t="str">
        <f t="shared" si="3"/>
        <v>610422100244-2024-8</v>
      </c>
      <c r="T468" s="10" t="str">
        <f t="shared" si="4"/>
        <v>610422100244-2024-8-SURVEI-PPL</v>
      </c>
      <c r="U468" s="64">
        <v>0</v>
      </c>
      <c r="V468" s="10" t="e">
        <f t="array" aca="1" ref="V468" ca="1">INDEX(Honor!$O$2:$O800,MATCH($I468,Honor!$A$2:$A800,0))</f>
        <v>#NAME?</v>
      </c>
      <c r="W468" s="67"/>
      <c r="X468" s="7" t="str">
        <f t="array" ref="X468">INDEX('Input Kegiatan'!$B$2:$B800,MATCH(B468,'Input Kegiatan'!$A$2:$A800,0))</f>
        <v>Survei Harga Perdesaan (SHPED24) Agustus</v>
      </c>
      <c r="Y468" s="7" t="s">
        <v>5741</v>
      </c>
      <c r="Z468" s="7" t="s">
        <v>5796</v>
      </c>
      <c r="AA468" s="68">
        <f t="shared" si="5"/>
        <v>45504</v>
      </c>
      <c r="AB468" s="68">
        <f t="shared" si="6"/>
        <v>45505</v>
      </c>
      <c r="AC468" s="68">
        <f t="shared" si="7"/>
        <v>45535</v>
      </c>
      <c r="AD468" s="68">
        <f t="shared" si="8"/>
        <v>45534</v>
      </c>
      <c r="AE468" s="68">
        <f t="shared" si="9"/>
        <v>45535</v>
      </c>
    </row>
    <row r="469" spans="1:31" ht="12.5">
      <c r="A469" s="125">
        <v>610422020016</v>
      </c>
      <c r="B469" s="65" t="s">
        <v>218</v>
      </c>
      <c r="D469" s="10">
        <f t="array" aca="1" ref="D469" ca="1">INDEX('Mitra per Bulan'!$M$2:$M800,MATCH(S469,'Mitra per Bulan'!$B$2:$B800,0))</f>
        <v>1</v>
      </c>
      <c r="E469" s="10" t="str">
        <f t="array" ref="E469">INDEX('Database Mitra'!$A$2:$A800,MATCH(A469,'Database Mitra'!$B$2:$B800,0))</f>
        <v>Abdul Aziz</v>
      </c>
      <c r="F469" s="64" t="s">
        <v>25</v>
      </c>
      <c r="G469" s="5" t="str">
        <f t="array" ref="G469">INDEX('Database Mitra'!$G$2:$G800,MATCH(A469,'Database Mitra'!$B$2:$B800,0))</f>
        <v>6102061507950006</v>
      </c>
      <c r="H469" s="64" t="s">
        <v>74</v>
      </c>
      <c r="I469" s="65" t="s">
        <v>220</v>
      </c>
      <c r="J469" s="10" t="str">
        <f t="array" ref="J469">INDEX(Honor!$H$2:$H800,MATCH($I469,Honor!$A$2:$A800,0))</f>
        <v>Dokumen</v>
      </c>
      <c r="K469" s="66">
        <f t="array" ref="K469">INDEX(Honor!$I$2:$I800,MATCH($I469,Honor!$A$2:$A800,0))</f>
        <v>55000</v>
      </c>
      <c r="L469" s="64">
        <v>3</v>
      </c>
      <c r="M469" s="10">
        <f t="shared" si="0"/>
        <v>165000</v>
      </c>
      <c r="O469" s="67">
        <f t="array" ref="O469">INDEX(Honor!$L$2:$L800,MATCH($I469,Honor!$A$2:$A800,0))</f>
        <v>45524</v>
      </c>
      <c r="P469" s="10">
        <f t="shared" si="1"/>
        <v>2024</v>
      </c>
      <c r="Q469" s="10">
        <f t="shared" si="2"/>
        <v>8</v>
      </c>
      <c r="R469" s="10" t="str">
        <f t="array" ref="R469">INDEX(Honor!$Q$2:$Q800,MATCH($I469,Honor!$A$2:$A800,0))</f>
        <v>SURVEI-PPL</v>
      </c>
      <c r="S469" s="10" t="str">
        <f t="shared" si="3"/>
        <v>610422020016-2024-8</v>
      </c>
      <c r="T469" s="10" t="str">
        <f t="shared" si="4"/>
        <v>610422020016-2024-8-SURVEI-PPL</v>
      </c>
      <c r="U469" s="64">
        <v>0</v>
      </c>
      <c r="V469" s="10" t="e">
        <f t="array" aca="1" ref="V469" ca="1">INDEX(Honor!$O$2:$O800,MATCH($I469,Honor!$A$2:$A800,0))</f>
        <v>#NAME?</v>
      </c>
      <c r="W469" s="67"/>
      <c r="X469" s="7" t="str">
        <f t="array" ref="X469">INDEX('Input Kegiatan'!$B$2:$B800,MATCH(B469,'Input Kegiatan'!$A$2:$A800,0))</f>
        <v>Survei Harga Perdesaan (SHPED24) Agustus</v>
      </c>
      <c r="Y469" s="7" t="s">
        <v>5534</v>
      </c>
      <c r="Z469" s="7" t="s">
        <v>5535</v>
      </c>
      <c r="AA469" s="68">
        <f t="shared" si="5"/>
        <v>45504</v>
      </c>
      <c r="AB469" s="68">
        <f t="shared" si="6"/>
        <v>45505</v>
      </c>
      <c r="AC469" s="68">
        <f t="shared" si="7"/>
        <v>45535</v>
      </c>
      <c r="AD469" s="68">
        <f t="shared" si="8"/>
        <v>45534</v>
      </c>
      <c r="AE469" s="68">
        <f t="shared" si="9"/>
        <v>45535</v>
      </c>
    </row>
    <row r="470" spans="1:31" ht="12.5">
      <c r="A470" s="125">
        <v>610422100016</v>
      </c>
      <c r="B470" s="65" t="s">
        <v>218</v>
      </c>
      <c r="D470" s="10">
        <f t="array" aca="1" ref="D470" ca="1">INDEX('Mitra per Bulan'!$M$2:$M800,MATCH(S470,'Mitra per Bulan'!$B$2:$B800,0))</f>
        <v>1</v>
      </c>
      <c r="E470" s="10" t="str">
        <f t="array" ref="E470">INDEX('Database Mitra'!$A$2:$A800,MATCH(A470,'Database Mitra'!$B$2:$B800,0))</f>
        <v>Amalia Faisya</v>
      </c>
      <c r="F470" s="64" t="s">
        <v>25</v>
      </c>
      <c r="G470" s="5" t="str">
        <f t="array" ref="G470">INDEX('Database Mitra'!$G$2:$G800,MATCH(A470,'Database Mitra'!$B$2:$B800,0))</f>
        <v>6102124210010005</v>
      </c>
      <c r="H470" s="64" t="s">
        <v>74</v>
      </c>
      <c r="I470" s="65" t="s">
        <v>220</v>
      </c>
      <c r="J470" s="10" t="str">
        <f t="array" ref="J470">INDEX(Honor!$H$2:$H800,MATCH($I470,Honor!$A$2:$A800,0))</f>
        <v>Dokumen</v>
      </c>
      <c r="K470" s="66">
        <f t="array" ref="K470">INDEX(Honor!$I$2:$I800,MATCH($I470,Honor!$A$2:$A800,0))</f>
        <v>55000</v>
      </c>
      <c r="L470" s="64">
        <v>1</v>
      </c>
      <c r="M470" s="10">
        <f t="shared" si="0"/>
        <v>55000</v>
      </c>
      <c r="O470" s="67">
        <f t="array" ref="O470">INDEX(Honor!$L$2:$L800,MATCH($I470,Honor!$A$2:$A800,0))</f>
        <v>45524</v>
      </c>
      <c r="P470" s="10">
        <f t="shared" si="1"/>
        <v>2024</v>
      </c>
      <c r="Q470" s="10">
        <f t="shared" si="2"/>
        <v>8</v>
      </c>
      <c r="R470" s="10" t="str">
        <f t="array" ref="R470">INDEX(Honor!$Q$2:$Q800,MATCH($I470,Honor!$A$2:$A800,0))</f>
        <v>SURVEI-PPL</v>
      </c>
      <c r="S470" s="10" t="str">
        <f t="shared" si="3"/>
        <v>610422100016-2024-8</v>
      </c>
      <c r="T470" s="10" t="str">
        <f t="shared" si="4"/>
        <v>610422100016-2024-8-SURVEI-PPL</v>
      </c>
      <c r="U470" s="64">
        <v>0</v>
      </c>
      <c r="V470" s="10" t="e">
        <f t="array" aca="1" ref="V470" ca="1">INDEX(Honor!$O$2:$O800,MATCH($I470,Honor!$A$2:$A800,0))</f>
        <v>#NAME?</v>
      </c>
      <c r="W470" s="67"/>
      <c r="X470" s="7" t="str">
        <f t="array" ref="X470">INDEX('Input Kegiatan'!$B$2:$B800,MATCH(B470,'Input Kegiatan'!$A$2:$A800,0))</f>
        <v>Survei Harga Perdesaan (SHPED24) Agustus</v>
      </c>
      <c r="Y470" s="7" t="s">
        <v>5250</v>
      </c>
      <c r="Z470" s="7" t="s">
        <v>5365</v>
      </c>
      <c r="AA470" s="68">
        <f t="shared" si="5"/>
        <v>45504</v>
      </c>
      <c r="AB470" s="68">
        <f t="shared" si="6"/>
        <v>45505</v>
      </c>
      <c r="AC470" s="68">
        <f t="shared" si="7"/>
        <v>45535</v>
      </c>
      <c r="AD470" s="68">
        <f t="shared" si="8"/>
        <v>45534</v>
      </c>
      <c r="AE470" s="68">
        <f t="shared" si="9"/>
        <v>45535</v>
      </c>
    </row>
    <row r="471" spans="1:31" ht="12.5">
      <c r="A471" s="125">
        <v>610422020048</v>
      </c>
      <c r="B471" s="65" t="s">
        <v>218</v>
      </c>
      <c r="D471" s="10">
        <f t="array" aca="1" ref="D471" ca="1">INDEX('Mitra per Bulan'!$M$2:$M800,MATCH(S471,'Mitra per Bulan'!$B$2:$B800,0))</f>
        <v>1</v>
      </c>
      <c r="E471" s="10" t="str">
        <f t="array" ref="E471">INDEX('Database Mitra'!$A$2:$A800,MATCH(A471,'Database Mitra'!$B$2:$B800,0))</f>
        <v>Herri Gustaman</v>
      </c>
      <c r="F471" s="64" t="s">
        <v>25</v>
      </c>
      <c r="G471" s="5" t="str">
        <f t="array" ref="G471">INDEX('Database Mitra'!$G$2:$G800,MATCH(A471,'Database Mitra'!$B$2:$B800,0))</f>
        <v>6102072503800001</v>
      </c>
      <c r="H471" s="64" t="s">
        <v>74</v>
      </c>
      <c r="I471" s="65" t="s">
        <v>220</v>
      </c>
      <c r="J471" s="10" t="str">
        <f t="array" ref="J471">INDEX(Honor!$H$2:$H800,MATCH($I471,Honor!$A$2:$A800,0))</f>
        <v>Dokumen</v>
      </c>
      <c r="K471" s="66">
        <f t="array" ref="K471">INDEX(Honor!$I$2:$I800,MATCH($I471,Honor!$A$2:$A800,0))</f>
        <v>55000</v>
      </c>
      <c r="L471" s="64">
        <v>3</v>
      </c>
      <c r="M471" s="10">
        <f t="shared" si="0"/>
        <v>165000</v>
      </c>
      <c r="O471" s="67">
        <f t="array" ref="O471">INDEX(Honor!$L$2:$L800,MATCH($I471,Honor!$A$2:$A800,0))</f>
        <v>45524</v>
      </c>
      <c r="P471" s="10">
        <f t="shared" si="1"/>
        <v>2024</v>
      </c>
      <c r="Q471" s="10">
        <f t="shared" si="2"/>
        <v>8</v>
      </c>
      <c r="R471" s="10" t="str">
        <f t="array" ref="R471">INDEX(Honor!$Q$2:$Q800,MATCH($I471,Honor!$A$2:$A800,0))</f>
        <v>SURVEI-PPL</v>
      </c>
      <c r="S471" s="10" t="str">
        <f t="shared" si="3"/>
        <v>610422020048-2024-8</v>
      </c>
      <c r="T471" s="10" t="str">
        <f t="shared" si="4"/>
        <v>610422020048-2024-8-SURVEI-PPL</v>
      </c>
      <c r="U471" s="64">
        <v>0</v>
      </c>
      <c r="V471" s="10" t="e">
        <f t="array" aca="1" ref="V471" ca="1">INDEX(Honor!$O$2:$O800,MATCH($I471,Honor!$A$2:$A800,0))</f>
        <v>#NAME?</v>
      </c>
      <c r="W471" s="67"/>
      <c r="X471" s="7" t="str">
        <f t="array" ref="X471">INDEX('Input Kegiatan'!$B$2:$B800,MATCH(B471,'Input Kegiatan'!$A$2:$A800,0))</f>
        <v>Survei Harga Perdesaan (SHPED24) Agustus</v>
      </c>
      <c r="Y471" s="7" t="s">
        <v>4931</v>
      </c>
      <c r="Z471" s="7" t="s">
        <v>5171</v>
      </c>
      <c r="AA471" s="68">
        <f t="shared" si="5"/>
        <v>45504</v>
      </c>
      <c r="AB471" s="68">
        <f t="shared" si="6"/>
        <v>45505</v>
      </c>
      <c r="AC471" s="68">
        <f t="shared" si="7"/>
        <v>45535</v>
      </c>
      <c r="AD471" s="68">
        <f t="shared" si="8"/>
        <v>45534</v>
      </c>
      <c r="AE471" s="68">
        <f t="shared" si="9"/>
        <v>45535</v>
      </c>
    </row>
    <row r="472" spans="1:31" ht="12.5">
      <c r="A472" s="125">
        <v>610422040029</v>
      </c>
      <c r="B472" s="65" t="s">
        <v>218</v>
      </c>
      <c r="D472" s="10">
        <f t="array" aca="1" ref="D472" ca="1">INDEX('Mitra per Bulan'!$M$2:$M800,MATCH(S472,'Mitra per Bulan'!$B$2:$B800,0))</f>
        <v>1</v>
      </c>
      <c r="E472" s="10" t="str">
        <f t="array" ref="E472">INDEX('Database Mitra'!$A$2:$A800,MATCH(A472,'Database Mitra'!$B$2:$B800,0))</f>
        <v>Zaini</v>
      </c>
      <c r="F472" s="64" t="s">
        <v>25</v>
      </c>
      <c r="G472" s="5" t="str">
        <f t="array" ref="G472">INDEX('Database Mitra'!$G$2:$G800,MATCH(A472,'Database Mitra'!$B$2:$B800,0))</f>
        <v>6102010607870002</v>
      </c>
      <c r="H472" s="64" t="s">
        <v>74</v>
      </c>
      <c r="I472" s="65" t="s">
        <v>220</v>
      </c>
      <c r="J472" s="10" t="str">
        <f t="array" ref="J472">INDEX(Honor!$H$2:$H800,MATCH($I472,Honor!$A$2:$A800,0))</f>
        <v>Dokumen</v>
      </c>
      <c r="K472" s="66">
        <f t="array" ref="K472">INDEX(Honor!$I$2:$I800,MATCH($I472,Honor!$A$2:$A800,0))</f>
        <v>55000</v>
      </c>
      <c r="L472" s="64">
        <v>4</v>
      </c>
      <c r="M472" s="10">
        <f t="shared" si="0"/>
        <v>220000</v>
      </c>
      <c r="O472" s="67">
        <f t="array" ref="O472">INDEX(Honor!$L$2:$L800,MATCH($I472,Honor!$A$2:$A800,0))</f>
        <v>45524</v>
      </c>
      <c r="P472" s="10">
        <f t="shared" si="1"/>
        <v>2024</v>
      </c>
      <c r="Q472" s="10">
        <f t="shared" si="2"/>
        <v>8</v>
      </c>
      <c r="R472" s="10" t="str">
        <f t="array" ref="R472">INDEX(Honor!$Q$2:$Q800,MATCH($I472,Honor!$A$2:$A800,0))</f>
        <v>SURVEI-PPL</v>
      </c>
      <c r="S472" s="10" t="str">
        <f t="shared" si="3"/>
        <v>610422040029-2024-8</v>
      </c>
      <c r="T472" s="10" t="str">
        <f t="shared" si="4"/>
        <v>610422040029-2024-8-SURVEI-PPL</v>
      </c>
      <c r="U472" s="64">
        <v>0</v>
      </c>
      <c r="V472" s="10" t="e">
        <f t="array" aca="1" ref="V472" ca="1">INDEX(Honor!$O$2:$O800,MATCH($I472,Honor!$A$2:$A800,0))</f>
        <v>#NAME?</v>
      </c>
      <c r="W472" s="67"/>
      <c r="X472" s="7" t="str">
        <f t="array" ref="X472">INDEX('Input Kegiatan'!$B$2:$B800,MATCH(B472,'Input Kegiatan'!$A$2:$A800,0))</f>
        <v>Survei Harga Perdesaan (SHPED24) Agustus</v>
      </c>
      <c r="Y472" s="7" t="s">
        <v>4572</v>
      </c>
      <c r="Z472" s="7" t="s">
        <v>4619</v>
      </c>
      <c r="AA472" s="68">
        <f t="shared" si="5"/>
        <v>45504</v>
      </c>
      <c r="AB472" s="68">
        <f t="shared" si="6"/>
        <v>45505</v>
      </c>
      <c r="AC472" s="68">
        <f t="shared" si="7"/>
        <v>45535</v>
      </c>
      <c r="AD472" s="68">
        <f t="shared" si="8"/>
        <v>45534</v>
      </c>
      <c r="AE472" s="68">
        <f t="shared" si="9"/>
        <v>45535</v>
      </c>
    </row>
    <row r="473" spans="1:31" ht="12.5">
      <c r="A473" s="125">
        <v>610422050001</v>
      </c>
      <c r="B473" s="65" t="s">
        <v>218</v>
      </c>
      <c r="D473" s="10">
        <f t="array" aca="1" ref="D473" ca="1">INDEX('Mitra per Bulan'!$M$2:$M800,MATCH(S473,'Mitra per Bulan'!$B$2:$B800,0))</f>
        <v>1</v>
      </c>
      <c r="E473" s="10" t="str">
        <f t="array" ref="E473">INDEX('Database Mitra'!$A$2:$A800,MATCH(A473,'Database Mitra'!$B$2:$B800,0))</f>
        <v>Evi Juniarty</v>
      </c>
      <c r="F473" s="64" t="s">
        <v>25</v>
      </c>
      <c r="G473" s="5" t="str">
        <f t="array" ref="G473">INDEX('Database Mitra'!$G$2:$G800,MATCH(A473,'Database Mitra'!$B$2:$B800,0))</f>
        <v>6102165101840001</v>
      </c>
      <c r="H473" s="64" t="s">
        <v>74</v>
      </c>
      <c r="I473" s="65" t="s">
        <v>220</v>
      </c>
      <c r="J473" s="10" t="str">
        <f t="array" ref="J473">INDEX(Honor!$H$2:$H800,MATCH($I473,Honor!$A$2:$A800,0))</f>
        <v>Dokumen</v>
      </c>
      <c r="K473" s="66">
        <f t="array" ref="K473">INDEX(Honor!$I$2:$I800,MATCH($I473,Honor!$A$2:$A800,0))</f>
        <v>55000</v>
      </c>
      <c r="L473" s="64">
        <v>1</v>
      </c>
      <c r="M473" s="10">
        <f t="shared" si="0"/>
        <v>55000</v>
      </c>
      <c r="O473" s="67">
        <f t="array" ref="O473">INDEX(Honor!$L$2:$L800,MATCH($I473,Honor!$A$2:$A800,0))</f>
        <v>45524</v>
      </c>
      <c r="P473" s="10">
        <f t="shared" si="1"/>
        <v>2024</v>
      </c>
      <c r="Q473" s="10">
        <f t="shared" si="2"/>
        <v>8</v>
      </c>
      <c r="R473" s="10" t="str">
        <f t="array" ref="R473">INDEX(Honor!$Q$2:$Q800,MATCH($I473,Honor!$A$2:$A800,0))</f>
        <v>SURVEI-PPL</v>
      </c>
      <c r="S473" s="10" t="str">
        <f t="shared" si="3"/>
        <v>610422050001-2024-8</v>
      </c>
      <c r="T473" s="10" t="str">
        <f t="shared" si="4"/>
        <v>610422050001-2024-8-SURVEI-PPL</v>
      </c>
      <c r="U473" s="64">
        <v>0</v>
      </c>
      <c r="V473" s="10" t="e">
        <f t="array" aca="1" ref="V473" ca="1">INDEX(Honor!$O$2:$O800,MATCH($I473,Honor!$A$2:$A800,0))</f>
        <v>#NAME?</v>
      </c>
      <c r="W473" s="67"/>
      <c r="X473" s="7" t="str">
        <f t="array" ref="X473">INDEX('Input Kegiatan'!$B$2:$B800,MATCH(B473,'Input Kegiatan'!$A$2:$A800,0))</f>
        <v>Survei Harga Perdesaan (SHPED24) Agustus</v>
      </c>
      <c r="Y473" s="7" t="s">
        <v>4408</v>
      </c>
      <c r="Z473" s="7" t="s">
        <v>4409</v>
      </c>
      <c r="AA473" s="68">
        <f t="shared" si="5"/>
        <v>45504</v>
      </c>
      <c r="AB473" s="68">
        <f t="shared" si="6"/>
        <v>45505</v>
      </c>
      <c r="AC473" s="68">
        <f t="shared" si="7"/>
        <v>45535</v>
      </c>
      <c r="AD473" s="68">
        <f t="shared" si="8"/>
        <v>45534</v>
      </c>
      <c r="AE473" s="68">
        <f t="shared" si="9"/>
        <v>45535</v>
      </c>
    </row>
    <row r="474" spans="1:31" ht="12.5">
      <c r="A474" s="125">
        <v>610422100124</v>
      </c>
      <c r="B474" s="65" t="s">
        <v>221</v>
      </c>
      <c r="D474" s="10">
        <f t="array" aca="1" ref="D474" ca="1">INDEX('Mitra per Bulan'!$M$2:$M800,MATCH(S474,'Mitra per Bulan'!$B$2:$B800,0))</f>
        <v>1</v>
      </c>
      <c r="E474" s="10" t="str">
        <f t="array" ref="E474">INDEX('Database Mitra'!$A$2:$A800,MATCH(A474,'Database Mitra'!$B$2:$B800,0))</f>
        <v>Prabowo</v>
      </c>
      <c r="F474" s="64" t="s">
        <v>25</v>
      </c>
      <c r="G474" s="5" t="str">
        <f t="array" ref="G474">INDEX('Database Mitra'!$G$2:$G800,MATCH(A474,'Database Mitra'!$B$2:$B800,0))</f>
        <v>6171010108790015</v>
      </c>
      <c r="H474" s="64" t="s">
        <v>67</v>
      </c>
      <c r="I474" s="65" t="s">
        <v>222</v>
      </c>
      <c r="J474" s="10" t="str">
        <f t="array" ref="J474">INDEX(Honor!$H$2:$H800,MATCH($I474,Honor!$A$2:$A800,0))</f>
        <v>Dokumen</v>
      </c>
      <c r="K474" s="66">
        <f t="array" ref="K474">INDEX(Honor!$I$2:$I800,MATCH($I474,Honor!$A$2:$A800,0))</f>
        <v>55000</v>
      </c>
      <c r="L474" s="64">
        <v>2</v>
      </c>
      <c r="M474" s="10">
        <f t="shared" si="0"/>
        <v>110000</v>
      </c>
      <c r="O474" s="67">
        <f t="array" ref="O474">INDEX(Honor!$L$2:$L800,MATCH($I474,Honor!$A$2:$A800,0))</f>
        <v>45524</v>
      </c>
      <c r="P474" s="10">
        <f t="shared" si="1"/>
        <v>2024</v>
      </c>
      <c r="Q474" s="10">
        <f t="shared" si="2"/>
        <v>8</v>
      </c>
      <c r="R474" s="10" t="str">
        <f t="array" ref="R474">INDEX(Honor!$Q$2:$Q800,MATCH($I474,Honor!$A$2:$A800,0))</f>
        <v>SURVEI-PPL</v>
      </c>
      <c r="S474" s="10" t="str">
        <f t="shared" si="3"/>
        <v>610422100124-2024-8</v>
      </c>
      <c r="T474" s="10" t="str">
        <f t="shared" si="4"/>
        <v>610422100124-2024-8-SURVEI-PPL</v>
      </c>
      <c r="U474" s="64">
        <v>0</v>
      </c>
      <c r="V474" s="10" t="e">
        <f t="array" aca="1" ref="V474" ca="1">INDEX(Honor!$O$2:$O800,MATCH($I474,Honor!$A$2:$A800,0))</f>
        <v>#NAME?</v>
      </c>
      <c r="W474" s="67"/>
      <c r="X474" s="7" t="str">
        <f t="array" ref="X474">INDEX('Input Kegiatan'!$B$2:$B800,MATCH(B474,'Input Kegiatan'!$A$2:$A800,0))</f>
        <v>Survei Harga Produsen Beras di Penggilingan 2024 (HPBG24) Agustus</v>
      </c>
      <c r="Y474" s="7" t="s">
        <v>1921</v>
      </c>
      <c r="Z474" s="7" t="s">
        <v>2140</v>
      </c>
      <c r="AA474" s="68">
        <f t="shared" si="5"/>
        <v>45504</v>
      </c>
      <c r="AB474" s="68">
        <f t="shared" si="6"/>
        <v>45505</v>
      </c>
      <c r="AC474" s="68">
        <f t="shared" si="7"/>
        <v>45535</v>
      </c>
      <c r="AD474" s="68">
        <f t="shared" si="8"/>
        <v>45534</v>
      </c>
      <c r="AE474" s="68">
        <f t="shared" si="9"/>
        <v>45535</v>
      </c>
    </row>
    <row r="475" spans="1:31" ht="12.5">
      <c r="A475" s="125">
        <v>610422100244</v>
      </c>
      <c r="B475" s="65" t="s">
        <v>221</v>
      </c>
      <c r="D475" s="10">
        <f t="array" aca="1" ref="D475" ca="1">INDEX('Mitra per Bulan'!$M$2:$M800,MATCH(S475,'Mitra per Bulan'!$B$2:$B800,0))</f>
        <v>1</v>
      </c>
      <c r="E475" s="10" t="str">
        <f t="array" ref="E475">INDEX('Database Mitra'!$A$2:$A800,MATCH(A475,'Database Mitra'!$B$2:$B800,0))</f>
        <v>Sugianto</v>
      </c>
      <c r="F475" s="64" t="s">
        <v>25</v>
      </c>
      <c r="G475" s="5" t="str">
        <f t="array" ref="G475">INDEX('Database Mitra'!$G$2:$G800,MATCH(A475,'Database Mitra'!$B$2:$B800,0))</f>
        <v>6102171003900002</v>
      </c>
      <c r="H475" s="64" t="s">
        <v>67</v>
      </c>
      <c r="I475" s="65" t="s">
        <v>222</v>
      </c>
      <c r="J475" s="10" t="str">
        <f t="array" ref="J475">INDEX(Honor!$H$2:$H800,MATCH($I475,Honor!$A$2:$A800,0))</f>
        <v>Dokumen</v>
      </c>
      <c r="K475" s="66">
        <f t="array" ref="K475">INDEX(Honor!$I$2:$I800,MATCH($I475,Honor!$A$2:$A800,0))</f>
        <v>55000</v>
      </c>
      <c r="L475" s="64">
        <v>2</v>
      </c>
      <c r="M475" s="10">
        <f t="shared" si="0"/>
        <v>110000</v>
      </c>
      <c r="O475" s="67">
        <f t="array" ref="O475">INDEX(Honor!$L$2:$L800,MATCH($I475,Honor!$A$2:$A800,0))</f>
        <v>45524</v>
      </c>
      <c r="P475" s="10">
        <f t="shared" si="1"/>
        <v>2024</v>
      </c>
      <c r="Q475" s="10">
        <f t="shared" si="2"/>
        <v>8</v>
      </c>
      <c r="R475" s="10" t="str">
        <f t="array" ref="R475">INDEX(Honor!$Q$2:$Q800,MATCH($I475,Honor!$A$2:$A800,0))</f>
        <v>SURVEI-PPL</v>
      </c>
      <c r="S475" s="10" t="str">
        <f t="shared" si="3"/>
        <v>610422100244-2024-8</v>
      </c>
      <c r="T475" s="10" t="str">
        <f t="shared" si="4"/>
        <v>610422100244-2024-8-SURVEI-PPL</v>
      </c>
      <c r="U475" s="64">
        <v>0</v>
      </c>
      <c r="V475" s="10" t="e">
        <f t="array" aca="1" ref="V475" ca="1">INDEX(Honor!$O$2:$O800,MATCH($I475,Honor!$A$2:$A800,0))</f>
        <v>#NAME?</v>
      </c>
      <c r="W475" s="67"/>
      <c r="X475" s="7" t="str">
        <f t="array" ref="X475">INDEX('Input Kegiatan'!$B$2:$B800,MATCH(B475,'Input Kegiatan'!$A$2:$A800,0))</f>
        <v>Survei Harga Produsen Beras di Penggilingan 2024 (HPBG24) Agustus</v>
      </c>
      <c r="Y475" s="7" t="s">
        <v>5741</v>
      </c>
      <c r="Z475" s="7" t="s">
        <v>5796</v>
      </c>
      <c r="AA475" s="68">
        <f t="shared" si="5"/>
        <v>45504</v>
      </c>
      <c r="AB475" s="68">
        <f t="shared" si="6"/>
        <v>45505</v>
      </c>
      <c r="AC475" s="68">
        <f t="shared" si="7"/>
        <v>45535</v>
      </c>
      <c r="AD475" s="68">
        <f t="shared" si="8"/>
        <v>45534</v>
      </c>
      <c r="AE475" s="68">
        <f t="shared" si="9"/>
        <v>45535</v>
      </c>
    </row>
    <row r="476" spans="1:31" ht="12.5">
      <c r="A476" s="125">
        <v>610422100165</v>
      </c>
      <c r="B476" s="65" t="s">
        <v>221</v>
      </c>
      <c r="D476" s="10">
        <f t="array" aca="1" ref="D476" ca="1">INDEX('Mitra per Bulan'!$M$2:$M800,MATCH(S476,'Mitra per Bulan'!$B$2:$B800,0))</f>
        <v>1</v>
      </c>
      <c r="E476" s="10" t="str">
        <f t="array" ref="E476">INDEX('Database Mitra'!$A$2:$A800,MATCH(A476,'Database Mitra'!$B$2:$B800,0))</f>
        <v>Yanti</v>
      </c>
      <c r="F476" s="64" t="s">
        <v>25</v>
      </c>
      <c r="G476" s="5" t="str">
        <f t="array" ref="G476">INDEX('Database Mitra'!$G$2:$G800,MATCH(A476,'Database Mitra'!$B$2:$B800,0))</f>
        <v>6102074803980002</v>
      </c>
      <c r="H476" s="64" t="s">
        <v>67</v>
      </c>
      <c r="I476" s="65" t="s">
        <v>222</v>
      </c>
      <c r="J476" s="10" t="str">
        <f t="array" ref="J476">INDEX(Honor!$H$2:$H800,MATCH($I476,Honor!$A$2:$A800,0))</f>
        <v>Dokumen</v>
      </c>
      <c r="K476" s="66">
        <f t="array" ref="K476">INDEX(Honor!$I$2:$I800,MATCH($I476,Honor!$A$2:$A800,0))</f>
        <v>55000</v>
      </c>
      <c r="L476" s="64">
        <v>2</v>
      </c>
      <c r="M476" s="10">
        <f t="shared" si="0"/>
        <v>110000</v>
      </c>
      <c r="O476" s="67">
        <f t="array" ref="O476">INDEX(Honor!$L$2:$L800,MATCH($I476,Honor!$A$2:$A800,0))</f>
        <v>45524</v>
      </c>
      <c r="P476" s="10">
        <f t="shared" si="1"/>
        <v>2024</v>
      </c>
      <c r="Q476" s="10">
        <f t="shared" si="2"/>
        <v>8</v>
      </c>
      <c r="R476" s="10" t="str">
        <f t="array" ref="R476">INDEX(Honor!$Q$2:$Q800,MATCH($I476,Honor!$A$2:$A800,0))</f>
        <v>SURVEI-PPL</v>
      </c>
      <c r="S476" s="10" t="str">
        <f t="shared" si="3"/>
        <v>610422100165-2024-8</v>
      </c>
      <c r="T476" s="10" t="str">
        <f t="shared" si="4"/>
        <v>610422100165-2024-8-SURVEI-PPL</v>
      </c>
      <c r="U476" s="64">
        <v>0</v>
      </c>
      <c r="V476" s="10" t="e">
        <f t="array" aca="1" ref="V476" ca="1">INDEX(Honor!$O$2:$O800,MATCH($I476,Honor!$A$2:$A800,0))</f>
        <v>#NAME?</v>
      </c>
      <c r="W476" s="67"/>
      <c r="X476" s="7" t="str">
        <f t="array" ref="X476">INDEX('Input Kegiatan'!$B$2:$B800,MATCH(B476,'Input Kegiatan'!$A$2:$A800,0))</f>
        <v>Survei Harga Produsen Beras di Penggilingan 2024 (HPBG24) Agustus</v>
      </c>
      <c r="Y476" s="7" t="s">
        <v>3990</v>
      </c>
      <c r="Z476" s="7" t="s">
        <v>4332</v>
      </c>
      <c r="AA476" s="68">
        <f t="shared" si="5"/>
        <v>45504</v>
      </c>
      <c r="AB476" s="68">
        <f t="shared" si="6"/>
        <v>45505</v>
      </c>
      <c r="AC476" s="68">
        <f t="shared" si="7"/>
        <v>45535</v>
      </c>
      <c r="AD476" s="68">
        <f t="shared" si="8"/>
        <v>45534</v>
      </c>
      <c r="AE476" s="68">
        <f t="shared" si="9"/>
        <v>45535</v>
      </c>
    </row>
    <row r="477" spans="1:31" ht="12.5">
      <c r="A477" s="125">
        <v>610422100165</v>
      </c>
      <c r="B477" s="65" t="s">
        <v>223</v>
      </c>
      <c r="D477" s="10">
        <f t="array" aca="1" ref="D477" ca="1">INDEX('Mitra per Bulan'!$M$2:$M800,MATCH(S477,'Mitra per Bulan'!$B$2:$B800,0))</f>
        <v>1</v>
      </c>
      <c r="E477" s="10" t="str">
        <f t="array" ref="E477">INDEX('Database Mitra'!$A$2:$A800,MATCH(A477,'Database Mitra'!$B$2:$B800,0))</f>
        <v>Yanti</v>
      </c>
      <c r="F477" s="64" t="s">
        <v>25</v>
      </c>
      <c r="G477" s="5" t="str">
        <f t="array" ref="G477">INDEX('Database Mitra'!$G$2:$G800,MATCH(A477,'Database Mitra'!$B$2:$B800,0))</f>
        <v>6102074803980002</v>
      </c>
      <c r="H477" s="64" t="s">
        <v>67</v>
      </c>
      <c r="I477" s="65" t="s">
        <v>224</v>
      </c>
      <c r="J477" s="10" t="str">
        <f t="array" ref="J477">INDEX(Honor!$H$2:$H800,MATCH($I477,Honor!$A$2:$A800,0))</f>
        <v>Dokumen</v>
      </c>
      <c r="K477" s="66">
        <f t="array" ref="K477">INDEX(Honor!$I$2:$I800,MATCH($I477,Honor!$A$2:$A800,0))</f>
        <v>50000</v>
      </c>
      <c r="L477" s="64">
        <v>1</v>
      </c>
      <c r="M477" s="10">
        <f t="shared" si="0"/>
        <v>50000</v>
      </c>
      <c r="O477" s="67">
        <f t="array" ref="O477">INDEX(Honor!$L$2:$L800,MATCH($I477,Honor!$A$2:$A800,0))</f>
        <v>45524</v>
      </c>
      <c r="P477" s="10">
        <f t="shared" si="1"/>
        <v>2024</v>
      </c>
      <c r="Q477" s="10">
        <f t="shared" si="2"/>
        <v>8</v>
      </c>
      <c r="R477" s="10" t="str">
        <f t="array" ref="R477">INDEX(Honor!$Q$2:$Q800,MATCH($I477,Honor!$A$2:$A800,0))</f>
        <v>SURVEI-PPL</v>
      </c>
      <c r="S477" s="10" t="str">
        <f t="shared" si="3"/>
        <v>610422100165-2024-8</v>
      </c>
      <c r="T477" s="10" t="str">
        <f t="shared" si="4"/>
        <v>610422100165-2024-8-SURVEI-PPL</v>
      </c>
      <c r="U477" s="64">
        <v>0</v>
      </c>
      <c r="V477" s="10" t="e">
        <f t="array" aca="1" ref="V477" ca="1">INDEX(Honor!$O$2:$O800,MATCH($I477,Honor!$A$2:$A800,0))</f>
        <v>#NAME?</v>
      </c>
      <c r="W477" s="67"/>
      <c r="X477" s="7" t="str">
        <f t="array" ref="X477">INDEX('Input Kegiatan'!$B$2:$B800,MATCH(B477,'Input Kegiatan'!$A$2:$A800,0))</f>
        <v>Survei Harga Produsen Jasa (HPJ24) Agustus</v>
      </c>
      <c r="Y477" s="7" t="s">
        <v>3990</v>
      </c>
      <c r="Z477" s="7" t="s">
        <v>4332</v>
      </c>
      <c r="AA477" s="68">
        <f t="shared" si="5"/>
        <v>45504</v>
      </c>
      <c r="AB477" s="68">
        <f t="shared" si="6"/>
        <v>45505</v>
      </c>
      <c r="AC477" s="68">
        <f t="shared" si="7"/>
        <v>45535</v>
      </c>
      <c r="AD477" s="68">
        <f t="shared" si="8"/>
        <v>45534</v>
      </c>
      <c r="AE477" s="68">
        <f t="shared" si="9"/>
        <v>45535</v>
      </c>
    </row>
    <row r="478" spans="1:31" ht="12.5">
      <c r="A478" s="125">
        <v>610422040029</v>
      </c>
      <c r="B478" s="69" t="s">
        <v>225</v>
      </c>
      <c r="D478" s="10">
        <f t="array" aca="1" ref="D478" ca="1">INDEX('Mitra per Bulan'!$M$2:$M800,MATCH(S478,'Mitra per Bulan'!$B$2:$B800,0))</f>
        <v>1</v>
      </c>
      <c r="E478" s="10" t="str">
        <f t="array" ref="E478">INDEX('Database Mitra'!$A$2:$A800,MATCH(A478,'Database Mitra'!$B$2:$B800,0))</f>
        <v>Zaini</v>
      </c>
      <c r="F478" s="64" t="s">
        <v>25</v>
      </c>
      <c r="G478" s="5" t="str">
        <f t="array" ref="G478">INDEX('Database Mitra'!$G$2:$G800,MATCH(A478,'Database Mitra'!$B$2:$B800,0))</f>
        <v>6102010607870002</v>
      </c>
      <c r="H478" s="64" t="s">
        <v>67</v>
      </c>
      <c r="I478" s="65" t="s">
        <v>226</v>
      </c>
      <c r="J478" s="10" t="str">
        <f t="array" ref="J478">INDEX(Honor!$H$2:$H800,MATCH($I478,Honor!$A$2:$A800,0))</f>
        <v>Dokumen</v>
      </c>
      <c r="K478" s="66">
        <f t="array" ref="K478">INDEX(Honor!$I$2:$I800,MATCH($I478,Honor!$A$2:$A800,0))</f>
        <v>55000</v>
      </c>
      <c r="L478" s="64">
        <v>3</v>
      </c>
      <c r="M478" s="10">
        <f t="shared" si="0"/>
        <v>165000</v>
      </c>
      <c r="O478" s="67">
        <f t="array" ref="O478">INDEX(Honor!$L$2:$L800,MATCH($I478,Honor!$A$2:$A800,0))</f>
        <v>45524</v>
      </c>
      <c r="P478" s="10">
        <f t="shared" si="1"/>
        <v>2024</v>
      </c>
      <c r="Q478" s="10">
        <f t="shared" si="2"/>
        <v>8</v>
      </c>
      <c r="R478" s="10" t="str">
        <f t="array" ref="R478">INDEX(Honor!$Q$2:$Q800,MATCH($I478,Honor!$A$2:$A800,0))</f>
        <v>SURVEI-PPL</v>
      </c>
      <c r="S478" s="10" t="str">
        <f t="shared" si="3"/>
        <v>610422040029-2024-8</v>
      </c>
      <c r="T478" s="10" t="str">
        <f t="shared" si="4"/>
        <v>610422040029-2024-8-SURVEI-PPL</v>
      </c>
      <c r="U478" s="64">
        <v>0</v>
      </c>
      <c r="V478" s="10" t="e">
        <f t="array" aca="1" ref="V478" ca="1">INDEX(Honor!$O$2:$O800,MATCH($I478,Honor!$A$2:$A800,0))</f>
        <v>#NAME?</v>
      </c>
      <c r="W478" s="67"/>
      <c r="X478" s="7" t="str">
        <f t="array" ref="X478">INDEX('Input Kegiatan'!$B$2:$B800,MATCH(B478,'Input Kegiatan'!$A$2:$A800,0))</f>
        <v>Survei Hotel dan Jasa Akomodasi Bulanan (VHTS) 2024 Agustus</v>
      </c>
      <c r="Y478" s="7" t="s">
        <v>4572</v>
      </c>
      <c r="Z478" s="7" t="s">
        <v>4619</v>
      </c>
      <c r="AA478" s="68">
        <f t="shared" si="5"/>
        <v>45504</v>
      </c>
      <c r="AB478" s="68">
        <f t="shared" si="6"/>
        <v>45505</v>
      </c>
      <c r="AC478" s="68">
        <f t="shared" si="7"/>
        <v>45535</v>
      </c>
      <c r="AD478" s="68">
        <f t="shared" si="8"/>
        <v>45534</v>
      </c>
      <c r="AE478" s="68">
        <f t="shared" si="9"/>
        <v>45535</v>
      </c>
    </row>
    <row r="479" spans="1:31" ht="12.5">
      <c r="A479" s="125">
        <v>610422100165</v>
      </c>
      <c r="B479" s="69" t="s">
        <v>225</v>
      </c>
      <c r="D479" s="10">
        <f t="array" aca="1" ref="D479" ca="1">INDEX('Mitra per Bulan'!$M$2:$M800,MATCH(S479,'Mitra per Bulan'!$B$2:$B800,0))</f>
        <v>1</v>
      </c>
      <c r="E479" s="10" t="str">
        <f t="array" ref="E479">INDEX('Database Mitra'!$A$2:$A800,MATCH(A479,'Database Mitra'!$B$2:$B800,0))</f>
        <v>Yanti</v>
      </c>
      <c r="F479" s="64" t="s">
        <v>25</v>
      </c>
      <c r="G479" s="5" t="str">
        <f t="array" ref="G479">INDEX('Database Mitra'!$G$2:$G800,MATCH(A479,'Database Mitra'!$B$2:$B800,0))</f>
        <v>6102074803980002</v>
      </c>
      <c r="H479" s="64" t="s">
        <v>67</v>
      </c>
      <c r="I479" s="65" t="s">
        <v>226</v>
      </c>
      <c r="J479" s="10" t="str">
        <f t="array" ref="J479">INDEX(Honor!$H$2:$H800,MATCH($I479,Honor!$A$2:$A800,0))</f>
        <v>Dokumen</v>
      </c>
      <c r="K479" s="66">
        <f t="array" ref="K479">INDEX(Honor!$I$2:$I800,MATCH($I479,Honor!$A$2:$A800,0))</f>
        <v>55000</v>
      </c>
      <c r="L479" s="64">
        <v>3</v>
      </c>
      <c r="M479" s="10">
        <f t="shared" si="0"/>
        <v>165000</v>
      </c>
      <c r="O479" s="67">
        <f t="array" ref="O479">INDEX(Honor!$L$2:$L800,MATCH($I479,Honor!$A$2:$A800,0))</f>
        <v>45524</v>
      </c>
      <c r="P479" s="10">
        <f t="shared" si="1"/>
        <v>2024</v>
      </c>
      <c r="Q479" s="10">
        <f t="shared" si="2"/>
        <v>8</v>
      </c>
      <c r="R479" s="10" t="str">
        <f t="array" ref="R479">INDEX(Honor!$Q$2:$Q800,MATCH($I479,Honor!$A$2:$A800,0))</f>
        <v>SURVEI-PPL</v>
      </c>
      <c r="S479" s="10" t="str">
        <f t="shared" si="3"/>
        <v>610422100165-2024-8</v>
      </c>
      <c r="T479" s="10" t="str">
        <f t="shared" si="4"/>
        <v>610422100165-2024-8-SURVEI-PPL</v>
      </c>
      <c r="U479" s="64">
        <v>0</v>
      </c>
      <c r="V479" s="10" t="e">
        <f t="array" aca="1" ref="V479" ca="1">INDEX(Honor!$O$2:$O800,MATCH($I479,Honor!$A$2:$A800,0))</f>
        <v>#NAME?</v>
      </c>
      <c r="W479" s="67"/>
      <c r="X479" s="7" t="str">
        <f t="array" ref="X479">INDEX('Input Kegiatan'!$B$2:$B800,MATCH(B479,'Input Kegiatan'!$A$2:$A800,0))</f>
        <v>Survei Hotel dan Jasa Akomodasi Bulanan (VHTS) 2024 Agustus</v>
      </c>
      <c r="Y479" s="7" t="s">
        <v>3990</v>
      </c>
      <c r="Z479" s="7" t="s">
        <v>4332</v>
      </c>
      <c r="AA479" s="68">
        <f t="shared" si="5"/>
        <v>45504</v>
      </c>
      <c r="AB479" s="68">
        <f t="shared" si="6"/>
        <v>45505</v>
      </c>
      <c r="AC479" s="68">
        <f t="shared" si="7"/>
        <v>45535</v>
      </c>
      <c r="AD479" s="68">
        <f t="shared" si="8"/>
        <v>45534</v>
      </c>
      <c r="AE479" s="68">
        <f t="shared" si="9"/>
        <v>45535</v>
      </c>
    </row>
    <row r="480" spans="1:31" ht="12.5">
      <c r="A480" s="125">
        <v>610422050001</v>
      </c>
      <c r="B480" s="69" t="s">
        <v>225</v>
      </c>
      <c r="D480" s="10">
        <f t="array" aca="1" ref="D480" ca="1">INDEX('Mitra per Bulan'!$M$2:$M800,MATCH(S480,'Mitra per Bulan'!$B$2:$B800,0))</f>
        <v>1</v>
      </c>
      <c r="E480" s="10" t="str">
        <f t="array" ref="E480">INDEX('Database Mitra'!$A$2:$A800,MATCH(A480,'Database Mitra'!$B$2:$B800,0))</f>
        <v>Evi Juniarty</v>
      </c>
      <c r="F480" s="64" t="s">
        <v>25</v>
      </c>
      <c r="G480" s="5" t="str">
        <f t="array" ref="G480">INDEX('Database Mitra'!$G$2:$G800,MATCH(A480,'Database Mitra'!$B$2:$B800,0))</f>
        <v>6102165101840001</v>
      </c>
      <c r="H480" s="64" t="s">
        <v>67</v>
      </c>
      <c r="I480" s="65" t="s">
        <v>226</v>
      </c>
      <c r="J480" s="10" t="str">
        <f t="array" ref="J480">INDEX(Honor!$H$2:$H800,MATCH($I480,Honor!$A$2:$A800,0))</f>
        <v>Dokumen</v>
      </c>
      <c r="K480" s="66">
        <f t="array" ref="K480">INDEX(Honor!$I$2:$I800,MATCH($I480,Honor!$A$2:$A800,0))</f>
        <v>55000</v>
      </c>
      <c r="L480" s="64">
        <v>3</v>
      </c>
      <c r="M480" s="10">
        <f t="shared" si="0"/>
        <v>165000</v>
      </c>
      <c r="O480" s="67">
        <f t="array" ref="O480">INDEX(Honor!$L$2:$L800,MATCH($I480,Honor!$A$2:$A800,0))</f>
        <v>45524</v>
      </c>
      <c r="P480" s="10">
        <f t="shared" si="1"/>
        <v>2024</v>
      </c>
      <c r="Q480" s="10">
        <f t="shared" si="2"/>
        <v>8</v>
      </c>
      <c r="R480" s="10" t="str">
        <f t="array" ref="R480">INDEX(Honor!$Q$2:$Q800,MATCH($I480,Honor!$A$2:$A800,0))</f>
        <v>SURVEI-PPL</v>
      </c>
      <c r="S480" s="10" t="str">
        <f t="shared" si="3"/>
        <v>610422050001-2024-8</v>
      </c>
      <c r="T480" s="10" t="str">
        <f t="shared" si="4"/>
        <v>610422050001-2024-8-SURVEI-PPL</v>
      </c>
      <c r="U480" s="64">
        <v>0</v>
      </c>
      <c r="V480" s="10" t="e">
        <f t="array" aca="1" ref="V480" ca="1">INDEX(Honor!$O$2:$O800,MATCH($I480,Honor!$A$2:$A800,0))</f>
        <v>#NAME?</v>
      </c>
      <c r="W480" s="67"/>
      <c r="X480" s="7" t="str">
        <f t="array" ref="X480">INDEX('Input Kegiatan'!$B$2:$B800,MATCH(B480,'Input Kegiatan'!$A$2:$A800,0))</f>
        <v>Survei Hotel dan Jasa Akomodasi Bulanan (VHTS) 2024 Agustus</v>
      </c>
      <c r="Y480" s="7" t="s">
        <v>4408</v>
      </c>
      <c r="Z480" s="7" t="s">
        <v>4409</v>
      </c>
      <c r="AA480" s="68">
        <f t="shared" si="5"/>
        <v>45504</v>
      </c>
      <c r="AB480" s="68">
        <f t="shared" si="6"/>
        <v>45505</v>
      </c>
      <c r="AC480" s="68">
        <f t="shared" si="7"/>
        <v>45535</v>
      </c>
      <c r="AD480" s="68">
        <f t="shared" si="8"/>
        <v>45534</v>
      </c>
      <c r="AE480" s="68">
        <f t="shared" si="9"/>
        <v>45535</v>
      </c>
    </row>
    <row r="481" spans="1:31" ht="12.5">
      <c r="A481" s="125">
        <v>610422040056</v>
      </c>
      <c r="B481" s="69" t="s">
        <v>225</v>
      </c>
      <c r="D481" s="10">
        <f t="array" aca="1" ref="D481" ca="1">INDEX('Mitra per Bulan'!$M$2:$M800,MATCH(S481,'Mitra per Bulan'!$B$2:$B800,0))</f>
        <v>1</v>
      </c>
      <c r="E481" s="10" t="str">
        <f t="array" ref="E481">INDEX('Database Mitra'!$A$2:$A800,MATCH(A481,'Database Mitra'!$B$2:$B800,0))</f>
        <v>Wandi Syafari</v>
      </c>
      <c r="F481" s="64" t="s">
        <v>25</v>
      </c>
      <c r="G481" s="5" t="str">
        <f t="array" ref="G481">INDEX('Database Mitra'!$G$2:$G800,MATCH(A481,'Database Mitra'!$B$2:$B800,0))</f>
        <v>6102010802760001</v>
      </c>
      <c r="H481" s="64" t="s">
        <v>67</v>
      </c>
      <c r="I481" s="65" t="s">
        <v>226</v>
      </c>
      <c r="J481" s="10" t="str">
        <f t="array" ref="J481">INDEX(Honor!$H$2:$H800,MATCH($I481,Honor!$A$2:$A800,0))</f>
        <v>Dokumen</v>
      </c>
      <c r="K481" s="66">
        <f t="array" ref="K481">INDEX(Honor!$I$2:$I800,MATCH($I481,Honor!$A$2:$A800,0))</f>
        <v>55000</v>
      </c>
      <c r="L481" s="64">
        <v>2</v>
      </c>
      <c r="M481" s="10">
        <f t="shared" si="0"/>
        <v>110000</v>
      </c>
      <c r="O481" s="67">
        <f t="array" ref="O481">INDEX(Honor!$L$2:$L800,MATCH($I481,Honor!$A$2:$A800,0))</f>
        <v>45524</v>
      </c>
      <c r="P481" s="10">
        <f t="shared" si="1"/>
        <v>2024</v>
      </c>
      <c r="Q481" s="10">
        <f t="shared" si="2"/>
        <v>8</v>
      </c>
      <c r="R481" s="10" t="str">
        <f t="array" ref="R481">INDEX(Honor!$Q$2:$Q800,MATCH($I481,Honor!$A$2:$A800,0))</f>
        <v>SURVEI-PPL</v>
      </c>
      <c r="S481" s="10" t="str">
        <f t="shared" si="3"/>
        <v>610422040056-2024-8</v>
      </c>
      <c r="T481" s="10" t="str">
        <f t="shared" si="4"/>
        <v>610422040056-2024-8-SURVEI-PPL</v>
      </c>
      <c r="U481" s="64">
        <v>0</v>
      </c>
      <c r="V481" s="10" t="e">
        <f t="array" aca="1" ref="V481" ca="1">INDEX(Honor!$O$2:$O800,MATCH($I481,Honor!$A$2:$A800,0))</f>
        <v>#NAME?</v>
      </c>
      <c r="W481" s="67"/>
      <c r="X481" s="7" t="str">
        <f t="array" ref="X481">INDEX('Input Kegiatan'!$B$2:$B800,MATCH(B481,'Input Kegiatan'!$A$2:$A800,0))</f>
        <v>Survei Hotel dan Jasa Akomodasi Bulanan (VHTS) 2024 Agustus</v>
      </c>
      <c r="Y481" s="7" t="s">
        <v>4572</v>
      </c>
      <c r="Z481" s="7" t="s">
        <v>4656</v>
      </c>
      <c r="AA481" s="68">
        <f t="shared" si="5"/>
        <v>45504</v>
      </c>
      <c r="AB481" s="68">
        <f t="shared" si="6"/>
        <v>45505</v>
      </c>
      <c r="AC481" s="68">
        <f t="shared" si="7"/>
        <v>45535</v>
      </c>
      <c r="AD481" s="68">
        <f t="shared" si="8"/>
        <v>45534</v>
      </c>
      <c r="AE481" s="68">
        <f t="shared" si="9"/>
        <v>45535</v>
      </c>
    </row>
    <row r="482" spans="1:31" ht="12.5">
      <c r="A482" s="125">
        <v>610422040012</v>
      </c>
      <c r="B482" s="64" t="s">
        <v>34</v>
      </c>
      <c r="D482" s="10">
        <f t="array" aca="1" ref="D482" ca="1">INDEX('Mitra per Bulan'!$M$2:$M800,MATCH(S482,'Mitra per Bulan'!$B$2:$B800,0))</f>
        <v>1</v>
      </c>
      <c r="E482" s="10" t="str">
        <f t="array" ref="E482">INDEX('Database Mitra'!$A$2:$A800,MATCH(A482,'Database Mitra'!$B$2:$B800,0))</f>
        <v>Misdi</v>
      </c>
      <c r="F482" s="65" t="s">
        <v>25</v>
      </c>
      <c r="G482" s="5" t="str">
        <f t="array" ref="G482">INDEX('Database Mitra'!$G$2:$G800,MATCH(A482,'Database Mitra'!$B$2:$B800,0))</f>
        <v>6102070706940001</v>
      </c>
      <c r="H482" s="64" t="s">
        <v>84</v>
      </c>
      <c r="I482" s="65" t="str">
        <f t="shared" ref="I482:I494" si="19">CONCATENATE(B482,"-",F482,"-",H482)</f>
        <v>KSA24-LAPANGAN-AGUSTUS-PPL-KSA PADI</v>
      </c>
      <c r="J482" s="10" t="str">
        <f t="array" ref="J482">INDEX(Honor!$H$2:$H800,MATCH($I482,Honor!$A$2:$A800,0))</f>
        <v>Segmen</v>
      </c>
      <c r="K482" s="66">
        <f t="array" ref="K482">INDEX(Honor!$I$2:$I800,MATCH($I482,Honor!$A$2:$A800,0))</f>
        <v>116000</v>
      </c>
      <c r="L482" s="64">
        <v>3</v>
      </c>
      <c r="M482" s="10">
        <f t="shared" si="0"/>
        <v>348000</v>
      </c>
      <c r="O482" s="67">
        <f t="array" ref="O482">INDEX(Honor!$L$2:$L800,MATCH($I482,Honor!$A$2:$A800,0))</f>
        <v>45535</v>
      </c>
      <c r="P482" s="10">
        <f t="shared" si="1"/>
        <v>2024</v>
      </c>
      <c r="Q482" s="10">
        <f t="shared" si="2"/>
        <v>8</v>
      </c>
      <c r="R482" s="10" t="str">
        <f t="array" ref="R482">INDEX(Honor!$Q$2:$Q800,MATCH($I482,Honor!$A$2:$A800,0))</f>
        <v>SURVEI-PPL</v>
      </c>
      <c r="S482" s="10" t="str">
        <f t="shared" si="3"/>
        <v>610422040012-2024-8</v>
      </c>
      <c r="T482" s="10" t="str">
        <f t="shared" si="4"/>
        <v>610422040012-2024-8-SURVEI-PPL</v>
      </c>
      <c r="U482" s="64">
        <v>0</v>
      </c>
      <c r="V482" s="10" t="e">
        <f t="array" aca="1" ref="V482" ca="1">INDEX(Honor!$O$2:$O800,MATCH($I482,Honor!$A$2:$A800,0))</f>
        <v>#NAME?</v>
      </c>
      <c r="W482" s="67"/>
      <c r="X482" s="7" t="str">
        <f t="array" ref="X482">INDEX('Input Kegiatan'!$B$2:$B800,MATCH(B482,'Input Kegiatan'!$A$2:$A800,0))</f>
        <v>Kerangka Sampel Area (KSA) 2024 Agustus</v>
      </c>
      <c r="Y482" s="7" t="s">
        <v>3990</v>
      </c>
      <c r="Z482" s="7" t="s">
        <v>4365</v>
      </c>
      <c r="AA482" s="68">
        <f t="shared" si="5"/>
        <v>45504</v>
      </c>
      <c r="AB482" s="68">
        <f t="shared" si="6"/>
        <v>45505</v>
      </c>
      <c r="AC482" s="68">
        <f t="shared" si="7"/>
        <v>45535</v>
      </c>
      <c r="AD482" s="68">
        <f t="shared" si="8"/>
        <v>45534</v>
      </c>
      <c r="AE482" s="68">
        <f t="shared" si="9"/>
        <v>45535</v>
      </c>
    </row>
    <row r="483" spans="1:31" ht="12.5">
      <c r="A483" s="125">
        <v>610422040059</v>
      </c>
      <c r="B483" s="64" t="s">
        <v>34</v>
      </c>
      <c r="D483" s="10">
        <f t="array" aca="1" ref="D483" ca="1">INDEX('Mitra per Bulan'!$M$2:$M800,MATCH(S483,'Mitra per Bulan'!$B$2:$B800,0))</f>
        <v>1</v>
      </c>
      <c r="E483" s="10" t="str">
        <f t="array" ref="E483">INDEX('Database Mitra'!$A$2:$A800,MATCH(A483,'Database Mitra'!$B$2:$B800,0))</f>
        <v>Abang Handri</v>
      </c>
      <c r="F483" s="65" t="s">
        <v>25</v>
      </c>
      <c r="G483" s="5" t="str">
        <f t="array" ref="G483">INDEX('Database Mitra'!$G$2:$G800,MATCH(A483,'Database Mitra'!$B$2:$B800,0))</f>
        <v>6102072211780002</v>
      </c>
      <c r="H483" s="64" t="s">
        <v>84</v>
      </c>
      <c r="I483" s="65" t="str">
        <f t="shared" si="19"/>
        <v>KSA24-LAPANGAN-AGUSTUS-PPL-KSA PADI</v>
      </c>
      <c r="J483" s="10" t="str">
        <f t="array" ref="J483">INDEX(Honor!$H$2:$H800,MATCH($I483,Honor!$A$2:$A800,0))</f>
        <v>Segmen</v>
      </c>
      <c r="K483" s="66">
        <f t="array" ref="K483">INDEX(Honor!$I$2:$I800,MATCH($I483,Honor!$A$2:$A800,0))</f>
        <v>116000</v>
      </c>
      <c r="L483" s="64">
        <v>4</v>
      </c>
      <c r="M483" s="10">
        <f t="shared" si="0"/>
        <v>464000</v>
      </c>
      <c r="O483" s="67">
        <f t="array" ref="O483">INDEX(Honor!$L$2:$L800,MATCH($I483,Honor!$A$2:$A800,0))</f>
        <v>45535</v>
      </c>
      <c r="P483" s="10">
        <f t="shared" si="1"/>
        <v>2024</v>
      </c>
      <c r="Q483" s="10">
        <f t="shared" si="2"/>
        <v>8</v>
      </c>
      <c r="R483" s="10" t="str">
        <f t="array" ref="R483">INDEX(Honor!$Q$2:$Q800,MATCH($I483,Honor!$A$2:$A800,0))</f>
        <v>SURVEI-PPL</v>
      </c>
      <c r="S483" s="10" t="str">
        <f t="shared" si="3"/>
        <v>610422040059-2024-8</v>
      </c>
      <c r="T483" s="10" t="str">
        <f t="shared" si="4"/>
        <v>610422040059-2024-8-SURVEI-PPL</v>
      </c>
      <c r="U483" s="64">
        <v>0</v>
      </c>
      <c r="V483" s="10" t="e">
        <f t="array" aca="1" ref="V483" ca="1">INDEX(Honor!$O$2:$O800,MATCH($I483,Honor!$A$2:$A800,0))</f>
        <v>#NAME?</v>
      </c>
      <c r="W483" s="67"/>
      <c r="X483" s="7" t="str">
        <f t="array" ref="X483">INDEX('Input Kegiatan'!$B$2:$B800,MATCH(B483,'Input Kegiatan'!$A$2:$A800,0))</f>
        <v>Kerangka Sampel Area (KSA) 2024 Agustus</v>
      </c>
      <c r="Y483" s="7" t="s">
        <v>4572</v>
      </c>
      <c r="Z483" s="7" t="s">
        <v>4656</v>
      </c>
      <c r="AA483" s="68">
        <f t="shared" si="5"/>
        <v>45504</v>
      </c>
      <c r="AB483" s="68">
        <f t="shared" si="6"/>
        <v>45505</v>
      </c>
      <c r="AC483" s="68">
        <f t="shared" si="7"/>
        <v>45535</v>
      </c>
      <c r="AD483" s="68">
        <f t="shared" si="8"/>
        <v>45534</v>
      </c>
      <c r="AE483" s="68">
        <f t="shared" si="9"/>
        <v>45535</v>
      </c>
    </row>
    <row r="484" spans="1:31" ht="12.5">
      <c r="A484" s="125">
        <v>610422040061</v>
      </c>
      <c r="B484" s="64" t="s">
        <v>34</v>
      </c>
      <c r="D484" s="10">
        <f t="array" aca="1" ref="D484" ca="1">INDEX('Mitra per Bulan'!$M$2:$M800,MATCH(S484,'Mitra per Bulan'!$B$2:$B800,0))</f>
        <v>1</v>
      </c>
      <c r="E484" s="10" t="str">
        <f t="array" ref="E484">INDEX('Database Mitra'!$A$2:$A800,MATCH(A484,'Database Mitra'!$B$2:$B800,0))</f>
        <v>Sabani</v>
      </c>
      <c r="F484" s="65" t="s">
        <v>25</v>
      </c>
      <c r="G484" s="5" t="str">
        <f t="array" ref="G484">INDEX('Database Mitra'!$G$2:$G800,MATCH(A484,'Database Mitra'!$B$2:$B800,0))</f>
        <v>6102153112860003</v>
      </c>
      <c r="H484" s="64" t="s">
        <v>84</v>
      </c>
      <c r="I484" s="65" t="str">
        <f t="shared" si="19"/>
        <v>KSA24-LAPANGAN-AGUSTUS-PPL-KSA PADI</v>
      </c>
      <c r="J484" s="10" t="str">
        <f t="array" ref="J484">INDEX(Honor!$H$2:$H800,MATCH($I484,Honor!$A$2:$A800,0))</f>
        <v>Segmen</v>
      </c>
      <c r="K484" s="66">
        <f t="array" ref="K484">INDEX(Honor!$I$2:$I800,MATCH($I484,Honor!$A$2:$A800,0))</f>
        <v>116000</v>
      </c>
      <c r="L484" s="64">
        <v>3</v>
      </c>
      <c r="M484" s="10">
        <f t="shared" si="0"/>
        <v>348000</v>
      </c>
      <c r="O484" s="67">
        <f t="array" ref="O484">INDEX(Honor!$L$2:$L800,MATCH($I484,Honor!$A$2:$A800,0))</f>
        <v>45535</v>
      </c>
      <c r="P484" s="10">
        <f t="shared" si="1"/>
        <v>2024</v>
      </c>
      <c r="Q484" s="10">
        <f t="shared" si="2"/>
        <v>8</v>
      </c>
      <c r="R484" s="10" t="str">
        <f t="array" ref="R484">INDEX(Honor!$Q$2:$Q800,MATCH($I484,Honor!$A$2:$A800,0))</f>
        <v>SURVEI-PPL</v>
      </c>
      <c r="S484" s="10" t="str">
        <f t="shared" si="3"/>
        <v>610422040061-2024-8</v>
      </c>
      <c r="T484" s="10" t="str">
        <f t="shared" si="4"/>
        <v>610422040061-2024-8-SURVEI-PPL</v>
      </c>
      <c r="U484" s="64">
        <v>0</v>
      </c>
      <c r="V484" s="10" t="e">
        <f t="array" aca="1" ref="V484" ca="1">INDEX(Honor!$O$2:$O800,MATCH($I484,Honor!$A$2:$A800,0))</f>
        <v>#NAME?</v>
      </c>
      <c r="W484" s="67"/>
      <c r="X484" s="7" t="str">
        <f t="array" ref="X484">INDEX('Input Kegiatan'!$B$2:$B800,MATCH(B484,'Input Kegiatan'!$A$2:$A800,0))</f>
        <v>Kerangka Sampel Area (KSA) 2024 Agustus</v>
      </c>
      <c r="Y484" s="7" t="s">
        <v>3715</v>
      </c>
      <c r="Z484" s="7" t="s">
        <v>3862</v>
      </c>
      <c r="AA484" s="68">
        <f t="shared" si="5"/>
        <v>45504</v>
      </c>
      <c r="AB484" s="68">
        <f t="shared" si="6"/>
        <v>45505</v>
      </c>
      <c r="AC484" s="68">
        <f t="shared" si="7"/>
        <v>45535</v>
      </c>
      <c r="AD484" s="68">
        <f t="shared" si="8"/>
        <v>45534</v>
      </c>
      <c r="AE484" s="68">
        <f t="shared" si="9"/>
        <v>45535</v>
      </c>
    </row>
    <row r="485" spans="1:31" ht="12.5">
      <c r="A485" s="125">
        <v>610422100131</v>
      </c>
      <c r="B485" s="64" t="s">
        <v>34</v>
      </c>
      <c r="D485" s="10">
        <f t="array" aca="1" ref="D485" ca="1">INDEX('Mitra per Bulan'!$M$2:$M800,MATCH(S485,'Mitra per Bulan'!$B$2:$B800,0))</f>
        <v>1</v>
      </c>
      <c r="E485" s="10" t="str">
        <f t="array" ref="E485">INDEX('Database Mitra'!$A$2:$A800,MATCH(A485,'Database Mitra'!$B$2:$B800,0))</f>
        <v>Syamsul</v>
      </c>
      <c r="F485" s="65" t="s">
        <v>25</v>
      </c>
      <c r="G485" s="5" t="str">
        <f t="array" ref="G485">INDEX('Database Mitra'!$G$2:$G800,MATCH(A485,'Database Mitra'!$B$2:$B800,0))</f>
        <v>6102150907860003</v>
      </c>
      <c r="H485" s="64" t="s">
        <v>84</v>
      </c>
      <c r="I485" s="65" t="str">
        <f t="shared" si="19"/>
        <v>KSA24-LAPANGAN-AGUSTUS-PPL-KSA PADI</v>
      </c>
      <c r="J485" s="10" t="str">
        <f t="array" ref="J485">INDEX(Honor!$H$2:$H800,MATCH($I485,Honor!$A$2:$A800,0))</f>
        <v>Segmen</v>
      </c>
      <c r="K485" s="66">
        <f t="array" ref="K485">INDEX(Honor!$I$2:$I800,MATCH($I485,Honor!$A$2:$A800,0))</f>
        <v>116000</v>
      </c>
      <c r="L485" s="64">
        <v>6</v>
      </c>
      <c r="M485" s="10">
        <f t="shared" si="0"/>
        <v>696000</v>
      </c>
      <c r="O485" s="67">
        <f t="array" ref="O485">INDEX(Honor!$L$2:$L800,MATCH($I485,Honor!$A$2:$A800,0))</f>
        <v>45535</v>
      </c>
      <c r="P485" s="10">
        <f t="shared" si="1"/>
        <v>2024</v>
      </c>
      <c r="Q485" s="10">
        <f t="shared" si="2"/>
        <v>8</v>
      </c>
      <c r="R485" s="10" t="str">
        <f t="array" ref="R485">INDEX(Honor!$Q$2:$Q800,MATCH($I485,Honor!$A$2:$A800,0))</f>
        <v>SURVEI-PPL</v>
      </c>
      <c r="S485" s="10" t="str">
        <f t="shared" si="3"/>
        <v>610422100131-2024-8</v>
      </c>
      <c r="T485" s="10" t="str">
        <f t="shared" si="4"/>
        <v>610422100131-2024-8-SURVEI-PPL</v>
      </c>
      <c r="U485" s="64">
        <v>0</v>
      </c>
      <c r="V485" s="10" t="e">
        <f t="array" aca="1" ref="V485" ca="1">INDEX(Honor!$O$2:$O800,MATCH($I485,Honor!$A$2:$A800,0))</f>
        <v>#NAME?</v>
      </c>
      <c r="W485" s="67"/>
      <c r="X485" s="7" t="str">
        <f t="array" ref="X485">INDEX('Input Kegiatan'!$B$2:$B800,MATCH(B485,'Input Kegiatan'!$A$2:$A800,0))</f>
        <v>Kerangka Sampel Area (KSA) 2024 Agustus</v>
      </c>
      <c r="Y485" s="7" t="s">
        <v>5250</v>
      </c>
      <c r="Z485" s="7" t="s">
        <v>5365</v>
      </c>
      <c r="AA485" s="68">
        <f t="shared" si="5"/>
        <v>45504</v>
      </c>
      <c r="AB485" s="68">
        <f t="shared" si="6"/>
        <v>45505</v>
      </c>
      <c r="AC485" s="68">
        <f t="shared" si="7"/>
        <v>45535</v>
      </c>
      <c r="AD485" s="68">
        <f t="shared" si="8"/>
        <v>45534</v>
      </c>
      <c r="AE485" s="68">
        <f t="shared" si="9"/>
        <v>45535</v>
      </c>
    </row>
    <row r="486" spans="1:31" ht="12.5">
      <c r="A486" s="125">
        <v>610422100244</v>
      </c>
      <c r="B486" s="64" t="s">
        <v>34</v>
      </c>
      <c r="D486" s="10">
        <f t="array" aca="1" ref="D486" ca="1">INDEX('Mitra per Bulan'!$M$2:$M800,MATCH(S486,'Mitra per Bulan'!$B$2:$B800,0))</f>
        <v>1</v>
      </c>
      <c r="E486" s="10" t="str">
        <f t="array" ref="E486">INDEX('Database Mitra'!$A$2:$A800,MATCH(A486,'Database Mitra'!$B$2:$B800,0))</f>
        <v>Sugianto</v>
      </c>
      <c r="F486" s="65" t="s">
        <v>25</v>
      </c>
      <c r="G486" s="5" t="str">
        <f t="array" ref="G486">INDEX('Database Mitra'!$G$2:$G800,MATCH(A486,'Database Mitra'!$B$2:$B800,0))</f>
        <v>6102171003900002</v>
      </c>
      <c r="H486" s="64" t="s">
        <v>84</v>
      </c>
      <c r="I486" s="65" t="str">
        <f t="shared" si="19"/>
        <v>KSA24-LAPANGAN-AGUSTUS-PPL-KSA PADI</v>
      </c>
      <c r="J486" s="10" t="str">
        <f t="array" ref="J486">INDEX(Honor!$H$2:$H800,MATCH($I486,Honor!$A$2:$A800,0))</f>
        <v>Segmen</v>
      </c>
      <c r="K486" s="66">
        <f t="array" ref="K486">INDEX(Honor!$I$2:$I800,MATCH($I486,Honor!$A$2:$A800,0))</f>
        <v>116000</v>
      </c>
      <c r="L486" s="64">
        <v>3</v>
      </c>
      <c r="M486" s="10">
        <f t="shared" si="0"/>
        <v>348000</v>
      </c>
      <c r="O486" s="67">
        <f t="array" ref="O486">INDEX(Honor!$L$2:$L800,MATCH($I486,Honor!$A$2:$A800,0))</f>
        <v>45535</v>
      </c>
      <c r="P486" s="10">
        <f t="shared" si="1"/>
        <v>2024</v>
      </c>
      <c r="Q486" s="10">
        <f t="shared" si="2"/>
        <v>8</v>
      </c>
      <c r="R486" s="10" t="str">
        <f t="array" ref="R486">INDEX(Honor!$Q$2:$Q800,MATCH($I486,Honor!$A$2:$A800,0))</f>
        <v>SURVEI-PPL</v>
      </c>
      <c r="S486" s="10" t="str">
        <f t="shared" si="3"/>
        <v>610422100244-2024-8</v>
      </c>
      <c r="T486" s="10" t="str">
        <f t="shared" si="4"/>
        <v>610422100244-2024-8-SURVEI-PPL</v>
      </c>
      <c r="U486" s="64">
        <v>0</v>
      </c>
      <c r="V486" s="10" t="e">
        <f t="array" aca="1" ref="V486" ca="1">INDEX(Honor!$O$2:$O800,MATCH($I486,Honor!$A$2:$A800,0))</f>
        <v>#NAME?</v>
      </c>
      <c r="W486" s="67"/>
      <c r="X486" s="7" t="str">
        <f t="array" ref="X486">INDEX('Input Kegiatan'!$B$2:$B800,MATCH(B486,'Input Kegiatan'!$A$2:$A800,0))</f>
        <v>Kerangka Sampel Area (KSA) 2024 Agustus</v>
      </c>
      <c r="Y486" s="7" t="s">
        <v>5741</v>
      </c>
      <c r="Z486" s="7" t="s">
        <v>5796</v>
      </c>
      <c r="AA486" s="68">
        <f t="shared" si="5"/>
        <v>45504</v>
      </c>
      <c r="AB486" s="68">
        <f t="shared" si="6"/>
        <v>45505</v>
      </c>
      <c r="AC486" s="68">
        <f t="shared" si="7"/>
        <v>45535</v>
      </c>
      <c r="AD486" s="68">
        <f t="shared" si="8"/>
        <v>45534</v>
      </c>
      <c r="AE486" s="68">
        <f t="shared" si="9"/>
        <v>45535</v>
      </c>
    </row>
    <row r="487" spans="1:31" ht="12.5">
      <c r="A487" s="125">
        <v>610422100176</v>
      </c>
      <c r="B487" s="64" t="s">
        <v>34</v>
      </c>
      <c r="D487" s="10">
        <f t="array" aca="1" ref="D487" ca="1">INDEX('Mitra per Bulan'!$M$2:$M800,MATCH(S487,'Mitra per Bulan'!$B$2:$B800,0))</f>
        <v>1</v>
      </c>
      <c r="E487" s="10" t="str">
        <f t="array" ref="E487">INDEX('Database Mitra'!$A$2:$A800,MATCH(A487,'Database Mitra'!$B$2:$B800,0))</f>
        <v>Feri Firdaus</v>
      </c>
      <c r="F487" s="65" t="s">
        <v>25</v>
      </c>
      <c r="G487" s="5" t="str">
        <f t="array" ref="G487">INDEX('Database Mitra'!$G$2:$G800,MATCH(A487,'Database Mitra'!$B$2:$B800,0))</f>
        <v>6102150412880001</v>
      </c>
      <c r="H487" s="64" t="s">
        <v>84</v>
      </c>
      <c r="I487" s="65" t="str">
        <f t="shared" si="19"/>
        <v>KSA24-LAPANGAN-AGUSTUS-PPL-KSA PADI</v>
      </c>
      <c r="J487" s="10" t="str">
        <f t="array" ref="J487">INDEX(Honor!$H$2:$H800,MATCH($I487,Honor!$A$2:$A800,0))</f>
        <v>Segmen</v>
      </c>
      <c r="K487" s="66">
        <f t="array" ref="K487">INDEX(Honor!$I$2:$I800,MATCH($I487,Honor!$A$2:$A800,0))</f>
        <v>116000</v>
      </c>
      <c r="L487" s="64">
        <v>3</v>
      </c>
      <c r="M487" s="10">
        <f t="shared" si="0"/>
        <v>348000</v>
      </c>
      <c r="O487" s="67">
        <f t="array" ref="O487">INDEX(Honor!$L$2:$L800,MATCH($I487,Honor!$A$2:$A800,0))</f>
        <v>45535</v>
      </c>
      <c r="P487" s="10">
        <f t="shared" si="1"/>
        <v>2024</v>
      </c>
      <c r="Q487" s="10">
        <f t="shared" si="2"/>
        <v>8</v>
      </c>
      <c r="R487" s="10" t="str">
        <f t="array" ref="R487">INDEX(Honor!$Q$2:$Q800,MATCH($I487,Honor!$A$2:$A800,0))</f>
        <v>SURVEI-PPL</v>
      </c>
      <c r="S487" s="10" t="str">
        <f t="shared" si="3"/>
        <v>610422100176-2024-8</v>
      </c>
      <c r="T487" s="10" t="str">
        <f t="shared" si="4"/>
        <v>610422100176-2024-8-SURVEI-PPL</v>
      </c>
      <c r="U487" s="64">
        <v>0</v>
      </c>
      <c r="V487" s="10" t="e">
        <f t="array" aca="1" ref="V487" ca="1">INDEX(Honor!$O$2:$O800,MATCH($I487,Honor!$A$2:$A800,0))</f>
        <v>#NAME?</v>
      </c>
      <c r="W487" s="67"/>
      <c r="X487" s="7" t="str">
        <f t="array" ref="X487">INDEX('Input Kegiatan'!$B$2:$B800,MATCH(B487,'Input Kegiatan'!$A$2:$A800,0))</f>
        <v>Kerangka Sampel Area (KSA) 2024 Agustus</v>
      </c>
      <c r="Y487" s="7" t="s">
        <v>3715</v>
      </c>
      <c r="Z487" s="7" t="s">
        <v>3765</v>
      </c>
      <c r="AA487" s="68">
        <f t="shared" si="5"/>
        <v>45504</v>
      </c>
      <c r="AB487" s="68">
        <f t="shared" si="6"/>
        <v>45505</v>
      </c>
      <c r="AC487" s="68">
        <f t="shared" si="7"/>
        <v>45535</v>
      </c>
      <c r="AD487" s="68">
        <f t="shared" si="8"/>
        <v>45534</v>
      </c>
      <c r="AE487" s="68">
        <f t="shared" si="9"/>
        <v>45535</v>
      </c>
    </row>
    <row r="488" spans="1:31" ht="12.5">
      <c r="A488" s="125">
        <v>610423110183</v>
      </c>
      <c r="B488" s="64" t="s">
        <v>34</v>
      </c>
      <c r="D488" s="10">
        <f t="array" aca="1" ref="D488" ca="1">INDEX('Mitra per Bulan'!$M$2:$M800,MATCH(S488,'Mitra per Bulan'!$B$2:$B800,0))</f>
        <v>1</v>
      </c>
      <c r="E488" s="10" t="str">
        <f t="array" ref="E488">INDEX('Database Mitra'!$A$2:$A800,MATCH(A488,'Database Mitra'!$B$2:$B800,0))</f>
        <v>Azhar</v>
      </c>
      <c r="F488" s="65" t="s">
        <v>25</v>
      </c>
      <c r="G488" s="5" t="str">
        <f t="array" ref="G488">INDEX('Database Mitra'!$G$2:$G800,MATCH(A488,'Database Mitra'!$B$2:$B800,0))</f>
        <v>6102081211790004</v>
      </c>
      <c r="H488" s="64" t="s">
        <v>84</v>
      </c>
      <c r="I488" s="65" t="str">
        <f t="shared" si="19"/>
        <v>KSA24-LAPANGAN-AGUSTUS-PPL-KSA PADI</v>
      </c>
      <c r="J488" s="10" t="str">
        <f t="array" ref="J488">INDEX(Honor!$H$2:$H800,MATCH($I488,Honor!$A$2:$A800,0))</f>
        <v>Segmen</v>
      </c>
      <c r="K488" s="66">
        <f t="array" ref="K488">INDEX(Honor!$I$2:$I800,MATCH($I488,Honor!$A$2:$A800,0))</f>
        <v>116000</v>
      </c>
      <c r="L488" s="64">
        <v>6</v>
      </c>
      <c r="M488" s="10">
        <f t="shared" si="0"/>
        <v>696000</v>
      </c>
      <c r="O488" s="67">
        <f t="array" ref="O488">INDEX(Honor!$L$2:$L800,MATCH($I488,Honor!$A$2:$A800,0))</f>
        <v>45535</v>
      </c>
      <c r="P488" s="10">
        <f t="shared" si="1"/>
        <v>2024</v>
      </c>
      <c r="Q488" s="10">
        <f t="shared" si="2"/>
        <v>8</v>
      </c>
      <c r="R488" s="10" t="str">
        <f t="array" ref="R488">INDEX(Honor!$Q$2:$Q800,MATCH($I488,Honor!$A$2:$A800,0))</f>
        <v>SURVEI-PPL</v>
      </c>
      <c r="S488" s="10" t="str">
        <f t="shared" si="3"/>
        <v>610423110183-2024-8</v>
      </c>
      <c r="T488" s="10" t="str">
        <f t="shared" si="4"/>
        <v>610423110183-2024-8-SURVEI-PPL</v>
      </c>
      <c r="U488" s="64">
        <v>0</v>
      </c>
      <c r="V488" s="10" t="e">
        <f t="array" aca="1" ref="V488" ca="1">INDEX(Honor!$O$2:$O800,MATCH($I488,Honor!$A$2:$A800,0))</f>
        <v>#NAME?</v>
      </c>
      <c r="W488" s="67"/>
      <c r="X488" s="7" t="str">
        <f t="array" ref="X488">INDEX('Input Kegiatan'!$B$2:$B800,MATCH(B488,'Input Kegiatan'!$A$2:$A800,0))</f>
        <v>Kerangka Sampel Area (KSA) 2024 Agustus</v>
      </c>
      <c r="Y488" s="7" t="s">
        <v>3241</v>
      </c>
      <c r="Z488" s="7" t="s">
        <v>3242</v>
      </c>
      <c r="AA488" s="68">
        <f t="shared" si="5"/>
        <v>45504</v>
      </c>
      <c r="AB488" s="68">
        <f t="shared" si="6"/>
        <v>45505</v>
      </c>
      <c r="AC488" s="68">
        <f t="shared" si="7"/>
        <v>45535</v>
      </c>
      <c r="AD488" s="68">
        <f t="shared" si="8"/>
        <v>45534</v>
      </c>
      <c r="AE488" s="68">
        <f t="shared" si="9"/>
        <v>45535</v>
      </c>
    </row>
    <row r="489" spans="1:31" ht="12.5">
      <c r="A489" s="125">
        <v>610423040018</v>
      </c>
      <c r="B489" s="64" t="s">
        <v>34</v>
      </c>
      <c r="D489" s="10">
        <f t="array" aca="1" ref="D489" ca="1">INDEX('Mitra per Bulan'!$M$2:$M800,MATCH(S489,'Mitra per Bulan'!$B$2:$B800,0))</f>
        <v>1</v>
      </c>
      <c r="E489" s="10" t="str">
        <f t="array" ref="E489">INDEX('Database Mitra'!$A$2:$A800,MATCH(A489,'Database Mitra'!$B$2:$B800,0))</f>
        <v>Handoko Tuah Sabarman Sipayung</v>
      </c>
      <c r="F489" s="64" t="s">
        <v>25</v>
      </c>
      <c r="G489" s="5" t="str">
        <f t="array" ref="G489">INDEX('Database Mitra'!$G$2:$G800,MATCH(A489,'Database Mitra'!$B$2:$B800,0))</f>
        <v>1212092309880001</v>
      </c>
      <c r="H489" s="64" t="s">
        <v>84</v>
      </c>
      <c r="I489" s="65" t="str">
        <f t="shared" si="19"/>
        <v>KSA24-LAPANGAN-AGUSTUS-PPL-KSA PADI</v>
      </c>
      <c r="J489" s="10" t="str">
        <f t="array" ref="J489">INDEX(Honor!$H$2:$H800,MATCH($I489,Honor!$A$2:$A800,0))</f>
        <v>Segmen</v>
      </c>
      <c r="K489" s="66">
        <f t="array" ref="K489">INDEX(Honor!$I$2:$I800,MATCH($I489,Honor!$A$2:$A800,0))</f>
        <v>116000</v>
      </c>
      <c r="L489" s="64">
        <v>4</v>
      </c>
      <c r="M489" s="10">
        <f t="shared" si="0"/>
        <v>464000</v>
      </c>
      <c r="O489" s="67">
        <f t="array" ref="O489">INDEX(Honor!$L$2:$L800,MATCH($I489,Honor!$A$2:$A800,0))</f>
        <v>45535</v>
      </c>
      <c r="P489" s="10">
        <f t="shared" si="1"/>
        <v>2024</v>
      </c>
      <c r="Q489" s="10">
        <f t="shared" si="2"/>
        <v>8</v>
      </c>
      <c r="R489" s="10" t="str">
        <f t="array" ref="R489">INDEX(Honor!$Q$2:$Q800,MATCH($I489,Honor!$A$2:$A800,0))</f>
        <v>SURVEI-PPL</v>
      </c>
      <c r="S489" s="10" t="str">
        <f t="shared" si="3"/>
        <v>610423040018-2024-8</v>
      </c>
      <c r="T489" s="10" t="str">
        <f t="shared" si="4"/>
        <v>610423040018-2024-8-SURVEI-PPL</v>
      </c>
      <c r="U489" s="64">
        <v>0</v>
      </c>
      <c r="V489" s="10" t="e">
        <f t="array" aca="1" ref="V489" ca="1">INDEX(Honor!$O$2:$O800,MATCH($I489,Honor!$A$2:$A800,0))</f>
        <v>#NAME?</v>
      </c>
      <c r="W489" s="67"/>
      <c r="X489" s="7" t="str">
        <f t="array" ref="X489">INDEX('Input Kegiatan'!$B$2:$B800,MATCH(B489,'Input Kegiatan'!$A$2:$A800,0))</f>
        <v>Kerangka Sampel Area (KSA) 2024 Agustus</v>
      </c>
      <c r="Y489" s="7" t="s">
        <v>5534</v>
      </c>
      <c r="Z489" s="7" t="s">
        <v>5647</v>
      </c>
      <c r="AA489" s="68">
        <f t="shared" si="5"/>
        <v>45504</v>
      </c>
      <c r="AB489" s="68">
        <f t="shared" si="6"/>
        <v>45505</v>
      </c>
      <c r="AC489" s="68">
        <f t="shared" si="7"/>
        <v>45535</v>
      </c>
      <c r="AD489" s="68">
        <f t="shared" si="8"/>
        <v>45534</v>
      </c>
      <c r="AE489" s="68">
        <f t="shared" si="9"/>
        <v>45535</v>
      </c>
    </row>
    <row r="490" spans="1:31" ht="12.5">
      <c r="A490" s="125">
        <v>610422040059</v>
      </c>
      <c r="B490" s="64" t="s">
        <v>34</v>
      </c>
      <c r="D490" s="10">
        <f t="array" aca="1" ref="D490" ca="1">INDEX('Mitra per Bulan'!$M$2:$M800,MATCH(S490,'Mitra per Bulan'!$B$2:$B800,0))</f>
        <v>1</v>
      </c>
      <c r="E490" s="10" t="str">
        <f t="array" ref="E490">INDEX('Database Mitra'!$A$2:$A800,MATCH(A490,'Database Mitra'!$B$2:$B800,0))</f>
        <v>Abang Handri</v>
      </c>
      <c r="F490" s="64" t="s">
        <v>25</v>
      </c>
      <c r="G490" s="5" t="str">
        <f t="array" ref="G490">INDEX('Database Mitra'!$G$2:$G800,MATCH(A490,'Database Mitra'!$B$2:$B800,0))</f>
        <v>6102072211780002</v>
      </c>
      <c r="H490" s="64" t="s">
        <v>85</v>
      </c>
      <c r="I490" s="65" t="str">
        <f t="shared" si="19"/>
        <v>KSA24-LAPANGAN-AGUSTUS-PPL-KSA JAGUNG</v>
      </c>
      <c r="J490" s="10" t="str">
        <f t="array" ref="J490">INDEX(Honor!$H$2:$H800,MATCH($I490,Honor!$A$2:$A800,0))</f>
        <v>Segmen</v>
      </c>
      <c r="K490" s="66">
        <f t="array" ref="K490">INDEX(Honor!$I$2:$I800,MATCH($I490,Honor!$A$2:$A800,0))</f>
        <v>59000</v>
      </c>
      <c r="L490" s="64">
        <v>6</v>
      </c>
      <c r="M490" s="10">
        <f t="shared" si="0"/>
        <v>354000</v>
      </c>
      <c r="O490" s="67">
        <f t="array" ref="O490">INDEX(Honor!$L$2:$L800,MATCH($I490,Honor!$A$2:$A800,0))</f>
        <v>45535</v>
      </c>
      <c r="P490" s="10">
        <f t="shared" si="1"/>
        <v>2024</v>
      </c>
      <c r="Q490" s="10">
        <f t="shared" si="2"/>
        <v>8</v>
      </c>
      <c r="R490" s="10" t="str">
        <f t="array" ref="R490">INDEX(Honor!$Q$2:$Q800,MATCH($I490,Honor!$A$2:$A800,0))</f>
        <v>SURVEI-PPL</v>
      </c>
      <c r="S490" s="10" t="str">
        <f t="shared" si="3"/>
        <v>610422040059-2024-8</v>
      </c>
      <c r="T490" s="10" t="str">
        <f t="shared" si="4"/>
        <v>610422040059-2024-8-SURVEI-PPL</v>
      </c>
      <c r="U490" s="64">
        <v>0</v>
      </c>
      <c r="V490" s="10" t="e">
        <f t="array" aca="1" ref="V490" ca="1">INDEX(Honor!$O$2:$O800,MATCH($I490,Honor!$A$2:$A800,0))</f>
        <v>#NAME?</v>
      </c>
      <c r="W490" s="67"/>
      <c r="X490" s="7" t="str">
        <f t="array" ref="X490">INDEX('Input Kegiatan'!$B$2:$B800,MATCH(B490,'Input Kegiatan'!$A$2:$A800,0))</f>
        <v>Kerangka Sampel Area (KSA) 2024 Agustus</v>
      </c>
      <c r="Y490" s="7" t="s">
        <v>4572</v>
      </c>
      <c r="Z490" s="7" t="s">
        <v>4656</v>
      </c>
      <c r="AA490" s="68">
        <f t="shared" si="5"/>
        <v>45504</v>
      </c>
      <c r="AB490" s="68">
        <f t="shared" si="6"/>
        <v>45505</v>
      </c>
      <c r="AC490" s="68">
        <f t="shared" si="7"/>
        <v>45535</v>
      </c>
      <c r="AD490" s="68">
        <f t="shared" si="8"/>
        <v>45534</v>
      </c>
      <c r="AE490" s="68">
        <f t="shared" si="9"/>
        <v>45535</v>
      </c>
    </row>
    <row r="491" spans="1:31" ht="12.5">
      <c r="A491" s="125">
        <v>610422020048</v>
      </c>
      <c r="B491" s="64" t="s">
        <v>34</v>
      </c>
      <c r="D491" s="10">
        <f t="array" aca="1" ref="D491" ca="1">INDEX('Mitra per Bulan'!$M$2:$M800,MATCH(S491,'Mitra per Bulan'!$B$2:$B800,0))</f>
        <v>1</v>
      </c>
      <c r="E491" s="10" t="str">
        <f t="array" ref="E491">INDEX('Database Mitra'!$A$2:$A800,MATCH(A491,'Database Mitra'!$B$2:$B800,0))</f>
        <v>Herri Gustaman</v>
      </c>
      <c r="F491" s="64" t="s">
        <v>25</v>
      </c>
      <c r="G491" s="5" t="str">
        <f t="array" ref="G491">INDEX('Database Mitra'!$G$2:$G800,MATCH(A491,'Database Mitra'!$B$2:$B800,0))</f>
        <v>6102072503800001</v>
      </c>
      <c r="H491" s="64" t="s">
        <v>85</v>
      </c>
      <c r="I491" s="65" t="str">
        <f t="shared" si="19"/>
        <v>KSA24-LAPANGAN-AGUSTUS-PPL-KSA JAGUNG</v>
      </c>
      <c r="J491" s="10" t="str">
        <f t="array" ref="J491">INDEX(Honor!$H$2:$H800,MATCH($I491,Honor!$A$2:$A800,0))</f>
        <v>Segmen</v>
      </c>
      <c r="K491" s="66">
        <f t="array" ref="K491">INDEX(Honor!$I$2:$I800,MATCH($I491,Honor!$A$2:$A800,0))</f>
        <v>59000</v>
      </c>
      <c r="L491" s="64">
        <v>6</v>
      </c>
      <c r="M491" s="10">
        <f t="shared" si="0"/>
        <v>354000</v>
      </c>
      <c r="O491" s="67">
        <f t="array" ref="O491">INDEX(Honor!$L$2:$L800,MATCH($I491,Honor!$A$2:$A800,0))</f>
        <v>45535</v>
      </c>
      <c r="P491" s="10">
        <f t="shared" si="1"/>
        <v>2024</v>
      </c>
      <c r="Q491" s="10">
        <f t="shared" si="2"/>
        <v>8</v>
      </c>
      <c r="R491" s="10" t="str">
        <f t="array" ref="R491">INDEX(Honor!$Q$2:$Q800,MATCH($I491,Honor!$A$2:$A800,0))</f>
        <v>SURVEI-PPL</v>
      </c>
      <c r="S491" s="10" t="str">
        <f t="shared" si="3"/>
        <v>610422020048-2024-8</v>
      </c>
      <c r="T491" s="10" t="str">
        <f t="shared" si="4"/>
        <v>610422020048-2024-8-SURVEI-PPL</v>
      </c>
      <c r="U491" s="64">
        <v>0</v>
      </c>
      <c r="V491" s="10" t="e">
        <f t="array" aca="1" ref="V491" ca="1">INDEX(Honor!$O$2:$O800,MATCH($I491,Honor!$A$2:$A800,0))</f>
        <v>#NAME?</v>
      </c>
      <c r="W491" s="67"/>
      <c r="X491" s="7" t="str">
        <f t="array" ref="X491">INDEX('Input Kegiatan'!$B$2:$B800,MATCH(B491,'Input Kegiatan'!$A$2:$A800,0))</f>
        <v>Kerangka Sampel Area (KSA) 2024 Agustus</v>
      </c>
      <c r="Y491" s="7" t="s">
        <v>4931</v>
      </c>
      <c r="Z491" s="7" t="s">
        <v>5171</v>
      </c>
      <c r="AA491" s="68">
        <f t="shared" si="5"/>
        <v>45504</v>
      </c>
      <c r="AB491" s="68">
        <f t="shared" si="6"/>
        <v>45505</v>
      </c>
      <c r="AC491" s="68">
        <f t="shared" si="7"/>
        <v>45535</v>
      </c>
      <c r="AD491" s="68">
        <f t="shared" si="8"/>
        <v>45534</v>
      </c>
      <c r="AE491" s="68">
        <f t="shared" si="9"/>
        <v>45535</v>
      </c>
    </row>
    <row r="492" spans="1:31" ht="12.5">
      <c r="A492" s="125">
        <v>610422040058</v>
      </c>
      <c r="B492" s="64" t="s">
        <v>34</v>
      </c>
      <c r="D492" s="10">
        <f t="array" aca="1" ref="D492" ca="1">INDEX('Mitra per Bulan'!$M$2:$M800,MATCH(S492,'Mitra per Bulan'!$B$2:$B800,0))</f>
        <v>1</v>
      </c>
      <c r="E492" s="10" t="str">
        <f t="array" ref="E492">INDEX('Database Mitra'!$A$2:$A800,MATCH(A492,'Database Mitra'!$B$2:$B800,0))</f>
        <v>Jamaluddin, Sp</v>
      </c>
      <c r="F492" s="64" t="s">
        <v>25</v>
      </c>
      <c r="G492" s="5" t="str">
        <f t="array" ref="G492">INDEX('Database Mitra'!$G$2:$G800,MATCH(A492,'Database Mitra'!$B$2:$B800,0))</f>
        <v>6102152607940002</v>
      </c>
      <c r="H492" s="64" t="s">
        <v>85</v>
      </c>
      <c r="I492" s="65" t="str">
        <f t="shared" si="19"/>
        <v>KSA24-LAPANGAN-AGUSTUS-PPL-KSA JAGUNG</v>
      </c>
      <c r="J492" s="10" t="str">
        <f t="array" ref="J492">INDEX(Honor!$H$2:$H800,MATCH($I492,Honor!$A$2:$A800,0))</f>
        <v>Segmen</v>
      </c>
      <c r="K492" s="66">
        <f t="array" ref="K492">INDEX(Honor!$I$2:$I800,MATCH($I492,Honor!$A$2:$A800,0))</f>
        <v>59000</v>
      </c>
      <c r="L492" s="64">
        <v>10</v>
      </c>
      <c r="M492" s="10">
        <f t="shared" si="0"/>
        <v>590000</v>
      </c>
      <c r="O492" s="67">
        <f t="array" ref="O492">INDEX(Honor!$L$2:$L800,MATCH($I492,Honor!$A$2:$A800,0))</f>
        <v>45535</v>
      </c>
      <c r="P492" s="10">
        <f t="shared" si="1"/>
        <v>2024</v>
      </c>
      <c r="Q492" s="10">
        <f t="shared" si="2"/>
        <v>8</v>
      </c>
      <c r="R492" s="10" t="str">
        <f t="array" ref="R492">INDEX(Honor!$Q$2:$Q800,MATCH($I492,Honor!$A$2:$A800,0))</f>
        <v>SURVEI-PPL</v>
      </c>
      <c r="S492" s="10" t="str">
        <f t="shared" si="3"/>
        <v>610422040058-2024-8</v>
      </c>
      <c r="T492" s="10" t="str">
        <f t="shared" si="4"/>
        <v>610422040058-2024-8-SURVEI-PPL</v>
      </c>
      <c r="U492" s="64">
        <v>0</v>
      </c>
      <c r="V492" s="10" t="e">
        <f t="array" aca="1" ref="V492" ca="1">INDEX(Honor!$O$2:$O800,MATCH($I492,Honor!$A$2:$A800,0))</f>
        <v>#NAME?</v>
      </c>
      <c r="W492" s="67"/>
      <c r="X492" s="7" t="str">
        <f t="array" ref="X492">INDEX('Input Kegiatan'!$B$2:$B800,MATCH(B492,'Input Kegiatan'!$A$2:$A800,0))</f>
        <v>Kerangka Sampel Area (KSA) 2024 Agustus</v>
      </c>
      <c r="Y492" s="7" t="s">
        <v>3715</v>
      </c>
      <c r="Z492" s="7" t="s">
        <v>3716</v>
      </c>
      <c r="AA492" s="68">
        <f t="shared" si="5"/>
        <v>45504</v>
      </c>
      <c r="AB492" s="68">
        <f t="shared" si="6"/>
        <v>45505</v>
      </c>
      <c r="AC492" s="68">
        <f t="shared" si="7"/>
        <v>45535</v>
      </c>
      <c r="AD492" s="68">
        <f t="shared" si="8"/>
        <v>45534</v>
      </c>
      <c r="AE492" s="68">
        <f t="shared" si="9"/>
        <v>45535</v>
      </c>
    </row>
    <row r="493" spans="1:31" ht="12.5">
      <c r="A493" s="125">
        <v>610423110183</v>
      </c>
      <c r="B493" s="64" t="s">
        <v>34</v>
      </c>
      <c r="D493" s="10">
        <f t="array" aca="1" ref="D493" ca="1">INDEX('Mitra per Bulan'!$M$2:$M800,MATCH(S493,'Mitra per Bulan'!$B$2:$B800,0))</f>
        <v>1</v>
      </c>
      <c r="E493" s="10" t="str">
        <f t="array" ref="E493">INDEX('Database Mitra'!$A$2:$A800,MATCH(A493,'Database Mitra'!$B$2:$B800,0))</f>
        <v>Azhar</v>
      </c>
      <c r="F493" s="64" t="s">
        <v>25</v>
      </c>
      <c r="G493" s="5" t="str">
        <f t="array" ref="G493">INDEX('Database Mitra'!$G$2:$G800,MATCH(A493,'Database Mitra'!$B$2:$B800,0))</f>
        <v>6102081211790004</v>
      </c>
      <c r="H493" s="64" t="s">
        <v>85</v>
      </c>
      <c r="I493" s="65" t="str">
        <f t="shared" si="19"/>
        <v>KSA24-LAPANGAN-AGUSTUS-PPL-KSA JAGUNG</v>
      </c>
      <c r="J493" s="10" t="str">
        <f t="array" ref="J493">INDEX(Honor!$H$2:$H800,MATCH($I493,Honor!$A$2:$A800,0))</f>
        <v>Segmen</v>
      </c>
      <c r="K493" s="66">
        <f t="array" ref="K493">INDEX(Honor!$I$2:$I800,MATCH($I493,Honor!$A$2:$A800,0))</f>
        <v>59000</v>
      </c>
      <c r="L493" s="64">
        <v>6</v>
      </c>
      <c r="M493" s="10">
        <f t="shared" si="0"/>
        <v>354000</v>
      </c>
      <c r="O493" s="67">
        <f t="array" ref="O493">INDEX(Honor!$L$2:$L800,MATCH($I493,Honor!$A$2:$A800,0))</f>
        <v>45535</v>
      </c>
      <c r="P493" s="10">
        <f t="shared" si="1"/>
        <v>2024</v>
      </c>
      <c r="Q493" s="10">
        <f t="shared" si="2"/>
        <v>8</v>
      </c>
      <c r="R493" s="10" t="str">
        <f t="array" ref="R493">INDEX(Honor!$Q$2:$Q800,MATCH($I493,Honor!$A$2:$A800,0))</f>
        <v>SURVEI-PPL</v>
      </c>
      <c r="S493" s="10" t="str">
        <f t="shared" si="3"/>
        <v>610423110183-2024-8</v>
      </c>
      <c r="T493" s="10" t="str">
        <f t="shared" si="4"/>
        <v>610423110183-2024-8-SURVEI-PPL</v>
      </c>
      <c r="U493" s="64">
        <v>0</v>
      </c>
      <c r="V493" s="10" t="e">
        <f t="array" aca="1" ref="V493" ca="1">INDEX(Honor!$O$2:$O800,MATCH($I493,Honor!$A$2:$A800,0))</f>
        <v>#NAME?</v>
      </c>
      <c r="W493" s="67"/>
      <c r="X493" s="7" t="str">
        <f t="array" ref="X493">INDEX('Input Kegiatan'!$B$2:$B800,MATCH(B493,'Input Kegiatan'!$A$2:$A800,0))</f>
        <v>Kerangka Sampel Area (KSA) 2024 Agustus</v>
      </c>
      <c r="Y493" s="7" t="s">
        <v>3241</v>
      </c>
      <c r="Z493" s="7" t="s">
        <v>3242</v>
      </c>
      <c r="AA493" s="68">
        <f t="shared" si="5"/>
        <v>45504</v>
      </c>
      <c r="AB493" s="68">
        <f t="shared" si="6"/>
        <v>45505</v>
      </c>
      <c r="AC493" s="68">
        <f t="shared" si="7"/>
        <v>45535</v>
      </c>
      <c r="AD493" s="68">
        <f t="shared" si="8"/>
        <v>45534</v>
      </c>
      <c r="AE493" s="68">
        <f t="shared" si="9"/>
        <v>45535</v>
      </c>
    </row>
    <row r="494" spans="1:31" ht="12.5">
      <c r="A494" s="125">
        <v>610422100244</v>
      </c>
      <c r="B494" s="64" t="s">
        <v>34</v>
      </c>
      <c r="D494" s="10">
        <f t="array" aca="1" ref="D494" ca="1">INDEX('Mitra per Bulan'!$M$2:$M800,MATCH(S494,'Mitra per Bulan'!$B$2:$B800,0))</f>
        <v>1</v>
      </c>
      <c r="E494" s="10" t="str">
        <f t="array" ref="E494">INDEX('Database Mitra'!$A$2:$A800,MATCH(A494,'Database Mitra'!$B$2:$B800,0))</f>
        <v>Sugianto</v>
      </c>
      <c r="F494" s="64" t="s">
        <v>25</v>
      </c>
      <c r="G494" s="5" t="str">
        <f t="array" ref="G494">INDEX('Database Mitra'!$G$2:$G800,MATCH(A494,'Database Mitra'!$B$2:$B800,0))</f>
        <v>6102171003900002</v>
      </c>
      <c r="H494" s="64" t="s">
        <v>85</v>
      </c>
      <c r="I494" s="65" t="str">
        <f t="shared" si="19"/>
        <v>KSA24-LAPANGAN-AGUSTUS-PPL-KSA JAGUNG</v>
      </c>
      <c r="J494" s="10" t="str">
        <f t="array" ref="J494">INDEX(Honor!$H$2:$H800,MATCH($I494,Honor!$A$2:$A800,0))</f>
        <v>Segmen</v>
      </c>
      <c r="K494" s="66">
        <f t="array" ref="K494">INDEX(Honor!$I$2:$I800,MATCH($I494,Honor!$A$2:$A800,0))</f>
        <v>59000</v>
      </c>
      <c r="L494" s="64">
        <v>8</v>
      </c>
      <c r="M494" s="10">
        <f t="shared" si="0"/>
        <v>472000</v>
      </c>
      <c r="O494" s="67">
        <f t="array" ref="O494">INDEX(Honor!$L$2:$L800,MATCH($I494,Honor!$A$2:$A800,0))</f>
        <v>45535</v>
      </c>
      <c r="P494" s="10">
        <f t="shared" si="1"/>
        <v>2024</v>
      </c>
      <c r="Q494" s="10">
        <f t="shared" si="2"/>
        <v>8</v>
      </c>
      <c r="R494" s="10" t="str">
        <f t="array" ref="R494">INDEX(Honor!$Q$2:$Q800,MATCH($I494,Honor!$A$2:$A800,0))</f>
        <v>SURVEI-PPL</v>
      </c>
      <c r="S494" s="10" t="str">
        <f t="shared" si="3"/>
        <v>610422100244-2024-8</v>
      </c>
      <c r="T494" s="10" t="str">
        <f t="shared" si="4"/>
        <v>610422100244-2024-8-SURVEI-PPL</v>
      </c>
      <c r="U494" s="64">
        <v>0</v>
      </c>
      <c r="V494" s="10" t="e">
        <f t="array" aca="1" ref="V494" ca="1">INDEX(Honor!$O$2:$O800,MATCH($I494,Honor!$A$2:$A800,0))</f>
        <v>#NAME?</v>
      </c>
      <c r="W494" s="67"/>
      <c r="X494" s="7" t="str">
        <f t="array" ref="X494">INDEX('Input Kegiatan'!$B$2:$B800,MATCH(B494,'Input Kegiatan'!$A$2:$A800,0))</f>
        <v>Kerangka Sampel Area (KSA) 2024 Agustus</v>
      </c>
      <c r="Y494" s="7" t="s">
        <v>5741</v>
      </c>
      <c r="Z494" s="7" t="s">
        <v>5796</v>
      </c>
      <c r="AA494" s="68">
        <f t="shared" si="5"/>
        <v>45504</v>
      </c>
      <c r="AB494" s="68">
        <f t="shared" si="6"/>
        <v>45505</v>
      </c>
      <c r="AC494" s="68">
        <f t="shared" si="7"/>
        <v>45535</v>
      </c>
      <c r="AD494" s="68">
        <f t="shared" si="8"/>
        <v>45534</v>
      </c>
      <c r="AE494" s="68">
        <f t="shared" si="9"/>
        <v>45535</v>
      </c>
    </row>
    <row r="495" spans="1:31" ht="12.5">
      <c r="A495" s="125">
        <v>610422030001</v>
      </c>
      <c r="B495" s="64" t="s">
        <v>227</v>
      </c>
      <c r="D495" s="10">
        <f t="array" aca="1" ref="D495" ca="1">INDEX('Mitra per Bulan'!$M$2:$M800,MATCH(S495,'Mitra per Bulan'!$B$2:$B800,0))</f>
        <v>1</v>
      </c>
      <c r="E495" s="10" t="str">
        <f t="array" ref="E495">INDEX('Database Mitra'!$A$2:$A800,MATCH(A495,'Database Mitra'!$B$2:$B800,0))</f>
        <v>Pitra,Sp</v>
      </c>
      <c r="F495" s="64" t="s">
        <v>25</v>
      </c>
      <c r="G495" s="5" t="str">
        <f t="array" ref="G495">INDEX('Database Mitra'!$G$2:$G800,MATCH(A495,'Database Mitra'!$B$2:$B800,0))</f>
        <v>6102010808800006</v>
      </c>
      <c r="H495" s="64" t="s">
        <v>67</v>
      </c>
      <c r="I495" s="65" t="s">
        <v>228</v>
      </c>
      <c r="J495" s="10" t="str">
        <f t="array" ref="J495">INDEX(Honor!$H$2:$H800,MATCH($I495,Honor!$A$2:$A800,0))</f>
        <v>Dokumen</v>
      </c>
      <c r="K495" s="66">
        <f t="array" ref="K495">INDEX(Honor!$I$2:$I800,MATCH($I495,Honor!$A$2:$A800,0))</f>
        <v>66000</v>
      </c>
      <c r="L495" s="64">
        <v>29</v>
      </c>
      <c r="M495" s="10">
        <f t="shared" si="0"/>
        <v>1914000</v>
      </c>
      <c r="O495" s="67">
        <f t="array" ref="O495">INDEX(Honor!$L$2:$L800,MATCH($I495,Honor!$A$2:$A800,0))</f>
        <v>45535</v>
      </c>
      <c r="P495" s="10">
        <f t="shared" si="1"/>
        <v>2024</v>
      </c>
      <c r="Q495" s="10">
        <f t="shared" si="2"/>
        <v>8</v>
      </c>
      <c r="R495" s="10" t="str">
        <f t="array" ref="R495">INDEX(Honor!$Q$2:$Q800,MATCH($I495,Honor!$A$2:$A800,0))</f>
        <v>SURVEI-PPL</v>
      </c>
      <c r="S495" s="10" t="str">
        <f t="shared" si="3"/>
        <v>610422030001-2024-8</v>
      </c>
      <c r="T495" s="10" t="str">
        <f t="shared" si="4"/>
        <v>610422030001-2024-8-SURVEI-PPL</v>
      </c>
      <c r="U495" s="64"/>
      <c r="V495" s="10" t="e">
        <f t="array" aca="1" ref="V495" ca="1">INDEX(Honor!$O$2:$O800,MATCH($I495,Honor!$A$2:$A800,0))</f>
        <v>#NAME?</v>
      </c>
      <c r="W495" s="67"/>
      <c r="X495" s="7" t="str">
        <f t="array" ref="X495">INDEX('Input Kegiatan'!$B$2:$B800,MATCH(B495,'Input Kegiatan'!$A$2:$A800,0))</f>
        <v>Sakernas Agustus 2024</v>
      </c>
      <c r="Y495" s="7" t="s">
        <v>3715</v>
      </c>
      <c r="Z495" s="7" t="s">
        <v>3716</v>
      </c>
      <c r="AA495" s="68">
        <f t="shared" si="5"/>
        <v>45504</v>
      </c>
      <c r="AB495" s="68">
        <f t="shared" si="6"/>
        <v>45505</v>
      </c>
      <c r="AC495" s="68">
        <f t="shared" si="7"/>
        <v>45535</v>
      </c>
      <c r="AD495" s="68">
        <f t="shared" si="8"/>
        <v>45534</v>
      </c>
      <c r="AE495" s="68">
        <f t="shared" si="9"/>
        <v>45535</v>
      </c>
    </row>
    <row r="496" spans="1:31" ht="12.5">
      <c r="A496" s="126">
        <v>610422040029</v>
      </c>
      <c r="B496" s="64" t="s">
        <v>227</v>
      </c>
      <c r="D496" s="10">
        <f t="array" aca="1" ref="D496" ca="1">INDEX('Mitra per Bulan'!$M$2:$M800,MATCH(S496,'Mitra per Bulan'!$B$2:$B800,0))</f>
        <v>1</v>
      </c>
      <c r="E496" s="10" t="str">
        <f t="array" ref="E496">INDEX('Database Mitra'!$A$2:$A800,MATCH(A496,'Database Mitra'!$B$2:$B800,0))</f>
        <v>Zaini</v>
      </c>
      <c r="F496" s="64" t="s">
        <v>25</v>
      </c>
      <c r="G496" s="5" t="str">
        <f t="array" ref="G496">INDEX('Database Mitra'!$G$2:$G800,MATCH(A496,'Database Mitra'!$B$2:$B800,0))</f>
        <v>6102010607870002</v>
      </c>
      <c r="H496" s="64" t="s">
        <v>67</v>
      </c>
      <c r="I496" s="65" t="s">
        <v>228</v>
      </c>
      <c r="J496" s="10" t="str">
        <f t="array" ref="J496">INDEX(Honor!$H$2:$H800,MATCH($I496,Honor!$A$2:$A800,0))</f>
        <v>Dokumen</v>
      </c>
      <c r="K496" s="66">
        <f t="array" ref="K496">INDEX(Honor!$I$2:$I800,MATCH($I496,Honor!$A$2:$A800,0))</f>
        <v>66000</v>
      </c>
      <c r="L496" s="64">
        <v>30</v>
      </c>
      <c r="M496" s="10">
        <f t="shared" si="0"/>
        <v>1980000</v>
      </c>
      <c r="O496" s="67">
        <f t="array" ref="O496">INDEX(Honor!$L$2:$L800,MATCH($I496,Honor!$A$2:$A800,0))</f>
        <v>45535</v>
      </c>
      <c r="P496" s="10">
        <f t="shared" si="1"/>
        <v>2024</v>
      </c>
      <c r="Q496" s="10">
        <f t="shared" si="2"/>
        <v>8</v>
      </c>
      <c r="R496" s="10" t="str">
        <f t="array" ref="R496">INDEX(Honor!$Q$2:$Q800,MATCH($I496,Honor!$A$2:$A800,0))</f>
        <v>SURVEI-PPL</v>
      </c>
      <c r="S496" s="10" t="str">
        <f t="shared" si="3"/>
        <v>610422040029-2024-8</v>
      </c>
      <c r="T496" s="10" t="str">
        <f t="shared" si="4"/>
        <v>610422040029-2024-8-SURVEI-PPL</v>
      </c>
      <c r="U496" s="64"/>
      <c r="V496" s="10" t="e">
        <f t="array" aca="1" ref="V496" ca="1">INDEX(Honor!$O$2:$O800,MATCH($I496,Honor!$A$2:$A800,0))</f>
        <v>#NAME?</v>
      </c>
      <c r="W496" s="67"/>
      <c r="X496" s="7" t="str">
        <f t="array" ref="X496">INDEX('Input Kegiatan'!$B$2:$B800,MATCH(B496,'Input Kegiatan'!$A$2:$A800,0))</f>
        <v>Sakernas Agustus 2024</v>
      </c>
      <c r="Y496" s="7" t="s">
        <v>4572</v>
      </c>
      <c r="Z496" s="7" t="s">
        <v>4619</v>
      </c>
      <c r="AA496" s="68">
        <f t="shared" si="5"/>
        <v>45504</v>
      </c>
      <c r="AB496" s="68">
        <f t="shared" si="6"/>
        <v>45505</v>
      </c>
      <c r="AC496" s="68">
        <f t="shared" si="7"/>
        <v>45535</v>
      </c>
      <c r="AD496" s="68">
        <f t="shared" si="8"/>
        <v>45534</v>
      </c>
      <c r="AE496" s="68">
        <f t="shared" si="9"/>
        <v>45535</v>
      </c>
    </row>
    <row r="497" spans="1:31" ht="12.5">
      <c r="A497" s="126">
        <v>610422100086</v>
      </c>
      <c r="B497" s="64" t="s">
        <v>227</v>
      </c>
      <c r="D497" s="10">
        <f t="array" aca="1" ref="D497" ca="1">INDEX('Mitra per Bulan'!$M$2:$M800,MATCH(S497,'Mitra per Bulan'!$B$2:$B800,0))</f>
        <v>1</v>
      </c>
      <c r="E497" s="10" t="str">
        <f t="array" ref="E497">INDEX('Database Mitra'!$A$2:$A800,MATCH(A497,'Database Mitra'!$B$2:$B800,0))</f>
        <v>Imamul Akhyar</v>
      </c>
      <c r="F497" s="64" t="s">
        <v>25</v>
      </c>
      <c r="G497" s="5" t="str">
        <f t="array" ref="G497">INDEX('Database Mitra'!$G$2:$G800,MATCH(A497,'Database Mitra'!$B$2:$B800,0))</f>
        <v>6102012211930002</v>
      </c>
      <c r="H497" s="64" t="s">
        <v>67</v>
      </c>
      <c r="I497" s="65" t="s">
        <v>228</v>
      </c>
      <c r="J497" s="10" t="str">
        <f t="array" ref="J497">INDEX(Honor!$H$2:$H800,MATCH($I497,Honor!$A$2:$A800,0))</f>
        <v>Dokumen</v>
      </c>
      <c r="K497" s="66">
        <f t="array" ref="K497">INDEX(Honor!$I$2:$I800,MATCH($I497,Honor!$A$2:$A800,0))</f>
        <v>66000</v>
      </c>
      <c r="L497" s="64">
        <v>30</v>
      </c>
      <c r="M497" s="10">
        <f t="shared" si="0"/>
        <v>1980000</v>
      </c>
      <c r="O497" s="67">
        <f t="array" ref="O497">INDEX(Honor!$L$2:$L800,MATCH($I497,Honor!$A$2:$A800,0))</f>
        <v>45535</v>
      </c>
      <c r="P497" s="10">
        <f t="shared" si="1"/>
        <v>2024</v>
      </c>
      <c r="Q497" s="10">
        <f t="shared" si="2"/>
        <v>8</v>
      </c>
      <c r="R497" s="10" t="str">
        <f t="array" ref="R497">INDEX(Honor!$Q$2:$Q800,MATCH($I497,Honor!$A$2:$A800,0))</f>
        <v>SURVEI-PPL</v>
      </c>
      <c r="S497" s="10" t="str">
        <f t="shared" si="3"/>
        <v>610422100086-2024-8</v>
      </c>
      <c r="T497" s="10" t="str">
        <f t="shared" si="4"/>
        <v>610422100086-2024-8-SURVEI-PPL</v>
      </c>
      <c r="U497" s="64"/>
      <c r="V497" s="10" t="e">
        <f t="array" aca="1" ref="V497" ca="1">INDEX(Honor!$O$2:$O800,MATCH($I497,Honor!$A$2:$A800,0))</f>
        <v>#NAME?</v>
      </c>
      <c r="W497" s="67"/>
      <c r="X497" s="7" t="str">
        <f t="array" ref="X497">INDEX('Input Kegiatan'!$B$2:$B800,MATCH(B497,'Input Kegiatan'!$A$2:$A800,0))</f>
        <v>Sakernas Agustus 2024</v>
      </c>
      <c r="Y497" s="7" t="s">
        <v>4572</v>
      </c>
      <c r="Z497" s="7" t="s">
        <v>4841</v>
      </c>
      <c r="AA497" s="68">
        <f t="shared" si="5"/>
        <v>45504</v>
      </c>
      <c r="AB497" s="68">
        <f t="shared" si="6"/>
        <v>45505</v>
      </c>
      <c r="AC497" s="68">
        <f t="shared" si="7"/>
        <v>45535</v>
      </c>
      <c r="AD497" s="68">
        <f t="shared" si="8"/>
        <v>45534</v>
      </c>
      <c r="AE497" s="68">
        <f t="shared" si="9"/>
        <v>45535</v>
      </c>
    </row>
    <row r="498" spans="1:31" ht="12.5">
      <c r="A498" s="126">
        <v>610422040035</v>
      </c>
      <c r="B498" s="64" t="s">
        <v>227</v>
      </c>
      <c r="D498" s="10">
        <f t="array" aca="1" ref="D498" ca="1">INDEX('Mitra per Bulan'!$M$2:$M800,MATCH(S498,'Mitra per Bulan'!$B$2:$B800,0))</f>
        <v>1</v>
      </c>
      <c r="E498" s="10" t="str">
        <f t="array" ref="E498">INDEX('Database Mitra'!$A$2:$A800,MATCH(A498,'Database Mitra'!$B$2:$B800,0))</f>
        <v>Rahmayani</v>
      </c>
      <c r="F498" s="64" t="s">
        <v>25</v>
      </c>
      <c r="G498" s="5" t="str">
        <f t="array" ref="G498">INDEX('Database Mitra'!$G$2:$G800,MATCH(A498,'Database Mitra'!$B$2:$B800,0))</f>
        <v>6102186404970003</v>
      </c>
      <c r="H498" s="64" t="s">
        <v>67</v>
      </c>
      <c r="I498" s="65" t="s">
        <v>228</v>
      </c>
      <c r="J498" s="10" t="str">
        <f t="array" ref="J498">INDEX(Honor!$H$2:$H800,MATCH($I498,Honor!$A$2:$A800,0))</f>
        <v>Dokumen</v>
      </c>
      <c r="K498" s="66">
        <f t="array" ref="K498">INDEX(Honor!$I$2:$I800,MATCH($I498,Honor!$A$2:$A800,0))</f>
        <v>66000</v>
      </c>
      <c r="L498" s="64">
        <v>30</v>
      </c>
      <c r="M498" s="10">
        <f t="shared" si="0"/>
        <v>1980000</v>
      </c>
      <c r="O498" s="67">
        <f t="array" ref="O498">INDEX(Honor!$L$2:$L800,MATCH($I498,Honor!$A$2:$A800,0))</f>
        <v>45535</v>
      </c>
      <c r="P498" s="10">
        <f t="shared" si="1"/>
        <v>2024</v>
      </c>
      <c r="Q498" s="10">
        <f t="shared" si="2"/>
        <v>8</v>
      </c>
      <c r="R498" s="10" t="str">
        <f t="array" ref="R498">INDEX(Honor!$Q$2:$Q800,MATCH($I498,Honor!$A$2:$A800,0))</f>
        <v>SURVEI-PPL</v>
      </c>
      <c r="S498" s="10" t="str">
        <f t="shared" si="3"/>
        <v>610422040035-2024-8</v>
      </c>
      <c r="T498" s="10" t="str">
        <f t="shared" si="4"/>
        <v>610422040035-2024-8-SURVEI-PPL</v>
      </c>
      <c r="U498" s="64"/>
      <c r="V498" s="10" t="e">
        <f t="array" aca="1" ref="V498" ca="1">INDEX(Honor!$O$2:$O800,MATCH($I498,Honor!$A$2:$A800,0))</f>
        <v>#NAME?</v>
      </c>
      <c r="W498" s="67"/>
      <c r="X498" s="7" t="str">
        <f t="array" ref="X498">INDEX('Input Kegiatan'!$B$2:$B800,MATCH(B498,'Input Kegiatan'!$A$2:$A800,0))</f>
        <v>Sakernas Agustus 2024</v>
      </c>
      <c r="Y498" s="7" t="s">
        <v>4931</v>
      </c>
      <c r="Z498" s="7" t="s">
        <v>5171</v>
      </c>
      <c r="AA498" s="68">
        <f t="shared" si="5"/>
        <v>45504</v>
      </c>
      <c r="AB498" s="68">
        <f t="shared" si="6"/>
        <v>45505</v>
      </c>
      <c r="AC498" s="68">
        <f t="shared" si="7"/>
        <v>45535</v>
      </c>
      <c r="AD498" s="68">
        <f t="shared" si="8"/>
        <v>45534</v>
      </c>
      <c r="AE498" s="68">
        <f t="shared" si="9"/>
        <v>45535</v>
      </c>
    </row>
    <row r="499" spans="1:31" ht="12.5">
      <c r="A499" s="126">
        <v>610422100055</v>
      </c>
      <c r="B499" s="64" t="s">
        <v>227</v>
      </c>
      <c r="D499" s="10">
        <f t="array" aca="1" ref="D499" ca="1">INDEX('Mitra per Bulan'!$M$2:$M800,MATCH(S499,'Mitra per Bulan'!$B$2:$B800,0))</f>
        <v>1</v>
      </c>
      <c r="E499" s="10" t="str">
        <f t="array" ref="E499">INDEX('Database Mitra'!$A$2:$A800,MATCH(A499,'Database Mitra'!$B$2:$B800,0))</f>
        <v>Vika Rizkiani</v>
      </c>
      <c r="F499" s="64" t="s">
        <v>25</v>
      </c>
      <c r="G499" s="5" t="str">
        <f t="array" ref="G499">INDEX('Database Mitra'!$G$2:$G800,MATCH(A499,'Database Mitra'!$B$2:$B800,0))</f>
        <v>6102084207980006</v>
      </c>
      <c r="H499" s="64" t="s">
        <v>67</v>
      </c>
      <c r="I499" s="65" t="s">
        <v>228</v>
      </c>
      <c r="J499" s="10" t="str">
        <f t="array" ref="J499">INDEX(Honor!$H$2:$H800,MATCH($I499,Honor!$A$2:$A800,0))</f>
        <v>Dokumen</v>
      </c>
      <c r="K499" s="66">
        <f t="array" ref="K499">INDEX(Honor!$I$2:$I800,MATCH($I499,Honor!$A$2:$A800,0))</f>
        <v>66000</v>
      </c>
      <c r="L499" s="64">
        <v>30</v>
      </c>
      <c r="M499" s="10">
        <f t="shared" si="0"/>
        <v>1980000</v>
      </c>
      <c r="O499" s="67">
        <f t="array" ref="O499">INDEX(Honor!$L$2:$L800,MATCH($I499,Honor!$A$2:$A800,0))</f>
        <v>45535</v>
      </c>
      <c r="P499" s="10">
        <f t="shared" si="1"/>
        <v>2024</v>
      </c>
      <c r="Q499" s="10">
        <f t="shared" si="2"/>
        <v>8</v>
      </c>
      <c r="R499" s="10" t="str">
        <f t="array" ref="R499">INDEX(Honor!$Q$2:$Q800,MATCH($I499,Honor!$A$2:$A800,0))</f>
        <v>SURVEI-PPL</v>
      </c>
      <c r="S499" s="10" t="str">
        <f t="shared" si="3"/>
        <v>610422100055-2024-8</v>
      </c>
      <c r="T499" s="10" t="str">
        <f t="shared" si="4"/>
        <v>610422100055-2024-8-SURVEI-PPL</v>
      </c>
      <c r="U499" s="64"/>
      <c r="V499" s="10" t="e">
        <f t="array" aca="1" ref="V499" ca="1">INDEX(Honor!$O$2:$O800,MATCH($I499,Honor!$A$2:$A800,0))</f>
        <v>#NAME?</v>
      </c>
      <c r="W499" s="67"/>
      <c r="X499" s="7" t="str">
        <f t="array" ref="X499">INDEX('Input Kegiatan'!$B$2:$B800,MATCH(B499,'Input Kegiatan'!$A$2:$A800,0))</f>
        <v>Sakernas Agustus 2024</v>
      </c>
      <c r="Y499" s="7" t="s">
        <v>3241</v>
      </c>
      <c r="Z499" s="7" t="s">
        <v>3289</v>
      </c>
      <c r="AA499" s="68">
        <f t="shared" si="5"/>
        <v>45504</v>
      </c>
      <c r="AB499" s="68">
        <f t="shared" si="6"/>
        <v>45505</v>
      </c>
      <c r="AC499" s="68">
        <f t="shared" si="7"/>
        <v>45535</v>
      </c>
      <c r="AD499" s="68">
        <f t="shared" si="8"/>
        <v>45534</v>
      </c>
      <c r="AE499" s="68">
        <f t="shared" si="9"/>
        <v>45535</v>
      </c>
    </row>
    <row r="500" spans="1:31" ht="12.5">
      <c r="A500" s="126">
        <v>610422040052</v>
      </c>
      <c r="B500" s="64" t="s">
        <v>227</v>
      </c>
      <c r="D500" s="10">
        <f t="array" aca="1" ref="D500" ca="1">INDEX('Mitra per Bulan'!$M$2:$M800,MATCH(S500,'Mitra per Bulan'!$B$2:$B800,0))</f>
        <v>1</v>
      </c>
      <c r="E500" s="10" t="str">
        <f t="array" ref="E500">INDEX('Database Mitra'!$A$2:$A800,MATCH(A500,'Database Mitra'!$B$2:$B800,0))</f>
        <v>Yusimianto</v>
      </c>
      <c r="F500" s="64" t="s">
        <v>25</v>
      </c>
      <c r="G500" s="5" t="str">
        <f t="array" ref="G500">INDEX('Database Mitra'!$G$2:$G800,MATCH(A500,'Database Mitra'!$B$2:$B800,0))</f>
        <v>6102160603790001</v>
      </c>
      <c r="H500" s="64" t="s">
        <v>67</v>
      </c>
      <c r="I500" s="65" t="s">
        <v>228</v>
      </c>
      <c r="J500" s="10" t="str">
        <f t="array" ref="J500">INDEX(Honor!$H$2:$H800,MATCH($I500,Honor!$A$2:$A800,0))</f>
        <v>Dokumen</v>
      </c>
      <c r="K500" s="66">
        <f t="array" ref="K500">INDEX(Honor!$I$2:$I800,MATCH($I500,Honor!$A$2:$A800,0))</f>
        <v>66000</v>
      </c>
      <c r="L500" s="64">
        <v>20</v>
      </c>
      <c r="M500" s="10">
        <f t="shared" si="0"/>
        <v>1320000</v>
      </c>
      <c r="O500" s="67">
        <f t="array" ref="O500">INDEX(Honor!$L$2:$L800,MATCH($I500,Honor!$A$2:$A800,0))</f>
        <v>45535</v>
      </c>
      <c r="P500" s="10">
        <f t="shared" si="1"/>
        <v>2024</v>
      </c>
      <c r="Q500" s="10">
        <f t="shared" si="2"/>
        <v>8</v>
      </c>
      <c r="R500" s="10" t="str">
        <f t="array" ref="R500">INDEX(Honor!$Q$2:$Q800,MATCH($I500,Honor!$A$2:$A800,0))</f>
        <v>SURVEI-PPL</v>
      </c>
      <c r="S500" s="10" t="str">
        <f t="shared" si="3"/>
        <v>610422040052-2024-8</v>
      </c>
      <c r="T500" s="10" t="str">
        <f t="shared" si="4"/>
        <v>610422040052-2024-8-SURVEI-PPL</v>
      </c>
      <c r="U500" s="64"/>
      <c r="V500" s="10" t="e">
        <f t="array" aca="1" ref="V500" ca="1">INDEX(Honor!$O$2:$O800,MATCH($I500,Honor!$A$2:$A800,0))</f>
        <v>#NAME?</v>
      </c>
      <c r="W500" s="67"/>
      <c r="X500" s="7" t="str">
        <f t="array" ref="X500">INDEX('Input Kegiatan'!$B$2:$B800,MATCH(B500,'Input Kegiatan'!$A$2:$A800,0))</f>
        <v>Sakernas Agustus 2024</v>
      </c>
      <c r="Y500" s="7" t="s">
        <v>4408</v>
      </c>
      <c r="Z500" s="7" t="s">
        <v>4487</v>
      </c>
      <c r="AA500" s="68">
        <f t="shared" si="5"/>
        <v>45504</v>
      </c>
      <c r="AB500" s="68">
        <f t="shared" si="6"/>
        <v>45505</v>
      </c>
      <c r="AC500" s="68">
        <f t="shared" si="7"/>
        <v>45535</v>
      </c>
      <c r="AD500" s="68">
        <f t="shared" si="8"/>
        <v>45534</v>
      </c>
      <c r="AE500" s="68">
        <f t="shared" si="9"/>
        <v>45535</v>
      </c>
    </row>
    <row r="501" spans="1:31" ht="12.5">
      <c r="A501" s="126">
        <v>610422100099</v>
      </c>
      <c r="B501" s="64" t="s">
        <v>227</v>
      </c>
      <c r="D501" s="10">
        <f t="array" aca="1" ref="D501" ca="1">INDEX('Mitra per Bulan'!$M$2:$M800,MATCH(S501,'Mitra per Bulan'!$B$2:$B800,0))</f>
        <v>1</v>
      </c>
      <c r="E501" s="10" t="str">
        <f t="array" ref="E501">INDEX('Database Mitra'!$A$2:$A800,MATCH(A501,'Database Mitra'!$B$2:$B800,0))</f>
        <v>Difa Faradifa</v>
      </c>
      <c r="F501" s="64" t="s">
        <v>25</v>
      </c>
      <c r="G501" s="5" t="str">
        <f t="array" ref="G501">INDEX('Database Mitra'!$G$2:$G800,MATCH(A501,'Database Mitra'!$B$2:$B800,0))</f>
        <v>6102084903040001</v>
      </c>
      <c r="H501" s="64" t="s">
        <v>67</v>
      </c>
      <c r="I501" s="65" t="s">
        <v>228</v>
      </c>
      <c r="J501" s="10" t="str">
        <f t="array" ref="J501">INDEX(Honor!$H$2:$H800,MATCH($I501,Honor!$A$2:$A800,0))</f>
        <v>Dokumen</v>
      </c>
      <c r="K501" s="66">
        <f t="array" ref="K501">INDEX(Honor!$I$2:$I800,MATCH($I501,Honor!$A$2:$A800,0))</f>
        <v>66000</v>
      </c>
      <c r="L501" s="64">
        <v>31</v>
      </c>
      <c r="M501" s="10">
        <f t="shared" si="0"/>
        <v>2046000</v>
      </c>
      <c r="O501" s="67">
        <f t="array" ref="O501">INDEX(Honor!$L$2:$L800,MATCH($I501,Honor!$A$2:$A800,0))</f>
        <v>45535</v>
      </c>
      <c r="P501" s="10">
        <f t="shared" si="1"/>
        <v>2024</v>
      </c>
      <c r="Q501" s="10">
        <f t="shared" si="2"/>
        <v>8</v>
      </c>
      <c r="R501" s="10" t="str">
        <f t="array" ref="R501">INDEX(Honor!$Q$2:$Q800,MATCH($I501,Honor!$A$2:$A800,0))</f>
        <v>SURVEI-PPL</v>
      </c>
      <c r="S501" s="10" t="str">
        <f t="shared" si="3"/>
        <v>610422100099-2024-8</v>
      </c>
      <c r="T501" s="10" t="str">
        <f t="shared" si="4"/>
        <v>610422100099-2024-8-SURVEI-PPL</v>
      </c>
      <c r="U501" s="64"/>
      <c r="V501" s="10" t="e">
        <f t="array" aca="1" ref="V501" ca="1">INDEX(Honor!$O$2:$O800,MATCH($I501,Honor!$A$2:$A800,0))</f>
        <v>#NAME?</v>
      </c>
      <c r="W501" s="67"/>
      <c r="X501" s="7" t="str">
        <f t="array" ref="X501">INDEX('Input Kegiatan'!$B$2:$B800,MATCH(B501,'Input Kegiatan'!$A$2:$A800,0))</f>
        <v>Sakernas Agustus 2024</v>
      </c>
      <c r="Y501" s="7" t="s">
        <v>3241</v>
      </c>
      <c r="Z501" s="7" t="s">
        <v>3430</v>
      </c>
      <c r="AA501" s="68">
        <f t="shared" si="5"/>
        <v>45504</v>
      </c>
      <c r="AB501" s="68">
        <f t="shared" si="6"/>
        <v>45505</v>
      </c>
      <c r="AC501" s="68">
        <f t="shared" si="7"/>
        <v>45535</v>
      </c>
      <c r="AD501" s="68">
        <f t="shared" si="8"/>
        <v>45534</v>
      </c>
      <c r="AE501" s="68">
        <f t="shared" si="9"/>
        <v>45535</v>
      </c>
    </row>
    <row r="502" spans="1:31" ht="12.5">
      <c r="A502" s="126">
        <v>610422020045</v>
      </c>
      <c r="B502" s="64" t="s">
        <v>227</v>
      </c>
      <c r="D502" s="10">
        <f t="array" aca="1" ref="D502" ca="1">INDEX('Mitra per Bulan'!$M$2:$M800,MATCH(S502,'Mitra per Bulan'!$B$2:$B800,0))</f>
        <v>1</v>
      </c>
      <c r="E502" s="10" t="str">
        <f t="array" ref="E502">INDEX('Database Mitra'!$A$2:$A800,MATCH(A502,'Database Mitra'!$B$2:$B800,0))</f>
        <v>Herdinatara Febria</v>
      </c>
      <c r="F502" s="64" t="s">
        <v>25</v>
      </c>
      <c r="G502" s="5" t="str">
        <f t="array" ref="G502">INDEX('Database Mitra'!$G$2:$G800,MATCH(A502,'Database Mitra'!$B$2:$B800,0))</f>
        <v>6107086009930002</v>
      </c>
      <c r="H502" s="64" t="s">
        <v>67</v>
      </c>
      <c r="I502" s="65" t="s">
        <v>228</v>
      </c>
      <c r="J502" s="10" t="str">
        <f t="array" ref="J502">INDEX(Honor!$H$2:$H800,MATCH($I502,Honor!$A$2:$A800,0))</f>
        <v>Dokumen</v>
      </c>
      <c r="K502" s="66">
        <f t="array" ref="K502">INDEX(Honor!$I$2:$I800,MATCH($I502,Honor!$A$2:$A800,0))</f>
        <v>66000</v>
      </c>
      <c r="L502" s="64">
        <v>29</v>
      </c>
      <c r="M502" s="10">
        <f t="shared" si="0"/>
        <v>1914000</v>
      </c>
      <c r="O502" s="67">
        <f t="array" ref="O502">INDEX(Honor!$L$2:$L800,MATCH($I502,Honor!$A$2:$A800,0))</f>
        <v>45535</v>
      </c>
      <c r="P502" s="10">
        <f t="shared" si="1"/>
        <v>2024</v>
      </c>
      <c r="Q502" s="10">
        <f t="shared" si="2"/>
        <v>8</v>
      </c>
      <c r="R502" s="10" t="str">
        <f t="array" ref="R502">INDEX(Honor!$Q$2:$Q800,MATCH($I502,Honor!$A$2:$A800,0))</f>
        <v>SURVEI-PPL</v>
      </c>
      <c r="S502" s="10" t="str">
        <f t="shared" si="3"/>
        <v>610422020045-2024-8</v>
      </c>
      <c r="T502" s="10" t="str">
        <f t="shared" si="4"/>
        <v>610422020045-2024-8-SURVEI-PPL</v>
      </c>
      <c r="U502" s="64"/>
      <c r="V502" s="10" t="e">
        <f t="array" aca="1" ref="V502" ca="1">INDEX(Honor!$O$2:$O800,MATCH($I502,Honor!$A$2:$A800,0))</f>
        <v>#NAME?</v>
      </c>
      <c r="W502" s="67"/>
      <c r="X502" s="7" t="str">
        <f t="array" ref="X502">INDEX('Input Kegiatan'!$B$2:$B800,MATCH(B502,'Input Kegiatan'!$A$2:$A800,0))</f>
        <v>Sakernas Agustus 2024</v>
      </c>
      <c r="Y502" s="7" t="s">
        <v>3241</v>
      </c>
      <c r="Z502" s="7" t="s">
        <v>3430</v>
      </c>
      <c r="AA502" s="68">
        <f t="shared" si="5"/>
        <v>45504</v>
      </c>
      <c r="AB502" s="68">
        <f t="shared" si="6"/>
        <v>45505</v>
      </c>
      <c r="AC502" s="68">
        <f t="shared" si="7"/>
        <v>45535</v>
      </c>
      <c r="AD502" s="68">
        <f t="shared" si="8"/>
        <v>45534</v>
      </c>
      <c r="AE502" s="68">
        <f t="shared" si="9"/>
        <v>45535</v>
      </c>
    </row>
    <row r="503" spans="1:31" ht="12.5">
      <c r="A503" s="126">
        <v>610422020016</v>
      </c>
      <c r="B503" s="64" t="s">
        <v>227</v>
      </c>
      <c r="D503" s="10">
        <f t="array" aca="1" ref="D503" ca="1">INDEX('Mitra per Bulan'!$M$2:$M800,MATCH(S503,'Mitra per Bulan'!$B$2:$B800,0))</f>
        <v>1</v>
      </c>
      <c r="E503" s="10" t="str">
        <f t="array" ref="E503">INDEX('Database Mitra'!$A$2:$A800,MATCH(A503,'Database Mitra'!$B$2:$B800,0))</f>
        <v>Abdul Aziz</v>
      </c>
      <c r="F503" s="64" t="s">
        <v>25</v>
      </c>
      <c r="G503" s="5" t="str">
        <f t="array" ref="G503">INDEX('Database Mitra'!$G$2:$G800,MATCH(A503,'Database Mitra'!$B$2:$B800,0))</f>
        <v>6102061507950006</v>
      </c>
      <c r="H503" s="64" t="s">
        <v>67</v>
      </c>
      <c r="I503" s="65" t="s">
        <v>228</v>
      </c>
      <c r="J503" s="10" t="str">
        <f t="array" ref="J503">INDEX(Honor!$H$2:$H800,MATCH($I503,Honor!$A$2:$A800,0))</f>
        <v>Dokumen</v>
      </c>
      <c r="K503" s="66">
        <f t="array" ref="K503">INDEX(Honor!$I$2:$I800,MATCH($I503,Honor!$A$2:$A800,0))</f>
        <v>66000</v>
      </c>
      <c r="L503" s="64">
        <v>22</v>
      </c>
      <c r="M503" s="10">
        <f t="shared" si="0"/>
        <v>1452000</v>
      </c>
      <c r="O503" s="67">
        <f t="array" ref="O503">INDEX(Honor!$L$2:$L800,MATCH($I503,Honor!$A$2:$A800,0))</f>
        <v>45535</v>
      </c>
      <c r="P503" s="10">
        <f t="shared" si="1"/>
        <v>2024</v>
      </c>
      <c r="Q503" s="10">
        <f t="shared" si="2"/>
        <v>8</v>
      </c>
      <c r="R503" s="10" t="str">
        <f t="array" ref="R503">INDEX(Honor!$Q$2:$Q800,MATCH($I503,Honor!$A$2:$A800,0))</f>
        <v>SURVEI-PPL</v>
      </c>
      <c r="S503" s="10" t="str">
        <f t="shared" si="3"/>
        <v>610422020016-2024-8</v>
      </c>
      <c r="T503" s="10" t="str">
        <f t="shared" si="4"/>
        <v>610422020016-2024-8-SURVEI-PPL</v>
      </c>
      <c r="U503" s="64"/>
      <c r="V503" s="10" t="e">
        <f t="array" aca="1" ref="V503" ca="1">INDEX(Honor!$O$2:$O800,MATCH($I503,Honor!$A$2:$A800,0))</f>
        <v>#NAME?</v>
      </c>
      <c r="W503" s="67"/>
      <c r="X503" s="7" t="str">
        <f t="array" ref="X503">INDEX('Input Kegiatan'!$B$2:$B800,MATCH(B503,'Input Kegiatan'!$A$2:$A800,0))</f>
        <v>Sakernas Agustus 2024</v>
      </c>
      <c r="Y503" s="7" t="s">
        <v>5534</v>
      </c>
      <c r="Z503" s="7" t="s">
        <v>5535</v>
      </c>
      <c r="AA503" s="68">
        <f t="shared" si="5"/>
        <v>45504</v>
      </c>
      <c r="AB503" s="68">
        <f t="shared" si="6"/>
        <v>45505</v>
      </c>
      <c r="AC503" s="68">
        <f t="shared" si="7"/>
        <v>45535</v>
      </c>
      <c r="AD503" s="68">
        <f t="shared" si="8"/>
        <v>45534</v>
      </c>
      <c r="AE503" s="68">
        <f t="shared" si="9"/>
        <v>45535</v>
      </c>
    </row>
    <row r="504" spans="1:31" ht="12.5">
      <c r="A504" s="126">
        <v>610422100244</v>
      </c>
      <c r="B504" s="64" t="s">
        <v>227</v>
      </c>
      <c r="D504" s="10">
        <f t="array" aca="1" ref="D504" ca="1">INDEX('Mitra per Bulan'!$M$2:$M800,MATCH(S504,'Mitra per Bulan'!$B$2:$B800,0))</f>
        <v>1</v>
      </c>
      <c r="E504" s="10" t="str">
        <f t="array" ref="E504">INDEX('Database Mitra'!$A$2:$A800,MATCH(A504,'Database Mitra'!$B$2:$B800,0))</f>
        <v>Sugianto</v>
      </c>
      <c r="F504" s="64" t="s">
        <v>25</v>
      </c>
      <c r="G504" s="5" t="str">
        <f t="array" ref="G504">INDEX('Database Mitra'!$G$2:$G800,MATCH(A504,'Database Mitra'!$B$2:$B800,0))</f>
        <v>6102171003900002</v>
      </c>
      <c r="H504" s="64" t="s">
        <v>67</v>
      </c>
      <c r="I504" s="65" t="s">
        <v>228</v>
      </c>
      <c r="J504" s="10" t="str">
        <f t="array" ref="J504">INDEX(Honor!$H$2:$H800,MATCH($I504,Honor!$A$2:$A800,0))</f>
        <v>Dokumen</v>
      </c>
      <c r="K504" s="66">
        <f t="array" ref="K504">INDEX(Honor!$I$2:$I800,MATCH($I504,Honor!$A$2:$A800,0))</f>
        <v>66000</v>
      </c>
      <c r="L504" s="64">
        <v>20</v>
      </c>
      <c r="M504" s="10">
        <f t="shared" si="0"/>
        <v>1320000</v>
      </c>
      <c r="O504" s="67">
        <f t="array" ref="O504">INDEX(Honor!$L$2:$L800,MATCH($I504,Honor!$A$2:$A800,0))</f>
        <v>45535</v>
      </c>
      <c r="P504" s="10">
        <f t="shared" si="1"/>
        <v>2024</v>
      </c>
      <c r="Q504" s="10">
        <f t="shared" si="2"/>
        <v>8</v>
      </c>
      <c r="R504" s="10" t="str">
        <f t="array" ref="R504">INDEX(Honor!$Q$2:$Q800,MATCH($I504,Honor!$A$2:$A800,0))</f>
        <v>SURVEI-PPL</v>
      </c>
      <c r="S504" s="10" t="str">
        <f t="shared" si="3"/>
        <v>610422100244-2024-8</v>
      </c>
      <c r="T504" s="10" t="str">
        <f t="shared" si="4"/>
        <v>610422100244-2024-8-SURVEI-PPL</v>
      </c>
      <c r="U504" s="64"/>
      <c r="V504" s="10" t="e">
        <f t="array" aca="1" ref="V504" ca="1">INDEX(Honor!$O$2:$O800,MATCH($I504,Honor!$A$2:$A800,0))</f>
        <v>#NAME?</v>
      </c>
      <c r="W504" s="67"/>
      <c r="X504" s="7" t="str">
        <f t="array" ref="X504">INDEX('Input Kegiatan'!$B$2:$B800,MATCH(B504,'Input Kegiatan'!$A$2:$A800,0))</f>
        <v>Sakernas Agustus 2024</v>
      </c>
      <c r="Y504" s="7" t="s">
        <v>5741</v>
      </c>
      <c r="Z504" s="7" t="s">
        <v>5796</v>
      </c>
      <c r="AA504" s="68">
        <f t="shared" si="5"/>
        <v>45504</v>
      </c>
      <c r="AB504" s="68">
        <f t="shared" si="6"/>
        <v>45505</v>
      </c>
      <c r="AC504" s="68">
        <f t="shared" si="7"/>
        <v>45535</v>
      </c>
      <c r="AD504" s="68">
        <f t="shared" si="8"/>
        <v>45534</v>
      </c>
      <c r="AE504" s="68">
        <f t="shared" si="9"/>
        <v>45535</v>
      </c>
    </row>
    <row r="505" spans="1:31" ht="12.5">
      <c r="A505" s="126">
        <v>610423040014</v>
      </c>
      <c r="B505" s="64" t="s">
        <v>227</v>
      </c>
      <c r="D505" s="10">
        <f t="array" aca="1" ref="D505" ca="1">INDEX('Mitra per Bulan'!$M$2:$M800,MATCH(S505,'Mitra per Bulan'!$B$2:$B800,0))</f>
        <v>1</v>
      </c>
      <c r="E505" s="10" t="str">
        <f t="array" ref="E505">INDEX('Database Mitra'!$A$2:$A800,MATCH(A505,'Database Mitra'!$B$2:$B800,0))</f>
        <v>Fransiska Romana</v>
      </c>
      <c r="F505" s="64" t="s">
        <v>25</v>
      </c>
      <c r="G505" s="5" t="str">
        <f t="array" ref="G505">INDEX('Database Mitra'!$G$2:$G800,MATCH(A505,'Database Mitra'!$B$2:$B800,0))</f>
        <v>6107036103910001</v>
      </c>
      <c r="H505" s="64" t="s">
        <v>67</v>
      </c>
      <c r="I505" s="65" t="s">
        <v>228</v>
      </c>
      <c r="J505" s="10" t="str">
        <f t="array" ref="J505">INDEX(Honor!$H$2:$H800,MATCH($I505,Honor!$A$2:$A800,0))</f>
        <v>Dokumen</v>
      </c>
      <c r="K505" s="66">
        <f t="array" ref="K505">INDEX(Honor!$I$2:$I800,MATCH($I505,Honor!$A$2:$A800,0))</f>
        <v>66000</v>
      </c>
      <c r="L505" s="64">
        <v>21</v>
      </c>
      <c r="M505" s="10">
        <f t="shared" si="0"/>
        <v>1386000</v>
      </c>
      <c r="O505" s="67">
        <f t="array" ref="O505">INDEX(Honor!$L$2:$L800,MATCH($I505,Honor!$A$2:$A800,0))</f>
        <v>45535</v>
      </c>
      <c r="P505" s="10">
        <f t="shared" si="1"/>
        <v>2024</v>
      </c>
      <c r="Q505" s="10">
        <f t="shared" si="2"/>
        <v>8</v>
      </c>
      <c r="R505" s="10" t="str">
        <f t="array" ref="R505">INDEX(Honor!$Q$2:$Q800,MATCH($I505,Honor!$A$2:$A800,0))</f>
        <v>SURVEI-PPL</v>
      </c>
      <c r="S505" s="10" t="str">
        <f t="shared" si="3"/>
        <v>610423040014-2024-8</v>
      </c>
      <c r="T505" s="10" t="str">
        <f t="shared" si="4"/>
        <v>610423040014-2024-8-SURVEI-PPL</v>
      </c>
      <c r="U505" s="64"/>
      <c r="V505" s="10" t="e">
        <f t="array" aca="1" ref="V505" ca="1">INDEX(Honor!$O$2:$O800,MATCH($I505,Honor!$A$2:$A800,0))</f>
        <v>#NAME?</v>
      </c>
      <c r="W505" s="67"/>
      <c r="X505" s="7" t="str">
        <f t="array" ref="X505">INDEX('Input Kegiatan'!$B$2:$B800,MATCH(B505,'Input Kegiatan'!$A$2:$A800,0))</f>
        <v>Sakernas Agustus 2024</v>
      </c>
      <c r="Y505" s="7" t="s">
        <v>5534</v>
      </c>
      <c r="Z505" s="7" t="s">
        <v>5714</v>
      </c>
      <c r="AA505" s="68">
        <f t="shared" si="5"/>
        <v>45504</v>
      </c>
      <c r="AB505" s="68">
        <f t="shared" si="6"/>
        <v>45505</v>
      </c>
      <c r="AC505" s="68">
        <f t="shared" si="7"/>
        <v>45535</v>
      </c>
      <c r="AD505" s="68">
        <f t="shared" si="8"/>
        <v>45534</v>
      </c>
      <c r="AE505" s="68">
        <f t="shared" si="9"/>
        <v>45535</v>
      </c>
    </row>
    <row r="506" spans="1:31" ht="12.5">
      <c r="A506" s="126">
        <v>610422020040</v>
      </c>
      <c r="B506" s="64" t="s">
        <v>227</v>
      </c>
      <c r="D506" s="10">
        <f t="array" aca="1" ref="D506" ca="1">INDEX('Mitra per Bulan'!$M$2:$M800,MATCH(S506,'Mitra per Bulan'!$B$2:$B800,0))</f>
        <v>1</v>
      </c>
      <c r="E506" s="10" t="str">
        <f t="array" ref="E506">INDEX('Database Mitra'!$A$2:$A800,MATCH(A506,'Database Mitra'!$B$2:$B800,0))</f>
        <v>Shofyansyah</v>
      </c>
      <c r="F506" s="64" t="s">
        <v>25</v>
      </c>
      <c r="G506" s="5" t="str">
        <f t="array" ref="G506">INDEX('Database Mitra'!$G$2:$G800,MATCH(A506,'Database Mitra'!$B$2:$B800,0))</f>
        <v>6102161703760001</v>
      </c>
      <c r="H506" s="64" t="s">
        <v>67</v>
      </c>
      <c r="I506" s="65" t="s">
        <v>228</v>
      </c>
      <c r="J506" s="10" t="str">
        <f t="array" ref="J506">INDEX(Honor!$H$2:$H800,MATCH($I506,Honor!$A$2:$A800,0))</f>
        <v>Dokumen</v>
      </c>
      <c r="K506" s="66">
        <f t="array" ref="K506">INDEX(Honor!$I$2:$I800,MATCH($I506,Honor!$A$2:$A800,0))</f>
        <v>66000</v>
      </c>
      <c r="L506" s="64">
        <v>31</v>
      </c>
      <c r="M506" s="10">
        <f t="shared" si="0"/>
        <v>2046000</v>
      </c>
      <c r="O506" s="67">
        <f t="array" ref="O506">INDEX(Honor!$L$2:$L800,MATCH($I506,Honor!$A$2:$A800,0))</f>
        <v>45535</v>
      </c>
      <c r="P506" s="10">
        <f t="shared" si="1"/>
        <v>2024</v>
      </c>
      <c r="Q506" s="10">
        <f t="shared" si="2"/>
        <v>8</v>
      </c>
      <c r="R506" s="10" t="str">
        <f t="array" ref="R506">INDEX(Honor!$Q$2:$Q800,MATCH($I506,Honor!$A$2:$A800,0))</f>
        <v>SURVEI-PPL</v>
      </c>
      <c r="S506" s="10" t="str">
        <f t="shared" si="3"/>
        <v>610422020040-2024-8</v>
      </c>
      <c r="T506" s="10" t="str">
        <f t="shared" si="4"/>
        <v>610422020040-2024-8-SURVEI-PPL</v>
      </c>
      <c r="U506" s="64"/>
      <c r="V506" s="10" t="e">
        <f t="array" aca="1" ref="V506" ca="1">INDEX(Honor!$O$2:$O800,MATCH($I506,Honor!$A$2:$A800,0))</f>
        <v>#NAME?</v>
      </c>
      <c r="W506" s="67"/>
      <c r="X506" s="7" t="str">
        <f t="array" ref="X506">INDEX('Input Kegiatan'!$B$2:$B800,MATCH(B506,'Input Kegiatan'!$A$2:$A800,0))</f>
        <v>Sakernas Agustus 2024</v>
      </c>
      <c r="Y506" s="7" t="s">
        <v>4408</v>
      </c>
      <c r="Z506" s="7" t="s">
        <v>4463</v>
      </c>
      <c r="AA506" s="68">
        <f t="shared" si="5"/>
        <v>45504</v>
      </c>
      <c r="AB506" s="68">
        <f t="shared" si="6"/>
        <v>45505</v>
      </c>
      <c r="AC506" s="68">
        <f t="shared" si="7"/>
        <v>45535</v>
      </c>
      <c r="AD506" s="68">
        <f t="shared" si="8"/>
        <v>45534</v>
      </c>
      <c r="AE506" s="68">
        <f t="shared" si="9"/>
        <v>45535</v>
      </c>
    </row>
    <row r="507" spans="1:31" ht="12.5">
      <c r="A507" s="126">
        <v>610422040056</v>
      </c>
      <c r="B507" s="64" t="s">
        <v>227</v>
      </c>
      <c r="D507" s="10">
        <f t="array" aca="1" ref="D507" ca="1">INDEX('Mitra per Bulan'!$M$2:$M800,MATCH(S507,'Mitra per Bulan'!$B$2:$B800,0))</f>
        <v>1</v>
      </c>
      <c r="E507" s="10" t="str">
        <f t="array" ref="E507">INDEX('Database Mitra'!$A$2:$A800,MATCH(A507,'Database Mitra'!$B$2:$B800,0))</f>
        <v>Wandi Syafari</v>
      </c>
      <c r="F507" s="64" t="s">
        <v>25</v>
      </c>
      <c r="G507" s="5" t="str">
        <f t="array" ref="G507">INDEX('Database Mitra'!$G$2:$G800,MATCH(A507,'Database Mitra'!$B$2:$B800,0))</f>
        <v>6102010802760001</v>
      </c>
      <c r="H507" s="64" t="s">
        <v>67</v>
      </c>
      <c r="I507" s="65" t="s">
        <v>228</v>
      </c>
      <c r="J507" s="10" t="str">
        <f t="array" ref="J507">INDEX(Honor!$H$2:$H800,MATCH($I507,Honor!$A$2:$A800,0))</f>
        <v>Dokumen</v>
      </c>
      <c r="K507" s="66">
        <f t="array" ref="K507">INDEX(Honor!$I$2:$I800,MATCH($I507,Honor!$A$2:$A800,0))</f>
        <v>66000</v>
      </c>
      <c r="L507" s="64">
        <v>30</v>
      </c>
      <c r="M507" s="10">
        <f t="shared" si="0"/>
        <v>1980000</v>
      </c>
      <c r="O507" s="67">
        <f t="array" ref="O507">INDEX(Honor!$L$2:$L800,MATCH($I507,Honor!$A$2:$A800,0))</f>
        <v>45535</v>
      </c>
      <c r="P507" s="10">
        <f t="shared" si="1"/>
        <v>2024</v>
      </c>
      <c r="Q507" s="10">
        <f t="shared" si="2"/>
        <v>8</v>
      </c>
      <c r="R507" s="10" t="str">
        <f t="array" ref="R507">INDEX(Honor!$Q$2:$Q800,MATCH($I507,Honor!$A$2:$A800,0))</f>
        <v>SURVEI-PPL</v>
      </c>
      <c r="S507" s="10" t="str">
        <f t="shared" si="3"/>
        <v>610422040056-2024-8</v>
      </c>
      <c r="T507" s="10" t="str">
        <f t="shared" si="4"/>
        <v>610422040056-2024-8-SURVEI-PPL</v>
      </c>
      <c r="U507" s="64"/>
      <c r="V507" s="10" t="e">
        <f t="array" aca="1" ref="V507" ca="1">INDEX(Honor!$O$2:$O800,MATCH($I507,Honor!$A$2:$A800,0))</f>
        <v>#NAME?</v>
      </c>
      <c r="W507" s="67"/>
      <c r="X507" s="7" t="str">
        <f t="array" ref="X507">INDEX('Input Kegiatan'!$B$2:$B800,MATCH(B507,'Input Kegiatan'!$A$2:$A800,0))</f>
        <v>Sakernas Agustus 2024</v>
      </c>
      <c r="Y507" s="7" t="s">
        <v>4572</v>
      </c>
      <c r="Z507" s="7" t="s">
        <v>4656</v>
      </c>
      <c r="AA507" s="68">
        <f t="shared" si="5"/>
        <v>45504</v>
      </c>
      <c r="AB507" s="68">
        <f t="shared" si="6"/>
        <v>45505</v>
      </c>
      <c r="AC507" s="68">
        <f t="shared" si="7"/>
        <v>45535</v>
      </c>
      <c r="AD507" s="68">
        <f t="shared" si="8"/>
        <v>45534</v>
      </c>
      <c r="AE507" s="68">
        <f t="shared" si="9"/>
        <v>45535</v>
      </c>
    </row>
    <row r="508" spans="1:31" ht="12.5">
      <c r="A508" s="125">
        <v>610422040058</v>
      </c>
      <c r="B508" s="64" t="s">
        <v>227</v>
      </c>
      <c r="D508" s="10">
        <f t="array" aca="1" ref="D508" ca="1">INDEX('Mitra per Bulan'!$M$2:$M800,MATCH(S508,'Mitra per Bulan'!$B$2:$B800,0))</f>
        <v>1</v>
      </c>
      <c r="E508" s="10" t="str">
        <f t="array" ref="E508">INDEX('Database Mitra'!$A$2:$A800,MATCH(A508,'Database Mitra'!$B$2:$B800,0))</f>
        <v>Jamaluddin, Sp</v>
      </c>
      <c r="F508" s="64" t="s">
        <v>25</v>
      </c>
      <c r="G508" s="5" t="str">
        <f t="array" ref="G508">INDEX('Database Mitra'!$G$2:$G800,MATCH(A508,'Database Mitra'!$B$2:$B800,0))</f>
        <v>6102152607940002</v>
      </c>
      <c r="H508" s="64" t="s">
        <v>67</v>
      </c>
      <c r="I508" s="65" t="s">
        <v>228</v>
      </c>
      <c r="J508" s="10" t="str">
        <f t="array" ref="J508">INDEX(Honor!$H$2:$H800,MATCH($I508,Honor!$A$2:$A800,0))</f>
        <v>Dokumen</v>
      </c>
      <c r="K508" s="66">
        <f t="array" ref="K508">INDEX(Honor!$I$2:$I800,MATCH($I508,Honor!$A$2:$A800,0))</f>
        <v>66000</v>
      </c>
      <c r="L508" s="64">
        <v>30</v>
      </c>
      <c r="M508" s="10">
        <f t="shared" si="0"/>
        <v>1980000</v>
      </c>
      <c r="O508" s="67">
        <f t="array" ref="O508">INDEX(Honor!$L$2:$L800,MATCH($I508,Honor!$A$2:$A800,0))</f>
        <v>45535</v>
      </c>
      <c r="P508" s="10">
        <f t="shared" si="1"/>
        <v>2024</v>
      </c>
      <c r="Q508" s="10">
        <f t="shared" si="2"/>
        <v>8</v>
      </c>
      <c r="R508" s="10" t="str">
        <f t="array" ref="R508">INDEX(Honor!$Q$2:$Q800,MATCH($I508,Honor!$A$2:$A800,0))</f>
        <v>SURVEI-PPL</v>
      </c>
      <c r="S508" s="10" t="str">
        <f t="shared" si="3"/>
        <v>610422040058-2024-8</v>
      </c>
      <c r="T508" s="10" t="str">
        <f t="shared" si="4"/>
        <v>610422040058-2024-8-SURVEI-PPL</v>
      </c>
      <c r="U508" s="64"/>
      <c r="V508" s="10" t="e">
        <f t="array" aca="1" ref="V508" ca="1">INDEX(Honor!$O$2:$O800,MATCH($I508,Honor!$A$2:$A800,0))</f>
        <v>#NAME?</v>
      </c>
      <c r="W508" s="67"/>
      <c r="X508" s="7" t="str">
        <f t="array" ref="X508">INDEX('Input Kegiatan'!$B$2:$B800,MATCH(B508,'Input Kegiatan'!$A$2:$A800,0))</f>
        <v>Sakernas Agustus 2024</v>
      </c>
      <c r="Y508" s="7" t="s">
        <v>3715</v>
      </c>
      <c r="Z508" s="7" t="s">
        <v>3716</v>
      </c>
      <c r="AA508" s="68">
        <f t="shared" si="5"/>
        <v>45504</v>
      </c>
      <c r="AB508" s="68">
        <f t="shared" si="6"/>
        <v>45505</v>
      </c>
      <c r="AC508" s="68">
        <f t="shared" si="7"/>
        <v>45535</v>
      </c>
      <c r="AD508" s="68">
        <f t="shared" si="8"/>
        <v>45534</v>
      </c>
      <c r="AE508" s="68">
        <f t="shared" si="9"/>
        <v>45535</v>
      </c>
    </row>
    <row r="509" spans="1:31" ht="12.5">
      <c r="A509" s="126">
        <v>610422020032</v>
      </c>
      <c r="B509" s="64" t="s">
        <v>227</v>
      </c>
      <c r="D509" s="10">
        <f t="array" aca="1" ref="D509" ca="1">INDEX('Mitra per Bulan'!$M$2:$M800,MATCH(S509,'Mitra per Bulan'!$B$2:$B800,0))</f>
        <v>1</v>
      </c>
      <c r="E509" s="10" t="str">
        <f t="array" ref="E509">INDEX('Database Mitra'!$A$2:$A800,MATCH(A509,'Database Mitra'!$B$2:$B800,0))</f>
        <v>Lilis Suryani</v>
      </c>
      <c r="F509" s="64" t="s">
        <v>25</v>
      </c>
      <c r="G509" s="5" t="str">
        <f t="array" ref="G509">INDEX('Database Mitra'!$G$2:$G800,MATCH(A509,'Database Mitra'!$B$2:$B800,0))</f>
        <v>6102185102880001</v>
      </c>
      <c r="H509" s="64" t="s">
        <v>67</v>
      </c>
      <c r="I509" s="65" t="s">
        <v>228</v>
      </c>
      <c r="J509" s="10" t="str">
        <f t="array" ref="J509">INDEX(Honor!$H$2:$H800,MATCH($I509,Honor!$A$2:$A800,0))</f>
        <v>Dokumen</v>
      </c>
      <c r="K509" s="66">
        <f t="array" ref="K509">INDEX(Honor!$I$2:$I800,MATCH($I509,Honor!$A$2:$A800,0))</f>
        <v>66000</v>
      </c>
      <c r="L509" s="64">
        <v>30</v>
      </c>
      <c r="M509" s="10">
        <f t="shared" si="0"/>
        <v>1980000</v>
      </c>
      <c r="O509" s="67">
        <f t="array" ref="O509">INDEX(Honor!$L$2:$L800,MATCH($I509,Honor!$A$2:$A800,0))</f>
        <v>45535</v>
      </c>
      <c r="P509" s="10">
        <f t="shared" si="1"/>
        <v>2024</v>
      </c>
      <c r="Q509" s="10">
        <f t="shared" si="2"/>
        <v>8</v>
      </c>
      <c r="R509" s="10" t="str">
        <f t="array" ref="R509">INDEX(Honor!$Q$2:$Q800,MATCH($I509,Honor!$A$2:$A800,0))</f>
        <v>SURVEI-PPL</v>
      </c>
      <c r="S509" s="10" t="str">
        <f t="shared" si="3"/>
        <v>610422020032-2024-8</v>
      </c>
      <c r="T509" s="10" t="str">
        <f t="shared" si="4"/>
        <v>610422020032-2024-8-SURVEI-PPL</v>
      </c>
      <c r="U509" s="64"/>
      <c r="V509" s="10" t="e">
        <f t="array" aca="1" ref="V509" ca="1">INDEX(Honor!$O$2:$O800,MATCH($I509,Honor!$A$2:$A800,0))</f>
        <v>#NAME?</v>
      </c>
      <c r="W509" s="67"/>
      <c r="X509" s="7" t="str">
        <f t="array" ref="X509">INDEX('Input Kegiatan'!$B$2:$B800,MATCH(B509,'Input Kegiatan'!$A$2:$A800,0))</f>
        <v>Sakernas Agustus 2024</v>
      </c>
      <c r="Y509" s="7" t="s">
        <v>4931</v>
      </c>
      <c r="Z509" s="7" t="s">
        <v>5209</v>
      </c>
      <c r="AA509" s="68">
        <f t="shared" si="5"/>
        <v>45504</v>
      </c>
      <c r="AB509" s="68">
        <f t="shared" si="6"/>
        <v>45505</v>
      </c>
      <c r="AC509" s="68">
        <f t="shared" si="7"/>
        <v>45535</v>
      </c>
      <c r="AD509" s="68">
        <f t="shared" si="8"/>
        <v>45534</v>
      </c>
      <c r="AE509" s="68">
        <f t="shared" si="9"/>
        <v>45535</v>
      </c>
    </row>
    <row r="510" spans="1:31" ht="12.5">
      <c r="A510" s="126">
        <v>610422040034</v>
      </c>
      <c r="B510" s="64" t="s">
        <v>227</v>
      </c>
      <c r="D510" s="10">
        <f t="array" aca="1" ref="D510" ca="1">INDEX('Mitra per Bulan'!$M$2:$M800,MATCH(S510,'Mitra per Bulan'!$B$2:$B800,0))</f>
        <v>1</v>
      </c>
      <c r="E510" s="10" t="str">
        <f t="array" ref="E510">INDEX('Database Mitra'!$A$2:$A800,MATCH(A510,'Database Mitra'!$B$2:$B800,0))</f>
        <v>Nelly Nalita</v>
      </c>
      <c r="F510" s="64" t="s">
        <v>25</v>
      </c>
      <c r="G510" s="5" t="str">
        <f t="array" ref="G510">INDEX('Database Mitra'!$G$2:$G800,MATCH(A510,'Database Mitra'!$B$2:$B800,0))</f>
        <v>6102014712890004</v>
      </c>
      <c r="H510" s="64" t="s">
        <v>67</v>
      </c>
      <c r="I510" s="65" t="s">
        <v>228</v>
      </c>
      <c r="J510" s="10" t="str">
        <f t="array" ref="J510">INDEX(Honor!$H$2:$H800,MATCH($I510,Honor!$A$2:$A800,0))</f>
        <v>Dokumen</v>
      </c>
      <c r="K510" s="66">
        <f t="array" ref="K510">INDEX(Honor!$I$2:$I800,MATCH($I510,Honor!$A$2:$A800,0))</f>
        <v>66000</v>
      </c>
      <c r="L510" s="64">
        <v>30</v>
      </c>
      <c r="M510" s="10">
        <f t="shared" si="0"/>
        <v>1980000</v>
      </c>
      <c r="O510" s="67">
        <f t="array" ref="O510">INDEX(Honor!$L$2:$L800,MATCH($I510,Honor!$A$2:$A800,0))</f>
        <v>45535</v>
      </c>
      <c r="P510" s="10">
        <f t="shared" si="1"/>
        <v>2024</v>
      </c>
      <c r="Q510" s="10">
        <f t="shared" si="2"/>
        <v>8</v>
      </c>
      <c r="R510" s="10" t="str">
        <f t="array" ref="R510">INDEX(Honor!$Q$2:$Q800,MATCH($I510,Honor!$A$2:$A800,0))</f>
        <v>SURVEI-PPL</v>
      </c>
      <c r="S510" s="10" t="str">
        <f t="shared" si="3"/>
        <v>610422040034-2024-8</v>
      </c>
      <c r="T510" s="10" t="str">
        <f t="shared" si="4"/>
        <v>610422040034-2024-8-SURVEI-PPL</v>
      </c>
      <c r="U510" s="64"/>
      <c r="V510" s="10" t="e">
        <f t="array" aca="1" ref="V510" ca="1">INDEX(Honor!$O$2:$O800,MATCH($I510,Honor!$A$2:$A800,0))</f>
        <v>#NAME?</v>
      </c>
      <c r="W510" s="67"/>
      <c r="X510" s="7" t="str">
        <f t="array" ref="X510">INDEX('Input Kegiatan'!$B$2:$B800,MATCH(B510,'Input Kegiatan'!$A$2:$A800,0))</f>
        <v>Sakernas Agustus 2024</v>
      </c>
      <c r="Y510" s="7" t="s">
        <v>4572</v>
      </c>
      <c r="Z510" s="7" t="s">
        <v>4841</v>
      </c>
      <c r="AA510" s="68">
        <f t="shared" si="5"/>
        <v>45504</v>
      </c>
      <c r="AB510" s="68">
        <f t="shared" si="6"/>
        <v>45505</v>
      </c>
      <c r="AC510" s="68">
        <f t="shared" si="7"/>
        <v>45535</v>
      </c>
      <c r="AD510" s="68">
        <f t="shared" si="8"/>
        <v>45534</v>
      </c>
      <c r="AE510" s="68">
        <f t="shared" si="9"/>
        <v>45535</v>
      </c>
    </row>
    <row r="511" spans="1:31" ht="12.5">
      <c r="A511" s="126">
        <v>610422040051</v>
      </c>
      <c r="B511" s="64" t="s">
        <v>227</v>
      </c>
      <c r="D511" s="10">
        <f t="array" aca="1" ref="D511" ca="1">INDEX('Mitra per Bulan'!$M$2:$M800,MATCH(S511,'Mitra per Bulan'!$B$2:$B800,0))</f>
        <v>1</v>
      </c>
      <c r="E511" s="10" t="str">
        <f t="array" ref="E511">INDEX('Database Mitra'!$A$2:$A800,MATCH(A511,'Database Mitra'!$B$2:$B800,0))</f>
        <v>Dede Sri Delvey</v>
      </c>
      <c r="F511" s="64" t="s">
        <v>25</v>
      </c>
      <c r="G511" s="5" t="str">
        <f t="array" ref="G511">INDEX('Database Mitra'!$G$2:$G800,MATCH(A511,'Database Mitra'!$B$2:$B800,0))</f>
        <v>6102156611010002</v>
      </c>
      <c r="H511" s="64" t="s">
        <v>67</v>
      </c>
      <c r="I511" s="65" t="s">
        <v>228</v>
      </c>
      <c r="J511" s="10" t="str">
        <f t="array" ref="J511">INDEX(Honor!$H$2:$H800,MATCH($I511,Honor!$A$2:$A800,0))</f>
        <v>Dokumen</v>
      </c>
      <c r="K511" s="66">
        <f t="array" ref="K511">INDEX(Honor!$I$2:$I800,MATCH($I511,Honor!$A$2:$A800,0))</f>
        <v>66000</v>
      </c>
      <c r="L511" s="64">
        <v>30</v>
      </c>
      <c r="M511" s="10">
        <f t="shared" si="0"/>
        <v>1980000</v>
      </c>
      <c r="O511" s="67">
        <f t="array" ref="O511">INDEX(Honor!$L$2:$L800,MATCH($I511,Honor!$A$2:$A800,0))</f>
        <v>45535</v>
      </c>
      <c r="P511" s="10">
        <f t="shared" si="1"/>
        <v>2024</v>
      </c>
      <c r="Q511" s="10">
        <f t="shared" si="2"/>
        <v>8</v>
      </c>
      <c r="R511" s="10" t="str">
        <f t="array" ref="R511">INDEX(Honor!$Q$2:$Q800,MATCH($I511,Honor!$A$2:$A800,0))</f>
        <v>SURVEI-PPL</v>
      </c>
      <c r="S511" s="10" t="str">
        <f t="shared" si="3"/>
        <v>610422040051-2024-8</v>
      </c>
      <c r="T511" s="10" t="str">
        <f t="shared" si="4"/>
        <v>610422040051-2024-8-SURVEI-PPL</v>
      </c>
      <c r="U511" s="64"/>
      <c r="V511" s="10" t="e">
        <f t="array" aca="1" ref="V511" ca="1">INDEX(Honor!$O$2:$O800,MATCH($I511,Honor!$A$2:$A800,0))</f>
        <v>#NAME?</v>
      </c>
      <c r="W511" s="67"/>
      <c r="X511" s="7" t="str">
        <f t="array" ref="X511">INDEX('Input Kegiatan'!$B$2:$B800,MATCH(B511,'Input Kegiatan'!$A$2:$A800,0))</f>
        <v>Sakernas Agustus 2024</v>
      </c>
      <c r="Y511" s="7" t="s">
        <v>3715</v>
      </c>
      <c r="Z511" s="7" t="s">
        <v>3794</v>
      </c>
      <c r="AA511" s="68">
        <f t="shared" si="5"/>
        <v>45504</v>
      </c>
      <c r="AB511" s="68">
        <f t="shared" si="6"/>
        <v>45505</v>
      </c>
      <c r="AC511" s="68">
        <f t="shared" si="7"/>
        <v>45535</v>
      </c>
      <c r="AD511" s="68">
        <f t="shared" si="8"/>
        <v>45534</v>
      </c>
      <c r="AE511" s="68">
        <f t="shared" si="9"/>
        <v>45535</v>
      </c>
    </row>
    <row r="512" spans="1:31" ht="12.5">
      <c r="A512" s="126">
        <v>610423040013</v>
      </c>
      <c r="B512" s="64" t="s">
        <v>227</v>
      </c>
      <c r="D512" s="10">
        <f t="array" aca="1" ref="D512" ca="1">INDEX('Mitra per Bulan'!$M$2:$M800,MATCH(S512,'Mitra per Bulan'!$B$2:$B800,0))</f>
        <v>1</v>
      </c>
      <c r="E512" s="10" t="str">
        <f t="array" ref="E512">INDEX('Database Mitra'!$A$2:$A800,MATCH(A512,'Database Mitra'!$B$2:$B800,0))</f>
        <v>Lulu Gesti Gunawati</v>
      </c>
      <c r="F512" s="64" t="s">
        <v>25</v>
      </c>
      <c r="G512" s="5" t="str">
        <f t="array" ref="G512">INDEX('Database Mitra'!$G$2:$G800,MATCH(A512,'Database Mitra'!$B$2:$B800,0))</f>
        <v>3314066101000001</v>
      </c>
      <c r="H512" s="64" t="s">
        <v>67</v>
      </c>
      <c r="I512" s="65" t="s">
        <v>228</v>
      </c>
      <c r="J512" s="10" t="str">
        <f t="array" ref="J512">INDEX(Honor!$H$2:$H800,MATCH($I512,Honor!$A$2:$A800,0))</f>
        <v>Dokumen</v>
      </c>
      <c r="K512" s="66">
        <f t="array" ref="K512">INDEX(Honor!$I$2:$I800,MATCH($I512,Honor!$A$2:$A800,0))</f>
        <v>66000</v>
      </c>
      <c r="L512" s="64">
        <v>30</v>
      </c>
      <c r="M512" s="10">
        <f t="shared" si="0"/>
        <v>1980000</v>
      </c>
      <c r="O512" s="67">
        <f t="array" ref="O512">INDEX(Honor!$L$2:$L800,MATCH($I512,Honor!$A$2:$A800,0))</f>
        <v>45535</v>
      </c>
      <c r="P512" s="10">
        <f t="shared" si="1"/>
        <v>2024</v>
      </c>
      <c r="Q512" s="10">
        <f t="shared" si="2"/>
        <v>8</v>
      </c>
      <c r="R512" s="10" t="str">
        <f t="array" ref="R512">INDEX(Honor!$Q$2:$Q800,MATCH($I512,Honor!$A$2:$A800,0))</f>
        <v>SURVEI-PPL</v>
      </c>
      <c r="S512" s="10" t="str">
        <f t="shared" si="3"/>
        <v>610423040013-2024-8</v>
      </c>
      <c r="T512" s="10" t="str">
        <f t="shared" si="4"/>
        <v>610423040013-2024-8-SURVEI-PPL</v>
      </c>
      <c r="U512" s="64"/>
      <c r="V512" s="10" t="e">
        <f t="array" aca="1" ref="V512" ca="1">INDEX(Honor!$O$2:$O800,MATCH($I512,Honor!$A$2:$A800,0))</f>
        <v>#NAME?</v>
      </c>
      <c r="W512" s="67"/>
      <c r="X512" s="7" t="str">
        <f t="array" ref="X512">INDEX('Input Kegiatan'!$B$2:$B800,MATCH(B512,'Input Kegiatan'!$A$2:$A800,0))</f>
        <v>Sakernas Agustus 2024</v>
      </c>
      <c r="Y512" s="7" t="s">
        <v>5250</v>
      </c>
      <c r="Z512" s="7" t="s">
        <v>5304</v>
      </c>
      <c r="AA512" s="68">
        <f t="shared" si="5"/>
        <v>45504</v>
      </c>
      <c r="AB512" s="68">
        <f t="shared" si="6"/>
        <v>45505</v>
      </c>
      <c r="AC512" s="68">
        <f t="shared" si="7"/>
        <v>45535</v>
      </c>
      <c r="AD512" s="68">
        <f t="shared" si="8"/>
        <v>45534</v>
      </c>
      <c r="AE512" s="68">
        <f t="shared" si="9"/>
        <v>45535</v>
      </c>
    </row>
    <row r="513" spans="1:31" ht="12.5">
      <c r="A513" s="125">
        <v>610422100001</v>
      </c>
      <c r="B513" s="64" t="s">
        <v>227</v>
      </c>
      <c r="D513" s="10">
        <f t="array" aca="1" ref="D513" ca="1">INDEX('Mitra per Bulan'!$M$2:$M800,MATCH(S513,'Mitra per Bulan'!$B$2:$B800,0))</f>
        <v>1</v>
      </c>
      <c r="E513" s="10" t="str">
        <f t="array" ref="E513">INDEX('Database Mitra'!$A$2:$A800,MATCH(A513,'Database Mitra'!$B$2:$B800,0))</f>
        <v>Fatmawati,S.Hut</v>
      </c>
      <c r="F513" s="64" t="s">
        <v>25</v>
      </c>
      <c r="G513" s="5" t="str">
        <f t="array" ref="G513">INDEX('Database Mitra'!$G$2:$G800,MATCH(A513,'Database Mitra'!$B$2:$B800,0))</f>
        <v>6102075007830003</v>
      </c>
      <c r="H513" s="64" t="s">
        <v>67</v>
      </c>
      <c r="I513" s="65" t="s">
        <v>228</v>
      </c>
      <c r="J513" s="10" t="str">
        <f t="array" ref="J513">INDEX(Honor!$H$2:$H800,MATCH($I513,Honor!$A$2:$A800,0))</f>
        <v>Dokumen</v>
      </c>
      <c r="K513" s="66">
        <f t="array" ref="K513">INDEX(Honor!$I$2:$I800,MATCH($I513,Honor!$A$2:$A800,0))</f>
        <v>66000</v>
      </c>
      <c r="L513" s="64">
        <v>30</v>
      </c>
      <c r="M513" s="10">
        <f t="shared" si="0"/>
        <v>1980000</v>
      </c>
      <c r="O513" s="67">
        <f t="array" ref="O513">INDEX(Honor!$L$2:$L800,MATCH($I513,Honor!$A$2:$A800,0))</f>
        <v>45535</v>
      </c>
      <c r="P513" s="10">
        <f t="shared" si="1"/>
        <v>2024</v>
      </c>
      <c r="Q513" s="10">
        <f t="shared" si="2"/>
        <v>8</v>
      </c>
      <c r="R513" s="10" t="str">
        <f t="array" ref="R513">INDEX(Honor!$Q$2:$Q800,MATCH($I513,Honor!$A$2:$A800,0))</f>
        <v>SURVEI-PPL</v>
      </c>
      <c r="S513" s="10" t="str">
        <f t="shared" si="3"/>
        <v>610422100001-2024-8</v>
      </c>
      <c r="T513" s="10" t="str">
        <f t="shared" si="4"/>
        <v>610422100001-2024-8-SURVEI-PPL</v>
      </c>
      <c r="U513" s="64"/>
      <c r="V513" s="10" t="e">
        <f t="array" aca="1" ref="V513" ca="1">INDEX(Honor!$O$2:$O800,MATCH($I513,Honor!$A$2:$A800,0))</f>
        <v>#NAME?</v>
      </c>
      <c r="W513" s="67"/>
      <c r="X513" s="7" t="str">
        <f t="array" ref="X513">INDEX('Input Kegiatan'!$B$2:$B800,MATCH(B513,'Input Kegiatan'!$A$2:$A800,0))</f>
        <v>Sakernas Agustus 2024</v>
      </c>
      <c r="Y513" s="7" t="s">
        <v>3990</v>
      </c>
      <c r="Z513" s="7" t="s">
        <v>4332</v>
      </c>
      <c r="AA513" s="68">
        <f t="shared" si="5"/>
        <v>45504</v>
      </c>
      <c r="AB513" s="68">
        <f t="shared" si="6"/>
        <v>45505</v>
      </c>
      <c r="AC513" s="68">
        <f t="shared" si="7"/>
        <v>45535</v>
      </c>
      <c r="AD513" s="68">
        <f t="shared" si="8"/>
        <v>45534</v>
      </c>
      <c r="AE513" s="68">
        <f t="shared" si="9"/>
        <v>45535</v>
      </c>
    </row>
    <row r="514" spans="1:31" ht="12.5">
      <c r="A514" s="126">
        <v>610422040053</v>
      </c>
      <c r="B514" s="64" t="s">
        <v>227</v>
      </c>
      <c r="D514" s="10">
        <f t="array" aca="1" ref="D514" ca="1">INDEX('Mitra per Bulan'!$M$2:$M800,MATCH(S514,'Mitra per Bulan'!$B$2:$B800,0))</f>
        <v>1</v>
      </c>
      <c r="E514" s="10" t="str">
        <f t="array" ref="E514">INDEX('Database Mitra'!$A$2:$A800,MATCH(A514,'Database Mitra'!$B$2:$B800,0))</f>
        <v>Veti Ningsi</v>
      </c>
      <c r="F514" s="64" t="s">
        <v>25</v>
      </c>
      <c r="G514" s="5" t="str">
        <f t="array" ref="G514">INDEX('Database Mitra'!$G$2:$G800,MATCH(A514,'Database Mitra'!$B$2:$B800,0))</f>
        <v>6102125604010002</v>
      </c>
      <c r="H514" s="64" t="s">
        <v>67</v>
      </c>
      <c r="I514" s="65" t="s">
        <v>228</v>
      </c>
      <c r="J514" s="10" t="str">
        <f t="array" ref="J514">INDEX(Honor!$H$2:$H800,MATCH($I514,Honor!$A$2:$A800,0))</f>
        <v>Dokumen</v>
      </c>
      <c r="K514" s="66">
        <f t="array" ref="K514">INDEX(Honor!$I$2:$I800,MATCH($I514,Honor!$A$2:$A800,0))</f>
        <v>66000</v>
      </c>
      <c r="L514" s="64">
        <v>30</v>
      </c>
      <c r="M514" s="10">
        <f t="shared" si="0"/>
        <v>1980000</v>
      </c>
      <c r="O514" s="67">
        <f t="array" ref="O514">INDEX(Honor!$L$2:$L800,MATCH($I514,Honor!$A$2:$A800,0))</f>
        <v>45535</v>
      </c>
      <c r="P514" s="10">
        <f t="shared" si="1"/>
        <v>2024</v>
      </c>
      <c r="Q514" s="10">
        <f t="shared" si="2"/>
        <v>8</v>
      </c>
      <c r="R514" s="10" t="str">
        <f t="array" ref="R514">INDEX(Honor!$Q$2:$Q800,MATCH($I514,Honor!$A$2:$A800,0))</f>
        <v>SURVEI-PPL</v>
      </c>
      <c r="S514" s="10" t="str">
        <f t="shared" si="3"/>
        <v>610422040053-2024-8</v>
      </c>
      <c r="T514" s="10" t="str">
        <f t="shared" si="4"/>
        <v>610422040053-2024-8-SURVEI-PPL</v>
      </c>
      <c r="U514" s="64"/>
      <c r="V514" s="10" t="e">
        <f t="array" aca="1" ref="V514" ca="1">INDEX(Honor!$O$2:$O800,MATCH($I514,Honor!$A$2:$A800,0))</f>
        <v>#NAME?</v>
      </c>
      <c r="W514" s="67"/>
      <c r="X514" s="7" t="str">
        <f t="array" ref="X514">INDEX('Input Kegiatan'!$B$2:$B800,MATCH(B514,'Input Kegiatan'!$A$2:$A800,0))</f>
        <v>Sakernas Agustus 2024</v>
      </c>
      <c r="Y514" s="7" t="s">
        <v>5250</v>
      </c>
      <c r="Z514" s="7" t="s">
        <v>5464</v>
      </c>
      <c r="AA514" s="68">
        <f t="shared" si="5"/>
        <v>45504</v>
      </c>
      <c r="AB514" s="68">
        <f t="shared" si="6"/>
        <v>45505</v>
      </c>
      <c r="AC514" s="68">
        <f t="shared" si="7"/>
        <v>45535</v>
      </c>
      <c r="AD514" s="68">
        <f t="shared" si="8"/>
        <v>45534</v>
      </c>
      <c r="AE514" s="68">
        <f t="shared" si="9"/>
        <v>45535</v>
      </c>
    </row>
    <row r="515" spans="1:31" ht="12.5">
      <c r="A515" s="125">
        <v>610422040012</v>
      </c>
      <c r="B515" s="64" t="s">
        <v>229</v>
      </c>
      <c r="D515" s="10">
        <f t="array" aca="1" ref="D515" ca="1">INDEX('Mitra per Bulan'!$M$2:$M800,MATCH(S515,'Mitra per Bulan'!$B$2:$B800,0))</f>
        <v>1</v>
      </c>
      <c r="E515" s="10" t="str">
        <f t="array" ref="E515">INDEX('Database Mitra'!$A$2:$A800,MATCH(A515,'Database Mitra'!$B$2:$B800,0))</f>
        <v>Misdi</v>
      </c>
      <c r="F515" s="64" t="s">
        <v>25</v>
      </c>
      <c r="G515" s="5" t="str">
        <f t="array" ref="G515">INDEX('Database Mitra'!$G$2:$G800,MATCH(A515,'Database Mitra'!$B$2:$B800,0))</f>
        <v>6102070706940001</v>
      </c>
      <c r="H515" s="9" t="s">
        <v>230</v>
      </c>
      <c r="I515" s="64" t="s">
        <v>231</v>
      </c>
      <c r="J515" s="10" t="str">
        <f t="array" ref="J515">INDEX(Honor!$H$2:$H800,MATCH($I515,Honor!$A$2:$A800,0))</f>
        <v>Dokumen</v>
      </c>
      <c r="K515" s="66">
        <f t="array" ref="K515">INDEX(Honor!$I$2:$I800,MATCH($I515,Honor!$A$2:$A800,0))</f>
        <v>78000</v>
      </c>
      <c r="L515" s="64">
        <v>3</v>
      </c>
      <c r="M515" s="10">
        <f t="shared" si="0"/>
        <v>234000</v>
      </c>
      <c r="O515" s="67">
        <f t="array" ref="O515">INDEX(Honor!$L$2:$L800,MATCH($I515,Honor!$A$2:$A800,0))</f>
        <v>45535</v>
      </c>
      <c r="P515" s="10">
        <f t="shared" si="1"/>
        <v>2024</v>
      </c>
      <c r="Q515" s="10">
        <f t="shared" si="2"/>
        <v>8</v>
      </c>
      <c r="R515" s="10" t="str">
        <f t="array" ref="R515">INDEX(Honor!$Q$2:$Q800,MATCH($I515,Honor!$A$2:$A800,0))</f>
        <v>SURVEI-PPL</v>
      </c>
      <c r="S515" s="10" t="str">
        <f t="shared" si="3"/>
        <v>610422040012-2024-8</v>
      </c>
      <c r="T515" s="10" t="str">
        <f t="shared" si="4"/>
        <v>610422040012-2024-8-SURVEI-PPL</v>
      </c>
      <c r="U515" s="64"/>
      <c r="V515" s="10" t="e">
        <f t="array" aca="1" ref="V515" ca="1">INDEX(Honor!$O$2:$O800,MATCH($I515,Honor!$A$2:$A800,0))</f>
        <v>#NAME?</v>
      </c>
      <c r="W515" s="67"/>
      <c r="X515" s="7" t="str">
        <f t="array" ref="X515">INDEX('Input Kegiatan'!$B$2:$B800,MATCH(B515,'Input Kegiatan'!$A$2:$A800,0))</f>
        <v>Survei Ubinan 2024 Subround 2</v>
      </c>
      <c r="Y515" s="7" t="s">
        <v>3990</v>
      </c>
      <c r="Z515" s="7" t="s">
        <v>4365</v>
      </c>
      <c r="AA515" s="68">
        <f t="shared" si="5"/>
        <v>45504</v>
      </c>
      <c r="AB515" s="68">
        <f t="shared" si="6"/>
        <v>45505</v>
      </c>
      <c r="AC515" s="68">
        <f t="shared" si="7"/>
        <v>45535</v>
      </c>
      <c r="AD515" s="68">
        <f t="shared" si="8"/>
        <v>45534</v>
      </c>
      <c r="AE515" s="68">
        <f t="shared" si="9"/>
        <v>45535</v>
      </c>
    </row>
    <row r="516" spans="1:31" ht="12.5">
      <c r="A516" s="125">
        <v>610423040018</v>
      </c>
      <c r="B516" s="64" t="s">
        <v>229</v>
      </c>
      <c r="D516" s="10">
        <f t="array" aca="1" ref="D516" ca="1">INDEX('Mitra per Bulan'!$M$2:$M800,MATCH(S516,'Mitra per Bulan'!$B$2:$B800,0))</f>
        <v>1</v>
      </c>
      <c r="E516" s="10" t="str">
        <f t="array" ref="E516">INDEX('Database Mitra'!$A$2:$A800,MATCH(A516,'Database Mitra'!$B$2:$B800,0))</f>
        <v>Handoko Tuah Sabarman Sipayung</v>
      </c>
      <c r="F516" s="64" t="s">
        <v>25</v>
      </c>
      <c r="G516" s="5" t="str">
        <f t="array" ref="G516">INDEX('Database Mitra'!$G$2:$G800,MATCH(A516,'Database Mitra'!$B$2:$B800,0))</f>
        <v>1212092309880001</v>
      </c>
      <c r="H516" s="9" t="s">
        <v>232</v>
      </c>
      <c r="I516" s="64" t="s">
        <v>233</v>
      </c>
      <c r="J516" s="10" t="str">
        <f t="array" ref="J516">INDEX(Honor!$H$2:$H800,MATCH($I516,Honor!$A$2:$A800,0))</f>
        <v>Dokumen</v>
      </c>
      <c r="K516" s="66">
        <f t="array" ref="K516">INDEX(Honor!$I$2:$I800,MATCH($I516,Honor!$A$2:$A800,0))</f>
        <v>78000</v>
      </c>
      <c r="L516" s="64">
        <v>5</v>
      </c>
      <c r="M516" s="10">
        <f t="shared" si="0"/>
        <v>390000</v>
      </c>
      <c r="O516" s="67">
        <f t="array" ref="O516">INDEX(Honor!$L$2:$L800,MATCH($I516,Honor!$A$2:$A800,0))</f>
        <v>45535</v>
      </c>
      <c r="P516" s="10">
        <f t="shared" si="1"/>
        <v>2024</v>
      </c>
      <c r="Q516" s="10">
        <f t="shared" si="2"/>
        <v>8</v>
      </c>
      <c r="R516" s="10" t="str">
        <f t="array" ref="R516">INDEX(Honor!$Q$2:$Q800,MATCH($I516,Honor!$A$2:$A800,0))</f>
        <v>SURVEI-PPL</v>
      </c>
      <c r="S516" s="10" t="str">
        <f t="shared" si="3"/>
        <v>610423040018-2024-8</v>
      </c>
      <c r="T516" s="10" t="str">
        <f t="shared" si="4"/>
        <v>610423040018-2024-8-SURVEI-PPL</v>
      </c>
      <c r="U516" s="64"/>
      <c r="V516" s="10" t="e">
        <f t="array" aca="1" ref="V516" ca="1">INDEX(Honor!$O$2:$O800,MATCH($I516,Honor!$A$2:$A800,0))</f>
        <v>#NAME?</v>
      </c>
      <c r="W516" s="67"/>
      <c r="X516" s="7" t="str">
        <f t="array" ref="X516">INDEX('Input Kegiatan'!$B$2:$B800,MATCH(B516,'Input Kegiatan'!$A$2:$A800,0))</f>
        <v>Survei Ubinan 2024 Subround 2</v>
      </c>
      <c r="Y516" s="7" t="s">
        <v>5534</v>
      </c>
      <c r="Z516" s="7" t="s">
        <v>5647</v>
      </c>
      <c r="AA516" s="68">
        <f t="shared" si="5"/>
        <v>45504</v>
      </c>
      <c r="AB516" s="68">
        <f t="shared" si="6"/>
        <v>45505</v>
      </c>
      <c r="AC516" s="68">
        <f t="shared" si="7"/>
        <v>45535</v>
      </c>
      <c r="AD516" s="68">
        <f t="shared" si="8"/>
        <v>45534</v>
      </c>
      <c r="AE516" s="68">
        <f t="shared" si="9"/>
        <v>45535</v>
      </c>
    </row>
    <row r="517" spans="1:31" ht="12.5">
      <c r="A517" s="125">
        <v>610422040059</v>
      </c>
      <c r="B517" s="64" t="s">
        <v>229</v>
      </c>
      <c r="D517" s="10">
        <f t="array" aca="1" ref="D517" ca="1">INDEX('Mitra per Bulan'!$M$2:$M800,MATCH(S517,'Mitra per Bulan'!$B$2:$B800,0))</f>
        <v>1</v>
      </c>
      <c r="E517" s="10" t="str">
        <f t="array" ref="E517">INDEX('Database Mitra'!$A$2:$A800,MATCH(A517,'Database Mitra'!$B$2:$B800,0))</f>
        <v>Abang Handri</v>
      </c>
      <c r="F517" s="64" t="s">
        <v>25</v>
      </c>
      <c r="G517" s="5" t="str">
        <f t="array" ref="G517">INDEX('Database Mitra'!$G$2:$G800,MATCH(A517,'Database Mitra'!$B$2:$B800,0))</f>
        <v>6102072211780002</v>
      </c>
      <c r="H517" s="9" t="s">
        <v>232</v>
      </c>
      <c r="I517" s="64" t="s">
        <v>233</v>
      </c>
      <c r="J517" s="10" t="str">
        <f t="array" ref="J517">INDEX(Honor!$H$2:$H800,MATCH($I517,Honor!$A$2:$A800,0))</f>
        <v>Dokumen</v>
      </c>
      <c r="K517" s="66">
        <f t="array" ref="K517">INDEX(Honor!$I$2:$I800,MATCH($I517,Honor!$A$2:$A800,0))</f>
        <v>78000</v>
      </c>
      <c r="L517" s="64">
        <v>2</v>
      </c>
      <c r="M517" s="10">
        <f t="shared" si="0"/>
        <v>156000</v>
      </c>
      <c r="O517" s="67">
        <f t="array" ref="O517">INDEX(Honor!$L$2:$L800,MATCH($I517,Honor!$A$2:$A800,0))</f>
        <v>45535</v>
      </c>
      <c r="P517" s="10">
        <f t="shared" si="1"/>
        <v>2024</v>
      </c>
      <c r="Q517" s="10">
        <f t="shared" si="2"/>
        <v>8</v>
      </c>
      <c r="R517" s="10" t="str">
        <f t="array" ref="R517">INDEX(Honor!$Q$2:$Q800,MATCH($I517,Honor!$A$2:$A800,0))</f>
        <v>SURVEI-PPL</v>
      </c>
      <c r="S517" s="10" t="str">
        <f t="shared" si="3"/>
        <v>610422040059-2024-8</v>
      </c>
      <c r="T517" s="10" t="str">
        <f t="shared" si="4"/>
        <v>610422040059-2024-8-SURVEI-PPL</v>
      </c>
      <c r="U517" s="64"/>
      <c r="V517" s="10" t="e">
        <f t="array" aca="1" ref="V517" ca="1">INDEX(Honor!$O$2:$O800,MATCH($I517,Honor!$A$2:$A800,0))</f>
        <v>#NAME?</v>
      </c>
      <c r="W517" s="67"/>
      <c r="X517" s="7" t="str">
        <f t="array" ref="X517">INDEX('Input Kegiatan'!$B$2:$B800,MATCH(B517,'Input Kegiatan'!$A$2:$A800,0))</f>
        <v>Survei Ubinan 2024 Subround 2</v>
      </c>
      <c r="Y517" s="7" t="s">
        <v>4572</v>
      </c>
      <c r="Z517" s="7" t="s">
        <v>4656</v>
      </c>
      <c r="AA517" s="68">
        <f t="shared" si="5"/>
        <v>45504</v>
      </c>
      <c r="AB517" s="68">
        <f t="shared" si="6"/>
        <v>45505</v>
      </c>
      <c r="AC517" s="68">
        <f t="shared" si="7"/>
        <v>45535</v>
      </c>
      <c r="AD517" s="68">
        <f t="shared" si="8"/>
        <v>45534</v>
      </c>
      <c r="AE517" s="68">
        <f t="shared" si="9"/>
        <v>45535</v>
      </c>
    </row>
    <row r="518" spans="1:31" ht="12.5">
      <c r="A518" s="125">
        <v>610422100006</v>
      </c>
      <c r="B518" s="64" t="s">
        <v>229</v>
      </c>
      <c r="D518" s="10">
        <f t="array" aca="1" ref="D518" ca="1">INDEX('Mitra per Bulan'!$M$2:$M800,MATCH(S518,'Mitra per Bulan'!$B$2:$B800,0))</f>
        <v>1</v>
      </c>
      <c r="E518" s="10" t="str">
        <f t="array" ref="E518">INDEX('Database Mitra'!$A$2:$A800,MATCH(A518,'Database Mitra'!$B$2:$B800,0))</f>
        <v>Dandy</v>
      </c>
      <c r="F518" s="64" t="s">
        <v>25</v>
      </c>
      <c r="G518" s="5" t="str">
        <f t="array" ref="G518">INDEX('Database Mitra'!$G$2:$G800,MATCH(A518,'Database Mitra'!$B$2:$B800,0))</f>
        <v>6102082010980003</v>
      </c>
      <c r="H518" s="9" t="s">
        <v>230</v>
      </c>
      <c r="I518" s="64" t="s">
        <v>231</v>
      </c>
      <c r="J518" s="10" t="str">
        <f t="array" ref="J518">INDEX(Honor!$H$2:$H800,MATCH($I518,Honor!$A$2:$A800,0))</f>
        <v>Dokumen</v>
      </c>
      <c r="K518" s="66">
        <f t="array" ref="K518">INDEX(Honor!$I$2:$I800,MATCH($I518,Honor!$A$2:$A800,0))</f>
        <v>78000</v>
      </c>
      <c r="L518" s="64">
        <v>20</v>
      </c>
      <c r="M518" s="10">
        <f t="shared" si="0"/>
        <v>1560000</v>
      </c>
      <c r="O518" s="67">
        <f t="array" ref="O518">INDEX(Honor!$L$2:$L800,MATCH($I518,Honor!$A$2:$A800,0))</f>
        <v>45535</v>
      </c>
      <c r="P518" s="10">
        <f t="shared" si="1"/>
        <v>2024</v>
      </c>
      <c r="Q518" s="10">
        <f t="shared" si="2"/>
        <v>8</v>
      </c>
      <c r="R518" s="10" t="str">
        <f t="array" ref="R518">INDEX(Honor!$Q$2:$Q800,MATCH($I518,Honor!$A$2:$A800,0))</f>
        <v>SURVEI-PPL</v>
      </c>
      <c r="S518" s="10" t="str">
        <f t="shared" si="3"/>
        <v>610422100006-2024-8</v>
      </c>
      <c r="T518" s="10" t="str">
        <f t="shared" si="4"/>
        <v>610422100006-2024-8-SURVEI-PPL</v>
      </c>
      <c r="U518" s="64"/>
      <c r="V518" s="10" t="e">
        <f t="array" aca="1" ref="V518" ca="1">INDEX(Honor!$O$2:$O800,MATCH($I518,Honor!$A$2:$A800,0))</f>
        <v>#NAME?</v>
      </c>
      <c r="W518" s="67"/>
      <c r="X518" s="7" t="str">
        <f t="array" ref="X518">INDEX('Input Kegiatan'!$B$2:$B800,MATCH(B518,'Input Kegiatan'!$A$2:$A800,0))</f>
        <v>Survei Ubinan 2024 Subround 2</v>
      </c>
      <c r="Y518" s="7" t="s">
        <v>3241</v>
      </c>
      <c r="Z518" s="7" t="s">
        <v>3676</v>
      </c>
      <c r="AA518" s="68">
        <f t="shared" si="5"/>
        <v>45504</v>
      </c>
      <c r="AB518" s="68">
        <f t="shared" si="6"/>
        <v>45505</v>
      </c>
      <c r="AC518" s="68">
        <f t="shared" si="7"/>
        <v>45535</v>
      </c>
      <c r="AD518" s="68">
        <f t="shared" si="8"/>
        <v>45534</v>
      </c>
      <c r="AE518" s="68">
        <f t="shared" si="9"/>
        <v>45535</v>
      </c>
    </row>
    <row r="519" spans="1:31" ht="12.5">
      <c r="A519" s="125">
        <v>610423040021</v>
      </c>
      <c r="B519" s="64" t="s">
        <v>229</v>
      </c>
      <c r="D519" s="10">
        <f t="array" aca="1" ref="D519" ca="1">INDEX('Mitra per Bulan'!$M$2:$M800,MATCH(S519,'Mitra per Bulan'!$B$2:$B800,0))</f>
        <v>1</v>
      </c>
      <c r="E519" s="10" t="str">
        <f t="array" ref="E519">INDEX('Database Mitra'!$A$2:$A800,MATCH(A519,'Database Mitra'!$B$2:$B800,0))</f>
        <v>Seliana</v>
      </c>
      <c r="F519" s="64" t="s">
        <v>25</v>
      </c>
      <c r="G519" s="5" t="str">
        <f t="array" ref="G519">INDEX('Database Mitra'!$G$2:$G800,MATCH(A519,'Database Mitra'!$B$2:$B800,0))</f>
        <v>6102176606880001</v>
      </c>
      <c r="H519" s="9" t="s">
        <v>230</v>
      </c>
      <c r="I519" s="64" t="s">
        <v>231</v>
      </c>
      <c r="J519" s="10" t="str">
        <f t="array" ref="J519">INDEX(Honor!$H$2:$H800,MATCH($I519,Honor!$A$2:$A800,0))</f>
        <v>Dokumen</v>
      </c>
      <c r="K519" s="66">
        <f t="array" ref="K519">INDEX(Honor!$I$2:$I800,MATCH($I519,Honor!$A$2:$A800,0))</f>
        <v>78000</v>
      </c>
      <c r="L519" s="64">
        <v>3</v>
      </c>
      <c r="M519" s="10">
        <f t="shared" si="0"/>
        <v>234000</v>
      </c>
      <c r="O519" s="67">
        <f t="array" ref="O519">INDEX(Honor!$L$2:$L800,MATCH($I519,Honor!$A$2:$A800,0))</f>
        <v>45535</v>
      </c>
      <c r="P519" s="10">
        <f t="shared" si="1"/>
        <v>2024</v>
      </c>
      <c r="Q519" s="10">
        <f t="shared" si="2"/>
        <v>8</v>
      </c>
      <c r="R519" s="10" t="str">
        <f t="array" ref="R519">INDEX(Honor!$Q$2:$Q800,MATCH($I519,Honor!$A$2:$A800,0))</f>
        <v>SURVEI-PPL</v>
      </c>
      <c r="S519" s="10" t="str">
        <f t="shared" si="3"/>
        <v>610423040021-2024-8</v>
      </c>
      <c r="T519" s="10" t="str">
        <f t="shared" si="4"/>
        <v>610423040021-2024-8-SURVEI-PPL</v>
      </c>
      <c r="U519" s="64"/>
      <c r="V519" s="10" t="e">
        <f t="array" aca="1" ref="V519" ca="1">INDEX(Honor!$O$2:$O800,MATCH($I519,Honor!$A$2:$A800,0))</f>
        <v>#NAME?</v>
      </c>
      <c r="W519" s="67"/>
      <c r="X519" s="7" t="str">
        <f t="array" ref="X519">INDEX('Input Kegiatan'!$B$2:$B800,MATCH(B519,'Input Kegiatan'!$A$2:$A800,0))</f>
        <v>Survei Ubinan 2024 Subround 2</v>
      </c>
      <c r="Y519" s="7" t="s">
        <v>5741</v>
      </c>
      <c r="Z519" s="7" t="s">
        <v>5855</v>
      </c>
      <c r="AA519" s="68">
        <f t="shared" si="5"/>
        <v>45504</v>
      </c>
      <c r="AB519" s="68">
        <f t="shared" si="6"/>
        <v>45505</v>
      </c>
      <c r="AC519" s="68">
        <f t="shared" si="7"/>
        <v>45535</v>
      </c>
      <c r="AD519" s="68">
        <f t="shared" si="8"/>
        <v>45534</v>
      </c>
      <c r="AE519" s="68">
        <f t="shared" si="9"/>
        <v>45535</v>
      </c>
    </row>
    <row r="520" spans="1:31" ht="12.5">
      <c r="A520" s="125">
        <v>610422020048</v>
      </c>
      <c r="B520" s="64" t="s">
        <v>229</v>
      </c>
      <c r="D520" s="10">
        <f t="array" aca="1" ref="D520" ca="1">INDEX('Mitra per Bulan'!$M$2:$M800,MATCH(S520,'Mitra per Bulan'!$B$2:$B800,0))</f>
        <v>1</v>
      </c>
      <c r="E520" s="10" t="str">
        <f t="array" ref="E520">INDEX('Database Mitra'!$A$2:$A800,MATCH(A520,'Database Mitra'!$B$2:$B800,0))</f>
        <v>Herri Gustaman</v>
      </c>
      <c r="F520" s="64" t="s">
        <v>25</v>
      </c>
      <c r="G520" s="5" t="str">
        <f t="array" ref="G520">INDEX('Database Mitra'!$G$2:$G800,MATCH(A520,'Database Mitra'!$B$2:$B800,0))</f>
        <v>6102072503800001</v>
      </c>
      <c r="H520" s="9" t="s">
        <v>230</v>
      </c>
      <c r="I520" s="64" t="s">
        <v>231</v>
      </c>
      <c r="J520" s="10" t="str">
        <f t="array" ref="J520">INDEX(Honor!$H$2:$H800,MATCH($I520,Honor!$A$2:$A800,0))</f>
        <v>Dokumen</v>
      </c>
      <c r="K520" s="66">
        <f t="array" ref="K520">INDEX(Honor!$I$2:$I800,MATCH($I520,Honor!$A$2:$A800,0))</f>
        <v>78000</v>
      </c>
      <c r="L520" s="64">
        <v>10</v>
      </c>
      <c r="M520" s="10">
        <f t="shared" si="0"/>
        <v>780000</v>
      </c>
      <c r="O520" s="67">
        <f t="array" ref="O520">INDEX(Honor!$L$2:$L800,MATCH($I520,Honor!$A$2:$A800,0))</f>
        <v>45535</v>
      </c>
      <c r="P520" s="10">
        <f t="shared" si="1"/>
        <v>2024</v>
      </c>
      <c r="Q520" s="10">
        <f t="shared" si="2"/>
        <v>8</v>
      </c>
      <c r="R520" s="10" t="str">
        <f t="array" ref="R520">INDEX(Honor!$Q$2:$Q800,MATCH($I520,Honor!$A$2:$A800,0))</f>
        <v>SURVEI-PPL</v>
      </c>
      <c r="S520" s="10" t="str">
        <f t="shared" si="3"/>
        <v>610422020048-2024-8</v>
      </c>
      <c r="T520" s="10" t="str">
        <f t="shared" si="4"/>
        <v>610422020048-2024-8-SURVEI-PPL</v>
      </c>
      <c r="U520" s="64"/>
      <c r="V520" s="10" t="e">
        <f t="array" aca="1" ref="V520" ca="1">INDEX(Honor!$O$2:$O800,MATCH($I520,Honor!$A$2:$A800,0))</f>
        <v>#NAME?</v>
      </c>
      <c r="W520" s="67"/>
      <c r="X520" s="7" t="str">
        <f t="array" ref="X520">INDEX('Input Kegiatan'!$B$2:$B800,MATCH(B520,'Input Kegiatan'!$A$2:$A800,0))</f>
        <v>Survei Ubinan 2024 Subround 2</v>
      </c>
      <c r="Y520" s="7" t="s">
        <v>4931</v>
      </c>
      <c r="Z520" s="7" t="s">
        <v>5171</v>
      </c>
      <c r="AA520" s="68">
        <f t="shared" si="5"/>
        <v>45504</v>
      </c>
      <c r="AB520" s="68">
        <f t="shared" si="6"/>
        <v>45505</v>
      </c>
      <c r="AC520" s="68">
        <f t="shared" si="7"/>
        <v>45535</v>
      </c>
      <c r="AD520" s="68">
        <f t="shared" si="8"/>
        <v>45534</v>
      </c>
      <c r="AE520" s="68">
        <f t="shared" si="9"/>
        <v>45535</v>
      </c>
    </row>
    <row r="521" spans="1:31" ht="12.5">
      <c r="A521" s="125">
        <v>610422100244</v>
      </c>
      <c r="B521" s="64" t="s">
        <v>229</v>
      </c>
      <c r="D521" s="10">
        <f t="array" aca="1" ref="D521" ca="1">INDEX('Mitra per Bulan'!$M$2:$M800,MATCH(S521,'Mitra per Bulan'!$B$2:$B800,0))</f>
        <v>1</v>
      </c>
      <c r="E521" s="10" t="str">
        <f t="array" ref="E521">INDEX('Database Mitra'!$A$2:$A800,MATCH(A521,'Database Mitra'!$B$2:$B800,0))</f>
        <v>Sugianto</v>
      </c>
      <c r="F521" s="64" t="s">
        <v>25</v>
      </c>
      <c r="G521" s="5" t="str">
        <f t="array" ref="G521">INDEX('Database Mitra'!$G$2:$G800,MATCH(A521,'Database Mitra'!$B$2:$B800,0))</f>
        <v>6102171003900002</v>
      </c>
      <c r="H521" s="9" t="s">
        <v>232</v>
      </c>
      <c r="I521" s="64" t="s">
        <v>233</v>
      </c>
      <c r="J521" s="10" t="str">
        <f t="array" ref="J521">INDEX(Honor!$H$2:$H800,MATCH($I521,Honor!$A$2:$A800,0))</f>
        <v>Dokumen</v>
      </c>
      <c r="K521" s="66">
        <f t="array" ref="K521">INDEX(Honor!$I$2:$I800,MATCH($I521,Honor!$A$2:$A800,0))</f>
        <v>78000</v>
      </c>
      <c r="L521" s="64">
        <v>6</v>
      </c>
      <c r="M521" s="10">
        <f t="shared" si="0"/>
        <v>468000</v>
      </c>
      <c r="O521" s="67">
        <f t="array" ref="O521">INDEX(Honor!$L$2:$L800,MATCH($I521,Honor!$A$2:$A800,0))</f>
        <v>45535</v>
      </c>
      <c r="P521" s="10">
        <f t="shared" si="1"/>
        <v>2024</v>
      </c>
      <c r="Q521" s="10">
        <f t="shared" si="2"/>
        <v>8</v>
      </c>
      <c r="R521" s="10" t="str">
        <f t="array" ref="R521">INDEX(Honor!$Q$2:$Q800,MATCH($I521,Honor!$A$2:$A800,0))</f>
        <v>SURVEI-PPL</v>
      </c>
      <c r="S521" s="10" t="str">
        <f t="shared" si="3"/>
        <v>610422100244-2024-8</v>
      </c>
      <c r="T521" s="10" t="str">
        <f t="shared" si="4"/>
        <v>610422100244-2024-8-SURVEI-PPL</v>
      </c>
      <c r="U521" s="64"/>
      <c r="V521" s="10" t="e">
        <f t="array" aca="1" ref="V521" ca="1">INDEX(Honor!$O$2:$O800,MATCH($I521,Honor!$A$2:$A800,0))</f>
        <v>#NAME?</v>
      </c>
      <c r="W521" s="67"/>
      <c r="X521" s="7" t="str">
        <f t="array" ref="X521">INDEX('Input Kegiatan'!$B$2:$B800,MATCH(B521,'Input Kegiatan'!$A$2:$A800,0))</f>
        <v>Survei Ubinan 2024 Subround 2</v>
      </c>
      <c r="Y521" s="7" t="s">
        <v>5741</v>
      </c>
      <c r="Z521" s="7" t="s">
        <v>5796</v>
      </c>
      <c r="AA521" s="68">
        <f t="shared" si="5"/>
        <v>45504</v>
      </c>
      <c r="AB521" s="68">
        <f t="shared" si="6"/>
        <v>45505</v>
      </c>
      <c r="AC521" s="68">
        <f t="shared" si="7"/>
        <v>45535</v>
      </c>
      <c r="AD521" s="68">
        <f t="shared" si="8"/>
        <v>45534</v>
      </c>
      <c r="AE521" s="68">
        <f t="shared" si="9"/>
        <v>45535</v>
      </c>
    </row>
    <row r="522" spans="1:31" ht="12.5">
      <c r="A522" s="125">
        <v>610422040059</v>
      </c>
      <c r="B522" s="64" t="s">
        <v>234</v>
      </c>
      <c r="D522" s="10">
        <f t="array" aca="1" ref="D522" ca="1">INDEX('Mitra per Bulan'!$M$2:$M800,MATCH(S522,'Mitra per Bulan'!$B$2:$B800,0))</f>
        <v>1</v>
      </c>
      <c r="E522" s="10" t="str">
        <f t="array" ref="E522">INDEX('Database Mitra'!$A$2:$A800,MATCH(A522,'Database Mitra'!$B$2:$B800,0))</f>
        <v>Abang Handri</v>
      </c>
      <c r="F522" s="64" t="s">
        <v>25</v>
      </c>
      <c r="G522" s="5" t="str">
        <f t="array" ref="G522">INDEX('Database Mitra'!$G$2:$G800,MATCH(A522,'Database Mitra'!$B$2:$B800,0))</f>
        <v>6102072211780002</v>
      </c>
      <c r="H522" s="64" t="s">
        <v>67</v>
      </c>
      <c r="I522" s="64" t="s">
        <v>235</v>
      </c>
      <c r="J522" s="10" t="str">
        <f t="array" ref="J522">INDEX(Honor!$H$2:$H800,MATCH($I522,Honor!$A$2:$A800,0))</f>
        <v>Dokumen</v>
      </c>
      <c r="K522" s="66">
        <f t="array" ref="K522">INDEX(Honor!$I$2:$I800,MATCH($I522,Honor!$A$2:$A800,0))</f>
        <v>55000</v>
      </c>
      <c r="L522" s="64">
        <v>15</v>
      </c>
      <c r="M522" s="10">
        <f t="shared" si="0"/>
        <v>825000</v>
      </c>
      <c r="O522" s="67">
        <f t="array" ref="O522">INDEX(Honor!$L$2:$L800,MATCH($I522,Honor!$A$2:$A800,0))</f>
        <v>45535</v>
      </c>
      <c r="P522" s="10">
        <f t="shared" si="1"/>
        <v>2024</v>
      </c>
      <c r="Q522" s="10">
        <f t="shared" si="2"/>
        <v>8</v>
      </c>
      <c r="R522" s="10" t="str">
        <f t="array" ref="R522">INDEX(Honor!$Q$2:$Q800,MATCH($I522,Honor!$A$2:$A800,0))</f>
        <v>SURVEI-PPL</v>
      </c>
      <c r="S522" s="10" t="str">
        <f t="shared" si="3"/>
        <v>610422040059-2024-8</v>
      </c>
      <c r="T522" s="10" t="str">
        <f t="shared" si="4"/>
        <v>610422040059-2024-8-SURVEI-PPL</v>
      </c>
      <c r="U522" s="64"/>
      <c r="V522" s="10" t="e">
        <f t="array" aca="1" ref="V522" ca="1">INDEX(Honor!$O$2:$O800,MATCH($I522,Honor!$A$2:$A800,0))</f>
        <v>#NAME?</v>
      </c>
      <c r="W522" s="67"/>
      <c r="X522" s="7" t="str">
        <f t="array" ref="X522">INDEX('Input Kegiatan'!$B$2:$B800,MATCH(B522,'Input Kegiatan'!$A$2:$A800,0))</f>
        <v>Survei Industri Mikro dan Kecil (IMK) Tahunan 2024</v>
      </c>
      <c r="Y522" s="7" t="s">
        <v>4572</v>
      </c>
      <c r="Z522" s="7" t="s">
        <v>4656</v>
      </c>
      <c r="AA522" s="68">
        <f t="shared" si="5"/>
        <v>45504</v>
      </c>
      <c r="AB522" s="68">
        <f t="shared" si="6"/>
        <v>45505</v>
      </c>
      <c r="AC522" s="68">
        <f t="shared" si="7"/>
        <v>45535</v>
      </c>
      <c r="AD522" s="68">
        <f t="shared" si="8"/>
        <v>45534</v>
      </c>
      <c r="AE522" s="68">
        <f t="shared" si="9"/>
        <v>45535</v>
      </c>
    </row>
    <row r="523" spans="1:31" ht="12.5">
      <c r="A523" s="125">
        <v>610422030001</v>
      </c>
      <c r="B523" s="64" t="s">
        <v>234</v>
      </c>
      <c r="D523" s="10">
        <f t="array" aca="1" ref="D523" ca="1">INDEX('Mitra per Bulan'!$M$2:$M800,MATCH(S523,'Mitra per Bulan'!$B$2:$B800,0))</f>
        <v>1</v>
      </c>
      <c r="E523" s="10" t="str">
        <f t="array" ref="E523">INDEX('Database Mitra'!$A$2:$A800,MATCH(A523,'Database Mitra'!$B$2:$B800,0))</f>
        <v>Pitra,Sp</v>
      </c>
      <c r="F523" s="64" t="s">
        <v>25</v>
      </c>
      <c r="G523" s="5" t="str">
        <f t="array" ref="G523">INDEX('Database Mitra'!$G$2:$G800,MATCH(A523,'Database Mitra'!$B$2:$B800,0))</f>
        <v>6102010808800006</v>
      </c>
      <c r="H523" s="64" t="s">
        <v>67</v>
      </c>
      <c r="I523" s="64" t="s">
        <v>235</v>
      </c>
      <c r="J523" s="10" t="str">
        <f t="array" ref="J523">INDEX(Honor!$H$2:$H800,MATCH($I523,Honor!$A$2:$A800,0))</f>
        <v>Dokumen</v>
      </c>
      <c r="K523" s="66">
        <f t="array" ref="K523">INDEX(Honor!$I$2:$I800,MATCH($I523,Honor!$A$2:$A800,0))</f>
        <v>55000</v>
      </c>
      <c r="L523" s="64">
        <v>13</v>
      </c>
      <c r="M523" s="10">
        <f t="shared" si="0"/>
        <v>715000</v>
      </c>
      <c r="O523" s="67">
        <f t="array" ref="O523">INDEX(Honor!$L$2:$L800,MATCH($I523,Honor!$A$2:$A800,0))</f>
        <v>45535</v>
      </c>
      <c r="P523" s="10">
        <f t="shared" si="1"/>
        <v>2024</v>
      </c>
      <c r="Q523" s="10">
        <f t="shared" si="2"/>
        <v>8</v>
      </c>
      <c r="R523" s="10" t="str">
        <f t="array" ref="R523">INDEX(Honor!$Q$2:$Q800,MATCH($I523,Honor!$A$2:$A800,0))</f>
        <v>SURVEI-PPL</v>
      </c>
      <c r="S523" s="10" t="str">
        <f t="shared" si="3"/>
        <v>610422030001-2024-8</v>
      </c>
      <c r="T523" s="10" t="str">
        <f t="shared" si="4"/>
        <v>610422030001-2024-8-SURVEI-PPL</v>
      </c>
      <c r="U523" s="64"/>
      <c r="V523" s="10" t="e">
        <f t="array" aca="1" ref="V523" ca="1">INDEX(Honor!$O$2:$O800,MATCH($I523,Honor!$A$2:$A800,0))</f>
        <v>#NAME?</v>
      </c>
      <c r="W523" s="67"/>
      <c r="X523" s="7" t="str">
        <f t="array" ref="X523">INDEX('Input Kegiatan'!$B$2:$B800,MATCH(B523,'Input Kegiatan'!$A$2:$A800,0))</f>
        <v>Survei Industri Mikro dan Kecil (IMK) Tahunan 2024</v>
      </c>
      <c r="Y523" s="7" t="s">
        <v>3715</v>
      </c>
      <c r="Z523" s="7" t="s">
        <v>3716</v>
      </c>
      <c r="AA523" s="68">
        <f t="shared" si="5"/>
        <v>45504</v>
      </c>
      <c r="AB523" s="68">
        <f t="shared" si="6"/>
        <v>45505</v>
      </c>
      <c r="AC523" s="68">
        <f t="shared" si="7"/>
        <v>45535</v>
      </c>
      <c r="AD523" s="68">
        <f t="shared" si="8"/>
        <v>45534</v>
      </c>
      <c r="AE523" s="68">
        <f t="shared" si="9"/>
        <v>45535</v>
      </c>
    </row>
    <row r="524" spans="1:31" ht="12.5">
      <c r="A524" s="125">
        <v>610422040058</v>
      </c>
      <c r="B524" s="64" t="s">
        <v>234</v>
      </c>
      <c r="D524" s="10">
        <f t="array" aca="1" ref="D524" ca="1">INDEX('Mitra per Bulan'!$M$2:$M800,MATCH(S524,'Mitra per Bulan'!$B$2:$B800,0))</f>
        <v>1</v>
      </c>
      <c r="E524" s="10" t="str">
        <f t="array" ref="E524">INDEX('Database Mitra'!$A$2:$A800,MATCH(A524,'Database Mitra'!$B$2:$B800,0))</f>
        <v>Jamaluddin, Sp</v>
      </c>
      <c r="F524" s="64" t="s">
        <v>25</v>
      </c>
      <c r="G524" s="5" t="str">
        <f t="array" ref="G524">INDEX('Database Mitra'!$G$2:$G800,MATCH(A524,'Database Mitra'!$B$2:$B800,0))</f>
        <v>6102152607940002</v>
      </c>
      <c r="H524" s="64" t="s">
        <v>67</v>
      </c>
      <c r="I524" s="64" t="s">
        <v>235</v>
      </c>
      <c r="J524" s="10" t="str">
        <f t="array" ref="J524">INDEX(Honor!$H$2:$H800,MATCH($I524,Honor!$A$2:$A800,0))</f>
        <v>Dokumen</v>
      </c>
      <c r="K524" s="66">
        <f t="array" ref="K524">INDEX(Honor!$I$2:$I800,MATCH($I524,Honor!$A$2:$A800,0))</f>
        <v>55000</v>
      </c>
      <c r="L524" s="64">
        <v>15</v>
      </c>
      <c r="M524" s="10">
        <f t="shared" si="0"/>
        <v>825000</v>
      </c>
      <c r="O524" s="67">
        <f t="array" ref="O524">INDEX(Honor!$L$2:$L800,MATCH($I524,Honor!$A$2:$A800,0))</f>
        <v>45535</v>
      </c>
      <c r="P524" s="10">
        <f t="shared" si="1"/>
        <v>2024</v>
      </c>
      <c r="Q524" s="10">
        <f t="shared" si="2"/>
        <v>8</v>
      </c>
      <c r="R524" s="10" t="str">
        <f t="array" ref="R524">INDEX(Honor!$Q$2:$Q800,MATCH($I524,Honor!$A$2:$A800,0))</f>
        <v>SURVEI-PPL</v>
      </c>
      <c r="S524" s="10" t="str">
        <f t="shared" si="3"/>
        <v>610422040058-2024-8</v>
      </c>
      <c r="T524" s="10" t="str">
        <f t="shared" si="4"/>
        <v>610422040058-2024-8-SURVEI-PPL</v>
      </c>
      <c r="U524" s="64"/>
      <c r="V524" s="10" t="e">
        <f t="array" aca="1" ref="V524" ca="1">INDEX(Honor!$O$2:$O800,MATCH($I524,Honor!$A$2:$A800,0))</f>
        <v>#NAME?</v>
      </c>
      <c r="W524" s="67"/>
      <c r="X524" s="7" t="str">
        <f t="array" ref="X524">INDEX('Input Kegiatan'!$B$2:$B800,MATCH(B524,'Input Kegiatan'!$A$2:$A800,0))</f>
        <v>Survei Industri Mikro dan Kecil (IMK) Tahunan 2024</v>
      </c>
      <c r="Y524" s="7" t="s">
        <v>3715</v>
      </c>
      <c r="Z524" s="7" t="s">
        <v>3716</v>
      </c>
      <c r="AA524" s="68">
        <f t="shared" si="5"/>
        <v>45504</v>
      </c>
      <c r="AB524" s="68">
        <f t="shared" si="6"/>
        <v>45505</v>
      </c>
      <c r="AC524" s="68">
        <f t="shared" si="7"/>
        <v>45535</v>
      </c>
      <c r="AD524" s="68">
        <f t="shared" si="8"/>
        <v>45534</v>
      </c>
      <c r="AE524" s="68">
        <f t="shared" si="9"/>
        <v>45535</v>
      </c>
    </row>
    <row r="525" spans="1:31" ht="12.5">
      <c r="A525" s="125">
        <v>610422020040</v>
      </c>
      <c r="B525" s="64" t="s">
        <v>234</v>
      </c>
      <c r="D525" s="10">
        <f t="array" aca="1" ref="D525" ca="1">INDEX('Mitra per Bulan'!$M$2:$M800,MATCH(S525,'Mitra per Bulan'!$B$2:$B800,0))</f>
        <v>1</v>
      </c>
      <c r="E525" s="10" t="str">
        <f t="array" ref="E525">INDEX('Database Mitra'!$A$2:$A800,MATCH(A525,'Database Mitra'!$B$2:$B800,0))</f>
        <v>Shofyansyah</v>
      </c>
      <c r="F525" s="64" t="s">
        <v>25</v>
      </c>
      <c r="G525" s="5" t="str">
        <f t="array" ref="G525">INDEX('Database Mitra'!$G$2:$G800,MATCH(A525,'Database Mitra'!$B$2:$B800,0))</f>
        <v>6102161703760001</v>
      </c>
      <c r="H525" s="64" t="s">
        <v>67</v>
      </c>
      <c r="I525" s="64" t="s">
        <v>235</v>
      </c>
      <c r="J525" s="10" t="str">
        <f t="array" ref="J525">INDEX(Honor!$H$2:$H800,MATCH($I525,Honor!$A$2:$A800,0))</f>
        <v>Dokumen</v>
      </c>
      <c r="K525" s="66">
        <f t="array" ref="K525">INDEX(Honor!$I$2:$I800,MATCH($I525,Honor!$A$2:$A800,0))</f>
        <v>55000</v>
      </c>
      <c r="L525" s="64">
        <v>21</v>
      </c>
      <c r="M525" s="10">
        <f t="shared" si="0"/>
        <v>1155000</v>
      </c>
      <c r="O525" s="67">
        <f t="array" ref="O525">INDEX(Honor!$L$2:$L800,MATCH($I525,Honor!$A$2:$A800,0))</f>
        <v>45535</v>
      </c>
      <c r="P525" s="10">
        <f t="shared" si="1"/>
        <v>2024</v>
      </c>
      <c r="Q525" s="10">
        <f t="shared" si="2"/>
        <v>8</v>
      </c>
      <c r="R525" s="10" t="str">
        <f t="array" ref="R525">INDEX(Honor!$Q$2:$Q800,MATCH($I525,Honor!$A$2:$A800,0))</f>
        <v>SURVEI-PPL</v>
      </c>
      <c r="S525" s="10" t="str">
        <f t="shared" si="3"/>
        <v>610422020040-2024-8</v>
      </c>
      <c r="T525" s="10" t="str">
        <f t="shared" si="4"/>
        <v>610422020040-2024-8-SURVEI-PPL</v>
      </c>
      <c r="U525" s="64"/>
      <c r="V525" s="10" t="e">
        <f t="array" aca="1" ref="V525" ca="1">INDEX(Honor!$O$2:$O800,MATCH($I525,Honor!$A$2:$A800,0))</f>
        <v>#NAME?</v>
      </c>
      <c r="W525" s="67"/>
      <c r="X525" s="7" t="str">
        <f t="array" ref="X525">INDEX('Input Kegiatan'!$B$2:$B800,MATCH(B525,'Input Kegiatan'!$A$2:$A800,0))</f>
        <v>Survei Industri Mikro dan Kecil (IMK) Tahunan 2024</v>
      </c>
      <c r="Y525" s="7" t="s">
        <v>4408</v>
      </c>
      <c r="Z525" s="7" t="s">
        <v>4463</v>
      </c>
      <c r="AA525" s="68">
        <f t="shared" si="5"/>
        <v>45504</v>
      </c>
      <c r="AB525" s="68">
        <f t="shared" si="6"/>
        <v>45505</v>
      </c>
      <c r="AC525" s="68">
        <f t="shared" si="7"/>
        <v>45535</v>
      </c>
      <c r="AD525" s="68">
        <f t="shared" si="8"/>
        <v>45534</v>
      </c>
      <c r="AE525" s="68">
        <f t="shared" si="9"/>
        <v>45535</v>
      </c>
    </row>
    <row r="526" spans="1:31" ht="12.5">
      <c r="A526" s="125">
        <v>610422100001</v>
      </c>
      <c r="B526" s="64" t="s">
        <v>234</v>
      </c>
      <c r="D526" s="10">
        <f t="array" aca="1" ref="D526" ca="1">INDEX('Mitra per Bulan'!$M$2:$M800,MATCH(S526,'Mitra per Bulan'!$B$2:$B800,0))</f>
        <v>1</v>
      </c>
      <c r="E526" s="10" t="str">
        <f t="array" ref="E526">INDEX('Database Mitra'!$A$2:$A800,MATCH(A526,'Database Mitra'!$B$2:$B800,0))</f>
        <v>Fatmawati,S.Hut</v>
      </c>
      <c r="F526" s="64" t="s">
        <v>25</v>
      </c>
      <c r="G526" s="5" t="str">
        <f t="array" ref="G526">INDEX('Database Mitra'!$G$2:$G800,MATCH(A526,'Database Mitra'!$B$2:$B800,0))</f>
        <v>6102075007830003</v>
      </c>
      <c r="H526" s="64" t="s">
        <v>67</v>
      </c>
      <c r="I526" s="64" t="s">
        <v>235</v>
      </c>
      <c r="J526" s="10" t="str">
        <f t="array" ref="J526">INDEX(Honor!$H$2:$H800,MATCH($I526,Honor!$A$2:$A800,0))</f>
        <v>Dokumen</v>
      </c>
      <c r="K526" s="66">
        <f t="array" ref="K526">INDEX(Honor!$I$2:$I800,MATCH($I526,Honor!$A$2:$A800,0))</f>
        <v>55000</v>
      </c>
      <c r="L526" s="64">
        <v>10</v>
      </c>
      <c r="M526" s="10">
        <f t="shared" si="0"/>
        <v>550000</v>
      </c>
      <c r="O526" s="67">
        <f t="array" ref="O526">INDEX(Honor!$L$2:$L800,MATCH($I526,Honor!$A$2:$A800,0))</f>
        <v>45535</v>
      </c>
      <c r="P526" s="10">
        <f t="shared" si="1"/>
        <v>2024</v>
      </c>
      <c r="Q526" s="10">
        <f t="shared" si="2"/>
        <v>8</v>
      </c>
      <c r="R526" s="10" t="str">
        <f t="array" ref="R526">INDEX(Honor!$Q$2:$Q800,MATCH($I526,Honor!$A$2:$A800,0))</f>
        <v>SURVEI-PPL</v>
      </c>
      <c r="S526" s="10" t="str">
        <f t="shared" si="3"/>
        <v>610422100001-2024-8</v>
      </c>
      <c r="T526" s="10" t="str">
        <f t="shared" si="4"/>
        <v>610422100001-2024-8-SURVEI-PPL</v>
      </c>
      <c r="U526" s="64"/>
      <c r="V526" s="10" t="e">
        <f t="array" aca="1" ref="V526" ca="1">INDEX(Honor!$O$2:$O800,MATCH($I526,Honor!$A$2:$A800,0))</f>
        <v>#NAME?</v>
      </c>
      <c r="W526" s="67"/>
      <c r="X526" s="7" t="str">
        <f t="array" ref="X526">INDEX('Input Kegiatan'!$B$2:$B800,MATCH(B526,'Input Kegiatan'!$A$2:$A800,0))</f>
        <v>Survei Industri Mikro dan Kecil (IMK) Tahunan 2024</v>
      </c>
      <c r="Y526" s="7" t="s">
        <v>3990</v>
      </c>
      <c r="Z526" s="7" t="s">
        <v>4332</v>
      </c>
      <c r="AA526" s="68">
        <f t="shared" si="5"/>
        <v>45504</v>
      </c>
      <c r="AB526" s="68">
        <f t="shared" si="6"/>
        <v>45505</v>
      </c>
      <c r="AC526" s="68">
        <f t="shared" si="7"/>
        <v>45535</v>
      </c>
      <c r="AD526" s="68">
        <f t="shared" si="8"/>
        <v>45534</v>
      </c>
      <c r="AE526" s="68">
        <f t="shared" si="9"/>
        <v>45535</v>
      </c>
    </row>
    <row r="527" spans="1:31" ht="12.5">
      <c r="A527" s="125">
        <v>610422040049</v>
      </c>
      <c r="B527" s="64" t="s">
        <v>234</v>
      </c>
      <c r="D527" s="10">
        <f t="array" aca="1" ref="D527" ca="1">INDEX('Mitra per Bulan'!$M$2:$M800,MATCH(S527,'Mitra per Bulan'!$B$2:$B800,0))</f>
        <v>1</v>
      </c>
      <c r="E527" s="10" t="str">
        <f t="array" ref="E527">INDEX('Database Mitra'!$A$2:$A800,MATCH(A527,'Database Mitra'!$B$2:$B800,0))</f>
        <v>Sulis Tri Handayani</v>
      </c>
      <c r="F527" s="64" t="s">
        <v>25</v>
      </c>
      <c r="G527" s="5" t="str">
        <f t="array" ref="G527">INDEX('Database Mitra'!$G$2:$G800,MATCH(A527,'Database Mitra'!$B$2:$B800,0))</f>
        <v>6102074307840004</v>
      </c>
      <c r="H527" s="64" t="s">
        <v>67</v>
      </c>
      <c r="I527" s="64" t="s">
        <v>235</v>
      </c>
      <c r="J527" s="10" t="str">
        <f t="array" ref="J527">INDEX(Honor!$H$2:$H800,MATCH($I527,Honor!$A$2:$A800,0))</f>
        <v>Dokumen</v>
      </c>
      <c r="K527" s="66">
        <f t="array" ref="K527">INDEX(Honor!$I$2:$I800,MATCH($I527,Honor!$A$2:$A800,0))</f>
        <v>55000</v>
      </c>
      <c r="L527" s="64">
        <v>21</v>
      </c>
      <c r="M527" s="10">
        <f t="shared" si="0"/>
        <v>1155000</v>
      </c>
      <c r="O527" s="67">
        <f t="array" ref="O527">INDEX(Honor!$L$2:$L800,MATCH($I527,Honor!$A$2:$A800,0))</f>
        <v>45535</v>
      </c>
      <c r="P527" s="10">
        <f t="shared" si="1"/>
        <v>2024</v>
      </c>
      <c r="Q527" s="10">
        <f t="shared" si="2"/>
        <v>8</v>
      </c>
      <c r="R527" s="10" t="str">
        <f t="array" ref="R527">INDEX(Honor!$Q$2:$Q800,MATCH($I527,Honor!$A$2:$A800,0))</f>
        <v>SURVEI-PPL</v>
      </c>
      <c r="S527" s="10" t="str">
        <f t="shared" si="3"/>
        <v>610422040049-2024-8</v>
      </c>
      <c r="T527" s="10" t="str">
        <f t="shared" si="4"/>
        <v>610422040049-2024-8-SURVEI-PPL</v>
      </c>
      <c r="U527" s="64"/>
      <c r="V527" s="10" t="e">
        <f t="array" aca="1" ref="V527" ca="1">INDEX(Honor!$O$2:$O800,MATCH($I527,Honor!$A$2:$A800,0))</f>
        <v>#NAME?</v>
      </c>
      <c r="W527" s="67"/>
      <c r="X527" s="7" t="str">
        <f t="array" ref="X527">INDEX('Input Kegiatan'!$B$2:$B800,MATCH(B527,'Input Kegiatan'!$A$2:$A800,0))</f>
        <v>Survei Industri Mikro dan Kecil (IMK) Tahunan 2024</v>
      </c>
      <c r="Y527" s="7" t="s">
        <v>3990</v>
      </c>
      <c r="Z527" s="7" t="s">
        <v>3990</v>
      </c>
      <c r="AA527" s="68">
        <f t="shared" si="5"/>
        <v>45504</v>
      </c>
      <c r="AB527" s="68">
        <f t="shared" si="6"/>
        <v>45505</v>
      </c>
      <c r="AC527" s="68">
        <f t="shared" si="7"/>
        <v>45535</v>
      </c>
      <c r="AD527" s="68">
        <f t="shared" si="8"/>
        <v>45534</v>
      </c>
      <c r="AE527" s="68">
        <f t="shared" si="9"/>
        <v>45535</v>
      </c>
    </row>
    <row r="528" spans="1:31" ht="12.5">
      <c r="A528" s="125">
        <v>610422040056</v>
      </c>
      <c r="B528" s="64" t="s">
        <v>234</v>
      </c>
      <c r="D528" s="10">
        <f t="array" aca="1" ref="D528" ca="1">INDEX('Mitra per Bulan'!$M$2:$M800,MATCH(S528,'Mitra per Bulan'!$B$2:$B800,0))</f>
        <v>1</v>
      </c>
      <c r="E528" s="10" t="str">
        <f t="array" ref="E528">INDEX('Database Mitra'!$A$2:$A800,MATCH(A528,'Database Mitra'!$B$2:$B800,0))</f>
        <v>Wandi Syafari</v>
      </c>
      <c r="F528" s="64" t="s">
        <v>25</v>
      </c>
      <c r="G528" s="5" t="str">
        <f t="array" ref="G528">INDEX('Database Mitra'!$G$2:$G800,MATCH(A528,'Database Mitra'!$B$2:$B800,0))</f>
        <v>6102010802760001</v>
      </c>
      <c r="H528" s="64" t="s">
        <v>67</v>
      </c>
      <c r="I528" s="64" t="s">
        <v>235</v>
      </c>
      <c r="J528" s="10" t="str">
        <f t="array" ref="J528">INDEX(Honor!$H$2:$H800,MATCH($I528,Honor!$A$2:$A800,0))</f>
        <v>Dokumen</v>
      </c>
      <c r="K528" s="66">
        <f t="array" ref="K528">INDEX(Honor!$I$2:$I800,MATCH($I528,Honor!$A$2:$A800,0))</f>
        <v>55000</v>
      </c>
      <c r="L528" s="64">
        <v>9</v>
      </c>
      <c r="M528" s="10">
        <f t="shared" si="0"/>
        <v>495000</v>
      </c>
      <c r="O528" s="67">
        <f t="array" ref="O528">INDEX(Honor!$L$2:$L800,MATCH($I528,Honor!$A$2:$A800,0))</f>
        <v>45535</v>
      </c>
      <c r="P528" s="10">
        <f t="shared" si="1"/>
        <v>2024</v>
      </c>
      <c r="Q528" s="10">
        <f t="shared" si="2"/>
        <v>8</v>
      </c>
      <c r="R528" s="10" t="str">
        <f t="array" ref="R528">INDEX(Honor!$Q$2:$Q800,MATCH($I528,Honor!$A$2:$A800,0))</f>
        <v>SURVEI-PPL</v>
      </c>
      <c r="S528" s="10" t="str">
        <f t="shared" si="3"/>
        <v>610422040056-2024-8</v>
      </c>
      <c r="T528" s="10" t="str">
        <f t="shared" si="4"/>
        <v>610422040056-2024-8-SURVEI-PPL</v>
      </c>
      <c r="U528" s="64"/>
      <c r="V528" s="10" t="e">
        <f t="array" aca="1" ref="V528" ca="1">INDEX(Honor!$O$2:$O800,MATCH($I528,Honor!$A$2:$A800,0))</f>
        <v>#NAME?</v>
      </c>
      <c r="W528" s="67"/>
      <c r="X528" s="7" t="str">
        <f t="array" ref="X528">INDEX('Input Kegiatan'!$B$2:$B800,MATCH(B528,'Input Kegiatan'!$A$2:$A800,0))</f>
        <v>Survei Industri Mikro dan Kecil (IMK) Tahunan 2024</v>
      </c>
      <c r="Y528" s="7" t="s">
        <v>4572</v>
      </c>
      <c r="Z528" s="7" t="s">
        <v>4656</v>
      </c>
      <c r="AA528" s="68">
        <f t="shared" si="5"/>
        <v>45504</v>
      </c>
      <c r="AB528" s="68">
        <f t="shared" si="6"/>
        <v>45505</v>
      </c>
      <c r="AC528" s="68">
        <f t="shared" si="7"/>
        <v>45535</v>
      </c>
      <c r="AD528" s="68">
        <f t="shared" si="8"/>
        <v>45534</v>
      </c>
      <c r="AE528" s="68">
        <f t="shared" si="9"/>
        <v>45535</v>
      </c>
    </row>
    <row r="529" spans="1:31" ht="12.5">
      <c r="A529" s="125">
        <v>610422040062</v>
      </c>
      <c r="B529" s="64" t="s">
        <v>234</v>
      </c>
      <c r="D529" s="10">
        <f t="array" aca="1" ref="D529" ca="1">INDEX('Mitra per Bulan'!$M$2:$M800,MATCH(S529,'Mitra per Bulan'!$B$2:$B800,0))</f>
        <v>1</v>
      </c>
      <c r="E529" s="10" t="str">
        <f t="array" ref="E529">INDEX('Database Mitra'!$A$2:$A800,MATCH(A529,'Database Mitra'!$B$2:$B800,0))</f>
        <v>Yudi Wahyudi</v>
      </c>
      <c r="F529" s="64" t="s">
        <v>25</v>
      </c>
      <c r="G529" s="5" t="str">
        <f t="array" ref="G529">INDEX('Database Mitra'!$G$2:$G800,MATCH(A529,'Database Mitra'!$B$2:$B800,0))</f>
        <v>6108011805800004</v>
      </c>
      <c r="H529" s="64" t="s">
        <v>67</v>
      </c>
      <c r="I529" s="64" t="s">
        <v>235</v>
      </c>
      <c r="J529" s="10" t="str">
        <f t="array" ref="J529">INDEX(Honor!$H$2:$H800,MATCH($I529,Honor!$A$2:$A800,0))</f>
        <v>Dokumen</v>
      </c>
      <c r="K529" s="66">
        <f t="array" ref="K529">INDEX(Honor!$I$2:$I800,MATCH($I529,Honor!$A$2:$A800,0))</f>
        <v>55000</v>
      </c>
      <c r="L529" s="64">
        <v>9</v>
      </c>
      <c r="M529" s="10">
        <f t="shared" si="0"/>
        <v>495000</v>
      </c>
      <c r="O529" s="67">
        <f t="array" ref="O529">INDEX(Honor!$L$2:$L800,MATCH($I529,Honor!$A$2:$A800,0))</f>
        <v>45535</v>
      </c>
      <c r="P529" s="10">
        <f t="shared" si="1"/>
        <v>2024</v>
      </c>
      <c r="Q529" s="10">
        <f t="shared" si="2"/>
        <v>8</v>
      </c>
      <c r="R529" s="10" t="str">
        <f t="array" ref="R529">INDEX(Honor!$Q$2:$Q800,MATCH($I529,Honor!$A$2:$A800,0))</f>
        <v>SURVEI-PPL</v>
      </c>
      <c r="S529" s="10" t="str">
        <f t="shared" si="3"/>
        <v>610422040062-2024-8</v>
      </c>
      <c r="T529" s="10" t="str">
        <f t="shared" si="4"/>
        <v>610422040062-2024-8-SURVEI-PPL</v>
      </c>
      <c r="U529" s="64"/>
      <c r="V529" s="10" t="e">
        <f t="array" aca="1" ref="V529" ca="1">INDEX(Honor!$O$2:$O800,MATCH($I529,Honor!$A$2:$A800,0))</f>
        <v>#NAME?</v>
      </c>
      <c r="W529" s="67"/>
      <c r="X529" s="7" t="str">
        <f t="array" ref="X529">INDEX('Input Kegiatan'!$B$2:$B800,MATCH(B529,'Input Kegiatan'!$A$2:$A800,0))</f>
        <v>Survei Industri Mikro dan Kecil (IMK) Tahunan 2024</v>
      </c>
      <c r="Y529" s="7" t="s">
        <v>3990</v>
      </c>
      <c r="Z529" s="7" t="s">
        <v>4332</v>
      </c>
      <c r="AA529" s="68">
        <f t="shared" si="5"/>
        <v>45504</v>
      </c>
      <c r="AB529" s="68">
        <f t="shared" si="6"/>
        <v>45505</v>
      </c>
      <c r="AC529" s="68">
        <f t="shared" si="7"/>
        <v>45535</v>
      </c>
      <c r="AD529" s="68">
        <f t="shared" si="8"/>
        <v>45534</v>
      </c>
      <c r="AE529" s="68">
        <f t="shared" si="9"/>
        <v>45535</v>
      </c>
    </row>
    <row r="530" spans="1:31" ht="12.5">
      <c r="A530" s="125">
        <v>610422100006</v>
      </c>
      <c r="B530" s="64" t="s">
        <v>234</v>
      </c>
      <c r="D530" s="10">
        <f t="array" aca="1" ref="D530" ca="1">INDEX('Mitra per Bulan'!$M$2:$M800,MATCH(S530,'Mitra per Bulan'!$B$2:$B800,0))</f>
        <v>1</v>
      </c>
      <c r="E530" s="10" t="str">
        <f t="array" ref="E530">INDEX('Database Mitra'!$A$2:$A800,MATCH(A530,'Database Mitra'!$B$2:$B800,0))</f>
        <v>Dandy</v>
      </c>
      <c r="F530" s="64" t="s">
        <v>25</v>
      </c>
      <c r="G530" s="5" t="str">
        <f t="array" ref="G530">INDEX('Database Mitra'!$G$2:$G800,MATCH(A530,'Database Mitra'!$B$2:$B800,0))</f>
        <v>6102082010980003</v>
      </c>
      <c r="H530" s="64" t="s">
        <v>67</v>
      </c>
      <c r="I530" s="64" t="s">
        <v>235</v>
      </c>
      <c r="J530" s="10" t="str">
        <f t="array" ref="J530">INDEX(Honor!$H$2:$H800,MATCH($I530,Honor!$A$2:$A800,0))</f>
        <v>Dokumen</v>
      </c>
      <c r="K530" s="66">
        <f t="array" ref="K530">INDEX(Honor!$I$2:$I800,MATCH($I530,Honor!$A$2:$A800,0))</f>
        <v>55000</v>
      </c>
      <c r="L530" s="64">
        <v>6</v>
      </c>
      <c r="M530" s="10">
        <f t="shared" si="0"/>
        <v>330000</v>
      </c>
      <c r="O530" s="67">
        <f t="array" ref="O530">INDEX(Honor!$L$2:$L800,MATCH($I530,Honor!$A$2:$A800,0))</f>
        <v>45535</v>
      </c>
      <c r="P530" s="10">
        <f t="shared" si="1"/>
        <v>2024</v>
      </c>
      <c r="Q530" s="10">
        <f t="shared" si="2"/>
        <v>8</v>
      </c>
      <c r="R530" s="10" t="str">
        <f t="array" ref="R530">INDEX(Honor!$Q$2:$Q800,MATCH($I530,Honor!$A$2:$A800,0))</f>
        <v>SURVEI-PPL</v>
      </c>
      <c r="S530" s="10" t="str">
        <f t="shared" si="3"/>
        <v>610422100006-2024-8</v>
      </c>
      <c r="T530" s="10" t="str">
        <f t="shared" si="4"/>
        <v>610422100006-2024-8-SURVEI-PPL</v>
      </c>
      <c r="U530" s="64"/>
      <c r="V530" s="10" t="e">
        <f t="array" aca="1" ref="V530" ca="1">INDEX(Honor!$O$2:$O800,MATCH($I530,Honor!$A$2:$A800,0))</f>
        <v>#NAME?</v>
      </c>
      <c r="W530" s="67"/>
      <c r="X530" s="7" t="str">
        <f t="array" ref="X530">INDEX('Input Kegiatan'!$B$2:$B800,MATCH(B530,'Input Kegiatan'!$A$2:$A800,0))</f>
        <v>Survei Industri Mikro dan Kecil (IMK) Tahunan 2024</v>
      </c>
      <c r="Y530" s="7" t="s">
        <v>3241</v>
      </c>
      <c r="Z530" s="7" t="s">
        <v>3676</v>
      </c>
      <c r="AA530" s="68">
        <f t="shared" si="5"/>
        <v>45504</v>
      </c>
      <c r="AB530" s="68">
        <f t="shared" si="6"/>
        <v>45505</v>
      </c>
      <c r="AC530" s="68">
        <f t="shared" si="7"/>
        <v>45535</v>
      </c>
      <c r="AD530" s="68">
        <f t="shared" si="8"/>
        <v>45534</v>
      </c>
      <c r="AE530" s="68">
        <f t="shared" si="9"/>
        <v>45535</v>
      </c>
    </row>
    <row r="531" spans="1:31" ht="12.5">
      <c r="A531" s="125">
        <v>610422040006</v>
      </c>
      <c r="B531" s="64" t="s">
        <v>234</v>
      </c>
      <c r="D531" s="10">
        <f t="array" aca="1" ref="D531" ca="1">INDEX('Mitra per Bulan'!$M$2:$M800,MATCH(S531,'Mitra per Bulan'!$B$2:$B800,0))</f>
        <v>1</v>
      </c>
      <c r="E531" s="10" t="str">
        <f t="array" ref="E531">INDEX('Database Mitra'!$A$2:$A800,MATCH(A531,'Database Mitra'!$B$2:$B800,0))</f>
        <v>Ridha Nur Mitha</v>
      </c>
      <c r="F531" s="64" t="s">
        <v>25</v>
      </c>
      <c r="G531" s="5" t="str">
        <f t="array" ref="G531">INDEX('Database Mitra'!$G$2:$G800,MATCH(A531,'Database Mitra'!$B$2:$B800,0))</f>
        <v>6102186803020002</v>
      </c>
      <c r="H531" s="64" t="s">
        <v>67</v>
      </c>
      <c r="I531" s="64" t="s">
        <v>235</v>
      </c>
      <c r="J531" s="10" t="str">
        <f t="array" ref="J531">INDEX(Honor!$H$2:$H800,MATCH($I531,Honor!$A$2:$A800,0))</f>
        <v>Dokumen</v>
      </c>
      <c r="K531" s="66">
        <f t="array" ref="K531">INDEX(Honor!$I$2:$I800,MATCH($I531,Honor!$A$2:$A800,0))</f>
        <v>55000</v>
      </c>
      <c r="L531" s="64">
        <v>5</v>
      </c>
      <c r="M531" s="10">
        <f t="shared" si="0"/>
        <v>275000</v>
      </c>
      <c r="O531" s="67">
        <f t="array" ref="O531">INDEX(Honor!$L$2:$L800,MATCH($I531,Honor!$A$2:$A800,0))</f>
        <v>45535</v>
      </c>
      <c r="P531" s="10">
        <f t="shared" si="1"/>
        <v>2024</v>
      </c>
      <c r="Q531" s="10">
        <f t="shared" si="2"/>
        <v>8</v>
      </c>
      <c r="R531" s="10" t="str">
        <f t="array" ref="R531">INDEX(Honor!$Q$2:$Q800,MATCH($I531,Honor!$A$2:$A800,0))</f>
        <v>SURVEI-PPL</v>
      </c>
      <c r="S531" s="10" t="str">
        <f t="shared" si="3"/>
        <v>610422040006-2024-8</v>
      </c>
      <c r="T531" s="10" t="str">
        <f t="shared" si="4"/>
        <v>610422040006-2024-8-SURVEI-PPL</v>
      </c>
      <c r="U531" s="64"/>
      <c r="V531" s="10" t="e">
        <f t="array" aca="1" ref="V531" ca="1">INDEX(Honor!$O$2:$O800,MATCH($I531,Honor!$A$2:$A800,0))</f>
        <v>#NAME?</v>
      </c>
      <c r="W531" s="67"/>
      <c r="X531" s="7" t="str">
        <f t="array" ref="X531">INDEX('Input Kegiatan'!$B$2:$B800,MATCH(B531,'Input Kegiatan'!$A$2:$A800,0))</f>
        <v>Survei Industri Mikro dan Kecil (IMK) Tahunan 2024</v>
      </c>
      <c r="Y531" s="7" t="s">
        <v>4931</v>
      </c>
      <c r="Z531" s="7" t="s">
        <v>5104</v>
      </c>
      <c r="AA531" s="68">
        <f t="shared" si="5"/>
        <v>45504</v>
      </c>
      <c r="AB531" s="68">
        <f t="shared" si="6"/>
        <v>45505</v>
      </c>
      <c r="AC531" s="68">
        <f t="shared" si="7"/>
        <v>45535</v>
      </c>
      <c r="AD531" s="68">
        <f t="shared" si="8"/>
        <v>45534</v>
      </c>
      <c r="AE531" s="68">
        <f t="shared" si="9"/>
        <v>45535</v>
      </c>
    </row>
    <row r="532" spans="1:31" ht="12.5">
      <c r="A532" s="125">
        <v>610422020048</v>
      </c>
      <c r="B532" s="64" t="s">
        <v>236</v>
      </c>
      <c r="D532" s="10">
        <f t="array" aca="1" ref="D532" ca="1">INDEX('Mitra per Bulan'!$M$2:$M800,MATCH(S532,'Mitra per Bulan'!$B$2:$B800,0))</f>
        <v>1</v>
      </c>
      <c r="E532" s="10" t="str">
        <f t="array" ref="E532">INDEX('Database Mitra'!$A$2:$A800,MATCH(A532,'Database Mitra'!$B$2:$B800,0))</f>
        <v>Herri Gustaman</v>
      </c>
      <c r="F532" s="64" t="s">
        <v>25</v>
      </c>
      <c r="G532" s="5" t="str">
        <f t="array" ref="G532">INDEX('Database Mitra'!$G$2:$G800,MATCH(A532,'Database Mitra'!$B$2:$B800,0))</f>
        <v>6102072503800001</v>
      </c>
      <c r="H532" s="9" t="s">
        <v>67</v>
      </c>
      <c r="I532" s="65" t="s">
        <v>237</v>
      </c>
      <c r="J532" s="10" t="str">
        <f t="array" ref="J532">INDEX(Honor!$H$2:$H800,MATCH($I532,Honor!$A$2:$A800,0))</f>
        <v>Dokumen</v>
      </c>
      <c r="K532" s="66">
        <f t="array" ref="K532">INDEX(Honor!$I$2:$I800,MATCH($I532,Honor!$A$2:$A800,0))</f>
        <v>78000</v>
      </c>
      <c r="L532" s="64">
        <v>19</v>
      </c>
      <c r="M532" s="10">
        <f t="shared" si="0"/>
        <v>1482000</v>
      </c>
      <c r="O532" s="67">
        <f t="array" ref="O532">INDEX(Honor!$L$2:$L800,MATCH($I532,Honor!$A$2:$A800,0))</f>
        <v>45535</v>
      </c>
      <c r="P532" s="10">
        <f t="shared" si="1"/>
        <v>2024</v>
      </c>
      <c r="Q532" s="10">
        <f t="shared" si="2"/>
        <v>8</v>
      </c>
      <c r="R532" s="10" t="str">
        <f t="array" ref="R532">INDEX(Honor!$Q$2:$Q800,MATCH($I532,Honor!$A$2:$A800,0))</f>
        <v>SURVEI-PPL</v>
      </c>
      <c r="S532" s="10" t="str">
        <f t="shared" si="3"/>
        <v>610422020048-2024-8</v>
      </c>
      <c r="T532" s="10" t="str">
        <f t="shared" si="4"/>
        <v>610422020048-2024-8-SURVEI-PPL</v>
      </c>
      <c r="U532" s="64"/>
      <c r="V532" s="10" t="e">
        <f t="array" aca="1" ref="V532" ca="1">INDEX(Honor!$O$2:$O800,MATCH($I532,Honor!$A$2:$A800,0))</f>
        <v>#NAME?</v>
      </c>
      <c r="W532" s="67"/>
      <c r="X532" s="7" t="str">
        <f t="array" ref="X532">INDEX('Input Kegiatan'!$B$2:$B800,MATCH(B532,'Input Kegiatan'!$A$2:$A800,0))</f>
        <v>(STPIM24) SURVEI IBS TAHUNAN (STPIM) 2024</v>
      </c>
      <c r="Y532" s="7" t="s">
        <v>4931</v>
      </c>
      <c r="Z532" s="7" t="s">
        <v>5171</v>
      </c>
      <c r="AA532" s="68">
        <f t="shared" si="5"/>
        <v>45504</v>
      </c>
      <c r="AB532" s="68">
        <f t="shared" si="6"/>
        <v>45505</v>
      </c>
      <c r="AC532" s="68">
        <f t="shared" si="7"/>
        <v>45535</v>
      </c>
      <c r="AD532" s="68">
        <f t="shared" si="8"/>
        <v>45534</v>
      </c>
      <c r="AE532" s="68">
        <f t="shared" si="9"/>
        <v>45535</v>
      </c>
    </row>
    <row r="533" spans="1:31" ht="12.5">
      <c r="A533" s="125">
        <v>610422100153</v>
      </c>
      <c r="B533" s="64" t="s">
        <v>238</v>
      </c>
      <c r="D533" s="10">
        <f t="array" aca="1" ref="D533" ca="1">INDEX('Mitra per Bulan'!$M$2:$M800,MATCH(S533,'Mitra per Bulan'!$B$2:$B800,0))</f>
        <v>1</v>
      </c>
      <c r="E533" s="10" t="str">
        <f t="array" ref="E533">INDEX('Database Mitra'!$A$2:$A800,MATCH(A533,'Database Mitra'!$B$2:$B800,0))</f>
        <v>Kharim Marufah</v>
      </c>
      <c r="F533" s="64" t="s">
        <v>25</v>
      </c>
      <c r="G533" s="5" t="str">
        <f t="array" ref="G533">INDEX('Database Mitra'!$G$2:$G800,MATCH(A533,'Database Mitra'!$B$2:$B800,0))</f>
        <v>6102074402970005</v>
      </c>
      <c r="H533" s="9" t="s">
        <v>67</v>
      </c>
      <c r="I533" s="65" t="s">
        <v>239</v>
      </c>
      <c r="J533" s="10" t="str">
        <f t="array" ref="J533">INDEX(Honor!$H$2:$H800,MATCH($I533,Honor!$A$2:$A800,0))</f>
        <v>Dokumen</v>
      </c>
      <c r="K533" s="66">
        <f t="array" ref="K533">INDEX(Honor!$I$2:$I800,MATCH($I533,Honor!$A$2:$A800,0))</f>
        <v>75000</v>
      </c>
      <c r="L533" s="64">
        <v>5</v>
      </c>
      <c r="M533" s="10">
        <f t="shared" si="0"/>
        <v>375000</v>
      </c>
      <c r="O533" s="67">
        <f t="array" ref="O533">INDEX(Honor!$L$2:$L800,MATCH($I533,Honor!$A$2:$A800,0))</f>
        <v>45535</v>
      </c>
      <c r="P533" s="10">
        <f t="shared" si="1"/>
        <v>2024</v>
      </c>
      <c r="Q533" s="10">
        <f t="shared" si="2"/>
        <v>8</v>
      </c>
      <c r="R533" s="10" t="str">
        <f t="array" ref="R533">INDEX(Honor!$Q$2:$Q800,MATCH($I533,Honor!$A$2:$A800,0))</f>
        <v>SURVEI-PPL</v>
      </c>
      <c r="S533" s="10" t="str">
        <f t="shared" si="3"/>
        <v>610422100153-2024-8</v>
      </c>
      <c r="T533" s="10" t="str">
        <f t="shared" si="4"/>
        <v>610422100153-2024-8-SURVEI-PPL</v>
      </c>
      <c r="U533" s="64"/>
      <c r="V533" s="10">
        <f t="array" ref="V533">INDEX(Honor!$O$2:$O800,MATCH($I533,Honor!$A$2:$A800,0))</f>
        <v>-19</v>
      </c>
      <c r="W533" s="67"/>
      <c r="X533" s="7" t="str">
        <f t="array" ref="X533">INDEX('Input Kegiatan'!$B$2:$B800,MATCH(B533,'Input Kegiatan'!$A$2:$A800,0))</f>
        <v>(GALIAN-BH24) SURVEI TAHUNAN PERUSAHAAN PENGGALIAN BERBADAN HUKUM 2024</v>
      </c>
      <c r="Y533" s="7" t="s">
        <v>3990</v>
      </c>
      <c r="Z533" s="7" t="s">
        <v>3991</v>
      </c>
      <c r="AA533" s="68">
        <f t="shared" si="5"/>
        <v>45504</v>
      </c>
      <c r="AB533" s="68">
        <f t="shared" si="6"/>
        <v>45505</v>
      </c>
      <c r="AC533" s="68">
        <f t="shared" si="7"/>
        <v>45535</v>
      </c>
      <c r="AD533" s="68">
        <f t="shared" si="8"/>
        <v>45534</v>
      </c>
      <c r="AE533" s="68">
        <f t="shared" si="9"/>
        <v>45535</v>
      </c>
    </row>
    <row r="534" spans="1:31" ht="12.5">
      <c r="A534" s="125">
        <v>610422030001</v>
      </c>
      <c r="B534" s="64" t="s">
        <v>240</v>
      </c>
      <c r="D534" s="10">
        <f t="array" aca="1" ref="D534" ca="1">INDEX('Mitra per Bulan'!$M$2:$M800,MATCH(S534,'Mitra per Bulan'!$B$2:$B800,0))</f>
        <v>1</v>
      </c>
      <c r="E534" s="10" t="str">
        <f t="array" ref="E534">INDEX('Database Mitra'!$A$2:$A800,MATCH(A534,'Database Mitra'!$B$2:$B800,0))</f>
        <v>Pitra,Sp</v>
      </c>
      <c r="F534" s="64" t="s">
        <v>25</v>
      </c>
      <c r="G534" s="5" t="str">
        <f t="array" ref="G534">INDEX('Database Mitra'!$G$2:$G800,MATCH(A534,'Database Mitra'!$B$2:$B800,0))</f>
        <v>6102010808800006</v>
      </c>
      <c r="H534" s="9" t="s">
        <v>67</v>
      </c>
      <c r="I534" s="65" t="s">
        <v>241</v>
      </c>
      <c r="J534" s="10" t="str">
        <f t="array" ref="J534">INDEX(Honor!$H$2:$H800,MATCH($I534,Honor!$A$2:$A800,0))</f>
        <v>Dokumen</v>
      </c>
      <c r="K534" s="66">
        <f t="array" ref="K534">INDEX(Honor!$I$2:$I800,MATCH($I534,Honor!$A$2:$A800,0))</f>
        <v>75000</v>
      </c>
      <c r="L534" s="64">
        <v>5</v>
      </c>
      <c r="M534" s="10">
        <f t="shared" si="0"/>
        <v>375000</v>
      </c>
      <c r="O534" s="67">
        <f t="array" ref="O534">INDEX(Honor!$L$2:$L800,MATCH($I534,Honor!$A$2:$A800,0))</f>
        <v>45565</v>
      </c>
      <c r="P534" s="10">
        <f t="shared" si="1"/>
        <v>2024</v>
      </c>
      <c r="Q534" s="10">
        <f t="shared" si="2"/>
        <v>9</v>
      </c>
      <c r="R534" s="10" t="str">
        <f t="array" ref="R534">INDEX(Honor!$Q$2:$Q800,MATCH($I534,Honor!$A$2:$A800,0))</f>
        <v>SURVEI-PPL</v>
      </c>
      <c r="S534" s="10" t="str">
        <f t="shared" si="3"/>
        <v>610422030001-2024-9</v>
      </c>
      <c r="T534" s="10" t="str">
        <f t="shared" si="4"/>
        <v>610422030001-2024-9-SURVEI-PPL</v>
      </c>
      <c r="U534" s="64"/>
      <c r="V534" s="10">
        <f t="array" ref="V534">INDEX(Honor!$O$2:$O800,MATCH($I534,Honor!$A$2:$A800,0))</f>
        <v>-19</v>
      </c>
      <c r="W534" s="67"/>
      <c r="X534" s="7" t="str">
        <f t="array" ref="X534">INDEX('Input Kegiatan'!$B$2:$B800,MATCH(B534,'Input Kegiatan'!$A$2:$A800,0))</f>
        <v>(SKSPPI24) SURVEI KHUSUS STUDI PENYUSUNAN PERUBAHAN INVENTORI 2024</v>
      </c>
      <c r="Y534" s="7" t="s">
        <v>3715</v>
      </c>
      <c r="Z534" s="7" t="s">
        <v>3716</v>
      </c>
      <c r="AA534" s="68">
        <f t="shared" si="5"/>
        <v>45535</v>
      </c>
      <c r="AB534" s="68">
        <f t="shared" si="6"/>
        <v>45536</v>
      </c>
      <c r="AC534" s="68">
        <f t="shared" si="7"/>
        <v>45565</v>
      </c>
      <c r="AD534" s="68">
        <f t="shared" si="8"/>
        <v>45564</v>
      </c>
      <c r="AE534" s="68">
        <f t="shared" si="9"/>
        <v>45565</v>
      </c>
    </row>
    <row r="535" spans="1:31" ht="12.5">
      <c r="A535" s="125">
        <v>610422100101</v>
      </c>
      <c r="B535" s="64" t="s">
        <v>240</v>
      </c>
      <c r="D535" s="10">
        <f t="array" aca="1" ref="D535" ca="1">INDEX('Mitra per Bulan'!$M$2:$M800,MATCH(S535,'Mitra per Bulan'!$B$2:$B800,0))</f>
        <v>1</v>
      </c>
      <c r="E535" s="10" t="str">
        <f t="array" ref="E535">INDEX('Database Mitra'!$A$2:$A800,MATCH(A535,'Database Mitra'!$B$2:$B800,0))</f>
        <v>Sukmawati,S.Si</v>
      </c>
      <c r="F535" s="64" t="s">
        <v>25</v>
      </c>
      <c r="G535" s="5" t="str">
        <f t="array" ref="G535">INDEX('Database Mitra'!$G$2:$G800,MATCH(A535,'Database Mitra'!$B$2:$B800,0))</f>
        <v>3402135601880001</v>
      </c>
      <c r="H535" s="9" t="s">
        <v>67</v>
      </c>
      <c r="I535" s="65" t="s">
        <v>241</v>
      </c>
      <c r="J535" s="10" t="str">
        <f t="array" ref="J535">INDEX(Honor!$H$2:$H800,MATCH($I535,Honor!$A$2:$A800,0))</f>
        <v>Dokumen</v>
      </c>
      <c r="K535" s="66">
        <f t="array" ref="K535">INDEX(Honor!$I$2:$I800,MATCH($I535,Honor!$A$2:$A800,0))</f>
        <v>75000</v>
      </c>
      <c r="L535" s="64">
        <v>5</v>
      </c>
      <c r="M535" s="10">
        <f t="shared" si="0"/>
        <v>375000</v>
      </c>
      <c r="O535" s="67">
        <f t="array" ref="O535">INDEX(Honor!$L$2:$L800,MATCH($I535,Honor!$A$2:$A800,0))</f>
        <v>45565</v>
      </c>
      <c r="P535" s="10">
        <f t="shared" si="1"/>
        <v>2024</v>
      </c>
      <c r="Q535" s="10">
        <f t="shared" si="2"/>
        <v>9</v>
      </c>
      <c r="R535" s="10" t="str">
        <f t="array" ref="R535">INDEX(Honor!$Q$2:$Q800,MATCH($I535,Honor!$A$2:$A800,0))</f>
        <v>SURVEI-PPL</v>
      </c>
      <c r="S535" s="10" t="str">
        <f t="shared" si="3"/>
        <v>610422100101-2024-9</v>
      </c>
      <c r="T535" s="10" t="str">
        <f t="shared" si="4"/>
        <v>610422100101-2024-9-SURVEI-PPL</v>
      </c>
      <c r="U535" s="64"/>
      <c r="V535" s="10">
        <f t="array" ref="V535">INDEX(Honor!$O$2:$O800,MATCH($I535,Honor!$A$2:$A800,0))</f>
        <v>-19</v>
      </c>
      <c r="W535" s="67"/>
      <c r="X535" s="7" t="str">
        <f t="array" ref="X535">INDEX('Input Kegiatan'!$B$2:$B800,MATCH(B535,'Input Kegiatan'!$A$2:$A800,0))</f>
        <v>(SKSPPI24) SURVEI KHUSUS STUDI PENYUSUNAN PERUBAHAN INVENTORI 2024</v>
      </c>
      <c r="Y535" s="7" t="s">
        <v>4408</v>
      </c>
      <c r="Z535" s="7" t="s">
        <v>4409</v>
      </c>
      <c r="AA535" s="68">
        <f t="shared" si="5"/>
        <v>45535</v>
      </c>
      <c r="AB535" s="68">
        <f t="shared" si="6"/>
        <v>45536</v>
      </c>
      <c r="AC535" s="68">
        <f t="shared" si="7"/>
        <v>45565</v>
      </c>
      <c r="AD535" s="68">
        <f t="shared" si="8"/>
        <v>45564</v>
      </c>
      <c r="AE535" s="68">
        <f t="shared" si="9"/>
        <v>45565</v>
      </c>
    </row>
    <row r="536" spans="1:31" ht="12.5">
      <c r="A536" s="125">
        <v>610422020044</v>
      </c>
      <c r="B536" s="64" t="s">
        <v>240</v>
      </c>
      <c r="D536" s="10">
        <f t="array" aca="1" ref="D536" ca="1">INDEX('Mitra per Bulan'!$M$2:$M800,MATCH(S536,'Mitra per Bulan'!$B$2:$B800,0))</f>
        <v>1</v>
      </c>
      <c r="E536" s="10" t="str">
        <f t="array" ref="E536">INDEX('Database Mitra'!$A$2:$A800,MATCH(A536,'Database Mitra'!$B$2:$B800,0))</f>
        <v>Hawasi</v>
      </c>
      <c r="F536" s="64" t="s">
        <v>25</v>
      </c>
      <c r="G536" s="5" t="str">
        <f t="array" ref="G536">INDEX('Database Mitra'!$G$2:$G800,MATCH(A536,'Database Mitra'!$B$2:$B800,0))</f>
        <v>6101051303860001</v>
      </c>
      <c r="H536" s="9" t="s">
        <v>67</v>
      </c>
      <c r="I536" s="65" t="s">
        <v>241</v>
      </c>
      <c r="J536" s="10" t="str">
        <f t="array" ref="J536">INDEX(Honor!$H$2:$H800,MATCH($I536,Honor!$A$2:$A800,0))</f>
        <v>Dokumen</v>
      </c>
      <c r="K536" s="66">
        <f t="array" ref="K536">INDEX(Honor!$I$2:$I800,MATCH($I536,Honor!$A$2:$A800,0))</f>
        <v>75000</v>
      </c>
      <c r="L536" s="64">
        <v>5</v>
      </c>
      <c r="M536" s="10">
        <f t="shared" si="0"/>
        <v>375000</v>
      </c>
      <c r="O536" s="67">
        <f t="array" ref="O536">INDEX(Honor!$L$2:$L800,MATCH($I536,Honor!$A$2:$A800,0))</f>
        <v>45565</v>
      </c>
      <c r="P536" s="10">
        <f t="shared" si="1"/>
        <v>2024</v>
      </c>
      <c r="Q536" s="10">
        <f t="shared" si="2"/>
        <v>9</v>
      </c>
      <c r="R536" s="10" t="str">
        <f t="array" ref="R536">INDEX(Honor!$Q$2:$Q800,MATCH($I536,Honor!$A$2:$A800,0))</f>
        <v>SURVEI-PPL</v>
      </c>
      <c r="S536" s="10" t="str">
        <f t="shared" si="3"/>
        <v>610422020044-2024-9</v>
      </c>
      <c r="T536" s="10" t="str">
        <f t="shared" si="4"/>
        <v>610422020044-2024-9-SURVEI-PPL</v>
      </c>
      <c r="U536" s="64"/>
      <c r="V536" s="10">
        <f t="array" ref="V536">INDEX(Honor!$O$2:$O800,MATCH($I536,Honor!$A$2:$A800,0))</f>
        <v>-19</v>
      </c>
      <c r="W536" s="67"/>
      <c r="X536" s="7" t="str">
        <f t="array" ref="X536">INDEX('Input Kegiatan'!$B$2:$B800,MATCH(B536,'Input Kegiatan'!$A$2:$A800,0))</f>
        <v>(SKSPPI24) SURVEI KHUSUS STUDI PENYUSUNAN PERUBAHAN INVENTORI 2024</v>
      </c>
      <c r="Y536" s="7" t="s">
        <v>3241</v>
      </c>
      <c r="Z536" s="7" t="s">
        <v>3430</v>
      </c>
      <c r="AA536" s="68">
        <f t="shared" si="5"/>
        <v>45535</v>
      </c>
      <c r="AB536" s="68">
        <f t="shared" si="6"/>
        <v>45536</v>
      </c>
      <c r="AC536" s="68">
        <f t="shared" si="7"/>
        <v>45565</v>
      </c>
      <c r="AD536" s="68">
        <f t="shared" si="8"/>
        <v>45564</v>
      </c>
      <c r="AE536" s="68">
        <f t="shared" si="9"/>
        <v>45565</v>
      </c>
    </row>
    <row r="537" spans="1:31" ht="12.5">
      <c r="A537" s="125">
        <v>610422030001</v>
      </c>
      <c r="B537" s="64" t="s">
        <v>227</v>
      </c>
      <c r="D537" s="10">
        <f t="array" aca="1" ref="D537" ca="1">INDEX('Mitra per Bulan'!$M$2:$M800,MATCH(S537,'Mitra per Bulan'!$B$2:$B800,0))</f>
        <v>1</v>
      </c>
      <c r="E537" s="10" t="str">
        <f t="array" ref="E537">INDEX('Database Mitra'!$A$2:$A800,MATCH(A537,'Database Mitra'!$B$2:$B800,0))</f>
        <v>Pitra,Sp</v>
      </c>
      <c r="F537" s="64" t="s">
        <v>25</v>
      </c>
      <c r="G537" s="5" t="str">
        <f t="array" ref="G537">INDEX('Database Mitra'!$G$2:$G800,MATCH(A537,'Database Mitra'!$B$2:$B800,0))</f>
        <v>6102010808800006</v>
      </c>
      <c r="H537" s="9" t="s">
        <v>89</v>
      </c>
      <c r="I537" s="64" t="s">
        <v>242</v>
      </c>
      <c r="J537" s="10" t="str">
        <f t="array" ref="J537">INDEX(Honor!$H$2:$H800,MATCH($I537,Honor!$A$2:$A800,0))</f>
        <v>Blok Sensus</v>
      </c>
      <c r="K537" s="66">
        <f t="array" ref="K537">INDEX(Honor!$I$2:$I800,MATCH($I537,Honor!$A$2:$A800,0))</f>
        <v>168000</v>
      </c>
      <c r="L537" s="64">
        <v>3</v>
      </c>
      <c r="M537" s="10">
        <f t="shared" si="0"/>
        <v>504000</v>
      </c>
      <c r="O537" s="67">
        <f t="array" ref="O537">INDEX(Honor!$L$2:$L800,MATCH($I537,Honor!$A$2:$A800,0))</f>
        <v>45541</v>
      </c>
      <c r="P537" s="10">
        <f t="shared" si="1"/>
        <v>2024</v>
      </c>
      <c r="Q537" s="10">
        <f t="shared" si="2"/>
        <v>9</v>
      </c>
      <c r="R537" s="10" t="str">
        <f t="array" ref="R537">INDEX(Honor!$Q$2:$Q800,MATCH($I537,Honor!$A$2:$A800,0))</f>
        <v>SURVEI-PPL</v>
      </c>
      <c r="S537" s="10" t="str">
        <f t="shared" si="3"/>
        <v>610422030001-2024-9</v>
      </c>
      <c r="T537" s="10" t="str">
        <f t="shared" si="4"/>
        <v>610422030001-2024-9-SURVEI-PPL</v>
      </c>
      <c r="U537" s="64"/>
      <c r="V537" s="10" t="e">
        <f t="array" aca="1" ref="V537" ca="1">INDEX(Honor!$O$2:$O800,MATCH($I537,Honor!$A$2:$A800,0))</f>
        <v>#NAME?</v>
      </c>
      <c r="W537" s="67"/>
      <c r="X537" s="7" t="str">
        <f t="array" ref="X537">INDEX('Input Kegiatan'!$B$2:$B800,MATCH(B537,'Input Kegiatan'!$A$2:$A800,0))</f>
        <v>Sakernas Agustus 2024</v>
      </c>
      <c r="Y537" s="7" t="s">
        <v>3715</v>
      </c>
      <c r="Z537" s="7" t="s">
        <v>3716</v>
      </c>
      <c r="AA537" s="68">
        <f t="shared" si="5"/>
        <v>45535</v>
      </c>
      <c r="AB537" s="68">
        <f t="shared" si="6"/>
        <v>45536</v>
      </c>
      <c r="AC537" s="68">
        <f t="shared" si="7"/>
        <v>45565</v>
      </c>
      <c r="AD537" s="68">
        <f t="shared" si="8"/>
        <v>45564</v>
      </c>
      <c r="AE537" s="68">
        <f t="shared" si="9"/>
        <v>45565</v>
      </c>
    </row>
    <row r="538" spans="1:31" ht="12.5">
      <c r="A538" s="126">
        <v>610422040029</v>
      </c>
      <c r="B538" s="64" t="s">
        <v>227</v>
      </c>
      <c r="D538" s="10">
        <f t="array" aca="1" ref="D538" ca="1">INDEX('Mitra per Bulan'!$M$2:$M800,MATCH(S538,'Mitra per Bulan'!$B$2:$B800,0))</f>
        <v>1</v>
      </c>
      <c r="E538" s="10" t="str">
        <f t="array" ref="E538">INDEX('Database Mitra'!$A$2:$A800,MATCH(A538,'Database Mitra'!$B$2:$B800,0))</f>
        <v>Zaini</v>
      </c>
      <c r="F538" s="64" t="s">
        <v>25</v>
      </c>
      <c r="G538" s="5" t="str">
        <f t="array" ref="G538">INDEX('Database Mitra'!$G$2:$G800,MATCH(A538,'Database Mitra'!$B$2:$B800,0))</f>
        <v>6102010607870002</v>
      </c>
      <c r="H538" s="9" t="s">
        <v>89</v>
      </c>
      <c r="I538" s="64" t="s">
        <v>242</v>
      </c>
      <c r="J538" s="10" t="str">
        <f t="array" ref="J538">INDEX(Honor!$H$2:$H800,MATCH($I538,Honor!$A$2:$A800,0))</f>
        <v>Blok Sensus</v>
      </c>
      <c r="K538" s="66">
        <f t="array" ref="K538">INDEX(Honor!$I$2:$I800,MATCH($I538,Honor!$A$2:$A800,0))</f>
        <v>168000</v>
      </c>
      <c r="L538" s="64">
        <v>3</v>
      </c>
      <c r="M538" s="10">
        <f t="shared" si="0"/>
        <v>504000</v>
      </c>
      <c r="O538" s="67">
        <f t="array" ref="O538">INDEX(Honor!$L$2:$L800,MATCH($I538,Honor!$A$2:$A800,0))</f>
        <v>45541</v>
      </c>
      <c r="P538" s="10">
        <f t="shared" si="1"/>
        <v>2024</v>
      </c>
      <c r="Q538" s="10">
        <f t="shared" si="2"/>
        <v>9</v>
      </c>
      <c r="R538" s="10" t="str">
        <f t="array" ref="R538">INDEX(Honor!$Q$2:$Q800,MATCH($I538,Honor!$A$2:$A800,0))</f>
        <v>SURVEI-PPL</v>
      </c>
      <c r="S538" s="10" t="str">
        <f t="shared" si="3"/>
        <v>610422040029-2024-9</v>
      </c>
      <c r="T538" s="10" t="str">
        <f t="shared" si="4"/>
        <v>610422040029-2024-9-SURVEI-PPL</v>
      </c>
      <c r="U538" s="64"/>
      <c r="V538" s="10" t="e">
        <f t="array" aca="1" ref="V538" ca="1">INDEX(Honor!$O$2:$O800,MATCH($I538,Honor!$A$2:$A800,0))</f>
        <v>#NAME?</v>
      </c>
      <c r="W538" s="67"/>
      <c r="X538" s="7" t="str">
        <f t="array" ref="X538">INDEX('Input Kegiatan'!$B$2:$B800,MATCH(B538,'Input Kegiatan'!$A$2:$A800,0))</f>
        <v>Sakernas Agustus 2024</v>
      </c>
      <c r="Y538" s="7" t="s">
        <v>4572</v>
      </c>
      <c r="Z538" s="7" t="s">
        <v>4619</v>
      </c>
      <c r="AA538" s="68">
        <f t="shared" si="5"/>
        <v>45535</v>
      </c>
      <c r="AB538" s="68">
        <f t="shared" si="6"/>
        <v>45536</v>
      </c>
      <c r="AC538" s="68">
        <f t="shared" si="7"/>
        <v>45565</v>
      </c>
      <c r="AD538" s="68">
        <f t="shared" si="8"/>
        <v>45564</v>
      </c>
      <c r="AE538" s="68">
        <f t="shared" si="9"/>
        <v>45565</v>
      </c>
    </row>
    <row r="539" spans="1:31" ht="12.5">
      <c r="A539" s="126">
        <v>610422100086</v>
      </c>
      <c r="B539" s="64" t="s">
        <v>227</v>
      </c>
      <c r="D539" s="10">
        <f t="array" aca="1" ref="D539" ca="1">INDEX('Mitra per Bulan'!$M$2:$M800,MATCH(S539,'Mitra per Bulan'!$B$2:$B800,0))</f>
        <v>1</v>
      </c>
      <c r="E539" s="10" t="str">
        <f t="array" ref="E539">INDEX('Database Mitra'!$A$2:$A800,MATCH(A539,'Database Mitra'!$B$2:$B800,0))</f>
        <v>Imamul Akhyar</v>
      </c>
      <c r="F539" s="64" t="s">
        <v>25</v>
      </c>
      <c r="G539" s="5" t="str">
        <f t="array" ref="G539">INDEX('Database Mitra'!$G$2:$G800,MATCH(A539,'Database Mitra'!$B$2:$B800,0))</f>
        <v>6102012211930002</v>
      </c>
      <c r="H539" s="9" t="s">
        <v>89</v>
      </c>
      <c r="I539" s="64" t="s">
        <v>242</v>
      </c>
      <c r="J539" s="10" t="str">
        <f t="array" ref="J539">INDEX(Honor!$H$2:$H800,MATCH($I539,Honor!$A$2:$A800,0))</f>
        <v>Blok Sensus</v>
      </c>
      <c r="K539" s="66">
        <f t="array" ref="K539">INDEX(Honor!$I$2:$I800,MATCH($I539,Honor!$A$2:$A800,0))</f>
        <v>168000</v>
      </c>
      <c r="L539" s="64">
        <v>3</v>
      </c>
      <c r="M539" s="10">
        <f t="shared" si="0"/>
        <v>504000</v>
      </c>
      <c r="O539" s="67">
        <f t="array" ref="O539">INDEX(Honor!$L$2:$L800,MATCH($I539,Honor!$A$2:$A800,0))</f>
        <v>45541</v>
      </c>
      <c r="P539" s="10">
        <f t="shared" si="1"/>
        <v>2024</v>
      </c>
      <c r="Q539" s="10">
        <f t="shared" si="2"/>
        <v>9</v>
      </c>
      <c r="R539" s="10" t="str">
        <f t="array" ref="R539">INDEX(Honor!$Q$2:$Q800,MATCH($I539,Honor!$A$2:$A800,0))</f>
        <v>SURVEI-PPL</v>
      </c>
      <c r="S539" s="10" t="str">
        <f t="shared" si="3"/>
        <v>610422100086-2024-9</v>
      </c>
      <c r="T539" s="10" t="str">
        <f t="shared" si="4"/>
        <v>610422100086-2024-9-SURVEI-PPL</v>
      </c>
      <c r="U539" s="64"/>
      <c r="V539" s="10" t="e">
        <f t="array" aca="1" ref="V539" ca="1">INDEX(Honor!$O$2:$O800,MATCH($I539,Honor!$A$2:$A800,0))</f>
        <v>#NAME?</v>
      </c>
      <c r="W539" s="67"/>
      <c r="X539" s="7" t="str">
        <f t="array" ref="X539">INDEX('Input Kegiatan'!$B$2:$B800,MATCH(B539,'Input Kegiatan'!$A$2:$A800,0))</f>
        <v>Sakernas Agustus 2024</v>
      </c>
      <c r="Y539" s="7" t="s">
        <v>4572</v>
      </c>
      <c r="Z539" s="7" t="s">
        <v>4841</v>
      </c>
      <c r="AA539" s="68">
        <f t="shared" si="5"/>
        <v>45535</v>
      </c>
      <c r="AB539" s="68">
        <f t="shared" si="6"/>
        <v>45536</v>
      </c>
      <c r="AC539" s="68">
        <f t="shared" si="7"/>
        <v>45565</v>
      </c>
      <c r="AD539" s="68">
        <f t="shared" si="8"/>
        <v>45564</v>
      </c>
      <c r="AE539" s="68">
        <f t="shared" si="9"/>
        <v>45565</v>
      </c>
    </row>
    <row r="540" spans="1:31" ht="12.5">
      <c r="A540" s="126">
        <v>610422040035</v>
      </c>
      <c r="B540" s="64" t="s">
        <v>227</v>
      </c>
      <c r="D540" s="10">
        <f t="array" aca="1" ref="D540" ca="1">INDEX('Mitra per Bulan'!$M$2:$M800,MATCH(S540,'Mitra per Bulan'!$B$2:$B800,0))</f>
        <v>1</v>
      </c>
      <c r="E540" s="10" t="str">
        <f t="array" ref="E540">INDEX('Database Mitra'!$A$2:$A800,MATCH(A540,'Database Mitra'!$B$2:$B800,0))</f>
        <v>Rahmayani</v>
      </c>
      <c r="F540" s="64" t="s">
        <v>25</v>
      </c>
      <c r="G540" s="5" t="str">
        <f t="array" ref="G540">INDEX('Database Mitra'!$G$2:$G800,MATCH(A540,'Database Mitra'!$B$2:$B800,0))</f>
        <v>6102186404970003</v>
      </c>
      <c r="H540" s="9" t="s">
        <v>89</v>
      </c>
      <c r="I540" s="64" t="s">
        <v>242</v>
      </c>
      <c r="J540" s="10" t="str">
        <f t="array" ref="J540">INDEX(Honor!$H$2:$H800,MATCH($I540,Honor!$A$2:$A800,0))</f>
        <v>Blok Sensus</v>
      </c>
      <c r="K540" s="66">
        <f t="array" ref="K540">INDEX(Honor!$I$2:$I800,MATCH($I540,Honor!$A$2:$A800,0))</f>
        <v>168000</v>
      </c>
      <c r="L540" s="64">
        <v>3</v>
      </c>
      <c r="M540" s="10">
        <f t="shared" si="0"/>
        <v>504000</v>
      </c>
      <c r="O540" s="67">
        <f t="array" ref="O540">INDEX(Honor!$L$2:$L800,MATCH($I540,Honor!$A$2:$A800,0))</f>
        <v>45541</v>
      </c>
      <c r="P540" s="10">
        <f t="shared" si="1"/>
        <v>2024</v>
      </c>
      <c r="Q540" s="10">
        <f t="shared" si="2"/>
        <v>9</v>
      </c>
      <c r="R540" s="10" t="str">
        <f t="array" ref="R540">INDEX(Honor!$Q$2:$Q800,MATCH($I540,Honor!$A$2:$A800,0))</f>
        <v>SURVEI-PPL</v>
      </c>
      <c r="S540" s="10" t="str">
        <f t="shared" si="3"/>
        <v>610422040035-2024-9</v>
      </c>
      <c r="T540" s="10" t="str">
        <f t="shared" si="4"/>
        <v>610422040035-2024-9-SURVEI-PPL</v>
      </c>
      <c r="U540" s="64"/>
      <c r="V540" s="10" t="e">
        <f t="array" aca="1" ref="V540" ca="1">INDEX(Honor!$O$2:$O800,MATCH($I540,Honor!$A$2:$A800,0))</f>
        <v>#NAME?</v>
      </c>
      <c r="W540" s="67"/>
      <c r="X540" s="7" t="str">
        <f t="array" ref="X540">INDEX('Input Kegiatan'!$B$2:$B800,MATCH(B540,'Input Kegiatan'!$A$2:$A800,0))</f>
        <v>Sakernas Agustus 2024</v>
      </c>
      <c r="Y540" s="7" t="s">
        <v>4931</v>
      </c>
      <c r="Z540" s="7" t="s">
        <v>5171</v>
      </c>
      <c r="AA540" s="68">
        <f t="shared" si="5"/>
        <v>45535</v>
      </c>
      <c r="AB540" s="68">
        <f t="shared" si="6"/>
        <v>45536</v>
      </c>
      <c r="AC540" s="68">
        <f t="shared" si="7"/>
        <v>45565</v>
      </c>
      <c r="AD540" s="68">
        <f t="shared" si="8"/>
        <v>45564</v>
      </c>
      <c r="AE540" s="68">
        <f t="shared" si="9"/>
        <v>45565</v>
      </c>
    </row>
    <row r="541" spans="1:31" ht="12.5">
      <c r="A541" s="126">
        <v>610422100055</v>
      </c>
      <c r="B541" s="64" t="s">
        <v>227</v>
      </c>
      <c r="D541" s="10">
        <f t="array" aca="1" ref="D541" ca="1">INDEX('Mitra per Bulan'!$M$2:$M800,MATCH(S541,'Mitra per Bulan'!$B$2:$B800,0))</f>
        <v>1</v>
      </c>
      <c r="E541" s="10" t="str">
        <f t="array" ref="E541">INDEX('Database Mitra'!$A$2:$A800,MATCH(A541,'Database Mitra'!$B$2:$B800,0))</f>
        <v>Vika Rizkiani</v>
      </c>
      <c r="F541" s="64" t="s">
        <v>25</v>
      </c>
      <c r="G541" s="5" t="str">
        <f t="array" ref="G541">INDEX('Database Mitra'!$G$2:$G800,MATCH(A541,'Database Mitra'!$B$2:$B800,0))</f>
        <v>6102084207980006</v>
      </c>
      <c r="H541" s="9" t="s">
        <v>89</v>
      </c>
      <c r="I541" s="64" t="s">
        <v>242</v>
      </c>
      <c r="J541" s="10" t="str">
        <f t="array" ref="J541">INDEX(Honor!$H$2:$H800,MATCH($I541,Honor!$A$2:$A800,0))</f>
        <v>Blok Sensus</v>
      </c>
      <c r="K541" s="66">
        <f t="array" ref="K541">INDEX(Honor!$I$2:$I800,MATCH($I541,Honor!$A$2:$A800,0))</f>
        <v>168000</v>
      </c>
      <c r="L541" s="64">
        <v>3</v>
      </c>
      <c r="M541" s="10">
        <f t="shared" si="0"/>
        <v>504000</v>
      </c>
      <c r="O541" s="67">
        <f t="array" ref="O541">INDEX(Honor!$L$2:$L800,MATCH($I541,Honor!$A$2:$A800,0))</f>
        <v>45541</v>
      </c>
      <c r="P541" s="10">
        <f t="shared" si="1"/>
        <v>2024</v>
      </c>
      <c r="Q541" s="10">
        <f t="shared" si="2"/>
        <v>9</v>
      </c>
      <c r="R541" s="10" t="str">
        <f t="array" ref="R541">INDEX(Honor!$Q$2:$Q800,MATCH($I541,Honor!$A$2:$A800,0))</f>
        <v>SURVEI-PPL</v>
      </c>
      <c r="S541" s="10" t="str">
        <f t="shared" si="3"/>
        <v>610422100055-2024-9</v>
      </c>
      <c r="T541" s="10" t="str">
        <f t="shared" si="4"/>
        <v>610422100055-2024-9-SURVEI-PPL</v>
      </c>
      <c r="U541" s="64"/>
      <c r="V541" s="10" t="e">
        <f t="array" aca="1" ref="V541" ca="1">INDEX(Honor!$O$2:$O800,MATCH($I541,Honor!$A$2:$A800,0))</f>
        <v>#NAME?</v>
      </c>
      <c r="W541" s="67"/>
      <c r="X541" s="7" t="str">
        <f t="array" ref="X541">INDEX('Input Kegiatan'!$B$2:$B800,MATCH(B541,'Input Kegiatan'!$A$2:$A800,0))</f>
        <v>Sakernas Agustus 2024</v>
      </c>
      <c r="Y541" s="7" t="s">
        <v>3241</v>
      </c>
      <c r="Z541" s="7" t="s">
        <v>3289</v>
      </c>
      <c r="AA541" s="68">
        <f t="shared" si="5"/>
        <v>45535</v>
      </c>
      <c r="AB541" s="68">
        <f t="shared" si="6"/>
        <v>45536</v>
      </c>
      <c r="AC541" s="68">
        <f t="shared" si="7"/>
        <v>45565</v>
      </c>
      <c r="AD541" s="68">
        <f t="shared" si="8"/>
        <v>45564</v>
      </c>
      <c r="AE541" s="68">
        <f t="shared" si="9"/>
        <v>45565</v>
      </c>
    </row>
    <row r="542" spans="1:31" ht="12.5">
      <c r="A542" s="126">
        <v>610422040052</v>
      </c>
      <c r="B542" s="64" t="s">
        <v>227</v>
      </c>
      <c r="D542" s="10">
        <f t="array" aca="1" ref="D542" ca="1">INDEX('Mitra per Bulan'!$M$2:$M800,MATCH(S542,'Mitra per Bulan'!$B$2:$B800,0))</f>
        <v>1</v>
      </c>
      <c r="E542" s="10" t="str">
        <f t="array" ref="E542">INDEX('Database Mitra'!$A$2:$A800,MATCH(A542,'Database Mitra'!$B$2:$B800,0))</f>
        <v>Yusimianto</v>
      </c>
      <c r="F542" s="64" t="s">
        <v>25</v>
      </c>
      <c r="G542" s="5" t="str">
        <f t="array" ref="G542">INDEX('Database Mitra'!$G$2:$G800,MATCH(A542,'Database Mitra'!$B$2:$B800,0))</f>
        <v>6102160603790001</v>
      </c>
      <c r="H542" s="9" t="s">
        <v>89</v>
      </c>
      <c r="I542" s="64" t="s">
        <v>242</v>
      </c>
      <c r="J542" s="10" t="str">
        <f t="array" ref="J542">INDEX(Honor!$H$2:$H800,MATCH($I542,Honor!$A$2:$A800,0))</f>
        <v>Blok Sensus</v>
      </c>
      <c r="K542" s="66">
        <f t="array" ref="K542">INDEX(Honor!$I$2:$I800,MATCH($I542,Honor!$A$2:$A800,0))</f>
        <v>168000</v>
      </c>
      <c r="L542" s="64">
        <v>2</v>
      </c>
      <c r="M542" s="10">
        <f t="shared" si="0"/>
        <v>336000</v>
      </c>
      <c r="O542" s="67">
        <f t="array" ref="O542">INDEX(Honor!$L$2:$L800,MATCH($I542,Honor!$A$2:$A800,0))</f>
        <v>45541</v>
      </c>
      <c r="P542" s="10">
        <f t="shared" si="1"/>
        <v>2024</v>
      </c>
      <c r="Q542" s="10">
        <f t="shared" si="2"/>
        <v>9</v>
      </c>
      <c r="R542" s="10" t="str">
        <f t="array" ref="R542">INDEX(Honor!$Q$2:$Q800,MATCH($I542,Honor!$A$2:$A800,0))</f>
        <v>SURVEI-PPL</v>
      </c>
      <c r="S542" s="10" t="str">
        <f t="shared" si="3"/>
        <v>610422040052-2024-9</v>
      </c>
      <c r="T542" s="10" t="str">
        <f t="shared" si="4"/>
        <v>610422040052-2024-9-SURVEI-PPL</v>
      </c>
      <c r="U542" s="64"/>
      <c r="V542" s="10" t="e">
        <f t="array" aca="1" ref="V542" ca="1">INDEX(Honor!$O$2:$O800,MATCH($I542,Honor!$A$2:$A800,0))</f>
        <v>#NAME?</v>
      </c>
      <c r="W542" s="67"/>
      <c r="X542" s="7" t="str">
        <f t="array" ref="X542">INDEX('Input Kegiatan'!$B$2:$B800,MATCH(B542,'Input Kegiatan'!$A$2:$A800,0))</f>
        <v>Sakernas Agustus 2024</v>
      </c>
      <c r="Y542" s="7" t="s">
        <v>4408</v>
      </c>
      <c r="Z542" s="7" t="s">
        <v>4487</v>
      </c>
      <c r="AA542" s="68">
        <f t="shared" si="5"/>
        <v>45535</v>
      </c>
      <c r="AB542" s="68">
        <f t="shared" si="6"/>
        <v>45536</v>
      </c>
      <c r="AC542" s="68">
        <f t="shared" si="7"/>
        <v>45565</v>
      </c>
      <c r="AD542" s="68">
        <f t="shared" si="8"/>
        <v>45564</v>
      </c>
      <c r="AE542" s="68">
        <f t="shared" si="9"/>
        <v>45565</v>
      </c>
    </row>
    <row r="543" spans="1:31" ht="12.5">
      <c r="A543" s="126">
        <v>610422100099</v>
      </c>
      <c r="B543" s="64" t="s">
        <v>227</v>
      </c>
      <c r="D543" s="10">
        <f t="array" aca="1" ref="D543" ca="1">INDEX('Mitra per Bulan'!$M$2:$M800,MATCH(S543,'Mitra per Bulan'!$B$2:$B800,0))</f>
        <v>1</v>
      </c>
      <c r="E543" s="10" t="str">
        <f t="array" ref="E543">INDEX('Database Mitra'!$A$2:$A800,MATCH(A543,'Database Mitra'!$B$2:$B800,0))</f>
        <v>Difa Faradifa</v>
      </c>
      <c r="F543" s="64" t="s">
        <v>25</v>
      </c>
      <c r="G543" s="5" t="str">
        <f t="array" ref="G543">INDEX('Database Mitra'!$G$2:$G800,MATCH(A543,'Database Mitra'!$B$2:$B800,0))</f>
        <v>6102084903040001</v>
      </c>
      <c r="H543" s="9" t="s">
        <v>89</v>
      </c>
      <c r="I543" s="64" t="s">
        <v>242</v>
      </c>
      <c r="J543" s="10" t="str">
        <f t="array" ref="J543">INDEX(Honor!$H$2:$H800,MATCH($I543,Honor!$A$2:$A800,0))</f>
        <v>Blok Sensus</v>
      </c>
      <c r="K543" s="66">
        <f t="array" ref="K543">INDEX(Honor!$I$2:$I800,MATCH($I543,Honor!$A$2:$A800,0))</f>
        <v>168000</v>
      </c>
      <c r="L543" s="64">
        <v>3</v>
      </c>
      <c r="M543" s="10">
        <f t="shared" si="0"/>
        <v>504000</v>
      </c>
      <c r="O543" s="67">
        <f t="array" ref="O543">INDEX(Honor!$L$2:$L800,MATCH($I543,Honor!$A$2:$A800,0))</f>
        <v>45541</v>
      </c>
      <c r="P543" s="10">
        <f t="shared" si="1"/>
        <v>2024</v>
      </c>
      <c r="Q543" s="10">
        <f t="shared" si="2"/>
        <v>9</v>
      </c>
      <c r="R543" s="10" t="str">
        <f t="array" ref="R543">INDEX(Honor!$Q$2:$Q800,MATCH($I543,Honor!$A$2:$A800,0))</f>
        <v>SURVEI-PPL</v>
      </c>
      <c r="S543" s="10" t="str">
        <f t="shared" si="3"/>
        <v>610422100099-2024-9</v>
      </c>
      <c r="T543" s="10" t="str">
        <f t="shared" si="4"/>
        <v>610422100099-2024-9-SURVEI-PPL</v>
      </c>
      <c r="U543" s="64"/>
      <c r="V543" s="10" t="e">
        <f t="array" aca="1" ref="V543" ca="1">INDEX(Honor!$O$2:$O800,MATCH($I543,Honor!$A$2:$A800,0))</f>
        <v>#NAME?</v>
      </c>
      <c r="W543" s="67"/>
      <c r="X543" s="7" t="str">
        <f t="array" ref="X543">INDEX('Input Kegiatan'!$B$2:$B800,MATCH(B543,'Input Kegiatan'!$A$2:$A800,0))</f>
        <v>Sakernas Agustus 2024</v>
      </c>
      <c r="Y543" s="7" t="s">
        <v>3241</v>
      </c>
      <c r="Z543" s="7" t="s">
        <v>3430</v>
      </c>
      <c r="AA543" s="68">
        <f t="shared" si="5"/>
        <v>45535</v>
      </c>
      <c r="AB543" s="68">
        <f t="shared" si="6"/>
        <v>45536</v>
      </c>
      <c r="AC543" s="68">
        <f t="shared" si="7"/>
        <v>45565</v>
      </c>
      <c r="AD543" s="68">
        <f t="shared" si="8"/>
        <v>45564</v>
      </c>
      <c r="AE543" s="68">
        <f t="shared" si="9"/>
        <v>45565</v>
      </c>
    </row>
    <row r="544" spans="1:31" ht="12.5">
      <c r="A544" s="126">
        <v>610422020045</v>
      </c>
      <c r="B544" s="64" t="s">
        <v>227</v>
      </c>
      <c r="D544" s="10">
        <f t="array" aca="1" ref="D544" ca="1">INDEX('Mitra per Bulan'!$M$2:$M800,MATCH(S544,'Mitra per Bulan'!$B$2:$B800,0))</f>
        <v>1</v>
      </c>
      <c r="E544" s="10" t="str">
        <f t="array" ref="E544">INDEX('Database Mitra'!$A$2:$A800,MATCH(A544,'Database Mitra'!$B$2:$B800,0))</f>
        <v>Herdinatara Febria</v>
      </c>
      <c r="F544" s="64" t="s">
        <v>25</v>
      </c>
      <c r="G544" s="5" t="str">
        <f t="array" ref="G544">INDEX('Database Mitra'!$G$2:$G800,MATCH(A544,'Database Mitra'!$B$2:$B800,0))</f>
        <v>6107086009930002</v>
      </c>
      <c r="H544" s="9" t="s">
        <v>89</v>
      </c>
      <c r="I544" s="64" t="s">
        <v>242</v>
      </c>
      <c r="J544" s="10" t="str">
        <f t="array" ref="J544">INDEX(Honor!$H$2:$H800,MATCH($I544,Honor!$A$2:$A800,0))</f>
        <v>Blok Sensus</v>
      </c>
      <c r="K544" s="66">
        <f t="array" ref="K544">INDEX(Honor!$I$2:$I800,MATCH($I544,Honor!$A$2:$A800,0))</f>
        <v>168000</v>
      </c>
      <c r="L544" s="64">
        <v>3</v>
      </c>
      <c r="M544" s="10">
        <f t="shared" si="0"/>
        <v>504000</v>
      </c>
      <c r="O544" s="67">
        <f t="array" ref="O544">INDEX(Honor!$L$2:$L800,MATCH($I544,Honor!$A$2:$A800,0))</f>
        <v>45541</v>
      </c>
      <c r="P544" s="10">
        <f t="shared" si="1"/>
        <v>2024</v>
      </c>
      <c r="Q544" s="10">
        <f t="shared" si="2"/>
        <v>9</v>
      </c>
      <c r="R544" s="10" t="str">
        <f t="array" ref="R544">INDEX(Honor!$Q$2:$Q800,MATCH($I544,Honor!$A$2:$A800,0))</f>
        <v>SURVEI-PPL</v>
      </c>
      <c r="S544" s="10" t="str">
        <f t="shared" si="3"/>
        <v>610422020045-2024-9</v>
      </c>
      <c r="T544" s="10" t="str">
        <f t="shared" si="4"/>
        <v>610422020045-2024-9-SURVEI-PPL</v>
      </c>
      <c r="U544" s="64"/>
      <c r="V544" s="10" t="e">
        <f t="array" aca="1" ref="V544" ca="1">INDEX(Honor!$O$2:$O800,MATCH($I544,Honor!$A$2:$A800,0))</f>
        <v>#NAME?</v>
      </c>
      <c r="W544" s="67"/>
      <c r="X544" s="7" t="str">
        <f t="array" ref="X544">INDEX('Input Kegiatan'!$B$2:$B800,MATCH(B544,'Input Kegiatan'!$A$2:$A800,0))</f>
        <v>Sakernas Agustus 2024</v>
      </c>
      <c r="Y544" s="7" t="s">
        <v>3241</v>
      </c>
      <c r="Z544" s="7" t="s">
        <v>3430</v>
      </c>
      <c r="AA544" s="68">
        <f t="shared" si="5"/>
        <v>45535</v>
      </c>
      <c r="AB544" s="68">
        <f t="shared" si="6"/>
        <v>45536</v>
      </c>
      <c r="AC544" s="68">
        <f t="shared" si="7"/>
        <v>45565</v>
      </c>
      <c r="AD544" s="68">
        <f t="shared" si="8"/>
        <v>45564</v>
      </c>
      <c r="AE544" s="68">
        <f t="shared" si="9"/>
        <v>45565</v>
      </c>
    </row>
    <row r="545" spans="1:31" ht="12.5">
      <c r="A545" s="126">
        <v>610422020016</v>
      </c>
      <c r="B545" s="64" t="s">
        <v>227</v>
      </c>
      <c r="D545" s="10">
        <f t="array" aca="1" ref="D545" ca="1">INDEX('Mitra per Bulan'!$M$2:$M800,MATCH(S545,'Mitra per Bulan'!$B$2:$B800,0))</f>
        <v>1</v>
      </c>
      <c r="E545" s="10" t="str">
        <f t="array" ref="E545">INDEX('Database Mitra'!$A$2:$A800,MATCH(A545,'Database Mitra'!$B$2:$B800,0))</f>
        <v>Abdul Aziz</v>
      </c>
      <c r="F545" s="64" t="s">
        <v>25</v>
      </c>
      <c r="G545" s="5" t="str">
        <f t="array" ref="G545">INDEX('Database Mitra'!$G$2:$G800,MATCH(A545,'Database Mitra'!$B$2:$B800,0))</f>
        <v>6102061507950006</v>
      </c>
      <c r="H545" s="9" t="s">
        <v>89</v>
      </c>
      <c r="I545" s="64" t="s">
        <v>242</v>
      </c>
      <c r="J545" s="10" t="str">
        <f t="array" ref="J545">INDEX(Honor!$H$2:$H800,MATCH($I545,Honor!$A$2:$A800,0))</f>
        <v>Blok Sensus</v>
      </c>
      <c r="K545" s="66">
        <f t="array" ref="K545">INDEX(Honor!$I$2:$I800,MATCH($I545,Honor!$A$2:$A800,0))</f>
        <v>168000</v>
      </c>
      <c r="L545" s="64">
        <v>2</v>
      </c>
      <c r="M545" s="10">
        <f t="shared" si="0"/>
        <v>336000</v>
      </c>
      <c r="O545" s="67">
        <f t="array" ref="O545">INDEX(Honor!$L$2:$L800,MATCH($I545,Honor!$A$2:$A800,0))</f>
        <v>45541</v>
      </c>
      <c r="P545" s="10">
        <f t="shared" si="1"/>
        <v>2024</v>
      </c>
      <c r="Q545" s="10">
        <f t="shared" si="2"/>
        <v>9</v>
      </c>
      <c r="R545" s="10" t="str">
        <f t="array" ref="R545">INDEX(Honor!$Q$2:$Q800,MATCH($I545,Honor!$A$2:$A800,0))</f>
        <v>SURVEI-PPL</v>
      </c>
      <c r="S545" s="10" t="str">
        <f t="shared" si="3"/>
        <v>610422020016-2024-9</v>
      </c>
      <c r="T545" s="10" t="str">
        <f t="shared" si="4"/>
        <v>610422020016-2024-9-SURVEI-PPL</v>
      </c>
      <c r="U545" s="64"/>
      <c r="V545" s="10" t="e">
        <f t="array" aca="1" ref="V545" ca="1">INDEX(Honor!$O$2:$O800,MATCH($I545,Honor!$A$2:$A800,0))</f>
        <v>#NAME?</v>
      </c>
      <c r="W545" s="67"/>
      <c r="X545" s="7" t="str">
        <f t="array" ref="X545">INDEX('Input Kegiatan'!$B$2:$B800,MATCH(B545,'Input Kegiatan'!$A$2:$A800,0))</f>
        <v>Sakernas Agustus 2024</v>
      </c>
      <c r="Y545" s="7" t="s">
        <v>5534</v>
      </c>
      <c r="Z545" s="7" t="s">
        <v>5535</v>
      </c>
      <c r="AA545" s="68">
        <f t="shared" si="5"/>
        <v>45535</v>
      </c>
      <c r="AB545" s="68">
        <f t="shared" si="6"/>
        <v>45536</v>
      </c>
      <c r="AC545" s="68">
        <f t="shared" si="7"/>
        <v>45565</v>
      </c>
      <c r="AD545" s="68">
        <f t="shared" si="8"/>
        <v>45564</v>
      </c>
      <c r="AE545" s="68">
        <f t="shared" si="9"/>
        <v>45565</v>
      </c>
    </row>
    <row r="546" spans="1:31" ht="12.5">
      <c r="A546" s="126">
        <v>610422100244</v>
      </c>
      <c r="B546" s="64" t="s">
        <v>227</v>
      </c>
      <c r="D546" s="10">
        <f t="array" aca="1" ref="D546" ca="1">INDEX('Mitra per Bulan'!$M$2:$M800,MATCH(S546,'Mitra per Bulan'!$B$2:$B800,0))</f>
        <v>1</v>
      </c>
      <c r="E546" s="10" t="str">
        <f t="array" ref="E546">INDEX('Database Mitra'!$A$2:$A800,MATCH(A546,'Database Mitra'!$B$2:$B800,0))</f>
        <v>Sugianto</v>
      </c>
      <c r="F546" s="64" t="s">
        <v>25</v>
      </c>
      <c r="G546" s="5" t="str">
        <f t="array" ref="G546">INDEX('Database Mitra'!$G$2:$G800,MATCH(A546,'Database Mitra'!$B$2:$B800,0))</f>
        <v>6102171003900002</v>
      </c>
      <c r="H546" s="9" t="s">
        <v>89</v>
      </c>
      <c r="I546" s="64" t="s">
        <v>242</v>
      </c>
      <c r="J546" s="10" t="str">
        <f t="array" ref="J546">INDEX(Honor!$H$2:$H800,MATCH($I546,Honor!$A$2:$A800,0))</f>
        <v>Blok Sensus</v>
      </c>
      <c r="K546" s="66">
        <f t="array" ref="K546">INDEX(Honor!$I$2:$I800,MATCH($I546,Honor!$A$2:$A800,0))</f>
        <v>168000</v>
      </c>
      <c r="L546" s="64">
        <v>2</v>
      </c>
      <c r="M546" s="10">
        <f t="shared" si="0"/>
        <v>336000</v>
      </c>
      <c r="O546" s="67">
        <f t="array" ref="O546">INDEX(Honor!$L$2:$L800,MATCH($I546,Honor!$A$2:$A800,0))</f>
        <v>45541</v>
      </c>
      <c r="P546" s="10">
        <f t="shared" si="1"/>
        <v>2024</v>
      </c>
      <c r="Q546" s="10">
        <f t="shared" si="2"/>
        <v>9</v>
      </c>
      <c r="R546" s="10" t="str">
        <f t="array" ref="R546">INDEX(Honor!$Q$2:$Q800,MATCH($I546,Honor!$A$2:$A800,0))</f>
        <v>SURVEI-PPL</v>
      </c>
      <c r="S546" s="10" t="str">
        <f t="shared" si="3"/>
        <v>610422100244-2024-9</v>
      </c>
      <c r="T546" s="10" t="str">
        <f t="shared" si="4"/>
        <v>610422100244-2024-9-SURVEI-PPL</v>
      </c>
      <c r="U546" s="64"/>
      <c r="V546" s="10" t="e">
        <f t="array" aca="1" ref="V546" ca="1">INDEX(Honor!$O$2:$O800,MATCH($I546,Honor!$A$2:$A800,0))</f>
        <v>#NAME?</v>
      </c>
      <c r="W546" s="67"/>
      <c r="X546" s="7" t="str">
        <f t="array" ref="X546">INDEX('Input Kegiatan'!$B$2:$B800,MATCH(B546,'Input Kegiatan'!$A$2:$A800,0))</f>
        <v>Sakernas Agustus 2024</v>
      </c>
      <c r="Y546" s="7" t="s">
        <v>5741</v>
      </c>
      <c r="Z546" s="7" t="s">
        <v>5796</v>
      </c>
      <c r="AA546" s="68">
        <f t="shared" si="5"/>
        <v>45535</v>
      </c>
      <c r="AB546" s="68">
        <f t="shared" si="6"/>
        <v>45536</v>
      </c>
      <c r="AC546" s="68">
        <f t="shared" si="7"/>
        <v>45565</v>
      </c>
      <c r="AD546" s="68">
        <f t="shared" si="8"/>
        <v>45564</v>
      </c>
      <c r="AE546" s="68">
        <f t="shared" si="9"/>
        <v>45565</v>
      </c>
    </row>
    <row r="547" spans="1:31" ht="12.5">
      <c r="A547" s="126">
        <v>610423040014</v>
      </c>
      <c r="B547" s="64" t="s">
        <v>227</v>
      </c>
      <c r="D547" s="10">
        <f t="array" aca="1" ref="D547" ca="1">INDEX('Mitra per Bulan'!$M$2:$M800,MATCH(S547,'Mitra per Bulan'!$B$2:$B800,0))</f>
        <v>1</v>
      </c>
      <c r="E547" s="10" t="str">
        <f t="array" ref="E547">INDEX('Database Mitra'!$A$2:$A800,MATCH(A547,'Database Mitra'!$B$2:$B800,0))</f>
        <v>Fransiska Romana</v>
      </c>
      <c r="F547" s="64" t="s">
        <v>25</v>
      </c>
      <c r="G547" s="5" t="str">
        <f t="array" ref="G547">INDEX('Database Mitra'!$G$2:$G800,MATCH(A547,'Database Mitra'!$B$2:$B800,0))</f>
        <v>6107036103910001</v>
      </c>
      <c r="H547" s="9" t="s">
        <v>89</v>
      </c>
      <c r="I547" s="64" t="s">
        <v>242</v>
      </c>
      <c r="J547" s="10" t="str">
        <f t="array" ref="J547">INDEX(Honor!$H$2:$H800,MATCH($I547,Honor!$A$2:$A800,0))</f>
        <v>Blok Sensus</v>
      </c>
      <c r="K547" s="66">
        <f t="array" ref="K547">INDEX(Honor!$I$2:$I800,MATCH($I547,Honor!$A$2:$A800,0))</f>
        <v>168000</v>
      </c>
      <c r="L547" s="64">
        <v>2</v>
      </c>
      <c r="M547" s="10">
        <f t="shared" si="0"/>
        <v>336000</v>
      </c>
      <c r="O547" s="67">
        <f t="array" ref="O547">INDEX(Honor!$L$2:$L800,MATCH($I547,Honor!$A$2:$A800,0))</f>
        <v>45541</v>
      </c>
      <c r="P547" s="10">
        <f t="shared" si="1"/>
        <v>2024</v>
      </c>
      <c r="Q547" s="10">
        <f t="shared" si="2"/>
        <v>9</v>
      </c>
      <c r="R547" s="10" t="str">
        <f t="array" ref="R547">INDEX(Honor!$Q$2:$Q800,MATCH($I547,Honor!$A$2:$A800,0))</f>
        <v>SURVEI-PPL</v>
      </c>
      <c r="S547" s="10" t="str">
        <f t="shared" si="3"/>
        <v>610423040014-2024-9</v>
      </c>
      <c r="T547" s="10" t="str">
        <f t="shared" si="4"/>
        <v>610423040014-2024-9-SURVEI-PPL</v>
      </c>
      <c r="U547" s="64"/>
      <c r="V547" s="10" t="e">
        <f t="array" aca="1" ref="V547" ca="1">INDEX(Honor!$O$2:$O800,MATCH($I547,Honor!$A$2:$A800,0))</f>
        <v>#NAME?</v>
      </c>
      <c r="W547" s="67"/>
      <c r="X547" s="7" t="str">
        <f t="array" ref="X547">INDEX('Input Kegiatan'!$B$2:$B800,MATCH(B547,'Input Kegiatan'!$A$2:$A800,0))</f>
        <v>Sakernas Agustus 2024</v>
      </c>
      <c r="Y547" s="7" t="s">
        <v>5534</v>
      </c>
      <c r="Z547" s="7" t="s">
        <v>5714</v>
      </c>
      <c r="AA547" s="68">
        <f t="shared" si="5"/>
        <v>45535</v>
      </c>
      <c r="AB547" s="68">
        <f t="shared" si="6"/>
        <v>45536</v>
      </c>
      <c r="AC547" s="68">
        <f t="shared" si="7"/>
        <v>45565</v>
      </c>
      <c r="AD547" s="68">
        <f t="shared" si="8"/>
        <v>45564</v>
      </c>
      <c r="AE547" s="68">
        <f t="shared" si="9"/>
        <v>45565</v>
      </c>
    </row>
    <row r="548" spans="1:31" ht="12.5">
      <c r="A548" s="126">
        <v>610422020040</v>
      </c>
      <c r="B548" s="64" t="s">
        <v>227</v>
      </c>
      <c r="D548" s="10">
        <f t="array" aca="1" ref="D548" ca="1">INDEX('Mitra per Bulan'!$M$2:$M800,MATCH(S548,'Mitra per Bulan'!$B$2:$B800,0))</f>
        <v>1</v>
      </c>
      <c r="E548" s="10" t="str">
        <f t="array" ref="E548">INDEX('Database Mitra'!$A$2:$A800,MATCH(A548,'Database Mitra'!$B$2:$B800,0))</f>
        <v>Shofyansyah</v>
      </c>
      <c r="F548" s="64" t="s">
        <v>25</v>
      </c>
      <c r="G548" s="5" t="str">
        <f t="array" ref="G548">INDEX('Database Mitra'!$G$2:$G800,MATCH(A548,'Database Mitra'!$B$2:$B800,0))</f>
        <v>6102161703760001</v>
      </c>
      <c r="H548" s="9" t="s">
        <v>89</v>
      </c>
      <c r="I548" s="64" t="s">
        <v>242</v>
      </c>
      <c r="J548" s="10" t="str">
        <f t="array" ref="J548">INDEX(Honor!$H$2:$H800,MATCH($I548,Honor!$A$2:$A800,0))</f>
        <v>Blok Sensus</v>
      </c>
      <c r="K548" s="66">
        <f t="array" ref="K548">INDEX(Honor!$I$2:$I800,MATCH($I548,Honor!$A$2:$A800,0))</f>
        <v>168000</v>
      </c>
      <c r="L548" s="64">
        <v>3</v>
      </c>
      <c r="M548" s="10">
        <f t="shared" si="0"/>
        <v>504000</v>
      </c>
      <c r="O548" s="67">
        <f t="array" ref="O548">INDEX(Honor!$L$2:$L800,MATCH($I548,Honor!$A$2:$A800,0))</f>
        <v>45541</v>
      </c>
      <c r="P548" s="10">
        <f t="shared" si="1"/>
        <v>2024</v>
      </c>
      <c r="Q548" s="10">
        <f t="shared" si="2"/>
        <v>9</v>
      </c>
      <c r="R548" s="10" t="str">
        <f t="array" ref="R548">INDEX(Honor!$Q$2:$Q800,MATCH($I548,Honor!$A$2:$A800,0))</f>
        <v>SURVEI-PPL</v>
      </c>
      <c r="S548" s="10" t="str">
        <f t="shared" si="3"/>
        <v>610422020040-2024-9</v>
      </c>
      <c r="T548" s="10" t="str">
        <f t="shared" si="4"/>
        <v>610422020040-2024-9-SURVEI-PPL</v>
      </c>
      <c r="U548" s="64"/>
      <c r="V548" s="10" t="e">
        <f t="array" aca="1" ref="V548" ca="1">INDEX(Honor!$O$2:$O800,MATCH($I548,Honor!$A$2:$A800,0))</f>
        <v>#NAME?</v>
      </c>
      <c r="W548" s="67"/>
      <c r="X548" s="7" t="str">
        <f t="array" ref="X548">INDEX('Input Kegiatan'!$B$2:$B800,MATCH(B548,'Input Kegiatan'!$A$2:$A800,0))</f>
        <v>Sakernas Agustus 2024</v>
      </c>
      <c r="Y548" s="7" t="s">
        <v>4408</v>
      </c>
      <c r="Z548" s="7" t="s">
        <v>4463</v>
      </c>
      <c r="AA548" s="68">
        <f t="shared" si="5"/>
        <v>45535</v>
      </c>
      <c r="AB548" s="68">
        <f t="shared" si="6"/>
        <v>45536</v>
      </c>
      <c r="AC548" s="68">
        <f t="shared" si="7"/>
        <v>45565</v>
      </c>
      <c r="AD548" s="68">
        <f t="shared" si="8"/>
        <v>45564</v>
      </c>
      <c r="AE548" s="68">
        <f t="shared" si="9"/>
        <v>45565</v>
      </c>
    </row>
    <row r="549" spans="1:31" ht="12.5">
      <c r="A549" s="126">
        <v>610422040056</v>
      </c>
      <c r="B549" s="64" t="s">
        <v>227</v>
      </c>
      <c r="D549" s="10">
        <f t="array" aca="1" ref="D549" ca="1">INDEX('Mitra per Bulan'!$M$2:$M800,MATCH(S549,'Mitra per Bulan'!$B$2:$B800,0))</f>
        <v>1</v>
      </c>
      <c r="E549" s="10" t="str">
        <f t="array" ref="E549">INDEX('Database Mitra'!$A$2:$A800,MATCH(A549,'Database Mitra'!$B$2:$B800,0))</f>
        <v>Wandi Syafari</v>
      </c>
      <c r="F549" s="64" t="s">
        <v>25</v>
      </c>
      <c r="G549" s="5" t="str">
        <f t="array" ref="G549">INDEX('Database Mitra'!$G$2:$G800,MATCH(A549,'Database Mitra'!$B$2:$B800,0))</f>
        <v>6102010802760001</v>
      </c>
      <c r="H549" s="9" t="s">
        <v>89</v>
      </c>
      <c r="I549" s="64" t="s">
        <v>242</v>
      </c>
      <c r="J549" s="10" t="str">
        <f t="array" ref="J549">INDEX(Honor!$H$2:$H800,MATCH($I549,Honor!$A$2:$A800,0))</f>
        <v>Blok Sensus</v>
      </c>
      <c r="K549" s="66">
        <f t="array" ref="K549">INDEX(Honor!$I$2:$I800,MATCH($I549,Honor!$A$2:$A800,0))</f>
        <v>168000</v>
      </c>
      <c r="L549" s="64">
        <v>3</v>
      </c>
      <c r="M549" s="10">
        <f t="shared" si="0"/>
        <v>504000</v>
      </c>
      <c r="O549" s="67">
        <f t="array" ref="O549">INDEX(Honor!$L$2:$L800,MATCH($I549,Honor!$A$2:$A800,0))</f>
        <v>45541</v>
      </c>
      <c r="P549" s="10">
        <f t="shared" si="1"/>
        <v>2024</v>
      </c>
      <c r="Q549" s="10">
        <f t="shared" si="2"/>
        <v>9</v>
      </c>
      <c r="R549" s="10" t="str">
        <f t="array" ref="R549">INDEX(Honor!$Q$2:$Q800,MATCH($I549,Honor!$A$2:$A800,0))</f>
        <v>SURVEI-PPL</v>
      </c>
      <c r="S549" s="10" t="str">
        <f t="shared" si="3"/>
        <v>610422040056-2024-9</v>
      </c>
      <c r="T549" s="10" t="str">
        <f t="shared" si="4"/>
        <v>610422040056-2024-9-SURVEI-PPL</v>
      </c>
      <c r="U549" s="64"/>
      <c r="V549" s="10" t="e">
        <f t="array" aca="1" ref="V549" ca="1">INDEX(Honor!$O$2:$O800,MATCH($I549,Honor!$A$2:$A800,0))</f>
        <v>#NAME?</v>
      </c>
      <c r="W549" s="67"/>
      <c r="X549" s="7" t="str">
        <f t="array" ref="X549">INDEX('Input Kegiatan'!$B$2:$B800,MATCH(B549,'Input Kegiatan'!$A$2:$A800,0))</f>
        <v>Sakernas Agustus 2024</v>
      </c>
      <c r="Y549" s="7" t="s">
        <v>4572</v>
      </c>
      <c r="Z549" s="7" t="s">
        <v>4656</v>
      </c>
      <c r="AA549" s="68">
        <f t="shared" si="5"/>
        <v>45535</v>
      </c>
      <c r="AB549" s="68">
        <f t="shared" si="6"/>
        <v>45536</v>
      </c>
      <c r="AC549" s="68">
        <f t="shared" si="7"/>
        <v>45565</v>
      </c>
      <c r="AD549" s="68">
        <f t="shared" si="8"/>
        <v>45564</v>
      </c>
      <c r="AE549" s="68">
        <f t="shared" si="9"/>
        <v>45565</v>
      </c>
    </row>
    <row r="550" spans="1:31" ht="12.5">
      <c r="A550" s="125">
        <v>610422040058</v>
      </c>
      <c r="B550" s="64" t="s">
        <v>227</v>
      </c>
      <c r="D550" s="10">
        <f t="array" aca="1" ref="D550" ca="1">INDEX('Mitra per Bulan'!$M$2:$M800,MATCH(S550,'Mitra per Bulan'!$B$2:$B800,0))</f>
        <v>1</v>
      </c>
      <c r="E550" s="10" t="str">
        <f t="array" ref="E550">INDEX('Database Mitra'!$A$2:$A800,MATCH(A550,'Database Mitra'!$B$2:$B800,0))</f>
        <v>Jamaluddin, Sp</v>
      </c>
      <c r="F550" s="64" t="s">
        <v>25</v>
      </c>
      <c r="G550" s="5" t="str">
        <f t="array" ref="G550">INDEX('Database Mitra'!$G$2:$G800,MATCH(A550,'Database Mitra'!$B$2:$B800,0))</f>
        <v>6102152607940002</v>
      </c>
      <c r="H550" s="9" t="s">
        <v>89</v>
      </c>
      <c r="I550" s="64" t="s">
        <v>242</v>
      </c>
      <c r="J550" s="10" t="str">
        <f t="array" ref="J550">INDEX(Honor!$H$2:$H800,MATCH($I550,Honor!$A$2:$A800,0))</f>
        <v>Blok Sensus</v>
      </c>
      <c r="K550" s="66">
        <f t="array" ref="K550">INDEX(Honor!$I$2:$I800,MATCH($I550,Honor!$A$2:$A800,0))</f>
        <v>168000</v>
      </c>
      <c r="L550" s="64">
        <v>3</v>
      </c>
      <c r="M550" s="10">
        <f t="shared" si="0"/>
        <v>504000</v>
      </c>
      <c r="O550" s="67">
        <f t="array" ref="O550">INDEX(Honor!$L$2:$L800,MATCH($I550,Honor!$A$2:$A800,0))</f>
        <v>45541</v>
      </c>
      <c r="P550" s="10">
        <f t="shared" si="1"/>
        <v>2024</v>
      </c>
      <c r="Q550" s="10">
        <f t="shared" si="2"/>
        <v>9</v>
      </c>
      <c r="R550" s="10" t="str">
        <f t="array" ref="R550">INDEX(Honor!$Q$2:$Q800,MATCH($I550,Honor!$A$2:$A800,0))</f>
        <v>SURVEI-PPL</v>
      </c>
      <c r="S550" s="10" t="str">
        <f t="shared" si="3"/>
        <v>610422040058-2024-9</v>
      </c>
      <c r="T550" s="10" t="str">
        <f t="shared" si="4"/>
        <v>610422040058-2024-9-SURVEI-PPL</v>
      </c>
      <c r="U550" s="64"/>
      <c r="V550" s="10" t="e">
        <f t="array" aca="1" ref="V550" ca="1">INDEX(Honor!$O$2:$O800,MATCH($I550,Honor!$A$2:$A800,0))</f>
        <v>#NAME?</v>
      </c>
      <c r="W550" s="67"/>
      <c r="X550" s="7" t="str">
        <f t="array" ref="X550">INDEX('Input Kegiatan'!$B$2:$B800,MATCH(B550,'Input Kegiatan'!$A$2:$A800,0))</f>
        <v>Sakernas Agustus 2024</v>
      </c>
      <c r="Y550" s="7" t="s">
        <v>3715</v>
      </c>
      <c r="Z550" s="7" t="s">
        <v>3716</v>
      </c>
      <c r="AA550" s="68">
        <f t="shared" si="5"/>
        <v>45535</v>
      </c>
      <c r="AB550" s="68">
        <f t="shared" si="6"/>
        <v>45536</v>
      </c>
      <c r="AC550" s="68">
        <f t="shared" si="7"/>
        <v>45565</v>
      </c>
      <c r="AD550" s="68">
        <f t="shared" si="8"/>
        <v>45564</v>
      </c>
      <c r="AE550" s="68">
        <f t="shared" si="9"/>
        <v>45565</v>
      </c>
    </row>
    <row r="551" spans="1:31" ht="12.5">
      <c r="A551" s="126">
        <v>610422020032</v>
      </c>
      <c r="B551" s="64" t="s">
        <v>227</v>
      </c>
      <c r="D551" s="10">
        <f t="array" aca="1" ref="D551" ca="1">INDEX('Mitra per Bulan'!$M$2:$M800,MATCH(S551,'Mitra per Bulan'!$B$2:$B800,0))</f>
        <v>1</v>
      </c>
      <c r="E551" s="10" t="str">
        <f t="array" ref="E551">INDEX('Database Mitra'!$A$2:$A800,MATCH(A551,'Database Mitra'!$B$2:$B800,0))</f>
        <v>Lilis Suryani</v>
      </c>
      <c r="F551" s="64" t="s">
        <v>25</v>
      </c>
      <c r="G551" s="5" t="str">
        <f t="array" ref="G551">INDEX('Database Mitra'!$G$2:$G800,MATCH(A551,'Database Mitra'!$B$2:$B800,0))</f>
        <v>6102185102880001</v>
      </c>
      <c r="H551" s="9" t="s">
        <v>89</v>
      </c>
      <c r="I551" s="64" t="s">
        <v>242</v>
      </c>
      <c r="J551" s="10" t="str">
        <f t="array" ref="J551">INDEX(Honor!$H$2:$H800,MATCH($I551,Honor!$A$2:$A800,0))</f>
        <v>Blok Sensus</v>
      </c>
      <c r="K551" s="66">
        <f t="array" ref="K551">INDEX(Honor!$I$2:$I800,MATCH($I551,Honor!$A$2:$A800,0))</f>
        <v>168000</v>
      </c>
      <c r="L551" s="64">
        <v>3</v>
      </c>
      <c r="M551" s="10">
        <f t="shared" si="0"/>
        <v>504000</v>
      </c>
      <c r="O551" s="67">
        <f t="array" ref="O551">INDEX(Honor!$L$2:$L800,MATCH($I551,Honor!$A$2:$A800,0))</f>
        <v>45541</v>
      </c>
      <c r="P551" s="10">
        <f t="shared" si="1"/>
        <v>2024</v>
      </c>
      <c r="Q551" s="10">
        <f t="shared" si="2"/>
        <v>9</v>
      </c>
      <c r="R551" s="10" t="str">
        <f t="array" ref="R551">INDEX(Honor!$Q$2:$Q800,MATCH($I551,Honor!$A$2:$A800,0))</f>
        <v>SURVEI-PPL</v>
      </c>
      <c r="S551" s="10" t="str">
        <f t="shared" si="3"/>
        <v>610422020032-2024-9</v>
      </c>
      <c r="T551" s="10" t="str">
        <f t="shared" si="4"/>
        <v>610422020032-2024-9-SURVEI-PPL</v>
      </c>
      <c r="U551" s="64"/>
      <c r="V551" s="10" t="e">
        <f t="array" aca="1" ref="V551" ca="1">INDEX(Honor!$O$2:$O800,MATCH($I551,Honor!$A$2:$A800,0))</f>
        <v>#NAME?</v>
      </c>
      <c r="W551" s="67"/>
      <c r="X551" s="7" t="str">
        <f t="array" ref="X551">INDEX('Input Kegiatan'!$B$2:$B800,MATCH(B551,'Input Kegiatan'!$A$2:$A800,0))</f>
        <v>Sakernas Agustus 2024</v>
      </c>
      <c r="Y551" s="7" t="s">
        <v>4931</v>
      </c>
      <c r="Z551" s="7" t="s">
        <v>5209</v>
      </c>
      <c r="AA551" s="68">
        <f t="shared" si="5"/>
        <v>45535</v>
      </c>
      <c r="AB551" s="68">
        <f t="shared" si="6"/>
        <v>45536</v>
      </c>
      <c r="AC551" s="68">
        <f t="shared" si="7"/>
        <v>45565</v>
      </c>
      <c r="AD551" s="68">
        <f t="shared" si="8"/>
        <v>45564</v>
      </c>
      <c r="AE551" s="68">
        <f t="shared" si="9"/>
        <v>45565</v>
      </c>
    </row>
    <row r="552" spans="1:31" ht="12.5">
      <c r="A552" s="126">
        <v>610422040034</v>
      </c>
      <c r="B552" s="64" t="s">
        <v>227</v>
      </c>
      <c r="D552" s="10">
        <f t="array" aca="1" ref="D552" ca="1">INDEX('Mitra per Bulan'!$M$2:$M800,MATCH(S552,'Mitra per Bulan'!$B$2:$B800,0))</f>
        <v>1</v>
      </c>
      <c r="E552" s="10" t="str">
        <f t="array" ref="E552">INDEX('Database Mitra'!$A$2:$A800,MATCH(A552,'Database Mitra'!$B$2:$B800,0))</f>
        <v>Nelly Nalita</v>
      </c>
      <c r="F552" s="64" t="s">
        <v>25</v>
      </c>
      <c r="G552" s="5" t="str">
        <f t="array" ref="G552">INDEX('Database Mitra'!$G$2:$G800,MATCH(A552,'Database Mitra'!$B$2:$B800,0))</f>
        <v>6102014712890004</v>
      </c>
      <c r="H552" s="9" t="s">
        <v>89</v>
      </c>
      <c r="I552" s="64" t="s">
        <v>242</v>
      </c>
      <c r="J552" s="10" t="str">
        <f t="array" ref="J552">INDEX(Honor!$H$2:$H800,MATCH($I552,Honor!$A$2:$A800,0))</f>
        <v>Blok Sensus</v>
      </c>
      <c r="K552" s="66">
        <f t="array" ref="K552">INDEX(Honor!$I$2:$I800,MATCH($I552,Honor!$A$2:$A800,0))</f>
        <v>168000</v>
      </c>
      <c r="L552" s="64">
        <v>3</v>
      </c>
      <c r="M552" s="10">
        <f t="shared" si="0"/>
        <v>504000</v>
      </c>
      <c r="O552" s="67">
        <f t="array" ref="O552">INDEX(Honor!$L$2:$L800,MATCH($I552,Honor!$A$2:$A800,0))</f>
        <v>45541</v>
      </c>
      <c r="P552" s="10">
        <f t="shared" si="1"/>
        <v>2024</v>
      </c>
      <c r="Q552" s="10">
        <f t="shared" si="2"/>
        <v>9</v>
      </c>
      <c r="R552" s="10" t="str">
        <f t="array" ref="R552">INDEX(Honor!$Q$2:$Q800,MATCH($I552,Honor!$A$2:$A800,0))</f>
        <v>SURVEI-PPL</v>
      </c>
      <c r="S552" s="10" t="str">
        <f t="shared" si="3"/>
        <v>610422040034-2024-9</v>
      </c>
      <c r="T552" s="10" t="str">
        <f t="shared" si="4"/>
        <v>610422040034-2024-9-SURVEI-PPL</v>
      </c>
      <c r="U552" s="64"/>
      <c r="V552" s="10" t="e">
        <f t="array" aca="1" ref="V552" ca="1">INDEX(Honor!$O$2:$O800,MATCH($I552,Honor!$A$2:$A800,0))</f>
        <v>#NAME?</v>
      </c>
      <c r="W552" s="67"/>
      <c r="X552" s="7" t="str">
        <f t="array" ref="X552">INDEX('Input Kegiatan'!$B$2:$B800,MATCH(B552,'Input Kegiatan'!$A$2:$A800,0))</f>
        <v>Sakernas Agustus 2024</v>
      </c>
      <c r="Y552" s="7" t="s">
        <v>4572</v>
      </c>
      <c r="Z552" s="7" t="s">
        <v>4841</v>
      </c>
      <c r="AA552" s="68">
        <f t="shared" si="5"/>
        <v>45535</v>
      </c>
      <c r="AB552" s="68">
        <f t="shared" si="6"/>
        <v>45536</v>
      </c>
      <c r="AC552" s="68">
        <f t="shared" si="7"/>
        <v>45565</v>
      </c>
      <c r="AD552" s="68">
        <f t="shared" si="8"/>
        <v>45564</v>
      </c>
      <c r="AE552" s="68">
        <f t="shared" si="9"/>
        <v>45565</v>
      </c>
    </row>
    <row r="553" spans="1:31" ht="12.5">
      <c r="A553" s="126">
        <v>610422040051</v>
      </c>
      <c r="B553" s="64" t="s">
        <v>227</v>
      </c>
      <c r="D553" s="10">
        <f t="array" aca="1" ref="D553" ca="1">INDEX('Mitra per Bulan'!$M$2:$M800,MATCH(S553,'Mitra per Bulan'!$B$2:$B800,0))</f>
        <v>1</v>
      </c>
      <c r="E553" s="10" t="str">
        <f t="array" ref="E553">INDEX('Database Mitra'!$A$2:$A800,MATCH(A553,'Database Mitra'!$B$2:$B800,0))</f>
        <v>Dede Sri Delvey</v>
      </c>
      <c r="F553" s="64" t="s">
        <v>25</v>
      </c>
      <c r="G553" s="5" t="str">
        <f t="array" ref="G553">INDEX('Database Mitra'!$G$2:$G800,MATCH(A553,'Database Mitra'!$B$2:$B800,0))</f>
        <v>6102156611010002</v>
      </c>
      <c r="H553" s="9" t="s">
        <v>89</v>
      </c>
      <c r="I553" s="64" t="s">
        <v>242</v>
      </c>
      <c r="J553" s="10" t="str">
        <f t="array" ref="J553">INDEX(Honor!$H$2:$H800,MATCH($I553,Honor!$A$2:$A800,0))</f>
        <v>Blok Sensus</v>
      </c>
      <c r="K553" s="66">
        <f t="array" ref="K553">INDEX(Honor!$I$2:$I800,MATCH($I553,Honor!$A$2:$A800,0))</f>
        <v>168000</v>
      </c>
      <c r="L553" s="64">
        <v>3</v>
      </c>
      <c r="M553" s="10">
        <f t="shared" si="0"/>
        <v>504000</v>
      </c>
      <c r="O553" s="67">
        <f t="array" ref="O553">INDEX(Honor!$L$2:$L800,MATCH($I553,Honor!$A$2:$A800,0))</f>
        <v>45541</v>
      </c>
      <c r="P553" s="10">
        <f t="shared" si="1"/>
        <v>2024</v>
      </c>
      <c r="Q553" s="10">
        <f t="shared" si="2"/>
        <v>9</v>
      </c>
      <c r="R553" s="10" t="str">
        <f t="array" ref="R553">INDEX(Honor!$Q$2:$Q800,MATCH($I553,Honor!$A$2:$A800,0))</f>
        <v>SURVEI-PPL</v>
      </c>
      <c r="S553" s="10" t="str">
        <f t="shared" si="3"/>
        <v>610422040051-2024-9</v>
      </c>
      <c r="T553" s="10" t="str">
        <f t="shared" si="4"/>
        <v>610422040051-2024-9-SURVEI-PPL</v>
      </c>
      <c r="U553" s="64"/>
      <c r="V553" s="10" t="e">
        <f t="array" aca="1" ref="V553" ca="1">INDEX(Honor!$O$2:$O800,MATCH($I553,Honor!$A$2:$A800,0))</f>
        <v>#NAME?</v>
      </c>
      <c r="W553" s="67"/>
      <c r="X553" s="7" t="str">
        <f t="array" ref="X553">INDEX('Input Kegiatan'!$B$2:$B800,MATCH(B553,'Input Kegiatan'!$A$2:$A800,0))</f>
        <v>Sakernas Agustus 2024</v>
      </c>
      <c r="Y553" s="7" t="s">
        <v>3715</v>
      </c>
      <c r="Z553" s="7" t="s">
        <v>3794</v>
      </c>
      <c r="AA553" s="68">
        <f t="shared" si="5"/>
        <v>45535</v>
      </c>
      <c r="AB553" s="68">
        <f t="shared" si="6"/>
        <v>45536</v>
      </c>
      <c r="AC553" s="68">
        <f t="shared" si="7"/>
        <v>45565</v>
      </c>
      <c r="AD553" s="68">
        <f t="shared" si="8"/>
        <v>45564</v>
      </c>
      <c r="AE553" s="68">
        <f t="shared" si="9"/>
        <v>45565</v>
      </c>
    </row>
    <row r="554" spans="1:31" ht="12.5">
      <c r="A554" s="126">
        <v>610423040013</v>
      </c>
      <c r="B554" s="64" t="s">
        <v>227</v>
      </c>
      <c r="D554" s="10">
        <f t="array" aca="1" ref="D554" ca="1">INDEX('Mitra per Bulan'!$M$2:$M800,MATCH(S554,'Mitra per Bulan'!$B$2:$B800,0))</f>
        <v>1</v>
      </c>
      <c r="E554" s="10" t="str">
        <f t="array" ref="E554">INDEX('Database Mitra'!$A$2:$A800,MATCH(A554,'Database Mitra'!$B$2:$B800,0))</f>
        <v>Lulu Gesti Gunawati</v>
      </c>
      <c r="F554" s="64" t="s">
        <v>25</v>
      </c>
      <c r="G554" s="5" t="str">
        <f t="array" ref="G554">INDEX('Database Mitra'!$G$2:$G800,MATCH(A554,'Database Mitra'!$B$2:$B800,0))</f>
        <v>3314066101000001</v>
      </c>
      <c r="H554" s="9" t="s">
        <v>89</v>
      </c>
      <c r="I554" s="64" t="s">
        <v>242</v>
      </c>
      <c r="J554" s="10" t="str">
        <f t="array" ref="J554">INDEX(Honor!$H$2:$H800,MATCH($I554,Honor!$A$2:$A800,0))</f>
        <v>Blok Sensus</v>
      </c>
      <c r="K554" s="66">
        <f t="array" ref="K554">INDEX(Honor!$I$2:$I800,MATCH($I554,Honor!$A$2:$A800,0))</f>
        <v>168000</v>
      </c>
      <c r="L554" s="64">
        <v>3</v>
      </c>
      <c r="M554" s="10">
        <f t="shared" si="0"/>
        <v>504000</v>
      </c>
      <c r="O554" s="67">
        <f t="array" ref="O554">INDEX(Honor!$L$2:$L800,MATCH($I554,Honor!$A$2:$A800,0))</f>
        <v>45541</v>
      </c>
      <c r="P554" s="10">
        <f t="shared" si="1"/>
        <v>2024</v>
      </c>
      <c r="Q554" s="10">
        <f t="shared" si="2"/>
        <v>9</v>
      </c>
      <c r="R554" s="10" t="str">
        <f t="array" ref="R554">INDEX(Honor!$Q$2:$Q800,MATCH($I554,Honor!$A$2:$A800,0))</f>
        <v>SURVEI-PPL</v>
      </c>
      <c r="S554" s="10" t="str">
        <f t="shared" si="3"/>
        <v>610423040013-2024-9</v>
      </c>
      <c r="T554" s="10" t="str">
        <f t="shared" si="4"/>
        <v>610423040013-2024-9-SURVEI-PPL</v>
      </c>
      <c r="U554" s="64"/>
      <c r="V554" s="10" t="e">
        <f t="array" aca="1" ref="V554" ca="1">INDEX(Honor!$O$2:$O800,MATCH($I554,Honor!$A$2:$A800,0))</f>
        <v>#NAME?</v>
      </c>
      <c r="W554" s="67"/>
      <c r="X554" s="7" t="str">
        <f t="array" ref="X554">INDEX('Input Kegiatan'!$B$2:$B800,MATCH(B554,'Input Kegiatan'!$A$2:$A800,0))</f>
        <v>Sakernas Agustus 2024</v>
      </c>
      <c r="Y554" s="7" t="s">
        <v>5250</v>
      </c>
      <c r="Z554" s="7" t="s">
        <v>5304</v>
      </c>
      <c r="AA554" s="68">
        <f t="shared" si="5"/>
        <v>45535</v>
      </c>
      <c r="AB554" s="68">
        <f t="shared" si="6"/>
        <v>45536</v>
      </c>
      <c r="AC554" s="68">
        <f t="shared" si="7"/>
        <v>45565</v>
      </c>
      <c r="AD554" s="68">
        <f t="shared" si="8"/>
        <v>45564</v>
      </c>
      <c r="AE554" s="68">
        <f t="shared" si="9"/>
        <v>45565</v>
      </c>
    </row>
    <row r="555" spans="1:31" ht="12.5">
      <c r="A555" s="125">
        <v>610422100001</v>
      </c>
      <c r="B555" s="64" t="s">
        <v>227</v>
      </c>
      <c r="D555" s="10">
        <f t="array" aca="1" ref="D555" ca="1">INDEX('Mitra per Bulan'!$M$2:$M800,MATCH(S555,'Mitra per Bulan'!$B$2:$B800,0))</f>
        <v>1</v>
      </c>
      <c r="E555" s="10" t="str">
        <f t="array" ref="E555">INDEX('Database Mitra'!$A$2:$A800,MATCH(A555,'Database Mitra'!$B$2:$B800,0))</f>
        <v>Fatmawati,S.Hut</v>
      </c>
      <c r="F555" s="64" t="s">
        <v>25</v>
      </c>
      <c r="G555" s="5" t="str">
        <f t="array" ref="G555">INDEX('Database Mitra'!$G$2:$G800,MATCH(A555,'Database Mitra'!$B$2:$B800,0))</f>
        <v>6102075007830003</v>
      </c>
      <c r="H555" s="9" t="s">
        <v>89</v>
      </c>
      <c r="I555" s="64" t="s">
        <v>242</v>
      </c>
      <c r="J555" s="10" t="str">
        <f t="array" ref="J555">INDEX(Honor!$H$2:$H800,MATCH($I555,Honor!$A$2:$A800,0))</f>
        <v>Blok Sensus</v>
      </c>
      <c r="K555" s="66">
        <f t="array" ref="K555">INDEX(Honor!$I$2:$I800,MATCH($I555,Honor!$A$2:$A800,0))</f>
        <v>168000</v>
      </c>
      <c r="L555" s="64">
        <v>3</v>
      </c>
      <c r="M555" s="10">
        <f t="shared" si="0"/>
        <v>504000</v>
      </c>
      <c r="O555" s="67">
        <f t="array" ref="O555">INDEX(Honor!$L$2:$L800,MATCH($I555,Honor!$A$2:$A800,0))</f>
        <v>45541</v>
      </c>
      <c r="P555" s="10">
        <f t="shared" si="1"/>
        <v>2024</v>
      </c>
      <c r="Q555" s="10">
        <f t="shared" si="2"/>
        <v>9</v>
      </c>
      <c r="R555" s="10" t="str">
        <f t="array" ref="R555">INDEX(Honor!$Q$2:$Q800,MATCH($I555,Honor!$A$2:$A800,0))</f>
        <v>SURVEI-PPL</v>
      </c>
      <c r="S555" s="10" t="str">
        <f t="shared" si="3"/>
        <v>610422100001-2024-9</v>
      </c>
      <c r="T555" s="10" t="str">
        <f t="shared" si="4"/>
        <v>610422100001-2024-9-SURVEI-PPL</v>
      </c>
      <c r="U555" s="64"/>
      <c r="V555" s="10" t="e">
        <f t="array" aca="1" ref="V555" ca="1">INDEX(Honor!$O$2:$O800,MATCH($I555,Honor!$A$2:$A800,0))</f>
        <v>#NAME?</v>
      </c>
      <c r="W555" s="67"/>
      <c r="X555" s="7" t="str">
        <f t="array" ref="X555">INDEX('Input Kegiatan'!$B$2:$B800,MATCH(B555,'Input Kegiatan'!$A$2:$A800,0))</f>
        <v>Sakernas Agustus 2024</v>
      </c>
      <c r="Y555" s="7" t="s">
        <v>3990</v>
      </c>
      <c r="Z555" s="7" t="s">
        <v>4332</v>
      </c>
      <c r="AA555" s="68">
        <f t="shared" si="5"/>
        <v>45535</v>
      </c>
      <c r="AB555" s="68">
        <f t="shared" si="6"/>
        <v>45536</v>
      </c>
      <c r="AC555" s="68">
        <f t="shared" si="7"/>
        <v>45565</v>
      </c>
      <c r="AD555" s="68">
        <f t="shared" si="8"/>
        <v>45564</v>
      </c>
      <c r="AE555" s="68">
        <f t="shared" si="9"/>
        <v>45565</v>
      </c>
    </row>
    <row r="556" spans="1:31" ht="12.5">
      <c r="A556" s="126">
        <v>610422040053</v>
      </c>
      <c r="B556" s="64" t="s">
        <v>227</v>
      </c>
      <c r="D556" s="10">
        <f t="array" aca="1" ref="D556" ca="1">INDEX('Mitra per Bulan'!$M$2:$M800,MATCH(S556,'Mitra per Bulan'!$B$2:$B800,0))</f>
        <v>1</v>
      </c>
      <c r="E556" s="10" t="str">
        <f t="array" ref="E556">INDEX('Database Mitra'!$A$2:$A800,MATCH(A556,'Database Mitra'!$B$2:$B800,0))</f>
        <v>Veti Ningsi</v>
      </c>
      <c r="F556" s="64" t="s">
        <v>25</v>
      </c>
      <c r="G556" s="5" t="str">
        <f t="array" ref="G556">INDEX('Database Mitra'!$G$2:$G800,MATCH(A556,'Database Mitra'!$B$2:$B800,0))</f>
        <v>6102125604010002</v>
      </c>
      <c r="H556" s="9" t="s">
        <v>89</v>
      </c>
      <c r="I556" s="64" t="s">
        <v>242</v>
      </c>
      <c r="J556" s="10" t="str">
        <f t="array" ref="J556">INDEX(Honor!$H$2:$H800,MATCH($I556,Honor!$A$2:$A800,0))</f>
        <v>Blok Sensus</v>
      </c>
      <c r="K556" s="66">
        <f t="array" ref="K556">INDEX(Honor!$I$2:$I800,MATCH($I556,Honor!$A$2:$A800,0))</f>
        <v>168000</v>
      </c>
      <c r="L556" s="64">
        <v>3</v>
      </c>
      <c r="M556" s="10">
        <f t="shared" si="0"/>
        <v>504000</v>
      </c>
      <c r="O556" s="67">
        <f t="array" ref="O556">INDEX(Honor!$L$2:$L800,MATCH($I556,Honor!$A$2:$A800,0))</f>
        <v>45541</v>
      </c>
      <c r="P556" s="10">
        <f t="shared" si="1"/>
        <v>2024</v>
      </c>
      <c r="Q556" s="10">
        <f t="shared" si="2"/>
        <v>9</v>
      </c>
      <c r="R556" s="10" t="str">
        <f t="array" ref="R556">INDEX(Honor!$Q$2:$Q800,MATCH($I556,Honor!$A$2:$A800,0))</f>
        <v>SURVEI-PPL</v>
      </c>
      <c r="S556" s="10" t="str">
        <f t="shared" si="3"/>
        <v>610422040053-2024-9</v>
      </c>
      <c r="T556" s="10" t="str">
        <f t="shared" si="4"/>
        <v>610422040053-2024-9-SURVEI-PPL</v>
      </c>
      <c r="U556" s="64"/>
      <c r="V556" s="10" t="e">
        <f t="array" aca="1" ref="V556" ca="1">INDEX(Honor!$O$2:$O800,MATCH($I556,Honor!$A$2:$A800,0))</f>
        <v>#NAME?</v>
      </c>
      <c r="W556" s="67"/>
      <c r="X556" s="7" t="str">
        <f t="array" ref="X556">INDEX('Input Kegiatan'!$B$2:$B800,MATCH(B556,'Input Kegiatan'!$A$2:$A800,0))</f>
        <v>Sakernas Agustus 2024</v>
      </c>
      <c r="Y556" s="7" t="s">
        <v>5250</v>
      </c>
      <c r="Z556" s="7" t="s">
        <v>5464</v>
      </c>
      <c r="AA556" s="68">
        <f t="shared" si="5"/>
        <v>45535</v>
      </c>
      <c r="AB556" s="68">
        <f t="shared" si="6"/>
        <v>45536</v>
      </c>
      <c r="AC556" s="68">
        <f t="shared" si="7"/>
        <v>45565</v>
      </c>
      <c r="AD556" s="68">
        <f t="shared" si="8"/>
        <v>45564</v>
      </c>
      <c r="AE556" s="68">
        <f t="shared" si="9"/>
        <v>45565</v>
      </c>
    </row>
    <row r="557" spans="1:31" ht="12.5">
      <c r="A557" s="125">
        <v>610422020048</v>
      </c>
      <c r="B557" s="64" t="s">
        <v>243</v>
      </c>
      <c r="D557" s="10">
        <f t="array" aca="1" ref="D557" ca="1">INDEX('Mitra per Bulan'!$M$2:$M800,MATCH(S557,'Mitra per Bulan'!$B$2:$B800,0))</f>
        <v>1</v>
      </c>
      <c r="E557" s="10" t="str">
        <f t="array" ref="E557">INDEX('Database Mitra'!$A$2:$A800,MATCH(A557,'Database Mitra'!$B$2:$B800,0))</f>
        <v>Herri Gustaman</v>
      </c>
      <c r="F557" s="64" t="s">
        <v>25</v>
      </c>
      <c r="G557" s="5" t="str">
        <f t="array" ref="G557">INDEX('Database Mitra'!$G$2:$G800,MATCH(A557,'Database Mitra'!$B$2:$B800,0))</f>
        <v>6102072503800001</v>
      </c>
      <c r="H557" s="64" t="s">
        <v>67</v>
      </c>
      <c r="I557" s="64" t="s">
        <v>244</v>
      </c>
      <c r="J557" s="10" t="str">
        <f t="array" ref="J557">INDEX(Honor!$H$2:$H800,MATCH($I557,Honor!$A$2:$A800,0))</f>
        <v>Dokumen</v>
      </c>
      <c r="K557" s="66">
        <f t="array" ref="K557">INDEX(Honor!$I$2:$I800,MATCH($I557,Honor!$A$2:$A800,0))</f>
        <v>60000</v>
      </c>
      <c r="L557" s="64">
        <v>4</v>
      </c>
      <c r="M557" s="10">
        <f t="shared" si="0"/>
        <v>240000</v>
      </c>
      <c r="O557" s="67">
        <f t="array" ref="O557">INDEX(Honor!$L$2:$L800,MATCH($I557,Honor!$A$2:$A800,0))</f>
        <v>45541</v>
      </c>
      <c r="P557" s="10">
        <f t="shared" si="1"/>
        <v>2024</v>
      </c>
      <c r="Q557" s="10">
        <f t="shared" si="2"/>
        <v>9</v>
      </c>
      <c r="R557" s="10" t="str">
        <f t="array" ref="R557">INDEX(Honor!$Q$2:$Q800,MATCH($I557,Honor!$A$2:$A800,0))</f>
        <v>SURVEI-PPL</v>
      </c>
      <c r="S557" s="10" t="str">
        <f t="shared" si="3"/>
        <v>610422020048-2024-9</v>
      </c>
      <c r="T557" s="10" t="str">
        <f t="shared" si="4"/>
        <v>610422020048-2024-9-SURVEI-PPL</v>
      </c>
      <c r="U557" s="64"/>
      <c r="V557" s="10" t="e">
        <f t="array" aca="1" ref="V557" ca="1">INDEX(Honor!$O$2:$O800,MATCH($I557,Honor!$A$2:$A800,0))</f>
        <v>#NAME?</v>
      </c>
      <c r="W557" s="67"/>
      <c r="X557" s="7" t="str">
        <f t="array" ref="X557">INDEX('Input Kegiatan'!$B$2:$B800,MATCH(B557,'Input Kegiatan'!$A$2:$A800,0))</f>
        <v>Laporan Pemotongan Ternak Bulanan 2024 September</v>
      </c>
      <c r="Y557" s="7" t="s">
        <v>4931</v>
      </c>
      <c r="Z557" s="7" t="s">
        <v>5171</v>
      </c>
      <c r="AA557" s="68">
        <f t="shared" si="5"/>
        <v>45535</v>
      </c>
      <c r="AB557" s="68">
        <f t="shared" si="6"/>
        <v>45536</v>
      </c>
      <c r="AC557" s="68">
        <f t="shared" si="7"/>
        <v>45565</v>
      </c>
      <c r="AD557" s="68">
        <f t="shared" si="8"/>
        <v>45564</v>
      </c>
      <c r="AE557" s="68">
        <f t="shared" si="9"/>
        <v>45565</v>
      </c>
    </row>
    <row r="558" spans="1:31" ht="12.5">
      <c r="A558" s="125">
        <v>610422040030</v>
      </c>
      <c r="B558" s="64" t="s">
        <v>245</v>
      </c>
      <c r="D558" s="10">
        <f t="array" aca="1" ref="D558" ca="1">INDEX('Mitra per Bulan'!$M$2:$M800,MATCH(S558,'Mitra per Bulan'!$B$2:$B800,0))</f>
        <v>1</v>
      </c>
      <c r="E558" s="10" t="str">
        <f t="array" ref="E558">INDEX('Database Mitra'!$A$2:$A800,MATCH(A558,'Database Mitra'!$B$2:$B800,0))</f>
        <v>Syarifah Desti Pratiwi</v>
      </c>
      <c r="F558" s="64" t="s">
        <v>25</v>
      </c>
      <c r="G558" s="5" t="str">
        <f t="array" ref="G558">INDEX('Database Mitra'!$G$2:$G800,MATCH(A558,'Database Mitra'!$B$2:$B800,0))</f>
        <v>6102084512950002</v>
      </c>
      <c r="H558" s="64" t="s">
        <v>67</v>
      </c>
      <c r="I558" s="65" t="s">
        <v>246</v>
      </c>
      <c r="J558" s="10" t="str">
        <f t="array" ref="J558">INDEX(Honor!$H$2:$H800,MATCH($I558,Honor!$A$2:$A800,0))</f>
        <v>Dokumen</v>
      </c>
      <c r="K558" s="66">
        <f t="array" ref="K558">INDEX(Honor!$I$2:$I800,MATCH($I558,Honor!$A$2:$A800,0))</f>
        <v>73000</v>
      </c>
      <c r="L558" s="64">
        <v>4</v>
      </c>
      <c r="M558" s="10">
        <f t="shared" si="0"/>
        <v>292000</v>
      </c>
      <c r="O558" s="67">
        <f t="array" ref="O558">INDEX(Honor!$L$2:$L800,MATCH($I558,Honor!$A$2:$A800,0))</f>
        <v>45549</v>
      </c>
      <c r="P558" s="10">
        <f t="shared" si="1"/>
        <v>2024</v>
      </c>
      <c r="Q558" s="10">
        <f t="shared" si="2"/>
        <v>9</v>
      </c>
      <c r="R558" s="10" t="str">
        <f t="array" ref="R558">INDEX(Honor!$Q$2:$Q800,MATCH($I558,Honor!$A$2:$A800,0))</f>
        <v>SURVEI-PPL</v>
      </c>
      <c r="S558" s="10" t="str">
        <f t="shared" si="3"/>
        <v>610422040030-2024-9</v>
      </c>
      <c r="T558" s="10" t="str">
        <f t="shared" si="4"/>
        <v>610422040030-2024-9-SURVEI-PPL</v>
      </c>
      <c r="U558" s="64"/>
      <c r="V558" s="10" t="e">
        <f t="array" aca="1" ref="V558" ca="1">INDEX(Honor!$O$2:$O800,MATCH($I558,Honor!$A$2:$A800,0))</f>
        <v>#NAME?</v>
      </c>
      <c r="W558" s="67"/>
      <c r="X558" s="7" t="str">
        <f t="array" ref="X558">INDEX('Input Kegiatan'!$B$2:$B800,MATCH(B558,'Input Kegiatan'!$A$2:$A800,0))</f>
        <v>(VPEK24) Survei Pergudangan, Ekspedisi, dan Kurir 2024</v>
      </c>
      <c r="Y558" s="7" t="s">
        <v>3241</v>
      </c>
      <c r="Z558" s="7" t="s">
        <v>3289</v>
      </c>
      <c r="AA558" s="68">
        <f t="shared" si="5"/>
        <v>45535</v>
      </c>
      <c r="AB558" s="68">
        <f t="shared" si="6"/>
        <v>45536</v>
      </c>
      <c r="AC558" s="68">
        <f t="shared" si="7"/>
        <v>45565</v>
      </c>
      <c r="AD558" s="68">
        <f t="shared" si="8"/>
        <v>45564</v>
      </c>
      <c r="AE558" s="68">
        <f t="shared" si="9"/>
        <v>45565</v>
      </c>
    </row>
    <row r="559" spans="1:31" ht="12.5">
      <c r="A559" s="125">
        <v>610422100165</v>
      </c>
      <c r="B559" s="64" t="s">
        <v>245</v>
      </c>
      <c r="D559" s="10">
        <f t="array" aca="1" ref="D559" ca="1">INDEX('Mitra per Bulan'!$M$2:$M800,MATCH(S559,'Mitra per Bulan'!$B$2:$B800,0))</f>
        <v>1</v>
      </c>
      <c r="E559" s="10" t="str">
        <f t="array" ref="E559">INDEX('Database Mitra'!$A$2:$A800,MATCH(A559,'Database Mitra'!$B$2:$B800,0))</f>
        <v>Yanti</v>
      </c>
      <c r="F559" s="64" t="s">
        <v>25</v>
      </c>
      <c r="G559" s="5" t="str">
        <f t="array" ref="G559">INDEX('Database Mitra'!$G$2:$G800,MATCH(A559,'Database Mitra'!$B$2:$B800,0))</f>
        <v>6102074803980002</v>
      </c>
      <c r="H559" s="64" t="s">
        <v>67</v>
      </c>
      <c r="I559" s="65" t="s">
        <v>246</v>
      </c>
      <c r="J559" s="10" t="str">
        <f t="array" ref="J559">INDEX(Honor!$H$2:$H800,MATCH($I559,Honor!$A$2:$A800,0))</f>
        <v>Dokumen</v>
      </c>
      <c r="K559" s="66">
        <f t="array" ref="K559">INDEX(Honor!$I$2:$I800,MATCH($I559,Honor!$A$2:$A800,0))</f>
        <v>73000</v>
      </c>
      <c r="L559" s="64">
        <v>1</v>
      </c>
      <c r="M559" s="10">
        <f t="shared" si="0"/>
        <v>73000</v>
      </c>
      <c r="O559" s="67">
        <f t="array" ref="O559">INDEX(Honor!$L$2:$L800,MATCH($I559,Honor!$A$2:$A800,0))</f>
        <v>45549</v>
      </c>
      <c r="P559" s="10">
        <f t="shared" si="1"/>
        <v>2024</v>
      </c>
      <c r="Q559" s="10">
        <f t="shared" si="2"/>
        <v>9</v>
      </c>
      <c r="R559" s="10" t="str">
        <f t="array" ref="R559">INDEX(Honor!$Q$2:$Q800,MATCH($I559,Honor!$A$2:$A800,0))</f>
        <v>SURVEI-PPL</v>
      </c>
      <c r="S559" s="10" t="str">
        <f t="shared" si="3"/>
        <v>610422100165-2024-9</v>
      </c>
      <c r="T559" s="10" t="str">
        <f t="shared" si="4"/>
        <v>610422100165-2024-9-SURVEI-PPL</v>
      </c>
      <c r="U559" s="64"/>
      <c r="V559" s="10" t="e">
        <f t="array" aca="1" ref="V559" ca="1">INDEX(Honor!$O$2:$O800,MATCH($I559,Honor!$A$2:$A800,0))</f>
        <v>#NAME?</v>
      </c>
      <c r="W559" s="67"/>
      <c r="X559" s="7" t="str">
        <f t="array" ref="X559">INDEX('Input Kegiatan'!$B$2:$B800,MATCH(B559,'Input Kegiatan'!$A$2:$A800,0))</f>
        <v>(VPEK24) Survei Pergudangan, Ekspedisi, dan Kurir 2024</v>
      </c>
      <c r="Y559" s="7" t="s">
        <v>3990</v>
      </c>
      <c r="Z559" s="7" t="s">
        <v>4332</v>
      </c>
      <c r="AA559" s="68">
        <f t="shared" si="5"/>
        <v>45535</v>
      </c>
      <c r="AB559" s="68">
        <f t="shared" si="6"/>
        <v>45536</v>
      </c>
      <c r="AC559" s="68">
        <f t="shared" si="7"/>
        <v>45565</v>
      </c>
      <c r="AD559" s="68">
        <f t="shared" si="8"/>
        <v>45564</v>
      </c>
      <c r="AE559" s="68">
        <f t="shared" si="9"/>
        <v>45565</v>
      </c>
    </row>
    <row r="560" spans="1:31" ht="12.5">
      <c r="A560" s="125">
        <v>610422040029</v>
      </c>
      <c r="B560" s="64" t="s">
        <v>245</v>
      </c>
      <c r="D560" s="10">
        <f t="array" aca="1" ref="D560" ca="1">INDEX('Mitra per Bulan'!$M$2:$M800,MATCH(S560,'Mitra per Bulan'!$B$2:$B800,0))</f>
        <v>1</v>
      </c>
      <c r="E560" s="10" t="str">
        <f t="array" ref="E560">INDEX('Database Mitra'!$A$2:$A800,MATCH(A560,'Database Mitra'!$B$2:$B800,0))</f>
        <v>Zaini</v>
      </c>
      <c r="F560" s="64" t="s">
        <v>25</v>
      </c>
      <c r="G560" s="5" t="str">
        <f t="array" ref="G560">INDEX('Database Mitra'!$G$2:$G800,MATCH(A560,'Database Mitra'!$B$2:$B800,0))</f>
        <v>6102010607870002</v>
      </c>
      <c r="H560" s="64" t="s">
        <v>67</v>
      </c>
      <c r="I560" s="65" t="s">
        <v>246</v>
      </c>
      <c r="J560" s="10" t="str">
        <f t="array" ref="J560">INDEX(Honor!$H$2:$H800,MATCH($I560,Honor!$A$2:$A800,0))</f>
        <v>Dokumen</v>
      </c>
      <c r="K560" s="66">
        <f t="array" ref="K560">INDEX(Honor!$I$2:$I800,MATCH($I560,Honor!$A$2:$A800,0))</f>
        <v>73000</v>
      </c>
      <c r="L560" s="64">
        <v>5</v>
      </c>
      <c r="M560" s="10">
        <f t="shared" si="0"/>
        <v>365000</v>
      </c>
      <c r="O560" s="67">
        <f t="array" ref="O560">INDEX(Honor!$L$2:$L800,MATCH($I560,Honor!$A$2:$A800,0))</f>
        <v>45549</v>
      </c>
      <c r="P560" s="10">
        <f t="shared" si="1"/>
        <v>2024</v>
      </c>
      <c r="Q560" s="10">
        <f t="shared" si="2"/>
        <v>9</v>
      </c>
      <c r="R560" s="10" t="str">
        <f t="array" ref="R560">INDEX(Honor!$Q$2:$Q800,MATCH($I560,Honor!$A$2:$A800,0))</f>
        <v>SURVEI-PPL</v>
      </c>
      <c r="S560" s="10" t="str">
        <f t="shared" si="3"/>
        <v>610422040029-2024-9</v>
      </c>
      <c r="T560" s="10" t="str">
        <f t="shared" si="4"/>
        <v>610422040029-2024-9-SURVEI-PPL</v>
      </c>
      <c r="U560" s="64"/>
      <c r="V560" s="10" t="e">
        <f t="array" aca="1" ref="V560" ca="1">INDEX(Honor!$O$2:$O800,MATCH($I560,Honor!$A$2:$A800,0))</f>
        <v>#NAME?</v>
      </c>
      <c r="W560" s="67"/>
      <c r="X560" s="7" t="str">
        <f t="array" ref="X560">INDEX('Input Kegiatan'!$B$2:$B800,MATCH(B560,'Input Kegiatan'!$A$2:$A800,0))</f>
        <v>(VPEK24) Survei Pergudangan, Ekspedisi, dan Kurir 2024</v>
      </c>
      <c r="Y560" s="7" t="s">
        <v>4572</v>
      </c>
      <c r="Z560" s="7" t="s">
        <v>4619</v>
      </c>
      <c r="AA560" s="68">
        <f t="shared" si="5"/>
        <v>45535</v>
      </c>
      <c r="AB560" s="68">
        <f t="shared" si="6"/>
        <v>45536</v>
      </c>
      <c r="AC560" s="68">
        <f t="shared" si="7"/>
        <v>45565</v>
      </c>
      <c r="AD560" s="68">
        <f t="shared" si="8"/>
        <v>45564</v>
      </c>
      <c r="AE560" s="68">
        <f t="shared" si="9"/>
        <v>45565</v>
      </c>
    </row>
    <row r="561" spans="1:31" ht="12.5">
      <c r="A561" s="125">
        <v>610422100165</v>
      </c>
      <c r="B561" s="64" t="s">
        <v>245</v>
      </c>
      <c r="D561" s="10">
        <f t="array" aca="1" ref="D561" ca="1">INDEX('Mitra per Bulan'!$M$2:$M800,MATCH(S561,'Mitra per Bulan'!$B$2:$B800,0))</f>
        <v>1</v>
      </c>
      <c r="E561" s="10" t="str">
        <f t="array" ref="E561">INDEX('Database Mitra'!$A$2:$A800,MATCH(A561,'Database Mitra'!$B$2:$B800,0))</f>
        <v>Yanti</v>
      </c>
      <c r="F561" s="64" t="s">
        <v>25</v>
      </c>
      <c r="G561" s="5" t="str">
        <f t="array" ref="G561">INDEX('Database Mitra'!$G$2:$G800,MATCH(A561,'Database Mitra'!$B$2:$B800,0))</f>
        <v>6102074803980002</v>
      </c>
      <c r="H561" s="64" t="s">
        <v>67</v>
      </c>
      <c r="I561" s="65" t="s">
        <v>247</v>
      </c>
      <c r="J561" s="10" t="str">
        <f t="array" ref="J561">INDEX(Honor!$H$2:$H800,MATCH($I561,Honor!$A$2:$A800,0))</f>
        <v>Dokumen</v>
      </c>
      <c r="K561" s="66">
        <f t="array" ref="K561">INDEX(Honor!$I$2:$I800,MATCH($I561,Honor!$A$2:$A800,0))</f>
        <v>73000</v>
      </c>
      <c r="L561" s="64">
        <v>6</v>
      </c>
      <c r="M561" s="10">
        <f t="shared" si="0"/>
        <v>438000</v>
      </c>
      <c r="O561" s="67">
        <f t="array" ref="O561">INDEX(Honor!$L$2:$L800,MATCH($I561,Honor!$A$2:$A800,0))</f>
        <v>45549</v>
      </c>
      <c r="P561" s="10">
        <f t="shared" si="1"/>
        <v>2024</v>
      </c>
      <c r="Q561" s="10">
        <f t="shared" si="2"/>
        <v>9</v>
      </c>
      <c r="R561" s="10" t="str">
        <f t="array" ref="R561">INDEX(Honor!$Q$2:$Q800,MATCH($I561,Honor!$A$2:$A800,0))</f>
        <v>SURVEI-PPL</v>
      </c>
      <c r="S561" s="10" t="str">
        <f t="shared" si="3"/>
        <v>610422100165-2024-9</v>
      </c>
      <c r="T561" s="10" t="str">
        <f t="shared" si="4"/>
        <v>610422100165-2024-9-SURVEI-PPL</v>
      </c>
      <c r="U561" s="64"/>
      <c r="V561" s="10" t="e">
        <f t="array" aca="1" ref="V561" ca="1">INDEX(Honor!$O$2:$O800,MATCH($I561,Honor!$A$2:$A800,0))</f>
        <v>#NAME?</v>
      </c>
      <c r="W561" s="67"/>
      <c r="X561" s="7" t="str">
        <f t="array" ref="X561">INDEX('Input Kegiatan'!$B$2:$B800,MATCH(B561,'Input Kegiatan'!$A$2:$A800,0))</f>
        <v>(VPEK24) Survei Pergudangan, Ekspedisi, dan Kurir 2024</v>
      </c>
      <c r="Y561" s="7" t="s">
        <v>3990</v>
      </c>
      <c r="Z561" s="7" t="s">
        <v>4332</v>
      </c>
      <c r="AA561" s="68">
        <f t="shared" si="5"/>
        <v>45535</v>
      </c>
      <c r="AB561" s="68">
        <f t="shared" si="6"/>
        <v>45536</v>
      </c>
      <c r="AC561" s="68">
        <f t="shared" si="7"/>
        <v>45565</v>
      </c>
      <c r="AD561" s="68">
        <f t="shared" si="8"/>
        <v>45564</v>
      </c>
      <c r="AE561" s="68">
        <f t="shared" si="9"/>
        <v>45565</v>
      </c>
    </row>
    <row r="562" spans="1:31" ht="12.5">
      <c r="A562" s="125">
        <v>610422020045</v>
      </c>
      <c r="B562" s="64" t="s">
        <v>248</v>
      </c>
      <c r="D562" s="10">
        <f t="array" aca="1" ref="D562" ca="1">INDEX('Mitra per Bulan'!$M$2:$M800,MATCH(S562,'Mitra per Bulan'!$B$2:$B800,0))</f>
        <v>1</v>
      </c>
      <c r="E562" s="10" t="str">
        <f t="array" ref="E562">INDEX('Database Mitra'!$A$2:$A800,MATCH(A562,'Database Mitra'!$B$2:$B800,0))</f>
        <v>Herdinatara Febria</v>
      </c>
      <c r="F562" s="64" t="s">
        <v>25</v>
      </c>
      <c r="G562" s="5" t="str">
        <f t="array" ref="G562">INDEX('Database Mitra'!$G$2:$G800,MATCH(A562,'Database Mitra'!$B$2:$B800,0))</f>
        <v>6107086009930002</v>
      </c>
      <c r="H562" s="64" t="s">
        <v>89</v>
      </c>
      <c r="I562" s="65" t="s">
        <v>249</v>
      </c>
      <c r="J562" s="10" t="str">
        <f t="array" ref="J562">INDEX(Honor!$H$2:$H800,MATCH($I562,Honor!$A$2:$A800,0))</f>
        <v>BS</v>
      </c>
      <c r="K562" s="66">
        <f t="array" ref="K562">INDEX(Honor!$I$2:$I800,MATCH($I562,Honor!$A$2:$A800,0))</f>
        <v>168000</v>
      </c>
      <c r="L562" s="64">
        <v>1</v>
      </c>
      <c r="M562" s="10">
        <f t="shared" si="0"/>
        <v>168000</v>
      </c>
      <c r="O562" s="67">
        <f t="array" ref="O562">INDEX(Honor!$L$2:$L800,MATCH($I562,Honor!$A$2:$A800,0))</f>
        <v>45550</v>
      </c>
      <c r="P562" s="10">
        <f t="shared" si="1"/>
        <v>2024</v>
      </c>
      <c r="Q562" s="10">
        <f t="shared" si="2"/>
        <v>9</v>
      </c>
      <c r="R562" s="10" t="str">
        <f t="array" ref="R562">INDEX(Honor!$Q$2:$Q800,MATCH($I562,Honor!$A$2:$A800,0))</f>
        <v>SURVEI-PPL</v>
      </c>
      <c r="S562" s="10" t="str">
        <f t="shared" si="3"/>
        <v>610422020045-2024-9</v>
      </c>
      <c r="T562" s="10" t="str">
        <f t="shared" si="4"/>
        <v>610422020045-2024-9-SURVEI-PPL</v>
      </c>
      <c r="U562" s="64">
        <v>0</v>
      </c>
      <c r="V562" s="10" t="e">
        <f t="array" aca="1" ref="V562" ca="1">INDEX(Honor!$O$2:$O800,MATCH($I562,Honor!$A$2:$A800,0))</f>
        <v>#NAME?</v>
      </c>
      <c r="W562" s="67"/>
      <c r="X562" s="7" t="str">
        <f t="array" ref="X562">INDEX('Input Kegiatan'!$B$2:$B800,MATCH(B562,'Input Kegiatan'!$A$2:$A800,0))</f>
        <v>Susenas September 2024</v>
      </c>
      <c r="Y562" s="7" t="s">
        <v>3241</v>
      </c>
      <c r="Z562" s="7" t="s">
        <v>3430</v>
      </c>
      <c r="AA562" s="68">
        <f t="shared" si="5"/>
        <v>45535</v>
      </c>
      <c r="AB562" s="68">
        <f t="shared" si="6"/>
        <v>45536</v>
      </c>
      <c r="AC562" s="68">
        <f t="shared" si="7"/>
        <v>45565</v>
      </c>
      <c r="AD562" s="68">
        <f t="shared" si="8"/>
        <v>45564</v>
      </c>
      <c r="AE562" s="68">
        <f t="shared" si="9"/>
        <v>45565</v>
      </c>
    </row>
    <row r="563" spans="1:31" ht="12.5">
      <c r="A563" s="125">
        <v>610422020016</v>
      </c>
      <c r="B563" s="64" t="s">
        <v>248</v>
      </c>
      <c r="D563" s="10">
        <f t="array" aca="1" ref="D563" ca="1">INDEX('Mitra per Bulan'!$M$2:$M800,MATCH(S563,'Mitra per Bulan'!$B$2:$B800,0))</f>
        <v>1</v>
      </c>
      <c r="E563" s="10" t="str">
        <f t="array" ref="E563">INDEX('Database Mitra'!$A$2:$A800,MATCH(A563,'Database Mitra'!$B$2:$B800,0))</f>
        <v>Abdul Aziz</v>
      </c>
      <c r="F563" s="64" t="s">
        <v>25</v>
      </c>
      <c r="G563" s="5" t="str">
        <f t="array" ref="G563">INDEX('Database Mitra'!$G$2:$G800,MATCH(A563,'Database Mitra'!$B$2:$B800,0))</f>
        <v>6102061507950006</v>
      </c>
      <c r="H563" s="64" t="s">
        <v>89</v>
      </c>
      <c r="I563" s="65" t="s">
        <v>249</v>
      </c>
      <c r="J563" s="10" t="str">
        <f t="array" ref="J563">INDEX(Honor!$H$2:$H800,MATCH($I563,Honor!$A$2:$A800,0))</f>
        <v>BS</v>
      </c>
      <c r="K563" s="66">
        <f t="array" ref="K563">INDEX(Honor!$I$2:$I800,MATCH($I563,Honor!$A$2:$A800,0))</f>
        <v>168000</v>
      </c>
      <c r="L563" s="64">
        <v>1</v>
      </c>
      <c r="M563" s="10">
        <f t="shared" si="0"/>
        <v>168000</v>
      </c>
      <c r="O563" s="67">
        <f t="array" ref="O563">INDEX(Honor!$L$2:$L800,MATCH($I563,Honor!$A$2:$A800,0))</f>
        <v>45550</v>
      </c>
      <c r="P563" s="10">
        <f t="shared" si="1"/>
        <v>2024</v>
      </c>
      <c r="Q563" s="10">
        <f t="shared" si="2"/>
        <v>9</v>
      </c>
      <c r="R563" s="10" t="str">
        <f t="array" ref="R563">INDEX(Honor!$Q$2:$Q800,MATCH($I563,Honor!$A$2:$A800,0))</f>
        <v>SURVEI-PPL</v>
      </c>
      <c r="S563" s="10" t="str">
        <f t="shared" si="3"/>
        <v>610422020016-2024-9</v>
      </c>
      <c r="T563" s="10" t="str">
        <f t="shared" si="4"/>
        <v>610422020016-2024-9-SURVEI-PPL</v>
      </c>
      <c r="U563" s="64">
        <v>0</v>
      </c>
      <c r="V563" s="10" t="e">
        <f t="array" aca="1" ref="V563" ca="1">INDEX(Honor!$O$2:$O800,MATCH($I563,Honor!$A$2:$A800,0))</f>
        <v>#NAME?</v>
      </c>
      <c r="W563" s="67"/>
      <c r="X563" s="7" t="str">
        <f t="array" ref="X563">INDEX('Input Kegiatan'!$B$2:$B800,MATCH(B563,'Input Kegiatan'!$A$2:$A800,0))</f>
        <v>Susenas September 2024</v>
      </c>
      <c r="Y563" s="7" t="s">
        <v>5534</v>
      </c>
      <c r="Z563" s="7" t="s">
        <v>5535</v>
      </c>
      <c r="AA563" s="68">
        <f t="shared" si="5"/>
        <v>45535</v>
      </c>
      <c r="AB563" s="68">
        <f t="shared" si="6"/>
        <v>45536</v>
      </c>
      <c r="AC563" s="68">
        <f t="shared" si="7"/>
        <v>45565</v>
      </c>
      <c r="AD563" s="68">
        <f t="shared" si="8"/>
        <v>45564</v>
      </c>
      <c r="AE563" s="68">
        <f t="shared" si="9"/>
        <v>45565</v>
      </c>
    </row>
    <row r="564" spans="1:31" ht="12.5">
      <c r="A564" s="125">
        <v>610422020032</v>
      </c>
      <c r="B564" s="64" t="s">
        <v>248</v>
      </c>
      <c r="D564" s="10">
        <f t="array" aca="1" ref="D564" ca="1">INDEX('Mitra per Bulan'!$M$2:$M800,MATCH(S564,'Mitra per Bulan'!$B$2:$B800,0))</f>
        <v>1</v>
      </c>
      <c r="E564" s="10" t="str">
        <f t="array" ref="E564">INDEX('Database Mitra'!$A$2:$A800,MATCH(A564,'Database Mitra'!$B$2:$B800,0))</f>
        <v>Lilis Suryani</v>
      </c>
      <c r="F564" s="64" t="s">
        <v>25</v>
      </c>
      <c r="G564" s="5" t="str">
        <f t="array" ref="G564">INDEX('Database Mitra'!$G$2:$G800,MATCH(A564,'Database Mitra'!$B$2:$B800,0))</f>
        <v>6102185102880001</v>
      </c>
      <c r="H564" s="64" t="s">
        <v>89</v>
      </c>
      <c r="I564" s="65" t="s">
        <v>249</v>
      </c>
      <c r="J564" s="10" t="str">
        <f t="array" ref="J564">INDEX(Honor!$H$2:$H800,MATCH($I564,Honor!$A$2:$A800,0))</f>
        <v>BS</v>
      </c>
      <c r="K564" s="66">
        <f t="array" ref="K564">INDEX(Honor!$I$2:$I800,MATCH($I564,Honor!$A$2:$A800,0))</f>
        <v>168000</v>
      </c>
      <c r="L564" s="64">
        <v>1</v>
      </c>
      <c r="M564" s="10">
        <f t="shared" si="0"/>
        <v>168000</v>
      </c>
      <c r="O564" s="67">
        <f t="array" ref="O564">INDEX(Honor!$L$2:$L800,MATCH($I564,Honor!$A$2:$A800,0))</f>
        <v>45550</v>
      </c>
      <c r="P564" s="10">
        <f t="shared" si="1"/>
        <v>2024</v>
      </c>
      <c r="Q564" s="10">
        <f t="shared" si="2"/>
        <v>9</v>
      </c>
      <c r="R564" s="10" t="str">
        <f t="array" ref="R564">INDEX(Honor!$Q$2:$Q800,MATCH($I564,Honor!$A$2:$A800,0))</f>
        <v>SURVEI-PPL</v>
      </c>
      <c r="S564" s="10" t="str">
        <f t="shared" si="3"/>
        <v>610422020032-2024-9</v>
      </c>
      <c r="T564" s="10" t="str">
        <f t="shared" si="4"/>
        <v>610422020032-2024-9-SURVEI-PPL</v>
      </c>
      <c r="U564" s="64">
        <v>0</v>
      </c>
      <c r="V564" s="10" t="e">
        <f t="array" aca="1" ref="V564" ca="1">INDEX(Honor!$O$2:$O800,MATCH($I564,Honor!$A$2:$A800,0))</f>
        <v>#NAME?</v>
      </c>
      <c r="W564" s="67"/>
      <c r="X564" s="7" t="str">
        <f t="array" ref="X564">INDEX('Input Kegiatan'!$B$2:$B800,MATCH(B564,'Input Kegiatan'!$A$2:$A800,0))</f>
        <v>Susenas September 2024</v>
      </c>
      <c r="Y564" s="7" t="s">
        <v>4931</v>
      </c>
      <c r="Z564" s="7" t="s">
        <v>5209</v>
      </c>
      <c r="AA564" s="68">
        <f t="shared" si="5"/>
        <v>45535</v>
      </c>
      <c r="AB564" s="68">
        <f t="shared" si="6"/>
        <v>45536</v>
      </c>
      <c r="AC564" s="68">
        <f t="shared" si="7"/>
        <v>45565</v>
      </c>
      <c r="AD564" s="68">
        <f t="shared" si="8"/>
        <v>45564</v>
      </c>
      <c r="AE564" s="68">
        <f t="shared" si="9"/>
        <v>45565</v>
      </c>
    </row>
    <row r="565" spans="1:31" ht="12.5">
      <c r="A565" s="125">
        <v>610422040029</v>
      </c>
      <c r="B565" s="64" t="s">
        <v>248</v>
      </c>
      <c r="D565" s="10">
        <f t="array" aca="1" ref="D565" ca="1">INDEX('Mitra per Bulan'!$M$2:$M800,MATCH(S565,'Mitra per Bulan'!$B$2:$B800,0))</f>
        <v>1</v>
      </c>
      <c r="E565" s="10" t="str">
        <f t="array" ref="E565">INDEX('Database Mitra'!$A$2:$A800,MATCH(A565,'Database Mitra'!$B$2:$B800,0))</f>
        <v>Zaini</v>
      </c>
      <c r="F565" s="64" t="s">
        <v>25</v>
      </c>
      <c r="G565" s="5" t="str">
        <f t="array" ref="G565">INDEX('Database Mitra'!$G$2:$G800,MATCH(A565,'Database Mitra'!$B$2:$B800,0))</f>
        <v>6102010607870002</v>
      </c>
      <c r="H565" s="64" t="s">
        <v>89</v>
      </c>
      <c r="I565" s="65" t="s">
        <v>249</v>
      </c>
      <c r="J565" s="10" t="str">
        <f t="array" ref="J565">INDEX(Honor!$H$2:$H800,MATCH($I565,Honor!$A$2:$A800,0))</f>
        <v>BS</v>
      </c>
      <c r="K565" s="66">
        <f t="array" ref="K565">INDEX(Honor!$I$2:$I800,MATCH($I565,Honor!$A$2:$A800,0))</f>
        <v>168000</v>
      </c>
      <c r="L565" s="64">
        <v>1</v>
      </c>
      <c r="M565" s="10">
        <f t="shared" si="0"/>
        <v>168000</v>
      </c>
      <c r="O565" s="67">
        <f t="array" ref="O565">INDEX(Honor!$L$2:$L800,MATCH($I565,Honor!$A$2:$A800,0))</f>
        <v>45550</v>
      </c>
      <c r="P565" s="10">
        <f t="shared" si="1"/>
        <v>2024</v>
      </c>
      <c r="Q565" s="10">
        <f t="shared" si="2"/>
        <v>9</v>
      </c>
      <c r="R565" s="10" t="str">
        <f t="array" ref="R565">INDEX(Honor!$Q$2:$Q800,MATCH($I565,Honor!$A$2:$A800,0))</f>
        <v>SURVEI-PPL</v>
      </c>
      <c r="S565" s="10" t="str">
        <f t="shared" si="3"/>
        <v>610422040029-2024-9</v>
      </c>
      <c r="T565" s="10" t="str">
        <f t="shared" si="4"/>
        <v>610422040029-2024-9-SURVEI-PPL</v>
      </c>
      <c r="U565" s="64">
        <v>0</v>
      </c>
      <c r="V565" s="10" t="e">
        <f t="array" aca="1" ref="V565" ca="1">INDEX(Honor!$O$2:$O800,MATCH($I565,Honor!$A$2:$A800,0))</f>
        <v>#NAME?</v>
      </c>
      <c r="W565" s="67"/>
      <c r="X565" s="7" t="str">
        <f t="array" ref="X565">INDEX('Input Kegiatan'!$B$2:$B800,MATCH(B565,'Input Kegiatan'!$A$2:$A800,0))</f>
        <v>Susenas September 2024</v>
      </c>
      <c r="Y565" s="7" t="s">
        <v>4572</v>
      </c>
      <c r="Z565" s="7" t="s">
        <v>4619</v>
      </c>
      <c r="AA565" s="68">
        <f t="shared" si="5"/>
        <v>45535</v>
      </c>
      <c r="AB565" s="68">
        <f t="shared" si="6"/>
        <v>45536</v>
      </c>
      <c r="AC565" s="68">
        <f t="shared" si="7"/>
        <v>45565</v>
      </c>
      <c r="AD565" s="68">
        <f t="shared" si="8"/>
        <v>45564</v>
      </c>
      <c r="AE565" s="68">
        <f t="shared" si="9"/>
        <v>45565</v>
      </c>
    </row>
    <row r="566" spans="1:31" ht="12.5">
      <c r="A566" s="125">
        <v>610422040053</v>
      </c>
      <c r="B566" s="64" t="s">
        <v>248</v>
      </c>
      <c r="D566" s="10">
        <f t="array" aca="1" ref="D566" ca="1">INDEX('Mitra per Bulan'!$M$2:$M800,MATCH(S566,'Mitra per Bulan'!$B$2:$B800,0))</f>
        <v>1</v>
      </c>
      <c r="E566" s="10" t="str">
        <f t="array" ref="E566">INDEX('Database Mitra'!$A$2:$A800,MATCH(A566,'Database Mitra'!$B$2:$B800,0))</f>
        <v>Veti Ningsi</v>
      </c>
      <c r="F566" s="64" t="s">
        <v>25</v>
      </c>
      <c r="G566" s="5" t="str">
        <f t="array" ref="G566">INDEX('Database Mitra'!$G$2:$G800,MATCH(A566,'Database Mitra'!$B$2:$B800,0))</f>
        <v>6102125604010002</v>
      </c>
      <c r="H566" s="64" t="s">
        <v>89</v>
      </c>
      <c r="I566" s="65" t="s">
        <v>249</v>
      </c>
      <c r="J566" s="10" t="str">
        <f t="array" ref="J566">INDEX(Honor!$H$2:$H800,MATCH($I566,Honor!$A$2:$A800,0))</f>
        <v>BS</v>
      </c>
      <c r="K566" s="66">
        <f t="array" ref="K566">INDEX(Honor!$I$2:$I800,MATCH($I566,Honor!$A$2:$A800,0))</f>
        <v>168000</v>
      </c>
      <c r="L566" s="64">
        <v>1</v>
      </c>
      <c r="M566" s="10">
        <f t="shared" si="0"/>
        <v>168000</v>
      </c>
      <c r="O566" s="67">
        <f t="array" ref="O566">INDEX(Honor!$L$2:$L800,MATCH($I566,Honor!$A$2:$A800,0))</f>
        <v>45550</v>
      </c>
      <c r="P566" s="10">
        <f t="shared" si="1"/>
        <v>2024</v>
      </c>
      <c r="Q566" s="10">
        <f t="shared" si="2"/>
        <v>9</v>
      </c>
      <c r="R566" s="10" t="str">
        <f t="array" ref="R566">INDEX(Honor!$Q$2:$Q800,MATCH($I566,Honor!$A$2:$A800,0))</f>
        <v>SURVEI-PPL</v>
      </c>
      <c r="S566" s="10" t="str">
        <f t="shared" si="3"/>
        <v>610422040053-2024-9</v>
      </c>
      <c r="T566" s="10" t="str">
        <f t="shared" si="4"/>
        <v>610422040053-2024-9-SURVEI-PPL</v>
      </c>
      <c r="U566" s="64">
        <v>0</v>
      </c>
      <c r="V566" s="10" t="e">
        <f t="array" aca="1" ref="V566" ca="1">INDEX(Honor!$O$2:$O800,MATCH($I566,Honor!$A$2:$A800,0))</f>
        <v>#NAME?</v>
      </c>
      <c r="W566" s="67"/>
      <c r="X566" s="7" t="str">
        <f t="array" ref="X566">INDEX('Input Kegiatan'!$B$2:$B800,MATCH(B566,'Input Kegiatan'!$A$2:$A800,0))</f>
        <v>Susenas September 2024</v>
      </c>
      <c r="Y566" s="7" t="s">
        <v>5250</v>
      </c>
      <c r="Z566" s="7" t="s">
        <v>5464</v>
      </c>
      <c r="AA566" s="68">
        <f t="shared" si="5"/>
        <v>45535</v>
      </c>
      <c r="AB566" s="68">
        <f t="shared" si="6"/>
        <v>45536</v>
      </c>
      <c r="AC566" s="68">
        <f t="shared" si="7"/>
        <v>45565</v>
      </c>
      <c r="AD566" s="68">
        <f t="shared" si="8"/>
        <v>45564</v>
      </c>
      <c r="AE566" s="68">
        <f t="shared" si="9"/>
        <v>45565</v>
      </c>
    </row>
    <row r="567" spans="1:31" ht="12.5">
      <c r="A567" s="125">
        <v>610422040038</v>
      </c>
      <c r="B567" s="64" t="s">
        <v>248</v>
      </c>
      <c r="D567" s="10">
        <f t="array" aca="1" ref="D567" ca="1">INDEX('Mitra per Bulan'!$M$2:$M800,MATCH(S567,'Mitra per Bulan'!$B$2:$B800,0))</f>
        <v>1</v>
      </c>
      <c r="E567" s="10" t="str">
        <f t="array" ref="E567">INDEX('Database Mitra'!$A$2:$A800,MATCH(A567,'Database Mitra'!$B$2:$B800,0))</f>
        <v>Yuyun Antoni, S.E.</v>
      </c>
      <c r="F567" s="64" t="s">
        <v>25</v>
      </c>
      <c r="G567" s="5" t="str">
        <f t="array" ref="G567">INDEX('Database Mitra'!$G$2:$G800,MATCH(A567,'Database Mitra'!$B$2:$B800,0))</f>
        <v>6102122106750003</v>
      </c>
      <c r="H567" s="64" t="s">
        <v>89</v>
      </c>
      <c r="I567" s="65" t="s">
        <v>249</v>
      </c>
      <c r="J567" s="10" t="str">
        <f t="array" ref="J567">INDEX(Honor!$H$2:$H800,MATCH($I567,Honor!$A$2:$A800,0))</f>
        <v>BS</v>
      </c>
      <c r="K567" s="66">
        <f t="array" ref="K567">INDEX(Honor!$I$2:$I800,MATCH($I567,Honor!$A$2:$A800,0))</f>
        <v>168000</v>
      </c>
      <c r="L567" s="64">
        <v>1</v>
      </c>
      <c r="M567" s="10">
        <f t="shared" si="0"/>
        <v>168000</v>
      </c>
      <c r="O567" s="67">
        <f t="array" ref="O567">INDEX(Honor!$L$2:$L800,MATCH($I567,Honor!$A$2:$A800,0))</f>
        <v>45550</v>
      </c>
      <c r="P567" s="10">
        <f t="shared" si="1"/>
        <v>2024</v>
      </c>
      <c r="Q567" s="10">
        <f t="shared" si="2"/>
        <v>9</v>
      </c>
      <c r="R567" s="10" t="str">
        <f t="array" ref="R567">INDEX(Honor!$Q$2:$Q800,MATCH($I567,Honor!$A$2:$A800,0))</f>
        <v>SURVEI-PPL</v>
      </c>
      <c r="S567" s="10" t="str">
        <f t="shared" si="3"/>
        <v>610422040038-2024-9</v>
      </c>
      <c r="T567" s="10" t="str">
        <f t="shared" si="4"/>
        <v>610422040038-2024-9-SURVEI-PPL</v>
      </c>
      <c r="U567" s="64">
        <v>0</v>
      </c>
      <c r="V567" s="10" t="e">
        <f t="array" aca="1" ref="V567" ca="1">INDEX(Honor!$O$2:$O800,MATCH($I567,Honor!$A$2:$A800,0))</f>
        <v>#NAME?</v>
      </c>
      <c r="W567" s="67"/>
      <c r="X567" s="7" t="str">
        <f t="array" ref="X567">INDEX('Input Kegiatan'!$B$2:$B800,MATCH(B567,'Input Kegiatan'!$A$2:$A800,0))</f>
        <v>Susenas September 2024</v>
      </c>
      <c r="Y567" s="7" t="s">
        <v>5250</v>
      </c>
      <c r="Z567" s="7" t="s">
        <v>5346</v>
      </c>
      <c r="AA567" s="68">
        <f t="shared" si="5"/>
        <v>45535</v>
      </c>
      <c r="AB567" s="68">
        <f t="shared" si="6"/>
        <v>45536</v>
      </c>
      <c r="AC567" s="68">
        <f t="shared" si="7"/>
        <v>45565</v>
      </c>
      <c r="AD567" s="68">
        <f t="shared" si="8"/>
        <v>45564</v>
      </c>
      <c r="AE567" s="68">
        <f t="shared" si="9"/>
        <v>45565</v>
      </c>
    </row>
    <row r="568" spans="1:31" ht="12.5">
      <c r="A568" s="125">
        <v>610422040034</v>
      </c>
      <c r="B568" s="64" t="s">
        <v>248</v>
      </c>
      <c r="D568" s="10">
        <f t="array" aca="1" ref="D568" ca="1">INDEX('Mitra per Bulan'!$M$2:$M800,MATCH(S568,'Mitra per Bulan'!$B$2:$B800,0))</f>
        <v>1</v>
      </c>
      <c r="E568" s="10" t="str">
        <f t="array" ref="E568">INDEX('Database Mitra'!$A$2:$A800,MATCH(A568,'Database Mitra'!$B$2:$B800,0))</f>
        <v>Nelly Nalita</v>
      </c>
      <c r="F568" s="64" t="s">
        <v>25</v>
      </c>
      <c r="G568" s="5" t="str">
        <f t="array" ref="G568">INDEX('Database Mitra'!$G$2:$G800,MATCH(A568,'Database Mitra'!$B$2:$B800,0))</f>
        <v>6102014712890004</v>
      </c>
      <c r="H568" s="64" t="s">
        <v>89</v>
      </c>
      <c r="I568" s="65" t="s">
        <v>249</v>
      </c>
      <c r="J568" s="10" t="str">
        <f t="array" ref="J568">INDEX(Honor!$H$2:$H800,MATCH($I568,Honor!$A$2:$A800,0))</f>
        <v>BS</v>
      </c>
      <c r="K568" s="66">
        <f t="array" ref="K568">INDEX(Honor!$I$2:$I800,MATCH($I568,Honor!$A$2:$A800,0))</f>
        <v>168000</v>
      </c>
      <c r="L568" s="64">
        <v>1</v>
      </c>
      <c r="M568" s="10">
        <f t="shared" si="0"/>
        <v>168000</v>
      </c>
      <c r="O568" s="67">
        <f t="array" ref="O568">INDEX(Honor!$L$2:$L800,MATCH($I568,Honor!$A$2:$A800,0))</f>
        <v>45550</v>
      </c>
      <c r="P568" s="10">
        <f t="shared" si="1"/>
        <v>2024</v>
      </c>
      <c r="Q568" s="10">
        <f t="shared" si="2"/>
        <v>9</v>
      </c>
      <c r="R568" s="10" t="str">
        <f t="array" ref="R568">INDEX(Honor!$Q$2:$Q800,MATCH($I568,Honor!$A$2:$A800,0))</f>
        <v>SURVEI-PPL</v>
      </c>
      <c r="S568" s="10" t="str">
        <f t="shared" si="3"/>
        <v>610422040034-2024-9</v>
      </c>
      <c r="T568" s="10" t="str">
        <f t="shared" si="4"/>
        <v>610422040034-2024-9-SURVEI-PPL</v>
      </c>
      <c r="U568" s="64">
        <v>0</v>
      </c>
      <c r="V568" s="10" t="e">
        <f t="array" aca="1" ref="V568" ca="1">INDEX(Honor!$O$2:$O800,MATCH($I568,Honor!$A$2:$A800,0))</f>
        <v>#NAME?</v>
      </c>
      <c r="W568" s="67"/>
      <c r="X568" s="7" t="str">
        <f t="array" ref="X568">INDEX('Input Kegiatan'!$B$2:$B800,MATCH(B568,'Input Kegiatan'!$A$2:$A800,0))</f>
        <v>Susenas September 2024</v>
      </c>
      <c r="Y568" s="7" t="s">
        <v>4572</v>
      </c>
      <c r="Z568" s="7" t="s">
        <v>4841</v>
      </c>
      <c r="AA568" s="68">
        <f t="shared" si="5"/>
        <v>45535</v>
      </c>
      <c r="AB568" s="68">
        <f t="shared" si="6"/>
        <v>45536</v>
      </c>
      <c r="AC568" s="68">
        <f t="shared" si="7"/>
        <v>45565</v>
      </c>
      <c r="AD568" s="68">
        <f t="shared" si="8"/>
        <v>45564</v>
      </c>
      <c r="AE568" s="68">
        <f t="shared" si="9"/>
        <v>45565</v>
      </c>
    </row>
    <row r="569" spans="1:31" ht="12.5">
      <c r="A569" s="125">
        <v>610422040058</v>
      </c>
      <c r="B569" s="64" t="s">
        <v>248</v>
      </c>
      <c r="D569" s="10">
        <f t="array" aca="1" ref="D569" ca="1">INDEX('Mitra per Bulan'!$M$2:$M800,MATCH(S569,'Mitra per Bulan'!$B$2:$B800,0))</f>
        <v>1</v>
      </c>
      <c r="E569" s="10" t="str">
        <f t="array" ref="E569">INDEX('Database Mitra'!$A$2:$A800,MATCH(A569,'Database Mitra'!$B$2:$B800,0))</f>
        <v>Jamaluddin, Sp</v>
      </c>
      <c r="F569" s="64" t="s">
        <v>25</v>
      </c>
      <c r="G569" s="5" t="str">
        <f t="array" ref="G569">INDEX('Database Mitra'!$G$2:$G800,MATCH(A569,'Database Mitra'!$B$2:$B800,0))</f>
        <v>6102152607940002</v>
      </c>
      <c r="H569" s="64" t="s">
        <v>89</v>
      </c>
      <c r="I569" s="65" t="s">
        <v>249</v>
      </c>
      <c r="J569" s="10" t="str">
        <f t="array" ref="J569">INDEX(Honor!$H$2:$H800,MATCH($I569,Honor!$A$2:$A800,0))</f>
        <v>BS</v>
      </c>
      <c r="K569" s="66">
        <f t="array" ref="K569">INDEX(Honor!$I$2:$I800,MATCH($I569,Honor!$A$2:$A800,0))</f>
        <v>168000</v>
      </c>
      <c r="L569" s="64">
        <v>1</v>
      </c>
      <c r="M569" s="10">
        <f t="shared" si="0"/>
        <v>168000</v>
      </c>
      <c r="O569" s="67">
        <f t="array" ref="O569">INDEX(Honor!$L$2:$L800,MATCH($I569,Honor!$A$2:$A800,0))</f>
        <v>45550</v>
      </c>
      <c r="P569" s="10">
        <f t="shared" si="1"/>
        <v>2024</v>
      </c>
      <c r="Q569" s="10">
        <f t="shared" si="2"/>
        <v>9</v>
      </c>
      <c r="R569" s="10" t="str">
        <f t="array" ref="R569">INDEX(Honor!$Q$2:$Q800,MATCH($I569,Honor!$A$2:$A800,0))</f>
        <v>SURVEI-PPL</v>
      </c>
      <c r="S569" s="10" t="str">
        <f t="shared" si="3"/>
        <v>610422040058-2024-9</v>
      </c>
      <c r="T569" s="10" t="str">
        <f t="shared" si="4"/>
        <v>610422040058-2024-9-SURVEI-PPL</v>
      </c>
      <c r="U569" s="64">
        <v>0</v>
      </c>
      <c r="V569" s="10" t="e">
        <f t="array" aca="1" ref="V569" ca="1">INDEX(Honor!$O$2:$O800,MATCH($I569,Honor!$A$2:$A800,0))</f>
        <v>#NAME?</v>
      </c>
      <c r="W569" s="67"/>
      <c r="X569" s="7" t="str">
        <f t="array" ref="X569">INDEX('Input Kegiatan'!$B$2:$B800,MATCH(B569,'Input Kegiatan'!$A$2:$A800,0))</f>
        <v>Susenas September 2024</v>
      </c>
      <c r="Y569" s="7" t="s">
        <v>3715</v>
      </c>
      <c r="Z569" s="7" t="s">
        <v>3716</v>
      </c>
      <c r="AA569" s="68">
        <f t="shared" si="5"/>
        <v>45535</v>
      </c>
      <c r="AB569" s="68">
        <f t="shared" si="6"/>
        <v>45536</v>
      </c>
      <c r="AC569" s="68">
        <f t="shared" si="7"/>
        <v>45565</v>
      </c>
      <c r="AD569" s="68">
        <f t="shared" si="8"/>
        <v>45564</v>
      </c>
      <c r="AE569" s="68">
        <f t="shared" si="9"/>
        <v>45565</v>
      </c>
    </row>
    <row r="570" spans="1:31" ht="12.5">
      <c r="A570" s="125">
        <v>610422040052</v>
      </c>
      <c r="B570" s="64" t="s">
        <v>248</v>
      </c>
      <c r="D570" s="10">
        <f t="array" aca="1" ref="D570" ca="1">INDEX('Mitra per Bulan'!$M$2:$M800,MATCH(S570,'Mitra per Bulan'!$B$2:$B800,0))</f>
        <v>1</v>
      </c>
      <c r="E570" s="10" t="str">
        <f t="array" ref="E570">INDEX('Database Mitra'!$A$2:$A800,MATCH(A570,'Database Mitra'!$B$2:$B800,0))</f>
        <v>Yusimianto</v>
      </c>
      <c r="F570" s="64" t="s">
        <v>25</v>
      </c>
      <c r="G570" s="5" t="str">
        <f t="array" ref="G570">INDEX('Database Mitra'!$G$2:$G800,MATCH(A570,'Database Mitra'!$B$2:$B800,0))</f>
        <v>6102160603790001</v>
      </c>
      <c r="H570" s="64" t="s">
        <v>89</v>
      </c>
      <c r="I570" s="65" t="s">
        <v>249</v>
      </c>
      <c r="J570" s="10" t="str">
        <f t="array" ref="J570">INDEX(Honor!$H$2:$H800,MATCH($I570,Honor!$A$2:$A800,0))</f>
        <v>BS</v>
      </c>
      <c r="K570" s="66">
        <f t="array" ref="K570">INDEX(Honor!$I$2:$I800,MATCH($I570,Honor!$A$2:$A800,0))</f>
        <v>168000</v>
      </c>
      <c r="L570" s="64">
        <v>1</v>
      </c>
      <c r="M570" s="10">
        <f t="shared" si="0"/>
        <v>168000</v>
      </c>
      <c r="O570" s="67">
        <f t="array" ref="O570">INDEX(Honor!$L$2:$L800,MATCH($I570,Honor!$A$2:$A800,0))</f>
        <v>45550</v>
      </c>
      <c r="P570" s="10">
        <f t="shared" si="1"/>
        <v>2024</v>
      </c>
      <c r="Q570" s="10">
        <f t="shared" si="2"/>
        <v>9</v>
      </c>
      <c r="R570" s="10" t="str">
        <f t="array" ref="R570">INDEX(Honor!$Q$2:$Q800,MATCH($I570,Honor!$A$2:$A800,0))</f>
        <v>SURVEI-PPL</v>
      </c>
      <c r="S570" s="10" t="str">
        <f t="shared" si="3"/>
        <v>610422040052-2024-9</v>
      </c>
      <c r="T570" s="10" t="str">
        <f t="shared" si="4"/>
        <v>610422040052-2024-9-SURVEI-PPL</v>
      </c>
      <c r="U570" s="64">
        <v>0</v>
      </c>
      <c r="V570" s="10" t="e">
        <f t="array" aca="1" ref="V570" ca="1">INDEX(Honor!$O$2:$O800,MATCH($I570,Honor!$A$2:$A800,0))</f>
        <v>#NAME?</v>
      </c>
      <c r="W570" s="67"/>
      <c r="X570" s="7" t="str">
        <f t="array" ref="X570">INDEX('Input Kegiatan'!$B$2:$B800,MATCH(B570,'Input Kegiatan'!$A$2:$A800,0))</f>
        <v>Susenas September 2024</v>
      </c>
      <c r="Y570" s="7" t="s">
        <v>4408</v>
      </c>
      <c r="Z570" s="7" t="s">
        <v>4487</v>
      </c>
      <c r="AA570" s="68">
        <f t="shared" si="5"/>
        <v>45535</v>
      </c>
      <c r="AB570" s="68">
        <f t="shared" si="6"/>
        <v>45536</v>
      </c>
      <c r="AC570" s="68">
        <f t="shared" si="7"/>
        <v>45565</v>
      </c>
      <c r="AD570" s="68">
        <f t="shared" si="8"/>
        <v>45564</v>
      </c>
      <c r="AE570" s="68">
        <f t="shared" si="9"/>
        <v>45565</v>
      </c>
    </row>
    <row r="571" spans="1:31" ht="12.5">
      <c r="A571" s="125">
        <v>610422100085</v>
      </c>
      <c r="B571" s="64" t="s">
        <v>248</v>
      </c>
      <c r="D571" s="10">
        <f t="array" aca="1" ref="D571" ca="1">INDEX('Mitra per Bulan'!$M$2:$M800,MATCH(S571,'Mitra per Bulan'!$B$2:$B800,0))</f>
        <v>1</v>
      </c>
      <c r="E571" s="10" t="str">
        <f t="array" ref="E571">INDEX('Database Mitra'!$A$2:$A800,MATCH(A571,'Database Mitra'!$B$2:$B800,0))</f>
        <v>Lina Agustin Widya Siwi</v>
      </c>
      <c r="F571" s="64" t="s">
        <v>25</v>
      </c>
      <c r="G571" s="5" t="str">
        <f t="array" ref="G571">INDEX('Database Mitra'!$G$2:$G800,MATCH(A571,'Database Mitra'!$B$2:$B800,0))</f>
        <v>3301225608850001</v>
      </c>
      <c r="H571" s="64" t="s">
        <v>89</v>
      </c>
      <c r="I571" s="65" t="s">
        <v>249</v>
      </c>
      <c r="J571" s="10" t="str">
        <f t="array" ref="J571">INDEX(Honor!$H$2:$H800,MATCH($I571,Honor!$A$2:$A800,0))</f>
        <v>BS</v>
      </c>
      <c r="K571" s="66">
        <f t="array" ref="K571">INDEX(Honor!$I$2:$I800,MATCH($I571,Honor!$A$2:$A800,0))</f>
        <v>168000</v>
      </c>
      <c r="L571" s="64">
        <v>1</v>
      </c>
      <c r="M571" s="10">
        <f t="shared" si="0"/>
        <v>168000</v>
      </c>
      <c r="O571" s="67">
        <f t="array" ref="O571">INDEX(Honor!$L$2:$L800,MATCH($I571,Honor!$A$2:$A800,0))</f>
        <v>45550</v>
      </c>
      <c r="P571" s="10">
        <f t="shared" si="1"/>
        <v>2024</v>
      </c>
      <c r="Q571" s="10">
        <f t="shared" si="2"/>
        <v>9</v>
      </c>
      <c r="R571" s="10" t="str">
        <f t="array" ref="R571">INDEX(Honor!$Q$2:$Q800,MATCH($I571,Honor!$A$2:$A800,0))</f>
        <v>SURVEI-PPL</v>
      </c>
      <c r="S571" s="10" t="str">
        <f t="shared" si="3"/>
        <v>610422100085-2024-9</v>
      </c>
      <c r="T571" s="10" t="str">
        <f t="shared" si="4"/>
        <v>610422100085-2024-9-SURVEI-PPL</v>
      </c>
      <c r="U571" s="64">
        <v>0</v>
      </c>
      <c r="V571" s="10" t="e">
        <f t="array" aca="1" ref="V571" ca="1">INDEX(Honor!$O$2:$O800,MATCH($I571,Honor!$A$2:$A800,0))</f>
        <v>#NAME?</v>
      </c>
      <c r="W571" s="67"/>
      <c r="X571" s="7" t="str">
        <f t="array" ref="X571">INDEX('Input Kegiatan'!$B$2:$B800,MATCH(B571,'Input Kegiatan'!$A$2:$A800,0))</f>
        <v>Susenas September 2024</v>
      </c>
      <c r="Y571" s="7" t="s">
        <v>3990</v>
      </c>
      <c r="Z571" s="7" t="s">
        <v>4087</v>
      </c>
      <c r="AA571" s="68">
        <f t="shared" si="5"/>
        <v>45535</v>
      </c>
      <c r="AB571" s="68">
        <f t="shared" si="6"/>
        <v>45536</v>
      </c>
      <c r="AC571" s="68">
        <f t="shared" si="7"/>
        <v>45565</v>
      </c>
      <c r="AD571" s="68">
        <f t="shared" si="8"/>
        <v>45564</v>
      </c>
      <c r="AE571" s="68">
        <f t="shared" si="9"/>
        <v>45565</v>
      </c>
    </row>
    <row r="572" spans="1:31" ht="12.5">
      <c r="A572" s="125">
        <v>610422100101</v>
      </c>
      <c r="B572" s="64" t="s">
        <v>248</v>
      </c>
      <c r="D572" s="10">
        <f t="array" aca="1" ref="D572" ca="1">INDEX('Mitra per Bulan'!$M$2:$M800,MATCH(S572,'Mitra per Bulan'!$B$2:$B800,0))</f>
        <v>1</v>
      </c>
      <c r="E572" s="10" t="str">
        <f t="array" ref="E572">INDEX('Database Mitra'!$A$2:$A800,MATCH(A572,'Database Mitra'!$B$2:$B800,0))</f>
        <v>Sukmawati,S.Si</v>
      </c>
      <c r="F572" s="64" t="s">
        <v>25</v>
      </c>
      <c r="G572" s="5" t="str">
        <f t="array" ref="G572">INDEX('Database Mitra'!$G$2:$G800,MATCH(A572,'Database Mitra'!$B$2:$B800,0))</f>
        <v>3402135601880001</v>
      </c>
      <c r="H572" s="64" t="s">
        <v>89</v>
      </c>
      <c r="I572" s="65" t="s">
        <v>249</v>
      </c>
      <c r="J572" s="10" t="str">
        <f t="array" ref="J572">INDEX(Honor!$H$2:$H800,MATCH($I572,Honor!$A$2:$A800,0))</f>
        <v>BS</v>
      </c>
      <c r="K572" s="66">
        <f t="array" ref="K572">INDEX(Honor!$I$2:$I800,MATCH($I572,Honor!$A$2:$A800,0))</f>
        <v>168000</v>
      </c>
      <c r="L572" s="64">
        <v>1</v>
      </c>
      <c r="M572" s="10">
        <f t="shared" si="0"/>
        <v>168000</v>
      </c>
      <c r="O572" s="67">
        <f t="array" ref="O572">INDEX(Honor!$L$2:$L800,MATCH($I572,Honor!$A$2:$A800,0))</f>
        <v>45550</v>
      </c>
      <c r="P572" s="10">
        <f t="shared" si="1"/>
        <v>2024</v>
      </c>
      <c r="Q572" s="10">
        <f t="shared" si="2"/>
        <v>9</v>
      </c>
      <c r="R572" s="10" t="str">
        <f t="array" ref="R572">INDEX(Honor!$Q$2:$Q800,MATCH($I572,Honor!$A$2:$A800,0))</f>
        <v>SURVEI-PPL</v>
      </c>
      <c r="S572" s="10" t="str">
        <f t="shared" si="3"/>
        <v>610422100101-2024-9</v>
      </c>
      <c r="T572" s="10" t="str">
        <f t="shared" si="4"/>
        <v>610422100101-2024-9-SURVEI-PPL</v>
      </c>
      <c r="U572" s="64">
        <v>0</v>
      </c>
      <c r="V572" s="10" t="e">
        <f t="array" aca="1" ref="V572" ca="1">INDEX(Honor!$O$2:$O800,MATCH($I572,Honor!$A$2:$A800,0))</f>
        <v>#NAME?</v>
      </c>
      <c r="W572" s="67"/>
      <c r="X572" s="7" t="str">
        <f t="array" ref="X572">INDEX('Input Kegiatan'!$B$2:$B800,MATCH(B572,'Input Kegiatan'!$A$2:$A800,0))</f>
        <v>Susenas September 2024</v>
      </c>
      <c r="Y572" s="7" t="s">
        <v>4408</v>
      </c>
      <c r="Z572" s="7" t="s">
        <v>4409</v>
      </c>
      <c r="AA572" s="68">
        <f t="shared" si="5"/>
        <v>45535</v>
      </c>
      <c r="AB572" s="68">
        <f t="shared" si="6"/>
        <v>45536</v>
      </c>
      <c r="AC572" s="68">
        <f t="shared" si="7"/>
        <v>45565</v>
      </c>
      <c r="AD572" s="68">
        <f t="shared" si="8"/>
        <v>45564</v>
      </c>
      <c r="AE572" s="68">
        <f t="shared" si="9"/>
        <v>45565</v>
      </c>
    </row>
    <row r="573" spans="1:31" ht="12.5">
      <c r="A573" s="125">
        <v>610422100055</v>
      </c>
      <c r="B573" s="64" t="s">
        <v>248</v>
      </c>
      <c r="D573" s="10">
        <f t="array" aca="1" ref="D573" ca="1">INDEX('Mitra per Bulan'!$M$2:$M800,MATCH(S573,'Mitra per Bulan'!$B$2:$B800,0))</f>
        <v>1</v>
      </c>
      <c r="E573" s="10" t="str">
        <f t="array" ref="E573">INDEX('Database Mitra'!$A$2:$A800,MATCH(A573,'Database Mitra'!$B$2:$B800,0))</f>
        <v>Vika Rizkiani</v>
      </c>
      <c r="F573" s="64" t="s">
        <v>25</v>
      </c>
      <c r="G573" s="5" t="str">
        <f t="array" ref="G573">INDEX('Database Mitra'!$G$2:$G800,MATCH(A573,'Database Mitra'!$B$2:$B800,0))</f>
        <v>6102084207980006</v>
      </c>
      <c r="H573" s="64" t="s">
        <v>89</v>
      </c>
      <c r="I573" s="65" t="s">
        <v>249</v>
      </c>
      <c r="J573" s="10" t="str">
        <f t="array" ref="J573">INDEX(Honor!$H$2:$H800,MATCH($I573,Honor!$A$2:$A800,0))</f>
        <v>BS</v>
      </c>
      <c r="K573" s="66">
        <f t="array" ref="K573">INDEX(Honor!$I$2:$I800,MATCH($I573,Honor!$A$2:$A800,0))</f>
        <v>168000</v>
      </c>
      <c r="L573" s="64">
        <v>1</v>
      </c>
      <c r="M573" s="10">
        <f t="shared" si="0"/>
        <v>168000</v>
      </c>
      <c r="O573" s="67">
        <f t="array" ref="O573">INDEX(Honor!$L$2:$L800,MATCH($I573,Honor!$A$2:$A800,0))</f>
        <v>45550</v>
      </c>
      <c r="P573" s="10">
        <f t="shared" si="1"/>
        <v>2024</v>
      </c>
      <c r="Q573" s="10">
        <f t="shared" si="2"/>
        <v>9</v>
      </c>
      <c r="R573" s="10" t="str">
        <f t="array" ref="R573">INDEX(Honor!$Q$2:$Q800,MATCH($I573,Honor!$A$2:$A800,0))</f>
        <v>SURVEI-PPL</v>
      </c>
      <c r="S573" s="10" t="str">
        <f t="shared" si="3"/>
        <v>610422100055-2024-9</v>
      </c>
      <c r="T573" s="10" t="str">
        <f t="shared" si="4"/>
        <v>610422100055-2024-9-SURVEI-PPL</v>
      </c>
      <c r="U573" s="64">
        <v>0</v>
      </c>
      <c r="V573" s="10" t="e">
        <f t="array" aca="1" ref="V573" ca="1">INDEX(Honor!$O$2:$O800,MATCH($I573,Honor!$A$2:$A800,0))</f>
        <v>#NAME?</v>
      </c>
      <c r="W573" s="67"/>
      <c r="X573" s="7" t="str">
        <f t="array" ref="X573">INDEX('Input Kegiatan'!$B$2:$B800,MATCH(B573,'Input Kegiatan'!$A$2:$A800,0))</f>
        <v>Susenas September 2024</v>
      </c>
      <c r="Y573" s="7" t="s">
        <v>3241</v>
      </c>
      <c r="Z573" s="7" t="s">
        <v>3289</v>
      </c>
      <c r="AA573" s="68">
        <f t="shared" si="5"/>
        <v>45535</v>
      </c>
      <c r="AB573" s="68">
        <f t="shared" si="6"/>
        <v>45536</v>
      </c>
      <c r="AC573" s="68">
        <f t="shared" si="7"/>
        <v>45565</v>
      </c>
      <c r="AD573" s="68">
        <f t="shared" si="8"/>
        <v>45564</v>
      </c>
      <c r="AE573" s="68">
        <f t="shared" si="9"/>
        <v>45565</v>
      </c>
    </row>
    <row r="574" spans="1:31" ht="12.5">
      <c r="A574" s="125">
        <v>610422100244</v>
      </c>
      <c r="B574" s="64" t="s">
        <v>248</v>
      </c>
      <c r="D574" s="10">
        <f t="array" aca="1" ref="D574" ca="1">INDEX('Mitra per Bulan'!$M$2:$M800,MATCH(S574,'Mitra per Bulan'!$B$2:$B800,0))</f>
        <v>1</v>
      </c>
      <c r="E574" s="10" t="str">
        <f t="array" ref="E574">INDEX('Database Mitra'!$A$2:$A800,MATCH(A574,'Database Mitra'!$B$2:$B800,0))</f>
        <v>Sugianto</v>
      </c>
      <c r="F574" s="64" t="s">
        <v>25</v>
      </c>
      <c r="G574" s="5" t="str">
        <f t="array" ref="G574">INDEX('Database Mitra'!$G$2:$G800,MATCH(A574,'Database Mitra'!$B$2:$B800,0))</f>
        <v>6102171003900002</v>
      </c>
      <c r="H574" s="64" t="s">
        <v>89</v>
      </c>
      <c r="I574" s="65" t="s">
        <v>249</v>
      </c>
      <c r="J574" s="10" t="str">
        <f t="array" ref="J574">INDEX(Honor!$H$2:$H800,MATCH($I574,Honor!$A$2:$A800,0))</f>
        <v>BS</v>
      </c>
      <c r="K574" s="66">
        <f t="array" ref="K574">INDEX(Honor!$I$2:$I800,MATCH($I574,Honor!$A$2:$A800,0))</f>
        <v>168000</v>
      </c>
      <c r="L574" s="64">
        <v>1</v>
      </c>
      <c r="M574" s="10">
        <f t="shared" si="0"/>
        <v>168000</v>
      </c>
      <c r="O574" s="67">
        <f t="array" ref="O574">INDEX(Honor!$L$2:$L800,MATCH($I574,Honor!$A$2:$A800,0))</f>
        <v>45550</v>
      </c>
      <c r="P574" s="10">
        <f t="shared" si="1"/>
        <v>2024</v>
      </c>
      <c r="Q574" s="10">
        <f t="shared" si="2"/>
        <v>9</v>
      </c>
      <c r="R574" s="10" t="str">
        <f t="array" ref="R574">INDEX(Honor!$Q$2:$Q800,MATCH($I574,Honor!$A$2:$A800,0))</f>
        <v>SURVEI-PPL</v>
      </c>
      <c r="S574" s="10" t="str">
        <f t="shared" si="3"/>
        <v>610422100244-2024-9</v>
      </c>
      <c r="T574" s="10" t="str">
        <f t="shared" si="4"/>
        <v>610422100244-2024-9-SURVEI-PPL</v>
      </c>
      <c r="U574" s="64">
        <v>0</v>
      </c>
      <c r="V574" s="10" t="e">
        <f t="array" aca="1" ref="V574" ca="1">INDEX(Honor!$O$2:$O800,MATCH($I574,Honor!$A$2:$A800,0))</f>
        <v>#NAME?</v>
      </c>
      <c r="W574" s="67"/>
      <c r="X574" s="7" t="str">
        <f t="array" ref="X574">INDEX('Input Kegiatan'!$B$2:$B800,MATCH(B574,'Input Kegiatan'!$A$2:$A800,0))</f>
        <v>Susenas September 2024</v>
      </c>
      <c r="Y574" s="7" t="s">
        <v>5741</v>
      </c>
      <c r="Z574" s="7" t="s">
        <v>5796</v>
      </c>
      <c r="AA574" s="68">
        <f t="shared" si="5"/>
        <v>45535</v>
      </c>
      <c r="AB574" s="68">
        <f t="shared" si="6"/>
        <v>45536</v>
      </c>
      <c r="AC574" s="68">
        <f t="shared" si="7"/>
        <v>45565</v>
      </c>
      <c r="AD574" s="68">
        <f t="shared" si="8"/>
        <v>45564</v>
      </c>
      <c r="AE574" s="68">
        <f t="shared" si="9"/>
        <v>45565</v>
      </c>
    </row>
    <row r="575" spans="1:31" ht="12.5">
      <c r="A575" s="125">
        <v>610423040013</v>
      </c>
      <c r="B575" s="64" t="s">
        <v>248</v>
      </c>
      <c r="D575" s="10">
        <f t="array" aca="1" ref="D575" ca="1">INDEX('Mitra per Bulan'!$M$2:$M800,MATCH(S575,'Mitra per Bulan'!$B$2:$B800,0))</f>
        <v>1</v>
      </c>
      <c r="E575" s="10" t="str">
        <f t="array" ref="E575">INDEX('Database Mitra'!$A$2:$A800,MATCH(A575,'Database Mitra'!$B$2:$B800,0))</f>
        <v>Lulu Gesti Gunawati</v>
      </c>
      <c r="F575" s="64" t="s">
        <v>25</v>
      </c>
      <c r="G575" s="5" t="str">
        <f t="array" ref="G575">INDEX('Database Mitra'!$G$2:$G800,MATCH(A575,'Database Mitra'!$B$2:$B800,0))</f>
        <v>3314066101000001</v>
      </c>
      <c r="H575" s="64" t="s">
        <v>89</v>
      </c>
      <c r="I575" s="65" t="s">
        <v>249</v>
      </c>
      <c r="J575" s="10" t="str">
        <f t="array" ref="J575">INDEX(Honor!$H$2:$H800,MATCH($I575,Honor!$A$2:$A800,0))</f>
        <v>BS</v>
      </c>
      <c r="K575" s="66">
        <f t="array" ref="K575">INDEX(Honor!$I$2:$I800,MATCH($I575,Honor!$A$2:$A800,0))</f>
        <v>168000</v>
      </c>
      <c r="L575" s="64">
        <v>1</v>
      </c>
      <c r="M575" s="10">
        <f t="shared" si="0"/>
        <v>168000</v>
      </c>
      <c r="O575" s="67">
        <f t="array" ref="O575">INDEX(Honor!$L$2:$L800,MATCH($I575,Honor!$A$2:$A800,0))</f>
        <v>45550</v>
      </c>
      <c r="P575" s="10">
        <f t="shared" si="1"/>
        <v>2024</v>
      </c>
      <c r="Q575" s="10">
        <f t="shared" si="2"/>
        <v>9</v>
      </c>
      <c r="R575" s="10" t="str">
        <f t="array" ref="R575">INDEX(Honor!$Q$2:$Q800,MATCH($I575,Honor!$A$2:$A800,0))</f>
        <v>SURVEI-PPL</v>
      </c>
      <c r="S575" s="10" t="str">
        <f t="shared" si="3"/>
        <v>610423040013-2024-9</v>
      </c>
      <c r="T575" s="10" t="str">
        <f t="shared" si="4"/>
        <v>610423040013-2024-9-SURVEI-PPL</v>
      </c>
      <c r="U575" s="64">
        <v>0</v>
      </c>
      <c r="V575" s="10" t="e">
        <f t="array" aca="1" ref="V575" ca="1">INDEX(Honor!$O$2:$O800,MATCH($I575,Honor!$A$2:$A800,0))</f>
        <v>#NAME?</v>
      </c>
      <c r="W575" s="67"/>
      <c r="X575" s="7" t="str">
        <f t="array" ref="X575">INDEX('Input Kegiatan'!$B$2:$B800,MATCH(B575,'Input Kegiatan'!$A$2:$A800,0))</f>
        <v>Susenas September 2024</v>
      </c>
      <c r="Y575" s="7" t="s">
        <v>5250</v>
      </c>
      <c r="Z575" s="7" t="s">
        <v>5304</v>
      </c>
      <c r="AA575" s="68">
        <f t="shared" si="5"/>
        <v>45535</v>
      </c>
      <c r="AB575" s="68">
        <f t="shared" si="6"/>
        <v>45536</v>
      </c>
      <c r="AC575" s="68">
        <f t="shared" si="7"/>
        <v>45565</v>
      </c>
      <c r="AD575" s="68">
        <f t="shared" si="8"/>
        <v>45564</v>
      </c>
      <c r="AE575" s="68">
        <f t="shared" si="9"/>
        <v>45565</v>
      </c>
    </row>
    <row r="576" spans="1:31" ht="12.5">
      <c r="A576" s="125">
        <v>610423040016</v>
      </c>
      <c r="B576" s="64" t="s">
        <v>248</v>
      </c>
      <c r="D576" s="10">
        <f t="array" aca="1" ref="D576" ca="1">INDEX('Mitra per Bulan'!$M$2:$M800,MATCH(S576,'Mitra per Bulan'!$B$2:$B800,0))</f>
        <v>1</v>
      </c>
      <c r="E576" s="10" t="str">
        <f t="array" ref="E576">INDEX('Database Mitra'!$A$2:$A800,MATCH(A576,'Database Mitra'!$B$2:$B800,0))</f>
        <v>Fairuztia Atiqah Putri</v>
      </c>
      <c r="F576" s="64" t="s">
        <v>90</v>
      </c>
      <c r="G576" s="5" t="str">
        <f t="array" ref="G576">INDEX('Database Mitra'!$G$2:$G800,MATCH(A576,'Database Mitra'!$B$2:$B800,0))</f>
        <v>6102016709010003</v>
      </c>
      <c r="H576" s="64" t="s">
        <v>91</v>
      </c>
      <c r="I576" s="65" t="s">
        <v>250</v>
      </c>
      <c r="J576" s="10" t="str">
        <f t="array" ref="J576">INDEX(Honor!$H$2:$H800,MATCH($I576,Honor!$A$2:$A800,0))</f>
        <v>Dokumen</v>
      </c>
      <c r="K576" s="66">
        <f t="array" ref="K576">INDEX(Honor!$I$2:$I800,MATCH($I576,Honor!$A$2:$A800,0))</f>
        <v>34000</v>
      </c>
      <c r="L576" s="64">
        <v>14</v>
      </c>
      <c r="M576" s="10">
        <f t="shared" si="0"/>
        <v>476000</v>
      </c>
      <c r="O576" s="67">
        <f t="array" ref="O576">INDEX(Honor!$L$2:$L800,MATCH($I576,Honor!$A$2:$A800,0))</f>
        <v>45553</v>
      </c>
      <c r="P576" s="10">
        <f t="shared" si="1"/>
        <v>2024</v>
      </c>
      <c r="Q576" s="10">
        <f t="shared" si="2"/>
        <v>9</v>
      </c>
      <c r="R576" s="10" t="str">
        <f t="array" ref="R576">INDEX(Honor!$Q$2:$Q800,MATCH($I576,Honor!$A$2:$A800,0))</f>
        <v>SURVEI-PETUGAS ENTRI</v>
      </c>
      <c r="S576" s="10" t="str">
        <f t="shared" si="3"/>
        <v>610423040016-2024-9</v>
      </c>
      <c r="T576" s="10" t="str">
        <f t="shared" si="4"/>
        <v>610423040016-2024-9-SURVEI-PETUGAS ENTRI</v>
      </c>
      <c r="U576" s="64">
        <v>0</v>
      </c>
      <c r="V576" s="10" t="e">
        <f t="array" aca="1" ref="V576" ca="1">INDEX(Honor!$O$2:$O800,MATCH($I576,Honor!$A$2:$A800,0))</f>
        <v>#NAME?</v>
      </c>
      <c r="W576" s="67"/>
      <c r="X576" s="7" t="str">
        <f t="array" ref="X576">INDEX('Input Kegiatan'!$B$2:$B800,MATCH(B576,'Input Kegiatan'!$A$2:$A800,0))</f>
        <v>Susenas September 2024</v>
      </c>
      <c r="Y576" s="7" t="s">
        <v>4572</v>
      </c>
      <c r="Z576" s="7" t="s">
        <v>4619</v>
      </c>
      <c r="AA576" s="68">
        <f t="shared" si="5"/>
        <v>45535</v>
      </c>
      <c r="AB576" s="68">
        <f t="shared" si="6"/>
        <v>45536</v>
      </c>
      <c r="AC576" s="68">
        <f t="shared" si="7"/>
        <v>45565</v>
      </c>
      <c r="AD576" s="68">
        <f t="shared" si="8"/>
        <v>45564</v>
      </c>
      <c r="AE576" s="68">
        <f t="shared" si="9"/>
        <v>45565</v>
      </c>
    </row>
    <row r="577" spans="1:31" ht="12.5">
      <c r="A577" s="125">
        <v>610422030002</v>
      </c>
      <c r="B577" s="65" t="s">
        <v>251</v>
      </c>
      <c r="D577" s="10">
        <f t="array" aca="1" ref="D577" ca="1">INDEX('Mitra per Bulan'!$M$2:$M800,MATCH(S577,'Mitra per Bulan'!$B$2:$B800,0))</f>
        <v>1</v>
      </c>
      <c r="E577" s="10" t="str">
        <f t="array" ref="E577">INDEX('Database Mitra'!$A$2:$A800,MATCH(A577,'Database Mitra'!$B$2:$B800,0))</f>
        <v>Deti Erni Widiastuti</v>
      </c>
      <c r="F577" s="64" t="s">
        <v>25</v>
      </c>
      <c r="G577" s="5" t="str">
        <f t="array" ref="G577">INDEX('Database Mitra'!$G$2:$G800,MATCH(A577,'Database Mitra'!$B$2:$B800,0))</f>
        <v>6102016712860001</v>
      </c>
      <c r="H577" s="64" t="s">
        <v>67</v>
      </c>
      <c r="I577" s="65" t="s">
        <v>252</v>
      </c>
      <c r="J577" s="10" t="str">
        <f t="array" ref="J577">INDEX(Honor!$H$2:$H800,MATCH($I577,Honor!$A$2:$A800,0))</f>
        <v>Dokumen</v>
      </c>
      <c r="K577" s="66">
        <f t="array" ref="K577">INDEX(Honor!$I$2:$I800,MATCH($I577,Honor!$A$2:$A800,0))</f>
        <v>50000</v>
      </c>
      <c r="L577" s="64">
        <v>15</v>
      </c>
      <c r="M577" s="10">
        <f t="shared" si="0"/>
        <v>750000</v>
      </c>
      <c r="O577" s="67">
        <f t="array" ref="O577">INDEX(Honor!$L$2:$L800,MATCH($I577,Honor!$A$2:$A800,0))</f>
        <v>45555</v>
      </c>
      <c r="P577" s="10">
        <f t="shared" si="1"/>
        <v>2024</v>
      </c>
      <c r="Q577" s="10">
        <f t="shared" si="2"/>
        <v>9</v>
      </c>
      <c r="R577" s="10" t="str">
        <f t="array" ref="R577">INDEX(Honor!$Q$2:$Q800,MATCH($I577,Honor!$A$2:$A800,0))</f>
        <v>SURVEI-PPL</v>
      </c>
      <c r="S577" s="10" t="str">
        <f t="shared" si="3"/>
        <v>610422030002-2024-9</v>
      </c>
      <c r="T577" s="10" t="str">
        <f t="shared" si="4"/>
        <v>610422030002-2024-9-SURVEI-PPL</v>
      </c>
      <c r="U577" s="64">
        <v>0</v>
      </c>
      <c r="V577" s="10" t="e">
        <f t="array" aca="1" ref="V577" ca="1">INDEX(Honor!$O$2:$O800,MATCH($I577,Honor!$A$2:$A800,0))</f>
        <v>#NAME?</v>
      </c>
      <c r="W577" s="67"/>
      <c r="X577" s="7" t="str">
        <f t="array" ref="X577">INDEX('Input Kegiatan'!$B$2:$B800,MATCH(B577,'Input Kegiatan'!$A$2:$A800,0))</f>
        <v>Survei Harga Perdagangan Besar (SHPB24) September</v>
      </c>
      <c r="Y577" s="7" t="s">
        <v>3715</v>
      </c>
      <c r="Z577" s="7" t="s">
        <v>3716</v>
      </c>
      <c r="AA577" s="68">
        <f t="shared" si="5"/>
        <v>45535</v>
      </c>
      <c r="AB577" s="68">
        <f t="shared" si="6"/>
        <v>45536</v>
      </c>
      <c r="AC577" s="68">
        <f t="shared" si="7"/>
        <v>45565</v>
      </c>
      <c r="AD577" s="68">
        <f t="shared" si="8"/>
        <v>45564</v>
      </c>
      <c r="AE577" s="68">
        <f t="shared" si="9"/>
        <v>45565</v>
      </c>
    </row>
    <row r="578" spans="1:31" ht="12.5">
      <c r="A578" s="125">
        <v>610422100244</v>
      </c>
      <c r="B578" s="64" t="s">
        <v>253</v>
      </c>
      <c r="D578" s="10">
        <f t="array" aca="1" ref="D578" ca="1">INDEX('Mitra per Bulan'!$M$2:$M800,MATCH(S578,'Mitra per Bulan'!$B$2:$B800,0))</f>
        <v>1</v>
      </c>
      <c r="E578" s="10" t="str">
        <f t="array" ref="E578">INDEX('Database Mitra'!$A$2:$A800,MATCH(A578,'Database Mitra'!$B$2:$B800,0))</f>
        <v>Sugianto</v>
      </c>
      <c r="F578" s="64" t="s">
        <v>25</v>
      </c>
      <c r="G578" s="5" t="str">
        <f t="array" ref="G578">INDEX('Database Mitra'!$G$2:$G800,MATCH(A578,'Database Mitra'!$B$2:$B800,0))</f>
        <v>6102171003900002</v>
      </c>
      <c r="H578" s="64" t="s">
        <v>67</v>
      </c>
      <c r="I578" s="65" t="s">
        <v>254</v>
      </c>
      <c r="J578" s="10" t="str">
        <f t="array" ref="J578">INDEX(Honor!$H$2:$H800,MATCH($I578,Honor!$A$2:$A800,0))</f>
        <v>Dokumen</v>
      </c>
      <c r="K578" s="66">
        <f t="array" ref="K578">INDEX(Honor!$I$2:$I800,MATCH($I578,Honor!$A$2:$A800,0))</f>
        <v>50000</v>
      </c>
      <c r="L578" s="64">
        <v>1</v>
      </c>
      <c r="M578" s="10">
        <f t="shared" si="0"/>
        <v>50000</v>
      </c>
      <c r="O578" s="67">
        <f t="array" ref="O578">INDEX(Honor!$L$2:$L800,MATCH($I578,Honor!$A$2:$A800,0))</f>
        <v>45555</v>
      </c>
      <c r="P578" s="10">
        <f t="shared" si="1"/>
        <v>2024</v>
      </c>
      <c r="Q578" s="10">
        <f t="shared" si="2"/>
        <v>9</v>
      </c>
      <c r="R578" s="10" t="str">
        <f t="array" ref="R578">INDEX(Honor!$Q$2:$Q800,MATCH($I578,Honor!$A$2:$A800,0))</f>
        <v>SURVEI-PPL</v>
      </c>
      <c r="S578" s="10" t="str">
        <f t="shared" si="3"/>
        <v>610422100244-2024-9</v>
      </c>
      <c r="T578" s="10" t="str">
        <f t="shared" si="4"/>
        <v>610422100244-2024-9-SURVEI-PPL</v>
      </c>
      <c r="U578" s="64">
        <v>0</v>
      </c>
      <c r="V578" s="10" t="e">
        <f t="array" aca="1" ref="V578" ca="1">INDEX(Honor!$O$2:$O800,MATCH($I578,Honor!$A$2:$A800,0))</f>
        <v>#NAME?</v>
      </c>
      <c r="W578" s="67"/>
      <c r="X578" s="7" t="str">
        <f t="array" ref="X578">INDEX('Input Kegiatan'!$B$2:$B800,MATCH(B578,'Input Kegiatan'!$A$2:$A800,0))</f>
        <v>Survei Harga Produsen Gabah (HPG24) September</v>
      </c>
      <c r="Y578" s="7" t="s">
        <v>5741</v>
      </c>
      <c r="Z578" s="7" t="s">
        <v>5796</v>
      </c>
      <c r="AA578" s="68">
        <f t="shared" si="5"/>
        <v>45535</v>
      </c>
      <c r="AB578" s="68">
        <f t="shared" si="6"/>
        <v>45536</v>
      </c>
      <c r="AC578" s="68">
        <f t="shared" si="7"/>
        <v>45565</v>
      </c>
      <c r="AD578" s="68">
        <f t="shared" si="8"/>
        <v>45564</v>
      </c>
      <c r="AE578" s="68">
        <f t="shared" si="9"/>
        <v>45565</v>
      </c>
    </row>
    <row r="579" spans="1:31" ht="12.5">
      <c r="A579" s="125">
        <v>610422100124</v>
      </c>
      <c r="B579" s="64" t="s">
        <v>253</v>
      </c>
      <c r="D579" s="10">
        <f t="array" aca="1" ref="D579" ca="1">INDEX('Mitra per Bulan'!$M$2:$M800,MATCH(S579,'Mitra per Bulan'!$B$2:$B800,0))</f>
        <v>1</v>
      </c>
      <c r="E579" s="10" t="str">
        <f t="array" ref="E579">INDEX('Database Mitra'!$A$2:$A800,MATCH(A579,'Database Mitra'!$B$2:$B800,0))</f>
        <v>Prabowo</v>
      </c>
      <c r="F579" s="64" t="s">
        <v>25</v>
      </c>
      <c r="G579" s="5" t="str">
        <f t="array" ref="G579">INDEX('Database Mitra'!$G$2:$G800,MATCH(A579,'Database Mitra'!$B$2:$B800,0))</f>
        <v>6171010108790015</v>
      </c>
      <c r="H579" s="64" t="s">
        <v>67</v>
      </c>
      <c r="I579" s="65" t="s">
        <v>254</v>
      </c>
      <c r="J579" s="10" t="str">
        <f t="array" ref="J579">INDEX(Honor!$H$2:$H800,MATCH($I579,Honor!$A$2:$A800,0))</f>
        <v>Dokumen</v>
      </c>
      <c r="K579" s="66">
        <f t="array" ref="K579">INDEX(Honor!$I$2:$I800,MATCH($I579,Honor!$A$2:$A800,0))</f>
        <v>50000</v>
      </c>
      <c r="L579" s="64">
        <v>1</v>
      </c>
      <c r="M579" s="10">
        <f t="shared" si="0"/>
        <v>50000</v>
      </c>
      <c r="O579" s="67">
        <f t="array" ref="O579">INDEX(Honor!$L$2:$L800,MATCH($I579,Honor!$A$2:$A800,0))</f>
        <v>45555</v>
      </c>
      <c r="P579" s="10">
        <f t="shared" si="1"/>
        <v>2024</v>
      </c>
      <c r="Q579" s="10">
        <f t="shared" si="2"/>
        <v>9</v>
      </c>
      <c r="R579" s="10" t="str">
        <f t="array" ref="R579">INDEX(Honor!$Q$2:$Q800,MATCH($I579,Honor!$A$2:$A800,0))</f>
        <v>SURVEI-PPL</v>
      </c>
      <c r="S579" s="10" t="str">
        <f t="shared" si="3"/>
        <v>610422100124-2024-9</v>
      </c>
      <c r="T579" s="10" t="str">
        <f t="shared" si="4"/>
        <v>610422100124-2024-9-SURVEI-PPL</v>
      </c>
      <c r="U579" s="64">
        <v>0</v>
      </c>
      <c r="V579" s="10" t="e">
        <f t="array" aca="1" ref="V579" ca="1">INDEX(Honor!$O$2:$O800,MATCH($I579,Honor!$A$2:$A800,0))</f>
        <v>#NAME?</v>
      </c>
      <c r="W579" s="67"/>
      <c r="X579" s="7" t="str">
        <f t="array" ref="X579">INDEX('Input Kegiatan'!$B$2:$B800,MATCH(B579,'Input Kegiatan'!$A$2:$A800,0))</f>
        <v>Survei Harga Produsen Gabah (HPG24) September</v>
      </c>
      <c r="Y579" s="7" t="s">
        <v>1921</v>
      </c>
      <c r="Z579" s="7" t="s">
        <v>2140</v>
      </c>
      <c r="AA579" s="68">
        <f t="shared" si="5"/>
        <v>45535</v>
      </c>
      <c r="AB579" s="68">
        <f t="shared" si="6"/>
        <v>45536</v>
      </c>
      <c r="AC579" s="68">
        <f t="shared" si="7"/>
        <v>45565</v>
      </c>
      <c r="AD579" s="68">
        <f t="shared" si="8"/>
        <v>45564</v>
      </c>
      <c r="AE579" s="68">
        <f t="shared" si="9"/>
        <v>45565</v>
      </c>
    </row>
    <row r="580" spans="1:31" ht="12.5">
      <c r="A580" s="125">
        <v>610422100016</v>
      </c>
      <c r="B580" s="65" t="s">
        <v>255</v>
      </c>
      <c r="D580" s="10">
        <f t="array" aca="1" ref="D580" ca="1">INDEX('Mitra per Bulan'!$M$2:$M800,MATCH(S580,'Mitra per Bulan'!$B$2:$B800,0))</f>
        <v>1</v>
      </c>
      <c r="E580" s="10" t="str">
        <f t="array" ref="E580">INDEX('Database Mitra'!$A$2:$A800,MATCH(A580,'Database Mitra'!$B$2:$B800,0))</f>
        <v>Amalia Faisya</v>
      </c>
      <c r="F580" s="64" t="s">
        <v>25</v>
      </c>
      <c r="G580" s="5" t="str">
        <f t="array" ref="G580">INDEX('Database Mitra'!$G$2:$G800,MATCH(A580,'Database Mitra'!$B$2:$B800,0))</f>
        <v>6102124210010005</v>
      </c>
      <c r="H580" s="64" t="s">
        <v>72</v>
      </c>
      <c r="I580" s="65" t="s">
        <v>256</v>
      </c>
      <c r="J580" s="10" t="str">
        <f t="array" ref="J580">INDEX(Honor!$H$2:$H800,MATCH($I580,Honor!$A$2:$A800,0))</f>
        <v>Dokumen</v>
      </c>
      <c r="K580" s="66">
        <f t="array" ref="K580">INDEX(Honor!$I$2:$I800,MATCH($I580,Honor!$A$2:$A800,0))</f>
        <v>65000</v>
      </c>
      <c r="L580" s="64">
        <v>3</v>
      </c>
      <c r="M580" s="10">
        <f t="shared" si="0"/>
        <v>195000</v>
      </c>
      <c r="O580" s="67">
        <f t="array" ref="O580">INDEX(Honor!$L$2:$L800,MATCH($I580,Honor!$A$2:$A800,0))</f>
        <v>45555</v>
      </c>
      <c r="P580" s="10">
        <f t="shared" si="1"/>
        <v>2024</v>
      </c>
      <c r="Q580" s="10">
        <f t="shared" si="2"/>
        <v>9</v>
      </c>
      <c r="R580" s="10" t="str">
        <f t="array" ref="R580">INDEX(Honor!$Q$2:$Q800,MATCH($I580,Honor!$A$2:$A800,0))</f>
        <v>SURVEI-PPL</v>
      </c>
      <c r="S580" s="10" t="str">
        <f t="shared" si="3"/>
        <v>610422100016-2024-9</v>
      </c>
      <c r="T580" s="10" t="str">
        <f t="shared" si="4"/>
        <v>610422100016-2024-9-SURVEI-PPL</v>
      </c>
      <c r="U580" s="64">
        <v>0</v>
      </c>
      <c r="V580" s="10" t="e">
        <f t="array" aca="1" ref="V580" ca="1">INDEX(Honor!$O$2:$O800,MATCH($I580,Honor!$A$2:$A800,0))</f>
        <v>#NAME?</v>
      </c>
      <c r="W580" s="67"/>
      <c r="X580" s="7" t="str">
        <f t="array" ref="X580">INDEX('Input Kegiatan'!$B$2:$B800,MATCH(B580,'Input Kegiatan'!$A$2:$A800,0))</f>
        <v>Survei Harga Perdesaan (SHPED24) September</v>
      </c>
      <c r="Y580" s="7" t="s">
        <v>5250</v>
      </c>
      <c r="Z580" s="7" t="s">
        <v>5365</v>
      </c>
      <c r="AA580" s="68">
        <f t="shared" si="5"/>
        <v>45535</v>
      </c>
      <c r="AB580" s="68">
        <f t="shared" si="6"/>
        <v>45536</v>
      </c>
      <c r="AC580" s="68">
        <f t="shared" si="7"/>
        <v>45565</v>
      </c>
      <c r="AD580" s="68">
        <f t="shared" si="8"/>
        <v>45564</v>
      </c>
      <c r="AE580" s="68">
        <f t="shared" si="9"/>
        <v>45565</v>
      </c>
    </row>
    <row r="581" spans="1:31" ht="12.5">
      <c r="A581" s="125">
        <v>610422050001</v>
      </c>
      <c r="B581" s="65" t="s">
        <v>255</v>
      </c>
      <c r="D581" s="10">
        <f t="array" aca="1" ref="D581" ca="1">INDEX('Mitra per Bulan'!$M$2:$M800,MATCH(S581,'Mitra per Bulan'!$B$2:$B800,0))</f>
        <v>1</v>
      </c>
      <c r="E581" s="10" t="str">
        <f t="array" ref="E581">INDEX('Database Mitra'!$A$2:$A800,MATCH(A581,'Database Mitra'!$B$2:$B800,0))</f>
        <v>Evi Juniarty</v>
      </c>
      <c r="F581" s="64" t="s">
        <v>25</v>
      </c>
      <c r="G581" s="5" t="str">
        <f t="array" ref="G581">INDEX('Database Mitra'!$G$2:$G800,MATCH(A581,'Database Mitra'!$B$2:$B800,0))</f>
        <v>6102165101840001</v>
      </c>
      <c r="H581" s="64" t="s">
        <v>72</v>
      </c>
      <c r="I581" s="65" t="s">
        <v>256</v>
      </c>
      <c r="J581" s="10" t="str">
        <f t="array" ref="J581">INDEX(Honor!$H$2:$H800,MATCH($I581,Honor!$A$2:$A800,0))</f>
        <v>Dokumen</v>
      </c>
      <c r="K581" s="66">
        <f t="array" ref="K581">INDEX(Honor!$I$2:$I800,MATCH($I581,Honor!$A$2:$A800,0))</f>
        <v>65000</v>
      </c>
      <c r="L581" s="64">
        <v>3</v>
      </c>
      <c r="M581" s="10">
        <f t="shared" si="0"/>
        <v>195000</v>
      </c>
      <c r="O581" s="67">
        <f t="array" ref="O581">INDEX(Honor!$L$2:$L800,MATCH($I581,Honor!$A$2:$A800,0))</f>
        <v>45555</v>
      </c>
      <c r="P581" s="10">
        <f t="shared" si="1"/>
        <v>2024</v>
      </c>
      <c r="Q581" s="10">
        <f t="shared" si="2"/>
        <v>9</v>
      </c>
      <c r="R581" s="10" t="str">
        <f t="array" ref="R581">INDEX(Honor!$Q$2:$Q800,MATCH($I581,Honor!$A$2:$A800,0))</f>
        <v>SURVEI-PPL</v>
      </c>
      <c r="S581" s="10" t="str">
        <f t="shared" si="3"/>
        <v>610422050001-2024-9</v>
      </c>
      <c r="T581" s="10" t="str">
        <f t="shared" si="4"/>
        <v>610422050001-2024-9-SURVEI-PPL</v>
      </c>
      <c r="U581" s="64">
        <v>0</v>
      </c>
      <c r="V581" s="10" t="e">
        <f t="array" aca="1" ref="V581" ca="1">INDEX(Honor!$O$2:$O800,MATCH($I581,Honor!$A$2:$A800,0))</f>
        <v>#NAME?</v>
      </c>
      <c r="W581" s="67"/>
      <c r="X581" s="7" t="str">
        <f t="array" ref="X581">INDEX('Input Kegiatan'!$B$2:$B800,MATCH(B581,'Input Kegiatan'!$A$2:$A800,0))</f>
        <v>Survei Harga Perdesaan (SHPED24) September</v>
      </c>
      <c r="Y581" s="7" t="s">
        <v>4408</v>
      </c>
      <c r="Z581" s="7" t="s">
        <v>4409</v>
      </c>
      <c r="AA581" s="68">
        <f t="shared" si="5"/>
        <v>45535</v>
      </c>
      <c r="AB581" s="68">
        <f t="shared" si="6"/>
        <v>45536</v>
      </c>
      <c r="AC581" s="68">
        <f t="shared" si="7"/>
        <v>45565</v>
      </c>
      <c r="AD581" s="68">
        <f t="shared" si="8"/>
        <v>45564</v>
      </c>
      <c r="AE581" s="68">
        <f t="shared" si="9"/>
        <v>45565</v>
      </c>
    </row>
    <row r="582" spans="1:31" ht="12.5">
      <c r="A582" s="125">
        <v>610422040030</v>
      </c>
      <c r="B582" s="65" t="s">
        <v>255</v>
      </c>
      <c r="D582" s="10">
        <f t="array" aca="1" ref="D582" ca="1">INDEX('Mitra per Bulan'!$M$2:$M800,MATCH(S582,'Mitra per Bulan'!$B$2:$B800,0))</f>
        <v>1</v>
      </c>
      <c r="E582" s="10" t="str">
        <f t="array" ref="E582">INDEX('Database Mitra'!$A$2:$A800,MATCH(A582,'Database Mitra'!$B$2:$B800,0))</f>
        <v>Syarifah Desti Pratiwi</v>
      </c>
      <c r="F582" s="64" t="s">
        <v>25</v>
      </c>
      <c r="G582" s="5" t="str">
        <f t="array" ref="G582">INDEX('Database Mitra'!$G$2:$G800,MATCH(A582,'Database Mitra'!$B$2:$B800,0))</f>
        <v>6102084512950002</v>
      </c>
      <c r="H582" s="64" t="s">
        <v>74</v>
      </c>
      <c r="I582" s="65" t="s">
        <v>257</v>
      </c>
      <c r="J582" s="10" t="str">
        <f t="array" ref="J582">INDEX(Honor!$H$2:$H800,MATCH($I582,Honor!$A$2:$A800,0))</f>
        <v>Dokumen</v>
      </c>
      <c r="K582" s="66">
        <f t="array" ref="K582">INDEX(Honor!$I$2:$I800,MATCH($I582,Honor!$A$2:$A800,0))</f>
        <v>55000</v>
      </c>
      <c r="L582" s="64">
        <v>1</v>
      </c>
      <c r="M582" s="10">
        <f t="shared" si="0"/>
        <v>55000</v>
      </c>
      <c r="O582" s="67">
        <f t="array" ref="O582">INDEX(Honor!$L$2:$L800,MATCH($I582,Honor!$A$2:$A800,0))</f>
        <v>45555</v>
      </c>
      <c r="P582" s="10">
        <f t="shared" si="1"/>
        <v>2024</v>
      </c>
      <c r="Q582" s="10">
        <f t="shared" si="2"/>
        <v>9</v>
      </c>
      <c r="R582" s="10" t="str">
        <f t="array" ref="R582">INDEX(Honor!$Q$2:$Q800,MATCH($I582,Honor!$A$2:$A800,0))</f>
        <v>SURVEI-PPL</v>
      </c>
      <c r="S582" s="10" t="str">
        <f t="shared" si="3"/>
        <v>610422040030-2024-9</v>
      </c>
      <c r="T582" s="10" t="str">
        <f t="shared" si="4"/>
        <v>610422040030-2024-9-SURVEI-PPL</v>
      </c>
      <c r="U582" s="64">
        <v>0</v>
      </c>
      <c r="V582" s="10" t="e">
        <f t="array" aca="1" ref="V582" ca="1">INDEX(Honor!$O$2:$O800,MATCH($I582,Honor!$A$2:$A800,0))</f>
        <v>#NAME?</v>
      </c>
      <c r="W582" s="67"/>
      <c r="X582" s="7" t="str">
        <f t="array" ref="X582">INDEX('Input Kegiatan'!$B$2:$B800,MATCH(B582,'Input Kegiatan'!$A$2:$A800,0))</f>
        <v>Survei Harga Perdesaan (SHPED24) September</v>
      </c>
      <c r="Y582" s="7" t="s">
        <v>3241</v>
      </c>
      <c r="Z582" s="7" t="s">
        <v>3289</v>
      </c>
      <c r="AA582" s="68">
        <f t="shared" si="5"/>
        <v>45535</v>
      </c>
      <c r="AB582" s="68">
        <f t="shared" si="6"/>
        <v>45536</v>
      </c>
      <c r="AC582" s="68">
        <f t="shared" si="7"/>
        <v>45565</v>
      </c>
      <c r="AD582" s="68">
        <f t="shared" si="8"/>
        <v>45564</v>
      </c>
      <c r="AE582" s="68">
        <f t="shared" si="9"/>
        <v>45565</v>
      </c>
    </row>
    <row r="583" spans="1:31" ht="12.5">
      <c r="A583" s="125">
        <v>610422100124</v>
      </c>
      <c r="B583" s="65" t="s">
        <v>255</v>
      </c>
      <c r="D583" s="10">
        <f t="array" aca="1" ref="D583" ca="1">INDEX('Mitra per Bulan'!$M$2:$M800,MATCH(S583,'Mitra per Bulan'!$B$2:$B800,0))</f>
        <v>1</v>
      </c>
      <c r="E583" s="10" t="str">
        <f t="array" ref="E583">INDEX('Database Mitra'!$A$2:$A800,MATCH(A583,'Database Mitra'!$B$2:$B800,0))</f>
        <v>Prabowo</v>
      </c>
      <c r="F583" s="64" t="s">
        <v>25</v>
      </c>
      <c r="G583" s="5" t="str">
        <f t="array" ref="G583">INDEX('Database Mitra'!$G$2:$G800,MATCH(A583,'Database Mitra'!$B$2:$B800,0))</f>
        <v>6171010108790015</v>
      </c>
      <c r="H583" s="64" t="s">
        <v>74</v>
      </c>
      <c r="I583" s="65" t="s">
        <v>257</v>
      </c>
      <c r="J583" s="10" t="str">
        <f t="array" ref="J583">INDEX(Honor!$H$2:$H800,MATCH($I583,Honor!$A$2:$A800,0))</f>
        <v>Dokumen</v>
      </c>
      <c r="K583" s="66">
        <f t="array" ref="K583">INDEX(Honor!$I$2:$I800,MATCH($I583,Honor!$A$2:$A800,0))</f>
        <v>55000</v>
      </c>
      <c r="L583" s="64">
        <v>3</v>
      </c>
      <c r="M583" s="10">
        <f t="shared" si="0"/>
        <v>165000</v>
      </c>
      <c r="O583" s="67">
        <f t="array" ref="O583">INDEX(Honor!$L$2:$L800,MATCH($I583,Honor!$A$2:$A800,0))</f>
        <v>45555</v>
      </c>
      <c r="P583" s="10">
        <f t="shared" si="1"/>
        <v>2024</v>
      </c>
      <c r="Q583" s="10">
        <f t="shared" si="2"/>
        <v>9</v>
      </c>
      <c r="R583" s="10" t="str">
        <f t="array" ref="R583">INDEX(Honor!$Q$2:$Q800,MATCH($I583,Honor!$A$2:$A800,0))</f>
        <v>SURVEI-PPL</v>
      </c>
      <c r="S583" s="10" t="str">
        <f t="shared" si="3"/>
        <v>610422100124-2024-9</v>
      </c>
      <c r="T583" s="10" t="str">
        <f t="shared" si="4"/>
        <v>610422100124-2024-9-SURVEI-PPL</v>
      </c>
      <c r="U583" s="64">
        <v>0</v>
      </c>
      <c r="V583" s="10" t="e">
        <f t="array" aca="1" ref="V583" ca="1">INDEX(Honor!$O$2:$O800,MATCH($I583,Honor!$A$2:$A800,0))</f>
        <v>#NAME?</v>
      </c>
      <c r="W583" s="67"/>
      <c r="X583" s="7" t="str">
        <f t="array" ref="X583">INDEX('Input Kegiatan'!$B$2:$B800,MATCH(B583,'Input Kegiatan'!$A$2:$A800,0))</f>
        <v>Survei Harga Perdesaan (SHPED24) September</v>
      </c>
      <c r="Y583" s="7" t="s">
        <v>1921</v>
      </c>
      <c r="Z583" s="7" t="s">
        <v>2140</v>
      </c>
      <c r="AA583" s="68">
        <f t="shared" si="5"/>
        <v>45535</v>
      </c>
      <c r="AB583" s="68">
        <f t="shared" si="6"/>
        <v>45536</v>
      </c>
      <c r="AC583" s="68">
        <f t="shared" si="7"/>
        <v>45565</v>
      </c>
      <c r="AD583" s="68">
        <f t="shared" si="8"/>
        <v>45564</v>
      </c>
      <c r="AE583" s="68">
        <f t="shared" si="9"/>
        <v>45565</v>
      </c>
    </row>
    <row r="584" spans="1:31" ht="12.5">
      <c r="A584" s="125">
        <v>610422100244</v>
      </c>
      <c r="B584" s="65" t="s">
        <v>255</v>
      </c>
      <c r="D584" s="10">
        <f t="array" aca="1" ref="D584" ca="1">INDEX('Mitra per Bulan'!$M$2:$M800,MATCH(S584,'Mitra per Bulan'!$B$2:$B800,0))</f>
        <v>1</v>
      </c>
      <c r="E584" s="10" t="str">
        <f t="array" ref="E584">INDEX('Database Mitra'!$A$2:$A800,MATCH(A584,'Database Mitra'!$B$2:$B800,0))</f>
        <v>Sugianto</v>
      </c>
      <c r="F584" s="64" t="s">
        <v>25</v>
      </c>
      <c r="G584" s="5" t="str">
        <f t="array" ref="G584">INDEX('Database Mitra'!$G$2:$G800,MATCH(A584,'Database Mitra'!$B$2:$B800,0))</f>
        <v>6102171003900002</v>
      </c>
      <c r="H584" s="64" t="s">
        <v>74</v>
      </c>
      <c r="I584" s="65" t="s">
        <v>257</v>
      </c>
      <c r="J584" s="10" t="str">
        <f t="array" ref="J584">INDEX(Honor!$H$2:$H800,MATCH($I584,Honor!$A$2:$A800,0))</f>
        <v>Dokumen</v>
      </c>
      <c r="K584" s="66">
        <f t="array" ref="K584">INDEX(Honor!$I$2:$I800,MATCH($I584,Honor!$A$2:$A800,0))</f>
        <v>55000</v>
      </c>
      <c r="L584" s="64">
        <v>2</v>
      </c>
      <c r="M584" s="10">
        <f t="shared" si="0"/>
        <v>110000</v>
      </c>
      <c r="O584" s="67">
        <f t="array" ref="O584">INDEX(Honor!$L$2:$L800,MATCH($I584,Honor!$A$2:$A800,0))</f>
        <v>45555</v>
      </c>
      <c r="P584" s="10">
        <f t="shared" si="1"/>
        <v>2024</v>
      </c>
      <c r="Q584" s="10">
        <f t="shared" si="2"/>
        <v>9</v>
      </c>
      <c r="R584" s="10" t="str">
        <f t="array" ref="R584">INDEX(Honor!$Q$2:$Q800,MATCH($I584,Honor!$A$2:$A800,0))</f>
        <v>SURVEI-PPL</v>
      </c>
      <c r="S584" s="10" t="str">
        <f t="shared" si="3"/>
        <v>610422100244-2024-9</v>
      </c>
      <c r="T584" s="10" t="str">
        <f t="shared" si="4"/>
        <v>610422100244-2024-9-SURVEI-PPL</v>
      </c>
      <c r="U584" s="64">
        <v>0</v>
      </c>
      <c r="V584" s="10" t="e">
        <f t="array" aca="1" ref="V584" ca="1">INDEX(Honor!$O$2:$O800,MATCH($I584,Honor!$A$2:$A800,0))</f>
        <v>#NAME?</v>
      </c>
      <c r="W584" s="67"/>
      <c r="X584" s="7" t="str">
        <f t="array" ref="X584">INDEX('Input Kegiatan'!$B$2:$B800,MATCH(B584,'Input Kegiatan'!$A$2:$A800,0))</f>
        <v>Survei Harga Perdesaan (SHPED24) September</v>
      </c>
      <c r="Y584" s="7" t="s">
        <v>5741</v>
      </c>
      <c r="Z584" s="7" t="s">
        <v>5796</v>
      </c>
      <c r="AA584" s="68">
        <f t="shared" si="5"/>
        <v>45535</v>
      </c>
      <c r="AB584" s="68">
        <f t="shared" si="6"/>
        <v>45536</v>
      </c>
      <c r="AC584" s="68">
        <f t="shared" si="7"/>
        <v>45565</v>
      </c>
      <c r="AD584" s="68">
        <f t="shared" si="8"/>
        <v>45564</v>
      </c>
      <c r="AE584" s="68">
        <f t="shared" si="9"/>
        <v>45565</v>
      </c>
    </row>
    <row r="585" spans="1:31" ht="12.5">
      <c r="A585" s="125">
        <v>610422020016</v>
      </c>
      <c r="B585" s="65" t="s">
        <v>255</v>
      </c>
      <c r="D585" s="10">
        <f t="array" aca="1" ref="D585" ca="1">INDEX('Mitra per Bulan'!$M$2:$M800,MATCH(S585,'Mitra per Bulan'!$B$2:$B800,0))</f>
        <v>1</v>
      </c>
      <c r="E585" s="10" t="str">
        <f t="array" ref="E585">INDEX('Database Mitra'!$A$2:$A800,MATCH(A585,'Database Mitra'!$B$2:$B800,0))</f>
        <v>Abdul Aziz</v>
      </c>
      <c r="F585" s="64" t="s">
        <v>25</v>
      </c>
      <c r="G585" s="5" t="str">
        <f t="array" ref="G585">INDEX('Database Mitra'!$G$2:$G800,MATCH(A585,'Database Mitra'!$B$2:$B800,0))</f>
        <v>6102061507950006</v>
      </c>
      <c r="H585" s="64" t="s">
        <v>74</v>
      </c>
      <c r="I585" s="65" t="s">
        <v>257</v>
      </c>
      <c r="J585" s="10" t="str">
        <f t="array" ref="J585">INDEX(Honor!$H$2:$H800,MATCH($I585,Honor!$A$2:$A800,0))</f>
        <v>Dokumen</v>
      </c>
      <c r="K585" s="66">
        <f t="array" ref="K585">INDEX(Honor!$I$2:$I800,MATCH($I585,Honor!$A$2:$A800,0))</f>
        <v>55000</v>
      </c>
      <c r="L585" s="64">
        <v>3</v>
      </c>
      <c r="M585" s="10">
        <f t="shared" si="0"/>
        <v>165000</v>
      </c>
      <c r="O585" s="67">
        <f t="array" ref="O585">INDEX(Honor!$L$2:$L800,MATCH($I585,Honor!$A$2:$A800,0))</f>
        <v>45555</v>
      </c>
      <c r="P585" s="10">
        <f t="shared" si="1"/>
        <v>2024</v>
      </c>
      <c r="Q585" s="10">
        <f t="shared" si="2"/>
        <v>9</v>
      </c>
      <c r="R585" s="10" t="str">
        <f t="array" ref="R585">INDEX(Honor!$Q$2:$Q800,MATCH($I585,Honor!$A$2:$A800,0))</f>
        <v>SURVEI-PPL</v>
      </c>
      <c r="S585" s="10" t="str">
        <f t="shared" si="3"/>
        <v>610422020016-2024-9</v>
      </c>
      <c r="T585" s="10" t="str">
        <f t="shared" si="4"/>
        <v>610422020016-2024-9-SURVEI-PPL</v>
      </c>
      <c r="U585" s="64">
        <v>0</v>
      </c>
      <c r="V585" s="10" t="e">
        <f t="array" aca="1" ref="V585" ca="1">INDEX(Honor!$O$2:$O800,MATCH($I585,Honor!$A$2:$A800,0))</f>
        <v>#NAME?</v>
      </c>
      <c r="W585" s="67"/>
      <c r="X585" s="7" t="str">
        <f t="array" ref="X585">INDEX('Input Kegiatan'!$B$2:$B800,MATCH(B585,'Input Kegiatan'!$A$2:$A800,0))</f>
        <v>Survei Harga Perdesaan (SHPED24) September</v>
      </c>
      <c r="Y585" s="7" t="s">
        <v>5534</v>
      </c>
      <c r="Z585" s="7" t="s">
        <v>5535</v>
      </c>
      <c r="AA585" s="68">
        <f t="shared" si="5"/>
        <v>45535</v>
      </c>
      <c r="AB585" s="68">
        <f t="shared" si="6"/>
        <v>45536</v>
      </c>
      <c r="AC585" s="68">
        <f t="shared" si="7"/>
        <v>45565</v>
      </c>
      <c r="AD585" s="68">
        <f t="shared" si="8"/>
        <v>45564</v>
      </c>
      <c r="AE585" s="68">
        <f t="shared" si="9"/>
        <v>45565</v>
      </c>
    </row>
    <row r="586" spans="1:31" ht="12.5">
      <c r="A586" s="125">
        <v>610422100016</v>
      </c>
      <c r="B586" s="65" t="s">
        <v>255</v>
      </c>
      <c r="D586" s="10">
        <f t="array" aca="1" ref="D586" ca="1">INDEX('Mitra per Bulan'!$M$2:$M800,MATCH(S586,'Mitra per Bulan'!$B$2:$B800,0))</f>
        <v>1</v>
      </c>
      <c r="E586" s="10" t="str">
        <f t="array" ref="E586">INDEX('Database Mitra'!$A$2:$A800,MATCH(A586,'Database Mitra'!$B$2:$B800,0))</f>
        <v>Amalia Faisya</v>
      </c>
      <c r="F586" s="64" t="s">
        <v>25</v>
      </c>
      <c r="G586" s="5" t="str">
        <f t="array" ref="G586">INDEX('Database Mitra'!$G$2:$G800,MATCH(A586,'Database Mitra'!$B$2:$B800,0))</f>
        <v>6102124210010005</v>
      </c>
      <c r="H586" s="64" t="s">
        <v>74</v>
      </c>
      <c r="I586" s="65" t="s">
        <v>257</v>
      </c>
      <c r="J586" s="10" t="str">
        <f t="array" ref="J586">INDEX(Honor!$H$2:$H800,MATCH($I586,Honor!$A$2:$A800,0))</f>
        <v>Dokumen</v>
      </c>
      <c r="K586" s="66">
        <f t="array" ref="K586">INDEX(Honor!$I$2:$I800,MATCH($I586,Honor!$A$2:$A800,0))</f>
        <v>55000</v>
      </c>
      <c r="L586" s="64">
        <v>1</v>
      </c>
      <c r="M586" s="10">
        <f t="shared" si="0"/>
        <v>55000</v>
      </c>
      <c r="O586" s="67">
        <f t="array" ref="O586">INDEX(Honor!$L$2:$L800,MATCH($I586,Honor!$A$2:$A800,0))</f>
        <v>45555</v>
      </c>
      <c r="P586" s="10">
        <f t="shared" si="1"/>
        <v>2024</v>
      </c>
      <c r="Q586" s="10">
        <f t="shared" si="2"/>
        <v>9</v>
      </c>
      <c r="R586" s="10" t="str">
        <f t="array" ref="R586">INDEX(Honor!$Q$2:$Q800,MATCH($I586,Honor!$A$2:$A800,0))</f>
        <v>SURVEI-PPL</v>
      </c>
      <c r="S586" s="10" t="str">
        <f t="shared" si="3"/>
        <v>610422100016-2024-9</v>
      </c>
      <c r="T586" s="10" t="str">
        <f t="shared" si="4"/>
        <v>610422100016-2024-9-SURVEI-PPL</v>
      </c>
      <c r="U586" s="64">
        <v>0</v>
      </c>
      <c r="V586" s="10" t="e">
        <f t="array" aca="1" ref="V586" ca="1">INDEX(Honor!$O$2:$O800,MATCH($I586,Honor!$A$2:$A800,0))</f>
        <v>#NAME?</v>
      </c>
      <c r="W586" s="67"/>
      <c r="X586" s="7" t="str">
        <f t="array" ref="X586">INDEX('Input Kegiatan'!$B$2:$B800,MATCH(B586,'Input Kegiatan'!$A$2:$A800,0))</f>
        <v>Survei Harga Perdesaan (SHPED24) September</v>
      </c>
      <c r="Y586" s="7" t="s">
        <v>5250</v>
      </c>
      <c r="Z586" s="7" t="s">
        <v>5365</v>
      </c>
      <c r="AA586" s="68">
        <f t="shared" si="5"/>
        <v>45535</v>
      </c>
      <c r="AB586" s="68">
        <f t="shared" si="6"/>
        <v>45536</v>
      </c>
      <c r="AC586" s="68">
        <f t="shared" si="7"/>
        <v>45565</v>
      </c>
      <c r="AD586" s="68">
        <f t="shared" si="8"/>
        <v>45564</v>
      </c>
      <c r="AE586" s="68">
        <f t="shared" si="9"/>
        <v>45565</v>
      </c>
    </row>
    <row r="587" spans="1:31" ht="12.5">
      <c r="A587" s="125">
        <v>610422020048</v>
      </c>
      <c r="B587" s="65" t="s">
        <v>255</v>
      </c>
      <c r="D587" s="10">
        <f t="array" aca="1" ref="D587" ca="1">INDEX('Mitra per Bulan'!$M$2:$M800,MATCH(S587,'Mitra per Bulan'!$B$2:$B800,0))</f>
        <v>1</v>
      </c>
      <c r="E587" s="10" t="str">
        <f t="array" ref="E587">INDEX('Database Mitra'!$A$2:$A800,MATCH(A587,'Database Mitra'!$B$2:$B800,0))</f>
        <v>Herri Gustaman</v>
      </c>
      <c r="F587" s="64" t="s">
        <v>25</v>
      </c>
      <c r="G587" s="5" t="str">
        <f t="array" ref="G587">INDEX('Database Mitra'!$G$2:$G800,MATCH(A587,'Database Mitra'!$B$2:$B800,0))</f>
        <v>6102072503800001</v>
      </c>
      <c r="H587" s="64" t="s">
        <v>74</v>
      </c>
      <c r="I587" s="65" t="s">
        <v>257</v>
      </c>
      <c r="J587" s="10" t="str">
        <f t="array" ref="J587">INDEX(Honor!$H$2:$H800,MATCH($I587,Honor!$A$2:$A800,0))</f>
        <v>Dokumen</v>
      </c>
      <c r="K587" s="66">
        <f t="array" ref="K587">INDEX(Honor!$I$2:$I800,MATCH($I587,Honor!$A$2:$A800,0))</f>
        <v>55000</v>
      </c>
      <c r="L587" s="64">
        <v>3</v>
      </c>
      <c r="M587" s="10">
        <f t="shared" si="0"/>
        <v>165000</v>
      </c>
      <c r="O587" s="67">
        <f t="array" ref="O587">INDEX(Honor!$L$2:$L800,MATCH($I587,Honor!$A$2:$A800,0))</f>
        <v>45555</v>
      </c>
      <c r="P587" s="10">
        <f t="shared" si="1"/>
        <v>2024</v>
      </c>
      <c r="Q587" s="10">
        <f t="shared" si="2"/>
        <v>9</v>
      </c>
      <c r="R587" s="10" t="str">
        <f t="array" ref="R587">INDEX(Honor!$Q$2:$Q800,MATCH($I587,Honor!$A$2:$A800,0))</f>
        <v>SURVEI-PPL</v>
      </c>
      <c r="S587" s="10" t="str">
        <f t="shared" si="3"/>
        <v>610422020048-2024-9</v>
      </c>
      <c r="T587" s="10" t="str">
        <f t="shared" si="4"/>
        <v>610422020048-2024-9-SURVEI-PPL</v>
      </c>
      <c r="U587" s="64">
        <v>0</v>
      </c>
      <c r="V587" s="10" t="e">
        <f t="array" aca="1" ref="V587" ca="1">INDEX(Honor!$O$2:$O800,MATCH($I587,Honor!$A$2:$A800,0))</f>
        <v>#NAME?</v>
      </c>
      <c r="W587" s="67"/>
      <c r="X587" s="7" t="str">
        <f t="array" ref="X587">INDEX('Input Kegiatan'!$B$2:$B800,MATCH(B587,'Input Kegiatan'!$A$2:$A800,0))</f>
        <v>Survei Harga Perdesaan (SHPED24) September</v>
      </c>
      <c r="Y587" s="7" t="s">
        <v>4931</v>
      </c>
      <c r="Z587" s="7" t="s">
        <v>5171</v>
      </c>
      <c r="AA587" s="68">
        <f t="shared" si="5"/>
        <v>45535</v>
      </c>
      <c r="AB587" s="68">
        <f t="shared" si="6"/>
        <v>45536</v>
      </c>
      <c r="AC587" s="68">
        <f t="shared" si="7"/>
        <v>45565</v>
      </c>
      <c r="AD587" s="68">
        <f t="shared" si="8"/>
        <v>45564</v>
      </c>
      <c r="AE587" s="68">
        <f t="shared" si="9"/>
        <v>45565</v>
      </c>
    </row>
    <row r="588" spans="1:31" ht="12.5">
      <c r="A588" s="125">
        <v>610422040029</v>
      </c>
      <c r="B588" s="65" t="s">
        <v>255</v>
      </c>
      <c r="D588" s="10">
        <f t="array" aca="1" ref="D588" ca="1">INDEX('Mitra per Bulan'!$M$2:$M800,MATCH(S588,'Mitra per Bulan'!$B$2:$B800,0))</f>
        <v>1</v>
      </c>
      <c r="E588" s="10" t="str">
        <f t="array" ref="E588">INDEX('Database Mitra'!$A$2:$A800,MATCH(A588,'Database Mitra'!$B$2:$B800,0))</f>
        <v>Zaini</v>
      </c>
      <c r="F588" s="64" t="s">
        <v>25</v>
      </c>
      <c r="G588" s="5" t="str">
        <f t="array" ref="G588">INDEX('Database Mitra'!$G$2:$G800,MATCH(A588,'Database Mitra'!$B$2:$B800,0))</f>
        <v>6102010607870002</v>
      </c>
      <c r="H588" s="64" t="s">
        <v>74</v>
      </c>
      <c r="I588" s="65" t="s">
        <v>257</v>
      </c>
      <c r="J588" s="10" t="str">
        <f t="array" ref="J588">INDEX(Honor!$H$2:$H800,MATCH($I588,Honor!$A$2:$A800,0))</f>
        <v>Dokumen</v>
      </c>
      <c r="K588" s="66">
        <f t="array" ref="K588">INDEX(Honor!$I$2:$I800,MATCH($I588,Honor!$A$2:$A800,0))</f>
        <v>55000</v>
      </c>
      <c r="L588" s="64">
        <v>4</v>
      </c>
      <c r="M588" s="10">
        <f t="shared" si="0"/>
        <v>220000</v>
      </c>
      <c r="O588" s="67">
        <f t="array" ref="O588">INDEX(Honor!$L$2:$L800,MATCH($I588,Honor!$A$2:$A800,0))</f>
        <v>45555</v>
      </c>
      <c r="P588" s="10">
        <f t="shared" si="1"/>
        <v>2024</v>
      </c>
      <c r="Q588" s="10">
        <f t="shared" si="2"/>
        <v>9</v>
      </c>
      <c r="R588" s="10" t="str">
        <f t="array" ref="R588">INDEX(Honor!$Q$2:$Q800,MATCH($I588,Honor!$A$2:$A800,0))</f>
        <v>SURVEI-PPL</v>
      </c>
      <c r="S588" s="10" t="str">
        <f t="shared" si="3"/>
        <v>610422040029-2024-9</v>
      </c>
      <c r="T588" s="10" t="str">
        <f t="shared" si="4"/>
        <v>610422040029-2024-9-SURVEI-PPL</v>
      </c>
      <c r="U588" s="64">
        <v>0</v>
      </c>
      <c r="V588" s="10" t="e">
        <f t="array" aca="1" ref="V588" ca="1">INDEX(Honor!$O$2:$O800,MATCH($I588,Honor!$A$2:$A800,0))</f>
        <v>#NAME?</v>
      </c>
      <c r="W588" s="67"/>
      <c r="X588" s="7" t="str">
        <f t="array" ref="X588">INDEX('Input Kegiatan'!$B$2:$B800,MATCH(B588,'Input Kegiatan'!$A$2:$A800,0))</f>
        <v>Survei Harga Perdesaan (SHPED24) September</v>
      </c>
      <c r="Y588" s="7" t="s">
        <v>4572</v>
      </c>
      <c r="Z588" s="7" t="s">
        <v>4619</v>
      </c>
      <c r="AA588" s="68">
        <f t="shared" si="5"/>
        <v>45535</v>
      </c>
      <c r="AB588" s="68">
        <f t="shared" si="6"/>
        <v>45536</v>
      </c>
      <c r="AC588" s="68">
        <f t="shared" si="7"/>
        <v>45565</v>
      </c>
      <c r="AD588" s="68">
        <f t="shared" si="8"/>
        <v>45564</v>
      </c>
      <c r="AE588" s="68">
        <f t="shared" si="9"/>
        <v>45565</v>
      </c>
    </row>
    <row r="589" spans="1:31" ht="12.5">
      <c r="A589" s="125">
        <v>610422050001</v>
      </c>
      <c r="B589" s="65" t="s">
        <v>255</v>
      </c>
      <c r="D589" s="10">
        <f t="array" aca="1" ref="D589" ca="1">INDEX('Mitra per Bulan'!$M$2:$M800,MATCH(S589,'Mitra per Bulan'!$B$2:$B800,0))</f>
        <v>1</v>
      </c>
      <c r="E589" s="10" t="str">
        <f t="array" ref="E589">INDEX('Database Mitra'!$A$2:$A800,MATCH(A589,'Database Mitra'!$B$2:$B800,0))</f>
        <v>Evi Juniarty</v>
      </c>
      <c r="F589" s="64" t="s">
        <v>25</v>
      </c>
      <c r="G589" s="5" t="str">
        <f t="array" ref="G589">INDEX('Database Mitra'!$G$2:$G800,MATCH(A589,'Database Mitra'!$B$2:$B800,0))</f>
        <v>6102165101840001</v>
      </c>
      <c r="H589" s="64" t="s">
        <v>74</v>
      </c>
      <c r="I589" s="65" t="s">
        <v>257</v>
      </c>
      <c r="J589" s="10" t="str">
        <f t="array" ref="J589">INDEX(Honor!$H$2:$H800,MATCH($I589,Honor!$A$2:$A800,0))</f>
        <v>Dokumen</v>
      </c>
      <c r="K589" s="66">
        <f t="array" ref="K589">INDEX(Honor!$I$2:$I800,MATCH($I589,Honor!$A$2:$A800,0))</f>
        <v>55000</v>
      </c>
      <c r="L589" s="64">
        <v>1</v>
      </c>
      <c r="M589" s="10">
        <f t="shared" si="0"/>
        <v>55000</v>
      </c>
      <c r="O589" s="67">
        <f t="array" ref="O589">INDEX(Honor!$L$2:$L800,MATCH($I589,Honor!$A$2:$A800,0))</f>
        <v>45555</v>
      </c>
      <c r="P589" s="10">
        <f t="shared" si="1"/>
        <v>2024</v>
      </c>
      <c r="Q589" s="10">
        <f t="shared" si="2"/>
        <v>9</v>
      </c>
      <c r="R589" s="10" t="str">
        <f t="array" ref="R589">INDEX(Honor!$Q$2:$Q800,MATCH($I589,Honor!$A$2:$A800,0))</f>
        <v>SURVEI-PPL</v>
      </c>
      <c r="S589" s="10" t="str">
        <f t="shared" si="3"/>
        <v>610422050001-2024-9</v>
      </c>
      <c r="T589" s="10" t="str">
        <f t="shared" si="4"/>
        <v>610422050001-2024-9-SURVEI-PPL</v>
      </c>
      <c r="U589" s="64">
        <v>0</v>
      </c>
      <c r="V589" s="10" t="e">
        <f t="array" aca="1" ref="V589" ca="1">INDEX(Honor!$O$2:$O800,MATCH($I589,Honor!$A$2:$A800,0))</f>
        <v>#NAME?</v>
      </c>
      <c r="W589" s="67"/>
      <c r="X589" s="7" t="str">
        <f t="array" ref="X589">INDEX('Input Kegiatan'!$B$2:$B800,MATCH(B589,'Input Kegiatan'!$A$2:$A800,0))</f>
        <v>Survei Harga Perdesaan (SHPED24) September</v>
      </c>
      <c r="Y589" s="7" t="s">
        <v>4408</v>
      </c>
      <c r="Z589" s="7" t="s">
        <v>4409</v>
      </c>
      <c r="AA589" s="68">
        <f t="shared" si="5"/>
        <v>45535</v>
      </c>
      <c r="AB589" s="68">
        <f t="shared" si="6"/>
        <v>45536</v>
      </c>
      <c r="AC589" s="68">
        <f t="shared" si="7"/>
        <v>45565</v>
      </c>
      <c r="AD589" s="68">
        <f t="shared" si="8"/>
        <v>45564</v>
      </c>
      <c r="AE589" s="68">
        <f t="shared" si="9"/>
        <v>45565</v>
      </c>
    </row>
    <row r="590" spans="1:31" ht="12.5">
      <c r="A590" s="125">
        <v>610422100124</v>
      </c>
      <c r="B590" s="65" t="s">
        <v>258</v>
      </c>
      <c r="D590" s="10">
        <f t="array" aca="1" ref="D590" ca="1">INDEX('Mitra per Bulan'!$M$2:$M800,MATCH(S590,'Mitra per Bulan'!$B$2:$B800,0))</f>
        <v>1</v>
      </c>
      <c r="E590" s="10" t="str">
        <f t="array" ref="E590">INDEX('Database Mitra'!$A$2:$A800,MATCH(A590,'Database Mitra'!$B$2:$B800,0))</f>
        <v>Prabowo</v>
      </c>
      <c r="F590" s="64" t="s">
        <v>25</v>
      </c>
      <c r="G590" s="5" t="str">
        <f t="array" ref="G590">INDEX('Database Mitra'!$G$2:$G800,MATCH(A590,'Database Mitra'!$B$2:$B800,0))</f>
        <v>6171010108790015</v>
      </c>
      <c r="H590" s="64" t="s">
        <v>67</v>
      </c>
      <c r="I590" s="65" t="s">
        <v>259</v>
      </c>
      <c r="J590" s="10" t="str">
        <f t="array" ref="J590">INDEX(Honor!$H$2:$H800,MATCH($I590,Honor!$A$2:$A800,0))</f>
        <v>Dokumen</v>
      </c>
      <c r="K590" s="66">
        <f t="array" ref="K590">INDEX(Honor!$I$2:$I800,MATCH($I590,Honor!$A$2:$A800,0))</f>
        <v>55000</v>
      </c>
      <c r="L590" s="64">
        <v>2</v>
      </c>
      <c r="M590" s="10">
        <f t="shared" si="0"/>
        <v>110000</v>
      </c>
      <c r="O590" s="67">
        <f t="array" ref="O590">INDEX(Honor!$L$2:$L800,MATCH($I590,Honor!$A$2:$A800,0))</f>
        <v>45555</v>
      </c>
      <c r="P590" s="10">
        <f t="shared" si="1"/>
        <v>2024</v>
      </c>
      <c r="Q590" s="10">
        <f t="shared" si="2"/>
        <v>9</v>
      </c>
      <c r="R590" s="10" t="str">
        <f t="array" ref="R590">INDEX(Honor!$Q$2:$Q800,MATCH($I590,Honor!$A$2:$A800,0))</f>
        <v>SURVEI-PPL</v>
      </c>
      <c r="S590" s="10" t="str">
        <f t="shared" si="3"/>
        <v>610422100124-2024-9</v>
      </c>
      <c r="T590" s="10" t="str">
        <f t="shared" si="4"/>
        <v>610422100124-2024-9-SURVEI-PPL</v>
      </c>
      <c r="U590" s="64">
        <v>0</v>
      </c>
      <c r="V590" s="10" t="e">
        <f t="array" aca="1" ref="V590" ca="1">INDEX(Honor!$O$2:$O800,MATCH($I590,Honor!$A$2:$A800,0))</f>
        <v>#NAME?</v>
      </c>
      <c r="W590" s="67"/>
      <c r="X590" s="7" t="str">
        <f t="array" ref="X590">INDEX('Input Kegiatan'!$B$2:$B800,MATCH(B590,'Input Kegiatan'!$A$2:$A800,0))</f>
        <v>Survei Harga Produsen Beras di Penggilingan 2024 (HPBG24) September</v>
      </c>
      <c r="Y590" s="7" t="s">
        <v>1921</v>
      </c>
      <c r="Z590" s="7" t="s">
        <v>2140</v>
      </c>
      <c r="AA590" s="68">
        <f t="shared" si="5"/>
        <v>45535</v>
      </c>
      <c r="AB590" s="68">
        <f t="shared" si="6"/>
        <v>45536</v>
      </c>
      <c r="AC590" s="68">
        <f t="shared" si="7"/>
        <v>45565</v>
      </c>
      <c r="AD590" s="68">
        <f t="shared" si="8"/>
        <v>45564</v>
      </c>
      <c r="AE590" s="68">
        <f t="shared" si="9"/>
        <v>45565</v>
      </c>
    </row>
    <row r="591" spans="1:31" ht="12.5">
      <c r="A591" s="125">
        <v>610422100244</v>
      </c>
      <c r="B591" s="65" t="s">
        <v>258</v>
      </c>
      <c r="D591" s="10">
        <f t="array" aca="1" ref="D591" ca="1">INDEX('Mitra per Bulan'!$M$2:$M800,MATCH(S591,'Mitra per Bulan'!$B$2:$B800,0))</f>
        <v>1</v>
      </c>
      <c r="E591" s="10" t="str">
        <f t="array" ref="E591">INDEX('Database Mitra'!$A$2:$A800,MATCH(A591,'Database Mitra'!$B$2:$B800,0))</f>
        <v>Sugianto</v>
      </c>
      <c r="F591" s="64" t="s">
        <v>25</v>
      </c>
      <c r="G591" s="5" t="str">
        <f t="array" ref="G591">INDEX('Database Mitra'!$G$2:$G800,MATCH(A591,'Database Mitra'!$B$2:$B800,0))</f>
        <v>6102171003900002</v>
      </c>
      <c r="H591" s="64" t="s">
        <v>67</v>
      </c>
      <c r="I591" s="65" t="s">
        <v>259</v>
      </c>
      <c r="J591" s="10" t="str">
        <f t="array" ref="J591">INDEX(Honor!$H$2:$H800,MATCH($I591,Honor!$A$2:$A800,0))</f>
        <v>Dokumen</v>
      </c>
      <c r="K591" s="66">
        <f t="array" ref="K591">INDEX(Honor!$I$2:$I800,MATCH($I591,Honor!$A$2:$A800,0))</f>
        <v>55000</v>
      </c>
      <c r="L591" s="64">
        <v>2</v>
      </c>
      <c r="M591" s="10">
        <f t="shared" si="0"/>
        <v>110000</v>
      </c>
      <c r="O591" s="67">
        <f t="array" ref="O591">INDEX(Honor!$L$2:$L800,MATCH($I591,Honor!$A$2:$A800,0))</f>
        <v>45555</v>
      </c>
      <c r="P591" s="10">
        <f t="shared" si="1"/>
        <v>2024</v>
      </c>
      <c r="Q591" s="10">
        <f t="shared" si="2"/>
        <v>9</v>
      </c>
      <c r="R591" s="10" t="str">
        <f t="array" ref="R591">INDEX(Honor!$Q$2:$Q800,MATCH($I591,Honor!$A$2:$A800,0))</f>
        <v>SURVEI-PPL</v>
      </c>
      <c r="S591" s="10" t="str">
        <f t="shared" si="3"/>
        <v>610422100244-2024-9</v>
      </c>
      <c r="T591" s="10" t="str">
        <f t="shared" si="4"/>
        <v>610422100244-2024-9-SURVEI-PPL</v>
      </c>
      <c r="U591" s="64">
        <v>0</v>
      </c>
      <c r="V591" s="10" t="e">
        <f t="array" aca="1" ref="V591" ca="1">INDEX(Honor!$O$2:$O800,MATCH($I591,Honor!$A$2:$A800,0))</f>
        <v>#NAME?</v>
      </c>
      <c r="W591" s="67"/>
      <c r="X591" s="7" t="str">
        <f t="array" ref="X591">INDEX('Input Kegiatan'!$B$2:$B800,MATCH(B591,'Input Kegiatan'!$A$2:$A800,0))</f>
        <v>Survei Harga Produsen Beras di Penggilingan 2024 (HPBG24) September</v>
      </c>
      <c r="Y591" s="7" t="s">
        <v>5741</v>
      </c>
      <c r="Z591" s="7" t="s">
        <v>5796</v>
      </c>
      <c r="AA591" s="68">
        <f t="shared" si="5"/>
        <v>45535</v>
      </c>
      <c r="AB591" s="68">
        <f t="shared" si="6"/>
        <v>45536</v>
      </c>
      <c r="AC591" s="68">
        <f t="shared" si="7"/>
        <v>45565</v>
      </c>
      <c r="AD591" s="68">
        <f t="shared" si="8"/>
        <v>45564</v>
      </c>
      <c r="AE591" s="68">
        <f t="shared" si="9"/>
        <v>45565</v>
      </c>
    </row>
    <row r="592" spans="1:31" ht="12.5">
      <c r="A592" s="125">
        <v>610422100165</v>
      </c>
      <c r="B592" s="65" t="s">
        <v>258</v>
      </c>
      <c r="D592" s="10">
        <f t="array" aca="1" ref="D592" ca="1">INDEX('Mitra per Bulan'!$M$2:$M800,MATCH(S592,'Mitra per Bulan'!$B$2:$B800,0))</f>
        <v>1</v>
      </c>
      <c r="E592" s="10" t="str">
        <f t="array" ref="E592">INDEX('Database Mitra'!$A$2:$A800,MATCH(A592,'Database Mitra'!$B$2:$B800,0))</f>
        <v>Yanti</v>
      </c>
      <c r="F592" s="64" t="s">
        <v>25</v>
      </c>
      <c r="G592" s="5" t="str">
        <f t="array" ref="G592">INDEX('Database Mitra'!$G$2:$G800,MATCH(A592,'Database Mitra'!$B$2:$B800,0))</f>
        <v>6102074803980002</v>
      </c>
      <c r="H592" s="64" t="s">
        <v>67</v>
      </c>
      <c r="I592" s="65" t="s">
        <v>259</v>
      </c>
      <c r="J592" s="10" t="str">
        <f t="array" ref="J592">INDEX(Honor!$H$2:$H800,MATCH($I592,Honor!$A$2:$A800,0))</f>
        <v>Dokumen</v>
      </c>
      <c r="K592" s="66">
        <f t="array" ref="K592">INDEX(Honor!$I$2:$I800,MATCH($I592,Honor!$A$2:$A800,0))</f>
        <v>55000</v>
      </c>
      <c r="L592" s="64">
        <v>2</v>
      </c>
      <c r="M592" s="10">
        <f t="shared" si="0"/>
        <v>110000</v>
      </c>
      <c r="O592" s="67">
        <f t="array" ref="O592">INDEX(Honor!$L$2:$L800,MATCH($I592,Honor!$A$2:$A800,0))</f>
        <v>45555</v>
      </c>
      <c r="P592" s="10">
        <f t="shared" si="1"/>
        <v>2024</v>
      </c>
      <c r="Q592" s="10">
        <f t="shared" si="2"/>
        <v>9</v>
      </c>
      <c r="R592" s="10" t="str">
        <f t="array" ref="R592">INDEX(Honor!$Q$2:$Q800,MATCH($I592,Honor!$A$2:$A800,0))</f>
        <v>SURVEI-PPL</v>
      </c>
      <c r="S592" s="10" t="str">
        <f t="shared" si="3"/>
        <v>610422100165-2024-9</v>
      </c>
      <c r="T592" s="10" t="str">
        <f t="shared" si="4"/>
        <v>610422100165-2024-9-SURVEI-PPL</v>
      </c>
      <c r="U592" s="64">
        <v>0</v>
      </c>
      <c r="V592" s="10" t="e">
        <f t="array" aca="1" ref="V592" ca="1">INDEX(Honor!$O$2:$O800,MATCH($I592,Honor!$A$2:$A800,0))</f>
        <v>#NAME?</v>
      </c>
      <c r="W592" s="67"/>
      <c r="X592" s="7" t="str">
        <f t="array" ref="X592">INDEX('Input Kegiatan'!$B$2:$B800,MATCH(B592,'Input Kegiatan'!$A$2:$A800,0))</f>
        <v>Survei Harga Produsen Beras di Penggilingan 2024 (HPBG24) September</v>
      </c>
      <c r="Y592" s="7" t="s">
        <v>3990</v>
      </c>
      <c r="Z592" s="7" t="s">
        <v>4332</v>
      </c>
      <c r="AA592" s="68">
        <f t="shared" si="5"/>
        <v>45535</v>
      </c>
      <c r="AB592" s="68">
        <f t="shared" si="6"/>
        <v>45536</v>
      </c>
      <c r="AC592" s="68">
        <f t="shared" si="7"/>
        <v>45565</v>
      </c>
      <c r="AD592" s="68">
        <f t="shared" si="8"/>
        <v>45564</v>
      </c>
      <c r="AE592" s="68">
        <f t="shared" si="9"/>
        <v>45565</v>
      </c>
    </row>
    <row r="593" spans="1:31" ht="12.5">
      <c r="A593" s="125">
        <v>610422100165</v>
      </c>
      <c r="B593" s="65" t="s">
        <v>260</v>
      </c>
      <c r="D593" s="10">
        <f t="array" aca="1" ref="D593" ca="1">INDEX('Mitra per Bulan'!$M$2:$M800,MATCH(S593,'Mitra per Bulan'!$B$2:$B800,0))</f>
        <v>1</v>
      </c>
      <c r="E593" s="10" t="str">
        <f t="array" ref="E593">INDEX('Database Mitra'!$A$2:$A800,MATCH(A593,'Database Mitra'!$B$2:$B800,0))</f>
        <v>Yanti</v>
      </c>
      <c r="F593" s="64" t="s">
        <v>25</v>
      </c>
      <c r="G593" s="5" t="str">
        <f t="array" ref="G593">INDEX('Database Mitra'!$G$2:$G800,MATCH(A593,'Database Mitra'!$B$2:$B800,0))</f>
        <v>6102074803980002</v>
      </c>
      <c r="H593" s="64" t="s">
        <v>67</v>
      </c>
      <c r="I593" s="65" t="s">
        <v>261</v>
      </c>
      <c r="J593" s="10" t="str">
        <f t="array" ref="J593">INDEX(Honor!$H$2:$H800,MATCH($I593,Honor!$A$2:$A800,0))</f>
        <v>Dokumen</v>
      </c>
      <c r="K593" s="66">
        <f t="array" ref="K593">INDEX(Honor!$I$2:$I800,MATCH($I593,Honor!$A$2:$A800,0))</f>
        <v>50000</v>
      </c>
      <c r="L593" s="64">
        <v>1</v>
      </c>
      <c r="M593" s="10">
        <f t="shared" si="0"/>
        <v>50000</v>
      </c>
      <c r="O593" s="67">
        <f t="array" ref="O593">INDEX(Honor!$L$2:$L800,MATCH($I593,Honor!$A$2:$A800,0))</f>
        <v>45555</v>
      </c>
      <c r="P593" s="10">
        <f t="shared" si="1"/>
        <v>2024</v>
      </c>
      <c r="Q593" s="10">
        <f t="shared" si="2"/>
        <v>9</v>
      </c>
      <c r="R593" s="10" t="str">
        <f t="array" ref="R593">INDEX(Honor!$Q$2:$Q800,MATCH($I593,Honor!$A$2:$A800,0))</f>
        <v>SURVEI-PPL</v>
      </c>
      <c r="S593" s="10" t="str">
        <f t="shared" si="3"/>
        <v>610422100165-2024-9</v>
      </c>
      <c r="T593" s="10" t="str">
        <f t="shared" si="4"/>
        <v>610422100165-2024-9-SURVEI-PPL</v>
      </c>
      <c r="U593" s="64">
        <v>0</v>
      </c>
      <c r="V593" s="10" t="e">
        <f t="array" aca="1" ref="V593" ca="1">INDEX(Honor!$O$2:$O800,MATCH($I593,Honor!$A$2:$A800,0))</f>
        <v>#NAME?</v>
      </c>
      <c r="W593" s="67"/>
      <c r="X593" s="7" t="str">
        <f t="array" ref="X593">INDEX('Input Kegiatan'!$B$2:$B800,MATCH(B593,'Input Kegiatan'!$A$2:$A800,0))</f>
        <v>Survei Harga Produsen Jasa (HPJ24) September</v>
      </c>
      <c r="Y593" s="7" t="s">
        <v>3990</v>
      </c>
      <c r="Z593" s="7" t="s">
        <v>4332</v>
      </c>
      <c r="AA593" s="68">
        <f t="shared" si="5"/>
        <v>45535</v>
      </c>
      <c r="AB593" s="68">
        <f t="shared" si="6"/>
        <v>45536</v>
      </c>
      <c r="AC593" s="68">
        <f t="shared" si="7"/>
        <v>45565</v>
      </c>
      <c r="AD593" s="68">
        <f t="shared" si="8"/>
        <v>45564</v>
      </c>
      <c r="AE593" s="68">
        <f t="shared" si="9"/>
        <v>45565</v>
      </c>
    </row>
    <row r="594" spans="1:31" ht="12.5">
      <c r="A594" s="125">
        <v>610422040029</v>
      </c>
      <c r="B594" s="69" t="s">
        <v>262</v>
      </c>
      <c r="D594" s="10">
        <f t="array" aca="1" ref="D594" ca="1">INDEX('Mitra per Bulan'!$M$2:$M800,MATCH(S594,'Mitra per Bulan'!$B$2:$B800,0))</f>
        <v>1</v>
      </c>
      <c r="E594" s="10" t="str">
        <f t="array" ref="E594">INDEX('Database Mitra'!$A$2:$A800,MATCH(A594,'Database Mitra'!$B$2:$B800,0))</f>
        <v>Zaini</v>
      </c>
      <c r="F594" s="64" t="s">
        <v>25</v>
      </c>
      <c r="G594" s="5" t="str">
        <f t="array" ref="G594">INDEX('Database Mitra'!$G$2:$G800,MATCH(A594,'Database Mitra'!$B$2:$B800,0))</f>
        <v>6102010607870002</v>
      </c>
      <c r="H594" s="64" t="s">
        <v>67</v>
      </c>
      <c r="I594" s="65" t="s">
        <v>263</v>
      </c>
      <c r="J594" s="10" t="str">
        <f t="array" ref="J594">INDEX(Honor!$H$2:$H800,MATCH($I594,Honor!$A$2:$A800,0))</f>
        <v>Dokumen</v>
      </c>
      <c r="K594" s="66">
        <f t="array" ref="K594">INDEX(Honor!$I$2:$I800,MATCH($I594,Honor!$A$2:$A800,0))</f>
        <v>55000</v>
      </c>
      <c r="L594" s="64">
        <v>3</v>
      </c>
      <c r="M594" s="10">
        <f t="shared" si="0"/>
        <v>165000</v>
      </c>
      <c r="O594" s="67">
        <f t="array" ref="O594">INDEX(Honor!$L$2:$L800,MATCH($I594,Honor!$A$2:$A800,0))</f>
        <v>45555</v>
      </c>
      <c r="P594" s="10">
        <f t="shared" si="1"/>
        <v>2024</v>
      </c>
      <c r="Q594" s="10">
        <f t="shared" si="2"/>
        <v>9</v>
      </c>
      <c r="R594" s="10" t="str">
        <f t="array" ref="R594">INDEX(Honor!$Q$2:$Q800,MATCH($I594,Honor!$A$2:$A800,0))</f>
        <v>SURVEI-PPL</v>
      </c>
      <c r="S594" s="10" t="str">
        <f t="shared" si="3"/>
        <v>610422040029-2024-9</v>
      </c>
      <c r="T594" s="10" t="str">
        <f t="shared" si="4"/>
        <v>610422040029-2024-9-SURVEI-PPL</v>
      </c>
      <c r="U594" s="64">
        <v>0</v>
      </c>
      <c r="V594" s="10" t="e">
        <f t="array" aca="1" ref="V594" ca="1">INDEX(Honor!$O$2:$O800,MATCH($I594,Honor!$A$2:$A800,0))</f>
        <v>#NAME?</v>
      </c>
      <c r="W594" s="67"/>
      <c r="X594" s="7" t="str">
        <f t="array" ref="X594">INDEX('Input Kegiatan'!$B$2:$B800,MATCH(B594,'Input Kegiatan'!$A$2:$A800,0))</f>
        <v>Survei Hotel dan Jasa Akomodasi Bulanan (VHTS) 2024 September</v>
      </c>
      <c r="Y594" s="7" t="s">
        <v>4572</v>
      </c>
      <c r="Z594" s="7" t="s">
        <v>4619</v>
      </c>
      <c r="AA594" s="68">
        <f t="shared" si="5"/>
        <v>45535</v>
      </c>
      <c r="AB594" s="68">
        <f t="shared" si="6"/>
        <v>45536</v>
      </c>
      <c r="AC594" s="68">
        <f t="shared" si="7"/>
        <v>45565</v>
      </c>
      <c r="AD594" s="68">
        <f t="shared" si="8"/>
        <v>45564</v>
      </c>
      <c r="AE594" s="68">
        <f t="shared" si="9"/>
        <v>45565</v>
      </c>
    </row>
    <row r="595" spans="1:31" ht="12.5">
      <c r="A595" s="125">
        <v>610422100165</v>
      </c>
      <c r="B595" s="69" t="s">
        <v>262</v>
      </c>
      <c r="D595" s="10">
        <f t="array" aca="1" ref="D595" ca="1">INDEX('Mitra per Bulan'!$M$2:$M800,MATCH(S595,'Mitra per Bulan'!$B$2:$B800,0))</f>
        <v>1</v>
      </c>
      <c r="E595" s="10" t="str">
        <f t="array" ref="E595">INDEX('Database Mitra'!$A$2:$A800,MATCH(A595,'Database Mitra'!$B$2:$B800,0))</f>
        <v>Yanti</v>
      </c>
      <c r="F595" s="64" t="s">
        <v>25</v>
      </c>
      <c r="G595" s="5" t="str">
        <f t="array" ref="G595">INDEX('Database Mitra'!$G$2:$G800,MATCH(A595,'Database Mitra'!$B$2:$B800,0))</f>
        <v>6102074803980002</v>
      </c>
      <c r="H595" s="64" t="s">
        <v>67</v>
      </c>
      <c r="I595" s="65" t="s">
        <v>263</v>
      </c>
      <c r="J595" s="10" t="str">
        <f t="array" ref="J595">INDEX(Honor!$H$2:$H800,MATCH($I595,Honor!$A$2:$A800,0))</f>
        <v>Dokumen</v>
      </c>
      <c r="K595" s="66">
        <f t="array" ref="K595">INDEX(Honor!$I$2:$I800,MATCH($I595,Honor!$A$2:$A800,0))</f>
        <v>55000</v>
      </c>
      <c r="L595" s="64">
        <v>3</v>
      </c>
      <c r="M595" s="10">
        <f t="shared" si="0"/>
        <v>165000</v>
      </c>
      <c r="O595" s="67">
        <f t="array" ref="O595">INDEX(Honor!$L$2:$L800,MATCH($I595,Honor!$A$2:$A800,0))</f>
        <v>45555</v>
      </c>
      <c r="P595" s="10">
        <f t="shared" si="1"/>
        <v>2024</v>
      </c>
      <c r="Q595" s="10">
        <f t="shared" si="2"/>
        <v>9</v>
      </c>
      <c r="R595" s="10" t="str">
        <f t="array" ref="R595">INDEX(Honor!$Q$2:$Q800,MATCH($I595,Honor!$A$2:$A800,0))</f>
        <v>SURVEI-PPL</v>
      </c>
      <c r="S595" s="10" t="str">
        <f t="shared" si="3"/>
        <v>610422100165-2024-9</v>
      </c>
      <c r="T595" s="10" t="str">
        <f t="shared" si="4"/>
        <v>610422100165-2024-9-SURVEI-PPL</v>
      </c>
      <c r="U595" s="64">
        <v>0</v>
      </c>
      <c r="V595" s="10" t="e">
        <f t="array" aca="1" ref="V595" ca="1">INDEX(Honor!$O$2:$O800,MATCH($I595,Honor!$A$2:$A800,0))</f>
        <v>#NAME?</v>
      </c>
      <c r="W595" s="67"/>
      <c r="X595" s="7" t="str">
        <f t="array" ref="X595">INDEX('Input Kegiatan'!$B$2:$B800,MATCH(B595,'Input Kegiatan'!$A$2:$A800,0))</f>
        <v>Survei Hotel dan Jasa Akomodasi Bulanan (VHTS) 2024 September</v>
      </c>
      <c r="Y595" s="7" t="s">
        <v>3990</v>
      </c>
      <c r="Z595" s="7" t="s">
        <v>4332</v>
      </c>
      <c r="AA595" s="68">
        <f t="shared" si="5"/>
        <v>45535</v>
      </c>
      <c r="AB595" s="68">
        <f t="shared" si="6"/>
        <v>45536</v>
      </c>
      <c r="AC595" s="68">
        <f t="shared" si="7"/>
        <v>45565</v>
      </c>
      <c r="AD595" s="68">
        <f t="shared" si="8"/>
        <v>45564</v>
      </c>
      <c r="AE595" s="68">
        <f t="shared" si="9"/>
        <v>45565</v>
      </c>
    </row>
    <row r="596" spans="1:31" ht="12.5">
      <c r="A596" s="125">
        <v>610422050001</v>
      </c>
      <c r="B596" s="69" t="s">
        <v>262</v>
      </c>
      <c r="D596" s="10">
        <f t="array" aca="1" ref="D596" ca="1">INDEX('Mitra per Bulan'!$M$2:$M800,MATCH(S596,'Mitra per Bulan'!$B$2:$B800,0))</f>
        <v>1</v>
      </c>
      <c r="E596" s="10" t="str">
        <f t="array" ref="E596">INDEX('Database Mitra'!$A$2:$A800,MATCH(A596,'Database Mitra'!$B$2:$B800,0))</f>
        <v>Evi Juniarty</v>
      </c>
      <c r="F596" s="64" t="s">
        <v>25</v>
      </c>
      <c r="G596" s="5" t="str">
        <f t="array" ref="G596">INDEX('Database Mitra'!$G$2:$G800,MATCH(A596,'Database Mitra'!$B$2:$B800,0))</f>
        <v>6102165101840001</v>
      </c>
      <c r="H596" s="64" t="s">
        <v>67</v>
      </c>
      <c r="I596" s="65" t="s">
        <v>263</v>
      </c>
      <c r="J596" s="10" t="str">
        <f t="array" ref="J596">INDEX(Honor!$H$2:$H800,MATCH($I596,Honor!$A$2:$A800,0))</f>
        <v>Dokumen</v>
      </c>
      <c r="K596" s="66">
        <f t="array" ref="K596">INDEX(Honor!$I$2:$I800,MATCH($I596,Honor!$A$2:$A800,0))</f>
        <v>55000</v>
      </c>
      <c r="L596" s="64">
        <v>3</v>
      </c>
      <c r="M596" s="10">
        <f t="shared" si="0"/>
        <v>165000</v>
      </c>
      <c r="O596" s="67">
        <f t="array" ref="O596">INDEX(Honor!$L$2:$L800,MATCH($I596,Honor!$A$2:$A800,0))</f>
        <v>45555</v>
      </c>
      <c r="P596" s="10">
        <f t="shared" si="1"/>
        <v>2024</v>
      </c>
      <c r="Q596" s="10">
        <f t="shared" si="2"/>
        <v>9</v>
      </c>
      <c r="R596" s="10" t="str">
        <f t="array" ref="R596">INDEX(Honor!$Q$2:$Q800,MATCH($I596,Honor!$A$2:$A800,0))</f>
        <v>SURVEI-PPL</v>
      </c>
      <c r="S596" s="10" t="str">
        <f t="shared" si="3"/>
        <v>610422050001-2024-9</v>
      </c>
      <c r="T596" s="10" t="str">
        <f t="shared" si="4"/>
        <v>610422050001-2024-9-SURVEI-PPL</v>
      </c>
      <c r="U596" s="64">
        <v>0</v>
      </c>
      <c r="V596" s="10" t="e">
        <f t="array" aca="1" ref="V596" ca="1">INDEX(Honor!$O$2:$O800,MATCH($I596,Honor!$A$2:$A800,0))</f>
        <v>#NAME?</v>
      </c>
      <c r="W596" s="67"/>
      <c r="X596" s="7" t="str">
        <f t="array" ref="X596">INDEX('Input Kegiatan'!$B$2:$B800,MATCH(B596,'Input Kegiatan'!$A$2:$A800,0))</f>
        <v>Survei Hotel dan Jasa Akomodasi Bulanan (VHTS) 2024 September</v>
      </c>
      <c r="Y596" s="7" t="s">
        <v>4408</v>
      </c>
      <c r="Z596" s="7" t="s">
        <v>4409</v>
      </c>
      <c r="AA596" s="68">
        <f t="shared" si="5"/>
        <v>45535</v>
      </c>
      <c r="AB596" s="68">
        <f t="shared" si="6"/>
        <v>45536</v>
      </c>
      <c r="AC596" s="68">
        <f t="shared" si="7"/>
        <v>45565</v>
      </c>
      <c r="AD596" s="68">
        <f t="shared" si="8"/>
        <v>45564</v>
      </c>
      <c r="AE596" s="68">
        <f t="shared" si="9"/>
        <v>45565</v>
      </c>
    </row>
    <row r="597" spans="1:31" ht="12.5">
      <c r="A597" s="125">
        <v>610422040056</v>
      </c>
      <c r="B597" s="69" t="s">
        <v>262</v>
      </c>
      <c r="D597" s="10">
        <f t="array" aca="1" ref="D597" ca="1">INDEX('Mitra per Bulan'!$M$2:$M800,MATCH(S597,'Mitra per Bulan'!$B$2:$B800,0))</f>
        <v>1</v>
      </c>
      <c r="E597" s="10" t="str">
        <f t="array" ref="E597">INDEX('Database Mitra'!$A$2:$A800,MATCH(A597,'Database Mitra'!$B$2:$B800,0))</f>
        <v>Wandi Syafari</v>
      </c>
      <c r="F597" s="64" t="s">
        <v>25</v>
      </c>
      <c r="G597" s="5" t="str">
        <f t="array" ref="G597">INDEX('Database Mitra'!$G$2:$G800,MATCH(A597,'Database Mitra'!$B$2:$B800,0))</f>
        <v>6102010802760001</v>
      </c>
      <c r="H597" s="64" t="s">
        <v>67</v>
      </c>
      <c r="I597" s="65" t="s">
        <v>263</v>
      </c>
      <c r="J597" s="10" t="str">
        <f t="array" ref="J597">INDEX(Honor!$H$2:$H800,MATCH($I597,Honor!$A$2:$A800,0))</f>
        <v>Dokumen</v>
      </c>
      <c r="K597" s="66">
        <f t="array" ref="K597">INDEX(Honor!$I$2:$I800,MATCH($I597,Honor!$A$2:$A800,0))</f>
        <v>55000</v>
      </c>
      <c r="L597" s="64">
        <v>2</v>
      </c>
      <c r="M597" s="10">
        <f t="shared" si="0"/>
        <v>110000</v>
      </c>
      <c r="O597" s="67">
        <f t="array" ref="O597">INDEX(Honor!$L$2:$L800,MATCH($I597,Honor!$A$2:$A800,0))</f>
        <v>45555</v>
      </c>
      <c r="P597" s="10">
        <f t="shared" si="1"/>
        <v>2024</v>
      </c>
      <c r="Q597" s="10">
        <f t="shared" si="2"/>
        <v>9</v>
      </c>
      <c r="R597" s="10" t="str">
        <f t="array" ref="R597">INDEX(Honor!$Q$2:$Q800,MATCH($I597,Honor!$A$2:$A800,0))</f>
        <v>SURVEI-PPL</v>
      </c>
      <c r="S597" s="10" t="str">
        <f t="shared" si="3"/>
        <v>610422040056-2024-9</v>
      </c>
      <c r="T597" s="10" t="str">
        <f t="shared" si="4"/>
        <v>610422040056-2024-9-SURVEI-PPL</v>
      </c>
      <c r="U597" s="64">
        <v>0</v>
      </c>
      <c r="V597" s="10" t="e">
        <f t="array" aca="1" ref="V597" ca="1">INDEX(Honor!$O$2:$O800,MATCH($I597,Honor!$A$2:$A800,0))</f>
        <v>#NAME?</v>
      </c>
      <c r="W597" s="67"/>
      <c r="X597" s="7" t="str">
        <f t="array" ref="X597">INDEX('Input Kegiatan'!$B$2:$B800,MATCH(B597,'Input Kegiatan'!$A$2:$A800,0))</f>
        <v>Survei Hotel dan Jasa Akomodasi Bulanan (VHTS) 2024 September</v>
      </c>
      <c r="Y597" s="7" t="s">
        <v>4572</v>
      </c>
      <c r="Z597" s="7" t="s">
        <v>4656</v>
      </c>
      <c r="AA597" s="68">
        <f t="shared" si="5"/>
        <v>45535</v>
      </c>
      <c r="AB597" s="68">
        <f t="shared" si="6"/>
        <v>45536</v>
      </c>
      <c r="AC597" s="68">
        <f t="shared" si="7"/>
        <v>45565</v>
      </c>
      <c r="AD597" s="68">
        <f t="shared" si="8"/>
        <v>45564</v>
      </c>
      <c r="AE597" s="68">
        <f t="shared" si="9"/>
        <v>45565</v>
      </c>
    </row>
    <row r="598" spans="1:31" ht="12.5">
      <c r="A598" s="125">
        <v>610422100006</v>
      </c>
      <c r="B598" s="64" t="s">
        <v>264</v>
      </c>
      <c r="D598" s="10">
        <f t="array" aca="1" ref="D598" ca="1">INDEX('Mitra per Bulan'!$M$2:$M800,MATCH(S598,'Mitra per Bulan'!$B$2:$B800,0))</f>
        <v>1</v>
      </c>
      <c r="E598" s="10" t="str">
        <f t="array" ref="E598">INDEX('Database Mitra'!$A$2:$A800,MATCH(A598,'Database Mitra'!$B$2:$B800,0))</f>
        <v>Dandy</v>
      </c>
      <c r="F598" s="65"/>
      <c r="G598" s="5"/>
      <c r="H598" s="64" t="s">
        <v>67</v>
      </c>
      <c r="I598" s="65" t="s">
        <v>265</v>
      </c>
      <c r="J598" s="10" t="str">
        <f t="array" ref="J598">INDEX(Honor!$H$2:$H800,MATCH($I598,Honor!$A$2:$A800,0))</f>
        <v>Dokumen</v>
      </c>
      <c r="K598" s="66">
        <f t="array" ref="K598">INDEX(Honor!$I$2:$I800,MATCH($I598,Honor!$A$2:$A800,0))</f>
        <v>75000</v>
      </c>
      <c r="L598" s="64">
        <v>4</v>
      </c>
      <c r="M598" s="10">
        <f t="shared" si="0"/>
        <v>300000</v>
      </c>
      <c r="O598" s="67">
        <f t="array" ref="O598">INDEX(Honor!$L$2:$L800,MATCH($I598,Honor!$A$2:$A800,0))</f>
        <v>45535</v>
      </c>
      <c r="P598" s="10">
        <f t="shared" si="1"/>
        <v>2024</v>
      </c>
      <c r="Q598" s="10">
        <f t="shared" si="2"/>
        <v>8</v>
      </c>
      <c r="R598" s="10" t="str">
        <f t="array" ref="R598">INDEX(Honor!$Q$2:$Q800,MATCH($I598,Honor!$A$2:$A800,0))</f>
        <v>SURVEI-PPL</v>
      </c>
      <c r="S598" s="10" t="str">
        <f t="shared" si="3"/>
        <v>610422100006-2024-8</v>
      </c>
      <c r="T598" s="10" t="str">
        <f t="shared" si="4"/>
        <v>610422100006-2024-8-SURVEI-PPL</v>
      </c>
      <c r="U598" s="64">
        <v>0</v>
      </c>
      <c r="V598" s="10" t="e">
        <f t="array" aca="1" ref="V598" ca="1">INDEX(Honor!$O$2:$O800,MATCH($I598,Honor!$A$2:$A800,0))</f>
        <v>#NAME?</v>
      </c>
      <c r="W598" s="67"/>
      <c r="X598" s="7" t="str">
        <f t="array" ref="X598">INDEX('Input Kegiatan'!$B$2:$B800,MATCH(B598,'Input Kegiatan'!$A$2:$A800,0))</f>
        <v>(SEEA24) IN-DEPTH STUDY SYSTEM OF ENVIRONMENTAL ECONOMIC ACCOUNTING (SEEA) 2024</v>
      </c>
      <c r="Y598" s="7" t="s">
        <v>3241</v>
      </c>
      <c r="Z598" s="7" t="s">
        <v>3676</v>
      </c>
      <c r="AA598" s="68">
        <f t="shared" si="5"/>
        <v>45504</v>
      </c>
      <c r="AB598" s="68">
        <f t="shared" si="6"/>
        <v>45505</v>
      </c>
      <c r="AC598" s="68">
        <f t="shared" si="7"/>
        <v>45535</v>
      </c>
      <c r="AD598" s="68">
        <f t="shared" si="8"/>
        <v>45534</v>
      </c>
      <c r="AE598" s="68">
        <f t="shared" si="9"/>
        <v>45535</v>
      </c>
    </row>
    <row r="599" spans="1:31" ht="12.5">
      <c r="A599" s="125">
        <v>610422020016</v>
      </c>
      <c r="B599" s="64" t="s">
        <v>35</v>
      </c>
      <c r="D599" s="10">
        <f t="array" aca="1" ref="D599" ca="1">INDEX('Mitra per Bulan'!$M$2:$M800,MATCH(S599,'Mitra per Bulan'!$B$2:$B800,0))</f>
        <v>1</v>
      </c>
      <c r="E599" s="10" t="str">
        <f t="array" ref="E599">INDEX('Database Mitra'!$A$2:$A800,MATCH(A599,'Database Mitra'!$B$2:$B800,0))</f>
        <v>Abdul Aziz</v>
      </c>
      <c r="F599" s="65" t="s">
        <v>25</v>
      </c>
      <c r="G599" s="5" t="str">
        <f t="array" ref="G599">INDEX('Database Mitra'!$G$2:$G800,MATCH(A599,'Database Mitra'!$B$2:$B800,0))</f>
        <v>6102061507950006</v>
      </c>
      <c r="H599" s="64" t="s">
        <v>84</v>
      </c>
      <c r="I599" s="65" t="str">
        <f t="shared" ref="I599:I612" si="20">CONCATENATE(B599,"-",F599,"-",H599)</f>
        <v>KSA24-LAPANGAN-SEPTEMBER-PPL-KSA PADI</v>
      </c>
      <c r="J599" s="10" t="str">
        <f t="array" ref="J599">INDEX(Honor!$H$2:$H800,MATCH($I599,Honor!$A$2:$A800,0))</f>
        <v>Segmen</v>
      </c>
      <c r="K599" s="66">
        <f t="array" ref="K599">INDEX(Honor!$I$2:$I800,MATCH($I599,Honor!$A$2:$A800,0))</f>
        <v>116000</v>
      </c>
      <c r="L599" s="64">
        <v>3</v>
      </c>
      <c r="M599" s="10">
        <f t="shared" si="0"/>
        <v>348000</v>
      </c>
      <c r="O599" s="67">
        <f t="array" ref="O599">INDEX(Honor!$L$2:$L800,MATCH($I599,Honor!$A$2:$A800,0))</f>
        <v>45565</v>
      </c>
      <c r="P599" s="10">
        <f t="shared" si="1"/>
        <v>2024</v>
      </c>
      <c r="Q599" s="10">
        <f t="shared" si="2"/>
        <v>9</v>
      </c>
      <c r="R599" s="10" t="str">
        <f t="array" ref="R599">INDEX(Honor!$Q$2:$Q800,MATCH($I599,Honor!$A$2:$A800,0))</f>
        <v>SURVEI-PPL</v>
      </c>
      <c r="S599" s="10" t="str">
        <f t="shared" si="3"/>
        <v>610422020016-2024-9</v>
      </c>
      <c r="T599" s="10" t="str">
        <f t="shared" si="4"/>
        <v>610422020016-2024-9-SURVEI-PPL</v>
      </c>
      <c r="U599" s="64">
        <v>0</v>
      </c>
      <c r="V599" s="10" t="e">
        <f t="array" aca="1" ref="V599" ca="1">INDEX(Honor!$O$2:$O800,MATCH($I599,Honor!$A$2:$A800,0))</f>
        <v>#NAME?</v>
      </c>
      <c r="W599" s="67"/>
      <c r="X599" s="7" t="str">
        <f t="array" ref="X599">INDEX('Input Kegiatan'!$B$2:$B800,MATCH(B599,'Input Kegiatan'!$A$2:$A800,0))</f>
        <v>Kerangka Sampel Area (KSA) 2024 September</v>
      </c>
      <c r="Y599" s="7" t="s">
        <v>5534</v>
      </c>
      <c r="Z599" s="7" t="s">
        <v>5535</v>
      </c>
      <c r="AA599" s="68">
        <f t="shared" si="5"/>
        <v>45535</v>
      </c>
      <c r="AB599" s="68">
        <f t="shared" si="6"/>
        <v>45536</v>
      </c>
      <c r="AC599" s="68">
        <f t="shared" si="7"/>
        <v>45565</v>
      </c>
      <c r="AD599" s="68">
        <f t="shared" si="8"/>
        <v>45564</v>
      </c>
      <c r="AE599" s="68">
        <f t="shared" si="9"/>
        <v>45565</v>
      </c>
    </row>
    <row r="600" spans="1:31" ht="12.5">
      <c r="A600" s="125">
        <v>610422040012</v>
      </c>
      <c r="B600" s="64" t="s">
        <v>35</v>
      </c>
      <c r="D600" s="10">
        <f t="array" aca="1" ref="D600" ca="1">INDEX('Mitra per Bulan'!$M$2:$M800,MATCH(S600,'Mitra per Bulan'!$B$2:$B800,0))</f>
        <v>1</v>
      </c>
      <c r="E600" s="10" t="str">
        <f t="array" ref="E600">INDEX('Database Mitra'!$A$2:$A800,MATCH(A600,'Database Mitra'!$B$2:$B800,0))</f>
        <v>Misdi</v>
      </c>
      <c r="F600" s="65" t="s">
        <v>25</v>
      </c>
      <c r="G600" s="5" t="str">
        <f t="array" ref="G600">INDEX('Database Mitra'!$G$2:$G800,MATCH(A600,'Database Mitra'!$B$2:$B800,0))</f>
        <v>6102070706940001</v>
      </c>
      <c r="H600" s="64" t="s">
        <v>84</v>
      </c>
      <c r="I600" s="65" t="str">
        <f t="shared" si="20"/>
        <v>KSA24-LAPANGAN-SEPTEMBER-PPL-KSA PADI</v>
      </c>
      <c r="J600" s="10" t="str">
        <f t="array" ref="J600">INDEX(Honor!$H$2:$H800,MATCH($I600,Honor!$A$2:$A800,0))</f>
        <v>Segmen</v>
      </c>
      <c r="K600" s="66">
        <f t="array" ref="K600">INDEX(Honor!$I$2:$I800,MATCH($I600,Honor!$A$2:$A800,0))</f>
        <v>116000</v>
      </c>
      <c r="L600" s="64">
        <v>3</v>
      </c>
      <c r="M600" s="10">
        <f t="shared" si="0"/>
        <v>348000</v>
      </c>
      <c r="O600" s="67">
        <f t="array" ref="O600">INDEX(Honor!$L$2:$L800,MATCH($I600,Honor!$A$2:$A800,0))</f>
        <v>45565</v>
      </c>
      <c r="P600" s="10">
        <f t="shared" si="1"/>
        <v>2024</v>
      </c>
      <c r="Q600" s="10">
        <f t="shared" si="2"/>
        <v>9</v>
      </c>
      <c r="R600" s="10" t="str">
        <f t="array" ref="R600">INDEX(Honor!$Q$2:$Q800,MATCH($I600,Honor!$A$2:$A800,0))</f>
        <v>SURVEI-PPL</v>
      </c>
      <c r="S600" s="10" t="str">
        <f t="shared" si="3"/>
        <v>610422040012-2024-9</v>
      </c>
      <c r="T600" s="10" t="str">
        <f t="shared" si="4"/>
        <v>610422040012-2024-9-SURVEI-PPL</v>
      </c>
      <c r="U600" s="64">
        <v>0</v>
      </c>
      <c r="V600" s="10" t="e">
        <f t="array" aca="1" ref="V600" ca="1">INDEX(Honor!$O$2:$O800,MATCH($I600,Honor!$A$2:$A800,0))</f>
        <v>#NAME?</v>
      </c>
      <c r="W600" s="67"/>
      <c r="X600" s="7" t="str">
        <f t="array" ref="X600">INDEX('Input Kegiatan'!$B$2:$B800,MATCH(B600,'Input Kegiatan'!$A$2:$A800,0))</f>
        <v>Kerangka Sampel Area (KSA) 2024 September</v>
      </c>
      <c r="Y600" s="7" t="s">
        <v>3990</v>
      </c>
      <c r="Z600" s="7" t="s">
        <v>4365</v>
      </c>
      <c r="AA600" s="68">
        <f t="shared" si="5"/>
        <v>45535</v>
      </c>
      <c r="AB600" s="68">
        <f t="shared" si="6"/>
        <v>45536</v>
      </c>
      <c r="AC600" s="68">
        <f t="shared" si="7"/>
        <v>45565</v>
      </c>
      <c r="AD600" s="68">
        <f t="shared" si="8"/>
        <v>45564</v>
      </c>
      <c r="AE600" s="68">
        <f t="shared" si="9"/>
        <v>45565</v>
      </c>
    </row>
    <row r="601" spans="1:31" ht="12.5">
      <c r="A601" s="125">
        <v>610422040059</v>
      </c>
      <c r="B601" s="64" t="s">
        <v>35</v>
      </c>
      <c r="D601" s="10">
        <f t="array" aca="1" ref="D601" ca="1">INDEX('Mitra per Bulan'!$M$2:$M800,MATCH(S601,'Mitra per Bulan'!$B$2:$B800,0))</f>
        <v>1</v>
      </c>
      <c r="E601" s="10" t="str">
        <f t="array" ref="E601">INDEX('Database Mitra'!$A$2:$A800,MATCH(A601,'Database Mitra'!$B$2:$B800,0))</f>
        <v>Abang Handri</v>
      </c>
      <c r="F601" s="65" t="s">
        <v>25</v>
      </c>
      <c r="G601" s="5" t="str">
        <f t="array" ref="G601">INDEX('Database Mitra'!$G$2:$G800,MATCH(A601,'Database Mitra'!$B$2:$B800,0))</f>
        <v>6102072211780002</v>
      </c>
      <c r="H601" s="64" t="s">
        <v>84</v>
      </c>
      <c r="I601" s="65" t="str">
        <f t="shared" si="20"/>
        <v>KSA24-LAPANGAN-SEPTEMBER-PPL-KSA PADI</v>
      </c>
      <c r="J601" s="10" t="str">
        <f t="array" ref="J601">INDEX(Honor!$H$2:$H800,MATCH($I601,Honor!$A$2:$A800,0))</f>
        <v>Segmen</v>
      </c>
      <c r="K601" s="66">
        <f t="array" ref="K601">INDEX(Honor!$I$2:$I800,MATCH($I601,Honor!$A$2:$A800,0))</f>
        <v>116000</v>
      </c>
      <c r="L601" s="64">
        <v>4</v>
      </c>
      <c r="M601" s="10">
        <f t="shared" si="0"/>
        <v>464000</v>
      </c>
      <c r="O601" s="67">
        <f t="array" ref="O601">INDEX(Honor!$L$2:$L800,MATCH($I601,Honor!$A$2:$A800,0))</f>
        <v>45565</v>
      </c>
      <c r="P601" s="10">
        <f t="shared" si="1"/>
        <v>2024</v>
      </c>
      <c r="Q601" s="10">
        <f t="shared" si="2"/>
        <v>9</v>
      </c>
      <c r="R601" s="10" t="str">
        <f t="array" ref="R601">INDEX(Honor!$Q$2:$Q800,MATCH($I601,Honor!$A$2:$A800,0))</f>
        <v>SURVEI-PPL</v>
      </c>
      <c r="S601" s="10" t="str">
        <f t="shared" si="3"/>
        <v>610422040059-2024-9</v>
      </c>
      <c r="T601" s="10" t="str">
        <f t="shared" si="4"/>
        <v>610422040059-2024-9-SURVEI-PPL</v>
      </c>
      <c r="U601" s="64">
        <v>0</v>
      </c>
      <c r="V601" s="10" t="e">
        <f t="array" aca="1" ref="V601" ca="1">INDEX(Honor!$O$2:$O800,MATCH($I601,Honor!$A$2:$A800,0))</f>
        <v>#NAME?</v>
      </c>
      <c r="W601" s="67"/>
      <c r="X601" s="7" t="str">
        <f t="array" ref="X601">INDEX('Input Kegiatan'!$B$2:$B800,MATCH(B601,'Input Kegiatan'!$A$2:$A800,0))</f>
        <v>Kerangka Sampel Area (KSA) 2024 September</v>
      </c>
      <c r="Y601" s="7" t="s">
        <v>4572</v>
      </c>
      <c r="Z601" s="7" t="s">
        <v>4656</v>
      </c>
      <c r="AA601" s="68">
        <f t="shared" si="5"/>
        <v>45535</v>
      </c>
      <c r="AB601" s="68">
        <f t="shared" si="6"/>
        <v>45536</v>
      </c>
      <c r="AC601" s="68">
        <f t="shared" si="7"/>
        <v>45565</v>
      </c>
      <c r="AD601" s="68">
        <f t="shared" si="8"/>
        <v>45564</v>
      </c>
      <c r="AE601" s="68">
        <f t="shared" si="9"/>
        <v>45565</v>
      </c>
    </row>
    <row r="602" spans="1:31" ht="12.5">
      <c r="A602" s="125">
        <v>610422040061</v>
      </c>
      <c r="B602" s="64" t="s">
        <v>35</v>
      </c>
      <c r="D602" s="10">
        <f t="array" aca="1" ref="D602" ca="1">INDEX('Mitra per Bulan'!$M$2:$M800,MATCH(S602,'Mitra per Bulan'!$B$2:$B800,0))</f>
        <v>1</v>
      </c>
      <c r="E602" s="10" t="str">
        <f t="array" ref="E602">INDEX('Database Mitra'!$A$2:$A800,MATCH(A602,'Database Mitra'!$B$2:$B800,0))</f>
        <v>Sabani</v>
      </c>
      <c r="F602" s="65" t="s">
        <v>25</v>
      </c>
      <c r="G602" s="5" t="str">
        <f t="array" ref="G602">INDEX('Database Mitra'!$G$2:$G800,MATCH(A602,'Database Mitra'!$B$2:$B800,0))</f>
        <v>6102153112860003</v>
      </c>
      <c r="H602" s="64" t="s">
        <v>84</v>
      </c>
      <c r="I602" s="65" t="str">
        <f t="shared" si="20"/>
        <v>KSA24-LAPANGAN-SEPTEMBER-PPL-KSA PADI</v>
      </c>
      <c r="J602" s="10" t="str">
        <f t="array" ref="J602">INDEX(Honor!$H$2:$H800,MATCH($I602,Honor!$A$2:$A800,0))</f>
        <v>Segmen</v>
      </c>
      <c r="K602" s="66">
        <f t="array" ref="K602">INDEX(Honor!$I$2:$I800,MATCH($I602,Honor!$A$2:$A800,0))</f>
        <v>116000</v>
      </c>
      <c r="L602" s="64">
        <v>3</v>
      </c>
      <c r="M602" s="10">
        <f t="shared" si="0"/>
        <v>348000</v>
      </c>
      <c r="O602" s="67">
        <f t="array" ref="O602">INDEX(Honor!$L$2:$L800,MATCH($I602,Honor!$A$2:$A800,0))</f>
        <v>45565</v>
      </c>
      <c r="P602" s="10">
        <f t="shared" si="1"/>
        <v>2024</v>
      </c>
      <c r="Q602" s="10">
        <f t="shared" si="2"/>
        <v>9</v>
      </c>
      <c r="R602" s="10" t="str">
        <f t="array" ref="R602">INDEX(Honor!$Q$2:$Q800,MATCH($I602,Honor!$A$2:$A800,0))</f>
        <v>SURVEI-PPL</v>
      </c>
      <c r="S602" s="10" t="str">
        <f t="shared" si="3"/>
        <v>610422040061-2024-9</v>
      </c>
      <c r="T602" s="10" t="str">
        <f t="shared" si="4"/>
        <v>610422040061-2024-9-SURVEI-PPL</v>
      </c>
      <c r="U602" s="64">
        <v>0</v>
      </c>
      <c r="V602" s="10" t="e">
        <f t="array" aca="1" ref="V602" ca="1">INDEX(Honor!$O$2:$O800,MATCH($I602,Honor!$A$2:$A800,0))</f>
        <v>#NAME?</v>
      </c>
      <c r="W602" s="67"/>
      <c r="X602" s="7" t="str">
        <f t="array" ref="X602">INDEX('Input Kegiatan'!$B$2:$B800,MATCH(B602,'Input Kegiatan'!$A$2:$A800,0))</f>
        <v>Kerangka Sampel Area (KSA) 2024 September</v>
      </c>
      <c r="Y602" s="7" t="s">
        <v>3715</v>
      </c>
      <c r="Z602" s="7" t="s">
        <v>3862</v>
      </c>
      <c r="AA602" s="68">
        <f t="shared" si="5"/>
        <v>45535</v>
      </c>
      <c r="AB602" s="68">
        <f t="shared" si="6"/>
        <v>45536</v>
      </c>
      <c r="AC602" s="68">
        <f t="shared" si="7"/>
        <v>45565</v>
      </c>
      <c r="AD602" s="68">
        <f t="shared" si="8"/>
        <v>45564</v>
      </c>
      <c r="AE602" s="68">
        <f t="shared" si="9"/>
        <v>45565</v>
      </c>
    </row>
    <row r="603" spans="1:31" ht="12.5">
      <c r="A603" s="125">
        <v>610422100131</v>
      </c>
      <c r="B603" s="64" t="s">
        <v>35</v>
      </c>
      <c r="D603" s="10">
        <f t="array" aca="1" ref="D603" ca="1">INDEX('Mitra per Bulan'!$M$2:$M800,MATCH(S603,'Mitra per Bulan'!$B$2:$B800,0))</f>
        <v>1</v>
      </c>
      <c r="E603" s="10" t="str">
        <f t="array" ref="E603">INDEX('Database Mitra'!$A$2:$A800,MATCH(A603,'Database Mitra'!$B$2:$B800,0))</f>
        <v>Syamsul</v>
      </c>
      <c r="F603" s="65" t="s">
        <v>25</v>
      </c>
      <c r="G603" s="5" t="str">
        <f t="array" ref="G603">INDEX('Database Mitra'!$G$2:$G800,MATCH(A603,'Database Mitra'!$B$2:$B800,0))</f>
        <v>6102150907860003</v>
      </c>
      <c r="H603" s="64" t="s">
        <v>84</v>
      </c>
      <c r="I603" s="65" t="str">
        <f t="shared" si="20"/>
        <v>KSA24-LAPANGAN-SEPTEMBER-PPL-KSA PADI</v>
      </c>
      <c r="J603" s="10" t="str">
        <f t="array" ref="J603">INDEX(Honor!$H$2:$H800,MATCH($I603,Honor!$A$2:$A800,0))</f>
        <v>Segmen</v>
      </c>
      <c r="K603" s="66">
        <f t="array" ref="K603">INDEX(Honor!$I$2:$I800,MATCH($I603,Honor!$A$2:$A800,0))</f>
        <v>116000</v>
      </c>
      <c r="L603" s="64">
        <v>3</v>
      </c>
      <c r="M603" s="10">
        <f t="shared" si="0"/>
        <v>348000</v>
      </c>
      <c r="O603" s="67">
        <f t="array" ref="O603">INDEX(Honor!$L$2:$L800,MATCH($I603,Honor!$A$2:$A800,0))</f>
        <v>45565</v>
      </c>
      <c r="P603" s="10">
        <f t="shared" si="1"/>
        <v>2024</v>
      </c>
      <c r="Q603" s="10">
        <f t="shared" si="2"/>
        <v>9</v>
      </c>
      <c r="R603" s="10" t="str">
        <f t="array" ref="R603">INDEX(Honor!$Q$2:$Q800,MATCH($I603,Honor!$A$2:$A800,0))</f>
        <v>SURVEI-PPL</v>
      </c>
      <c r="S603" s="10" t="str">
        <f t="shared" si="3"/>
        <v>610422100131-2024-9</v>
      </c>
      <c r="T603" s="10" t="str">
        <f t="shared" si="4"/>
        <v>610422100131-2024-9-SURVEI-PPL</v>
      </c>
      <c r="U603" s="64">
        <v>0</v>
      </c>
      <c r="V603" s="10" t="e">
        <f t="array" aca="1" ref="V603" ca="1">INDEX(Honor!$O$2:$O800,MATCH($I603,Honor!$A$2:$A800,0))</f>
        <v>#NAME?</v>
      </c>
      <c r="W603" s="67"/>
      <c r="X603" s="7" t="str">
        <f t="array" ref="X603">INDEX('Input Kegiatan'!$B$2:$B800,MATCH(B603,'Input Kegiatan'!$A$2:$A800,0))</f>
        <v>Kerangka Sampel Area (KSA) 2024 September</v>
      </c>
      <c r="Y603" s="7" t="s">
        <v>5250</v>
      </c>
      <c r="Z603" s="7" t="s">
        <v>5365</v>
      </c>
      <c r="AA603" s="68">
        <f t="shared" si="5"/>
        <v>45535</v>
      </c>
      <c r="AB603" s="68">
        <f t="shared" si="6"/>
        <v>45536</v>
      </c>
      <c r="AC603" s="68">
        <f t="shared" si="7"/>
        <v>45565</v>
      </c>
      <c r="AD603" s="68">
        <f t="shared" si="8"/>
        <v>45564</v>
      </c>
      <c r="AE603" s="68">
        <f t="shared" si="9"/>
        <v>45565</v>
      </c>
    </row>
    <row r="604" spans="1:31" ht="12.5">
      <c r="A604" s="125">
        <v>610422100244</v>
      </c>
      <c r="B604" s="64" t="s">
        <v>35</v>
      </c>
      <c r="D604" s="10">
        <f t="array" aca="1" ref="D604" ca="1">INDEX('Mitra per Bulan'!$M$2:$M800,MATCH(S604,'Mitra per Bulan'!$B$2:$B800,0))</f>
        <v>1</v>
      </c>
      <c r="E604" s="10" t="str">
        <f t="array" ref="E604">INDEX('Database Mitra'!$A$2:$A800,MATCH(A604,'Database Mitra'!$B$2:$B800,0))</f>
        <v>Sugianto</v>
      </c>
      <c r="F604" s="65" t="s">
        <v>25</v>
      </c>
      <c r="G604" s="5" t="str">
        <f t="array" ref="G604">INDEX('Database Mitra'!$G$2:$G800,MATCH(A604,'Database Mitra'!$B$2:$B800,0))</f>
        <v>6102171003900002</v>
      </c>
      <c r="H604" s="64" t="s">
        <v>84</v>
      </c>
      <c r="I604" s="65" t="str">
        <f t="shared" si="20"/>
        <v>KSA24-LAPANGAN-SEPTEMBER-PPL-KSA PADI</v>
      </c>
      <c r="J604" s="10" t="str">
        <f t="array" ref="J604">INDEX(Honor!$H$2:$H800,MATCH($I604,Honor!$A$2:$A800,0))</f>
        <v>Segmen</v>
      </c>
      <c r="K604" s="66">
        <f t="array" ref="K604">INDEX(Honor!$I$2:$I800,MATCH($I604,Honor!$A$2:$A800,0))</f>
        <v>116000</v>
      </c>
      <c r="L604" s="64">
        <v>3</v>
      </c>
      <c r="M604" s="10">
        <f t="shared" si="0"/>
        <v>348000</v>
      </c>
      <c r="O604" s="67">
        <f t="array" ref="O604">INDEX(Honor!$L$2:$L800,MATCH($I604,Honor!$A$2:$A800,0))</f>
        <v>45565</v>
      </c>
      <c r="P604" s="10">
        <f t="shared" si="1"/>
        <v>2024</v>
      </c>
      <c r="Q604" s="10">
        <f t="shared" si="2"/>
        <v>9</v>
      </c>
      <c r="R604" s="10" t="str">
        <f t="array" ref="R604">INDEX(Honor!$Q$2:$Q800,MATCH($I604,Honor!$A$2:$A800,0))</f>
        <v>SURVEI-PPL</v>
      </c>
      <c r="S604" s="10" t="str">
        <f t="shared" si="3"/>
        <v>610422100244-2024-9</v>
      </c>
      <c r="T604" s="10" t="str">
        <f t="shared" si="4"/>
        <v>610422100244-2024-9-SURVEI-PPL</v>
      </c>
      <c r="U604" s="64">
        <v>0</v>
      </c>
      <c r="V604" s="10" t="e">
        <f t="array" aca="1" ref="V604" ca="1">INDEX(Honor!$O$2:$O800,MATCH($I604,Honor!$A$2:$A800,0))</f>
        <v>#NAME?</v>
      </c>
      <c r="W604" s="67"/>
      <c r="X604" s="7" t="str">
        <f t="array" ref="X604">INDEX('Input Kegiatan'!$B$2:$B800,MATCH(B604,'Input Kegiatan'!$A$2:$A800,0))</f>
        <v>Kerangka Sampel Area (KSA) 2024 September</v>
      </c>
      <c r="Y604" s="7" t="s">
        <v>5741</v>
      </c>
      <c r="Z604" s="7" t="s">
        <v>5796</v>
      </c>
      <c r="AA604" s="68">
        <f t="shared" si="5"/>
        <v>45535</v>
      </c>
      <c r="AB604" s="68">
        <f t="shared" si="6"/>
        <v>45536</v>
      </c>
      <c r="AC604" s="68">
        <f t="shared" si="7"/>
        <v>45565</v>
      </c>
      <c r="AD604" s="68">
        <f t="shared" si="8"/>
        <v>45564</v>
      </c>
      <c r="AE604" s="68">
        <f t="shared" si="9"/>
        <v>45565</v>
      </c>
    </row>
    <row r="605" spans="1:31" ht="12.5">
      <c r="A605" s="125">
        <v>610422100176</v>
      </c>
      <c r="B605" s="64" t="s">
        <v>35</v>
      </c>
      <c r="D605" s="10">
        <f t="array" aca="1" ref="D605" ca="1">INDEX('Mitra per Bulan'!$M$2:$M800,MATCH(S605,'Mitra per Bulan'!$B$2:$B800,0))</f>
        <v>1</v>
      </c>
      <c r="E605" s="10" t="str">
        <f t="array" ref="E605">INDEX('Database Mitra'!$A$2:$A800,MATCH(A605,'Database Mitra'!$B$2:$B800,0))</f>
        <v>Feri Firdaus</v>
      </c>
      <c r="F605" s="65" t="s">
        <v>25</v>
      </c>
      <c r="G605" s="5" t="str">
        <f t="array" ref="G605">INDEX('Database Mitra'!$G$2:$G800,MATCH(A605,'Database Mitra'!$B$2:$B800,0))</f>
        <v>6102150412880001</v>
      </c>
      <c r="H605" s="64" t="s">
        <v>84</v>
      </c>
      <c r="I605" s="65" t="str">
        <f t="shared" si="20"/>
        <v>KSA24-LAPANGAN-SEPTEMBER-PPL-KSA PADI</v>
      </c>
      <c r="J605" s="10" t="str">
        <f t="array" ref="J605">INDEX(Honor!$H$2:$H800,MATCH($I605,Honor!$A$2:$A800,0))</f>
        <v>Segmen</v>
      </c>
      <c r="K605" s="66">
        <f t="array" ref="K605">INDEX(Honor!$I$2:$I800,MATCH($I605,Honor!$A$2:$A800,0))</f>
        <v>116000</v>
      </c>
      <c r="L605" s="64">
        <v>3</v>
      </c>
      <c r="M605" s="10">
        <f t="shared" si="0"/>
        <v>348000</v>
      </c>
      <c r="O605" s="67">
        <f t="array" ref="O605">INDEX(Honor!$L$2:$L800,MATCH($I605,Honor!$A$2:$A800,0))</f>
        <v>45565</v>
      </c>
      <c r="P605" s="10">
        <f t="shared" si="1"/>
        <v>2024</v>
      </c>
      <c r="Q605" s="10">
        <f t="shared" si="2"/>
        <v>9</v>
      </c>
      <c r="R605" s="10" t="str">
        <f t="array" ref="R605">INDEX(Honor!$Q$2:$Q800,MATCH($I605,Honor!$A$2:$A800,0))</f>
        <v>SURVEI-PPL</v>
      </c>
      <c r="S605" s="10" t="str">
        <f t="shared" si="3"/>
        <v>610422100176-2024-9</v>
      </c>
      <c r="T605" s="10" t="str">
        <f t="shared" si="4"/>
        <v>610422100176-2024-9-SURVEI-PPL</v>
      </c>
      <c r="U605" s="64">
        <v>0</v>
      </c>
      <c r="V605" s="10" t="e">
        <f t="array" aca="1" ref="V605" ca="1">INDEX(Honor!$O$2:$O800,MATCH($I605,Honor!$A$2:$A800,0))</f>
        <v>#NAME?</v>
      </c>
      <c r="W605" s="67"/>
      <c r="X605" s="7" t="str">
        <f t="array" ref="X605">INDEX('Input Kegiatan'!$B$2:$B800,MATCH(B605,'Input Kegiatan'!$A$2:$A800,0))</f>
        <v>Kerangka Sampel Area (KSA) 2024 September</v>
      </c>
      <c r="Y605" s="7" t="s">
        <v>3715</v>
      </c>
      <c r="Z605" s="7" t="s">
        <v>3765</v>
      </c>
      <c r="AA605" s="68">
        <f t="shared" si="5"/>
        <v>45535</v>
      </c>
      <c r="AB605" s="68">
        <f t="shared" si="6"/>
        <v>45536</v>
      </c>
      <c r="AC605" s="68">
        <f t="shared" si="7"/>
        <v>45565</v>
      </c>
      <c r="AD605" s="68">
        <f t="shared" si="8"/>
        <v>45564</v>
      </c>
      <c r="AE605" s="68">
        <f t="shared" si="9"/>
        <v>45565</v>
      </c>
    </row>
    <row r="606" spans="1:31" ht="12.5">
      <c r="A606" s="125">
        <v>610423110183</v>
      </c>
      <c r="B606" s="64" t="s">
        <v>35</v>
      </c>
      <c r="D606" s="10">
        <f t="array" aca="1" ref="D606" ca="1">INDEX('Mitra per Bulan'!$M$2:$M800,MATCH(S606,'Mitra per Bulan'!$B$2:$B800,0))</f>
        <v>1</v>
      </c>
      <c r="E606" s="10" t="str">
        <f t="array" ref="E606">INDEX('Database Mitra'!$A$2:$A800,MATCH(A606,'Database Mitra'!$B$2:$B800,0))</f>
        <v>Azhar</v>
      </c>
      <c r="F606" s="65" t="s">
        <v>25</v>
      </c>
      <c r="G606" s="5" t="str">
        <f t="array" ref="G606">INDEX('Database Mitra'!$G$2:$G800,MATCH(A606,'Database Mitra'!$B$2:$B800,0))</f>
        <v>6102081211790004</v>
      </c>
      <c r="H606" s="64" t="s">
        <v>84</v>
      </c>
      <c r="I606" s="65" t="str">
        <f t="shared" si="20"/>
        <v>KSA24-LAPANGAN-SEPTEMBER-PPL-KSA PADI</v>
      </c>
      <c r="J606" s="10" t="str">
        <f t="array" ref="J606">INDEX(Honor!$H$2:$H800,MATCH($I606,Honor!$A$2:$A800,0))</f>
        <v>Segmen</v>
      </c>
      <c r="K606" s="66">
        <f t="array" ref="K606">INDEX(Honor!$I$2:$I800,MATCH($I606,Honor!$A$2:$A800,0))</f>
        <v>116000</v>
      </c>
      <c r="L606" s="64">
        <v>6</v>
      </c>
      <c r="M606" s="10">
        <f t="shared" si="0"/>
        <v>696000</v>
      </c>
      <c r="O606" s="67">
        <f t="array" ref="O606">INDEX(Honor!$L$2:$L800,MATCH($I606,Honor!$A$2:$A800,0))</f>
        <v>45565</v>
      </c>
      <c r="P606" s="10">
        <f t="shared" si="1"/>
        <v>2024</v>
      </c>
      <c r="Q606" s="10">
        <f t="shared" si="2"/>
        <v>9</v>
      </c>
      <c r="R606" s="10" t="str">
        <f t="array" ref="R606">INDEX(Honor!$Q$2:$Q800,MATCH($I606,Honor!$A$2:$A800,0))</f>
        <v>SURVEI-PPL</v>
      </c>
      <c r="S606" s="10" t="str">
        <f t="shared" si="3"/>
        <v>610423110183-2024-9</v>
      </c>
      <c r="T606" s="10" t="str">
        <f t="shared" si="4"/>
        <v>610423110183-2024-9-SURVEI-PPL</v>
      </c>
      <c r="U606" s="64">
        <v>0</v>
      </c>
      <c r="V606" s="10" t="e">
        <f t="array" aca="1" ref="V606" ca="1">INDEX(Honor!$O$2:$O800,MATCH($I606,Honor!$A$2:$A800,0))</f>
        <v>#NAME?</v>
      </c>
      <c r="W606" s="67"/>
      <c r="X606" s="7" t="str">
        <f t="array" ref="X606">INDEX('Input Kegiatan'!$B$2:$B800,MATCH(B606,'Input Kegiatan'!$A$2:$A800,0))</f>
        <v>Kerangka Sampel Area (KSA) 2024 September</v>
      </c>
      <c r="Y606" s="7" t="s">
        <v>3241</v>
      </c>
      <c r="Z606" s="7" t="s">
        <v>3242</v>
      </c>
      <c r="AA606" s="68">
        <f t="shared" si="5"/>
        <v>45535</v>
      </c>
      <c r="AB606" s="68">
        <f t="shared" si="6"/>
        <v>45536</v>
      </c>
      <c r="AC606" s="68">
        <f t="shared" si="7"/>
        <v>45565</v>
      </c>
      <c r="AD606" s="68">
        <f t="shared" si="8"/>
        <v>45564</v>
      </c>
      <c r="AE606" s="68">
        <f t="shared" si="9"/>
        <v>45565</v>
      </c>
    </row>
    <row r="607" spans="1:31" ht="12.5">
      <c r="A607" s="125">
        <v>610423040018</v>
      </c>
      <c r="B607" s="64" t="s">
        <v>35</v>
      </c>
      <c r="D607" s="10">
        <f t="array" aca="1" ref="D607" ca="1">INDEX('Mitra per Bulan'!$M$2:$M800,MATCH(S607,'Mitra per Bulan'!$B$2:$B800,0))</f>
        <v>1</v>
      </c>
      <c r="E607" s="10" t="str">
        <f t="array" ref="E607">INDEX('Database Mitra'!$A$2:$A800,MATCH(A607,'Database Mitra'!$B$2:$B800,0))</f>
        <v>Handoko Tuah Sabarman Sipayung</v>
      </c>
      <c r="F607" s="64" t="s">
        <v>25</v>
      </c>
      <c r="G607" s="5" t="str">
        <f t="array" ref="G607">INDEX('Database Mitra'!$G$2:$G800,MATCH(A607,'Database Mitra'!$B$2:$B800,0))</f>
        <v>1212092309880001</v>
      </c>
      <c r="H607" s="64" t="s">
        <v>84</v>
      </c>
      <c r="I607" s="65" t="str">
        <f t="shared" si="20"/>
        <v>KSA24-LAPANGAN-SEPTEMBER-PPL-KSA PADI</v>
      </c>
      <c r="J607" s="10" t="str">
        <f t="array" ref="J607">INDEX(Honor!$H$2:$H800,MATCH($I607,Honor!$A$2:$A800,0))</f>
        <v>Segmen</v>
      </c>
      <c r="K607" s="66">
        <f t="array" ref="K607">INDEX(Honor!$I$2:$I800,MATCH($I607,Honor!$A$2:$A800,0))</f>
        <v>116000</v>
      </c>
      <c r="L607" s="64">
        <v>4</v>
      </c>
      <c r="M607" s="10">
        <f t="shared" si="0"/>
        <v>464000</v>
      </c>
      <c r="O607" s="67">
        <f t="array" ref="O607">INDEX(Honor!$L$2:$L800,MATCH($I607,Honor!$A$2:$A800,0))</f>
        <v>45565</v>
      </c>
      <c r="P607" s="10">
        <f t="shared" si="1"/>
        <v>2024</v>
      </c>
      <c r="Q607" s="10">
        <f t="shared" si="2"/>
        <v>9</v>
      </c>
      <c r="R607" s="10" t="str">
        <f t="array" ref="R607">INDEX(Honor!$Q$2:$Q800,MATCH($I607,Honor!$A$2:$A800,0))</f>
        <v>SURVEI-PPL</v>
      </c>
      <c r="S607" s="10" t="str">
        <f t="shared" si="3"/>
        <v>610423040018-2024-9</v>
      </c>
      <c r="T607" s="10" t="str">
        <f t="shared" si="4"/>
        <v>610423040018-2024-9-SURVEI-PPL</v>
      </c>
      <c r="U607" s="64">
        <v>0</v>
      </c>
      <c r="V607" s="10" t="e">
        <f t="array" aca="1" ref="V607" ca="1">INDEX(Honor!$O$2:$O800,MATCH($I607,Honor!$A$2:$A800,0))</f>
        <v>#NAME?</v>
      </c>
      <c r="W607" s="67"/>
      <c r="X607" s="7" t="str">
        <f t="array" ref="X607">INDEX('Input Kegiatan'!$B$2:$B800,MATCH(B607,'Input Kegiatan'!$A$2:$A800,0))</f>
        <v>Kerangka Sampel Area (KSA) 2024 September</v>
      </c>
      <c r="Y607" s="7" t="s">
        <v>5534</v>
      </c>
      <c r="Z607" s="7" t="s">
        <v>5647</v>
      </c>
      <c r="AA607" s="68">
        <f t="shared" si="5"/>
        <v>45535</v>
      </c>
      <c r="AB607" s="68">
        <f t="shared" si="6"/>
        <v>45536</v>
      </c>
      <c r="AC607" s="68">
        <f t="shared" si="7"/>
        <v>45565</v>
      </c>
      <c r="AD607" s="68">
        <f t="shared" si="8"/>
        <v>45564</v>
      </c>
      <c r="AE607" s="68">
        <f t="shared" si="9"/>
        <v>45565</v>
      </c>
    </row>
    <row r="608" spans="1:31" ht="12.5">
      <c r="A608" s="125">
        <v>610422040059</v>
      </c>
      <c r="B608" s="64" t="s">
        <v>35</v>
      </c>
      <c r="D608" s="10">
        <f t="array" aca="1" ref="D608" ca="1">INDEX('Mitra per Bulan'!$M$2:$M800,MATCH(S608,'Mitra per Bulan'!$B$2:$B800,0))</f>
        <v>1</v>
      </c>
      <c r="E608" s="10" t="str">
        <f t="array" ref="E608">INDEX('Database Mitra'!$A$2:$A800,MATCH(A608,'Database Mitra'!$B$2:$B800,0))</f>
        <v>Abang Handri</v>
      </c>
      <c r="F608" s="64" t="s">
        <v>25</v>
      </c>
      <c r="G608" s="5" t="str">
        <f t="array" ref="G608">INDEX('Database Mitra'!$G$2:$G800,MATCH(A608,'Database Mitra'!$B$2:$B800,0))</f>
        <v>6102072211780002</v>
      </c>
      <c r="H608" s="64" t="s">
        <v>85</v>
      </c>
      <c r="I608" s="65" t="str">
        <f t="shared" si="20"/>
        <v>KSA24-LAPANGAN-SEPTEMBER-PPL-KSA JAGUNG</v>
      </c>
      <c r="J608" s="10" t="str">
        <f t="array" ref="J608">INDEX(Honor!$H$2:$H800,MATCH($I608,Honor!$A$2:$A800,0))</f>
        <v>Segmen</v>
      </c>
      <c r="K608" s="66">
        <f t="array" ref="K608">INDEX(Honor!$I$2:$I800,MATCH($I608,Honor!$A$2:$A800,0))</f>
        <v>59000</v>
      </c>
      <c r="L608" s="64">
        <v>6</v>
      </c>
      <c r="M608" s="10">
        <f t="shared" si="0"/>
        <v>354000</v>
      </c>
      <c r="O608" s="67">
        <f t="array" ref="O608">INDEX(Honor!$L$2:$L800,MATCH($I608,Honor!$A$2:$A800,0))</f>
        <v>45565</v>
      </c>
      <c r="P608" s="10">
        <f t="shared" si="1"/>
        <v>2024</v>
      </c>
      <c r="Q608" s="10">
        <f t="shared" si="2"/>
        <v>9</v>
      </c>
      <c r="R608" s="10" t="str">
        <f t="array" ref="R608">INDEX(Honor!$Q$2:$Q800,MATCH($I608,Honor!$A$2:$A800,0))</f>
        <v>SURVEI-PPL</v>
      </c>
      <c r="S608" s="10" t="str">
        <f t="shared" si="3"/>
        <v>610422040059-2024-9</v>
      </c>
      <c r="T608" s="10" t="str">
        <f t="shared" si="4"/>
        <v>610422040059-2024-9-SURVEI-PPL</v>
      </c>
      <c r="U608" s="64">
        <v>0</v>
      </c>
      <c r="V608" s="10" t="e">
        <f t="array" aca="1" ref="V608" ca="1">INDEX(Honor!$O$2:$O800,MATCH($I608,Honor!$A$2:$A800,0))</f>
        <v>#NAME?</v>
      </c>
      <c r="W608" s="67"/>
      <c r="X608" s="7" t="str">
        <f t="array" ref="X608">INDEX('Input Kegiatan'!$B$2:$B800,MATCH(B608,'Input Kegiatan'!$A$2:$A800,0))</f>
        <v>Kerangka Sampel Area (KSA) 2024 September</v>
      </c>
      <c r="Y608" s="7" t="s">
        <v>4572</v>
      </c>
      <c r="Z608" s="7" t="s">
        <v>4656</v>
      </c>
      <c r="AA608" s="68">
        <f t="shared" si="5"/>
        <v>45535</v>
      </c>
      <c r="AB608" s="68">
        <f t="shared" si="6"/>
        <v>45536</v>
      </c>
      <c r="AC608" s="68">
        <f t="shared" si="7"/>
        <v>45565</v>
      </c>
      <c r="AD608" s="68">
        <f t="shared" si="8"/>
        <v>45564</v>
      </c>
      <c r="AE608" s="68">
        <f t="shared" si="9"/>
        <v>45565</v>
      </c>
    </row>
    <row r="609" spans="1:31" ht="12.5">
      <c r="A609" s="125">
        <v>610422020048</v>
      </c>
      <c r="B609" s="64" t="s">
        <v>35</v>
      </c>
      <c r="D609" s="10">
        <f t="array" aca="1" ref="D609" ca="1">INDEX('Mitra per Bulan'!$M$2:$M800,MATCH(S609,'Mitra per Bulan'!$B$2:$B800,0))</f>
        <v>1</v>
      </c>
      <c r="E609" s="10" t="str">
        <f t="array" ref="E609">INDEX('Database Mitra'!$A$2:$A800,MATCH(A609,'Database Mitra'!$B$2:$B800,0))</f>
        <v>Herri Gustaman</v>
      </c>
      <c r="F609" s="64" t="s">
        <v>25</v>
      </c>
      <c r="G609" s="5" t="str">
        <f t="array" ref="G609">INDEX('Database Mitra'!$G$2:$G800,MATCH(A609,'Database Mitra'!$B$2:$B800,0))</f>
        <v>6102072503800001</v>
      </c>
      <c r="H609" s="64" t="s">
        <v>85</v>
      </c>
      <c r="I609" s="65" t="str">
        <f t="shared" si="20"/>
        <v>KSA24-LAPANGAN-SEPTEMBER-PPL-KSA JAGUNG</v>
      </c>
      <c r="J609" s="10" t="str">
        <f t="array" ref="J609">INDEX(Honor!$H$2:$H800,MATCH($I609,Honor!$A$2:$A800,0))</f>
        <v>Segmen</v>
      </c>
      <c r="K609" s="66">
        <f t="array" ref="K609">INDEX(Honor!$I$2:$I800,MATCH($I609,Honor!$A$2:$A800,0))</f>
        <v>59000</v>
      </c>
      <c r="L609" s="64">
        <v>6</v>
      </c>
      <c r="M609" s="10">
        <f t="shared" si="0"/>
        <v>354000</v>
      </c>
      <c r="O609" s="67">
        <f t="array" ref="O609">INDEX(Honor!$L$2:$L800,MATCH($I609,Honor!$A$2:$A800,0))</f>
        <v>45565</v>
      </c>
      <c r="P609" s="10">
        <f t="shared" si="1"/>
        <v>2024</v>
      </c>
      <c r="Q609" s="10">
        <f t="shared" si="2"/>
        <v>9</v>
      </c>
      <c r="R609" s="10" t="str">
        <f t="array" ref="R609">INDEX(Honor!$Q$2:$Q800,MATCH($I609,Honor!$A$2:$A800,0))</f>
        <v>SURVEI-PPL</v>
      </c>
      <c r="S609" s="10" t="str">
        <f t="shared" si="3"/>
        <v>610422020048-2024-9</v>
      </c>
      <c r="T609" s="10" t="str">
        <f t="shared" si="4"/>
        <v>610422020048-2024-9-SURVEI-PPL</v>
      </c>
      <c r="U609" s="64">
        <v>0</v>
      </c>
      <c r="V609" s="10" t="e">
        <f t="array" aca="1" ref="V609" ca="1">INDEX(Honor!$O$2:$O800,MATCH($I609,Honor!$A$2:$A800,0))</f>
        <v>#NAME?</v>
      </c>
      <c r="W609" s="67"/>
      <c r="X609" s="7" t="str">
        <f t="array" ref="X609">INDEX('Input Kegiatan'!$B$2:$B800,MATCH(B609,'Input Kegiatan'!$A$2:$A800,0))</f>
        <v>Kerangka Sampel Area (KSA) 2024 September</v>
      </c>
      <c r="Y609" s="7" t="s">
        <v>4931</v>
      </c>
      <c r="Z609" s="7" t="s">
        <v>5171</v>
      </c>
      <c r="AA609" s="68">
        <f t="shared" si="5"/>
        <v>45535</v>
      </c>
      <c r="AB609" s="68">
        <f t="shared" si="6"/>
        <v>45536</v>
      </c>
      <c r="AC609" s="68">
        <f t="shared" si="7"/>
        <v>45565</v>
      </c>
      <c r="AD609" s="68">
        <f t="shared" si="8"/>
        <v>45564</v>
      </c>
      <c r="AE609" s="68">
        <f t="shared" si="9"/>
        <v>45565</v>
      </c>
    </row>
    <row r="610" spans="1:31" ht="12.5">
      <c r="A610" s="125">
        <v>610422040058</v>
      </c>
      <c r="B610" s="64" t="s">
        <v>35</v>
      </c>
      <c r="D610" s="10">
        <f t="array" aca="1" ref="D610" ca="1">INDEX('Mitra per Bulan'!$M$2:$M800,MATCH(S610,'Mitra per Bulan'!$B$2:$B800,0))</f>
        <v>1</v>
      </c>
      <c r="E610" s="10" t="str">
        <f t="array" ref="E610">INDEX('Database Mitra'!$A$2:$A800,MATCH(A610,'Database Mitra'!$B$2:$B800,0))</f>
        <v>Jamaluddin, Sp</v>
      </c>
      <c r="F610" s="64" t="s">
        <v>25</v>
      </c>
      <c r="G610" s="5" t="str">
        <f t="array" ref="G610">INDEX('Database Mitra'!$G$2:$G800,MATCH(A610,'Database Mitra'!$B$2:$B800,0))</f>
        <v>6102152607940002</v>
      </c>
      <c r="H610" s="64" t="s">
        <v>85</v>
      </c>
      <c r="I610" s="65" t="str">
        <f t="shared" si="20"/>
        <v>KSA24-LAPANGAN-SEPTEMBER-PPL-KSA JAGUNG</v>
      </c>
      <c r="J610" s="10" t="str">
        <f t="array" ref="J610">INDEX(Honor!$H$2:$H800,MATCH($I610,Honor!$A$2:$A800,0))</f>
        <v>Segmen</v>
      </c>
      <c r="K610" s="66">
        <f t="array" ref="K610">INDEX(Honor!$I$2:$I800,MATCH($I610,Honor!$A$2:$A800,0))</f>
        <v>59000</v>
      </c>
      <c r="L610" s="64">
        <v>10</v>
      </c>
      <c r="M610" s="10">
        <f t="shared" si="0"/>
        <v>590000</v>
      </c>
      <c r="O610" s="67">
        <f t="array" ref="O610">INDEX(Honor!$L$2:$L800,MATCH($I610,Honor!$A$2:$A800,0))</f>
        <v>45565</v>
      </c>
      <c r="P610" s="10">
        <f t="shared" si="1"/>
        <v>2024</v>
      </c>
      <c r="Q610" s="10">
        <f t="shared" si="2"/>
        <v>9</v>
      </c>
      <c r="R610" s="10" t="str">
        <f t="array" ref="R610">INDEX(Honor!$Q$2:$Q800,MATCH($I610,Honor!$A$2:$A800,0))</f>
        <v>SURVEI-PPL</v>
      </c>
      <c r="S610" s="10" t="str">
        <f t="shared" si="3"/>
        <v>610422040058-2024-9</v>
      </c>
      <c r="T610" s="10" t="str">
        <f t="shared" si="4"/>
        <v>610422040058-2024-9-SURVEI-PPL</v>
      </c>
      <c r="U610" s="64">
        <v>0</v>
      </c>
      <c r="V610" s="10" t="e">
        <f t="array" aca="1" ref="V610" ca="1">INDEX(Honor!$O$2:$O800,MATCH($I610,Honor!$A$2:$A800,0))</f>
        <v>#NAME?</v>
      </c>
      <c r="W610" s="67"/>
      <c r="X610" s="7" t="str">
        <f t="array" ref="X610">INDEX('Input Kegiatan'!$B$2:$B800,MATCH(B610,'Input Kegiatan'!$A$2:$A800,0))</f>
        <v>Kerangka Sampel Area (KSA) 2024 September</v>
      </c>
      <c r="Y610" s="7" t="s">
        <v>3715</v>
      </c>
      <c r="Z610" s="7" t="s">
        <v>3716</v>
      </c>
      <c r="AA610" s="68">
        <f t="shared" si="5"/>
        <v>45535</v>
      </c>
      <c r="AB610" s="68">
        <f t="shared" si="6"/>
        <v>45536</v>
      </c>
      <c r="AC610" s="68">
        <f t="shared" si="7"/>
        <v>45565</v>
      </c>
      <c r="AD610" s="68">
        <f t="shared" si="8"/>
        <v>45564</v>
      </c>
      <c r="AE610" s="68">
        <f t="shared" si="9"/>
        <v>45565</v>
      </c>
    </row>
    <row r="611" spans="1:31" ht="12.5">
      <c r="A611" s="125">
        <v>610423110183</v>
      </c>
      <c r="B611" s="64" t="s">
        <v>35</v>
      </c>
      <c r="D611" s="10">
        <f t="array" aca="1" ref="D611" ca="1">INDEX('Mitra per Bulan'!$M$2:$M800,MATCH(S611,'Mitra per Bulan'!$B$2:$B800,0))</f>
        <v>1</v>
      </c>
      <c r="E611" s="10" t="str">
        <f t="array" ref="E611">INDEX('Database Mitra'!$A$2:$A800,MATCH(A611,'Database Mitra'!$B$2:$B800,0))</f>
        <v>Azhar</v>
      </c>
      <c r="F611" s="64" t="s">
        <v>25</v>
      </c>
      <c r="G611" s="5" t="str">
        <f t="array" ref="G611">INDEX('Database Mitra'!$G$2:$G800,MATCH(A611,'Database Mitra'!$B$2:$B800,0))</f>
        <v>6102081211790004</v>
      </c>
      <c r="H611" s="64" t="s">
        <v>85</v>
      </c>
      <c r="I611" s="65" t="str">
        <f t="shared" si="20"/>
        <v>KSA24-LAPANGAN-SEPTEMBER-PPL-KSA JAGUNG</v>
      </c>
      <c r="J611" s="10" t="str">
        <f t="array" ref="J611">INDEX(Honor!$H$2:$H800,MATCH($I611,Honor!$A$2:$A800,0))</f>
        <v>Segmen</v>
      </c>
      <c r="K611" s="66">
        <f t="array" ref="K611">INDEX(Honor!$I$2:$I800,MATCH($I611,Honor!$A$2:$A800,0))</f>
        <v>59000</v>
      </c>
      <c r="L611" s="64">
        <v>6</v>
      </c>
      <c r="M611" s="10">
        <f t="shared" si="0"/>
        <v>354000</v>
      </c>
      <c r="O611" s="67">
        <f t="array" ref="O611">INDEX(Honor!$L$2:$L800,MATCH($I611,Honor!$A$2:$A800,0))</f>
        <v>45565</v>
      </c>
      <c r="P611" s="10">
        <f t="shared" si="1"/>
        <v>2024</v>
      </c>
      <c r="Q611" s="10">
        <f t="shared" si="2"/>
        <v>9</v>
      </c>
      <c r="R611" s="10" t="str">
        <f t="array" ref="R611">INDEX(Honor!$Q$2:$Q800,MATCH($I611,Honor!$A$2:$A800,0))</f>
        <v>SURVEI-PPL</v>
      </c>
      <c r="S611" s="10" t="str">
        <f t="shared" si="3"/>
        <v>610423110183-2024-9</v>
      </c>
      <c r="T611" s="10" t="str">
        <f t="shared" si="4"/>
        <v>610423110183-2024-9-SURVEI-PPL</v>
      </c>
      <c r="U611" s="64">
        <v>0</v>
      </c>
      <c r="V611" s="10" t="e">
        <f t="array" aca="1" ref="V611" ca="1">INDEX(Honor!$O$2:$O800,MATCH($I611,Honor!$A$2:$A800,0))</f>
        <v>#NAME?</v>
      </c>
      <c r="W611" s="67"/>
      <c r="X611" s="7" t="str">
        <f t="array" ref="X611">INDEX('Input Kegiatan'!$B$2:$B800,MATCH(B611,'Input Kegiatan'!$A$2:$A800,0))</f>
        <v>Kerangka Sampel Area (KSA) 2024 September</v>
      </c>
      <c r="Y611" s="7" t="s">
        <v>3241</v>
      </c>
      <c r="Z611" s="7" t="s">
        <v>3242</v>
      </c>
      <c r="AA611" s="68">
        <f t="shared" si="5"/>
        <v>45535</v>
      </c>
      <c r="AB611" s="68">
        <f t="shared" si="6"/>
        <v>45536</v>
      </c>
      <c r="AC611" s="68">
        <f t="shared" si="7"/>
        <v>45565</v>
      </c>
      <c r="AD611" s="68">
        <f t="shared" si="8"/>
        <v>45564</v>
      </c>
      <c r="AE611" s="68">
        <f t="shared" si="9"/>
        <v>45565</v>
      </c>
    </row>
    <row r="612" spans="1:31" ht="12.5">
      <c r="A612" s="125">
        <v>610422100244</v>
      </c>
      <c r="B612" s="64" t="s">
        <v>35</v>
      </c>
      <c r="D612" s="10">
        <f t="array" aca="1" ref="D612" ca="1">INDEX('Mitra per Bulan'!$M$2:$M800,MATCH(S612,'Mitra per Bulan'!$B$2:$B800,0))</f>
        <v>1</v>
      </c>
      <c r="E612" s="10" t="str">
        <f t="array" ref="E612">INDEX('Database Mitra'!$A$2:$A800,MATCH(A612,'Database Mitra'!$B$2:$B800,0))</f>
        <v>Sugianto</v>
      </c>
      <c r="F612" s="64" t="s">
        <v>25</v>
      </c>
      <c r="G612" s="5" t="str">
        <f t="array" ref="G612">INDEX('Database Mitra'!$G$2:$G800,MATCH(A612,'Database Mitra'!$B$2:$B800,0))</f>
        <v>6102171003900002</v>
      </c>
      <c r="H612" s="64" t="s">
        <v>85</v>
      </c>
      <c r="I612" s="65" t="str">
        <f t="shared" si="20"/>
        <v>KSA24-LAPANGAN-SEPTEMBER-PPL-KSA JAGUNG</v>
      </c>
      <c r="J612" s="10" t="str">
        <f t="array" ref="J612">INDEX(Honor!$H$2:$H800,MATCH($I612,Honor!$A$2:$A800,0))</f>
        <v>Segmen</v>
      </c>
      <c r="K612" s="66">
        <f t="array" ref="K612">INDEX(Honor!$I$2:$I800,MATCH($I612,Honor!$A$2:$A800,0))</f>
        <v>59000</v>
      </c>
      <c r="L612" s="64">
        <v>8</v>
      </c>
      <c r="M612" s="10">
        <f t="shared" si="0"/>
        <v>472000</v>
      </c>
      <c r="O612" s="67">
        <f t="array" ref="O612">INDEX(Honor!$L$2:$L800,MATCH($I612,Honor!$A$2:$A800,0))</f>
        <v>45565</v>
      </c>
      <c r="P612" s="10">
        <f t="shared" si="1"/>
        <v>2024</v>
      </c>
      <c r="Q612" s="10">
        <f t="shared" si="2"/>
        <v>9</v>
      </c>
      <c r="R612" s="10" t="str">
        <f t="array" ref="R612">INDEX(Honor!$Q$2:$Q800,MATCH($I612,Honor!$A$2:$A800,0))</f>
        <v>SURVEI-PPL</v>
      </c>
      <c r="S612" s="10" t="str">
        <f t="shared" si="3"/>
        <v>610422100244-2024-9</v>
      </c>
      <c r="T612" s="10" t="str">
        <f t="shared" si="4"/>
        <v>610422100244-2024-9-SURVEI-PPL</v>
      </c>
      <c r="U612" s="64">
        <v>0</v>
      </c>
      <c r="V612" s="10" t="e">
        <f t="array" aca="1" ref="V612" ca="1">INDEX(Honor!$O$2:$O800,MATCH($I612,Honor!$A$2:$A800,0))</f>
        <v>#NAME?</v>
      </c>
      <c r="W612" s="67"/>
      <c r="X612" s="7" t="str">
        <f t="array" ref="X612">INDEX('Input Kegiatan'!$B$2:$B800,MATCH(B612,'Input Kegiatan'!$A$2:$A800,0))</f>
        <v>Kerangka Sampel Area (KSA) 2024 September</v>
      </c>
      <c r="Y612" s="7" t="s">
        <v>5741</v>
      </c>
      <c r="Z612" s="7" t="s">
        <v>5796</v>
      </c>
      <c r="AA612" s="68">
        <f t="shared" si="5"/>
        <v>45535</v>
      </c>
      <c r="AB612" s="68">
        <f t="shared" si="6"/>
        <v>45536</v>
      </c>
      <c r="AC612" s="68">
        <f t="shared" si="7"/>
        <v>45565</v>
      </c>
      <c r="AD612" s="68">
        <f t="shared" si="8"/>
        <v>45564</v>
      </c>
      <c r="AE612" s="68">
        <f t="shared" si="9"/>
        <v>45565</v>
      </c>
    </row>
    <row r="613" spans="1:31" ht="12.5">
      <c r="A613" s="125">
        <v>610423040004</v>
      </c>
      <c r="B613" s="64" t="s">
        <v>266</v>
      </c>
      <c r="D613" s="10">
        <f t="array" aca="1" ref="D613" ca="1">INDEX('Mitra per Bulan'!$M$2:$M800,MATCH(S613,'Mitra per Bulan'!$B$2:$B800,0))</f>
        <v>1</v>
      </c>
      <c r="E613" s="10" t="str">
        <f t="array" ref="E613">INDEX('Database Mitra'!$A$2:$A800,MATCH(A613,'Database Mitra'!$B$2:$B800,0))</f>
        <v>Ayu Agustin</v>
      </c>
      <c r="F613" s="64" t="s">
        <v>25</v>
      </c>
      <c r="G613" s="5" t="str">
        <f t="array" ref="G613">INDEX('Database Mitra'!$G$2:$G800,MATCH(A613,'Database Mitra'!$B$2:$B800,0))</f>
        <v>6111025008930002</v>
      </c>
      <c r="H613" s="64" t="s">
        <v>67</v>
      </c>
      <c r="I613" s="65" t="s">
        <v>267</v>
      </c>
      <c r="J613" s="10" t="str">
        <f t="array" ref="J613">INDEX(Honor!$H$2:$H800,MATCH($I613,Honor!$A$2:$A800,0))</f>
        <v>Dokumen</v>
      </c>
      <c r="K613" s="66">
        <f t="array" ref="K613">INDEX(Honor!$I$2:$I800,MATCH($I613,Honor!$A$2:$A800,0))</f>
        <v>60000</v>
      </c>
      <c r="L613" s="64">
        <v>10</v>
      </c>
      <c r="M613" s="10">
        <f t="shared" si="0"/>
        <v>600000</v>
      </c>
      <c r="O613" s="67">
        <f t="array" ref="O613">INDEX(Honor!$L$2:$L800,MATCH($I613,Honor!$A$2:$A800,0))</f>
        <v>45565</v>
      </c>
      <c r="P613" s="10">
        <f t="shared" si="1"/>
        <v>2024</v>
      </c>
      <c r="Q613" s="10">
        <f t="shared" si="2"/>
        <v>9</v>
      </c>
      <c r="R613" s="10" t="str">
        <f t="array" ref="R613">INDEX(Honor!$Q$2:$Q800,MATCH($I613,Honor!$A$2:$A800,0))</f>
        <v>SURVEI-PPL</v>
      </c>
      <c r="S613" s="10" t="str">
        <f t="shared" si="3"/>
        <v>610423040004-2024-9</v>
      </c>
      <c r="T613" s="10" t="str">
        <f t="shared" si="4"/>
        <v>610423040004-2024-9-SURVEI-PPL</v>
      </c>
      <c r="U613" s="64">
        <v>0</v>
      </c>
      <c r="V613" s="10" t="e">
        <f t="array" aca="1" ref="V613" ca="1">INDEX(Honor!$O$2:$O800,MATCH($I613,Honor!$A$2:$A800,0))</f>
        <v>#NAME?</v>
      </c>
      <c r="W613" s="67"/>
      <c r="X613" s="7" t="str">
        <f t="array" ref="X613">INDEX('Input Kegiatan'!$B$2:$B800,MATCH(B613,'Input Kegiatan'!$A$2:$A800,0))</f>
        <v>Survei Ekonomi Rumah Tangga Triwulanan (SERUTI24) Triwulan III Kegiatan Lapangan</v>
      </c>
      <c r="Y613" s="7" t="s">
        <v>4408</v>
      </c>
      <c r="Z613" s="7" t="s">
        <v>4531</v>
      </c>
      <c r="AA613" s="68">
        <f t="shared" si="5"/>
        <v>45535</v>
      </c>
      <c r="AB613" s="68">
        <f t="shared" si="6"/>
        <v>45536</v>
      </c>
      <c r="AC613" s="68">
        <f t="shared" si="7"/>
        <v>45565</v>
      </c>
      <c r="AD613" s="68">
        <f t="shared" si="8"/>
        <v>45564</v>
      </c>
      <c r="AE613" s="68">
        <f t="shared" si="9"/>
        <v>45565</v>
      </c>
    </row>
    <row r="614" spans="1:31" ht="12.5">
      <c r="A614" s="125">
        <v>610422100144</v>
      </c>
      <c r="B614" s="64" t="s">
        <v>266</v>
      </c>
      <c r="D614" s="10">
        <f t="array" aca="1" ref="D614" ca="1">INDEX('Mitra per Bulan'!$M$2:$M800,MATCH(S614,'Mitra per Bulan'!$B$2:$B800,0))</f>
        <v>1</v>
      </c>
      <c r="E614" s="10" t="str">
        <f t="array" ref="E614">INDEX('Database Mitra'!$A$2:$A800,MATCH(A614,'Database Mitra'!$B$2:$B800,0))</f>
        <v>Irfan Faozi Sunaryo</v>
      </c>
      <c r="F614" s="64" t="s">
        <v>25</v>
      </c>
      <c r="G614" s="5" t="str">
        <f t="array" ref="G614">INDEX('Database Mitra'!$G$2:$G800,MATCH(A614,'Database Mitra'!$B$2:$B800,0))</f>
        <v>6102122710990001</v>
      </c>
      <c r="H614" s="64" t="s">
        <v>67</v>
      </c>
      <c r="I614" s="65" t="s">
        <v>267</v>
      </c>
      <c r="J614" s="10" t="str">
        <f t="array" ref="J614">INDEX(Honor!$H$2:$H800,MATCH($I614,Honor!$A$2:$A800,0))</f>
        <v>Dokumen</v>
      </c>
      <c r="K614" s="66">
        <f t="array" ref="K614">INDEX(Honor!$I$2:$I800,MATCH($I614,Honor!$A$2:$A800,0))</f>
        <v>60000</v>
      </c>
      <c r="L614" s="64">
        <v>10</v>
      </c>
      <c r="M614" s="10">
        <f t="shared" si="0"/>
        <v>600000</v>
      </c>
      <c r="O614" s="67">
        <f t="array" ref="O614">INDEX(Honor!$L$2:$L800,MATCH($I614,Honor!$A$2:$A800,0))</f>
        <v>45565</v>
      </c>
      <c r="P614" s="10">
        <f t="shared" si="1"/>
        <v>2024</v>
      </c>
      <c r="Q614" s="10">
        <f t="shared" si="2"/>
        <v>9</v>
      </c>
      <c r="R614" s="10" t="str">
        <f t="array" ref="R614">INDEX(Honor!$Q$2:$Q800,MATCH($I614,Honor!$A$2:$A800,0))</f>
        <v>SURVEI-PPL</v>
      </c>
      <c r="S614" s="10" t="str">
        <f t="shared" si="3"/>
        <v>610422100144-2024-9</v>
      </c>
      <c r="T614" s="10" t="str">
        <f t="shared" si="4"/>
        <v>610422100144-2024-9-SURVEI-PPL</v>
      </c>
      <c r="U614" s="64">
        <v>0</v>
      </c>
      <c r="V614" s="10" t="e">
        <f t="array" aca="1" ref="V614" ca="1">INDEX(Honor!$O$2:$O800,MATCH($I614,Honor!$A$2:$A800,0))</f>
        <v>#NAME?</v>
      </c>
      <c r="W614" s="67"/>
      <c r="X614" s="7" t="str">
        <f t="array" ref="X614">INDEX('Input Kegiatan'!$B$2:$B800,MATCH(B614,'Input Kegiatan'!$A$2:$A800,0))</f>
        <v>Survei Ekonomi Rumah Tangga Triwulanan (SERUTI24) Triwulan III Kegiatan Lapangan</v>
      </c>
      <c r="Y614" s="7" t="s">
        <v>5250</v>
      </c>
      <c r="Z614" s="7" t="s">
        <v>5488</v>
      </c>
      <c r="AA614" s="68">
        <f t="shared" si="5"/>
        <v>45535</v>
      </c>
      <c r="AB614" s="68">
        <f t="shared" si="6"/>
        <v>45536</v>
      </c>
      <c r="AC614" s="68">
        <f t="shared" si="7"/>
        <v>45565</v>
      </c>
      <c r="AD614" s="68">
        <f t="shared" si="8"/>
        <v>45564</v>
      </c>
      <c r="AE614" s="68">
        <f t="shared" si="9"/>
        <v>45565</v>
      </c>
    </row>
    <row r="615" spans="1:31" ht="12.5">
      <c r="A615" s="125">
        <v>610422020032</v>
      </c>
      <c r="B615" s="64" t="s">
        <v>266</v>
      </c>
      <c r="D615" s="10">
        <f t="array" aca="1" ref="D615" ca="1">INDEX('Mitra per Bulan'!$M$2:$M800,MATCH(S615,'Mitra per Bulan'!$B$2:$B800,0))</f>
        <v>1</v>
      </c>
      <c r="E615" s="10" t="str">
        <f t="array" ref="E615">INDEX('Database Mitra'!$A$2:$A800,MATCH(A615,'Database Mitra'!$B$2:$B800,0))</f>
        <v>Lilis Suryani</v>
      </c>
      <c r="F615" s="64" t="s">
        <v>25</v>
      </c>
      <c r="G615" s="5" t="str">
        <f t="array" ref="G615">INDEX('Database Mitra'!$G$2:$G800,MATCH(A615,'Database Mitra'!$B$2:$B800,0))</f>
        <v>6102185102880001</v>
      </c>
      <c r="H615" s="64" t="s">
        <v>67</v>
      </c>
      <c r="I615" s="65" t="s">
        <v>267</v>
      </c>
      <c r="J615" s="10" t="str">
        <f t="array" ref="J615">INDEX(Honor!$H$2:$H800,MATCH($I615,Honor!$A$2:$A800,0))</f>
        <v>Dokumen</v>
      </c>
      <c r="K615" s="66">
        <f t="array" ref="K615">INDEX(Honor!$I$2:$I800,MATCH($I615,Honor!$A$2:$A800,0))</f>
        <v>60000</v>
      </c>
      <c r="L615" s="64">
        <v>10</v>
      </c>
      <c r="M615" s="10">
        <f t="shared" si="0"/>
        <v>600000</v>
      </c>
      <c r="O615" s="67">
        <f t="array" ref="O615">INDEX(Honor!$L$2:$L800,MATCH($I615,Honor!$A$2:$A800,0))</f>
        <v>45565</v>
      </c>
      <c r="P615" s="10">
        <f t="shared" si="1"/>
        <v>2024</v>
      </c>
      <c r="Q615" s="10">
        <f t="shared" si="2"/>
        <v>9</v>
      </c>
      <c r="R615" s="10" t="str">
        <f t="array" ref="R615">INDEX(Honor!$Q$2:$Q800,MATCH($I615,Honor!$A$2:$A800,0))</f>
        <v>SURVEI-PPL</v>
      </c>
      <c r="S615" s="10" t="str">
        <f t="shared" si="3"/>
        <v>610422020032-2024-9</v>
      </c>
      <c r="T615" s="10" t="str">
        <f t="shared" si="4"/>
        <v>610422020032-2024-9-SURVEI-PPL</v>
      </c>
      <c r="U615" s="64">
        <v>0</v>
      </c>
      <c r="V615" s="10" t="e">
        <f t="array" aca="1" ref="V615" ca="1">INDEX(Honor!$O$2:$O800,MATCH($I615,Honor!$A$2:$A800,0))</f>
        <v>#NAME?</v>
      </c>
      <c r="W615" s="67"/>
      <c r="X615" s="7" t="str">
        <f t="array" ref="X615">INDEX('Input Kegiatan'!$B$2:$B800,MATCH(B615,'Input Kegiatan'!$A$2:$A800,0))</f>
        <v>Survei Ekonomi Rumah Tangga Triwulanan (SERUTI24) Triwulan III Kegiatan Lapangan</v>
      </c>
      <c r="Y615" s="7" t="s">
        <v>4931</v>
      </c>
      <c r="Z615" s="7" t="s">
        <v>5209</v>
      </c>
      <c r="AA615" s="68">
        <f t="shared" si="5"/>
        <v>45535</v>
      </c>
      <c r="AB615" s="68">
        <f t="shared" si="6"/>
        <v>45536</v>
      </c>
      <c r="AC615" s="68">
        <f t="shared" si="7"/>
        <v>45565</v>
      </c>
      <c r="AD615" s="68">
        <f t="shared" si="8"/>
        <v>45564</v>
      </c>
      <c r="AE615" s="68">
        <f t="shared" si="9"/>
        <v>45565</v>
      </c>
    </row>
    <row r="616" spans="1:31" ht="12.5">
      <c r="A616" s="125">
        <v>610422100085</v>
      </c>
      <c r="B616" s="64" t="s">
        <v>266</v>
      </c>
      <c r="D616" s="10">
        <f t="array" aca="1" ref="D616" ca="1">INDEX('Mitra per Bulan'!$M$2:$M800,MATCH(S616,'Mitra per Bulan'!$B$2:$B800,0))</f>
        <v>1</v>
      </c>
      <c r="E616" s="10" t="str">
        <f t="array" ref="E616">INDEX('Database Mitra'!$A$2:$A800,MATCH(A616,'Database Mitra'!$B$2:$B800,0))</f>
        <v>Lina Agustin Widya Siwi</v>
      </c>
      <c r="F616" s="64" t="s">
        <v>25</v>
      </c>
      <c r="G616" s="5" t="str">
        <f t="array" ref="G616">INDEX('Database Mitra'!$G$2:$G800,MATCH(A616,'Database Mitra'!$B$2:$B800,0))</f>
        <v>3301225608850001</v>
      </c>
      <c r="H616" s="64" t="s">
        <v>67</v>
      </c>
      <c r="I616" s="65" t="s">
        <v>267</v>
      </c>
      <c r="J616" s="10" t="str">
        <f t="array" ref="J616">INDEX(Honor!$H$2:$H800,MATCH($I616,Honor!$A$2:$A800,0))</f>
        <v>Dokumen</v>
      </c>
      <c r="K616" s="66">
        <f t="array" ref="K616">INDEX(Honor!$I$2:$I800,MATCH($I616,Honor!$A$2:$A800,0))</f>
        <v>60000</v>
      </c>
      <c r="L616" s="64">
        <v>10</v>
      </c>
      <c r="M616" s="10">
        <f t="shared" si="0"/>
        <v>600000</v>
      </c>
      <c r="O616" s="67">
        <f t="array" ref="O616">INDEX(Honor!$L$2:$L800,MATCH($I616,Honor!$A$2:$A800,0))</f>
        <v>45565</v>
      </c>
      <c r="P616" s="10">
        <f t="shared" si="1"/>
        <v>2024</v>
      </c>
      <c r="Q616" s="10">
        <f t="shared" si="2"/>
        <v>9</v>
      </c>
      <c r="R616" s="10" t="str">
        <f t="array" ref="R616">INDEX(Honor!$Q$2:$Q800,MATCH($I616,Honor!$A$2:$A800,0))</f>
        <v>SURVEI-PPL</v>
      </c>
      <c r="S616" s="10" t="str">
        <f t="shared" si="3"/>
        <v>610422100085-2024-9</v>
      </c>
      <c r="T616" s="10" t="str">
        <f t="shared" si="4"/>
        <v>610422100085-2024-9-SURVEI-PPL</v>
      </c>
      <c r="U616" s="64">
        <v>0</v>
      </c>
      <c r="V616" s="10" t="e">
        <f t="array" aca="1" ref="V616" ca="1">INDEX(Honor!$O$2:$O800,MATCH($I616,Honor!$A$2:$A800,0))</f>
        <v>#NAME?</v>
      </c>
      <c r="W616" s="67"/>
      <c r="X616" s="7" t="str">
        <f t="array" ref="X616">INDEX('Input Kegiatan'!$B$2:$B800,MATCH(B616,'Input Kegiatan'!$A$2:$A800,0))</f>
        <v>Survei Ekonomi Rumah Tangga Triwulanan (SERUTI24) Triwulan III Kegiatan Lapangan</v>
      </c>
      <c r="Y616" s="7" t="s">
        <v>3990</v>
      </c>
      <c r="Z616" s="7" t="s">
        <v>4087</v>
      </c>
      <c r="AA616" s="68">
        <f t="shared" si="5"/>
        <v>45535</v>
      </c>
      <c r="AB616" s="68">
        <f t="shared" si="6"/>
        <v>45536</v>
      </c>
      <c r="AC616" s="68">
        <f t="shared" si="7"/>
        <v>45565</v>
      </c>
      <c r="AD616" s="68">
        <f t="shared" si="8"/>
        <v>45564</v>
      </c>
      <c r="AE616" s="68">
        <f t="shared" si="9"/>
        <v>45565</v>
      </c>
    </row>
    <row r="617" spans="1:31" ht="12.5">
      <c r="A617" s="125">
        <v>610423040013</v>
      </c>
      <c r="B617" s="64" t="s">
        <v>266</v>
      </c>
      <c r="D617" s="10">
        <f t="array" aca="1" ref="D617" ca="1">INDEX('Mitra per Bulan'!$M$2:$M800,MATCH(S617,'Mitra per Bulan'!$B$2:$B800,0))</f>
        <v>1</v>
      </c>
      <c r="E617" s="10" t="str">
        <f t="array" ref="E617">INDEX('Database Mitra'!$A$2:$A800,MATCH(A617,'Database Mitra'!$B$2:$B800,0))</f>
        <v>Lulu Gesti Gunawati</v>
      </c>
      <c r="F617" s="64" t="s">
        <v>25</v>
      </c>
      <c r="G617" s="5" t="str">
        <f t="array" ref="G617">INDEX('Database Mitra'!$G$2:$G800,MATCH(A617,'Database Mitra'!$B$2:$B800,0))</f>
        <v>3314066101000001</v>
      </c>
      <c r="H617" s="64" t="s">
        <v>67</v>
      </c>
      <c r="I617" s="65" t="s">
        <v>267</v>
      </c>
      <c r="J617" s="10" t="str">
        <f t="array" ref="J617">INDEX(Honor!$H$2:$H800,MATCH($I617,Honor!$A$2:$A800,0))</f>
        <v>Dokumen</v>
      </c>
      <c r="K617" s="66">
        <f t="array" ref="K617">INDEX(Honor!$I$2:$I800,MATCH($I617,Honor!$A$2:$A800,0))</f>
        <v>60000</v>
      </c>
      <c r="L617" s="64">
        <v>10</v>
      </c>
      <c r="M617" s="10">
        <f t="shared" si="0"/>
        <v>600000</v>
      </c>
      <c r="O617" s="67">
        <f t="array" ref="O617">INDEX(Honor!$L$2:$L800,MATCH($I617,Honor!$A$2:$A800,0))</f>
        <v>45565</v>
      </c>
      <c r="P617" s="10">
        <f t="shared" si="1"/>
        <v>2024</v>
      </c>
      <c r="Q617" s="10">
        <f t="shared" si="2"/>
        <v>9</v>
      </c>
      <c r="R617" s="10" t="str">
        <f t="array" ref="R617">INDEX(Honor!$Q$2:$Q800,MATCH($I617,Honor!$A$2:$A800,0))</f>
        <v>SURVEI-PPL</v>
      </c>
      <c r="S617" s="10" t="str">
        <f t="shared" si="3"/>
        <v>610423040013-2024-9</v>
      </c>
      <c r="T617" s="10" t="str">
        <f t="shared" si="4"/>
        <v>610423040013-2024-9-SURVEI-PPL</v>
      </c>
      <c r="U617" s="64">
        <v>0</v>
      </c>
      <c r="V617" s="10" t="e">
        <f t="array" aca="1" ref="V617" ca="1">INDEX(Honor!$O$2:$O800,MATCH($I617,Honor!$A$2:$A800,0))</f>
        <v>#NAME?</v>
      </c>
      <c r="W617" s="67"/>
      <c r="X617" s="7" t="str">
        <f t="array" ref="X617">INDEX('Input Kegiatan'!$B$2:$B800,MATCH(B617,'Input Kegiatan'!$A$2:$A800,0))</f>
        <v>Survei Ekonomi Rumah Tangga Triwulanan (SERUTI24) Triwulan III Kegiatan Lapangan</v>
      </c>
      <c r="Y617" s="7" t="s">
        <v>5250</v>
      </c>
      <c r="Z617" s="7" t="s">
        <v>5304</v>
      </c>
      <c r="AA617" s="68">
        <f t="shared" si="5"/>
        <v>45535</v>
      </c>
      <c r="AB617" s="68">
        <f t="shared" si="6"/>
        <v>45536</v>
      </c>
      <c r="AC617" s="68">
        <f t="shared" si="7"/>
        <v>45565</v>
      </c>
      <c r="AD617" s="68">
        <f t="shared" si="8"/>
        <v>45564</v>
      </c>
      <c r="AE617" s="68">
        <f t="shared" si="9"/>
        <v>45565</v>
      </c>
    </row>
    <row r="618" spans="1:31" ht="12.5">
      <c r="A618" s="125">
        <v>610422100137</v>
      </c>
      <c r="B618" s="64" t="s">
        <v>266</v>
      </c>
      <c r="D618" s="10">
        <f t="array" aca="1" ref="D618" ca="1">INDEX('Mitra per Bulan'!$M$2:$M800,MATCH(S618,'Mitra per Bulan'!$B$2:$B800,0))</f>
        <v>1</v>
      </c>
      <c r="E618" s="10" t="str">
        <f t="array" ref="E618">INDEX('Database Mitra'!$A$2:$A800,MATCH(A618,'Database Mitra'!$B$2:$B800,0))</f>
        <v>Masturi</v>
      </c>
      <c r="F618" s="64" t="s">
        <v>25</v>
      </c>
      <c r="G618" s="5" t="str">
        <f t="array" ref="G618">INDEX('Database Mitra'!$G$2:$G800,MATCH(A618,'Database Mitra'!$B$2:$B800,0))</f>
        <v>6102060709870002</v>
      </c>
      <c r="H618" s="64" t="s">
        <v>67</v>
      </c>
      <c r="I618" s="65" t="s">
        <v>267</v>
      </c>
      <c r="J618" s="10" t="str">
        <f t="array" ref="J618">INDEX(Honor!$H$2:$H800,MATCH($I618,Honor!$A$2:$A800,0))</f>
        <v>Dokumen</v>
      </c>
      <c r="K618" s="66">
        <f t="array" ref="K618">INDEX(Honor!$I$2:$I800,MATCH($I618,Honor!$A$2:$A800,0))</f>
        <v>60000</v>
      </c>
      <c r="L618" s="64">
        <v>10</v>
      </c>
      <c r="M618" s="10">
        <f t="shared" si="0"/>
        <v>600000</v>
      </c>
      <c r="O618" s="67">
        <f t="array" ref="O618">INDEX(Honor!$L$2:$L800,MATCH($I618,Honor!$A$2:$A800,0))</f>
        <v>45565</v>
      </c>
      <c r="P618" s="10">
        <f t="shared" si="1"/>
        <v>2024</v>
      </c>
      <c r="Q618" s="10">
        <f t="shared" si="2"/>
        <v>9</v>
      </c>
      <c r="R618" s="10" t="str">
        <f t="array" ref="R618">INDEX(Honor!$Q$2:$Q800,MATCH($I618,Honor!$A$2:$A800,0))</f>
        <v>SURVEI-PPL</v>
      </c>
      <c r="S618" s="10" t="str">
        <f t="shared" si="3"/>
        <v>610422100137-2024-9</v>
      </c>
      <c r="T618" s="10" t="str">
        <f t="shared" si="4"/>
        <v>610422100137-2024-9-SURVEI-PPL</v>
      </c>
      <c r="U618" s="64">
        <v>0</v>
      </c>
      <c r="V618" s="10" t="e">
        <f t="array" aca="1" ref="V618" ca="1">INDEX(Honor!$O$2:$O800,MATCH($I618,Honor!$A$2:$A800,0))</f>
        <v>#NAME?</v>
      </c>
      <c r="W618" s="67"/>
      <c r="X618" s="7" t="str">
        <f t="array" ref="X618">INDEX('Input Kegiatan'!$B$2:$B800,MATCH(B618,'Input Kegiatan'!$A$2:$A800,0))</f>
        <v>Survei Ekonomi Rumah Tangga Triwulanan (SERUTI24) Triwulan III Kegiatan Lapangan</v>
      </c>
      <c r="Y618" s="7" t="s">
        <v>5534</v>
      </c>
      <c r="Z618" s="7" t="s">
        <v>5535</v>
      </c>
      <c r="AA618" s="68">
        <f t="shared" si="5"/>
        <v>45535</v>
      </c>
      <c r="AB618" s="68">
        <f t="shared" si="6"/>
        <v>45536</v>
      </c>
      <c r="AC618" s="68">
        <f t="shared" si="7"/>
        <v>45565</v>
      </c>
      <c r="AD618" s="68">
        <f t="shared" si="8"/>
        <v>45564</v>
      </c>
      <c r="AE618" s="68">
        <f t="shared" si="9"/>
        <v>45565</v>
      </c>
    </row>
    <row r="619" spans="1:31" ht="12.5">
      <c r="A619" s="125">
        <v>610422100256</v>
      </c>
      <c r="B619" s="64" t="s">
        <v>266</v>
      </c>
      <c r="D619" s="10">
        <f t="array" aca="1" ref="D619" ca="1">INDEX('Mitra per Bulan'!$M$2:$M800,MATCH(S619,'Mitra per Bulan'!$B$2:$B800,0))</f>
        <v>1</v>
      </c>
      <c r="E619" s="10" t="str">
        <f t="array" ref="E619">INDEX('Database Mitra'!$A$2:$A800,MATCH(A619,'Database Mitra'!$B$2:$B800,0))</f>
        <v>Meta</v>
      </c>
      <c r="F619" s="64" t="s">
        <v>25</v>
      </c>
      <c r="G619" s="5" t="str">
        <f t="array" ref="G619">INDEX('Database Mitra'!$G$2:$G800,MATCH(A619,'Database Mitra'!$B$2:$B800,0))</f>
        <v>6102174505970001</v>
      </c>
      <c r="H619" s="64" t="s">
        <v>67</v>
      </c>
      <c r="I619" s="65" t="s">
        <v>267</v>
      </c>
      <c r="J619" s="10" t="str">
        <f t="array" ref="J619">INDEX(Honor!$H$2:$H800,MATCH($I619,Honor!$A$2:$A800,0))</f>
        <v>Dokumen</v>
      </c>
      <c r="K619" s="66">
        <f t="array" ref="K619">INDEX(Honor!$I$2:$I800,MATCH($I619,Honor!$A$2:$A800,0))</f>
        <v>60000</v>
      </c>
      <c r="L619" s="64">
        <v>10</v>
      </c>
      <c r="M619" s="10">
        <f t="shared" si="0"/>
        <v>600000</v>
      </c>
      <c r="O619" s="67">
        <f t="array" ref="O619">INDEX(Honor!$L$2:$L800,MATCH($I619,Honor!$A$2:$A800,0))</f>
        <v>45565</v>
      </c>
      <c r="P619" s="10">
        <f t="shared" si="1"/>
        <v>2024</v>
      </c>
      <c r="Q619" s="10">
        <f t="shared" si="2"/>
        <v>9</v>
      </c>
      <c r="R619" s="10" t="str">
        <f t="array" ref="R619">INDEX(Honor!$Q$2:$Q800,MATCH($I619,Honor!$A$2:$A800,0))</f>
        <v>SURVEI-PPL</v>
      </c>
      <c r="S619" s="10" t="str">
        <f t="shared" si="3"/>
        <v>610422100256-2024-9</v>
      </c>
      <c r="T619" s="10" t="str">
        <f t="shared" si="4"/>
        <v>610422100256-2024-9-SURVEI-PPL</v>
      </c>
      <c r="U619" s="64">
        <v>0</v>
      </c>
      <c r="V619" s="10" t="e">
        <f t="array" aca="1" ref="V619" ca="1">INDEX(Honor!$O$2:$O800,MATCH($I619,Honor!$A$2:$A800,0))</f>
        <v>#NAME?</v>
      </c>
      <c r="W619" s="67"/>
      <c r="X619" s="7" t="str">
        <f t="array" ref="X619">INDEX('Input Kegiatan'!$B$2:$B800,MATCH(B619,'Input Kegiatan'!$A$2:$A800,0))</f>
        <v>Survei Ekonomi Rumah Tangga Triwulanan (SERUTI24) Triwulan III Kegiatan Lapangan</v>
      </c>
      <c r="Y619" s="7" t="s">
        <v>5741</v>
      </c>
      <c r="Z619" s="7" t="s">
        <v>5742</v>
      </c>
      <c r="AA619" s="68">
        <f t="shared" si="5"/>
        <v>45535</v>
      </c>
      <c r="AB619" s="68">
        <f t="shared" si="6"/>
        <v>45536</v>
      </c>
      <c r="AC619" s="68">
        <f t="shared" si="7"/>
        <v>45565</v>
      </c>
      <c r="AD619" s="68">
        <f t="shared" si="8"/>
        <v>45564</v>
      </c>
      <c r="AE619" s="68">
        <f t="shared" si="9"/>
        <v>45565</v>
      </c>
    </row>
    <row r="620" spans="1:31" ht="12.5">
      <c r="A620" s="125">
        <v>610422040050</v>
      </c>
      <c r="B620" s="64" t="s">
        <v>266</v>
      </c>
      <c r="D620" s="10">
        <f t="array" aca="1" ref="D620" ca="1">INDEX('Mitra per Bulan'!$M$2:$M800,MATCH(S620,'Mitra per Bulan'!$B$2:$B800,0))</f>
        <v>1</v>
      </c>
      <c r="E620" s="10" t="str">
        <f t="array" ref="E620">INDEX('Database Mitra'!$A$2:$A800,MATCH(A620,'Database Mitra'!$B$2:$B800,0))</f>
        <v>Novita Sari</v>
      </c>
      <c r="F620" s="64" t="s">
        <v>25</v>
      </c>
      <c r="G620" s="5" t="str">
        <f t="array" ref="G620">INDEX('Database Mitra'!$G$2:$G800,MATCH(A620,'Database Mitra'!$B$2:$B800,0))</f>
        <v>6102085906990001</v>
      </c>
      <c r="H620" s="64" t="s">
        <v>67</v>
      </c>
      <c r="I620" s="65" t="s">
        <v>267</v>
      </c>
      <c r="J620" s="10" t="str">
        <f t="array" ref="J620">INDEX(Honor!$H$2:$H800,MATCH($I620,Honor!$A$2:$A800,0))</f>
        <v>Dokumen</v>
      </c>
      <c r="K620" s="66">
        <f t="array" ref="K620">INDEX(Honor!$I$2:$I800,MATCH($I620,Honor!$A$2:$A800,0))</f>
        <v>60000</v>
      </c>
      <c r="L620" s="64">
        <v>10</v>
      </c>
      <c r="M620" s="10">
        <f t="shared" si="0"/>
        <v>600000</v>
      </c>
      <c r="O620" s="67">
        <f t="array" ref="O620">INDEX(Honor!$L$2:$L800,MATCH($I620,Honor!$A$2:$A800,0))</f>
        <v>45565</v>
      </c>
      <c r="P620" s="10">
        <f t="shared" si="1"/>
        <v>2024</v>
      </c>
      <c r="Q620" s="10">
        <f t="shared" si="2"/>
        <v>9</v>
      </c>
      <c r="R620" s="10" t="str">
        <f t="array" ref="R620">INDEX(Honor!$Q$2:$Q800,MATCH($I620,Honor!$A$2:$A800,0))</f>
        <v>SURVEI-PPL</v>
      </c>
      <c r="S620" s="10" t="str">
        <f t="shared" si="3"/>
        <v>610422040050-2024-9</v>
      </c>
      <c r="T620" s="10" t="str">
        <f t="shared" si="4"/>
        <v>610422040050-2024-9-SURVEI-PPL</v>
      </c>
      <c r="U620" s="64">
        <v>0</v>
      </c>
      <c r="V620" s="10" t="e">
        <f t="array" aca="1" ref="V620" ca="1">INDEX(Honor!$O$2:$O800,MATCH($I620,Honor!$A$2:$A800,0))</f>
        <v>#NAME?</v>
      </c>
      <c r="W620" s="67"/>
      <c r="X620" s="7" t="str">
        <f t="array" ref="X620">INDEX('Input Kegiatan'!$B$2:$B800,MATCH(B620,'Input Kegiatan'!$A$2:$A800,0))</f>
        <v>Survei Ekonomi Rumah Tangga Triwulanan (SERUTI24) Triwulan III Kegiatan Lapangan</v>
      </c>
      <c r="Y620" s="7" t="s">
        <v>3241</v>
      </c>
      <c r="Z620" s="7" t="s">
        <v>3289</v>
      </c>
      <c r="AA620" s="68">
        <f t="shared" si="5"/>
        <v>45535</v>
      </c>
      <c r="AB620" s="68">
        <f t="shared" si="6"/>
        <v>45536</v>
      </c>
      <c r="AC620" s="68">
        <f t="shared" si="7"/>
        <v>45565</v>
      </c>
      <c r="AD620" s="68">
        <f t="shared" si="8"/>
        <v>45564</v>
      </c>
      <c r="AE620" s="68">
        <f t="shared" si="9"/>
        <v>45565</v>
      </c>
    </row>
    <row r="621" spans="1:31" ht="12.5">
      <c r="A621" s="125">
        <v>610422040035</v>
      </c>
      <c r="B621" s="64" t="s">
        <v>266</v>
      </c>
      <c r="D621" s="10">
        <f t="array" aca="1" ref="D621" ca="1">INDEX('Mitra per Bulan'!$M$2:$M800,MATCH(S621,'Mitra per Bulan'!$B$2:$B800,0))</f>
        <v>1</v>
      </c>
      <c r="E621" s="10" t="str">
        <f t="array" ref="E621">INDEX('Database Mitra'!$A$2:$A800,MATCH(A621,'Database Mitra'!$B$2:$B800,0))</f>
        <v>Rahmayani</v>
      </c>
      <c r="F621" s="64" t="s">
        <v>25</v>
      </c>
      <c r="G621" s="5" t="str">
        <f t="array" ref="G621">INDEX('Database Mitra'!$G$2:$G800,MATCH(A621,'Database Mitra'!$B$2:$B800,0))</f>
        <v>6102186404970003</v>
      </c>
      <c r="H621" s="64" t="s">
        <v>67</v>
      </c>
      <c r="I621" s="65" t="s">
        <v>267</v>
      </c>
      <c r="J621" s="10" t="str">
        <f t="array" ref="J621">INDEX(Honor!$H$2:$H800,MATCH($I621,Honor!$A$2:$A800,0))</f>
        <v>Dokumen</v>
      </c>
      <c r="K621" s="66">
        <f t="array" ref="K621">INDEX(Honor!$I$2:$I800,MATCH($I621,Honor!$A$2:$A800,0))</f>
        <v>60000</v>
      </c>
      <c r="L621" s="64">
        <v>10</v>
      </c>
      <c r="M621" s="10">
        <f t="shared" si="0"/>
        <v>600000</v>
      </c>
      <c r="O621" s="67">
        <f t="array" ref="O621">INDEX(Honor!$L$2:$L800,MATCH($I621,Honor!$A$2:$A800,0))</f>
        <v>45565</v>
      </c>
      <c r="P621" s="10">
        <f t="shared" si="1"/>
        <v>2024</v>
      </c>
      <c r="Q621" s="10">
        <f t="shared" si="2"/>
        <v>9</v>
      </c>
      <c r="R621" s="10" t="str">
        <f t="array" ref="R621">INDEX(Honor!$Q$2:$Q800,MATCH($I621,Honor!$A$2:$A800,0))</f>
        <v>SURVEI-PPL</v>
      </c>
      <c r="S621" s="10" t="str">
        <f t="shared" si="3"/>
        <v>610422040035-2024-9</v>
      </c>
      <c r="T621" s="10" t="str">
        <f t="shared" si="4"/>
        <v>610422040035-2024-9-SURVEI-PPL</v>
      </c>
      <c r="U621" s="64">
        <v>0</v>
      </c>
      <c r="V621" s="10" t="e">
        <f t="array" aca="1" ref="V621" ca="1">INDEX(Honor!$O$2:$O800,MATCH($I621,Honor!$A$2:$A800,0))</f>
        <v>#NAME?</v>
      </c>
      <c r="W621" s="67"/>
      <c r="X621" s="7" t="str">
        <f t="array" ref="X621">INDEX('Input Kegiatan'!$B$2:$B800,MATCH(B621,'Input Kegiatan'!$A$2:$A800,0))</f>
        <v>Survei Ekonomi Rumah Tangga Triwulanan (SERUTI24) Triwulan III Kegiatan Lapangan</v>
      </c>
      <c r="Y621" s="7" t="s">
        <v>4931</v>
      </c>
      <c r="Z621" s="7" t="s">
        <v>5171</v>
      </c>
      <c r="AA621" s="68">
        <f t="shared" si="5"/>
        <v>45535</v>
      </c>
      <c r="AB621" s="68">
        <f t="shared" si="6"/>
        <v>45536</v>
      </c>
      <c r="AC621" s="68">
        <f t="shared" si="7"/>
        <v>45565</v>
      </c>
      <c r="AD621" s="68">
        <f t="shared" si="8"/>
        <v>45564</v>
      </c>
      <c r="AE621" s="68">
        <f t="shared" si="9"/>
        <v>45565</v>
      </c>
    </row>
    <row r="622" spans="1:31" ht="12.5">
      <c r="A622" s="125">
        <v>610422040061</v>
      </c>
      <c r="B622" s="64" t="s">
        <v>266</v>
      </c>
      <c r="D622" s="10">
        <f t="array" aca="1" ref="D622" ca="1">INDEX('Mitra per Bulan'!$M$2:$M800,MATCH(S622,'Mitra per Bulan'!$B$2:$B800,0))</f>
        <v>1</v>
      </c>
      <c r="E622" s="10" t="str">
        <f t="array" ref="E622">INDEX('Database Mitra'!$A$2:$A800,MATCH(A622,'Database Mitra'!$B$2:$B800,0))</f>
        <v>Sabani</v>
      </c>
      <c r="F622" s="64" t="s">
        <v>25</v>
      </c>
      <c r="G622" s="5" t="str">
        <f t="array" ref="G622">INDEX('Database Mitra'!$G$2:$G800,MATCH(A622,'Database Mitra'!$B$2:$B800,0))</f>
        <v>6102153112860003</v>
      </c>
      <c r="H622" s="64" t="s">
        <v>67</v>
      </c>
      <c r="I622" s="65" t="s">
        <v>267</v>
      </c>
      <c r="J622" s="10" t="str">
        <f t="array" ref="J622">INDEX(Honor!$H$2:$H800,MATCH($I622,Honor!$A$2:$A800,0))</f>
        <v>Dokumen</v>
      </c>
      <c r="K622" s="66">
        <f t="array" ref="K622">INDEX(Honor!$I$2:$I800,MATCH($I622,Honor!$A$2:$A800,0))</f>
        <v>60000</v>
      </c>
      <c r="L622" s="64">
        <v>10</v>
      </c>
      <c r="M622" s="10">
        <f t="shared" si="0"/>
        <v>600000</v>
      </c>
      <c r="O622" s="67">
        <f t="array" ref="O622">INDEX(Honor!$L$2:$L800,MATCH($I622,Honor!$A$2:$A800,0))</f>
        <v>45565</v>
      </c>
      <c r="P622" s="10">
        <f t="shared" si="1"/>
        <v>2024</v>
      </c>
      <c r="Q622" s="10">
        <f t="shared" si="2"/>
        <v>9</v>
      </c>
      <c r="R622" s="10" t="str">
        <f t="array" ref="R622">INDEX(Honor!$Q$2:$Q800,MATCH($I622,Honor!$A$2:$A800,0))</f>
        <v>SURVEI-PPL</v>
      </c>
      <c r="S622" s="10" t="str">
        <f t="shared" si="3"/>
        <v>610422040061-2024-9</v>
      </c>
      <c r="T622" s="10" t="str">
        <f t="shared" si="4"/>
        <v>610422040061-2024-9-SURVEI-PPL</v>
      </c>
      <c r="U622" s="64">
        <v>0</v>
      </c>
      <c r="V622" s="10" t="e">
        <f t="array" aca="1" ref="V622" ca="1">INDEX(Honor!$O$2:$O800,MATCH($I622,Honor!$A$2:$A800,0))</f>
        <v>#NAME?</v>
      </c>
      <c r="W622" s="67"/>
      <c r="X622" s="7" t="str">
        <f t="array" ref="X622">INDEX('Input Kegiatan'!$B$2:$B800,MATCH(B622,'Input Kegiatan'!$A$2:$A800,0))</f>
        <v>Survei Ekonomi Rumah Tangga Triwulanan (SERUTI24) Triwulan III Kegiatan Lapangan</v>
      </c>
      <c r="Y622" s="7" t="s">
        <v>3715</v>
      </c>
      <c r="Z622" s="7" t="s">
        <v>3862</v>
      </c>
      <c r="AA622" s="68">
        <f t="shared" si="5"/>
        <v>45535</v>
      </c>
      <c r="AB622" s="68">
        <f t="shared" si="6"/>
        <v>45536</v>
      </c>
      <c r="AC622" s="68">
        <f t="shared" si="7"/>
        <v>45565</v>
      </c>
      <c r="AD622" s="68">
        <f t="shared" si="8"/>
        <v>45564</v>
      </c>
      <c r="AE622" s="68">
        <f t="shared" si="9"/>
        <v>45565</v>
      </c>
    </row>
    <row r="623" spans="1:31" ht="12.5">
      <c r="A623" s="125">
        <v>610422040053</v>
      </c>
      <c r="B623" s="64" t="s">
        <v>266</v>
      </c>
      <c r="D623" s="10">
        <f t="array" aca="1" ref="D623" ca="1">INDEX('Mitra per Bulan'!$M$2:$M800,MATCH(S623,'Mitra per Bulan'!$B$2:$B800,0))</f>
        <v>1</v>
      </c>
      <c r="E623" s="10" t="str">
        <f t="array" ref="E623">INDEX('Database Mitra'!$A$2:$A800,MATCH(A623,'Database Mitra'!$B$2:$B800,0))</f>
        <v>Veti Ningsi</v>
      </c>
      <c r="F623" s="64" t="s">
        <v>25</v>
      </c>
      <c r="G623" s="5" t="str">
        <f t="array" ref="G623">INDEX('Database Mitra'!$G$2:$G800,MATCH(A623,'Database Mitra'!$B$2:$B800,0))</f>
        <v>6102125604010002</v>
      </c>
      <c r="H623" s="64" t="s">
        <v>67</v>
      </c>
      <c r="I623" s="65" t="s">
        <v>267</v>
      </c>
      <c r="J623" s="10" t="str">
        <f t="array" ref="J623">INDEX(Honor!$H$2:$H800,MATCH($I623,Honor!$A$2:$A800,0))</f>
        <v>Dokumen</v>
      </c>
      <c r="K623" s="66">
        <f t="array" ref="K623">INDEX(Honor!$I$2:$I800,MATCH($I623,Honor!$A$2:$A800,0))</f>
        <v>60000</v>
      </c>
      <c r="L623" s="64">
        <v>10</v>
      </c>
      <c r="M623" s="10">
        <f t="shared" si="0"/>
        <v>600000</v>
      </c>
      <c r="O623" s="67">
        <f t="array" ref="O623">INDEX(Honor!$L$2:$L800,MATCH($I623,Honor!$A$2:$A800,0))</f>
        <v>45565</v>
      </c>
      <c r="P623" s="10">
        <f t="shared" si="1"/>
        <v>2024</v>
      </c>
      <c r="Q623" s="10">
        <f t="shared" si="2"/>
        <v>9</v>
      </c>
      <c r="R623" s="10" t="str">
        <f t="array" ref="R623">INDEX(Honor!$Q$2:$Q800,MATCH($I623,Honor!$A$2:$A800,0))</f>
        <v>SURVEI-PPL</v>
      </c>
      <c r="S623" s="10" t="str">
        <f t="shared" si="3"/>
        <v>610422040053-2024-9</v>
      </c>
      <c r="T623" s="10" t="str">
        <f t="shared" si="4"/>
        <v>610422040053-2024-9-SURVEI-PPL</v>
      </c>
      <c r="U623" s="64">
        <v>0</v>
      </c>
      <c r="V623" s="10" t="e">
        <f t="array" aca="1" ref="V623" ca="1">INDEX(Honor!$O$2:$O800,MATCH($I623,Honor!$A$2:$A800,0))</f>
        <v>#NAME?</v>
      </c>
      <c r="W623" s="67"/>
      <c r="X623" s="7" t="str">
        <f t="array" ref="X623">INDEX('Input Kegiatan'!$B$2:$B800,MATCH(B623,'Input Kegiatan'!$A$2:$A800,0))</f>
        <v>Survei Ekonomi Rumah Tangga Triwulanan (SERUTI24) Triwulan III Kegiatan Lapangan</v>
      </c>
      <c r="Y623" s="7" t="s">
        <v>5250</v>
      </c>
      <c r="Z623" s="7" t="s">
        <v>5464</v>
      </c>
      <c r="AA623" s="68">
        <f t="shared" si="5"/>
        <v>45535</v>
      </c>
      <c r="AB623" s="68">
        <f t="shared" si="6"/>
        <v>45536</v>
      </c>
      <c r="AC623" s="68">
        <f t="shared" si="7"/>
        <v>45565</v>
      </c>
      <c r="AD623" s="68">
        <f t="shared" si="8"/>
        <v>45564</v>
      </c>
      <c r="AE623" s="68">
        <f t="shared" si="9"/>
        <v>45565</v>
      </c>
    </row>
    <row r="624" spans="1:31" ht="12.5">
      <c r="A624" s="125">
        <v>610422100055</v>
      </c>
      <c r="B624" s="64" t="s">
        <v>266</v>
      </c>
      <c r="D624" s="10">
        <f t="array" aca="1" ref="D624" ca="1">INDEX('Mitra per Bulan'!$M$2:$M800,MATCH(S624,'Mitra per Bulan'!$B$2:$B800,0))</f>
        <v>1</v>
      </c>
      <c r="E624" s="10" t="str">
        <f t="array" ref="E624">INDEX('Database Mitra'!$A$2:$A800,MATCH(A624,'Database Mitra'!$B$2:$B800,0))</f>
        <v>Vika Rizkiani</v>
      </c>
      <c r="F624" s="64" t="s">
        <v>25</v>
      </c>
      <c r="G624" s="5" t="str">
        <f t="array" ref="G624">INDEX('Database Mitra'!$G$2:$G800,MATCH(A624,'Database Mitra'!$B$2:$B800,0))</f>
        <v>6102084207980006</v>
      </c>
      <c r="H624" s="64" t="s">
        <v>67</v>
      </c>
      <c r="I624" s="65" t="s">
        <v>267</v>
      </c>
      <c r="J624" s="10" t="str">
        <f t="array" ref="J624">INDEX(Honor!$H$2:$H800,MATCH($I624,Honor!$A$2:$A800,0))</f>
        <v>Dokumen</v>
      </c>
      <c r="K624" s="66">
        <f t="array" ref="K624">INDEX(Honor!$I$2:$I800,MATCH($I624,Honor!$A$2:$A800,0))</f>
        <v>60000</v>
      </c>
      <c r="L624" s="64">
        <v>10</v>
      </c>
      <c r="M624" s="10">
        <f t="shared" si="0"/>
        <v>600000</v>
      </c>
      <c r="O624" s="67">
        <f t="array" ref="O624">INDEX(Honor!$L$2:$L800,MATCH($I624,Honor!$A$2:$A800,0))</f>
        <v>45565</v>
      </c>
      <c r="P624" s="10">
        <f t="shared" si="1"/>
        <v>2024</v>
      </c>
      <c r="Q624" s="10">
        <f t="shared" si="2"/>
        <v>9</v>
      </c>
      <c r="R624" s="10" t="str">
        <f t="array" ref="R624">INDEX(Honor!$Q$2:$Q800,MATCH($I624,Honor!$A$2:$A800,0))</f>
        <v>SURVEI-PPL</v>
      </c>
      <c r="S624" s="10" t="str">
        <f t="shared" si="3"/>
        <v>610422100055-2024-9</v>
      </c>
      <c r="T624" s="10" t="str">
        <f t="shared" si="4"/>
        <v>610422100055-2024-9-SURVEI-PPL</v>
      </c>
      <c r="U624" s="64">
        <v>0</v>
      </c>
      <c r="V624" s="10" t="e">
        <f t="array" aca="1" ref="V624" ca="1">INDEX(Honor!$O$2:$O800,MATCH($I624,Honor!$A$2:$A800,0))</f>
        <v>#NAME?</v>
      </c>
      <c r="W624" s="67"/>
      <c r="X624" s="7" t="str">
        <f t="array" ref="X624">INDEX('Input Kegiatan'!$B$2:$B800,MATCH(B624,'Input Kegiatan'!$A$2:$A800,0))</f>
        <v>Survei Ekonomi Rumah Tangga Triwulanan (SERUTI24) Triwulan III Kegiatan Lapangan</v>
      </c>
      <c r="Y624" s="7" t="s">
        <v>3241</v>
      </c>
      <c r="Z624" s="7" t="s">
        <v>3289</v>
      </c>
      <c r="AA624" s="68">
        <f t="shared" si="5"/>
        <v>45535</v>
      </c>
      <c r="AB624" s="68">
        <f t="shared" si="6"/>
        <v>45536</v>
      </c>
      <c r="AC624" s="68">
        <f t="shared" si="7"/>
        <v>45565</v>
      </c>
      <c r="AD624" s="68">
        <f t="shared" si="8"/>
        <v>45564</v>
      </c>
      <c r="AE624" s="68">
        <f t="shared" si="9"/>
        <v>45565</v>
      </c>
    </row>
    <row r="625" spans="1:31" ht="12.5">
      <c r="A625" s="125">
        <v>610422100139</v>
      </c>
      <c r="B625" s="64" t="s">
        <v>266</v>
      </c>
      <c r="D625" s="10">
        <f t="array" aca="1" ref="D625" ca="1">INDEX('Mitra per Bulan'!$M$2:$M800,MATCH(S625,'Mitra per Bulan'!$B$2:$B800,0))</f>
        <v>1</v>
      </c>
      <c r="E625" s="10" t="str">
        <f t="array" ref="E625">INDEX('Database Mitra'!$A$2:$A800,MATCH(A625,'Database Mitra'!$B$2:$B800,0))</f>
        <v>Winda Dwi Ananda</v>
      </c>
      <c r="F625" s="64" t="s">
        <v>25</v>
      </c>
      <c r="G625" s="5" t="str">
        <f t="array" ref="G625">INDEX('Database Mitra'!$G$2:$G800,MATCH(A625,'Database Mitra'!$B$2:$B800,0))</f>
        <v>6102016812990001</v>
      </c>
      <c r="H625" s="64" t="s">
        <v>67</v>
      </c>
      <c r="I625" s="65" t="s">
        <v>267</v>
      </c>
      <c r="J625" s="10" t="str">
        <f t="array" ref="J625">INDEX(Honor!$H$2:$H800,MATCH($I625,Honor!$A$2:$A800,0))</f>
        <v>Dokumen</v>
      </c>
      <c r="K625" s="66">
        <f t="array" ref="K625">INDEX(Honor!$I$2:$I800,MATCH($I625,Honor!$A$2:$A800,0))</f>
        <v>60000</v>
      </c>
      <c r="L625" s="64">
        <v>10</v>
      </c>
      <c r="M625" s="10">
        <f t="shared" si="0"/>
        <v>600000</v>
      </c>
      <c r="O625" s="67">
        <f t="array" ref="O625">INDEX(Honor!$L$2:$L800,MATCH($I625,Honor!$A$2:$A800,0))</f>
        <v>45565</v>
      </c>
      <c r="P625" s="10">
        <f t="shared" si="1"/>
        <v>2024</v>
      </c>
      <c r="Q625" s="10">
        <f t="shared" si="2"/>
        <v>9</v>
      </c>
      <c r="R625" s="10" t="str">
        <f t="array" ref="R625">INDEX(Honor!$Q$2:$Q800,MATCH($I625,Honor!$A$2:$A800,0))</f>
        <v>SURVEI-PPL</v>
      </c>
      <c r="S625" s="10" t="str">
        <f t="shared" si="3"/>
        <v>610422100139-2024-9</v>
      </c>
      <c r="T625" s="10" t="str">
        <f t="shared" si="4"/>
        <v>610422100139-2024-9-SURVEI-PPL</v>
      </c>
      <c r="U625" s="64">
        <v>0</v>
      </c>
      <c r="V625" s="10" t="e">
        <f t="array" aca="1" ref="V625" ca="1">INDEX(Honor!$O$2:$O800,MATCH($I625,Honor!$A$2:$A800,0))</f>
        <v>#NAME?</v>
      </c>
      <c r="W625" s="67"/>
      <c r="X625" s="7" t="str">
        <f t="array" ref="X625">INDEX('Input Kegiatan'!$B$2:$B800,MATCH(B625,'Input Kegiatan'!$A$2:$A800,0))</f>
        <v>Survei Ekonomi Rumah Tangga Triwulanan (SERUTI24) Triwulan III Kegiatan Lapangan</v>
      </c>
      <c r="Y625" s="7" t="s">
        <v>4572</v>
      </c>
      <c r="Z625" s="7" t="s">
        <v>4814</v>
      </c>
      <c r="AA625" s="68">
        <f t="shared" si="5"/>
        <v>45535</v>
      </c>
      <c r="AB625" s="68">
        <f t="shared" si="6"/>
        <v>45536</v>
      </c>
      <c r="AC625" s="68">
        <f t="shared" si="7"/>
        <v>45565</v>
      </c>
      <c r="AD625" s="68">
        <f t="shared" si="8"/>
        <v>45564</v>
      </c>
      <c r="AE625" s="68">
        <f t="shared" si="9"/>
        <v>45565</v>
      </c>
    </row>
    <row r="626" spans="1:31" ht="12.5">
      <c r="A626" s="125">
        <v>610422040052</v>
      </c>
      <c r="B626" s="64" t="s">
        <v>266</v>
      </c>
      <c r="D626" s="10">
        <f t="array" aca="1" ref="D626" ca="1">INDEX('Mitra per Bulan'!$M$2:$M800,MATCH(S626,'Mitra per Bulan'!$B$2:$B800,0))</f>
        <v>1</v>
      </c>
      <c r="E626" s="10" t="str">
        <f t="array" ref="E626">INDEX('Database Mitra'!$A$2:$A800,MATCH(A626,'Database Mitra'!$B$2:$B800,0))</f>
        <v>Yusimianto</v>
      </c>
      <c r="F626" s="64" t="s">
        <v>25</v>
      </c>
      <c r="G626" s="5" t="str">
        <f t="array" ref="G626">INDEX('Database Mitra'!$G$2:$G800,MATCH(A626,'Database Mitra'!$B$2:$B800,0))</f>
        <v>6102160603790001</v>
      </c>
      <c r="H626" s="64" t="s">
        <v>67</v>
      </c>
      <c r="I626" s="65" t="s">
        <v>267</v>
      </c>
      <c r="J626" s="10" t="str">
        <f t="array" ref="J626">INDEX(Honor!$H$2:$H800,MATCH($I626,Honor!$A$2:$A800,0))</f>
        <v>Dokumen</v>
      </c>
      <c r="K626" s="66">
        <f t="array" ref="K626">INDEX(Honor!$I$2:$I800,MATCH($I626,Honor!$A$2:$A800,0))</f>
        <v>60000</v>
      </c>
      <c r="L626" s="64">
        <v>10</v>
      </c>
      <c r="M626" s="10">
        <f t="shared" si="0"/>
        <v>600000</v>
      </c>
      <c r="O626" s="67">
        <f t="array" ref="O626">INDEX(Honor!$L$2:$L800,MATCH($I626,Honor!$A$2:$A800,0))</f>
        <v>45565</v>
      </c>
      <c r="P626" s="10">
        <f t="shared" si="1"/>
        <v>2024</v>
      </c>
      <c r="Q626" s="10">
        <f t="shared" si="2"/>
        <v>9</v>
      </c>
      <c r="R626" s="10" t="str">
        <f t="array" ref="R626">INDEX(Honor!$Q$2:$Q800,MATCH($I626,Honor!$A$2:$A800,0))</f>
        <v>SURVEI-PPL</v>
      </c>
      <c r="S626" s="10" t="str">
        <f t="shared" si="3"/>
        <v>610422040052-2024-9</v>
      </c>
      <c r="T626" s="10" t="str">
        <f t="shared" si="4"/>
        <v>610422040052-2024-9-SURVEI-PPL</v>
      </c>
      <c r="U626" s="64">
        <v>0</v>
      </c>
      <c r="V626" s="10" t="e">
        <f t="array" aca="1" ref="V626" ca="1">INDEX(Honor!$O$2:$O800,MATCH($I626,Honor!$A$2:$A800,0))</f>
        <v>#NAME?</v>
      </c>
      <c r="W626" s="67"/>
      <c r="X626" s="7" t="str">
        <f t="array" ref="X626">INDEX('Input Kegiatan'!$B$2:$B800,MATCH(B626,'Input Kegiatan'!$A$2:$A800,0))</f>
        <v>Survei Ekonomi Rumah Tangga Triwulanan (SERUTI24) Triwulan III Kegiatan Lapangan</v>
      </c>
      <c r="Y626" s="7" t="s">
        <v>4408</v>
      </c>
      <c r="Z626" s="7" t="s">
        <v>4487</v>
      </c>
      <c r="AA626" s="68">
        <f t="shared" si="5"/>
        <v>45535</v>
      </c>
      <c r="AB626" s="68">
        <f t="shared" si="6"/>
        <v>45536</v>
      </c>
      <c r="AC626" s="68">
        <f t="shared" si="7"/>
        <v>45565</v>
      </c>
      <c r="AD626" s="68">
        <f t="shared" si="8"/>
        <v>45564</v>
      </c>
      <c r="AE626" s="68">
        <f t="shared" si="9"/>
        <v>45565</v>
      </c>
    </row>
    <row r="627" spans="1:31" ht="12.5">
      <c r="A627" s="125">
        <v>610423040018</v>
      </c>
      <c r="B627" s="64" t="s">
        <v>268</v>
      </c>
      <c r="D627" s="10">
        <f t="array" aca="1" ref="D627" ca="1">INDEX('Mitra per Bulan'!$M$2:$M800,MATCH(S627,'Mitra per Bulan'!$B$2:$B800,0))</f>
        <v>1</v>
      </c>
      <c r="E627" s="10" t="str">
        <f t="array" ref="E627">INDEX('Database Mitra'!$A$2:$A800,MATCH(A627,'Database Mitra'!$B$2:$B800,0))</f>
        <v>Handoko Tuah Sabarman Sipayung</v>
      </c>
      <c r="F627" s="64" t="s">
        <v>25</v>
      </c>
      <c r="G627" s="5" t="str">
        <f t="array" ref="G627">INDEX('Database Mitra'!$G$2:$G800,MATCH(A627,'Database Mitra'!$B$2:$B800,0))</f>
        <v>1212092309880001</v>
      </c>
      <c r="H627" s="9" t="s">
        <v>232</v>
      </c>
      <c r="I627" s="65" t="s">
        <v>269</v>
      </c>
      <c r="J627" s="10" t="str">
        <f t="array" ref="J627">INDEX(Honor!$H$2:$H800,MATCH($I627,Honor!$A$2:$A800,0))</f>
        <v>Dokumen</v>
      </c>
      <c r="K627" s="66">
        <f t="array" ref="K627">INDEX(Honor!$I$2:$I800,MATCH($I627,Honor!$A$2:$A800,0))</f>
        <v>78000</v>
      </c>
      <c r="L627" s="64">
        <v>2</v>
      </c>
      <c r="M627" s="10">
        <f t="shared" si="0"/>
        <v>156000</v>
      </c>
      <c r="O627" s="67">
        <f t="array" ref="O627">INDEX(Honor!$L$2:$L800,MATCH($I627,Honor!$A$2:$A800,0))</f>
        <v>45565</v>
      </c>
      <c r="P627" s="10">
        <f t="shared" si="1"/>
        <v>2024</v>
      </c>
      <c r="Q627" s="10">
        <f t="shared" si="2"/>
        <v>9</v>
      </c>
      <c r="R627" s="10" t="str">
        <f t="array" ref="R627">INDEX(Honor!$Q$2:$Q800,MATCH($I627,Honor!$A$2:$A800,0))</f>
        <v>SURVEI-PPL</v>
      </c>
      <c r="S627" s="10" t="str">
        <f t="shared" si="3"/>
        <v>610423040018-2024-9</v>
      </c>
      <c r="T627" s="10" t="str">
        <f t="shared" si="4"/>
        <v>610423040018-2024-9-SURVEI-PPL</v>
      </c>
      <c r="U627" s="64">
        <v>0</v>
      </c>
      <c r="V627" s="10" t="e">
        <f t="array" aca="1" ref="V627" ca="1">INDEX(Honor!$O$2:$O800,MATCH($I627,Honor!$A$2:$A800,0))</f>
        <v>#NAME?</v>
      </c>
      <c r="W627" s="67"/>
      <c r="X627" s="7" t="str">
        <f t="array" ref="X627">INDEX('Input Kegiatan'!$B$2:$B800,MATCH(B627,'Input Kegiatan'!$A$2:$A800,0))</f>
        <v>Survei Ubinan 2024 Subround 3</v>
      </c>
      <c r="Y627" s="7" t="s">
        <v>5534</v>
      </c>
      <c r="Z627" s="7" t="s">
        <v>5647</v>
      </c>
      <c r="AA627" s="68">
        <f t="shared" si="5"/>
        <v>45535</v>
      </c>
      <c r="AB627" s="68">
        <f t="shared" si="6"/>
        <v>45536</v>
      </c>
      <c r="AC627" s="68">
        <f t="shared" si="7"/>
        <v>45565</v>
      </c>
      <c r="AD627" s="68">
        <f t="shared" si="8"/>
        <v>45564</v>
      </c>
      <c r="AE627" s="68">
        <f t="shared" si="9"/>
        <v>45565</v>
      </c>
    </row>
    <row r="628" spans="1:31" ht="12.5">
      <c r="A628" s="125">
        <v>610422040059</v>
      </c>
      <c r="B628" s="64" t="s">
        <v>268</v>
      </c>
      <c r="D628" s="10">
        <f t="array" aca="1" ref="D628" ca="1">INDEX('Mitra per Bulan'!$M$2:$M800,MATCH(S628,'Mitra per Bulan'!$B$2:$B800,0))</f>
        <v>1</v>
      </c>
      <c r="E628" s="10" t="str">
        <f t="array" ref="E628">INDEX('Database Mitra'!$A$2:$A800,MATCH(A628,'Database Mitra'!$B$2:$B800,0))</f>
        <v>Abang Handri</v>
      </c>
      <c r="F628" s="64" t="s">
        <v>25</v>
      </c>
      <c r="G628" s="5" t="str">
        <f t="array" ref="G628">INDEX('Database Mitra'!$G$2:$G800,MATCH(A628,'Database Mitra'!$B$2:$B800,0))</f>
        <v>6102072211780002</v>
      </c>
      <c r="H628" s="9" t="s">
        <v>232</v>
      </c>
      <c r="I628" s="65" t="s">
        <v>269</v>
      </c>
      <c r="J628" s="10" t="str">
        <f t="array" ref="J628">INDEX(Honor!$H$2:$H800,MATCH($I628,Honor!$A$2:$A800,0))</f>
        <v>Dokumen</v>
      </c>
      <c r="K628" s="66">
        <f t="array" ref="K628">INDEX(Honor!$I$2:$I800,MATCH($I628,Honor!$A$2:$A800,0))</f>
        <v>78000</v>
      </c>
      <c r="L628" s="64">
        <v>3</v>
      </c>
      <c r="M628" s="10">
        <f t="shared" si="0"/>
        <v>234000</v>
      </c>
      <c r="O628" s="67">
        <f t="array" ref="O628">INDEX(Honor!$L$2:$L800,MATCH($I628,Honor!$A$2:$A800,0))</f>
        <v>45565</v>
      </c>
      <c r="P628" s="10">
        <f t="shared" si="1"/>
        <v>2024</v>
      </c>
      <c r="Q628" s="10">
        <f t="shared" si="2"/>
        <v>9</v>
      </c>
      <c r="R628" s="10" t="str">
        <f t="array" ref="R628">INDEX(Honor!$Q$2:$Q800,MATCH($I628,Honor!$A$2:$A800,0))</f>
        <v>SURVEI-PPL</v>
      </c>
      <c r="S628" s="10" t="str">
        <f t="shared" si="3"/>
        <v>610422040059-2024-9</v>
      </c>
      <c r="T628" s="10" t="str">
        <f t="shared" si="4"/>
        <v>610422040059-2024-9-SURVEI-PPL</v>
      </c>
      <c r="U628" s="64">
        <v>0</v>
      </c>
      <c r="V628" s="10" t="e">
        <f t="array" aca="1" ref="V628" ca="1">INDEX(Honor!$O$2:$O800,MATCH($I628,Honor!$A$2:$A800,0))</f>
        <v>#NAME?</v>
      </c>
      <c r="W628" s="67"/>
      <c r="X628" s="7" t="str">
        <f t="array" ref="X628">INDEX('Input Kegiatan'!$B$2:$B800,MATCH(B628,'Input Kegiatan'!$A$2:$A800,0))</f>
        <v>Survei Ubinan 2024 Subround 3</v>
      </c>
      <c r="Y628" s="7" t="s">
        <v>4572</v>
      </c>
      <c r="Z628" s="7" t="s">
        <v>4656</v>
      </c>
      <c r="AA628" s="68">
        <f t="shared" si="5"/>
        <v>45535</v>
      </c>
      <c r="AB628" s="68">
        <f t="shared" si="6"/>
        <v>45536</v>
      </c>
      <c r="AC628" s="68">
        <f t="shared" si="7"/>
        <v>45565</v>
      </c>
      <c r="AD628" s="68">
        <f t="shared" si="8"/>
        <v>45564</v>
      </c>
      <c r="AE628" s="68">
        <f t="shared" si="9"/>
        <v>45565</v>
      </c>
    </row>
    <row r="629" spans="1:31" ht="12.5">
      <c r="A629" s="125">
        <v>610422100244</v>
      </c>
      <c r="B629" s="64" t="s">
        <v>268</v>
      </c>
      <c r="D629" s="10">
        <f t="array" aca="1" ref="D629" ca="1">INDEX('Mitra per Bulan'!$M$2:$M800,MATCH(S629,'Mitra per Bulan'!$B$2:$B800,0))</f>
        <v>1</v>
      </c>
      <c r="E629" s="10" t="str">
        <f t="array" ref="E629">INDEX('Database Mitra'!$A$2:$A800,MATCH(A629,'Database Mitra'!$B$2:$B800,0))</f>
        <v>Sugianto</v>
      </c>
      <c r="F629" s="64" t="s">
        <v>25</v>
      </c>
      <c r="G629" s="5" t="str">
        <f t="array" ref="G629">INDEX('Database Mitra'!$G$2:$G800,MATCH(A629,'Database Mitra'!$B$2:$B800,0))</f>
        <v>6102171003900002</v>
      </c>
      <c r="H629" s="9" t="s">
        <v>232</v>
      </c>
      <c r="I629" s="65" t="s">
        <v>269</v>
      </c>
      <c r="J629" s="10" t="str">
        <f t="array" ref="J629">INDEX(Honor!$H$2:$H800,MATCH($I629,Honor!$A$2:$A800,0))</f>
        <v>Dokumen</v>
      </c>
      <c r="K629" s="66">
        <f t="array" ref="K629">INDEX(Honor!$I$2:$I800,MATCH($I629,Honor!$A$2:$A800,0))</f>
        <v>78000</v>
      </c>
      <c r="L629" s="64">
        <v>2</v>
      </c>
      <c r="M629" s="10">
        <f t="shared" si="0"/>
        <v>156000</v>
      </c>
      <c r="O629" s="67">
        <f t="array" ref="O629">INDEX(Honor!$L$2:$L800,MATCH($I629,Honor!$A$2:$A800,0))</f>
        <v>45565</v>
      </c>
      <c r="P629" s="10">
        <f t="shared" si="1"/>
        <v>2024</v>
      </c>
      <c r="Q629" s="10">
        <f t="shared" si="2"/>
        <v>9</v>
      </c>
      <c r="R629" s="10" t="str">
        <f t="array" ref="R629">INDEX(Honor!$Q$2:$Q800,MATCH($I629,Honor!$A$2:$A800,0))</f>
        <v>SURVEI-PPL</v>
      </c>
      <c r="S629" s="10" t="str">
        <f t="shared" si="3"/>
        <v>610422100244-2024-9</v>
      </c>
      <c r="T629" s="10" t="str">
        <f t="shared" si="4"/>
        <v>610422100244-2024-9-SURVEI-PPL</v>
      </c>
      <c r="U629" s="64">
        <v>0</v>
      </c>
      <c r="V629" s="10" t="e">
        <f t="array" aca="1" ref="V629" ca="1">INDEX(Honor!$O$2:$O800,MATCH($I629,Honor!$A$2:$A800,0))</f>
        <v>#NAME?</v>
      </c>
      <c r="W629" s="67"/>
      <c r="X629" s="7" t="str">
        <f t="array" ref="X629">INDEX('Input Kegiatan'!$B$2:$B800,MATCH(B629,'Input Kegiatan'!$A$2:$A800,0))</f>
        <v>Survei Ubinan 2024 Subround 3</v>
      </c>
      <c r="Y629" s="7" t="s">
        <v>5741</v>
      </c>
      <c r="Z629" s="7" t="s">
        <v>5796</v>
      </c>
      <c r="AA629" s="68">
        <f t="shared" si="5"/>
        <v>45535</v>
      </c>
      <c r="AB629" s="68">
        <f t="shared" si="6"/>
        <v>45536</v>
      </c>
      <c r="AC629" s="68">
        <f t="shared" si="7"/>
        <v>45565</v>
      </c>
      <c r="AD629" s="68">
        <f t="shared" si="8"/>
        <v>45564</v>
      </c>
      <c r="AE629" s="68">
        <f t="shared" si="9"/>
        <v>45565</v>
      </c>
    </row>
    <row r="630" spans="1:31" ht="12.5">
      <c r="A630" s="125">
        <v>610422040061</v>
      </c>
      <c r="B630" s="64" t="s">
        <v>268</v>
      </c>
      <c r="D630" s="10">
        <f t="array" aca="1" ref="D630" ca="1">INDEX('Mitra per Bulan'!$M$2:$M800,MATCH(S630,'Mitra per Bulan'!$B$2:$B800,0))</f>
        <v>1</v>
      </c>
      <c r="E630" s="10" t="str">
        <f t="array" ref="E630">INDEX('Database Mitra'!$A$2:$A800,MATCH(A630,'Database Mitra'!$B$2:$B800,0))</f>
        <v>Sabani</v>
      </c>
      <c r="F630" s="64" t="s">
        <v>25</v>
      </c>
      <c r="G630" s="5" t="str">
        <f t="array" ref="G630">INDEX('Database Mitra'!$G$2:$G800,MATCH(A630,'Database Mitra'!$B$2:$B800,0))</f>
        <v>6102153112860003</v>
      </c>
      <c r="H630" s="9" t="s">
        <v>232</v>
      </c>
      <c r="I630" s="65" t="s">
        <v>269</v>
      </c>
      <c r="J630" s="10" t="str">
        <f t="array" ref="J630">INDEX(Honor!$H$2:$H800,MATCH($I630,Honor!$A$2:$A800,0))</f>
        <v>Dokumen</v>
      </c>
      <c r="K630" s="66">
        <f t="array" ref="K630">INDEX(Honor!$I$2:$I800,MATCH($I630,Honor!$A$2:$A800,0))</f>
        <v>78000</v>
      </c>
      <c r="L630" s="64">
        <v>5</v>
      </c>
      <c r="M630" s="10">
        <f t="shared" si="0"/>
        <v>390000</v>
      </c>
      <c r="O630" s="67">
        <f t="array" ref="O630">INDEX(Honor!$L$2:$L800,MATCH($I630,Honor!$A$2:$A800,0))</f>
        <v>45565</v>
      </c>
      <c r="P630" s="10">
        <f t="shared" si="1"/>
        <v>2024</v>
      </c>
      <c r="Q630" s="10">
        <f t="shared" si="2"/>
        <v>9</v>
      </c>
      <c r="R630" s="10" t="str">
        <f t="array" ref="R630">INDEX(Honor!$Q$2:$Q800,MATCH($I630,Honor!$A$2:$A800,0))</f>
        <v>SURVEI-PPL</v>
      </c>
      <c r="S630" s="10" t="str">
        <f t="shared" si="3"/>
        <v>610422040061-2024-9</v>
      </c>
      <c r="T630" s="10" t="str">
        <f t="shared" si="4"/>
        <v>610422040061-2024-9-SURVEI-PPL</v>
      </c>
      <c r="U630" s="64">
        <v>0</v>
      </c>
      <c r="V630" s="10" t="e">
        <f t="array" aca="1" ref="V630" ca="1">INDEX(Honor!$O$2:$O800,MATCH($I630,Honor!$A$2:$A800,0))</f>
        <v>#NAME?</v>
      </c>
      <c r="W630" s="67"/>
      <c r="X630" s="7" t="str">
        <f t="array" ref="X630">INDEX('Input Kegiatan'!$B$2:$B800,MATCH(B630,'Input Kegiatan'!$A$2:$A800,0))</f>
        <v>Survei Ubinan 2024 Subround 3</v>
      </c>
      <c r="Y630" s="7" t="s">
        <v>3715</v>
      </c>
      <c r="Z630" s="7" t="s">
        <v>3862</v>
      </c>
      <c r="AA630" s="68">
        <f t="shared" si="5"/>
        <v>45535</v>
      </c>
      <c r="AB630" s="68">
        <f t="shared" si="6"/>
        <v>45536</v>
      </c>
      <c r="AC630" s="68">
        <f t="shared" si="7"/>
        <v>45565</v>
      </c>
      <c r="AD630" s="68">
        <f t="shared" si="8"/>
        <v>45564</v>
      </c>
      <c r="AE630" s="68">
        <f t="shared" si="9"/>
        <v>45565</v>
      </c>
    </row>
    <row r="631" spans="1:31" ht="12.5">
      <c r="A631" s="125">
        <v>610423110183</v>
      </c>
      <c r="B631" s="64" t="s">
        <v>268</v>
      </c>
      <c r="D631" s="10">
        <f t="array" aca="1" ref="D631" ca="1">INDEX('Mitra per Bulan'!$M$2:$M800,MATCH(S631,'Mitra per Bulan'!$B$2:$B800,0))</f>
        <v>1</v>
      </c>
      <c r="E631" s="10" t="str">
        <f t="array" ref="E631">INDEX('Database Mitra'!$A$2:$A800,MATCH(A631,'Database Mitra'!$B$2:$B800,0))</f>
        <v>Azhar</v>
      </c>
      <c r="F631" s="64" t="s">
        <v>25</v>
      </c>
      <c r="G631" s="5" t="str">
        <f t="array" ref="G631">INDEX('Database Mitra'!$G$2:$G800,MATCH(A631,'Database Mitra'!$B$2:$B800,0))</f>
        <v>6102081211790004</v>
      </c>
      <c r="H631" s="9" t="s">
        <v>232</v>
      </c>
      <c r="I631" s="65" t="s">
        <v>269</v>
      </c>
      <c r="J631" s="10" t="str">
        <f t="array" ref="J631">INDEX(Honor!$H$2:$H800,MATCH($I631,Honor!$A$2:$A800,0))</f>
        <v>Dokumen</v>
      </c>
      <c r="K631" s="66">
        <f t="array" ref="K631">INDEX(Honor!$I$2:$I800,MATCH($I631,Honor!$A$2:$A800,0))</f>
        <v>78000</v>
      </c>
      <c r="L631" s="64">
        <v>4</v>
      </c>
      <c r="M631" s="10">
        <f t="shared" si="0"/>
        <v>312000</v>
      </c>
      <c r="O631" s="67">
        <f t="array" ref="O631">INDEX(Honor!$L$2:$L800,MATCH($I631,Honor!$A$2:$A800,0))</f>
        <v>45565</v>
      </c>
      <c r="P631" s="10">
        <f t="shared" si="1"/>
        <v>2024</v>
      </c>
      <c r="Q631" s="10">
        <f t="shared" si="2"/>
        <v>9</v>
      </c>
      <c r="R631" s="10" t="str">
        <f t="array" ref="R631">INDEX(Honor!$Q$2:$Q800,MATCH($I631,Honor!$A$2:$A800,0))</f>
        <v>SURVEI-PPL</v>
      </c>
      <c r="S631" s="10" t="str">
        <f t="shared" si="3"/>
        <v>610423110183-2024-9</v>
      </c>
      <c r="T631" s="10" t="str">
        <f t="shared" si="4"/>
        <v>610423110183-2024-9-SURVEI-PPL</v>
      </c>
      <c r="U631" s="64">
        <v>0</v>
      </c>
      <c r="V631" s="10" t="e">
        <f t="array" aca="1" ref="V631" ca="1">INDEX(Honor!$O$2:$O800,MATCH($I631,Honor!$A$2:$A800,0))</f>
        <v>#NAME?</v>
      </c>
      <c r="W631" s="67"/>
      <c r="X631" s="7" t="str">
        <f t="array" ref="X631">INDEX('Input Kegiatan'!$B$2:$B800,MATCH(B631,'Input Kegiatan'!$A$2:$A800,0))</f>
        <v>Survei Ubinan 2024 Subround 3</v>
      </c>
      <c r="Y631" s="7" t="s">
        <v>3241</v>
      </c>
      <c r="Z631" s="7" t="s">
        <v>3242</v>
      </c>
      <c r="AA631" s="68">
        <f t="shared" si="5"/>
        <v>45535</v>
      </c>
      <c r="AB631" s="68">
        <f t="shared" si="6"/>
        <v>45536</v>
      </c>
      <c r="AC631" s="68">
        <f t="shared" si="7"/>
        <v>45565</v>
      </c>
      <c r="AD631" s="68">
        <f t="shared" si="8"/>
        <v>45564</v>
      </c>
      <c r="AE631" s="68">
        <f t="shared" si="9"/>
        <v>45565</v>
      </c>
    </row>
    <row r="632" spans="1:31" ht="12.5">
      <c r="A632" s="125">
        <v>610422100131</v>
      </c>
      <c r="B632" s="64" t="s">
        <v>268</v>
      </c>
      <c r="D632" s="10">
        <f t="array" aca="1" ref="D632" ca="1">INDEX('Mitra per Bulan'!$M$2:$M800,MATCH(S632,'Mitra per Bulan'!$B$2:$B800,0))</f>
        <v>1</v>
      </c>
      <c r="E632" s="10" t="str">
        <f t="array" ref="E632">INDEX('Database Mitra'!$A$2:$A800,MATCH(A632,'Database Mitra'!$B$2:$B800,0))</f>
        <v>Syamsul</v>
      </c>
      <c r="F632" s="64" t="s">
        <v>25</v>
      </c>
      <c r="G632" s="5" t="str">
        <f t="array" ref="G632">INDEX('Database Mitra'!$G$2:$G800,MATCH(A632,'Database Mitra'!$B$2:$B800,0))</f>
        <v>6102150907860003</v>
      </c>
      <c r="H632" s="9" t="s">
        <v>232</v>
      </c>
      <c r="I632" s="65" t="s">
        <v>269</v>
      </c>
      <c r="J632" s="10" t="str">
        <f t="array" ref="J632">INDEX(Honor!$H$2:$H800,MATCH($I632,Honor!$A$2:$A800,0))</f>
        <v>Dokumen</v>
      </c>
      <c r="K632" s="66">
        <f t="array" ref="K632">INDEX(Honor!$I$2:$I800,MATCH($I632,Honor!$A$2:$A800,0))</f>
        <v>78000</v>
      </c>
      <c r="L632" s="64">
        <v>7</v>
      </c>
      <c r="M632" s="10">
        <f t="shared" si="0"/>
        <v>546000</v>
      </c>
      <c r="O632" s="67">
        <f t="array" ref="O632">INDEX(Honor!$L$2:$L800,MATCH($I632,Honor!$A$2:$A800,0))</f>
        <v>45565</v>
      </c>
      <c r="P632" s="10">
        <f t="shared" si="1"/>
        <v>2024</v>
      </c>
      <c r="Q632" s="10">
        <f t="shared" si="2"/>
        <v>9</v>
      </c>
      <c r="R632" s="10" t="str">
        <f t="array" ref="R632">INDEX(Honor!$Q$2:$Q800,MATCH($I632,Honor!$A$2:$A800,0))</f>
        <v>SURVEI-PPL</v>
      </c>
      <c r="S632" s="10" t="str">
        <f t="shared" si="3"/>
        <v>610422100131-2024-9</v>
      </c>
      <c r="T632" s="10" t="str">
        <f t="shared" si="4"/>
        <v>610422100131-2024-9-SURVEI-PPL</v>
      </c>
      <c r="U632" s="64">
        <v>0</v>
      </c>
      <c r="V632" s="10" t="e">
        <f t="array" aca="1" ref="V632" ca="1">INDEX(Honor!$O$2:$O800,MATCH($I632,Honor!$A$2:$A800,0))</f>
        <v>#NAME?</v>
      </c>
      <c r="W632" s="67"/>
      <c r="X632" s="7" t="str">
        <f t="array" ref="X632">INDEX('Input Kegiatan'!$B$2:$B800,MATCH(B632,'Input Kegiatan'!$A$2:$A800,0))</f>
        <v>Survei Ubinan 2024 Subround 3</v>
      </c>
      <c r="Y632" s="7" t="s">
        <v>5250</v>
      </c>
      <c r="Z632" s="7" t="s">
        <v>5365</v>
      </c>
      <c r="AA632" s="68">
        <f t="shared" si="5"/>
        <v>45535</v>
      </c>
      <c r="AB632" s="68">
        <f t="shared" si="6"/>
        <v>45536</v>
      </c>
      <c r="AC632" s="68">
        <f t="shared" si="7"/>
        <v>45565</v>
      </c>
      <c r="AD632" s="68">
        <f t="shared" si="8"/>
        <v>45564</v>
      </c>
      <c r="AE632" s="68">
        <f t="shared" si="9"/>
        <v>45565</v>
      </c>
    </row>
    <row r="633" spans="1:31" ht="12.5">
      <c r="A633" s="125">
        <v>610422100131</v>
      </c>
      <c r="B633" s="64" t="s">
        <v>268</v>
      </c>
      <c r="D633" s="10">
        <f t="array" aca="1" ref="D633" ca="1">INDEX('Mitra per Bulan'!$M$2:$M800,MATCH(S633,'Mitra per Bulan'!$B$2:$B800,0))</f>
        <v>1</v>
      </c>
      <c r="E633" s="10" t="str">
        <f t="array" ref="E633">INDEX('Database Mitra'!$A$2:$A800,MATCH(A633,'Database Mitra'!$B$2:$B800,0))</f>
        <v>Syamsul</v>
      </c>
      <c r="F633" s="64" t="s">
        <v>25</v>
      </c>
      <c r="G633" s="5" t="str">
        <f t="array" ref="G633">INDEX('Database Mitra'!$G$2:$G800,MATCH(A633,'Database Mitra'!$B$2:$B800,0))</f>
        <v>6102150907860003</v>
      </c>
      <c r="H633" s="9" t="s">
        <v>230</v>
      </c>
      <c r="I633" s="65" t="s">
        <v>270</v>
      </c>
      <c r="J633" s="10" t="str">
        <f t="array" ref="J633">INDEX(Honor!$H$2:$H800,MATCH($I633,Honor!$A$2:$A800,0))</f>
        <v>Dokumen</v>
      </c>
      <c r="K633" s="66">
        <f t="array" ref="K633">INDEX(Honor!$I$2:$I800,MATCH($I633,Honor!$A$2:$A800,0))</f>
        <v>78000</v>
      </c>
      <c r="L633" s="64">
        <v>17</v>
      </c>
      <c r="M633" s="10">
        <f t="shared" si="0"/>
        <v>1326000</v>
      </c>
      <c r="O633" s="67">
        <f t="array" ref="O633">INDEX(Honor!$L$2:$L800,MATCH($I633,Honor!$A$2:$A800,0))</f>
        <v>45565</v>
      </c>
      <c r="P633" s="10">
        <f t="shared" si="1"/>
        <v>2024</v>
      </c>
      <c r="Q633" s="10">
        <f t="shared" si="2"/>
        <v>9</v>
      </c>
      <c r="R633" s="10" t="str">
        <f t="array" ref="R633">INDEX(Honor!$Q$2:$Q800,MATCH($I633,Honor!$A$2:$A800,0))</f>
        <v>SURVEI-PPL</v>
      </c>
      <c r="S633" s="10" t="str">
        <f t="shared" si="3"/>
        <v>610422100131-2024-9</v>
      </c>
      <c r="T633" s="10" t="str">
        <f t="shared" si="4"/>
        <v>610422100131-2024-9-SURVEI-PPL</v>
      </c>
      <c r="U633" s="64">
        <v>0</v>
      </c>
      <c r="V633" s="10" t="e">
        <f t="array" aca="1" ref="V633" ca="1">INDEX(Honor!$O$2:$O800,MATCH($I633,Honor!$A$2:$A800,0))</f>
        <v>#NAME?</v>
      </c>
      <c r="W633" s="67"/>
      <c r="X633" s="7" t="str">
        <f t="array" ref="X633">INDEX('Input Kegiatan'!$B$2:$B800,MATCH(B633,'Input Kegiatan'!$A$2:$A800,0))</f>
        <v>Survei Ubinan 2024 Subround 3</v>
      </c>
      <c r="Y633" s="7" t="s">
        <v>5250</v>
      </c>
      <c r="Z633" s="7" t="s">
        <v>5365</v>
      </c>
      <c r="AA633" s="68">
        <f t="shared" si="5"/>
        <v>45535</v>
      </c>
      <c r="AB633" s="68">
        <f t="shared" si="6"/>
        <v>45536</v>
      </c>
      <c r="AC633" s="68">
        <f t="shared" si="7"/>
        <v>45565</v>
      </c>
      <c r="AD633" s="68">
        <f t="shared" si="8"/>
        <v>45564</v>
      </c>
      <c r="AE633" s="68">
        <f t="shared" si="9"/>
        <v>45565</v>
      </c>
    </row>
    <row r="634" spans="1:31" ht="12.5">
      <c r="A634" s="125">
        <v>610422040012</v>
      </c>
      <c r="B634" s="64" t="s">
        <v>268</v>
      </c>
      <c r="D634" s="10">
        <f t="array" aca="1" ref="D634" ca="1">INDEX('Mitra per Bulan'!$M$2:$M800,MATCH(S634,'Mitra per Bulan'!$B$2:$B800,0))</f>
        <v>1</v>
      </c>
      <c r="E634" s="10" t="str">
        <f t="array" ref="E634">INDEX('Database Mitra'!$A$2:$A800,MATCH(A634,'Database Mitra'!$B$2:$B800,0))</f>
        <v>Misdi</v>
      </c>
      <c r="F634" s="64" t="s">
        <v>25</v>
      </c>
      <c r="G634" s="5" t="str">
        <f t="array" ref="G634">INDEX('Database Mitra'!$G$2:$G800,MATCH(A634,'Database Mitra'!$B$2:$B800,0))</f>
        <v>6102070706940001</v>
      </c>
      <c r="H634" s="9" t="s">
        <v>230</v>
      </c>
      <c r="I634" s="65" t="s">
        <v>270</v>
      </c>
      <c r="J634" s="10" t="str">
        <f t="array" ref="J634">INDEX(Honor!$H$2:$H800,MATCH($I634,Honor!$A$2:$A800,0))</f>
        <v>Dokumen</v>
      </c>
      <c r="K634" s="66">
        <f t="array" ref="K634">INDEX(Honor!$I$2:$I800,MATCH($I634,Honor!$A$2:$A800,0))</f>
        <v>78000</v>
      </c>
      <c r="L634" s="64">
        <v>17</v>
      </c>
      <c r="M634" s="10">
        <f t="shared" si="0"/>
        <v>1326000</v>
      </c>
      <c r="O634" s="67">
        <f t="array" ref="O634">INDEX(Honor!$L$2:$L800,MATCH($I634,Honor!$A$2:$A800,0))</f>
        <v>45565</v>
      </c>
      <c r="P634" s="10">
        <f t="shared" si="1"/>
        <v>2024</v>
      </c>
      <c r="Q634" s="10">
        <f t="shared" si="2"/>
        <v>9</v>
      </c>
      <c r="R634" s="10" t="str">
        <f t="array" ref="R634">INDEX(Honor!$Q$2:$Q800,MATCH($I634,Honor!$A$2:$A800,0))</f>
        <v>SURVEI-PPL</v>
      </c>
      <c r="S634" s="10" t="str">
        <f t="shared" si="3"/>
        <v>610422040012-2024-9</v>
      </c>
      <c r="T634" s="10" t="str">
        <f t="shared" si="4"/>
        <v>610422040012-2024-9-SURVEI-PPL</v>
      </c>
      <c r="U634" s="64">
        <v>0</v>
      </c>
      <c r="V634" s="10" t="e">
        <f t="array" aca="1" ref="V634" ca="1">INDEX(Honor!$O$2:$O800,MATCH($I634,Honor!$A$2:$A800,0))</f>
        <v>#NAME?</v>
      </c>
      <c r="W634" s="67"/>
      <c r="X634" s="7" t="str">
        <f t="array" ref="X634">INDEX('Input Kegiatan'!$B$2:$B800,MATCH(B634,'Input Kegiatan'!$A$2:$A800,0))</f>
        <v>Survei Ubinan 2024 Subround 3</v>
      </c>
      <c r="Y634" s="7" t="s">
        <v>3990</v>
      </c>
      <c r="Z634" s="7" t="s">
        <v>4365</v>
      </c>
      <c r="AA634" s="68">
        <f t="shared" si="5"/>
        <v>45535</v>
      </c>
      <c r="AB634" s="68">
        <f t="shared" si="6"/>
        <v>45536</v>
      </c>
      <c r="AC634" s="68">
        <f t="shared" si="7"/>
        <v>45565</v>
      </c>
      <c r="AD634" s="68">
        <f t="shared" si="8"/>
        <v>45564</v>
      </c>
      <c r="AE634" s="68">
        <f t="shared" si="9"/>
        <v>45565</v>
      </c>
    </row>
    <row r="635" spans="1:31" ht="12.5">
      <c r="A635" s="125">
        <v>610422020045</v>
      </c>
      <c r="B635" s="64" t="s">
        <v>248</v>
      </c>
      <c r="D635" s="10">
        <f t="array" aca="1" ref="D635" ca="1">INDEX('Mitra per Bulan'!$M$2:$M800,MATCH(S635,'Mitra per Bulan'!$B$2:$B800,0))</f>
        <v>1</v>
      </c>
      <c r="E635" s="10" t="str">
        <f t="array" ref="E635">INDEX('Database Mitra'!$A$2:$A800,MATCH(A635,'Database Mitra'!$B$2:$B800,0))</f>
        <v>Herdinatara Febria</v>
      </c>
      <c r="F635" s="64"/>
      <c r="G635" s="5"/>
      <c r="H635" s="64" t="s">
        <v>67</v>
      </c>
      <c r="I635" s="65" t="s">
        <v>271</v>
      </c>
      <c r="J635" s="10" t="str">
        <f t="array" ref="J635">INDEX(Honor!$H$2:$H800,MATCH($I635,Honor!$A$2:$A800,0))</f>
        <v>Dokumen</v>
      </c>
      <c r="K635" s="66">
        <f t="array" ref="K635">INDEX(Honor!$I$2:$I800,MATCH($I635,Honor!$A$2:$A800,0))</f>
        <v>119000</v>
      </c>
      <c r="L635" s="64">
        <v>10</v>
      </c>
      <c r="M635" s="10">
        <f t="shared" si="0"/>
        <v>1190000</v>
      </c>
      <c r="O635" s="67">
        <f t="array" ref="O635">INDEX(Honor!$L$2:$L800,MATCH($I635,Honor!$A$2:$A800,0))</f>
        <v>45565</v>
      </c>
      <c r="P635" s="10">
        <f t="shared" si="1"/>
        <v>2024</v>
      </c>
      <c r="Q635" s="10">
        <f t="shared" si="2"/>
        <v>9</v>
      </c>
      <c r="R635" s="10" t="str">
        <f t="array" ref="R635">INDEX(Honor!$Q$2:$Q800,MATCH($I635,Honor!$A$2:$A800,0))</f>
        <v>SURVEI-PPL</v>
      </c>
      <c r="S635" s="10" t="str">
        <f t="shared" si="3"/>
        <v>610422020045-2024-9</v>
      </c>
      <c r="T635" s="10" t="str">
        <f t="shared" si="4"/>
        <v>610422020045-2024-9-SURVEI-PPL</v>
      </c>
      <c r="U635" s="64"/>
      <c r="V635" s="10">
        <f t="array" ref="V635">INDEX(Honor!$O$2:$O800,MATCH($I635,Honor!$A$2:$A800,0))</f>
        <v>-19</v>
      </c>
      <c r="W635" s="67"/>
      <c r="X635" s="7" t="str">
        <f t="array" ref="X635">INDEX('Input Kegiatan'!$B$2:$B800,MATCH(B635,'Input Kegiatan'!$A$2:$A800,0))</f>
        <v>Susenas September 2024</v>
      </c>
      <c r="Y635" s="7" t="s">
        <v>3241</v>
      </c>
      <c r="Z635" s="7" t="s">
        <v>3430</v>
      </c>
      <c r="AA635" s="68">
        <f t="shared" si="5"/>
        <v>45535</v>
      </c>
      <c r="AB635" s="68">
        <f t="shared" si="6"/>
        <v>45536</v>
      </c>
      <c r="AC635" s="68">
        <f t="shared" si="7"/>
        <v>45565</v>
      </c>
      <c r="AD635" s="68">
        <f t="shared" si="8"/>
        <v>45564</v>
      </c>
      <c r="AE635" s="68">
        <f t="shared" si="9"/>
        <v>45565</v>
      </c>
    </row>
    <row r="636" spans="1:31" ht="12.5">
      <c r="A636" s="125">
        <v>610422020016</v>
      </c>
      <c r="B636" s="64" t="s">
        <v>248</v>
      </c>
      <c r="D636" s="10">
        <f t="array" aca="1" ref="D636" ca="1">INDEX('Mitra per Bulan'!$M$2:$M800,MATCH(S636,'Mitra per Bulan'!$B$2:$B800,0))</f>
        <v>1</v>
      </c>
      <c r="E636" s="10" t="str">
        <f t="array" ref="E636">INDEX('Database Mitra'!$A$2:$A800,MATCH(A636,'Database Mitra'!$B$2:$B800,0))</f>
        <v>Abdul Aziz</v>
      </c>
      <c r="F636" s="64"/>
      <c r="G636" s="5"/>
      <c r="H636" s="64" t="s">
        <v>67</v>
      </c>
      <c r="I636" s="65" t="s">
        <v>271</v>
      </c>
      <c r="J636" s="10" t="str">
        <f t="array" ref="J636">INDEX(Honor!$H$2:$H800,MATCH($I636,Honor!$A$2:$A800,0))</f>
        <v>Dokumen</v>
      </c>
      <c r="K636" s="66">
        <f t="array" ref="K636">INDEX(Honor!$I$2:$I800,MATCH($I636,Honor!$A$2:$A800,0))</f>
        <v>119000</v>
      </c>
      <c r="L636" s="64">
        <v>10</v>
      </c>
      <c r="M636" s="10">
        <f t="shared" si="0"/>
        <v>1190000</v>
      </c>
      <c r="O636" s="67">
        <f t="array" ref="O636">INDEX(Honor!$L$2:$L800,MATCH($I636,Honor!$A$2:$A800,0))</f>
        <v>45565</v>
      </c>
      <c r="P636" s="10">
        <f t="shared" si="1"/>
        <v>2024</v>
      </c>
      <c r="Q636" s="10">
        <f t="shared" si="2"/>
        <v>9</v>
      </c>
      <c r="R636" s="10" t="str">
        <f t="array" ref="R636">INDEX(Honor!$Q$2:$Q800,MATCH($I636,Honor!$A$2:$A800,0))</f>
        <v>SURVEI-PPL</v>
      </c>
      <c r="S636" s="10" t="str">
        <f t="shared" si="3"/>
        <v>610422020016-2024-9</v>
      </c>
      <c r="T636" s="10" t="str">
        <f t="shared" si="4"/>
        <v>610422020016-2024-9-SURVEI-PPL</v>
      </c>
      <c r="U636" s="64"/>
      <c r="V636" s="10">
        <f t="array" ref="V636">INDEX(Honor!$O$2:$O800,MATCH($I636,Honor!$A$2:$A800,0))</f>
        <v>-19</v>
      </c>
      <c r="W636" s="67"/>
      <c r="X636" s="7" t="str">
        <f t="array" ref="X636">INDEX('Input Kegiatan'!$B$2:$B800,MATCH(B636,'Input Kegiatan'!$A$2:$A800,0))</f>
        <v>Susenas September 2024</v>
      </c>
      <c r="Y636" s="7" t="s">
        <v>5534</v>
      </c>
      <c r="Z636" s="7" t="s">
        <v>5535</v>
      </c>
      <c r="AA636" s="68">
        <f t="shared" si="5"/>
        <v>45535</v>
      </c>
      <c r="AB636" s="68">
        <f t="shared" si="6"/>
        <v>45536</v>
      </c>
      <c r="AC636" s="68">
        <f t="shared" si="7"/>
        <v>45565</v>
      </c>
      <c r="AD636" s="68">
        <f t="shared" si="8"/>
        <v>45564</v>
      </c>
      <c r="AE636" s="68">
        <f t="shared" si="9"/>
        <v>45565</v>
      </c>
    </row>
    <row r="637" spans="1:31" ht="12.5">
      <c r="A637" s="125">
        <v>610422020032</v>
      </c>
      <c r="B637" s="64" t="s">
        <v>248</v>
      </c>
      <c r="D637" s="10">
        <f t="array" aca="1" ref="D637" ca="1">INDEX('Mitra per Bulan'!$M$2:$M800,MATCH(S637,'Mitra per Bulan'!$B$2:$B800,0))</f>
        <v>1</v>
      </c>
      <c r="E637" s="10" t="str">
        <f t="array" ref="E637">INDEX('Database Mitra'!$A$2:$A800,MATCH(A637,'Database Mitra'!$B$2:$B800,0))</f>
        <v>Lilis Suryani</v>
      </c>
      <c r="F637" s="64"/>
      <c r="G637" s="5"/>
      <c r="H637" s="64" t="s">
        <v>67</v>
      </c>
      <c r="I637" s="65" t="s">
        <v>271</v>
      </c>
      <c r="J637" s="10" t="str">
        <f t="array" ref="J637">INDEX(Honor!$H$2:$H800,MATCH($I637,Honor!$A$2:$A800,0))</f>
        <v>Dokumen</v>
      </c>
      <c r="K637" s="66">
        <f t="array" ref="K637">INDEX(Honor!$I$2:$I800,MATCH($I637,Honor!$A$2:$A800,0))</f>
        <v>119000</v>
      </c>
      <c r="L637" s="64">
        <v>10</v>
      </c>
      <c r="M637" s="10">
        <f t="shared" si="0"/>
        <v>1190000</v>
      </c>
      <c r="O637" s="67">
        <f t="array" ref="O637">INDEX(Honor!$L$2:$L800,MATCH($I637,Honor!$A$2:$A800,0))</f>
        <v>45565</v>
      </c>
      <c r="P637" s="10">
        <f t="shared" si="1"/>
        <v>2024</v>
      </c>
      <c r="Q637" s="10">
        <f t="shared" si="2"/>
        <v>9</v>
      </c>
      <c r="R637" s="10" t="str">
        <f t="array" ref="R637">INDEX(Honor!$Q$2:$Q800,MATCH($I637,Honor!$A$2:$A800,0))</f>
        <v>SURVEI-PPL</v>
      </c>
      <c r="S637" s="10" t="str">
        <f t="shared" si="3"/>
        <v>610422020032-2024-9</v>
      </c>
      <c r="T637" s="10" t="str">
        <f t="shared" si="4"/>
        <v>610422020032-2024-9-SURVEI-PPL</v>
      </c>
      <c r="U637" s="64"/>
      <c r="V637" s="10">
        <f t="array" ref="V637">INDEX(Honor!$O$2:$O800,MATCH($I637,Honor!$A$2:$A800,0))</f>
        <v>-19</v>
      </c>
      <c r="W637" s="67"/>
      <c r="X637" s="7" t="str">
        <f t="array" ref="X637">INDEX('Input Kegiatan'!$B$2:$B800,MATCH(B637,'Input Kegiatan'!$A$2:$A800,0))</f>
        <v>Susenas September 2024</v>
      </c>
      <c r="Y637" s="7" t="s">
        <v>4931</v>
      </c>
      <c r="Z637" s="7" t="s">
        <v>5209</v>
      </c>
      <c r="AA637" s="68">
        <f t="shared" si="5"/>
        <v>45535</v>
      </c>
      <c r="AB637" s="68">
        <f t="shared" si="6"/>
        <v>45536</v>
      </c>
      <c r="AC637" s="68">
        <f t="shared" si="7"/>
        <v>45565</v>
      </c>
      <c r="AD637" s="68">
        <f t="shared" si="8"/>
        <v>45564</v>
      </c>
      <c r="AE637" s="68">
        <f t="shared" si="9"/>
        <v>45565</v>
      </c>
    </row>
    <row r="638" spans="1:31" ht="12.5">
      <c r="A638" s="125">
        <v>610422040029</v>
      </c>
      <c r="B638" s="64" t="s">
        <v>248</v>
      </c>
      <c r="D638" s="10">
        <f t="array" aca="1" ref="D638" ca="1">INDEX('Mitra per Bulan'!$M$2:$M800,MATCH(S638,'Mitra per Bulan'!$B$2:$B800,0))</f>
        <v>1</v>
      </c>
      <c r="E638" s="10" t="str">
        <f t="array" ref="E638">INDEX('Database Mitra'!$A$2:$A800,MATCH(A638,'Database Mitra'!$B$2:$B800,0))</f>
        <v>Zaini</v>
      </c>
      <c r="F638" s="64"/>
      <c r="G638" s="5"/>
      <c r="H638" s="64" t="s">
        <v>67</v>
      </c>
      <c r="I638" s="65" t="s">
        <v>271</v>
      </c>
      <c r="J638" s="10" t="str">
        <f t="array" ref="J638">INDEX(Honor!$H$2:$H800,MATCH($I638,Honor!$A$2:$A800,0))</f>
        <v>Dokumen</v>
      </c>
      <c r="K638" s="66">
        <f t="array" ref="K638">INDEX(Honor!$I$2:$I800,MATCH($I638,Honor!$A$2:$A800,0))</f>
        <v>119000</v>
      </c>
      <c r="L638" s="64">
        <v>10</v>
      </c>
      <c r="M638" s="10">
        <f t="shared" si="0"/>
        <v>1190000</v>
      </c>
      <c r="O638" s="67">
        <f t="array" ref="O638">INDEX(Honor!$L$2:$L800,MATCH($I638,Honor!$A$2:$A800,0))</f>
        <v>45565</v>
      </c>
      <c r="P638" s="10">
        <f t="shared" si="1"/>
        <v>2024</v>
      </c>
      <c r="Q638" s="10">
        <f t="shared" si="2"/>
        <v>9</v>
      </c>
      <c r="R638" s="10" t="str">
        <f t="array" ref="R638">INDEX(Honor!$Q$2:$Q800,MATCH($I638,Honor!$A$2:$A800,0))</f>
        <v>SURVEI-PPL</v>
      </c>
      <c r="S638" s="10" t="str">
        <f t="shared" si="3"/>
        <v>610422040029-2024-9</v>
      </c>
      <c r="T638" s="10" t="str">
        <f t="shared" si="4"/>
        <v>610422040029-2024-9-SURVEI-PPL</v>
      </c>
      <c r="U638" s="64"/>
      <c r="V638" s="10">
        <f t="array" ref="V638">INDEX(Honor!$O$2:$O800,MATCH($I638,Honor!$A$2:$A800,0))</f>
        <v>-19</v>
      </c>
      <c r="W638" s="67"/>
      <c r="X638" s="7" t="str">
        <f t="array" ref="X638">INDEX('Input Kegiatan'!$B$2:$B800,MATCH(B638,'Input Kegiatan'!$A$2:$A800,0))</f>
        <v>Susenas September 2024</v>
      </c>
      <c r="Y638" s="7" t="s">
        <v>4572</v>
      </c>
      <c r="Z638" s="7" t="s">
        <v>4619</v>
      </c>
      <c r="AA638" s="68">
        <f t="shared" si="5"/>
        <v>45535</v>
      </c>
      <c r="AB638" s="68">
        <f t="shared" si="6"/>
        <v>45536</v>
      </c>
      <c r="AC638" s="68">
        <f t="shared" si="7"/>
        <v>45565</v>
      </c>
      <c r="AD638" s="68">
        <f t="shared" si="8"/>
        <v>45564</v>
      </c>
      <c r="AE638" s="68">
        <f t="shared" si="9"/>
        <v>45565</v>
      </c>
    </row>
    <row r="639" spans="1:31" ht="12.5">
      <c r="A639" s="125">
        <v>610422040053</v>
      </c>
      <c r="B639" s="64" t="s">
        <v>248</v>
      </c>
      <c r="D639" s="10">
        <f t="array" aca="1" ref="D639" ca="1">INDEX('Mitra per Bulan'!$M$2:$M800,MATCH(S639,'Mitra per Bulan'!$B$2:$B800,0))</f>
        <v>1</v>
      </c>
      <c r="E639" s="10" t="str">
        <f t="array" ref="E639">INDEX('Database Mitra'!$A$2:$A800,MATCH(A639,'Database Mitra'!$B$2:$B800,0))</f>
        <v>Veti Ningsi</v>
      </c>
      <c r="F639" s="64"/>
      <c r="G639" s="5"/>
      <c r="H639" s="64" t="s">
        <v>67</v>
      </c>
      <c r="I639" s="65" t="s">
        <v>271</v>
      </c>
      <c r="J639" s="10" t="str">
        <f t="array" ref="J639">INDEX(Honor!$H$2:$H800,MATCH($I639,Honor!$A$2:$A800,0))</f>
        <v>Dokumen</v>
      </c>
      <c r="K639" s="66">
        <f t="array" ref="K639">INDEX(Honor!$I$2:$I800,MATCH($I639,Honor!$A$2:$A800,0))</f>
        <v>119000</v>
      </c>
      <c r="L639" s="64">
        <v>10</v>
      </c>
      <c r="M639" s="10">
        <f t="shared" si="0"/>
        <v>1190000</v>
      </c>
      <c r="O639" s="67">
        <f t="array" ref="O639">INDEX(Honor!$L$2:$L800,MATCH($I639,Honor!$A$2:$A800,0))</f>
        <v>45565</v>
      </c>
      <c r="P639" s="10">
        <f t="shared" si="1"/>
        <v>2024</v>
      </c>
      <c r="Q639" s="10">
        <f t="shared" si="2"/>
        <v>9</v>
      </c>
      <c r="R639" s="10" t="str">
        <f t="array" ref="R639">INDEX(Honor!$Q$2:$Q800,MATCH($I639,Honor!$A$2:$A800,0))</f>
        <v>SURVEI-PPL</v>
      </c>
      <c r="S639" s="10" t="str">
        <f t="shared" si="3"/>
        <v>610422040053-2024-9</v>
      </c>
      <c r="T639" s="10" t="str">
        <f t="shared" si="4"/>
        <v>610422040053-2024-9-SURVEI-PPL</v>
      </c>
      <c r="U639" s="64"/>
      <c r="V639" s="10">
        <f t="array" ref="V639">INDEX(Honor!$O$2:$O800,MATCH($I639,Honor!$A$2:$A800,0))</f>
        <v>-19</v>
      </c>
      <c r="W639" s="67"/>
      <c r="X639" s="7" t="str">
        <f t="array" ref="X639">INDEX('Input Kegiatan'!$B$2:$B800,MATCH(B639,'Input Kegiatan'!$A$2:$A800,0))</f>
        <v>Susenas September 2024</v>
      </c>
      <c r="Y639" s="7" t="s">
        <v>5250</v>
      </c>
      <c r="Z639" s="7" t="s">
        <v>5464</v>
      </c>
      <c r="AA639" s="68">
        <f t="shared" si="5"/>
        <v>45535</v>
      </c>
      <c r="AB639" s="68">
        <f t="shared" si="6"/>
        <v>45536</v>
      </c>
      <c r="AC639" s="68">
        <f t="shared" si="7"/>
        <v>45565</v>
      </c>
      <c r="AD639" s="68">
        <f t="shared" si="8"/>
        <v>45564</v>
      </c>
      <c r="AE639" s="68">
        <f t="shared" si="9"/>
        <v>45565</v>
      </c>
    </row>
    <row r="640" spans="1:31" ht="12.5">
      <c r="A640" s="125">
        <v>610422040038</v>
      </c>
      <c r="B640" s="64" t="s">
        <v>248</v>
      </c>
      <c r="D640" s="10">
        <f t="array" aca="1" ref="D640" ca="1">INDEX('Mitra per Bulan'!$M$2:$M800,MATCH(S640,'Mitra per Bulan'!$B$2:$B800,0))</f>
        <v>1</v>
      </c>
      <c r="E640" s="10" t="str">
        <f t="array" ref="E640">INDEX('Database Mitra'!$A$2:$A800,MATCH(A640,'Database Mitra'!$B$2:$B800,0))</f>
        <v>Yuyun Antoni, S.E.</v>
      </c>
      <c r="F640" s="64"/>
      <c r="G640" s="5"/>
      <c r="H640" s="64" t="s">
        <v>67</v>
      </c>
      <c r="I640" s="65" t="s">
        <v>271</v>
      </c>
      <c r="J640" s="10" t="str">
        <f t="array" ref="J640">INDEX(Honor!$H$2:$H800,MATCH($I640,Honor!$A$2:$A800,0))</f>
        <v>Dokumen</v>
      </c>
      <c r="K640" s="66">
        <f t="array" ref="K640">INDEX(Honor!$I$2:$I800,MATCH($I640,Honor!$A$2:$A800,0))</f>
        <v>119000</v>
      </c>
      <c r="L640" s="64">
        <v>10</v>
      </c>
      <c r="M640" s="10">
        <f t="shared" si="0"/>
        <v>1190000</v>
      </c>
      <c r="O640" s="67">
        <f t="array" ref="O640">INDEX(Honor!$L$2:$L800,MATCH($I640,Honor!$A$2:$A800,0))</f>
        <v>45565</v>
      </c>
      <c r="P640" s="10">
        <f t="shared" si="1"/>
        <v>2024</v>
      </c>
      <c r="Q640" s="10">
        <f t="shared" si="2"/>
        <v>9</v>
      </c>
      <c r="R640" s="10" t="str">
        <f t="array" ref="R640">INDEX(Honor!$Q$2:$Q800,MATCH($I640,Honor!$A$2:$A800,0))</f>
        <v>SURVEI-PPL</v>
      </c>
      <c r="S640" s="10" t="str">
        <f t="shared" si="3"/>
        <v>610422040038-2024-9</v>
      </c>
      <c r="T640" s="10" t="str">
        <f t="shared" si="4"/>
        <v>610422040038-2024-9-SURVEI-PPL</v>
      </c>
      <c r="U640" s="64"/>
      <c r="V640" s="10">
        <f t="array" ref="V640">INDEX(Honor!$O$2:$O800,MATCH($I640,Honor!$A$2:$A800,0))</f>
        <v>-19</v>
      </c>
      <c r="W640" s="67"/>
      <c r="X640" s="7" t="str">
        <f t="array" ref="X640">INDEX('Input Kegiatan'!$B$2:$B800,MATCH(B640,'Input Kegiatan'!$A$2:$A800,0))</f>
        <v>Susenas September 2024</v>
      </c>
      <c r="Y640" s="7" t="s">
        <v>5250</v>
      </c>
      <c r="Z640" s="7" t="s">
        <v>5346</v>
      </c>
      <c r="AA640" s="68">
        <f t="shared" si="5"/>
        <v>45535</v>
      </c>
      <c r="AB640" s="68">
        <f t="shared" si="6"/>
        <v>45536</v>
      </c>
      <c r="AC640" s="68">
        <f t="shared" si="7"/>
        <v>45565</v>
      </c>
      <c r="AD640" s="68">
        <f t="shared" si="8"/>
        <v>45564</v>
      </c>
      <c r="AE640" s="68">
        <f t="shared" si="9"/>
        <v>45565</v>
      </c>
    </row>
    <row r="641" spans="1:31" ht="12.5">
      <c r="A641" s="125">
        <v>610422040034</v>
      </c>
      <c r="B641" s="64" t="s">
        <v>248</v>
      </c>
      <c r="D641" s="10">
        <f t="array" aca="1" ref="D641" ca="1">INDEX('Mitra per Bulan'!$M$2:$M800,MATCH(S641,'Mitra per Bulan'!$B$2:$B800,0))</f>
        <v>1</v>
      </c>
      <c r="E641" s="10" t="str">
        <f t="array" ref="E641">INDEX('Database Mitra'!$A$2:$A800,MATCH(A641,'Database Mitra'!$B$2:$B800,0))</f>
        <v>Nelly Nalita</v>
      </c>
      <c r="F641" s="64"/>
      <c r="G641" s="5"/>
      <c r="H641" s="64" t="s">
        <v>67</v>
      </c>
      <c r="I641" s="65" t="s">
        <v>271</v>
      </c>
      <c r="J641" s="10" t="str">
        <f t="array" ref="J641">INDEX(Honor!$H$2:$H800,MATCH($I641,Honor!$A$2:$A800,0))</f>
        <v>Dokumen</v>
      </c>
      <c r="K641" s="66">
        <f t="array" ref="K641">INDEX(Honor!$I$2:$I800,MATCH($I641,Honor!$A$2:$A800,0))</f>
        <v>119000</v>
      </c>
      <c r="L641" s="64">
        <v>10</v>
      </c>
      <c r="M641" s="10">
        <f t="shared" si="0"/>
        <v>1190000</v>
      </c>
      <c r="O641" s="67">
        <f t="array" ref="O641">INDEX(Honor!$L$2:$L800,MATCH($I641,Honor!$A$2:$A800,0))</f>
        <v>45565</v>
      </c>
      <c r="P641" s="10">
        <f t="shared" si="1"/>
        <v>2024</v>
      </c>
      <c r="Q641" s="10">
        <f t="shared" si="2"/>
        <v>9</v>
      </c>
      <c r="R641" s="10" t="str">
        <f t="array" ref="R641">INDEX(Honor!$Q$2:$Q800,MATCH($I641,Honor!$A$2:$A800,0))</f>
        <v>SURVEI-PPL</v>
      </c>
      <c r="S641" s="10" t="str">
        <f t="shared" si="3"/>
        <v>610422040034-2024-9</v>
      </c>
      <c r="T641" s="10" t="str">
        <f t="shared" si="4"/>
        <v>610422040034-2024-9-SURVEI-PPL</v>
      </c>
      <c r="U641" s="64"/>
      <c r="V641" s="10">
        <f t="array" ref="V641">INDEX(Honor!$O$2:$O800,MATCH($I641,Honor!$A$2:$A800,0))</f>
        <v>-19</v>
      </c>
      <c r="W641" s="67"/>
      <c r="X641" s="7" t="str">
        <f t="array" ref="X641">INDEX('Input Kegiatan'!$B$2:$B800,MATCH(B641,'Input Kegiatan'!$A$2:$A800,0))</f>
        <v>Susenas September 2024</v>
      </c>
      <c r="Y641" s="7" t="s">
        <v>4572</v>
      </c>
      <c r="Z641" s="7" t="s">
        <v>4841</v>
      </c>
      <c r="AA641" s="68">
        <f t="shared" si="5"/>
        <v>45535</v>
      </c>
      <c r="AB641" s="68">
        <f t="shared" si="6"/>
        <v>45536</v>
      </c>
      <c r="AC641" s="68">
        <f t="shared" si="7"/>
        <v>45565</v>
      </c>
      <c r="AD641" s="68">
        <f t="shared" si="8"/>
        <v>45564</v>
      </c>
      <c r="AE641" s="68">
        <f t="shared" si="9"/>
        <v>45565</v>
      </c>
    </row>
    <row r="642" spans="1:31" ht="12.5">
      <c r="A642" s="125">
        <v>610422040058</v>
      </c>
      <c r="B642" s="64" t="s">
        <v>248</v>
      </c>
      <c r="D642" s="10">
        <f t="array" aca="1" ref="D642" ca="1">INDEX('Mitra per Bulan'!$M$2:$M800,MATCH(S642,'Mitra per Bulan'!$B$2:$B800,0))</f>
        <v>1</v>
      </c>
      <c r="E642" s="10" t="str">
        <f t="array" ref="E642">INDEX('Database Mitra'!$A$2:$A800,MATCH(A642,'Database Mitra'!$B$2:$B800,0))</f>
        <v>Jamaluddin, Sp</v>
      </c>
      <c r="F642" s="64"/>
      <c r="G642" s="5"/>
      <c r="H642" s="64" t="s">
        <v>67</v>
      </c>
      <c r="I642" s="65" t="s">
        <v>271</v>
      </c>
      <c r="J642" s="10" t="str">
        <f t="array" ref="J642">INDEX(Honor!$H$2:$H800,MATCH($I642,Honor!$A$2:$A800,0))</f>
        <v>Dokumen</v>
      </c>
      <c r="K642" s="66">
        <f t="array" ref="K642">INDEX(Honor!$I$2:$I800,MATCH($I642,Honor!$A$2:$A800,0))</f>
        <v>119000</v>
      </c>
      <c r="L642" s="64">
        <v>10</v>
      </c>
      <c r="M642" s="10">
        <f t="shared" si="0"/>
        <v>1190000</v>
      </c>
      <c r="O642" s="67">
        <f t="array" ref="O642">INDEX(Honor!$L$2:$L800,MATCH($I642,Honor!$A$2:$A800,0))</f>
        <v>45565</v>
      </c>
      <c r="P642" s="10">
        <f t="shared" si="1"/>
        <v>2024</v>
      </c>
      <c r="Q642" s="10">
        <f t="shared" si="2"/>
        <v>9</v>
      </c>
      <c r="R642" s="10" t="str">
        <f t="array" ref="R642">INDEX(Honor!$Q$2:$Q800,MATCH($I642,Honor!$A$2:$A800,0))</f>
        <v>SURVEI-PPL</v>
      </c>
      <c r="S642" s="10" t="str">
        <f t="shared" si="3"/>
        <v>610422040058-2024-9</v>
      </c>
      <c r="T642" s="10" t="str">
        <f t="shared" si="4"/>
        <v>610422040058-2024-9-SURVEI-PPL</v>
      </c>
      <c r="U642" s="64"/>
      <c r="V642" s="10">
        <f t="array" ref="V642">INDEX(Honor!$O$2:$O800,MATCH($I642,Honor!$A$2:$A800,0))</f>
        <v>-19</v>
      </c>
      <c r="W642" s="67"/>
      <c r="X642" s="7" t="str">
        <f t="array" ref="X642">INDEX('Input Kegiatan'!$B$2:$B800,MATCH(B642,'Input Kegiatan'!$A$2:$A800,0))</f>
        <v>Susenas September 2024</v>
      </c>
      <c r="Y642" s="7" t="s">
        <v>3715</v>
      </c>
      <c r="Z642" s="7" t="s">
        <v>3716</v>
      </c>
      <c r="AA642" s="68">
        <f t="shared" si="5"/>
        <v>45535</v>
      </c>
      <c r="AB642" s="68">
        <f t="shared" si="6"/>
        <v>45536</v>
      </c>
      <c r="AC642" s="68">
        <f t="shared" si="7"/>
        <v>45565</v>
      </c>
      <c r="AD642" s="68">
        <f t="shared" si="8"/>
        <v>45564</v>
      </c>
      <c r="AE642" s="68">
        <f t="shared" si="9"/>
        <v>45565</v>
      </c>
    </row>
    <row r="643" spans="1:31" ht="12.5">
      <c r="A643" s="125">
        <v>610422040052</v>
      </c>
      <c r="B643" s="64" t="s">
        <v>248</v>
      </c>
      <c r="D643" s="10">
        <f t="array" aca="1" ref="D643" ca="1">INDEX('Mitra per Bulan'!$M$2:$M800,MATCH(S643,'Mitra per Bulan'!$B$2:$B800,0))</f>
        <v>1</v>
      </c>
      <c r="E643" s="10" t="str">
        <f t="array" ref="E643">INDEX('Database Mitra'!$A$2:$A800,MATCH(A643,'Database Mitra'!$B$2:$B800,0))</f>
        <v>Yusimianto</v>
      </c>
      <c r="F643" s="64"/>
      <c r="G643" s="5"/>
      <c r="H643" s="64" t="s">
        <v>67</v>
      </c>
      <c r="I643" s="65" t="s">
        <v>271</v>
      </c>
      <c r="J643" s="10" t="str">
        <f t="array" ref="J643">INDEX(Honor!$H$2:$H800,MATCH($I643,Honor!$A$2:$A800,0))</f>
        <v>Dokumen</v>
      </c>
      <c r="K643" s="66">
        <f t="array" ref="K643">INDEX(Honor!$I$2:$I800,MATCH($I643,Honor!$A$2:$A800,0))</f>
        <v>119000</v>
      </c>
      <c r="L643" s="64">
        <v>10</v>
      </c>
      <c r="M643" s="10">
        <f t="shared" si="0"/>
        <v>1190000</v>
      </c>
      <c r="O643" s="67">
        <f t="array" ref="O643">INDEX(Honor!$L$2:$L800,MATCH($I643,Honor!$A$2:$A800,0))</f>
        <v>45565</v>
      </c>
      <c r="P643" s="10">
        <f t="shared" si="1"/>
        <v>2024</v>
      </c>
      <c r="Q643" s="10">
        <f t="shared" si="2"/>
        <v>9</v>
      </c>
      <c r="R643" s="10" t="str">
        <f t="array" ref="R643">INDEX(Honor!$Q$2:$Q800,MATCH($I643,Honor!$A$2:$A800,0))</f>
        <v>SURVEI-PPL</v>
      </c>
      <c r="S643" s="10" t="str">
        <f t="shared" si="3"/>
        <v>610422040052-2024-9</v>
      </c>
      <c r="T643" s="10" t="str">
        <f t="shared" si="4"/>
        <v>610422040052-2024-9-SURVEI-PPL</v>
      </c>
      <c r="U643" s="64"/>
      <c r="V643" s="10">
        <f t="array" ref="V643">INDEX(Honor!$O$2:$O800,MATCH($I643,Honor!$A$2:$A800,0))</f>
        <v>-19</v>
      </c>
      <c r="W643" s="67"/>
      <c r="X643" s="7" t="str">
        <f t="array" ref="X643">INDEX('Input Kegiatan'!$B$2:$B800,MATCH(B643,'Input Kegiatan'!$A$2:$A800,0))</f>
        <v>Susenas September 2024</v>
      </c>
      <c r="Y643" s="7" t="s">
        <v>4408</v>
      </c>
      <c r="Z643" s="7" t="s">
        <v>4487</v>
      </c>
      <c r="AA643" s="68">
        <f t="shared" si="5"/>
        <v>45535</v>
      </c>
      <c r="AB643" s="68">
        <f t="shared" si="6"/>
        <v>45536</v>
      </c>
      <c r="AC643" s="68">
        <f t="shared" si="7"/>
        <v>45565</v>
      </c>
      <c r="AD643" s="68">
        <f t="shared" si="8"/>
        <v>45564</v>
      </c>
      <c r="AE643" s="68">
        <f t="shared" si="9"/>
        <v>45565</v>
      </c>
    </row>
    <row r="644" spans="1:31" ht="12.5">
      <c r="A644" s="125">
        <v>610422100085</v>
      </c>
      <c r="B644" s="64" t="s">
        <v>248</v>
      </c>
      <c r="D644" s="10">
        <f t="array" aca="1" ref="D644" ca="1">INDEX('Mitra per Bulan'!$M$2:$M800,MATCH(S644,'Mitra per Bulan'!$B$2:$B800,0))</f>
        <v>1</v>
      </c>
      <c r="E644" s="10" t="str">
        <f t="array" ref="E644">INDEX('Database Mitra'!$A$2:$A800,MATCH(A644,'Database Mitra'!$B$2:$B800,0))</f>
        <v>Lina Agustin Widya Siwi</v>
      </c>
      <c r="F644" s="64"/>
      <c r="G644" s="5"/>
      <c r="H644" s="64" t="s">
        <v>67</v>
      </c>
      <c r="I644" s="65" t="s">
        <v>271</v>
      </c>
      <c r="J644" s="10" t="str">
        <f t="array" ref="J644">INDEX(Honor!$H$2:$H800,MATCH($I644,Honor!$A$2:$A800,0))</f>
        <v>Dokumen</v>
      </c>
      <c r="K644" s="66">
        <f t="array" ref="K644">INDEX(Honor!$I$2:$I800,MATCH($I644,Honor!$A$2:$A800,0))</f>
        <v>119000</v>
      </c>
      <c r="L644" s="64">
        <v>10</v>
      </c>
      <c r="M644" s="10">
        <f t="shared" si="0"/>
        <v>1190000</v>
      </c>
      <c r="O644" s="67">
        <f t="array" ref="O644">INDEX(Honor!$L$2:$L800,MATCH($I644,Honor!$A$2:$A800,0))</f>
        <v>45565</v>
      </c>
      <c r="P644" s="10">
        <f t="shared" si="1"/>
        <v>2024</v>
      </c>
      <c r="Q644" s="10">
        <f t="shared" si="2"/>
        <v>9</v>
      </c>
      <c r="R644" s="10" t="str">
        <f t="array" ref="R644">INDEX(Honor!$Q$2:$Q800,MATCH($I644,Honor!$A$2:$A800,0))</f>
        <v>SURVEI-PPL</v>
      </c>
      <c r="S644" s="10" t="str">
        <f t="shared" si="3"/>
        <v>610422100085-2024-9</v>
      </c>
      <c r="T644" s="10" t="str">
        <f t="shared" si="4"/>
        <v>610422100085-2024-9-SURVEI-PPL</v>
      </c>
      <c r="U644" s="64"/>
      <c r="V644" s="10">
        <f t="array" ref="V644">INDEX(Honor!$O$2:$O800,MATCH($I644,Honor!$A$2:$A800,0))</f>
        <v>-19</v>
      </c>
      <c r="W644" s="67"/>
      <c r="X644" s="7" t="str">
        <f t="array" ref="X644">INDEX('Input Kegiatan'!$B$2:$B800,MATCH(B644,'Input Kegiatan'!$A$2:$A800,0))</f>
        <v>Susenas September 2024</v>
      </c>
      <c r="Y644" s="7" t="s">
        <v>3990</v>
      </c>
      <c r="Z644" s="7" t="s">
        <v>4087</v>
      </c>
      <c r="AA644" s="68">
        <f t="shared" si="5"/>
        <v>45535</v>
      </c>
      <c r="AB644" s="68">
        <f t="shared" si="6"/>
        <v>45536</v>
      </c>
      <c r="AC644" s="68">
        <f t="shared" si="7"/>
        <v>45565</v>
      </c>
      <c r="AD644" s="68">
        <f t="shared" si="8"/>
        <v>45564</v>
      </c>
      <c r="AE644" s="68">
        <f t="shared" si="9"/>
        <v>45565</v>
      </c>
    </row>
    <row r="645" spans="1:31" ht="12.5">
      <c r="A645" s="125">
        <v>610422100101</v>
      </c>
      <c r="B645" s="64" t="s">
        <v>248</v>
      </c>
      <c r="D645" s="10">
        <f t="array" aca="1" ref="D645" ca="1">INDEX('Mitra per Bulan'!$M$2:$M800,MATCH(S645,'Mitra per Bulan'!$B$2:$B800,0))</f>
        <v>1</v>
      </c>
      <c r="E645" s="10" t="str">
        <f t="array" ref="E645">INDEX('Database Mitra'!$A$2:$A800,MATCH(A645,'Database Mitra'!$B$2:$B800,0))</f>
        <v>Sukmawati,S.Si</v>
      </c>
      <c r="F645" s="64"/>
      <c r="G645" s="5"/>
      <c r="H645" s="64" t="s">
        <v>67</v>
      </c>
      <c r="I645" s="65" t="s">
        <v>271</v>
      </c>
      <c r="J645" s="10" t="str">
        <f t="array" ref="J645">INDEX(Honor!$H$2:$H800,MATCH($I645,Honor!$A$2:$A800,0))</f>
        <v>Dokumen</v>
      </c>
      <c r="K645" s="66">
        <f t="array" ref="K645">INDEX(Honor!$I$2:$I800,MATCH($I645,Honor!$A$2:$A800,0))</f>
        <v>119000</v>
      </c>
      <c r="L645" s="64">
        <v>10</v>
      </c>
      <c r="M645" s="10">
        <f t="shared" si="0"/>
        <v>1190000</v>
      </c>
      <c r="O645" s="67">
        <f t="array" ref="O645">INDEX(Honor!$L$2:$L800,MATCH($I645,Honor!$A$2:$A800,0))</f>
        <v>45565</v>
      </c>
      <c r="P645" s="10">
        <f t="shared" si="1"/>
        <v>2024</v>
      </c>
      <c r="Q645" s="10">
        <f t="shared" si="2"/>
        <v>9</v>
      </c>
      <c r="R645" s="10" t="str">
        <f t="array" ref="R645">INDEX(Honor!$Q$2:$Q800,MATCH($I645,Honor!$A$2:$A800,0))</f>
        <v>SURVEI-PPL</v>
      </c>
      <c r="S645" s="10" t="str">
        <f t="shared" si="3"/>
        <v>610422100101-2024-9</v>
      </c>
      <c r="T645" s="10" t="str">
        <f t="shared" si="4"/>
        <v>610422100101-2024-9-SURVEI-PPL</v>
      </c>
      <c r="U645" s="64"/>
      <c r="V645" s="10">
        <f t="array" ref="V645">INDEX(Honor!$O$2:$O800,MATCH($I645,Honor!$A$2:$A800,0))</f>
        <v>-19</v>
      </c>
      <c r="W645" s="67"/>
      <c r="X645" s="7" t="str">
        <f t="array" ref="X645">INDEX('Input Kegiatan'!$B$2:$B800,MATCH(B645,'Input Kegiatan'!$A$2:$A800,0))</f>
        <v>Susenas September 2024</v>
      </c>
      <c r="Y645" s="7" t="s">
        <v>4408</v>
      </c>
      <c r="Z645" s="7" t="s">
        <v>4409</v>
      </c>
      <c r="AA645" s="68">
        <f t="shared" si="5"/>
        <v>45535</v>
      </c>
      <c r="AB645" s="68">
        <f t="shared" si="6"/>
        <v>45536</v>
      </c>
      <c r="AC645" s="68">
        <f t="shared" si="7"/>
        <v>45565</v>
      </c>
      <c r="AD645" s="68">
        <f t="shared" si="8"/>
        <v>45564</v>
      </c>
      <c r="AE645" s="68">
        <f t="shared" si="9"/>
        <v>45565</v>
      </c>
    </row>
    <row r="646" spans="1:31" ht="12.5">
      <c r="A646" s="125">
        <v>610422100055</v>
      </c>
      <c r="B646" s="64" t="s">
        <v>248</v>
      </c>
      <c r="D646" s="10">
        <f t="array" aca="1" ref="D646" ca="1">INDEX('Mitra per Bulan'!$M$2:$M800,MATCH(S646,'Mitra per Bulan'!$B$2:$B800,0))</f>
        <v>1</v>
      </c>
      <c r="E646" s="10" t="str">
        <f t="array" ref="E646">INDEX('Database Mitra'!$A$2:$A800,MATCH(A646,'Database Mitra'!$B$2:$B800,0))</f>
        <v>Vika Rizkiani</v>
      </c>
      <c r="F646" s="64"/>
      <c r="G646" s="5"/>
      <c r="H646" s="64" t="s">
        <v>67</v>
      </c>
      <c r="I646" s="65" t="s">
        <v>271</v>
      </c>
      <c r="J646" s="10" t="str">
        <f t="array" ref="J646">INDEX(Honor!$H$2:$H800,MATCH($I646,Honor!$A$2:$A800,0))</f>
        <v>Dokumen</v>
      </c>
      <c r="K646" s="66">
        <f t="array" ref="K646">INDEX(Honor!$I$2:$I800,MATCH($I646,Honor!$A$2:$A800,0))</f>
        <v>119000</v>
      </c>
      <c r="L646" s="64">
        <v>10</v>
      </c>
      <c r="M646" s="10">
        <f t="shared" si="0"/>
        <v>1190000</v>
      </c>
      <c r="O646" s="67">
        <f t="array" ref="O646">INDEX(Honor!$L$2:$L800,MATCH($I646,Honor!$A$2:$A800,0))</f>
        <v>45565</v>
      </c>
      <c r="P646" s="10">
        <f t="shared" si="1"/>
        <v>2024</v>
      </c>
      <c r="Q646" s="10">
        <f t="shared" si="2"/>
        <v>9</v>
      </c>
      <c r="R646" s="10" t="str">
        <f t="array" ref="R646">INDEX(Honor!$Q$2:$Q800,MATCH($I646,Honor!$A$2:$A800,0))</f>
        <v>SURVEI-PPL</v>
      </c>
      <c r="S646" s="10" t="str">
        <f t="shared" si="3"/>
        <v>610422100055-2024-9</v>
      </c>
      <c r="T646" s="10" t="str">
        <f t="shared" si="4"/>
        <v>610422100055-2024-9-SURVEI-PPL</v>
      </c>
      <c r="U646" s="64"/>
      <c r="V646" s="10">
        <f t="array" ref="V646">INDEX(Honor!$O$2:$O800,MATCH($I646,Honor!$A$2:$A800,0))</f>
        <v>-19</v>
      </c>
      <c r="W646" s="67"/>
      <c r="X646" s="7" t="str">
        <f t="array" ref="X646">INDEX('Input Kegiatan'!$B$2:$B800,MATCH(B646,'Input Kegiatan'!$A$2:$A800,0))</f>
        <v>Susenas September 2024</v>
      </c>
      <c r="Y646" s="7" t="s">
        <v>3241</v>
      </c>
      <c r="Z646" s="7" t="s">
        <v>3289</v>
      </c>
      <c r="AA646" s="68">
        <f t="shared" si="5"/>
        <v>45535</v>
      </c>
      <c r="AB646" s="68">
        <f t="shared" si="6"/>
        <v>45536</v>
      </c>
      <c r="AC646" s="68">
        <f t="shared" si="7"/>
        <v>45565</v>
      </c>
      <c r="AD646" s="68">
        <f t="shared" si="8"/>
        <v>45564</v>
      </c>
      <c r="AE646" s="68">
        <f t="shared" si="9"/>
        <v>45565</v>
      </c>
    </row>
    <row r="647" spans="1:31" ht="12.5">
      <c r="A647" s="125">
        <v>610422100244</v>
      </c>
      <c r="B647" s="64" t="s">
        <v>248</v>
      </c>
      <c r="D647" s="10">
        <f t="array" aca="1" ref="D647" ca="1">INDEX('Mitra per Bulan'!$M$2:$M800,MATCH(S647,'Mitra per Bulan'!$B$2:$B800,0))</f>
        <v>1</v>
      </c>
      <c r="E647" s="10" t="str">
        <f t="array" ref="E647">INDEX('Database Mitra'!$A$2:$A800,MATCH(A647,'Database Mitra'!$B$2:$B800,0))</f>
        <v>Sugianto</v>
      </c>
      <c r="F647" s="64"/>
      <c r="G647" s="5"/>
      <c r="H647" s="64" t="s">
        <v>67</v>
      </c>
      <c r="I647" s="65" t="s">
        <v>271</v>
      </c>
      <c r="J647" s="10" t="str">
        <f t="array" ref="J647">INDEX(Honor!$H$2:$H800,MATCH($I647,Honor!$A$2:$A800,0))</f>
        <v>Dokumen</v>
      </c>
      <c r="K647" s="66">
        <f t="array" ref="K647">INDEX(Honor!$I$2:$I800,MATCH($I647,Honor!$A$2:$A800,0))</f>
        <v>119000</v>
      </c>
      <c r="L647" s="64">
        <v>10</v>
      </c>
      <c r="M647" s="10">
        <f t="shared" si="0"/>
        <v>1190000</v>
      </c>
      <c r="O647" s="67">
        <f t="array" ref="O647">INDEX(Honor!$L$2:$L800,MATCH($I647,Honor!$A$2:$A800,0))</f>
        <v>45565</v>
      </c>
      <c r="P647" s="10">
        <f t="shared" si="1"/>
        <v>2024</v>
      </c>
      <c r="Q647" s="10">
        <f t="shared" si="2"/>
        <v>9</v>
      </c>
      <c r="R647" s="10" t="str">
        <f t="array" ref="R647">INDEX(Honor!$Q$2:$Q800,MATCH($I647,Honor!$A$2:$A800,0))</f>
        <v>SURVEI-PPL</v>
      </c>
      <c r="S647" s="10" t="str">
        <f t="shared" si="3"/>
        <v>610422100244-2024-9</v>
      </c>
      <c r="T647" s="10" t="str">
        <f t="shared" si="4"/>
        <v>610422100244-2024-9-SURVEI-PPL</v>
      </c>
      <c r="U647" s="64"/>
      <c r="V647" s="10">
        <f t="array" ref="V647">INDEX(Honor!$O$2:$O800,MATCH($I647,Honor!$A$2:$A800,0))</f>
        <v>-19</v>
      </c>
      <c r="W647" s="67"/>
      <c r="X647" s="7" t="str">
        <f t="array" ref="X647">INDEX('Input Kegiatan'!$B$2:$B800,MATCH(B647,'Input Kegiatan'!$A$2:$A800,0))</f>
        <v>Susenas September 2024</v>
      </c>
      <c r="Y647" s="7" t="s">
        <v>5741</v>
      </c>
      <c r="Z647" s="7" t="s">
        <v>5796</v>
      </c>
      <c r="AA647" s="68">
        <f t="shared" si="5"/>
        <v>45535</v>
      </c>
      <c r="AB647" s="68">
        <f t="shared" si="6"/>
        <v>45536</v>
      </c>
      <c r="AC647" s="68">
        <f t="shared" si="7"/>
        <v>45565</v>
      </c>
      <c r="AD647" s="68">
        <f t="shared" si="8"/>
        <v>45564</v>
      </c>
      <c r="AE647" s="68">
        <f t="shared" si="9"/>
        <v>45565</v>
      </c>
    </row>
    <row r="648" spans="1:31" ht="12.5">
      <c r="A648" s="125">
        <v>610423040013</v>
      </c>
      <c r="B648" s="64" t="s">
        <v>248</v>
      </c>
      <c r="D648" s="10">
        <f t="array" aca="1" ref="D648" ca="1">INDEX('Mitra per Bulan'!$M$2:$M800,MATCH(S648,'Mitra per Bulan'!$B$2:$B800,0))</f>
        <v>1</v>
      </c>
      <c r="E648" s="10" t="str">
        <f t="array" ref="E648">INDEX('Database Mitra'!$A$2:$A800,MATCH(A648,'Database Mitra'!$B$2:$B800,0))</f>
        <v>Lulu Gesti Gunawati</v>
      </c>
      <c r="F648" s="64"/>
      <c r="G648" s="5"/>
      <c r="H648" s="64" t="s">
        <v>67</v>
      </c>
      <c r="I648" s="65" t="s">
        <v>271</v>
      </c>
      <c r="J648" s="10" t="str">
        <f t="array" ref="J648">INDEX(Honor!$H$2:$H800,MATCH($I648,Honor!$A$2:$A800,0))</f>
        <v>Dokumen</v>
      </c>
      <c r="K648" s="66">
        <f t="array" ref="K648">INDEX(Honor!$I$2:$I800,MATCH($I648,Honor!$A$2:$A800,0))</f>
        <v>119000</v>
      </c>
      <c r="L648" s="64">
        <v>10</v>
      </c>
      <c r="M648" s="10">
        <f t="shared" si="0"/>
        <v>1190000</v>
      </c>
      <c r="O648" s="67">
        <f t="array" ref="O648">INDEX(Honor!$L$2:$L800,MATCH($I648,Honor!$A$2:$A800,0))</f>
        <v>45565</v>
      </c>
      <c r="P648" s="10">
        <f t="shared" si="1"/>
        <v>2024</v>
      </c>
      <c r="Q648" s="10">
        <f t="shared" si="2"/>
        <v>9</v>
      </c>
      <c r="R648" s="10" t="str">
        <f t="array" ref="R648">INDEX(Honor!$Q$2:$Q800,MATCH($I648,Honor!$A$2:$A800,0))</f>
        <v>SURVEI-PPL</v>
      </c>
      <c r="S648" s="10" t="str">
        <f t="shared" si="3"/>
        <v>610423040013-2024-9</v>
      </c>
      <c r="T648" s="10" t="str">
        <f t="shared" si="4"/>
        <v>610423040013-2024-9-SURVEI-PPL</v>
      </c>
      <c r="U648" s="64"/>
      <c r="V648" s="10">
        <f t="array" ref="V648">INDEX(Honor!$O$2:$O800,MATCH($I648,Honor!$A$2:$A800,0))</f>
        <v>-19</v>
      </c>
      <c r="W648" s="67"/>
      <c r="X648" s="7" t="str">
        <f t="array" ref="X648">INDEX('Input Kegiatan'!$B$2:$B800,MATCH(B648,'Input Kegiatan'!$A$2:$A800,0))</f>
        <v>Susenas September 2024</v>
      </c>
      <c r="Y648" s="7" t="s">
        <v>5250</v>
      </c>
      <c r="Z648" s="7" t="s">
        <v>5304</v>
      </c>
      <c r="AA648" s="68">
        <f t="shared" si="5"/>
        <v>45535</v>
      </c>
      <c r="AB648" s="68">
        <f t="shared" si="6"/>
        <v>45536</v>
      </c>
      <c r="AC648" s="68">
        <f t="shared" si="7"/>
        <v>45565</v>
      </c>
      <c r="AD648" s="68">
        <f t="shared" si="8"/>
        <v>45564</v>
      </c>
      <c r="AE648" s="68">
        <f t="shared" si="9"/>
        <v>45565</v>
      </c>
    </row>
    <row r="649" spans="1:31" ht="12.5">
      <c r="A649" s="125">
        <v>610423040016</v>
      </c>
      <c r="B649" s="64" t="s">
        <v>248</v>
      </c>
      <c r="D649" s="10">
        <f t="array" aca="1" ref="D649" ca="1">INDEX('Mitra per Bulan'!$M$2:$M800,MATCH(S649,'Mitra per Bulan'!$B$2:$B800,0))</f>
        <v>1</v>
      </c>
      <c r="E649" s="10" t="str">
        <f t="array" ref="E649">INDEX('Database Mitra'!$A$2:$A800,MATCH(A649,'Database Mitra'!$B$2:$B800,0))</f>
        <v>Fairuztia Atiqah Putri</v>
      </c>
      <c r="F649" s="64"/>
      <c r="G649" s="5"/>
      <c r="H649" s="64" t="s">
        <v>125</v>
      </c>
      <c r="I649" s="65" t="s">
        <v>272</v>
      </c>
      <c r="J649" s="10" t="str">
        <f t="array" ref="J649">INDEX(Honor!$H$2:$H800,MATCH($I649,Honor!$A$2:$A800,0))</f>
        <v>Dokumen</v>
      </c>
      <c r="K649" s="66">
        <f t="array" ref="K649">INDEX(Honor!$I$2:$I800,MATCH($I649,Honor!$A$2:$A800,0))</f>
        <v>27500</v>
      </c>
      <c r="L649" s="64">
        <v>35</v>
      </c>
      <c r="M649" s="10">
        <f t="shared" si="0"/>
        <v>962500</v>
      </c>
      <c r="O649" s="67">
        <f t="array" ref="O649">INDEX(Honor!$L$2:$L800,MATCH($I649,Honor!$A$2:$A800,0))</f>
        <v>45576</v>
      </c>
      <c r="P649" s="10">
        <f t="shared" si="1"/>
        <v>2024</v>
      </c>
      <c r="Q649" s="10">
        <f t="shared" si="2"/>
        <v>10</v>
      </c>
      <c r="R649" s="10" t="str">
        <f t="array" ref="R649">INDEX(Honor!$Q$2:$Q800,MATCH($I649,Honor!$A$2:$A800,0))</f>
        <v>SURVEI-PPL</v>
      </c>
      <c r="S649" s="10" t="str">
        <f t="shared" si="3"/>
        <v>610423040016-2024-10</v>
      </c>
      <c r="T649" s="10" t="str">
        <f t="shared" si="4"/>
        <v>610423040016-2024-10-SURVEI-PPL</v>
      </c>
      <c r="U649" s="64"/>
      <c r="V649" s="10">
        <f t="array" ref="V649">INDEX(Honor!$O$2:$O800,MATCH($I649,Honor!$A$2:$A800,0))</f>
        <v>-19</v>
      </c>
      <c r="W649" s="67"/>
      <c r="X649" s="7" t="str">
        <f t="array" ref="X649">INDEX('Input Kegiatan'!$B$2:$B800,MATCH(B649,'Input Kegiatan'!$A$2:$A800,0))</f>
        <v>Susenas September 2024</v>
      </c>
      <c r="Y649" s="7" t="s">
        <v>4572</v>
      </c>
      <c r="Z649" s="7" t="s">
        <v>4619</v>
      </c>
      <c r="AA649" s="68">
        <f t="shared" si="5"/>
        <v>45565</v>
      </c>
      <c r="AB649" s="68">
        <f t="shared" si="6"/>
        <v>45566</v>
      </c>
      <c r="AC649" s="68">
        <f t="shared" si="7"/>
        <v>45596</v>
      </c>
      <c r="AD649" s="68">
        <f t="shared" si="8"/>
        <v>45595</v>
      </c>
      <c r="AE649" s="68">
        <f t="shared" si="9"/>
        <v>45596</v>
      </c>
    </row>
    <row r="650" spans="1:31" ht="12.5">
      <c r="A650" s="125">
        <v>610422100108</v>
      </c>
      <c r="B650" s="64" t="s">
        <v>248</v>
      </c>
      <c r="D650" s="10">
        <f t="array" aca="1" ref="D650" ca="1">INDEX('Mitra per Bulan'!$M$2:$M800,MATCH(S650,'Mitra per Bulan'!$B$2:$B800,0))</f>
        <v>1</v>
      </c>
      <c r="E650" s="10" t="str">
        <f t="array" ref="E650">INDEX('Database Mitra'!$A$2:$A800,MATCH(A650,'Database Mitra'!$B$2:$B800,0))</f>
        <v>Ermi Tiyarni</v>
      </c>
      <c r="F650" s="64"/>
      <c r="G650" s="5"/>
      <c r="H650" s="64" t="s">
        <v>125</v>
      </c>
      <c r="I650" s="65" t="s">
        <v>272</v>
      </c>
      <c r="J650" s="10" t="str">
        <f t="array" ref="J650">INDEX(Honor!$H$2:$H800,MATCH($I650,Honor!$A$2:$A800,0))</f>
        <v>Dokumen</v>
      </c>
      <c r="K650" s="66">
        <f t="array" ref="K650">INDEX(Honor!$I$2:$I800,MATCH($I650,Honor!$A$2:$A800,0))</f>
        <v>27500</v>
      </c>
      <c r="L650" s="64">
        <v>35</v>
      </c>
      <c r="M650" s="10">
        <f t="shared" si="0"/>
        <v>962500</v>
      </c>
      <c r="O650" s="67">
        <f t="array" ref="O650">INDEX(Honor!$L$2:$L800,MATCH($I650,Honor!$A$2:$A800,0))</f>
        <v>45576</v>
      </c>
      <c r="P650" s="10">
        <f t="shared" si="1"/>
        <v>2024</v>
      </c>
      <c r="Q650" s="10">
        <f t="shared" si="2"/>
        <v>10</v>
      </c>
      <c r="R650" s="10" t="str">
        <f t="array" ref="R650">INDEX(Honor!$Q$2:$Q800,MATCH($I650,Honor!$A$2:$A800,0))</f>
        <v>SURVEI-PPL</v>
      </c>
      <c r="S650" s="10" t="str">
        <f t="shared" si="3"/>
        <v>610422100108-2024-10</v>
      </c>
      <c r="T650" s="10" t="str">
        <f t="shared" si="4"/>
        <v>610422100108-2024-10-SURVEI-PPL</v>
      </c>
      <c r="U650" s="64"/>
      <c r="V650" s="10">
        <f t="array" ref="V650">INDEX(Honor!$O$2:$O800,MATCH($I650,Honor!$A$2:$A800,0))</f>
        <v>-19</v>
      </c>
      <c r="W650" s="67"/>
      <c r="X650" s="7" t="str">
        <f t="array" ref="X650">INDEX('Input Kegiatan'!$B$2:$B800,MATCH(B650,'Input Kegiatan'!$A$2:$A800,0))</f>
        <v>Susenas September 2024</v>
      </c>
      <c r="Y650" s="7" t="s">
        <v>4572</v>
      </c>
      <c r="Z650" s="7" t="s">
        <v>4619</v>
      </c>
      <c r="AA650" s="68">
        <f t="shared" si="5"/>
        <v>45565</v>
      </c>
      <c r="AB650" s="68">
        <f t="shared" si="6"/>
        <v>45566</v>
      </c>
      <c r="AC650" s="68">
        <f t="shared" si="7"/>
        <v>45596</v>
      </c>
      <c r="AD650" s="68">
        <f t="shared" si="8"/>
        <v>45595</v>
      </c>
      <c r="AE650" s="68">
        <f t="shared" si="9"/>
        <v>45596</v>
      </c>
    </row>
    <row r="651" spans="1:31" ht="12.5">
      <c r="A651" s="125">
        <v>610422100016</v>
      </c>
      <c r="B651" s="64" t="s">
        <v>248</v>
      </c>
      <c r="D651" s="10">
        <f t="array" aca="1" ref="D651" ca="1">INDEX('Mitra per Bulan'!$M$2:$M800,MATCH(S651,'Mitra per Bulan'!$B$2:$B800,0))</f>
        <v>1</v>
      </c>
      <c r="E651" s="10" t="str">
        <f t="array" ref="E651">INDEX('Database Mitra'!$A$2:$A800,MATCH(A651,'Database Mitra'!$B$2:$B800,0))</f>
        <v>Amalia Faisya</v>
      </c>
      <c r="F651" s="64"/>
      <c r="G651" s="5"/>
      <c r="H651" s="64" t="s">
        <v>125</v>
      </c>
      <c r="I651" s="65" t="s">
        <v>272</v>
      </c>
      <c r="J651" s="10" t="str">
        <f t="array" ref="J651">INDEX(Honor!$H$2:$H800,MATCH($I651,Honor!$A$2:$A800,0))</f>
        <v>Dokumen</v>
      </c>
      <c r="K651" s="66">
        <f t="array" ref="K651">INDEX(Honor!$I$2:$I800,MATCH($I651,Honor!$A$2:$A800,0))</f>
        <v>27500</v>
      </c>
      <c r="L651" s="64">
        <v>35</v>
      </c>
      <c r="M651" s="10">
        <f t="shared" si="0"/>
        <v>962500</v>
      </c>
      <c r="O651" s="67">
        <f t="array" ref="O651">INDEX(Honor!$L$2:$L800,MATCH($I651,Honor!$A$2:$A800,0))</f>
        <v>45576</v>
      </c>
      <c r="P651" s="10">
        <f t="shared" si="1"/>
        <v>2024</v>
      </c>
      <c r="Q651" s="10">
        <f t="shared" si="2"/>
        <v>10</v>
      </c>
      <c r="R651" s="10" t="str">
        <f t="array" ref="R651">INDEX(Honor!$Q$2:$Q800,MATCH($I651,Honor!$A$2:$A800,0))</f>
        <v>SURVEI-PPL</v>
      </c>
      <c r="S651" s="10" t="str">
        <f t="shared" si="3"/>
        <v>610422100016-2024-10</v>
      </c>
      <c r="T651" s="10" t="str">
        <f t="shared" si="4"/>
        <v>610422100016-2024-10-SURVEI-PPL</v>
      </c>
      <c r="U651" s="64"/>
      <c r="V651" s="10">
        <f t="array" ref="V651">INDEX(Honor!$O$2:$O800,MATCH($I651,Honor!$A$2:$A800,0))</f>
        <v>-19</v>
      </c>
      <c r="W651" s="67"/>
      <c r="X651" s="7" t="str">
        <f t="array" ref="X651">INDEX('Input Kegiatan'!$B$2:$B800,MATCH(B651,'Input Kegiatan'!$A$2:$A800,0))</f>
        <v>Susenas September 2024</v>
      </c>
      <c r="Y651" s="7" t="s">
        <v>5250</v>
      </c>
      <c r="Z651" s="7" t="s">
        <v>5365</v>
      </c>
      <c r="AA651" s="68">
        <f t="shared" si="5"/>
        <v>45565</v>
      </c>
      <c r="AB651" s="68">
        <f t="shared" si="6"/>
        <v>45566</v>
      </c>
      <c r="AC651" s="68">
        <f t="shared" si="7"/>
        <v>45596</v>
      </c>
      <c r="AD651" s="68">
        <f t="shared" si="8"/>
        <v>45595</v>
      </c>
      <c r="AE651" s="68">
        <f t="shared" si="9"/>
        <v>45596</v>
      </c>
    </row>
    <row r="652" spans="1:31" ht="12.5">
      <c r="A652" s="125">
        <v>610422100274</v>
      </c>
      <c r="B652" s="64" t="s">
        <v>248</v>
      </c>
      <c r="D652" s="10">
        <f t="array" aca="1" ref="D652" ca="1">INDEX('Mitra per Bulan'!$M$2:$M800,MATCH(S652,'Mitra per Bulan'!$B$2:$B800,0))</f>
        <v>1</v>
      </c>
      <c r="E652" s="10" t="str">
        <f t="array" ref="E652">INDEX('Database Mitra'!$A$2:$A800,MATCH(A652,'Database Mitra'!$B$2:$B800,0))</f>
        <v>Anisatunnabilah</v>
      </c>
      <c r="F652" s="64"/>
      <c r="G652" s="5"/>
      <c r="H652" s="64" t="s">
        <v>125</v>
      </c>
      <c r="I652" s="65" t="s">
        <v>272</v>
      </c>
      <c r="J652" s="10" t="str">
        <f t="array" ref="J652">INDEX(Honor!$H$2:$H800,MATCH($I652,Honor!$A$2:$A800,0))</f>
        <v>Dokumen</v>
      </c>
      <c r="K652" s="66">
        <f t="array" ref="K652">INDEX(Honor!$I$2:$I800,MATCH($I652,Honor!$A$2:$A800,0))</f>
        <v>27500</v>
      </c>
      <c r="L652" s="64">
        <v>35</v>
      </c>
      <c r="M652" s="10">
        <f t="shared" si="0"/>
        <v>962500</v>
      </c>
      <c r="O652" s="67">
        <f t="array" ref="O652">INDEX(Honor!$L$2:$L800,MATCH($I652,Honor!$A$2:$A800,0))</f>
        <v>45576</v>
      </c>
      <c r="P652" s="10">
        <f t="shared" si="1"/>
        <v>2024</v>
      </c>
      <c r="Q652" s="10">
        <f t="shared" si="2"/>
        <v>10</v>
      </c>
      <c r="R652" s="10" t="str">
        <f t="array" ref="R652">INDEX(Honor!$Q$2:$Q800,MATCH($I652,Honor!$A$2:$A800,0))</f>
        <v>SURVEI-PPL</v>
      </c>
      <c r="S652" s="10" t="str">
        <f t="shared" si="3"/>
        <v>610422100274-2024-10</v>
      </c>
      <c r="T652" s="10" t="str">
        <f t="shared" si="4"/>
        <v>610422100274-2024-10-SURVEI-PPL</v>
      </c>
      <c r="U652" s="64"/>
      <c r="V652" s="10">
        <f t="array" ref="V652">INDEX(Honor!$O$2:$O800,MATCH($I652,Honor!$A$2:$A800,0))</f>
        <v>-19</v>
      </c>
      <c r="W652" s="67"/>
      <c r="X652" s="7" t="str">
        <f t="array" ref="X652">INDEX('Input Kegiatan'!$B$2:$B800,MATCH(B652,'Input Kegiatan'!$A$2:$A800,0))</f>
        <v>Susenas September 2024</v>
      </c>
      <c r="Y652" s="7" t="s">
        <v>4931</v>
      </c>
      <c r="Z652" s="7" t="s">
        <v>5171</v>
      </c>
      <c r="AA652" s="68">
        <f t="shared" si="5"/>
        <v>45565</v>
      </c>
      <c r="AB652" s="68">
        <f t="shared" si="6"/>
        <v>45566</v>
      </c>
      <c r="AC652" s="68">
        <f t="shared" si="7"/>
        <v>45596</v>
      </c>
      <c r="AD652" s="68">
        <f t="shared" si="8"/>
        <v>45595</v>
      </c>
      <c r="AE652" s="68">
        <f t="shared" si="9"/>
        <v>45596</v>
      </c>
    </row>
    <row r="653" spans="1:31" ht="12.5">
      <c r="A653" s="125">
        <v>610423040016</v>
      </c>
      <c r="B653" s="64" t="s">
        <v>273</v>
      </c>
      <c r="D653" s="10">
        <f t="array" aca="1" ref="D653" ca="1">INDEX('Mitra per Bulan'!$M$2:$M800,MATCH(S653,'Mitra per Bulan'!$B$2:$B800,0))</f>
        <v>1</v>
      </c>
      <c r="E653" s="10" t="str">
        <f t="array" ref="E653">INDEX('Database Mitra'!$A$2:$A800,MATCH(A653,'Database Mitra'!$B$2:$B800,0))</f>
        <v>Fairuztia Atiqah Putri</v>
      </c>
      <c r="F653" s="64" t="s">
        <v>90</v>
      </c>
      <c r="G653" s="5" t="str">
        <f t="array" ref="G653">INDEX('Database Mitra'!$G$2:$G800,MATCH(A653,'Database Mitra'!$B$2:$B800,0))</f>
        <v>6102016709010003</v>
      </c>
      <c r="H653" s="64" t="s">
        <v>108</v>
      </c>
      <c r="I653" s="65" t="s">
        <v>274</v>
      </c>
      <c r="J653" s="10" t="str">
        <f t="array" ref="J653">INDEX(Honor!$H$2:$H800,MATCH($I653,Honor!$A$2:$A800,0))</f>
        <v>Dokumen</v>
      </c>
      <c r="K653" s="66">
        <f t="array" ref="K653">INDEX(Honor!$I$2:$I800,MATCH($I653,Honor!$A$2:$A800,0))</f>
        <v>12000</v>
      </c>
      <c r="L653" s="64">
        <v>35</v>
      </c>
      <c r="M653" s="10">
        <f t="shared" si="0"/>
        <v>420000</v>
      </c>
      <c r="O653" s="67">
        <f t="array" ref="O653">INDEX(Honor!$L$2:$L800,MATCH($I653,Honor!$A$2:$A800,0))</f>
        <v>45574</v>
      </c>
      <c r="P653" s="10">
        <f t="shared" si="1"/>
        <v>2024</v>
      </c>
      <c r="Q653" s="10">
        <f t="shared" si="2"/>
        <v>10</v>
      </c>
      <c r="R653" s="10" t="str">
        <f t="array" ref="R653">INDEX(Honor!$Q$2:$Q800,MATCH($I653,Honor!$A$2:$A800,0))</f>
        <v>SURVEI-PETUGAS ENTRI</v>
      </c>
      <c r="S653" s="10" t="str">
        <f t="shared" si="3"/>
        <v>610423040016-2024-10</v>
      </c>
      <c r="T653" s="10" t="str">
        <f t="shared" si="4"/>
        <v>610423040016-2024-10-SURVEI-PETUGAS ENTRI</v>
      </c>
      <c r="U653" s="64">
        <v>0</v>
      </c>
      <c r="V653" s="10" t="e">
        <f t="array" aca="1" ref="V653" ca="1">INDEX(Honor!$O$2:$O800,MATCH($I653,Honor!$A$2:$A800,0))</f>
        <v>#NAME?</v>
      </c>
      <c r="W653" s="67"/>
      <c r="X653" s="7" t="str">
        <f t="array" ref="X653">INDEX('Input Kegiatan'!$B$2:$B800,MATCH(B653,'Input Kegiatan'!$A$2:$A800,0))</f>
        <v>Survei Ekonomi Rumah Tangga Triwulanan (SERUTI24) Triwulan III Kegiatan Pengolahan</v>
      </c>
      <c r="Y653" s="7" t="s">
        <v>4572</v>
      </c>
      <c r="Z653" s="7" t="s">
        <v>4619</v>
      </c>
      <c r="AA653" s="68">
        <f t="shared" si="5"/>
        <v>45565</v>
      </c>
      <c r="AB653" s="68">
        <f t="shared" si="6"/>
        <v>45566</v>
      </c>
      <c r="AC653" s="68">
        <f t="shared" si="7"/>
        <v>45596</v>
      </c>
      <c r="AD653" s="68">
        <f t="shared" si="8"/>
        <v>45595</v>
      </c>
      <c r="AE653" s="68">
        <f t="shared" si="9"/>
        <v>45596</v>
      </c>
    </row>
    <row r="654" spans="1:31" ht="12.5">
      <c r="A654" s="125">
        <v>610422100108</v>
      </c>
      <c r="B654" s="64" t="s">
        <v>273</v>
      </c>
      <c r="D654" s="10">
        <f t="array" aca="1" ref="D654" ca="1">INDEX('Mitra per Bulan'!$M$2:$M800,MATCH(S654,'Mitra per Bulan'!$B$2:$B800,0))</f>
        <v>1</v>
      </c>
      <c r="E654" s="10" t="str">
        <f t="array" ref="E654">INDEX('Database Mitra'!$A$2:$A800,MATCH(A654,'Database Mitra'!$B$2:$B800,0))</f>
        <v>Ermi Tiyarni</v>
      </c>
      <c r="F654" s="64" t="s">
        <v>90</v>
      </c>
      <c r="G654" s="5" t="str">
        <f t="array" ref="G654">INDEX('Database Mitra'!$G$2:$G800,MATCH(A654,'Database Mitra'!$B$2:$B800,0))</f>
        <v>6102016512980004</v>
      </c>
      <c r="H654" s="64" t="s">
        <v>108</v>
      </c>
      <c r="I654" s="65" t="s">
        <v>274</v>
      </c>
      <c r="J654" s="10" t="str">
        <f t="array" ref="J654">INDEX(Honor!$H$2:$H800,MATCH($I654,Honor!$A$2:$A800,0))</f>
        <v>Dokumen</v>
      </c>
      <c r="K654" s="66">
        <f t="array" ref="K654">INDEX(Honor!$I$2:$I800,MATCH($I654,Honor!$A$2:$A800,0))</f>
        <v>12000</v>
      </c>
      <c r="L654" s="64">
        <v>35</v>
      </c>
      <c r="M654" s="10">
        <f t="shared" si="0"/>
        <v>420000</v>
      </c>
      <c r="O654" s="67">
        <f t="array" ref="O654">INDEX(Honor!$L$2:$L800,MATCH($I654,Honor!$A$2:$A800,0))</f>
        <v>45574</v>
      </c>
      <c r="P654" s="10">
        <f t="shared" si="1"/>
        <v>2024</v>
      </c>
      <c r="Q654" s="10">
        <f t="shared" si="2"/>
        <v>10</v>
      </c>
      <c r="R654" s="10" t="str">
        <f t="array" ref="R654">INDEX(Honor!$Q$2:$Q800,MATCH($I654,Honor!$A$2:$A800,0))</f>
        <v>SURVEI-PETUGAS ENTRI</v>
      </c>
      <c r="S654" s="10" t="str">
        <f t="shared" si="3"/>
        <v>610422100108-2024-10</v>
      </c>
      <c r="T654" s="10" t="str">
        <f t="shared" si="4"/>
        <v>610422100108-2024-10-SURVEI-PETUGAS ENTRI</v>
      </c>
      <c r="U654" s="64">
        <v>0</v>
      </c>
      <c r="V654" s="10" t="e">
        <f t="array" aca="1" ref="V654" ca="1">INDEX(Honor!$O$2:$O800,MATCH($I654,Honor!$A$2:$A800,0))</f>
        <v>#NAME?</v>
      </c>
      <c r="W654" s="67"/>
      <c r="X654" s="7" t="str">
        <f t="array" ref="X654">INDEX('Input Kegiatan'!$B$2:$B800,MATCH(B654,'Input Kegiatan'!$A$2:$A800,0))</f>
        <v>Survei Ekonomi Rumah Tangga Triwulanan (SERUTI24) Triwulan III Kegiatan Pengolahan</v>
      </c>
      <c r="Y654" s="7" t="s">
        <v>4572</v>
      </c>
      <c r="Z654" s="7" t="s">
        <v>4619</v>
      </c>
      <c r="AA654" s="68">
        <f t="shared" si="5"/>
        <v>45565</v>
      </c>
      <c r="AB654" s="68">
        <f t="shared" si="6"/>
        <v>45566</v>
      </c>
      <c r="AC654" s="68">
        <f t="shared" si="7"/>
        <v>45596</v>
      </c>
      <c r="AD654" s="68">
        <f t="shared" si="8"/>
        <v>45595</v>
      </c>
      <c r="AE654" s="68">
        <f t="shared" si="9"/>
        <v>45596</v>
      </c>
    </row>
    <row r="655" spans="1:31" ht="12.5">
      <c r="A655" s="125">
        <v>610422100016</v>
      </c>
      <c r="B655" s="64" t="s">
        <v>273</v>
      </c>
      <c r="D655" s="10">
        <f t="array" aca="1" ref="D655" ca="1">INDEX('Mitra per Bulan'!$M$2:$M800,MATCH(S655,'Mitra per Bulan'!$B$2:$B800,0))</f>
        <v>1</v>
      </c>
      <c r="E655" s="10" t="str">
        <f t="array" ref="E655">INDEX('Database Mitra'!$A$2:$A800,MATCH(A655,'Database Mitra'!$B$2:$B800,0))</f>
        <v>Amalia Faisya</v>
      </c>
      <c r="F655" s="64" t="s">
        <v>90</v>
      </c>
      <c r="G655" s="5" t="str">
        <f t="array" ref="G655">INDEX('Database Mitra'!$G$2:$G800,MATCH(A655,'Database Mitra'!$B$2:$B800,0))</f>
        <v>6102124210010005</v>
      </c>
      <c r="H655" s="64" t="s">
        <v>108</v>
      </c>
      <c r="I655" s="65" t="s">
        <v>274</v>
      </c>
      <c r="J655" s="10" t="str">
        <f t="array" ref="J655">INDEX(Honor!$H$2:$H800,MATCH($I655,Honor!$A$2:$A800,0))</f>
        <v>Dokumen</v>
      </c>
      <c r="K655" s="66">
        <f t="array" ref="K655">INDEX(Honor!$I$2:$I800,MATCH($I655,Honor!$A$2:$A800,0))</f>
        <v>12000</v>
      </c>
      <c r="L655" s="64">
        <v>35</v>
      </c>
      <c r="M655" s="10">
        <f t="shared" si="0"/>
        <v>420000</v>
      </c>
      <c r="O655" s="67">
        <f t="array" ref="O655">INDEX(Honor!$L$2:$L800,MATCH($I655,Honor!$A$2:$A800,0))</f>
        <v>45574</v>
      </c>
      <c r="P655" s="10">
        <f t="shared" si="1"/>
        <v>2024</v>
      </c>
      <c r="Q655" s="10">
        <f t="shared" si="2"/>
        <v>10</v>
      </c>
      <c r="R655" s="10" t="str">
        <f t="array" ref="R655">INDEX(Honor!$Q$2:$Q800,MATCH($I655,Honor!$A$2:$A800,0))</f>
        <v>SURVEI-PETUGAS ENTRI</v>
      </c>
      <c r="S655" s="10" t="str">
        <f t="shared" si="3"/>
        <v>610422100016-2024-10</v>
      </c>
      <c r="T655" s="10" t="str">
        <f t="shared" si="4"/>
        <v>610422100016-2024-10-SURVEI-PETUGAS ENTRI</v>
      </c>
      <c r="U655" s="64">
        <v>0</v>
      </c>
      <c r="V655" s="10" t="e">
        <f t="array" aca="1" ref="V655" ca="1">INDEX(Honor!$O$2:$O800,MATCH($I655,Honor!$A$2:$A800,0))</f>
        <v>#NAME?</v>
      </c>
      <c r="W655" s="67"/>
      <c r="X655" s="7" t="str">
        <f t="array" ref="X655">INDEX('Input Kegiatan'!$B$2:$B800,MATCH(B655,'Input Kegiatan'!$A$2:$A800,0))</f>
        <v>Survei Ekonomi Rumah Tangga Triwulanan (SERUTI24) Triwulan III Kegiatan Pengolahan</v>
      </c>
      <c r="Y655" s="7" t="s">
        <v>5250</v>
      </c>
      <c r="Z655" s="7" t="s">
        <v>5365</v>
      </c>
      <c r="AA655" s="68">
        <f t="shared" si="5"/>
        <v>45565</v>
      </c>
      <c r="AB655" s="68">
        <f t="shared" si="6"/>
        <v>45566</v>
      </c>
      <c r="AC655" s="68">
        <f t="shared" si="7"/>
        <v>45596</v>
      </c>
      <c r="AD655" s="68">
        <f t="shared" si="8"/>
        <v>45595</v>
      </c>
      <c r="AE655" s="68">
        <f t="shared" si="9"/>
        <v>45596</v>
      </c>
    </row>
    <row r="656" spans="1:31" ht="12.5">
      <c r="A656" s="125">
        <v>610422100274</v>
      </c>
      <c r="B656" s="64" t="s">
        <v>273</v>
      </c>
      <c r="D656" s="10">
        <f t="array" aca="1" ref="D656" ca="1">INDEX('Mitra per Bulan'!$M$2:$M800,MATCH(S656,'Mitra per Bulan'!$B$2:$B800,0))</f>
        <v>1</v>
      </c>
      <c r="E656" s="10" t="str">
        <f t="array" ref="E656">INDEX('Database Mitra'!$A$2:$A800,MATCH(A656,'Database Mitra'!$B$2:$B800,0))</f>
        <v>Anisatunnabilah</v>
      </c>
      <c r="F656" s="64" t="s">
        <v>90</v>
      </c>
      <c r="G656" s="5" t="str">
        <f t="array" ref="G656">INDEX('Database Mitra'!$G$2:$G800,MATCH(A656,'Database Mitra'!$B$2:$B800,0))</f>
        <v>6102184310990001</v>
      </c>
      <c r="H656" s="64" t="s">
        <v>108</v>
      </c>
      <c r="I656" s="65" t="s">
        <v>274</v>
      </c>
      <c r="J656" s="10" t="str">
        <f t="array" ref="J656">INDEX(Honor!$H$2:$H800,MATCH($I656,Honor!$A$2:$A800,0))</f>
        <v>Dokumen</v>
      </c>
      <c r="K656" s="66">
        <f t="array" ref="K656">INDEX(Honor!$I$2:$I800,MATCH($I656,Honor!$A$2:$A800,0))</f>
        <v>12000</v>
      </c>
      <c r="L656" s="64">
        <v>35</v>
      </c>
      <c r="M656" s="10">
        <f t="shared" si="0"/>
        <v>420000</v>
      </c>
      <c r="O656" s="67">
        <f t="array" ref="O656">INDEX(Honor!$L$2:$L800,MATCH($I656,Honor!$A$2:$A800,0))</f>
        <v>45574</v>
      </c>
      <c r="P656" s="10">
        <f t="shared" si="1"/>
        <v>2024</v>
      </c>
      <c r="Q656" s="10">
        <f t="shared" si="2"/>
        <v>10</v>
      </c>
      <c r="R656" s="10" t="str">
        <f t="array" ref="R656">INDEX(Honor!$Q$2:$Q800,MATCH($I656,Honor!$A$2:$A800,0))</f>
        <v>SURVEI-PETUGAS ENTRI</v>
      </c>
      <c r="S656" s="10" t="str">
        <f t="shared" si="3"/>
        <v>610422100274-2024-10</v>
      </c>
      <c r="T656" s="10" t="str">
        <f t="shared" si="4"/>
        <v>610422100274-2024-10-SURVEI-PETUGAS ENTRI</v>
      </c>
      <c r="U656" s="64">
        <v>0</v>
      </c>
      <c r="V656" s="10" t="e">
        <f t="array" aca="1" ref="V656" ca="1">INDEX(Honor!$O$2:$O800,MATCH($I656,Honor!$A$2:$A800,0))</f>
        <v>#NAME?</v>
      </c>
      <c r="W656" s="67"/>
      <c r="X656" s="7" t="str">
        <f t="array" ref="X656">INDEX('Input Kegiatan'!$B$2:$B800,MATCH(B656,'Input Kegiatan'!$A$2:$A800,0))</f>
        <v>Survei Ekonomi Rumah Tangga Triwulanan (SERUTI24) Triwulan III Kegiatan Pengolahan</v>
      </c>
      <c r="Y656" s="7" t="s">
        <v>4931</v>
      </c>
      <c r="Z656" s="7" t="s">
        <v>5171</v>
      </c>
      <c r="AA656" s="68">
        <f t="shared" si="5"/>
        <v>45565</v>
      </c>
      <c r="AB656" s="68">
        <f t="shared" si="6"/>
        <v>45566</v>
      </c>
      <c r="AC656" s="68">
        <f t="shared" si="7"/>
        <v>45596</v>
      </c>
      <c r="AD656" s="68">
        <f t="shared" si="8"/>
        <v>45595</v>
      </c>
      <c r="AE656" s="68">
        <f t="shared" si="9"/>
        <v>45596</v>
      </c>
    </row>
    <row r="657" spans="1:31" ht="12.5">
      <c r="A657" s="125">
        <v>610422030002</v>
      </c>
      <c r="B657" s="65" t="s">
        <v>275</v>
      </c>
      <c r="D657" s="10">
        <f t="array" aca="1" ref="D657" ca="1">INDEX('Mitra per Bulan'!$M$2:$M800,MATCH(S657,'Mitra per Bulan'!$B$2:$B800,0))</f>
        <v>1</v>
      </c>
      <c r="E657" s="10" t="str">
        <f t="array" ref="E657">INDEX('Database Mitra'!$A$2:$A800,MATCH(A657,'Database Mitra'!$B$2:$B800,0))</f>
        <v>Deti Erni Widiastuti</v>
      </c>
      <c r="F657" s="64" t="s">
        <v>25</v>
      </c>
      <c r="G657" s="5" t="str">
        <f t="array" ref="G657">INDEX('Database Mitra'!$G$2:$G800,MATCH(A657,'Database Mitra'!$B$2:$B800,0))</f>
        <v>6102016712860001</v>
      </c>
      <c r="H657" s="64" t="s">
        <v>67</v>
      </c>
      <c r="I657" s="65" t="s">
        <v>276</v>
      </c>
      <c r="J657" s="10" t="str">
        <f t="array" ref="J657">INDEX(Honor!$H$2:$H800,MATCH($I657,Honor!$A$2:$A800,0))</f>
        <v>Dokumen</v>
      </c>
      <c r="K657" s="66">
        <f t="array" ref="K657">INDEX(Honor!$I$2:$I800,MATCH($I657,Honor!$A$2:$A800,0))</f>
        <v>50000</v>
      </c>
      <c r="L657" s="64">
        <v>15</v>
      </c>
      <c r="M657" s="10">
        <f t="shared" si="0"/>
        <v>750000</v>
      </c>
      <c r="O657" s="67">
        <f t="array" ref="O657">INDEX(Honor!$L$2:$L800,MATCH($I657,Honor!$A$2:$A800,0))</f>
        <v>45585</v>
      </c>
      <c r="P657" s="10">
        <f t="shared" si="1"/>
        <v>2024</v>
      </c>
      <c r="Q657" s="10">
        <f t="shared" si="2"/>
        <v>10</v>
      </c>
      <c r="R657" s="10" t="str">
        <f t="array" ref="R657">INDEX(Honor!$Q$2:$Q800,MATCH($I657,Honor!$A$2:$A800,0))</f>
        <v>SURVEI-PPL</v>
      </c>
      <c r="S657" s="10" t="str">
        <f t="shared" si="3"/>
        <v>610422030002-2024-10</v>
      </c>
      <c r="T657" s="10" t="str">
        <f t="shared" si="4"/>
        <v>610422030002-2024-10-SURVEI-PPL</v>
      </c>
      <c r="U657" s="64">
        <v>0</v>
      </c>
      <c r="V657" s="10" t="e">
        <f t="array" aca="1" ref="V657" ca="1">INDEX(Honor!$O$2:$O800,MATCH($I657,Honor!$A$2:$A800,0))</f>
        <v>#NAME?</v>
      </c>
      <c r="W657" s="67"/>
      <c r="X657" s="7" t="str">
        <f t="array" ref="X657">INDEX('Input Kegiatan'!$B$2:$B800,MATCH(B657,'Input Kegiatan'!$A$2:$A800,0))</f>
        <v>Survei Harga Perdagangan Besar (SHPB24) Oktober</v>
      </c>
      <c r="Y657" s="7" t="s">
        <v>3715</v>
      </c>
      <c r="Z657" s="7" t="s">
        <v>3716</v>
      </c>
      <c r="AA657" s="68">
        <f t="shared" si="5"/>
        <v>45565</v>
      </c>
      <c r="AB657" s="68">
        <f t="shared" si="6"/>
        <v>45566</v>
      </c>
      <c r="AC657" s="68">
        <f t="shared" si="7"/>
        <v>45596</v>
      </c>
      <c r="AD657" s="68">
        <f t="shared" si="8"/>
        <v>45595</v>
      </c>
      <c r="AE657" s="68">
        <f t="shared" si="9"/>
        <v>45596</v>
      </c>
    </row>
    <row r="658" spans="1:31" ht="12.5">
      <c r="A658" s="125">
        <v>610422100244</v>
      </c>
      <c r="B658" s="64" t="s">
        <v>277</v>
      </c>
      <c r="D658" s="10">
        <f t="array" aca="1" ref="D658" ca="1">INDEX('Mitra per Bulan'!$M$2:$M800,MATCH(S658,'Mitra per Bulan'!$B$2:$B800,0))</f>
        <v>1</v>
      </c>
      <c r="E658" s="10" t="str">
        <f t="array" ref="E658">INDEX('Database Mitra'!$A$2:$A800,MATCH(A658,'Database Mitra'!$B$2:$B800,0))</f>
        <v>Sugianto</v>
      </c>
      <c r="F658" s="64" t="s">
        <v>25</v>
      </c>
      <c r="G658" s="5" t="str">
        <f t="array" ref="G658">INDEX('Database Mitra'!$G$2:$G800,MATCH(A658,'Database Mitra'!$B$2:$B800,0))</f>
        <v>6102171003900002</v>
      </c>
      <c r="H658" s="64" t="s">
        <v>67</v>
      </c>
      <c r="I658" s="65" t="s">
        <v>278</v>
      </c>
      <c r="J658" s="10" t="str">
        <f t="array" ref="J658">INDEX(Honor!$H$2:$H800,MATCH($I658,Honor!$A$2:$A800,0))</f>
        <v>Dokumen</v>
      </c>
      <c r="K658" s="66">
        <f t="array" ref="K658">INDEX(Honor!$I$2:$I800,MATCH($I658,Honor!$A$2:$A800,0))</f>
        <v>50000</v>
      </c>
      <c r="L658" s="64">
        <v>1</v>
      </c>
      <c r="M658" s="10">
        <f t="shared" si="0"/>
        <v>50000</v>
      </c>
      <c r="O658" s="67">
        <f t="array" ref="O658">INDEX(Honor!$L$2:$L800,MATCH($I658,Honor!$A$2:$A800,0))</f>
        <v>45585</v>
      </c>
      <c r="P658" s="10">
        <f t="shared" si="1"/>
        <v>2024</v>
      </c>
      <c r="Q658" s="10">
        <f t="shared" si="2"/>
        <v>10</v>
      </c>
      <c r="R658" s="10" t="str">
        <f t="array" ref="R658">INDEX(Honor!$Q$2:$Q800,MATCH($I658,Honor!$A$2:$A800,0))</f>
        <v>SURVEI-PPL</v>
      </c>
      <c r="S658" s="10" t="str">
        <f t="shared" si="3"/>
        <v>610422100244-2024-10</v>
      </c>
      <c r="T658" s="10" t="str">
        <f t="shared" si="4"/>
        <v>610422100244-2024-10-SURVEI-PPL</v>
      </c>
      <c r="U658" s="64">
        <v>0</v>
      </c>
      <c r="V658" s="10" t="e">
        <f t="array" aca="1" ref="V658" ca="1">INDEX(Honor!$O$2:$O800,MATCH($I658,Honor!$A$2:$A800,0))</f>
        <v>#NAME?</v>
      </c>
      <c r="W658" s="67"/>
      <c r="X658" s="7" t="str">
        <f t="array" ref="X658">INDEX('Input Kegiatan'!$B$2:$B800,MATCH(B658,'Input Kegiatan'!$A$2:$A800,0))</f>
        <v>Survei Harga Produsen Gabah (HPG24) Oktober</v>
      </c>
      <c r="Y658" s="7" t="s">
        <v>5741</v>
      </c>
      <c r="Z658" s="7" t="s">
        <v>5796</v>
      </c>
      <c r="AA658" s="68">
        <f t="shared" si="5"/>
        <v>45565</v>
      </c>
      <c r="AB658" s="68">
        <f t="shared" si="6"/>
        <v>45566</v>
      </c>
      <c r="AC658" s="68">
        <f t="shared" si="7"/>
        <v>45596</v>
      </c>
      <c r="AD658" s="68">
        <f t="shared" si="8"/>
        <v>45595</v>
      </c>
      <c r="AE658" s="68">
        <f t="shared" si="9"/>
        <v>45596</v>
      </c>
    </row>
    <row r="659" spans="1:31" ht="12.5">
      <c r="A659" s="125">
        <v>610422100124</v>
      </c>
      <c r="B659" s="64" t="s">
        <v>277</v>
      </c>
      <c r="D659" s="10">
        <f t="array" aca="1" ref="D659" ca="1">INDEX('Mitra per Bulan'!$M$2:$M800,MATCH(S659,'Mitra per Bulan'!$B$2:$B800,0))</f>
        <v>1</v>
      </c>
      <c r="E659" s="10" t="str">
        <f t="array" ref="E659">INDEX('Database Mitra'!$A$2:$A800,MATCH(A659,'Database Mitra'!$B$2:$B800,0))</f>
        <v>Prabowo</v>
      </c>
      <c r="F659" s="64" t="s">
        <v>25</v>
      </c>
      <c r="G659" s="5" t="str">
        <f t="array" ref="G659">INDEX('Database Mitra'!$G$2:$G800,MATCH(A659,'Database Mitra'!$B$2:$B800,0))</f>
        <v>6171010108790015</v>
      </c>
      <c r="H659" s="64" t="s">
        <v>67</v>
      </c>
      <c r="I659" s="65" t="s">
        <v>278</v>
      </c>
      <c r="J659" s="10" t="str">
        <f t="array" ref="J659">INDEX(Honor!$H$2:$H800,MATCH($I659,Honor!$A$2:$A800,0))</f>
        <v>Dokumen</v>
      </c>
      <c r="K659" s="66">
        <f t="array" ref="K659">INDEX(Honor!$I$2:$I800,MATCH($I659,Honor!$A$2:$A800,0))</f>
        <v>50000</v>
      </c>
      <c r="L659" s="64">
        <v>1</v>
      </c>
      <c r="M659" s="10">
        <f t="shared" si="0"/>
        <v>50000</v>
      </c>
      <c r="O659" s="67">
        <f t="array" ref="O659">INDEX(Honor!$L$2:$L800,MATCH($I659,Honor!$A$2:$A800,0))</f>
        <v>45585</v>
      </c>
      <c r="P659" s="10">
        <f t="shared" si="1"/>
        <v>2024</v>
      </c>
      <c r="Q659" s="10">
        <f t="shared" si="2"/>
        <v>10</v>
      </c>
      <c r="R659" s="10" t="str">
        <f t="array" ref="R659">INDEX(Honor!$Q$2:$Q800,MATCH($I659,Honor!$A$2:$A800,0))</f>
        <v>SURVEI-PPL</v>
      </c>
      <c r="S659" s="10" t="str">
        <f t="shared" si="3"/>
        <v>610422100124-2024-10</v>
      </c>
      <c r="T659" s="10" t="str">
        <f t="shared" si="4"/>
        <v>610422100124-2024-10-SURVEI-PPL</v>
      </c>
      <c r="U659" s="64">
        <v>0</v>
      </c>
      <c r="V659" s="10" t="e">
        <f t="array" aca="1" ref="V659" ca="1">INDEX(Honor!$O$2:$O800,MATCH($I659,Honor!$A$2:$A800,0))</f>
        <v>#NAME?</v>
      </c>
      <c r="W659" s="67"/>
      <c r="X659" s="7" t="str">
        <f t="array" ref="X659">INDEX('Input Kegiatan'!$B$2:$B800,MATCH(B659,'Input Kegiatan'!$A$2:$A800,0))</f>
        <v>Survei Harga Produsen Gabah (HPG24) Oktober</v>
      </c>
      <c r="Y659" s="7" t="s">
        <v>1921</v>
      </c>
      <c r="Z659" s="7" t="s">
        <v>2140</v>
      </c>
      <c r="AA659" s="68">
        <f t="shared" si="5"/>
        <v>45565</v>
      </c>
      <c r="AB659" s="68">
        <f t="shared" si="6"/>
        <v>45566</v>
      </c>
      <c r="AC659" s="68">
        <f t="shared" si="7"/>
        <v>45596</v>
      </c>
      <c r="AD659" s="68">
        <f t="shared" si="8"/>
        <v>45595</v>
      </c>
      <c r="AE659" s="68">
        <f t="shared" si="9"/>
        <v>45596</v>
      </c>
    </row>
    <row r="660" spans="1:31" ht="12.5">
      <c r="A660" s="125">
        <v>610422040029</v>
      </c>
      <c r="B660" s="65" t="s">
        <v>279</v>
      </c>
      <c r="D660" s="10">
        <f t="array" aca="1" ref="D660" ca="1">INDEX('Mitra per Bulan'!$M$2:$M800,MATCH(S660,'Mitra per Bulan'!$B$2:$B800,0))</f>
        <v>1</v>
      </c>
      <c r="E660" s="10" t="str">
        <f t="array" ref="E660">INDEX('Database Mitra'!$A$2:$A800,MATCH(A660,'Database Mitra'!$B$2:$B800,0))</f>
        <v>Zaini</v>
      </c>
      <c r="F660" s="64" t="s">
        <v>25</v>
      </c>
      <c r="G660" s="5" t="str">
        <f t="array" ref="G660">INDEX('Database Mitra'!$G$2:$G800,MATCH(A660,'Database Mitra'!$B$2:$B800,0))</f>
        <v>6102010607870002</v>
      </c>
      <c r="H660" s="64" t="s">
        <v>67</v>
      </c>
      <c r="I660" s="65" t="s">
        <v>280</v>
      </c>
      <c r="J660" s="10" t="str">
        <f t="array" ref="J660">INDEX(Honor!$H$2:$H800,MATCH($I660,Honor!$A$2:$A800,0))</f>
        <v>Dokumen</v>
      </c>
      <c r="K660" s="66">
        <f t="array" ref="K660">INDEX(Honor!$I$2:$I800,MATCH($I660,Honor!$A$2:$A800,0))</f>
        <v>60000</v>
      </c>
      <c r="L660" s="64">
        <v>16</v>
      </c>
      <c r="M660" s="10">
        <f t="shared" si="0"/>
        <v>960000</v>
      </c>
      <c r="O660" s="67">
        <f t="array" ref="O660">INDEX(Honor!$L$2:$L800,MATCH($I660,Honor!$A$2:$A800,0))</f>
        <v>45585</v>
      </c>
      <c r="P660" s="10">
        <f t="shared" si="1"/>
        <v>2024</v>
      </c>
      <c r="Q660" s="10">
        <f t="shared" si="2"/>
        <v>10</v>
      </c>
      <c r="R660" s="10" t="str">
        <f t="array" ref="R660">INDEX(Honor!$Q$2:$Q800,MATCH($I660,Honor!$A$2:$A800,0))</f>
        <v>SURVEI-PPL</v>
      </c>
      <c r="S660" s="10" t="str">
        <f t="shared" si="3"/>
        <v>610422040029-2024-10</v>
      </c>
      <c r="T660" s="10" t="str">
        <f t="shared" si="4"/>
        <v>610422040029-2024-10-SURVEI-PPL</v>
      </c>
      <c r="U660" s="64">
        <v>0</v>
      </c>
      <c r="V660" s="10" t="e">
        <f t="array" aca="1" ref="V660" ca="1">INDEX(Honor!$O$2:$O800,MATCH($I660,Honor!$A$2:$A800,0))</f>
        <v>#NAME?</v>
      </c>
      <c r="W660" s="67"/>
      <c r="X660" s="7" t="str">
        <f t="array" ref="X660">INDEX('Input Kegiatan'!$B$2:$B800,MATCH(B660,'Input Kegiatan'!$A$2:$A800,0))</f>
        <v>Survei Harga Kemahalan Konstruksi (SHKK24) Oktober</v>
      </c>
      <c r="Y660" s="7" t="s">
        <v>4572</v>
      </c>
      <c r="Z660" s="7" t="s">
        <v>4619</v>
      </c>
      <c r="AA660" s="68">
        <f t="shared" si="5"/>
        <v>45565</v>
      </c>
      <c r="AB660" s="68">
        <f t="shared" si="6"/>
        <v>45566</v>
      </c>
      <c r="AC660" s="68">
        <f t="shared" si="7"/>
        <v>45596</v>
      </c>
      <c r="AD660" s="68">
        <f t="shared" si="8"/>
        <v>45595</v>
      </c>
      <c r="AE660" s="68">
        <f t="shared" si="9"/>
        <v>45596</v>
      </c>
    </row>
    <row r="661" spans="1:31" ht="12.5">
      <c r="A661" s="125">
        <v>610422020048</v>
      </c>
      <c r="B661" s="65" t="s">
        <v>279</v>
      </c>
      <c r="D661" s="10">
        <f t="array" aca="1" ref="D661" ca="1">INDEX('Mitra per Bulan'!$M$2:$M800,MATCH(S661,'Mitra per Bulan'!$B$2:$B800,0))</f>
        <v>1</v>
      </c>
      <c r="E661" s="10" t="str">
        <f t="array" ref="E661">INDEX('Database Mitra'!$A$2:$A800,MATCH(A661,'Database Mitra'!$B$2:$B800,0))</f>
        <v>Herri Gustaman</v>
      </c>
      <c r="F661" s="64" t="s">
        <v>25</v>
      </c>
      <c r="G661" s="5" t="str">
        <f t="array" ref="G661">INDEX('Database Mitra'!$G$2:$G800,MATCH(A661,'Database Mitra'!$B$2:$B800,0))</f>
        <v>6102072503800001</v>
      </c>
      <c r="H661" s="64" t="s">
        <v>67</v>
      </c>
      <c r="I661" s="65" t="s">
        <v>280</v>
      </c>
      <c r="J661" s="10" t="str">
        <f t="array" ref="J661">INDEX(Honor!$H$2:$H800,MATCH($I661,Honor!$A$2:$A800,0))</f>
        <v>Dokumen</v>
      </c>
      <c r="K661" s="66">
        <f t="array" ref="K661">INDEX(Honor!$I$2:$I800,MATCH($I661,Honor!$A$2:$A800,0))</f>
        <v>60000</v>
      </c>
      <c r="L661" s="64">
        <v>10</v>
      </c>
      <c r="M661" s="10">
        <f t="shared" si="0"/>
        <v>600000</v>
      </c>
      <c r="O661" s="67">
        <f t="array" ref="O661">INDEX(Honor!$L$2:$L800,MATCH($I661,Honor!$A$2:$A800,0))</f>
        <v>45585</v>
      </c>
      <c r="P661" s="10">
        <f t="shared" si="1"/>
        <v>2024</v>
      </c>
      <c r="Q661" s="10">
        <f t="shared" si="2"/>
        <v>10</v>
      </c>
      <c r="R661" s="10" t="str">
        <f t="array" ref="R661">INDEX(Honor!$Q$2:$Q800,MATCH($I661,Honor!$A$2:$A800,0))</f>
        <v>SURVEI-PPL</v>
      </c>
      <c r="S661" s="10" t="str">
        <f t="shared" si="3"/>
        <v>610422020048-2024-10</v>
      </c>
      <c r="T661" s="10" t="str">
        <f t="shared" si="4"/>
        <v>610422020048-2024-10-SURVEI-PPL</v>
      </c>
      <c r="U661" s="64">
        <v>0</v>
      </c>
      <c r="V661" s="10" t="e">
        <f t="array" aca="1" ref="V661" ca="1">INDEX(Honor!$O$2:$O800,MATCH($I661,Honor!$A$2:$A800,0))</f>
        <v>#NAME?</v>
      </c>
      <c r="W661" s="67"/>
      <c r="X661" s="7" t="str">
        <f t="array" ref="X661">INDEX('Input Kegiatan'!$B$2:$B800,MATCH(B661,'Input Kegiatan'!$A$2:$A800,0))</f>
        <v>Survei Harga Kemahalan Konstruksi (SHKK24) Oktober</v>
      </c>
      <c r="Y661" s="7" t="s">
        <v>4931</v>
      </c>
      <c r="Z661" s="7" t="s">
        <v>5171</v>
      </c>
      <c r="AA661" s="68">
        <f t="shared" si="5"/>
        <v>45565</v>
      </c>
      <c r="AB661" s="68">
        <f t="shared" si="6"/>
        <v>45566</v>
      </c>
      <c r="AC661" s="68">
        <f t="shared" si="7"/>
        <v>45596</v>
      </c>
      <c r="AD661" s="68">
        <f t="shared" si="8"/>
        <v>45595</v>
      </c>
      <c r="AE661" s="68">
        <f t="shared" si="9"/>
        <v>45596</v>
      </c>
    </row>
    <row r="662" spans="1:31" ht="12.5">
      <c r="A662" s="125">
        <v>610422100165</v>
      </c>
      <c r="B662" s="65" t="s">
        <v>279</v>
      </c>
      <c r="D662" s="10">
        <f t="array" aca="1" ref="D662" ca="1">INDEX('Mitra per Bulan'!$M$2:$M800,MATCH(S662,'Mitra per Bulan'!$B$2:$B800,0))</f>
        <v>1</v>
      </c>
      <c r="E662" s="10" t="str">
        <f t="array" ref="E662">INDEX('Database Mitra'!$A$2:$A800,MATCH(A662,'Database Mitra'!$B$2:$B800,0))</f>
        <v>Yanti</v>
      </c>
      <c r="F662" s="64" t="s">
        <v>25</v>
      </c>
      <c r="G662" s="5" t="str">
        <f t="array" ref="G662">INDEX('Database Mitra'!$G$2:$G800,MATCH(A662,'Database Mitra'!$B$2:$B800,0))</f>
        <v>6102074803980002</v>
      </c>
      <c r="H662" s="64" t="s">
        <v>67</v>
      </c>
      <c r="I662" s="65" t="s">
        <v>280</v>
      </c>
      <c r="J662" s="10" t="str">
        <f t="array" ref="J662">INDEX(Honor!$H$2:$H800,MATCH($I662,Honor!$A$2:$A800,0))</f>
        <v>Dokumen</v>
      </c>
      <c r="K662" s="66">
        <f t="array" ref="K662">INDEX(Honor!$I$2:$I800,MATCH($I662,Honor!$A$2:$A800,0))</f>
        <v>60000</v>
      </c>
      <c r="L662" s="64">
        <v>6</v>
      </c>
      <c r="M662" s="10">
        <f t="shared" si="0"/>
        <v>360000</v>
      </c>
      <c r="O662" s="67">
        <f t="array" ref="O662">INDEX(Honor!$L$2:$L800,MATCH($I662,Honor!$A$2:$A800,0))</f>
        <v>45585</v>
      </c>
      <c r="P662" s="10">
        <f t="shared" si="1"/>
        <v>2024</v>
      </c>
      <c r="Q662" s="10">
        <f t="shared" si="2"/>
        <v>10</v>
      </c>
      <c r="R662" s="10" t="str">
        <f t="array" ref="R662">INDEX(Honor!$Q$2:$Q800,MATCH($I662,Honor!$A$2:$A800,0))</f>
        <v>SURVEI-PPL</v>
      </c>
      <c r="S662" s="10" t="str">
        <f t="shared" si="3"/>
        <v>610422100165-2024-10</v>
      </c>
      <c r="T662" s="10" t="str">
        <f t="shared" si="4"/>
        <v>610422100165-2024-10-SURVEI-PPL</v>
      </c>
      <c r="U662" s="64">
        <v>0</v>
      </c>
      <c r="V662" s="10" t="e">
        <f t="array" aca="1" ref="V662" ca="1">INDEX(Honor!$O$2:$O800,MATCH($I662,Honor!$A$2:$A800,0))</f>
        <v>#NAME?</v>
      </c>
      <c r="W662" s="67"/>
      <c r="X662" s="7" t="str">
        <f t="array" ref="X662">INDEX('Input Kegiatan'!$B$2:$B800,MATCH(B662,'Input Kegiatan'!$A$2:$A800,0))</f>
        <v>Survei Harga Kemahalan Konstruksi (SHKK24) Oktober</v>
      </c>
      <c r="Y662" s="7" t="s">
        <v>3990</v>
      </c>
      <c r="Z662" s="7" t="s">
        <v>4332</v>
      </c>
      <c r="AA662" s="68">
        <f t="shared" si="5"/>
        <v>45565</v>
      </c>
      <c r="AB662" s="68">
        <f t="shared" si="6"/>
        <v>45566</v>
      </c>
      <c r="AC662" s="68">
        <f t="shared" si="7"/>
        <v>45596</v>
      </c>
      <c r="AD662" s="68">
        <f t="shared" si="8"/>
        <v>45595</v>
      </c>
      <c r="AE662" s="68">
        <f t="shared" si="9"/>
        <v>45596</v>
      </c>
    </row>
    <row r="663" spans="1:31" ht="12.5">
      <c r="A663" s="125">
        <v>610422020052</v>
      </c>
      <c r="B663" s="65" t="s">
        <v>279</v>
      </c>
      <c r="D663" s="10">
        <f t="array" aca="1" ref="D663" ca="1">INDEX('Mitra per Bulan'!$M$2:$M800,MATCH(S663,'Mitra per Bulan'!$B$2:$B800,0))</f>
        <v>1</v>
      </c>
      <c r="E663" s="10" t="str">
        <f t="array" ref="E663">INDEX('Database Mitra'!$A$2:$A800,MATCH(A663,'Database Mitra'!$B$2:$B800,0))</f>
        <v>Agus Supriyanto</v>
      </c>
      <c r="F663" s="64" t="s">
        <v>25</v>
      </c>
      <c r="G663" s="5" t="str">
        <f t="array" ref="G663">INDEX('Database Mitra'!$G$2:$G800,MATCH(A663,'Database Mitra'!$B$2:$B800,0))</f>
        <v>6102071811790001</v>
      </c>
      <c r="H663" s="64" t="s">
        <v>67</v>
      </c>
      <c r="I663" s="65" t="s">
        <v>280</v>
      </c>
      <c r="J663" s="10" t="str">
        <f t="array" ref="J663">INDEX(Honor!$H$2:$H800,MATCH($I663,Honor!$A$2:$A800,0))</f>
        <v>Dokumen</v>
      </c>
      <c r="K663" s="66">
        <f t="array" ref="K663">INDEX(Honor!$I$2:$I800,MATCH($I663,Honor!$A$2:$A800,0))</f>
        <v>60000</v>
      </c>
      <c r="L663" s="64">
        <v>7</v>
      </c>
      <c r="M663" s="10">
        <f t="shared" si="0"/>
        <v>420000</v>
      </c>
      <c r="O663" s="67">
        <f t="array" ref="O663">INDEX(Honor!$L$2:$L800,MATCH($I663,Honor!$A$2:$A800,0))</f>
        <v>45585</v>
      </c>
      <c r="P663" s="10">
        <f t="shared" si="1"/>
        <v>2024</v>
      </c>
      <c r="Q663" s="10">
        <f t="shared" si="2"/>
        <v>10</v>
      </c>
      <c r="R663" s="10" t="str">
        <f t="array" ref="R663">INDEX(Honor!$Q$2:$Q800,MATCH($I663,Honor!$A$2:$A800,0))</f>
        <v>SURVEI-PPL</v>
      </c>
      <c r="S663" s="10" t="str">
        <f t="shared" si="3"/>
        <v>610422020052-2024-10</v>
      </c>
      <c r="T663" s="10" t="str">
        <f t="shared" si="4"/>
        <v>610422020052-2024-10-SURVEI-PPL</v>
      </c>
      <c r="U663" s="64">
        <v>0</v>
      </c>
      <c r="V663" s="10" t="e">
        <f t="array" aca="1" ref="V663" ca="1">INDEX(Honor!$O$2:$O800,MATCH($I663,Honor!$A$2:$A800,0))</f>
        <v>#NAME?</v>
      </c>
      <c r="W663" s="67"/>
      <c r="X663" s="7" t="str">
        <f t="array" ref="X663">INDEX('Input Kegiatan'!$B$2:$B800,MATCH(B663,'Input Kegiatan'!$A$2:$A800,0))</f>
        <v>Survei Harga Kemahalan Konstruksi (SHKK24) Oktober</v>
      </c>
      <c r="Y663" s="7" t="s">
        <v>3990</v>
      </c>
      <c r="Z663" s="7" t="s">
        <v>4087</v>
      </c>
      <c r="AA663" s="68">
        <f t="shared" si="5"/>
        <v>45565</v>
      </c>
      <c r="AB663" s="68">
        <f t="shared" si="6"/>
        <v>45566</v>
      </c>
      <c r="AC663" s="68">
        <f t="shared" si="7"/>
        <v>45596</v>
      </c>
      <c r="AD663" s="68">
        <f t="shared" si="8"/>
        <v>45595</v>
      </c>
      <c r="AE663" s="68">
        <f t="shared" si="9"/>
        <v>45596</v>
      </c>
    </row>
    <row r="664" spans="1:31" ht="12.5">
      <c r="A664" s="125">
        <v>610422100016</v>
      </c>
      <c r="B664" s="65" t="s">
        <v>281</v>
      </c>
      <c r="D664" s="10">
        <f t="array" aca="1" ref="D664" ca="1">INDEX('Mitra per Bulan'!$M$2:$M800,MATCH(S664,'Mitra per Bulan'!$B$2:$B800,0))</f>
        <v>1</v>
      </c>
      <c r="E664" s="10" t="str">
        <f t="array" ref="E664">INDEX('Database Mitra'!$A$2:$A800,MATCH(A664,'Database Mitra'!$B$2:$B800,0))</f>
        <v>Amalia Faisya</v>
      </c>
      <c r="F664" s="64" t="s">
        <v>25</v>
      </c>
      <c r="G664" s="5" t="str">
        <f t="array" ref="G664">INDEX('Database Mitra'!$G$2:$G800,MATCH(A664,'Database Mitra'!$B$2:$B800,0))</f>
        <v>6102124210010005</v>
      </c>
      <c r="H664" s="64" t="s">
        <v>72</v>
      </c>
      <c r="I664" s="65" t="s">
        <v>282</v>
      </c>
      <c r="J664" s="10" t="str">
        <f t="array" ref="J664">INDEX(Honor!$H$2:$H800,MATCH($I664,Honor!$A$2:$A800,0))</f>
        <v>Dokumen</v>
      </c>
      <c r="K664" s="66">
        <f t="array" ref="K664">INDEX(Honor!$I$2:$I800,MATCH($I664,Honor!$A$2:$A800,0))</f>
        <v>65000</v>
      </c>
      <c r="L664" s="64">
        <v>3</v>
      </c>
      <c r="M664" s="10">
        <f t="shared" si="0"/>
        <v>195000</v>
      </c>
      <c r="O664" s="67">
        <f t="array" ref="O664">INDEX(Honor!$L$2:$L800,MATCH($I664,Honor!$A$2:$A800,0))</f>
        <v>45585</v>
      </c>
      <c r="P664" s="10">
        <f t="shared" si="1"/>
        <v>2024</v>
      </c>
      <c r="Q664" s="10">
        <f t="shared" si="2"/>
        <v>10</v>
      </c>
      <c r="R664" s="10" t="str">
        <f t="array" ref="R664">INDEX(Honor!$Q$2:$Q800,MATCH($I664,Honor!$A$2:$A800,0))</f>
        <v>SURVEI-PPL</v>
      </c>
      <c r="S664" s="10" t="str">
        <f t="shared" si="3"/>
        <v>610422100016-2024-10</v>
      </c>
      <c r="T664" s="10" t="str">
        <f t="shared" si="4"/>
        <v>610422100016-2024-10-SURVEI-PPL</v>
      </c>
      <c r="U664" s="64">
        <v>0</v>
      </c>
      <c r="V664" s="10" t="e">
        <f t="array" aca="1" ref="V664" ca="1">INDEX(Honor!$O$2:$O800,MATCH($I664,Honor!$A$2:$A800,0))</f>
        <v>#NAME?</v>
      </c>
      <c r="W664" s="67"/>
      <c r="X664" s="7" t="str">
        <f t="array" ref="X664">INDEX('Input Kegiatan'!$B$2:$B800,MATCH(B664,'Input Kegiatan'!$A$2:$A800,0))</f>
        <v>Survei Harga Perdesaan (SHPED24) Oktober</v>
      </c>
      <c r="Y664" s="7" t="s">
        <v>5250</v>
      </c>
      <c r="Z664" s="7" t="s">
        <v>5365</v>
      </c>
      <c r="AA664" s="68">
        <f t="shared" si="5"/>
        <v>45565</v>
      </c>
      <c r="AB664" s="68">
        <f t="shared" si="6"/>
        <v>45566</v>
      </c>
      <c r="AC664" s="68">
        <f t="shared" si="7"/>
        <v>45596</v>
      </c>
      <c r="AD664" s="68">
        <f t="shared" si="8"/>
        <v>45595</v>
      </c>
      <c r="AE664" s="68">
        <f t="shared" si="9"/>
        <v>45596</v>
      </c>
    </row>
    <row r="665" spans="1:31" ht="12.5">
      <c r="A665" s="125">
        <v>610422050001</v>
      </c>
      <c r="B665" s="65" t="s">
        <v>281</v>
      </c>
      <c r="D665" s="10">
        <f t="array" aca="1" ref="D665" ca="1">INDEX('Mitra per Bulan'!$M$2:$M800,MATCH(S665,'Mitra per Bulan'!$B$2:$B800,0))</f>
        <v>1</v>
      </c>
      <c r="E665" s="10" t="str">
        <f t="array" ref="E665">INDEX('Database Mitra'!$A$2:$A800,MATCH(A665,'Database Mitra'!$B$2:$B800,0))</f>
        <v>Evi Juniarty</v>
      </c>
      <c r="F665" s="64" t="s">
        <v>25</v>
      </c>
      <c r="G665" s="5" t="str">
        <f t="array" ref="G665">INDEX('Database Mitra'!$G$2:$G800,MATCH(A665,'Database Mitra'!$B$2:$B800,0))</f>
        <v>6102165101840001</v>
      </c>
      <c r="H665" s="64" t="s">
        <v>72</v>
      </c>
      <c r="I665" s="65" t="s">
        <v>282</v>
      </c>
      <c r="J665" s="10" t="str">
        <f t="array" ref="J665">INDEX(Honor!$H$2:$H800,MATCH($I665,Honor!$A$2:$A800,0))</f>
        <v>Dokumen</v>
      </c>
      <c r="K665" s="66">
        <f t="array" ref="K665">INDEX(Honor!$I$2:$I800,MATCH($I665,Honor!$A$2:$A800,0))</f>
        <v>65000</v>
      </c>
      <c r="L665" s="64">
        <v>3</v>
      </c>
      <c r="M665" s="10">
        <f t="shared" si="0"/>
        <v>195000</v>
      </c>
      <c r="O665" s="67">
        <f t="array" ref="O665">INDEX(Honor!$L$2:$L800,MATCH($I665,Honor!$A$2:$A800,0))</f>
        <v>45585</v>
      </c>
      <c r="P665" s="10">
        <f t="shared" si="1"/>
        <v>2024</v>
      </c>
      <c r="Q665" s="10">
        <f t="shared" si="2"/>
        <v>10</v>
      </c>
      <c r="R665" s="10" t="str">
        <f t="array" ref="R665">INDEX(Honor!$Q$2:$Q800,MATCH($I665,Honor!$A$2:$A800,0))</f>
        <v>SURVEI-PPL</v>
      </c>
      <c r="S665" s="10" t="str">
        <f t="shared" si="3"/>
        <v>610422050001-2024-10</v>
      </c>
      <c r="T665" s="10" t="str">
        <f t="shared" si="4"/>
        <v>610422050001-2024-10-SURVEI-PPL</v>
      </c>
      <c r="U665" s="64">
        <v>0</v>
      </c>
      <c r="V665" s="10" t="e">
        <f t="array" aca="1" ref="V665" ca="1">INDEX(Honor!$O$2:$O800,MATCH($I665,Honor!$A$2:$A800,0))</f>
        <v>#NAME?</v>
      </c>
      <c r="W665" s="67"/>
      <c r="X665" s="7" t="str">
        <f t="array" ref="X665">INDEX('Input Kegiatan'!$B$2:$B800,MATCH(B665,'Input Kegiatan'!$A$2:$A800,0))</f>
        <v>Survei Harga Perdesaan (SHPED24) Oktober</v>
      </c>
      <c r="Y665" s="7" t="s">
        <v>4408</v>
      </c>
      <c r="Z665" s="7" t="s">
        <v>4409</v>
      </c>
      <c r="AA665" s="68">
        <f t="shared" si="5"/>
        <v>45565</v>
      </c>
      <c r="AB665" s="68">
        <f t="shared" si="6"/>
        <v>45566</v>
      </c>
      <c r="AC665" s="68">
        <f t="shared" si="7"/>
        <v>45596</v>
      </c>
      <c r="AD665" s="68">
        <f t="shared" si="8"/>
        <v>45595</v>
      </c>
      <c r="AE665" s="68">
        <f t="shared" si="9"/>
        <v>45596</v>
      </c>
    </row>
    <row r="666" spans="1:31" ht="12.5">
      <c r="A666" s="125">
        <v>610422040030</v>
      </c>
      <c r="B666" s="65" t="s">
        <v>281</v>
      </c>
      <c r="D666" s="10">
        <f t="array" aca="1" ref="D666" ca="1">INDEX('Mitra per Bulan'!$M$2:$M800,MATCH(S666,'Mitra per Bulan'!$B$2:$B800,0))</f>
        <v>1</v>
      </c>
      <c r="E666" s="10" t="str">
        <f t="array" ref="E666">INDEX('Database Mitra'!$A$2:$A800,MATCH(A666,'Database Mitra'!$B$2:$B800,0))</f>
        <v>Syarifah Desti Pratiwi</v>
      </c>
      <c r="F666" s="64" t="s">
        <v>25</v>
      </c>
      <c r="G666" s="5" t="str">
        <f t="array" ref="G666">INDEX('Database Mitra'!$G$2:$G800,MATCH(A666,'Database Mitra'!$B$2:$B800,0))</f>
        <v>6102084512950002</v>
      </c>
      <c r="H666" s="64" t="s">
        <v>74</v>
      </c>
      <c r="I666" s="65" t="s">
        <v>283</v>
      </c>
      <c r="J666" s="10" t="str">
        <f t="array" ref="J666">INDEX(Honor!$H$2:$H800,MATCH($I666,Honor!$A$2:$A800,0))</f>
        <v>Dokumen</v>
      </c>
      <c r="K666" s="66">
        <f t="array" ref="K666">INDEX(Honor!$I$2:$I800,MATCH($I666,Honor!$A$2:$A800,0))</f>
        <v>55000</v>
      </c>
      <c r="L666" s="64">
        <v>1</v>
      </c>
      <c r="M666" s="10">
        <f t="shared" si="0"/>
        <v>55000</v>
      </c>
      <c r="O666" s="67">
        <f t="array" ref="O666">INDEX(Honor!$L$2:$L800,MATCH($I666,Honor!$A$2:$A800,0))</f>
        <v>45585</v>
      </c>
      <c r="P666" s="10">
        <f t="shared" si="1"/>
        <v>2024</v>
      </c>
      <c r="Q666" s="10">
        <f t="shared" si="2"/>
        <v>10</v>
      </c>
      <c r="R666" s="10" t="str">
        <f t="array" ref="R666">INDEX(Honor!$Q$2:$Q800,MATCH($I666,Honor!$A$2:$A800,0))</f>
        <v>SURVEI-PPL</v>
      </c>
      <c r="S666" s="10" t="str">
        <f t="shared" si="3"/>
        <v>610422040030-2024-10</v>
      </c>
      <c r="T666" s="10" t="str">
        <f t="shared" si="4"/>
        <v>610422040030-2024-10-SURVEI-PPL</v>
      </c>
      <c r="U666" s="64">
        <v>0</v>
      </c>
      <c r="V666" s="10" t="e">
        <f t="array" aca="1" ref="V666" ca="1">INDEX(Honor!$O$2:$O800,MATCH($I666,Honor!$A$2:$A800,0))</f>
        <v>#NAME?</v>
      </c>
      <c r="W666" s="67"/>
      <c r="X666" s="7" t="str">
        <f t="array" ref="X666">INDEX('Input Kegiatan'!$B$2:$B800,MATCH(B666,'Input Kegiatan'!$A$2:$A800,0))</f>
        <v>Survei Harga Perdesaan (SHPED24) Oktober</v>
      </c>
      <c r="Y666" s="7" t="s">
        <v>3241</v>
      </c>
      <c r="Z666" s="7" t="s">
        <v>3289</v>
      </c>
      <c r="AA666" s="68">
        <f t="shared" si="5"/>
        <v>45565</v>
      </c>
      <c r="AB666" s="68">
        <f t="shared" si="6"/>
        <v>45566</v>
      </c>
      <c r="AC666" s="68">
        <f t="shared" si="7"/>
        <v>45596</v>
      </c>
      <c r="AD666" s="68">
        <f t="shared" si="8"/>
        <v>45595</v>
      </c>
      <c r="AE666" s="68">
        <f t="shared" si="9"/>
        <v>45596</v>
      </c>
    </row>
    <row r="667" spans="1:31" ht="12.5">
      <c r="A667" s="125">
        <v>610422100124</v>
      </c>
      <c r="B667" s="65" t="s">
        <v>281</v>
      </c>
      <c r="D667" s="10">
        <f t="array" aca="1" ref="D667" ca="1">INDEX('Mitra per Bulan'!$M$2:$M800,MATCH(S667,'Mitra per Bulan'!$B$2:$B800,0))</f>
        <v>1</v>
      </c>
      <c r="E667" s="10" t="str">
        <f t="array" ref="E667">INDEX('Database Mitra'!$A$2:$A800,MATCH(A667,'Database Mitra'!$B$2:$B800,0))</f>
        <v>Prabowo</v>
      </c>
      <c r="F667" s="64" t="s">
        <v>25</v>
      </c>
      <c r="G667" s="5" t="str">
        <f t="array" ref="G667">INDEX('Database Mitra'!$G$2:$G800,MATCH(A667,'Database Mitra'!$B$2:$B800,0))</f>
        <v>6171010108790015</v>
      </c>
      <c r="H667" s="64" t="s">
        <v>74</v>
      </c>
      <c r="I667" s="65" t="s">
        <v>283</v>
      </c>
      <c r="J667" s="10" t="str">
        <f t="array" ref="J667">INDEX(Honor!$H$2:$H800,MATCH($I667,Honor!$A$2:$A800,0))</f>
        <v>Dokumen</v>
      </c>
      <c r="K667" s="66">
        <f t="array" ref="K667">INDEX(Honor!$I$2:$I800,MATCH($I667,Honor!$A$2:$A800,0))</f>
        <v>55000</v>
      </c>
      <c r="L667" s="64">
        <v>3</v>
      </c>
      <c r="M667" s="10">
        <f t="shared" si="0"/>
        <v>165000</v>
      </c>
      <c r="O667" s="67">
        <f t="array" ref="O667">INDEX(Honor!$L$2:$L800,MATCH($I667,Honor!$A$2:$A800,0))</f>
        <v>45585</v>
      </c>
      <c r="P667" s="10">
        <f t="shared" si="1"/>
        <v>2024</v>
      </c>
      <c r="Q667" s="10">
        <f t="shared" si="2"/>
        <v>10</v>
      </c>
      <c r="R667" s="10" t="str">
        <f t="array" ref="R667">INDEX(Honor!$Q$2:$Q800,MATCH($I667,Honor!$A$2:$A800,0))</f>
        <v>SURVEI-PPL</v>
      </c>
      <c r="S667" s="10" t="str">
        <f t="shared" si="3"/>
        <v>610422100124-2024-10</v>
      </c>
      <c r="T667" s="10" t="str">
        <f t="shared" si="4"/>
        <v>610422100124-2024-10-SURVEI-PPL</v>
      </c>
      <c r="U667" s="64">
        <v>0</v>
      </c>
      <c r="V667" s="10" t="e">
        <f t="array" aca="1" ref="V667" ca="1">INDEX(Honor!$O$2:$O800,MATCH($I667,Honor!$A$2:$A800,0))</f>
        <v>#NAME?</v>
      </c>
      <c r="W667" s="67"/>
      <c r="X667" s="7" t="str">
        <f t="array" ref="X667">INDEX('Input Kegiatan'!$B$2:$B800,MATCH(B667,'Input Kegiatan'!$A$2:$A800,0))</f>
        <v>Survei Harga Perdesaan (SHPED24) Oktober</v>
      </c>
      <c r="Y667" s="7" t="s">
        <v>1921</v>
      </c>
      <c r="Z667" s="7" t="s">
        <v>2140</v>
      </c>
      <c r="AA667" s="68">
        <f t="shared" si="5"/>
        <v>45565</v>
      </c>
      <c r="AB667" s="68">
        <f t="shared" si="6"/>
        <v>45566</v>
      </c>
      <c r="AC667" s="68">
        <f t="shared" si="7"/>
        <v>45596</v>
      </c>
      <c r="AD667" s="68">
        <f t="shared" si="8"/>
        <v>45595</v>
      </c>
      <c r="AE667" s="68">
        <f t="shared" si="9"/>
        <v>45596</v>
      </c>
    </row>
    <row r="668" spans="1:31" ht="12.5">
      <c r="A668" s="125">
        <v>610422100244</v>
      </c>
      <c r="B668" s="65" t="s">
        <v>281</v>
      </c>
      <c r="D668" s="10">
        <f t="array" aca="1" ref="D668" ca="1">INDEX('Mitra per Bulan'!$M$2:$M800,MATCH(S668,'Mitra per Bulan'!$B$2:$B800,0))</f>
        <v>1</v>
      </c>
      <c r="E668" s="10" t="str">
        <f t="array" ref="E668">INDEX('Database Mitra'!$A$2:$A800,MATCH(A668,'Database Mitra'!$B$2:$B800,0))</f>
        <v>Sugianto</v>
      </c>
      <c r="F668" s="64" t="s">
        <v>25</v>
      </c>
      <c r="G668" s="5" t="str">
        <f t="array" ref="G668">INDEX('Database Mitra'!$G$2:$G800,MATCH(A668,'Database Mitra'!$B$2:$B800,0))</f>
        <v>6102171003900002</v>
      </c>
      <c r="H668" s="64" t="s">
        <v>74</v>
      </c>
      <c r="I668" s="65" t="s">
        <v>283</v>
      </c>
      <c r="J668" s="10" t="str">
        <f t="array" ref="J668">INDEX(Honor!$H$2:$H800,MATCH($I668,Honor!$A$2:$A800,0))</f>
        <v>Dokumen</v>
      </c>
      <c r="K668" s="66">
        <f t="array" ref="K668">INDEX(Honor!$I$2:$I800,MATCH($I668,Honor!$A$2:$A800,0))</f>
        <v>55000</v>
      </c>
      <c r="L668" s="64">
        <v>2</v>
      </c>
      <c r="M668" s="10">
        <f t="shared" si="0"/>
        <v>110000</v>
      </c>
      <c r="O668" s="67">
        <f t="array" ref="O668">INDEX(Honor!$L$2:$L800,MATCH($I668,Honor!$A$2:$A800,0))</f>
        <v>45585</v>
      </c>
      <c r="P668" s="10">
        <f t="shared" si="1"/>
        <v>2024</v>
      </c>
      <c r="Q668" s="10">
        <f t="shared" si="2"/>
        <v>10</v>
      </c>
      <c r="R668" s="10" t="str">
        <f t="array" ref="R668">INDEX(Honor!$Q$2:$Q800,MATCH($I668,Honor!$A$2:$A800,0))</f>
        <v>SURVEI-PPL</v>
      </c>
      <c r="S668" s="10" t="str">
        <f t="shared" si="3"/>
        <v>610422100244-2024-10</v>
      </c>
      <c r="T668" s="10" t="str">
        <f t="shared" si="4"/>
        <v>610422100244-2024-10-SURVEI-PPL</v>
      </c>
      <c r="U668" s="64">
        <v>0</v>
      </c>
      <c r="V668" s="10" t="e">
        <f t="array" aca="1" ref="V668" ca="1">INDEX(Honor!$O$2:$O800,MATCH($I668,Honor!$A$2:$A800,0))</f>
        <v>#NAME?</v>
      </c>
      <c r="W668" s="67"/>
      <c r="X668" s="7" t="str">
        <f t="array" ref="X668">INDEX('Input Kegiatan'!$B$2:$B800,MATCH(B668,'Input Kegiatan'!$A$2:$A800,0))</f>
        <v>Survei Harga Perdesaan (SHPED24) Oktober</v>
      </c>
      <c r="Y668" s="7" t="s">
        <v>5741</v>
      </c>
      <c r="Z668" s="7" t="s">
        <v>5796</v>
      </c>
      <c r="AA668" s="68">
        <f t="shared" si="5"/>
        <v>45565</v>
      </c>
      <c r="AB668" s="68">
        <f t="shared" si="6"/>
        <v>45566</v>
      </c>
      <c r="AC668" s="68">
        <f t="shared" si="7"/>
        <v>45596</v>
      </c>
      <c r="AD668" s="68">
        <f t="shared" si="8"/>
        <v>45595</v>
      </c>
      <c r="AE668" s="68">
        <f t="shared" si="9"/>
        <v>45596</v>
      </c>
    </row>
    <row r="669" spans="1:31" ht="12.5">
      <c r="A669" s="125">
        <v>610422020016</v>
      </c>
      <c r="B669" s="65" t="s">
        <v>281</v>
      </c>
      <c r="D669" s="10">
        <f t="array" aca="1" ref="D669" ca="1">INDEX('Mitra per Bulan'!$M$2:$M800,MATCH(S669,'Mitra per Bulan'!$B$2:$B800,0))</f>
        <v>1</v>
      </c>
      <c r="E669" s="10" t="str">
        <f t="array" ref="E669">INDEX('Database Mitra'!$A$2:$A800,MATCH(A669,'Database Mitra'!$B$2:$B800,0))</f>
        <v>Abdul Aziz</v>
      </c>
      <c r="F669" s="64" t="s">
        <v>25</v>
      </c>
      <c r="G669" s="5" t="str">
        <f t="array" ref="G669">INDEX('Database Mitra'!$G$2:$G800,MATCH(A669,'Database Mitra'!$B$2:$B800,0))</f>
        <v>6102061507950006</v>
      </c>
      <c r="H669" s="64" t="s">
        <v>74</v>
      </c>
      <c r="I669" s="65" t="s">
        <v>283</v>
      </c>
      <c r="J669" s="10" t="str">
        <f t="array" ref="J669">INDEX(Honor!$H$2:$H800,MATCH($I669,Honor!$A$2:$A800,0))</f>
        <v>Dokumen</v>
      </c>
      <c r="K669" s="66">
        <f t="array" ref="K669">INDEX(Honor!$I$2:$I800,MATCH($I669,Honor!$A$2:$A800,0))</f>
        <v>55000</v>
      </c>
      <c r="L669" s="64">
        <v>3</v>
      </c>
      <c r="M669" s="10">
        <f t="shared" si="0"/>
        <v>165000</v>
      </c>
      <c r="O669" s="67">
        <f t="array" ref="O669">INDEX(Honor!$L$2:$L800,MATCH($I669,Honor!$A$2:$A800,0))</f>
        <v>45585</v>
      </c>
      <c r="P669" s="10">
        <f t="shared" si="1"/>
        <v>2024</v>
      </c>
      <c r="Q669" s="10">
        <f t="shared" si="2"/>
        <v>10</v>
      </c>
      <c r="R669" s="10" t="str">
        <f t="array" ref="R669">INDEX(Honor!$Q$2:$Q800,MATCH($I669,Honor!$A$2:$A800,0))</f>
        <v>SURVEI-PPL</v>
      </c>
      <c r="S669" s="10" t="str">
        <f t="shared" si="3"/>
        <v>610422020016-2024-10</v>
      </c>
      <c r="T669" s="10" t="str">
        <f t="shared" si="4"/>
        <v>610422020016-2024-10-SURVEI-PPL</v>
      </c>
      <c r="U669" s="64">
        <v>0</v>
      </c>
      <c r="V669" s="10" t="e">
        <f t="array" aca="1" ref="V669" ca="1">INDEX(Honor!$O$2:$O800,MATCH($I669,Honor!$A$2:$A800,0))</f>
        <v>#NAME?</v>
      </c>
      <c r="W669" s="67"/>
      <c r="X669" s="7" t="str">
        <f t="array" ref="X669">INDEX('Input Kegiatan'!$B$2:$B800,MATCH(B669,'Input Kegiatan'!$A$2:$A800,0))</f>
        <v>Survei Harga Perdesaan (SHPED24) Oktober</v>
      </c>
      <c r="Y669" s="7" t="s">
        <v>5534</v>
      </c>
      <c r="Z669" s="7" t="s">
        <v>5535</v>
      </c>
      <c r="AA669" s="68">
        <f t="shared" si="5"/>
        <v>45565</v>
      </c>
      <c r="AB669" s="68">
        <f t="shared" si="6"/>
        <v>45566</v>
      </c>
      <c r="AC669" s="68">
        <f t="shared" si="7"/>
        <v>45596</v>
      </c>
      <c r="AD669" s="68">
        <f t="shared" si="8"/>
        <v>45595</v>
      </c>
      <c r="AE669" s="68">
        <f t="shared" si="9"/>
        <v>45596</v>
      </c>
    </row>
    <row r="670" spans="1:31" ht="12.5">
      <c r="A670" s="125">
        <v>610422100016</v>
      </c>
      <c r="B670" s="65" t="s">
        <v>281</v>
      </c>
      <c r="D670" s="10">
        <f t="array" aca="1" ref="D670" ca="1">INDEX('Mitra per Bulan'!$M$2:$M800,MATCH(S670,'Mitra per Bulan'!$B$2:$B800,0))</f>
        <v>1</v>
      </c>
      <c r="E670" s="10" t="str">
        <f t="array" ref="E670">INDEX('Database Mitra'!$A$2:$A800,MATCH(A670,'Database Mitra'!$B$2:$B800,0))</f>
        <v>Amalia Faisya</v>
      </c>
      <c r="F670" s="64" t="s">
        <v>25</v>
      </c>
      <c r="G670" s="5" t="str">
        <f t="array" ref="G670">INDEX('Database Mitra'!$G$2:$G800,MATCH(A670,'Database Mitra'!$B$2:$B800,0))</f>
        <v>6102124210010005</v>
      </c>
      <c r="H670" s="64" t="s">
        <v>74</v>
      </c>
      <c r="I670" s="65" t="s">
        <v>283</v>
      </c>
      <c r="J670" s="10" t="str">
        <f t="array" ref="J670">INDEX(Honor!$H$2:$H800,MATCH($I670,Honor!$A$2:$A800,0))</f>
        <v>Dokumen</v>
      </c>
      <c r="K670" s="66">
        <f t="array" ref="K670">INDEX(Honor!$I$2:$I800,MATCH($I670,Honor!$A$2:$A800,0))</f>
        <v>55000</v>
      </c>
      <c r="L670" s="64">
        <v>1</v>
      </c>
      <c r="M670" s="10">
        <f t="shared" si="0"/>
        <v>55000</v>
      </c>
      <c r="O670" s="67">
        <f t="array" ref="O670">INDEX(Honor!$L$2:$L800,MATCH($I670,Honor!$A$2:$A800,0))</f>
        <v>45585</v>
      </c>
      <c r="P670" s="10">
        <f t="shared" si="1"/>
        <v>2024</v>
      </c>
      <c r="Q670" s="10">
        <f t="shared" si="2"/>
        <v>10</v>
      </c>
      <c r="R670" s="10" t="str">
        <f t="array" ref="R670">INDEX(Honor!$Q$2:$Q800,MATCH($I670,Honor!$A$2:$A800,0))</f>
        <v>SURVEI-PPL</v>
      </c>
      <c r="S670" s="10" t="str">
        <f t="shared" si="3"/>
        <v>610422100016-2024-10</v>
      </c>
      <c r="T670" s="10" t="str">
        <f t="shared" si="4"/>
        <v>610422100016-2024-10-SURVEI-PPL</v>
      </c>
      <c r="U670" s="64">
        <v>0</v>
      </c>
      <c r="V670" s="10" t="e">
        <f t="array" aca="1" ref="V670" ca="1">INDEX(Honor!$O$2:$O800,MATCH($I670,Honor!$A$2:$A800,0))</f>
        <v>#NAME?</v>
      </c>
      <c r="W670" s="67"/>
      <c r="X670" s="7" t="str">
        <f t="array" ref="X670">INDEX('Input Kegiatan'!$B$2:$B800,MATCH(B670,'Input Kegiatan'!$A$2:$A800,0))</f>
        <v>Survei Harga Perdesaan (SHPED24) Oktober</v>
      </c>
      <c r="Y670" s="7" t="s">
        <v>5250</v>
      </c>
      <c r="Z670" s="7" t="s">
        <v>5365</v>
      </c>
      <c r="AA670" s="68">
        <f t="shared" si="5"/>
        <v>45565</v>
      </c>
      <c r="AB670" s="68">
        <f t="shared" si="6"/>
        <v>45566</v>
      </c>
      <c r="AC670" s="68">
        <f t="shared" si="7"/>
        <v>45596</v>
      </c>
      <c r="AD670" s="68">
        <f t="shared" si="8"/>
        <v>45595</v>
      </c>
      <c r="AE670" s="68">
        <f t="shared" si="9"/>
        <v>45596</v>
      </c>
    </row>
    <row r="671" spans="1:31" ht="12.5">
      <c r="A671" s="125">
        <v>610422020048</v>
      </c>
      <c r="B671" s="65" t="s">
        <v>281</v>
      </c>
      <c r="D671" s="10">
        <f t="array" aca="1" ref="D671" ca="1">INDEX('Mitra per Bulan'!$M$2:$M800,MATCH(S671,'Mitra per Bulan'!$B$2:$B800,0))</f>
        <v>1</v>
      </c>
      <c r="E671" s="10" t="str">
        <f t="array" ref="E671">INDEX('Database Mitra'!$A$2:$A800,MATCH(A671,'Database Mitra'!$B$2:$B800,0))</f>
        <v>Herri Gustaman</v>
      </c>
      <c r="F671" s="64" t="s">
        <v>25</v>
      </c>
      <c r="G671" s="5" t="str">
        <f t="array" ref="G671">INDEX('Database Mitra'!$G$2:$G800,MATCH(A671,'Database Mitra'!$B$2:$B800,0))</f>
        <v>6102072503800001</v>
      </c>
      <c r="H671" s="64" t="s">
        <v>74</v>
      </c>
      <c r="I671" s="65" t="s">
        <v>283</v>
      </c>
      <c r="J671" s="10" t="str">
        <f t="array" ref="J671">INDEX(Honor!$H$2:$H800,MATCH($I671,Honor!$A$2:$A800,0))</f>
        <v>Dokumen</v>
      </c>
      <c r="K671" s="66">
        <f t="array" ref="K671">INDEX(Honor!$I$2:$I800,MATCH($I671,Honor!$A$2:$A800,0))</f>
        <v>55000</v>
      </c>
      <c r="L671" s="64">
        <v>3</v>
      </c>
      <c r="M671" s="10">
        <f t="shared" si="0"/>
        <v>165000</v>
      </c>
      <c r="O671" s="67">
        <f t="array" ref="O671">INDEX(Honor!$L$2:$L800,MATCH($I671,Honor!$A$2:$A800,0))</f>
        <v>45585</v>
      </c>
      <c r="P671" s="10">
        <f t="shared" si="1"/>
        <v>2024</v>
      </c>
      <c r="Q671" s="10">
        <f t="shared" si="2"/>
        <v>10</v>
      </c>
      <c r="R671" s="10" t="str">
        <f t="array" ref="R671">INDEX(Honor!$Q$2:$Q800,MATCH($I671,Honor!$A$2:$A800,0))</f>
        <v>SURVEI-PPL</v>
      </c>
      <c r="S671" s="10" t="str">
        <f t="shared" si="3"/>
        <v>610422020048-2024-10</v>
      </c>
      <c r="T671" s="10" t="str">
        <f t="shared" si="4"/>
        <v>610422020048-2024-10-SURVEI-PPL</v>
      </c>
      <c r="U671" s="64">
        <v>0</v>
      </c>
      <c r="V671" s="10" t="e">
        <f t="array" aca="1" ref="V671" ca="1">INDEX(Honor!$O$2:$O800,MATCH($I671,Honor!$A$2:$A800,0))</f>
        <v>#NAME?</v>
      </c>
      <c r="W671" s="67"/>
      <c r="X671" s="7" t="str">
        <f t="array" ref="X671">INDEX('Input Kegiatan'!$B$2:$B800,MATCH(B671,'Input Kegiatan'!$A$2:$A800,0))</f>
        <v>Survei Harga Perdesaan (SHPED24) Oktober</v>
      </c>
      <c r="Y671" s="7" t="s">
        <v>4931</v>
      </c>
      <c r="Z671" s="7" t="s">
        <v>5171</v>
      </c>
      <c r="AA671" s="68">
        <f t="shared" si="5"/>
        <v>45565</v>
      </c>
      <c r="AB671" s="68">
        <f t="shared" si="6"/>
        <v>45566</v>
      </c>
      <c r="AC671" s="68">
        <f t="shared" si="7"/>
        <v>45596</v>
      </c>
      <c r="AD671" s="68">
        <f t="shared" si="8"/>
        <v>45595</v>
      </c>
      <c r="AE671" s="68">
        <f t="shared" si="9"/>
        <v>45596</v>
      </c>
    </row>
    <row r="672" spans="1:31" ht="12.5">
      <c r="A672" s="125">
        <v>610422040029</v>
      </c>
      <c r="B672" s="65" t="s">
        <v>281</v>
      </c>
      <c r="D672" s="10">
        <f t="array" aca="1" ref="D672" ca="1">INDEX('Mitra per Bulan'!$M$2:$M800,MATCH(S672,'Mitra per Bulan'!$B$2:$B800,0))</f>
        <v>1</v>
      </c>
      <c r="E672" s="10" t="str">
        <f t="array" ref="E672">INDEX('Database Mitra'!$A$2:$A800,MATCH(A672,'Database Mitra'!$B$2:$B800,0))</f>
        <v>Zaini</v>
      </c>
      <c r="F672" s="64" t="s">
        <v>25</v>
      </c>
      <c r="G672" s="5" t="str">
        <f t="array" ref="G672">INDEX('Database Mitra'!$G$2:$G800,MATCH(A672,'Database Mitra'!$B$2:$B800,0))</f>
        <v>6102010607870002</v>
      </c>
      <c r="H672" s="64" t="s">
        <v>74</v>
      </c>
      <c r="I672" s="65" t="s">
        <v>283</v>
      </c>
      <c r="J672" s="10" t="str">
        <f t="array" ref="J672">INDEX(Honor!$H$2:$H800,MATCH($I672,Honor!$A$2:$A800,0))</f>
        <v>Dokumen</v>
      </c>
      <c r="K672" s="66">
        <f t="array" ref="K672">INDEX(Honor!$I$2:$I800,MATCH($I672,Honor!$A$2:$A800,0))</f>
        <v>55000</v>
      </c>
      <c r="L672" s="64">
        <v>4</v>
      </c>
      <c r="M672" s="10">
        <f t="shared" si="0"/>
        <v>220000</v>
      </c>
      <c r="O672" s="67">
        <f t="array" ref="O672">INDEX(Honor!$L$2:$L800,MATCH($I672,Honor!$A$2:$A800,0))</f>
        <v>45585</v>
      </c>
      <c r="P672" s="10">
        <f t="shared" si="1"/>
        <v>2024</v>
      </c>
      <c r="Q672" s="10">
        <f t="shared" si="2"/>
        <v>10</v>
      </c>
      <c r="R672" s="10" t="str">
        <f t="array" ref="R672">INDEX(Honor!$Q$2:$Q800,MATCH($I672,Honor!$A$2:$A800,0))</f>
        <v>SURVEI-PPL</v>
      </c>
      <c r="S672" s="10" t="str">
        <f t="shared" si="3"/>
        <v>610422040029-2024-10</v>
      </c>
      <c r="T672" s="10" t="str">
        <f t="shared" si="4"/>
        <v>610422040029-2024-10-SURVEI-PPL</v>
      </c>
      <c r="U672" s="64">
        <v>0</v>
      </c>
      <c r="V672" s="10" t="e">
        <f t="array" aca="1" ref="V672" ca="1">INDEX(Honor!$O$2:$O800,MATCH($I672,Honor!$A$2:$A800,0))</f>
        <v>#NAME?</v>
      </c>
      <c r="W672" s="67"/>
      <c r="X672" s="7" t="str">
        <f t="array" ref="X672">INDEX('Input Kegiatan'!$B$2:$B800,MATCH(B672,'Input Kegiatan'!$A$2:$A800,0))</f>
        <v>Survei Harga Perdesaan (SHPED24) Oktober</v>
      </c>
      <c r="Y672" s="7" t="s">
        <v>4572</v>
      </c>
      <c r="Z672" s="7" t="s">
        <v>4619</v>
      </c>
      <c r="AA672" s="68">
        <f t="shared" si="5"/>
        <v>45565</v>
      </c>
      <c r="AB672" s="68">
        <f t="shared" si="6"/>
        <v>45566</v>
      </c>
      <c r="AC672" s="68">
        <f t="shared" si="7"/>
        <v>45596</v>
      </c>
      <c r="AD672" s="68">
        <f t="shared" si="8"/>
        <v>45595</v>
      </c>
      <c r="AE672" s="68">
        <f t="shared" si="9"/>
        <v>45596</v>
      </c>
    </row>
    <row r="673" spans="1:31" ht="12.5">
      <c r="A673" s="125">
        <v>610422050001</v>
      </c>
      <c r="B673" s="65" t="s">
        <v>281</v>
      </c>
      <c r="D673" s="10">
        <f t="array" aca="1" ref="D673" ca="1">INDEX('Mitra per Bulan'!$M$2:$M800,MATCH(S673,'Mitra per Bulan'!$B$2:$B800,0))</f>
        <v>1</v>
      </c>
      <c r="E673" s="10" t="str">
        <f t="array" ref="E673">INDEX('Database Mitra'!$A$2:$A800,MATCH(A673,'Database Mitra'!$B$2:$B800,0))</f>
        <v>Evi Juniarty</v>
      </c>
      <c r="F673" s="64" t="s">
        <v>25</v>
      </c>
      <c r="G673" s="5" t="str">
        <f t="array" ref="G673">INDEX('Database Mitra'!$G$2:$G800,MATCH(A673,'Database Mitra'!$B$2:$B800,0))</f>
        <v>6102165101840001</v>
      </c>
      <c r="H673" s="64" t="s">
        <v>74</v>
      </c>
      <c r="I673" s="65" t="s">
        <v>283</v>
      </c>
      <c r="J673" s="10" t="str">
        <f t="array" ref="J673">INDEX(Honor!$H$2:$H800,MATCH($I673,Honor!$A$2:$A800,0))</f>
        <v>Dokumen</v>
      </c>
      <c r="K673" s="66">
        <f t="array" ref="K673">INDEX(Honor!$I$2:$I800,MATCH($I673,Honor!$A$2:$A800,0))</f>
        <v>55000</v>
      </c>
      <c r="L673" s="64">
        <v>1</v>
      </c>
      <c r="M673" s="10">
        <f t="shared" si="0"/>
        <v>55000</v>
      </c>
      <c r="O673" s="67">
        <f t="array" ref="O673">INDEX(Honor!$L$2:$L800,MATCH($I673,Honor!$A$2:$A800,0))</f>
        <v>45585</v>
      </c>
      <c r="P673" s="10">
        <f t="shared" si="1"/>
        <v>2024</v>
      </c>
      <c r="Q673" s="10">
        <f t="shared" si="2"/>
        <v>10</v>
      </c>
      <c r="R673" s="10" t="str">
        <f t="array" ref="R673">INDEX(Honor!$Q$2:$Q800,MATCH($I673,Honor!$A$2:$A800,0))</f>
        <v>SURVEI-PPL</v>
      </c>
      <c r="S673" s="10" t="str">
        <f t="shared" si="3"/>
        <v>610422050001-2024-10</v>
      </c>
      <c r="T673" s="10" t="str">
        <f t="shared" si="4"/>
        <v>610422050001-2024-10-SURVEI-PPL</v>
      </c>
      <c r="U673" s="64">
        <v>0</v>
      </c>
      <c r="V673" s="10" t="e">
        <f t="array" aca="1" ref="V673" ca="1">INDEX(Honor!$O$2:$O800,MATCH($I673,Honor!$A$2:$A800,0))</f>
        <v>#NAME?</v>
      </c>
      <c r="W673" s="67"/>
      <c r="X673" s="7" t="str">
        <f t="array" ref="X673">INDEX('Input Kegiatan'!$B$2:$B800,MATCH(B673,'Input Kegiatan'!$A$2:$A800,0))</f>
        <v>Survei Harga Perdesaan (SHPED24) Oktober</v>
      </c>
      <c r="Y673" s="7" t="s">
        <v>4408</v>
      </c>
      <c r="Z673" s="7" t="s">
        <v>4409</v>
      </c>
      <c r="AA673" s="68">
        <f t="shared" si="5"/>
        <v>45565</v>
      </c>
      <c r="AB673" s="68">
        <f t="shared" si="6"/>
        <v>45566</v>
      </c>
      <c r="AC673" s="68">
        <f t="shared" si="7"/>
        <v>45596</v>
      </c>
      <c r="AD673" s="68">
        <f t="shared" si="8"/>
        <v>45595</v>
      </c>
      <c r="AE673" s="68">
        <f t="shared" si="9"/>
        <v>45596</v>
      </c>
    </row>
    <row r="674" spans="1:31" ht="12.5">
      <c r="A674" s="125">
        <v>610422100124</v>
      </c>
      <c r="B674" s="65" t="s">
        <v>284</v>
      </c>
      <c r="D674" s="10">
        <f t="array" aca="1" ref="D674" ca="1">INDEX('Mitra per Bulan'!$M$2:$M800,MATCH(S674,'Mitra per Bulan'!$B$2:$B800,0))</f>
        <v>1</v>
      </c>
      <c r="E674" s="10" t="str">
        <f t="array" ref="E674">INDEX('Database Mitra'!$A$2:$A800,MATCH(A674,'Database Mitra'!$B$2:$B800,0))</f>
        <v>Prabowo</v>
      </c>
      <c r="F674" s="64" t="s">
        <v>25</v>
      </c>
      <c r="G674" s="5" t="str">
        <f t="array" ref="G674">INDEX('Database Mitra'!$G$2:$G800,MATCH(A674,'Database Mitra'!$B$2:$B800,0))</f>
        <v>6171010108790015</v>
      </c>
      <c r="H674" s="64" t="s">
        <v>67</v>
      </c>
      <c r="I674" s="65" t="s">
        <v>285</v>
      </c>
      <c r="J674" s="10" t="str">
        <f t="array" ref="J674">INDEX(Honor!$H$2:$H800,MATCH($I674,Honor!$A$2:$A800,0))</f>
        <v>Dokumen</v>
      </c>
      <c r="K674" s="66">
        <f t="array" ref="K674">INDEX(Honor!$I$2:$I800,MATCH($I674,Honor!$A$2:$A800,0))</f>
        <v>55000</v>
      </c>
      <c r="L674" s="64">
        <v>2</v>
      </c>
      <c r="M674" s="10">
        <f t="shared" si="0"/>
        <v>110000</v>
      </c>
      <c r="O674" s="67">
        <f t="array" ref="O674">INDEX(Honor!$L$2:$L800,MATCH($I674,Honor!$A$2:$A800,0))</f>
        <v>45585</v>
      </c>
      <c r="P674" s="10">
        <f t="shared" si="1"/>
        <v>2024</v>
      </c>
      <c r="Q674" s="10">
        <f t="shared" si="2"/>
        <v>10</v>
      </c>
      <c r="R674" s="10" t="str">
        <f t="array" ref="R674">INDEX(Honor!$Q$2:$Q800,MATCH($I674,Honor!$A$2:$A800,0))</f>
        <v>SURVEI-PPL</v>
      </c>
      <c r="S674" s="10" t="str">
        <f t="shared" si="3"/>
        <v>610422100124-2024-10</v>
      </c>
      <c r="T674" s="10" t="str">
        <f t="shared" si="4"/>
        <v>610422100124-2024-10-SURVEI-PPL</v>
      </c>
      <c r="U674" s="64">
        <v>0</v>
      </c>
      <c r="V674" s="10" t="e">
        <f t="array" aca="1" ref="V674" ca="1">INDEX(Honor!$O$2:$O800,MATCH($I674,Honor!$A$2:$A800,0))</f>
        <v>#NAME?</v>
      </c>
      <c r="W674" s="67"/>
      <c r="X674" s="7" t="str">
        <f t="array" ref="X674">INDEX('Input Kegiatan'!$B$2:$B800,MATCH(B674,'Input Kegiatan'!$A$2:$A800,0))</f>
        <v>Survei Harga Produsen Beras di Penggilingan 2024 (HPBG24) Oktober</v>
      </c>
      <c r="Y674" s="7" t="s">
        <v>1921</v>
      </c>
      <c r="Z674" s="7" t="s">
        <v>2140</v>
      </c>
      <c r="AA674" s="68">
        <f t="shared" si="5"/>
        <v>45565</v>
      </c>
      <c r="AB674" s="68">
        <f t="shared" si="6"/>
        <v>45566</v>
      </c>
      <c r="AC674" s="68">
        <f t="shared" si="7"/>
        <v>45596</v>
      </c>
      <c r="AD674" s="68">
        <f t="shared" si="8"/>
        <v>45595</v>
      </c>
      <c r="AE674" s="68">
        <f t="shared" si="9"/>
        <v>45596</v>
      </c>
    </row>
    <row r="675" spans="1:31" ht="12.5">
      <c r="A675" s="125">
        <v>610422100244</v>
      </c>
      <c r="B675" s="65" t="s">
        <v>284</v>
      </c>
      <c r="D675" s="10">
        <f t="array" aca="1" ref="D675" ca="1">INDEX('Mitra per Bulan'!$M$2:$M800,MATCH(S675,'Mitra per Bulan'!$B$2:$B800,0))</f>
        <v>1</v>
      </c>
      <c r="E675" s="10" t="str">
        <f t="array" ref="E675">INDEX('Database Mitra'!$A$2:$A800,MATCH(A675,'Database Mitra'!$B$2:$B800,0))</f>
        <v>Sugianto</v>
      </c>
      <c r="F675" s="64" t="s">
        <v>25</v>
      </c>
      <c r="G675" s="5" t="str">
        <f t="array" ref="G675">INDEX('Database Mitra'!$G$2:$G800,MATCH(A675,'Database Mitra'!$B$2:$B800,0))</f>
        <v>6102171003900002</v>
      </c>
      <c r="H675" s="64" t="s">
        <v>67</v>
      </c>
      <c r="I675" s="65" t="s">
        <v>285</v>
      </c>
      <c r="J675" s="10" t="str">
        <f t="array" ref="J675">INDEX(Honor!$H$2:$H800,MATCH($I675,Honor!$A$2:$A800,0))</f>
        <v>Dokumen</v>
      </c>
      <c r="K675" s="66">
        <f t="array" ref="K675">INDEX(Honor!$I$2:$I800,MATCH($I675,Honor!$A$2:$A800,0))</f>
        <v>55000</v>
      </c>
      <c r="L675" s="64">
        <v>2</v>
      </c>
      <c r="M675" s="10">
        <f t="shared" si="0"/>
        <v>110000</v>
      </c>
      <c r="O675" s="67">
        <f t="array" ref="O675">INDEX(Honor!$L$2:$L800,MATCH($I675,Honor!$A$2:$A800,0))</f>
        <v>45585</v>
      </c>
      <c r="P675" s="10">
        <f t="shared" si="1"/>
        <v>2024</v>
      </c>
      <c r="Q675" s="10">
        <f t="shared" si="2"/>
        <v>10</v>
      </c>
      <c r="R675" s="10" t="str">
        <f t="array" ref="R675">INDEX(Honor!$Q$2:$Q800,MATCH($I675,Honor!$A$2:$A800,0))</f>
        <v>SURVEI-PPL</v>
      </c>
      <c r="S675" s="10" t="str">
        <f t="shared" si="3"/>
        <v>610422100244-2024-10</v>
      </c>
      <c r="T675" s="10" t="str">
        <f t="shared" si="4"/>
        <v>610422100244-2024-10-SURVEI-PPL</v>
      </c>
      <c r="U675" s="64">
        <v>0</v>
      </c>
      <c r="V675" s="10" t="e">
        <f t="array" aca="1" ref="V675" ca="1">INDEX(Honor!$O$2:$O800,MATCH($I675,Honor!$A$2:$A800,0))</f>
        <v>#NAME?</v>
      </c>
      <c r="W675" s="67"/>
      <c r="X675" s="7" t="str">
        <f t="array" ref="X675">INDEX('Input Kegiatan'!$B$2:$B800,MATCH(B675,'Input Kegiatan'!$A$2:$A800,0))</f>
        <v>Survei Harga Produsen Beras di Penggilingan 2024 (HPBG24) Oktober</v>
      </c>
      <c r="Y675" s="7" t="s">
        <v>5741</v>
      </c>
      <c r="Z675" s="7" t="s">
        <v>5796</v>
      </c>
      <c r="AA675" s="68">
        <f t="shared" si="5"/>
        <v>45565</v>
      </c>
      <c r="AB675" s="68">
        <f t="shared" si="6"/>
        <v>45566</v>
      </c>
      <c r="AC675" s="68">
        <f t="shared" si="7"/>
        <v>45596</v>
      </c>
      <c r="AD675" s="68">
        <f t="shared" si="8"/>
        <v>45595</v>
      </c>
      <c r="AE675" s="68">
        <f t="shared" si="9"/>
        <v>45596</v>
      </c>
    </row>
    <row r="676" spans="1:31" ht="12.5">
      <c r="A676" s="125">
        <v>610422100165</v>
      </c>
      <c r="B676" s="65" t="s">
        <v>284</v>
      </c>
      <c r="D676" s="10">
        <f t="array" aca="1" ref="D676" ca="1">INDEX('Mitra per Bulan'!$M$2:$M800,MATCH(S676,'Mitra per Bulan'!$B$2:$B800,0))</f>
        <v>1</v>
      </c>
      <c r="E676" s="10" t="str">
        <f t="array" ref="E676">INDEX('Database Mitra'!$A$2:$A800,MATCH(A676,'Database Mitra'!$B$2:$B800,0))</f>
        <v>Yanti</v>
      </c>
      <c r="F676" s="64" t="s">
        <v>25</v>
      </c>
      <c r="G676" s="5" t="str">
        <f t="array" ref="G676">INDEX('Database Mitra'!$G$2:$G800,MATCH(A676,'Database Mitra'!$B$2:$B800,0))</f>
        <v>6102074803980002</v>
      </c>
      <c r="H676" s="64" t="s">
        <v>67</v>
      </c>
      <c r="I676" s="65" t="s">
        <v>285</v>
      </c>
      <c r="J676" s="10" t="str">
        <f t="array" ref="J676">INDEX(Honor!$H$2:$H800,MATCH($I676,Honor!$A$2:$A800,0))</f>
        <v>Dokumen</v>
      </c>
      <c r="K676" s="66">
        <f t="array" ref="K676">INDEX(Honor!$I$2:$I800,MATCH($I676,Honor!$A$2:$A800,0))</f>
        <v>55000</v>
      </c>
      <c r="L676" s="64">
        <v>2</v>
      </c>
      <c r="M676" s="10">
        <f t="shared" si="0"/>
        <v>110000</v>
      </c>
      <c r="O676" s="67">
        <f t="array" ref="O676">INDEX(Honor!$L$2:$L800,MATCH($I676,Honor!$A$2:$A800,0))</f>
        <v>45585</v>
      </c>
      <c r="P676" s="10">
        <f t="shared" si="1"/>
        <v>2024</v>
      </c>
      <c r="Q676" s="10">
        <f t="shared" si="2"/>
        <v>10</v>
      </c>
      <c r="R676" s="10" t="str">
        <f t="array" ref="R676">INDEX(Honor!$Q$2:$Q800,MATCH($I676,Honor!$A$2:$A800,0))</f>
        <v>SURVEI-PPL</v>
      </c>
      <c r="S676" s="10" t="str">
        <f t="shared" si="3"/>
        <v>610422100165-2024-10</v>
      </c>
      <c r="T676" s="10" t="str">
        <f t="shared" si="4"/>
        <v>610422100165-2024-10-SURVEI-PPL</v>
      </c>
      <c r="U676" s="64">
        <v>0</v>
      </c>
      <c r="V676" s="10" t="e">
        <f t="array" aca="1" ref="V676" ca="1">INDEX(Honor!$O$2:$O800,MATCH($I676,Honor!$A$2:$A800,0))</f>
        <v>#NAME?</v>
      </c>
      <c r="W676" s="67"/>
      <c r="X676" s="7" t="str">
        <f t="array" ref="X676">INDEX('Input Kegiatan'!$B$2:$B800,MATCH(B676,'Input Kegiatan'!$A$2:$A800,0))</f>
        <v>Survei Harga Produsen Beras di Penggilingan 2024 (HPBG24) Oktober</v>
      </c>
      <c r="Y676" s="7" t="s">
        <v>3990</v>
      </c>
      <c r="Z676" s="7" t="s">
        <v>4332</v>
      </c>
      <c r="AA676" s="68">
        <f t="shared" si="5"/>
        <v>45565</v>
      </c>
      <c r="AB676" s="68">
        <f t="shared" si="6"/>
        <v>45566</v>
      </c>
      <c r="AC676" s="68">
        <f t="shared" si="7"/>
        <v>45596</v>
      </c>
      <c r="AD676" s="68">
        <f t="shared" si="8"/>
        <v>45595</v>
      </c>
      <c r="AE676" s="68">
        <f t="shared" si="9"/>
        <v>45596</v>
      </c>
    </row>
    <row r="677" spans="1:31" ht="12.5">
      <c r="A677" s="125">
        <v>610422100165</v>
      </c>
      <c r="B677" s="65" t="s">
        <v>286</v>
      </c>
      <c r="D677" s="10">
        <f t="array" aca="1" ref="D677" ca="1">INDEX('Mitra per Bulan'!$M$2:$M800,MATCH(S677,'Mitra per Bulan'!$B$2:$B800,0))</f>
        <v>1</v>
      </c>
      <c r="E677" s="10" t="str">
        <f t="array" ref="E677">INDEX('Database Mitra'!$A$2:$A800,MATCH(A677,'Database Mitra'!$B$2:$B800,0))</f>
        <v>Yanti</v>
      </c>
      <c r="F677" s="64" t="s">
        <v>25</v>
      </c>
      <c r="G677" s="5" t="str">
        <f t="array" ref="G677">INDEX('Database Mitra'!$G$2:$G800,MATCH(A677,'Database Mitra'!$B$2:$B800,0))</f>
        <v>6102074803980002</v>
      </c>
      <c r="H677" s="64" t="s">
        <v>67</v>
      </c>
      <c r="I677" s="65" t="s">
        <v>287</v>
      </c>
      <c r="J677" s="10" t="str">
        <f t="array" ref="J677">INDEX(Honor!$H$2:$H800,MATCH($I677,Honor!$A$2:$A800,0))</f>
        <v>Dokumen</v>
      </c>
      <c r="K677" s="66">
        <f t="array" ref="K677">INDEX(Honor!$I$2:$I800,MATCH($I677,Honor!$A$2:$A800,0))</f>
        <v>50000</v>
      </c>
      <c r="L677" s="64">
        <v>1</v>
      </c>
      <c r="M677" s="10">
        <f t="shared" si="0"/>
        <v>50000</v>
      </c>
      <c r="O677" s="67">
        <f t="array" ref="O677">INDEX(Honor!$L$2:$L800,MATCH($I677,Honor!$A$2:$A800,0))</f>
        <v>45585</v>
      </c>
      <c r="P677" s="10">
        <f t="shared" si="1"/>
        <v>2024</v>
      </c>
      <c r="Q677" s="10">
        <f t="shared" si="2"/>
        <v>10</v>
      </c>
      <c r="R677" s="10" t="str">
        <f t="array" ref="R677">INDEX(Honor!$Q$2:$Q800,MATCH($I677,Honor!$A$2:$A800,0))</f>
        <v>SURVEI-PPL</v>
      </c>
      <c r="S677" s="10" t="str">
        <f t="shared" si="3"/>
        <v>610422100165-2024-10</v>
      </c>
      <c r="T677" s="10" t="str">
        <f t="shared" si="4"/>
        <v>610422100165-2024-10-SURVEI-PPL</v>
      </c>
      <c r="U677" s="64">
        <v>0</v>
      </c>
      <c r="V677" s="10" t="e">
        <f t="array" aca="1" ref="V677" ca="1">INDEX(Honor!$O$2:$O800,MATCH($I677,Honor!$A$2:$A800,0))</f>
        <v>#NAME?</v>
      </c>
      <c r="W677" s="67"/>
      <c r="X677" s="7" t="str">
        <f t="array" ref="X677">INDEX('Input Kegiatan'!$B$2:$B800,MATCH(B677,'Input Kegiatan'!$A$2:$A800,0))</f>
        <v>Survei Harga Produsen Jasa (HPJ24) Oktober</v>
      </c>
      <c r="Y677" s="7" t="s">
        <v>3990</v>
      </c>
      <c r="Z677" s="7" t="s">
        <v>4332</v>
      </c>
      <c r="AA677" s="68">
        <f t="shared" si="5"/>
        <v>45565</v>
      </c>
      <c r="AB677" s="68">
        <f t="shared" si="6"/>
        <v>45566</v>
      </c>
      <c r="AC677" s="68">
        <f t="shared" si="7"/>
        <v>45596</v>
      </c>
      <c r="AD677" s="68">
        <f t="shared" si="8"/>
        <v>45595</v>
      </c>
      <c r="AE677" s="68">
        <f t="shared" si="9"/>
        <v>45596</v>
      </c>
    </row>
    <row r="678" spans="1:31" ht="12.5">
      <c r="A678" s="125">
        <v>610422040029</v>
      </c>
      <c r="B678" s="69" t="s">
        <v>288</v>
      </c>
      <c r="D678" s="10">
        <f t="array" aca="1" ref="D678" ca="1">INDEX('Mitra per Bulan'!$M$2:$M800,MATCH(S678,'Mitra per Bulan'!$B$2:$B800,0))</f>
        <v>1</v>
      </c>
      <c r="E678" s="10" t="str">
        <f t="array" ref="E678">INDEX('Database Mitra'!$A$2:$A800,MATCH(A678,'Database Mitra'!$B$2:$B800,0))</f>
        <v>Zaini</v>
      </c>
      <c r="F678" s="64" t="s">
        <v>25</v>
      </c>
      <c r="G678" s="5" t="str">
        <f t="array" ref="G678">INDEX('Database Mitra'!$G$2:$G800,MATCH(A678,'Database Mitra'!$B$2:$B800,0))</f>
        <v>6102010607870002</v>
      </c>
      <c r="H678" s="64" t="s">
        <v>67</v>
      </c>
      <c r="I678" s="65" t="s">
        <v>289</v>
      </c>
      <c r="J678" s="10" t="str">
        <f t="array" ref="J678">INDEX(Honor!$H$2:$H800,MATCH($I678,Honor!$A$2:$A800,0))</f>
        <v>Dokumen</v>
      </c>
      <c r="K678" s="66">
        <f t="array" ref="K678">INDEX(Honor!$I$2:$I800,MATCH($I678,Honor!$A$2:$A800,0))</f>
        <v>55000</v>
      </c>
      <c r="L678" s="64">
        <v>3</v>
      </c>
      <c r="M678" s="10">
        <f t="shared" si="0"/>
        <v>165000</v>
      </c>
      <c r="O678" s="67">
        <f t="array" ref="O678">INDEX(Honor!$L$2:$L800,MATCH($I678,Honor!$A$2:$A800,0))</f>
        <v>45585</v>
      </c>
      <c r="P678" s="10">
        <f t="shared" si="1"/>
        <v>2024</v>
      </c>
      <c r="Q678" s="10">
        <f t="shared" si="2"/>
        <v>10</v>
      </c>
      <c r="R678" s="10" t="str">
        <f t="array" ref="R678">INDEX(Honor!$Q$2:$Q800,MATCH($I678,Honor!$A$2:$A800,0))</f>
        <v>SURVEI-PPL</v>
      </c>
      <c r="S678" s="10" t="str">
        <f t="shared" si="3"/>
        <v>610422040029-2024-10</v>
      </c>
      <c r="T678" s="10" t="str">
        <f t="shared" si="4"/>
        <v>610422040029-2024-10-SURVEI-PPL</v>
      </c>
      <c r="U678" s="64">
        <v>0</v>
      </c>
      <c r="V678" s="10" t="e">
        <f t="array" aca="1" ref="V678" ca="1">INDEX(Honor!$O$2:$O800,MATCH($I678,Honor!$A$2:$A800,0))</f>
        <v>#NAME?</v>
      </c>
      <c r="W678" s="67"/>
      <c r="X678" s="7" t="str">
        <f t="array" ref="X678">INDEX('Input Kegiatan'!$B$2:$B800,MATCH(B678,'Input Kegiatan'!$A$2:$A800,0))</f>
        <v>Survei Hotel dan Jasa Akomodasi Bulanan (VHTS) 2024 Oktober</v>
      </c>
      <c r="Y678" s="7" t="s">
        <v>4572</v>
      </c>
      <c r="Z678" s="7" t="s">
        <v>4619</v>
      </c>
      <c r="AA678" s="68">
        <f t="shared" si="5"/>
        <v>45565</v>
      </c>
      <c r="AB678" s="68">
        <f t="shared" si="6"/>
        <v>45566</v>
      </c>
      <c r="AC678" s="68">
        <f t="shared" si="7"/>
        <v>45596</v>
      </c>
      <c r="AD678" s="68">
        <f t="shared" si="8"/>
        <v>45595</v>
      </c>
      <c r="AE678" s="68">
        <f t="shared" si="9"/>
        <v>45596</v>
      </c>
    </row>
    <row r="679" spans="1:31" ht="12.5">
      <c r="A679" s="125">
        <v>610422100165</v>
      </c>
      <c r="B679" s="69" t="s">
        <v>288</v>
      </c>
      <c r="D679" s="10">
        <f t="array" aca="1" ref="D679" ca="1">INDEX('Mitra per Bulan'!$M$2:$M800,MATCH(S679,'Mitra per Bulan'!$B$2:$B800,0))</f>
        <v>1</v>
      </c>
      <c r="E679" s="10" t="str">
        <f t="array" ref="E679">INDEX('Database Mitra'!$A$2:$A800,MATCH(A679,'Database Mitra'!$B$2:$B800,0))</f>
        <v>Yanti</v>
      </c>
      <c r="F679" s="64" t="s">
        <v>25</v>
      </c>
      <c r="G679" s="5" t="str">
        <f t="array" ref="G679">INDEX('Database Mitra'!$G$2:$G800,MATCH(A679,'Database Mitra'!$B$2:$B800,0))</f>
        <v>6102074803980002</v>
      </c>
      <c r="H679" s="64" t="s">
        <v>67</v>
      </c>
      <c r="I679" s="65" t="s">
        <v>289</v>
      </c>
      <c r="J679" s="10" t="str">
        <f t="array" ref="J679">INDEX(Honor!$H$2:$H800,MATCH($I679,Honor!$A$2:$A800,0))</f>
        <v>Dokumen</v>
      </c>
      <c r="K679" s="66">
        <f t="array" ref="K679">INDEX(Honor!$I$2:$I800,MATCH($I679,Honor!$A$2:$A800,0))</f>
        <v>55000</v>
      </c>
      <c r="L679" s="64">
        <v>3</v>
      </c>
      <c r="M679" s="10">
        <f t="shared" si="0"/>
        <v>165000</v>
      </c>
      <c r="O679" s="67">
        <f t="array" ref="O679">INDEX(Honor!$L$2:$L800,MATCH($I679,Honor!$A$2:$A800,0))</f>
        <v>45585</v>
      </c>
      <c r="P679" s="10">
        <f t="shared" si="1"/>
        <v>2024</v>
      </c>
      <c r="Q679" s="10">
        <f t="shared" si="2"/>
        <v>10</v>
      </c>
      <c r="R679" s="10" t="str">
        <f t="array" ref="R679">INDEX(Honor!$Q$2:$Q800,MATCH($I679,Honor!$A$2:$A800,0))</f>
        <v>SURVEI-PPL</v>
      </c>
      <c r="S679" s="10" t="str">
        <f t="shared" si="3"/>
        <v>610422100165-2024-10</v>
      </c>
      <c r="T679" s="10" t="str">
        <f t="shared" si="4"/>
        <v>610422100165-2024-10-SURVEI-PPL</v>
      </c>
      <c r="U679" s="64">
        <v>0</v>
      </c>
      <c r="V679" s="10" t="e">
        <f t="array" aca="1" ref="V679" ca="1">INDEX(Honor!$O$2:$O800,MATCH($I679,Honor!$A$2:$A800,0))</f>
        <v>#NAME?</v>
      </c>
      <c r="W679" s="67"/>
      <c r="X679" s="7" t="str">
        <f t="array" ref="X679">INDEX('Input Kegiatan'!$B$2:$B800,MATCH(B679,'Input Kegiatan'!$A$2:$A800,0))</f>
        <v>Survei Hotel dan Jasa Akomodasi Bulanan (VHTS) 2024 Oktober</v>
      </c>
      <c r="Y679" s="7" t="s">
        <v>3990</v>
      </c>
      <c r="Z679" s="7" t="s">
        <v>4332</v>
      </c>
      <c r="AA679" s="68">
        <f t="shared" si="5"/>
        <v>45565</v>
      </c>
      <c r="AB679" s="68">
        <f t="shared" si="6"/>
        <v>45566</v>
      </c>
      <c r="AC679" s="68">
        <f t="shared" si="7"/>
        <v>45596</v>
      </c>
      <c r="AD679" s="68">
        <f t="shared" si="8"/>
        <v>45595</v>
      </c>
      <c r="AE679" s="68">
        <f t="shared" si="9"/>
        <v>45596</v>
      </c>
    </row>
    <row r="680" spans="1:31" ht="12.5">
      <c r="A680" s="125">
        <v>610422050001</v>
      </c>
      <c r="B680" s="69" t="s">
        <v>288</v>
      </c>
      <c r="D680" s="10">
        <f t="array" aca="1" ref="D680" ca="1">INDEX('Mitra per Bulan'!$M$2:$M800,MATCH(S680,'Mitra per Bulan'!$B$2:$B800,0))</f>
        <v>1</v>
      </c>
      <c r="E680" s="10" t="str">
        <f t="array" ref="E680">INDEX('Database Mitra'!$A$2:$A800,MATCH(A680,'Database Mitra'!$B$2:$B800,0))</f>
        <v>Evi Juniarty</v>
      </c>
      <c r="F680" s="64" t="s">
        <v>25</v>
      </c>
      <c r="G680" s="5" t="str">
        <f t="array" ref="G680">INDEX('Database Mitra'!$G$2:$G800,MATCH(A680,'Database Mitra'!$B$2:$B800,0))</f>
        <v>6102165101840001</v>
      </c>
      <c r="H680" s="64" t="s">
        <v>67</v>
      </c>
      <c r="I680" s="65" t="s">
        <v>289</v>
      </c>
      <c r="J680" s="10" t="str">
        <f t="array" ref="J680">INDEX(Honor!$H$2:$H800,MATCH($I680,Honor!$A$2:$A800,0))</f>
        <v>Dokumen</v>
      </c>
      <c r="K680" s="66">
        <f t="array" ref="K680">INDEX(Honor!$I$2:$I800,MATCH($I680,Honor!$A$2:$A800,0))</f>
        <v>55000</v>
      </c>
      <c r="L680" s="64">
        <v>3</v>
      </c>
      <c r="M680" s="10">
        <f t="shared" si="0"/>
        <v>165000</v>
      </c>
      <c r="O680" s="67">
        <f t="array" ref="O680">INDEX(Honor!$L$2:$L800,MATCH($I680,Honor!$A$2:$A800,0))</f>
        <v>45585</v>
      </c>
      <c r="P680" s="10">
        <f t="shared" si="1"/>
        <v>2024</v>
      </c>
      <c r="Q680" s="10">
        <f t="shared" si="2"/>
        <v>10</v>
      </c>
      <c r="R680" s="10" t="str">
        <f t="array" ref="R680">INDEX(Honor!$Q$2:$Q800,MATCH($I680,Honor!$A$2:$A800,0))</f>
        <v>SURVEI-PPL</v>
      </c>
      <c r="S680" s="10" t="str">
        <f t="shared" si="3"/>
        <v>610422050001-2024-10</v>
      </c>
      <c r="T680" s="10" t="str">
        <f t="shared" si="4"/>
        <v>610422050001-2024-10-SURVEI-PPL</v>
      </c>
      <c r="U680" s="64">
        <v>0</v>
      </c>
      <c r="V680" s="10" t="e">
        <f t="array" aca="1" ref="V680" ca="1">INDEX(Honor!$O$2:$O800,MATCH($I680,Honor!$A$2:$A800,0))</f>
        <v>#NAME?</v>
      </c>
      <c r="W680" s="67"/>
      <c r="X680" s="7" t="str">
        <f t="array" ref="X680">INDEX('Input Kegiatan'!$B$2:$B800,MATCH(B680,'Input Kegiatan'!$A$2:$A800,0))</f>
        <v>Survei Hotel dan Jasa Akomodasi Bulanan (VHTS) 2024 Oktober</v>
      </c>
      <c r="Y680" s="7" t="s">
        <v>4408</v>
      </c>
      <c r="Z680" s="7" t="s">
        <v>4409</v>
      </c>
      <c r="AA680" s="68">
        <f t="shared" si="5"/>
        <v>45565</v>
      </c>
      <c r="AB680" s="68">
        <f t="shared" si="6"/>
        <v>45566</v>
      </c>
      <c r="AC680" s="68">
        <f t="shared" si="7"/>
        <v>45596</v>
      </c>
      <c r="AD680" s="68">
        <f t="shared" si="8"/>
        <v>45595</v>
      </c>
      <c r="AE680" s="68">
        <f t="shared" si="9"/>
        <v>45596</v>
      </c>
    </row>
    <row r="681" spans="1:31" ht="12.5">
      <c r="A681" s="125">
        <v>610422040056</v>
      </c>
      <c r="B681" s="69" t="s">
        <v>288</v>
      </c>
      <c r="D681" s="10">
        <f t="array" aca="1" ref="D681" ca="1">INDEX('Mitra per Bulan'!$M$2:$M800,MATCH(S681,'Mitra per Bulan'!$B$2:$B800,0))</f>
        <v>1</v>
      </c>
      <c r="E681" s="10" t="str">
        <f t="array" ref="E681">INDEX('Database Mitra'!$A$2:$A800,MATCH(A681,'Database Mitra'!$B$2:$B800,0))</f>
        <v>Wandi Syafari</v>
      </c>
      <c r="F681" s="64" t="s">
        <v>25</v>
      </c>
      <c r="G681" s="5" t="str">
        <f t="array" ref="G681">INDEX('Database Mitra'!$G$2:$G800,MATCH(A681,'Database Mitra'!$B$2:$B800,0))</f>
        <v>6102010802760001</v>
      </c>
      <c r="H681" s="64" t="s">
        <v>67</v>
      </c>
      <c r="I681" s="65" t="s">
        <v>289</v>
      </c>
      <c r="J681" s="10" t="str">
        <f t="array" ref="J681">INDEX(Honor!$H$2:$H800,MATCH($I681,Honor!$A$2:$A800,0))</f>
        <v>Dokumen</v>
      </c>
      <c r="K681" s="66">
        <f t="array" ref="K681">INDEX(Honor!$I$2:$I800,MATCH($I681,Honor!$A$2:$A800,0))</f>
        <v>55000</v>
      </c>
      <c r="L681" s="64">
        <v>2</v>
      </c>
      <c r="M681" s="10">
        <f t="shared" si="0"/>
        <v>110000</v>
      </c>
      <c r="O681" s="67">
        <f t="array" ref="O681">INDEX(Honor!$L$2:$L800,MATCH($I681,Honor!$A$2:$A800,0))</f>
        <v>45585</v>
      </c>
      <c r="P681" s="10">
        <f t="shared" si="1"/>
        <v>2024</v>
      </c>
      <c r="Q681" s="10">
        <f t="shared" si="2"/>
        <v>10</v>
      </c>
      <c r="R681" s="10" t="str">
        <f t="array" ref="R681">INDEX(Honor!$Q$2:$Q800,MATCH($I681,Honor!$A$2:$A800,0))</f>
        <v>SURVEI-PPL</v>
      </c>
      <c r="S681" s="10" t="str">
        <f t="shared" si="3"/>
        <v>610422040056-2024-10</v>
      </c>
      <c r="T681" s="10" t="str">
        <f t="shared" si="4"/>
        <v>610422040056-2024-10-SURVEI-PPL</v>
      </c>
      <c r="U681" s="64">
        <v>0</v>
      </c>
      <c r="V681" s="10" t="e">
        <f t="array" aca="1" ref="V681" ca="1">INDEX(Honor!$O$2:$O800,MATCH($I681,Honor!$A$2:$A800,0))</f>
        <v>#NAME?</v>
      </c>
      <c r="W681" s="67"/>
      <c r="X681" s="7" t="str">
        <f t="array" ref="X681">INDEX('Input Kegiatan'!$B$2:$B800,MATCH(B681,'Input Kegiatan'!$A$2:$A800,0))</f>
        <v>Survei Hotel dan Jasa Akomodasi Bulanan (VHTS) 2024 Oktober</v>
      </c>
      <c r="Y681" s="7" t="s">
        <v>4572</v>
      </c>
      <c r="Z681" s="7" t="s">
        <v>4656</v>
      </c>
      <c r="AA681" s="68">
        <f t="shared" si="5"/>
        <v>45565</v>
      </c>
      <c r="AB681" s="68">
        <f t="shared" si="6"/>
        <v>45566</v>
      </c>
      <c r="AC681" s="68">
        <f t="shared" si="7"/>
        <v>45596</v>
      </c>
      <c r="AD681" s="68">
        <f t="shared" si="8"/>
        <v>45595</v>
      </c>
      <c r="AE681" s="68">
        <f t="shared" si="9"/>
        <v>45596</v>
      </c>
    </row>
    <row r="682" spans="1:31" ht="12.5">
      <c r="A682" s="125">
        <v>610422020016</v>
      </c>
      <c r="B682" s="64" t="s">
        <v>36</v>
      </c>
      <c r="D682" s="10">
        <f t="array" aca="1" ref="D682" ca="1">INDEX('Mitra per Bulan'!$M$2:$M800,MATCH(S682,'Mitra per Bulan'!$B$2:$B800,0))</f>
        <v>1</v>
      </c>
      <c r="E682" s="10" t="str">
        <f t="array" ref="E682">INDEX('Database Mitra'!$A$2:$A800,MATCH(A682,'Database Mitra'!$B$2:$B800,0))</f>
        <v>Abdul Aziz</v>
      </c>
      <c r="F682" s="65" t="s">
        <v>25</v>
      </c>
      <c r="G682" s="5" t="str">
        <f t="array" ref="G682">INDEX('Database Mitra'!$G$2:$G800,MATCH(A682,'Database Mitra'!$B$2:$B800,0))</f>
        <v>6102061507950006</v>
      </c>
      <c r="H682" s="64" t="s">
        <v>84</v>
      </c>
      <c r="I682" s="65" t="str">
        <f t="shared" ref="I682:I695" si="21">CONCATENATE(B682,"-",F682,"-",H682)</f>
        <v>KSA24-LAPANGAN-OKTOBER-PPL-KSA PADI</v>
      </c>
      <c r="J682" s="10" t="str">
        <f t="array" ref="J682">INDEX(Honor!$H$2:$H800,MATCH($I682,Honor!$A$2:$A800,0))</f>
        <v>Segmen</v>
      </c>
      <c r="K682" s="66">
        <f t="array" ref="K682">INDEX(Honor!$I$2:$I800,MATCH($I682,Honor!$A$2:$A800,0))</f>
        <v>116000</v>
      </c>
      <c r="L682" s="64">
        <v>3</v>
      </c>
      <c r="M682" s="10">
        <f t="shared" si="0"/>
        <v>348000</v>
      </c>
      <c r="O682" s="67">
        <f t="array" ref="O682">INDEX(Honor!$L$2:$L800,MATCH($I682,Honor!$A$2:$A800,0))</f>
        <v>45596</v>
      </c>
      <c r="P682" s="10">
        <f t="shared" si="1"/>
        <v>2024</v>
      </c>
      <c r="Q682" s="10">
        <f t="shared" si="2"/>
        <v>10</v>
      </c>
      <c r="R682" s="10" t="str">
        <f t="array" ref="R682">INDEX(Honor!$Q$2:$Q800,MATCH($I682,Honor!$A$2:$A800,0))</f>
        <v>SURVEI-PPL</v>
      </c>
      <c r="S682" s="10" t="str">
        <f t="shared" si="3"/>
        <v>610422020016-2024-10</v>
      </c>
      <c r="T682" s="10" t="str">
        <f t="shared" si="4"/>
        <v>610422020016-2024-10-SURVEI-PPL</v>
      </c>
      <c r="U682" s="64">
        <v>0</v>
      </c>
      <c r="V682" s="10" t="e">
        <f t="array" aca="1" ref="V682" ca="1">INDEX(Honor!$O$2:$O800,MATCH($I682,Honor!$A$2:$A800,0))</f>
        <v>#NAME?</v>
      </c>
      <c r="W682" s="67"/>
      <c r="X682" s="7" t="str">
        <f t="array" ref="X682">INDEX('Input Kegiatan'!$B$2:$B800,MATCH(B682,'Input Kegiatan'!$A$2:$A800,0))</f>
        <v>Kerangka Sampel Area (KSA) 2024 Oktober</v>
      </c>
      <c r="Y682" s="7" t="s">
        <v>5534</v>
      </c>
      <c r="Z682" s="7" t="s">
        <v>5535</v>
      </c>
      <c r="AA682" s="68">
        <f t="shared" si="5"/>
        <v>45565</v>
      </c>
      <c r="AB682" s="68">
        <f t="shared" si="6"/>
        <v>45566</v>
      </c>
      <c r="AC682" s="68">
        <f t="shared" si="7"/>
        <v>45596</v>
      </c>
      <c r="AD682" s="68">
        <f t="shared" si="8"/>
        <v>45595</v>
      </c>
      <c r="AE682" s="68">
        <f t="shared" si="9"/>
        <v>45596</v>
      </c>
    </row>
    <row r="683" spans="1:31" ht="12.5">
      <c r="A683" s="125">
        <v>610422040012</v>
      </c>
      <c r="B683" s="64" t="s">
        <v>36</v>
      </c>
      <c r="D683" s="10">
        <f t="array" aca="1" ref="D683" ca="1">INDEX('Mitra per Bulan'!$M$2:$M800,MATCH(S683,'Mitra per Bulan'!$B$2:$B800,0))</f>
        <v>1</v>
      </c>
      <c r="E683" s="10" t="str">
        <f t="array" ref="E683">INDEX('Database Mitra'!$A$2:$A800,MATCH(A683,'Database Mitra'!$B$2:$B800,0))</f>
        <v>Misdi</v>
      </c>
      <c r="F683" s="65" t="s">
        <v>25</v>
      </c>
      <c r="G683" s="5" t="str">
        <f t="array" ref="G683">INDEX('Database Mitra'!$G$2:$G800,MATCH(A683,'Database Mitra'!$B$2:$B800,0))</f>
        <v>6102070706940001</v>
      </c>
      <c r="H683" s="64" t="s">
        <v>84</v>
      </c>
      <c r="I683" s="65" t="str">
        <f t="shared" si="21"/>
        <v>KSA24-LAPANGAN-OKTOBER-PPL-KSA PADI</v>
      </c>
      <c r="J683" s="10" t="str">
        <f t="array" ref="J683">INDEX(Honor!$H$2:$H800,MATCH($I683,Honor!$A$2:$A800,0))</f>
        <v>Segmen</v>
      </c>
      <c r="K683" s="66">
        <f t="array" ref="K683">INDEX(Honor!$I$2:$I800,MATCH($I683,Honor!$A$2:$A800,0))</f>
        <v>116000</v>
      </c>
      <c r="L683" s="64">
        <v>3</v>
      </c>
      <c r="M683" s="10">
        <f t="shared" si="0"/>
        <v>348000</v>
      </c>
      <c r="O683" s="67">
        <f t="array" ref="O683">INDEX(Honor!$L$2:$L800,MATCH($I683,Honor!$A$2:$A800,0))</f>
        <v>45596</v>
      </c>
      <c r="P683" s="10">
        <f t="shared" si="1"/>
        <v>2024</v>
      </c>
      <c r="Q683" s="10">
        <f t="shared" si="2"/>
        <v>10</v>
      </c>
      <c r="R683" s="10" t="str">
        <f t="array" ref="R683">INDEX(Honor!$Q$2:$Q800,MATCH($I683,Honor!$A$2:$A800,0))</f>
        <v>SURVEI-PPL</v>
      </c>
      <c r="S683" s="10" t="str">
        <f t="shared" si="3"/>
        <v>610422040012-2024-10</v>
      </c>
      <c r="T683" s="10" t="str">
        <f t="shared" si="4"/>
        <v>610422040012-2024-10-SURVEI-PPL</v>
      </c>
      <c r="U683" s="64">
        <v>0</v>
      </c>
      <c r="V683" s="10" t="e">
        <f t="array" aca="1" ref="V683" ca="1">INDEX(Honor!$O$2:$O800,MATCH($I683,Honor!$A$2:$A800,0))</f>
        <v>#NAME?</v>
      </c>
      <c r="W683" s="67"/>
      <c r="X683" s="7" t="str">
        <f t="array" ref="X683">INDEX('Input Kegiatan'!$B$2:$B800,MATCH(B683,'Input Kegiatan'!$A$2:$A800,0))</f>
        <v>Kerangka Sampel Area (KSA) 2024 Oktober</v>
      </c>
      <c r="Y683" s="7" t="s">
        <v>3990</v>
      </c>
      <c r="Z683" s="7" t="s">
        <v>4365</v>
      </c>
      <c r="AA683" s="68">
        <f t="shared" si="5"/>
        <v>45565</v>
      </c>
      <c r="AB683" s="68">
        <f t="shared" si="6"/>
        <v>45566</v>
      </c>
      <c r="AC683" s="68">
        <f t="shared" si="7"/>
        <v>45596</v>
      </c>
      <c r="AD683" s="68">
        <f t="shared" si="8"/>
        <v>45595</v>
      </c>
      <c r="AE683" s="68">
        <f t="shared" si="9"/>
        <v>45596</v>
      </c>
    </row>
    <row r="684" spans="1:31" ht="12.5">
      <c r="A684" s="125">
        <v>610422040059</v>
      </c>
      <c r="B684" s="64" t="s">
        <v>36</v>
      </c>
      <c r="D684" s="10">
        <f t="array" aca="1" ref="D684" ca="1">INDEX('Mitra per Bulan'!$M$2:$M800,MATCH(S684,'Mitra per Bulan'!$B$2:$B800,0))</f>
        <v>1</v>
      </c>
      <c r="E684" s="10" t="str">
        <f t="array" ref="E684">INDEX('Database Mitra'!$A$2:$A800,MATCH(A684,'Database Mitra'!$B$2:$B800,0))</f>
        <v>Abang Handri</v>
      </c>
      <c r="F684" s="65" t="s">
        <v>25</v>
      </c>
      <c r="G684" s="5" t="str">
        <f t="array" ref="G684">INDEX('Database Mitra'!$G$2:$G800,MATCH(A684,'Database Mitra'!$B$2:$B800,0))</f>
        <v>6102072211780002</v>
      </c>
      <c r="H684" s="64" t="s">
        <v>84</v>
      </c>
      <c r="I684" s="65" t="str">
        <f t="shared" si="21"/>
        <v>KSA24-LAPANGAN-OKTOBER-PPL-KSA PADI</v>
      </c>
      <c r="J684" s="10" t="str">
        <f t="array" ref="J684">INDEX(Honor!$H$2:$H800,MATCH($I684,Honor!$A$2:$A800,0))</f>
        <v>Segmen</v>
      </c>
      <c r="K684" s="66">
        <f t="array" ref="K684">INDEX(Honor!$I$2:$I800,MATCH($I684,Honor!$A$2:$A800,0))</f>
        <v>116000</v>
      </c>
      <c r="L684" s="64">
        <v>4</v>
      </c>
      <c r="M684" s="10">
        <f t="shared" si="0"/>
        <v>464000</v>
      </c>
      <c r="O684" s="67">
        <f t="array" ref="O684">INDEX(Honor!$L$2:$L800,MATCH($I684,Honor!$A$2:$A800,0))</f>
        <v>45596</v>
      </c>
      <c r="P684" s="10">
        <f t="shared" si="1"/>
        <v>2024</v>
      </c>
      <c r="Q684" s="10">
        <f t="shared" si="2"/>
        <v>10</v>
      </c>
      <c r="R684" s="10" t="str">
        <f t="array" ref="R684">INDEX(Honor!$Q$2:$Q800,MATCH($I684,Honor!$A$2:$A800,0))</f>
        <v>SURVEI-PPL</v>
      </c>
      <c r="S684" s="10" t="str">
        <f t="shared" si="3"/>
        <v>610422040059-2024-10</v>
      </c>
      <c r="T684" s="10" t="str">
        <f t="shared" si="4"/>
        <v>610422040059-2024-10-SURVEI-PPL</v>
      </c>
      <c r="U684" s="64">
        <v>0</v>
      </c>
      <c r="V684" s="10" t="e">
        <f t="array" aca="1" ref="V684" ca="1">INDEX(Honor!$O$2:$O800,MATCH($I684,Honor!$A$2:$A800,0))</f>
        <v>#NAME?</v>
      </c>
      <c r="W684" s="67"/>
      <c r="X684" s="7" t="str">
        <f t="array" ref="X684">INDEX('Input Kegiatan'!$B$2:$B800,MATCH(B684,'Input Kegiatan'!$A$2:$A800,0))</f>
        <v>Kerangka Sampel Area (KSA) 2024 Oktober</v>
      </c>
      <c r="Y684" s="7" t="s">
        <v>4572</v>
      </c>
      <c r="Z684" s="7" t="s">
        <v>4656</v>
      </c>
      <c r="AA684" s="68">
        <f t="shared" si="5"/>
        <v>45565</v>
      </c>
      <c r="AB684" s="68">
        <f t="shared" si="6"/>
        <v>45566</v>
      </c>
      <c r="AC684" s="68">
        <f t="shared" si="7"/>
        <v>45596</v>
      </c>
      <c r="AD684" s="68">
        <f t="shared" si="8"/>
        <v>45595</v>
      </c>
      <c r="AE684" s="68">
        <f t="shared" si="9"/>
        <v>45596</v>
      </c>
    </row>
    <row r="685" spans="1:31" ht="12.5">
      <c r="A685" s="125">
        <v>610422040061</v>
      </c>
      <c r="B685" s="64" t="s">
        <v>36</v>
      </c>
      <c r="D685" s="10">
        <f t="array" aca="1" ref="D685" ca="1">INDEX('Mitra per Bulan'!$M$2:$M800,MATCH(S685,'Mitra per Bulan'!$B$2:$B800,0))</f>
        <v>1</v>
      </c>
      <c r="E685" s="10" t="str">
        <f t="array" ref="E685">INDEX('Database Mitra'!$A$2:$A800,MATCH(A685,'Database Mitra'!$B$2:$B800,0))</f>
        <v>Sabani</v>
      </c>
      <c r="F685" s="65" t="s">
        <v>25</v>
      </c>
      <c r="G685" s="5" t="str">
        <f t="array" ref="G685">INDEX('Database Mitra'!$G$2:$G800,MATCH(A685,'Database Mitra'!$B$2:$B800,0))</f>
        <v>6102153112860003</v>
      </c>
      <c r="H685" s="64" t="s">
        <v>84</v>
      </c>
      <c r="I685" s="65" t="str">
        <f t="shared" si="21"/>
        <v>KSA24-LAPANGAN-OKTOBER-PPL-KSA PADI</v>
      </c>
      <c r="J685" s="10" t="str">
        <f t="array" ref="J685">INDEX(Honor!$H$2:$H800,MATCH($I685,Honor!$A$2:$A800,0))</f>
        <v>Segmen</v>
      </c>
      <c r="K685" s="66">
        <f t="array" ref="K685">INDEX(Honor!$I$2:$I800,MATCH($I685,Honor!$A$2:$A800,0))</f>
        <v>116000</v>
      </c>
      <c r="L685" s="64">
        <v>3</v>
      </c>
      <c r="M685" s="10">
        <f t="shared" si="0"/>
        <v>348000</v>
      </c>
      <c r="O685" s="67">
        <f t="array" ref="O685">INDEX(Honor!$L$2:$L800,MATCH($I685,Honor!$A$2:$A800,0))</f>
        <v>45596</v>
      </c>
      <c r="P685" s="10">
        <f t="shared" si="1"/>
        <v>2024</v>
      </c>
      <c r="Q685" s="10">
        <f t="shared" si="2"/>
        <v>10</v>
      </c>
      <c r="R685" s="10" t="str">
        <f t="array" ref="R685">INDEX(Honor!$Q$2:$Q800,MATCH($I685,Honor!$A$2:$A800,0))</f>
        <v>SURVEI-PPL</v>
      </c>
      <c r="S685" s="10" t="str">
        <f t="shared" si="3"/>
        <v>610422040061-2024-10</v>
      </c>
      <c r="T685" s="10" t="str">
        <f t="shared" si="4"/>
        <v>610422040061-2024-10-SURVEI-PPL</v>
      </c>
      <c r="U685" s="64">
        <v>0</v>
      </c>
      <c r="V685" s="10" t="e">
        <f t="array" aca="1" ref="V685" ca="1">INDEX(Honor!$O$2:$O800,MATCH($I685,Honor!$A$2:$A800,0))</f>
        <v>#NAME?</v>
      </c>
      <c r="W685" s="67"/>
      <c r="X685" s="7" t="str">
        <f t="array" ref="X685">INDEX('Input Kegiatan'!$B$2:$B800,MATCH(B685,'Input Kegiatan'!$A$2:$A800,0))</f>
        <v>Kerangka Sampel Area (KSA) 2024 Oktober</v>
      </c>
      <c r="Y685" s="7" t="s">
        <v>3715</v>
      </c>
      <c r="Z685" s="7" t="s">
        <v>3862</v>
      </c>
      <c r="AA685" s="68">
        <f t="shared" si="5"/>
        <v>45565</v>
      </c>
      <c r="AB685" s="68">
        <f t="shared" si="6"/>
        <v>45566</v>
      </c>
      <c r="AC685" s="68">
        <f t="shared" si="7"/>
        <v>45596</v>
      </c>
      <c r="AD685" s="68">
        <f t="shared" si="8"/>
        <v>45595</v>
      </c>
      <c r="AE685" s="68">
        <f t="shared" si="9"/>
        <v>45596</v>
      </c>
    </row>
    <row r="686" spans="1:31" ht="12.5">
      <c r="A686" s="125">
        <v>610422100131</v>
      </c>
      <c r="B686" s="64" t="s">
        <v>36</v>
      </c>
      <c r="D686" s="10">
        <f t="array" aca="1" ref="D686" ca="1">INDEX('Mitra per Bulan'!$M$2:$M800,MATCH(S686,'Mitra per Bulan'!$B$2:$B800,0))</f>
        <v>1</v>
      </c>
      <c r="E686" s="10" t="str">
        <f t="array" ref="E686">INDEX('Database Mitra'!$A$2:$A800,MATCH(A686,'Database Mitra'!$B$2:$B800,0))</f>
        <v>Syamsul</v>
      </c>
      <c r="F686" s="65" t="s">
        <v>25</v>
      </c>
      <c r="G686" s="5" t="str">
        <f t="array" ref="G686">INDEX('Database Mitra'!$G$2:$G800,MATCH(A686,'Database Mitra'!$B$2:$B800,0))</f>
        <v>6102150907860003</v>
      </c>
      <c r="H686" s="64" t="s">
        <v>84</v>
      </c>
      <c r="I686" s="65" t="str">
        <f t="shared" si="21"/>
        <v>KSA24-LAPANGAN-OKTOBER-PPL-KSA PADI</v>
      </c>
      <c r="J686" s="10" t="str">
        <f t="array" ref="J686">INDEX(Honor!$H$2:$H800,MATCH($I686,Honor!$A$2:$A800,0))</f>
        <v>Segmen</v>
      </c>
      <c r="K686" s="66">
        <f t="array" ref="K686">INDEX(Honor!$I$2:$I800,MATCH($I686,Honor!$A$2:$A800,0))</f>
        <v>116000</v>
      </c>
      <c r="L686" s="64">
        <v>3</v>
      </c>
      <c r="M686" s="10">
        <f t="shared" si="0"/>
        <v>348000</v>
      </c>
      <c r="O686" s="67">
        <f t="array" ref="O686">INDEX(Honor!$L$2:$L800,MATCH($I686,Honor!$A$2:$A800,0))</f>
        <v>45596</v>
      </c>
      <c r="P686" s="10">
        <f t="shared" si="1"/>
        <v>2024</v>
      </c>
      <c r="Q686" s="10">
        <f t="shared" si="2"/>
        <v>10</v>
      </c>
      <c r="R686" s="10" t="str">
        <f t="array" ref="R686">INDEX(Honor!$Q$2:$Q800,MATCH($I686,Honor!$A$2:$A800,0))</f>
        <v>SURVEI-PPL</v>
      </c>
      <c r="S686" s="10" t="str">
        <f t="shared" si="3"/>
        <v>610422100131-2024-10</v>
      </c>
      <c r="T686" s="10" t="str">
        <f t="shared" si="4"/>
        <v>610422100131-2024-10-SURVEI-PPL</v>
      </c>
      <c r="U686" s="64">
        <v>0</v>
      </c>
      <c r="V686" s="10" t="e">
        <f t="array" aca="1" ref="V686" ca="1">INDEX(Honor!$O$2:$O800,MATCH($I686,Honor!$A$2:$A800,0))</f>
        <v>#NAME?</v>
      </c>
      <c r="W686" s="67"/>
      <c r="X686" s="7" t="str">
        <f t="array" ref="X686">INDEX('Input Kegiatan'!$B$2:$B800,MATCH(B686,'Input Kegiatan'!$A$2:$A800,0))</f>
        <v>Kerangka Sampel Area (KSA) 2024 Oktober</v>
      </c>
      <c r="Y686" s="7" t="s">
        <v>5250</v>
      </c>
      <c r="Z686" s="7" t="s">
        <v>5365</v>
      </c>
      <c r="AA686" s="68">
        <f t="shared" si="5"/>
        <v>45565</v>
      </c>
      <c r="AB686" s="68">
        <f t="shared" si="6"/>
        <v>45566</v>
      </c>
      <c r="AC686" s="68">
        <f t="shared" si="7"/>
        <v>45596</v>
      </c>
      <c r="AD686" s="68">
        <f t="shared" si="8"/>
        <v>45595</v>
      </c>
      <c r="AE686" s="68">
        <f t="shared" si="9"/>
        <v>45596</v>
      </c>
    </row>
    <row r="687" spans="1:31" ht="12.5">
      <c r="A687" s="125">
        <v>610422100244</v>
      </c>
      <c r="B687" s="64" t="s">
        <v>36</v>
      </c>
      <c r="D687" s="10">
        <f t="array" aca="1" ref="D687" ca="1">INDEX('Mitra per Bulan'!$M$2:$M800,MATCH(S687,'Mitra per Bulan'!$B$2:$B800,0))</f>
        <v>1</v>
      </c>
      <c r="E687" s="10" t="str">
        <f t="array" ref="E687">INDEX('Database Mitra'!$A$2:$A800,MATCH(A687,'Database Mitra'!$B$2:$B800,0))</f>
        <v>Sugianto</v>
      </c>
      <c r="F687" s="65" t="s">
        <v>25</v>
      </c>
      <c r="G687" s="5" t="str">
        <f t="array" ref="G687">INDEX('Database Mitra'!$G$2:$G800,MATCH(A687,'Database Mitra'!$B$2:$B800,0))</f>
        <v>6102171003900002</v>
      </c>
      <c r="H687" s="64" t="s">
        <v>84</v>
      </c>
      <c r="I687" s="65" t="str">
        <f t="shared" si="21"/>
        <v>KSA24-LAPANGAN-OKTOBER-PPL-KSA PADI</v>
      </c>
      <c r="J687" s="10" t="str">
        <f t="array" ref="J687">INDEX(Honor!$H$2:$H800,MATCH($I687,Honor!$A$2:$A800,0))</f>
        <v>Segmen</v>
      </c>
      <c r="K687" s="66">
        <f t="array" ref="K687">INDEX(Honor!$I$2:$I800,MATCH($I687,Honor!$A$2:$A800,0))</f>
        <v>116000</v>
      </c>
      <c r="L687" s="64">
        <v>3</v>
      </c>
      <c r="M687" s="10">
        <f t="shared" si="0"/>
        <v>348000</v>
      </c>
      <c r="O687" s="67">
        <f t="array" ref="O687">INDEX(Honor!$L$2:$L800,MATCH($I687,Honor!$A$2:$A800,0))</f>
        <v>45596</v>
      </c>
      <c r="P687" s="10">
        <f t="shared" si="1"/>
        <v>2024</v>
      </c>
      <c r="Q687" s="10">
        <f t="shared" si="2"/>
        <v>10</v>
      </c>
      <c r="R687" s="10" t="str">
        <f t="array" ref="R687">INDEX(Honor!$Q$2:$Q800,MATCH($I687,Honor!$A$2:$A800,0))</f>
        <v>SURVEI-PPL</v>
      </c>
      <c r="S687" s="10" t="str">
        <f t="shared" si="3"/>
        <v>610422100244-2024-10</v>
      </c>
      <c r="T687" s="10" t="str">
        <f t="shared" si="4"/>
        <v>610422100244-2024-10-SURVEI-PPL</v>
      </c>
      <c r="U687" s="64">
        <v>0</v>
      </c>
      <c r="V687" s="10" t="e">
        <f t="array" aca="1" ref="V687" ca="1">INDEX(Honor!$O$2:$O800,MATCH($I687,Honor!$A$2:$A800,0))</f>
        <v>#NAME?</v>
      </c>
      <c r="W687" s="67"/>
      <c r="X687" s="7" t="str">
        <f t="array" ref="X687">INDEX('Input Kegiatan'!$B$2:$B800,MATCH(B687,'Input Kegiatan'!$A$2:$A800,0))</f>
        <v>Kerangka Sampel Area (KSA) 2024 Oktober</v>
      </c>
      <c r="Y687" s="7" t="s">
        <v>5741</v>
      </c>
      <c r="Z687" s="7" t="s">
        <v>5796</v>
      </c>
      <c r="AA687" s="68">
        <f t="shared" si="5"/>
        <v>45565</v>
      </c>
      <c r="AB687" s="68">
        <f t="shared" si="6"/>
        <v>45566</v>
      </c>
      <c r="AC687" s="68">
        <f t="shared" si="7"/>
        <v>45596</v>
      </c>
      <c r="AD687" s="68">
        <f t="shared" si="8"/>
        <v>45595</v>
      </c>
      <c r="AE687" s="68">
        <f t="shared" si="9"/>
        <v>45596</v>
      </c>
    </row>
    <row r="688" spans="1:31" ht="12.5">
      <c r="A688" s="125">
        <v>610422100176</v>
      </c>
      <c r="B688" s="64" t="s">
        <v>36</v>
      </c>
      <c r="D688" s="10">
        <f t="array" aca="1" ref="D688" ca="1">INDEX('Mitra per Bulan'!$M$2:$M800,MATCH(S688,'Mitra per Bulan'!$B$2:$B800,0))</f>
        <v>1</v>
      </c>
      <c r="E688" s="10" t="str">
        <f t="array" ref="E688">INDEX('Database Mitra'!$A$2:$A800,MATCH(A688,'Database Mitra'!$B$2:$B800,0))</f>
        <v>Feri Firdaus</v>
      </c>
      <c r="F688" s="65" t="s">
        <v>25</v>
      </c>
      <c r="G688" s="5" t="str">
        <f t="array" ref="G688">INDEX('Database Mitra'!$G$2:$G800,MATCH(A688,'Database Mitra'!$B$2:$B800,0))</f>
        <v>6102150412880001</v>
      </c>
      <c r="H688" s="64" t="s">
        <v>84</v>
      </c>
      <c r="I688" s="65" t="str">
        <f t="shared" si="21"/>
        <v>KSA24-LAPANGAN-OKTOBER-PPL-KSA PADI</v>
      </c>
      <c r="J688" s="10" t="str">
        <f t="array" ref="J688">INDEX(Honor!$H$2:$H800,MATCH($I688,Honor!$A$2:$A800,0))</f>
        <v>Segmen</v>
      </c>
      <c r="K688" s="66">
        <f t="array" ref="K688">INDEX(Honor!$I$2:$I800,MATCH($I688,Honor!$A$2:$A800,0))</f>
        <v>116000</v>
      </c>
      <c r="L688" s="64">
        <v>3</v>
      </c>
      <c r="M688" s="10">
        <f t="shared" si="0"/>
        <v>348000</v>
      </c>
      <c r="O688" s="67">
        <f t="array" ref="O688">INDEX(Honor!$L$2:$L800,MATCH($I688,Honor!$A$2:$A800,0))</f>
        <v>45596</v>
      </c>
      <c r="P688" s="10">
        <f t="shared" si="1"/>
        <v>2024</v>
      </c>
      <c r="Q688" s="10">
        <f t="shared" si="2"/>
        <v>10</v>
      </c>
      <c r="R688" s="10" t="str">
        <f t="array" ref="R688">INDEX(Honor!$Q$2:$Q800,MATCH($I688,Honor!$A$2:$A800,0))</f>
        <v>SURVEI-PPL</v>
      </c>
      <c r="S688" s="10" t="str">
        <f t="shared" si="3"/>
        <v>610422100176-2024-10</v>
      </c>
      <c r="T688" s="10" t="str">
        <f t="shared" si="4"/>
        <v>610422100176-2024-10-SURVEI-PPL</v>
      </c>
      <c r="U688" s="64">
        <v>0</v>
      </c>
      <c r="V688" s="10" t="e">
        <f t="array" aca="1" ref="V688" ca="1">INDEX(Honor!$O$2:$O800,MATCH($I688,Honor!$A$2:$A800,0))</f>
        <v>#NAME?</v>
      </c>
      <c r="W688" s="67"/>
      <c r="X688" s="7" t="str">
        <f t="array" ref="X688">INDEX('Input Kegiatan'!$B$2:$B800,MATCH(B688,'Input Kegiatan'!$A$2:$A800,0))</f>
        <v>Kerangka Sampel Area (KSA) 2024 Oktober</v>
      </c>
      <c r="Y688" s="7" t="s">
        <v>3715</v>
      </c>
      <c r="Z688" s="7" t="s">
        <v>3765</v>
      </c>
      <c r="AA688" s="68">
        <f t="shared" si="5"/>
        <v>45565</v>
      </c>
      <c r="AB688" s="68">
        <f t="shared" si="6"/>
        <v>45566</v>
      </c>
      <c r="AC688" s="68">
        <f t="shared" si="7"/>
        <v>45596</v>
      </c>
      <c r="AD688" s="68">
        <f t="shared" si="8"/>
        <v>45595</v>
      </c>
      <c r="AE688" s="68">
        <f t="shared" si="9"/>
        <v>45596</v>
      </c>
    </row>
    <row r="689" spans="1:31" ht="12.5">
      <c r="A689" s="125">
        <v>610423110183</v>
      </c>
      <c r="B689" s="64" t="s">
        <v>36</v>
      </c>
      <c r="D689" s="10">
        <f t="array" aca="1" ref="D689" ca="1">INDEX('Mitra per Bulan'!$M$2:$M800,MATCH(S689,'Mitra per Bulan'!$B$2:$B800,0))</f>
        <v>1</v>
      </c>
      <c r="E689" s="10" t="str">
        <f t="array" ref="E689">INDEX('Database Mitra'!$A$2:$A800,MATCH(A689,'Database Mitra'!$B$2:$B800,0))</f>
        <v>Azhar</v>
      </c>
      <c r="F689" s="65" t="s">
        <v>25</v>
      </c>
      <c r="G689" s="5" t="str">
        <f t="array" ref="G689">INDEX('Database Mitra'!$G$2:$G800,MATCH(A689,'Database Mitra'!$B$2:$B800,0))</f>
        <v>6102081211790004</v>
      </c>
      <c r="H689" s="64" t="s">
        <v>84</v>
      </c>
      <c r="I689" s="65" t="str">
        <f t="shared" si="21"/>
        <v>KSA24-LAPANGAN-OKTOBER-PPL-KSA PADI</v>
      </c>
      <c r="J689" s="10" t="str">
        <f t="array" ref="J689">INDEX(Honor!$H$2:$H800,MATCH($I689,Honor!$A$2:$A800,0))</f>
        <v>Segmen</v>
      </c>
      <c r="K689" s="66">
        <f t="array" ref="K689">INDEX(Honor!$I$2:$I800,MATCH($I689,Honor!$A$2:$A800,0))</f>
        <v>116000</v>
      </c>
      <c r="L689" s="64">
        <v>6</v>
      </c>
      <c r="M689" s="10">
        <f t="shared" si="0"/>
        <v>696000</v>
      </c>
      <c r="O689" s="67">
        <f t="array" ref="O689">INDEX(Honor!$L$2:$L800,MATCH($I689,Honor!$A$2:$A800,0))</f>
        <v>45596</v>
      </c>
      <c r="P689" s="10">
        <f t="shared" si="1"/>
        <v>2024</v>
      </c>
      <c r="Q689" s="10">
        <f t="shared" si="2"/>
        <v>10</v>
      </c>
      <c r="R689" s="10" t="str">
        <f t="array" ref="R689">INDEX(Honor!$Q$2:$Q800,MATCH($I689,Honor!$A$2:$A800,0))</f>
        <v>SURVEI-PPL</v>
      </c>
      <c r="S689" s="10" t="str">
        <f t="shared" si="3"/>
        <v>610423110183-2024-10</v>
      </c>
      <c r="T689" s="10" t="str">
        <f t="shared" si="4"/>
        <v>610423110183-2024-10-SURVEI-PPL</v>
      </c>
      <c r="U689" s="64">
        <v>0</v>
      </c>
      <c r="V689" s="10" t="e">
        <f t="array" aca="1" ref="V689" ca="1">INDEX(Honor!$O$2:$O800,MATCH($I689,Honor!$A$2:$A800,0))</f>
        <v>#NAME?</v>
      </c>
      <c r="W689" s="67"/>
      <c r="X689" s="7" t="str">
        <f t="array" ref="X689">INDEX('Input Kegiatan'!$B$2:$B800,MATCH(B689,'Input Kegiatan'!$A$2:$A800,0))</f>
        <v>Kerangka Sampel Area (KSA) 2024 Oktober</v>
      </c>
      <c r="Y689" s="7" t="s">
        <v>3241</v>
      </c>
      <c r="Z689" s="7" t="s">
        <v>3242</v>
      </c>
      <c r="AA689" s="68">
        <f t="shared" si="5"/>
        <v>45565</v>
      </c>
      <c r="AB689" s="68">
        <f t="shared" si="6"/>
        <v>45566</v>
      </c>
      <c r="AC689" s="68">
        <f t="shared" si="7"/>
        <v>45596</v>
      </c>
      <c r="AD689" s="68">
        <f t="shared" si="8"/>
        <v>45595</v>
      </c>
      <c r="AE689" s="68">
        <f t="shared" si="9"/>
        <v>45596</v>
      </c>
    </row>
    <row r="690" spans="1:31" ht="12.5">
      <c r="A690" s="125">
        <v>610423040018</v>
      </c>
      <c r="B690" s="64" t="s">
        <v>36</v>
      </c>
      <c r="D690" s="10">
        <f t="array" aca="1" ref="D690" ca="1">INDEX('Mitra per Bulan'!$M$2:$M800,MATCH(S690,'Mitra per Bulan'!$B$2:$B800,0))</f>
        <v>1</v>
      </c>
      <c r="E690" s="10" t="str">
        <f t="array" ref="E690">INDEX('Database Mitra'!$A$2:$A800,MATCH(A690,'Database Mitra'!$B$2:$B800,0))</f>
        <v>Handoko Tuah Sabarman Sipayung</v>
      </c>
      <c r="F690" s="64" t="s">
        <v>25</v>
      </c>
      <c r="G690" s="5" t="str">
        <f t="array" ref="G690">INDEX('Database Mitra'!$G$2:$G800,MATCH(A690,'Database Mitra'!$B$2:$B800,0))</f>
        <v>1212092309880001</v>
      </c>
      <c r="H690" s="64" t="s">
        <v>84</v>
      </c>
      <c r="I690" s="65" t="str">
        <f t="shared" si="21"/>
        <v>KSA24-LAPANGAN-OKTOBER-PPL-KSA PADI</v>
      </c>
      <c r="J690" s="10" t="str">
        <f t="array" ref="J690">INDEX(Honor!$H$2:$H800,MATCH($I690,Honor!$A$2:$A800,0))</f>
        <v>Segmen</v>
      </c>
      <c r="K690" s="66">
        <f t="array" ref="K690">INDEX(Honor!$I$2:$I800,MATCH($I690,Honor!$A$2:$A800,0))</f>
        <v>116000</v>
      </c>
      <c r="L690" s="64">
        <v>4</v>
      </c>
      <c r="M690" s="10">
        <f t="shared" si="0"/>
        <v>464000</v>
      </c>
      <c r="O690" s="67">
        <f t="array" ref="O690">INDEX(Honor!$L$2:$L800,MATCH($I690,Honor!$A$2:$A800,0))</f>
        <v>45596</v>
      </c>
      <c r="P690" s="10">
        <f t="shared" si="1"/>
        <v>2024</v>
      </c>
      <c r="Q690" s="10">
        <f t="shared" si="2"/>
        <v>10</v>
      </c>
      <c r="R690" s="10" t="str">
        <f t="array" ref="R690">INDEX(Honor!$Q$2:$Q800,MATCH($I690,Honor!$A$2:$A800,0))</f>
        <v>SURVEI-PPL</v>
      </c>
      <c r="S690" s="10" t="str">
        <f t="shared" si="3"/>
        <v>610423040018-2024-10</v>
      </c>
      <c r="T690" s="10" t="str">
        <f t="shared" si="4"/>
        <v>610423040018-2024-10-SURVEI-PPL</v>
      </c>
      <c r="U690" s="64">
        <v>0</v>
      </c>
      <c r="V690" s="10" t="e">
        <f t="array" aca="1" ref="V690" ca="1">INDEX(Honor!$O$2:$O800,MATCH($I690,Honor!$A$2:$A800,0))</f>
        <v>#NAME?</v>
      </c>
      <c r="W690" s="67"/>
      <c r="X690" s="7" t="str">
        <f t="array" ref="X690">INDEX('Input Kegiatan'!$B$2:$B800,MATCH(B690,'Input Kegiatan'!$A$2:$A800,0))</f>
        <v>Kerangka Sampel Area (KSA) 2024 Oktober</v>
      </c>
      <c r="Y690" s="7" t="s">
        <v>5534</v>
      </c>
      <c r="Z690" s="7" t="s">
        <v>5647</v>
      </c>
      <c r="AA690" s="68">
        <f t="shared" si="5"/>
        <v>45565</v>
      </c>
      <c r="AB690" s="68">
        <f t="shared" si="6"/>
        <v>45566</v>
      </c>
      <c r="AC690" s="68">
        <f t="shared" si="7"/>
        <v>45596</v>
      </c>
      <c r="AD690" s="68">
        <f t="shared" si="8"/>
        <v>45595</v>
      </c>
      <c r="AE690" s="68">
        <f t="shared" si="9"/>
        <v>45596</v>
      </c>
    </row>
    <row r="691" spans="1:31" ht="12.5">
      <c r="A691" s="125">
        <v>610422040059</v>
      </c>
      <c r="B691" s="64" t="s">
        <v>36</v>
      </c>
      <c r="D691" s="10">
        <f t="array" aca="1" ref="D691" ca="1">INDEX('Mitra per Bulan'!$M$2:$M800,MATCH(S691,'Mitra per Bulan'!$B$2:$B800,0))</f>
        <v>1</v>
      </c>
      <c r="E691" s="10" t="str">
        <f t="array" ref="E691">INDEX('Database Mitra'!$A$2:$A800,MATCH(A691,'Database Mitra'!$B$2:$B800,0))</f>
        <v>Abang Handri</v>
      </c>
      <c r="F691" s="64" t="s">
        <v>25</v>
      </c>
      <c r="G691" s="5" t="str">
        <f t="array" ref="G691">INDEX('Database Mitra'!$G$2:$G800,MATCH(A691,'Database Mitra'!$B$2:$B800,0))</f>
        <v>6102072211780002</v>
      </c>
      <c r="H691" s="64" t="s">
        <v>85</v>
      </c>
      <c r="I691" s="65" t="str">
        <f t="shared" si="21"/>
        <v>KSA24-LAPANGAN-OKTOBER-PPL-KSA JAGUNG</v>
      </c>
      <c r="J691" s="10" t="str">
        <f t="array" ref="J691">INDEX(Honor!$H$2:$H800,MATCH($I691,Honor!$A$2:$A800,0))</f>
        <v>Segmen</v>
      </c>
      <c r="K691" s="66">
        <f t="array" ref="K691">INDEX(Honor!$I$2:$I800,MATCH($I691,Honor!$A$2:$A800,0))</f>
        <v>59000</v>
      </c>
      <c r="L691" s="64">
        <v>6</v>
      </c>
      <c r="M691" s="10">
        <f t="shared" si="0"/>
        <v>354000</v>
      </c>
      <c r="O691" s="67">
        <f t="array" ref="O691">INDEX(Honor!$L$2:$L800,MATCH($I691,Honor!$A$2:$A800,0))</f>
        <v>45596</v>
      </c>
      <c r="P691" s="10">
        <f t="shared" si="1"/>
        <v>2024</v>
      </c>
      <c r="Q691" s="10">
        <f t="shared" si="2"/>
        <v>10</v>
      </c>
      <c r="R691" s="10" t="str">
        <f t="array" ref="R691">INDEX(Honor!$Q$2:$Q800,MATCH($I691,Honor!$A$2:$A800,0))</f>
        <v>SURVEI-PPL</v>
      </c>
      <c r="S691" s="10" t="str">
        <f t="shared" si="3"/>
        <v>610422040059-2024-10</v>
      </c>
      <c r="T691" s="10" t="str">
        <f t="shared" si="4"/>
        <v>610422040059-2024-10-SURVEI-PPL</v>
      </c>
      <c r="U691" s="64">
        <v>0</v>
      </c>
      <c r="V691" s="10" t="e">
        <f t="array" aca="1" ref="V691" ca="1">INDEX(Honor!$O$2:$O800,MATCH($I691,Honor!$A$2:$A800,0))</f>
        <v>#NAME?</v>
      </c>
      <c r="W691" s="67"/>
      <c r="X691" s="7" t="str">
        <f t="array" ref="X691">INDEX('Input Kegiatan'!$B$2:$B800,MATCH(B691,'Input Kegiatan'!$A$2:$A800,0))</f>
        <v>Kerangka Sampel Area (KSA) 2024 Oktober</v>
      </c>
      <c r="Y691" s="7" t="s">
        <v>4572</v>
      </c>
      <c r="Z691" s="7" t="s">
        <v>4656</v>
      </c>
      <c r="AA691" s="68">
        <f t="shared" si="5"/>
        <v>45565</v>
      </c>
      <c r="AB691" s="68">
        <f t="shared" si="6"/>
        <v>45566</v>
      </c>
      <c r="AC691" s="68">
        <f t="shared" si="7"/>
        <v>45596</v>
      </c>
      <c r="AD691" s="68">
        <f t="shared" si="8"/>
        <v>45595</v>
      </c>
      <c r="AE691" s="68">
        <f t="shared" si="9"/>
        <v>45596</v>
      </c>
    </row>
    <row r="692" spans="1:31" ht="12.5">
      <c r="A692" s="125">
        <v>610422020048</v>
      </c>
      <c r="B692" s="64" t="s">
        <v>36</v>
      </c>
      <c r="D692" s="10">
        <f t="array" aca="1" ref="D692" ca="1">INDEX('Mitra per Bulan'!$M$2:$M800,MATCH(S692,'Mitra per Bulan'!$B$2:$B800,0))</f>
        <v>1</v>
      </c>
      <c r="E692" s="10" t="str">
        <f t="array" ref="E692">INDEX('Database Mitra'!$A$2:$A800,MATCH(A692,'Database Mitra'!$B$2:$B800,0))</f>
        <v>Herri Gustaman</v>
      </c>
      <c r="F692" s="64" t="s">
        <v>25</v>
      </c>
      <c r="G692" s="5" t="str">
        <f t="array" ref="G692">INDEX('Database Mitra'!$G$2:$G800,MATCH(A692,'Database Mitra'!$B$2:$B800,0))</f>
        <v>6102072503800001</v>
      </c>
      <c r="H692" s="64" t="s">
        <v>85</v>
      </c>
      <c r="I692" s="65" t="str">
        <f t="shared" si="21"/>
        <v>KSA24-LAPANGAN-OKTOBER-PPL-KSA JAGUNG</v>
      </c>
      <c r="J692" s="10" t="str">
        <f t="array" ref="J692">INDEX(Honor!$H$2:$H800,MATCH($I692,Honor!$A$2:$A800,0))</f>
        <v>Segmen</v>
      </c>
      <c r="K692" s="66">
        <f t="array" ref="K692">INDEX(Honor!$I$2:$I800,MATCH($I692,Honor!$A$2:$A800,0))</f>
        <v>59000</v>
      </c>
      <c r="L692" s="64">
        <v>6</v>
      </c>
      <c r="M692" s="10">
        <f t="shared" si="0"/>
        <v>354000</v>
      </c>
      <c r="O692" s="67">
        <f t="array" ref="O692">INDEX(Honor!$L$2:$L800,MATCH($I692,Honor!$A$2:$A800,0))</f>
        <v>45596</v>
      </c>
      <c r="P692" s="10">
        <f t="shared" si="1"/>
        <v>2024</v>
      </c>
      <c r="Q692" s="10">
        <f t="shared" si="2"/>
        <v>10</v>
      </c>
      <c r="R692" s="10" t="str">
        <f t="array" ref="R692">INDEX(Honor!$Q$2:$Q800,MATCH($I692,Honor!$A$2:$A800,0))</f>
        <v>SURVEI-PPL</v>
      </c>
      <c r="S692" s="10" t="str">
        <f t="shared" si="3"/>
        <v>610422020048-2024-10</v>
      </c>
      <c r="T692" s="10" t="str">
        <f t="shared" si="4"/>
        <v>610422020048-2024-10-SURVEI-PPL</v>
      </c>
      <c r="U692" s="64">
        <v>0</v>
      </c>
      <c r="V692" s="10" t="e">
        <f t="array" aca="1" ref="V692" ca="1">INDEX(Honor!$O$2:$O800,MATCH($I692,Honor!$A$2:$A800,0))</f>
        <v>#NAME?</v>
      </c>
      <c r="W692" s="67"/>
      <c r="X692" s="7" t="str">
        <f t="array" ref="X692">INDEX('Input Kegiatan'!$B$2:$B800,MATCH(B692,'Input Kegiatan'!$A$2:$A800,0))</f>
        <v>Kerangka Sampel Area (KSA) 2024 Oktober</v>
      </c>
      <c r="Y692" s="7" t="s">
        <v>4931</v>
      </c>
      <c r="Z692" s="7" t="s">
        <v>5171</v>
      </c>
      <c r="AA692" s="68">
        <f t="shared" si="5"/>
        <v>45565</v>
      </c>
      <c r="AB692" s="68">
        <f t="shared" si="6"/>
        <v>45566</v>
      </c>
      <c r="AC692" s="68">
        <f t="shared" si="7"/>
        <v>45596</v>
      </c>
      <c r="AD692" s="68">
        <f t="shared" si="8"/>
        <v>45595</v>
      </c>
      <c r="AE692" s="68">
        <f t="shared" si="9"/>
        <v>45596</v>
      </c>
    </row>
    <row r="693" spans="1:31" ht="12.5">
      <c r="A693" s="125">
        <v>610422040058</v>
      </c>
      <c r="B693" s="64" t="s">
        <v>36</v>
      </c>
      <c r="D693" s="10">
        <f t="array" aca="1" ref="D693" ca="1">INDEX('Mitra per Bulan'!$M$2:$M800,MATCH(S693,'Mitra per Bulan'!$B$2:$B800,0))</f>
        <v>1</v>
      </c>
      <c r="E693" s="10" t="str">
        <f t="array" ref="E693">INDEX('Database Mitra'!$A$2:$A800,MATCH(A693,'Database Mitra'!$B$2:$B800,0))</f>
        <v>Jamaluddin, Sp</v>
      </c>
      <c r="F693" s="64" t="s">
        <v>25</v>
      </c>
      <c r="G693" s="5" t="str">
        <f t="array" ref="G693">INDEX('Database Mitra'!$G$2:$G800,MATCH(A693,'Database Mitra'!$B$2:$B800,0))</f>
        <v>6102152607940002</v>
      </c>
      <c r="H693" s="64" t="s">
        <v>85</v>
      </c>
      <c r="I693" s="65" t="str">
        <f t="shared" si="21"/>
        <v>KSA24-LAPANGAN-OKTOBER-PPL-KSA JAGUNG</v>
      </c>
      <c r="J693" s="10" t="str">
        <f t="array" ref="J693">INDEX(Honor!$H$2:$H800,MATCH($I693,Honor!$A$2:$A800,0))</f>
        <v>Segmen</v>
      </c>
      <c r="K693" s="66">
        <f t="array" ref="K693">INDEX(Honor!$I$2:$I800,MATCH($I693,Honor!$A$2:$A800,0))</f>
        <v>59000</v>
      </c>
      <c r="L693" s="64">
        <v>10</v>
      </c>
      <c r="M693" s="10">
        <f t="shared" si="0"/>
        <v>590000</v>
      </c>
      <c r="O693" s="67">
        <f t="array" ref="O693">INDEX(Honor!$L$2:$L800,MATCH($I693,Honor!$A$2:$A800,0))</f>
        <v>45596</v>
      </c>
      <c r="P693" s="10">
        <f t="shared" si="1"/>
        <v>2024</v>
      </c>
      <c r="Q693" s="10">
        <f t="shared" si="2"/>
        <v>10</v>
      </c>
      <c r="R693" s="10" t="str">
        <f t="array" ref="R693">INDEX(Honor!$Q$2:$Q800,MATCH($I693,Honor!$A$2:$A800,0))</f>
        <v>SURVEI-PPL</v>
      </c>
      <c r="S693" s="10" t="str">
        <f t="shared" si="3"/>
        <v>610422040058-2024-10</v>
      </c>
      <c r="T693" s="10" t="str">
        <f t="shared" si="4"/>
        <v>610422040058-2024-10-SURVEI-PPL</v>
      </c>
      <c r="U693" s="64">
        <v>0</v>
      </c>
      <c r="V693" s="10" t="e">
        <f t="array" aca="1" ref="V693" ca="1">INDEX(Honor!$O$2:$O800,MATCH($I693,Honor!$A$2:$A800,0))</f>
        <v>#NAME?</v>
      </c>
      <c r="W693" s="67"/>
      <c r="X693" s="7" t="str">
        <f t="array" ref="X693">INDEX('Input Kegiatan'!$B$2:$B800,MATCH(B693,'Input Kegiatan'!$A$2:$A800,0))</f>
        <v>Kerangka Sampel Area (KSA) 2024 Oktober</v>
      </c>
      <c r="Y693" s="7" t="s">
        <v>3715</v>
      </c>
      <c r="Z693" s="7" t="s">
        <v>3716</v>
      </c>
      <c r="AA693" s="68">
        <f t="shared" si="5"/>
        <v>45565</v>
      </c>
      <c r="AB693" s="68">
        <f t="shared" si="6"/>
        <v>45566</v>
      </c>
      <c r="AC693" s="68">
        <f t="shared" si="7"/>
        <v>45596</v>
      </c>
      <c r="AD693" s="68">
        <f t="shared" si="8"/>
        <v>45595</v>
      </c>
      <c r="AE693" s="68">
        <f t="shared" si="9"/>
        <v>45596</v>
      </c>
    </row>
    <row r="694" spans="1:31" ht="12.5">
      <c r="A694" s="125">
        <v>610423110183</v>
      </c>
      <c r="B694" s="64" t="s">
        <v>36</v>
      </c>
      <c r="D694" s="10">
        <f t="array" aca="1" ref="D694" ca="1">INDEX('Mitra per Bulan'!$M$2:$M800,MATCH(S694,'Mitra per Bulan'!$B$2:$B800,0))</f>
        <v>1</v>
      </c>
      <c r="E694" s="10" t="str">
        <f t="array" ref="E694">INDEX('Database Mitra'!$A$2:$A800,MATCH(A694,'Database Mitra'!$B$2:$B800,0))</f>
        <v>Azhar</v>
      </c>
      <c r="F694" s="64" t="s">
        <v>25</v>
      </c>
      <c r="G694" s="5" t="str">
        <f t="array" ref="G694">INDEX('Database Mitra'!$G$2:$G800,MATCH(A694,'Database Mitra'!$B$2:$B800,0))</f>
        <v>6102081211790004</v>
      </c>
      <c r="H694" s="64" t="s">
        <v>85</v>
      </c>
      <c r="I694" s="65" t="str">
        <f t="shared" si="21"/>
        <v>KSA24-LAPANGAN-OKTOBER-PPL-KSA JAGUNG</v>
      </c>
      <c r="J694" s="10" t="str">
        <f t="array" ref="J694">INDEX(Honor!$H$2:$H800,MATCH($I694,Honor!$A$2:$A800,0))</f>
        <v>Segmen</v>
      </c>
      <c r="K694" s="66">
        <f t="array" ref="K694">INDEX(Honor!$I$2:$I800,MATCH($I694,Honor!$A$2:$A800,0))</f>
        <v>59000</v>
      </c>
      <c r="L694" s="64">
        <v>6</v>
      </c>
      <c r="M694" s="10">
        <f t="shared" si="0"/>
        <v>354000</v>
      </c>
      <c r="O694" s="67">
        <f t="array" ref="O694">INDEX(Honor!$L$2:$L800,MATCH($I694,Honor!$A$2:$A800,0))</f>
        <v>45596</v>
      </c>
      <c r="P694" s="10">
        <f t="shared" si="1"/>
        <v>2024</v>
      </c>
      <c r="Q694" s="10">
        <f t="shared" si="2"/>
        <v>10</v>
      </c>
      <c r="R694" s="10" t="str">
        <f t="array" ref="R694">INDEX(Honor!$Q$2:$Q800,MATCH($I694,Honor!$A$2:$A800,0))</f>
        <v>SURVEI-PPL</v>
      </c>
      <c r="S694" s="10" t="str">
        <f t="shared" si="3"/>
        <v>610423110183-2024-10</v>
      </c>
      <c r="T694" s="10" t="str">
        <f t="shared" si="4"/>
        <v>610423110183-2024-10-SURVEI-PPL</v>
      </c>
      <c r="U694" s="64">
        <v>0</v>
      </c>
      <c r="V694" s="10" t="e">
        <f t="array" aca="1" ref="V694" ca="1">INDEX(Honor!$O$2:$O800,MATCH($I694,Honor!$A$2:$A800,0))</f>
        <v>#NAME?</v>
      </c>
      <c r="W694" s="67"/>
      <c r="X694" s="7" t="str">
        <f t="array" ref="X694">INDEX('Input Kegiatan'!$B$2:$B800,MATCH(B694,'Input Kegiatan'!$A$2:$A800,0))</f>
        <v>Kerangka Sampel Area (KSA) 2024 Oktober</v>
      </c>
      <c r="Y694" s="7" t="s">
        <v>3241</v>
      </c>
      <c r="Z694" s="7" t="s">
        <v>3242</v>
      </c>
      <c r="AA694" s="68">
        <f t="shared" si="5"/>
        <v>45565</v>
      </c>
      <c r="AB694" s="68">
        <f t="shared" si="6"/>
        <v>45566</v>
      </c>
      <c r="AC694" s="68">
        <f t="shared" si="7"/>
        <v>45596</v>
      </c>
      <c r="AD694" s="68">
        <f t="shared" si="8"/>
        <v>45595</v>
      </c>
      <c r="AE694" s="68">
        <f t="shared" si="9"/>
        <v>45596</v>
      </c>
    </row>
    <row r="695" spans="1:31" ht="12.5">
      <c r="A695" s="125">
        <v>610422100244</v>
      </c>
      <c r="B695" s="64" t="s">
        <v>36</v>
      </c>
      <c r="D695" s="10">
        <f t="array" aca="1" ref="D695" ca="1">INDEX('Mitra per Bulan'!$M$2:$M800,MATCH(S695,'Mitra per Bulan'!$B$2:$B800,0))</f>
        <v>1</v>
      </c>
      <c r="E695" s="10" t="str">
        <f t="array" ref="E695">INDEX('Database Mitra'!$A$2:$A800,MATCH(A695,'Database Mitra'!$B$2:$B800,0))</f>
        <v>Sugianto</v>
      </c>
      <c r="F695" s="64" t="s">
        <v>25</v>
      </c>
      <c r="G695" s="5" t="str">
        <f t="array" ref="G695">INDEX('Database Mitra'!$G$2:$G800,MATCH(A695,'Database Mitra'!$B$2:$B800,0))</f>
        <v>6102171003900002</v>
      </c>
      <c r="H695" s="64" t="s">
        <v>85</v>
      </c>
      <c r="I695" s="65" t="str">
        <f t="shared" si="21"/>
        <v>KSA24-LAPANGAN-OKTOBER-PPL-KSA JAGUNG</v>
      </c>
      <c r="J695" s="10" t="str">
        <f t="array" ref="J695">INDEX(Honor!$H$2:$H800,MATCH($I695,Honor!$A$2:$A800,0))</f>
        <v>Segmen</v>
      </c>
      <c r="K695" s="66">
        <f t="array" ref="K695">INDEX(Honor!$I$2:$I800,MATCH($I695,Honor!$A$2:$A800,0))</f>
        <v>59000</v>
      </c>
      <c r="L695" s="64">
        <v>8</v>
      </c>
      <c r="M695" s="10">
        <f t="shared" si="0"/>
        <v>472000</v>
      </c>
      <c r="O695" s="67">
        <f t="array" ref="O695">INDEX(Honor!$L$2:$L800,MATCH($I695,Honor!$A$2:$A800,0))</f>
        <v>45596</v>
      </c>
      <c r="P695" s="10">
        <f t="shared" si="1"/>
        <v>2024</v>
      </c>
      <c r="Q695" s="10">
        <f t="shared" si="2"/>
        <v>10</v>
      </c>
      <c r="R695" s="10" t="str">
        <f t="array" ref="R695">INDEX(Honor!$Q$2:$Q800,MATCH($I695,Honor!$A$2:$A800,0))</f>
        <v>SURVEI-PPL</v>
      </c>
      <c r="S695" s="10" t="str">
        <f t="shared" si="3"/>
        <v>610422100244-2024-10</v>
      </c>
      <c r="T695" s="10" t="str">
        <f t="shared" si="4"/>
        <v>610422100244-2024-10-SURVEI-PPL</v>
      </c>
      <c r="U695" s="64">
        <v>0</v>
      </c>
      <c r="V695" s="10" t="e">
        <f t="array" aca="1" ref="V695" ca="1">INDEX(Honor!$O$2:$O800,MATCH($I695,Honor!$A$2:$A800,0))</f>
        <v>#NAME?</v>
      </c>
      <c r="W695" s="67"/>
      <c r="X695" s="7" t="str">
        <f t="array" ref="X695">INDEX('Input Kegiatan'!$B$2:$B800,MATCH(B695,'Input Kegiatan'!$A$2:$A800,0))</f>
        <v>Kerangka Sampel Area (KSA) 2024 Oktober</v>
      </c>
      <c r="Y695" s="7" t="s">
        <v>5741</v>
      </c>
      <c r="Z695" s="7" t="s">
        <v>5796</v>
      </c>
      <c r="AA695" s="68">
        <f t="shared" si="5"/>
        <v>45565</v>
      </c>
      <c r="AB695" s="68">
        <f t="shared" si="6"/>
        <v>45566</v>
      </c>
      <c r="AC695" s="68">
        <f t="shared" si="7"/>
        <v>45596</v>
      </c>
      <c r="AD695" s="68">
        <f t="shared" si="8"/>
        <v>45595</v>
      </c>
      <c r="AE695" s="68">
        <f t="shared" si="9"/>
        <v>45596</v>
      </c>
    </row>
    <row r="696" spans="1:31" ht="12.5">
      <c r="A696" s="125">
        <v>610422040056</v>
      </c>
      <c r="B696" s="64" t="s">
        <v>290</v>
      </c>
      <c r="D696" s="10">
        <f t="array" aca="1" ref="D696" ca="1">INDEX('Mitra per Bulan'!$M$2:$M800,MATCH(S696,'Mitra per Bulan'!$B$2:$B800,0))</f>
        <v>1</v>
      </c>
      <c r="E696" s="10" t="str">
        <f t="array" ref="E696">INDEX('Database Mitra'!$A$2:$A800,MATCH(A696,'Database Mitra'!$B$2:$B800,0))</f>
        <v>Wandi Syafari</v>
      </c>
      <c r="F696" s="64" t="s">
        <v>25</v>
      </c>
      <c r="G696" s="5" t="str">
        <f t="array" ref="G696">INDEX('Database Mitra'!$G$2:$G800,MATCH(A696,'Database Mitra'!$B$2:$B800,0))</f>
        <v>6102010802760001</v>
      </c>
      <c r="H696" s="64" t="s">
        <v>67</v>
      </c>
      <c r="I696" s="65" t="s">
        <v>291</v>
      </c>
      <c r="J696" s="10" t="str">
        <f t="array" ref="J696">INDEX(Honor!$H$2:$H800,MATCH($I696,Honor!$A$2:$A800,0))</f>
        <v>Dokumen</v>
      </c>
      <c r="K696" s="66">
        <f t="array" ref="K696">INDEX(Honor!$I$2:$I800,MATCH($I696,Honor!$A$2:$A800,0))</f>
        <v>65000</v>
      </c>
      <c r="L696" s="64">
        <v>10</v>
      </c>
      <c r="M696" s="10">
        <f t="shared" si="0"/>
        <v>650000</v>
      </c>
      <c r="O696" s="67">
        <f t="array" ref="O696">INDEX(Honor!$L$2:$L800,MATCH($I696,Honor!$A$2:$A800,0))</f>
        <v>45596</v>
      </c>
      <c r="P696" s="10">
        <f t="shared" si="1"/>
        <v>2024</v>
      </c>
      <c r="Q696" s="10">
        <f t="shared" si="2"/>
        <v>10</v>
      </c>
      <c r="R696" s="10" t="str">
        <f t="array" ref="R696">INDEX(Honor!$Q$2:$Q800,MATCH($I696,Honor!$A$2:$A800,0))</f>
        <v>SURVEI-PPL</v>
      </c>
      <c r="S696" s="10" t="str">
        <f t="shared" si="3"/>
        <v>610422040056-2024-10</v>
      </c>
      <c r="T696" s="10" t="str">
        <f t="shared" si="4"/>
        <v>610422040056-2024-10-SURVEI-PPL</v>
      </c>
      <c r="U696" s="64">
        <v>1</v>
      </c>
      <c r="V696" s="10" t="e">
        <f t="array" aca="1" ref="V696" ca="1">INDEX(Honor!$O$2:$O800,MATCH($I696,Honor!$A$2:$A800,0))</f>
        <v>#NAME?</v>
      </c>
      <c r="W696" s="67"/>
      <c r="X696" s="7" t="str">
        <f t="array" ref="X696">INDEX('Input Kegiatan'!$B$2:$B800,MATCH(B696,'Input Kegiatan'!$A$2:$A800,0))</f>
        <v>Survei Khusus Lembaga Nonprofit yang Melayani Rumah Tangga 2024 (SKLNPT24) Triwulan III</v>
      </c>
      <c r="Y696" s="7" t="s">
        <v>4572</v>
      </c>
      <c r="Z696" s="7" t="s">
        <v>4656</v>
      </c>
      <c r="AA696" s="68">
        <f t="shared" si="5"/>
        <v>45565</v>
      </c>
      <c r="AB696" s="68">
        <f t="shared" si="6"/>
        <v>45566</v>
      </c>
      <c r="AC696" s="68">
        <f t="shared" si="7"/>
        <v>45596</v>
      </c>
      <c r="AD696" s="68">
        <f t="shared" si="8"/>
        <v>45595</v>
      </c>
      <c r="AE696" s="68">
        <f t="shared" si="9"/>
        <v>45596</v>
      </c>
    </row>
    <row r="697" spans="1:31" ht="12.5">
      <c r="A697" s="125">
        <v>610422040029</v>
      </c>
      <c r="B697" s="64" t="s">
        <v>292</v>
      </c>
      <c r="D697" s="10">
        <f t="array" aca="1" ref="D697" ca="1">INDEX('Mitra per Bulan'!$M$2:$M800,MATCH(S697,'Mitra per Bulan'!$B$2:$B800,0))</f>
        <v>1</v>
      </c>
      <c r="E697" s="10" t="str">
        <f t="array" ref="E697">INDEX('Database Mitra'!$A$2:$A800,MATCH(A697,'Database Mitra'!$B$2:$B800,0))</f>
        <v>Zaini</v>
      </c>
      <c r="F697" s="64" t="s">
        <v>25</v>
      </c>
      <c r="G697" s="5" t="str">
        <f t="array" ref="G697">INDEX('Database Mitra'!$G$2:$G800,MATCH(A697,'Database Mitra'!$B$2:$B800,0))</f>
        <v>6102010607870002</v>
      </c>
      <c r="H697" s="64" t="s">
        <v>67</v>
      </c>
      <c r="I697" s="65" t="s">
        <v>293</v>
      </c>
      <c r="J697" s="10" t="str">
        <f t="array" ref="J697">INDEX(Honor!$H$2:$H800,MATCH($I697,Honor!$A$2:$A800,0))</f>
        <v>Dokumen</v>
      </c>
      <c r="K697" s="66">
        <f t="array" ref="K697">INDEX(Honor!$I$2:$I800,MATCH($I697,Honor!$A$2:$A800,0))</f>
        <v>55000</v>
      </c>
      <c r="L697" s="64">
        <v>1</v>
      </c>
      <c r="M697" s="10">
        <f t="shared" si="0"/>
        <v>55000</v>
      </c>
      <c r="O697" s="67">
        <f t="array" ref="O697">INDEX(Honor!$L$2:$L800,MATCH($I697,Honor!$A$2:$A800,0))</f>
        <v>45596</v>
      </c>
      <c r="P697" s="10">
        <f t="shared" si="1"/>
        <v>2024</v>
      </c>
      <c r="Q697" s="10">
        <f t="shared" si="2"/>
        <v>10</v>
      </c>
      <c r="R697" s="10" t="str">
        <f t="array" ref="R697">INDEX(Honor!$Q$2:$Q800,MATCH($I697,Honor!$A$2:$A800,0))</f>
        <v>SURVEI-PPL</v>
      </c>
      <c r="S697" s="10" t="str">
        <f t="shared" si="3"/>
        <v>610422040029-2024-10</v>
      </c>
      <c r="T697" s="10" t="str">
        <f t="shared" si="4"/>
        <v>610422040029-2024-10-SURVEI-PPL</v>
      </c>
      <c r="U697" s="64">
        <v>0</v>
      </c>
      <c r="V697" s="10" t="e">
        <f t="array" aca="1" ref="V697" ca="1">INDEX(Honor!$O$2:$O800,MATCH($I697,Honor!$A$2:$A800,0))</f>
        <v>#NAME?</v>
      </c>
      <c r="W697" s="67"/>
      <c r="X697" s="7" t="str">
        <f t="array" ref="X697">INDEX('Input Kegiatan'!$B$2:$B800,MATCH(B697,'Input Kegiatan'!$A$2:$A800,0))</f>
        <v>Survei Khusus Triwulan Neraca Produksi Barang Jasa (SKTNP) 2024 Triwulan III</v>
      </c>
      <c r="Y697" s="7" t="s">
        <v>4572</v>
      </c>
      <c r="Z697" s="7" t="s">
        <v>4619</v>
      </c>
      <c r="AA697" s="68">
        <f t="shared" si="5"/>
        <v>45565</v>
      </c>
      <c r="AB697" s="68">
        <f t="shared" si="6"/>
        <v>45566</v>
      </c>
      <c r="AC697" s="68">
        <f t="shared" si="7"/>
        <v>45596</v>
      </c>
      <c r="AD697" s="68">
        <f t="shared" si="8"/>
        <v>45595</v>
      </c>
      <c r="AE697" s="68">
        <f t="shared" si="9"/>
        <v>45596</v>
      </c>
    </row>
    <row r="698" spans="1:31" ht="12.5">
      <c r="A698" s="125">
        <v>610422040029</v>
      </c>
      <c r="B698" s="64" t="s">
        <v>292</v>
      </c>
      <c r="D698" s="10">
        <f t="array" aca="1" ref="D698" ca="1">INDEX('Mitra per Bulan'!$M$2:$M800,MATCH(S698,'Mitra per Bulan'!$B$2:$B800,0))</f>
        <v>1</v>
      </c>
      <c r="E698" s="10" t="str">
        <f t="array" ref="E698">INDEX('Database Mitra'!$A$2:$A800,MATCH(A698,'Database Mitra'!$B$2:$B800,0))</f>
        <v>Zaini</v>
      </c>
      <c r="F698" s="64" t="s">
        <v>25</v>
      </c>
      <c r="G698" s="5" t="str">
        <f t="array" ref="G698">INDEX('Database Mitra'!$G$2:$G800,MATCH(A698,'Database Mitra'!$B$2:$B800,0))</f>
        <v>6102010607870002</v>
      </c>
      <c r="H698" s="64" t="s">
        <v>67</v>
      </c>
      <c r="I698" s="65" t="s">
        <v>294</v>
      </c>
      <c r="J698" s="10" t="str">
        <f t="array" ref="J698">INDEX(Honor!$H$2:$H800,MATCH($I698,Honor!$A$2:$A800,0))</f>
        <v>Dokumen</v>
      </c>
      <c r="K698" s="66">
        <f t="array" ref="K698">INDEX(Honor!$I$2:$I800,MATCH($I698,Honor!$A$2:$A800,0))</f>
        <v>55000</v>
      </c>
      <c r="L698" s="64">
        <v>2</v>
      </c>
      <c r="M698" s="10">
        <f t="shared" si="0"/>
        <v>110000</v>
      </c>
      <c r="O698" s="67">
        <f t="array" ref="O698">INDEX(Honor!$L$2:$L800,MATCH($I698,Honor!$A$2:$A800,0))</f>
        <v>45596</v>
      </c>
      <c r="P698" s="10">
        <f t="shared" si="1"/>
        <v>2024</v>
      </c>
      <c r="Q698" s="10">
        <f t="shared" si="2"/>
        <v>10</v>
      </c>
      <c r="R698" s="10" t="str">
        <f t="array" ref="R698">INDEX(Honor!$Q$2:$Q800,MATCH($I698,Honor!$A$2:$A800,0))</f>
        <v>SURVEI-PPL</v>
      </c>
      <c r="S698" s="10" t="str">
        <f t="shared" si="3"/>
        <v>610422040029-2024-10</v>
      </c>
      <c r="T698" s="10" t="str">
        <f t="shared" si="4"/>
        <v>610422040029-2024-10-SURVEI-PPL</v>
      </c>
      <c r="U698" s="64">
        <v>0</v>
      </c>
      <c r="V698" s="10" t="e">
        <f t="array" aca="1" ref="V698" ca="1">INDEX(Honor!$O$2:$O800,MATCH($I698,Honor!$A$2:$A800,0))</f>
        <v>#NAME?</v>
      </c>
      <c r="W698" s="67"/>
      <c r="X698" s="7" t="str">
        <f t="array" ref="X698">INDEX('Input Kegiatan'!$B$2:$B800,MATCH(B698,'Input Kegiatan'!$A$2:$A800,0))</f>
        <v>Survei Khusus Triwulan Neraca Produksi Barang Jasa (SKTNP) 2024 Triwulan III</v>
      </c>
      <c r="Y698" s="7" t="s">
        <v>4572</v>
      </c>
      <c r="Z698" s="7" t="s">
        <v>4619</v>
      </c>
      <c r="AA698" s="68">
        <f t="shared" si="5"/>
        <v>45565</v>
      </c>
      <c r="AB698" s="68">
        <f t="shared" si="6"/>
        <v>45566</v>
      </c>
      <c r="AC698" s="68">
        <f t="shared" si="7"/>
        <v>45596</v>
      </c>
      <c r="AD698" s="68">
        <f t="shared" si="8"/>
        <v>45595</v>
      </c>
      <c r="AE698" s="68">
        <f t="shared" si="9"/>
        <v>45596</v>
      </c>
    </row>
    <row r="699" spans="1:31" ht="12.5">
      <c r="A699" s="125">
        <v>610422030002</v>
      </c>
      <c r="B699" s="65" t="s">
        <v>295</v>
      </c>
      <c r="D699" s="10">
        <f t="array" aca="1" ref="D699" ca="1">INDEX('Mitra per Bulan'!$M$2:$M800,MATCH(S699,'Mitra per Bulan'!$B$2:$B800,0))</f>
        <v>1</v>
      </c>
      <c r="E699" s="10" t="str">
        <f t="array" ref="E699">INDEX('Database Mitra'!$A$2:$A800,MATCH(A699,'Database Mitra'!$B$2:$B800,0))</f>
        <v>Deti Erni Widiastuti</v>
      </c>
      <c r="F699" s="64" t="s">
        <v>25</v>
      </c>
      <c r="G699" s="5" t="str">
        <f t="array" ref="G699">INDEX('Database Mitra'!$G$2:$G800,MATCH(A699,'Database Mitra'!$B$2:$B800,0))</f>
        <v>6102016712860001</v>
      </c>
      <c r="H699" s="64" t="s">
        <v>67</v>
      </c>
      <c r="I699" s="65" t="s">
        <v>296</v>
      </c>
      <c r="J699" s="10" t="str">
        <f t="array" ref="J699">INDEX(Honor!$H$2:$H800,MATCH($I699,Honor!$A$2:$A800,0))</f>
        <v>Dokumen</v>
      </c>
      <c r="K699" s="66">
        <f t="array" ref="K699">INDEX(Honor!$I$2:$I800,MATCH($I699,Honor!$A$2:$A800,0))</f>
        <v>50000</v>
      </c>
      <c r="L699" s="64">
        <v>15</v>
      </c>
      <c r="M699" s="10">
        <f t="shared" si="0"/>
        <v>750000</v>
      </c>
      <c r="O699" s="67">
        <f t="array" ref="O699">INDEX(Honor!$L$2:$L800,MATCH($I699,Honor!$A$2:$A800,0))</f>
        <v>45616</v>
      </c>
      <c r="P699" s="10">
        <f t="shared" si="1"/>
        <v>2024</v>
      </c>
      <c r="Q699" s="10">
        <f t="shared" si="2"/>
        <v>11</v>
      </c>
      <c r="R699" s="10" t="str">
        <f t="array" ref="R699">INDEX(Honor!$Q$2:$Q800,MATCH($I699,Honor!$A$2:$A800,0))</f>
        <v>SURVEI-PPL</v>
      </c>
      <c r="S699" s="10" t="str">
        <f t="shared" si="3"/>
        <v>610422030002-2024-11</v>
      </c>
      <c r="T699" s="10" t="str">
        <f t="shared" si="4"/>
        <v>610422030002-2024-11-SURVEI-PPL</v>
      </c>
      <c r="U699" s="64">
        <v>0</v>
      </c>
      <c r="V699" s="10" t="e">
        <f t="array" aca="1" ref="V699" ca="1">INDEX(Honor!$O$2:$O800,MATCH($I699,Honor!$A$2:$A800,0))</f>
        <v>#NAME?</v>
      </c>
      <c r="W699" s="67"/>
      <c r="X699" s="7" t="str">
        <f t="array" ref="X699">INDEX('Input Kegiatan'!$B$2:$B800,MATCH(B699,'Input Kegiatan'!$A$2:$A800,0))</f>
        <v>Survei Harga Perdagangan Besar (SHPB24) November</v>
      </c>
      <c r="Y699" s="7" t="s">
        <v>3715</v>
      </c>
      <c r="Z699" s="7" t="s">
        <v>3716</v>
      </c>
      <c r="AA699" s="68">
        <f t="shared" si="5"/>
        <v>45596</v>
      </c>
      <c r="AB699" s="68">
        <f t="shared" si="6"/>
        <v>45597</v>
      </c>
      <c r="AC699" s="68">
        <f t="shared" si="7"/>
        <v>45626</v>
      </c>
      <c r="AD699" s="68">
        <f t="shared" si="8"/>
        <v>45625</v>
      </c>
      <c r="AE699" s="68">
        <f t="shared" si="9"/>
        <v>45626</v>
      </c>
    </row>
    <row r="700" spans="1:31" ht="12.5">
      <c r="A700" s="125">
        <v>610422100244</v>
      </c>
      <c r="B700" s="64" t="s">
        <v>297</v>
      </c>
      <c r="D700" s="10">
        <f t="array" aca="1" ref="D700" ca="1">INDEX('Mitra per Bulan'!$M$2:$M800,MATCH(S700,'Mitra per Bulan'!$B$2:$B800,0))</f>
        <v>1</v>
      </c>
      <c r="E700" s="10" t="str">
        <f t="array" ref="E700">INDEX('Database Mitra'!$A$2:$A800,MATCH(A700,'Database Mitra'!$B$2:$B800,0))</f>
        <v>Sugianto</v>
      </c>
      <c r="F700" s="64" t="s">
        <v>25</v>
      </c>
      <c r="G700" s="5" t="str">
        <f t="array" ref="G700">INDEX('Database Mitra'!$G$2:$G800,MATCH(A700,'Database Mitra'!$B$2:$B800,0))</f>
        <v>6102171003900002</v>
      </c>
      <c r="H700" s="64" t="s">
        <v>67</v>
      </c>
      <c r="I700" s="65" t="s">
        <v>298</v>
      </c>
      <c r="J700" s="10" t="str">
        <f t="array" ref="J700">INDEX(Honor!$H$2:$H800,MATCH($I700,Honor!$A$2:$A800,0))</f>
        <v>Dokumen</v>
      </c>
      <c r="K700" s="66">
        <f t="array" ref="K700">INDEX(Honor!$I$2:$I800,MATCH($I700,Honor!$A$2:$A800,0))</f>
        <v>50000</v>
      </c>
      <c r="L700" s="64">
        <v>1</v>
      </c>
      <c r="M700" s="10">
        <f t="shared" si="0"/>
        <v>50000</v>
      </c>
      <c r="O700" s="67">
        <f t="array" ref="O700">INDEX(Honor!$L$2:$L800,MATCH($I700,Honor!$A$2:$A800,0))</f>
        <v>45616</v>
      </c>
      <c r="P700" s="10">
        <f t="shared" si="1"/>
        <v>2024</v>
      </c>
      <c r="Q700" s="10">
        <f t="shared" si="2"/>
        <v>11</v>
      </c>
      <c r="R700" s="10" t="str">
        <f t="array" ref="R700">INDEX(Honor!$Q$2:$Q800,MATCH($I700,Honor!$A$2:$A800,0))</f>
        <v>SURVEI-PPL</v>
      </c>
      <c r="S700" s="10" t="str">
        <f t="shared" si="3"/>
        <v>610422100244-2024-11</v>
      </c>
      <c r="T700" s="10" t="str">
        <f t="shared" si="4"/>
        <v>610422100244-2024-11-SURVEI-PPL</v>
      </c>
      <c r="U700" s="64">
        <v>0</v>
      </c>
      <c r="V700" s="10" t="e">
        <f t="array" aca="1" ref="V700" ca="1">INDEX(Honor!$O$2:$O800,MATCH($I700,Honor!$A$2:$A800,0))</f>
        <v>#NAME?</v>
      </c>
      <c r="W700" s="67"/>
      <c r="X700" s="7" t="str">
        <f t="array" ref="X700">INDEX('Input Kegiatan'!$B$2:$B800,MATCH(B700,'Input Kegiatan'!$A$2:$A800,0))</f>
        <v>Survei Harga Produsen Gabah (HPG24) November</v>
      </c>
      <c r="Y700" s="7" t="s">
        <v>5741</v>
      </c>
      <c r="Z700" s="7" t="s">
        <v>5796</v>
      </c>
      <c r="AA700" s="68">
        <f t="shared" si="5"/>
        <v>45596</v>
      </c>
      <c r="AB700" s="68">
        <f t="shared" si="6"/>
        <v>45597</v>
      </c>
      <c r="AC700" s="68">
        <f t="shared" si="7"/>
        <v>45626</v>
      </c>
      <c r="AD700" s="68">
        <f t="shared" si="8"/>
        <v>45625</v>
      </c>
      <c r="AE700" s="68">
        <f t="shared" si="9"/>
        <v>45626</v>
      </c>
    </row>
    <row r="701" spans="1:31" ht="12.5">
      <c r="A701" s="125">
        <v>610422100124</v>
      </c>
      <c r="B701" s="64" t="s">
        <v>297</v>
      </c>
      <c r="D701" s="10">
        <f t="array" aca="1" ref="D701" ca="1">INDEX('Mitra per Bulan'!$M$2:$M800,MATCH(S701,'Mitra per Bulan'!$B$2:$B800,0))</f>
        <v>1</v>
      </c>
      <c r="E701" s="10" t="str">
        <f t="array" ref="E701">INDEX('Database Mitra'!$A$2:$A800,MATCH(A701,'Database Mitra'!$B$2:$B800,0))</f>
        <v>Prabowo</v>
      </c>
      <c r="F701" s="64" t="s">
        <v>25</v>
      </c>
      <c r="G701" s="5" t="str">
        <f t="array" ref="G701">INDEX('Database Mitra'!$G$2:$G800,MATCH(A701,'Database Mitra'!$B$2:$B800,0))</f>
        <v>6171010108790015</v>
      </c>
      <c r="H701" s="64" t="s">
        <v>67</v>
      </c>
      <c r="I701" s="65" t="s">
        <v>298</v>
      </c>
      <c r="J701" s="10" t="str">
        <f t="array" ref="J701">INDEX(Honor!$H$2:$H800,MATCH($I701,Honor!$A$2:$A800,0))</f>
        <v>Dokumen</v>
      </c>
      <c r="K701" s="66">
        <f t="array" ref="K701">INDEX(Honor!$I$2:$I800,MATCH($I701,Honor!$A$2:$A800,0))</f>
        <v>50000</v>
      </c>
      <c r="L701" s="64">
        <v>1</v>
      </c>
      <c r="M701" s="10">
        <f t="shared" si="0"/>
        <v>50000</v>
      </c>
      <c r="O701" s="67">
        <f t="array" ref="O701">INDEX(Honor!$L$2:$L800,MATCH($I701,Honor!$A$2:$A800,0))</f>
        <v>45616</v>
      </c>
      <c r="P701" s="10">
        <f t="shared" si="1"/>
        <v>2024</v>
      </c>
      <c r="Q701" s="10">
        <f t="shared" si="2"/>
        <v>11</v>
      </c>
      <c r="R701" s="10" t="str">
        <f t="array" ref="R701">INDEX(Honor!$Q$2:$Q800,MATCH($I701,Honor!$A$2:$A800,0))</f>
        <v>SURVEI-PPL</v>
      </c>
      <c r="S701" s="10" t="str">
        <f t="shared" si="3"/>
        <v>610422100124-2024-11</v>
      </c>
      <c r="T701" s="10" t="str">
        <f t="shared" si="4"/>
        <v>610422100124-2024-11-SURVEI-PPL</v>
      </c>
      <c r="U701" s="64">
        <v>0</v>
      </c>
      <c r="V701" s="10" t="e">
        <f t="array" aca="1" ref="V701" ca="1">INDEX(Honor!$O$2:$O800,MATCH($I701,Honor!$A$2:$A800,0))</f>
        <v>#NAME?</v>
      </c>
      <c r="W701" s="67"/>
      <c r="X701" s="7" t="str">
        <f t="array" ref="X701">INDEX('Input Kegiatan'!$B$2:$B800,MATCH(B701,'Input Kegiatan'!$A$2:$A800,0))</f>
        <v>Survei Harga Produsen Gabah (HPG24) November</v>
      </c>
      <c r="Y701" s="7" t="s">
        <v>1921</v>
      </c>
      <c r="Z701" s="7" t="s">
        <v>2140</v>
      </c>
      <c r="AA701" s="68">
        <f t="shared" si="5"/>
        <v>45596</v>
      </c>
      <c r="AB701" s="68">
        <f t="shared" si="6"/>
        <v>45597</v>
      </c>
      <c r="AC701" s="68">
        <f t="shared" si="7"/>
        <v>45626</v>
      </c>
      <c r="AD701" s="68">
        <f t="shared" si="8"/>
        <v>45625</v>
      </c>
      <c r="AE701" s="68">
        <f t="shared" si="9"/>
        <v>45626</v>
      </c>
    </row>
    <row r="702" spans="1:31" ht="12.5">
      <c r="A702" s="125">
        <v>610422100016</v>
      </c>
      <c r="B702" s="65" t="s">
        <v>299</v>
      </c>
      <c r="D702" s="10">
        <f t="array" aca="1" ref="D702" ca="1">INDEX('Mitra per Bulan'!$M$2:$M800,MATCH(S702,'Mitra per Bulan'!$B$2:$B800,0))</f>
        <v>1</v>
      </c>
      <c r="E702" s="10" t="str">
        <f t="array" ref="E702">INDEX('Database Mitra'!$A$2:$A800,MATCH(A702,'Database Mitra'!$B$2:$B800,0))</f>
        <v>Amalia Faisya</v>
      </c>
      <c r="F702" s="64" t="s">
        <v>25</v>
      </c>
      <c r="G702" s="5" t="str">
        <f t="array" ref="G702">INDEX('Database Mitra'!$G$2:$G800,MATCH(A702,'Database Mitra'!$B$2:$B800,0))</f>
        <v>6102124210010005</v>
      </c>
      <c r="H702" s="64" t="s">
        <v>72</v>
      </c>
      <c r="I702" s="65" t="s">
        <v>300</v>
      </c>
      <c r="J702" s="10" t="str">
        <f t="array" ref="J702">INDEX(Honor!$H$2:$H800,MATCH($I702,Honor!$A$2:$A800,0))</f>
        <v>Dokumen</v>
      </c>
      <c r="K702" s="66">
        <f t="array" ref="K702">INDEX(Honor!$I$2:$I800,MATCH($I702,Honor!$A$2:$A800,0))</f>
        <v>65000</v>
      </c>
      <c r="L702" s="64">
        <v>3</v>
      </c>
      <c r="M702" s="10">
        <f t="shared" si="0"/>
        <v>195000</v>
      </c>
      <c r="O702" s="67">
        <f t="array" ref="O702">INDEX(Honor!$L$2:$L800,MATCH($I702,Honor!$A$2:$A800,0))</f>
        <v>45616</v>
      </c>
      <c r="P702" s="10">
        <f t="shared" si="1"/>
        <v>2024</v>
      </c>
      <c r="Q702" s="10">
        <f t="shared" si="2"/>
        <v>11</v>
      </c>
      <c r="R702" s="10" t="str">
        <f t="array" ref="R702">INDEX(Honor!$Q$2:$Q800,MATCH($I702,Honor!$A$2:$A800,0))</f>
        <v>SURVEI-PPL</v>
      </c>
      <c r="S702" s="10" t="str">
        <f t="shared" si="3"/>
        <v>610422100016-2024-11</v>
      </c>
      <c r="T702" s="10" t="str">
        <f t="shared" si="4"/>
        <v>610422100016-2024-11-SURVEI-PPL</v>
      </c>
      <c r="U702" s="64">
        <v>0</v>
      </c>
      <c r="V702" s="10" t="e">
        <f t="array" aca="1" ref="V702" ca="1">INDEX(Honor!$O$2:$O800,MATCH($I702,Honor!$A$2:$A800,0))</f>
        <v>#NAME?</v>
      </c>
      <c r="W702" s="67"/>
      <c r="X702" s="7" t="str">
        <f t="array" ref="X702">INDEX('Input Kegiatan'!$B$2:$B800,MATCH(B702,'Input Kegiatan'!$A$2:$A800,0))</f>
        <v>Survei Harga Perdesaan (SHPED24) November</v>
      </c>
      <c r="Y702" s="7" t="s">
        <v>5250</v>
      </c>
      <c r="Z702" s="7" t="s">
        <v>5365</v>
      </c>
      <c r="AA702" s="68">
        <f t="shared" si="5"/>
        <v>45596</v>
      </c>
      <c r="AB702" s="68">
        <f t="shared" si="6"/>
        <v>45597</v>
      </c>
      <c r="AC702" s="68">
        <f t="shared" si="7"/>
        <v>45626</v>
      </c>
      <c r="AD702" s="68">
        <f t="shared" si="8"/>
        <v>45625</v>
      </c>
      <c r="AE702" s="68">
        <f t="shared" si="9"/>
        <v>45626</v>
      </c>
    </row>
    <row r="703" spans="1:31" ht="12.5">
      <c r="A703" s="125">
        <v>610422050001</v>
      </c>
      <c r="B703" s="65" t="s">
        <v>299</v>
      </c>
      <c r="D703" s="10">
        <f t="array" aca="1" ref="D703" ca="1">INDEX('Mitra per Bulan'!$M$2:$M800,MATCH(S703,'Mitra per Bulan'!$B$2:$B800,0))</f>
        <v>1</v>
      </c>
      <c r="E703" s="10" t="str">
        <f t="array" ref="E703">INDEX('Database Mitra'!$A$2:$A800,MATCH(A703,'Database Mitra'!$B$2:$B800,0))</f>
        <v>Evi Juniarty</v>
      </c>
      <c r="F703" s="64" t="s">
        <v>25</v>
      </c>
      <c r="G703" s="5" t="str">
        <f t="array" ref="G703">INDEX('Database Mitra'!$G$2:$G800,MATCH(A703,'Database Mitra'!$B$2:$B800,0))</f>
        <v>6102165101840001</v>
      </c>
      <c r="H703" s="64" t="s">
        <v>72</v>
      </c>
      <c r="I703" s="65" t="s">
        <v>300</v>
      </c>
      <c r="J703" s="10" t="str">
        <f t="array" ref="J703">INDEX(Honor!$H$2:$H800,MATCH($I703,Honor!$A$2:$A800,0))</f>
        <v>Dokumen</v>
      </c>
      <c r="K703" s="66">
        <f t="array" ref="K703">INDEX(Honor!$I$2:$I800,MATCH($I703,Honor!$A$2:$A800,0))</f>
        <v>65000</v>
      </c>
      <c r="L703" s="64">
        <v>3</v>
      </c>
      <c r="M703" s="10">
        <f t="shared" si="0"/>
        <v>195000</v>
      </c>
      <c r="O703" s="67">
        <f t="array" ref="O703">INDEX(Honor!$L$2:$L800,MATCH($I703,Honor!$A$2:$A800,0))</f>
        <v>45616</v>
      </c>
      <c r="P703" s="10">
        <f t="shared" si="1"/>
        <v>2024</v>
      </c>
      <c r="Q703" s="10">
        <f t="shared" si="2"/>
        <v>11</v>
      </c>
      <c r="R703" s="10" t="str">
        <f t="array" ref="R703">INDEX(Honor!$Q$2:$Q800,MATCH($I703,Honor!$A$2:$A800,0))</f>
        <v>SURVEI-PPL</v>
      </c>
      <c r="S703" s="10" t="str">
        <f t="shared" si="3"/>
        <v>610422050001-2024-11</v>
      </c>
      <c r="T703" s="10" t="str">
        <f t="shared" si="4"/>
        <v>610422050001-2024-11-SURVEI-PPL</v>
      </c>
      <c r="U703" s="64">
        <v>0</v>
      </c>
      <c r="V703" s="10" t="e">
        <f t="array" aca="1" ref="V703" ca="1">INDEX(Honor!$O$2:$O800,MATCH($I703,Honor!$A$2:$A800,0))</f>
        <v>#NAME?</v>
      </c>
      <c r="W703" s="67"/>
      <c r="X703" s="7" t="str">
        <f t="array" ref="X703">INDEX('Input Kegiatan'!$B$2:$B800,MATCH(B703,'Input Kegiatan'!$A$2:$A800,0))</f>
        <v>Survei Harga Perdesaan (SHPED24) November</v>
      </c>
      <c r="Y703" s="7" t="s">
        <v>4408</v>
      </c>
      <c r="Z703" s="7" t="s">
        <v>4409</v>
      </c>
      <c r="AA703" s="68">
        <f t="shared" si="5"/>
        <v>45596</v>
      </c>
      <c r="AB703" s="68">
        <f t="shared" si="6"/>
        <v>45597</v>
      </c>
      <c r="AC703" s="68">
        <f t="shared" si="7"/>
        <v>45626</v>
      </c>
      <c r="AD703" s="68">
        <f t="shared" si="8"/>
        <v>45625</v>
      </c>
      <c r="AE703" s="68">
        <f t="shared" si="9"/>
        <v>45626</v>
      </c>
    </row>
    <row r="704" spans="1:31" ht="12.5">
      <c r="A704" s="125">
        <v>610422040030</v>
      </c>
      <c r="B704" s="65" t="s">
        <v>299</v>
      </c>
      <c r="D704" s="10">
        <f t="array" aca="1" ref="D704" ca="1">INDEX('Mitra per Bulan'!$M$2:$M800,MATCH(S704,'Mitra per Bulan'!$B$2:$B800,0))</f>
        <v>1</v>
      </c>
      <c r="E704" s="10" t="str">
        <f t="array" ref="E704">INDEX('Database Mitra'!$A$2:$A800,MATCH(A704,'Database Mitra'!$B$2:$B800,0))</f>
        <v>Syarifah Desti Pratiwi</v>
      </c>
      <c r="F704" s="64" t="s">
        <v>25</v>
      </c>
      <c r="G704" s="5" t="str">
        <f t="array" ref="G704">INDEX('Database Mitra'!$G$2:$G800,MATCH(A704,'Database Mitra'!$B$2:$B800,0))</f>
        <v>6102084512950002</v>
      </c>
      <c r="H704" s="64" t="s">
        <v>74</v>
      </c>
      <c r="I704" s="65" t="s">
        <v>301</v>
      </c>
      <c r="J704" s="10" t="str">
        <f t="array" ref="J704">INDEX(Honor!$H$2:$H800,MATCH($I704,Honor!$A$2:$A800,0))</f>
        <v>Dokumen</v>
      </c>
      <c r="K704" s="66">
        <f t="array" ref="K704">INDEX(Honor!$I$2:$I800,MATCH($I704,Honor!$A$2:$A800,0))</f>
        <v>55000</v>
      </c>
      <c r="L704" s="64">
        <v>1</v>
      </c>
      <c r="M704" s="10">
        <f t="shared" si="0"/>
        <v>55000</v>
      </c>
      <c r="O704" s="67">
        <f t="array" ref="O704">INDEX(Honor!$L$2:$L800,MATCH($I704,Honor!$A$2:$A800,0))</f>
        <v>45616</v>
      </c>
      <c r="P704" s="10">
        <f t="shared" si="1"/>
        <v>2024</v>
      </c>
      <c r="Q704" s="10">
        <f t="shared" si="2"/>
        <v>11</v>
      </c>
      <c r="R704" s="10" t="str">
        <f t="array" ref="R704">INDEX(Honor!$Q$2:$Q800,MATCH($I704,Honor!$A$2:$A800,0))</f>
        <v>SURVEI-PPL</v>
      </c>
      <c r="S704" s="10" t="str">
        <f t="shared" si="3"/>
        <v>610422040030-2024-11</v>
      </c>
      <c r="T704" s="10" t="str">
        <f t="shared" si="4"/>
        <v>610422040030-2024-11-SURVEI-PPL</v>
      </c>
      <c r="U704" s="64">
        <v>0</v>
      </c>
      <c r="V704" s="10" t="e">
        <f t="array" aca="1" ref="V704" ca="1">INDEX(Honor!$O$2:$O800,MATCH($I704,Honor!$A$2:$A800,0))</f>
        <v>#NAME?</v>
      </c>
      <c r="W704" s="67"/>
      <c r="X704" s="7" t="str">
        <f t="array" ref="X704">INDEX('Input Kegiatan'!$B$2:$B800,MATCH(B704,'Input Kegiatan'!$A$2:$A800,0))</f>
        <v>Survei Harga Perdesaan (SHPED24) November</v>
      </c>
      <c r="Y704" s="7" t="s">
        <v>3241</v>
      </c>
      <c r="Z704" s="7" t="s">
        <v>3289</v>
      </c>
      <c r="AA704" s="68">
        <f t="shared" si="5"/>
        <v>45596</v>
      </c>
      <c r="AB704" s="68">
        <f t="shared" si="6"/>
        <v>45597</v>
      </c>
      <c r="AC704" s="68">
        <f t="shared" si="7"/>
        <v>45626</v>
      </c>
      <c r="AD704" s="68">
        <f t="shared" si="8"/>
        <v>45625</v>
      </c>
      <c r="AE704" s="68">
        <f t="shared" si="9"/>
        <v>45626</v>
      </c>
    </row>
    <row r="705" spans="1:31" ht="12.5">
      <c r="A705" s="125">
        <v>610422100124</v>
      </c>
      <c r="B705" s="65" t="s">
        <v>299</v>
      </c>
      <c r="D705" s="10">
        <f t="array" aca="1" ref="D705" ca="1">INDEX('Mitra per Bulan'!$M$2:$M800,MATCH(S705,'Mitra per Bulan'!$B$2:$B800,0))</f>
        <v>1</v>
      </c>
      <c r="E705" s="10" t="str">
        <f t="array" ref="E705">INDEX('Database Mitra'!$A$2:$A800,MATCH(A705,'Database Mitra'!$B$2:$B800,0))</f>
        <v>Prabowo</v>
      </c>
      <c r="F705" s="64" t="s">
        <v>25</v>
      </c>
      <c r="G705" s="5" t="str">
        <f t="array" ref="G705">INDEX('Database Mitra'!$G$2:$G800,MATCH(A705,'Database Mitra'!$B$2:$B800,0))</f>
        <v>6171010108790015</v>
      </c>
      <c r="H705" s="64" t="s">
        <v>74</v>
      </c>
      <c r="I705" s="65" t="s">
        <v>301</v>
      </c>
      <c r="J705" s="10" t="str">
        <f t="array" ref="J705">INDEX(Honor!$H$2:$H800,MATCH($I705,Honor!$A$2:$A800,0))</f>
        <v>Dokumen</v>
      </c>
      <c r="K705" s="66">
        <f t="array" ref="K705">INDEX(Honor!$I$2:$I800,MATCH($I705,Honor!$A$2:$A800,0))</f>
        <v>55000</v>
      </c>
      <c r="L705" s="64">
        <v>3</v>
      </c>
      <c r="M705" s="10">
        <f t="shared" si="0"/>
        <v>165000</v>
      </c>
      <c r="O705" s="67">
        <f t="array" ref="O705">INDEX(Honor!$L$2:$L800,MATCH($I705,Honor!$A$2:$A800,0))</f>
        <v>45616</v>
      </c>
      <c r="P705" s="10">
        <f t="shared" si="1"/>
        <v>2024</v>
      </c>
      <c r="Q705" s="10">
        <f t="shared" si="2"/>
        <v>11</v>
      </c>
      <c r="R705" s="10" t="str">
        <f t="array" ref="R705">INDEX(Honor!$Q$2:$Q800,MATCH($I705,Honor!$A$2:$A800,0))</f>
        <v>SURVEI-PPL</v>
      </c>
      <c r="S705" s="10" t="str">
        <f t="shared" si="3"/>
        <v>610422100124-2024-11</v>
      </c>
      <c r="T705" s="10" t="str">
        <f t="shared" si="4"/>
        <v>610422100124-2024-11-SURVEI-PPL</v>
      </c>
      <c r="U705" s="64">
        <v>0</v>
      </c>
      <c r="V705" s="10" t="e">
        <f t="array" aca="1" ref="V705" ca="1">INDEX(Honor!$O$2:$O800,MATCH($I705,Honor!$A$2:$A800,0))</f>
        <v>#NAME?</v>
      </c>
      <c r="W705" s="67"/>
      <c r="X705" s="7" t="str">
        <f t="array" ref="X705">INDEX('Input Kegiatan'!$B$2:$B800,MATCH(B705,'Input Kegiatan'!$A$2:$A800,0))</f>
        <v>Survei Harga Perdesaan (SHPED24) November</v>
      </c>
      <c r="Y705" s="7" t="s">
        <v>1921</v>
      </c>
      <c r="Z705" s="7" t="s">
        <v>2140</v>
      </c>
      <c r="AA705" s="68">
        <f t="shared" si="5"/>
        <v>45596</v>
      </c>
      <c r="AB705" s="68">
        <f t="shared" si="6"/>
        <v>45597</v>
      </c>
      <c r="AC705" s="68">
        <f t="shared" si="7"/>
        <v>45626</v>
      </c>
      <c r="AD705" s="68">
        <f t="shared" si="8"/>
        <v>45625</v>
      </c>
      <c r="AE705" s="68">
        <f t="shared" si="9"/>
        <v>45626</v>
      </c>
    </row>
    <row r="706" spans="1:31" ht="12.5">
      <c r="A706" s="125">
        <v>610422100244</v>
      </c>
      <c r="B706" s="65" t="s">
        <v>299</v>
      </c>
      <c r="D706" s="10">
        <f t="array" aca="1" ref="D706" ca="1">INDEX('Mitra per Bulan'!$M$2:$M800,MATCH(S706,'Mitra per Bulan'!$B$2:$B800,0))</f>
        <v>1</v>
      </c>
      <c r="E706" s="10" t="str">
        <f t="array" ref="E706">INDEX('Database Mitra'!$A$2:$A800,MATCH(A706,'Database Mitra'!$B$2:$B800,0))</f>
        <v>Sugianto</v>
      </c>
      <c r="F706" s="64" t="s">
        <v>25</v>
      </c>
      <c r="G706" s="5" t="str">
        <f t="array" ref="G706">INDEX('Database Mitra'!$G$2:$G800,MATCH(A706,'Database Mitra'!$B$2:$B800,0))</f>
        <v>6102171003900002</v>
      </c>
      <c r="H706" s="64" t="s">
        <v>74</v>
      </c>
      <c r="I706" s="65" t="s">
        <v>301</v>
      </c>
      <c r="J706" s="10" t="str">
        <f t="array" ref="J706">INDEX(Honor!$H$2:$H800,MATCH($I706,Honor!$A$2:$A800,0))</f>
        <v>Dokumen</v>
      </c>
      <c r="K706" s="66">
        <f t="array" ref="K706">INDEX(Honor!$I$2:$I800,MATCH($I706,Honor!$A$2:$A800,0))</f>
        <v>55000</v>
      </c>
      <c r="L706" s="64">
        <v>2</v>
      </c>
      <c r="M706" s="10">
        <f t="shared" si="0"/>
        <v>110000</v>
      </c>
      <c r="O706" s="67">
        <f t="array" ref="O706">INDEX(Honor!$L$2:$L800,MATCH($I706,Honor!$A$2:$A800,0))</f>
        <v>45616</v>
      </c>
      <c r="P706" s="10">
        <f t="shared" si="1"/>
        <v>2024</v>
      </c>
      <c r="Q706" s="10">
        <f t="shared" si="2"/>
        <v>11</v>
      </c>
      <c r="R706" s="10" t="str">
        <f t="array" ref="R706">INDEX(Honor!$Q$2:$Q800,MATCH($I706,Honor!$A$2:$A800,0))</f>
        <v>SURVEI-PPL</v>
      </c>
      <c r="S706" s="10" t="str">
        <f t="shared" si="3"/>
        <v>610422100244-2024-11</v>
      </c>
      <c r="T706" s="10" t="str">
        <f t="shared" si="4"/>
        <v>610422100244-2024-11-SURVEI-PPL</v>
      </c>
      <c r="U706" s="64">
        <v>0</v>
      </c>
      <c r="V706" s="10" t="e">
        <f t="array" aca="1" ref="V706" ca="1">INDEX(Honor!$O$2:$O800,MATCH($I706,Honor!$A$2:$A800,0))</f>
        <v>#NAME?</v>
      </c>
      <c r="W706" s="67"/>
      <c r="X706" s="7" t="str">
        <f t="array" ref="X706">INDEX('Input Kegiatan'!$B$2:$B800,MATCH(B706,'Input Kegiatan'!$A$2:$A800,0))</f>
        <v>Survei Harga Perdesaan (SHPED24) November</v>
      </c>
      <c r="Y706" s="7" t="s">
        <v>5741</v>
      </c>
      <c r="Z706" s="7" t="s">
        <v>5796</v>
      </c>
      <c r="AA706" s="68">
        <f t="shared" si="5"/>
        <v>45596</v>
      </c>
      <c r="AB706" s="68">
        <f t="shared" si="6"/>
        <v>45597</v>
      </c>
      <c r="AC706" s="68">
        <f t="shared" si="7"/>
        <v>45626</v>
      </c>
      <c r="AD706" s="68">
        <f t="shared" si="8"/>
        <v>45625</v>
      </c>
      <c r="AE706" s="68">
        <f t="shared" si="9"/>
        <v>45626</v>
      </c>
    </row>
    <row r="707" spans="1:31" ht="12.5">
      <c r="A707" s="125">
        <v>610422020016</v>
      </c>
      <c r="B707" s="65" t="s">
        <v>299</v>
      </c>
      <c r="D707" s="10">
        <f t="array" aca="1" ref="D707" ca="1">INDEX('Mitra per Bulan'!$M$2:$M800,MATCH(S707,'Mitra per Bulan'!$B$2:$B800,0))</f>
        <v>1</v>
      </c>
      <c r="E707" s="10" t="str">
        <f t="array" ref="E707">INDEX('Database Mitra'!$A$2:$A800,MATCH(A707,'Database Mitra'!$B$2:$B800,0))</f>
        <v>Abdul Aziz</v>
      </c>
      <c r="F707" s="64" t="s">
        <v>25</v>
      </c>
      <c r="G707" s="5" t="str">
        <f t="array" ref="G707">INDEX('Database Mitra'!$G$2:$G800,MATCH(A707,'Database Mitra'!$B$2:$B800,0))</f>
        <v>6102061507950006</v>
      </c>
      <c r="H707" s="64" t="s">
        <v>74</v>
      </c>
      <c r="I707" s="65" t="s">
        <v>301</v>
      </c>
      <c r="J707" s="10" t="str">
        <f t="array" ref="J707">INDEX(Honor!$H$2:$H800,MATCH($I707,Honor!$A$2:$A800,0))</f>
        <v>Dokumen</v>
      </c>
      <c r="K707" s="66">
        <f t="array" ref="K707">INDEX(Honor!$I$2:$I800,MATCH($I707,Honor!$A$2:$A800,0))</f>
        <v>55000</v>
      </c>
      <c r="L707" s="64">
        <v>3</v>
      </c>
      <c r="M707" s="10">
        <f t="shared" si="0"/>
        <v>165000</v>
      </c>
      <c r="O707" s="67">
        <f t="array" ref="O707">INDEX(Honor!$L$2:$L800,MATCH($I707,Honor!$A$2:$A800,0))</f>
        <v>45616</v>
      </c>
      <c r="P707" s="10">
        <f t="shared" si="1"/>
        <v>2024</v>
      </c>
      <c r="Q707" s="10">
        <f t="shared" si="2"/>
        <v>11</v>
      </c>
      <c r="R707" s="10" t="str">
        <f t="array" ref="R707">INDEX(Honor!$Q$2:$Q800,MATCH($I707,Honor!$A$2:$A800,0))</f>
        <v>SURVEI-PPL</v>
      </c>
      <c r="S707" s="10" t="str">
        <f t="shared" si="3"/>
        <v>610422020016-2024-11</v>
      </c>
      <c r="T707" s="10" t="str">
        <f t="shared" si="4"/>
        <v>610422020016-2024-11-SURVEI-PPL</v>
      </c>
      <c r="U707" s="64">
        <v>0</v>
      </c>
      <c r="V707" s="10" t="e">
        <f t="array" aca="1" ref="V707" ca="1">INDEX(Honor!$O$2:$O800,MATCH($I707,Honor!$A$2:$A800,0))</f>
        <v>#NAME?</v>
      </c>
      <c r="W707" s="67"/>
      <c r="X707" s="7" t="str">
        <f t="array" ref="X707">INDEX('Input Kegiatan'!$B$2:$B800,MATCH(B707,'Input Kegiatan'!$A$2:$A800,0))</f>
        <v>Survei Harga Perdesaan (SHPED24) November</v>
      </c>
      <c r="Y707" s="7" t="s">
        <v>5534</v>
      </c>
      <c r="Z707" s="7" t="s">
        <v>5535</v>
      </c>
      <c r="AA707" s="68">
        <f t="shared" si="5"/>
        <v>45596</v>
      </c>
      <c r="AB707" s="68">
        <f t="shared" si="6"/>
        <v>45597</v>
      </c>
      <c r="AC707" s="68">
        <f t="shared" si="7"/>
        <v>45626</v>
      </c>
      <c r="AD707" s="68">
        <f t="shared" si="8"/>
        <v>45625</v>
      </c>
      <c r="AE707" s="68">
        <f t="shared" si="9"/>
        <v>45626</v>
      </c>
    </row>
    <row r="708" spans="1:31" ht="12.5">
      <c r="A708" s="125">
        <v>610422100016</v>
      </c>
      <c r="B708" s="65" t="s">
        <v>299</v>
      </c>
      <c r="D708" s="10">
        <f t="array" aca="1" ref="D708" ca="1">INDEX('Mitra per Bulan'!$M$2:$M800,MATCH(S708,'Mitra per Bulan'!$B$2:$B800,0))</f>
        <v>1</v>
      </c>
      <c r="E708" s="10" t="str">
        <f t="array" ref="E708">INDEX('Database Mitra'!$A$2:$A800,MATCH(A708,'Database Mitra'!$B$2:$B800,0))</f>
        <v>Amalia Faisya</v>
      </c>
      <c r="F708" s="64" t="s">
        <v>25</v>
      </c>
      <c r="G708" s="5" t="str">
        <f t="array" ref="G708">INDEX('Database Mitra'!$G$2:$G800,MATCH(A708,'Database Mitra'!$B$2:$B800,0))</f>
        <v>6102124210010005</v>
      </c>
      <c r="H708" s="64" t="s">
        <v>74</v>
      </c>
      <c r="I708" s="65" t="s">
        <v>301</v>
      </c>
      <c r="J708" s="10" t="str">
        <f t="array" ref="J708">INDEX(Honor!$H$2:$H800,MATCH($I708,Honor!$A$2:$A800,0))</f>
        <v>Dokumen</v>
      </c>
      <c r="K708" s="66">
        <f t="array" ref="K708">INDEX(Honor!$I$2:$I800,MATCH($I708,Honor!$A$2:$A800,0))</f>
        <v>55000</v>
      </c>
      <c r="L708" s="64">
        <v>1</v>
      </c>
      <c r="M708" s="10">
        <f t="shared" si="0"/>
        <v>55000</v>
      </c>
      <c r="O708" s="67">
        <f t="array" ref="O708">INDEX(Honor!$L$2:$L800,MATCH($I708,Honor!$A$2:$A800,0))</f>
        <v>45616</v>
      </c>
      <c r="P708" s="10">
        <f t="shared" si="1"/>
        <v>2024</v>
      </c>
      <c r="Q708" s="10">
        <f t="shared" si="2"/>
        <v>11</v>
      </c>
      <c r="R708" s="10" t="str">
        <f t="array" ref="R708">INDEX(Honor!$Q$2:$Q800,MATCH($I708,Honor!$A$2:$A800,0))</f>
        <v>SURVEI-PPL</v>
      </c>
      <c r="S708" s="10" t="str">
        <f t="shared" si="3"/>
        <v>610422100016-2024-11</v>
      </c>
      <c r="T708" s="10" t="str">
        <f t="shared" si="4"/>
        <v>610422100016-2024-11-SURVEI-PPL</v>
      </c>
      <c r="U708" s="64">
        <v>0</v>
      </c>
      <c r="V708" s="10" t="e">
        <f t="array" aca="1" ref="V708" ca="1">INDEX(Honor!$O$2:$O800,MATCH($I708,Honor!$A$2:$A800,0))</f>
        <v>#NAME?</v>
      </c>
      <c r="W708" s="67"/>
      <c r="X708" s="7" t="str">
        <f t="array" ref="X708">INDEX('Input Kegiatan'!$B$2:$B800,MATCH(B708,'Input Kegiatan'!$A$2:$A800,0))</f>
        <v>Survei Harga Perdesaan (SHPED24) November</v>
      </c>
      <c r="Y708" s="7" t="s">
        <v>5250</v>
      </c>
      <c r="Z708" s="7" t="s">
        <v>5365</v>
      </c>
      <c r="AA708" s="68">
        <f t="shared" si="5"/>
        <v>45596</v>
      </c>
      <c r="AB708" s="68">
        <f t="shared" si="6"/>
        <v>45597</v>
      </c>
      <c r="AC708" s="68">
        <f t="shared" si="7"/>
        <v>45626</v>
      </c>
      <c r="AD708" s="68">
        <f t="shared" si="8"/>
        <v>45625</v>
      </c>
      <c r="AE708" s="68">
        <f t="shared" si="9"/>
        <v>45626</v>
      </c>
    </row>
    <row r="709" spans="1:31" ht="12.5">
      <c r="A709" s="125">
        <v>610422020048</v>
      </c>
      <c r="B709" s="65" t="s">
        <v>299</v>
      </c>
      <c r="D709" s="10">
        <f t="array" aca="1" ref="D709" ca="1">INDEX('Mitra per Bulan'!$M$2:$M800,MATCH(S709,'Mitra per Bulan'!$B$2:$B800,0))</f>
        <v>1</v>
      </c>
      <c r="E709" s="10" t="str">
        <f t="array" ref="E709">INDEX('Database Mitra'!$A$2:$A800,MATCH(A709,'Database Mitra'!$B$2:$B800,0))</f>
        <v>Herri Gustaman</v>
      </c>
      <c r="F709" s="64" t="s">
        <v>25</v>
      </c>
      <c r="G709" s="5" t="str">
        <f t="array" ref="G709">INDEX('Database Mitra'!$G$2:$G800,MATCH(A709,'Database Mitra'!$B$2:$B800,0))</f>
        <v>6102072503800001</v>
      </c>
      <c r="H709" s="64" t="s">
        <v>74</v>
      </c>
      <c r="I709" s="65" t="s">
        <v>301</v>
      </c>
      <c r="J709" s="10" t="str">
        <f t="array" ref="J709">INDEX(Honor!$H$2:$H800,MATCH($I709,Honor!$A$2:$A800,0))</f>
        <v>Dokumen</v>
      </c>
      <c r="K709" s="66">
        <f t="array" ref="K709">INDEX(Honor!$I$2:$I800,MATCH($I709,Honor!$A$2:$A800,0))</f>
        <v>55000</v>
      </c>
      <c r="L709" s="64">
        <v>3</v>
      </c>
      <c r="M709" s="10">
        <f t="shared" si="0"/>
        <v>165000</v>
      </c>
      <c r="O709" s="67">
        <f t="array" ref="O709">INDEX(Honor!$L$2:$L800,MATCH($I709,Honor!$A$2:$A800,0))</f>
        <v>45616</v>
      </c>
      <c r="P709" s="10">
        <f t="shared" si="1"/>
        <v>2024</v>
      </c>
      <c r="Q709" s="10">
        <f t="shared" si="2"/>
        <v>11</v>
      </c>
      <c r="R709" s="10" t="str">
        <f t="array" ref="R709">INDEX(Honor!$Q$2:$Q800,MATCH($I709,Honor!$A$2:$A800,0))</f>
        <v>SURVEI-PPL</v>
      </c>
      <c r="S709" s="10" t="str">
        <f t="shared" si="3"/>
        <v>610422020048-2024-11</v>
      </c>
      <c r="T709" s="10" t="str">
        <f t="shared" si="4"/>
        <v>610422020048-2024-11-SURVEI-PPL</v>
      </c>
      <c r="U709" s="64">
        <v>0</v>
      </c>
      <c r="V709" s="10" t="e">
        <f t="array" aca="1" ref="V709" ca="1">INDEX(Honor!$O$2:$O800,MATCH($I709,Honor!$A$2:$A800,0))</f>
        <v>#NAME?</v>
      </c>
      <c r="W709" s="67"/>
      <c r="X709" s="7" t="str">
        <f t="array" ref="X709">INDEX('Input Kegiatan'!$B$2:$B800,MATCH(B709,'Input Kegiatan'!$A$2:$A800,0))</f>
        <v>Survei Harga Perdesaan (SHPED24) November</v>
      </c>
      <c r="Y709" s="7" t="s">
        <v>4931</v>
      </c>
      <c r="Z709" s="7" t="s">
        <v>5171</v>
      </c>
      <c r="AA709" s="68">
        <f t="shared" si="5"/>
        <v>45596</v>
      </c>
      <c r="AB709" s="68">
        <f t="shared" si="6"/>
        <v>45597</v>
      </c>
      <c r="AC709" s="68">
        <f t="shared" si="7"/>
        <v>45626</v>
      </c>
      <c r="AD709" s="68">
        <f t="shared" si="8"/>
        <v>45625</v>
      </c>
      <c r="AE709" s="68">
        <f t="shared" si="9"/>
        <v>45626</v>
      </c>
    </row>
    <row r="710" spans="1:31" ht="12.5">
      <c r="A710" s="125">
        <v>610422040029</v>
      </c>
      <c r="B710" s="65" t="s">
        <v>299</v>
      </c>
      <c r="D710" s="10">
        <f t="array" aca="1" ref="D710" ca="1">INDEX('Mitra per Bulan'!$M$2:$M800,MATCH(S710,'Mitra per Bulan'!$B$2:$B800,0))</f>
        <v>1</v>
      </c>
      <c r="E710" s="10" t="str">
        <f t="array" ref="E710">INDEX('Database Mitra'!$A$2:$A800,MATCH(A710,'Database Mitra'!$B$2:$B800,0))</f>
        <v>Zaini</v>
      </c>
      <c r="F710" s="64" t="s">
        <v>25</v>
      </c>
      <c r="G710" s="5" t="str">
        <f t="array" ref="G710">INDEX('Database Mitra'!$G$2:$G800,MATCH(A710,'Database Mitra'!$B$2:$B800,0))</f>
        <v>6102010607870002</v>
      </c>
      <c r="H710" s="64" t="s">
        <v>74</v>
      </c>
      <c r="I710" s="65" t="s">
        <v>301</v>
      </c>
      <c r="J710" s="10" t="str">
        <f t="array" ref="J710">INDEX(Honor!$H$2:$H800,MATCH($I710,Honor!$A$2:$A800,0))</f>
        <v>Dokumen</v>
      </c>
      <c r="K710" s="66">
        <f t="array" ref="K710">INDEX(Honor!$I$2:$I800,MATCH($I710,Honor!$A$2:$A800,0))</f>
        <v>55000</v>
      </c>
      <c r="L710" s="64">
        <v>4</v>
      </c>
      <c r="M710" s="10">
        <f t="shared" si="0"/>
        <v>220000</v>
      </c>
      <c r="O710" s="67">
        <f t="array" ref="O710">INDEX(Honor!$L$2:$L800,MATCH($I710,Honor!$A$2:$A800,0))</f>
        <v>45616</v>
      </c>
      <c r="P710" s="10">
        <f t="shared" si="1"/>
        <v>2024</v>
      </c>
      <c r="Q710" s="10">
        <f t="shared" si="2"/>
        <v>11</v>
      </c>
      <c r="R710" s="10" t="str">
        <f t="array" ref="R710">INDEX(Honor!$Q$2:$Q800,MATCH($I710,Honor!$A$2:$A800,0))</f>
        <v>SURVEI-PPL</v>
      </c>
      <c r="S710" s="10" t="str">
        <f t="shared" si="3"/>
        <v>610422040029-2024-11</v>
      </c>
      <c r="T710" s="10" t="str">
        <f t="shared" si="4"/>
        <v>610422040029-2024-11-SURVEI-PPL</v>
      </c>
      <c r="U710" s="64">
        <v>0</v>
      </c>
      <c r="V710" s="10" t="e">
        <f t="array" aca="1" ref="V710" ca="1">INDEX(Honor!$O$2:$O800,MATCH($I710,Honor!$A$2:$A800,0))</f>
        <v>#NAME?</v>
      </c>
      <c r="W710" s="67"/>
      <c r="X710" s="7" t="str">
        <f t="array" ref="X710">INDEX('Input Kegiatan'!$B$2:$B800,MATCH(B710,'Input Kegiatan'!$A$2:$A800,0))</f>
        <v>Survei Harga Perdesaan (SHPED24) November</v>
      </c>
      <c r="Y710" s="7" t="s">
        <v>4572</v>
      </c>
      <c r="Z710" s="7" t="s">
        <v>4619</v>
      </c>
      <c r="AA710" s="68">
        <f t="shared" si="5"/>
        <v>45596</v>
      </c>
      <c r="AB710" s="68">
        <f t="shared" si="6"/>
        <v>45597</v>
      </c>
      <c r="AC710" s="68">
        <f t="shared" si="7"/>
        <v>45626</v>
      </c>
      <c r="AD710" s="68">
        <f t="shared" si="8"/>
        <v>45625</v>
      </c>
      <c r="AE710" s="68">
        <f t="shared" si="9"/>
        <v>45626</v>
      </c>
    </row>
    <row r="711" spans="1:31" ht="12.5">
      <c r="A711" s="125">
        <v>610422050001</v>
      </c>
      <c r="B711" s="65" t="s">
        <v>299</v>
      </c>
      <c r="D711" s="10">
        <f t="array" aca="1" ref="D711" ca="1">INDEX('Mitra per Bulan'!$M$2:$M800,MATCH(S711,'Mitra per Bulan'!$B$2:$B800,0))</f>
        <v>1</v>
      </c>
      <c r="E711" s="10" t="str">
        <f t="array" ref="E711">INDEX('Database Mitra'!$A$2:$A800,MATCH(A711,'Database Mitra'!$B$2:$B800,0))</f>
        <v>Evi Juniarty</v>
      </c>
      <c r="F711" s="64" t="s">
        <v>25</v>
      </c>
      <c r="G711" s="5" t="str">
        <f t="array" ref="G711">INDEX('Database Mitra'!$G$2:$G800,MATCH(A711,'Database Mitra'!$B$2:$B800,0))</f>
        <v>6102165101840001</v>
      </c>
      <c r="H711" s="64" t="s">
        <v>74</v>
      </c>
      <c r="I711" s="65" t="s">
        <v>301</v>
      </c>
      <c r="J711" s="10" t="str">
        <f t="array" ref="J711">INDEX(Honor!$H$2:$H800,MATCH($I711,Honor!$A$2:$A800,0))</f>
        <v>Dokumen</v>
      </c>
      <c r="K711" s="66">
        <f t="array" ref="K711">INDEX(Honor!$I$2:$I800,MATCH($I711,Honor!$A$2:$A800,0))</f>
        <v>55000</v>
      </c>
      <c r="L711" s="64">
        <v>1</v>
      </c>
      <c r="M711" s="10">
        <f t="shared" si="0"/>
        <v>55000</v>
      </c>
      <c r="O711" s="67">
        <f t="array" ref="O711">INDEX(Honor!$L$2:$L800,MATCH($I711,Honor!$A$2:$A800,0))</f>
        <v>45616</v>
      </c>
      <c r="P711" s="10">
        <f t="shared" si="1"/>
        <v>2024</v>
      </c>
      <c r="Q711" s="10">
        <f t="shared" si="2"/>
        <v>11</v>
      </c>
      <c r="R711" s="10" t="str">
        <f t="array" ref="R711">INDEX(Honor!$Q$2:$Q800,MATCH($I711,Honor!$A$2:$A800,0))</f>
        <v>SURVEI-PPL</v>
      </c>
      <c r="S711" s="10" t="str">
        <f t="shared" si="3"/>
        <v>610422050001-2024-11</v>
      </c>
      <c r="T711" s="10" t="str">
        <f t="shared" si="4"/>
        <v>610422050001-2024-11-SURVEI-PPL</v>
      </c>
      <c r="U711" s="64">
        <v>0</v>
      </c>
      <c r="V711" s="10" t="e">
        <f t="array" aca="1" ref="V711" ca="1">INDEX(Honor!$O$2:$O800,MATCH($I711,Honor!$A$2:$A800,0))</f>
        <v>#NAME?</v>
      </c>
      <c r="W711" s="67"/>
      <c r="X711" s="7" t="str">
        <f t="array" ref="X711">INDEX('Input Kegiatan'!$B$2:$B800,MATCH(B711,'Input Kegiatan'!$A$2:$A800,0))</f>
        <v>Survei Harga Perdesaan (SHPED24) November</v>
      </c>
      <c r="Y711" s="7" t="s">
        <v>4408</v>
      </c>
      <c r="Z711" s="7" t="s">
        <v>4409</v>
      </c>
      <c r="AA711" s="68">
        <f t="shared" si="5"/>
        <v>45596</v>
      </c>
      <c r="AB711" s="68">
        <f t="shared" si="6"/>
        <v>45597</v>
      </c>
      <c r="AC711" s="68">
        <f t="shared" si="7"/>
        <v>45626</v>
      </c>
      <c r="AD711" s="68">
        <f t="shared" si="8"/>
        <v>45625</v>
      </c>
      <c r="AE711" s="68">
        <f t="shared" si="9"/>
        <v>45626</v>
      </c>
    </row>
    <row r="712" spans="1:31" ht="12.5">
      <c r="A712" s="125">
        <v>610422100124</v>
      </c>
      <c r="B712" s="65" t="s">
        <v>302</v>
      </c>
      <c r="D712" s="10">
        <f t="array" aca="1" ref="D712" ca="1">INDEX('Mitra per Bulan'!$M$2:$M800,MATCH(S712,'Mitra per Bulan'!$B$2:$B800,0))</f>
        <v>1</v>
      </c>
      <c r="E712" s="10" t="str">
        <f t="array" ref="E712">INDEX('Database Mitra'!$A$2:$A800,MATCH(A712,'Database Mitra'!$B$2:$B800,0))</f>
        <v>Prabowo</v>
      </c>
      <c r="F712" s="64" t="s">
        <v>25</v>
      </c>
      <c r="G712" s="5" t="str">
        <f t="array" ref="G712">INDEX('Database Mitra'!$G$2:$G800,MATCH(A712,'Database Mitra'!$B$2:$B800,0))</f>
        <v>6171010108790015</v>
      </c>
      <c r="H712" s="64" t="s">
        <v>67</v>
      </c>
      <c r="I712" s="65" t="s">
        <v>303</v>
      </c>
      <c r="J712" s="10" t="str">
        <f t="array" ref="J712">INDEX(Honor!$H$2:$H800,MATCH($I712,Honor!$A$2:$A800,0))</f>
        <v>Dokumen</v>
      </c>
      <c r="K712" s="66">
        <f t="array" ref="K712">INDEX(Honor!$I$2:$I800,MATCH($I712,Honor!$A$2:$A800,0))</f>
        <v>55000</v>
      </c>
      <c r="L712" s="64">
        <v>2</v>
      </c>
      <c r="M712" s="10">
        <f t="shared" si="0"/>
        <v>110000</v>
      </c>
      <c r="O712" s="67">
        <f t="array" ref="O712">INDEX(Honor!$L$2:$L800,MATCH($I712,Honor!$A$2:$A800,0))</f>
        <v>45616</v>
      </c>
      <c r="P712" s="10">
        <f t="shared" si="1"/>
        <v>2024</v>
      </c>
      <c r="Q712" s="10">
        <f t="shared" si="2"/>
        <v>11</v>
      </c>
      <c r="R712" s="10" t="str">
        <f t="array" ref="R712">INDEX(Honor!$Q$2:$Q800,MATCH($I712,Honor!$A$2:$A800,0))</f>
        <v>SURVEI-PPL</v>
      </c>
      <c r="S712" s="10" t="str">
        <f t="shared" si="3"/>
        <v>610422100124-2024-11</v>
      </c>
      <c r="T712" s="10" t="str">
        <f t="shared" si="4"/>
        <v>610422100124-2024-11-SURVEI-PPL</v>
      </c>
      <c r="U712" s="64">
        <v>0</v>
      </c>
      <c r="V712" s="10" t="e">
        <f t="array" aca="1" ref="V712" ca="1">INDEX(Honor!$O$2:$O800,MATCH($I712,Honor!$A$2:$A800,0))</f>
        <v>#NAME?</v>
      </c>
      <c r="W712" s="67"/>
      <c r="X712" s="7" t="str">
        <f t="array" ref="X712">INDEX('Input Kegiatan'!$B$2:$B800,MATCH(B712,'Input Kegiatan'!$A$2:$A800,0))</f>
        <v>Survei Harga Produsen Beras di Penggilingan 2024 (HPBG24) November</v>
      </c>
      <c r="Y712" s="7" t="s">
        <v>1921</v>
      </c>
      <c r="Z712" s="7" t="s">
        <v>2140</v>
      </c>
      <c r="AA712" s="68">
        <f t="shared" si="5"/>
        <v>45596</v>
      </c>
      <c r="AB712" s="68">
        <f t="shared" si="6"/>
        <v>45597</v>
      </c>
      <c r="AC712" s="68">
        <f t="shared" si="7"/>
        <v>45626</v>
      </c>
      <c r="AD712" s="68">
        <f t="shared" si="8"/>
        <v>45625</v>
      </c>
      <c r="AE712" s="68">
        <f t="shared" si="9"/>
        <v>45626</v>
      </c>
    </row>
    <row r="713" spans="1:31" ht="12.5">
      <c r="A713" s="125">
        <v>610422100244</v>
      </c>
      <c r="B713" s="65" t="s">
        <v>302</v>
      </c>
      <c r="D713" s="10">
        <f t="array" aca="1" ref="D713" ca="1">INDEX('Mitra per Bulan'!$M$2:$M800,MATCH(S713,'Mitra per Bulan'!$B$2:$B800,0))</f>
        <v>1</v>
      </c>
      <c r="E713" s="10" t="str">
        <f t="array" ref="E713">INDEX('Database Mitra'!$A$2:$A800,MATCH(A713,'Database Mitra'!$B$2:$B800,0))</f>
        <v>Sugianto</v>
      </c>
      <c r="F713" s="64" t="s">
        <v>25</v>
      </c>
      <c r="G713" s="5" t="str">
        <f t="array" ref="G713">INDEX('Database Mitra'!$G$2:$G800,MATCH(A713,'Database Mitra'!$B$2:$B800,0))</f>
        <v>6102171003900002</v>
      </c>
      <c r="H713" s="64" t="s">
        <v>67</v>
      </c>
      <c r="I713" s="65" t="s">
        <v>303</v>
      </c>
      <c r="J713" s="10" t="str">
        <f t="array" ref="J713">INDEX(Honor!$H$2:$H800,MATCH($I713,Honor!$A$2:$A800,0))</f>
        <v>Dokumen</v>
      </c>
      <c r="K713" s="66">
        <f t="array" ref="K713">INDEX(Honor!$I$2:$I800,MATCH($I713,Honor!$A$2:$A800,0))</f>
        <v>55000</v>
      </c>
      <c r="L713" s="64">
        <v>2</v>
      </c>
      <c r="M713" s="10">
        <f t="shared" si="0"/>
        <v>110000</v>
      </c>
      <c r="O713" s="67">
        <f t="array" ref="O713">INDEX(Honor!$L$2:$L800,MATCH($I713,Honor!$A$2:$A800,0))</f>
        <v>45616</v>
      </c>
      <c r="P713" s="10">
        <f t="shared" si="1"/>
        <v>2024</v>
      </c>
      <c r="Q713" s="10">
        <f t="shared" si="2"/>
        <v>11</v>
      </c>
      <c r="R713" s="10" t="str">
        <f t="array" ref="R713">INDEX(Honor!$Q$2:$Q800,MATCH($I713,Honor!$A$2:$A800,0))</f>
        <v>SURVEI-PPL</v>
      </c>
      <c r="S713" s="10" t="str">
        <f t="shared" si="3"/>
        <v>610422100244-2024-11</v>
      </c>
      <c r="T713" s="10" t="str">
        <f t="shared" si="4"/>
        <v>610422100244-2024-11-SURVEI-PPL</v>
      </c>
      <c r="U713" s="64">
        <v>0</v>
      </c>
      <c r="V713" s="10" t="e">
        <f t="array" aca="1" ref="V713" ca="1">INDEX(Honor!$O$2:$O800,MATCH($I713,Honor!$A$2:$A800,0))</f>
        <v>#NAME?</v>
      </c>
      <c r="W713" s="67"/>
      <c r="X713" s="7" t="str">
        <f t="array" ref="X713">INDEX('Input Kegiatan'!$B$2:$B800,MATCH(B713,'Input Kegiatan'!$A$2:$A800,0))</f>
        <v>Survei Harga Produsen Beras di Penggilingan 2024 (HPBG24) November</v>
      </c>
      <c r="Y713" s="7" t="s">
        <v>5741</v>
      </c>
      <c r="Z713" s="7" t="s">
        <v>5796</v>
      </c>
      <c r="AA713" s="68">
        <f t="shared" si="5"/>
        <v>45596</v>
      </c>
      <c r="AB713" s="68">
        <f t="shared" si="6"/>
        <v>45597</v>
      </c>
      <c r="AC713" s="68">
        <f t="shared" si="7"/>
        <v>45626</v>
      </c>
      <c r="AD713" s="68">
        <f t="shared" si="8"/>
        <v>45625</v>
      </c>
      <c r="AE713" s="68">
        <f t="shared" si="9"/>
        <v>45626</v>
      </c>
    </row>
    <row r="714" spans="1:31" ht="12.5">
      <c r="A714" s="125">
        <v>610422100165</v>
      </c>
      <c r="B714" s="65" t="s">
        <v>302</v>
      </c>
      <c r="D714" s="10">
        <f t="array" aca="1" ref="D714" ca="1">INDEX('Mitra per Bulan'!$M$2:$M800,MATCH(S714,'Mitra per Bulan'!$B$2:$B800,0))</f>
        <v>1</v>
      </c>
      <c r="E714" s="10" t="str">
        <f t="array" ref="E714">INDEX('Database Mitra'!$A$2:$A800,MATCH(A714,'Database Mitra'!$B$2:$B800,0))</f>
        <v>Yanti</v>
      </c>
      <c r="F714" s="64" t="s">
        <v>25</v>
      </c>
      <c r="G714" s="5" t="str">
        <f t="array" ref="G714">INDEX('Database Mitra'!$G$2:$G800,MATCH(A714,'Database Mitra'!$B$2:$B800,0))</f>
        <v>6102074803980002</v>
      </c>
      <c r="H714" s="64" t="s">
        <v>67</v>
      </c>
      <c r="I714" s="65" t="s">
        <v>303</v>
      </c>
      <c r="J714" s="10" t="str">
        <f t="array" ref="J714">INDEX(Honor!$H$2:$H800,MATCH($I714,Honor!$A$2:$A800,0))</f>
        <v>Dokumen</v>
      </c>
      <c r="K714" s="66">
        <f t="array" ref="K714">INDEX(Honor!$I$2:$I800,MATCH($I714,Honor!$A$2:$A800,0))</f>
        <v>55000</v>
      </c>
      <c r="L714" s="64">
        <v>2</v>
      </c>
      <c r="M714" s="10">
        <f t="shared" si="0"/>
        <v>110000</v>
      </c>
      <c r="O714" s="67">
        <f t="array" ref="O714">INDEX(Honor!$L$2:$L800,MATCH($I714,Honor!$A$2:$A800,0))</f>
        <v>45616</v>
      </c>
      <c r="P714" s="10">
        <f t="shared" si="1"/>
        <v>2024</v>
      </c>
      <c r="Q714" s="10">
        <f t="shared" si="2"/>
        <v>11</v>
      </c>
      <c r="R714" s="10" t="str">
        <f t="array" ref="R714">INDEX(Honor!$Q$2:$Q800,MATCH($I714,Honor!$A$2:$A800,0))</f>
        <v>SURVEI-PPL</v>
      </c>
      <c r="S714" s="10" t="str">
        <f t="shared" si="3"/>
        <v>610422100165-2024-11</v>
      </c>
      <c r="T714" s="10" t="str">
        <f t="shared" si="4"/>
        <v>610422100165-2024-11-SURVEI-PPL</v>
      </c>
      <c r="U714" s="64">
        <v>0</v>
      </c>
      <c r="V714" s="10" t="e">
        <f t="array" aca="1" ref="V714" ca="1">INDEX(Honor!$O$2:$O800,MATCH($I714,Honor!$A$2:$A800,0))</f>
        <v>#NAME?</v>
      </c>
      <c r="W714" s="67"/>
      <c r="X714" s="7" t="str">
        <f t="array" ref="X714">INDEX('Input Kegiatan'!$B$2:$B800,MATCH(B714,'Input Kegiatan'!$A$2:$A800,0))</f>
        <v>Survei Harga Produsen Beras di Penggilingan 2024 (HPBG24) November</v>
      </c>
      <c r="Y714" s="7" t="s">
        <v>3990</v>
      </c>
      <c r="Z714" s="7" t="s">
        <v>4332</v>
      </c>
      <c r="AA714" s="68">
        <f t="shared" si="5"/>
        <v>45596</v>
      </c>
      <c r="AB714" s="68">
        <f t="shared" si="6"/>
        <v>45597</v>
      </c>
      <c r="AC714" s="68">
        <f t="shared" si="7"/>
        <v>45626</v>
      </c>
      <c r="AD714" s="68">
        <f t="shared" si="8"/>
        <v>45625</v>
      </c>
      <c r="AE714" s="68">
        <f t="shared" si="9"/>
        <v>45626</v>
      </c>
    </row>
    <row r="715" spans="1:31" ht="12.5">
      <c r="A715" s="125">
        <v>610422100165</v>
      </c>
      <c r="B715" s="65" t="s">
        <v>304</v>
      </c>
      <c r="D715" s="10">
        <f t="array" aca="1" ref="D715" ca="1">INDEX('Mitra per Bulan'!$M$2:$M800,MATCH(S715,'Mitra per Bulan'!$B$2:$B800,0))</f>
        <v>1</v>
      </c>
      <c r="E715" s="10" t="str">
        <f t="array" ref="E715">INDEX('Database Mitra'!$A$2:$A800,MATCH(A715,'Database Mitra'!$B$2:$B800,0))</f>
        <v>Yanti</v>
      </c>
      <c r="F715" s="64" t="s">
        <v>25</v>
      </c>
      <c r="G715" s="5" t="str">
        <f t="array" ref="G715">INDEX('Database Mitra'!$G$2:$G800,MATCH(A715,'Database Mitra'!$B$2:$B800,0))</f>
        <v>6102074803980002</v>
      </c>
      <c r="H715" s="64" t="s">
        <v>67</v>
      </c>
      <c r="I715" s="65" t="s">
        <v>305</v>
      </c>
      <c r="J715" s="10" t="str">
        <f t="array" ref="J715">INDEX(Honor!$H$2:$H800,MATCH($I715,Honor!$A$2:$A800,0))</f>
        <v>Dokumen</v>
      </c>
      <c r="K715" s="66">
        <f t="array" ref="K715">INDEX(Honor!$I$2:$I800,MATCH($I715,Honor!$A$2:$A800,0))</f>
        <v>50000</v>
      </c>
      <c r="L715" s="64">
        <v>1</v>
      </c>
      <c r="M715" s="10">
        <f t="shared" si="0"/>
        <v>50000</v>
      </c>
      <c r="O715" s="67">
        <f t="array" ref="O715">INDEX(Honor!$L$2:$L800,MATCH($I715,Honor!$A$2:$A800,0))</f>
        <v>45616</v>
      </c>
      <c r="P715" s="10">
        <f t="shared" si="1"/>
        <v>2024</v>
      </c>
      <c r="Q715" s="10">
        <f t="shared" si="2"/>
        <v>11</v>
      </c>
      <c r="R715" s="10" t="str">
        <f t="array" ref="R715">INDEX(Honor!$Q$2:$Q800,MATCH($I715,Honor!$A$2:$A800,0))</f>
        <v>SURVEI-PPL</v>
      </c>
      <c r="S715" s="10" t="str">
        <f t="shared" si="3"/>
        <v>610422100165-2024-11</v>
      </c>
      <c r="T715" s="10" t="str">
        <f t="shared" si="4"/>
        <v>610422100165-2024-11-SURVEI-PPL</v>
      </c>
      <c r="U715" s="64">
        <v>0</v>
      </c>
      <c r="V715" s="10" t="e">
        <f t="array" aca="1" ref="V715" ca="1">INDEX(Honor!$O$2:$O800,MATCH($I715,Honor!$A$2:$A800,0))</f>
        <v>#NAME?</v>
      </c>
      <c r="W715" s="67"/>
      <c r="X715" s="7" t="str">
        <f t="array" ref="X715">INDEX('Input Kegiatan'!$B$2:$B800,MATCH(B715,'Input Kegiatan'!$A$2:$A800,0))</f>
        <v>Survei Harga Produsen Jasa (HPJ24) November</v>
      </c>
      <c r="Y715" s="7" t="s">
        <v>3990</v>
      </c>
      <c r="Z715" s="7" t="s">
        <v>4332</v>
      </c>
      <c r="AA715" s="68">
        <f t="shared" si="5"/>
        <v>45596</v>
      </c>
      <c r="AB715" s="68">
        <f t="shared" si="6"/>
        <v>45597</v>
      </c>
      <c r="AC715" s="68">
        <f t="shared" si="7"/>
        <v>45626</v>
      </c>
      <c r="AD715" s="68">
        <f t="shared" si="8"/>
        <v>45625</v>
      </c>
      <c r="AE715" s="68">
        <f t="shared" si="9"/>
        <v>45626</v>
      </c>
    </row>
    <row r="716" spans="1:31" ht="12.5">
      <c r="A716" s="125">
        <v>610422040029</v>
      </c>
      <c r="B716" s="69" t="s">
        <v>306</v>
      </c>
      <c r="D716" s="10">
        <f t="array" aca="1" ref="D716" ca="1">INDEX('Mitra per Bulan'!$M$2:$M800,MATCH(S716,'Mitra per Bulan'!$B$2:$B800,0))</f>
        <v>1</v>
      </c>
      <c r="E716" s="10" t="str">
        <f t="array" ref="E716">INDEX('Database Mitra'!$A$2:$A800,MATCH(A716,'Database Mitra'!$B$2:$B800,0))</f>
        <v>Zaini</v>
      </c>
      <c r="F716" s="64" t="s">
        <v>25</v>
      </c>
      <c r="G716" s="5" t="str">
        <f t="array" ref="G716">INDEX('Database Mitra'!$G$2:$G800,MATCH(A716,'Database Mitra'!$B$2:$B800,0))</f>
        <v>6102010607870002</v>
      </c>
      <c r="H716" s="64" t="s">
        <v>67</v>
      </c>
      <c r="I716" s="65" t="s">
        <v>307</v>
      </c>
      <c r="J716" s="10" t="str">
        <f t="array" ref="J716">INDEX(Honor!$H$2:$H800,MATCH($I716,Honor!$A$2:$A800,0))</f>
        <v>Dokumen</v>
      </c>
      <c r="K716" s="66">
        <f t="array" ref="K716">INDEX(Honor!$I$2:$I800,MATCH($I716,Honor!$A$2:$A800,0))</f>
        <v>55000</v>
      </c>
      <c r="L716" s="64">
        <v>3</v>
      </c>
      <c r="M716" s="10">
        <f t="shared" si="0"/>
        <v>165000</v>
      </c>
      <c r="O716" s="67">
        <f t="array" ref="O716">INDEX(Honor!$L$2:$L800,MATCH($I716,Honor!$A$2:$A800,0))</f>
        <v>45616</v>
      </c>
      <c r="P716" s="10">
        <f t="shared" si="1"/>
        <v>2024</v>
      </c>
      <c r="Q716" s="10">
        <f t="shared" si="2"/>
        <v>11</v>
      </c>
      <c r="R716" s="10" t="str">
        <f t="array" ref="R716">INDEX(Honor!$Q$2:$Q800,MATCH($I716,Honor!$A$2:$A800,0))</f>
        <v>SURVEI-PPL</v>
      </c>
      <c r="S716" s="10" t="str">
        <f t="shared" si="3"/>
        <v>610422040029-2024-11</v>
      </c>
      <c r="T716" s="10" t="str">
        <f t="shared" si="4"/>
        <v>610422040029-2024-11-SURVEI-PPL</v>
      </c>
      <c r="U716" s="64">
        <v>0</v>
      </c>
      <c r="V716" s="10" t="e">
        <f t="array" aca="1" ref="V716" ca="1">INDEX(Honor!$O$2:$O800,MATCH($I716,Honor!$A$2:$A800,0))</f>
        <v>#NAME?</v>
      </c>
      <c r="W716" s="67"/>
      <c r="X716" s="7" t="str">
        <f t="array" ref="X716">INDEX('Input Kegiatan'!$B$2:$B800,MATCH(B716,'Input Kegiatan'!$A$2:$A800,0))</f>
        <v>Survei Hotel dan Jasa Akomodasi Bulanan (VHTS) 2024 November</v>
      </c>
      <c r="Y716" s="7" t="s">
        <v>4572</v>
      </c>
      <c r="Z716" s="7" t="s">
        <v>4619</v>
      </c>
      <c r="AA716" s="68">
        <f t="shared" si="5"/>
        <v>45596</v>
      </c>
      <c r="AB716" s="68">
        <f t="shared" si="6"/>
        <v>45597</v>
      </c>
      <c r="AC716" s="68">
        <f t="shared" si="7"/>
        <v>45626</v>
      </c>
      <c r="AD716" s="68">
        <f t="shared" si="8"/>
        <v>45625</v>
      </c>
      <c r="AE716" s="68">
        <f t="shared" si="9"/>
        <v>45626</v>
      </c>
    </row>
    <row r="717" spans="1:31" ht="12.5">
      <c r="A717" s="125">
        <v>610422100165</v>
      </c>
      <c r="B717" s="69" t="s">
        <v>306</v>
      </c>
      <c r="D717" s="10">
        <f t="array" aca="1" ref="D717" ca="1">INDEX('Mitra per Bulan'!$M$2:$M800,MATCH(S717,'Mitra per Bulan'!$B$2:$B800,0))</f>
        <v>1</v>
      </c>
      <c r="E717" s="10" t="str">
        <f t="array" ref="E717">INDEX('Database Mitra'!$A$2:$A800,MATCH(A717,'Database Mitra'!$B$2:$B800,0))</f>
        <v>Yanti</v>
      </c>
      <c r="F717" s="64" t="s">
        <v>25</v>
      </c>
      <c r="G717" s="5" t="str">
        <f t="array" ref="G717">INDEX('Database Mitra'!$G$2:$G800,MATCH(A717,'Database Mitra'!$B$2:$B800,0))</f>
        <v>6102074803980002</v>
      </c>
      <c r="H717" s="64" t="s">
        <v>67</v>
      </c>
      <c r="I717" s="65" t="s">
        <v>307</v>
      </c>
      <c r="J717" s="10" t="str">
        <f t="array" ref="J717">INDEX(Honor!$H$2:$H800,MATCH($I717,Honor!$A$2:$A800,0))</f>
        <v>Dokumen</v>
      </c>
      <c r="K717" s="66">
        <f t="array" ref="K717">INDEX(Honor!$I$2:$I800,MATCH($I717,Honor!$A$2:$A800,0))</f>
        <v>55000</v>
      </c>
      <c r="L717" s="64">
        <v>3</v>
      </c>
      <c r="M717" s="10">
        <f t="shared" si="0"/>
        <v>165000</v>
      </c>
      <c r="O717" s="67">
        <f t="array" ref="O717">INDEX(Honor!$L$2:$L800,MATCH($I717,Honor!$A$2:$A800,0))</f>
        <v>45616</v>
      </c>
      <c r="P717" s="10">
        <f t="shared" si="1"/>
        <v>2024</v>
      </c>
      <c r="Q717" s="10">
        <f t="shared" si="2"/>
        <v>11</v>
      </c>
      <c r="R717" s="10" t="str">
        <f t="array" ref="R717">INDEX(Honor!$Q$2:$Q800,MATCH($I717,Honor!$A$2:$A800,0))</f>
        <v>SURVEI-PPL</v>
      </c>
      <c r="S717" s="10" t="str">
        <f t="shared" si="3"/>
        <v>610422100165-2024-11</v>
      </c>
      <c r="T717" s="10" t="str">
        <f t="shared" si="4"/>
        <v>610422100165-2024-11-SURVEI-PPL</v>
      </c>
      <c r="U717" s="64">
        <v>0</v>
      </c>
      <c r="V717" s="10" t="e">
        <f t="array" aca="1" ref="V717" ca="1">INDEX(Honor!$O$2:$O800,MATCH($I717,Honor!$A$2:$A800,0))</f>
        <v>#NAME?</v>
      </c>
      <c r="W717" s="67"/>
      <c r="X717" s="7" t="str">
        <f t="array" ref="X717">INDEX('Input Kegiatan'!$B$2:$B800,MATCH(B717,'Input Kegiatan'!$A$2:$A800,0))</f>
        <v>Survei Hotel dan Jasa Akomodasi Bulanan (VHTS) 2024 November</v>
      </c>
      <c r="Y717" s="7" t="s">
        <v>3990</v>
      </c>
      <c r="Z717" s="7" t="s">
        <v>4332</v>
      </c>
      <c r="AA717" s="68">
        <f t="shared" si="5"/>
        <v>45596</v>
      </c>
      <c r="AB717" s="68">
        <f t="shared" si="6"/>
        <v>45597</v>
      </c>
      <c r="AC717" s="68">
        <f t="shared" si="7"/>
        <v>45626</v>
      </c>
      <c r="AD717" s="68">
        <f t="shared" si="8"/>
        <v>45625</v>
      </c>
      <c r="AE717" s="68">
        <f t="shared" si="9"/>
        <v>45626</v>
      </c>
    </row>
    <row r="718" spans="1:31" ht="12.5">
      <c r="A718" s="125">
        <v>610422050001</v>
      </c>
      <c r="B718" s="69" t="s">
        <v>306</v>
      </c>
      <c r="D718" s="10">
        <f t="array" aca="1" ref="D718" ca="1">INDEX('Mitra per Bulan'!$M$2:$M800,MATCH(S718,'Mitra per Bulan'!$B$2:$B800,0))</f>
        <v>1</v>
      </c>
      <c r="E718" s="10" t="str">
        <f t="array" ref="E718">INDEX('Database Mitra'!$A$2:$A800,MATCH(A718,'Database Mitra'!$B$2:$B800,0))</f>
        <v>Evi Juniarty</v>
      </c>
      <c r="F718" s="64" t="s">
        <v>25</v>
      </c>
      <c r="G718" s="5" t="str">
        <f t="array" ref="G718">INDEX('Database Mitra'!$G$2:$G800,MATCH(A718,'Database Mitra'!$B$2:$B800,0))</f>
        <v>6102165101840001</v>
      </c>
      <c r="H718" s="64" t="s">
        <v>67</v>
      </c>
      <c r="I718" s="65" t="s">
        <v>307</v>
      </c>
      <c r="J718" s="10" t="str">
        <f t="array" ref="J718">INDEX(Honor!$H$2:$H800,MATCH($I718,Honor!$A$2:$A800,0))</f>
        <v>Dokumen</v>
      </c>
      <c r="K718" s="66">
        <f t="array" ref="K718">INDEX(Honor!$I$2:$I800,MATCH($I718,Honor!$A$2:$A800,0))</f>
        <v>55000</v>
      </c>
      <c r="L718" s="64">
        <v>3</v>
      </c>
      <c r="M718" s="10">
        <f t="shared" si="0"/>
        <v>165000</v>
      </c>
      <c r="O718" s="67">
        <f t="array" ref="O718">INDEX(Honor!$L$2:$L800,MATCH($I718,Honor!$A$2:$A800,0))</f>
        <v>45616</v>
      </c>
      <c r="P718" s="10">
        <f t="shared" si="1"/>
        <v>2024</v>
      </c>
      <c r="Q718" s="10">
        <f t="shared" si="2"/>
        <v>11</v>
      </c>
      <c r="R718" s="10" t="str">
        <f t="array" ref="R718">INDEX(Honor!$Q$2:$Q800,MATCH($I718,Honor!$A$2:$A800,0))</f>
        <v>SURVEI-PPL</v>
      </c>
      <c r="S718" s="10" t="str">
        <f t="shared" si="3"/>
        <v>610422050001-2024-11</v>
      </c>
      <c r="T718" s="10" t="str">
        <f t="shared" si="4"/>
        <v>610422050001-2024-11-SURVEI-PPL</v>
      </c>
      <c r="U718" s="64">
        <v>0</v>
      </c>
      <c r="V718" s="10" t="e">
        <f t="array" aca="1" ref="V718" ca="1">INDEX(Honor!$O$2:$O800,MATCH($I718,Honor!$A$2:$A800,0))</f>
        <v>#NAME?</v>
      </c>
      <c r="W718" s="67"/>
      <c r="X718" s="7" t="str">
        <f t="array" ref="X718">INDEX('Input Kegiatan'!$B$2:$B800,MATCH(B718,'Input Kegiatan'!$A$2:$A800,0))</f>
        <v>Survei Hotel dan Jasa Akomodasi Bulanan (VHTS) 2024 November</v>
      </c>
      <c r="Y718" s="7" t="s">
        <v>4408</v>
      </c>
      <c r="Z718" s="7" t="s">
        <v>4409</v>
      </c>
      <c r="AA718" s="68">
        <f t="shared" si="5"/>
        <v>45596</v>
      </c>
      <c r="AB718" s="68">
        <f t="shared" si="6"/>
        <v>45597</v>
      </c>
      <c r="AC718" s="68">
        <f t="shared" si="7"/>
        <v>45626</v>
      </c>
      <c r="AD718" s="68">
        <f t="shared" si="8"/>
        <v>45625</v>
      </c>
      <c r="AE718" s="68">
        <f t="shared" si="9"/>
        <v>45626</v>
      </c>
    </row>
    <row r="719" spans="1:31" ht="12.5">
      <c r="A719" s="125">
        <v>610422040056</v>
      </c>
      <c r="B719" s="69" t="s">
        <v>306</v>
      </c>
      <c r="D719" s="10">
        <f t="array" aca="1" ref="D719" ca="1">INDEX('Mitra per Bulan'!$M$2:$M800,MATCH(S719,'Mitra per Bulan'!$B$2:$B800,0))</f>
        <v>1</v>
      </c>
      <c r="E719" s="10" t="str">
        <f t="array" ref="E719">INDEX('Database Mitra'!$A$2:$A800,MATCH(A719,'Database Mitra'!$B$2:$B800,0))</f>
        <v>Wandi Syafari</v>
      </c>
      <c r="F719" s="64" t="s">
        <v>25</v>
      </c>
      <c r="G719" s="5" t="str">
        <f t="array" ref="G719">INDEX('Database Mitra'!$G$2:$G800,MATCH(A719,'Database Mitra'!$B$2:$B800,0))</f>
        <v>6102010802760001</v>
      </c>
      <c r="H719" s="64" t="s">
        <v>67</v>
      </c>
      <c r="I719" s="65" t="s">
        <v>307</v>
      </c>
      <c r="J719" s="10" t="str">
        <f t="array" ref="J719">INDEX(Honor!$H$2:$H800,MATCH($I719,Honor!$A$2:$A800,0))</f>
        <v>Dokumen</v>
      </c>
      <c r="K719" s="66">
        <f t="array" ref="K719">INDEX(Honor!$I$2:$I800,MATCH($I719,Honor!$A$2:$A800,0))</f>
        <v>55000</v>
      </c>
      <c r="L719" s="64">
        <v>2</v>
      </c>
      <c r="M719" s="10">
        <f t="shared" si="0"/>
        <v>110000</v>
      </c>
      <c r="O719" s="67">
        <f t="array" ref="O719">INDEX(Honor!$L$2:$L800,MATCH($I719,Honor!$A$2:$A800,0))</f>
        <v>45616</v>
      </c>
      <c r="P719" s="10">
        <f t="shared" si="1"/>
        <v>2024</v>
      </c>
      <c r="Q719" s="10">
        <f t="shared" si="2"/>
        <v>11</v>
      </c>
      <c r="R719" s="10" t="str">
        <f t="array" ref="R719">INDEX(Honor!$Q$2:$Q800,MATCH($I719,Honor!$A$2:$A800,0))</f>
        <v>SURVEI-PPL</v>
      </c>
      <c r="S719" s="10" t="str">
        <f t="shared" si="3"/>
        <v>610422040056-2024-11</v>
      </c>
      <c r="T719" s="10" t="str">
        <f t="shared" si="4"/>
        <v>610422040056-2024-11-SURVEI-PPL</v>
      </c>
      <c r="U719" s="64">
        <v>0</v>
      </c>
      <c r="V719" s="10" t="e">
        <f t="array" aca="1" ref="V719" ca="1">INDEX(Honor!$O$2:$O800,MATCH($I719,Honor!$A$2:$A800,0))</f>
        <v>#NAME?</v>
      </c>
      <c r="W719" s="67"/>
      <c r="X719" s="7" t="str">
        <f t="array" ref="X719">INDEX('Input Kegiatan'!$B$2:$B800,MATCH(B719,'Input Kegiatan'!$A$2:$A800,0))</f>
        <v>Survei Hotel dan Jasa Akomodasi Bulanan (VHTS) 2024 November</v>
      </c>
      <c r="Y719" s="7" t="s">
        <v>4572</v>
      </c>
      <c r="Z719" s="7" t="s">
        <v>4656</v>
      </c>
      <c r="AA719" s="68">
        <f t="shared" si="5"/>
        <v>45596</v>
      </c>
      <c r="AB719" s="68">
        <f t="shared" si="6"/>
        <v>45597</v>
      </c>
      <c r="AC719" s="68">
        <f t="shared" si="7"/>
        <v>45626</v>
      </c>
      <c r="AD719" s="68">
        <f t="shared" si="8"/>
        <v>45625</v>
      </c>
      <c r="AE719" s="68">
        <f t="shared" si="9"/>
        <v>45626</v>
      </c>
    </row>
    <row r="720" spans="1:31" ht="12.5">
      <c r="A720" s="125">
        <v>610422020016</v>
      </c>
      <c r="B720" s="64" t="s">
        <v>37</v>
      </c>
      <c r="D720" s="10">
        <f t="array" aca="1" ref="D720" ca="1">INDEX('Mitra per Bulan'!$M$2:$M800,MATCH(S720,'Mitra per Bulan'!$B$2:$B800,0))</f>
        <v>1</v>
      </c>
      <c r="E720" s="10" t="str">
        <f t="array" ref="E720">INDEX('Database Mitra'!$A$2:$A800,MATCH(A720,'Database Mitra'!$B$2:$B800,0))</f>
        <v>Abdul Aziz</v>
      </c>
      <c r="F720" s="65" t="s">
        <v>25</v>
      </c>
      <c r="G720" s="5" t="str">
        <f t="array" ref="G720">INDEX('Database Mitra'!$G$2:$G800,MATCH(A720,'Database Mitra'!$B$2:$B800,0))</f>
        <v>6102061507950006</v>
      </c>
      <c r="H720" s="64" t="s">
        <v>84</v>
      </c>
      <c r="I720" s="65" t="str">
        <f t="shared" ref="I720:I733" si="22">CONCATENATE(B720,"-",F720,"-",H720)</f>
        <v>KSA24-LAPANGAN-NOVEMBER-PPL-KSA PADI</v>
      </c>
      <c r="J720" s="10" t="str">
        <f t="array" ref="J720">INDEX(Honor!$H$2:$H800,MATCH($I720,Honor!$A$2:$A800,0))</f>
        <v>Segmen</v>
      </c>
      <c r="K720" s="66">
        <f t="array" ref="K720">INDEX(Honor!$I$2:$I800,MATCH($I720,Honor!$A$2:$A800,0))</f>
        <v>116000</v>
      </c>
      <c r="L720" s="64">
        <v>3</v>
      </c>
      <c r="M720" s="10">
        <f t="shared" si="0"/>
        <v>348000</v>
      </c>
      <c r="O720" s="67">
        <f t="array" ref="O720">INDEX(Honor!$L$2:$L800,MATCH($I720,Honor!$A$2:$A800,0))</f>
        <v>45626</v>
      </c>
      <c r="P720" s="10">
        <f t="shared" si="1"/>
        <v>2024</v>
      </c>
      <c r="Q720" s="10">
        <f t="shared" si="2"/>
        <v>11</v>
      </c>
      <c r="R720" s="10" t="str">
        <f t="array" ref="R720">INDEX(Honor!$Q$2:$Q800,MATCH($I720,Honor!$A$2:$A800,0))</f>
        <v>SURVEI-PPL</v>
      </c>
      <c r="S720" s="10" t="str">
        <f t="shared" si="3"/>
        <v>610422020016-2024-11</v>
      </c>
      <c r="T720" s="10" t="str">
        <f t="shared" si="4"/>
        <v>610422020016-2024-11-SURVEI-PPL</v>
      </c>
      <c r="U720" s="64">
        <v>0</v>
      </c>
      <c r="V720" s="10" t="e">
        <f t="array" aca="1" ref="V720" ca="1">INDEX(Honor!$O$2:$O800,MATCH($I720,Honor!$A$2:$A800,0))</f>
        <v>#NAME?</v>
      </c>
      <c r="W720" s="67"/>
      <c r="X720" s="7" t="str">
        <f t="array" ref="X720">INDEX('Input Kegiatan'!$B$2:$B800,MATCH(B720,'Input Kegiatan'!$A$2:$A800,0))</f>
        <v>Kerangka Sampel Area (KSA) 2024 November</v>
      </c>
      <c r="Y720" s="7" t="s">
        <v>5534</v>
      </c>
      <c r="Z720" s="7" t="s">
        <v>5535</v>
      </c>
      <c r="AA720" s="68">
        <f t="shared" si="5"/>
        <v>45596</v>
      </c>
      <c r="AB720" s="68">
        <f t="shared" si="6"/>
        <v>45597</v>
      </c>
      <c r="AC720" s="68">
        <f t="shared" si="7"/>
        <v>45626</v>
      </c>
      <c r="AD720" s="68">
        <f t="shared" si="8"/>
        <v>45625</v>
      </c>
      <c r="AE720" s="68">
        <f t="shared" si="9"/>
        <v>45626</v>
      </c>
    </row>
    <row r="721" spans="1:31" ht="12.5">
      <c r="A721" s="125">
        <v>610422040012</v>
      </c>
      <c r="B721" s="64" t="s">
        <v>37</v>
      </c>
      <c r="D721" s="10">
        <f t="array" aca="1" ref="D721" ca="1">INDEX('Mitra per Bulan'!$M$2:$M800,MATCH(S721,'Mitra per Bulan'!$B$2:$B800,0))</f>
        <v>1</v>
      </c>
      <c r="E721" s="10" t="str">
        <f t="array" ref="E721">INDEX('Database Mitra'!$A$2:$A800,MATCH(A721,'Database Mitra'!$B$2:$B800,0))</f>
        <v>Misdi</v>
      </c>
      <c r="F721" s="65" t="s">
        <v>25</v>
      </c>
      <c r="G721" s="5" t="str">
        <f t="array" ref="G721">INDEX('Database Mitra'!$G$2:$G800,MATCH(A721,'Database Mitra'!$B$2:$B800,0))</f>
        <v>6102070706940001</v>
      </c>
      <c r="H721" s="64" t="s">
        <v>84</v>
      </c>
      <c r="I721" s="65" t="str">
        <f t="shared" si="22"/>
        <v>KSA24-LAPANGAN-NOVEMBER-PPL-KSA PADI</v>
      </c>
      <c r="J721" s="10" t="str">
        <f t="array" ref="J721">INDEX(Honor!$H$2:$H800,MATCH($I721,Honor!$A$2:$A800,0))</f>
        <v>Segmen</v>
      </c>
      <c r="K721" s="66">
        <f t="array" ref="K721">INDEX(Honor!$I$2:$I800,MATCH($I721,Honor!$A$2:$A800,0))</f>
        <v>116000</v>
      </c>
      <c r="L721" s="64">
        <v>3</v>
      </c>
      <c r="M721" s="10">
        <f t="shared" si="0"/>
        <v>348000</v>
      </c>
      <c r="O721" s="67">
        <f t="array" ref="O721">INDEX(Honor!$L$2:$L800,MATCH($I721,Honor!$A$2:$A800,0))</f>
        <v>45626</v>
      </c>
      <c r="P721" s="10">
        <f t="shared" si="1"/>
        <v>2024</v>
      </c>
      <c r="Q721" s="10">
        <f t="shared" si="2"/>
        <v>11</v>
      </c>
      <c r="R721" s="10" t="str">
        <f t="array" ref="R721">INDEX(Honor!$Q$2:$Q800,MATCH($I721,Honor!$A$2:$A800,0))</f>
        <v>SURVEI-PPL</v>
      </c>
      <c r="S721" s="10" t="str">
        <f t="shared" si="3"/>
        <v>610422040012-2024-11</v>
      </c>
      <c r="T721" s="10" t="str">
        <f t="shared" si="4"/>
        <v>610422040012-2024-11-SURVEI-PPL</v>
      </c>
      <c r="U721" s="64">
        <v>0</v>
      </c>
      <c r="V721" s="10" t="e">
        <f t="array" aca="1" ref="V721" ca="1">INDEX(Honor!$O$2:$O800,MATCH($I721,Honor!$A$2:$A800,0))</f>
        <v>#NAME?</v>
      </c>
      <c r="W721" s="67"/>
      <c r="X721" s="7" t="str">
        <f t="array" ref="X721">INDEX('Input Kegiatan'!$B$2:$B800,MATCH(B721,'Input Kegiatan'!$A$2:$A800,0))</f>
        <v>Kerangka Sampel Area (KSA) 2024 November</v>
      </c>
      <c r="Y721" s="7" t="s">
        <v>3990</v>
      </c>
      <c r="Z721" s="7" t="s">
        <v>4365</v>
      </c>
      <c r="AA721" s="68">
        <f t="shared" si="5"/>
        <v>45596</v>
      </c>
      <c r="AB721" s="68">
        <f t="shared" si="6"/>
        <v>45597</v>
      </c>
      <c r="AC721" s="68">
        <f t="shared" si="7"/>
        <v>45626</v>
      </c>
      <c r="AD721" s="68">
        <f t="shared" si="8"/>
        <v>45625</v>
      </c>
      <c r="AE721" s="68">
        <f t="shared" si="9"/>
        <v>45626</v>
      </c>
    </row>
    <row r="722" spans="1:31" ht="12.5">
      <c r="A722" s="125">
        <v>610422040059</v>
      </c>
      <c r="B722" s="64" t="s">
        <v>37</v>
      </c>
      <c r="D722" s="10">
        <f t="array" aca="1" ref="D722" ca="1">INDEX('Mitra per Bulan'!$M$2:$M800,MATCH(S722,'Mitra per Bulan'!$B$2:$B800,0))</f>
        <v>1</v>
      </c>
      <c r="E722" s="10" t="str">
        <f t="array" ref="E722">INDEX('Database Mitra'!$A$2:$A800,MATCH(A722,'Database Mitra'!$B$2:$B800,0))</f>
        <v>Abang Handri</v>
      </c>
      <c r="F722" s="65" t="s">
        <v>25</v>
      </c>
      <c r="G722" s="5" t="str">
        <f t="array" ref="G722">INDEX('Database Mitra'!$G$2:$G800,MATCH(A722,'Database Mitra'!$B$2:$B800,0))</f>
        <v>6102072211780002</v>
      </c>
      <c r="H722" s="64" t="s">
        <v>84</v>
      </c>
      <c r="I722" s="65" t="str">
        <f t="shared" si="22"/>
        <v>KSA24-LAPANGAN-NOVEMBER-PPL-KSA PADI</v>
      </c>
      <c r="J722" s="10" t="str">
        <f t="array" ref="J722">INDEX(Honor!$H$2:$H800,MATCH($I722,Honor!$A$2:$A800,0))</f>
        <v>Segmen</v>
      </c>
      <c r="K722" s="66">
        <f t="array" ref="K722">INDEX(Honor!$I$2:$I800,MATCH($I722,Honor!$A$2:$A800,0))</f>
        <v>116000</v>
      </c>
      <c r="L722" s="64">
        <v>4</v>
      </c>
      <c r="M722" s="10">
        <f t="shared" si="0"/>
        <v>464000</v>
      </c>
      <c r="O722" s="67">
        <f t="array" ref="O722">INDEX(Honor!$L$2:$L800,MATCH($I722,Honor!$A$2:$A800,0))</f>
        <v>45626</v>
      </c>
      <c r="P722" s="10">
        <f t="shared" si="1"/>
        <v>2024</v>
      </c>
      <c r="Q722" s="10">
        <f t="shared" si="2"/>
        <v>11</v>
      </c>
      <c r="R722" s="10" t="str">
        <f t="array" ref="R722">INDEX(Honor!$Q$2:$Q800,MATCH($I722,Honor!$A$2:$A800,0))</f>
        <v>SURVEI-PPL</v>
      </c>
      <c r="S722" s="10" t="str">
        <f t="shared" si="3"/>
        <v>610422040059-2024-11</v>
      </c>
      <c r="T722" s="10" t="str">
        <f t="shared" si="4"/>
        <v>610422040059-2024-11-SURVEI-PPL</v>
      </c>
      <c r="U722" s="64">
        <v>0</v>
      </c>
      <c r="V722" s="10" t="e">
        <f t="array" aca="1" ref="V722" ca="1">INDEX(Honor!$O$2:$O800,MATCH($I722,Honor!$A$2:$A800,0))</f>
        <v>#NAME?</v>
      </c>
      <c r="W722" s="67"/>
      <c r="X722" s="7" t="str">
        <f t="array" ref="X722">INDEX('Input Kegiatan'!$B$2:$B800,MATCH(B722,'Input Kegiatan'!$A$2:$A800,0))</f>
        <v>Kerangka Sampel Area (KSA) 2024 November</v>
      </c>
      <c r="Y722" s="7" t="s">
        <v>4572</v>
      </c>
      <c r="Z722" s="7" t="s">
        <v>4656</v>
      </c>
      <c r="AA722" s="68">
        <f t="shared" si="5"/>
        <v>45596</v>
      </c>
      <c r="AB722" s="68">
        <f t="shared" si="6"/>
        <v>45597</v>
      </c>
      <c r="AC722" s="68">
        <f t="shared" si="7"/>
        <v>45626</v>
      </c>
      <c r="AD722" s="68">
        <f t="shared" si="8"/>
        <v>45625</v>
      </c>
      <c r="AE722" s="68">
        <f t="shared" si="9"/>
        <v>45626</v>
      </c>
    </row>
    <row r="723" spans="1:31" ht="12.5">
      <c r="A723" s="125">
        <v>610422040061</v>
      </c>
      <c r="B723" s="64" t="s">
        <v>37</v>
      </c>
      <c r="D723" s="10">
        <f t="array" aca="1" ref="D723" ca="1">INDEX('Mitra per Bulan'!$M$2:$M800,MATCH(S723,'Mitra per Bulan'!$B$2:$B800,0))</f>
        <v>1</v>
      </c>
      <c r="E723" s="10" t="str">
        <f t="array" ref="E723">INDEX('Database Mitra'!$A$2:$A800,MATCH(A723,'Database Mitra'!$B$2:$B800,0))</f>
        <v>Sabani</v>
      </c>
      <c r="F723" s="65" t="s">
        <v>25</v>
      </c>
      <c r="G723" s="5" t="str">
        <f t="array" ref="G723">INDEX('Database Mitra'!$G$2:$G800,MATCH(A723,'Database Mitra'!$B$2:$B800,0))</f>
        <v>6102153112860003</v>
      </c>
      <c r="H723" s="64" t="s">
        <v>84</v>
      </c>
      <c r="I723" s="65" t="str">
        <f t="shared" si="22"/>
        <v>KSA24-LAPANGAN-NOVEMBER-PPL-KSA PADI</v>
      </c>
      <c r="J723" s="10" t="str">
        <f t="array" ref="J723">INDEX(Honor!$H$2:$H800,MATCH($I723,Honor!$A$2:$A800,0))</f>
        <v>Segmen</v>
      </c>
      <c r="K723" s="66">
        <f t="array" ref="K723">INDEX(Honor!$I$2:$I800,MATCH($I723,Honor!$A$2:$A800,0))</f>
        <v>116000</v>
      </c>
      <c r="L723" s="64">
        <v>3</v>
      </c>
      <c r="M723" s="10">
        <f t="shared" si="0"/>
        <v>348000</v>
      </c>
      <c r="O723" s="67">
        <f t="array" ref="O723">INDEX(Honor!$L$2:$L800,MATCH($I723,Honor!$A$2:$A800,0))</f>
        <v>45626</v>
      </c>
      <c r="P723" s="10">
        <f t="shared" si="1"/>
        <v>2024</v>
      </c>
      <c r="Q723" s="10">
        <f t="shared" si="2"/>
        <v>11</v>
      </c>
      <c r="R723" s="10" t="str">
        <f t="array" ref="R723">INDEX(Honor!$Q$2:$Q800,MATCH($I723,Honor!$A$2:$A800,0))</f>
        <v>SURVEI-PPL</v>
      </c>
      <c r="S723" s="10" t="str">
        <f t="shared" si="3"/>
        <v>610422040061-2024-11</v>
      </c>
      <c r="T723" s="10" t="str">
        <f t="shared" si="4"/>
        <v>610422040061-2024-11-SURVEI-PPL</v>
      </c>
      <c r="U723" s="64">
        <v>0</v>
      </c>
      <c r="V723" s="10" t="e">
        <f t="array" aca="1" ref="V723" ca="1">INDEX(Honor!$O$2:$O800,MATCH($I723,Honor!$A$2:$A800,0))</f>
        <v>#NAME?</v>
      </c>
      <c r="W723" s="67"/>
      <c r="X723" s="7" t="str">
        <f t="array" ref="X723">INDEX('Input Kegiatan'!$B$2:$B800,MATCH(B723,'Input Kegiatan'!$A$2:$A800,0))</f>
        <v>Kerangka Sampel Area (KSA) 2024 November</v>
      </c>
      <c r="Y723" s="7" t="s">
        <v>3715</v>
      </c>
      <c r="Z723" s="7" t="s">
        <v>3862</v>
      </c>
      <c r="AA723" s="68">
        <f t="shared" si="5"/>
        <v>45596</v>
      </c>
      <c r="AB723" s="68">
        <f t="shared" si="6"/>
        <v>45597</v>
      </c>
      <c r="AC723" s="68">
        <f t="shared" si="7"/>
        <v>45626</v>
      </c>
      <c r="AD723" s="68">
        <f t="shared" si="8"/>
        <v>45625</v>
      </c>
      <c r="AE723" s="68">
        <f t="shared" si="9"/>
        <v>45626</v>
      </c>
    </row>
    <row r="724" spans="1:31" ht="12.5">
      <c r="A724" s="125">
        <v>610422100131</v>
      </c>
      <c r="B724" s="64" t="s">
        <v>37</v>
      </c>
      <c r="D724" s="10">
        <f t="array" aca="1" ref="D724" ca="1">INDEX('Mitra per Bulan'!$M$2:$M800,MATCH(S724,'Mitra per Bulan'!$B$2:$B800,0))</f>
        <v>1</v>
      </c>
      <c r="E724" s="10" t="str">
        <f t="array" ref="E724">INDEX('Database Mitra'!$A$2:$A800,MATCH(A724,'Database Mitra'!$B$2:$B800,0))</f>
        <v>Syamsul</v>
      </c>
      <c r="F724" s="65" t="s">
        <v>25</v>
      </c>
      <c r="G724" s="5" t="str">
        <f t="array" ref="G724">INDEX('Database Mitra'!$G$2:$G800,MATCH(A724,'Database Mitra'!$B$2:$B800,0))</f>
        <v>6102150907860003</v>
      </c>
      <c r="H724" s="64" t="s">
        <v>84</v>
      </c>
      <c r="I724" s="65" t="str">
        <f t="shared" si="22"/>
        <v>KSA24-LAPANGAN-NOVEMBER-PPL-KSA PADI</v>
      </c>
      <c r="J724" s="10" t="str">
        <f t="array" ref="J724">INDEX(Honor!$H$2:$H800,MATCH($I724,Honor!$A$2:$A800,0))</f>
        <v>Segmen</v>
      </c>
      <c r="K724" s="66">
        <f t="array" ref="K724">INDEX(Honor!$I$2:$I800,MATCH($I724,Honor!$A$2:$A800,0))</f>
        <v>116000</v>
      </c>
      <c r="L724" s="64">
        <v>3</v>
      </c>
      <c r="M724" s="10">
        <f t="shared" si="0"/>
        <v>348000</v>
      </c>
      <c r="O724" s="67">
        <f t="array" ref="O724">INDEX(Honor!$L$2:$L800,MATCH($I724,Honor!$A$2:$A800,0))</f>
        <v>45626</v>
      </c>
      <c r="P724" s="10">
        <f t="shared" si="1"/>
        <v>2024</v>
      </c>
      <c r="Q724" s="10">
        <f t="shared" si="2"/>
        <v>11</v>
      </c>
      <c r="R724" s="10" t="str">
        <f t="array" ref="R724">INDEX(Honor!$Q$2:$Q800,MATCH($I724,Honor!$A$2:$A800,0))</f>
        <v>SURVEI-PPL</v>
      </c>
      <c r="S724" s="10" t="str">
        <f t="shared" si="3"/>
        <v>610422100131-2024-11</v>
      </c>
      <c r="T724" s="10" t="str">
        <f t="shared" si="4"/>
        <v>610422100131-2024-11-SURVEI-PPL</v>
      </c>
      <c r="U724" s="64">
        <v>0</v>
      </c>
      <c r="V724" s="10" t="e">
        <f t="array" aca="1" ref="V724" ca="1">INDEX(Honor!$O$2:$O800,MATCH($I724,Honor!$A$2:$A800,0))</f>
        <v>#NAME?</v>
      </c>
      <c r="W724" s="67"/>
      <c r="X724" s="7" t="str">
        <f t="array" ref="X724">INDEX('Input Kegiatan'!$B$2:$B800,MATCH(B724,'Input Kegiatan'!$A$2:$A800,0))</f>
        <v>Kerangka Sampel Area (KSA) 2024 November</v>
      </c>
      <c r="Y724" s="7" t="s">
        <v>5250</v>
      </c>
      <c r="Z724" s="7" t="s">
        <v>5365</v>
      </c>
      <c r="AA724" s="68">
        <f t="shared" si="5"/>
        <v>45596</v>
      </c>
      <c r="AB724" s="68">
        <f t="shared" si="6"/>
        <v>45597</v>
      </c>
      <c r="AC724" s="68">
        <f t="shared" si="7"/>
        <v>45626</v>
      </c>
      <c r="AD724" s="68">
        <f t="shared" si="8"/>
        <v>45625</v>
      </c>
      <c r="AE724" s="68">
        <f t="shared" si="9"/>
        <v>45626</v>
      </c>
    </row>
    <row r="725" spans="1:31" ht="12.5">
      <c r="A725" s="125">
        <v>610422100244</v>
      </c>
      <c r="B725" s="64" t="s">
        <v>37</v>
      </c>
      <c r="D725" s="10">
        <f t="array" aca="1" ref="D725" ca="1">INDEX('Mitra per Bulan'!$M$2:$M800,MATCH(S725,'Mitra per Bulan'!$B$2:$B800,0))</f>
        <v>1</v>
      </c>
      <c r="E725" s="10" t="str">
        <f t="array" ref="E725">INDEX('Database Mitra'!$A$2:$A800,MATCH(A725,'Database Mitra'!$B$2:$B800,0))</f>
        <v>Sugianto</v>
      </c>
      <c r="F725" s="65" t="s">
        <v>25</v>
      </c>
      <c r="G725" s="5" t="str">
        <f t="array" ref="G725">INDEX('Database Mitra'!$G$2:$G800,MATCH(A725,'Database Mitra'!$B$2:$B800,0))</f>
        <v>6102171003900002</v>
      </c>
      <c r="H725" s="64" t="s">
        <v>84</v>
      </c>
      <c r="I725" s="65" t="str">
        <f t="shared" si="22"/>
        <v>KSA24-LAPANGAN-NOVEMBER-PPL-KSA PADI</v>
      </c>
      <c r="J725" s="10" t="str">
        <f t="array" ref="J725">INDEX(Honor!$H$2:$H800,MATCH($I725,Honor!$A$2:$A800,0))</f>
        <v>Segmen</v>
      </c>
      <c r="K725" s="66">
        <f t="array" ref="K725">INDEX(Honor!$I$2:$I800,MATCH($I725,Honor!$A$2:$A800,0))</f>
        <v>116000</v>
      </c>
      <c r="L725" s="64">
        <v>3</v>
      </c>
      <c r="M725" s="10">
        <f t="shared" si="0"/>
        <v>348000</v>
      </c>
      <c r="O725" s="67">
        <f t="array" ref="O725">INDEX(Honor!$L$2:$L800,MATCH($I725,Honor!$A$2:$A800,0))</f>
        <v>45626</v>
      </c>
      <c r="P725" s="10">
        <f t="shared" si="1"/>
        <v>2024</v>
      </c>
      <c r="Q725" s="10">
        <f t="shared" si="2"/>
        <v>11</v>
      </c>
      <c r="R725" s="10" t="str">
        <f t="array" ref="R725">INDEX(Honor!$Q$2:$Q800,MATCH($I725,Honor!$A$2:$A800,0))</f>
        <v>SURVEI-PPL</v>
      </c>
      <c r="S725" s="10" t="str">
        <f t="shared" si="3"/>
        <v>610422100244-2024-11</v>
      </c>
      <c r="T725" s="10" t="str">
        <f t="shared" si="4"/>
        <v>610422100244-2024-11-SURVEI-PPL</v>
      </c>
      <c r="U725" s="64">
        <v>0</v>
      </c>
      <c r="V725" s="10" t="e">
        <f t="array" aca="1" ref="V725" ca="1">INDEX(Honor!$O$2:$O800,MATCH($I725,Honor!$A$2:$A800,0))</f>
        <v>#NAME?</v>
      </c>
      <c r="W725" s="67"/>
      <c r="X725" s="7" t="str">
        <f t="array" ref="X725">INDEX('Input Kegiatan'!$B$2:$B800,MATCH(B725,'Input Kegiatan'!$A$2:$A800,0))</f>
        <v>Kerangka Sampel Area (KSA) 2024 November</v>
      </c>
      <c r="Y725" s="7" t="s">
        <v>5741</v>
      </c>
      <c r="Z725" s="7" t="s">
        <v>5796</v>
      </c>
      <c r="AA725" s="68">
        <f t="shared" si="5"/>
        <v>45596</v>
      </c>
      <c r="AB725" s="68">
        <f t="shared" si="6"/>
        <v>45597</v>
      </c>
      <c r="AC725" s="68">
        <f t="shared" si="7"/>
        <v>45626</v>
      </c>
      <c r="AD725" s="68">
        <f t="shared" si="8"/>
        <v>45625</v>
      </c>
      <c r="AE725" s="68">
        <f t="shared" si="9"/>
        <v>45626</v>
      </c>
    </row>
    <row r="726" spans="1:31" ht="12.5">
      <c r="A726" s="125">
        <v>610422100176</v>
      </c>
      <c r="B726" s="64" t="s">
        <v>37</v>
      </c>
      <c r="D726" s="10">
        <f t="array" aca="1" ref="D726" ca="1">INDEX('Mitra per Bulan'!$M$2:$M800,MATCH(S726,'Mitra per Bulan'!$B$2:$B800,0))</f>
        <v>1</v>
      </c>
      <c r="E726" s="10" t="str">
        <f t="array" ref="E726">INDEX('Database Mitra'!$A$2:$A800,MATCH(A726,'Database Mitra'!$B$2:$B800,0))</f>
        <v>Feri Firdaus</v>
      </c>
      <c r="F726" s="65" t="s">
        <v>25</v>
      </c>
      <c r="G726" s="5" t="str">
        <f t="array" ref="G726">INDEX('Database Mitra'!$G$2:$G800,MATCH(A726,'Database Mitra'!$B$2:$B800,0))</f>
        <v>6102150412880001</v>
      </c>
      <c r="H726" s="64" t="s">
        <v>84</v>
      </c>
      <c r="I726" s="65" t="str">
        <f t="shared" si="22"/>
        <v>KSA24-LAPANGAN-NOVEMBER-PPL-KSA PADI</v>
      </c>
      <c r="J726" s="10" t="str">
        <f t="array" ref="J726">INDEX(Honor!$H$2:$H800,MATCH($I726,Honor!$A$2:$A800,0))</f>
        <v>Segmen</v>
      </c>
      <c r="K726" s="66">
        <f t="array" ref="K726">INDEX(Honor!$I$2:$I800,MATCH($I726,Honor!$A$2:$A800,0))</f>
        <v>116000</v>
      </c>
      <c r="L726" s="64">
        <v>3</v>
      </c>
      <c r="M726" s="10">
        <f t="shared" si="0"/>
        <v>348000</v>
      </c>
      <c r="O726" s="67">
        <f t="array" ref="O726">INDEX(Honor!$L$2:$L800,MATCH($I726,Honor!$A$2:$A800,0))</f>
        <v>45626</v>
      </c>
      <c r="P726" s="10">
        <f t="shared" si="1"/>
        <v>2024</v>
      </c>
      <c r="Q726" s="10">
        <f t="shared" si="2"/>
        <v>11</v>
      </c>
      <c r="R726" s="10" t="str">
        <f t="array" ref="R726">INDEX(Honor!$Q$2:$Q800,MATCH($I726,Honor!$A$2:$A800,0))</f>
        <v>SURVEI-PPL</v>
      </c>
      <c r="S726" s="10" t="str">
        <f t="shared" si="3"/>
        <v>610422100176-2024-11</v>
      </c>
      <c r="T726" s="10" t="str">
        <f t="shared" si="4"/>
        <v>610422100176-2024-11-SURVEI-PPL</v>
      </c>
      <c r="U726" s="64">
        <v>0</v>
      </c>
      <c r="V726" s="10" t="e">
        <f t="array" aca="1" ref="V726" ca="1">INDEX(Honor!$O$2:$O800,MATCH($I726,Honor!$A$2:$A800,0))</f>
        <v>#NAME?</v>
      </c>
      <c r="W726" s="67"/>
      <c r="X726" s="7" t="str">
        <f t="array" ref="X726">INDEX('Input Kegiatan'!$B$2:$B800,MATCH(B726,'Input Kegiatan'!$A$2:$A800,0))</f>
        <v>Kerangka Sampel Area (KSA) 2024 November</v>
      </c>
      <c r="Y726" s="7" t="s">
        <v>3715</v>
      </c>
      <c r="Z726" s="7" t="s">
        <v>3765</v>
      </c>
      <c r="AA726" s="68">
        <f t="shared" si="5"/>
        <v>45596</v>
      </c>
      <c r="AB726" s="68">
        <f t="shared" si="6"/>
        <v>45597</v>
      </c>
      <c r="AC726" s="68">
        <f t="shared" si="7"/>
        <v>45626</v>
      </c>
      <c r="AD726" s="68">
        <f t="shared" si="8"/>
        <v>45625</v>
      </c>
      <c r="AE726" s="68">
        <f t="shared" si="9"/>
        <v>45626</v>
      </c>
    </row>
    <row r="727" spans="1:31" ht="12.5">
      <c r="A727" s="125">
        <v>610423110183</v>
      </c>
      <c r="B727" s="64" t="s">
        <v>37</v>
      </c>
      <c r="D727" s="10">
        <f t="array" aca="1" ref="D727" ca="1">INDEX('Mitra per Bulan'!$M$2:$M800,MATCH(S727,'Mitra per Bulan'!$B$2:$B800,0))</f>
        <v>1</v>
      </c>
      <c r="E727" s="10" t="str">
        <f t="array" ref="E727">INDEX('Database Mitra'!$A$2:$A800,MATCH(A727,'Database Mitra'!$B$2:$B800,0))</f>
        <v>Azhar</v>
      </c>
      <c r="F727" s="65" t="s">
        <v>25</v>
      </c>
      <c r="G727" s="5" t="str">
        <f t="array" ref="G727">INDEX('Database Mitra'!$G$2:$G800,MATCH(A727,'Database Mitra'!$B$2:$B800,0))</f>
        <v>6102081211790004</v>
      </c>
      <c r="H727" s="64" t="s">
        <v>84</v>
      </c>
      <c r="I727" s="65" t="str">
        <f t="shared" si="22"/>
        <v>KSA24-LAPANGAN-NOVEMBER-PPL-KSA PADI</v>
      </c>
      <c r="J727" s="10" t="str">
        <f t="array" ref="J727">INDEX(Honor!$H$2:$H800,MATCH($I727,Honor!$A$2:$A800,0))</f>
        <v>Segmen</v>
      </c>
      <c r="K727" s="66">
        <f t="array" ref="K727">INDEX(Honor!$I$2:$I800,MATCH($I727,Honor!$A$2:$A800,0))</f>
        <v>116000</v>
      </c>
      <c r="L727" s="64">
        <v>6</v>
      </c>
      <c r="M727" s="10">
        <f t="shared" si="0"/>
        <v>696000</v>
      </c>
      <c r="O727" s="67">
        <f t="array" ref="O727">INDEX(Honor!$L$2:$L800,MATCH($I727,Honor!$A$2:$A800,0))</f>
        <v>45626</v>
      </c>
      <c r="P727" s="10">
        <f t="shared" si="1"/>
        <v>2024</v>
      </c>
      <c r="Q727" s="10">
        <f t="shared" si="2"/>
        <v>11</v>
      </c>
      <c r="R727" s="10" t="str">
        <f t="array" ref="R727">INDEX(Honor!$Q$2:$Q800,MATCH($I727,Honor!$A$2:$A800,0))</f>
        <v>SURVEI-PPL</v>
      </c>
      <c r="S727" s="10" t="str">
        <f t="shared" si="3"/>
        <v>610423110183-2024-11</v>
      </c>
      <c r="T727" s="10" t="str">
        <f t="shared" si="4"/>
        <v>610423110183-2024-11-SURVEI-PPL</v>
      </c>
      <c r="U727" s="64">
        <v>0</v>
      </c>
      <c r="V727" s="10" t="e">
        <f t="array" aca="1" ref="V727" ca="1">INDEX(Honor!$O$2:$O800,MATCH($I727,Honor!$A$2:$A800,0))</f>
        <v>#NAME?</v>
      </c>
      <c r="W727" s="67"/>
      <c r="X727" s="7" t="str">
        <f t="array" ref="X727">INDEX('Input Kegiatan'!$B$2:$B800,MATCH(B727,'Input Kegiatan'!$A$2:$A800,0))</f>
        <v>Kerangka Sampel Area (KSA) 2024 November</v>
      </c>
      <c r="Y727" s="7" t="s">
        <v>3241</v>
      </c>
      <c r="Z727" s="7" t="s">
        <v>3242</v>
      </c>
      <c r="AA727" s="68">
        <f t="shared" si="5"/>
        <v>45596</v>
      </c>
      <c r="AB727" s="68">
        <f t="shared" si="6"/>
        <v>45597</v>
      </c>
      <c r="AC727" s="68">
        <f t="shared" si="7"/>
        <v>45626</v>
      </c>
      <c r="AD727" s="68">
        <f t="shared" si="8"/>
        <v>45625</v>
      </c>
      <c r="AE727" s="68">
        <f t="shared" si="9"/>
        <v>45626</v>
      </c>
    </row>
    <row r="728" spans="1:31" ht="12.5">
      <c r="A728" s="125">
        <v>610423040018</v>
      </c>
      <c r="B728" s="64" t="s">
        <v>37</v>
      </c>
      <c r="D728" s="10">
        <f t="array" aca="1" ref="D728" ca="1">INDEX('Mitra per Bulan'!$M$2:$M800,MATCH(S728,'Mitra per Bulan'!$B$2:$B800,0))</f>
        <v>1</v>
      </c>
      <c r="E728" s="10" t="str">
        <f t="array" ref="E728">INDEX('Database Mitra'!$A$2:$A800,MATCH(A728,'Database Mitra'!$B$2:$B800,0))</f>
        <v>Handoko Tuah Sabarman Sipayung</v>
      </c>
      <c r="F728" s="64" t="s">
        <v>25</v>
      </c>
      <c r="G728" s="5" t="str">
        <f t="array" ref="G728">INDEX('Database Mitra'!$G$2:$G800,MATCH(A728,'Database Mitra'!$B$2:$B800,0))</f>
        <v>1212092309880001</v>
      </c>
      <c r="H728" s="64" t="s">
        <v>84</v>
      </c>
      <c r="I728" s="65" t="str">
        <f t="shared" si="22"/>
        <v>KSA24-LAPANGAN-NOVEMBER-PPL-KSA PADI</v>
      </c>
      <c r="J728" s="10" t="str">
        <f t="array" ref="J728">INDEX(Honor!$H$2:$H800,MATCH($I728,Honor!$A$2:$A800,0))</f>
        <v>Segmen</v>
      </c>
      <c r="K728" s="66">
        <f t="array" ref="K728">INDEX(Honor!$I$2:$I800,MATCH($I728,Honor!$A$2:$A800,0))</f>
        <v>116000</v>
      </c>
      <c r="L728" s="64">
        <v>4</v>
      </c>
      <c r="M728" s="10">
        <f t="shared" si="0"/>
        <v>464000</v>
      </c>
      <c r="O728" s="67">
        <f t="array" ref="O728">INDEX(Honor!$L$2:$L800,MATCH($I728,Honor!$A$2:$A800,0))</f>
        <v>45626</v>
      </c>
      <c r="P728" s="10">
        <f t="shared" si="1"/>
        <v>2024</v>
      </c>
      <c r="Q728" s="10">
        <f t="shared" si="2"/>
        <v>11</v>
      </c>
      <c r="R728" s="10" t="str">
        <f t="array" ref="R728">INDEX(Honor!$Q$2:$Q800,MATCH($I728,Honor!$A$2:$A800,0))</f>
        <v>SURVEI-PPL</v>
      </c>
      <c r="S728" s="10" t="str">
        <f t="shared" si="3"/>
        <v>610423040018-2024-11</v>
      </c>
      <c r="T728" s="10" t="str">
        <f t="shared" si="4"/>
        <v>610423040018-2024-11-SURVEI-PPL</v>
      </c>
      <c r="U728" s="64">
        <v>0</v>
      </c>
      <c r="V728" s="10" t="e">
        <f t="array" aca="1" ref="V728" ca="1">INDEX(Honor!$O$2:$O800,MATCH($I728,Honor!$A$2:$A800,0))</f>
        <v>#NAME?</v>
      </c>
      <c r="W728" s="67"/>
      <c r="X728" s="7" t="str">
        <f t="array" ref="X728">INDEX('Input Kegiatan'!$B$2:$B800,MATCH(B728,'Input Kegiatan'!$A$2:$A800,0))</f>
        <v>Kerangka Sampel Area (KSA) 2024 November</v>
      </c>
      <c r="Y728" s="7" t="s">
        <v>5534</v>
      </c>
      <c r="Z728" s="7" t="s">
        <v>5647</v>
      </c>
      <c r="AA728" s="68">
        <f t="shared" si="5"/>
        <v>45596</v>
      </c>
      <c r="AB728" s="68">
        <f t="shared" si="6"/>
        <v>45597</v>
      </c>
      <c r="AC728" s="68">
        <f t="shared" si="7"/>
        <v>45626</v>
      </c>
      <c r="AD728" s="68">
        <f t="shared" si="8"/>
        <v>45625</v>
      </c>
      <c r="AE728" s="68">
        <f t="shared" si="9"/>
        <v>45626</v>
      </c>
    </row>
    <row r="729" spans="1:31" ht="12.5">
      <c r="A729" s="125">
        <v>610422040059</v>
      </c>
      <c r="B729" s="64" t="s">
        <v>37</v>
      </c>
      <c r="D729" s="10">
        <f t="array" aca="1" ref="D729" ca="1">INDEX('Mitra per Bulan'!$M$2:$M800,MATCH(S729,'Mitra per Bulan'!$B$2:$B800,0))</f>
        <v>1</v>
      </c>
      <c r="E729" s="10" t="str">
        <f t="array" ref="E729">INDEX('Database Mitra'!$A$2:$A800,MATCH(A729,'Database Mitra'!$B$2:$B800,0))</f>
        <v>Abang Handri</v>
      </c>
      <c r="F729" s="64" t="s">
        <v>25</v>
      </c>
      <c r="G729" s="5" t="str">
        <f t="array" ref="G729">INDEX('Database Mitra'!$G$2:$G800,MATCH(A729,'Database Mitra'!$B$2:$B800,0))</f>
        <v>6102072211780002</v>
      </c>
      <c r="H729" s="64" t="s">
        <v>85</v>
      </c>
      <c r="I729" s="65" t="str">
        <f t="shared" si="22"/>
        <v>KSA24-LAPANGAN-NOVEMBER-PPL-KSA JAGUNG</v>
      </c>
      <c r="J729" s="10" t="str">
        <f t="array" ref="J729">INDEX(Honor!$H$2:$H800,MATCH($I729,Honor!$A$2:$A800,0))</f>
        <v>Segmen</v>
      </c>
      <c r="K729" s="66">
        <f t="array" ref="K729">INDEX(Honor!$I$2:$I800,MATCH($I729,Honor!$A$2:$A800,0))</f>
        <v>59000</v>
      </c>
      <c r="L729" s="64">
        <v>6</v>
      </c>
      <c r="M729" s="10">
        <f t="shared" si="0"/>
        <v>354000</v>
      </c>
      <c r="O729" s="67">
        <f t="array" ref="O729">INDEX(Honor!$L$2:$L800,MATCH($I729,Honor!$A$2:$A800,0))</f>
        <v>45626</v>
      </c>
      <c r="P729" s="10">
        <f t="shared" si="1"/>
        <v>2024</v>
      </c>
      <c r="Q729" s="10">
        <f t="shared" si="2"/>
        <v>11</v>
      </c>
      <c r="R729" s="10" t="str">
        <f t="array" ref="R729">INDEX(Honor!$Q$2:$Q800,MATCH($I729,Honor!$A$2:$A800,0))</f>
        <v>SURVEI-PPL</v>
      </c>
      <c r="S729" s="10" t="str">
        <f t="shared" si="3"/>
        <v>610422040059-2024-11</v>
      </c>
      <c r="T729" s="10" t="str">
        <f t="shared" si="4"/>
        <v>610422040059-2024-11-SURVEI-PPL</v>
      </c>
      <c r="U729" s="64">
        <v>0</v>
      </c>
      <c r="V729" s="10" t="e">
        <f t="array" aca="1" ref="V729" ca="1">INDEX(Honor!$O$2:$O800,MATCH($I729,Honor!$A$2:$A800,0))</f>
        <v>#NAME?</v>
      </c>
      <c r="W729" s="67"/>
      <c r="X729" s="7" t="str">
        <f t="array" ref="X729">INDEX('Input Kegiatan'!$B$2:$B800,MATCH(B729,'Input Kegiatan'!$A$2:$A800,0))</f>
        <v>Kerangka Sampel Area (KSA) 2024 November</v>
      </c>
      <c r="Y729" s="7" t="s">
        <v>4572</v>
      </c>
      <c r="Z729" s="7" t="s">
        <v>4656</v>
      </c>
      <c r="AA729" s="68">
        <f t="shared" si="5"/>
        <v>45596</v>
      </c>
      <c r="AB729" s="68">
        <f t="shared" si="6"/>
        <v>45597</v>
      </c>
      <c r="AC729" s="68">
        <f t="shared" si="7"/>
        <v>45626</v>
      </c>
      <c r="AD729" s="68">
        <f t="shared" si="8"/>
        <v>45625</v>
      </c>
      <c r="AE729" s="68">
        <f t="shared" si="9"/>
        <v>45626</v>
      </c>
    </row>
    <row r="730" spans="1:31" ht="12.5">
      <c r="A730" s="125">
        <v>610422020048</v>
      </c>
      <c r="B730" s="64" t="s">
        <v>37</v>
      </c>
      <c r="D730" s="10">
        <f t="array" aca="1" ref="D730" ca="1">INDEX('Mitra per Bulan'!$M$2:$M800,MATCH(S730,'Mitra per Bulan'!$B$2:$B800,0))</f>
        <v>1</v>
      </c>
      <c r="E730" s="10" t="str">
        <f t="array" ref="E730">INDEX('Database Mitra'!$A$2:$A800,MATCH(A730,'Database Mitra'!$B$2:$B800,0))</f>
        <v>Herri Gustaman</v>
      </c>
      <c r="F730" s="64" t="s">
        <v>25</v>
      </c>
      <c r="G730" s="5" t="str">
        <f t="array" ref="G730">INDEX('Database Mitra'!$G$2:$G800,MATCH(A730,'Database Mitra'!$B$2:$B800,0))</f>
        <v>6102072503800001</v>
      </c>
      <c r="H730" s="64" t="s">
        <v>85</v>
      </c>
      <c r="I730" s="65" t="str">
        <f t="shared" si="22"/>
        <v>KSA24-LAPANGAN-NOVEMBER-PPL-KSA JAGUNG</v>
      </c>
      <c r="J730" s="10" t="str">
        <f t="array" ref="J730">INDEX(Honor!$H$2:$H800,MATCH($I730,Honor!$A$2:$A800,0))</f>
        <v>Segmen</v>
      </c>
      <c r="K730" s="66">
        <f t="array" ref="K730">INDEX(Honor!$I$2:$I800,MATCH($I730,Honor!$A$2:$A800,0))</f>
        <v>59000</v>
      </c>
      <c r="L730" s="64">
        <v>6</v>
      </c>
      <c r="M730" s="10">
        <f t="shared" si="0"/>
        <v>354000</v>
      </c>
      <c r="O730" s="67">
        <f t="array" ref="O730">INDEX(Honor!$L$2:$L800,MATCH($I730,Honor!$A$2:$A800,0))</f>
        <v>45626</v>
      </c>
      <c r="P730" s="10">
        <f t="shared" si="1"/>
        <v>2024</v>
      </c>
      <c r="Q730" s="10">
        <f t="shared" si="2"/>
        <v>11</v>
      </c>
      <c r="R730" s="10" t="str">
        <f t="array" ref="R730">INDEX(Honor!$Q$2:$Q800,MATCH($I730,Honor!$A$2:$A800,0))</f>
        <v>SURVEI-PPL</v>
      </c>
      <c r="S730" s="10" t="str">
        <f t="shared" si="3"/>
        <v>610422020048-2024-11</v>
      </c>
      <c r="T730" s="10" t="str">
        <f t="shared" si="4"/>
        <v>610422020048-2024-11-SURVEI-PPL</v>
      </c>
      <c r="U730" s="64">
        <v>0</v>
      </c>
      <c r="V730" s="10" t="e">
        <f t="array" aca="1" ref="V730" ca="1">INDEX(Honor!$O$2:$O800,MATCH($I730,Honor!$A$2:$A800,0))</f>
        <v>#NAME?</v>
      </c>
      <c r="W730" s="67"/>
      <c r="X730" s="7" t="str">
        <f t="array" ref="X730">INDEX('Input Kegiatan'!$B$2:$B800,MATCH(B730,'Input Kegiatan'!$A$2:$A800,0))</f>
        <v>Kerangka Sampel Area (KSA) 2024 November</v>
      </c>
      <c r="Y730" s="7" t="s">
        <v>4931</v>
      </c>
      <c r="Z730" s="7" t="s">
        <v>5171</v>
      </c>
      <c r="AA730" s="68">
        <f t="shared" si="5"/>
        <v>45596</v>
      </c>
      <c r="AB730" s="68">
        <f t="shared" si="6"/>
        <v>45597</v>
      </c>
      <c r="AC730" s="68">
        <f t="shared" si="7"/>
        <v>45626</v>
      </c>
      <c r="AD730" s="68">
        <f t="shared" si="8"/>
        <v>45625</v>
      </c>
      <c r="AE730" s="68">
        <f t="shared" si="9"/>
        <v>45626</v>
      </c>
    </row>
    <row r="731" spans="1:31" ht="12.5">
      <c r="A731" s="125">
        <v>610422040058</v>
      </c>
      <c r="B731" s="64" t="s">
        <v>37</v>
      </c>
      <c r="D731" s="10">
        <f t="array" aca="1" ref="D731" ca="1">INDEX('Mitra per Bulan'!$M$2:$M800,MATCH(S731,'Mitra per Bulan'!$B$2:$B800,0))</f>
        <v>1</v>
      </c>
      <c r="E731" s="10" t="str">
        <f t="array" ref="E731">INDEX('Database Mitra'!$A$2:$A800,MATCH(A731,'Database Mitra'!$B$2:$B800,0))</f>
        <v>Jamaluddin, Sp</v>
      </c>
      <c r="F731" s="64" t="s">
        <v>25</v>
      </c>
      <c r="G731" s="5" t="str">
        <f t="array" ref="G731">INDEX('Database Mitra'!$G$2:$G800,MATCH(A731,'Database Mitra'!$B$2:$B800,0))</f>
        <v>6102152607940002</v>
      </c>
      <c r="H731" s="64" t="s">
        <v>85</v>
      </c>
      <c r="I731" s="65" t="str">
        <f t="shared" si="22"/>
        <v>KSA24-LAPANGAN-NOVEMBER-PPL-KSA JAGUNG</v>
      </c>
      <c r="J731" s="10" t="str">
        <f t="array" ref="J731">INDEX(Honor!$H$2:$H800,MATCH($I731,Honor!$A$2:$A800,0))</f>
        <v>Segmen</v>
      </c>
      <c r="K731" s="66">
        <f t="array" ref="K731">INDEX(Honor!$I$2:$I800,MATCH($I731,Honor!$A$2:$A800,0))</f>
        <v>59000</v>
      </c>
      <c r="L731" s="64">
        <v>10</v>
      </c>
      <c r="M731" s="10">
        <f t="shared" si="0"/>
        <v>590000</v>
      </c>
      <c r="O731" s="67">
        <f t="array" ref="O731">INDEX(Honor!$L$2:$L800,MATCH($I731,Honor!$A$2:$A800,0))</f>
        <v>45626</v>
      </c>
      <c r="P731" s="10">
        <f t="shared" si="1"/>
        <v>2024</v>
      </c>
      <c r="Q731" s="10">
        <f t="shared" si="2"/>
        <v>11</v>
      </c>
      <c r="R731" s="10" t="str">
        <f t="array" ref="R731">INDEX(Honor!$Q$2:$Q800,MATCH($I731,Honor!$A$2:$A800,0))</f>
        <v>SURVEI-PPL</v>
      </c>
      <c r="S731" s="10" t="str">
        <f t="shared" si="3"/>
        <v>610422040058-2024-11</v>
      </c>
      <c r="T731" s="10" t="str">
        <f t="shared" si="4"/>
        <v>610422040058-2024-11-SURVEI-PPL</v>
      </c>
      <c r="U731" s="64">
        <v>0</v>
      </c>
      <c r="V731" s="10" t="e">
        <f t="array" aca="1" ref="V731" ca="1">INDEX(Honor!$O$2:$O800,MATCH($I731,Honor!$A$2:$A800,0))</f>
        <v>#NAME?</v>
      </c>
      <c r="W731" s="67"/>
      <c r="X731" s="7" t="str">
        <f t="array" ref="X731">INDEX('Input Kegiatan'!$B$2:$B800,MATCH(B731,'Input Kegiatan'!$A$2:$A800,0))</f>
        <v>Kerangka Sampel Area (KSA) 2024 November</v>
      </c>
      <c r="Y731" s="7" t="s">
        <v>3715</v>
      </c>
      <c r="Z731" s="7" t="s">
        <v>3716</v>
      </c>
      <c r="AA731" s="68">
        <f t="shared" si="5"/>
        <v>45596</v>
      </c>
      <c r="AB731" s="68">
        <f t="shared" si="6"/>
        <v>45597</v>
      </c>
      <c r="AC731" s="68">
        <f t="shared" si="7"/>
        <v>45626</v>
      </c>
      <c r="AD731" s="68">
        <f t="shared" si="8"/>
        <v>45625</v>
      </c>
      <c r="AE731" s="68">
        <f t="shared" si="9"/>
        <v>45626</v>
      </c>
    </row>
    <row r="732" spans="1:31" ht="12.5">
      <c r="A732" s="125">
        <v>610423110183</v>
      </c>
      <c r="B732" s="64" t="s">
        <v>37</v>
      </c>
      <c r="D732" s="10">
        <f t="array" aca="1" ref="D732" ca="1">INDEX('Mitra per Bulan'!$M$2:$M800,MATCH(S732,'Mitra per Bulan'!$B$2:$B800,0))</f>
        <v>1</v>
      </c>
      <c r="E732" s="10" t="str">
        <f t="array" ref="E732">INDEX('Database Mitra'!$A$2:$A800,MATCH(A732,'Database Mitra'!$B$2:$B800,0))</f>
        <v>Azhar</v>
      </c>
      <c r="F732" s="64" t="s">
        <v>25</v>
      </c>
      <c r="G732" s="5" t="str">
        <f t="array" ref="G732">INDEX('Database Mitra'!$G$2:$G800,MATCH(A732,'Database Mitra'!$B$2:$B800,0))</f>
        <v>6102081211790004</v>
      </c>
      <c r="H732" s="64" t="s">
        <v>85</v>
      </c>
      <c r="I732" s="65" t="str">
        <f t="shared" si="22"/>
        <v>KSA24-LAPANGAN-NOVEMBER-PPL-KSA JAGUNG</v>
      </c>
      <c r="J732" s="10" t="str">
        <f t="array" ref="J732">INDEX(Honor!$H$2:$H800,MATCH($I732,Honor!$A$2:$A800,0))</f>
        <v>Segmen</v>
      </c>
      <c r="K732" s="66">
        <f t="array" ref="K732">INDEX(Honor!$I$2:$I800,MATCH($I732,Honor!$A$2:$A800,0))</f>
        <v>59000</v>
      </c>
      <c r="L732" s="64">
        <v>6</v>
      </c>
      <c r="M732" s="10">
        <f t="shared" si="0"/>
        <v>354000</v>
      </c>
      <c r="O732" s="67">
        <f t="array" ref="O732">INDEX(Honor!$L$2:$L800,MATCH($I732,Honor!$A$2:$A800,0))</f>
        <v>45626</v>
      </c>
      <c r="P732" s="10">
        <f t="shared" si="1"/>
        <v>2024</v>
      </c>
      <c r="Q732" s="10">
        <f t="shared" si="2"/>
        <v>11</v>
      </c>
      <c r="R732" s="10" t="str">
        <f t="array" ref="R732">INDEX(Honor!$Q$2:$Q800,MATCH($I732,Honor!$A$2:$A800,0))</f>
        <v>SURVEI-PPL</v>
      </c>
      <c r="S732" s="10" t="str">
        <f t="shared" si="3"/>
        <v>610423110183-2024-11</v>
      </c>
      <c r="T732" s="10" t="str">
        <f t="shared" si="4"/>
        <v>610423110183-2024-11-SURVEI-PPL</v>
      </c>
      <c r="U732" s="64">
        <v>0</v>
      </c>
      <c r="V732" s="10" t="e">
        <f t="array" aca="1" ref="V732" ca="1">INDEX(Honor!$O$2:$O800,MATCH($I732,Honor!$A$2:$A800,0))</f>
        <v>#NAME?</v>
      </c>
      <c r="W732" s="67"/>
      <c r="X732" s="7" t="str">
        <f t="array" ref="X732">INDEX('Input Kegiatan'!$B$2:$B800,MATCH(B732,'Input Kegiatan'!$A$2:$A800,0))</f>
        <v>Kerangka Sampel Area (KSA) 2024 November</v>
      </c>
      <c r="Y732" s="7" t="s">
        <v>3241</v>
      </c>
      <c r="Z732" s="7" t="s">
        <v>3242</v>
      </c>
      <c r="AA732" s="68">
        <f t="shared" si="5"/>
        <v>45596</v>
      </c>
      <c r="AB732" s="68">
        <f t="shared" si="6"/>
        <v>45597</v>
      </c>
      <c r="AC732" s="68">
        <f t="shared" si="7"/>
        <v>45626</v>
      </c>
      <c r="AD732" s="68">
        <f t="shared" si="8"/>
        <v>45625</v>
      </c>
      <c r="AE732" s="68">
        <f t="shared" si="9"/>
        <v>45626</v>
      </c>
    </row>
    <row r="733" spans="1:31" ht="12.5">
      <c r="A733" s="125">
        <v>610422100244</v>
      </c>
      <c r="B733" s="64" t="s">
        <v>37</v>
      </c>
      <c r="D733" s="10">
        <f t="array" aca="1" ref="D733" ca="1">INDEX('Mitra per Bulan'!$M$2:$M800,MATCH(S733,'Mitra per Bulan'!$B$2:$B800,0))</f>
        <v>1</v>
      </c>
      <c r="E733" s="10" t="str">
        <f t="array" ref="E733">INDEX('Database Mitra'!$A$2:$A800,MATCH(A733,'Database Mitra'!$B$2:$B800,0))</f>
        <v>Sugianto</v>
      </c>
      <c r="F733" s="64" t="s">
        <v>25</v>
      </c>
      <c r="G733" s="5" t="str">
        <f t="array" ref="G733">INDEX('Database Mitra'!$G$2:$G800,MATCH(A733,'Database Mitra'!$B$2:$B800,0))</f>
        <v>6102171003900002</v>
      </c>
      <c r="H733" s="64" t="s">
        <v>85</v>
      </c>
      <c r="I733" s="65" t="str">
        <f t="shared" si="22"/>
        <v>KSA24-LAPANGAN-NOVEMBER-PPL-KSA JAGUNG</v>
      </c>
      <c r="J733" s="10" t="str">
        <f t="array" ref="J733">INDEX(Honor!$H$2:$H800,MATCH($I733,Honor!$A$2:$A800,0))</f>
        <v>Segmen</v>
      </c>
      <c r="K733" s="66">
        <f t="array" ref="K733">INDEX(Honor!$I$2:$I800,MATCH($I733,Honor!$A$2:$A800,0))</f>
        <v>59000</v>
      </c>
      <c r="L733" s="64">
        <v>8</v>
      </c>
      <c r="M733" s="10">
        <f t="shared" si="0"/>
        <v>472000</v>
      </c>
      <c r="O733" s="67">
        <f t="array" ref="O733">INDEX(Honor!$L$2:$L800,MATCH($I733,Honor!$A$2:$A800,0))</f>
        <v>45626</v>
      </c>
      <c r="P733" s="10">
        <f t="shared" si="1"/>
        <v>2024</v>
      </c>
      <c r="Q733" s="10">
        <f t="shared" si="2"/>
        <v>11</v>
      </c>
      <c r="R733" s="10" t="str">
        <f t="array" ref="R733">INDEX(Honor!$Q$2:$Q800,MATCH($I733,Honor!$A$2:$A800,0))</f>
        <v>SURVEI-PPL</v>
      </c>
      <c r="S733" s="10" t="str">
        <f t="shared" si="3"/>
        <v>610422100244-2024-11</v>
      </c>
      <c r="T733" s="10" t="str">
        <f t="shared" si="4"/>
        <v>610422100244-2024-11-SURVEI-PPL</v>
      </c>
      <c r="U733" s="64">
        <v>0</v>
      </c>
      <c r="V733" s="10" t="e">
        <f t="array" aca="1" ref="V733" ca="1">INDEX(Honor!$O$2:$O800,MATCH($I733,Honor!$A$2:$A800,0))</f>
        <v>#NAME?</v>
      </c>
      <c r="W733" s="67"/>
      <c r="X733" s="7" t="str">
        <f t="array" ref="X733">INDEX('Input Kegiatan'!$B$2:$B800,MATCH(B733,'Input Kegiatan'!$A$2:$A800,0))</f>
        <v>Kerangka Sampel Area (KSA) 2024 November</v>
      </c>
      <c r="Y733" s="7" t="s">
        <v>5741</v>
      </c>
      <c r="Z733" s="7" t="s">
        <v>5796</v>
      </c>
      <c r="AA733" s="68">
        <f t="shared" si="5"/>
        <v>45596</v>
      </c>
      <c r="AB733" s="68">
        <f t="shared" si="6"/>
        <v>45597</v>
      </c>
      <c r="AC733" s="68">
        <f t="shared" si="7"/>
        <v>45626</v>
      </c>
      <c r="AD733" s="68">
        <f t="shared" si="8"/>
        <v>45625</v>
      </c>
      <c r="AE733" s="68">
        <f t="shared" si="9"/>
        <v>45626</v>
      </c>
    </row>
    <row r="734" spans="1:31" ht="12.5">
      <c r="A734" s="125">
        <v>610423040004</v>
      </c>
      <c r="B734" s="64" t="s">
        <v>308</v>
      </c>
      <c r="D734" s="10">
        <f t="array" aca="1" ref="D734" ca="1">INDEX('Mitra per Bulan'!$M$2:$M800,MATCH(S734,'Mitra per Bulan'!$B$2:$B800,0))</f>
        <v>1</v>
      </c>
      <c r="E734" s="10" t="str">
        <f t="array" ref="E734">INDEX('Database Mitra'!$A$2:$A800,MATCH(A734,'Database Mitra'!$B$2:$B800,0))</f>
        <v>Ayu Agustin</v>
      </c>
      <c r="F734" s="64" t="s">
        <v>25</v>
      </c>
      <c r="G734" s="5" t="str">
        <f t="array" ref="G734">INDEX('Database Mitra'!$G$2:$G800,MATCH(A734,'Database Mitra'!$B$2:$B800,0))</f>
        <v>6111025008930002</v>
      </c>
      <c r="H734" s="64" t="s">
        <v>67</v>
      </c>
      <c r="I734" s="65" t="s">
        <v>309</v>
      </c>
      <c r="J734" s="10" t="str">
        <f t="array" ref="J734">INDEX(Honor!$H$2:$H800,MATCH($I734,Honor!$A$2:$A800,0))</f>
        <v>Dokumen</v>
      </c>
      <c r="K734" s="66">
        <f t="array" ref="K734">INDEX(Honor!$I$2:$I800,MATCH($I734,Honor!$A$2:$A800,0))</f>
        <v>91000</v>
      </c>
      <c r="L734" s="64">
        <v>10</v>
      </c>
      <c r="M734" s="10">
        <f t="shared" si="0"/>
        <v>910000</v>
      </c>
      <c r="O734" s="67">
        <f t="array" ref="O734">INDEX(Honor!$L$2:$L800,MATCH($I734,Honor!$A$2:$A800,0))</f>
        <v>45626</v>
      </c>
      <c r="P734" s="10">
        <f t="shared" si="1"/>
        <v>2024</v>
      </c>
      <c r="Q734" s="10">
        <f t="shared" si="2"/>
        <v>11</v>
      </c>
      <c r="R734" s="10" t="str">
        <f t="array" ref="R734">INDEX(Honor!$Q$2:$Q800,MATCH($I734,Honor!$A$2:$A800,0))</f>
        <v>SURVEI-PPL</v>
      </c>
      <c r="S734" s="10" t="str">
        <f t="shared" si="3"/>
        <v>610423040004-2024-11</v>
      </c>
      <c r="T734" s="10" t="str">
        <f t="shared" si="4"/>
        <v>610423040004-2024-11-SURVEI-PPL</v>
      </c>
      <c r="U734" s="64">
        <v>0</v>
      </c>
      <c r="V734" s="10" t="e">
        <f t="array" aca="1" ref="V734" ca="1">INDEX(Honor!$O$2:$O800,MATCH($I734,Honor!$A$2:$A800,0))</f>
        <v>#NAME?</v>
      </c>
      <c r="W734" s="67"/>
      <c r="X734" s="7" t="str">
        <f t="array" ref="X734">INDEX('Input Kegiatan'!$B$2:$B800,MATCH(B734,'Input Kegiatan'!$A$2:$A800,0))</f>
        <v>Survei Ekonomi Rumah Tangga Triwulanan (SERUTI24) Triwulan IV Kegiatan Lapangan</v>
      </c>
      <c r="Y734" s="7" t="s">
        <v>4408</v>
      </c>
      <c r="Z734" s="7" t="s">
        <v>4531</v>
      </c>
      <c r="AA734" s="68">
        <f t="shared" si="5"/>
        <v>45596</v>
      </c>
      <c r="AB734" s="68">
        <f t="shared" si="6"/>
        <v>45597</v>
      </c>
      <c r="AC734" s="68">
        <f t="shared" si="7"/>
        <v>45626</v>
      </c>
      <c r="AD734" s="68">
        <f t="shared" si="8"/>
        <v>45625</v>
      </c>
      <c r="AE734" s="68">
        <f t="shared" si="9"/>
        <v>45626</v>
      </c>
    </row>
    <row r="735" spans="1:31" ht="12.5">
      <c r="A735" s="125">
        <v>610422100144</v>
      </c>
      <c r="B735" s="64" t="s">
        <v>308</v>
      </c>
      <c r="D735" s="10">
        <f t="array" aca="1" ref="D735" ca="1">INDEX('Mitra per Bulan'!$M$2:$M800,MATCH(S735,'Mitra per Bulan'!$B$2:$B800,0))</f>
        <v>1</v>
      </c>
      <c r="E735" s="10" t="str">
        <f t="array" ref="E735">INDEX('Database Mitra'!$A$2:$A800,MATCH(A735,'Database Mitra'!$B$2:$B800,0))</f>
        <v>Irfan Faozi Sunaryo</v>
      </c>
      <c r="F735" s="64" t="s">
        <v>25</v>
      </c>
      <c r="G735" s="5" t="str">
        <f t="array" ref="G735">INDEX('Database Mitra'!$G$2:$G800,MATCH(A735,'Database Mitra'!$B$2:$B800,0))</f>
        <v>6102122710990001</v>
      </c>
      <c r="H735" s="64" t="s">
        <v>67</v>
      </c>
      <c r="I735" s="65" t="s">
        <v>309</v>
      </c>
      <c r="J735" s="10" t="str">
        <f t="array" ref="J735">INDEX(Honor!$H$2:$H800,MATCH($I735,Honor!$A$2:$A800,0))</f>
        <v>Dokumen</v>
      </c>
      <c r="K735" s="66">
        <f t="array" ref="K735">INDEX(Honor!$I$2:$I800,MATCH($I735,Honor!$A$2:$A800,0))</f>
        <v>91000</v>
      </c>
      <c r="L735" s="64">
        <v>10</v>
      </c>
      <c r="M735" s="10">
        <f t="shared" si="0"/>
        <v>910000</v>
      </c>
      <c r="O735" s="67">
        <f t="array" ref="O735">INDEX(Honor!$L$2:$L800,MATCH($I735,Honor!$A$2:$A800,0))</f>
        <v>45626</v>
      </c>
      <c r="P735" s="10">
        <f t="shared" si="1"/>
        <v>2024</v>
      </c>
      <c r="Q735" s="10">
        <f t="shared" si="2"/>
        <v>11</v>
      </c>
      <c r="R735" s="10" t="str">
        <f t="array" ref="R735">INDEX(Honor!$Q$2:$Q800,MATCH($I735,Honor!$A$2:$A800,0))</f>
        <v>SURVEI-PPL</v>
      </c>
      <c r="S735" s="10" t="str">
        <f t="shared" si="3"/>
        <v>610422100144-2024-11</v>
      </c>
      <c r="T735" s="10" t="str">
        <f t="shared" si="4"/>
        <v>610422100144-2024-11-SURVEI-PPL</v>
      </c>
      <c r="U735" s="64">
        <v>0</v>
      </c>
      <c r="V735" s="10" t="e">
        <f t="array" aca="1" ref="V735" ca="1">INDEX(Honor!$O$2:$O800,MATCH($I735,Honor!$A$2:$A800,0))</f>
        <v>#NAME?</v>
      </c>
      <c r="W735" s="67"/>
      <c r="X735" s="7" t="str">
        <f t="array" ref="X735">INDEX('Input Kegiatan'!$B$2:$B800,MATCH(B735,'Input Kegiatan'!$A$2:$A800,0))</f>
        <v>Survei Ekonomi Rumah Tangga Triwulanan (SERUTI24) Triwulan IV Kegiatan Lapangan</v>
      </c>
      <c r="Y735" s="7" t="s">
        <v>5250</v>
      </c>
      <c r="Z735" s="7" t="s">
        <v>5488</v>
      </c>
      <c r="AA735" s="68">
        <f t="shared" si="5"/>
        <v>45596</v>
      </c>
      <c r="AB735" s="68">
        <f t="shared" si="6"/>
        <v>45597</v>
      </c>
      <c r="AC735" s="68">
        <f t="shared" si="7"/>
        <v>45626</v>
      </c>
      <c r="AD735" s="68">
        <f t="shared" si="8"/>
        <v>45625</v>
      </c>
      <c r="AE735" s="68">
        <f t="shared" si="9"/>
        <v>45626</v>
      </c>
    </row>
    <row r="736" spans="1:31" ht="12.5">
      <c r="A736" s="125">
        <v>610422020032</v>
      </c>
      <c r="B736" s="64" t="s">
        <v>308</v>
      </c>
      <c r="D736" s="10">
        <f t="array" aca="1" ref="D736" ca="1">INDEX('Mitra per Bulan'!$M$2:$M800,MATCH(S736,'Mitra per Bulan'!$B$2:$B800,0))</f>
        <v>1</v>
      </c>
      <c r="E736" s="10" t="str">
        <f t="array" ref="E736">INDEX('Database Mitra'!$A$2:$A800,MATCH(A736,'Database Mitra'!$B$2:$B800,0))</f>
        <v>Lilis Suryani</v>
      </c>
      <c r="F736" s="64" t="s">
        <v>25</v>
      </c>
      <c r="G736" s="5" t="str">
        <f t="array" ref="G736">INDEX('Database Mitra'!$G$2:$G800,MATCH(A736,'Database Mitra'!$B$2:$B800,0))</f>
        <v>6102185102880001</v>
      </c>
      <c r="H736" s="64" t="s">
        <v>67</v>
      </c>
      <c r="I736" s="65" t="s">
        <v>309</v>
      </c>
      <c r="J736" s="10" t="str">
        <f t="array" ref="J736">INDEX(Honor!$H$2:$H800,MATCH($I736,Honor!$A$2:$A800,0))</f>
        <v>Dokumen</v>
      </c>
      <c r="K736" s="66">
        <f t="array" ref="K736">INDEX(Honor!$I$2:$I800,MATCH($I736,Honor!$A$2:$A800,0))</f>
        <v>91000</v>
      </c>
      <c r="L736" s="64">
        <v>10</v>
      </c>
      <c r="M736" s="10">
        <f t="shared" si="0"/>
        <v>910000</v>
      </c>
      <c r="O736" s="67">
        <f t="array" ref="O736">INDEX(Honor!$L$2:$L800,MATCH($I736,Honor!$A$2:$A800,0))</f>
        <v>45626</v>
      </c>
      <c r="P736" s="10">
        <f t="shared" si="1"/>
        <v>2024</v>
      </c>
      <c r="Q736" s="10">
        <f t="shared" si="2"/>
        <v>11</v>
      </c>
      <c r="R736" s="10" t="str">
        <f t="array" ref="R736">INDEX(Honor!$Q$2:$Q800,MATCH($I736,Honor!$A$2:$A800,0))</f>
        <v>SURVEI-PPL</v>
      </c>
      <c r="S736" s="10" t="str">
        <f t="shared" si="3"/>
        <v>610422020032-2024-11</v>
      </c>
      <c r="T736" s="10" t="str">
        <f t="shared" si="4"/>
        <v>610422020032-2024-11-SURVEI-PPL</v>
      </c>
      <c r="U736" s="64">
        <v>0</v>
      </c>
      <c r="V736" s="10" t="e">
        <f t="array" aca="1" ref="V736" ca="1">INDEX(Honor!$O$2:$O800,MATCH($I736,Honor!$A$2:$A800,0))</f>
        <v>#NAME?</v>
      </c>
      <c r="W736" s="67"/>
      <c r="X736" s="7" t="str">
        <f t="array" ref="X736">INDEX('Input Kegiatan'!$B$2:$B800,MATCH(B736,'Input Kegiatan'!$A$2:$A800,0))</f>
        <v>Survei Ekonomi Rumah Tangga Triwulanan (SERUTI24) Triwulan IV Kegiatan Lapangan</v>
      </c>
      <c r="Y736" s="7" t="s">
        <v>4931</v>
      </c>
      <c r="Z736" s="7" t="s">
        <v>5209</v>
      </c>
      <c r="AA736" s="68">
        <f t="shared" si="5"/>
        <v>45596</v>
      </c>
      <c r="AB736" s="68">
        <f t="shared" si="6"/>
        <v>45597</v>
      </c>
      <c r="AC736" s="68">
        <f t="shared" si="7"/>
        <v>45626</v>
      </c>
      <c r="AD736" s="68">
        <f t="shared" si="8"/>
        <v>45625</v>
      </c>
      <c r="AE736" s="68">
        <f t="shared" si="9"/>
        <v>45626</v>
      </c>
    </row>
    <row r="737" spans="1:31" ht="12.5">
      <c r="A737" s="125">
        <v>610422100085</v>
      </c>
      <c r="B737" s="64" t="s">
        <v>308</v>
      </c>
      <c r="D737" s="10">
        <f t="array" aca="1" ref="D737" ca="1">INDEX('Mitra per Bulan'!$M$2:$M800,MATCH(S737,'Mitra per Bulan'!$B$2:$B800,0))</f>
        <v>1</v>
      </c>
      <c r="E737" s="10" t="str">
        <f t="array" ref="E737">INDEX('Database Mitra'!$A$2:$A800,MATCH(A737,'Database Mitra'!$B$2:$B800,0))</f>
        <v>Lina Agustin Widya Siwi</v>
      </c>
      <c r="F737" s="64" t="s">
        <v>25</v>
      </c>
      <c r="G737" s="5" t="str">
        <f t="array" ref="G737">INDEX('Database Mitra'!$G$2:$G800,MATCH(A737,'Database Mitra'!$B$2:$B800,0))</f>
        <v>3301225608850001</v>
      </c>
      <c r="H737" s="64" t="s">
        <v>67</v>
      </c>
      <c r="I737" s="65" t="s">
        <v>309</v>
      </c>
      <c r="J737" s="10" t="str">
        <f t="array" ref="J737">INDEX(Honor!$H$2:$H800,MATCH($I737,Honor!$A$2:$A800,0))</f>
        <v>Dokumen</v>
      </c>
      <c r="K737" s="66">
        <f t="array" ref="K737">INDEX(Honor!$I$2:$I800,MATCH($I737,Honor!$A$2:$A800,0))</f>
        <v>91000</v>
      </c>
      <c r="L737" s="64">
        <v>10</v>
      </c>
      <c r="M737" s="10">
        <f t="shared" si="0"/>
        <v>910000</v>
      </c>
      <c r="O737" s="67">
        <f t="array" ref="O737">INDEX(Honor!$L$2:$L800,MATCH($I737,Honor!$A$2:$A800,0))</f>
        <v>45626</v>
      </c>
      <c r="P737" s="10">
        <f t="shared" si="1"/>
        <v>2024</v>
      </c>
      <c r="Q737" s="10">
        <f t="shared" si="2"/>
        <v>11</v>
      </c>
      <c r="R737" s="10" t="str">
        <f t="array" ref="R737">INDEX(Honor!$Q$2:$Q800,MATCH($I737,Honor!$A$2:$A800,0))</f>
        <v>SURVEI-PPL</v>
      </c>
      <c r="S737" s="10" t="str">
        <f t="shared" si="3"/>
        <v>610422100085-2024-11</v>
      </c>
      <c r="T737" s="10" t="str">
        <f t="shared" si="4"/>
        <v>610422100085-2024-11-SURVEI-PPL</v>
      </c>
      <c r="U737" s="64">
        <v>0</v>
      </c>
      <c r="V737" s="10" t="e">
        <f t="array" aca="1" ref="V737" ca="1">INDEX(Honor!$O$2:$O800,MATCH($I737,Honor!$A$2:$A800,0))</f>
        <v>#NAME?</v>
      </c>
      <c r="W737" s="67"/>
      <c r="X737" s="7" t="str">
        <f t="array" ref="X737">INDEX('Input Kegiatan'!$B$2:$B800,MATCH(B737,'Input Kegiatan'!$A$2:$A800,0))</f>
        <v>Survei Ekonomi Rumah Tangga Triwulanan (SERUTI24) Triwulan IV Kegiatan Lapangan</v>
      </c>
      <c r="Y737" s="7" t="s">
        <v>3990</v>
      </c>
      <c r="Z737" s="7" t="s">
        <v>4087</v>
      </c>
      <c r="AA737" s="68">
        <f t="shared" si="5"/>
        <v>45596</v>
      </c>
      <c r="AB737" s="68">
        <f t="shared" si="6"/>
        <v>45597</v>
      </c>
      <c r="AC737" s="68">
        <f t="shared" si="7"/>
        <v>45626</v>
      </c>
      <c r="AD737" s="68">
        <f t="shared" si="8"/>
        <v>45625</v>
      </c>
      <c r="AE737" s="68">
        <f t="shared" si="9"/>
        <v>45626</v>
      </c>
    </row>
    <row r="738" spans="1:31" ht="12.5">
      <c r="A738" s="125">
        <v>610423040013</v>
      </c>
      <c r="B738" s="64" t="s">
        <v>308</v>
      </c>
      <c r="D738" s="10">
        <f t="array" aca="1" ref="D738" ca="1">INDEX('Mitra per Bulan'!$M$2:$M800,MATCH(S738,'Mitra per Bulan'!$B$2:$B800,0))</f>
        <v>1</v>
      </c>
      <c r="E738" s="10" t="str">
        <f t="array" ref="E738">INDEX('Database Mitra'!$A$2:$A800,MATCH(A738,'Database Mitra'!$B$2:$B800,0))</f>
        <v>Lulu Gesti Gunawati</v>
      </c>
      <c r="F738" s="64" t="s">
        <v>25</v>
      </c>
      <c r="G738" s="5" t="str">
        <f t="array" ref="G738">INDEX('Database Mitra'!$G$2:$G800,MATCH(A738,'Database Mitra'!$B$2:$B800,0))</f>
        <v>3314066101000001</v>
      </c>
      <c r="H738" s="64" t="s">
        <v>67</v>
      </c>
      <c r="I738" s="65" t="s">
        <v>309</v>
      </c>
      <c r="J738" s="10" t="str">
        <f t="array" ref="J738">INDEX(Honor!$H$2:$H800,MATCH($I738,Honor!$A$2:$A800,0))</f>
        <v>Dokumen</v>
      </c>
      <c r="K738" s="66">
        <f t="array" ref="K738">INDEX(Honor!$I$2:$I800,MATCH($I738,Honor!$A$2:$A800,0))</f>
        <v>91000</v>
      </c>
      <c r="L738" s="64">
        <v>10</v>
      </c>
      <c r="M738" s="10">
        <f t="shared" si="0"/>
        <v>910000</v>
      </c>
      <c r="O738" s="67">
        <f t="array" ref="O738">INDEX(Honor!$L$2:$L800,MATCH($I738,Honor!$A$2:$A800,0))</f>
        <v>45626</v>
      </c>
      <c r="P738" s="10">
        <f t="shared" si="1"/>
        <v>2024</v>
      </c>
      <c r="Q738" s="10">
        <f t="shared" si="2"/>
        <v>11</v>
      </c>
      <c r="R738" s="10" t="str">
        <f t="array" ref="R738">INDEX(Honor!$Q$2:$Q800,MATCH($I738,Honor!$A$2:$A800,0))</f>
        <v>SURVEI-PPL</v>
      </c>
      <c r="S738" s="10" t="str">
        <f t="shared" si="3"/>
        <v>610423040013-2024-11</v>
      </c>
      <c r="T738" s="10" t="str">
        <f t="shared" si="4"/>
        <v>610423040013-2024-11-SURVEI-PPL</v>
      </c>
      <c r="U738" s="64">
        <v>0</v>
      </c>
      <c r="V738" s="10" t="e">
        <f t="array" aca="1" ref="V738" ca="1">INDEX(Honor!$O$2:$O800,MATCH($I738,Honor!$A$2:$A800,0))</f>
        <v>#NAME?</v>
      </c>
      <c r="W738" s="67"/>
      <c r="X738" s="7" t="str">
        <f t="array" ref="X738">INDEX('Input Kegiatan'!$B$2:$B800,MATCH(B738,'Input Kegiatan'!$A$2:$A800,0))</f>
        <v>Survei Ekonomi Rumah Tangga Triwulanan (SERUTI24) Triwulan IV Kegiatan Lapangan</v>
      </c>
      <c r="Y738" s="7" t="s">
        <v>5250</v>
      </c>
      <c r="Z738" s="7" t="s">
        <v>5304</v>
      </c>
      <c r="AA738" s="68">
        <f t="shared" si="5"/>
        <v>45596</v>
      </c>
      <c r="AB738" s="68">
        <f t="shared" si="6"/>
        <v>45597</v>
      </c>
      <c r="AC738" s="68">
        <f t="shared" si="7"/>
        <v>45626</v>
      </c>
      <c r="AD738" s="68">
        <f t="shared" si="8"/>
        <v>45625</v>
      </c>
      <c r="AE738" s="68">
        <f t="shared" si="9"/>
        <v>45626</v>
      </c>
    </row>
    <row r="739" spans="1:31" ht="12.5">
      <c r="A739" s="125">
        <v>610422100137</v>
      </c>
      <c r="B739" s="64" t="s">
        <v>308</v>
      </c>
      <c r="D739" s="10">
        <f t="array" aca="1" ref="D739" ca="1">INDEX('Mitra per Bulan'!$M$2:$M800,MATCH(S739,'Mitra per Bulan'!$B$2:$B800,0))</f>
        <v>1</v>
      </c>
      <c r="E739" s="10" t="str">
        <f t="array" ref="E739">INDEX('Database Mitra'!$A$2:$A800,MATCH(A739,'Database Mitra'!$B$2:$B800,0))</f>
        <v>Masturi</v>
      </c>
      <c r="F739" s="64" t="s">
        <v>25</v>
      </c>
      <c r="G739" s="5" t="str">
        <f t="array" ref="G739">INDEX('Database Mitra'!$G$2:$G800,MATCH(A739,'Database Mitra'!$B$2:$B800,0))</f>
        <v>6102060709870002</v>
      </c>
      <c r="H739" s="64" t="s">
        <v>67</v>
      </c>
      <c r="I739" s="65" t="s">
        <v>309</v>
      </c>
      <c r="J739" s="10" t="str">
        <f t="array" ref="J739">INDEX(Honor!$H$2:$H800,MATCH($I739,Honor!$A$2:$A800,0))</f>
        <v>Dokumen</v>
      </c>
      <c r="K739" s="66">
        <f t="array" ref="K739">INDEX(Honor!$I$2:$I800,MATCH($I739,Honor!$A$2:$A800,0))</f>
        <v>91000</v>
      </c>
      <c r="L739" s="64">
        <v>10</v>
      </c>
      <c r="M739" s="10">
        <f t="shared" si="0"/>
        <v>910000</v>
      </c>
      <c r="O739" s="67">
        <f t="array" ref="O739">INDEX(Honor!$L$2:$L800,MATCH($I739,Honor!$A$2:$A800,0))</f>
        <v>45626</v>
      </c>
      <c r="P739" s="10">
        <f t="shared" si="1"/>
        <v>2024</v>
      </c>
      <c r="Q739" s="10">
        <f t="shared" si="2"/>
        <v>11</v>
      </c>
      <c r="R739" s="10" t="str">
        <f t="array" ref="R739">INDEX(Honor!$Q$2:$Q800,MATCH($I739,Honor!$A$2:$A800,0))</f>
        <v>SURVEI-PPL</v>
      </c>
      <c r="S739" s="10" t="str">
        <f t="shared" si="3"/>
        <v>610422100137-2024-11</v>
      </c>
      <c r="T739" s="10" t="str">
        <f t="shared" si="4"/>
        <v>610422100137-2024-11-SURVEI-PPL</v>
      </c>
      <c r="U739" s="64">
        <v>0</v>
      </c>
      <c r="V739" s="10" t="e">
        <f t="array" aca="1" ref="V739" ca="1">INDEX(Honor!$O$2:$O800,MATCH($I739,Honor!$A$2:$A800,0))</f>
        <v>#NAME?</v>
      </c>
      <c r="W739" s="67"/>
      <c r="X739" s="7" t="str">
        <f t="array" ref="X739">INDEX('Input Kegiatan'!$B$2:$B800,MATCH(B739,'Input Kegiatan'!$A$2:$A800,0))</f>
        <v>Survei Ekonomi Rumah Tangga Triwulanan (SERUTI24) Triwulan IV Kegiatan Lapangan</v>
      </c>
      <c r="Y739" s="7" t="s">
        <v>5534</v>
      </c>
      <c r="Z739" s="7" t="s">
        <v>5535</v>
      </c>
      <c r="AA739" s="68">
        <f t="shared" si="5"/>
        <v>45596</v>
      </c>
      <c r="AB739" s="68">
        <f t="shared" si="6"/>
        <v>45597</v>
      </c>
      <c r="AC739" s="68">
        <f t="shared" si="7"/>
        <v>45626</v>
      </c>
      <c r="AD739" s="68">
        <f t="shared" si="8"/>
        <v>45625</v>
      </c>
      <c r="AE739" s="68">
        <f t="shared" si="9"/>
        <v>45626</v>
      </c>
    </row>
    <row r="740" spans="1:31" ht="12.5">
      <c r="A740" s="125">
        <v>610422100256</v>
      </c>
      <c r="B740" s="64" t="s">
        <v>308</v>
      </c>
      <c r="D740" s="10">
        <f t="array" aca="1" ref="D740" ca="1">INDEX('Mitra per Bulan'!$M$2:$M800,MATCH(S740,'Mitra per Bulan'!$B$2:$B800,0))</f>
        <v>1</v>
      </c>
      <c r="E740" s="10" t="str">
        <f t="array" ref="E740">INDEX('Database Mitra'!$A$2:$A800,MATCH(A740,'Database Mitra'!$B$2:$B800,0))</f>
        <v>Meta</v>
      </c>
      <c r="F740" s="64" t="s">
        <v>25</v>
      </c>
      <c r="G740" s="5" t="str">
        <f t="array" ref="G740">INDEX('Database Mitra'!$G$2:$G800,MATCH(A740,'Database Mitra'!$B$2:$B800,0))</f>
        <v>6102174505970001</v>
      </c>
      <c r="H740" s="64" t="s">
        <v>67</v>
      </c>
      <c r="I740" s="65" t="s">
        <v>309</v>
      </c>
      <c r="J740" s="10" t="str">
        <f t="array" ref="J740">INDEX(Honor!$H$2:$H800,MATCH($I740,Honor!$A$2:$A800,0))</f>
        <v>Dokumen</v>
      </c>
      <c r="K740" s="66">
        <f t="array" ref="K740">INDEX(Honor!$I$2:$I800,MATCH($I740,Honor!$A$2:$A800,0))</f>
        <v>91000</v>
      </c>
      <c r="L740" s="64">
        <v>10</v>
      </c>
      <c r="M740" s="10">
        <f t="shared" si="0"/>
        <v>910000</v>
      </c>
      <c r="O740" s="67">
        <f t="array" ref="O740">INDEX(Honor!$L$2:$L800,MATCH($I740,Honor!$A$2:$A800,0))</f>
        <v>45626</v>
      </c>
      <c r="P740" s="10">
        <f t="shared" si="1"/>
        <v>2024</v>
      </c>
      <c r="Q740" s="10">
        <f t="shared" si="2"/>
        <v>11</v>
      </c>
      <c r="R740" s="10" t="str">
        <f t="array" ref="R740">INDEX(Honor!$Q$2:$Q800,MATCH($I740,Honor!$A$2:$A800,0))</f>
        <v>SURVEI-PPL</v>
      </c>
      <c r="S740" s="10" t="str">
        <f t="shared" si="3"/>
        <v>610422100256-2024-11</v>
      </c>
      <c r="T740" s="10" t="str">
        <f t="shared" si="4"/>
        <v>610422100256-2024-11-SURVEI-PPL</v>
      </c>
      <c r="U740" s="64">
        <v>0</v>
      </c>
      <c r="V740" s="10" t="e">
        <f t="array" aca="1" ref="V740" ca="1">INDEX(Honor!$O$2:$O800,MATCH($I740,Honor!$A$2:$A800,0))</f>
        <v>#NAME?</v>
      </c>
      <c r="W740" s="67"/>
      <c r="X740" s="7" t="str">
        <f t="array" ref="X740">INDEX('Input Kegiatan'!$B$2:$B800,MATCH(B740,'Input Kegiatan'!$A$2:$A800,0))</f>
        <v>Survei Ekonomi Rumah Tangga Triwulanan (SERUTI24) Triwulan IV Kegiatan Lapangan</v>
      </c>
      <c r="Y740" s="7" t="s">
        <v>5741</v>
      </c>
      <c r="Z740" s="7" t="s">
        <v>5742</v>
      </c>
      <c r="AA740" s="68">
        <f t="shared" si="5"/>
        <v>45596</v>
      </c>
      <c r="AB740" s="68">
        <f t="shared" si="6"/>
        <v>45597</v>
      </c>
      <c r="AC740" s="68">
        <f t="shared" si="7"/>
        <v>45626</v>
      </c>
      <c r="AD740" s="68">
        <f t="shared" si="8"/>
        <v>45625</v>
      </c>
      <c r="AE740" s="68">
        <f t="shared" si="9"/>
        <v>45626</v>
      </c>
    </row>
    <row r="741" spans="1:31" ht="12.5">
      <c r="A741" s="125">
        <v>610422040050</v>
      </c>
      <c r="B741" s="64" t="s">
        <v>308</v>
      </c>
      <c r="D741" s="10">
        <f t="array" aca="1" ref="D741" ca="1">INDEX('Mitra per Bulan'!$M$2:$M800,MATCH(S741,'Mitra per Bulan'!$B$2:$B800,0))</f>
        <v>1</v>
      </c>
      <c r="E741" s="10" t="str">
        <f t="array" ref="E741">INDEX('Database Mitra'!$A$2:$A800,MATCH(A741,'Database Mitra'!$B$2:$B800,0))</f>
        <v>Novita Sari</v>
      </c>
      <c r="F741" s="64" t="s">
        <v>25</v>
      </c>
      <c r="G741" s="5" t="str">
        <f t="array" ref="G741">INDEX('Database Mitra'!$G$2:$G800,MATCH(A741,'Database Mitra'!$B$2:$B800,0))</f>
        <v>6102085906990001</v>
      </c>
      <c r="H741" s="64" t="s">
        <v>67</v>
      </c>
      <c r="I741" s="65" t="s">
        <v>309</v>
      </c>
      <c r="J741" s="10" t="str">
        <f t="array" ref="J741">INDEX(Honor!$H$2:$H800,MATCH($I741,Honor!$A$2:$A800,0))</f>
        <v>Dokumen</v>
      </c>
      <c r="K741" s="66">
        <f t="array" ref="K741">INDEX(Honor!$I$2:$I800,MATCH($I741,Honor!$A$2:$A800,0))</f>
        <v>91000</v>
      </c>
      <c r="L741" s="64">
        <v>10</v>
      </c>
      <c r="M741" s="10">
        <f t="shared" si="0"/>
        <v>910000</v>
      </c>
      <c r="O741" s="67">
        <f t="array" ref="O741">INDEX(Honor!$L$2:$L800,MATCH($I741,Honor!$A$2:$A800,0))</f>
        <v>45626</v>
      </c>
      <c r="P741" s="10">
        <f t="shared" si="1"/>
        <v>2024</v>
      </c>
      <c r="Q741" s="10">
        <f t="shared" si="2"/>
        <v>11</v>
      </c>
      <c r="R741" s="10" t="str">
        <f t="array" ref="R741">INDEX(Honor!$Q$2:$Q800,MATCH($I741,Honor!$A$2:$A800,0))</f>
        <v>SURVEI-PPL</v>
      </c>
      <c r="S741" s="10" t="str">
        <f t="shared" si="3"/>
        <v>610422040050-2024-11</v>
      </c>
      <c r="T741" s="10" t="str">
        <f t="shared" si="4"/>
        <v>610422040050-2024-11-SURVEI-PPL</v>
      </c>
      <c r="U741" s="64">
        <v>0</v>
      </c>
      <c r="V741" s="10" t="e">
        <f t="array" aca="1" ref="V741" ca="1">INDEX(Honor!$O$2:$O800,MATCH($I741,Honor!$A$2:$A800,0))</f>
        <v>#NAME?</v>
      </c>
      <c r="W741" s="67"/>
      <c r="X741" s="7" t="str">
        <f t="array" ref="X741">INDEX('Input Kegiatan'!$B$2:$B800,MATCH(B741,'Input Kegiatan'!$A$2:$A800,0))</f>
        <v>Survei Ekonomi Rumah Tangga Triwulanan (SERUTI24) Triwulan IV Kegiatan Lapangan</v>
      </c>
      <c r="Y741" s="7" t="s">
        <v>3241</v>
      </c>
      <c r="Z741" s="7" t="s">
        <v>3289</v>
      </c>
      <c r="AA741" s="68">
        <f t="shared" si="5"/>
        <v>45596</v>
      </c>
      <c r="AB741" s="68">
        <f t="shared" si="6"/>
        <v>45597</v>
      </c>
      <c r="AC741" s="68">
        <f t="shared" si="7"/>
        <v>45626</v>
      </c>
      <c r="AD741" s="68">
        <f t="shared" si="8"/>
        <v>45625</v>
      </c>
      <c r="AE741" s="68">
        <f t="shared" si="9"/>
        <v>45626</v>
      </c>
    </row>
    <row r="742" spans="1:31" ht="12.5">
      <c r="A742" s="125">
        <v>610422040035</v>
      </c>
      <c r="B742" s="64" t="s">
        <v>308</v>
      </c>
      <c r="D742" s="10">
        <f t="array" aca="1" ref="D742" ca="1">INDEX('Mitra per Bulan'!$M$2:$M800,MATCH(S742,'Mitra per Bulan'!$B$2:$B800,0))</f>
        <v>1</v>
      </c>
      <c r="E742" s="10" t="str">
        <f t="array" ref="E742">INDEX('Database Mitra'!$A$2:$A800,MATCH(A742,'Database Mitra'!$B$2:$B800,0))</f>
        <v>Rahmayani</v>
      </c>
      <c r="F742" s="64" t="s">
        <v>25</v>
      </c>
      <c r="G742" s="5" t="str">
        <f t="array" ref="G742">INDEX('Database Mitra'!$G$2:$G800,MATCH(A742,'Database Mitra'!$B$2:$B800,0))</f>
        <v>6102186404970003</v>
      </c>
      <c r="H742" s="64" t="s">
        <v>67</v>
      </c>
      <c r="I742" s="65" t="s">
        <v>309</v>
      </c>
      <c r="J742" s="10" t="str">
        <f t="array" ref="J742">INDEX(Honor!$H$2:$H800,MATCH($I742,Honor!$A$2:$A800,0))</f>
        <v>Dokumen</v>
      </c>
      <c r="K742" s="66">
        <f t="array" ref="K742">INDEX(Honor!$I$2:$I800,MATCH($I742,Honor!$A$2:$A800,0))</f>
        <v>91000</v>
      </c>
      <c r="L742" s="64">
        <v>10</v>
      </c>
      <c r="M742" s="10">
        <f t="shared" si="0"/>
        <v>910000</v>
      </c>
      <c r="O742" s="67">
        <f t="array" ref="O742">INDEX(Honor!$L$2:$L800,MATCH($I742,Honor!$A$2:$A800,0))</f>
        <v>45626</v>
      </c>
      <c r="P742" s="10">
        <f t="shared" si="1"/>
        <v>2024</v>
      </c>
      <c r="Q742" s="10">
        <f t="shared" si="2"/>
        <v>11</v>
      </c>
      <c r="R742" s="10" t="str">
        <f t="array" ref="R742">INDEX(Honor!$Q$2:$Q800,MATCH($I742,Honor!$A$2:$A800,0))</f>
        <v>SURVEI-PPL</v>
      </c>
      <c r="S742" s="10" t="str">
        <f t="shared" si="3"/>
        <v>610422040035-2024-11</v>
      </c>
      <c r="T742" s="10" t="str">
        <f t="shared" si="4"/>
        <v>610422040035-2024-11-SURVEI-PPL</v>
      </c>
      <c r="U742" s="64">
        <v>0</v>
      </c>
      <c r="V742" s="10" t="e">
        <f t="array" aca="1" ref="V742" ca="1">INDEX(Honor!$O$2:$O800,MATCH($I742,Honor!$A$2:$A800,0))</f>
        <v>#NAME?</v>
      </c>
      <c r="W742" s="67"/>
      <c r="X742" s="7" t="str">
        <f t="array" ref="X742">INDEX('Input Kegiatan'!$B$2:$B800,MATCH(B742,'Input Kegiatan'!$A$2:$A800,0))</f>
        <v>Survei Ekonomi Rumah Tangga Triwulanan (SERUTI24) Triwulan IV Kegiatan Lapangan</v>
      </c>
      <c r="Y742" s="7" t="s">
        <v>4931</v>
      </c>
      <c r="Z742" s="7" t="s">
        <v>5171</v>
      </c>
      <c r="AA742" s="68">
        <f t="shared" si="5"/>
        <v>45596</v>
      </c>
      <c r="AB742" s="68">
        <f t="shared" si="6"/>
        <v>45597</v>
      </c>
      <c r="AC742" s="68">
        <f t="shared" si="7"/>
        <v>45626</v>
      </c>
      <c r="AD742" s="68">
        <f t="shared" si="8"/>
        <v>45625</v>
      </c>
      <c r="AE742" s="68">
        <f t="shared" si="9"/>
        <v>45626</v>
      </c>
    </row>
    <row r="743" spans="1:31" ht="12.5">
      <c r="A743" s="125">
        <v>610422040061</v>
      </c>
      <c r="B743" s="64" t="s">
        <v>308</v>
      </c>
      <c r="D743" s="10">
        <f t="array" aca="1" ref="D743" ca="1">INDEX('Mitra per Bulan'!$M$2:$M800,MATCH(S743,'Mitra per Bulan'!$B$2:$B800,0))</f>
        <v>1</v>
      </c>
      <c r="E743" s="10" t="str">
        <f t="array" ref="E743">INDEX('Database Mitra'!$A$2:$A800,MATCH(A743,'Database Mitra'!$B$2:$B800,0))</f>
        <v>Sabani</v>
      </c>
      <c r="F743" s="64" t="s">
        <v>25</v>
      </c>
      <c r="G743" s="5" t="str">
        <f t="array" ref="G743">INDEX('Database Mitra'!$G$2:$G800,MATCH(A743,'Database Mitra'!$B$2:$B800,0))</f>
        <v>6102153112860003</v>
      </c>
      <c r="H743" s="64" t="s">
        <v>67</v>
      </c>
      <c r="I743" s="65" t="s">
        <v>309</v>
      </c>
      <c r="J743" s="10" t="str">
        <f t="array" ref="J743">INDEX(Honor!$H$2:$H800,MATCH($I743,Honor!$A$2:$A800,0))</f>
        <v>Dokumen</v>
      </c>
      <c r="K743" s="66">
        <f t="array" ref="K743">INDEX(Honor!$I$2:$I800,MATCH($I743,Honor!$A$2:$A800,0))</f>
        <v>91000</v>
      </c>
      <c r="L743" s="64">
        <v>10</v>
      </c>
      <c r="M743" s="10">
        <f t="shared" si="0"/>
        <v>910000</v>
      </c>
      <c r="O743" s="67">
        <f t="array" ref="O743">INDEX(Honor!$L$2:$L800,MATCH($I743,Honor!$A$2:$A800,0))</f>
        <v>45626</v>
      </c>
      <c r="P743" s="10">
        <f t="shared" si="1"/>
        <v>2024</v>
      </c>
      <c r="Q743" s="10">
        <f t="shared" si="2"/>
        <v>11</v>
      </c>
      <c r="R743" s="10" t="str">
        <f t="array" ref="R743">INDEX(Honor!$Q$2:$Q800,MATCH($I743,Honor!$A$2:$A800,0))</f>
        <v>SURVEI-PPL</v>
      </c>
      <c r="S743" s="10" t="str">
        <f t="shared" si="3"/>
        <v>610422040061-2024-11</v>
      </c>
      <c r="T743" s="10" t="str">
        <f t="shared" si="4"/>
        <v>610422040061-2024-11-SURVEI-PPL</v>
      </c>
      <c r="U743" s="64">
        <v>0</v>
      </c>
      <c r="V743" s="10" t="e">
        <f t="array" aca="1" ref="V743" ca="1">INDEX(Honor!$O$2:$O800,MATCH($I743,Honor!$A$2:$A800,0))</f>
        <v>#NAME?</v>
      </c>
      <c r="W743" s="67"/>
      <c r="X743" s="7" t="str">
        <f t="array" ref="X743">INDEX('Input Kegiatan'!$B$2:$B800,MATCH(B743,'Input Kegiatan'!$A$2:$A800,0))</f>
        <v>Survei Ekonomi Rumah Tangga Triwulanan (SERUTI24) Triwulan IV Kegiatan Lapangan</v>
      </c>
      <c r="Y743" s="7" t="s">
        <v>3715</v>
      </c>
      <c r="Z743" s="7" t="s">
        <v>3862</v>
      </c>
      <c r="AA743" s="68">
        <f t="shared" si="5"/>
        <v>45596</v>
      </c>
      <c r="AB743" s="68">
        <f t="shared" si="6"/>
        <v>45597</v>
      </c>
      <c r="AC743" s="68">
        <f t="shared" si="7"/>
        <v>45626</v>
      </c>
      <c r="AD743" s="68">
        <f t="shared" si="8"/>
        <v>45625</v>
      </c>
      <c r="AE743" s="68">
        <f t="shared" si="9"/>
        <v>45626</v>
      </c>
    </row>
    <row r="744" spans="1:31" ht="12.5">
      <c r="A744" s="125">
        <v>610422040053</v>
      </c>
      <c r="B744" s="64" t="s">
        <v>308</v>
      </c>
      <c r="D744" s="10">
        <f t="array" aca="1" ref="D744" ca="1">INDEX('Mitra per Bulan'!$M$2:$M800,MATCH(S744,'Mitra per Bulan'!$B$2:$B800,0))</f>
        <v>1</v>
      </c>
      <c r="E744" s="10" t="str">
        <f t="array" ref="E744">INDEX('Database Mitra'!$A$2:$A800,MATCH(A744,'Database Mitra'!$B$2:$B800,0))</f>
        <v>Veti Ningsi</v>
      </c>
      <c r="F744" s="64" t="s">
        <v>25</v>
      </c>
      <c r="G744" s="5" t="str">
        <f t="array" ref="G744">INDEX('Database Mitra'!$G$2:$G800,MATCH(A744,'Database Mitra'!$B$2:$B800,0))</f>
        <v>6102125604010002</v>
      </c>
      <c r="H744" s="64" t="s">
        <v>67</v>
      </c>
      <c r="I744" s="65" t="s">
        <v>309</v>
      </c>
      <c r="J744" s="10" t="str">
        <f t="array" ref="J744">INDEX(Honor!$H$2:$H800,MATCH($I744,Honor!$A$2:$A800,0))</f>
        <v>Dokumen</v>
      </c>
      <c r="K744" s="66">
        <f t="array" ref="K744">INDEX(Honor!$I$2:$I800,MATCH($I744,Honor!$A$2:$A800,0))</f>
        <v>91000</v>
      </c>
      <c r="L744" s="64">
        <v>10</v>
      </c>
      <c r="M744" s="10">
        <f t="shared" si="0"/>
        <v>910000</v>
      </c>
      <c r="O744" s="67">
        <f t="array" ref="O744">INDEX(Honor!$L$2:$L800,MATCH($I744,Honor!$A$2:$A800,0))</f>
        <v>45626</v>
      </c>
      <c r="P744" s="10">
        <f t="shared" si="1"/>
        <v>2024</v>
      </c>
      <c r="Q744" s="10">
        <f t="shared" si="2"/>
        <v>11</v>
      </c>
      <c r="R744" s="10" t="str">
        <f t="array" ref="R744">INDEX(Honor!$Q$2:$Q800,MATCH($I744,Honor!$A$2:$A800,0))</f>
        <v>SURVEI-PPL</v>
      </c>
      <c r="S744" s="10" t="str">
        <f t="shared" si="3"/>
        <v>610422040053-2024-11</v>
      </c>
      <c r="T744" s="10" t="str">
        <f t="shared" si="4"/>
        <v>610422040053-2024-11-SURVEI-PPL</v>
      </c>
      <c r="U744" s="64">
        <v>0</v>
      </c>
      <c r="V744" s="10" t="e">
        <f t="array" aca="1" ref="V744" ca="1">INDEX(Honor!$O$2:$O800,MATCH($I744,Honor!$A$2:$A800,0))</f>
        <v>#NAME?</v>
      </c>
      <c r="W744" s="67"/>
      <c r="X744" s="7" t="str">
        <f t="array" ref="X744">INDEX('Input Kegiatan'!$B$2:$B800,MATCH(B744,'Input Kegiatan'!$A$2:$A800,0))</f>
        <v>Survei Ekonomi Rumah Tangga Triwulanan (SERUTI24) Triwulan IV Kegiatan Lapangan</v>
      </c>
      <c r="Y744" s="7" t="s">
        <v>5250</v>
      </c>
      <c r="Z744" s="7" t="s">
        <v>5464</v>
      </c>
      <c r="AA744" s="68">
        <f t="shared" si="5"/>
        <v>45596</v>
      </c>
      <c r="AB744" s="68">
        <f t="shared" si="6"/>
        <v>45597</v>
      </c>
      <c r="AC744" s="68">
        <f t="shared" si="7"/>
        <v>45626</v>
      </c>
      <c r="AD744" s="68">
        <f t="shared" si="8"/>
        <v>45625</v>
      </c>
      <c r="AE744" s="68">
        <f t="shared" si="9"/>
        <v>45626</v>
      </c>
    </row>
    <row r="745" spans="1:31" ht="12.5">
      <c r="A745" s="125">
        <v>610422100055</v>
      </c>
      <c r="B745" s="64" t="s">
        <v>308</v>
      </c>
      <c r="D745" s="10">
        <f t="array" aca="1" ref="D745" ca="1">INDEX('Mitra per Bulan'!$M$2:$M800,MATCH(S745,'Mitra per Bulan'!$B$2:$B800,0))</f>
        <v>1</v>
      </c>
      <c r="E745" s="10" t="str">
        <f t="array" ref="E745">INDEX('Database Mitra'!$A$2:$A800,MATCH(A745,'Database Mitra'!$B$2:$B800,0))</f>
        <v>Vika Rizkiani</v>
      </c>
      <c r="F745" s="64" t="s">
        <v>25</v>
      </c>
      <c r="G745" s="5" t="str">
        <f t="array" ref="G745">INDEX('Database Mitra'!$G$2:$G800,MATCH(A745,'Database Mitra'!$B$2:$B800,0))</f>
        <v>6102084207980006</v>
      </c>
      <c r="H745" s="64" t="s">
        <v>67</v>
      </c>
      <c r="I745" s="65" t="s">
        <v>309</v>
      </c>
      <c r="J745" s="10" t="str">
        <f t="array" ref="J745">INDEX(Honor!$H$2:$H800,MATCH($I745,Honor!$A$2:$A800,0))</f>
        <v>Dokumen</v>
      </c>
      <c r="K745" s="66">
        <f t="array" ref="K745">INDEX(Honor!$I$2:$I800,MATCH($I745,Honor!$A$2:$A800,0))</f>
        <v>91000</v>
      </c>
      <c r="L745" s="64">
        <v>10</v>
      </c>
      <c r="M745" s="10">
        <f t="shared" si="0"/>
        <v>910000</v>
      </c>
      <c r="O745" s="67">
        <f t="array" ref="O745">INDEX(Honor!$L$2:$L800,MATCH($I745,Honor!$A$2:$A800,0))</f>
        <v>45626</v>
      </c>
      <c r="P745" s="10">
        <f t="shared" si="1"/>
        <v>2024</v>
      </c>
      <c r="Q745" s="10">
        <f t="shared" si="2"/>
        <v>11</v>
      </c>
      <c r="R745" s="10" t="str">
        <f t="array" ref="R745">INDEX(Honor!$Q$2:$Q800,MATCH($I745,Honor!$A$2:$A800,0))</f>
        <v>SURVEI-PPL</v>
      </c>
      <c r="S745" s="10" t="str">
        <f t="shared" si="3"/>
        <v>610422100055-2024-11</v>
      </c>
      <c r="T745" s="10" t="str">
        <f t="shared" si="4"/>
        <v>610422100055-2024-11-SURVEI-PPL</v>
      </c>
      <c r="U745" s="64">
        <v>0</v>
      </c>
      <c r="V745" s="10" t="e">
        <f t="array" aca="1" ref="V745" ca="1">INDEX(Honor!$O$2:$O800,MATCH($I745,Honor!$A$2:$A800,0))</f>
        <v>#NAME?</v>
      </c>
      <c r="W745" s="67"/>
      <c r="X745" s="7" t="str">
        <f t="array" ref="X745">INDEX('Input Kegiatan'!$B$2:$B800,MATCH(B745,'Input Kegiatan'!$A$2:$A800,0))</f>
        <v>Survei Ekonomi Rumah Tangga Triwulanan (SERUTI24) Triwulan IV Kegiatan Lapangan</v>
      </c>
      <c r="Y745" s="7" t="s">
        <v>3241</v>
      </c>
      <c r="Z745" s="7" t="s">
        <v>3289</v>
      </c>
      <c r="AA745" s="68">
        <f t="shared" si="5"/>
        <v>45596</v>
      </c>
      <c r="AB745" s="68">
        <f t="shared" si="6"/>
        <v>45597</v>
      </c>
      <c r="AC745" s="68">
        <f t="shared" si="7"/>
        <v>45626</v>
      </c>
      <c r="AD745" s="68">
        <f t="shared" si="8"/>
        <v>45625</v>
      </c>
      <c r="AE745" s="68">
        <f t="shared" si="9"/>
        <v>45626</v>
      </c>
    </row>
    <row r="746" spans="1:31" ht="12.5">
      <c r="A746" s="125">
        <v>610422100139</v>
      </c>
      <c r="B746" s="64" t="s">
        <v>308</v>
      </c>
      <c r="D746" s="10">
        <f t="array" aca="1" ref="D746" ca="1">INDEX('Mitra per Bulan'!$M$2:$M800,MATCH(S746,'Mitra per Bulan'!$B$2:$B800,0))</f>
        <v>1</v>
      </c>
      <c r="E746" s="10" t="str">
        <f t="array" ref="E746">INDEX('Database Mitra'!$A$2:$A800,MATCH(A746,'Database Mitra'!$B$2:$B800,0))</f>
        <v>Winda Dwi Ananda</v>
      </c>
      <c r="F746" s="64" t="s">
        <v>25</v>
      </c>
      <c r="G746" s="5" t="str">
        <f t="array" ref="G746">INDEX('Database Mitra'!$G$2:$G800,MATCH(A746,'Database Mitra'!$B$2:$B800,0))</f>
        <v>6102016812990001</v>
      </c>
      <c r="H746" s="64" t="s">
        <v>67</v>
      </c>
      <c r="I746" s="65" t="s">
        <v>309</v>
      </c>
      <c r="J746" s="10" t="str">
        <f t="array" ref="J746">INDEX(Honor!$H$2:$H800,MATCH($I746,Honor!$A$2:$A800,0))</f>
        <v>Dokumen</v>
      </c>
      <c r="K746" s="66">
        <f t="array" ref="K746">INDEX(Honor!$I$2:$I800,MATCH($I746,Honor!$A$2:$A800,0))</f>
        <v>91000</v>
      </c>
      <c r="L746" s="64">
        <v>10</v>
      </c>
      <c r="M746" s="10">
        <f t="shared" si="0"/>
        <v>910000</v>
      </c>
      <c r="O746" s="67">
        <f t="array" ref="O746">INDEX(Honor!$L$2:$L800,MATCH($I746,Honor!$A$2:$A800,0))</f>
        <v>45626</v>
      </c>
      <c r="P746" s="10">
        <f t="shared" si="1"/>
        <v>2024</v>
      </c>
      <c r="Q746" s="10">
        <f t="shared" si="2"/>
        <v>11</v>
      </c>
      <c r="R746" s="10" t="str">
        <f t="array" ref="R746">INDEX(Honor!$Q$2:$Q800,MATCH($I746,Honor!$A$2:$A800,0))</f>
        <v>SURVEI-PPL</v>
      </c>
      <c r="S746" s="10" t="str">
        <f t="shared" si="3"/>
        <v>610422100139-2024-11</v>
      </c>
      <c r="T746" s="10" t="str">
        <f t="shared" si="4"/>
        <v>610422100139-2024-11-SURVEI-PPL</v>
      </c>
      <c r="U746" s="64">
        <v>0</v>
      </c>
      <c r="V746" s="10" t="e">
        <f t="array" aca="1" ref="V746" ca="1">INDEX(Honor!$O$2:$O800,MATCH($I746,Honor!$A$2:$A800,0))</f>
        <v>#NAME?</v>
      </c>
      <c r="W746" s="67"/>
      <c r="X746" s="7" t="str">
        <f t="array" ref="X746">INDEX('Input Kegiatan'!$B$2:$B800,MATCH(B746,'Input Kegiatan'!$A$2:$A800,0))</f>
        <v>Survei Ekonomi Rumah Tangga Triwulanan (SERUTI24) Triwulan IV Kegiatan Lapangan</v>
      </c>
      <c r="Y746" s="7" t="s">
        <v>4572</v>
      </c>
      <c r="Z746" s="7" t="s">
        <v>4814</v>
      </c>
      <c r="AA746" s="68">
        <f t="shared" si="5"/>
        <v>45596</v>
      </c>
      <c r="AB746" s="68">
        <f t="shared" si="6"/>
        <v>45597</v>
      </c>
      <c r="AC746" s="68">
        <f t="shared" si="7"/>
        <v>45626</v>
      </c>
      <c r="AD746" s="68">
        <f t="shared" si="8"/>
        <v>45625</v>
      </c>
      <c r="AE746" s="68">
        <f t="shared" si="9"/>
        <v>45626</v>
      </c>
    </row>
    <row r="747" spans="1:31" ht="12.5">
      <c r="A747" s="125">
        <v>610422040052</v>
      </c>
      <c r="B747" s="64" t="s">
        <v>308</v>
      </c>
      <c r="D747" s="10">
        <f t="array" aca="1" ref="D747" ca="1">INDEX('Mitra per Bulan'!$M$2:$M800,MATCH(S747,'Mitra per Bulan'!$B$2:$B800,0))</f>
        <v>1</v>
      </c>
      <c r="E747" s="10" t="str">
        <f t="array" ref="E747">INDEX('Database Mitra'!$A$2:$A800,MATCH(A747,'Database Mitra'!$B$2:$B800,0))</f>
        <v>Yusimianto</v>
      </c>
      <c r="F747" s="64" t="s">
        <v>25</v>
      </c>
      <c r="G747" s="5" t="str">
        <f t="array" ref="G747">INDEX('Database Mitra'!$G$2:$G800,MATCH(A747,'Database Mitra'!$B$2:$B800,0))</f>
        <v>6102160603790001</v>
      </c>
      <c r="H747" s="64" t="s">
        <v>67</v>
      </c>
      <c r="I747" s="65" t="s">
        <v>309</v>
      </c>
      <c r="J747" s="10" t="str">
        <f t="array" ref="J747">INDEX(Honor!$H$2:$H800,MATCH($I747,Honor!$A$2:$A800,0))</f>
        <v>Dokumen</v>
      </c>
      <c r="K747" s="66">
        <f t="array" ref="K747">INDEX(Honor!$I$2:$I800,MATCH($I747,Honor!$A$2:$A800,0))</f>
        <v>91000</v>
      </c>
      <c r="L747" s="64">
        <v>10</v>
      </c>
      <c r="M747" s="10">
        <f t="shared" si="0"/>
        <v>910000</v>
      </c>
      <c r="O747" s="67">
        <f t="array" ref="O747">INDEX(Honor!$L$2:$L800,MATCH($I747,Honor!$A$2:$A800,0))</f>
        <v>45626</v>
      </c>
      <c r="P747" s="10">
        <f t="shared" si="1"/>
        <v>2024</v>
      </c>
      <c r="Q747" s="10">
        <f t="shared" si="2"/>
        <v>11</v>
      </c>
      <c r="R747" s="10" t="str">
        <f t="array" ref="R747">INDEX(Honor!$Q$2:$Q800,MATCH($I747,Honor!$A$2:$A800,0))</f>
        <v>SURVEI-PPL</v>
      </c>
      <c r="S747" s="10" t="str">
        <f t="shared" si="3"/>
        <v>610422040052-2024-11</v>
      </c>
      <c r="T747" s="10" t="str">
        <f t="shared" si="4"/>
        <v>610422040052-2024-11-SURVEI-PPL</v>
      </c>
      <c r="U747" s="64">
        <v>0</v>
      </c>
      <c r="V747" s="10" t="e">
        <f t="array" aca="1" ref="V747" ca="1">INDEX(Honor!$O$2:$O800,MATCH($I747,Honor!$A$2:$A800,0))</f>
        <v>#NAME?</v>
      </c>
      <c r="W747" s="67"/>
      <c r="X747" s="7" t="str">
        <f t="array" ref="X747">INDEX('Input Kegiatan'!$B$2:$B800,MATCH(B747,'Input Kegiatan'!$A$2:$A800,0))</f>
        <v>Survei Ekonomi Rumah Tangga Triwulanan (SERUTI24) Triwulan IV Kegiatan Lapangan</v>
      </c>
      <c r="Y747" s="7" t="s">
        <v>4408</v>
      </c>
      <c r="Z747" s="7" t="s">
        <v>4487</v>
      </c>
      <c r="AA747" s="68">
        <f t="shared" si="5"/>
        <v>45596</v>
      </c>
      <c r="AB747" s="68">
        <f t="shared" si="6"/>
        <v>45597</v>
      </c>
      <c r="AC747" s="68">
        <f t="shared" si="7"/>
        <v>45626</v>
      </c>
      <c r="AD747" s="68">
        <f t="shared" si="8"/>
        <v>45625</v>
      </c>
      <c r="AE747" s="68">
        <f t="shared" si="9"/>
        <v>45626</v>
      </c>
    </row>
    <row r="748" spans="1:31" ht="12.5">
      <c r="A748" s="125">
        <v>610422030002</v>
      </c>
      <c r="B748" s="65" t="s">
        <v>310</v>
      </c>
      <c r="D748" s="10">
        <f t="array" aca="1" ref="D748" ca="1">INDEX('Mitra per Bulan'!$M$2:$M800,MATCH(S748,'Mitra per Bulan'!$B$2:$B800,0))</f>
        <v>1</v>
      </c>
      <c r="E748" s="10" t="str">
        <f t="array" ref="E748">INDEX('Database Mitra'!$A$2:$A800,MATCH(A748,'Database Mitra'!$B$2:$B800,0))</f>
        <v>Deti Erni Widiastuti</v>
      </c>
      <c r="F748" s="64" t="s">
        <v>25</v>
      </c>
      <c r="G748" s="5" t="str">
        <f t="array" ref="G748">INDEX('Database Mitra'!$G$2:$G800,MATCH(A748,'Database Mitra'!$B$2:$B800,0))</f>
        <v>6102016712860001</v>
      </c>
      <c r="H748" s="64" t="s">
        <v>67</v>
      </c>
      <c r="I748" s="65" t="s">
        <v>311</v>
      </c>
      <c r="J748" s="10" t="str">
        <f t="array" ref="J748">INDEX(Honor!$H$2:$H800,MATCH($I748,Honor!$A$2:$A800,0))</f>
        <v>Dokumen</v>
      </c>
      <c r="K748" s="66">
        <f t="array" ref="K748">INDEX(Honor!$I$2:$I800,MATCH($I748,Honor!$A$2:$A800,0))</f>
        <v>50000</v>
      </c>
      <c r="L748" s="64">
        <v>15</v>
      </c>
      <c r="M748" s="10">
        <f t="shared" si="0"/>
        <v>750000</v>
      </c>
      <c r="O748" s="67">
        <f t="array" ref="O748">INDEX(Honor!$L$2:$L800,MATCH($I748,Honor!$A$2:$A800,0))</f>
        <v>45646</v>
      </c>
      <c r="P748" s="10">
        <f t="shared" si="1"/>
        <v>2024</v>
      </c>
      <c r="Q748" s="10">
        <f t="shared" si="2"/>
        <v>12</v>
      </c>
      <c r="R748" s="10" t="str">
        <f t="array" ref="R748">INDEX(Honor!$Q$2:$Q800,MATCH($I748,Honor!$A$2:$A800,0))</f>
        <v>SURVEI-PPL</v>
      </c>
      <c r="S748" s="10" t="str">
        <f t="shared" si="3"/>
        <v>610422030002-2024-12</v>
      </c>
      <c r="T748" s="10" t="str">
        <f t="shared" si="4"/>
        <v>610422030002-2024-12-SURVEI-PPL</v>
      </c>
      <c r="U748" s="64">
        <v>0</v>
      </c>
      <c r="V748" s="10" t="e">
        <f t="array" aca="1" ref="V748" ca="1">INDEX(Honor!$O$2:$O800,MATCH($I748,Honor!$A$2:$A800,0))</f>
        <v>#NAME?</v>
      </c>
      <c r="W748" s="67"/>
      <c r="X748" s="7" t="str">
        <f t="array" ref="X748">INDEX('Input Kegiatan'!$B$2:$B800,MATCH(B748,'Input Kegiatan'!$A$2:$A800,0))</f>
        <v>Survei Harga Perdagangan Besar (SHPB24) Desember</v>
      </c>
      <c r="Y748" s="7" t="s">
        <v>3715</v>
      </c>
      <c r="Z748" s="7" t="s">
        <v>3716</v>
      </c>
      <c r="AA748" s="68">
        <f t="shared" si="5"/>
        <v>45626</v>
      </c>
      <c r="AB748" s="68">
        <f t="shared" si="6"/>
        <v>45627</v>
      </c>
      <c r="AC748" s="68">
        <f t="shared" si="7"/>
        <v>45657</v>
      </c>
      <c r="AD748" s="68">
        <f t="shared" si="8"/>
        <v>45656</v>
      </c>
      <c r="AE748" s="68">
        <f t="shared" si="9"/>
        <v>45657</v>
      </c>
    </row>
    <row r="749" spans="1:31" ht="12.5">
      <c r="A749" s="125">
        <v>610422100244</v>
      </c>
      <c r="B749" s="64" t="s">
        <v>312</v>
      </c>
      <c r="D749" s="10">
        <f t="array" aca="1" ref="D749" ca="1">INDEX('Mitra per Bulan'!$M$2:$M800,MATCH(S749,'Mitra per Bulan'!$B$2:$B800,0))</f>
        <v>1</v>
      </c>
      <c r="E749" s="10" t="str">
        <f t="array" ref="E749">INDEX('Database Mitra'!$A$2:$A800,MATCH(A749,'Database Mitra'!$B$2:$B800,0))</f>
        <v>Sugianto</v>
      </c>
      <c r="F749" s="64" t="s">
        <v>25</v>
      </c>
      <c r="G749" s="5" t="str">
        <f t="array" ref="G749">INDEX('Database Mitra'!$G$2:$G800,MATCH(A749,'Database Mitra'!$B$2:$B800,0))</f>
        <v>6102171003900002</v>
      </c>
      <c r="H749" s="64" t="s">
        <v>67</v>
      </c>
      <c r="I749" s="65" t="s">
        <v>313</v>
      </c>
      <c r="J749" s="10" t="str">
        <f t="array" ref="J749">INDEX(Honor!$H$2:$H800,MATCH($I749,Honor!$A$2:$A800,0))</f>
        <v>Dokumen</v>
      </c>
      <c r="K749" s="66">
        <f t="array" ref="K749">INDEX(Honor!$I$2:$I800,MATCH($I749,Honor!$A$2:$A800,0))</f>
        <v>50000</v>
      </c>
      <c r="L749" s="64">
        <v>1</v>
      </c>
      <c r="M749" s="10">
        <f t="shared" si="0"/>
        <v>50000</v>
      </c>
      <c r="O749" s="67">
        <f t="array" ref="O749">INDEX(Honor!$L$2:$L800,MATCH($I749,Honor!$A$2:$A800,0))</f>
        <v>45646</v>
      </c>
      <c r="P749" s="10">
        <f t="shared" si="1"/>
        <v>2024</v>
      </c>
      <c r="Q749" s="10">
        <f t="shared" si="2"/>
        <v>12</v>
      </c>
      <c r="R749" s="10" t="str">
        <f t="array" ref="R749">INDEX(Honor!$Q$2:$Q800,MATCH($I749,Honor!$A$2:$A800,0))</f>
        <v>SURVEI-PPL</v>
      </c>
      <c r="S749" s="10" t="str">
        <f t="shared" si="3"/>
        <v>610422100244-2024-12</v>
      </c>
      <c r="T749" s="10" t="str">
        <f t="shared" si="4"/>
        <v>610422100244-2024-12-SURVEI-PPL</v>
      </c>
      <c r="U749" s="64">
        <v>0</v>
      </c>
      <c r="V749" s="10" t="e">
        <f t="array" aca="1" ref="V749" ca="1">INDEX(Honor!$O$2:$O800,MATCH($I749,Honor!$A$2:$A800,0))</f>
        <v>#NAME?</v>
      </c>
      <c r="W749" s="67"/>
      <c r="X749" s="7" t="str">
        <f t="array" ref="X749">INDEX('Input Kegiatan'!$B$2:$B800,MATCH(B749,'Input Kegiatan'!$A$2:$A800,0))</f>
        <v>Survei Harga Produsen Gabah (HPG24) Desember</v>
      </c>
      <c r="Y749" s="7" t="s">
        <v>5741</v>
      </c>
      <c r="Z749" s="7" t="s">
        <v>5796</v>
      </c>
      <c r="AA749" s="68">
        <f t="shared" si="5"/>
        <v>45626</v>
      </c>
      <c r="AB749" s="68">
        <f t="shared" si="6"/>
        <v>45627</v>
      </c>
      <c r="AC749" s="68">
        <f t="shared" si="7"/>
        <v>45657</v>
      </c>
      <c r="AD749" s="68">
        <f t="shared" si="8"/>
        <v>45656</v>
      </c>
      <c r="AE749" s="68">
        <f t="shared" si="9"/>
        <v>45657</v>
      </c>
    </row>
    <row r="750" spans="1:31" ht="12.5">
      <c r="A750" s="125">
        <v>610422100124</v>
      </c>
      <c r="B750" s="64" t="s">
        <v>312</v>
      </c>
      <c r="D750" s="10">
        <f t="array" aca="1" ref="D750" ca="1">INDEX('Mitra per Bulan'!$M$2:$M800,MATCH(S750,'Mitra per Bulan'!$B$2:$B800,0))</f>
        <v>1</v>
      </c>
      <c r="E750" s="10" t="str">
        <f t="array" ref="E750">INDEX('Database Mitra'!$A$2:$A800,MATCH(A750,'Database Mitra'!$B$2:$B800,0))</f>
        <v>Prabowo</v>
      </c>
      <c r="F750" s="64" t="s">
        <v>25</v>
      </c>
      <c r="G750" s="5" t="str">
        <f t="array" ref="G750">INDEX('Database Mitra'!$G$2:$G800,MATCH(A750,'Database Mitra'!$B$2:$B800,0))</f>
        <v>6171010108790015</v>
      </c>
      <c r="H750" s="64" t="s">
        <v>67</v>
      </c>
      <c r="I750" s="65" t="s">
        <v>313</v>
      </c>
      <c r="J750" s="10" t="str">
        <f t="array" ref="J750">INDEX(Honor!$H$2:$H800,MATCH($I750,Honor!$A$2:$A800,0))</f>
        <v>Dokumen</v>
      </c>
      <c r="K750" s="66">
        <f t="array" ref="K750">INDEX(Honor!$I$2:$I800,MATCH($I750,Honor!$A$2:$A800,0))</f>
        <v>50000</v>
      </c>
      <c r="L750" s="64">
        <v>1</v>
      </c>
      <c r="M750" s="10">
        <f t="shared" si="0"/>
        <v>50000</v>
      </c>
      <c r="O750" s="67">
        <f t="array" ref="O750">INDEX(Honor!$L$2:$L800,MATCH($I750,Honor!$A$2:$A800,0))</f>
        <v>45646</v>
      </c>
      <c r="P750" s="10">
        <f t="shared" si="1"/>
        <v>2024</v>
      </c>
      <c r="Q750" s="10">
        <f t="shared" si="2"/>
        <v>12</v>
      </c>
      <c r="R750" s="10" t="str">
        <f t="array" ref="R750">INDEX(Honor!$Q$2:$Q800,MATCH($I750,Honor!$A$2:$A800,0))</f>
        <v>SURVEI-PPL</v>
      </c>
      <c r="S750" s="10" t="str">
        <f t="shared" si="3"/>
        <v>610422100124-2024-12</v>
      </c>
      <c r="T750" s="10" t="str">
        <f t="shared" si="4"/>
        <v>610422100124-2024-12-SURVEI-PPL</v>
      </c>
      <c r="U750" s="64">
        <v>0</v>
      </c>
      <c r="V750" s="10" t="e">
        <f t="array" aca="1" ref="V750" ca="1">INDEX(Honor!$O$2:$O800,MATCH($I750,Honor!$A$2:$A800,0))</f>
        <v>#NAME?</v>
      </c>
      <c r="W750" s="67"/>
      <c r="X750" s="7" t="str">
        <f t="array" ref="X750">INDEX('Input Kegiatan'!$B$2:$B800,MATCH(B750,'Input Kegiatan'!$A$2:$A800,0))</f>
        <v>Survei Harga Produsen Gabah (HPG24) Desember</v>
      </c>
      <c r="Y750" s="7" t="s">
        <v>1921</v>
      </c>
      <c r="Z750" s="7" t="s">
        <v>2140</v>
      </c>
      <c r="AA750" s="68">
        <f t="shared" si="5"/>
        <v>45626</v>
      </c>
      <c r="AB750" s="68">
        <f t="shared" si="6"/>
        <v>45627</v>
      </c>
      <c r="AC750" s="68">
        <f t="shared" si="7"/>
        <v>45657</v>
      </c>
      <c r="AD750" s="68">
        <f t="shared" si="8"/>
        <v>45656</v>
      </c>
      <c r="AE750" s="68">
        <f t="shared" si="9"/>
        <v>45657</v>
      </c>
    </row>
    <row r="751" spans="1:31" ht="12.5">
      <c r="A751" s="125">
        <v>610422100016</v>
      </c>
      <c r="B751" s="65" t="s">
        <v>314</v>
      </c>
      <c r="D751" s="10">
        <f t="array" aca="1" ref="D751" ca="1">INDEX('Mitra per Bulan'!$M$2:$M800,MATCH(S751,'Mitra per Bulan'!$B$2:$B800,0))</f>
        <v>1</v>
      </c>
      <c r="E751" s="10" t="str">
        <f t="array" ref="E751">INDEX('Database Mitra'!$A$2:$A800,MATCH(A751,'Database Mitra'!$B$2:$B800,0))</f>
        <v>Amalia Faisya</v>
      </c>
      <c r="F751" s="64" t="s">
        <v>25</v>
      </c>
      <c r="G751" s="5" t="str">
        <f t="array" ref="G751">INDEX('Database Mitra'!$G$2:$G800,MATCH(A751,'Database Mitra'!$B$2:$B800,0))</f>
        <v>6102124210010005</v>
      </c>
      <c r="H751" s="64" t="s">
        <v>72</v>
      </c>
      <c r="I751" s="65" t="s">
        <v>315</v>
      </c>
      <c r="J751" s="10" t="str">
        <f t="array" ref="J751">INDEX(Honor!$H$2:$H800,MATCH($I751,Honor!$A$2:$A800,0))</f>
        <v>Dokumen</v>
      </c>
      <c r="K751" s="66">
        <f t="array" ref="K751">INDEX(Honor!$I$2:$I800,MATCH($I751,Honor!$A$2:$A800,0))</f>
        <v>65000</v>
      </c>
      <c r="L751" s="64">
        <v>3</v>
      </c>
      <c r="M751" s="10">
        <f t="shared" si="0"/>
        <v>195000</v>
      </c>
      <c r="O751" s="67">
        <f t="array" ref="O751">INDEX(Honor!$L$2:$L800,MATCH($I751,Honor!$A$2:$A800,0))</f>
        <v>45646</v>
      </c>
      <c r="P751" s="10">
        <f t="shared" si="1"/>
        <v>2024</v>
      </c>
      <c r="Q751" s="10">
        <f t="shared" si="2"/>
        <v>12</v>
      </c>
      <c r="R751" s="10" t="str">
        <f t="array" ref="R751">INDEX(Honor!$Q$2:$Q800,MATCH($I751,Honor!$A$2:$A800,0))</f>
        <v>SURVEI-PPL</v>
      </c>
      <c r="S751" s="10" t="str">
        <f t="shared" si="3"/>
        <v>610422100016-2024-12</v>
      </c>
      <c r="T751" s="10" t="str">
        <f t="shared" si="4"/>
        <v>610422100016-2024-12-SURVEI-PPL</v>
      </c>
      <c r="U751" s="64">
        <v>0</v>
      </c>
      <c r="V751" s="10" t="e">
        <f t="array" aca="1" ref="V751" ca="1">INDEX(Honor!$O$2:$O800,MATCH($I751,Honor!$A$2:$A800,0))</f>
        <v>#NAME?</v>
      </c>
      <c r="W751" s="67"/>
      <c r="X751" s="7" t="str">
        <f t="array" ref="X751">INDEX('Input Kegiatan'!$B$2:$B800,MATCH(B751,'Input Kegiatan'!$A$2:$A800,0))</f>
        <v>Survei Harga Perdesaan (SHPED24) Desember</v>
      </c>
      <c r="Y751" s="7" t="s">
        <v>5250</v>
      </c>
      <c r="Z751" s="7" t="s">
        <v>5365</v>
      </c>
      <c r="AA751" s="68">
        <f t="shared" si="5"/>
        <v>45626</v>
      </c>
      <c r="AB751" s="68">
        <f t="shared" si="6"/>
        <v>45627</v>
      </c>
      <c r="AC751" s="68">
        <f t="shared" si="7"/>
        <v>45657</v>
      </c>
      <c r="AD751" s="68">
        <f t="shared" si="8"/>
        <v>45656</v>
      </c>
      <c r="AE751" s="68">
        <f t="shared" si="9"/>
        <v>45657</v>
      </c>
    </row>
    <row r="752" spans="1:31" ht="12.5">
      <c r="A752" s="125">
        <v>610422050001</v>
      </c>
      <c r="B752" s="65" t="s">
        <v>314</v>
      </c>
      <c r="D752" s="10">
        <f t="array" aca="1" ref="D752" ca="1">INDEX('Mitra per Bulan'!$M$2:$M800,MATCH(S752,'Mitra per Bulan'!$B$2:$B800,0))</f>
        <v>1</v>
      </c>
      <c r="E752" s="10" t="str">
        <f t="array" ref="E752">INDEX('Database Mitra'!$A$2:$A800,MATCH(A752,'Database Mitra'!$B$2:$B800,0))</f>
        <v>Evi Juniarty</v>
      </c>
      <c r="F752" s="64" t="s">
        <v>25</v>
      </c>
      <c r="G752" s="5" t="str">
        <f t="array" ref="G752">INDEX('Database Mitra'!$G$2:$G800,MATCH(A752,'Database Mitra'!$B$2:$B800,0))</f>
        <v>6102165101840001</v>
      </c>
      <c r="H752" s="64" t="s">
        <v>72</v>
      </c>
      <c r="I752" s="65" t="s">
        <v>315</v>
      </c>
      <c r="J752" s="10" t="str">
        <f t="array" ref="J752">INDEX(Honor!$H$2:$H800,MATCH($I752,Honor!$A$2:$A800,0))</f>
        <v>Dokumen</v>
      </c>
      <c r="K752" s="66">
        <f t="array" ref="K752">INDEX(Honor!$I$2:$I800,MATCH($I752,Honor!$A$2:$A800,0))</f>
        <v>65000</v>
      </c>
      <c r="L752" s="64">
        <v>3</v>
      </c>
      <c r="M752" s="10">
        <f t="shared" si="0"/>
        <v>195000</v>
      </c>
      <c r="O752" s="67">
        <f t="array" ref="O752">INDEX(Honor!$L$2:$L800,MATCH($I752,Honor!$A$2:$A800,0))</f>
        <v>45646</v>
      </c>
      <c r="P752" s="10">
        <f t="shared" si="1"/>
        <v>2024</v>
      </c>
      <c r="Q752" s="10">
        <f t="shared" si="2"/>
        <v>12</v>
      </c>
      <c r="R752" s="10" t="str">
        <f t="array" ref="R752">INDEX(Honor!$Q$2:$Q800,MATCH($I752,Honor!$A$2:$A800,0))</f>
        <v>SURVEI-PPL</v>
      </c>
      <c r="S752" s="10" t="str">
        <f t="shared" si="3"/>
        <v>610422050001-2024-12</v>
      </c>
      <c r="T752" s="10" t="str">
        <f t="shared" si="4"/>
        <v>610422050001-2024-12-SURVEI-PPL</v>
      </c>
      <c r="U752" s="64">
        <v>0</v>
      </c>
      <c r="V752" s="10" t="e">
        <f t="array" aca="1" ref="V752" ca="1">INDEX(Honor!$O$2:$O800,MATCH($I752,Honor!$A$2:$A800,0))</f>
        <v>#NAME?</v>
      </c>
      <c r="W752" s="67"/>
      <c r="X752" s="7" t="str">
        <f t="array" ref="X752">INDEX('Input Kegiatan'!$B$2:$B800,MATCH(B752,'Input Kegiatan'!$A$2:$A800,0))</f>
        <v>Survei Harga Perdesaan (SHPED24) Desember</v>
      </c>
      <c r="Y752" s="7" t="s">
        <v>4408</v>
      </c>
      <c r="Z752" s="7" t="s">
        <v>4409</v>
      </c>
      <c r="AA752" s="68">
        <f t="shared" si="5"/>
        <v>45626</v>
      </c>
      <c r="AB752" s="68">
        <f t="shared" si="6"/>
        <v>45627</v>
      </c>
      <c r="AC752" s="68">
        <f t="shared" si="7"/>
        <v>45657</v>
      </c>
      <c r="AD752" s="68">
        <f t="shared" si="8"/>
        <v>45656</v>
      </c>
      <c r="AE752" s="68">
        <f t="shared" si="9"/>
        <v>45657</v>
      </c>
    </row>
    <row r="753" spans="1:31" ht="12.5">
      <c r="A753" s="125">
        <v>610422040030</v>
      </c>
      <c r="B753" s="65" t="s">
        <v>314</v>
      </c>
      <c r="D753" s="10">
        <f t="array" aca="1" ref="D753" ca="1">INDEX('Mitra per Bulan'!$M$2:$M800,MATCH(S753,'Mitra per Bulan'!$B$2:$B800,0))</f>
        <v>1</v>
      </c>
      <c r="E753" s="10" t="str">
        <f t="array" ref="E753">INDEX('Database Mitra'!$A$2:$A800,MATCH(A753,'Database Mitra'!$B$2:$B800,0))</f>
        <v>Syarifah Desti Pratiwi</v>
      </c>
      <c r="F753" s="64" t="s">
        <v>25</v>
      </c>
      <c r="G753" s="5" t="str">
        <f t="array" ref="G753">INDEX('Database Mitra'!$G$2:$G800,MATCH(A753,'Database Mitra'!$B$2:$B800,0))</f>
        <v>6102084512950002</v>
      </c>
      <c r="H753" s="64" t="s">
        <v>74</v>
      </c>
      <c r="I753" s="65" t="s">
        <v>316</v>
      </c>
      <c r="J753" s="10" t="str">
        <f t="array" ref="J753">INDEX(Honor!$H$2:$H800,MATCH($I753,Honor!$A$2:$A800,0))</f>
        <v>Dokumen</v>
      </c>
      <c r="K753" s="66">
        <f t="array" ref="K753">INDEX(Honor!$I$2:$I800,MATCH($I753,Honor!$A$2:$A800,0))</f>
        <v>55000</v>
      </c>
      <c r="L753" s="64">
        <v>1</v>
      </c>
      <c r="M753" s="10">
        <f t="shared" si="0"/>
        <v>55000</v>
      </c>
      <c r="O753" s="67">
        <f t="array" ref="O753">INDEX(Honor!$L$2:$L800,MATCH($I753,Honor!$A$2:$A800,0))</f>
        <v>45646</v>
      </c>
      <c r="P753" s="10">
        <f t="shared" si="1"/>
        <v>2024</v>
      </c>
      <c r="Q753" s="10">
        <f t="shared" si="2"/>
        <v>12</v>
      </c>
      <c r="R753" s="10" t="str">
        <f t="array" ref="R753">INDEX(Honor!$Q$2:$Q800,MATCH($I753,Honor!$A$2:$A800,0))</f>
        <v>SURVEI-PPL</v>
      </c>
      <c r="S753" s="10" t="str">
        <f t="shared" si="3"/>
        <v>610422040030-2024-12</v>
      </c>
      <c r="T753" s="10" t="str">
        <f t="shared" si="4"/>
        <v>610422040030-2024-12-SURVEI-PPL</v>
      </c>
      <c r="U753" s="64">
        <v>0</v>
      </c>
      <c r="V753" s="10" t="e">
        <f t="array" aca="1" ref="V753" ca="1">INDEX(Honor!$O$2:$O800,MATCH($I753,Honor!$A$2:$A800,0))</f>
        <v>#NAME?</v>
      </c>
      <c r="W753" s="67"/>
      <c r="X753" s="7" t="str">
        <f t="array" ref="X753">INDEX('Input Kegiatan'!$B$2:$B800,MATCH(B753,'Input Kegiatan'!$A$2:$A800,0))</f>
        <v>Survei Harga Perdesaan (SHPED24) Desember</v>
      </c>
      <c r="Y753" s="7" t="s">
        <v>3241</v>
      </c>
      <c r="Z753" s="7" t="s">
        <v>3289</v>
      </c>
      <c r="AA753" s="68">
        <f t="shared" si="5"/>
        <v>45626</v>
      </c>
      <c r="AB753" s="68">
        <f t="shared" si="6"/>
        <v>45627</v>
      </c>
      <c r="AC753" s="68">
        <f t="shared" si="7"/>
        <v>45657</v>
      </c>
      <c r="AD753" s="68">
        <f t="shared" si="8"/>
        <v>45656</v>
      </c>
      <c r="AE753" s="68">
        <f t="shared" si="9"/>
        <v>45657</v>
      </c>
    </row>
    <row r="754" spans="1:31" ht="12.5">
      <c r="A754" s="125">
        <v>610422100124</v>
      </c>
      <c r="B754" s="65" t="s">
        <v>314</v>
      </c>
      <c r="D754" s="10">
        <f t="array" aca="1" ref="D754" ca="1">INDEX('Mitra per Bulan'!$M$2:$M800,MATCH(S754,'Mitra per Bulan'!$B$2:$B800,0))</f>
        <v>1</v>
      </c>
      <c r="E754" s="10" t="str">
        <f t="array" ref="E754">INDEX('Database Mitra'!$A$2:$A800,MATCH(A754,'Database Mitra'!$B$2:$B800,0))</f>
        <v>Prabowo</v>
      </c>
      <c r="F754" s="64" t="s">
        <v>25</v>
      </c>
      <c r="G754" s="5" t="str">
        <f t="array" ref="G754">INDEX('Database Mitra'!$G$2:$G800,MATCH(A754,'Database Mitra'!$B$2:$B800,0))</f>
        <v>6171010108790015</v>
      </c>
      <c r="H754" s="64" t="s">
        <v>74</v>
      </c>
      <c r="I754" s="65" t="s">
        <v>316</v>
      </c>
      <c r="J754" s="10" t="str">
        <f t="array" ref="J754">INDEX(Honor!$H$2:$H800,MATCH($I754,Honor!$A$2:$A800,0))</f>
        <v>Dokumen</v>
      </c>
      <c r="K754" s="66">
        <f t="array" ref="K754">INDEX(Honor!$I$2:$I800,MATCH($I754,Honor!$A$2:$A800,0))</f>
        <v>55000</v>
      </c>
      <c r="L754" s="64">
        <v>3</v>
      </c>
      <c r="M754" s="10">
        <f t="shared" si="0"/>
        <v>165000</v>
      </c>
      <c r="O754" s="67">
        <f t="array" ref="O754">INDEX(Honor!$L$2:$L800,MATCH($I754,Honor!$A$2:$A800,0))</f>
        <v>45646</v>
      </c>
      <c r="P754" s="10">
        <f t="shared" si="1"/>
        <v>2024</v>
      </c>
      <c r="Q754" s="10">
        <f t="shared" si="2"/>
        <v>12</v>
      </c>
      <c r="R754" s="10" t="str">
        <f t="array" ref="R754">INDEX(Honor!$Q$2:$Q800,MATCH($I754,Honor!$A$2:$A800,0))</f>
        <v>SURVEI-PPL</v>
      </c>
      <c r="S754" s="10" t="str">
        <f t="shared" si="3"/>
        <v>610422100124-2024-12</v>
      </c>
      <c r="T754" s="10" t="str">
        <f t="shared" si="4"/>
        <v>610422100124-2024-12-SURVEI-PPL</v>
      </c>
      <c r="U754" s="64">
        <v>0</v>
      </c>
      <c r="V754" s="10" t="e">
        <f t="array" aca="1" ref="V754" ca="1">INDEX(Honor!$O$2:$O800,MATCH($I754,Honor!$A$2:$A800,0))</f>
        <v>#NAME?</v>
      </c>
      <c r="W754" s="67"/>
      <c r="X754" s="7" t="str">
        <f t="array" ref="X754">INDEX('Input Kegiatan'!$B$2:$B800,MATCH(B754,'Input Kegiatan'!$A$2:$A800,0))</f>
        <v>Survei Harga Perdesaan (SHPED24) Desember</v>
      </c>
      <c r="Y754" s="7" t="s">
        <v>1921</v>
      </c>
      <c r="Z754" s="7" t="s">
        <v>2140</v>
      </c>
      <c r="AA754" s="68">
        <f t="shared" si="5"/>
        <v>45626</v>
      </c>
      <c r="AB754" s="68">
        <f t="shared" si="6"/>
        <v>45627</v>
      </c>
      <c r="AC754" s="68">
        <f t="shared" si="7"/>
        <v>45657</v>
      </c>
      <c r="AD754" s="68">
        <f t="shared" si="8"/>
        <v>45656</v>
      </c>
      <c r="AE754" s="68">
        <f t="shared" si="9"/>
        <v>45657</v>
      </c>
    </row>
    <row r="755" spans="1:31" ht="12.5">
      <c r="A755" s="125">
        <v>610422100244</v>
      </c>
      <c r="B755" s="65" t="s">
        <v>314</v>
      </c>
      <c r="D755" s="10">
        <f t="array" aca="1" ref="D755" ca="1">INDEX('Mitra per Bulan'!$M$2:$M800,MATCH(S755,'Mitra per Bulan'!$B$2:$B800,0))</f>
        <v>1</v>
      </c>
      <c r="E755" s="10" t="str">
        <f t="array" ref="E755">INDEX('Database Mitra'!$A$2:$A800,MATCH(A755,'Database Mitra'!$B$2:$B800,0))</f>
        <v>Sugianto</v>
      </c>
      <c r="F755" s="64" t="s">
        <v>25</v>
      </c>
      <c r="G755" s="5" t="str">
        <f t="array" ref="G755">INDEX('Database Mitra'!$G$2:$G800,MATCH(A755,'Database Mitra'!$B$2:$B800,0))</f>
        <v>6102171003900002</v>
      </c>
      <c r="H755" s="64" t="s">
        <v>74</v>
      </c>
      <c r="I755" s="65" t="s">
        <v>316</v>
      </c>
      <c r="J755" s="10" t="str">
        <f t="array" ref="J755">INDEX(Honor!$H$2:$H800,MATCH($I755,Honor!$A$2:$A800,0))</f>
        <v>Dokumen</v>
      </c>
      <c r="K755" s="66">
        <f t="array" ref="K755">INDEX(Honor!$I$2:$I800,MATCH($I755,Honor!$A$2:$A800,0))</f>
        <v>55000</v>
      </c>
      <c r="L755" s="64">
        <v>2</v>
      </c>
      <c r="M755" s="10">
        <f t="shared" si="0"/>
        <v>110000</v>
      </c>
      <c r="O755" s="67">
        <f t="array" ref="O755">INDEX(Honor!$L$2:$L800,MATCH($I755,Honor!$A$2:$A800,0))</f>
        <v>45646</v>
      </c>
      <c r="P755" s="10">
        <f t="shared" si="1"/>
        <v>2024</v>
      </c>
      <c r="Q755" s="10">
        <f t="shared" si="2"/>
        <v>12</v>
      </c>
      <c r="R755" s="10" t="str">
        <f t="array" ref="R755">INDEX(Honor!$Q$2:$Q800,MATCH($I755,Honor!$A$2:$A800,0))</f>
        <v>SURVEI-PPL</v>
      </c>
      <c r="S755" s="10" t="str">
        <f t="shared" si="3"/>
        <v>610422100244-2024-12</v>
      </c>
      <c r="T755" s="10" t="str">
        <f t="shared" si="4"/>
        <v>610422100244-2024-12-SURVEI-PPL</v>
      </c>
      <c r="U755" s="64">
        <v>0</v>
      </c>
      <c r="V755" s="10" t="e">
        <f t="array" aca="1" ref="V755" ca="1">INDEX(Honor!$O$2:$O800,MATCH($I755,Honor!$A$2:$A800,0))</f>
        <v>#NAME?</v>
      </c>
      <c r="W755" s="67"/>
      <c r="X755" s="7" t="str">
        <f t="array" ref="X755">INDEX('Input Kegiatan'!$B$2:$B800,MATCH(B755,'Input Kegiatan'!$A$2:$A800,0))</f>
        <v>Survei Harga Perdesaan (SHPED24) Desember</v>
      </c>
      <c r="Y755" s="7" t="s">
        <v>5741</v>
      </c>
      <c r="Z755" s="7" t="s">
        <v>5796</v>
      </c>
      <c r="AA755" s="68">
        <f t="shared" si="5"/>
        <v>45626</v>
      </c>
      <c r="AB755" s="68">
        <f t="shared" si="6"/>
        <v>45627</v>
      </c>
      <c r="AC755" s="68">
        <f t="shared" si="7"/>
        <v>45657</v>
      </c>
      <c r="AD755" s="68">
        <f t="shared" si="8"/>
        <v>45656</v>
      </c>
      <c r="AE755" s="68">
        <f t="shared" si="9"/>
        <v>45657</v>
      </c>
    </row>
    <row r="756" spans="1:31" ht="12.5">
      <c r="A756" s="125">
        <v>610422020016</v>
      </c>
      <c r="B756" s="65" t="s">
        <v>314</v>
      </c>
      <c r="D756" s="10">
        <f t="array" aca="1" ref="D756" ca="1">INDEX('Mitra per Bulan'!$M$2:$M800,MATCH(S756,'Mitra per Bulan'!$B$2:$B800,0))</f>
        <v>1</v>
      </c>
      <c r="E756" s="10" t="str">
        <f t="array" ref="E756">INDEX('Database Mitra'!$A$2:$A800,MATCH(A756,'Database Mitra'!$B$2:$B800,0))</f>
        <v>Abdul Aziz</v>
      </c>
      <c r="F756" s="64" t="s">
        <v>25</v>
      </c>
      <c r="G756" s="5" t="str">
        <f t="array" ref="G756">INDEX('Database Mitra'!$G$2:$G800,MATCH(A756,'Database Mitra'!$B$2:$B800,0))</f>
        <v>6102061507950006</v>
      </c>
      <c r="H756" s="64" t="s">
        <v>74</v>
      </c>
      <c r="I756" s="65" t="s">
        <v>316</v>
      </c>
      <c r="J756" s="10" t="str">
        <f t="array" ref="J756">INDEX(Honor!$H$2:$H800,MATCH($I756,Honor!$A$2:$A800,0))</f>
        <v>Dokumen</v>
      </c>
      <c r="K756" s="66">
        <f t="array" ref="K756">INDEX(Honor!$I$2:$I800,MATCH($I756,Honor!$A$2:$A800,0))</f>
        <v>55000</v>
      </c>
      <c r="L756" s="64">
        <v>3</v>
      </c>
      <c r="M756" s="10">
        <f t="shared" si="0"/>
        <v>165000</v>
      </c>
      <c r="O756" s="67">
        <f t="array" ref="O756">INDEX(Honor!$L$2:$L800,MATCH($I756,Honor!$A$2:$A800,0))</f>
        <v>45646</v>
      </c>
      <c r="P756" s="10">
        <f t="shared" si="1"/>
        <v>2024</v>
      </c>
      <c r="Q756" s="10">
        <f t="shared" si="2"/>
        <v>12</v>
      </c>
      <c r="R756" s="10" t="str">
        <f t="array" ref="R756">INDEX(Honor!$Q$2:$Q800,MATCH($I756,Honor!$A$2:$A800,0))</f>
        <v>SURVEI-PPL</v>
      </c>
      <c r="S756" s="10" t="str">
        <f t="shared" si="3"/>
        <v>610422020016-2024-12</v>
      </c>
      <c r="T756" s="10" t="str">
        <f t="shared" si="4"/>
        <v>610422020016-2024-12-SURVEI-PPL</v>
      </c>
      <c r="U756" s="64">
        <v>0</v>
      </c>
      <c r="V756" s="10" t="e">
        <f t="array" aca="1" ref="V756" ca="1">INDEX(Honor!$O$2:$O800,MATCH($I756,Honor!$A$2:$A800,0))</f>
        <v>#NAME?</v>
      </c>
      <c r="W756" s="67"/>
      <c r="X756" s="7" t="str">
        <f t="array" ref="X756">INDEX('Input Kegiatan'!$B$2:$B800,MATCH(B756,'Input Kegiatan'!$A$2:$A800,0))</f>
        <v>Survei Harga Perdesaan (SHPED24) Desember</v>
      </c>
      <c r="Y756" s="7" t="s">
        <v>5534</v>
      </c>
      <c r="Z756" s="7" t="s">
        <v>5535</v>
      </c>
      <c r="AA756" s="68">
        <f t="shared" si="5"/>
        <v>45626</v>
      </c>
      <c r="AB756" s="68">
        <f t="shared" si="6"/>
        <v>45627</v>
      </c>
      <c r="AC756" s="68">
        <f t="shared" si="7"/>
        <v>45657</v>
      </c>
      <c r="AD756" s="68">
        <f t="shared" si="8"/>
        <v>45656</v>
      </c>
      <c r="AE756" s="68">
        <f t="shared" si="9"/>
        <v>45657</v>
      </c>
    </row>
    <row r="757" spans="1:31" ht="12.5">
      <c r="A757" s="125">
        <v>610422100016</v>
      </c>
      <c r="B757" s="65" t="s">
        <v>314</v>
      </c>
      <c r="D757" s="10">
        <f t="array" aca="1" ref="D757" ca="1">INDEX('Mitra per Bulan'!$M$2:$M800,MATCH(S757,'Mitra per Bulan'!$B$2:$B800,0))</f>
        <v>1</v>
      </c>
      <c r="E757" s="10" t="str">
        <f t="array" ref="E757">INDEX('Database Mitra'!$A$2:$A800,MATCH(A757,'Database Mitra'!$B$2:$B800,0))</f>
        <v>Amalia Faisya</v>
      </c>
      <c r="F757" s="64" t="s">
        <v>25</v>
      </c>
      <c r="G757" s="5" t="str">
        <f t="array" ref="G757">INDEX('Database Mitra'!$G$2:$G800,MATCH(A757,'Database Mitra'!$B$2:$B800,0))</f>
        <v>6102124210010005</v>
      </c>
      <c r="H757" s="64" t="s">
        <v>74</v>
      </c>
      <c r="I757" s="65" t="s">
        <v>316</v>
      </c>
      <c r="J757" s="10" t="str">
        <f t="array" ref="J757">INDEX(Honor!$H$2:$H800,MATCH($I757,Honor!$A$2:$A800,0))</f>
        <v>Dokumen</v>
      </c>
      <c r="K757" s="66">
        <f t="array" ref="K757">INDEX(Honor!$I$2:$I800,MATCH($I757,Honor!$A$2:$A800,0))</f>
        <v>55000</v>
      </c>
      <c r="L757" s="64">
        <v>1</v>
      </c>
      <c r="M757" s="10">
        <f t="shared" si="0"/>
        <v>55000</v>
      </c>
      <c r="O757" s="67">
        <f t="array" ref="O757">INDEX(Honor!$L$2:$L800,MATCH($I757,Honor!$A$2:$A800,0))</f>
        <v>45646</v>
      </c>
      <c r="P757" s="10">
        <f t="shared" si="1"/>
        <v>2024</v>
      </c>
      <c r="Q757" s="10">
        <f t="shared" si="2"/>
        <v>12</v>
      </c>
      <c r="R757" s="10" t="str">
        <f t="array" ref="R757">INDEX(Honor!$Q$2:$Q800,MATCH($I757,Honor!$A$2:$A800,0))</f>
        <v>SURVEI-PPL</v>
      </c>
      <c r="S757" s="10" t="str">
        <f t="shared" si="3"/>
        <v>610422100016-2024-12</v>
      </c>
      <c r="T757" s="10" t="str">
        <f t="shared" si="4"/>
        <v>610422100016-2024-12-SURVEI-PPL</v>
      </c>
      <c r="U757" s="64">
        <v>0</v>
      </c>
      <c r="V757" s="10" t="e">
        <f t="array" aca="1" ref="V757" ca="1">INDEX(Honor!$O$2:$O800,MATCH($I757,Honor!$A$2:$A800,0))</f>
        <v>#NAME?</v>
      </c>
      <c r="W757" s="67"/>
      <c r="X757" s="7" t="str">
        <f t="array" ref="X757">INDEX('Input Kegiatan'!$B$2:$B800,MATCH(B757,'Input Kegiatan'!$A$2:$A800,0))</f>
        <v>Survei Harga Perdesaan (SHPED24) Desember</v>
      </c>
      <c r="Y757" s="7" t="s">
        <v>5250</v>
      </c>
      <c r="Z757" s="7" t="s">
        <v>5365</v>
      </c>
      <c r="AA757" s="68">
        <f t="shared" si="5"/>
        <v>45626</v>
      </c>
      <c r="AB757" s="68">
        <f t="shared" si="6"/>
        <v>45627</v>
      </c>
      <c r="AC757" s="68">
        <f t="shared" si="7"/>
        <v>45657</v>
      </c>
      <c r="AD757" s="68">
        <f t="shared" si="8"/>
        <v>45656</v>
      </c>
      <c r="AE757" s="68">
        <f t="shared" si="9"/>
        <v>45657</v>
      </c>
    </row>
    <row r="758" spans="1:31" ht="12.5">
      <c r="A758" s="125">
        <v>610422020048</v>
      </c>
      <c r="B758" s="65" t="s">
        <v>314</v>
      </c>
      <c r="D758" s="10">
        <f t="array" aca="1" ref="D758" ca="1">INDEX('Mitra per Bulan'!$M$2:$M800,MATCH(S758,'Mitra per Bulan'!$B$2:$B800,0))</f>
        <v>1</v>
      </c>
      <c r="E758" s="10" t="str">
        <f t="array" ref="E758">INDEX('Database Mitra'!$A$2:$A800,MATCH(A758,'Database Mitra'!$B$2:$B800,0))</f>
        <v>Herri Gustaman</v>
      </c>
      <c r="F758" s="64" t="s">
        <v>25</v>
      </c>
      <c r="G758" s="5" t="str">
        <f t="array" ref="G758">INDEX('Database Mitra'!$G$2:$G800,MATCH(A758,'Database Mitra'!$B$2:$B800,0))</f>
        <v>6102072503800001</v>
      </c>
      <c r="H758" s="64" t="s">
        <v>74</v>
      </c>
      <c r="I758" s="65" t="s">
        <v>316</v>
      </c>
      <c r="J758" s="10" t="str">
        <f t="array" ref="J758">INDEX(Honor!$H$2:$H800,MATCH($I758,Honor!$A$2:$A800,0))</f>
        <v>Dokumen</v>
      </c>
      <c r="K758" s="66">
        <f t="array" ref="K758">INDEX(Honor!$I$2:$I800,MATCH($I758,Honor!$A$2:$A800,0))</f>
        <v>55000</v>
      </c>
      <c r="L758" s="64">
        <v>3</v>
      </c>
      <c r="M758" s="10">
        <f t="shared" si="0"/>
        <v>165000</v>
      </c>
      <c r="O758" s="67">
        <f t="array" ref="O758">INDEX(Honor!$L$2:$L800,MATCH($I758,Honor!$A$2:$A800,0))</f>
        <v>45646</v>
      </c>
      <c r="P758" s="10">
        <f t="shared" si="1"/>
        <v>2024</v>
      </c>
      <c r="Q758" s="10">
        <f t="shared" si="2"/>
        <v>12</v>
      </c>
      <c r="R758" s="10" t="str">
        <f t="array" ref="R758">INDEX(Honor!$Q$2:$Q800,MATCH($I758,Honor!$A$2:$A800,0))</f>
        <v>SURVEI-PPL</v>
      </c>
      <c r="S758" s="10" t="str">
        <f t="shared" si="3"/>
        <v>610422020048-2024-12</v>
      </c>
      <c r="T758" s="10" t="str">
        <f t="shared" si="4"/>
        <v>610422020048-2024-12-SURVEI-PPL</v>
      </c>
      <c r="U758" s="64">
        <v>0</v>
      </c>
      <c r="V758" s="10" t="e">
        <f t="array" aca="1" ref="V758" ca="1">INDEX(Honor!$O$2:$O800,MATCH($I758,Honor!$A$2:$A800,0))</f>
        <v>#NAME?</v>
      </c>
      <c r="W758" s="67"/>
      <c r="X758" s="7" t="str">
        <f t="array" ref="X758">INDEX('Input Kegiatan'!$B$2:$B800,MATCH(B758,'Input Kegiatan'!$A$2:$A800,0))</f>
        <v>Survei Harga Perdesaan (SHPED24) Desember</v>
      </c>
      <c r="Y758" s="7" t="s">
        <v>4931</v>
      </c>
      <c r="Z758" s="7" t="s">
        <v>5171</v>
      </c>
      <c r="AA758" s="68">
        <f t="shared" si="5"/>
        <v>45626</v>
      </c>
      <c r="AB758" s="68">
        <f t="shared" si="6"/>
        <v>45627</v>
      </c>
      <c r="AC758" s="68">
        <f t="shared" si="7"/>
        <v>45657</v>
      </c>
      <c r="AD758" s="68">
        <f t="shared" si="8"/>
        <v>45656</v>
      </c>
      <c r="AE758" s="68">
        <f t="shared" si="9"/>
        <v>45657</v>
      </c>
    </row>
    <row r="759" spans="1:31" ht="12.5">
      <c r="A759" s="125">
        <v>610422040029</v>
      </c>
      <c r="B759" s="65" t="s">
        <v>314</v>
      </c>
      <c r="D759" s="10">
        <f t="array" aca="1" ref="D759" ca="1">INDEX('Mitra per Bulan'!$M$2:$M800,MATCH(S759,'Mitra per Bulan'!$B$2:$B800,0))</f>
        <v>1</v>
      </c>
      <c r="E759" s="10" t="str">
        <f t="array" ref="E759">INDEX('Database Mitra'!$A$2:$A800,MATCH(A759,'Database Mitra'!$B$2:$B800,0))</f>
        <v>Zaini</v>
      </c>
      <c r="F759" s="64" t="s">
        <v>25</v>
      </c>
      <c r="G759" s="5" t="str">
        <f t="array" ref="G759">INDEX('Database Mitra'!$G$2:$G800,MATCH(A759,'Database Mitra'!$B$2:$B800,0))</f>
        <v>6102010607870002</v>
      </c>
      <c r="H759" s="64" t="s">
        <v>74</v>
      </c>
      <c r="I759" s="65" t="s">
        <v>316</v>
      </c>
      <c r="J759" s="10" t="str">
        <f t="array" ref="J759">INDEX(Honor!$H$2:$H800,MATCH($I759,Honor!$A$2:$A800,0))</f>
        <v>Dokumen</v>
      </c>
      <c r="K759" s="66">
        <f t="array" ref="K759">INDEX(Honor!$I$2:$I800,MATCH($I759,Honor!$A$2:$A800,0))</f>
        <v>55000</v>
      </c>
      <c r="L759" s="64">
        <v>4</v>
      </c>
      <c r="M759" s="10">
        <f t="shared" si="0"/>
        <v>220000</v>
      </c>
      <c r="O759" s="67">
        <f t="array" ref="O759">INDEX(Honor!$L$2:$L800,MATCH($I759,Honor!$A$2:$A800,0))</f>
        <v>45646</v>
      </c>
      <c r="P759" s="10">
        <f t="shared" si="1"/>
        <v>2024</v>
      </c>
      <c r="Q759" s="10">
        <f t="shared" si="2"/>
        <v>12</v>
      </c>
      <c r="R759" s="10" t="str">
        <f t="array" ref="R759">INDEX(Honor!$Q$2:$Q800,MATCH($I759,Honor!$A$2:$A800,0))</f>
        <v>SURVEI-PPL</v>
      </c>
      <c r="S759" s="10" t="str">
        <f t="shared" si="3"/>
        <v>610422040029-2024-12</v>
      </c>
      <c r="T759" s="10" t="str">
        <f t="shared" si="4"/>
        <v>610422040029-2024-12-SURVEI-PPL</v>
      </c>
      <c r="U759" s="64">
        <v>0</v>
      </c>
      <c r="V759" s="10" t="e">
        <f t="array" aca="1" ref="V759" ca="1">INDEX(Honor!$O$2:$O800,MATCH($I759,Honor!$A$2:$A800,0))</f>
        <v>#NAME?</v>
      </c>
      <c r="W759" s="67"/>
      <c r="X759" s="7" t="str">
        <f t="array" ref="X759">INDEX('Input Kegiatan'!$B$2:$B800,MATCH(B759,'Input Kegiatan'!$A$2:$A800,0))</f>
        <v>Survei Harga Perdesaan (SHPED24) Desember</v>
      </c>
      <c r="Y759" s="7" t="s">
        <v>4572</v>
      </c>
      <c r="Z759" s="7" t="s">
        <v>4619</v>
      </c>
      <c r="AA759" s="68">
        <f t="shared" si="5"/>
        <v>45626</v>
      </c>
      <c r="AB759" s="68">
        <f t="shared" si="6"/>
        <v>45627</v>
      </c>
      <c r="AC759" s="68">
        <f t="shared" si="7"/>
        <v>45657</v>
      </c>
      <c r="AD759" s="68">
        <f t="shared" si="8"/>
        <v>45656</v>
      </c>
      <c r="AE759" s="68">
        <f t="shared" si="9"/>
        <v>45657</v>
      </c>
    </row>
    <row r="760" spans="1:31" ht="12.5">
      <c r="A760" s="125">
        <v>610422050001</v>
      </c>
      <c r="B760" s="65" t="s">
        <v>314</v>
      </c>
      <c r="D760" s="10">
        <f t="array" aca="1" ref="D760" ca="1">INDEX('Mitra per Bulan'!$M$2:$M800,MATCH(S760,'Mitra per Bulan'!$B$2:$B800,0))</f>
        <v>1</v>
      </c>
      <c r="E760" s="10" t="str">
        <f t="array" ref="E760">INDEX('Database Mitra'!$A$2:$A800,MATCH(A760,'Database Mitra'!$B$2:$B800,0))</f>
        <v>Evi Juniarty</v>
      </c>
      <c r="F760" s="64" t="s">
        <v>25</v>
      </c>
      <c r="G760" s="5" t="str">
        <f t="array" ref="G760">INDEX('Database Mitra'!$G$2:$G800,MATCH(A760,'Database Mitra'!$B$2:$B800,0))</f>
        <v>6102165101840001</v>
      </c>
      <c r="H760" s="64" t="s">
        <v>74</v>
      </c>
      <c r="I760" s="65" t="s">
        <v>316</v>
      </c>
      <c r="J760" s="10" t="str">
        <f t="array" ref="J760">INDEX(Honor!$H$2:$H800,MATCH($I760,Honor!$A$2:$A800,0))</f>
        <v>Dokumen</v>
      </c>
      <c r="K760" s="66">
        <f t="array" ref="K760">INDEX(Honor!$I$2:$I800,MATCH($I760,Honor!$A$2:$A800,0))</f>
        <v>55000</v>
      </c>
      <c r="L760" s="64">
        <v>1</v>
      </c>
      <c r="M760" s="10">
        <f t="shared" si="0"/>
        <v>55000</v>
      </c>
      <c r="O760" s="67">
        <f t="array" ref="O760">INDEX(Honor!$L$2:$L800,MATCH($I760,Honor!$A$2:$A800,0))</f>
        <v>45646</v>
      </c>
      <c r="P760" s="10">
        <f t="shared" si="1"/>
        <v>2024</v>
      </c>
      <c r="Q760" s="10">
        <f t="shared" si="2"/>
        <v>12</v>
      </c>
      <c r="R760" s="10" t="str">
        <f t="array" ref="R760">INDEX(Honor!$Q$2:$Q800,MATCH($I760,Honor!$A$2:$A800,0))</f>
        <v>SURVEI-PPL</v>
      </c>
      <c r="S760" s="10" t="str">
        <f t="shared" si="3"/>
        <v>610422050001-2024-12</v>
      </c>
      <c r="T760" s="10" t="str">
        <f t="shared" si="4"/>
        <v>610422050001-2024-12-SURVEI-PPL</v>
      </c>
      <c r="U760" s="64">
        <v>0</v>
      </c>
      <c r="V760" s="10" t="e">
        <f t="array" aca="1" ref="V760" ca="1">INDEX(Honor!$O$2:$O800,MATCH($I760,Honor!$A$2:$A800,0))</f>
        <v>#NAME?</v>
      </c>
      <c r="W760" s="67"/>
      <c r="X760" s="7" t="str">
        <f t="array" ref="X760">INDEX('Input Kegiatan'!$B$2:$B800,MATCH(B760,'Input Kegiatan'!$A$2:$A800,0))</f>
        <v>Survei Harga Perdesaan (SHPED24) Desember</v>
      </c>
      <c r="Y760" s="7" t="s">
        <v>4408</v>
      </c>
      <c r="Z760" s="7" t="s">
        <v>4409</v>
      </c>
      <c r="AA760" s="68">
        <f t="shared" si="5"/>
        <v>45626</v>
      </c>
      <c r="AB760" s="68">
        <f t="shared" si="6"/>
        <v>45627</v>
      </c>
      <c r="AC760" s="68">
        <f t="shared" si="7"/>
        <v>45657</v>
      </c>
      <c r="AD760" s="68">
        <f t="shared" si="8"/>
        <v>45656</v>
      </c>
      <c r="AE760" s="68">
        <f t="shared" si="9"/>
        <v>45657</v>
      </c>
    </row>
    <row r="761" spans="1:31" ht="12.5">
      <c r="A761" s="125">
        <v>610422100124</v>
      </c>
      <c r="B761" s="65" t="s">
        <v>317</v>
      </c>
      <c r="D761" s="10">
        <f t="array" aca="1" ref="D761" ca="1">INDEX('Mitra per Bulan'!$M$2:$M800,MATCH(S761,'Mitra per Bulan'!$B$2:$B800,0))</f>
        <v>1</v>
      </c>
      <c r="E761" s="10" t="str">
        <f t="array" ref="E761">INDEX('Database Mitra'!$A$2:$A800,MATCH(A761,'Database Mitra'!$B$2:$B800,0))</f>
        <v>Prabowo</v>
      </c>
      <c r="F761" s="64" t="s">
        <v>25</v>
      </c>
      <c r="G761" s="5" t="str">
        <f t="array" ref="G761">INDEX('Database Mitra'!$G$2:$G800,MATCH(A761,'Database Mitra'!$B$2:$B800,0))</f>
        <v>6171010108790015</v>
      </c>
      <c r="H761" s="64" t="s">
        <v>67</v>
      </c>
      <c r="I761" s="65" t="s">
        <v>318</v>
      </c>
      <c r="J761" s="10" t="str">
        <f t="array" ref="J761">INDEX(Honor!$H$2:$H800,MATCH($I761,Honor!$A$2:$A800,0))</f>
        <v>Dokumen</v>
      </c>
      <c r="K761" s="66">
        <f t="array" ref="K761">INDEX(Honor!$I$2:$I800,MATCH($I761,Honor!$A$2:$A800,0))</f>
        <v>55000</v>
      </c>
      <c r="L761" s="64">
        <v>2</v>
      </c>
      <c r="M761" s="10">
        <f t="shared" si="0"/>
        <v>110000</v>
      </c>
      <c r="O761" s="67">
        <f t="array" ref="O761">INDEX(Honor!$L$2:$L800,MATCH($I761,Honor!$A$2:$A800,0))</f>
        <v>45646</v>
      </c>
      <c r="P761" s="10">
        <f t="shared" si="1"/>
        <v>2024</v>
      </c>
      <c r="Q761" s="10">
        <f t="shared" si="2"/>
        <v>12</v>
      </c>
      <c r="R761" s="10" t="str">
        <f t="array" ref="R761">INDEX(Honor!$Q$2:$Q800,MATCH($I761,Honor!$A$2:$A800,0))</f>
        <v>SURVEI-PPL</v>
      </c>
      <c r="S761" s="10" t="str">
        <f t="shared" si="3"/>
        <v>610422100124-2024-12</v>
      </c>
      <c r="T761" s="10" t="str">
        <f t="shared" si="4"/>
        <v>610422100124-2024-12-SURVEI-PPL</v>
      </c>
      <c r="U761" s="64">
        <v>0</v>
      </c>
      <c r="V761" s="10" t="e">
        <f t="array" aca="1" ref="V761" ca="1">INDEX(Honor!$O$2:$O800,MATCH($I761,Honor!$A$2:$A800,0))</f>
        <v>#NAME?</v>
      </c>
      <c r="W761" s="67"/>
      <c r="X761" s="7" t="str">
        <f t="array" ref="X761">INDEX('Input Kegiatan'!$B$2:$B800,MATCH(B761,'Input Kegiatan'!$A$2:$A800,0))</f>
        <v>Survei Harga Produsen Beras di Penggilingan 2024 (HPBG24) Desember</v>
      </c>
      <c r="Y761" s="7" t="s">
        <v>1921</v>
      </c>
      <c r="Z761" s="7" t="s">
        <v>2140</v>
      </c>
      <c r="AA761" s="68">
        <f t="shared" si="5"/>
        <v>45626</v>
      </c>
      <c r="AB761" s="68">
        <f t="shared" si="6"/>
        <v>45627</v>
      </c>
      <c r="AC761" s="68">
        <f t="shared" si="7"/>
        <v>45657</v>
      </c>
      <c r="AD761" s="68">
        <f t="shared" si="8"/>
        <v>45656</v>
      </c>
      <c r="AE761" s="68">
        <f t="shared" si="9"/>
        <v>45657</v>
      </c>
    </row>
    <row r="762" spans="1:31" ht="12.5">
      <c r="A762" s="125">
        <v>610422100244</v>
      </c>
      <c r="B762" s="65" t="s">
        <v>317</v>
      </c>
      <c r="D762" s="10">
        <f t="array" aca="1" ref="D762" ca="1">INDEX('Mitra per Bulan'!$M$2:$M800,MATCH(S762,'Mitra per Bulan'!$B$2:$B800,0))</f>
        <v>1</v>
      </c>
      <c r="E762" s="10" t="str">
        <f t="array" ref="E762">INDEX('Database Mitra'!$A$2:$A800,MATCH(A762,'Database Mitra'!$B$2:$B800,0))</f>
        <v>Sugianto</v>
      </c>
      <c r="F762" s="64" t="s">
        <v>25</v>
      </c>
      <c r="G762" s="5" t="str">
        <f t="array" ref="G762">INDEX('Database Mitra'!$G$2:$G800,MATCH(A762,'Database Mitra'!$B$2:$B800,0))</f>
        <v>6102171003900002</v>
      </c>
      <c r="H762" s="64" t="s">
        <v>67</v>
      </c>
      <c r="I762" s="65" t="s">
        <v>318</v>
      </c>
      <c r="J762" s="10" t="str">
        <f t="array" ref="J762">INDEX(Honor!$H$2:$H800,MATCH($I762,Honor!$A$2:$A800,0))</f>
        <v>Dokumen</v>
      </c>
      <c r="K762" s="66">
        <f t="array" ref="K762">INDEX(Honor!$I$2:$I800,MATCH($I762,Honor!$A$2:$A800,0))</f>
        <v>55000</v>
      </c>
      <c r="L762" s="64">
        <v>2</v>
      </c>
      <c r="M762" s="10">
        <f t="shared" si="0"/>
        <v>110000</v>
      </c>
      <c r="O762" s="67">
        <f t="array" ref="O762">INDEX(Honor!$L$2:$L800,MATCH($I762,Honor!$A$2:$A800,0))</f>
        <v>45646</v>
      </c>
      <c r="P762" s="10">
        <f t="shared" si="1"/>
        <v>2024</v>
      </c>
      <c r="Q762" s="10">
        <f t="shared" si="2"/>
        <v>12</v>
      </c>
      <c r="R762" s="10" t="str">
        <f t="array" ref="R762">INDEX(Honor!$Q$2:$Q800,MATCH($I762,Honor!$A$2:$A800,0))</f>
        <v>SURVEI-PPL</v>
      </c>
      <c r="S762" s="10" t="str">
        <f t="shared" si="3"/>
        <v>610422100244-2024-12</v>
      </c>
      <c r="T762" s="10" t="str">
        <f t="shared" si="4"/>
        <v>610422100244-2024-12-SURVEI-PPL</v>
      </c>
      <c r="U762" s="64">
        <v>0</v>
      </c>
      <c r="V762" s="10" t="e">
        <f t="array" aca="1" ref="V762" ca="1">INDEX(Honor!$O$2:$O800,MATCH($I762,Honor!$A$2:$A800,0))</f>
        <v>#NAME?</v>
      </c>
      <c r="W762" s="67"/>
      <c r="X762" s="7" t="str">
        <f t="array" ref="X762">INDEX('Input Kegiatan'!$B$2:$B800,MATCH(B762,'Input Kegiatan'!$A$2:$A800,0))</f>
        <v>Survei Harga Produsen Beras di Penggilingan 2024 (HPBG24) Desember</v>
      </c>
      <c r="Y762" s="7" t="s">
        <v>5741</v>
      </c>
      <c r="Z762" s="7" t="s">
        <v>5796</v>
      </c>
      <c r="AA762" s="68">
        <f t="shared" si="5"/>
        <v>45626</v>
      </c>
      <c r="AB762" s="68">
        <f t="shared" si="6"/>
        <v>45627</v>
      </c>
      <c r="AC762" s="68">
        <f t="shared" si="7"/>
        <v>45657</v>
      </c>
      <c r="AD762" s="68">
        <f t="shared" si="8"/>
        <v>45656</v>
      </c>
      <c r="AE762" s="68">
        <f t="shared" si="9"/>
        <v>45657</v>
      </c>
    </row>
    <row r="763" spans="1:31" ht="12.5">
      <c r="A763" s="125">
        <v>610422100165</v>
      </c>
      <c r="B763" s="65" t="s">
        <v>317</v>
      </c>
      <c r="D763" s="10">
        <f t="array" aca="1" ref="D763" ca="1">INDEX('Mitra per Bulan'!$M$2:$M800,MATCH(S763,'Mitra per Bulan'!$B$2:$B800,0))</f>
        <v>1</v>
      </c>
      <c r="E763" s="10" t="str">
        <f t="array" ref="E763">INDEX('Database Mitra'!$A$2:$A800,MATCH(A763,'Database Mitra'!$B$2:$B800,0))</f>
        <v>Yanti</v>
      </c>
      <c r="F763" s="64" t="s">
        <v>25</v>
      </c>
      <c r="G763" s="5" t="str">
        <f t="array" ref="G763">INDEX('Database Mitra'!$G$2:$G800,MATCH(A763,'Database Mitra'!$B$2:$B800,0))</f>
        <v>6102074803980002</v>
      </c>
      <c r="H763" s="64" t="s">
        <v>67</v>
      </c>
      <c r="I763" s="65" t="s">
        <v>318</v>
      </c>
      <c r="J763" s="10" t="str">
        <f t="array" ref="J763">INDEX(Honor!$H$2:$H800,MATCH($I763,Honor!$A$2:$A800,0))</f>
        <v>Dokumen</v>
      </c>
      <c r="K763" s="66">
        <f t="array" ref="K763">INDEX(Honor!$I$2:$I800,MATCH($I763,Honor!$A$2:$A800,0))</f>
        <v>55000</v>
      </c>
      <c r="L763" s="64">
        <v>2</v>
      </c>
      <c r="M763" s="10">
        <f t="shared" si="0"/>
        <v>110000</v>
      </c>
      <c r="O763" s="67">
        <f t="array" ref="O763">INDEX(Honor!$L$2:$L800,MATCH($I763,Honor!$A$2:$A800,0))</f>
        <v>45646</v>
      </c>
      <c r="P763" s="10">
        <f t="shared" si="1"/>
        <v>2024</v>
      </c>
      <c r="Q763" s="10">
        <f t="shared" si="2"/>
        <v>12</v>
      </c>
      <c r="R763" s="10" t="str">
        <f t="array" ref="R763">INDEX(Honor!$Q$2:$Q800,MATCH($I763,Honor!$A$2:$A800,0))</f>
        <v>SURVEI-PPL</v>
      </c>
      <c r="S763" s="10" t="str">
        <f t="shared" si="3"/>
        <v>610422100165-2024-12</v>
      </c>
      <c r="T763" s="10" t="str">
        <f t="shared" si="4"/>
        <v>610422100165-2024-12-SURVEI-PPL</v>
      </c>
      <c r="U763" s="64">
        <v>0</v>
      </c>
      <c r="V763" s="10" t="e">
        <f t="array" aca="1" ref="V763" ca="1">INDEX(Honor!$O$2:$O800,MATCH($I763,Honor!$A$2:$A800,0))</f>
        <v>#NAME?</v>
      </c>
      <c r="W763" s="67"/>
      <c r="X763" s="7" t="str">
        <f t="array" ref="X763">INDEX('Input Kegiatan'!$B$2:$B800,MATCH(B763,'Input Kegiatan'!$A$2:$A800,0))</f>
        <v>Survei Harga Produsen Beras di Penggilingan 2024 (HPBG24) Desember</v>
      </c>
      <c r="Y763" s="7" t="s">
        <v>3990</v>
      </c>
      <c r="Z763" s="7" t="s">
        <v>4332</v>
      </c>
      <c r="AA763" s="68">
        <f t="shared" si="5"/>
        <v>45626</v>
      </c>
      <c r="AB763" s="68">
        <f t="shared" si="6"/>
        <v>45627</v>
      </c>
      <c r="AC763" s="68">
        <f t="shared" si="7"/>
        <v>45657</v>
      </c>
      <c r="AD763" s="68">
        <f t="shared" si="8"/>
        <v>45656</v>
      </c>
      <c r="AE763" s="68">
        <f t="shared" si="9"/>
        <v>45657</v>
      </c>
    </row>
    <row r="764" spans="1:31" ht="12.5">
      <c r="A764" s="125">
        <v>610422100165</v>
      </c>
      <c r="B764" s="65" t="s">
        <v>319</v>
      </c>
      <c r="D764" s="10">
        <f t="array" aca="1" ref="D764" ca="1">INDEX('Mitra per Bulan'!$M$2:$M800,MATCH(S764,'Mitra per Bulan'!$B$2:$B800,0))</f>
        <v>1</v>
      </c>
      <c r="E764" s="10" t="str">
        <f t="array" ref="E764">INDEX('Database Mitra'!$A$2:$A800,MATCH(A764,'Database Mitra'!$B$2:$B800,0))</f>
        <v>Yanti</v>
      </c>
      <c r="F764" s="64" t="s">
        <v>25</v>
      </c>
      <c r="G764" s="5" t="str">
        <f t="array" ref="G764">INDEX('Database Mitra'!$G$2:$G800,MATCH(A764,'Database Mitra'!$B$2:$B800,0))</f>
        <v>6102074803980002</v>
      </c>
      <c r="H764" s="64" t="s">
        <v>67</v>
      </c>
      <c r="I764" s="65" t="s">
        <v>320</v>
      </c>
      <c r="J764" s="10" t="str">
        <f t="array" ref="J764">INDEX(Honor!$H$2:$H800,MATCH($I764,Honor!$A$2:$A800,0))</f>
        <v>Dokumen</v>
      </c>
      <c r="K764" s="66">
        <f t="array" ref="K764">INDEX(Honor!$I$2:$I800,MATCH($I764,Honor!$A$2:$A800,0))</f>
        <v>50000</v>
      </c>
      <c r="L764" s="64">
        <v>1</v>
      </c>
      <c r="M764" s="10">
        <f t="shared" si="0"/>
        <v>50000</v>
      </c>
      <c r="O764" s="67">
        <f t="array" ref="O764">INDEX(Honor!$L$2:$L800,MATCH($I764,Honor!$A$2:$A800,0))</f>
        <v>45646</v>
      </c>
      <c r="P764" s="10">
        <f t="shared" si="1"/>
        <v>2024</v>
      </c>
      <c r="Q764" s="10">
        <f t="shared" si="2"/>
        <v>12</v>
      </c>
      <c r="R764" s="10" t="str">
        <f t="array" ref="R764">INDEX(Honor!$Q$2:$Q800,MATCH($I764,Honor!$A$2:$A800,0))</f>
        <v>SURVEI-PPL</v>
      </c>
      <c r="S764" s="10" t="str">
        <f t="shared" si="3"/>
        <v>610422100165-2024-12</v>
      </c>
      <c r="T764" s="10" t="str">
        <f t="shared" si="4"/>
        <v>610422100165-2024-12-SURVEI-PPL</v>
      </c>
      <c r="U764" s="64">
        <v>0</v>
      </c>
      <c r="V764" s="10" t="e">
        <f t="array" aca="1" ref="V764" ca="1">INDEX(Honor!$O$2:$O800,MATCH($I764,Honor!$A$2:$A800,0))</f>
        <v>#NAME?</v>
      </c>
      <c r="W764" s="67"/>
      <c r="X764" s="7" t="str">
        <f t="array" ref="X764">INDEX('Input Kegiatan'!$B$2:$B800,MATCH(B764,'Input Kegiatan'!$A$2:$A800,0))</f>
        <v>Survei Harga Produsen Jasa (HPJ24) Desember</v>
      </c>
      <c r="Y764" s="7" t="s">
        <v>3990</v>
      </c>
      <c r="Z764" s="7" t="s">
        <v>4332</v>
      </c>
      <c r="AA764" s="68">
        <f t="shared" si="5"/>
        <v>45626</v>
      </c>
      <c r="AB764" s="68">
        <f t="shared" si="6"/>
        <v>45627</v>
      </c>
      <c r="AC764" s="68">
        <f t="shared" si="7"/>
        <v>45657</v>
      </c>
      <c r="AD764" s="68">
        <f t="shared" si="8"/>
        <v>45656</v>
      </c>
      <c r="AE764" s="68">
        <f t="shared" si="9"/>
        <v>45657</v>
      </c>
    </row>
    <row r="765" spans="1:31" ht="12.5">
      <c r="A765" s="125">
        <v>610422040029</v>
      </c>
      <c r="B765" s="69" t="s">
        <v>321</v>
      </c>
      <c r="D765" s="10">
        <f t="array" aca="1" ref="D765" ca="1">INDEX('Mitra per Bulan'!$M$2:$M800,MATCH(S765,'Mitra per Bulan'!$B$2:$B800,0))</f>
        <v>1</v>
      </c>
      <c r="E765" s="10" t="str">
        <f t="array" ref="E765">INDEX('Database Mitra'!$A$2:$A800,MATCH(A765,'Database Mitra'!$B$2:$B800,0))</f>
        <v>Zaini</v>
      </c>
      <c r="F765" s="64" t="s">
        <v>25</v>
      </c>
      <c r="G765" s="5" t="str">
        <f t="array" ref="G765">INDEX('Database Mitra'!$G$2:$G800,MATCH(A765,'Database Mitra'!$B$2:$B800,0))</f>
        <v>6102010607870002</v>
      </c>
      <c r="H765" s="64" t="s">
        <v>67</v>
      </c>
      <c r="I765" s="65" t="s">
        <v>322</v>
      </c>
      <c r="J765" s="10" t="str">
        <f t="array" ref="J765">INDEX(Honor!$H$2:$H800,MATCH($I765,Honor!$A$2:$A800,0))</f>
        <v>Dokumen</v>
      </c>
      <c r="K765" s="66">
        <f t="array" ref="K765">INDEX(Honor!$I$2:$I800,MATCH($I765,Honor!$A$2:$A800,0))</f>
        <v>55000</v>
      </c>
      <c r="L765" s="64">
        <v>3</v>
      </c>
      <c r="M765" s="10">
        <f t="shared" si="0"/>
        <v>165000</v>
      </c>
      <c r="O765" s="67">
        <f t="array" ref="O765">INDEX(Honor!$L$2:$L800,MATCH($I765,Honor!$A$2:$A800,0))</f>
        <v>45646</v>
      </c>
      <c r="P765" s="10">
        <f t="shared" si="1"/>
        <v>2024</v>
      </c>
      <c r="Q765" s="10">
        <f t="shared" si="2"/>
        <v>12</v>
      </c>
      <c r="R765" s="10" t="str">
        <f t="array" ref="R765">INDEX(Honor!$Q$2:$Q800,MATCH($I765,Honor!$A$2:$A800,0))</f>
        <v>SURVEI-PPL</v>
      </c>
      <c r="S765" s="10" t="str">
        <f t="shared" si="3"/>
        <v>610422040029-2024-12</v>
      </c>
      <c r="T765" s="10" t="str">
        <f t="shared" si="4"/>
        <v>610422040029-2024-12-SURVEI-PPL</v>
      </c>
      <c r="U765" s="64">
        <v>0</v>
      </c>
      <c r="V765" s="10" t="e">
        <f t="array" aca="1" ref="V765" ca="1">INDEX(Honor!$O$2:$O800,MATCH($I765,Honor!$A$2:$A800,0))</f>
        <v>#NAME?</v>
      </c>
      <c r="W765" s="67"/>
      <c r="X765" s="7" t="str">
        <f t="array" ref="X765">INDEX('Input Kegiatan'!$B$2:$B800,MATCH(B765,'Input Kegiatan'!$A$2:$A800,0))</f>
        <v>Survei Hotel dan Jasa Akomodasi Bulanan (VHTS) 2024 Desember</v>
      </c>
      <c r="Y765" s="7" t="s">
        <v>4572</v>
      </c>
      <c r="Z765" s="7" t="s">
        <v>4619</v>
      </c>
      <c r="AA765" s="68">
        <f t="shared" si="5"/>
        <v>45626</v>
      </c>
      <c r="AB765" s="68">
        <f t="shared" si="6"/>
        <v>45627</v>
      </c>
      <c r="AC765" s="68">
        <f t="shared" si="7"/>
        <v>45657</v>
      </c>
      <c r="AD765" s="68">
        <f t="shared" si="8"/>
        <v>45656</v>
      </c>
      <c r="AE765" s="68">
        <f t="shared" si="9"/>
        <v>45657</v>
      </c>
    </row>
    <row r="766" spans="1:31" ht="12.5">
      <c r="A766" s="125">
        <v>610422100165</v>
      </c>
      <c r="B766" s="69" t="s">
        <v>321</v>
      </c>
      <c r="D766" s="10">
        <f t="array" aca="1" ref="D766" ca="1">INDEX('Mitra per Bulan'!$M$2:$M800,MATCH(S766,'Mitra per Bulan'!$B$2:$B800,0))</f>
        <v>1</v>
      </c>
      <c r="E766" s="10" t="str">
        <f t="array" ref="E766">INDEX('Database Mitra'!$A$2:$A800,MATCH(A766,'Database Mitra'!$B$2:$B800,0))</f>
        <v>Yanti</v>
      </c>
      <c r="F766" s="64" t="s">
        <v>25</v>
      </c>
      <c r="G766" s="5" t="str">
        <f t="array" ref="G766">INDEX('Database Mitra'!$G$2:$G800,MATCH(A766,'Database Mitra'!$B$2:$B800,0))</f>
        <v>6102074803980002</v>
      </c>
      <c r="H766" s="64" t="s">
        <v>67</v>
      </c>
      <c r="I766" s="65" t="s">
        <v>322</v>
      </c>
      <c r="J766" s="10" t="str">
        <f t="array" ref="J766">INDEX(Honor!$H$2:$H800,MATCH($I766,Honor!$A$2:$A800,0))</f>
        <v>Dokumen</v>
      </c>
      <c r="K766" s="66">
        <f t="array" ref="K766">INDEX(Honor!$I$2:$I800,MATCH($I766,Honor!$A$2:$A800,0))</f>
        <v>55000</v>
      </c>
      <c r="L766" s="64">
        <v>3</v>
      </c>
      <c r="M766" s="10">
        <f t="shared" si="0"/>
        <v>165000</v>
      </c>
      <c r="O766" s="67">
        <f t="array" ref="O766">INDEX(Honor!$L$2:$L800,MATCH($I766,Honor!$A$2:$A800,0))</f>
        <v>45646</v>
      </c>
      <c r="P766" s="10">
        <f t="shared" si="1"/>
        <v>2024</v>
      </c>
      <c r="Q766" s="10">
        <f t="shared" si="2"/>
        <v>12</v>
      </c>
      <c r="R766" s="10" t="str">
        <f t="array" ref="R766">INDEX(Honor!$Q$2:$Q800,MATCH($I766,Honor!$A$2:$A800,0))</f>
        <v>SURVEI-PPL</v>
      </c>
      <c r="S766" s="10" t="str">
        <f t="shared" si="3"/>
        <v>610422100165-2024-12</v>
      </c>
      <c r="T766" s="10" t="str">
        <f t="shared" si="4"/>
        <v>610422100165-2024-12-SURVEI-PPL</v>
      </c>
      <c r="U766" s="64">
        <v>0</v>
      </c>
      <c r="V766" s="10" t="e">
        <f t="array" aca="1" ref="V766" ca="1">INDEX(Honor!$O$2:$O800,MATCH($I766,Honor!$A$2:$A800,0))</f>
        <v>#NAME?</v>
      </c>
      <c r="W766" s="67"/>
      <c r="X766" s="7" t="str">
        <f t="array" ref="X766">INDEX('Input Kegiatan'!$B$2:$B800,MATCH(B766,'Input Kegiatan'!$A$2:$A800,0))</f>
        <v>Survei Hotel dan Jasa Akomodasi Bulanan (VHTS) 2024 Desember</v>
      </c>
      <c r="Y766" s="7" t="s">
        <v>3990</v>
      </c>
      <c r="Z766" s="7" t="s">
        <v>4332</v>
      </c>
      <c r="AA766" s="68">
        <f t="shared" si="5"/>
        <v>45626</v>
      </c>
      <c r="AB766" s="68">
        <f t="shared" si="6"/>
        <v>45627</v>
      </c>
      <c r="AC766" s="68">
        <f t="shared" si="7"/>
        <v>45657</v>
      </c>
      <c r="AD766" s="68">
        <f t="shared" si="8"/>
        <v>45656</v>
      </c>
      <c r="AE766" s="68">
        <f t="shared" si="9"/>
        <v>45657</v>
      </c>
    </row>
    <row r="767" spans="1:31" ht="12.5">
      <c r="A767" s="125">
        <v>610422050001</v>
      </c>
      <c r="B767" s="69" t="s">
        <v>321</v>
      </c>
      <c r="D767" s="10">
        <f t="array" aca="1" ref="D767" ca="1">INDEX('Mitra per Bulan'!$M$2:$M800,MATCH(S767,'Mitra per Bulan'!$B$2:$B800,0))</f>
        <v>1</v>
      </c>
      <c r="E767" s="10" t="str">
        <f t="array" ref="E767">INDEX('Database Mitra'!$A$2:$A800,MATCH(A767,'Database Mitra'!$B$2:$B800,0))</f>
        <v>Evi Juniarty</v>
      </c>
      <c r="F767" s="64" t="s">
        <v>25</v>
      </c>
      <c r="G767" s="5" t="str">
        <f t="array" ref="G767">INDEX('Database Mitra'!$G$2:$G800,MATCH(A767,'Database Mitra'!$B$2:$B800,0))</f>
        <v>6102165101840001</v>
      </c>
      <c r="H767" s="64" t="s">
        <v>67</v>
      </c>
      <c r="I767" s="65" t="s">
        <v>322</v>
      </c>
      <c r="J767" s="10" t="str">
        <f t="array" ref="J767">INDEX(Honor!$H$2:$H800,MATCH($I767,Honor!$A$2:$A800,0))</f>
        <v>Dokumen</v>
      </c>
      <c r="K767" s="66">
        <f t="array" ref="K767">INDEX(Honor!$I$2:$I800,MATCH($I767,Honor!$A$2:$A800,0))</f>
        <v>55000</v>
      </c>
      <c r="L767" s="64">
        <v>3</v>
      </c>
      <c r="M767" s="10">
        <f t="shared" si="0"/>
        <v>165000</v>
      </c>
      <c r="O767" s="67">
        <f t="array" ref="O767">INDEX(Honor!$L$2:$L800,MATCH($I767,Honor!$A$2:$A800,0))</f>
        <v>45646</v>
      </c>
      <c r="P767" s="10">
        <f t="shared" si="1"/>
        <v>2024</v>
      </c>
      <c r="Q767" s="10">
        <f t="shared" si="2"/>
        <v>12</v>
      </c>
      <c r="R767" s="10" t="str">
        <f t="array" ref="R767">INDEX(Honor!$Q$2:$Q800,MATCH($I767,Honor!$A$2:$A800,0))</f>
        <v>SURVEI-PPL</v>
      </c>
      <c r="S767" s="10" t="str">
        <f t="shared" si="3"/>
        <v>610422050001-2024-12</v>
      </c>
      <c r="T767" s="10" t="str">
        <f t="shared" si="4"/>
        <v>610422050001-2024-12-SURVEI-PPL</v>
      </c>
      <c r="U767" s="64">
        <v>0</v>
      </c>
      <c r="V767" s="10" t="e">
        <f t="array" aca="1" ref="V767" ca="1">INDEX(Honor!$O$2:$O800,MATCH($I767,Honor!$A$2:$A800,0))</f>
        <v>#NAME?</v>
      </c>
      <c r="W767" s="67"/>
      <c r="X767" s="7" t="str">
        <f t="array" ref="X767">INDEX('Input Kegiatan'!$B$2:$B800,MATCH(B767,'Input Kegiatan'!$A$2:$A800,0))</f>
        <v>Survei Hotel dan Jasa Akomodasi Bulanan (VHTS) 2024 Desember</v>
      </c>
      <c r="Y767" s="7" t="s">
        <v>4408</v>
      </c>
      <c r="Z767" s="7" t="s">
        <v>4409</v>
      </c>
      <c r="AA767" s="68">
        <f t="shared" si="5"/>
        <v>45626</v>
      </c>
      <c r="AB767" s="68">
        <f t="shared" si="6"/>
        <v>45627</v>
      </c>
      <c r="AC767" s="68">
        <f t="shared" si="7"/>
        <v>45657</v>
      </c>
      <c r="AD767" s="68">
        <f t="shared" si="8"/>
        <v>45656</v>
      </c>
      <c r="AE767" s="68">
        <f t="shared" si="9"/>
        <v>45657</v>
      </c>
    </row>
    <row r="768" spans="1:31" ht="12.5">
      <c r="A768" s="125">
        <v>610422040056</v>
      </c>
      <c r="B768" s="69" t="s">
        <v>321</v>
      </c>
      <c r="D768" s="10">
        <f t="array" aca="1" ref="D768" ca="1">INDEX('Mitra per Bulan'!$M$2:$M800,MATCH(S768,'Mitra per Bulan'!$B$2:$B800,0))</f>
        <v>1</v>
      </c>
      <c r="E768" s="10" t="str">
        <f t="array" ref="E768">INDEX('Database Mitra'!$A$2:$A800,MATCH(A768,'Database Mitra'!$B$2:$B800,0))</f>
        <v>Wandi Syafari</v>
      </c>
      <c r="F768" s="64" t="s">
        <v>25</v>
      </c>
      <c r="G768" s="5" t="str">
        <f t="array" ref="G768">INDEX('Database Mitra'!$G$2:$G800,MATCH(A768,'Database Mitra'!$B$2:$B800,0))</f>
        <v>6102010802760001</v>
      </c>
      <c r="H768" s="64" t="s">
        <v>67</v>
      </c>
      <c r="I768" s="65" t="s">
        <v>322</v>
      </c>
      <c r="J768" s="10" t="str">
        <f t="array" ref="J768">INDEX(Honor!$H$2:$H800,MATCH($I768,Honor!$A$2:$A800,0))</f>
        <v>Dokumen</v>
      </c>
      <c r="K768" s="66">
        <f t="array" ref="K768">INDEX(Honor!$I$2:$I800,MATCH($I768,Honor!$A$2:$A800,0))</f>
        <v>55000</v>
      </c>
      <c r="L768" s="64">
        <v>2</v>
      </c>
      <c r="M768" s="10">
        <f t="shared" si="0"/>
        <v>110000</v>
      </c>
      <c r="O768" s="67">
        <f t="array" ref="O768">INDEX(Honor!$L$2:$L800,MATCH($I768,Honor!$A$2:$A800,0))</f>
        <v>45646</v>
      </c>
      <c r="P768" s="10">
        <f t="shared" si="1"/>
        <v>2024</v>
      </c>
      <c r="Q768" s="10">
        <f t="shared" si="2"/>
        <v>12</v>
      </c>
      <c r="R768" s="10" t="str">
        <f t="array" ref="R768">INDEX(Honor!$Q$2:$Q800,MATCH($I768,Honor!$A$2:$A800,0))</f>
        <v>SURVEI-PPL</v>
      </c>
      <c r="S768" s="10" t="str">
        <f t="shared" si="3"/>
        <v>610422040056-2024-12</v>
      </c>
      <c r="T768" s="10" t="str">
        <f t="shared" si="4"/>
        <v>610422040056-2024-12-SURVEI-PPL</v>
      </c>
      <c r="U768" s="64">
        <v>0</v>
      </c>
      <c r="V768" s="10" t="e">
        <f t="array" aca="1" ref="V768" ca="1">INDEX(Honor!$O$2:$O800,MATCH($I768,Honor!$A$2:$A800,0))</f>
        <v>#NAME?</v>
      </c>
      <c r="W768" s="67"/>
      <c r="X768" s="7" t="str">
        <f t="array" ref="X768">INDEX('Input Kegiatan'!$B$2:$B800,MATCH(B768,'Input Kegiatan'!$A$2:$A800,0))</f>
        <v>Survei Hotel dan Jasa Akomodasi Bulanan (VHTS) 2024 Desember</v>
      </c>
      <c r="Y768" s="7" t="s">
        <v>4572</v>
      </c>
      <c r="Z768" s="7" t="s">
        <v>4656</v>
      </c>
      <c r="AA768" s="68">
        <f t="shared" si="5"/>
        <v>45626</v>
      </c>
      <c r="AB768" s="68">
        <f t="shared" si="6"/>
        <v>45627</v>
      </c>
      <c r="AC768" s="68">
        <f t="shared" si="7"/>
        <v>45657</v>
      </c>
      <c r="AD768" s="68">
        <f t="shared" si="8"/>
        <v>45656</v>
      </c>
      <c r="AE768" s="68">
        <f t="shared" si="9"/>
        <v>45657</v>
      </c>
    </row>
    <row r="769" spans="1:31" ht="12.5">
      <c r="A769" s="125">
        <v>610422020006</v>
      </c>
      <c r="B769" s="64" t="s">
        <v>323</v>
      </c>
      <c r="D769" s="10">
        <f t="array" aca="1" ref="D769" ca="1">INDEX('Mitra per Bulan'!$M$2:$M800,MATCH(S769,'Mitra per Bulan'!$B$2:$B800,0))</f>
        <v>1</v>
      </c>
      <c r="E769" s="10" t="str">
        <f t="array" ref="E769">INDEX('Database Mitra'!$A$2:$A800,MATCH(A769,'Database Mitra'!$B$2:$B800,0))</f>
        <v>Nasrullah</v>
      </c>
      <c r="F769" s="64" t="s">
        <v>90</v>
      </c>
      <c r="G769" s="5" t="str">
        <f t="array" ref="G769">INDEX('Database Mitra'!$G$2:$G800,MATCH(A769,'Database Mitra'!$B$2:$B800,0))</f>
        <v>6102011011970003</v>
      </c>
      <c r="H769" s="64" t="s">
        <v>108</v>
      </c>
      <c r="I769" s="65" t="s">
        <v>324</v>
      </c>
      <c r="J769" s="10" t="str">
        <f t="array" ref="J769">INDEX(Honor!$H$2:$H800,MATCH($I769,Honor!$A$2:$A800,0))</f>
        <v>Dokumen</v>
      </c>
      <c r="K769" s="66">
        <f t="array" ref="K769">INDEX(Honor!$I$2:$I800,MATCH($I769,Honor!$A$2:$A800,0))</f>
        <v>17000</v>
      </c>
      <c r="L769" s="64">
        <v>13</v>
      </c>
      <c r="M769" s="10">
        <f t="shared" si="0"/>
        <v>221000</v>
      </c>
      <c r="O769" s="67">
        <f t="array" ref="O769">INDEX(Honor!$L$2:$L800,MATCH($I769,Honor!$A$2:$A800,0))</f>
        <v>45649</v>
      </c>
      <c r="P769" s="10">
        <f t="shared" si="1"/>
        <v>2024</v>
      </c>
      <c r="Q769" s="10">
        <f t="shared" si="2"/>
        <v>12</v>
      </c>
      <c r="R769" s="10" t="str">
        <f t="array" ref="R769">INDEX(Honor!$Q$2:$Q800,MATCH($I769,Honor!$A$2:$A800,0))</f>
        <v>SURVEI-PETUGAS ENTRI</v>
      </c>
      <c r="S769" s="10" t="str">
        <f t="shared" si="3"/>
        <v>610422020006-2024-12</v>
      </c>
      <c r="T769" s="10" t="str">
        <f t="shared" si="4"/>
        <v>610422020006-2024-12-SURVEI-PETUGAS ENTRI</v>
      </c>
      <c r="U769" s="64">
        <v>0</v>
      </c>
      <c r="V769" s="10" t="e">
        <f t="array" aca="1" ref="V769" ca="1">INDEX(Honor!$O$2:$O800,MATCH($I769,Honor!$A$2:$A800,0))</f>
        <v>#NAME?</v>
      </c>
      <c r="W769" s="67"/>
      <c r="X769" s="7" t="str">
        <f t="array" ref="X769">INDEX('Input Kegiatan'!$B$2:$B800,MATCH(B769,'Input Kegiatan'!$A$2:$A800,0))</f>
        <v>Survei Ekonomi Rumah Tangga Triwulanan (SERUTI24) Triwulan IV Kegiatan Pengolahan</v>
      </c>
      <c r="Y769" s="7" t="s">
        <v>4572</v>
      </c>
      <c r="Z769" s="7" t="s">
        <v>4874</v>
      </c>
      <c r="AA769" s="68">
        <f t="shared" si="5"/>
        <v>45626</v>
      </c>
      <c r="AB769" s="68">
        <f t="shared" si="6"/>
        <v>45627</v>
      </c>
      <c r="AC769" s="68">
        <f t="shared" si="7"/>
        <v>45657</v>
      </c>
      <c r="AD769" s="68">
        <f t="shared" si="8"/>
        <v>45656</v>
      </c>
      <c r="AE769" s="68">
        <f t="shared" si="9"/>
        <v>45657</v>
      </c>
    </row>
    <row r="770" spans="1:31" ht="12.5">
      <c r="A770" s="125">
        <v>617122110049</v>
      </c>
      <c r="B770" s="64" t="s">
        <v>323</v>
      </c>
      <c r="D770" s="10">
        <f t="array" aca="1" ref="D770" ca="1">INDEX('Mitra per Bulan'!$M$2:$M800,MATCH(S770,'Mitra per Bulan'!$B$2:$B800,0))</f>
        <v>1</v>
      </c>
      <c r="E770" s="10" t="str">
        <f t="array" ref="E770">INDEX('Database Mitra'!$A$2:$A800,MATCH(A770,'Database Mitra'!$B$2:$B800,0))</f>
        <v>Muhammad Deny Hafizzul Muttaqin</v>
      </c>
      <c r="F770" s="64" t="s">
        <v>90</v>
      </c>
      <c r="G770" s="5" t="str">
        <f t="array" ref="G770">INDEX('Database Mitra'!$G$2:$G800,MATCH(A770,'Database Mitra'!$B$2:$B800,0))</f>
        <v>6102181908990001</v>
      </c>
      <c r="H770" s="64" t="s">
        <v>108</v>
      </c>
      <c r="I770" s="65" t="s">
        <v>324</v>
      </c>
      <c r="J770" s="10" t="str">
        <f t="array" ref="J770">INDEX(Honor!$H$2:$H800,MATCH($I770,Honor!$A$2:$A800,0))</f>
        <v>Dokumen</v>
      </c>
      <c r="K770" s="66">
        <f t="array" ref="K770">INDEX(Honor!$I$2:$I800,MATCH($I770,Honor!$A$2:$A800,0))</f>
        <v>17000</v>
      </c>
      <c r="L770" s="64">
        <v>13</v>
      </c>
      <c r="M770" s="10">
        <f t="shared" si="0"/>
        <v>221000</v>
      </c>
      <c r="O770" s="67">
        <f t="array" ref="O770">INDEX(Honor!$L$2:$L800,MATCH($I770,Honor!$A$2:$A800,0))</f>
        <v>45649</v>
      </c>
      <c r="P770" s="10">
        <f t="shared" si="1"/>
        <v>2024</v>
      </c>
      <c r="Q770" s="10">
        <f t="shared" si="2"/>
        <v>12</v>
      </c>
      <c r="R770" s="10" t="str">
        <f t="array" ref="R770">INDEX(Honor!$Q$2:$Q800,MATCH($I770,Honor!$A$2:$A800,0))</f>
        <v>SURVEI-PETUGAS ENTRI</v>
      </c>
      <c r="S770" s="10" t="str">
        <f t="shared" si="3"/>
        <v>617122110049-2024-12</v>
      </c>
      <c r="T770" s="10" t="str">
        <f t="shared" si="4"/>
        <v>617122110049-2024-12-SURVEI-PETUGAS ENTRI</v>
      </c>
      <c r="U770" s="64">
        <v>0</v>
      </c>
      <c r="V770" s="10" t="e">
        <f t="array" aca="1" ref="V770" ca="1">INDEX(Honor!$O$2:$O800,MATCH($I770,Honor!$A$2:$A800,0))</f>
        <v>#NAME?</v>
      </c>
      <c r="W770" s="67"/>
      <c r="X770" s="7" t="str">
        <f t="array" ref="X770">INDEX('Input Kegiatan'!$B$2:$B800,MATCH(B770,'Input Kegiatan'!$A$2:$A800,0))</f>
        <v>Survei Ekonomi Rumah Tangga Triwulanan (SERUTI24) Triwulan IV Kegiatan Pengolahan</v>
      </c>
      <c r="Y770" s="7" t="s">
        <v>4931</v>
      </c>
      <c r="Z770" s="7" t="s">
        <v>4960</v>
      </c>
      <c r="AA770" s="68">
        <f t="shared" si="5"/>
        <v>45626</v>
      </c>
      <c r="AB770" s="68">
        <f t="shared" si="6"/>
        <v>45627</v>
      </c>
      <c r="AC770" s="68">
        <f t="shared" si="7"/>
        <v>45657</v>
      </c>
      <c r="AD770" s="68">
        <f t="shared" si="8"/>
        <v>45656</v>
      </c>
      <c r="AE770" s="68">
        <f t="shared" si="9"/>
        <v>45657</v>
      </c>
    </row>
    <row r="771" spans="1:31" ht="12.5">
      <c r="A771" s="125">
        <v>610422100010</v>
      </c>
      <c r="B771" s="64" t="s">
        <v>323</v>
      </c>
      <c r="D771" s="10">
        <f t="array" aca="1" ref="D771" ca="1">INDEX('Mitra per Bulan'!$M$2:$M800,MATCH(S771,'Mitra per Bulan'!$B$2:$B800,0))</f>
        <v>1</v>
      </c>
      <c r="E771" s="10" t="str">
        <f t="array" ref="E771">INDEX('Database Mitra'!$A$2:$A800,MATCH(A771,'Database Mitra'!$B$2:$B800,0))</f>
        <v>Muhammad Rendi Fakhrian</v>
      </c>
      <c r="F771" s="64" t="s">
        <v>90</v>
      </c>
      <c r="G771" s="5" t="str">
        <f t="array" ref="G771">INDEX('Database Mitra'!$G$2:$G800,MATCH(A771,'Database Mitra'!$B$2:$B800,0))</f>
        <v>6102012210990001</v>
      </c>
      <c r="H771" s="64" t="s">
        <v>108</v>
      </c>
      <c r="I771" s="65" t="s">
        <v>324</v>
      </c>
      <c r="J771" s="10" t="str">
        <f t="array" ref="J771">INDEX(Honor!$H$2:$H800,MATCH($I771,Honor!$A$2:$A800,0))</f>
        <v>Dokumen</v>
      </c>
      <c r="K771" s="66">
        <f t="array" ref="K771">INDEX(Honor!$I$2:$I800,MATCH($I771,Honor!$A$2:$A800,0))</f>
        <v>17000</v>
      </c>
      <c r="L771" s="64">
        <v>13</v>
      </c>
      <c r="M771" s="10">
        <f t="shared" si="0"/>
        <v>221000</v>
      </c>
      <c r="O771" s="67">
        <f t="array" ref="O771">INDEX(Honor!$L$2:$L800,MATCH($I771,Honor!$A$2:$A800,0))</f>
        <v>45649</v>
      </c>
      <c r="P771" s="10">
        <f t="shared" si="1"/>
        <v>2024</v>
      </c>
      <c r="Q771" s="10">
        <f t="shared" si="2"/>
        <v>12</v>
      </c>
      <c r="R771" s="10" t="str">
        <f t="array" ref="R771">INDEX(Honor!$Q$2:$Q800,MATCH($I771,Honor!$A$2:$A800,0))</f>
        <v>SURVEI-PETUGAS ENTRI</v>
      </c>
      <c r="S771" s="10" t="str">
        <f t="shared" si="3"/>
        <v>610422100010-2024-12</v>
      </c>
      <c r="T771" s="10" t="str">
        <f t="shared" si="4"/>
        <v>610422100010-2024-12-SURVEI-PETUGAS ENTRI</v>
      </c>
      <c r="U771" s="64">
        <v>0</v>
      </c>
      <c r="V771" s="10" t="e">
        <f t="array" aca="1" ref="V771" ca="1">INDEX(Honor!$O$2:$O800,MATCH($I771,Honor!$A$2:$A800,0))</f>
        <v>#NAME?</v>
      </c>
      <c r="W771" s="67"/>
      <c r="X771" s="7" t="str">
        <f t="array" ref="X771">INDEX('Input Kegiatan'!$B$2:$B800,MATCH(B771,'Input Kegiatan'!$A$2:$A800,0))</f>
        <v>Survei Ekonomi Rumah Tangga Triwulanan (SERUTI24) Triwulan IV Kegiatan Pengolahan</v>
      </c>
      <c r="Y771" s="7" t="s">
        <v>4572</v>
      </c>
      <c r="Z771" s="7" t="s">
        <v>4619</v>
      </c>
      <c r="AA771" s="68">
        <f t="shared" si="5"/>
        <v>45626</v>
      </c>
      <c r="AB771" s="68">
        <f t="shared" si="6"/>
        <v>45627</v>
      </c>
      <c r="AC771" s="68">
        <f t="shared" si="7"/>
        <v>45657</v>
      </c>
      <c r="AD771" s="68">
        <f t="shared" si="8"/>
        <v>45656</v>
      </c>
      <c r="AE771" s="68">
        <f t="shared" si="9"/>
        <v>45657</v>
      </c>
    </row>
    <row r="772" spans="1:31" ht="12.5">
      <c r="A772" s="125">
        <v>610422100177</v>
      </c>
      <c r="B772" s="64" t="s">
        <v>323</v>
      </c>
      <c r="D772" s="10">
        <f t="array" aca="1" ref="D772" ca="1">INDEX('Mitra per Bulan'!$M$2:$M800,MATCH(S772,'Mitra per Bulan'!$B$2:$B800,0))</f>
        <v>1</v>
      </c>
      <c r="E772" s="10" t="str">
        <f t="array" ref="E772">INDEX('Database Mitra'!$A$2:$A800,MATCH(A772,'Database Mitra'!$B$2:$B800,0))</f>
        <v>Amirah</v>
      </c>
      <c r="F772" s="64" t="s">
        <v>90</v>
      </c>
      <c r="G772" s="5" t="str">
        <f t="array" ref="G772">INDEX('Database Mitra'!$G$2:$G800,MATCH(A772,'Database Mitra'!$B$2:$B800,0))</f>
        <v>6102015302980003</v>
      </c>
      <c r="H772" s="64" t="s">
        <v>108</v>
      </c>
      <c r="I772" s="65" t="s">
        <v>324</v>
      </c>
      <c r="J772" s="10" t="str">
        <f t="array" ref="J772">INDEX(Honor!$H$2:$H800,MATCH($I772,Honor!$A$2:$A800,0))</f>
        <v>Dokumen</v>
      </c>
      <c r="K772" s="66">
        <f t="array" ref="K772">INDEX(Honor!$I$2:$I800,MATCH($I772,Honor!$A$2:$A800,0))</f>
        <v>17000</v>
      </c>
      <c r="L772" s="64">
        <v>13</v>
      </c>
      <c r="M772" s="10">
        <f t="shared" si="0"/>
        <v>221000</v>
      </c>
      <c r="O772" s="67">
        <f t="array" ref="O772">INDEX(Honor!$L$2:$L800,MATCH($I772,Honor!$A$2:$A800,0))</f>
        <v>45649</v>
      </c>
      <c r="P772" s="10">
        <f t="shared" si="1"/>
        <v>2024</v>
      </c>
      <c r="Q772" s="10">
        <f t="shared" si="2"/>
        <v>12</v>
      </c>
      <c r="R772" s="10" t="str">
        <f t="array" ref="R772">INDEX(Honor!$Q$2:$Q800,MATCH($I772,Honor!$A$2:$A800,0))</f>
        <v>SURVEI-PETUGAS ENTRI</v>
      </c>
      <c r="S772" s="10" t="str">
        <f t="shared" si="3"/>
        <v>610422100177-2024-12</v>
      </c>
      <c r="T772" s="10" t="str">
        <f t="shared" si="4"/>
        <v>610422100177-2024-12-SURVEI-PETUGAS ENTRI</v>
      </c>
      <c r="U772" s="64">
        <v>0</v>
      </c>
      <c r="V772" s="10" t="e">
        <f t="array" aca="1" ref="V772" ca="1">INDEX(Honor!$O$2:$O800,MATCH($I772,Honor!$A$2:$A800,0))</f>
        <v>#NAME?</v>
      </c>
      <c r="W772" s="67"/>
      <c r="X772" s="7" t="str">
        <f t="array" ref="X772">INDEX('Input Kegiatan'!$B$2:$B800,MATCH(B772,'Input Kegiatan'!$A$2:$A800,0))</f>
        <v>Survei Ekonomi Rumah Tangga Triwulanan (SERUTI24) Triwulan IV Kegiatan Pengolahan</v>
      </c>
      <c r="Y772" s="7" t="s">
        <v>4572</v>
      </c>
      <c r="Z772" s="7" t="s">
        <v>4656</v>
      </c>
      <c r="AA772" s="68">
        <f t="shared" si="5"/>
        <v>45626</v>
      </c>
      <c r="AB772" s="68">
        <f t="shared" si="6"/>
        <v>45627</v>
      </c>
      <c r="AC772" s="68">
        <f t="shared" si="7"/>
        <v>45657</v>
      </c>
      <c r="AD772" s="68">
        <f t="shared" si="8"/>
        <v>45656</v>
      </c>
      <c r="AE772" s="68">
        <f t="shared" si="9"/>
        <v>45657</v>
      </c>
    </row>
    <row r="773" spans="1:31" ht="12.5">
      <c r="A773" s="125">
        <v>610422100083</v>
      </c>
      <c r="B773" s="64" t="s">
        <v>323</v>
      </c>
      <c r="D773" s="10">
        <f t="array" aca="1" ref="D773" ca="1">INDEX('Mitra per Bulan'!$M$2:$M800,MATCH(S773,'Mitra per Bulan'!$B$2:$B800,0))</f>
        <v>1</v>
      </c>
      <c r="E773" s="10" t="str">
        <f t="array" ref="E773">INDEX('Database Mitra'!$A$2:$A800,MATCH(A773,'Database Mitra'!$B$2:$B800,0))</f>
        <v>Ilham Subagio</v>
      </c>
      <c r="F773" s="64" t="s">
        <v>90</v>
      </c>
      <c r="G773" s="5" t="str">
        <f t="array" ref="G773">INDEX('Database Mitra'!$G$2:$G800,MATCH(A773,'Database Mitra'!$B$2:$B800,0))</f>
        <v>6102012006970002</v>
      </c>
      <c r="H773" s="64" t="s">
        <v>108</v>
      </c>
      <c r="I773" s="65" t="s">
        <v>324</v>
      </c>
      <c r="J773" s="10" t="str">
        <f t="array" ref="J773">INDEX(Honor!$H$2:$H800,MATCH($I773,Honor!$A$2:$A800,0))</f>
        <v>Dokumen</v>
      </c>
      <c r="K773" s="66">
        <f t="array" ref="K773">INDEX(Honor!$I$2:$I800,MATCH($I773,Honor!$A$2:$A800,0))</f>
        <v>17000</v>
      </c>
      <c r="L773" s="64">
        <v>13</v>
      </c>
      <c r="M773" s="10">
        <f t="shared" si="0"/>
        <v>221000</v>
      </c>
      <c r="O773" s="67">
        <f t="array" ref="O773">INDEX(Honor!$L$2:$L800,MATCH($I773,Honor!$A$2:$A800,0))</f>
        <v>45649</v>
      </c>
      <c r="P773" s="10">
        <f t="shared" si="1"/>
        <v>2024</v>
      </c>
      <c r="Q773" s="10">
        <f t="shared" si="2"/>
        <v>12</v>
      </c>
      <c r="R773" s="10" t="str">
        <f t="array" ref="R773">INDEX(Honor!$Q$2:$Q800,MATCH($I773,Honor!$A$2:$A800,0))</f>
        <v>SURVEI-PETUGAS ENTRI</v>
      </c>
      <c r="S773" s="10" t="str">
        <f t="shared" si="3"/>
        <v>610422100083-2024-12</v>
      </c>
      <c r="T773" s="10" t="str">
        <f t="shared" si="4"/>
        <v>610422100083-2024-12-SURVEI-PETUGAS ENTRI</v>
      </c>
      <c r="U773" s="64">
        <v>0</v>
      </c>
      <c r="V773" s="10" t="e">
        <f t="array" aca="1" ref="V773" ca="1">INDEX(Honor!$O$2:$O800,MATCH($I773,Honor!$A$2:$A800,0))</f>
        <v>#NAME?</v>
      </c>
      <c r="W773" s="67"/>
      <c r="X773" s="7" t="str">
        <f t="array" ref="X773">INDEX('Input Kegiatan'!$B$2:$B800,MATCH(B773,'Input Kegiatan'!$A$2:$A800,0))</f>
        <v>Survei Ekonomi Rumah Tangga Triwulanan (SERUTI24) Triwulan IV Kegiatan Pengolahan</v>
      </c>
      <c r="Y773" s="7" t="s">
        <v>4572</v>
      </c>
      <c r="Z773" s="7" t="s">
        <v>4619</v>
      </c>
      <c r="AA773" s="68">
        <f t="shared" si="5"/>
        <v>45626</v>
      </c>
      <c r="AB773" s="68">
        <f t="shared" si="6"/>
        <v>45627</v>
      </c>
      <c r="AC773" s="68">
        <f t="shared" si="7"/>
        <v>45657</v>
      </c>
      <c r="AD773" s="68">
        <f t="shared" si="8"/>
        <v>45656</v>
      </c>
      <c r="AE773" s="68">
        <f t="shared" si="9"/>
        <v>45657</v>
      </c>
    </row>
    <row r="774" spans="1:31" ht="12.5">
      <c r="A774" s="125">
        <v>610422110006</v>
      </c>
      <c r="B774" s="64" t="s">
        <v>323</v>
      </c>
      <c r="D774" s="10">
        <f t="array" aca="1" ref="D774" ca="1">INDEX('Mitra per Bulan'!$M$2:$M800,MATCH(S774,'Mitra per Bulan'!$B$2:$B800,0))</f>
        <v>1</v>
      </c>
      <c r="E774" s="10" t="str">
        <f t="array" ref="E774">INDEX('Database Mitra'!$A$2:$A800,MATCH(A774,'Database Mitra'!$B$2:$B800,0))</f>
        <v>Muhammad Habibie</v>
      </c>
      <c r="F774" s="64" t="s">
        <v>90</v>
      </c>
      <c r="G774" s="5" t="str">
        <f t="array" ref="G774">INDEX('Database Mitra'!$G$2:$G800,MATCH(A774,'Database Mitra'!$B$2:$B800,0))</f>
        <v>6102161209040001</v>
      </c>
      <c r="H774" s="64" t="s">
        <v>108</v>
      </c>
      <c r="I774" s="65" t="s">
        <v>324</v>
      </c>
      <c r="J774" s="10" t="str">
        <f t="array" ref="J774">INDEX(Honor!$H$2:$H800,MATCH($I774,Honor!$A$2:$A800,0))</f>
        <v>Dokumen</v>
      </c>
      <c r="K774" s="66">
        <f t="array" ref="K774">INDEX(Honor!$I$2:$I800,MATCH($I774,Honor!$A$2:$A800,0))</f>
        <v>17000</v>
      </c>
      <c r="L774" s="64">
        <v>13</v>
      </c>
      <c r="M774" s="10">
        <f t="shared" si="0"/>
        <v>221000</v>
      </c>
      <c r="O774" s="67">
        <f t="array" ref="O774">INDEX(Honor!$L$2:$L800,MATCH($I774,Honor!$A$2:$A800,0))</f>
        <v>45649</v>
      </c>
      <c r="P774" s="10">
        <f t="shared" si="1"/>
        <v>2024</v>
      </c>
      <c r="Q774" s="10">
        <f t="shared" si="2"/>
        <v>12</v>
      </c>
      <c r="R774" s="10" t="str">
        <f t="array" ref="R774">INDEX(Honor!$Q$2:$Q800,MATCH($I774,Honor!$A$2:$A800,0))</f>
        <v>SURVEI-PETUGAS ENTRI</v>
      </c>
      <c r="S774" s="10" t="str">
        <f t="shared" si="3"/>
        <v>610422110006-2024-12</v>
      </c>
      <c r="T774" s="10" t="str">
        <f t="shared" si="4"/>
        <v>610422110006-2024-12-SURVEI-PETUGAS ENTRI</v>
      </c>
      <c r="U774" s="64">
        <v>0</v>
      </c>
      <c r="V774" s="10" t="e">
        <f t="array" aca="1" ref="V774" ca="1">INDEX(Honor!$O$2:$O800,MATCH($I774,Honor!$A$2:$A800,0))</f>
        <v>#NAME?</v>
      </c>
      <c r="W774" s="67"/>
      <c r="X774" s="7" t="str">
        <f t="array" ref="X774">INDEX('Input Kegiatan'!$B$2:$B800,MATCH(B774,'Input Kegiatan'!$A$2:$A800,0))</f>
        <v>Survei Ekonomi Rumah Tangga Triwulanan (SERUTI24) Triwulan IV Kegiatan Pengolahan</v>
      </c>
      <c r="Y774" s="7" t="s">
        <v>4572</v>
      </c>
      <c r="Z774" s="7" t="s">
        <v>4656</v>
      </c>
      <c r="AA774" s="68">
        <f t="shared" si="5"/>
        <v>45626</v>
      </c>
      <c r="AB774" s="68">
        <f t="shared" si="6"/>
        <v>45627</v>
      </c>
      <c r="AC774" s="68">
        <f t="shared" si="7"/>
        <v>45657</v>
      </c>
      <c r="AD774" s="68">
        <f t="shared" si="8"/>
        <v>45656</v>
      </c>
      <c r="AE774" s="68">
        <f t="shared" si="9"/>
        <v>45657</v>
      </c>
    </row>
    <row r="775" spans="1:31" ht="12.5">
      <c r="A775" s="125">
        <v>610422110005</v>
      </c>
      <c r="B775" s="64" t="s">
        <v>323</v>
      </c>
      <c r="D775" s="10">
        <f t="array" aca="1" ref="D775" ca="1">INDEX('Mitra per Bulan'!$M$2:$M800,MATCH(S775,'Mitra per Bulan'!$B$2:$B800,0))</f>
        <v>1</v>
      </c>
      <c r="E775" s="10" t="str">
        <f t="array" ref="E775">INDEX('Database Mitra'!$A$2:$A800,MATCH(A775,'Database Mitra'!$B$2:$B800,0))</f>
        <v>Indra</v>
      </c>
      <c r="F775" s="64" t="s">
        <v>90</v>
      </c>
      <c r="G775" s="5" t="str">
        <f t="array" ref="G775">INDEX('Database Mitra'!$G$2:$G800,MATCH(A775,'Database Mitra'!$B$2:$B800,0))</f>
        <v>6102010506950003</v>
      </c>
      <c r="H775" s="64" t="s">
        <v>108</v>
      </c>
      <c r="I775" s="65" t="s">
        <v>324</v>
      </c>
      <c r="J775" s="10" t="str">
        <f t="array" ref="J775">INDEX(Honor!$H$2:$H800,MATCH($I775,Honor!$A$2:$A800,0))</f>
        <v>Dokumen</v>
      </c>
      <c r="K775" s="66">
        <f t="array" ref="K775">INDEX(Honor!$I$2:$I800,MATCH($I775,Honor!$A$2:$A800,0))</f>
        <v>17000</v>
      </c>
      <c r="L775" s="64">
        <v>13</v>
      </c>
      <c r="M775" s="10">
        <f t="shared" si="0"/>
        <v>221000</v>
      </c>
      <c r="O775" s="67">
        <f t="array" ref="O775">INDEX(Honor!$L$2:$L800,MATCH($I775,Honor!$A$2:$A800,0))</f>
        <v>45649</v>
      </c>
      <c r="P775" s="10">
        <f t="shared" si="1"/>
        <v>2024</v>
      </c>
      <c r="Q775" s="10">
        <f t="shared" si="2"/>
        <v>12</v>
      </c>
      <c r="R775" s="10" t="str">
        <f t="array" ref="R775">INDEX(Honor!$Q$2:$Q800,MATCH($I775,Honor!$A$2:$A800,0))</f>
        <v>SURVEI-PETUGAS ENTRI</v>
      </c>
      <c r="S775" s="10" t="str">
        <f t="shared" si="3"/>
        <v>610422110005-2024-12</v>
      </c>
      <c r="T775" s="10" t="str">
        <f t="shared" si="4"/>
        <v>610422110005-2024-12-SURVEI-PETUGAS ENTRI</v>
      </c>
      <c r="U775" s="64">
        <v>0</v>
      </c>
      <c r="V775" s="10" t="e">
        <f t="array" aca="1" ref="V775" ca="1">INDEX(Honor!$O$2:$O800,MATCH($I775,Honor!$A$2:$A800,0))</f>
        <v>#NAME?</v>
      </c>
      <c r="W775" s="67"/>
      <c r="X775" s="7" t="str">
        <f t="array" ref="X775">INDEX('Input Kegiatan'!$B$2:$B800,MATCH(B775,'Input Kegiatan'!$A$2:$A800,0))</f>
        <v>Survei Ekonomi Rumah Tangga Triwulanan (SERUTI24) Triwulan IV Kegiatan Pengolahan</v>
      </c>
      <c r="Y775" s="7" t="s">
        <v>4572</v>
      </c>
      <c r="Z775" s="7" t="s">
        <v>4874</v>
      </c>
      <c r="AA775" s="68">
        <f t="shared" si="5"/>
        <v>45626</v>
      </c>
      <c r="AB775" s="68">
        <f t="shared" si="6"/>
        <v>45627</v>
      </c>
      <c r="AC775" s="68">
        <f t="shared" si="7"/>
        <v>45657</v>
      </c>
      <c r="AD775" s="68">
        <f t="shared" si="8"/>
        <v>45656</v>
      </c>
      <c r="AE775" s="68">
        <f t="shared" si="9"/>
        <v>45657</v>
      </c>
    </row>
    <row r="776" spans="1:31" ht="12.5">
      <c r="A776" s="125">
        <v>610423090021</v>
      </c>
      <c r="B776" s="64" t="s">
        <v>323</v>
      </c>
      <c r="D776" s="10">
        <f t="array" aca="1" ref="D776" ca="1">INDEX('Mitra per Bulan'!$M$2:$M800,MATCH(S776,'Mitra per Bulan'!$B$2:$B800,0))</f>
        <v>1</v>
      </c>
      <c r="E776" s="10" t="str">
        <f t="array" ref="E776">INDEX('Database Mitra'!$A$2:$A800,MATCH(A776,'Database Mitra'!$B$2:$B800,0))</f>
        <v>Thama Riewanty Oesman</v>
      </c>
      <c r="F776" s="64" t="s">
        <v>90</v>
      </c>
      <c r="G776" s="5" t="str">
        <f t="array" ref="G776">INDEX('Database Mitra'!$G$2:$G800,MATCH(A776,'Database Mitra'!$B$2:$B800,0))</f>
        <v>6102016603990004</v>
      </c>
      <c r="H776" s="64" t="s">
        <v>108</v>
      </c>
      <c r="I776" s="65" t="s">
        <v>324</v>
      </c>
      <c r="J776" s="10" t="str">
        <f t="array" ref="J776">INDEX(Honor!$H$2:$H800,MATCH($I776,Honor!$A$2:$A800,0))</f>
        <v>Dokumen</v>
      </c>
      <c r="K776" s="66">
        <f t="array" ref="K776">INDEX(Honor!$I$2:$I800,MATCH($I776,Honor!$A$2:$A800,0))</f>
        <v>17000</v>
      </c>
      <c r="L776" s="64">
        <v>13</v>
      </c>
      <c r="M776" s="10">
        <f t="shared" si="0"/>
        <v>221000</v>
      </c>
      <c r="O776" s="67">
        <f t="array" ref="O776">INDEX(Honor!$L$2:$L800,MATCH($I776,Honor!$A$2:$A800,0))</f>
        <v>45649</v>
      </c>
      <c r="P776" s="10">
        <f t="shared" si="1"/>
        <v>2024</v>
      </c>
      <c r="Q776" s="10">
        <f t="shared" si="2"/>
        <v>12</v>
      </c>
      <c r="R776" s="10" t="str">
        <f t="array" ref="R776">INDEX(Honor!$Q$2:$Q800,MATCH($I776,Honor!$A$2:$A800,0))</f>
        <v>SURVEI-PETUGAS ENTRI</v>
      </c>
      <c r="S776" s="10" t="str">
        <f t="shared" si="3"/>
        <v>610423090021-2024-12</v>
      </c>
      <c r="T776" s="10" t="str">
        <f t="shared" si="4"/>
        <v>610423090021-2024-12-SURVEI-PETUGAS ENTRI</v>
      </c>
      <c r="U776" s="64">
        <v>0</v>
      </c>
      <c r="V776" s="10" t="e">
        <f t="array" aca="1" ref="V776" ca="1">INDEX(Honor!$O$2:$O800,MATCH($I776,Honor!$A$2:$A800,0))</f>
        <v>#NAME?</v>
      </c>
      <c r="W776" s="67"/>
      <c r="X776" s="7" t="str">
        <f t="array" ref="X776">INDEX('Input Kegiatan'!$B$2:$B800,MATCH(B776,'Input Kegiatan'!$A$2:$A800,0))</f>
        <v>Survei Ekonomi Rumah Tangga Triwulanan (SERUTI24) Triwulan IV Kegiatan Pengolahan</v>
      </c>
      <c r="Y776" s="7" t="s">
        <v>4572</v>
      </c>
      <c r="Z776" s="7" t="s">
        <v>4656</v>
      </c>
      <c r="AA776" s="68">
        <f t="shared" si="5"/>
        <v>45626</v>
      </c>
      <c r="AB776" s="68">
        <f t="shared" si="6"/>
        <v>45627</v>
      </c>
      <c r="AC776" s="68">
        <f t="shared" si="7"/>
        <v>45657</v>
      </c>
      <c r="AD776" s="68">
        <f t="shared" si="8"/>
        <v>45656</v>
      </c>
      <c r="AE776" s="68">
        <f t="shared" si="9"/>
        <v>45657</v>
      </c>
    </row>
    <row r="777" spans="1:31" ht="12.5">
      <c r="A777" s="125">
        <v>610423110150</v>
      </c>
      <c r="B777" s="64" t="s">
        <v>323</v>
      </c>
      <c r="D777" s="10">
        <f t="array" aca="1" ref="D777" ca="1">INDEX('Mitra per Bulan'!$M$2:$M800,MATCH(S777,'Mitra per Bulan'!$B$2:$B800,0))</f>
        <v>1</v>
      </c>
      <c r="E777" s="10" t="str">
        <f t="array" ref="E777">INDEX('Database Mitra'!$A$2:$A800,MATCH(A777,'Database Mitra'!$B$2:$B800,0))</f>
        <v>Risa Yolani</v>
      </c>
      <c r="F777" s="64" t="s">
        <v>90</v>
      </c>
      <c r="G777" s="5" t="str">
        <f t="array" ref="G777">INDEX('Database Mitra'!$G$2:$G800,MATCH(A777,'Database Mitra'!$B$2:$B800,0))</f>
        <v>6102015802940002</v>
      </c>
      <c r="H777" s="64" t="s">
        <v>108</v>
      </c>
      <c r="I777" s="65" t="s">
        <v>324</v>
      </c>
      <c r="J777" s="10" t="str">
        <f t="array" ref="J777">INDEX(Honor!$H$2:$H800,MATCH($I777,Honor!$A$2:$A800,0))</f>
        <v>Dokumen</v>
      </c>
      <c r="K777" s="66">
        <f t="array" ref="K777">INDEX(Honor!$I$2:$I800,MATCH($I777,Honor!$A$2:$A800,0))</f>
        <v>17000</v>
      </c>
      <c r="L777" s="64">
        <v>13</v>
      </c>
      <c r="M777" s="10">
        <f t="shared" si="0"/>
        <v>221000</v>
      </c>
      <c r="O777" s="67">
        <f t="array" ref="O777">INDEX(Honor!$L$2:$L800,MATCH($I777,Honor!$A$2:$A800,0))</f>
        <v>45649</v>
      </c>
      <c r="P777" s="10">
        <f t="shared" si="1"/>
        <v>2024</v>
      </c>
      <c r="Q777" s="10">
        <f t="shared" si="2"/>
        <v>12</v>
      </c>
      <c r="R777" s="10" t="str">
        <f t="array" ref="R777">INDEX(Honor!$Q$2:$Q800,MATCH($I777,Honor!$A$2:$A800,0))</f>
        <v>SURVEI-PETUGAS ENTRI</v>
      </c>
      <c r="S777" s="10" t="str">
        <f t="shared" si="3"/>
        <v>610423110150-2024-12</v>
      </c>
      <c r="T777" s="10" t="str">
        <f t="shared" si="4"/>
        <v>610423110150-2024-12-SURVEI-PETUGAS ENTRI</v>
      </c>
      <c r="U777" s="64">
        <v>0</v>
      </c>
      <c r="V777" s="10" t="e">
        <f t="array" aca="1" ref="V777" ca="1">INDEX(Honor!$O$2:$O800,MATCH($I777,Honor!$A$2:$A800,0))</f>
        <v>#NAME?</v>
      </c>
      <c r="W777" s="67"/>
      <c r="X777" s="7" t="str">
        <f t="array" ref="X777">INDEX('Input Kegiatan'!$B$2:$B800,MATCH(B777,'Input Kegiatan'!$A$2:$A800,0))</f>
        <v>Survei Ekonomi Rumah Tangga Triwulanan (SERUTI24) Triwulan IV Kegiatan Pengolahan</v>
      </c>
      <c r="Y777" s="7" t="s">
        <v>4572</v>
      </c>
      <c r="Z777" s="7" t="s">
        <v>4619</v>
      </c>
      <c r="AA777" s="68">
        <f t="shared" si="5"/>
        <v>45626</v>
      </c>
      <c r="AB777" s="68">
        <f t="shared" si="6"/>
        <v>45627</v>
      </c>
      <c r="AC777" s="68">
        <f t="shared" si="7"/>
        <v>45657</v>
      </c>
      <c r="AD777" s="68">
        <f t="shared" si="8"/>
        <v>45656</v>
      </c>
      <c r="AE777" s="68">
        <f t="shared" si="9"/>
        <v>45657</v>
      </c>
    </row>
    <row r="778" spans="1:31" ht="12.5">
      <c r="A778" s="125">
        <v>610423110129</v>
      </c>
      <c r="B778" s="64" t="s">
        <v>323</v>
      </c>
      <c r="D778" s="10">
        <f t="array" aca="1" ref="D778" ca="1">INDEX('Mitra per Bulan'!$M$2:$M800,MATCH(S778,'Mitra per Bulan'!$B$2:$B800,0))</f>
        <v>1</v>
      </c>
      <c r="E778" s="10" t="str">
        <f t="array" ref="E778">INDEX('Database Mitra'!$A$2:$A800,MATCH(A778,'Database Mitra'!$B$2:$B800,0))</f>
        <v>Athalia Meifira</v>
      </c>
      <c r="F778" s="64" t="s">
        <v>90</v>
      </c>
      <c r="G778" s="5" t="str">
        <f t="array" ref="G778">INDEX('Database Mitra'!$G$2:$G800,MATCH(A778,'Database Mitra'!$B$2:$B800,0))</f>
        <v>6102015905000001</v>
      </c>
      <c r="H778" s="64" t="s">
        <v>108</v>
      </c>
      <c r="I778" s="65" t="s">
        <v>324</v>
      </c>
      <c r="J778" s="10" t="str">
        <f t="array" ref="J778">INDEX(Honor!$H$2:$H800,MATCH($I778,Honor!$A$2:$A800,0))</f>
        <v>Dokumen</v>
      </c>
      <c r="K778" s="66">
        <f t="array" ref="K778">INDEX(Honor!$I$2:$I800,MATCH($I778,Honor!$A$2:$A800,0))</f>
        <v>17000</v>
      </c>
      <c r="L778" s="64">
        <v>12</v>
      </c>
      <c r="M778" s="10">
        <f t="shared" si="0"/>
        <v>204000</v>
      </c>
      <c r="O778" s="67">
        <f t="array" ref="O778">INDEX(Honor!$L$2:$L800,MATCH($I778,Honor!$A$2:$A800,0))</f>
        <v>45649</v>
      </c>
      <c r="P778" s="10">
        <f t="shared" si="1"/>
        <v>2024</v>
      </c>
      <c r="Q778" s="10">
        <f t="shared" si="2"/>
        <v>12</v>
      </c>
      <c r="R778" s="10" t="str">
        <f t="array" ref="R778">INDEX(Honor!$Q$2:$Q800,MATCH($I778,Honor!$A$2:$A800,0))</f>
        <v>SURVEI-PETUGAS ENTRI</v>
      </c>
      <c r="S778" s="10" t="str">
        <f t="shared" si="3"/>
        <v>610423110129-2024-12</v>
      </c>
      <c r="T778" s="10" t="str">
        <f t="shared" si="4"/>
        <v>610423110129-2024-12-SURVEI-PETUGAS ENTRI</v>
      </c>
      <c r="U778" s="64">
        <v>0</v>
      </c>
      <c r="V778" s="10" t="e">
        <f t="array" aca="1" ref="V778" ca="1">INDEX(Honor!$O$2:$O800,MATCH($I778,Honor!$A$2:$A800,0))</f>
        <v>#NAME?</v>
      </c>
      <c r="W778" s="67"/>
      <c r="X778" s="7" t="str">
        <f t="array" ref="X778">INDEX('Input Kegiatan'!$B$2:$B800,MATCH(B778,'Input Kegiatan'!$A$2:$A800,0))</f>
        <v>Survei Ekonomi Rumah Tangga Triwulanan (SERUTI24) Triwulan IV Kegiatan Pengolahan</v>
      </c>
      <c r="Y778" s="7" t="s">
        <v>4572</v>
      </c>
      <c r="Z778" s="7" t="s">
        <v>4656</v>
      </c>
      <c r="AA778" s="68">
        <f t="shared" si="5"/>
        <v>45626</v>
      </c>
      <c r="AB778" s="68">
        <f t="shared" si="6"/>
        <v>45627</v>
      </c>
      <c r="AC778" s="68">
        <f t="shared" si="7"/>
        <v>45657</v>
      </c>
      <c r="AD778" s="68">
        <f t="shared" si="8"/>
        <v>45656</v>
      </c>
      <c r="AE778" s="68">
        <f t="shared" si="9"/>
        <v>45657</v>
      </c>
    </row>
    <row r="779" spans="1:31" ht="12.5">
      <c r="A779" s="125">
        <v>610422020016</v>
      </c>
      <c r="B779" s="64" t="s">
        <v>38</v>
      </c>
      <c r="D779" s="10">
        <f t="array" aca="1" ref="D779" ca="1">INDEX('Mitra per Bulan'!$M$2:$M800,MATCH(S779,'Mitra per Bulan'!$B$2:$B800,0))</f>
        <v>1</v>
      </c>
      <c r="E779" s="10" t="str">
        <f t="array" ref="E779">INDEX('Database Mitra'!$A$2:$A800,MATCH(A779,'Database Mitra'!$B$2:$B800,0))</f>
        <v>Abdul Aziz</v>
      </c>
      <c r="F779" s="65" t="s">
        <v>25</v>
      </c>
      <c r="G779" s="5" t="str">
        <f t="array" ref="G779">INDEX('Database Mitra'!$G$2:$G800,MATCH(A779,'Database Mitra'!$B$2:$B800,0))</f>
        <v>6102061507950006</v>
      </c>
      <c r="H779" s="64" t="s">
        <v>84</v>
      </c>
      <c r="I779" s="65" t="str">
        <f t="shared" ref="I779:I792" si="23">CONCATENATE(B779,"-",F779,"-",H779)</f>
        <v>KSA24-LAPANGAN-DESEMBER-PPL-KSA PADI</v>
      </c>
      <c r="J779" s="10" t="str">
        <f t="array" ref="J779">INDEX(Honor!$H$2:$H800,MATCH($I779,Honor!$A$2:$A800,0))</f>
        <v>Segmen</v>
      </c>
      <c r="K779" s="66">
        <f t="array" ref="K779">INDEX(Honor!$I$2:$I800,MATCH($I779,Honor!$A$2:$A800,0))</f>
        <v>116000</v>
      </c>
      <c r="L779" s="64">
        <v>3</v>
      </c>
      <c r="M779" s="10">
        <f t="shared" si="0"/>
        <v>348000</v>
      </c>
      <c r="O779" s="67">
        <f t="array" ref="O779">INDEX(Honor!$L$2:$L800,MATCH($I779,Honor!$A$2:$A800,0))</f>
        <v>45657</v>
      </c>
      <c r="P779" s="10">
        <f t="shared" si="1"/>
        <v>2024</v>
      </c>
      <c r="Q779" s="10">
        <f t="shared" si="2"/>
        <v>12</v>
      </c>
      <c r="R779" s="10" t="str">
        <f t="array" ref="R779">INDEX(Honor!$Q$2:$Q800,MATCH($I779,Honor!$A$2:$A800,0))</f>
        <v>SURVEI-PPL</v>
      </c>
      <c r="S779" s="10" t="str">
        <f t="shared" si="3"/>
        <v>610422020016-2024-12</v>
      </c>
      <c r="T779" s="10" t="str">
        <f t="shared" si="4"/>
        <v>610422020016-2024-12-SURVEI-PPL</v>
      </c>
      <c r="U779" s="64">
        <v>0</v>
      </c>
      <c r="V779" s="10" t="e">
        <f t="array" aca="1" ref="V779" ca="1">INDEX(Honor!$O$2:$O800,MATCH($I779,Honor!$A$2:$A800,0))</f>
        <v>#NAME?</v>
      </c>
      <c r="W779" s="67"/>
      <c r="X779" s="7" t="str">
        <f t="array" ref="X779">INDEX('Input Kegiatan'!$B$2:$B800,MATCH(B779,'Input Kegiatan'!$A$2:$A800,0))</f>
        <v>Kerangka Sampel Area (KSA) 2024 Desember</v>
      </c>
      <c r="Y779" s="7" t="s">
        <v>5534</v>
      </c>
      <c r="Z779" s="7" t="s">
        <v>5535</v>
      </c>
      <c r="AA779" s="68">
        <f t="shared" si="5"/>
        <v>45626</v>
      </c>
      <c r="AB779" s="68">
        <f t="shared" si="6"/>
        <v>45627</v>
      </c>
      <c r="AC779" s="68">
        <f t="shared" si="7"/>
        <v>45657</v>
      </c>
      <c r="AD779" s="68">
        <f t="shared" si="8"/>
        <v>45656</v>
      </c>
      <c r="AE779" s="68">
        <f t="shared" si="9"/>
        <v>45657</v>
      </c>
    </row>
    <row r="780" spans="1:31" ht="12.5">
      <c r="A780" s="125">
        <v>610422040012</v>
      </c>
      <c r="B780" s="64" t="s">
        <v>38</v>
      </c>
      <c r="D780" s="10">
        <f t="array" aca="1" ref="D780" ca="1">INDEX('Mitra per Bulan'!$M$2:$M800,MATCH(S780,'Mitra per Bulan'!$B$2:$B800,0))</f>
        <v>1</v>
      </c>
      <c r="E780" s="10" t="str">
        <f t="array" ref="E780">INDEX('Database Mitra'!$A$2:$A800,MATCH(A780,'Database Mitra'!$B$2:$B800,0))</f>
        <v>Misdi</v>
      </c>
      <c r="F780" s="65" t="s">
        <v>25</v>
      </c>
      <c r="G780" s="5" t="str">
        <f t="array" ref="G780">INDEX('Database Mitra'!$G$2:$G800,MATCH(A780,'Database Mitra'!$B$2:$B800,0))</f>
        <v>6102070706940001</v>
      </c>
      <c r="H780" s="64" t="s">
        <v>84</v>
      </c>
      <c r="I780" s="65" t="str">
        <f t="shared" si="23"/>
        <v>KSA24-LAPANGAN-DESEMBER-PPL-KSA PADI</v>
      </c>
      <c r="J780" s="10" t="str">
        <f t="array" ref="J780">INDEX(Honor!$H$2:$H800,MATCH($I780,Honor!$A$2:$A800,0))</f>
        <v>Segmen</v>
      </c>
      <c r="K780" s="66">
        <f t="array" ref="K780">INDEX(Honor!$I$2:$I800,MATCH($I780,Honor!$A$2:$A800,0))</f>
        <v>116000</v>
      </c>
      <c r="L780" s="64">
        <v>3</v>
      </c>
      <c r="M780" s="10">
        <f t="shared" si="0"/>
        <v>348000</v>
      </c>
      <c r="O780" s="67">
        <f t="array" ref="O780">INDEX(Honor!$L$2:$L800,MATCH($I780,Honor!$A$2:$A800,0))</f>
        <v>45657</v>
      </c>
      <c r="P780" s="10">
        <f t="shared" si="1"/>
        <v>2024</v>
      </c>
      <c r="Q780" s="10">
        <f t="shared" si="2"/>
        <v>12</v>
      </c>
      <c r="R780" s="10" t="str">
        <f t="array" ref="R780">INDEX(Honor!$Q$2:$Q800,MATCH($I780,Honor!$A$2:$A800,0))</f>
        <v>SURVEI-PPL</v>
      </c>
      <c r="S780" s="10" t="str">
        <f t="shared" si="3"/>
        <v>610422040012-2024-12</v>
      </c>
      <c r="T780" s="10" t="str">
        <f t="shared" si="4"/>
        <v>610422040012-2024-12-SURVEI-PPL</v>
      </c>
      <c r="U780" s="64">
        <v>0</v>
      </c>
      <c r="V780" s="10" t="e">
        <f t="array" aca="1" ref="V780" ca="1">INDEX(Honor!$O$2:$O800,MATCH($I780,Honor!$A$2:$A800,0))</f>
        <v>#NAME?</v>
      </c>
      <c r="W780" s="67"/>
      <c r="X780" s="7" t="str">
        <f t="array" ref="X780">INDEX('Input Kegiatan'!$B$2:$B800,MATCH(B780,'Input Kegiatan'!$A$2:$A800,0))</f>
        <v>Kerangka Sampel Area (KSA) 2024 Desember</v>
      </c>
      <c r="Y780" s="7" t="s">
        <v>3990</v>
      </c>
      <c r="Z780" s="7" t="s">
        <v>4365</v>
      </c>
      <c r="AA780" s="68">
        <f t="shared" si="5"/>
        <v>45626</v>
      </c>
      <c r="AB780" s="68">
        <f t="shared" si="6"/>
        <v>45627</v>
      </c>
      <c r="AC780" s="68">
        <f t="shared" si="7"/>
        <v>45657</v>
      </c>
      <c r="AD780" s="68">
        <f t="shared" si="8"/>
        <v>45656</v>
      </c>
      <c r="AE780" s="68">
        <f t="shared" si="9"/>
        <v>45657</v>
      </c>
    </row>
    <row r="781" spans="1:31" ht="12.5">
      <c r="A781" s="125">
        <v>610422040059</v>
      </c>
      <c r="B781" s="64" t="s">
        <v>38</v>
      </c>
      <c r="D781" s="10">
        <f t="array" aca="1" ref="D781" ca="1">INDEX('Mitra per Bulan'!$M$2:$M800,MATCH(S781,'Mitra per Bulan'!$B$2:$B800,0))</f>
        <v>1</v>
      </c>
      <c r="E781" s="10" t="str">
        <f t="array" ref="E781">INDEX('Database Mitra'!$A$2:$A800,MATCH(A781,'Database Mitra'!$B$2:$B800,0))</f>
        <v>Abang Handri</v>
      </c>
      <c r="F781" s="65" t="s">
        <v>25</v>
      </c>
      <c r="G781" s="5" t="str">
        <f t="array" ref="G781">INDEX('Database Mitra'!$G$2:$G800,MATCH(A781,'Database Mitra'!$B$2:$B800,0))</f>
        <v>6102072211780002</v>
      </c>
      <c r="H781" s="64" t="s">
        <v>84</v>
      </c>
      <c r="I781" s="65" t="str">
        <f t="shared" si="23"/>
        <v>KSA24-LAPANGAN-DESEMBER-PPL-KSA PADI</v>
      </c>
      <c r="J781" s="10" t="str">
        <f t="array" ref="J781">INDEX(Honor!$H$2:$H800,MATCH($I781,Honor!$A$2:$A800,0))</f>
        <v>Segmen</v>
      </c>
      <c r="K781" s="66">
        <f t="array" ref="K781">INDEX(Honor!$I$2:$I800,MATCH($I781,Honor!$A$2:$A800,0))</f>
        <v>116000</v>
      </c>
      <c r="L781" s="64">
        <v>4</v>
      </c>
      <c r="M781" s="10">
        <f t="shared" si="0"/>
        <v>464000</v>
      </c>
      <c r="O781" s="67">
        <f t="array" ref="O781">INDEX(Honor!$L$2:$L800,MATCH($I781,Honor!$A$2:$A800,0))</f>
        <v>45657</v>
      </c>
      <c r="P781" s="10">
        <f t="shared" si="1"/>
        <v>2024</v>
      </c>
      <c r="Q781" s="10">
        <f t="shared" si="2"/>
        <v>12</v>
      </c>
      <c r="R781" s="10" t="str">
        <f t="array" ref="R781">INDEX(Honor!$Q$2:$Q800,MATCH($I781,Honor!$A$2:$A800,0))</f>
        <v>SURVEI-PPL</v>
      </c>
      <c r="S781" s="10" t="str">
        <f t="shared" si="3"/>
        <v>610422040059-2024-12</v>
      </c>
      <c r="T781" s="10" t="str">
        <f t="shared" si="4"/>
        <v>610422040059-2024-12-SURVEI-PPL</v>
      </c>
      <c r="U781" s="64">
        <v>0</v>
      </c>
      <c r="V781" s="10" t="e">
        <f t="array" aca="1" ref="V781" ca="1">INDEX(Honor!$O$2:$O800,MATCH($I781,Honor!$A$2:$A800,0))</f>
        <v>#NAME?</v>
      </c>
      <c r="W781" s="67"/>
      <c r="X781" s="7" t="str">
        <f t="array" ref="X781">INDEX('Input Kegiatan'!$B$2:$B800,MATCH(B781,'Input Kegiatan'!$A$2:$A800,0))</f>
        <v>Kerangka Sampel Area (KSA) 2024 Desember</v>
      </c>
      <c r="Y781" s="7" t="s">
        <v>4572</v>
      </c>
      <c r="Z781" s="7" t="s">
        <v>4656</v>
      </c>
      <c r="AA781" s="68">
        <f t="shared" si="5"/>
        <v>45626</v>
      </c>
      <c r="AB781" s="68">
        <f t="shared" si="6"/>
        <v>45627</v>
      </c>
      <c r="AC781" s="68">
        <f t="shared" si="7"/>
        <v>45657</v>
      </c>
      <c r="AD781" s="68">
        <f t="shared" si="8"/>
        <v>45656</v>
      </c>
      <c r="AE781" s="68">
        <f t="shared" si="9"/>
        <v>45657</v>
      </c>
    </row>
    <row r="782" spans="1:31" ht="12.5">
      <c r="A782" s="125">
        <v>610422040061</v>
      </c>
      <c r="B782" s="64" t="s">
        <v>38</v>
      </c>
      <c r="D782" s="10">
        <f t="array" aca="1" ref="D782" ca="1">INDEX('Mitra per Bulan'!$M$2:$M800,MATCH(S782,'Mitra per Bulan'!$B$2:$B800,0))</f>
        <v>1</v>
      </c>
      <c r="E782" s="10" t="str">
        <f t="array" ref="E782">INDEX('Database Mitra'!$A$2:$A800,MATCH(A782,'Database Mitra'!$B$2:$B800,0))</f>
        <v>Sabani</v>
      </c>
      <c r="F782" s="65" t="s">
        <v>25</v>
      </c>
      <c r="G782" s="5" t="str">
        <f t="array" ref="G782">INDEX('Database Mitra'!$G$2:$G800,MATCH(A782,'Database Mitra'!$B$2:$B800,0))</f>
        <v>6102153112860003</v>
      </c>
      <c r="H782" s="64" t="s">
        <v>84</v>
      </c>
      <c r="I782" s="65" t="str">
        <f t="shared" si="23"/>
        <v>KSA24-LAPANGAN-DESEMBER-PPL-KSA PADI</v>
      </c>
      <c r="J782" s="10" t="str">
        <f t="array" ref="J782">INDEX(Honor!$H$2:$H800,MATCH($I782,Honor!$A$2:$A800,0))</f>
        <v>Segmen</v>
      </c>
      <c r="K782" s="66">
        <f t="array" ref="K782">INDEX(Honor!$I$2:$I800,MATCH($I782,Honor!$A$2:$A800,0))</f>
        <v>116000</v>
      </c>
      <c r="L782" s="64">
        <v>3</v>
      </c>
      <c r="M782" s="10">
        <f t="shared" si="0"/>
        <v>348000</v>
      </c>
      <c r="O782" s="67">
        <f t="array" ref="O782">INDEX(Honor!$L$2:$L800,MATCH($I782,Honor!$A$2:$A800,0))</f>
        <v>45657</v>
      </c>
      <c r="P782" s="10">
        <f t="shared" si="1"/>
        <v>2024</v>
      </c>
      <c r="Q782" s="10">
        <f t="shared" si="2"/>
        <v>12</v>
      </c>
      <c r="R782" s="10" t="str">
        <f t="array" ref="R782">INDEX(Honor!$Q$2:$Q800,MATCH($I782,Honor!$A$2:$A800,0))</f>
        <v>SURVEI-PPL</v>
      </c>
      <c r="S782" s="10" t="str">
        <f t="shared" si="3"/>
        <v>610422040061-2024-12</v>
      </c>
      <c r="T782" s="10" t="str">
        <f t="shared" si="4"/>
        <v>610422040061-2024-12-SURVEI-PPL</v>
      </c>
      <c r="U782" s="64">
        <v>0</v>
      </c>
      <c r="V782" s="10" t="e">
        <f t="array" aca="1" ref="V782" ca="1">INDEX(Honor!$O$2:$O800,MATCH($I782,Honor!$A$2:$A800,0))</f>
        <v>#NAME?</v>
      </c>
      <c r="W782" s="67"/>
      <c r="X782" s="7" t="str">
        <f t="array" ref="X782">INDEX('Input Kegiatan'!$B$2:$B800,MATCH(B782,'Input Kegiatan'!$A$2:$A800,0))</f>
        <v>Kerangka Sampel Area (KSA) 2024 Desember</v>
      </c>
      <c r="Y782" s="7" t="s">
        <v>3715</v>
      </c>
      <c r="Z782" s="7" t="s">
        <v>3862</v>
      </c>
      <c r="AA782" s="68">
        <f t="shared" si="5"/>
        <v>45626</v>
      </c>
      <c r="AB782" s="68">
        <f t="shared" si="6"/>
        <v>45627</v>
      </c>
      <c r="AC782" s="68">
        <f t="shared" si="7"/>
        <v>45657</v>
      </c>
      <c r="AD782" s="68">
        <f t="shared" si="8"/>
        <v>45656</v>
      </c>
      <c r="AE782" s="68">
        <f t="shared" si="9"/>
        <v>45657</v>
      </c>
    </row>
    <row r="783" spans="1:31" ht="12.5">
      <c r="A783" s="125">
        <v>610422100131</v>
      </c>
      <c r="B783" s="64" t="s">
        <v>38</v>
      </c>
      <c r="D783" s="10">
        <f t="array" aca="1" ref="D783" ca="1">INDEX('Mitra per Bulan'!$M$2:$M800,MATCH(S783,'Mitra per Bulan'!$B$2:$B800,0))</f>
        <v>1</v>
      </c>
      <c r="E783" s="10" t="str">
        <f t="array" ref="E783">INDEX('Database Mitra'!$A$2:$A800,MATCH(A783,'Database Mitra'!$B$2:$B800,0))</f>
        <v>Syamsul</v>
      </c>
      <c r="F783" s="65" t="s">
        <v>25</v>
      </c>
      <c r="G783" s="5" t="str">
        <f t="array" ref="G783">INDEX('Database Mitra'!$G$2:$G800,MATCH(A783,'Database Mitra'!$B$2:$B800,0))</f>
        <v>6102150907860003</v>
      </c>
      <c r="H783" s="64" t="s">
        <v>84</v>
      </c>
      <c r="I783" s="65" t="str">
        <f t="shared" si="23"/>
        <v>KSA24-LAPANGAN-DESEMBER-PPL-KSA PADI</v>
      </c>
      <c r="J783" s="10" t="str">
        <f t="array" ref="J783">INDEX(Honor!$H$2:$H800,MATCH($I783,Honor!$A$2:$A800,0))</f>
        <v>Segmen</v>
      </c>
      <c r="K783" s="66">
        <f t="array" ref="K783">INDEX(Honor!$I$2:$I800,MATCH($I783,Honor!$A$2:$A800,0))</f>
        <v>116000</v>
      </c>
      <c r="L783" s="64">
        <v>3</v>
      </c>
      <c r="M783" s="10">
        <f t="shared" si="0"/>
        <v>348000</v>
      </c>
      <c r="O783" s="67">
        <f t="array" ref="O783">INDEX(Honor!$L$2:$L800,MATCH($I783,Honor!$A$2:$A800,0))</f>
        <v>45657</v>
      </c>
      <c r="P783" s="10">
        <f t="shared" si="1"/>
        <v>2024</v>
      </c>
      <c r="Q783" s="10">
        <f t="shared" si="2"/>
        <v>12</v>
      </c>
      <c r="R783" s="10" t="str">
        <f t="array" ref="R783">INDEX(Honor!$Q$2:$Q800,MATCH($I783,Honor!$A$2:$A800,0))</f>
        <v>SURVEI-PPL</v>
      </c>
      <c r="S783" s="10" t="str">
        <f t="shared" si="3"/>
        <v>610422100131-2024-12</v>
      </c>
      <c r="T783" s="10" t="str">
        <f t="shared" si="4"/>
        <v>610422100131-2024-12-SURVEI-PPL</v>
      </c>
      <c r="U783" s="64">
        <v>0</v>
      </c>
      <c r="V783" s="10" t="e">
        <f t="array" aca="1" ref="V783" ca="1">INDEX(Honor!$O$2:$O800,MATCH($I783,Honor!$A$2:$A800,0))</f>
        <v>#NAME?</v>
      </c>
      <c r="W783" s="67"/>
      <c r="X783" s="7" t="str">
        <f t="array" ref="X783">INDEX('Input Kegiatan'!$B$2:$B800,MATCH(B783,'Input Kegiatan'!$A$2:$A800,0))</f>
        <v>Kerangka Sampel Area (KSA) 2024 Desember</v>
      </c>
      <c r="Y783" s="7" t="s">
        <v>5250</v>
      </c>
      <c r="Z783" s="7" t="s">
        <v>5365</v>
      </c>
      <c r="AA783" s="68">
        <f t="shared" si="5"/>
        <v>45626</v>
      </c>
      <c r="AB783" s="68">
        <f t="shared" si="6"/>
        <v>45627</v>
      </c>
      <c r="AC783" s="68">
        <f t="shared" si="7"/>
        <v>45657</v>
      </c>
      <c r="AD783" s="68">
        <f t="shared" si="8"/>
        <v>45656</v>
      </c>
      <c r="AE783" s="68">
        <f t="shared" si="9"/>
        <v>45657</v>
      </c>
    </row>
    <row r="784" spans="1:31" ht="12.5">
      <c r="A784" s="125">
        <v>610422100244</v>
      </c>
      <c r="B784" s="64" t="s">
        <v>38</v>
      </c>
      <c r="D784" s="10">
        <f t="array" aca="1" ref="D784" ca="1">INDEX('Mitra per Bulan'!$M$2:$M800,MATCH(S784,'Mitra per Bulan'!$B$2:$B800,0))</f>
        <v>1</v>
      </c>
      <c r="E784" s="10" t="str">
        <f t="array" ref="E784">INDEX('Database Mitra'!$A$2:$A800,MATCH(A784,'Database Mitra'!$B$2:$B800,0))</f>
        <v>Sugianto</v>
      </c>
      <c r="F784" s="65" t="s">
        <v>25</v>
      </c>
      <c r="G784" s="5" t="str">
        <f t="array" ref="G784">INDEX('Database Mitra'!$G$2:$G800,MATCH(A784,'Database Mitra'!$B$2:$B800,0))</f>
        <v>6102171003900002</v>
      </c>
      <c r="H784" s="64" t="s">
        <v>84</v>
      </c>
      <c r="I784" s="65" t="str">
        <f t="shared" si="23"/>
        <v>KSA24-LAPANGAN-DESEMBER-PPL-KSA PADI</v>
      </c>
      <c r="J784" s="10" t="str">
        <f t="array" ref="J784">INDEX(Honor!$H$2:$H800,MATCH($I784,Honor!$A$2:$A800,0))</f>
        <v>Segmen</v>
      </c>
      <c r="K784" s="66">
        <f t="array" ref="K784">INDEX(Honor!$I$2:$I800,MATCH($I784,Honor!$A$2:$A800,0))</f>
        <v>116000</v>
      </c>
      <c r="L784" s="64">
        <v>3</v>
      </c>
      <c r="M784" s="10">
        <f t="shared" si="0"/>
        <v>348000</v>
      </c>
      <c r="O784" s="67">
        <f t="array" ref="O784">INDEX(Honor!$L$2:$L800,MATCH($I784,Honor!$A$2:$A800,0))</f>
        <v>45657</v>
      </c>
      <c r="P784" s="10">
        <f t="shared" si="1"/>
        <v>2024</v>
      </c>
      <c r="Q784" s="10">
        <f t="shared" si="2"/>
        <v>12</v>
      </c>
      <c r="R784" s="10" t="str">
        <f t="array" ref="R784">INDEX(Honor!$Q$2:$Q800,MATCH($I784,Honor!$A$2:$A800,0))</f>
        <v>SURVEI-PPL</v>
      </c>
      <c r="S784" s="10" t="str">
        <f t="shared" si="3"/>
        <v>610422100244-2024-12</v>
      </c>
      <c r="T784" s="10" t="str">
        <f t="shared" si="4"/>
        <v>610422100244-2024-12-SURVEI-PPL</v>
      </c>
      <c r="U784" s="64">
        <v>0</v>
      </c>
      <c r="V784" s="10" t="e">
        <f t="array" aca="1" ref="V784" ca="1">INDEX(Honor!$O$2:$O800,MATCH($I784,Honor!$A$2:$A800,0))</f>
        <v>#NAME?</v>
      </c>
      <c r="W784" s="67"/>
      <c r="X784" s="7" t="str">
        <f t="array" ref="X784">INDEX('Input Kegiatan'!$B$2:$B800,MATCH(B784,'Input Kegiatan'!$A$2:$A800,0))</f>
        <v>Kerangka Sampel Area (KSA) 2024 Desember</v>
      </c>
      <c r="Y784" s="7" t="s">
        <v>5741</v>
      </c>
      <c r="Z784" s="7" t="s">
        <v>5796</v>
      </c>
      <c r="AA784" s="68">
        <f t="shared" si="5"/>
        <v>45626</v>
      </c>
      <c r="AB784" s="68">
        <f t="shared" si="6"/>
        <v>45627</v>
      </c>
      <c r="AC784" s="68">
        <f t="shared" si="7"/>
        <v>45657</v>
      </c>
      <c r="AD784" s="68">
        <f t="shared" si="8"/>
        <v>45656</v>
      </c>
      <c r="AE784" s="68">
        <f t="shared" si="9"/>
        <v>45657</v>
      </c>
    </row>
    <row r="785" spans="1:31" ht="12.5">
      <c r="A785" s="125">
        <v>610422100176</v>
      </c>
      <c r="B785" s="64" t="s">
        <v>38</v>
      </c>
      <c r="D785" s="10">
        <f t="array" aca="1" ref="D785" ca="1">INDEX('Mitra per Bulan'!$M$2:$M800,MATCH(S785,'Mitra per Bulan'!$B$2:$B800,0))</f>
        <v>1</v>
      </c>
      <c r="E785" s="10" t="str">
        <f t="array" ref="E785">INDEX('Database Mitra'!$A$2:$A800,MATCH(A785,'Database Mitra'!$B$2:$B800,0))</f>
        <v>Feri Firdaus</v>
      </c>
      <c r="F785" s="65" t="s">
        <v>25</v>
      </c>
      <c r="G785" s="5" t="str">
        <f t="array" ref="G785">INDEX('Database Mitra'!$G$2:$G800,MATCH(A785,'Database Mitra'!$B$2:$B800,0))</f>
        <v>6102150412880001</v>
      </c>
      <c r="H785" s="64" t="s">
        <v>84</v>
      </c>
      <c r="I785" s="65" t="str">
        <f t="shared" si="23"/>
        <v>KSA24-LAPANGAN-DESEMBER-PPL-KSA PADI</v>
      </c>
      <c r="J785" s="10" t="str">
        <f t="array" ref="J785">INDEX(Honor!$H$2:$H800,MATCH($I785,Honor!$A$2:$A800,0))</f>
        <v>Segmen</v>
      </c>
      <c r="K785" s="66">
        <f t="array" ref="K785">INDEX(Honor!$I$2:$I800,MATCH($I785,Honor!$A$2:$A800,0))</f>
        <v>116000</v>
      </c>
      <c r="L785" s="64">
        <v>3</v>
      </c>
      <c r="M785" s="10">
        <f t="shared" si="0"/>
        <v>348000</v>
      </c>
      <c r="O785" s="67">
        <f t="array" ref="O785">INDEX(Honor!$L$2:$L800,MATCH($I785,Honor!$A$2:$A800,0))</f>
        <v>45657</v>
      </c>
      <c r="P785" s="10">
        <f t="shared" si="1"/>
        <v>2024</v>
      </c>
      <c r="Q785" s="10">
        <f t="shared" si="2"/>
        <v>12</v>
      </c>
      <c r="R785" s="10" t="str">
        <f t="array" ref="R785">INDEX(Honor!$Q$2:$Q800,MATCH($I785,Honor!$A$2:$A800,0))</f>
        <v>SURVEI-PPL</v>
      </c>
      <c r="S785" s="10" t="str">
        <f t="shared" si="3"/>
        <v>610422100176-2024-12</v>
      </c>
      <c r="T785" s="10" t="str">
        <f t="shared" si="4"/>
        <v>610422100176-2024-12-SURVEI-PPL</v>
      </c>
      <c r="U785" s="64">
        <v>0</v>
      </c>
      <c r="V785" s="10" t="e">
        <f t="array" aca="1" ref="V785" ca="1">INDEX(Honor!$O$2:$O800,MATCH($I785,Honor!$A$2:$A800,0))</f>
        <v>#NAME?</v>
      </c>
      <c r="W785" s="67"/>
      <c r="X785" s="7" t="str">
        <f t="array" ref="X785">INDEX('Input Kegiatan'!$B$2:$B800,MATCH(B785,'Input Kegiatan'!$A$2:$A800,0))</f>
        <v>Kerangka Sampel Area (KSA) 2024 Desember</v>
      </c>
      <c r="Y785" s="7" t="s">
        <v>3715</v>
      </c>
      <c r="Z785" s="7" t="s">
        <v>3765</v>
      </c>
      <c r="AA785" s="68">
        <f t="shared" si="5"/>
        <v>45626</v>
      </c>
      <c r="AB785" s="68">
        <f t="shared" si="6"/>
        <v>45627</v>
      </c>
      <c r="AC785" s="68">
        <f t="shared" si="7"/>
        <v>45657</v>
      </c>
      <c r="AD785" s="68">
        <f t="shared" si="8"/>
        <v>45656</v>
      </c>
      <c r="AE785" s="68">
        <f t="shared" si="9"/>
        <v>45657</v>
      </c>
    </row>
    <row r="786" spans="1:31" ht="12.5">
      <c r="A786" s="125">
        <v>610423110183</v>
      </c>
      <c r="B786" s="64" t="s">
        <v>38</v>
      </c>
      <c r="D786" s="10">
        <f t="array" aca="1" ref="D786" ca="1">INDEX('Mitra per Bulan'!$M$2:$M800,MATCH(S786,'Mitra per Bulan'!$B$2:$B800,0))</f>
        <v>1</v>
      </c>
      <c r="E786" s="10" t="str">
        <f t="array" ref="E786">INDEX('Database Mitra'!$A$2:$A800,MATCH(A786,'Database Mitra'!$B$2:$B800,0))</f>
        <v>Azhar</v>
      </c>
      <c r="F786" s="65" t="s">
        <v>25</v>
      </c>
      <c r="G786" s="5" t="str">
        <f t="array" ref="G786">INDEX('Database Mitra'!$G$2:$G800,MATCH(A786,'Database Mitra'!$B$2:$B800,0))</f>
        <v>6102081211790004</v>
      </c>
      <c r="H786" s="64" t="s">
        <v>84</v>
      </c>
      <c r="I786" s="65" t="str">
        <f t="shared" si="23"/>
        <v>KSA24-LAPANGAN-DESEMBER-PPL-KSA PADI</v>
      </c>
      <c r="J786" s="10" t="str">
        <f t="array" ref="J786">INDEX(Honor!$H$2:$H800,MATCH($I786,Honor!$A$2:$A800,0))</f>
        <v>Segmen</v>
      </c>
      <c r="K786" s="66">
        <f t="array" ref="K786">INDEX(Honor!$I$2:$I800,MATCH($I786,Honor!$A$2:$A800,0))</f>
        <v>116000</v>
      </c>
      <c r="L786" s="64">
        <v>6</v>
      </c>
      <c r="M786" s="10">
        <f t="shared" si="0"/>
        <v>696000</v>
      </c>
      <c r="O786" s="67">
        <f t="array" ref="O786">INDEX(Honor!$L$2:$L800,MATCH($I786,Honor!$A$2:$A800,0))</f>
        <v>45657</v>
      </c>
      <c r="P786" s="10">
        <f t="shared" si="1"/>
        <v>2024</v>
      </c>
      <c r="Q786" s="10">
        <f t="shared" si="2"/>
        <v>12</v>
      </c>
      <c r="R786" s="10" t="str">
        <f t="array" ref="R786">INDEX(Honor!$Q$2:$Q800,MATCH($I786,Honor!$A$2:$A800,0))</f>
        <v>SURVEI-PPL</v>
      </c>
      <c r="S786" s="10" t="str">
        <f t="shared" si="3"/>
        <v>610423110183-2024-12</v>
      </c>
      <c r="T786" s="10" t="str">
        <f t="shared" si="4"/>
        <v>610423110183-2024-12-SURVEI-PPL</v>
      </c>
      <c r="U786" s="64">
        <v>0</v>
      </c>
      <c r="V786" s="10" t="e">
        <f t="array" aca="1" ref="V786" ca="1">INDEX(Honor!$O$2:$O800,MATCH($I786,Honor!$A$2:$A800,0))</f>
        <v>#NAME?</v>
      </c>
      <c r="W786" s="67"/>
      <c r="X786" s="7" t="str">
        <f t="array" ref="X786">INDEX('Input Kegiatan'!$B$2:$B800,MATCH(B786,'Input Kegiatan'!$A$2:$A800,0))</f>
        <v>Kerangka Sampel Area (KSA) 2024 Desember</v>
      </c>
      <c r="Y786" s="7" t="s">
        <v>3241</v>
      </c>
      <c r="Z786" s="7" t="s">
        <v>3242</v>
      </c>
      <c r="AA786" s="68">
        <f t="shared" si="5"/>
        <v>45626</v>
      </c>
      <c r="AB786" s="68">
        <f t="shared" si="6"/>
        <v>45627</v>
      </c>
      <c r="AC786" s="68">
        <f t="shared" si="7"/>
        <v>45657</v>
      </c>
      <c r="AD786" s="68">
        <f t="shared" si="8"/>
        <v>45656</v>
      </c>
      <c r="AE786" s="68">
        <f t="shared" si="9"/>
        <v>45657</v>
      </c>
    </row>
    <row r="787" spans="1:31" ht="12.5">
      <c r="A787" s="125">
        <v>610423040018</v>
      </c>
      <c r="B787" s="64" t="s">
        <v>38</v>
      </c>
      <c r="D787" s="10">
        <f t="array" aca="1" ref="D787" ca="1">INDEX('Mitra per Bulan'!$M$2:$M800,MATCH(S787,'Mitra per Bulan'!$B$2:$B800,0))</f>
        <v>1</v>
      </c>
      <c r="E787" s="10" t="str">
        <f t="array" ref="E787">INDEX('Database Mitra'!$A$2:$A800,MATCH(A787,'Database Mitra'!$B$2:$B800,0))</f>
        <v>Handoko Tuah Sabarman Sipayung</v>
      </c>
      <c r="F787" s="64" t="s">
        <v>25</v>
      </c>
      <c r="G787" s="5" t="str">
        <f t="array" ref="G787">INDEX('Database Mitra'!$G$2:$G800,MATCH(A787,'Database Mitra'!$B$2:$B800,0))</f>
        <v>1212092309880001</v>
      </c>
      <c r="H787" s="64" t="s">
        <v>84</v>
      </c>
      <c r="I787" s="65" t="str">
        <f t="shared" si="23"/>
        <v>KSA24-LAPANGAN-DESEMBER-PPL-KSA PADI</v>
      </c>
      <c r="J787" s="10" t="str">
        <f t="array" ref="J787">INDEX(Honor!$H$2:$H800,MATCH($I787,Honor!$A$2:$A800,0))</f>
        <v>Segmen</v>
      </c>
      <c r="K787" s="66">
        <f t="array" ref="K787">INDEX(Honor!$I$2:$I800,MATCH($I787,Honor!$A$2:$A800,0))</f>
        <v>116000</v>
      </c>
      <c r="L787" s="64">
        <v>4</v>
      </c>
      <c r="M787" s="10">
        <f t="shared" si="0"/>
        <v>464000</v>
      </c>
      <c r="O787" s="67">
        <f t="array" ref="O787">INDEX(Honor!$L$2:$L800,MATCH($I787,Honor!$A$2:$A800,0))</f>
        <v>45657</v>
      </c>
      <c r="P787" s="10">
        <f t="shared" si="1"/>
        <v>2024</v>
      </c>
      <c r="Q787" s="10">
        <f t="shared" si="2"/>
        <v>12</v>
      </c>
      <c r="R787" s="10" t="str">
        <f t="array" ref="R787">INDEX(Honor!$Q$2:$Q800,MATCH($I787,Honor!$A$2:$A800,0))</f>
        <v>SURVEI-PPL</v>
      </c>
      <c r="S787" s="10" t="str">
        <f t="shared" si="3"/>
        <v>610423040018-2024-12</v>
      </c>
      <c r="T787" s="10" t="str">
        <f t="shared" si="4"/>
        <v>610423040018-2024-12-SURVEI-PPL</v>
      </c>
      <c r="U787" s="64">
        <v>0</v>
      </c>
      <c r="V787" s="10" t="e">
        <f t="array" aca="1" ref="V787" ca="1">INDEX(Honor!$O$2:$O800,MATCH($I787,Honor!$A$2:$A800,0))</f>
        <v>#NAME?</v>
      </c>
      <c r="W787" s="67"/>
      <c r="X787" s="7" t="str">
        <f t="array" ref="X787">INDEX('Input Kegiatan'!$B$2:$B800,MATCH(B787,'Input Kegiatan'!$A$2:$A800,0))</f>
        <v>Kerangka Sampel Area (KSA) 2024 Desember</v>
      </c>
      <c r="Y787" s="7" t="s">
        <v>5534</v>
      </c>
      <c r="Z787" s="7" t="s">
        <v>5647</v>
      </c>
      <c r="AA787" s="68">
        <f t="shared" si="5"/>
        <v>45626</v>
      </c>
      <c r="AB787" s="68">
        <f t="shared" si="6"/>
        <v>45627</v>
      </c>
      <c r="AC787" s="68">
        <f t="shared" si="7"/>
        <v>45657</v>
      </c>
      <c r="AD787" s="68">
        <f t="shared" si="8"/>
        <v>45656</v>
      </c>
      <c r="AE787" s="68">
        <f t="shared" si="9"/>
        <v>45657</v>
      </c>
    </row>
    <row r="788" spans="1:31" ht="12.5">
      <c r="A788" s="125">
        <v>610422040059</v>
      </c>
      <c r="B788" s="64" t="s">
        <v>38</v>
      </c>
      <c r="D788" s="10">
        <f t="array" aca="1" ref="D788" ca="1">INDEX('Mitra per Bulan'!$M$2:$M800,MATCH(S788,'Mitra per Bulan'!$B$2:$B800,0))</f>
        <v>1</v>
      </c>
      <c r="E788" s="10" t="str">
        <f t="array" ref="E788">INDEX('Database Mitra'!$A$2:$A800,MATCH(A788,'Database Mitra'!$B$2:$B800,0))</f>
        <v>Abang Handri</v>
      </c>
      <c r="F788" s="64" t="s">
        <v>25</v>
      </c>
      <c r="G788" s="5" t="str">
        <f t="array" ref="G788">INDEX('Database Mitra'!$G$2:$G800,MATCH(A788,'Database Mitra'!$B$2:$B800,0))</f>
        <v>6102072211780002</v>
      </c>
      <c r="H788" s="64" t="s">
        <v>85</v>
      </c>
      <c r="I788" s="65" t="str">
        <f t="shared" si="23"/>
        <v>KSA24-LAPANGAN-DESEMBER-PPL-KSA JAGUNG</v>
      </c>
      <c r="J788" s="10" t="str">
        <f t="array" ref="J788">INDEX(Honor!$H$2:$H800,MATCH($I788,Honor!$A$2:$A800,0))</f>
        <v>Segmen</v>
      </c>
      <c r="K788" s="66">
        <f t="array" ref="K788">INDEX(Honor!$I$2:$I800,MATCH($I788,Honor!$A$2:$A800,0))</f>
        <v>59000</v>
      </c>
      <c r="L788" s="64">
        <v>6</v>
      </c>
      <c r="M788" s="10">
        <f t="shared" si="0"/>
        <v>354000</v>
      </c>
      <c r="O788" s="67">
        <f t="array" ref="O788">INDEX(Honor!$L$2:$L800,MATCH($I788,Honor!$A$2:$A800,0))</f>
        <v>45657</v>
      </c>
      <c r="P788" s="10">
        <f t="shared" si="1"/>
        <v>2024</v>
      </c>
      <c r="Q788" s="10">
        <f t="shared" si="2"/>
        <v>12</v>
      </c>
      <c r="R788" s="10" t="str">
        <f t="array" ref="R788">INDEX(Honor!$Q$2:$Q800,MATCH($I788,Honor!$A$2:$A800,0))</f>
        <v>SURVEI-PPL</v>
      </c>
      <c r="S788" s="10" t="str">
        <f t="shared" si="3"/>
        <v>610422040059-2024-12</v>
      </c>
      <c r="T788" s="10" t="str">
        <f t="shared" si="4"/>
        <v>610422040059-2024-12-SURVEI-PPL</v>
      </c>
      <c r="U788" s="64">
        <v>0</v>
      </c>
      <c r="V788" s="10" t="e">
        <f t="array" aca="1" ref="V788" ca="1">INDEX(Honor!$O$2:$O800,MATCH($I788,Honor!$A$2:$A800,0))</f>
        <v>#NAME?</v>
      </c>
      <c r="W788" s="67"/>
      <c r="X788" s="7" t="str">
        <f t="array" ref="X788">INDEX('Input Kegiatan'!$B$2:$B800,MATCH(B788,'Input Kegiatan'!$A$2:$A800,0))</f>
        <v>Kerangka Sampel Area (KSA) 2024 Desember</v>
      </c>
      <c r="Y788" s="7" t="s">
        <v>4572</v>
      </c>
      <c r="Z788" s="7" t="s">
        <v>4656</v>
      </c>
      <c r="AA788" s="68">
        <f t="shared" si="5"/>
        <v>45626</v>
      </c>
      <c r="AB788" s="68">
        <f t="shared" si="6"/>
        <v>45627</v>
      </c>
      <c r="AC788" s="68">
        <f t="shared" si="7"/>
        <v>45657</v>
      </c>
      <c r="AD788" s="68">
        <f t="shared" si="8"/>
        <v>45656</v>
      </c>
      <c r="AE788" s="68">
        <f t="shared" si="9"/>
        <v>45657</v>
      </c>
    </row>
    <row r="789" spans="1:31" ht="12.5">
      <c r="A789" s="125">
        <v>610422020048</v>
      </c>
      <c r="B789" s="64" t="s">
        <v>38</v>
      </c>
      <c r="D789" s="10">
        <f t="array" aca="1" ref="D789" ca="1">INDEX('Mitra per Bulan'!$M$2:$M800,MATCH(S789,'Mitra per Bulan'!$B$2:$B800,0))</f>
        <v>1</v>
      </c>
      <c r="E789" s="10" t="str">
        <f t="array" ref="E789">INDEX('Database Mitra'!$A$2:$A800,MATCH(A789,'Database Mitra'!$B$2:$B800,0))</f>
        <v>Herri Gustaman</v>
      </c>
      <c r="F789" s="64" t="s">
        <v>25</v>
      </c>
      <c r="G789" s="5" t="str">
        <f t="array" ref="G789">INDEX('Database Mitra'!$G$2:$G800,MATCH(A789,'Database Mitra'!$B$2:$B800,0))</f>
        <v>6102072503800001</v>
      </c>
      <c r="H789" s="64" t="s">
        <v>85</v>
      </c>
      <c r="I789" s="65" t="str">
        <f t="shared" si="23"/>
        <v>KSA24-LAPANGAN-DESEMBER-PPL-KSA JAGUNG</v>
      </c>
      <c r="J789" s="10" t="str">
        <f t="array" ref="J789">INDEX(Honor!$H$2:$H800,MATCH($I789,Honor!$A$2:$A800,0))</f>
        <v>Segmen</v>
      </c>
      <c r="K789" s="66">
        <f t="array" ref="K789">INDEX(Honor!$I$2:$I800,MATCH($I789,Honor!$A$2:$A800,0))</f>
        <v>59000</v>
      </c>
      <c r="L789" s="64">
        <v>6</v>
      </c>
      <c r="M789" s="10">
        <f t="shared" si="0"/>
        <v>354000</v>
      </c>
      <c r="O789" s="67">
        <f t="array" ref="O789">INDEX(Honor!$L$2:$L800,MATCH($I789,Honor!$A$2:$A800,0))</f>
        <v>45657</v>
      </c>
      <c r="P789" s="10">
        <f t="shared" si="1"/>
        <v>2024</v>
      </c>
      <c r="Q789" s="10">
        <f t="shared" si="2"/>
        <v>12</v>
      </c>
      <c r="R789" s="10" t="str">
        <f t="array" ref="R789">INDEX(Honor!$Q$2:$Q800,MATCH($I789,Honor!$A$2:$A800,0))</f>
        <v>SURVEI-PPL</v>
      </c>
      <c r="S789" s="10" t="str">
        <f t="shared" si="3"/>
        <v>610422020048-2024-12</v>
      </c>
      <c r="T789" s="10" t="str">
        <f t="shared" si="4"/>
        <v>610422020048-2024-12-SURVEI-PPL</v>
      </c>
      <c r="U789" s="64">
        <v>0</v>
      </c>
      <c r="V789" s="10" t="e">
        <f t="array" aca="1" ref="V789" ca="1">INDEX(Honor!$O$2:$O800,MATCH($I789,Honor!$A$2:$A800,0))</f>
        <v>#NAME?</v>
      </c>
      <c r="W789" s="67"/>
      <c r="X789" s="7" t="str">
        <f t="array" ref="X789">INDEX('Input Kegiatan'!$B$2:$B800,MATCH(B789,'Input Kegiatan'!$A$2:$A800,0))</f>
        <v>Kerangka Sampel Area (KSA) 2024 Desember</v>
      </c>
      <c r="Y789" s="7" t="s">
        <v>4931</v>
      </c>
      <c r="Z789" s="7" t="s">
        <v>5171</v>
      </c>
      <c r="AA789" s="68">
        <f t="shared" si="5"/>
        <v>45626</v>
      </c>
      <c r="AB789" s="68">
        <f t="shared" si="6"/>
        <v>45627</v>
      </c>
      <c r="AC789" s="68">
        <f t="shared" si="7"/>
        <v>45657</v>
      </c>
      <c r="AD789" s="68">
        <f t="shared" si="8"/>
        <v>45656</v>
      </c>
      <c r="AE789" s="68">
        <f t="shared" si="9"/>
        <v>45657</v>
      </c>
    </row>
    <row r="790" spans="1:31" ht="12.5">
      <c r="A790" s="125">
        <v>610422040058</v>
      </c>
      <c r="B790" s="64" t="s">
        <v>38</v>
      </c>
      <c r="D790" s="10" t="e">
        <f t="array" aca="1" ref="D790" ca="1">INDEX('Mitra per Bulan'!$M$2:$M800,MATCH(S790,'Mitra per Bulan'!$B$2:$B800,0))</f>
        <v>#N/A</v>
      </c>
      <c r="E790" s="10" t="str">
        <f t="array" ref="E790">INDEX('Database Mitra'!$A$2:$A800,MATCH(A790,'Database Mitra'!$B$2:$B800,0))</f>
        <v>Jamaluddin, Sp</v>
      </c>
      <c r="F790" s="64" t="s">
        <v>25</v>
      </c>
      <c r="G790" s="5" t="str">
        <f t="array" ref="G790">INDEX('Database Mitra'!$G$2:$G800,MATCH(A790,'Database Mitra'!$B$2:$B800,0))</f>
        <v>6102152607940002</v>
      </c>
      <c r="H790" s="64" t="s">
        <v>85</v>
      </c>
      <c r="I790" s="65" t="str">
        <f t="shared" si="23"/>
        <v>KSA24-LAPANGAN-DESEMBER-PPL-KSA JAGUNG</v>
      </c>
      <c r="J790" s="10" t="str">
        <f t="array" ref="J790">INDEX(Honor!$H$2:$H800,MATCH($I790,Honor!$A$2:$A800,0))</f>
        <v>Segmen</v>
      </c>
      <c r="K790" s="66">
        <f t="array" ref="K790">INDEX(Honor!$I$2:$I800,MATCH($I790,Honor!$A$2:$A800,0))</f>
        <v>59000</v>
      </c>
      <c r="L790" s="64">
        <v>10</v>
      </c>
      <c r="M790" s="10">
        <f t="shared" si="0"/>
        <v>590000</v>
      </c>
      <c r="O790" s="67">
        <f t="array" ref="O790">INDEX(Honor!$L$2:$L800,MATCH($I790,Honor!$A$2:$A800,0))</f>
        <v>45657</v>
      </c>
      <c r="P790" s="10">
        <f t="shared" si="1"/>
        <v>2024</v>
      </c>
      <c r="Q790" s="10">
        <f t="shared" si="2"/>
        <v>12</v>
      </c>
      <c r="R790" s="10" t="str">
        <f t="array" ref="R790">INDEX(Honor!$Q$2:$Q800,MATCH($I790,Honor!$A$2:$A800,0))</f>
        <v>SURVEI-PPL</v>
      </c>
      <c r="S790" s="10" t="str">
        <f t="shared" si="3"/>
        <v>610422040058-2024-12</v>
      </c>
      <c r="T790" s="10" t="str">
        <f t="shared" si="4"/>
        <v>610422040058-2024-12-SURVEI-PPL</v>
      </c>
      <c r="U790" s="64">
        <v>0</v>
      </c>
      <c r="V790" s="10" t="e">
        <f t="array" aca="1" ref="V790" ca="1">INDEX(Honor!$O$2:$O800,MATCH($I790,Honor!$A$2:$A800,0))</f>
        <v>#NAME?</v>
      </c>
      <c r="W790" s="67"/>
      <c r="X790" s="7" t="str">
        <f t="array" ref="X790">INDEX('Input Kegiatan'!$B$2:$B800,MATCH(B790,'Input Kegiatan'!$A$2:$A800,0))</f>
        <v>Kerangka Sampel Area (KSA) 2024 Desember</v>
      </c>
      <c r="Y790" s="7" t="s">
        <v>3715</v>
      </c>
      <c r="Z790" s="7" t="s">
        <v>3716</v>
      </c>
      <c r="AA790" s="68">
        <f t="shared" si="5"/>
        <v>45626</v>
      </c>
      <c r="AB790" s="68">
        <f t="shared" si="6"/>
        <v>45627</v>
      </c>
      <c r="AC790" s="68">
        <f t="shared" si="7"/>
        <v>45657</v>
      </c>
      <c r="AD790" s="68">
        <f t="shared" si="8"/>
        <v>45656</v>
      </c>
      <c r="AE790" s="68">
        <f t="shared" si="9"/>
        <v>45657</v>
      </c>
    </row>
    <row r="791" spans="1:31" ht="12.5">
      <c r="A791" s="125">
        <v>610423110183</v>
      </c>
      <c r="B791" s="64" t="s">
        <v>38</v>
      </c>
      <c r="D791" s="10">
        <f t="array" aca="1" ref="D791" ca="1">INDEX('Mitra per Bulan'!$M$2:$M800,MATCH(S791,'Mitra per Bulan'!$B$2:$B800,0))</f>
        <v>1</v>
      </c>
      <c r="E791" s="10" t="str">
        <f t="array" ref="E791">INDEX('Database Mitra'!$A$2:$A800,MATCH(A791,'Database Mitra'!$B$2:$B800,0))</f>
        <v>Azhar</v>
      </c>
      <c r="F791" s="64" t="s">
        <v>25</v>
      </c>
      <c r="G791" s="5" t="str">
        <f t="array" ref="G791">INDEX('Database Mitra'!$G$2:$G800,MATCH(A791,'Database Mitra'!$B$2:$B800,0))</f>
        <v>6102081211790004</v>
      </c>
      <c r="H791" s="64" t="s">
        <v>85</v>
      </c>
      <c r="I791" s="65" t="str">
        <f t="shared" si="23"/>
        <v>KSA24-LAPANGAN-DESEMBER-PPL-KSA JAGUNG</v>
      </c>
      <c r="J791" s="10" t="str">
        <f t="array" ref="J791">INDEX(Honor!$H$2:$H800,MATCH($I791,Honor!$A$2:$A800,0))</f>
        <v>Segmen</v>
      </c>
      <c r="K791" s="66">
        <f t="array" ref="K791">INDEX(Honor!$I$2:$I800,MATCH($I791,Honor!$A$2:$A800,0))</f>
        <v>59000</v>
      </c>
      <c r="L791" s="64">
        <v>6</v>
      </c>
      <c r="M791" s="10">
        <f t="shared" si="0"/>
        <v>354000</v>
      </c>
      <c r="O791" s="67">
        <f t="array" ref="O791">INDEX(Honor!$L$2:$L800,MATCH($I791,Honor!$A$2:$A800,0))</f>
        <v>45657</v>
      </c>
      <c r="P791" s="10">
        <f t="shared" si="1"/>
        <v>2024</v>
      </c>
      <c r="Q791" s="10">
        <f t="shared" si="2"/>
        <v>12</v>
      </c>
      <c r="R791" s="10" t="str">
        <f t="array" ref="R791">INDEX(Honor!$Q$2:$Q800,MATCH($I791,Honor!$A$2:$A800,0))</f>
        <v>SURVEI-PPL</v>
      </c>
      <c r="S791" s="10" t="str">
        <f t="shared" si="3"/>
        <v>610423110183-2024-12</v>
      </c>
      <c r="T791" s="10" t="str">
        <f t="shared" si="4"/>
        <v>610423110183-2024-12-SURVEI-PPL</v>
      </c>
      <c r="U791" s="64">
        <v>0</v>
      </c>
      <c r="V791" s="10" t="e">
        <f t="array" aca="1" ref="V791" ca="1">INDEX(Honor!$O$2:$O800,MATCH($I791,Honor!$A$2:$A800,0))</f>
        <v>#NAME?</v>
      </c>
      <c r="W791" s="67"/>
      <c r="X791" s="7" t="str">
        <f t="array" ref="X791">INDEX('Input Kegiatan'!$B$2:$B800,MATCH(B791,'Input Kegiatan'!$A$2:$A800,0))</f>
        <v>Kerangka Sampel Area (KSA) 2024 Desember</v>
      </c>
      <c r="Y791" s="7" t="s">
        <v>3241</v>
      </c>
      <c r="Z791" s="7" t="s">
        <v>3242</v>
      </c>
      <c r="AA791" s="68">
        <f t="shared" si="5"/>
        <v>45626</v>
      </c>
      <c r="AB791" s="68">
        <f t="shared" si="6"/>
        <v>45627</v>
      </c>
      <c r="AC791" s="68">
        <f t="shared" si="7"/>
        <v>45657</v>
      </c>
      <c r="AD791" s="68">
        <f t="shared" si="8"/>
        <v>45656</v>
      </c>
      <c r="AE791" s="68">
        <f t="shared" si="9"/>
        <v>45657</v>
      </c>
    </row>
    <row r="792" spans="1:31" ht="12.5">
      <c r="A792" s="125">
        <v>610422100244</v>
      </c>
      <c r="B792" s="64" t="s">
        <v>38</v>
      </c>
      <c r="D792" s="10">
        <f t="array" aca="1" ref="D792" ca="1">INDEX('Mitra per Bulan'!$M$2:$M800,MATCH(S792,'Mitra per Bulan'!$B$2:$B800,0))</f>
        <v>1</v>
      </c>
      <c r="E792" s="10" t="str">
        <f t="array" ref="E792">INDEX('Database Mitra'!$A$2:$A800,MATCH(A792,'Database Mitra'!$B$2:$B800,0))</f>
        <v>Sugianto</v>
      </c>
      <c r="F792" s="64" t="s">
        <v>25</v>
      </c>
      <c r="G792" s="5" t="str">
        <f t="array" ref="G792">INDEX('Database Mitra'!$G$2:$G800,MATCH(A792,'Database Mitra'!$B$2:$B800,0))</f>
        <v>6102171003900002</v>
      </c>
      <c r="H792" s="64" t="s">
        <v>85</v>
      </c>
      <c r="I792" s="65" t="str">
        <f t="shared" si="23"/>
        <v>KSA24-LAPANGAN-DESEMBER-PPL-KSA JAGUNG</v>
      </c>
      <c r="J792" s="10" t="str">
        <f t="array" ref="J792">INDEX(Honor!$H$2:$H800,MATCH($I792,Honor!$A$2:$A800,0))</f>
        <v>Segmen</v>
      </c>
      <c r="K792" s="66">
        <f t="array" ref="K792">INDEX(Honor!$I$2:$I800,MATCH($I792,Honor!$A$2:$A800,0))</f>
        <v>59000</v>
      </c>
      <c r="L792" s="64">
        <v>8</v>
      </c>
      <c r="M792" s="10">
        <f t="shared" si="0"/>
        <v>472000</v>
      </c>
      <c r="O792" s="67">
        <f t="array" ref="O792">INDEX(Honor!$L$2:$L800,MATCH($I792,Honor!$A$2:$A800,0))</f>
        <v>45657</v>
      </c>
      <c r="P792" s="10">
        <f t="shared" si="1"/>
        <v>2024</v>
      </c>
      <c r="Q792" s="10">
        <f t="shared" si="2"/>
        <v>12</v>
      </c>
      <c r="R792" s="10" t="str">
        <f t="array" ref="R792">INDEX(Honor!$Q$2:$Q800,MATCH($I792,Honor!$A$2:$A800,0))</f>
        <v>SURVEI-PPL</v>
      </c>
      <c r="S792" s="10" t="str">
        <f t="shared" si="3"/>
        <v>610422100244-2024-12</v>
      </c>
      <c r="T792" s="10" t="str">
        <f t="shared" si="4"/>
        <v>610422100244-2024-12-SURVEI-PPL</v>
      </c>
      <c r="U792" s="64">
        <v>0</v>
      </c>
      <c r="V792" s="10" t="e">
        <f t="array" aca="1" ref="V792" ca="1">INDEX(Honor!$O$2:$O800,MATCH($I792,Honor!$A$2:$A800,0))</f>
        <v>#NAME?</v>
      </c>
      <c r="W792" s="67"/>
      <c r="X792" s="7" t="str">
        <f t="array" ref="X792">INDEX('Input Kegiatan'!$B$2:$B800,MATCH(B792,'Input Kegiatan'!$A$2:$A800,0))</f>
        <v>Kerangka Sampel Area (KSA) 2024 Desember</v>
      </c>
      <c r="Y792" s="7" t="s">
        <v>5741</v>
      </c>
      <c r="Z792" s="7" t="s">
        <v>5796</v>
      </c>
      <c r="AA792" s="68">
        <f t="shared" si="5"/>
        <v>45626</v>
      </c>
      <c r="AB792" s="68">
        <f t="shared" si="6"/>
        <v>45627</v>
      </c>
      <c r="AC792" s="68">
        <f t="shared" si="7"/>
        <v>45657</v>
      </c>
      <c r="AD792" s="68">
        <f t="shared" si="8"/>
        <v>45656</v>
      </c>
      <c r="AE792" s="68">
        <f t="shared" si="9"/>
        <v>45657</v>
      </c>
    </row>
    <row r="793" spans="1:31" ht="12.5">
      <c r="A793" s="125">
        <v>610422040056</v>
      </c>
      <c r="B793" s="64" t="s">
        <v>325</v>
      </c>
      <c r="D793" s="10">
        <f t="array" aca="1" ref="D793" ca="1">INDEX('Mitra per Bulan'!$M$2:$M800,MATCH(S793,'Mitra per Bulan'!$B$2:$B800,0))</f>
        <v>1</v>
      </c>
      <c r="E793" s="10" t="str">
        <f t="array" ref="E793">INDEX('Database Mitra'!$A$2:$A800,MATCH(A793,'Database Mitra'!$B$2:$B800,0))</f>
        <v>Wandi Syafari</v>
      </c>
      <c r="F793" s="64" t="s">
        <v>25</v>
      </c>
      <c r="G793" s="5" t="str">
        <f t="array" ref="G793">INDEX('Database Mitra'!$G$2:$G800,MATCH(A793,'Database Mitra'!$B$2:$B800,0))</f>
        <v>6102010802760001</v>
      </c>
      <c r="H793" s="64" t="s">
        <v>67</v>
      </c>
      <c r="I793" s="65" t="s">
        <v>326</v>
      </c>
      <c r="J793" s="10" t="str">
        <f t="array" ref="J793">INDEX(Honor!$H$2:$H800,MATCH($I793,Honor!$A$2:$A800,0))</f>
        <v>Dokumen</v>
      </c>
      <c r="K793" s="66">
        <f t="array" ref="K793">INDEX(Honor!$I$2:$I800,MATCH($I793,Honor!$A$2:$A800,0))</f>
        <v>65000</v>
      </c>
      <c r="L793" s="64">
        <v>10</v>
      </c>
      <c r="M793" s="10">
        <f t="shared" si="0"/>
        <v>650000</v>
      </c>
      <c r="O793" s="67">
        <f t="array" ref="O793">INDEX(Honor!$L$2:$L800,MATCH($I793,Honor!$A$2:$A800,0))</f>
        <v>45657</v>
      </c>
      <c r="P793" s="10">
        <f t="shared" si="1"/>
        <v>2024</v>
      </c>
      <c r="Q793" s="10">
        <f t="shared" si="2"/>
        <v>12</v>
      </c>
      <c r="R793" s="10" t="str">
        <f t="array" ref="R793">INDEX(Honor!$Q$2:$Q800,MATCH($I793,Honor!$A$2:$A800,0))</f>
        <v>SURVEI-PPL</v>
      </c>
      <c r="S793" s="10" t="str">
        <f t="shared" si="3"/>
        <v>610422040056-2024-12</v>
      </c>
      <c r="T793" s="10" t="str">
        <f t="shared" si="4"/>
        <v>610422040056-2024-12-SURVEI-PPL</v>
      </c>
      <c r="U793" s="64">
        <v>1</v>
      </c>
      <c r="V793" s="10" t="e">
        <f t="array" aca="1" ref="V793" ca="1">INDEX(Honor!$O$2:$O800,MATCH($I793,Honor!$A$2:$A800,0))</f>
        <v>#NAME?</v>
      </c>
      <c r="W793" s="67"/>
      <c r="X793" s="7" t="str">
        <f t="array" ref="X793">INDEX('Input Kegiatan'!$B$2:$B800,MATCH(B793,'Input Kegiatan'!$A$2:$A800,0))</f>
        <v>Survei Khusus Lembaga Nonprofit yang Melayani Rumah Tangga 2024 (SKLNPT24) Triwulan IV</v>
      </c>
      <c r="Y793" s="7" t="s">
        <v>4572</v>
      </c>
      <c r="Z793" s="7" t="s">
        <v>4656</v>
      </c>
      <c r="AA793" s="68">
        <f t="shared" si="5"/>
        <v>45626</v>
      </c>
      <c r="AB793" s="68">
        <f t="shared" si="6"/>
        <v>45627</v>
      </c>
      <c r="AC793" s="68">
        <f t="shared" si="7"/>
        <v>45657</v>
      </c>
      <c r="AD793" s="68">
        <f t="shared" si="8"/>
        <v>45656</v>
      </c>
      <c r="AE793" s="68">
        <f t="shared" si="9"/>
        <v>45657</v>
      </c>
    </row>
    <row r="794" spans="1:31" ht="12.5">
      <c r="A794" s="125">
        <v>610422040029</v>
      </c>
      <c r="B794" s="64" t="s">
        <v>327</v>
      </c>
      <c r="D794" s="10" t="e">
        <f t="array" aca="1" ref="D794" ca="1">INDEX('Mitra per Bulan'!$M$2:$M800,MATCH(S794,'Mitra per Bulan'!$B$2:$B800,0))</f>
        <v>#N/A</v>
      </c>
      <c r="E794" s="10" t="str">
        <f t="array" ref="E794">INDEX('Database Mitra'!$A$2:$A800,MATCH(A794,'Database Mitra'!$B$2:$B800,0))</f>
        <v>Zaini</v>
      </c>
      <c r="F794" s="64" t="s">
        <v>25</v>
      </c>
      <c r="G794" s="5" t="str">
        <f t="array" ref="G794">INDEX('Database Mitra'!$G$2:$G800,MATCH(A794,'Database Mitra'!$B$2:$B800,0))</f>
        <v>6102010607870002</v>
      </c>
      <c r="H794" s="64" t="s">
        <v>67</v>
      </c>
      <c r="I794" s="65" t="s">
        <v>328</v>
      </c>
      <c r="J794" s="10" t="str">
        <f t="array" ref="J794">INDEX(Honor!$H$2:$H800,MATCH($I794,Honor!$A$2:$A800,0))</f>
        <v>Dokumen</v>
      </c>
      <c r="K794" s="66">
        <f t="array" ref="K794">INDEX(Honor!$I$2:$I800,MATCH($I794,Honor!$A$2:$A800,0))</f>
        <v>55000</v>
      </c>
      <c r="L794" s="64">
        <v>1</v>
      </c>
      <c r="M794" s="10">
        <f t="shared" si="0"/>
        <v>55000</v>
      </c>
      <c r="O794" s="67">
        <f t="array" ref="O794">INDEX(Honor!$L$2:$L800,MATCH($I794,Honor!$A$2:$A800,0))</f>
        <v>45688</v>
      </c>
      <c r="P794" s="10">
        <f t="shared" si="1"/>
        <v>2025</v>
      </c>
      <c r="Q794" s="10">
        <f t="shared" si="2"/>
        <v>1</v>
      </c>
      <c r="R794" s="10" t="str">
        <f t="array" ref="R794">INDEX(Honor!$Q$2:$Q800,MATCH($I794,Honor!$A$2:$A800,0))</f>
        <v>SURVEI-PPL</v>
      </c>
      <c r="S794" s="10" t="str">
        <f t="shared" si="3"/>
        <v>610422040029-2025-1</v>
      </c>
      <c r="T794" s="10" t="str">
        <f t="shared" si="4"/>
        <v>610422040029-2025-1-SURVEI-PPL</v>
      </c>
      <c r="U794" s="64">
        <v>0</v>
      </c>
      <c r="V794" s="10" t="e">
        <f t="array" aca="1" ref="V794" ca="1">INDEX(Honor!$O$2:$O800,MATCH($I794,Honor!$A$2:$A800,0))</f>
        <v>#NAME?</v>
      </c>
      <c r="W794" s="67"/>
      <c r="X794" s="7" t="str">
        <f t="array" ref="X794">INDEX('Input Kegiatan'!$B$2:$B800,MATCH(B794,'Input Kegiatan'!$A$2:$A800,0))</f>
        <v>Survei Khusus Triwulan Neraca Produksi Barang Jasa (SKTNP) 2024 Triwulan IV</v>
      </c>
      <c r="Y794" s="7" t="s">
        <v>4572</v>
      </c>
      <c r="Z794" s="7" t="s">
        <v>4619</v>
      </c>
      <c r="AA794" s="68">
        <f t="shared" si="5"/>
        <v>45657</v>
      </c>
      <c r="AB794" s="68">
        <f t="shared" si="6"/>
        <v>45658</v>
      </c>
      <c r="AC794" s="68">
        <f t="shared" si="7"/>
        <v>45688</v>
      </c>
      <c r="AD794" s="68">
        <f t="shared" si="8"/>
        <v>45687</v>
      </c>
      <c r="AE794" s="68">
        <f t="shared" si="9"/>
        <v>45688</v>
      </c>
    </row>
    <row r="795" spans="1:31" ht="12.5">
      <c r="A795" s="125">
        <v>610422040029</v>
      </c>
      <c r="B795" s="64" t="s">
        <v>327</v>
      </c>
      <c r="D795" s="10" t="e">
        <f t="array" aca="1" ref="D795" ca="1">INDEX('Mitra per Bulan'!$M$2:$M800,MATCH(S795,'Mitra per Bulan'!$B$2:$B800,0))</f>
        <v>#N/A</v>
      </c>
      <c r="E795" s="10" t="str">
        <f t="array" ref="E795">INDEX('Database Mitra'!$A$2:$A800,MATCH(A795,'Database Mitra'!$B$2:$B800,0))</f>
        <v>Zaini</v>
      </c>
      <c r="F795" s="64" t="s">
        <v>25</v>
      </c>
      <c r="G795" s="5" t="str">
        <f t="array" ref="G795">INDEX('Database Mitra'!$G$2:$G800,MATCH(A795,'Database Mitra'!$B$2:$B800,0))</f>
        <v>6102010607870002</v>
      </c>
      <c r="H795" s="64" t="s">
        <v>67</v>
      </c>
      <c r="I795" s="65" t="s">
        <v>329</v>
      </c>
      <c r="J795" s="10" t="str">
        <f t="array" ref="J795">INDEX(Honor!$H$2:$H800,MATCH($I795,Honor!$A$2:$A800,0))</f>
        <v>Dokumen</v>
      </c>
      <c r="K795" s="66">
        <f t="array" ref="K795">INDEX(Honor!$I$2:$I800,MATCH($I795,Honor!$A$2:$A800,0))</f>
        <v>55000</v>
      </c>
      <c r="L795" s="64">
        <v>2</v>
      </c>
      <c r="M795" s="10">
        <f t="shared" si="0"/>
        <v>110000</v>
      </c>
      <c r="O795" s="67">
        <f t="array" ref="O795">INDEX(Honor!$L$2:$L800,MATCH($I795,Honor!$A$2:$A800,0))</f>
        <v>45688</v>
      </c>
      <c r="P795" s="10">
        <f t="shared" si="1"/>
        <v>2025</v>
      </c>
      <c r="Q795" s="10">
        <f t="shared" si="2"/>
        <v>1</v>
      </c>
      <c r="R795" s="10" t="str">
        <f t="array" ref="R795">INDEX(Honor!$Q$2:$Q800,MATCH($I795,Honor!$A$2:$A800,0))</f>
        <v>SURVEI-PPL</v>
      </c>
      <c r="S795" s="10" t="str">
        <f t="shared" si="3"/>
        <v>610422040029-2025-1</v>
      </c>
      <c r="T795" s="10" t="str">
        <f t="shared" si="4"/>
        <v>610422040029-2025-1-SURVEI-PPL</v>
      </c>
      <c r="U795" s="64">
        <v>0</v>
      </c>
      <c r="V795" s="10" t="e">
        <f t="array" aca="1" ref="V795" ca="1">INDEX(Honor!$O$2:$O800,MATCH($I795,Honor!$A$2:$A800,0))</f>
        <v>#NAME?</v>
      </c>
      <c r="W795" s="67"/>
      <c r="X795" s="7" t="str">
        <f t="array" ref="X795">INDEX('Input Kegiatan'!$B$2:$B800,MATCH(B795,'Input Kegiatan'!$A$2:$A800,0))</f>
        <v>Survei Khusus Triwulan Neraca Produksi Barang Jasa (SKTNP) 2024 Triwulan IV</v>
      </c>
      <c r="Y795" s="7" t="s">
        <v>4572</v>
      </c>
      <c r="Z795" s="7" t="s">
        <v>4619</v>
      </c>
      <c r="AA795" s="68">
        <f t="shared" si="5"/>
        <v>45657</v>
      </c>
      <c r="AB795" s="68">
        <f t="shared" si="6"/>
        <v>45658</v>
      </c>
      <c r="AC795" s="68">
        <f t="shared" si="7"/>
        <v>45688</v>
      </c>
      <c r="AD795" s="68">
        <f t="shared" si="8"/>
        <v>45687</v>
      </c>
      <c r="AE795" s="68">
        <f t="shared" si="9"/>
        <v>45688</v>
      </c>
    </row>
    <row r="796" spans="1:31" ht="12.5">
      <c r="A796" s="125"/>
      <c r="B796" s="65"/>
      <c r="F796" s="64"/>
      <c r="G796" s="5"/>
      <c r="H796" s="64"/>
      <c r="I796" s="65"/>
      <c r="K796" s="66"/>
      <c r="L796" s="64"/>
      <c r="N796" s="70"/>
      <c r="O796" s="67"/>
      <c r="U796" s="65"/>
      <c r="W796" s="67"/>
      <c r="AA796" s="67"/>
      <c r="AB796" s="67"/>
      <c r="AC796" s="67"/>
      <c r="AD796" s="67"/>
      <c r="AE796" s="67"/>
    </row>
    <row r="797" spans="1:31" ht="12.5">
      <c r="A797" s="125"/>
      <c r="B797" s="65"/>
      <c r="F797" s="64"/>
      <c r="G797" s="5"/>
      <c r="H797" s="64"/>
      <c r="I797" s="65"/>
      <c r="K797" s="66"/>
      <c r="L797" s="64"/>
      <c r="N797" s="70"/>
      <c r="O797" s="67"/>
      <c r="U797" s="65"/>
      <c r="W797" s="67"/>
      <c r="AA797" s="67"/>
      <c r="AB797" s="67"/>
      <c r="AC797" s="67"/>
      <c r="AD797" s="67"/>
      <c r="AE797" s="67"/>
    </row>
    <row r="798" spans="1:31" ht="12.5">
      <c r="A798" s="125"/>
      <c r="B798" s="65"/>
      <c r="F798" s="64"/>
      <c r="G798" s="5"/>
      <c r="H798" s="64"/>
      <c r="I798" s="65"/>
      <c r="K798" s="66"/>
      <c r="L798" s="64"/>
      <c r="N798" s="70"/>
      <c r="O798" s="67"/>
      <c r="U798" s="65"/>
      <c r="W798" s="67"/>
      <c r="AA798" s="67"/>
      <c r="AB798" s="67"/>
      <c r="AC798" s="67"/>
      <c r="AD798" s="67"/>
      <c r="AE798" s="67"/>
    </row>
    <row r="799" spans="1:31" ht="12.5">
      <c r="A799" s="125"/>
      <c r="B799" s="65"/>
      <c r="F799" s="64"/>
      <c r="G799" s="5"/>
      <c r="H799" s="64"/>
      <c r="I799" s="65"/>
      <c r="K799" s="66"/>
      <c r="L799" s="64"/>
      <c r="N799" s="70"/>
      <c r="O799" s="67"/>
      <c r="U799" s="65"/>
      <c r="W799" s="67"/>
      <c r="AA799" s="67"/>
      <c r="AB799" s="67"/>
      <c r="AC799" s="67"/>
      <c r="AD799" s="67"/>
      <c r="AE799" s="67"/>
    </row>
    <row r="800" spans="1:31" ht="12.5">
      <c r="A800" s="125"/>
      <c r="B800" s="65"/>
      <c r="F800" s="64"/>
      <c r="G800" s="5"/>
      <c r="H800" s="64"/>
      <c r="I800" s="65"/>
      <c r="K800" s="66"/>
      <c r="L800" s="64"/>
      <c r="N800" s="70"/>
      <c r="O800" s="67"/>
      <c r="U800" s="65"/>
      <c r="W800" s="67"/>
      <c r="AA800" s="67"/>
      <c r="AB800" s="67"/>
      <c r="AC800" s="67"/>
      <c r="AD800" s="67"/>
      <c r="AE800" s="67"/>
    </row>
  </sheetData>
  <autoFilter ref="A1:AE795" xr:uid="{00000000-0009-0000-0000-000002000000}"/>
  <pageMargins left="0.7" right="0.7" top="0.75" bottom="0.75" header="0.3" footer="0.3"/>
  <pageSetup orientation="portrait" horizontalDpi="0" verticalDpi="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outlinePr summaryBelow="0" summaryRight="0"/>
  </sheetPr>
  <dimension ref="A1:AL453"/>
  <sheetViews>
    <sheetView workbookViewId="0">
      <pane ySplit="1" topLeftCell="A2" activePane="bottomLeft" state="frozen"/>
      <selection pane="bottomLeft" activeCell="B3" sqref="B3"/>
    </sheetView>
  </sheetViews>
  <sheetFormatPr defaultColWidth="12.6328125" defaultRowHeight="15.75" customHeight="1"/>
  <cols>
    <col min="1" max="1" width="24.453125" customWidth="1"/>
    <col min="2" max="2" width="17" customWidth="1"/>
    <col min="3" max="3" width="19.26953125" customWidth="1"/>
    <col min="4" max="5" width="18.08984375" customWidth="1"/>
    <col min="6" max="7" width="19.36328125" customWidth="1"/>
    <col min="8" max="8" width="29" customWidth="1"/>
    <col min="9" max="9" width="23.6328125" customWidth="1"/>
    <col min="11" max="11" width="30.08984375" customWidth="1"/>
    <col min="16" max="16" width="35.36328125" customWidth="1"/>
  </cols>
  <sheetData>
    <row r="1" spans="1:38" ht="13">
      <c r="A1" s="73" t="s">
        <v>330</v>
      </c>
      <c r="B1" s="2" t="s">
        <v>0</v>
      </c>
      <c r="C1" s="2" t="s">
        <v>331</v>
      </c>
      <c r="D1" s="2" t="s">
        <v>332</v>
      </c>
      <c r="E1" s="2" t="s">
        <v>2</v>
      </c>
      <c r="F1" s="2" t="s">
        <v>65</v>
      </c>
      <c r="G1" s="2" t="s">
        <v>60</v>
      </c>
      <c r="H1" s="2" t="s">
        <v>333</v>
      </c>
      <c r="I1" s="2" t="s">
        <v>334</v>
      </c>
      <c r="J1" s="2" t="s">
        <v>335</v>
      </c>
      <c r="K1" s="2" t="s">
        <v>336</v>
      </c>
      <c r="L1" s="2" t="s">
        <v>337</v>
      </c>
      <c r="M1" s="2" t="s">
        <v>338</v>
      </c>
      <c r="N1" s="2" t="s">
        <v>339</v>
      </c>
      <c r="O1" s="2" t="s">
        <v>340</v>
      </c>
      <c r="P1" s="2" t="s">
        <v>341</v>
      </c>
      <c r="Q1" s="2" t="s">
        <v>342</v>
      </c>
      <c r="R1" s="2" t="s">
        <v>343</v>
      </c>
      <c r="S1" s="2" t="s">
        <v>344</v>
      </c>
      <c r="T1" s="2" t="s">
        <v>345</v>
      </c>
      <c r="U1" s="2" t="s">
        <v>346</v>
      </c>
      <c r="V1" s="2" t="s">
        <v>347</v>
      </c>
      <c r="W1" s="2" t="s">
        <v>348</v>
      </c>
      <c r="X1" s="2" t="s">
        <v>349</v>
      </c>
      <c r="Y1" s="2" t="s">
        <v>350</v>
      </c>
      <c r="Z1" s="2" t="s">
        <v>351</v>
      </c>
      <c r="AA1" s="2" t="s">
        <v>352</v>
      </c>
      <c r="AB1" s="2" t="s">
        <v>353</v>
      </c>
      <c r="AC1" s="2" t="s">
        <v>354</v>
      </c>
      <c r="AD1" s="2" t="s">
        <v>355</v>
      </c>
      <c r="AE1" s="2" t="s">
        <v>356</v>
      </c>
      <c r="AF1" s="2" t="s">
        <v>357</v>
      </c>
      <c r="AG1" s="2" t="s">
        <v>358</v>
      </c>
      <c r="AH1" s="2" t="s">
        <v>13</v>
      </c>
      <c r="AI1" s="2" t="s">
        <v>359</v>
      </c>
      <c r="AJ1" s="2" t="s">
        <v>360</v>
      </c>
      <c r="AK1" s="2" t="s">
        <v>361</v>
      </c>
      <c r="AL1" s="2" t="s">
        <v>362</v>
      </c>
    </row>
    <row r="2" spans="1:38" ht="12.5">
      <c r="A2" s="10" t="str">
        <f t="shared" ref="A2:A434" si="0">PROPER(C2)</f>
        <v>Abang Handri</v>
      </c>
      <c r="B2" s="5">
        <f t="shared" ref="B2:B434" si="1">AK2</f>
        <v>610422040059</v>
      </c>
      <c r="C2" s="5" t="str">
        <f t="shared" ref="C2:C434" si="2">H2</f>
        <v>Abang Handri</v>
      </c>
      <c r="D2" s="5" t="s">
        <v>363</v>
      </c>
      <c r="E2" s="5" t="e">
        <f t="array" ref="E2">INDEX('Master SLS'!$H$2:$H998,MATCH($AL2,'Master SLS'!$K$2:$K998,0))</f>
        <v>#VALUE!</v>
      </c>
      <c r="F2" s="5" t="e">
        <f t="array" ref="F2">INDEX('Master SLS'!$I$2:$I998,MATCH($AL2,'Master SLS'!$K$2:$K998,0))</f>
        <v>#VALUE!</v>
      </c>
      <c r="G2" s="5" t="s">
        <v>364</v>
      </c>
      <c r="H2" s="5" t="s">
        <v>365</v>
      </c>
      <c r="I2" s="5" t="s">
        <v>366</v>
      </c>
      <c r="J2" s="5">
        <v>1</v>
      </c>
      <c r="K2" s="5" t="s">
        <v>367</v>
      </c>
      <c r="L2" s="5">
        <v>61</v>
      </c>
      <c r="M2" s="5">
        <v>4</v>
      </c>
      <c r="N2" s="5">
        <v>100</v>
      </c>
      <c r="O2" s="5">
        <v>8</v>
      </c>
      <c r="P2" s="5" t="s">
        <v>368</v>
      </c>
      <c r="Q2" s="5">
        <v>1</v>
      </c>
      <c r="R2" s="74">
        <v>28816</v>
      </c>
      <c r="T2" s="5">
        <v>1</v>
      </c>
      <c r="U2" s="5">
        <v>1</v>
      </c>
      <c r="V2" s="5">
        <v>2</v>
      </c>
      <c r="W2" s="5">
        <v>5</v>
      </c>
      <c r="X2" s="5">
        <v>5</v>
      </c>
      <c r="Y2" s="5"/>
      <c r="AA2" s="5">
        <v>1</v>
      </c>
      <c r="AB2" s="5">
        <v>0</v>
      </c>
      <c r="AC2" s="5">
        <v>1</v>
      </c>
      <c r="AD2" s="5">
        <v>1</v>
      </c>
      <c r="AE2" s="5">
        <v>1</v>
      </c>
      <c r="AF2" s="5">
        <v>1</v>
      </c>
      <c r="AG2" s="5">
        <v>0</v>
      </c>
      <c r="AH2" s="5" t="s">
        <v>369</v>
      </c>
      <c r="AI2" s="5" t="s">
        <v>366</v>
      </c>
      <c r="AJ2" s="5" t="s">
        <v>370</v>
      </c>
      <c r="AK2" s="5">
        <v>610422040059</v>
      </c>
      <c r="AL2" s="5" t="e">
        <f t="shared" ref="AL2:AL434" si="3">CONCATENATE(L2:O2)</f>
        <v>#VALUE!</v>
      </c>
    </row>
    <row r="3" spans="1:38" ht="12.5">
      <c r="A3" s="10" t="str">
        <f t="shared" si="0"/>
        <v>Abd Syakur</v>
      </c>
      <c r="B3" s="5">
        <f t="shared" si="1"/>
        <v>610423090005</v>
      </c>
      <c r="C3" s="5" t="str">
        <f t="shared" si="2"/>
        <v>abd syakur</v>
      </c>
      <c r="D3" s="5" t="s">
        <v>363</v>
      </c>
      <c r="E3" s="5" t="e">
        <f t="array" ref="E3">INDEX('Master SLS'!$H$2:$H998,MATCH($AL3,'Master SLS'!$K$2:$K998,0))</f>
        <v>#VALUE!</v>
      </c>
      <c r="F3" s="5" t="e">
        <f t="array" ref="F3">INDEX('Master SLS'!$I$2:$I998,MATCH($AL3,'Master SLS'!$K$2:$K998,0))</f>
        <v>#VALUE!</v>
      </c>
      <c r="G3" s="5" t="s">
        <v>371</v>
      </c>
      <c r="H3" s="5" t="s">
        <v>372</v>
      </c>
      <c r="I3" s="5" t="s">
        <v>366</v>
      </c>
      <c r="J3" s="5">
        <v>1</v>
      </c>
      <c r="K3" s="5" t="s">
        <v>373</v>
      </c>
      <c r="L3" s="5">
        <v>61</v>
      </c>
      <c r="M3" s="5">
        <v>4</v>
      </c>
      <c r="N3" s="5">
        <v>90</v>
      </c>
      <c r="O3" s="5">
        <v>12</v>
      </c>
      <c r="P3" s="5" t="s">
        <v>374</v>
      </c>
      <c r="Q3" s="5">
        <v>2</v>
      </c>
      <c r="R3" s="74">
        <v>32647</v>
      </c>
      <c r="S3" s="5" t="s">
        <v>375</v>
      </c>
      <c r="T3" s="5">
        <v>1</v>
      </c>
      <c r="U3" s="5">
        <v>1</v>
      </c>
      <c r="V3" s="5">
        <v>2</v>
      </c>
      <c r="W3" s="5">
        <v>5</v>
      </c>
      <c r="X3" s="5">
        <v>7</v>
      </c>
      <c r="Y3" s="5" t="s">
        <v>376</v>
      </c>
      <c r="AA3" s="5">
        <v>0</v>
      </c>
      <c r="AB3" s="5">
        <v>0</v>
      </c>
      <c r="AC3" s="5">
        <v>0</v>
      </c>
      <c r="AD3" s="5">
        <v>0</v>
      </c>
      <c r="AE3" s="5">
        <v>0</v>
      </c>
      <c r="AF3" s="5">
        <v>0</v>
      </c>
      <c r="AG3" s="5">
        <v>0</v>
      </c>
      <c r="AH3" s="5" t="s">
        <v>377</v>
      </c>
      <c r="AI3" s="5" t="s">
        <v>366</v>
      </c>
      <c r="AJ3" s="5" t="s">
        <v>378</v>
      </c>
      <c r="AK3" s="5">
        <v>610423090005</v>
      </c>
      <c r="AL3" s="5" t="e">
        <f t="shared" si="3"/>
        <v>#VALUE!</v>
      </c>
    </row>
    <row r="4" spans="1:38" ht="12.5">
      <c r="A4" s="10" t="str">
        <f t="shared" si="0"/>
        <v>Abdul Aziz</v>
      </c>
      <c r="B4" s="5">
        <f t="shared" si="1"/>
        <v>610422020016</v>
      </c>
      <c r="C4" s="5" t="str">
        <f t="shared" si="2"/>
        <v>Abdul Aziz</v>
      </c>
      <c r="D4" s="5" t="s">
        <v>363</v>
      </c>
      <c r="E4" s="5" t="e">
        <f t="array" ref="E4">INDEX('Master SLS'!$H$2:$H998,MATCH($AL4,'Master SLS'!$K$2:$K998,0))</f>
        <v>#VALUE!</v>
      </c>
      <c r="F4" s="5" t="e">
        <f t="array" ref="F4">INDEX('Master SLS'!$I$2:$I998,MATCH($AL4,'Master SLS'!$K$2:$K998,0))</f>
        <v>#VALUE!</v>
      </c>
      <c r="G4" s="75" t="s">
        <v>379</v>
      </c>
      <c r="H4" s="5" t="s">
        <v>380</v>
      </c>
      <c r="I4" s="5" t="s">
        <v>366</v>
      </c>
      <c r="J4" s="5">
        <v>1</v>
      </c>
      <c r="K4" s="5" t="s">
        <v>381</v>
      </c>
      <c r="L4" s="5">
        <v>61</v>
      </c>
      <c r="M4" s="5">
        <v>4</v>
      </c>
      <c r="N4" s="5">
        <v>120</v>
      </c>
      <c r="O4" s="5">
        <v>2</v>
      </c>
      <c r="P4" s="5" t="s">
        <v>382</v>
      </c>
      <c r="Q4" s="5">
        <v>2</v>
      </c>
      <c r="R4" s="7">
        <v>34895</v>
      </c>
      <c r="S4" s="5" t="s">
        <v>383</v>
      </c>
      <c r="T4" s="5">
        <v>1</v>
      </c>
      <c r="U4" s="5">
        <v>1</v>
      </c>
      <c r="V4" s="5">
        <v>2</v>
      </c>
      <c r="W4" s="5">
        <v>3</v>
      </c>
      <c r="X4" s="5">
        <v>5</v>
      </c>
      <c r="AA4" s="5">
        <v>1</v>
      </c>
      <c r="AB4" s="5">
        <v>1</v>
      </c>
      <c r="AC4" s="5">
        <v>1</v>
      </c>
      <c r="AD4" s="5">
        <v>0</v>
      </c>
      <c r="AE4" s="5">
        <v>1</v>
      </c>
      <c r="AF4" s="5">
        <v>1</v>
      </c>
      <c r="AG4" s="5">
        <v>0</v>
      </c>
      <c r="AH4" s="5" t="s">
        <v>384</v>
      </c>
      <c r="AI4" s="5" t="s">
        <v>366</v>
      </c>
      <c r="AJ4" s="5" t="s">
        <v>385</v>
      </c>
      <c r="AK4" s="5">
        <v>610422020016</v>
      </c>
      <c r="AL4" s="5" t="e">
        <f t="shared" si="3"/>
        <v>#VALUE!</v>
      </c>
    </row>
    <row r="5" spans="1:38" ht="12.5">
      <c r="A5" s="10" t="str">
        <f t="shared" si="0"/>
        <v>Abdul Gani</v>
      </c>
      <c r="B5" s="5">
        <f t="shared" si="1"/>
        <v>610423110168</v>
      </c>
      <c r="C5" s="5" t="str">
        <f t="shared" si="2"/>
        <v>Abdul Gani</v>
      </c>
      <c r="D5" s="5" t="s">
        <v>363</v>
      </c>
      <c r="E5" s="5" t="e">
        <f t="array" ref="E5">INDEX('Master SLS'!$H$2:$H998,MATCH($AL5,'Master SLS'!$K$2:$K998,0))</f>
        <v>#VALUE!</v>
      </c>
      <c r="F5" s="5" t="e">
        <f t="array" ref="F5">INDEX('Master SLS'!$I$2:$I998,MATCH($AL5,'Master SLS'!$K$2:$K998,0))</f>
        <v>#VALUE!</v>
      </c>
      <c r="G5" s="5" t="s">
        <v>386</v>
      </c>
      <c r="H5" s="5" t="s">
        <v>387</v>
      </c>
      <c r="I5" s="5" t="s">
        <v>388</v>
      </c>
      <c r="J5" s="5">
        <v>1</v>
      </c>
      <c r="K5" s="5" t="s">
        <v>389</v>
      </c>
      <c r="L5" s="5">
        <v>61</v>
      </c>
      <c r="M5" s="5">
        <v>4</v>
      </c>
      <c r="N5" s="5">
        <v>100</v>
      </c>
      <c r="O5" s="5">
        <v>14</v>
      </c>
      <c r="P5" s="5" t="s">
        <v>390</v>
      </c>
      <c r="Q5" s="5">
        <v>1</v>
      </c>
      <c r="R5" s="74">
        <v>35206</v>
      </c>
      <c r="S5" s="5" t="s">
        <v>391</v>
      </c>
      <c r="T5" s="5">
        <v>1</v>
      </c>
      <c r="U5" s="5">
        <v>1</v>
      </c>
      <c r="V5" s="5">
        <v>2</v>
      </c>
      <c r="W5" s="5">
        <v>5</v>
      </c>
      <c r="X5" s="5">
        <v>5</v>
      </c>
      <c r="AA5" s="5">
        <v>1</v>
      </c>
      <c r="AB5" s="5">
        <v>1</v>
      </c>
      <c r="AC5" s="5">
        <v>0</v>
      </c>
      <c r="AD5" s="5">
        <v>0</v>
      </c>
      <c r="AE5" s="5">
        <v>0</v>
      </c>
      <c r="AF5" s="5">
        <v>0</v>
      </c>
      <c r="AG5" s="5">
        <v>0</v>
      </c>
      <c r="AH5" s="5" t="s">
        <v>392</v>
      </c>
      <c r="AI5" s="5" t="s">
        <v>388</v>
      </c>
      <c r="AJ5" s="5" t="s">
        <v>393</v>
      </c>
      <c r="AK5" s="5">
        <v>610423110168</v>
      </c>
      <c r="AL5" s="5" t="e">
        <f t="shared" si="3"/>
        <v>#VALUE!</v>
      </c>
    </row>
    <row r="6" spans="1:38" ht="12.5">
      <c r="A6" s="10" t="str">
        <f t="shared" si="0"/>
        <v>Abdul Haris</v>
      </c>
      <c r="B6" s="5">
        <f t="shared" si="1"/>
        <v>610423110027</v>
      </c>
      <c r="C6" s="5" t="str">
        <f t="shared" si="2"/>
        <v>ABDUL HARIS</v>
      </c>
      <c r="D6" s="5" t="s">
        <v>363</v>
      </c>
      <c r="E6" s="5" t="e">
        <f t="array" ref="E6">INDEX('Master SLS'!$H$2:$H998,MATCH($AL6,'Master SLS'!$K$2:$K998,0))</f>
        <v>#VALUE!</v>
      </c>
      <c r="F6" s="5" t="e">
        <f t="array" ref="F6">INDEX('Master SLS'!$I$2:$I998,MATCH($AL6,'Master SLS'!$K$2:$K998,0))</f>
        <v>#VALUE!</v>
      </c>
      <c r="G6" s="5" t="s">
        <v>394</v>
      </c>
      <c r="H6" s="5" t="s">
        <v>395</v>
      </c>
      <c r="I6" s="5" t="s">
        <v>388</v>
      </c>
      <c r="J6" s="5">
        <v>1</v>
      </c>
      <c r="K6" s="5" t="s">
        <v>396</v>
      </c>
      <c r="L6" s="5">
        <v>61</v>
      </c>
      <c r="M6" s="5">
        <v>4</v>
      </c>
      <c r="N6" s="5">
        <v>80</v>
      </c>
      <c r="O6" s="5">
        <v>4</v>
      </c>
      <c r="P6" s="5" t="s">
        <v>397</v>
      </c>
      <c r="Q6" s="5">
        <v>1</v>
      </c>
      <c r="R6" s="74">
        <v>31115</v>
      </c>
      <c r="S6" s="5" t="s">
        <v>398</v>
      </c>
      <c r="T6" s="5">
        <v>1</v>
      </c>
      <c r="U6" s="5">
        <v>1</v>
      </c>
      <c r="V6" s="5">
        <v>2</v>
      </c>
      <c r="W6" s="5">
        <v>5</v>
      </c>
      <c r="X6" s="5">
        <v>2</v>
      </c>
      <c r="AA6" s="5">
        <v>0</v>
      </c>
      <c r="AB6" s="5">
        <v>0</v>
      </c>
      <c r="AC6" s="5">
        <v>0</v>
      </c>
      <c r="AD6" s="5">
        <v>0</v>
      </c>
      <c r="AE6" s="5">
        <v>0</v>
      </c>
      <c r="AF6" s="5">
        <v>0</v>
      </c>
      <c r="AG6" s="5">
        <v>0</v>
      </c>
      <c r="AH6" s="5" t="s">
        <v>399</v>
      </c>
      <c r="AI6" s="5" t="s">
        <v>388</v>
      </c>
      <c r="AJ6" s="5" t="s">
        <v>400</v>
      </c>
      <c r="AK6" s="5">
        <v>610423110027</v>
      </c>
      <c r="AL6" s="5" t="e">
        <f t="shared" si="3"/>
        <v>#VALUE!</v>
      </c>
    </row>
    <row r="7" spans="1:38" ht="12.5">
      <c r="A7" s="10" t="str">
        <f t="shared" si="0"/>
        <v>Abdul Latif</v>
      </c>
      <c r="B7" s="5">
        <f t="shared" si="1"/>
        <v>610422020050</v>
      </c>
      <c r="C7" s="5" t="str">
        <f t="shared" si="2"/>
        <v>Abdul latif</v>
      </c>
      <c r="D7" s="5" t="s">
        <v>363</v>
      </c>
      <c r="E7" s="5" t="e">
        <f t="array" ref="E7">INDEX('Master SLS'!$H$2:$H998,MATCH($AL7,'Master SLS'!$K$2:$K998,0))</f>
        <v>#VALUE!</v>
      </c>
      <c r="F7" s="5" t="e">
        <f t="array" ref="F7">INDEX('Master SLS'!$I$2:$I998,MATCH($AL7,'Master SLS'!$K$2:$K998,0))</f>
        <v>#VALUE!</v>
      </c>
      <c r="G7" s="5" t="s">
        <v>401</v>
      </c>
      <c r="H7" s="5" t="s">
        <v>402</v>
      </c>
      <c r="I7" s="5" t="s">
        <v>366</v>
      </c>
      <c r="J7" s="5">
        <v>1</v>
      </c>
      <c r="K7" s="5" t="s">
        <v>403</v>
      </c>
      <c r="L7" s="5">
        <v>61</v>
      </c>
      <c r="M7" s="5">
        <v>4</v>
      </c>
      <c r="N7" s="5">
        <v>90</v>
      </c>
      <c r="O7" s="5">
        <v>4</v>
      </c>
      <c r="P7" s="5" t="s">
        <v>404</v>
      </c>
      <c r="Q7" s="5">
        <v>1</v>
      </c>
      <c r="R7" s="74">
        <v>29597</v>
      </c>
      <c r="T7" s="5">
        <v>1</v>
      </c>
      <c r="U7" s="5">
        <v>1</v>
      </c>
      <c r="V7" s="5">
        <v>2</v>
      </c>
      <c r="W7" s="5">
        <v>3</v>
      </c>
      <c r="X7" s="5">
        <v>5</v>
      </c>
      <c r="Y7" s="5"/>
      <c r="AA7" s="5">
        <v>1</v>
      </c>
      <c r="AB7" s="5">
        <v>0</v>
      </c>
      <c r="AC7" s="5">
        <v>0</v>
      </c>
      <c r="AD7" s="5">
        <v>0</v>
      </c>
      <c r="AE7" s="5">
        <v>0</v>
      </c>
      <c r="AF7" s="5">
        <v>1</v>
      </c>
      <c r="AG7" s="5">
        <v>0</v>
      </c>
      <c r="AH7" s="5" t="s">
        <v>405</v>
      </c>
      <c r="AI7" s="5" t="s">
        <v>366</v>
      </c>
      <c r="AJ7" s="5" t="s">
        <v>406</v>
      </c>
      <c r="AK7" s="5">
        <v>610422020050</v>
      </c>
      <c r="AL7" s="5" t="e">
        <f t="shared" si="3"/>
        <v>#VALUE!</v>
      </c>
    </row>
    <row r="8" spans="1:38" ht="12.5">
      <c r="A8" s="10" t="str">
        <f t="shared" si="0"/>
        <v>Abdul Rokhim</v>
      </c>
      <c r="B8" s="5">
        <f t="shared" si="1"/>
        <v>610422020017</v>
      </c>
      <c r="C8" s="5" t="str">
        <f t="shared" si="2"/>
        <v>Abdul rokhim</v>
      </c>
      <c r="D8" s="5" t="s">
        <v>363</v>
      </c>
      <c r="E8" s="5" t="e">
        <f t="array" ref="E8">INDEX('Master SLS'!$H$2:$H998,MATCH($AL8,'Master SLS'!$K$2:$K998,0))</f>
        <v>#VALUE!</v>
      </c>
      <c r="F8" s="5" t="e">
        <f t="array" ref="F8">INDEX('Master SLS'!$I$2:$I998,MATCH($AL8,'Master SLS'!$K$2:$K998,0))</f>
        <v>#VALUE!</v>
      </c>
      <c r="G8" s="5" t="s">
        <v>407</v>
      </c>
      <c r="H8" s="5" t="s">
        <v>408</v>
      </c>
      <c r="I8" s="5" t="s">
        <v>366</v>
      </c>
      <c r="J8" s="5">
        <v>1</v>
      </c>
      <c r="K8" s="5" t="s">
        <v>409</v>
      </c>
      <c r="L8" s="5">
        <v>61</v>
      </c>
      <c r="M8" s="5">
        <v>4</v>
      </c>
      <c r="N8" s="5">
        <v>120</v>
      </c>
      <c r="O8" s="5">
        <v>2</v>
      </c>
      <c r="P8" s="5" t="s">
        <v>410</v>
      </c>
      <c r="Q8" s="5">
        <v>1</v>
      </c>
      <c r="R8" s="74">
        <v>33569</v>
      </c>
      <c r="T8" s="5">
        <v>1</v>
      </c>
      <c r="U8" s="5">
        <v>1</v>
      </c>
      <c r="V8" s="5">
        <v>2</v>
      </c>
      <c r="W8" s="5">
        <v>4</v>
      </c>
      <c r="X8" s="5">
        <v>3</v>
      </c>
      <c r="AA8" s="5">
        <v>1</v>
      </c>
      <c r="AB8" s="5">
        <v>1</v>
      </c>
      <c r="AC8" s="5">
        <v>1</v>
      </c>
      <c r="AD8" s="5">
        <v>1</v>
      </c>
      <c r="AE8" s="5">
        <v>1</v>
      </c>
      <c r="AF8" s="5">
        <v>0</v>
      </c>
      <c r="AG8" s="5">
        <v>0</v>
      </c>
      <c r="AH8" s="5" t="s">
        <v>411</v>
      </c>
      <c r="AI8" s="5" t="s">
        <v>366</v>
      </c>
      <c r="AJ8" s="5" t="s">
        <v>412</v>
      </c>
      <c r="AK8" s="5">
        <v>610422020017</v>
      </c>
      <c r="AL8" s="5" t="e">
        <f t="shared" si="3"/>
        <v>#VALUE!</v>
      </c>
    </row>
    <row r="9" spans="1:38" ht="12.5">
      <c r="A9" s="10" t="str">
        <f t="shared" si="0"/>
        <v>Abdullah</v>
      </c>
      <c r="B9" s="5">
        <f t="shared" si="1"/>
        <v>610422100042</v>
      </c>
      <c r="C9" s="5" t="str">
        <f t="shared" si="2"/>
        <v>Abdullah</v>
      </c>
      <c r="D9" s="5" t="s">
        <v>363</v>
      </c>
      <c r="E9" s="5" t="e">
        <f t="array" ref="E9">INDEX('Master SLS'!$H$2:$H998,MATCH($AL9,'Master SLS'!$K$2:$K998,0))</f>
        <v>#VALUE!</v>
      </c>
      <c r="F9" s="5" t="e">
        <f t="array" ref="F9">INDEX('Master SLS'!$I$2:$I998,MATCH($AL9,'Master SLS'!$K$2:$K998,0))</f>
        <v>#VALUE!</v>
      </c>
      <c r="G9" s="5" t="s">
        <v>413</v>
      </c>
      <c r="H9" s="5" t="s">
        <v>414</v>
      </c>
      <c r="I9" s="5" t="s">
        <v>366</v>
      </c>
      <c r="J9" s="5">
        <v>1</v>
      </c>
      <c r="K9" s="5" t="s">
        <v>415</v>
      </c>
      <c r="L9" s="5">
        <v>61</v>
      </c>
      <c r="M9" s="5">
        <v>4</v>
      </c>
      <c r="N9" s="5">
        <v>110</v>
      </c>
      <c r="O9" s="5">
        <v>8</v>
      </c>
      <c r="P9" s="5" t="s">
        <v>416</v>
      </c>
      <c r="Q9" s="5">
        <v>1</v>
      </c>
      <c r="R9" s="74">
        <v>35766</v>
      </c>
      <c r="T9" s="5">
        <v>1</v>
      </c>
      <c r="U9" s="5">
        <v>1</v>
      </c>
      <c r="V9" s="5">
        <v>1</v>
      </c>
      <c r="W9" s="5">
        <v>5</v>
      </c>
      <c r="X9" s="5">
        <v>5</v>
      </c>
      <c r="AA9" s="5">
        <v>1</v>
      </c>
      <c r="AB9" s="5">
        <v>1</v>
      </c>
      <c r="AC9" s="5">
        <v>0</v>
      </c>
      <c r="AD9" s="5">
        <v>0</v>
      </c>
      <c r="AE9" s="5">
        <v>1</v>
      </c>
      <c r="AF9" s="5">
        <v>0</v>
      </c>
      <c r="AG9" s="5">
        <v>0</v>
      </c>
      <c r="AH9" s="5" t="s">
        <v>417</v>
      </c>
      <c r="AI9" s="5" t="s">
        <v>366</v>
      </c>
      <c r="AJ9" s="5" t="s">
        <v>418</v>
      </c>
      <c r="AK9" s="5">
        <v>610422100042</v>
      </c>
      <c r="AL9" s="5" t="e">
        <f t="shared" si="3"/>
        <v>#VALUE!</v>
      </c>
    </row>
    <row r="10" spans="1:38" ht="32.25" customHeight="1">
      <c r="A10" s="10" t="str">
        <f t="shared" si="0"/>
        <v>Abdurahman</v>
      </c>
      <c r="B10" s="5">
        <f t="shared" si="1"/>
        <v>610422100070</v>
      </c>
      <c r="C10" s="5" t="str">
        <f t="shared" si="2"/>
        <v>Abdurahman</v>
      </c>
      <c r="D10" s="5" t="s">
        <v>363</v>
      </c>
      <c r="E10" s="5" t="e">
        <f t="array" ref="E10">INDEX('Master SLS'!$H$2:$H998,MATCH($AL10,'Master SLS'!$K$2:$K998,0))</f>
        <v>#VALUE!</v>
      </c>
      <c r="F10" s="5" t="e">
        <f t="array" ref="F10">INDEX('Master SLS'!$I$2:$I998,MATCH($AL10,'Master SLS'!$K$2:$K998,0))</f>
        <v>#VALUE!</v>
      </c>
      <c r="G10" s="5" t="s">
        <v>419</v>
      </c>
      <c r="H10" s="5" t="s">
        <v>420</v>
      </c>
      <c r="I10" s="5" t="s">
        <v>366</v>
      </c>
      <c r="J10" s="5">
        <v>1</v>
      </c>
      <c r="K10" s="5" t="s">
        <v>421</v>
      </c>
      <c r="L10" s="5">
        <v>61</v>
      </c>
      <c r="M10" s="5">
        <v>4</v>
      </c>
      <c r="N10" s="5">
        <v>101</v>
      </c>
      <c r="O10" s="5">
        <v>7</v>
      </c>
      <c r="P10" s="5" t="s">
        <v>422</v>
      </c>
      <c r="Q10" s="5">
        <v>1</v>
      </c>
      <c r="R10" s="7">
        <v>34279</v>
      </c>
      <c r="S10" s="5" t="s">
        <v>423</v>
      </c>
      <c r="T10" s="5">
        <v>1</v>
      </c>
      <c r="U10" s="5">
        <v>1</v>
      </c>
      <c r="V10" s="5">
        <v>2</v>
      </c>
      <c r="W10" s="5">
        <v>5</v>
      </c>
      <c r="X10" s="5">
        <v>3</v>
      </c>
      <c r="Y10" s="5"/>
      <c r="AA10" s="5">
        <v>0</v>
      </c>
      <c r="AB10" s="5">
        <v>0</v>
      </c>
      <c r="AC10" s="5">
        <v>0</v>
      </c>
      <c r="AD10" s="5">
        <v>0</v>
      </c>
      <c r="AE10" s="5">
        <v>0</v>
      </c>
      <c r="AF10" s="5">
        <v>0</v>
      </c>
      <c r="AG10" s="5">
        <v>0</v>
      </c>
      <c r="AH10" s="5" t="s">
        <v>424</v>
      </c>
      <c r="AI10" s="5" t="s">
        <v>366</v>
      </c>
      <c r="AJ10" s="5" t="s">
        <v>425</v>
      </c>
      <c r="AK10" s="5">
        <v>610422100070</v>
      </c>
      <c r="AL10" s="5" t="e">
        <f t="shared" si="3"/>
        <v>#VALUE!</v>
      </c>
    </row>
    <row r="11" spans="1:38" ht="12.5">
      <c r="A11" s="10" t="str">
        <f t="shared" si="0"/>
        <v>Achmad Fikri Alfarisy</v>
      </c>
      <c r="B11" s="5">
        <f t="shared" si="1"/>
        <v>610423030007</v>
      </c>
      <c r="C11" s="5" t="str">
        <f t="shared" si="2"/>
        <v>Achmad Fikri Alfarisy</v>
      </c>
      <c r="D11" s="5" t="s">
        <v>363</v>
      </c>
      <c r="E11" s="5" t="e">
        <f t="array" ref="E11">INDEX('Master SLS'!$H$2:$H998,MATCH($AL11,'Master SLS'!$K$2:$K998,0))</f>
        <v>#VALUE!</v>
      </c>
      <c r="F11" s="5" t="e">
        <f t="array" ref="F11">INDEX('Master SLS'!$I$2:$I998,MATCH($AL11,'Master SLS'!$K$2:$K998,0))</f>
        <v>#VALUE!</v>
      </c>
      <c r="G11" s="5" t="s">
        <v>426</v>
      </c>
      <c r="H11" s="5" t="s">
        <v>427</v>
      </c>
      <c r="I11" s="5" t="s">
        <v>388</v>
      </c>
      <c r="J11" s="5">
        <v>1</v>
      </c>
      <c r="K11" s="5" t="s">
        <v>428</v>
      </c>
      <c r="L11" s="5">
        <v>61</v>
      </c>
      <c r="M11" s="5">
        <v>4</v>
      </c>
      <c r="N11" s="5">
        <v>110</v>
      </c>
      <c r="O11" s="5">
        <v>6</v>
      </c>
      <c r="P11" s="5" t="s">
        <v>429</v>
      </c>
      <c r="Q11" s="5">
        <v>1</v>
      </c>
      <c r="R11" s="74">
        <v>38020</v>
      </c>
      <c r="S11" s="5" t="s">
        <v>430</v>
      </c>
      <c r="T11" s="5">
        <v>1</v>
      </c>
      <c r="U11" s="5">
        <v>1</v>
      </c>
      <c r="V11" s="5">
        <v>1</v>
      </c>
      <c r="W11" s="5">
        <v>3</v>
      </c>
      <c r="X11" s="5">
        <v>6</v>
      </c>
      <c r="AA11" s="5">
        <v>1</v>
      </c>
      <c r="AB11" s="5">
        <v>0</v>
      </c>
      <c r="AC11" s="5">
        <v>1</v>
      </c>
      <c r="AD11" s="5">
        <v>0</v>
      </c>
      <c r="AE11" s="5">
        <v>0</v>
      </c>
      <c r="AF11" s="5">
        <v>0</v>
      </c>
      <c r="AG11" s="5">
        <v>0</v>
      </c>
      <c r="AI11" s="5" t="s">
        <v>388</v>
      </c>
      <c r="AJ11" s="5" t="s">
        <v>431</v>
      </c>
      <c r="AK11" s="5">
        <v>610423030007</v>
      </c>
      <c r="AL11" s="5" t="e">
        <f t="shared" si="3"/>
        <v>#VALUE!</v>
      </c>
    </row>
    <row r="12" spans="1:38" ht="12.5">
      <c r="A12" s="10" t="str">
        <f t="shared" si="0"/>
        <v>Ade Suhardiono</v>
      </c>
      <c r="B12" s="5">
        <f t="shared" si="1"/>
        <v>610423110118</v>
      </c>
      <c r="C12" s="5" t="str">
        <f t="shared" si="2"/>
        <v>Ade Suhardiono</v>
      </c>
      <c r="D12" s="5" t="s">
        <v>363</v>
      </c>
      <c r="E12" s="5" t="e">
        <f t="array" ref="E12">INDEX('Master SLS'!$H$2:$H998,MATCH($AL12,'Master SLS'!$K$2:$K998,0))</f>
        <v>#VALUE!</v>
      </c>
      <c r="F12" s="5" t="e">
        <f t="array" ref="F12">INDEX('Master SLS'!$I$2:$I998,MATCH($AL12,'Master SLS'!$K$2:$K998,0))</f>
        <v>#VALUE!</v>
      </c>
      <c r="G12" s="5" t="s">
        <v>432</v>
      </c>
      <c r="H12" s="5" t="s">
        <v>433</v>
      </c>
      <c r="I12" s="5" t="s">
        <v>366</v>
      </c>
      <c r="J12" s="5">
        <v>1</v>
      </c>
      <c r="K12" s="5" t="s">
        <v>434</v>
      </c>
      <c r="L12" s="5">
        <v>61</v>
      </c>
      <c r="M12" s="5">
        <v>4</v>
      </c>
      <c r="N12" s="5">
        <v>101</v>
      </c>
      <c r="O12" s="5">
        <v>6</v>
      </c>
      <c r="P12" s="5" t="s">
        <v>435</v>
      </c>
      <c r="Q12" s="5">
        <v>1</v>
      </c>
      <c r="R12" s="74">
        <v>32633</v>
      </c>
      <c r="S12" s="5" t="s">
        <v>436</v>
      </c>
      <c r="T12" s="5">
        <v>1</v>
      </c>
      <c r="U12" s="5">
        <v>1</v>
      </c>
      <c r="V12" s="5">
        <v>2</v>
      </c>
      <c r="W12" s="5">
        <v>5</v>
      </c>
      <c r="X12" s="5">
        <v>7</v>
      </c>
      <c r="Y12" s="5" t="s">
        <v>437</v>
      </c>
      <c r="AA12" s="5">
        <v>0</v>
      </c>
      <c r="AB12" s="5">
        <v>0</v>
      </c>
      <c r="AC12" s="5">
        <v>0</v>
      </c>
      <c r="AD12" s="5">
        <v>0</v>
      </c>
      <c r="AE12" s="5">
        <v>0</v>
      </c>
      <c r="AF12" s="5">
        <v>0</v>
      </c>
      <c r="AG12" s="5">
        <v>0</v>
      </c>
      <c r="AI12" s="5" t="s">
        <v>366</v>
      </c>
      <c r="AJ12" s="5" t="s">
        <v>438</v>
      </c>
      <c r="AK12" s="5">
        <v>610423110118</v>
      </c>
      <c r="AL12" s="5" t="e">
        <f t="shared" si="3"/>
        <v>#VALUE!</v>
      </c>
    </row>
    <row r="13" spans="1:38" ht="12.5">
      <c r="A13" s="10" t="str">
        <f t="shared" si="0"/>
        <v>Adetia Indarti</v>
      </c>
      <c r="B13" s="5">
        <f t="shared" si="1"/>
        <v>610423110146</v>
      </c>
      <c r="C13" s="5" t="str">
        <f t="shared" si="2"/>
        <v>Adetia Indarti</v>
      </c>
      <c r="D13" s="5" t="s">
        <v>363</v>
      </c>
      <c r="E13" s="5" t="e">
        <f t="array" ref="E13">INDEX('Master SLS'!$H$2:$H998,MATCH($AL13,'Master SLS'!$K$2:$K998,0))</f>
        <v>#VALUE!</v>
      </c>
      <c r="F13" s="5" t="e">
        <f t="array" ref="F13">INDEX('Master SLS'!$I$2:$I998,MATCH($AL13,'Master SLS'!$K$2:$K998,0))</f>
        <v>#VALUE!</v>
      </c>
      <c r="G13" s="5" t="s">
        <v>439</v>
      </c>
      <c r="H13" s="5" t="s">
        <v>440</v>
      </c>
      <c r="I13" s="5" t="s">
        <v>366</v>
      </c>
      <c r="J13" s="5">
        <v>1</v>
      </c>
      <c r="K13" s="5" t="s">
        <v>441</v>
      </c>
      <c r="L13" s="5">
        <v>61</v>
      </c>
      <c r="M13" s="5">
        <v>4</v>
      </c>
      <c r="N13" s="5">
        <v>120</v>
      </c>
      <c r="O13" s="5">
        <v>9</v>
      </c>
      <c r="P13" s="5" t="s">
        <v>442</v>
      </c>
      <c r="Q13" s="5">
        <v>1</v>
      </c>
      <c r="R13" s="7">
        <v>37187</v>
      </c>
      <c r="T13" s="5">
        <v>0</v>
      </c>
      <c r="U13" s="5">
        <v>1</v>
      </c>
      <c r="V13" s="5">
        <v>1</v>
      </c>
      <c r="W13" s="5">
        <v>4</v>
      </c>
      <c r="X13" s="5">
        <v>7</v>
      </c>
      <c r="Y13" s="5" t="s">
        <v>443</v>
      </c>
      <c r="AA13" s="5">
        <v>0</v>
      </c>
      <c r="AB13" s="5">
        <v>0</v>
      </c>
      <c r="AC13" s="5">
        <v>0</v>
      </c>
      <c r="AD13" s="5">
        <v>0</v>
      </c>
      <c r="AE13" s="5">
        <v>0</v>
      </c>
      <c r="AF13" s="5">
        <v>0</v>
      </c>
      <c r="AG13" s="5">
        <v>0</v>
      </c>
      <c r="AI13" s="5" t="s">
        <v>366</v>
      </c>
      <c r="AJ13" s="5" t="s">
        <v>444</v>
      </c>
      <c r="AK13" s="5">
        <v>610423110146</v>
      </c>
      <c r="AL13" s="5" t="e">
        <f t="shared" si="3"/>
        <v>#VALUE!</v>
      </c>
    </row>
    <row r="14" spans="1:38" ht="12.5">
      <c r="A14" s="10" t="str">
        <f t="shared" si="0"/>
        <v>Adriansyah</v>
      </c>
      <c r="B14" s="5">
        <f t="shared" si="1"/>
        <v>610423110043</v>
      </c>
      <c r="C14" s="5" t="str">
        <f t="shared" si="2"/>
        <v>Adriansyah</v>
      </c>
      <c r="D14" s="5" t="s">
        <v>363</v>
      </c>
      <c r="E14" s="5" t="e">
        <f t="array" ref="E14">INDEX('Master SLS'!$H$2:$H998,MATCH($AL14,'Master SLS'!$K$2:$K998,0))</f>
        <v>#VALUE!</v>
      </c>
      <c r="F14" s="5" t="e">
        <f t="array" ref="F14">INDEX('Master SLS'!$I$2:$I998,MATCH($AL14,'Master SLS'!$K$2:$K998,0))</f>
        <v>#VALUE!</v>
      </c>
      <c r="G14" s="5" t="s">
        <v>445</v>
      </c>
      <c r="H14" s="5" t="s">
        <v>446</v>
      </c>
      <c r="I14" s="5" t="s">
        <v>388</v>
      </c>
      <c r="J14" s="5">
        <v>1</v>
      </c>
      <c r="K14" s="5" t="s">
        <v>447</v>
      </c>
      <c r="L14" s="5">
        <v>61</v>
      </c>
      <c r="M14" s="5">
        <v>4</v>
      </c>
      <c r="N14" s="5">
        <v>100</v>
      </c>
      <c r="O14" s="5">
        <v>8</v>
      </c>
      <c r="P14" s="5" t="s">
        <v>448</v>
      </c>
      <c r="Q14" s="5">
        <v>1</v>
      </c>
      <c r="R14" s="74">
        <v>34260</v>
      </c>
      <c r="S14" s="5" t="s">
        <v>449</v>
      </c>
      <c r="T14" s="5">
        <v>1</v>
      </c>
      <c r="U14" s="5">
        <v>1</v>
      </c>
      <c r="V14" s="5">
        <v>1</v>
      </c>
      <c r="W14" s="5">
        <v>5</v>
      </c>
      <c r="X14" s="5">
        <v>7</v>
      </c>
      <c r="Y14" s="5" t="s">
        <v>376</v>
      </c>
      <c r="AA14" s="5">
        <v>0</v>
      </c>
      <c r="AB14" s="5">
        <v>0</v>
      </c>
      <c r="AC14" s="5">
        <v>0</v>
      </c>
      <c r="AD14" s="5">
        <v>0</v>
      </c>
      <c r="AE14" s="5">
        <v>0</v>
      </c>
      <c r="AF14" s="5">
        <v>0</v>
      </c>
      <c r="AG14" s="5">
        <v>0</v>
      </c>
      <c r="AI14" s="5" t="s">
        <v>388</v>
      </c>
      <c r="AJ14" s="5" t="s">
        <v>450</v>
      </c>
      <c r="AK14" s="5">
        <v>610423110043</v>
      </c>
      <c r="AL14" s="5" t="e">
        <f t="shared" si="3"/>
        <v>#VALUE!</v>
      </c>
    </row>
    <row r="15" spans="1:38" ht="12.5">
      <c r="A15" s="10" t="str">
        <f t="shared" si="0"/>
        <v>Afifah Setiawati</v>
      </c>
      <c r="B15" s="5">
        <f t="shared" si="1"/>
        <v>610423110039</v>
      </c>
      <c r="C15" s="5" t="str">
        <f t="shared" si="2"/>
        <v>Afifah setiawati</v>
      </c>
      <c r="D15" s="5" t="s">
        <v>363</v>
      </c>
      <c r="E15" s="5" t="e">
        <f t="array" ref="E15">INDEX('Master SLS'!$H$2:$H998,MATCH($AL15,'Master SLS'!$K$2:$K998,0))</f>
        <v>#VALUE!</v>
      </c>
      <c r="F15" s="5" t="e">
        <f t="array" ref="F15">INDEX('Master SLS'!$I$2:$I998,MATCH($AL15,'Master SLS'!$K$2:$K998,0))</f>
        <v>#VALUE!</v>
      </c>
      <c r="G15" s="5" t="s">
        <v>451</v>
      </c>
      <c r="H15" s="5" t="s">
        <v>452</v>
      </c>
      <c r="I15" s="5" t="s">
        <v>388</v>
      </c>
      <c r="J15" s="5">
        <v>1</v>
      </c>
      <c r="K15" s="5" t="s">
        <v>453</v>
      </c>
      <c r="L15" s="5">
        <v>61</v>
      </c>
      <c r="M15" s="5">
        <v>4</v>
      </c>
      <c r="N15" s="5">
        <v>100</v>
      </c>
      <c r="O15" s="5">
        <v>14</v>
      </c>
      <c r="P15" s="5" t="s">
        <v>454</v>
      </c>
      <c r="Q15" s="5">
        <v>1</v>
      </c>
      <c r="R15" s="74">
        <v>36842</v>
      </c>
      <c r="S15" s="5" t="s">
        <v>455</v>
      </c>
      <c r="T15" s="5">
        <v>0</v>
      </c>
      <c r="U15" s="5">
        <v>1</v>
      </c>
      <c r="V15" s="5">
        <v>1</v>
      </c>
      <c r="W15" s="5">
        <v>4</v>
      </c>
      <c r="X15" s="5">
        <v>7</v>
      </c>
      <c r="Y15" s="5" t="s">
        <v>456</v>
      </c>
      <c r="AA15" s="5">
        <v>0</v>
      </c>
      <c r="AB15" s="5">
        <v>0</v>
      </c>
      <c r="AC15" s="5">
        <v>0</v>
      </c>
      <c r="AD15" s="5">
        <v>0</v>
      </c>
      <c r="AE15" s="5">
        <v>0</v>
      </c>
      <c r="AF15" s="5">
        <v>0</v>
      </c>
      <c r="AG15" s="5">
        <v>0</v>
      </c>
      <c r="AH15" s="5" t="s">
        <v>457</v>
      </c>
      <c r="AI15" s="5" t="s">
        <v>388</v>
      </c>
      <c r="AJ15" s="5" t="s">
        <v>458</v>
      </c>
      <c r="AK15" s="5">
        <v>610423110039</v>
      </c>
      <c r="AL15" s="5" t="e">
        <f t="shared" si="3"/>
        <v>#VALUE!</v>
      </c>
    </row>
    <row r="16" spans="1:38" ht="12.5">
      <c r="A16" s="10" t="str">
        <f t="shared" si="0"/>
        <v>Agil Dwi Irawan</v>
      </c>
      <c r="B16" s="5">
        <f t="shared" si="1"/>
        <v>610422100218</v>
      </c>
      <c r="C16" s="5" t="str">
        <f t="shared" si="2"/>
        <v>AGIL DWI IRAWAN</v>
      </c>
      <c r="D16" s="5" t="s">
        <v>363</v>
      </c>
      <c r="E16" s="5" t="e">
        <f t="array" ref="E16">INDEX('Master SLS'!$H$2:$H998,MATCH($AL16,'Master SLS'!$K$2:$K998,0))</f>
        <v>#VALUE!</v>
      </c>
      <c r="F16" s="5" t="e">
        <f t="array" ref="F16">INDEX('Master SLS'!$I$2:$I998,MATCH($AL16,'Master SLS'!$K$2:$K998,0))</f>
        <v>#VALUE!</v>
      </c>
      <c r="G16" s="5" t="s">
        <v>459</v>
      </c>
      <c r="H16" s="5" t="s">
        <v>460</v>
      </c>
      <c r="I16" s="5" t="s">
        <v>366</v>
      </c>
      <c r="J16" s="5">
        <v>1</v>
      </c>
      <c r="K16" s="5" t="s">
        <v>461</v>
      </c>
      <c r="L16" s="5">
        <v>61</v>
      </c>
      <c r="M16" s="5">
        <v>4</v>
      </c>
      <c r="N16" s="5">
        <v>80</v>
      </c>
      <c r="O16" s="5">
        <v>6</v>
      </c>
      <c r="P16" s="5" t="s">
        <v>462</v>
      </c>
      <c r="Q16" s="5">
        <v>1</v>
      </c>
      <c r="R16" s="74">
        <v>36275</v>
      </c>
      <c r="T16" s="5">
        <v>1</v>
      </c>
      <c r="U16" s="5">
        <v>1</v>
      </c>
      <c r="V16" s="5">
        <v>1</v>
      </c>
      <c r="W16" s="5">
        <v>4</v>
      </c>
      <c r="X16" s="5">
        <v>7</v>
      </c>
      <c r="Y16" s="5" t="s">
        <v>463</v>
      </c>
      <c r="AA16" s="5">
        <v>1</v>
      </c>
      <c r="AB16" s="5">
        <v>0</v>
      </c>
      <c r="AC16" s="5">
        <v>1</v>
      </c>
      <c r="AD16" s="5">
        <v>0</v>
      </c>
      <c r="AE16" s="5">
        <v>0</v>
      </c>
      <c r="AF16" s="5">
        <v>0</v>
      </c>
      <c r="AG16" s="5">
        <v>0</v>
      </c>
      <c r="AI16" s="5" t="s">
        <v>366</v>
      </c>
      <c r="AJ16" s="5" t="s">
        <v>464</v>
      </c>
      <c r="AK16" s="5">
        <v>610422100218</v>
      </c>
      <c r="AL16" s="5" t="e">
        <f t="shared" si="3"/>
        <v>#VALUE!</v>
      </c>
    </row>
    <row r="17" spans="1:38" ht="12.5">
      <c r="A17" s="10" t="str">
        <f t="shared" si="0"/>
        <v>Agnes</v>
      </c>
      <c r="B17" s="5">
        <f t="shared" si="1"/>
        <v>610422100172</v>
      </c>
      <c r="C17" s="5" t="str">
        <f t="shared" si="2"/>
        <v>Agnes</v>
      </c>
      <c r="D17" s="5" t="s">
        <v>363</v>
      </c>
      <c r="E17" s="5" t="e">
        <f t="array" ref="E17">INDEX('Master SLS'!$H$2:$H998,MATCH($AL17,'Master SLS'!$K$2:$K998,0))</f>
        <v>#VALUE!</v>
      </c>
      <c r="F17" s="5" t="e">
        <f t="array" ref="F17">INDEX('Master SLS'!$I$2:$I998,MATCH($AL17,'Master SLS'!$K$2:$K998,0))</f>
        <v>#VALUE!</v>
      </c>
      <c r="G17" s="5" t="s">
        <v>465</v>
      </c>
      <c r="H17" s="5" t="s">
        <v>466</v>
      </c>
      <c r="I17" s="5" t="s">
        <v>388</v>
      </c>
      <c r="J17" s="5">
        <v>1</v>
      </c>
      <c r="K17" s="5" t="s">
        <v>467</v>
      </c>
      <c r="L17" s="5">
        <v>61</v>
      </c>
      <c r="M17" s="5">
        <v>4</v>
      </c>
      <c r="N17" s="5">
        <v>121</v>
      </c>
      <c r="O17" s="5">
        <v>4</v>
      </c>
      <c r="P17" s="5" t="s">
        <v>468</v>
      </c>
      <c r="Q17" s="5">
        <v>1</v>
      </c>
      <c r="R17" s="7">
        <v>30599</v>
      </c>
      <c r="S17" s="5" t="s">
        <v>469</v>
      </c>
      <c r="T17" s="5">
        <v>0</v>
      </c>
      <c r="U17" s="5">
        <v>3</v>
      </c>
      <c r="V17" s="5">
        <v>2</v>
      </c>
      <c r="W17" s="5">
        <v>3</v>
      </c>
      <c r="X17" s="5">
        <v>4</v>
      </c>
      <c r="AA17" s="5">
        <v>1</v>
      </c>
      <c r="AB17" s="5">
        <v>1</v>
      </c>
      <c r="AC17" s="5">
        <v>0</v>
      </c>
      <c r="AD17" s="5">
        <v>0</v>
      </c>
      <c r="AE17" s="5">
        <v>0</v>
      </c>
      <c r="AF17" s="5">
        <v>0</v>
      </c>
      <c r="AG17" s="5">
        <v>0</v>
      </c>
      <c r="AH17" s="5" t="s">
        <v>470</v>
      </c>
      <c r="AI17" s="5" t="s">
        <v>388</v>
      </c>
      <c r="AJ17" s="5" t="s">
        <v>471</v>
      </c>
      <c r="AK17" s="5">
        <v>610422100172</v>
      </c>
      <c r="AL17" s="5" t="e">
        <f t="shared" si="3"/>
        <v>#VALUE!</v>
      </c>
    </row>
    <row r="18" spans="1:38" ht="12.5">
      <c r="A18" s="10" t="str">
        <f t="shared" si="0"/>
        <v>Agnes Sudiro</v>
      </c>
      <c r="B18" s="5">
        <f t="shared" si="1"/>
        <v>610423110070</v>
      </c>
      <c r="C18" s="5" t="str">
        <f t="shared" si="2"/>
        <v>Agnes Sudiro</v>
      </c>
      <c r="D18" s="5" t="s">
        <v>363</v>
      </c>
      <c r="E18" s="5" t="e">
        <f t="array" ref="E18">INDEX('Master SLS'!$H$2:$H998,MATCH($AL18,'Master SLS'!$K$2:$K998,0))</f>
        <v>#VALUE!</v>
      </c>
      <c r="F18" s="5" t="e">
        <f t="array" ref="F18">INDEX('Master SLS'!$I$2:$I998,MATCH($AL18,'Master SLS'!$K$2:$K998,0))</f>
        <v>#VALUE!</v>
      </c>
      <c r="G18" s="5" t="s">
        <v>472</v>
      </c>
      <c r="H18" s="5" t="s">
        <v>473</v>
      </c>
      <c r="I18" s="5" t="s">
        <v>474</v>
      </c>
      <c r="J18" s="5">
        <v>1</v>
      </c>
      <c r="K18" s="5" t="s">
        <v>475</v>
      </c>
      <c r="L18" s="5">
        <v>61</v>
      </c>
      <c r="M18" s="5">
        <v>4</v>
      </c>
      <c r="N18" s="5">
        <v>90</v>
      </c>
      <c r="O18" s="5">
        <v>1</v>
      </c>
      <c r="P18" s="5" t="s">
        <v>476</v>
      </c>
      <c r="Q18" s="5">
        <v>1</v>
      </c>
      <c r="R18" s="74">
        <v>35846</v>
      </c>
      <c r="T18" s="5">
        <v>0</v>
      </c>
      <c r="U18" s="5">
        <v>1</v>
      </c>
      <c r="V18" s="5">
        <v>1</v>
      </c>
      <c r="W18" s="5">
        <v>5</v>
      </c>
      <c r="X18" s="5">
        <v>4</v>
      </c>
      <c r="AA18" s="5">
        <v>0</v>
      </c>
      <c r="AB18" s="5">
        <v>0</v>
      </c>
      <c r="AC18" s="5">
        <v>0</v>
      </c>
      <c r="AD18" s="5">
        <v>0</v>
      </c>
      <c r="AE18" s="5">
        <v>0</v>
      </c>
      <c r="AF18" s="5">
        <v>0</v>
      </c>
      <c r="AG18" s="5">
        <v>0</v>
      </c>
      <c r="AI18" s="5" t="s">
        <v>474</v>
      </c>
      <c r="AJ18" s="5" t="s">
        <v>477</v>
      </c>
      <c r="AK18" s="5">
        <v>610423110070</v>
      </c>
      <c r="AL18" s="5" t="e">
        <f t="shared" si="3"/>
        <v>#VALUE!</v>
      </c>
    </row>
    <row r="19" spans="1:38" ht="12.5">
      <c r="A19" s="10" t="str">
        <f t="shared" si="0"/>
        <v>Agus</v>
      </c>
      <c r="B19" s="5">
        <f t="shared" si="1"/>
        <v>610423110093</v>
      </c>
      <c r="C19" s="5" t="str">
        <f t="shared" si="2"/>
        <v>Agus</v>
      </c>
      <c r="D19" s="5" t="s">
        <v>363</v>
      </c>
      <c r="E19" s="5" t="e">
        <f t="array" ref="E19">INDEX('Master SLS'!$H$2:$H998,MATCH($AL19,'Master SLS'!$K$2:$K998,0))</f>
        <v>#VALUE!</v>
      </c>
      <c r="F19" s="5" t="e">
        <f t="array" ref="F19">INDEX('Master SLS'!$I$2:$I998,MATCH($AL19,'Master SLS'!$K$2:$K998,0))</f>
        <v>#VALUE!</v>
      </c>
      <c r="G19" s="5" t="s">
        <v>478</v>
      </c>
      <c r="H19" s="5" t="s">
        <v>479</v>
      </c>
      <c r="I19" s="5" t="s">
        <v>388</v>
      </c>
      <c r="J19" s="5">
        <v>1</v>
      </c>
      <c r="K19" s="5" t="s">
        <v>480</v>
      </c>
      <c r="L19" s="5">
        <v>61</v>
      </c>
      <c r="M19" s="5">
        <v>4</v>
      </c>
      <c r="N19" s="5">
        <v>90</v>
      </c>
      <c r="O19" s="5">
        <v>10</v>
      </c>
      <c r="P19" s="5" t="s">
        <v>481</v>
      </c>
      <c r="Q19" s="5">
        <v>1</v>
      </c>
      <c r="R19" s="7">
        <v>34427</v>
      </c>
      <c r="T19" s="5">
        <v>1</v>
      </c>
      <c r="U19" s="5">
        <v>1</v>
      </c>
      <c r="V19" s="5">
        <v>2</v>
      </c>
      <c r="W19" s="5">
        <v>5</v>
      </c>
      <c r="X19" s="5">
        <v>5</v>
      </c>
      <c r="Y19" s="5"/>
      <c r="AA19" s="5">
        <v>1</v>
      </c>
      <c r="AB19" s="5">
        <v>1</v>
      </c>
      <c r="AC19" s="5">
        <v>0</v>
      </c>
      <c r="AD19" s="5">
        <v>0</v>
      </c>
      <c r="AE19" s="5">
        <v>0</v>
      </c>
      <c r="AF19" s="5">
        <v>0</v>
      </c>
      <c r="AG19" s="5">
        <v>0</v>
      </c>
      <c r="AH19" s="5"/>
      <c r="AI19" s="5" t="s">
        <v>388</v>
      </c>
      <c r="AJ19" s="5" t="s">
        <v>482</v>
      </c>
      <c r="AK19" s="5">
        <v>610423110093</v>
      </c>
      <c r="AL19" s="5" t="e">
        <f t="shared" si="3"/>
        <v>#VALUE!</v>
      </c>
    </row>
    <row r="20" spans="1:38" ht="12.5">
      <c r="A20" s="10" t="str">
        <f t="shared" si="0"/>
        <v>Agus Maulana</v>
      </c>
      <c r="B20" s="5">
        <f t="shared" si="1"/>
        <v>610423110031</v>
      </c>
      <c r="C20" s="5" t="str">
        <f t="shared" si="2"/>
        <v>Agus Maulana</v>
      </c>
      <c r="D20" s="5" t="s">
        <v>363</v>
      </c>
      <c r="E20" s="5" t="e">
        <f t="array" ref="E20">INDEX('Master SLS'!$H$2:$H998,MATCH($AL20,'Master SLS'!$K$2:$K998,0))</f>
        <v>#VALUE!</v>
      </c>
      <c r="F20" s="5" t="e">
        <f t="array" ref="F20">INDEX('Master SLS'!$I$2:$I998,MATCH($AL20,'Master SLS'!$K$2:$K998,0))</f>
        <v>#VALUE!</v>
      </c>
      <c r="G20" s="5" t="s">
        <v>483</v>
      </c>
      <c r="H20" s="5" t="s">
        <v>484</v>
      </c>
      <c r="I20" s="5" t="s">
        <v>366</v>
      </c>
      <c r="J20" s="5">
        <v>1</v>
      </c>
      <c r="K20" s="5" t="s">
        <v>485</v>
      </c>
      <c r="L20" s="5">
        <v>61</v>
      </c>
      <c r="M20" s="5">
        <v>4</v>
      </c>
      <c r="N20" s="5">
        <v>100</v>
      </c>
      <c r="O20" s="5">
        <v>12</v>
      </c>
      <c r="P20" s="5" t="s">
        <v>486</v>
      </c>
      <c r="Q20" s="5">
        <v>1</v>
      </c>
      <c r="R20" s="74">
        <v>37116</v>
      </c>
      <c r="S20" s="5" t="s">
        <v>487</v>
      </c>
      <c r="T20" s="5">
        <v>1</v>
      </c>
      <c r="U20" s="5">
        <v>1</v>
      </c>
      <c r="V20" s="5">
        <v>1</v>
      </c>
      <c r="W20" s="5">
        <v>3</v>
      </c>
      <c r="X20" s="5">
        <v>6</v>
      </c>
      <c r="AA20" s="5">
        <v>0</v>
      </c>
      <c r="AB20" s="5">
        <v>0</v>
      </c>
      <c r="AC20" s="5">
        <v>0</v>
      </c>
      <c r="AD20" s="5">
        <v>0</v>
      </c>
      <c r="AE20" s="5">
        <v>0</v>
      </c>
      <c r="AF20" s="5">
        <v>0</v>
      </c>
      <c r="AG20" s="5">
        <v>0</v>
      </c>
      <c r="AH20" s="5" t="s">
        <v>488</v>
      </c>
      <c r="AI20" s="5" t="s">
        <v>366</v>
      </c>
      <c r="AJ20" s="5" t="s">
        <v>489</v>
      </c>
      <c r="AK20" s="5">
        <v>610423110031</v>
      </c>
      <c r="AL20" s="5" t="e">
        <f t="shared" si="3"/>
        <v>#VALUE!</v>
      </c>
    </row>
    <row r="21" spans="1:38" ht="12.5">
      <c r="A21" s="10" t="str">
        <f t="shared" si="0"/>
        <v>Agus Mayadi</v>
      </c>
      <c r="B21" s="5">
        <f t="shared" si="1"/>
        <v>610423110165</v>
      </c>
      <c r="C21" s="5" t="str">
        <f t="shared" si="2"/>
        <v>AGUS MAYADI</v>
      </c>
      <c r="D21" s="5" t="s">
        <v>363</v>
      </c>
      <c r="E21" s="5" t="e">
        <f t="array" ref="E21">INDEX('Master SLS'!$H$2:$H998,MATCH($AL21,'Master SLS'!$K$2:$K998,0))</f>
        <v>#VALUE!</v>
      </c>
      <c r="F21" s="5" t="e">
        <f t="array" ref="F21">INDEX('Master SLS'!$I$2:$I998,MATCH($AL21,'Master SLS'!$K$2:$K998,0))</f>
        <v>#VALUE!</v>
      </c>
      <c r="G21" s="5" t="s">
        <v>490</v>
      </c>
      <c r="H21" s="5" t="s">
        <v>491</v>
      </c>
      <c r="I21" s="5" t="s">
        <v>366</v>
      </c>
      <c r="J21" s="5">
        <v>1</v>
      </c>
      <c r="K21" s="5" t="s">
        <v>492</v>
      </c>
      <c r="L21" s="5">
        <v>61</v>
      </c>
      <c r="M21" s="5">
        <v>4</v>
      </c>
      <c r="N21" s="5">
        <v>101</v>
      </c>
      <c r="O21" s="5">
        <v>1</v>
      </c>
      <c r="P21" s="5" t="s">
        <v>493</v>
      </c>
      <c r="Q21" s="5">
        <v>1</v>
      </c>
      <c r="R21" s="74">
        <v>33464</v>
      </c>
      <c r="S21" s="5" t="s">
        <v>494</v>
      </c>
      <c r="T21" s="5">
        <v>1</v>
      </c>
      <c r="U21" s="5">
        <v>1</v>
      </c>
      <c r="V21" s="5">
        <v>3</v>
      </c>
      <c r="W21" s="5">
        <v>3</v>
      </c>
      <c r="X21" s="5">
        <v>5</v>
      </c>
      <c r="Y21" s="5"/>
      <c r="AA21" s="5">
        <v>0</v>
      </c>
      <c r="AB21" s="5">
        <v>0</v>
      </c>
      <c r="AC21" s="5">
        <v>0</v>
      </c>
      <c r="AD21" s="5">
        <v>0</v>
      </c>
      <c r="AE21" s="5">
        <v>0</v>
      </c>
      <c r="AF21" s="5">
        <v>0</v>
      </c>
      <c r="AG21" s="5">
        <v>0</v>
      </c>
      <c r="AH21" s="5" t="s">
        <v>495</v>
      </c>
      <c r="AI21" s="5" t="s">
        <v>366</v>
      </c>
      <c r="AJ21" s="5" t="s">
        <v>496</v>
      </c>
      <c r="AK21" s="5">
        <v>610423110165</v>
      </c>
      <c r="AL21" s="5" t="e">
        <f t="shared" si="3"/>
        <v>#VALUE!</v>
      </c>
    </row>
    <row r="22" spans="1:38" ht="12.5">
      <c r="A22" s="10" t="str">
        <f t="shared" si="0"/>
        <v>Agus Supriyanto</v>
      </c>
      <c r="B22" s="5">
        <f t="shared" si="1"/>
        <v>610422020052</v>
      </c>
      <c r="C22" s="5" t="str">
        <f t="shared" si="2"/>
        <v>Agus Supriyanto</v>
      </c>
      <c r="D22" s="5" t="s">
        <v>363</v>
      </c>
      <c r="E22" s="5" t="e">
        <f t="array" ref="E22">INDEX('Master SLS'!$H$2:$H998,MATCH($AL22,'Master SLS'!$K$2:$K998,0))</f>
        <v>#VALUE!</v>
      </c>
      <c r="F22" s="5" t="e">
        <f t="array" ref="F22">INDEX('Master SLS'!$I$2:$I998,MATCH($AL22,'Master SLS'!$K$2:$K998,0))</f>
        <v>#VALUE!</v>
      </c>
      <c r="G22" s="5" t="s">
        <v>497</v>
      </c>
      <c r="H22" s="5" t="s">
        <v>498</v>
      </c>
      <c r="I22" s="5" t="s">
        <v>366</v>
      </c>
      <c r="J22" s="5">
        <v>1</v>
      </c>
      <c r="K22" s="5" t="s">
        <v>499</v>
      </c>
      <c r="L22" s="5">
        <v>61</v>
      </c>
      <c r="M22" s="5">
        <v>4</v>
      </c>
      <c r="N22" s="5">
        <v>90</v>
      </c>
      <c r="O22" s="5">
        <v>4</v>
      </c>
      <c r="P22" s="5" t="s">
        <v>500</v>
      </c>
      <c r="Q22" s="5">
        <v>1</v>
      </c>
      <c r="R22" s="74">
        <v>29177</v>
      </c>
      <c r="S22" s="5" t="s">
        <v>501</v>
      </c>
      <c r="T22" s="5">
        <v>1</v>
      </c>
      <c r="U22" s="5">
        <v>1</v>
      </c>
      <c r="V22" s="5">
        <v>2</v>
      </c>
      <c r="W22" s="5">
        <v>3</v>
      </c>
      <c r="X22" s="5">
        <v>1</v>
      </c>
      <c r="AA22" s="5">
        <v>1</v>
      </c>
      <c r="AB22" s="5">
        <v>1</v>
      </c>
      <c r="AC22" s="5">
        <v>1</v>
      </c>
      <c r="AD22" s="5">
        <v>1</v>
      </c>
      <c r="AE22" s="5">
        <v>1</v>
      </c>
      <c r="AF22" s="5">
        <v>1</v>
      </c>
      <c r="AG22" s="5">
        <v>0</v>
      </c>
      <c r="AH22" s="5" t="s">
        <v>369</v>
      </c>
      <c r="AI22" s="5" t="s">
        <v>366</v>
      </c>
      <c r="AJ22" s="5" t="s">
        <v>502</v>
      </c>
      <c r="AK22" s="5">
        <v>610422020052</v>
      </c>
      <c r="AL22" s="5" t="e">
        <f t="shared" si="3"/>
        <v>#VALUE!</v>
      </c>
    </row>
    <row r="23" spans="1:38" ht="12.5">
      <c r="A23" s="10" t="str">
        <f t="shared" si="0"/>
        <v>Agus Yahya</v>
      </c>
      <c r="B23" s="5">
        <f t="shared" si="1"/>
        <v>610423110126</v>
      </c>
      <c r="C23" s="5" t="str">
        <f t="shared" si="2"/>
        <v>Agus yahya</v>
      </c>
      <c r="D23" s="5" t="s">
        <v>363</v>
      </c>
      <c r="E23" s="5" t="e">
        <f t="array" ref="E23">INDEX('Master SLS'!$H$2:$H998,MATCH($AL23,'Master SLS'!$K$2:$K998,0))</f>
        <v>#VALUE!</v>
      </c>
      <c r="F23" s="5" t="e">
        <f t="array" ref="F23">INDEX('Master SLS'!$I$2:$I998,MATCH($AL23,'Master SLS'!$K$2:$K998,0))</f>
        <v>#VALUE!</v>
      </c>
      <c r="G23" s="5" t="s">
        <v>503</v>
      </c>
      <c r="H23" s="5" t="s">
        <v>504</v>
      </c>
      <c r="I23" s="5" t="s">
        <v>366</v>
      </c>
      <c r="J23" s="5">
        <v>1</v>
      </c>
      <c r="K23" s="5" t="s">
        <v>505</v>
      </c>
      <c r="L23" s="5">
        <v>61</v>
      </c>
      <c r="M23" s="5">
        <v>4</v>
      </c>
      <c r="N23" s="5">
        <v>90</v>
      </c>
      <c r="O23" s="5">
        <v>1</v>
      </c>
      <c r="P23" s="5" t="s">
        <v>506</v>
      </c>
      <c r="Q23" s="5">
        <v>1</v>
      </c>
      <c r="R23" s="74">
        <v>34497</v>
      </c>
      <c r="S23" s="5" t="s">
        <v>507</v>
      </c>
      <c r="T23" s="5">
        <v>1</v>
      </c>
      <c r="U23" s="5">
        <v>1</v>
      </c>
      <c r="V23" s="5">
        <v>1</v>
      </c>
      <c r="W23" s="5">
        <v>5</v>
      </c>
      <c r="X23" s="5">
        <v>7</v>
      </c>
      <c r="Y23" s="5" t="s">
        <v>508</v>
      </c>
      <c r="AA23" s="5">
        <v>0</v>
      </c>
      <c r="AB23" s="5">
        <v>0</v>
      </c>
      <c r="AC23" s="5">
        <v>0</v>
      </c>
      <c r="AD23" s="5">
        <v>0</v>
      </c>
      <c r="AE23" s="5">
        <v>0</v>
      </c>
      <c r="AF23" s="5">
        <v>0</v>
      </c>
      <c r="AG23" s="5">
        <v>0</v>
      </c>
      <c r="AI23" s="5" t="s">
        <v>366</v>
      </c>
      <c r="AJ23" s="5" t="s">
        <v>509</v>
      </c>
      <c r="AK23" s="5">
        <v>610423110126</v>
      </c>
      <c r="AL23" s="5" t="e">
        <f t="shared" si="3"/>
        <v>#VALUE!</v>
      </c>
    </row>
    <row r="24" spans="1:38" ht="12.5">
      <c r="A24" s="10" t="str">
        <f t="shared" si="0"/>
        <v>Agustia Handayani</v>
      </c>
      <c r="B24" s="5">
        <f t="shared" si="1"/>
        <v>610422100208</v>
      </c>
      <c r="C24" s="5" t="str">
        <f t="shared" si="2"/>
        <v>Agustia Handayani</v>
      </c>
      <c r="D24" s="5" t="s">
        <v>363</v>
      </c>
      <c r="E24" s="5" t="e">
        <f t="array" ref="E24">INDEX('Master SLS'!$H$2:$H998,MATCH($AL24,'Master SLS'!$K$2:$K998,0))</f>
        <v>#VALUE!</v>
      </c>
      <c r="F24" s="5" t="e">
        <f t="array" ref="F24">INDEX('Master SLS'!$I$2:$I998,MATCH($AL24,'Master SLS'!$K$2:$K998,0))</f>
        <v>#VALUE!</v>
      </c>
      <c r="G24" s="5" t="s">
        <v>510</v>
      </c>
      <c r="H24" s="5" t="s">
        <v>511</v>
      </c>
      <c r="I24" s="5" t="s">
        <v>366</v>
      </c>
      <c r="J24" s="5">
        <v>1</v>
      </c>
      <c r="K24" s="5" t="s">
        <v>512</v>
      </c>
      <c r="L24" s="5">
        <v>61</v>
      </c>
      <c r="M24" s="5">
        <v>4</v>
      </c>
      <c r="N24" s="5">
        <v>81</v>
      </c>
      <c r="O24" s="5">
        <v>2</v>
      </c>
      <c r="P24" s="5" t="s">
        <v>513</v>
      </c>
      <c r="Q24" s="5">
        <v>1</v>
      </c>
      <c r="R24" s="74">
        <v>34208</v>
      </c>
      <c r="T24" s="5">
        <v>0</v>
      </c>
      <c r="U24" s="5">
        <v>1</v>
      </c>
      <c r="V24" s="5">
        <v>2</v>
      </c>
      <c r="W24" s="5">
        <v>3</v>
      </c>
      <c r="X24" s="5">
        <v>4</v>
      </c>
      <c r="AA24" s="5">
        <v>1</v>
      </c>
      <c r="AB24" s="5">
        <v>0</v>
      </c>
      <c r="AC24" s="5">
        <v>0</v>
      </c>
      <c r="AD24" s="5">
        <v>0</v>
      </c>
      <c r="AE24" s="5">
        <v>0</v>
      </c>
      <c r="AF24" s="5">
        <v>1</v>
      </c>
      <c r="AG24" s="5">
        <v>0</v>
      </c>
      <c r="AH24" s="5"/>
      <c r="AI24" s="5" t="s">
        <v>366</v>
      </c>
      <c r="AJ24" s="5" t="s">
        <v>514</v>
      </c>
      <c r="AK24" s="5">
        <v>610422100208</v>
      </c>
      <c r="AL24" s="5" t="e">
        <f t="shared" si="3"/>
        <v>#VALUE!</v>
      </c>
    </row>
    <row r="25" spans="1:38" ht="12.5">
      <c r="A25" s="10" t="str">
        <f t="shared" si="0"/>
        <v>Ahmad</v>
      </c>
      <c r="B25" s="5">
        <f t="shared" si="1"/>
        <v>610422100166</v>
      </c>
      <c r="C25" s="5" t="str">
        <f t="shared" si="2"/>
        <v>Ahmad</v>
      </c>
      <c r="D25" s="5" t="s">
        <v>363</v>
      </c>
      <c r="E25" s="5" t="e">
        <f t="array" ref="E25">INDEX('Master SLS'!$H$2:$H998,MATCH($AL25,'Master SLS'!$K$2:$K998,0))</f>
        <v>#VALUE!</v>
      </c>
      <c r="F25" s="5" t="e">
        <f t="array" ref="F25">INDEX('Master SLS'!$I$2:$I998,MATCH($AL25,'Master SLS'!$K$2:$K998,0))</f>
        <v>#VALUE!</v>
      </c>
      <c r="G25" s="5" t="s">
        <v>515</v>
      </c>
      <c r="H25" s="5" t="s">
        <v>516</v>
      </c>
      <c r="I25" s="5" t="s">
        <v>388</v>
      </c>
      <c r="J25" s="5">
        <v>1</v>
      </c>
      <c r="K25" s="5" t="s">
        <v>517</v>
      </c>
      <c r="L25" s="5">
        <v>61</v>
      </c>
      <c r="M25" s="5">
        <v>4</v>
      </c>
      <c r="N25" s="5">
        <v>101</v>
      </c>
      <c r="O25" s="5">
        <v>3</v>
      </c>
      <c r="P25" s="5" t="s">
        <v>518</v>
      </c>
      <c r="Q25" s="5">
        <v>1</v>
      </c>
      <c r="R25" s="74">
        <v>34130</v>
      </c>
      <c r="T25" s="5">
        <v>1</v>
      </c>
      <c r="U25" s="5">
        <v>1</v>
      </c>
      <c r="V25" s="5">
        <v>2</v>
      </c>
      <c r="W25" s="5">
        <v>3</v>
      </c>
      <c r="X25" s="5">
        <v>5</v>
      </c>
      <c r="AA25" s="5">
        <v>1</v>
      </c>
      <c r="AB25" s="5">
        <v>1</v>
      </c>
      <c r="AC25" s="5">
        <v>0</v>
      </c>
      <c r="AD25" s="5">
        <v>0</v>
      </c>
      <c r="AE25" s="5">
        <v>0</v>
      </c>
      <c r="AF25" s="5">
        <v>0</v>
      </c>
      <c r="AG25" s="5">
        <v>0</v>
      </c>
      <c r="AH25" s="5" t="s">
        <v>519</v>
      </c>
      <c r="AI25" s="5" t="s">
        <v>388</v>
      </c>
      <c r="AJ25" s="5" t="s">
        <v>520</v>
      </c>
      <c r="AK25" s="5">
        <v>610422100166</v>
      </c>
      <c r="AL25" s="5" t="e">
        <f t="shared" si="3"/>
        <v>#VALUE!</v>
      </c>
    </row>
    <row r="26" spans="1:38" ht="12.5">
      <c r="A26" s="10" t="str">
        <f t="shared" si="0"/>
        <v>Ahmad Rokip</v>
      </c>
      <c r="B26" s="5">
        <f t="shared" si="1"/>
        <v>610423110045</v>
      </c>
      <c r="C26" s="5" t="str">
        <f t="shared" si="2"/>
        <v>Ahmad Rokip</v>
      </c>
      <c r="D26" s="5" t="s">
        <v>363</v>
      </c>
      <c r="E26" s="5" t="e">
        <f t="array" ref="E26">INDEX('Master SLS'!$H$2:$H998,MATCH($AL26,'Master SLS'!$K$2:$K998,0))</f>
        <v>#VALUE!</v>
      </c>
      <c r="F26" s="5" t="e">
        <f t="array" ref="F26">INDEX('Master SLS'!$I$2:$I998,MATCH($AL26,'Master SLS'!$K$2:$K998,0))</f>
        <v>#VALUE!</v>
      </c>
      <c r="G26" s="5" t="s">
        <v>521</v>
      </c>
      <c r="H26" s="5" t="s">
        <v>522</v>
      </c>
      <c r="I26" s="5" t="s">
        <v>388</v>
      </c>
      <c r="J26" s="5">
        <v>1</v>
      </c>
      <c r="K26" s="5" t="s">
        <v>523</v>
      </c>
      <c r="L26" s="5">
        <v>61</v>
      </c>
      <c r="M26" s="5">
        <v>4</v>
      </c>
      <c r="N26" s="5">
        <v>90</v>
      </c>
      <c r="O26" s="5">
        <v>3</v>
      </c>
      <c r="P26" s="5" t="s">
        <v>524</v>
      </c>
      <c r="Q26" s="5">
        <v>1</v>
      </c>
      <c r="R26" s="74">
        <v>35654</v>
      </c>
      <c r="S26" s="5" t="s">
        <v>525</v>
      </c>
      <c r="T26" s="5">
        <v>1</v>
      </c>
      <c r="U26" s="5">
        <v>1</v>
      </c>
      <c r="V26" s="5">
        <v>1</v>
      </c>
      <c r="W26" s="5">
        <v>5</v>
      </c>
      <c r="X26" s="5">
        <v>5</v>
      </c>
      <c r="Y26" s="5" t="s">
        <v>526</v>
      </c>
      <c r="AA26" s="5">
        <v>0</v>
      </c>
      <c r="AB26" s="5">
        <v>0</v>
      </c>
      <c r="AC26" s="5">
        <v>0</v>
      </c>
      <c r="AD26" s="5">
        <v>0</v>
      </c>
      <c r="AE26" s="5">
        <v>0</v>
      </c>
      <c r="AF26" s="5">
        <v>0</v>
      </c>
      <c r="AG26" s="5">
        <v>0</v>
      </c>
      <c r="AH26" s="5" t="s">
        <v>527</v>
      </c>
      <c r="AI26" s="5" t="s">
        <v>388</v>
      </c>
      <c r="AJ26" s="5" t="s">
        <v>528</v>
      </c>
      <c r="AK26" s="5">
        <v>610423110045</v>
      </c>
      <c r="AL26" s="5" t="e">
        <f t="shared" si="3"/>
        <v>#VALUE!</v>
      </c>
    </row>
    <row r="27" spans="1:38" ht="12.5">
      <c r="A27" s="10" t="str">
        <f t="shared" si="0"/>
        <v>Akhmad Amiruddin</v>
      </c>
      <c r="B27" s="5">
        <f t="shared" si="1"/>
        <v>610423110160</v>
      </c>
      <c r="C27" s="5" t="str">
        <f t="shared" si="2"/>
        <v>Akhmad Amiruddin</v>
      </c>
      <c r="D27" s="5" t="s">
        <v>363</v>
      </c>
      <c r="E27" s="5" t="e">
        <f t="array" ref="E27">INDEX('Master SLS'!$H$2:$H998,MATCH($AL27,'Master SLS'!$K$2:$K998,0))</f>
        <v>#VALUE!</v>
      </c>
      <c r="F27" s="5" t="e">
        <f t="array" ref="F27">INDEX('Master SLS'!$I$2:$I998,MATCH($AL27,'Master SLS'!$K$2:$K998,0))</f>
        <v>#VALUE!</v>
      </c>
      <c r="G27" s="5" t="s">
        <v>529</v>
      </c>
      <c r="H27" s="5" t="s">
        <v>530</v>
      </c>
      <c r="I27" s="5" t="s">
        <v>366</v>
      </c>
      <c r="J27" s="5">
        <v>1</v>
      </c>
      <c r="K27" s="5" t="s">
        <v>531</v>
      </c>
      <c r="L27" s="5">
        <v>61</v>
      </c>
      <c r="M27" s="5">
        <v>4</v>
      </c>
      <c r="N27" s="5">
        <v>110</v>
      </c>
      <c r="O27" s="5">
        <v>6</v>
      </c>
      <c r="P27" s="5" t="s">
        <v>532</v>
      </c>
      <c r="Q27" s="5">
        <v>1</v>
      </c>
      <c r="R27" s="74">
        <v>31182</v>
      </c>
      <c r="S27" s="5" t="s">
        <v>533</v>
      </c>
      <c r="T27" s="5">
        <v>1</v>
      </c>
      <c r="U27" s="5">
        <v>1</v>
      </c>
      <c r="V27" s="5">
        <v>1</v>
      </c>
      <c r="W27" s="5">
        <v>5</v>
      </c>
      <c r="X27" s="5">
        <v>5</v>
      </c>
      <c r="Y27" s="5"/>
      <c r="AA27" s="5">
        <v>0</v>
      </c>
      <c r="AB27" s="5">
        <v>0</v>
      </c>
      <c r="AC27" s="5">
        <v>0</v>
      </c>
      <c r="AD27" s="5">
        <v>0</v>
      </c>
      <c r="AE27" s="5">
        <v>0</v>
      </c>
      <c r="AF27" s="5">
        <v>0</v>
      </c>
      <c r="AG27" s="5">
        <v>0</v>
      </c>
      <c r="AH27" s="5" t="s">
        <v>534</v>
      </c>
      <c r="AI27" s="5" t="s">
        <v>366</v>
      </c>
      <c r="AJ27" s="5" t="s">
        <v>535</v>
      </c>
      <c r="AK27" s="5">
        <v>610423110160</v>
      </c>
      <c r="AL27" s="5" t="e">
        <f t="shared" si="3"/>
        <v>#VALUE!</v>
      </c>
    </row>
    <row r="28" spans="1:38" ht="12.5">
      <c r="A28" s="10" t="str">
        <f t="shared" si="0"/>
        <v>Alip Damayanti</v>
      </c>
      <c r="B28" s="5">
        <f t="shared" si="1"/>
        <v>610423110115</v>
      </c>
      <c r="C28" s="5" t="str">
        <f t="shared" si="2"/>
        <v>Alip Damayanti</v>
      </c>
      <c r="D28" s="5" t="s">
        <v>363</v>
      </c>
      <c r="E28" s="5" t="e">
        <f t="array" ref="E28">INDEX('Master SLS'!$H$2:$H998,MATCH($AL28,'Master SLS'!$K$2:$K998,0))</f>
        <v>#VALUE!</v>
      </c>
      <c r="F28" s="5" t="e">
        <f t="array" ref="F28">INDEX('Master SLS'!$I$2:$I998,MATCH($AL28,'Master SLS'!$K$2:$K998,0))</f>
        <v>#VALUE!</v>
      </c>
      <c r="G28" s="5" t="s">
        <v>536</v>
      </c>
      <c r="H28" s="5" t="s">
        <v>537</v>
      </c>
      <c r="I28" s="5" t="s">
        <v>366</v>
      </c>
      <c r="J28" s="5">
        <v>1</v>
      </c>
      <c r="K28" s="5" t="s">
        <v>538</v>
      </c>
      <c r="L28" s="5">
        <v>61</v>
      </c>
      <c r="M28" s="5">
        <v>4</v>
      </c>
      <c r="N28" s="5">
        <v>100</v>
      </c>
      <c r="O28" s="5">
        <v>15</v>
      </c>
      <c r="P28" s="5" t="s">
        <v>539</v>
      </c>
      <c r="Q28" s="5">
        <v>1</v>
      </c>
      <c r="R28" s="74">
        <v>38327</v>
      </c>
      <c r="T28" s="5">
        <v>0</v>
      </c>
      <c r="U28" s="5">
        <v>1</v>
      </c>
      <c r="V28" s="5">
        <v>1</v>
      </c>
      <c r="W28" s="5">
        <v>3</v>
      </c>
      <c r="X28" s="5">
        <v>6</v>
      </c>
      <c r="AA28" s="5">
        <v>0</v>
      </c>
      <c r="AB28" s="5">
        <v>0</v>
      </c>
      <c r="AC28" s="5">
        <v>0</v>
      </c>
      <c r="AD28" s="5">
        <v>0</v>
      </c>
      <c r="AE28" s="5">
        <v>0</v>
      </c>
      <c r="AF28" s="5">
        <v>0</v>
      </c>
      <c r="AG28" s="5">
        <v>0</v>
      </c>
      <c r="AH28" s="5" t="s">
        <v>540</v>
      </c>
      <c r="AI28" s="5" t="s">
        <v>366</v>
      </c>
      <c r="AJ28" s="5" t="s">
        <v>541</v>
      </c>
      <c r="AK28" s="5">
        <v>610423110115</v>
      </c>
      <c r="AL28" s="5" t="e">
        <f t="shared" si="3"/>
        <v>#VALUE!</v>
      </c>
    </row>
    <row r="29" spans="1:38" ht="12.5">
      <c r="A29" s="10" t="str">
        <f t="shared" si="0"/>
        <v>Alip Susanto</v>
      </c>
      <c r="B29" s="5">
        <f t="shared" si="1"/>
        <v>610423040022</v>
      </c>
      <c r="C29" s="5" t="str">
        <f t="shared" si="2"/>
        <v>Alip Susanto</v>
      </c>
      <c r="D29" s="5" t="s">
        <v>363</v>
      </c>
      <c r="E29" s="5" t="e">
        <f t="array" ref="E29">INDEX('Master SLS'!$H$2:$H998,MATCH($AL29,'Master SLS'!$K$2:$K998,0))</f>
        <v>#VALUE!</v>
      </c>
      <c r="F29" s="5" t="e">
        <f t="array" ref="F29">INDEX('Master SLS'!$I$2:$I998,MATCH($AL29,'Master SLS'!$K$2:$K998,0))</f>
        <v>#VALUE!</v>
      </c>
      <c r="G29" s="5" t="s">
        <v>542</v>
      </c>
      <c r="H29" s="5" t="s">
        <v>543</v>
      </c>
      <c r="I29" s="5" t="s">
        <v>366</v>
      </c>
      <c r="J29" s="5">
        <v>1</v>
      </c>
      <c r="K29" s="5" t="s">
        <v>544</v>
      </c>
      <c r="L29" s="5">
        <v>61</v>
      </c>
      <c r="M29" s="5">
        <v>4</v>
      </c>
      <c r="N29" s="5">
        <v>121</v>
      </c>
      <c r="O29" s="5">
        <v>3</v>
      </c>
      <c r="P29" s="5" t="s">
        <v>545</v>
      </c>
      <c r="Q29" s="5">
        <v>1</v>
      </c>
      <c r="R29" s="74">
        <v>35815</v>
      </c>
      <c r="S29" s="5" t="s">
        <v>546</v>
      </c>
      <c r="T29" s="5">
        <v>1</v>
      </c>
      <c r="U29" s="5">
        <v>3</v>
      </c>
      <c r="V29" s="5">
        <v>1</v>
      </c>
      <c r="W29" s="5">
        <v>3</v>
      </c>
      <c r="X29" s="5">
        <v>5</v>
      </c>
      <c r="AA29" s="5">
        <v>1</v>
      </c>
      <c r="AB29" s="5">
        <v>0</v>
      </c>
      <c r="AC29" s="5">
        <v>1</v>
      </c>
      <c r="AD29" s="5">
        <v>0</v>
      </c>
      <c r="AE29" s="5">
        <v>0</v>
      </c>
      <c r="AF29" s="5">
        <v>0</v>
      </c>
      <c r="AG29" s="5">
        <v>0</v>
      </c>
      <c r="AH29" s="5" t="s">
        <v>547</v>
      </c>
      <c r="AI29" s="5" t="s">
        <v>366</v>
      </c>
      <c r="AJ29" s="5" t="s">
        <v>548</v>
      </c>
      <c r="AK29" s="5">
        <v>610423040022</v>
      </c>
      <c r="AL29" s="5" t="e">
        <f t="shared" si="3"/>
        <v>#VALUE!</v>
      </c>
    </row>
    <row r="30" spans="1:38" ht="12.5">
      <c r="A30" s="10" t="str">
        <f t="shared" si="0"/>
        <v>Amalia Faisya</v>
      </c>
      <c r="B30" s="5">
        <f t="shared" si="1"/>
        <v>610422100016</v>
      </c>
      <c r="C30" s="5" t="str">
        <f t="shared" si="2"/>
        <v>Amalia Faisya</v>
      </c>
      <c r="D30" s="5" t="s">
        <v>363</v>
      </c>
      <c r="E30" s="5" t="e">
        <f t="array" ref="E30">INDEX('Master SLS'!$H$2:$H998,MATCH($AL30,'Master SLS'!$K$2:$K998,0))</f>
        <v>#VALUE!</v>
      </c>
      <c r="F30" s="5" t="e">
        <f t="array" ref="F30">INDEX('Master SLS'!$I$2:$I998,MATCH($AL30,'Master SLS'!$K$2:$K998,0))</f>
        <v>#VALUE!</v>
      </c>
      <c r="G30" s="5" t="s">
        <v>549</v>
      </c>
      <c r="H30" s="5" t="s">
        <v>550</v>
      </c>
      <c r="I30" s="5" t="s">
        <v>388</v>
      </c>
      <c r="J30" s="5">
        <v>1</v>
      </c>
      <c r="K30" s="5" t="s">
        <v>551</v>
      </c>
      <c r="L30" s="5">
        <v>61</v>
      </c>
      <c r="M30" s="5">
        <v>4</v>
      </c>
      <c r="N30" s="5">
        <v>110</v>
      </c>
      <c r="O30" s="5">
        <v>6</v>
      </c>
      <c r="P30" s="5" t="s">
        <v>552</v>
      </c>
      <c r="Q30" s="5">
        <v>2</v>
      </c>
      <c r="R30" s="74">
        <v>37531</v>
      </c>
      <c r="T30" s="5">
        <v>0</v>
      </c>
      <c r="U30" s="5">
        <v>1</v>
      </c>
      <c r="V30" s="5">
        <v>1</v>
      </c>
      <c r="W30" s="5">
        <v>3</v>
      </c>
      <c r="X30" s="5">
        <v>7</v>
      </c>
      <c r="Y30" s="5" t="s">
        <v>553</v>
      </c>
      <c r="AA30" s="5">
        <v>1</v>
      </c>
      <c r="AB30" s="5">
        <v>0</v>
      </c>
      <c r="AC30" s="5">
        <v>1</v>
      </c>
      <c r="AD30" s="5">
        <v>0</v>
      </c>
      <c r="AE30" s="5">
        <v>1</v>
      </c>
      <c r="AF30" s="5">
        <v>0</v>
      </c>
      <c r="AG30" s="5">
        <v>0</v>
      </c>
      <c r="AI30" s="5" t="s">
        <v>388</v>
      </c>
      <c r="AJ30" s="5" t="s">
        <v>554</v>
      </c>
      <c r="AK30" s="5">
        <v>610422100016</v>
      </c>
      <c r="AL30" s="5" t="e">
        <f t="shared" si="3"/>
        <v>#VALUE!</v>
      </c>
    </row>
    <row r="31" spans="1:38" ht="12.5">
      <c r="A31" s="10" t="str">
        <f t="shared" si="0"/>
        <v>Amelia Fradia</v>
      </c>
      <c r="B31" s="5">
        <f t="shared" si="1"/>
        <v>610423110107</v>
      </c>
      <c r="C31" s="5" t="str">
        <f t="shared" si="2"/>
        <v>Amelia Fradia</v>
      </c>
      <c r="D31" s="5" t="s">
        <v>363</v>
      </c>
      <c r="E31" s="5" t="e">
        <f t="array" ref="E31">INDEX('Master SLS'!$H$2:$H998,MATCH($AL31,'Master SLS'!$K$2:$K998,0))</f>
        <v>#VALUE!</v>
      </c>
      <c r="F31" s="5" t="e">
        <f t="array" ref="F31">INDEX('Master SLS'!$I$2:$I998,MATCH($AL31,'Master SLS'!$K$2:$K998,0))</f>
        <v>#VALUE!</v>
      </c>
      <c r="G31" s="5" t="s">
        <v>555</v>
      </c>
      <c r="H31" s="5" t="s">
        <v>556</v>
      </c>
      <c r="I31" s="5" t="s">
        <v>366</v>
      </c>
      <c r="J31" s="5">
        <v>1</v>
      </c>
      <c r="K31" s="5" t="s">
        <v>557</v>
      </c>
      <c r="L31" s="5">
        <v>61</v>
      </c>
      <c r="M31" s="5">
        <v>4</v>
      </c>
      <c r="N31" s="5">
        <v>110</v>
      </c>
      <c r="O31" s="5">
        <v>5</v>
      </c>
      <c r="P31" s="5" t="s">
        <v>558</v>
      </c>
      <c r="Q31" s="5">
        <v>1</v>
      </c>
      <c r="R31" s="74">
        <v>37015</v>
      </c>
      <c r="T31" s="5">
        <v>0</v>
      </c>
      <c r="U31" s="5">
        <v>1</v>
      </c>
      <c r="V31" s="5">
        <v>1</v>
      </c>
      <c r="W31" s="5">
        <v>3</v>
      </c>
      <c r="X31" s="5">
        <v>6</v>
      </c>
      <c r="AA31" s="5">
        <v>0</v>
      </c>
      <c r="AB31" s="5">
        <v>0</v>
      </c>
      <c r="AC31" s="5">
        <v>0</v>
      </c>
      <c r="AD31" s="5">
        <v>0</v>
      </c>
      <c r="AE31" s="5">
        <v>0</v>
      </c>
      <c r="AF31" s="5">
        <v>0</v>
      </c>
      <c r="AG31" s="5">
        <v>0</v>
      </c>
      <c r="AI31" s="5" t="s">
        <v>366</v>
      </c>
      <c r="AJ31" s="5" t="s">
        <v>559</v>
      </c>
      <c r="AK31" s="5">
        <v>610423110107</v>
      </c>
      <c r="AL31" s="5" t="e">
        <f t="shared" si="3"/>
        <v>#VALUE!</v>
      </c>
    </row>
    <row r="32" spans="1:38" ht="12.5">
      <c r="A32" s="10" t="str">
        <f t="shared" si="0"/>
        <v>Amelia Nur Astuti</v>
      </c>
      <c r="B32" s="5">
        <f t="shared" si="1"/>
        <v>610423110054</v>
      </c>
      <c r="C32" s="5" t="str">
        <f t="shared" si="2"/>
        <v>Amelia Nur Astuti</v>
      </c>
      <c r="D32" s="5" t="s">
        <v>560</v>
      </c>
      <c r="E32" s="5" t="s">
        <v>561</v>
      </c>
      <c r="F32" s="5" t="s">
        <v>562</v>
      </c>
      <c r="G32" s="5" t="s">
        <v>563</v>
      </c>
      <c r="H32" s="5" t="s">
        <v>564</v>
      </c>
      <c r="I32" s="5" t="s">
        <v>474</v>
      </c>
      <c r="J32" s="5">
        <v>1</v>
      </c>
      <c r="K32" s="5" t="s">
        <v>565</v>
      </c>
      <c r="L32" s="5">
        <v>61</v>
      </c>
      <c r="M32" s="5">
        <v>71</v>
      </c>
      <c r="N32" s="5">
        <v>40</v>
      </c>
      <c r="O32" s="5">
        <v>1</v>
      </c>
      <c r="P32" s="5" t="s">
        <v>566</v>
      </c>
      <c r="Q32" s="5">
        <v>1</v>
      </c>
      <c r="R32" s="74">
        <v>37080</v>
      </c>
      <c r="S32" s="5"/>
      <c r="T32" s="5">
        <v>0</v>
      </c>
      <c r="U32" s="5">
        <v>1</v>
      </c>
      <c r="V32" s="5">
        <v>1</v>
      </c>
      <c r="W32" s="5">
        <v>5</v>
      </c>
      <c r="X32" s="5">
        <v>7</v>
      </c>
      <c r="Y32" s="5" t="s">
        <v>567</v>
      </c>
      <c r="AA32" s="5">
        <v>0</v>
      </c>
      <c r="AB32" s="5">
        <v>0</v>
      </c>
      <c r="AC32" s="5">
        <v>0</v>
      </c>
      <c r="AD32" s="5">
        <v>0</v>
      </c>
      <c r="AE32" s="5">
        <v>0</v>
      </c>
      <c r="AF32" s="5">
        <v>0</v>
      </c>
      <c r="AG32" s="5">
        <v>0</v>
      </c>
      <c r="AH32" s="5" t="s">
        <v>568</v>
      </c>
      <c r="AI32" s="5" t="s">
        <v>474</v>
      </c>
      <c r="AJ32" s="5" t="s">
        <v>569</v>
      </c>
      <c r="AK32" s="5">
        <v>610423110054</v>
      </c>
      <c r="AL32" s="5" t="e">
        <f t="shared" si="3"/>
        <v>#VALUE!</v>
      </c>
    </row>
    <row r="33" spans="1:38" ht="12.5">
      <c r="A33" s="10" t="str">
        <f t="shared" si="0"/>
        <v>Amirah</v>
      </c>
      <c r="B33" s="5">
        <f t="shared" si="1"/>
        <v>610422100177</v>
      </c>
      <c r="C33" s="5" t="str">
        <f t="shared" si="2"/>
        <v>Amirah</v>
      </c>
      <c r="D33" s="5" t="s">
        <v>363</v>
      </c>
      <c r="E33" s="5" t="e">
        <f t="array" ref="E33">INDEX('Master SLS'!$H$2:$H998,MATCH($AL33,'Master SLS'!$K$2:$K998,0))</f>
        <v>#VALUE!</v>
      </c>
      <c r="F33" s="5" t="e">
        <f t="array" ref="F33">INDEX('Master SLS'!$I$2:$I998,MATCH($AL33,'Master SLS'!$K$2:$K998,0))</f>
        <v>#VALUE!</v>
      </c>
      <c r="G33" s="5" t="s">
        <v>570</v>
      </c>
      <c r="H33" s="5" t="s">
        <v>571</v>
      </c>
      <c r="I33" s="5" t="s">
        <v>388</v>
      </c>
      <c r="J33" s="5">
        <v>1</v>
      </c>
      <c r="K33" s="5" t="s">
        <v>572</v>
      </c>
      <c r="L33" s="5">
        <v>61</v>
      </c>
      <c r="M33" s="5">
        <v>4</v>
      </c>
      <c r="N33" s="5">
        <v>100</v>
      </c>
      <c r="O33" s="5">
        <v>8</v>
      </c>
      <c r="P33" s="5" t="s">
        <v>573</v>
      </c>
      <c r="Q33" s="5">
        <v>1</v>
      </c>
      <c r="R33" s="74">
        <v>35839</v>
      </c>
      <c r="S33" s="5" t="s">
        <v>574</v>
      </c>
      <c r="T33" s="5">
        <v>0</v>
      </c>
      <c r="U33" s="5">
        <v>1</v>
      </c>
      <c r="V33" s="5">
        <v>1</v>
      </c>
      <c r="W33" s="5">
        <v>5</v>
      </c>
      <c r="X33" s="5">
        <v>7</v>
      </c>
      <c r="Y33" s="5" t="s">
        <v>575</v>
      </c>
      <c r="AA33" s="5">
        <v>1</v>
      </c>
      <c r="AB33" s="5">
        <v>0</v>
      </c>
      <c r="AC33" s="5">
        <v>1</v>
      </c>
      <c r="AD33" s="5">
        <v>0</v>
      </c>
      <c r="AE33" s="5">
        <v>1</v>
      </c>
      <c r="AF33" s="5">
        <v>0</v>
      </c>
      <c r="AG33" s="5">
        <v>0</v>
      </c>
      <c r="AI33" s="5" t="s">
        <v>388</v>
      </c>
      <c r="AJ33" s="5" t="s">
        <v>576</v>
      </c>
      <c r="AK33" s="5">
        <v>610422100177</v>
      </c>
      <c r="AL33" s="5" t="e">
        <f t="shared" si="3"/>
        <v>#VALUE!</v>
      </c>
    </row>
    <row r="34" spans="1:38" ht="12.5">
      <c r="A34" s="10" t="str">
        <f t="shared" si="0"/>
        <v>Amrullah</v>
      </c>
      <c r="B34" s="5">
        <f t="shared" si="1"/>
        <v>610423020003</v>
      </c>
      <c r="C34" s="5" t="str">
        <f t="shared" si="2"/>
        <v>Amrullah</v>
      </c>
      <c r="D34" s="5" t="s">
        <v>363</v>
      </c>
      <c r="E34" s="5" t="e">
        <f t="array" ref="E34">INDEX('Master SLS'!$H$2:$H998,MATCH($AL34,'Master SLS'!$K$2:$K998,0))</f>
        <v>#VALUE!</v>
      </c>
      <c r="F34" s="5" t="e">
        <f t="array" ref="F34">INDEX('Master SLS'!$I$2:$I998,MATCH($AL34,'Master SLS'!$K$2:$K998,0))</f>
        <v>#VALUE!</v>
      </c>
      <c r="G34" s="5" t="s">
        <v>577</v>
      </c>
      <c r="H34" s="5" t="s">
        <v>578</v>
      </c>
      <c r="I34" s="5" t="s">
        <v>366</v>
      </c>
      <c r="J34" s="5">
        <v>1</v>
      </c>
      <c r="K34" s="5" t="s">
        <v>579</v>
      </c>
      <c r="L34" s="5">
        <v>61</v>
      </c>
      <c r="M34" s="5">
        <v>4</v>
      </c>
      <c r="N34" s="5">
        <v>81</v>
      </c>
      <c r="O34" s="5">
        <v>6</v>
      </c>
      <c r="P34" s="5" t="s">
        <v>580</v>
      </c>
      <c r="Q34" s="5">
        <v>1</v>
      </c>
      <c r="R34" s="74">
        <v>34632</v>
      </c>
      <c r="T34" s="5">
        <v>1</v>
      </c>
      <c r="U34" s="5">
        <v>1</v>
      </c>
      <c r="V34" s="5">
        <v>2</v>
      </c>
      <c r="W34" s="5">
        <v>3</v>
      </c>
      <c r="X34" s="5">
        <v>5</v>
      </c>
      <c r="AA34" s="5">
        <v>1</v>
      </c>
      <c r="AB34" s="5">
        <v>0</v>
      </c>
      <c r="AC34" s="5">
        <v>1</v>
      </c>
      <c r="AD34" s="5">
        <v>1</v>
      </c>
      <c r="AE34" s="5">
        <v>1</v>
      </c>
      <c r="AF34" s="5">
        <v>0</v>
      </c>
      <c r="AG34" s="5">
        <v>0</v>
      </c>
      <c r="AI34" s="5" t="s">
        <v>366</v>
      </c>
      <c r="AJ34" s="5" t="s">
        <v>581</v>
      </c>
      <c r="AK34" s="5">
        <v>610423020003</v>
      </c>
      <c r="AL34" s="5" t="e">
        <f t="shared" si="3"/>
        <v>#VALUE!</v>
      </c>
    </row>
    <row r="35" spans="1:38" ht="12.5">
      <c r="A35" s="10" t="str">
        <f t="shared" si="0"/>
        <v>Ana Suwarnta</v>
      </c>
      <c r="B35" s="5">
        <f t="shared" si="1"/>
        <v>610422100233</v>
      </c>
      <c r="C35" s="5" t="str">
        <f t="shared" si="2"/>
        <v>ANA SUWARNTA</v>
      </c>
      <c r="D35" s="5" t="s">
        <v>363</v>
      </c>
      <c r="E35" s="5" t="e">
        <f t="array" ref="E35">INDEX('Master SLS'!$H$2:$H998,MATCH($AL35,'Master SLS'!$K$2:$K998,0))</f>
        <v>#VALUE!</v>
      </c>
      <c r="F35" s="5" t="e">
        <f t="array" ref="F35">INDEX('Master SLS'!$I$2:$I998,MATCH($AL35,'Master SLS'!$K$2:$K998,0))</f>
        <v>#VALUE!</v>
      </c>
      <c r="G35" s="5" t="s">
        <v>582</v>
      </c>
      <c r="H35" s="5" t="s">
        <v>583</v>
      </c>
      <c r="I35" s="5" t="s">
        <v>366</v>
      </c>
      <c r="J35" s="5">
        <v>1</v>
      </c>
      <c r="K35" s="5" t="s">
        <v>584</v>
      </c>
      <c r="L35" s="5">
        <v>61</v>
      </c>
      <c r="M35" s="5">
        <v>4</v>
      </c>
      <c r="N35" s="5">
        <v>120</v>
      </c>
      <c r="O35" s="5">
        <v>7</v>
      </c>
      <c r="P35" s="5" t="s">
        <v>585</v>
      </c>
      <c r="Q35" s="5">
        <v>1</v>
      </c>
      <c r="R35" s="74">
        <v>37497</v>
      </c>
      <c r="T35" s="5">
        <v>0</v>
      </c>
      <c r="U35" s="5">
        <v>3</v>
      </c>
      <c r="V35" s="5">
        <v>1</v>
      </c>
      <c r="W35" s="5">
        <v>3</v>
      </c>
      <c r="X35" s="5">
        <v>7</v>
      </c>
      <c r="Y35" s="5" t="s">
        <v>586</v>
      </c>
      <c r="AA35" s="5">
        <v>1</v>
      </c>
      <c r="AB35" s="5">
        <v>1</v>
      </c>
      <c r="AC35" s="5">
        <v>1</v>
      </c>
      <c r="AD35" s="5">
        <v>0</v>
      </c>
      <c r="AE35" s="5">
        <v>0</v>
      </c>
      <c r="AF35" s="5">
        <v>0</v>
      </c>
      <c r="AG35" s="5">
        <v>0</v>
      </c>
      <c r="AH35" s="5" t="s">
        <v>587</v>
      </c>
      <c r="AI35" s="5" t="s">
        <v>366</v>
      </c>
      <c r="AJ35" s="5" t="s">
        <v>588</v>
      </c>
      <c r="AK35" s="5">
        <v>610422100233</v>
      </c>
      <c r="AL35" s="5" t="e">
        <f t="shared" si="3"/>
        <v>#VALUE!</v>
      </c>
    </row>
    <row r="36" spans="1:38" ht="12.5">
      <c r="A36" s="10" t="str">
        <f t="shared" si="0"/>
        <v>Ande Wulan Gemala</v>
      </c>
      <c r="B36" s="5">
        <f t="shared" si="1"/>
        <v>610423110079</v>
      </c>
      <c r="C36" s="5" t="str">
        <f t="shared" si="2"/>
        <v>Ande wulan gemala</v>
      </c>
      <c r="D36" s="5" t="s">
        <v>560</v>
      </c>
      <c r="E36" s="5" t="s">
        <v>589</v>
      </c>
      <c r="F36" s="5" t="s">
        <v>590</v>
      </c>
      <c r="G36" s="5" t="s">
        <v>591</v>
      </c>
      <c r="H36" s="5" t="s">
        <v>592</v>
      </c>
      <c r="I36" s="5" t="s">
        <v>474</v>
      </c>
      <c r="J36" s="5">
        <v>1</v>
      </c>
      <c r="K36" s="5" t="s">
        <v>593</v>
      </c>
      <c r="L36" s="5">
        <v>61</v>
      </c>
      <c r="M36" s="5">
        <v>71</v>
      </c>
      <c r="N36" s="5">
        <v>30</v>
      </c>
      <c r="O36" s="5">
        <v>8</v>
      </c>
      <c r="P36" s="5" t="s">
        <v>594</v>
      </c>
      <c r="Q36" s="5">
        <v>1</v>
      </c>
      <c r="R36" s="74">
        <v>36132</v>
      </c>
      <c r="S36" s="5" t="s">
        <v>595</v>
      </c>
      <c r="T36" s="5">
        <v>0</v>
      </c>
      <c r="U36" s="5">
        <v>3</v>
      </c>
      <c r="V36" s="5">
        <v>1</v>
      </c>
      <c r="W36" s="5">
        <v>5</v>
      </c>
      <c r="X36" s="5">
        <v>7</v>
      </c>
      <c r="Y36" s="5" t="s">
        <v>596</v>
      </c>
      <c r="AA36" s="5">
        <v>1</v>
      </c>
      <c r="AB36" s="5">
        <v>0</v>
      </c>
      <c r="AC36" s="5">
        <v>0</v>
      </c>
      <c r="AD36" s="5">
        <v>0</v>
      </c>
      <c r="AE36" s="5">
        <v>0</v>
      </c>
      <c r="AF36" s="5">
        <v>0</v>
      </c>
      <c r="AG36" s="5">
        <v>1</v>
      </c>
      <c r="AH36" s="5" t="s">
        <v>597</v>
      </c>
      <c r="AI36" s="5" t="s">
        <v>474</v>
      </c>
      <c r="AJ36" s="5" t="s">
        <v>598</v>
      </c>
      <c r="AK36" s="5">
        <v>610423110079</v>
      </c>
      <c r="AL36" s="5" t="e">
        <f t="shared" si="3"/>
        <v>#VALUE!</v>
      </c>
    </row>
    <row r="37" spans="1:38" ht="12.5">
      <c r="A37" s="10" t="str">
        <f t="shared" si="0"/>
        <v>Andre</v>
      </c>
      <c r="B37" s="5">
        <f t="shared" si="1"/>
        <v>610423110157</v>
      </c>
      <c r="C37" s="5" t="str">
        <f t="shared" si="2"/>
        <v>ANDRE</v>
      </c>
      <c r="D37" s="5" t="s">
        <v>363</v>
      </c>
      <c r="E37" s="5" t="e">
        <f t="array" ref="E37">INDEX('Master SLS'!$H$2:$H998,MATCH($AL37,'Master SLS'!$K$2:$K998,0))</f>
        <v>#VALUE!</v>
      </c>
      <c r="F37" s="5" t="e">
        <f t="array" ref="F37">INDEX('Master SLS'!$I$2:$I998,MATCH($AL37,'Master SLS'!$K$2:$K998,0))</f>
        <v>#VALUE!</v>
      </c>
      <c r="G37" s="5" t="s">
        <v>599</v>
      </c>
      <c r="H37" s="5" t="s">
        <v>600</v>
      </c>
      <c r="I37" s="5" t="s">
        <v>366</v>
      </c>
      <c r="J37" s="5">
        <v>1</v>
      </c>
      <c r="K37" s="5" t="s">
        <v>601</v>
      </c>
      <c r="L37" s="5">
        <v>61</v>
      </c>
      <c r="M37" s="5">
        <v>4</v>
      </c>
      <c r="N37" s="5">
        <v>91</v>
      </c>
      <c r="O37" s="5">
        <v>6</v>
      </c>
      <c r="P37" s="5" t="s">
        <v>602</v>
      </c>
      <c r="Q37" s="5">
        <v>1</v>
      </c>
      <c r="R37" s="7">
        <v>34993</v>
      </c>
      <c r="S37" s="5" t="s">
        <v>603</v>
      </c>
      <c r="T37" s="5">
        <v>1</v>
      </c>
      <c r="U37" s="5">
        <v>1</v>
      </c>
      <c r="V37" s="5">
        <v>1</v>
      </c>
      <c r="W37" s="5">
        <v>3</v>
      </c>
      <c r="X37" s="5">
        <v>7</v>
      </c>
      <c r="Y37" s="5" t="s">
        <v>604</v>
      </c>
      <c r="AA37" s="5">
        <v>0</v>
      </c>
      <c r="AB37" s="5">
        <v>0</v>
      </c>
      <c r="AC37" s="5">
        <v>0</v>
      </c>
      <c r="AD37" s="5">
        <v>0</v>
      </c>
      <c r="AE37" s="5">
        <v>0</v>
      </c>
      <c r="AF37" s="5">
        <v>0</v>
      </c>
      <c r="AG37" s="5">
        <v>0</v>
      </c>
      <c r="AI37" s="5" t="s">
        <v>366</v>
      </c>
      <c r="AJ37" s="5" t="s">
        <v>605</v>
      </c>
      <c r="AK37" s="5">
        <v>610423110157</v>
      </c>
      <c r="AL37" s="5" t="e">
        <f t="shared" si="3"/>
        <v>#VALUE!</v>
      </c>
    </row>
    <row r="38" spans="1:38" ht="12.5">
      <c r="A38" s="10" t="str">
        <f t="shared" si="0"/>
        <v>Andre</v>
      </c>
      <c r="B38" s="5">
        <f t="shared" si="1"/>
        <v>610422100129</v>
      </c>
      <c r="C38" s="5" t="str">
        <f t="shared" si="2"/>
        <v>Andre</v>
      </c>
      <c r="D38" s="5" t="s">
        <v>363</v>
      </c>
      <c r="E38" s="5" t="e">
        <f t="array" ref="E38">INDEX('Master SLS'!$H$2:$H998,MATCH($AL38,'Master SLS'!$K$2:$K998,0))</f>
        <v>#VALUE!</v>
      </c>
      <c r="F38" s="5" t="e">
        <f t="array" ref="F38">INDEX('Master SLS'!$I$2:$I998,MATCH($AL38,'Master SLS'!$K$2:$K998,0))</f>
        <v>#VALUE!</v>
      </c>
      <c r="G38" s="5" t="s">
        <v>606</v>
      </c>
      <c r="H38" s="5" t="s">
        <v>607</v>
      </c>
      <c r="I38" s="5" t="s">
        <v>388</v>
      </c>
      <c r="J38" s="5">
        <v>1</v>
      </c>
      <c r="K38" s="5" t="s">
        <v>608</v>
      </c>
      <c r="L38" s="5">
        <v>61</v>
      </c>
      <c r="M38" s="5">
        <v>4</v>
      </c>
      <c r="N38" s="5">
        <v>110</v>
      </c>
      <c r="O38" s="5">
        <v>3</v>
      </c>
      <c r="P38" s="5" t="s">
        <v>609</v>
      </c>
      <c r="Q38" s="5">
        <v>1</v>
      </c>
      <c r="R38" s="74">
        <v>35962</v>
      </c>
      <c r="S38" s="5"/>
      <c r="T38" s="5">
        <v>1</v>
      </c>
      <c r="U38" s="5">
        <v>1</v>
      </c>
      <c r="V38" s="5">
        <v>1</v>
      </c>
      <c r="W38" s="5">
        <v>3</v>
      </c>
      <c r="X38" s="5">
        <v>5</v>
      </c>
      <c r="AA38" s="5">
        <v>1</v>
      </c>
      <c r="AB38" s="5">
        <v>0</v>
      </c>
      <c r="AC38" s="5">
        <v>1</v>
      </c>
      <c r="AD38" s="5">
        <v>1</v>
      </c>
      <c r="AE38" s="5">
        <v>0</v>
      </c>
      <c r="AF38" s="5">
        <v>0</v>
      </c>
      <c r="AG38" s="5">
        <v>0</v>
      </c>
      <c r="AH38" s="5"/>
      <c r="AI38" s="5" t="s">
        <v>388</v>
      </c>
      <c r="AJ38" s="5" t="s">
        <v>610</v>
      </c>
      <c r="AK38" s="5">
        <v>610422100129</v>
      </c>
      <c r="AL38" s="5" t="e">
        <f t="shared" si="3"/>
        <v>#VALUE!</v>
      </c>
    </row>
    <row r="39" spans="1:38" ht="12.5">
      <c r="A39" s="10" t="str">
        <f t="shared" si="0"/>
        <v>Anggraini Moryana</v>
      </c>
      <c r="B39" s="5">
        <f t="shared" si="1"/>
        <v>610422100301</v>
      </c>
      <c r="C39" s="5" t="str">
        <f t="shared" si="2"/>
        <v>Anggraini Moryana</v>
      </c>
      <c r="D39" s="5" t="s">
        <v>363</v>
      </c>
      <c r="E39" s="5" t="e">
        <f t="array" ref="E39">INDEX('Master SLS'!$H$2:$H998,MATCH($AL39,'Master SLS'!$K$2:$K998,0))</f>
        <v>#VALUE!</v>
      </c>
      <c r="F39" s="5" t="e">
        <f t="array" ref="F39">INDEX('Master SLS'!$I$2:$I998,MATCH($AL39,'Master SLS'!$K$2:$K998,0))</f>
        <v>#VALUE!</v>
      </c>
      <c r="G39" s="5" t="s">
        <v>611</v>
      </c>
      <c r="H39" s="5" t="s">
        <v>612</v>
      </c>
      <c r="I39" s="5" t="s">
        <v>366</v>
      </c>
      <c r="J39" s="5">
        <v>1</v>
      </c>
      <c r="K39" s="5" t="s">
        <v>613</v>
      </c>
      <c r="L39" s="5">
        <v>61</v>
      </c>
      <c r="M39" s="5">
        <v>4</v>
      </c>
      <c r="N39" s="5">
        <v>80</v>
      </c>
      <c r="O39" s="5">
        <v>2</v>
      </c>
      <c r="P39" s="5" t="s">
        <v>614</v>
      </c>
      <c r="Q39" s="5">
        <v>2</v>
      </c>
      <c r="R39" s="74">
        <v>33456</v>
      </c>
      <c r="S39" s="5" t="s">
        <v>615</v>
      </c>
      <c r="T39" s="5">
        <v>0</v>
      </c>
      <c r="U39" s="5">
        <v>1</v>
      </c>
      <c r="V39" s="5">
        <v>2</v>
      </c>
      <c r="W39" s="5">
        <v>5</v>
      </c>
      <c r="X39" s="5">
        <v>5</v>
      </c>
      <c r="AA39" s="5">
        <v>1</v>
      </c>
      <c r="AB39" s="5">
        <v>0</v>
      </c>
      <c r="AC39" s="5">
        <v>1</v>
      </c>
      <c r="AD39" s="5">
        <v>0</v>
      </c>
      <c r="AE39" s="5">
        <v>0</v>
      </c>
      <c r="AF39" s="5">
        <v>0</v>
      </c>
      <c r="AG39" s="5">
        <v>0</v>
      </c>
      <c r="AI39" s="5" t="s">
        <v>366</v>
      </c>
      <c r="AJ39" s="5" t="s">
        <v>616</v>
      </c>
      <c r="AK39" s="5">
        <v>610422100301</v>
      </c>
      <c r="AL39" s="5" t="e">
        <f t="shared" si="3"/>
        <v>#VALUE!</v>
      </c>
    </row>
    <row r="40" spans="1:38" ht="12.5">
      <c r="A40" s="10" t="str">
        <f t="shared" si="0"/>
        <v>Anggye Ramadana</v>
      </c>
      <c r="B40" s="5">
        <f t="shared" si="1"/>
        <v>610423110186</v>
      </c>
      <c r="C40" s="5" t="str">
        <f t="shared" si="2"/>
        <v>ANGGYE RAMADANA</v>
      </c>
      <c r="D40" s="5" t="s">
        <v>363</v>
      </c>
      <c r="E40" s="5" t="e">
        <f t="array" ref="E40">INDEX('Master SLS'!$H$2:$H998,MATCH($AL40,'Master SLS'!$K$2:$K998,0))</f>
        <v>#VALUE!</v>
      </c>
      <c r="F40" s="5" t="e">
        <f t="array" ref="F40">INDEX('Master SLS'!$I$2:$I998,MATCH($AL40,'Master SLS'!$K$2:$K998,0))</f>
        <v>#VALUE!</v>
      </c>
      <c r="G40" s="5" t="s">
        <v>617</v>
      </c>
      <c r="H40" s="5" t="s">
        <v>618</v>
      </c>
      <c r="I40" s="5" t="s">
        <v>388</v>
      </c>
      <c r="J40" s="5">
        <v>1</v>
      </c>
      <c r="K40" s="5" t="s">
        <v>619</v>
      </c>
      <c r="L40" s="5">
        <v>61</v>
      </c>
      <c r="M40" s="5">
        <v>4</v>
      </c>
      <c r="N40" s="5">
        <v>110</v>
      </c>
      <c r="O40" s="5">
        <v>6</v>
      </c>
      <c r="P40" s="5" t="s">
        <v>620</v>
      </c>
      <c r="Q40" s="5">
        <v>1</v>
      </c>
      <c r="R40" s="74">
        <v>36509</v>
      </c>
      <c r="S40" s="5"/>
      <c r="T40" s="5">
        <v>0</v>
      </c>
      <c r="U40" s="5">
        <v>1</v>
      </c>
      <c r="V40" s="5">
        <v>2</v>
      </c>
      <c r="W40" s="5">
        <v>5</v>
      </c>
      <c r="X40" s="5">
        <v>4</v>
      </c>
      <c r="AA40" s="5">
        <v>0</v>
      </c>
      <c r="AB40" s="5">
        <v>0</v>
      </c>
      <c r="AC40" s="5">
        <v>0</v>
      </c>
      <c r="AD40" s="5">
        <v>0</v>
      </c>
      <c r="AE40" s="5">
        <v>0</v>
      </c>
      <c r="AF40" s="5">
        <v>0</v>
      </c>
      <c r="AG40" s="5">
        <v>0</v>
      </c>
      <c r="AH40" s="5" t="s">
        <v>621</v>
      </c>
      <c r="AI40" s="5" t="s">
        <v>388</v>
      </c>
      <c r="AJ40" s="5" t="s">
        <v>622</v>
      </c>
      <c r="AK40" s="5">
        <v>610423110186</v>
      </c>
      <c r="AL40" s="5" t="e">
        <f t="shared" si="3"/>
        <v>#VALUE!</v>
      </c>
    </row>
    <row r="41" spans="1:38" ht="12.5">
      <c r="A41" s="10" t="str">
        <f t="shared" si="0"/>
        <v>Anisatunnabilah</v>
      </c>
      <c r="B41" s="5">
        <f t="shared" si="1"/>
        <v>610422100274</v>
      </c>
      <c r="C41" s="5" t="str">
        <f t="shared" si="2"/>
        <v>Anisatunnabilah</v>
      </c>
      <c r="D41" s="5" t="s">
        <v>363</v>
      </c>
      <c r="E41" s="5" t="e">
        <f t="array" ref="E41">INDEX('Master SLS'!$H$2:$H998,MATCH($AL41,'Master SLS'!$K$2:$K998,0))</f>
        <v>#VALUE!</v>
      </c>
      <c r="F41" s="5" t="e">
        <f t="array" ref="F41">INDEX('Master SLS'!$I$2:$I998,MATCH($AL41,'Master SLS'!$K$2:$K998,0))</f>
        <v>#VALUE!</v>
      </c>
      <c r="G41" s="5" t="s">
        <v>623</v>
      </c>
      <c r="H41" s="5" t="s">
        <v>624</v>
      </c>
      <c r="I41" s="5" t="s">
        <v>474</v>
      </c>
      <c r="J41" s="5">
        <v>1</v>
      </c>
      <c r="K41" s="5" t="s">
        <v>625</v>
      </c>
      <c r="L41" s="5">
        <v>61</v>
      </c>
      <c r="M41" s="5">
        <v>4</v>
      </c>
      <c r="N41" s="5">
        <v>101</v>
      </c>
      <c r="O41" s="5">
        <v>7</v>
      </c>
      <c r="P41" s="5" t="s">
        <v>626</v>
      </c>
      <c r="Q41" s="5">
        <v>1</v>
      </c>
      <c r="R41" s="74">
        <v>36436</v>
      </c>
      <c r="S41" s="5"/>
      <c r="T41" s="5">
        <v>0</v>
      </c>
      <c r="U41" s="5">
        <v>1</v>
      </c>
      <c r="V41" s="5">
        <v>1</v>
      </c>
      <c r="W41" s="5">
        <v>5</v>
      </c>
      <c r="X41" s="5">
        <v>6</v>
      </c>
      <c r="AA41" s="5">
        <v>1</v>
      </c>
      <c r="AB41" s="5">
        <v>0</v>
      </c>
      <c r="AC41" s="5">
        <v>0</v>
      </c>
      <c r="AD41" s="5">
        <v>1</v>
      </c>
      <c r="AE41" s="5">
        <v>0</v>
      </c>
      <c r="AF41" s="5">
        <v>0</v>
      </c>
      <c r="AG41" s="5">
        <v>0</v>
      </c>
      <c r="AH41" s="5" t="s">
        <v>627</v>
      </c>
      <c r="AI41" s="5" t="s">
        <v>474</v>
      </c>
      <c r="AJ41" s="5" t="s">
        <v>628</v>
      </c>
      <c r="AK41" s="5">
        <v>610422100274</v>
      </c>
      <c r="AL41" s="5" t="e">
        <f t="shared" si="3"/>
        <v>#VALUE!</v>
      </c>
    </row>
    <row r="42" spans="1:38" ht="12.5">
      <c r="A42" s="10" t="str">
        <f t="shared" si="0"/>
        <v>Annisa</v>
      </c>
      <c r="B42" s="5">
        <f t="shared" si="1"/>
        <v>610422100198</v>
      </c>
      <c r="C42" s="5" t="str">
        <f t="shared" si="2"/>
        <v>Annisa</v>
      </c>
      <c r="D42" s="5" t="s">
        <v>363</v>
      </c>
      <c r="E42" s="5" t="e">
        <f t="array" ref="E42">INDEX('Master SLS'!$H$2:$H998,MATCH($AL42,'Master SLS'!$K$2:$K998,0))</f>
        <v>#VALUE!</v>
      </c>
      <c r="F42" s="5" t="e">
        <f t="array" ref="F42">INDEX('Master SLS'!$I$2:$I998,MATCH($AL42,'Master SLS'!$K$2:$K998,0))</f>
        <v>#VALUE!</v>
      </c>
      <c r="G42" s="5" t="s">
        <v>629</v>
      </c>
      <c r="H42" s="5" t="s">
        <v>630</v>
      </c>
      <c r="I42" s="5" t="s">
        <v>388</v>
      </c>
      <c r="J42" s="5">
        <v>1</v>
      </c>
      <c r="K42" s="5" t="s">
        <v>631</v>
      </c>
      <c r="L42" s="5">
        <v>61</v>
      </c>
      <c r="M42" s="5">
        <v>4</v>
      </c>
      <c r="N42" s="5">
        <v>81</v>
      </c>
      <c r="O42" s="5">
        <v>4</v>
      </c>
      <c r="P42" s="5" t="s">
        <v>632</v>
      </c>
      <c r="Q42" s="5">
        <v>1</v>
      </c>
      <c r="R42" s="74">
        <v>36231</v>
      </c>
      <c r="T42" s="5">
        <v>0</v>
      </c>
      <c r="U42" s="5">
        <v>1</v>
      </c>
      <c r="V42" s="5">
        <v>1</v>
      </c>
      <c r="W42" s="5">
        <v>3</v>
      </c>
      <c r="X42" s="5">
        <v>6</v>
      </c>
      <c r="Y42" s="5"/>
      <c r="AA42" s="5">
        <v>1</v>
      </c>
      <c r="AB42" s="5">
        <v>0</v>
      </c>
      <c r="AC42" s="5">
        <v>1</v>
      </c>
      <c r="AD42" s="5">
        <v>1</v>
      </c>
      <c r="AE42" s="5">
        <v>0</v>
      </c>
      <c r="AF42" s="5">
        <v>0</v>
      </c>
      <c r="AG42" s="5">
        <v>0</v>
      </c>
      <c r="AH42" s="5"/>
      <c r="AI42" s="5" t="s">
        <v>388</v>
      </c>
      <c r="AJ42" s="5" t="s">
        <v>633</v>
      </c>
      <c r="AK42" s="5">
        <v>610422100198</v>
      </c>
      <c r="AL42" s="5" t="e">
        <f t="shared" si="3"/>
        <v>#VALUE!</v>
      </c>
    </row>
    <row r="43" spans="1:38" ht="12.5">
      <c r="A43" s="10" t="str">
        <f t="shared" si="0"/>
        <v>Annisa Maharani Alfarasi</v>
      </c>
      <c r="B43" s="5">
        <f t="shared" si="1"/>
        <v>610422100047</v>
      </c>
      <c r="C43" s="5" t="str">
        <f t="shared" si="2"/>
        <v>Annisa Maharani Alfarasi</v>
      </c>
      <c r="D43" s="5" t="s">
        <v>363</v>
      </c>
      <c r="E43" s="5" t="e">
        <f t="array" ref="E43">INDEX('Master SLS'!$H$2:$H998,MATCH($AL43,'Master SLS'!$K$2:$K998,0))</f>
        <v>#VALUE!</v>
      </c>
      <c r="F43" s="5" t="e">
        <f t="array" ref="F43">INDEX('Master SLS'!$I$2:$I998,MATCH($AL43,'Master SLS'!$K$2:$K998,0))</f>
        <v>#VALUE!</v>
      </c>
      <c r="G43" s="5" t="s">
        <v>634</v>
      </c>
      <c r="H43" s="5" t="s">
        <v>635</v>
      </c>
      <c r="I43" s="5" t="s">
        <v>388</v>
      </c>
      <c r="J43" s="5">
        <v>1</v>
      </c>
      <c r="K43" s="5" t="s">
        <v>636</v>
      </c>
      <c r="L43" s="5">
        <v>61</v>
      </c>
      <c r="M43" s="5">
        <v>4</v>
      </c>
      <c r="N43" s="5">
        <v>100</v>
      </c>
      <c r="O43" s="5">
        <v>8</v>
      </c>
      <c r="P43" s="5" t="s">
        <v>637</v>
      </c>
      <c r="Q43" s="5">
        <v>1</v>
      </c>
      <c r="R43" s="7">
        <v>36098</v>
      </c>
      <c r="S43" s="5" t="s">
        <v>638</v>
      </c>
      <c r="T43" s="5">
        <v>0</v>
      </c>
      <c r="U43" s="5">
        <v>1</v>
      </c>
      <c r="V43" s="5">
        <v>1</v>
      </c>
      <c r="W43" s="5">
        <v>5</v>
      </c>
      <c r="X43" s="5">
        <v>7</v>
      </c>
      <c r="Y43" s="5" t="s">
        <v>376</v>
      </c>
      <c r="AA43" s="5">
        <v>1</v>
      </c>
      <c r="AB43" s="5">
        <v>0</v>
      </c>
      <c r="AC43" s="5">
        <v>0</v>
      </c>
      <c r="AD43" s="5">
        <v>1</v>
      </c>
      <c r="AE43" s="5">
        <v>0</v>
      </c>
      <c r="AF43" s="5">
        <v>0</v>
      </c>
      <c r="AG43" s="5">
        <v>0</v>
      </c>
      <c r="AH43" s="5"/>
      <c r="AI43" s="5" t="s">
        <v>388</v>
      </c>
      <c r="AJ43" s="5" t="s">
        <v>639</v>
      </c>
      <c r="AK43" s="5">
        <v>610422100047</v>
      </c>
      <c r="AL43" s="5" t="e">
        <f t="shared" si="3"/>
        <v>#VALUE!</v>
      </c>
    </row>
    <row r="44" spans="1:38" ht="12.5">
      <c r="A44" s="10" t="str">
        <f t="shared" si="0"/>
        <v>Apriyansyah</v>
      </c>
      <c r="B44" s="5">
        <f t="shared" si="1"/>
        <v>610423110065</v>
      </c>
      <c r="C44" s="5" t="str">
        <f t="shared" si="2"/>
        <v>Apriyansyah</v>
      </c>
      <c r="D44" s="5" t="s">
        <v>560</v>
      </c>
      <c r="E44" s="5" t="s">
        <v>640</v>
      </c>
      <c r="F44" s="5" t="s">
        <v>641</v>
      </c>
      <c r="G44" s="5" t="s">
        <v>642</v>
      </c>
      <c r="H44" s="5" t="s">
        <v>643</v>
      </c>
      <c r="I44" s="5" t="s">
        <v>366</v>
      </c>
      <c r="J44" s="5">
        <v>1</v>
      </c>
      <c r="K44" s="5" t="s">
        <v>644</v>
      </c>
      <c r="L44" s="5">
        <v>61</v>
      </c>
      <c r="M44" s="5">
        <v>71</v>
      </c>
      <c r="N44" s="5">
        <v>20</v>
      </c>
      <c r="O44" s="5">
        <v>3</v>
      </c>
      <c r="P44" s="5" t="s">
        <v>645</v>
      </c>
      <c r="Q44" s="5">
        <v>1</v>
      </c>
      <c r="R44" s="74">
        <v>37383</v>
      </c>
      <c r="S44" s="5" t="s">
        <v>646</v>
      </c>
      <c r="T44" s="5">
        <v>1</v>
      </c>
      <c r="U44" s="5">
        <v>1</v>
      </c>
      <c r="V44" s="5">
        <v>1</v>
      </c>
      <c r="W44" s="5">
        <v>3</v>
      </c>
      <c r="X44" s="5">
        <v>7</v>
      </c>
      <c r="Y44" s="5" t="s">
        <v>647</v>
      </c>
      <c r="AA44" s="5">
        <v>0</v>
      </c>
      <c r="AB44" s="5">
        <v>0</v>
      </c>
      <c r="AC44" s="5">
        <v>0</v>
      </c>
      <c r="AD44" s="5">
        <v>0</v>
      </c>
      <c r="AE44" s="5">
        <v>0</v>
      </c>
      <c r="AF44" s="5">
        <v>0</v>
      </c>
      <c r="AG44" s="5">
        <v>0</v>
      </c>
      <c r="AH44" s="5" t="s">
        <v>648</v>
      </c>
      <c r="AI44" s="5" t="s">
        <v>366</v>
      </c>
      <c r="AJ44" s="5" t="s">
        <v>649</v>
      </c>
      <c r="AK44" s="5">
        <v>610423110065</v>
      </c>
      <c r="AL44" s="5" t="e">
        <f t="shared" si="3"/>
        <v>#VALUE!</v>
      </c>
    </row>
    <row r="45" spans="1:38" ht="12.5">
      <c r="A45" s="10" t="str">
        <f t="shared" si="0"/>
        <v>Arfi Arfaqiyah</v>
      </c>
      <c r="B45" s="5">
        <f t="shared" si="1"/>
        <v>610422100210</v>
      </c>
      <c r="C45" s="5" t="str">
        <f t="shared" si="2"/>
        <v>Arfi arfaqiyah</v>
      </c>
      <c r="D45" s="5" t="s">
        <v>363</v>
      </c>
      <c r="E45" s="5" t="e">
        <f t="array" ref="E45">INDEX('Master SLS'!$H$2:$H998,MATCH($AL45,'Master SLS'!$K$2:$K998,0))</f>
        <v>#VALUE!</v>
      </c>
      <c r="F45" s="5" t="e">
        <f t="array" ref="F45">INDEX('Master SLS'!$I$2:$I998,MATCH($AL45,'Master SLS'!$K$2:$K998,0))</f>
        <v>#VALUE!</v>
      </c>
      <c r="G45" s="5" t="s">
        <v>650</v>
      </c>
      <c r="H45" s="5" t="s">
        <v>651</v>
      </c>
      <c r="I45" s="5" t="s">
        <v>366</v>
      </c>
      <c r="J45" s="5">
        <v>1</v>
      </c>
      <c r="K45" s="5" t="s">
        <v>652</v>
      </c>
      <c r="L45" s="5">
        <v>61</v>
      </c>
      <c r="M45" s="5">
        <v>4</v>
      </c>
      <c r="N45" s="5">
        <v>101</v>
      </c>
      <c r="O45" s="5">
        <v>2</v>
      </c>
      <c r="P45" s="5" t="s">
        <v>653</v>
      </c>
      <c r="Q45" s="5">
        <v>1</v>
      </c>
      <c r="R45" s="7">
        <v>37231</v>
      </c>
      <c r="S45" s="5" t="s">
        <v>654</v>
      </c>
      <c r="T45" s="5">
        <v>0</v>
      </c>
      <c r="U45" s="5">
        <v>1</v>
      </c>
      <c r="V45" s="5">
        <v>1</v>
      </c>
      <c r="W45" s="5">
        <v>3</v>
      </c>
      <c r="X45" s="5">
        <v>7</v>
      </c>
      <c r="Y45" s="5" t="s">
        <v>655</v>
      </c>
      <c r="AA45" s="5">
        <v>1</v>
      </c>
      <c r="AB45" s="5">
        <v>0</v>
      </c>
      <c r="AC45" s="5">
        <v>1</v>
      </c>
      <c r="AD45" s="5">
        <v>1</v>
      </c>
      <c r="AE45" s="5">
        <v>0</v>
      </c>
      <c r="AF45" s="5">
        <v>0</v>
      </c>
      <c r="AG45" s="5">
        <v>0</v>
      </c>
      <c r="AH45" s="5" t="s">
        <v>656</v>
      </c>
      <c r="AI45" s="5" t="s">
        <v>366</v>
      </c>
      <c r="AJ45" s="5" t="s">
        <v>657</v>
      </c>
      <c r="AK45" s="5">
        <v>610422100210</v>
      </c>
      <c r="AL45" s="5" t="e">
        <f t="shared" si="3"/>
        <v>#VALUE!</v>
      </c>
    </row>
    <row r="46" spans="1:38" ht="12.5">
      <c r="A46" s="10" t="str">
        <f t="shared" si="0"/>
        <v>Ari Alkadri</v>
      </c>
      <c r="B46" s="5">
        <f t="shared" si="1"/>
        <v>610423110122</v>
      </c>
      <c r="C46" s="5" t="str">
        <f t="shared" si="2"/>
        <v>ARI ALKADRI</v>
      </c>
      <c r="D46" s="5" t="s">
        <v>363</v>
      </c>
      <c r="E46" s="5" t="e">
        <f t="array" ref="E46">INDEX('Master SLS'!$H$2:$H998,MATCH($AL46,'Master SLS'!$K$2:$K998,0))</f>
        <v>#VALUE!</v>
      </c>
      <c r="F46" s="5" t="e">
        <f t="array" ref="F46">INDEX('Master SLS'!$I$2:$I998,MATCH($AL46,'Master SLS'!$K$2:$K998,0))</f>
        <v>#VALUE!</v>
      </c>
      <c r="G46" s="5" t="s">
        <v>658</v>
      </c>
      <c r="H46" s="5" t="s">
        <v>659</v>
      </c>
      <c r="I46" s="5" t="s">
        <v>474</v>
      </c>
      <c r="J46" s="5">
        <v>1</v>
      </c>
      <c r="K46" s="5" t="s">
        <v>660</v>
      </c>
      <c r="L46" s="5">
        <v>61</v>
      </c>
      <c r="M46" s="5">
        <v>4</v>
      </c>
      <c r="N46" s="5">
        <v>121</v>
      </c>
      <c r="O46" s="5">
        <v>2</v>
      </c>
      <c r="P46" s="5" t="s">
        <v>661</v>
      </c>
      <c r="Q46" s="5">
        <v>1</v>
      </c>
      <c r="R46" s="74">
        <v>33335</v>
      </c>
      <c r="S46" s="5"/>
      <c r="T46" s="5">
        <v>1</v>
      </c>
      <c r="U46" s="5">
        <v>1</v>
      </c>
      <c r="V46" s="5">
        <v>1</v>
      </c>
      <c r="W46" s="5">
        <v>3</v>
      </c>
      <c r="X46" s="5">
        <v>3</v>
      </c>
      <c r="AA46" s="5">
        <v>0</v>
      </c>
      <c r="AB46" s="5">
        <v>0</v>
      </c>
      <c r="AC46" s="5">
        <v>0</v>
      </c>
      <c r="AD46" s="5">
        <v>0</v>
      </c>
      <c r="AE46" s="5">
        <v>0</v>
      </c>
      <c r="AF46" s="5">
        <v>0</v>
      </c>
      <c r="AG46" s="5">
        <v>0</v>
      </c>
      <c r="AI46" s="5" t="s">
        <v>474</v>
      </c>
      <c r="AJ46" s="5" t="s">
        <v>662</v>
      </c>
      <c r="AK46" s="5">
        <v>610423110122</v>
      </c>
      <c r="AL46" s="5" t="e">
        <f t="shared" si="3"/>
        <v>#VALUE!</v>
      </c>
    </row>
    <row r="47" spans="1:38" ht="12.5">
      <c r="A47" s="10" t="str">
        <f t="shared" si="0"/>
        <v>Arianto</v>
      </c>
      <c r="B47" s="5">
        <f t="shared" si="1"/>
        <v>610422040070</v>
      </c>
      <c r="C47" s="5" t="str">
        <f t="shared" si="2"/>
        <v>Arianto</v>
      </c>
      <c r="D47" s="5" t="s">
        <v>363</v>
      </c>
      <c r="E47" s="5" t="e">
        <f t="array" ref="E47">INDEX('Master SLS'!$H$2:$H998,MATCH($AL47,'Master SLS'!$K$2:$K998,0))</f>
        <v>#VALUE!</v>
      </c>
      <c r="F47" s="5" t="e">
        <f t="array" ref="F47">INDEX('Master SLS'!$I$2:$I998,MATCH($AL47,'Master SLS'!$K$2:$K998,0))</f>
        <v>#VALUE!</v>
      </c>
      <c r="G47" s="5" t="s">
        <v>663</v>
      </c>
      <c r="H47" s="5" t="s">
        <v>664</v>
      </c>
      <c r="I47" s="5" t="s">
        <v>366</v>
      </c>
      <c r="J47" s="5">
        <v>1</v>
      </c>
      <c r="K47" s="5" t="s">
        <v>665</v>
      </c>
      <c r="L47" s="5">
        <v>61</v>
      </c>
      <c r="M47" s="5">
        <v>4</v>
      </c>
      <c r="N47" s="5">
        <v>121</v>
      </c>
      <c r="O47" s="5">
        <v>3</v>
      </c>
      <c r="P47" s="5" t="s">
        <v>666</v>
      </c>
      <c r="Q47" s="5">
        <v>1</v>
      </c>
      <c r="R47" s="74">
        <v>33799</v>
      </c>
      <c r="S47" s="5"/>
      <c r="T47" s="5">
        <v>1</v>
      </c>
      <c r="U47" s="5">
        <v>2</v>
      </c>
      <c r="V47" s="5">
        <v>2</v>
      </c>
      <c r="W47" s="5">
        <v>3</v>
      </c>
      <c r="X47" s="5">
        <v>7</v>
      </c>
      <c r="Y47" s="5" t="s">
        <v>667</v>
      </c>
      <c r="AA47" s="5">
        <v>1</v>
      </c>
      <c r="AB47" s="5">
        <v>1</v>
      </c>
      <c r="AC47" s="5">
        <v>0</v>
      </c>
      <c r="AD47" s="5">
        <v>0</v>
      </c>
      <c r="AE47" s="5">
        <v>1</v>
      </c>
      <c r="AF47" s="5">
        <v>1</v>
      </c>
      <c r="AG47" s="5">
        <v>0</v>
      </c>
      <c r="AI47" s="5" t="s">
        <v>366</v>
      </c>
      <c r="AJ47" s="5" t="s">
        <v>668</v>
      </c>
      <c r="AK47" s="5">
        <v>610422040070</v>
      </c>
      <c r="AL47" s="5" t="e">
        <f t="shared" si="3"/>
        <v>#VALUE!</v>
      </c>
    </row>
    <row r="48" spans="1:38" ht="12.5">
      <c r="A48" s="10" t="str">
        <f t="shared" si="0"/>
        <v>Arie Maulana</v>
      </c>
      <c r="B48" s="5">
        <f t="shared" si="1"/>
        <v>610422100079</v>
      </c>
      <c r="C48" s="5" t="str">
        <f t="shared" si="2"/>
        <v>Arie maulana</v>
      </c>
      <c r="D48" s="5" t="s">
        <v>363</v>
      </c>
      <c r="E48" s="5" t="e">
        <f t="array" ref="E48">INDEX('Master SLS'!$H$2:$H998,MATCH($AL48,'Master SLS'!$K$2:$K998,0))</f>
        <v>#VALUE!</v>
      </c>
      <c r="F48" s="5" t="e">
        <f t="array" ref="F48">INDEX('Master SLS'!$I$2:$I998,MATCH($AL48,'Master SLS'!$K$2:$K998,0))</f>
        <v>#VALUE!</v>
      </c>
      <c r="G48" s="5" t="s">
        <v>669</v>
      </c>
      <c r="H48" s="5" t="s">
        <v>670</v>
      </c>
      <c r="I48" s="5" t="s">
        <v>366</v>
      </c>
      <c r="J48" s="5">
        <v>1</v>
      </c>
      <c r="K48" s="5" t="s">
        <v>671</v>
      </c>
      <c r="L48" s="5">
        <v>61</v>
      </c>
      <c r="M48" s="5">
        <v>4</v>
      </c>
      <c r="N48" s="5">
        <v>90</v>
      </c>
      <c r="O48" s="5">
        <v>5</v>
      </c>
      <c r="P48" s="5" t="s">
        <v>672</v>
      </c>
      <c r="Q48" s="5">
        <v>1</v>
      </c>
      <c r="R48" s="74">
        <v>30289</v>
      </c>
      <c r="S48" s="5" t="s">
        <v>673</v>
      </c>
      <c r="T48" s="5">
        <v>1</v>
      </c>
      <c r="U48" s="5">
        <v>1</v>
      </c>
      <c r="V48" s="5">
        <v>2</v>
      </c>
      <c r="W48" s="5">
        <v>3</v>
      </c>
      <c r="X48" s="5">
        <v>2</v>
      </c>
      <c r="Y48" s="5"/>
      <c r="AA48" s="5">
        <v>1</v>
      </c>
      <c r="AB48" s="5">
        <v>1</v>
      </c>
      <c r="AC48" s="5">
        <v>0</v>
      </c>
      <c r="AD48" s="5">
        <v>1</v>
      </c>
      <c r="AE48" s="5">
        <v>0</v>
      </c>
      <c r="AF48" s="5">
        <v>0</v>
      </c>
      <c r="AG48" s="5">
        <v>0</v>
      </c>
      <c r="AH48" s="5" t="s">
        <v>674</v>
      </c>
      <c r="AI48" s="5" t="s">
        <v>366</v>
      </c>
      <c r="AJ48" s="5" t="s">
        <v>675</v>
      </c>
      <c r="AK48" s="5">
        <v>610422100079</v>
      </c>
      <c r="AL48" s="5" t="e">
        <f t="shared" si="3"/>
        <v>#VALUE!</v>
      </c>
    </row>
    <row r="49" spans="1:38" ht="12.5">
      <c r="A49" s="10" t="str">
        <f t="shared" si="0"/>
        <v>Arif Maulana</v>
      </c>
      <c r="B49" s="5">
        <f t="shared" si="1"/>
        <v>610422100217</v>
      </c>
      <c r="C49" s="5" t="str">
        <f t="shared" si="2"/>
        <v>Arif Maulana</v>
      </c>
      <c r="D49" s="5" t="s">
        <v>363</v>
      </c>
      <c r="E49" s="5" t="e">
        <f t="array" ref="E49">INDEX('Master SLS'!$H$2:$H998,MATCH($AL49,'Master SLS'!$K$2:$K998,0))</f>
        <v>#VALUE!</v>
      </c>
      <c r="F49" s="5" t="e">
        <f t="array" ref="F49">INDEX('Master SLS'!$I$2:$I998,MATCH($AL49,'Master SLS'!$K$2:$K998,0))</f>
        <v>#VALUE!</v>
      </c>
      <c r="G49" s="5" t="s">
        <v>676</v>
      </c>
      <c r="H49" s="5" t="s">
        <v>677</v>
      </c>
      <c r="I49" s="5" t="s">
        <v>366</v>
      </c>
      <c r="J49" s="5">
        <v>1</v>
      </c>
      <c r="K49" s="5" t="s">
        <v>678</v>
      </c>
      <c r="L49" s="5">
        <v>61</v>
      </c>
      <c r="M49" s="5">
        <v>4</v>
      </c>
      <c r="N49" s="5">
        <v>81</v>
      </c>
      <c r="O49" s="5">
        <v>1</v>
      </c>
      <c r="P49" s="5" t="s">
        <v>679</v>
      </c>
      <c r="Q49" s="5">
        <v>1</v>
      </c>
      <c r="R49" s="74">
        <v>33855</v>
      </c>
      <c r="S49" s="5"/>
      <c r="T49" s="5">
        <v>1</v>
      </c>
      <c r="U49" s="5">
        <v>1</v>
      </c>
      <c r="V49" s="5">
        <v>2</v>
      </c>
      <c r="W49" s="5">
        <v>3</v>
      </c>
      <c r="X49" s="5">
        <v>5</v>
      </c>
      <c r="AA49" s="5">
        <v>0</v>
      </c>
      <c r="AB49" s="5">
        <v>0</v>
      </c>
      <c r="AC49" s="5">
        <v>0</v>
      </c>
      <c r="AD49" s="5">
        <v>0</v>
      </c>
      <c r="AE49" s="5">
        <v>0</v>
      </c>
      <c r="AF49" s="5">
        <v>0</v>
      </c>
      <c r="AG49" s="5">
        <v>0</v>
      </c>
      <c r="AH49" s="5" t="s">
        <v>680</v>
      </c>
      <c r="AI49" s="5" t="s">
        <v>366</v>
      </c>
      <c r="AJ49" s="5" t="s">
        <v>681</v>
      </c>
      <c r="AK49" s="5">
        <v>610422100217</v>
      </c>
      <c r="AL49" s="5" t="e">
        <f t="shared" si="3"/>
        <v>#VALUE!</v>
      </c>
    </row>
    <row r="50" spans="1:38" ht="12.5">
      <c r="A50" s="10" t="str">
        <f t="shared" si="0"/>
        <v>Arifin</v>
      </c>
      <c r="B50" s="5">
        <f t="shared" si="1"/>
        <v>610423110158</v>
      </c>
      <c r="C50" s="5" t="str">
        <f t="shared" si="2"/>
        <v>Arifin</v>
      </c>
      <c r="D50" s="5" t="s">
        <v>363</v>
      </c>
      <c r="E50" s="5" t="e">
        <f t="array" ref="E50">INDEX('Master SLS'!$H$2:$H998,MATCH($AL50,'Master SLS'!$K$2:$K998,0))</f>
        <v>#VALUE!</v>
      </c>
      <c r="F50" s="5" t="e">
        <f t="array" ref="F50">INDEX('Master SLS'!$I$2:$I998,MATCH($AL50,'Master SLS'!$K$2:$K998,0))</f>
        <v>#VALUE!</v>
      </c>
      <c r="G50" s="5" t="s">
        <v>682</v>
      </c>
      <c r="H50" s="5" t="s">
        <v>683</v>
      </c>
      <c r="I50" s="5" t="s">
        <v>474</v>
      </c>
      <c r="J50" s="5">
        <v>1</v>
      </c>
      <c r="K50" s="5" t="s">
        <v>684</v>
      </c>
      <c r="L50" s="5">
        <v>61</v>
      </c>
      <c r="M50" s="5">
        <v>4</v>
      </c>
      <c r="N50" s="5">
        <v>90</v>
      </c>
      <c r="O50" s="5">
        <v>12</v>
      </c>
      <c r="P50" s="5" t="s">
        <v>685</v>
      </c>
      <c r="Q50" s="5">
        <v>1</v>
      </c>
      <c r="R50" s="7">
        <v>32090</v>
      </c>
      <c r="S50" s="5" t="s">
        <v>686</v>
      </c>
      <c r="T50" s="5">
        <v>1</v>
      </c>
      <c r="U50" s="5">
        <v>1</v>
      </c>
      <c r="V50" s="5">
        <v>2</v>
      </c>
      <c r="W50" s="5">
        <v>5</v>
      </c>
      <c r="X50" s="5">
        <v>1</v>
      </c>
      <c r="AA50" s="5">
        <v>1</v>
      </c>
      <c r="AB50" s="5">
        <v>1</v>
      </c>
      <c r="AC50" s="5">
        <v>0</v>
      </c>
      <c r="AD50" s="5">
        <v>0</v>
      </c>
      <c r="AE50" s="5">
        <v>0</v>
      </c>
      <c r="AF50" s="5">
        <v>0</v>
      </c>
      <c r="AG50" s="5">
        <v>0</v>
      </c>
      <c r="AH50" s="5" t="s">
        <v>687</v>
      </c>
      <c r="AI50" s="5" t="s">
        <v>474</v>
      </c>
      <c r="AJ50" s="5" t="s">
        <v>688</v>
      </c>
      <c r="AK50" s="5">
        <v>610423110158</v>
      </c>
      <c r="AL50" s="5" t="e">
        <f t="shared" si="3"/>
        <v>#VALUE!</v>
      </c>
    </row>
    <row r="51" spans="1:38" ht="12.5">
      <c r="A51" s="10" t="str">
        <f t="shared" si="0"/>
        <v>Arya Daffa Dawansyah</v>
      </c>
      <c r="B51" s="5">
        <f t="shared" si="1"/>
        <v>610423110164</v>
      </c>
      <c r="C51" s="5" t="str">
        <f t="shared" si="2"/>
        <v>Arya Daffa Dawansyah</v>
      </c>
      <c r="D51" s="5" t="s">
        <v>363</v>
      </c>
      <c r="E51" s="5" t="e">
        <f t="array" ref="E51">INDEX('Master SLS'!$H$2:$H998,MATCH($AL51,'Master SLS'!$K$2:$K998,0))</f>
        <v>#VALUE!</v>
      </c>
      <c r="F51" s="5" t="e">
        <f t="array" ref="F51">INDEX('Master SLS'!$I$2:$I998,MATCH($AL51,'Master SLS'!$K$2:$K998,0))</f>
        <v>#VALUE!</v>
      </c>
      <c r="G51" s="5" t="s">
        <v>689</v>
      </c>
      <c r="H51" s="5" t="s">
        <v>690</v>
      </c>
      <c r="I51" s="5" t="s">
        <v>474</v>
      </c>
      <c r="J51" s="5">
        <v>1</v>
      </c>
      <c r="K51" s="5" t="s">
        <v>691</v>
      </c>
      <c r="L51" s="5">
        <v>61</v>
      </c>
      <c r="M51" s="5">
        <v>4</v>
      </c>
      <c r="N51" s="5">
        <v>100</v>
      </c>
      <c r="O51" s="5">
        <v>8</v>
      </c>
      <c r="P51" s="5" t="s">
        <v>692</v>
      </c>
      <c r="Q51" s="5">
        <v>2</v>
      </c>
      <c r="R51" s="7">
        <v>38501</v>
      </c>
      <c r="S51" s="5"/>
      <c r="T51" s="5">
        <v>1</v>
      </c>
      <c r="U51" s="5">
        <v>1</v>
      </c>
      <c r="V51" s="5">
        <v>1</v>
      </c>
      <c r="W51" s="5">
        <v>3</v>
      </c>
      <c r="X51" s="5">
        <v>6</v>
      </c>
      <c r="Y51" s="5"/>
      <c r="AA51" s="5">
        <v>1</v>
      </c>
      <c r="AB51" s="5">
        <v>0</v>
      </c>
      <c r="AC51" s="5">
        <v>1</v>
      </c>
      <c r="AD51" s="5">
        <v>0</v>
      </c>
      <c r="AE51" s="5">
        <v>0</v>
      </c>
      <c r="AF51" s="5">
        <v>0</v>
      </c>
      <c r="AG51" s="5">
        <v>0</v>
      </c>
      <c r="AH51" s="5" t="s">
        <v>693</v>
      </c>
      <c r="AI51" s="5" t="s">
        <v>474</v>
      </c>
      <c r="AJ51" s="5" t="s">
        <v>694</v>
      </c>
      <c r="AK51" s="5">
        <v>610423110164</v>
      </c>
      <c r="AL51" s="5" t="e">
        <f t="shared" si="3"/>
        <v>#VALUE!</v>
      </c>
    </row>
    <row r="52" spans="1:38" ht="12.5">
      <c r="A52" s="10" t="str">
        <f t="shared" si="0"/>
        <v>Asmini</v>
      </c>
      <c r="B52" s="5">
        <f t="shared" si="1"/>
        <v>610423110024</v>
      </c>
      <c r="C52" s="5" t="str">
        <f t="shared" si="2"/>
        <v>ASMINI</v>
      </c>
      <c r="D52" s="5" t="s">
        <v>363</v>
      </c>
      <c r="E52" s="5" t="e">
        <f t="array" ref="E52">INDEX('Master SLS'!$H$2:$H998,MATCH($AL52,'Master SLS'!$K$2:$K998,0))</f>
        <v>#VALUE!</v>
      </c>
      <c r="F52" s="5" t="e">
        <f t="array" ref="F52">INDEX('Master SLS'!$I$2:$I998,MATCH($AL52,'Master SLS'!$K$2:$K998,0))</f>
        <v>#VALUE!</v>
      </c>
      <c r="G52" s="5" t="s">
        <v>695</v>
      </c>
      <c r="H52" s="5" t="s">
        <v>696</v>
      </c>
      <c r="I52" s="5" t="s">
        <v>366</v>
      </c>
      <c r="J52" s="5">
        <v>1</v>
      </c>
      <c r="K52" s="5" t="s">
        <v>697</v>
      </c>
      <c r="L52" s="5">
        <v>61</v>
      </c>
      <c r="M52" s="5">
        <v>4</v>
      </c>
      <c r="N52" s="5">
        <v>101</v>
      </c>
      <c r="O52" s="5">
        <v>1</v>
      </c>
      <c r="P52" s="5" t="s">
        <v>698</v>
      </c>
      <c r="Q52" s="5">
        <v>1</v>
      </c>
      <c r="R52" s="74">
        <v>36082</v>
      </c>
      <c r="S52" s="5"/>
      <c r="T52" s="5">
        <v>0</v>
      </c>
      <c r="U52" s="5">
        <v>1</v>
      </c>
      <c r="V52" s="5">
        <v>2</v>
      </c>
      <c r="W52" s="5">
        <v>3</v>
      </c>
      <c r="X52" s="5">
        <v>4</v>
      </c>
      <c r="AA52" s="5">
        <v>0</v>
      </c>
      <c r="AB52" s="5">
        <v>0</v>
      </c>
      <c r="AC52" s="5">
        <v>0</v>
      </c>
      <c r="AD52" s="5">
        <v>0</v>
      </c>
      <c r="AE52" s="5">
        <v>0</v>
      </c>
      <c r="AF52" s="5">
        <v>0</v>
      </c>
      <c r="AG52" s="5">
        <v>0</v>
      </c>
      <c r="AH52" s="5" t="s">
        <v>699</v>
      </c>
      <c r="AI52" s="5" t="s">
        <v>366</v>
      </c>
      <c r="AJ52" s="5" t="s">
        <v>700</v>
      </c>
      <c r="AK52" s="5">
        <v>610423110024</v>
      </c>
      <c r="AL52" s="5" t="e">
        <f t="shared" si="3"/>
        <v>#VALUE!</v>
      </c>
    </row>
    <row r="53" spans="1:38" ht="12.5">
      <c r="A53" s="10" t="str">
        <f t="shared" si="0"/>
        <v>Astuti</v>
      </c>
      <c r="B53" s="5">
        <f t="shared" si="1"/>
        <v>610422020025</v>
      </c>
      <c r="C53" s="5" t="str">
        <f t="shared" si="2"/>
        <v>Astuti</v>
      </c>
      <c r="D53" s="5" t="s">
        <v>363</v>
      </c>
      <c r="E53" s="5" t="e">
        <f t="array" ref="E53">INDEX('Master SLS'!$H$2:$H998,MATCH($AL53,'Master SLS'!$K$2:$K998,0))</f>
        <v>#VALUE!</v>
      </c>
      <c r="F53" s="5" t="e">
        <f t="array" ref="F53">INDEX('Master SLS'!$I$2:$I998,MATCH($AL53,'Master SLS'!$K$2:$K998,0))</f>
        <v>#VALUE!</v>
      </c>
      <c r="G53" s="5" t="s">
        <v>701</v>
      </c>
      <c r="H53" s="5" t="s">
        <v>702</v>
      </c>
      <c r="I53" s="5" t="s">
        <v>388</v>
      </c>
      <c r="J53" s="5">
        <v>1</v>
      </c>
      <c r="K53" s="5" t="s">
        <v>703</v>
      </c>
      <c r="L53" s="5">
        <v>61</v>
      </c>
      <c r="M53" s="5">
        <v>4</v>
      </c>
      <c r="N53" s="5">
        <v>90</v>
      </c>
      <c r="O53" s="5">
        <v>12</v>
      </c>
      <c r="P53" s="5" t="s">
        <v>704</v>
      </c>
      <c r="Q53" s="5">
        <v>1</v>
      </c>
      <c r="R53" s="7">
        <v>35374</v>
      </c>
      <c r="T53" s="5">
        <v>0</v>
      </c>
      <c r="U53" s="5">
        <v>1</v>
      </c>
      <c r="V53" s="5">
        <v>1</v>
      </c>
      <c r="W53" s="5">
        <v>5</v>
      </c>
      <c r="X53" s="5">
        <v>7</v>
      </c>
      <c r="Y53" s="5" t="s">
        <v>376</v>
      </c>
      <c r="AA53" s="5">
        <v>1</v>
      </c>
      <c r="AB53" s="5">
        <v>1</v>
      </c>
      <c r="AC53" s="5">
        <v>0</v>
      </c>
      <c r="AD53" s="5">
        <v>0</v>
      </c>
      <c r="AE53" s="5">
        <v>0</v>
      </c>
      <c r="AF53" s="5">
        <v>0</v>
      </c>
      <c r="AG53" s="5">
        <v>0</v>
      </c>
      <c r="AI53" s="5" t="s">
        <v>388</v>
      </c>
      <c r="AJ53" s="5" t="s">
        <v>705</v>
      </c>
      <c r="AK53" s="5">
        <v>610422020025</v>
      </c>
      <c r="AL53" s="5" t="e">
        <f t="shared" si="3"/>
        <v>#VALUE!</v>
      </c>
    </row>
    <row r="54" spans="1:38" ht="12.5">
      <c r="A54" s="10" t="str">
        <f t="shared" si="0"/>
        <v>Aswandi</v>
      </c>
      <c r="B54" s="5">
        <f t="shared" si="1"/>
        <v>610422100215</v>
      </c>
      <c r="C54" s="5" t="str">
        <f t="shared" si="2"/>
        <v>Aswandi</v>
      </c>
      <c r="D54" s="5" t="s">
        <v>363</v>
      </c>
      <c r="E54" s="5" t="e">
        <f t="array" ref="E54">INDEX('Master SLS'!$H$2:$H998,MATCH($AL54,'Master SLS'!$K$2:$K998,0))</f>
        <v>#VALUE!</v>
      </c>
      <c r="F54" s="5" t="e">
        <f t="array" ref="F54">INDEX('Master SLS'!$I$2:$I998,MATCH($AL54,'Master SLS'!$K$2:$K998,0))</f>
        <v>#VALUE!</v>
      </c>
      <c r="G54" s="5" t="s">
        <v>706</v>
      </c>
      <c r="H54" s="5" t="s">
        <v>707</v>
      </c>
      <c r="I54" s="5" t="s">
        <v>388</v>
      </c>
      <c r="J54" s="5">
        <v>1</v>
      </c>
      <c r="K54" s="5" t="s">
        <v>708</v>
      </c>
      <c r="L54" s="5">
        <v>61</v>
      </c>
      <c r="M54" s="5">
        <v>4</v>
      </c>
      <c r="N54" s="5">
        <v>80</v>
      </c>
      <c r="O54" s="5">
        <v>2</v>
      </c>
      <c r="P54" s="5" t="s">
        <v>709</v>
      </c>
      <c r="Q54" s="5">
        <v>1</v>
      </c>
      <c r="R54" s="74">
        <v>35153</v>
      </c>
      <c r="S54" s="5" t="s">
        <v>710</v>
      </c>
      <c r="T54" s="5">
        <v>1</v>
      </c>
      <c r="U54" s="5">
        <v>1</v>
      </c>
      <c r="V54" s="5">
        <v>1</v>
      </c>
      <c r="W54" s="5">
        <v>5</v>
      </c>
      <c r="X54" s="5">
        <v>7</v>
      </c>
      <c r="Y54" s="5" t="s">
        <v>711</v>
      </c>
      <c r="AA54" s="5">
        <v>1</v>
      </c>
      <c r="AB54" s="5">
        <v>0</v>
      </c>
      <c r="AC54" s="5">
        <v>0</v>
      </c>
      <c r="AD54" s="5">
        <v>1</v>
      </c>
      <c r="AE54" s="5">
        <v>0</v>
      </c>
      <c r="AF54" s="5">
        <v>0</v>
      </c>
      <c r="AG54" s="5">
        <v>0</v>
      </c>
      <c r="AI54" s="5" t="s">
        <v>388</v>
      </c>
      <c r="AJ54" s="5" t="s">
        <v>712</v>
      </c>
      <c r="AK54" s="5">
        <v>610422100215</v>
      </c>
      <c r="AL54" s="5" t="e">
        <f t="shared" si="3"/>
        <v>#VALUE!</v>
      </c>
    </row>
    <row r="55" spans="1:38" ht="12.5">
      <c r="A55" s="10" t="str">
        <f t="shared" si="0"/>
        <v>Aswati Ningsih,Se</v>
      </c>
      <c r="B55" s="5">
        <f t="shared" si="1"/>
        <v>610423090024</v>
      </c>
      <c r="C55" s="5" t="str">
        <f t="shared" si="2"/>
        <v>Aswati Ningsih,Se</v>
      </c>
      <c r="D55" s="5" t="s">
        <v>363</v>
      </c>
      <c r="E55" s="5" t="e">
        <f t="array" ref="E55">INDEX('Master SLS'!$H$2:$H998,MATCH($AL55,'Master SLS'!$K$2:$K998,0))</f>
        <v>#VALUE!</v>
      </c>
      <c r="F55" s="5" t="e">
        <f t="array" ref="F55">INDEX('Master SLS'!$I$2:$I998,MATCH($AL55,'Master SLS'!$K$2:$K998,0))</f>
        <v>#VALUE!</v>
      </c>
      <c r="G55" s="5" t="s">
        <v>713</v>
      </c>
      <c r="H55" s="5" t="s">
        <v>714</v>
      </c>
      <c r="I55" s="5" t="s">
        <v>388</v>
      </c>
      <c r="J55" s="5">
        <v>1</v>
      </c>
      <c r="K55" s="5" t="s">
        <v>715</v>
      </c>
      <c r="L55" s="5">
        <v>61</v>
      </c>
      <c r="M55" s="5">
        <v>4</v>
      </c>
      <c r="N55" s="5">
        <v>101</v>
      </c>
      <c r="O55" s="5">
        <v>1</v>
      </c>
      <c r="P55" s="5" t="s">
        <v>716</v>
      </c>
      <c r="Q55" s="5">
        <v>1</v>
      </c>
      <c r="R55" s="74">
        <v>31458</v>
      </c>
      <c r="S55" s="5" t="s">
        <v>717</v>
      </c>
      <c r="T55" s="5">
        <v>0</v>
      </c>
      <c r="U55" s="5">
        <v>1</v>
      </c>
      <c r="V55" s="5">
        <v>2</v>
      </c>
      <c r="W55" s="5">
        <v>5</v>
      </c>
      <c r="X55" s="5">
        <v>5</v>
      </c>
      <c r="AA55" s="5">
        <v>1</v>
      </c>
      <c r="AB55" s="5">
        <v>1</v>
      </c>
      <c r="AC55" s="5">
        <v>0</v>
      </c>
      <c r="AD55" s="5">
        <v>0</v>
      </c>
      <c r="AE55" s="5">
        <v>0</v>
      </c>
      <c r="AF55" s="5">
        <v>0</v>
      </c>
      <c r="AG55" s="5">
        <v>0</v>
      </c>
      <c r="AH55" s="5" t="s">
        <v>718</v>
      </c>
      <c r="AI55" s="5" t="s">
        <v>388</v>
      </c>
      <c r="AJ55" s="5" t="s">
        <v>719</v>
      </c>
      <c r="AK55" s="5">
        <v>610423090024</v>
      </c>
      <c r="AL55" s="5" t="e">
        <f t="shared" si="3"/>
        <v>#VALUE!</v>
      </c>
    </row>
    <row r="56" spans="1:38" ht="12.5">
      <c r="A56" s="10" t="str">
        <f t="shared" si="0"/>
        <v>Athalia Meifira</v>
      </c>
      <c r="B56" s="5">
        <f t="shared" si="1"/>
        <v>610423110129</v>
      </c>
      <c r="C56" s="5" t="str">
        <f t="shared" si="2"/>
        <v>Athalia Meifira</v>
      </c>
      <c r="D56" s="5" t="s">
        <v>363</v>
      </c>
      <c r="E56" s="5" t="e">
        <f t="array" ref="E56">INDEX('Master SLS'!$H$2:$H998,MATCH($AL56,'Master SLS'!$K$2:$K998,0))</f>
        <v>#VALUE!</v>
      </c>
      <c r="F56" s="5" t="e">
        <f t="array" ref="F56">INDEX('Master SLS'!$I$2:$I998,MATCH($AL56,'Master SLS'!$K$2:$K998,0))</f>
        <v>#VALUE!</v>
      </c>
      <c r="G56" s="5" t="s">
        <v>720</v>
      </c>
      <c r="H56" s="5" t="s">
        <v>721</v>
      </c>
      <c r="I56" s="5" t="s">
        <v>388</v>
      </c>
      <c r="J56" s="5">
        <v>1</v>
      </c>
      <c r="K56" s="5" t="s">
        <v>722</v>
      </c>
      <c r="L56" s="5">
        <v>61</v>
      </c>
      <c r="M56" s="5">
        <v>4</v>
      </c>
      <c r="N56" s="5">
        <v>100</v>
      </c>
      <c r="O56" s="5">
        <v>8</v>
      </c>
      <c r="P56" s="5" t="s">
        <v>723</v>
      </c>
      <c r="Q56" s="5">
        <v>1</v>
      </c>
      <c r="R56" s="74">
        <v>36665</v>
      </c>
      <c r="T56" s="5">
        <v>0</v>
      </c>
      <c r="U56" s="5">
        <v>1</v>
      </c>
      <c r="V56" s="5">
        <v>1</v>
      </c>
      <c r="W56" s="5">
        <v>3</v>
      </c>
      <c r="X56" s="5">
        <v>7</v>
      </c>
      <c r="Y56" s="5" t="s">
        <v>567</v>
      </c>
      <c r="AA56" s="5">
        <v>0</v>
      </c>
      <c r="AB56" s="5">
        <v>0</v>
      </c>
      <c r="AC56" s="5">
        <v>0</v>
      </c>
      <c r="AD56" s="5">
        <v>0</v>
      </c>
      <c r="AE56" s="5">
        <v>0</v>
      </c>
      <c r="AF56" s="5">
        <v>0</v>
      </c>
      <c r="AG56" s="5">
        <v>0</v>
      </c>
      <c r="AH56" s="5"/>
      <c r="AI56" s="5" t="s">
        <v>388</v>
      </c>
      <c r="AJ56" s="5" t="s">
        <v>724</v>
      </c>
      <c r="AK56" s="5">
        <v>610423110129</v>
      </c>
      <c r="AL56" s="5" t="e">
        <f t="shared" si="3"/>
        <v>#VALUE!</v>
      </c>
    </row>
    <row r="57" spans="1:38" ht="12.5">
      <c r="A57" s="10" t="str">
        <f t="shared" si="0"/>
        <v>Aura Abidah</v>
      </c>
      <c r="B57" s="5">
        <f t="shared" si="1"/>
        <v>610422100269</v>
      </c>
      <c r="C57" s="5" t="str">
        <f t="shared" si="2"/>
        <v>Aura abidah</v>
      </c>
      <c r="D57" s="5" t="s">
        <v>363</v>
      </c>
      <c r="E57" s="5" t="e">
        <f t="array" ref="E57">INDEX('Master SLS'!$H$2:$H998,MATCH($AL57,'Master SLS'!$K$2:$K998,0))</f>
        <v>#VALUE!</v>
      </c>
      <c r="F57" s="5" t="e">
        <f t="array" ref="F57">INDEX('Master SLS'!$I$2:$I998,MATCH($AL57,'Master SLS'!$K$2:$K998,0))</f>
        <v>#VALUE!</v>
      </c>
      <c r="G57" s="5" t="s">
        <v>725</v>
      </c>
      <c r="H57" s="5" t="s">
        <v>726</v>
      </c>
      <c r="I57" s="5" t="s">
        <v>366</v>
      </c>
      <c r="J57" s="5">
        <v>1</v>
      </c>
      <c r="K57" s="5" t="s">
        <v>727</v>
      </c>
      <c r="L57" s="5">
        <v>61</v>
      </c>
      <c r="M57" s="5">
        <v>4</v>
      </c>
      <c r="N57" s="5">
        <v>90</v>
      </c>
      <c r="O57" s="5">
        <v>1</v>
      </c>
      <c r="P57" s="5" t="s">
        <v>728</v>
      </c>
      <c r="Q57" s="5">
        <v>1</v>
      </c>
      <c r="R57" s="74">
        <v>37693</v>
      </c>
      <c r="T57" s="5">
        <v>0</v>
      </c>
      <c r="U57" s="5">
        <v>1</v>
      </c>
      <c r="V57" s="5">
        <v>1</v>
      </c>
      <c r="W57" s="5">
        <v>3</v>
      </c>
      <c r="X57" s="5">
        <v>6</v>
      </c>
      <c r="AA57" s="5">
        <v>1</v>
      </c>
      <c r="AB57" s="5">
        <v>1</v>
      </c>
      <c r="AC57" s="5">
        <v>1</v>
      </c>
      <c r="AD57" s="5">
        <v>0</v>
      </c>
      <c r="AE57" s="5">
        <v>0</v>
      </c>
      <c r="AF57" s="5">
        <v>0</v>
      </c>
      <c r="AG57" s="5">
        <v>0</v>
      </c>
      <c r="AI57" s="5" t="s">
        <v>366</v>
      </c>
      <c r="AJ57" s="5" t="s">
        <v>729</v>
      </c>
      <c r="AK57" s="5">
        <v>610422100269</v>
      </c>
      <c r="AL57" s="5" t="e">
        <f t="shared" si="3"/>
        <v>#VALUE!</v>
      </c>
    </row>
    <row r="58" spans="1:38" ht="12.5">
      <c r="A58" s="10" t="str">
        <f t="shared" si="0"/>
        <v>Ayu Agustin</v>
      </c>
      <c r="B58" s="5">
        <f t="shared" si="1"/>
        <v>610423040004</v>
      </c>
      <c r="C58" s="5" t="str">
        <f t="shared" si="2"/>
        <v>Ayu Agustin</v>
      </c>
      <c r="D58" s="5" t="s">
        <v>363</v>
      </c>
      <c r="E58" s="5" t="e">
        <f t="array" ref="E58">INDEX('Master SLS'!$H$2:$H998,MATCH($AL58,'Master SLS'!$K$2:$K998,0))</f>
        <v>#VALUE!</v>
      </c>
      <c r="F58" s="5" t="e">
        <f t="array" ref="F58">INDEX('Master SLS'!$I$2:$I998,MATCH($AL58,'Master SLS'!$K$2:$K998,0))</f>
        <v>#VALUE!</v>
      </c>
      <c r="G58" s="5" t="s">
        <v>730</v>
      </c>
      <c r="H58" s="5" t="s">
        <v>731</v>
      </c>
      <c r="I58" s="5" t="s">
        <v>366</v>
      </c>
      <c r="J58" s="5">
        <v>1</v>
      </c>
      <c r="K58" s="5" t="s">
        <v>732</v>
      </c>
      <c r="L58" s="5">
        <v>61</v>
      </c>
      <c r="M58" s="5">
        <v>4</v>
      </c>
      <c r="N58" s="5">
        <v>91</v>
      </c>
      <c r="O58" s="5">
        <v>6</v>
      </c>
      <c r="P58" s="5" t="s">
        <v>733</v>
      </c>
      <c r="Q58" s="5">
        <v>1</v>
      </c>
      <c r="R58" s="74">
        <v>34191</v>
      </c>
      <c r="T58" s="5">
        <v>0</v>
      </c>
      <c r="U58" s="5">
        <v>1</v>
      </c>
      <c r="V58" s="5">
        <v>2</v>
      </c>
      <c r="W58" s="5">
        <v>4</v>
      </c>
      <c r="X58" s="5">
        <v>4</v>
      </c>
      <c r="AA58" s="5">
        <v>1</v>
      </c>
      <c r="AB58" s="5">
        <v>0</v>
      </c>
      <c r="AC58" s="5">
        <v>1</v>
      </c>
      <c r="AD58" s="5">
        <v>0</v>
      </c>
      <c r="AE58" s="5">
        <v>0</v>
      </c>
      <c r="AF58" s="5">
        <v>0</v>
      </c>
      <c r="AG58" s="5">
        <v>0</v>
      </c>
      <c r="AH58" s="5" t="s">
        <v>734</v>
      </c>
      <c r="AI58" s="5" t="s">
        <v>366</v>
      </c>
      <c r="AJ58" s="5" t="s">
        <v>735</v>
      </c>
      <c r="AK58" s="5">
        <v>610423040004</v>
      </c>
      <c r="AL58" s="5" t="e">
        <f t="shared" si="3"/>
        <v>#VALUE!</v>
      </c>
    </row>
    <row r="59" spans="1:38" ht="12.5">
      <c r="A59" s="10" t="str">
        <f t="shared" si="0"/>
        <v>Ayu Safitri</v>
      </c>
      <c r="B59" s="5">
        <f t="shared" si="1"/>
        <v>610423110136</v>
      </c>
      <c r="C59" s="5" t="str">
        <f t="shared" si="2"/>
        <v>Ayu Safitri</v>
      </c>
      <c r="D59" s="5" t="s">
        <v>363</v>
      </c>
      <c r="E59" s="5" t="e">
        <f t="array" ref="E59">INDEX('Master SLS'!$H$2:$H998,MATCH($AL59,'Master SLS'!$K$2:$K998,0))</f>
        <v>#VALUE!</v>
      </c>
      <c r="F59" s="5" t="e">
        <f t="array" ref="F59">INDEX('Master SLS'!$I$2:$I998,MATCH($AL59,'Master SLS'!$K$2:$K998,0))</f>
        <v>#VALUE!</v>
      </c>
      <c r="G59" s="5" t="s">
        <v>736</v>
      </c>
      <c r="H59" s="5" t="s">
        <v>737</v>
      </c>
      <c r="I59" s="5" t="s">
        <v>388</v>
      </c>
      <c r="J59" s="5">
        <v>1</v>
      </c>
      <c r="K59" s="5" t="s">
        <v>738</v>
      </c>
      <c r="L59" s="5">
        <v>61</v>
      </c>
      <c r="M59" s="5">
        <v>4</v>
      </c>
      <c r="N59" s="5">
        <v>91</v>
      </c>
      <c r="O59" s="5">
        <v>3</v>
      </c>
      <c r="P59" s="5" t="s">
        <v>739</v>
      </c>
      <c r="Q59" s="5">
        <v>1</v>
      </c>
      <c r="R59" s="7">
        <v>35434</v>
      </c>
      <c r="S59" s="5"/>
      <c r="T59" s="5">
        <v>0</v>
      </c>
      <c r="U59" s="5">
        <v>1</v>
      </c>
      <c r="V59" s="5">
        <v>1</v>
      </c>
      <c r="W59" s="5">
        <v>5</v>
      </c>
      <c r="X59" s="5">
        <v>7</v>
      </c>
      <c r="Y59" s="5" t="s">
        <v>740</v>
      </c>
      <c r="AA59" s="5">
        <v>0</v>
      </c>
      <c r="AB59" s="5">
        <v>0</v>
      </c>
      <c r="AC59" s="5">
        <v>0</v>
      </c>
      <c r="AD59" s="5">
        <v>0</v>
      </c>
      <c r="AE59" s="5">
        <v>0</v>
      </c>
      <c r="AF59" s="5">
        <v>0</v>
      </c>
      <c r="AG59" s="5">
        <v>0</v>
      </c>
      <c r="AI59" s="5" t="s">
        <v>388</v>
      </c>
      <c r="AJ59" s="5" t="s">
        <v>741</v>
      </c>
      <c r="AK59" s="5">
        <v>610423110136</v>
      </c>
      <c r="AL59" s="5" t="e">
        <f t="shared" si="3"/>
        <v>#VALUE!</v>
      </c>
    </row>
    <row r="60" spans="1:38" ht="12.5">
      <c r="A60" s="10" t="str">
        <f t="shared" si="0"/>
        <v>Azhar</v>
      </c>
      <c r="B60" s="5">
        <f t="shared" si="1"/>
        <v>610423110183</v>
      </c>
      <c r="C60" s="5" t="str">
        <f t="shared" si="2"/>
        <v>azhar</v>
      </c>
      <c r="D60" s="5" t="s">
        <v>363</v>
      </c>
      <c r="E60" s="5" t="e">
        <f t="array" ref="E60">INDEX('Master SLS'!$H$2:$H998,MATCH($AL60,'Master SLS'!$K$2:$K998,0))</f>
        <v>#VALUE!</v>
      </c>
      <c r="F60" s="5" t="e">
        <f t="array" ref="F60">INDEX('Master SLS'!$I$2:$I998,MATCH($AL60,'Master SLS'!$K$2:$K998,0))</f>
        <v>#VALUE!</v>
      </c>
      <c r="G60" s="5" t="s">
        <v>742</v>
      </c>
      <c r="H60" s="5" t="s">
        <v>743</v>
      </c>
      <c r="I60" s="5" t="s">
        <v>366</v>
      </c>
      <c r="J60" s="5">
        <v>1</v>
      </c>
      <c r="K60" s="5" t="s">
        <v>744</v>
      </c>
      <c r="L60" s="5">
        <v>61</v>
      </c>
      <c r="M60" s="5">
        <v>4</v>
      </c>
      <c r="N60" s="5">
        <v>80</v>
      </c>
      <c r="O60" s="5">
        <v>1</v>
      </c>
      <c r="P60" s="5" t="s">
        <v>745</v>
      </c>
      <c r="Q60" s="5">
        <v>1</v>
      </c>
      <c r="R60" s="74">
        <v>29171</v>
      </c>
      <c r="T60" s="5">
        <v>1</v>
      </c>
      <c r="U60" s="5">
        <v>1</v>
      </c>
      <c r="V60" s="5">
        <v>2</v>
      </c>
      <c r="W60" s="5">
        <v>3</v>
      </c>
      <c r="X60" s="5">
        <v>7</v>
      </c>
      <c r="Y60" s="5" t="s">
        <v>746</v>
      </c>
      <c r="AA60" s="5">
        <v>1</v>
      </c>
      <c r="AB60" s="5">
        <v>1</v>
      </c>
      <c r="AC60" s="5">
        <v>1</v>
      </c>
      <c r="AD60" s="5">
        <v>1</v>
      </c>
      <c r="AE60" s="5">
        <v>0</v>
      </c>
      <c r="AF60" s="5">
        <v>1</v>
      </c>
      <c r="AG60" s="5">
        <v>0</v>
      </c>
      <c r="AI60" s="5" t="s">
        <v>366</v>
      </c>
      <c r="AJ60" s="5" t="s">
        <v>747</v>
      </c>
      <c r="AK60" s="5">
        <v>610423110183</v>
      </c>
      <c r="AL60" s="5" t="e">
        <f t="shared" si="3"/>
        <v>#VALUE!</v>
      </c>
    </row>
    <row r="61" spans="1:38" ht="12.5">
      <c r="A61" s="10" t="str">
        <f t="shared" si="0"/>
        <v>Azwar Anas</v>
      </c>
      <c r="B61" s="5">
        <f t="shared" si="1"/>
        <v>610422100142</v>
      </c>
      <c r="C61" s="5" t="str">
        <f t="shared" si="2"/>
        <v>Azwar Anas</v>
      </c>
      <c r="D61" s="5" t="s">
        <v>363</v>
      </c>
      <c r="E61" s="5" t="e">
        <f t="array" ref="E61">INDEX('Master SLS'!$H$2:$H998,MATCH($AL61,'Master SLS'!$K$2:$K998,0))</f>
        <v>#VALUE!</v>
      </c>
      <c r="F61" s="5" t="e">
        <f t="array" ref="F61">INDEX('Master SLS'!$I$2:$I998,MATCH($AL61,'Master SLS'!$K$2:$K998,0))</f>
        <v>#VALUE!</v>
      </c>
      <c r="G61" s="5" t="s">
        <v>748</v>
      </c>
      <c r="H61" s="5" t="s">
        <v>749</v>
      </c>
      <c r="I61" s="5" t="s">
        <v>388</v>
      </c>
      <c r="J61" s="5">
        <v>1</v>
      </c>
      <c r="K61" s="5" t="s">
        <v>750</v>
      </c>
      <c r="L61" s="5">
        <v>61</v>
      </c>
      <c r="M61" s="5">
        <v>4</v>
      </c>
      <c r="N61" s="5">
        <v>100</v>
      </c>
      <c r="O61" s="5">
        <v>13</v>
      </c>
      <c r="P61" s="5" t="s">
        <v>751</v>
      </c>
      <c r="Q61" s="5">
        <v>1</v>
      </c>
      <c r="R61" s="74">
        <v>34529</v>
      </c>
      <c r="T61" s="5">
        <v>1</v>
      </c>
      <c r="U61" s="5">
        <v>1</v>
      </c>
      <c r="V61" s="5">
        <v>2</v>
      </c>
      <c r="W61" s="5">
        <v>5</v>
      </c>
      <c r="X61" s="5">
        <v>7</v>
      </c>
      <c r="Y61" s="5" t="s">
        <v>752</v>
      </c>
      <c r="AA61" s="5">
        <v>1</v>
      </c>
      <c r="AB61" s="5">
        <v>1</v>
      </c>
      <c r="AC61" s="5">
        <v>0</v>
      </c>
      <c r="AD61" s="5">
        <v>0</v>
      </c>
      <c r="AE61" s="5">
        <v>0</v>
      </c>
      <c r="AF61" s="5">
        <v>0</v>
      </c>
      <c r="AG61" s="5">
        <v>0</v>
      </c>
      <c r="AH61" s="5" t="s">
        <v>753</v>
      </c>
      <c r="AI61" s="5" t="s">
        <v>388</v>
      </c>
      <c r="AJ61" s="5" t="s">
        <v>754</v>
      </c>
      <c r="AK61" s="5">
        <v>610422100142</v>
      </c>
      <c r="AL61" s="5" t="e">
        <f t="shared" si="3"/>
        <v>#VALUE!</v>
      </c>
    </row>
    <row r="62" spans="1:38" ht="12.5">
      <c r="A62" s="10" t="str">
        <f t="shared" si="0"/>
        <v>Bagjawan Bagaswara</v>
      </c>
      <c r="B62" s="5">
        <f t="shared" si="1"/>
        <v>610423110072</v>
      </c>
      <c r="C62" s="5" t="str">
        <f t="shared" si="2"/>
        <v>Bagjawan Bagaswara</v>
      </c>
      <c r="D62" s="5" t="s">
        <v>363</v>
      </c>
      <c r="E62" s="5" t="e">
        <f t="array" ref="E62">INDEX('Master SLS'!$H$2:$H998,MATCH($AL62,'Master SLS'!$K$2:$K998,0))</f>
        <v>#VALUE!</v>
      </c>
      <c r="F62" s="5" t="e">
        <f t="array" ref="F62">INDEX('Master SLS'!$I$2:$I998,MATCH($AL62,'Master SLS'!$K$2:$K998,0))</f>
        <v>#VALUE!</v>
      </c>
      <c r="G62" s="5" t="s">
        <v>755</v>
      </c>
      <c r="H62" s="5" t="s">
        <v>756</v>
      </c>
      <c r="I62" s="5" t="s">
        <v>474</v>
      </c>
      <c r="J62" s="5">
        <v>1</v>
      </c>
      <c r="K62" s="5" t="s">
        <v>757</v>
      </c>
      <c r="L62" s="5">
        <v>61</v>
      </c>
      <c r="M62" s="5">
        <v>4</v>
      </c>
      <c r="N62" s="5">
        <v>100</v>
      </c>
      <c r="O62" s="5">
        <v>7</v>
      </c>
      <c r="P62" s="5" t="s">
        <v>758</v>
      </c>
      <c r="Q62" s="5">
        <v>1</v>
      </c>
      <c r="R62" s="74">
        <v>35855</v>
      </c>
      <c r="S62" s="5" t="s">
        <v>759</v>
      </c>
      <c r="T62" s="5">
        <v>1</v>
      </c>
      <c r="U62" s="5">
        <v>1</v>
      </c>
      <c r="V62" s="5">
        <v>1</v>
      </c>
      <c r="W62" s="5">
        <v>5</v>
      </c>
      <c r="X62" s="5">
        <v>7</v>
      </c>
      <c r="Y62" s="5" t="s">
        <v>760</v>
      </c>
      <c r="AA62" s="5">
        <v>0</v>
      </c>
      <c r="AB62" s="5">
        <v>0</v>
      </c>
      <c r="AC62" s="5">
        <v>0</v>
      </c>
      <c r="AD62" s="5">
        <v>0</v>
      </c>
      <c r="AE62" s="5">
        <v>0</v>
      </c>
      <c r="AF62" s="5">
        <v>0</v>
      </c>
      <c r="AG62" s="5">
        <v>0</v>
      </c>
      <c r="AH62" s="5" t="s">
        <v>761</v>
      </c>
      <c r="AI62" s="5" t="s">
        <v>474</v>
      </c>
      <c r="AJ62" s="5" t="s">
        <v>762</v>
      </c>
      <c r="AK62" s="5">
        <v>610423110072</v>
      </c>
      <c r="AL62" s="5" t="e">
        <f t="shared" si="3"/>
        <v>#VALUE!</v>
      </c>
    </row>
    <row r="63" spans="1:38" ht="12.5">
      <c r="A63" s="10" t="str">
        <f t="shared" si="0"/>
        <v>Basirin</v>
      </c>
      <c r="B63" s="5">
        <f t="shared" si="1"/>
        <v>610423110188</v>
      </c>
      <c r="C63" s="5" t="str">
        <f t="shared" si="2"/>
        <v>Basirin</v>
      </c>
      <c r="D63" s="5" t="s">
        <v>363</v>
      </c>
      <c r="E63" s="5" t="e">
        <f t="array" ref="E63">INDEX('Master SLS'!$H$2:$H998,MATCH($AL63,'Master SLS'!$K$2:$K998,0))</f>
        <v>#VALUE!</v>
      </c>
      <c r="F63" s="5" t="e">
        <f t="array" ref="F63">INDEX('Master SLS'!$I$2:$I998,MATCH($AL63,'Master SLS'!$K$2:$K998,0))</f>
        <v>#VALUE!</v>
      </c>
      <c r="G63" s="5" t="s">
        <v>763</v>
      </c>
      <c r="H63" s="5" t="s">
        <v>764</v>
      </c>
      <c r="I63" s="5" t="s">
        <v>474</v>
      </c>
      <c r="J63" s="5">
        <v>1</v>
      </c>
      <c r="K63" s="5" t="s">
        <v>765</v>
      </c>
      <c r="L63" s="5">
        <v>61</v>
      </c>
      <c r="M63" s="5">
        <v>4</v>
      </c>
      <c r="N63" s="5">
        <v>110</v>
      </c>
      <c r="O63" s="5">
        <v>1</v>
      </c>
      <c r="P63" s="5" t="s">
        <v>766</v>
      </c>
      <c r="Q63" s="5">
        <v>1</v>
      </c>
      <c r="R63" s="74">
        <v>32012</v>
      </c>
      <c r="S63" s="5" t="s">
        <v>767</v>
      </c>
      <c r="T63" s="5">
        <v>1</v>
      </c>
      <c r="U63" s="5">
        <v>1</v>
      </c>
      <c r="V63" s="5">
        <v>2</v>
      </c>
      <c r="W63" s="5">
        <v>3</v>
      </c>
      <c r="X63" s="5">
        <v>5</v>
      </c>
      <c r="AA63" s="5">
        <v>1</v>
      </c>
      <c r="AB63" s="5">
        <v>1</v>
      </c>
      <c r="AC63" s="5">
        <v>0</v>
      </c>
      <c r="AD63" s="5">
        <v>0</v>
      </c>
      <c r="AE63" s="5">
        <v>0</v>
      </c>
      <c r="AF63" s="5">
        <v>0</v>
      </c>
      <c r="AG63" s="5">
        <v>0</v>
      </c>
      <c r="AH63" s="5" t="s">
        <v>768</v>
      </c>
      <c r="AI63" s="5" t="s">
        <v>474</v>
      </c>
      <c r="AJ63" s="5" t="s">
        <v>769</v>
      </c>
      <c r="AK63" s="5">
        <v>610423110188</v>
      </c>
      <c r="AL63" s="5" t="e">
        <f t="shared" si="3"/>
        <v>#VALUE!</v>
      </c>
    </row>
    <row r="64" spans="1:38" ht="12.5">
      <c r="A64" s="10" t="str">
        <f t="shared" si="0"/>
        <v>Bella</v>
      </c>
      <c r="B64" s="5">
        <f t="shared" si="1"/>
        <v>610422100147</v>
      </c>
      <c r="C64" s="5" t="str">
        <f t="shared" si="2"/>
        <v>Bella</v>
      </c>
      <c r="D64" s="5" t="s">
        <v>363</v>
      </c>
      <c r="E64" s="5" t="e">
        <f t="array" ref="E64">INDEX('Master SLS'!$H$2:$H998,MATCH($AL64,'Master SLS'!$K$2:$K998,0))</f>
        <v>#VALUE!</v>
      </c>
      <c r="F64" s="5" t="e">
        <f t="array" ref="F64">INDEX('Master SLS'!$I$2:$I998,MATCH($AL64,'Master SLS'!$K$2:$K998,0))</f>
        <v>#VALUE!</v>
      </c>
      <c r="G64" s="5" t="s">
        <v>770</v>
      </c>
      <c r="H64" s="5" t="s">
        <v>771</v>
      </c>
      <c r="I64" s="5" t="s">
        <v>388</v>
      </c>
      <c r="J64" s="5">
        <v>1</v>
      </c>
      <c r="K64" s="5" t="s">
        <v>772</v>
      </c>
      <c r="L64" s="5">
        <v>61</v>
      </c>
      <c r="M64" s="5">
        <v>4</v>
      </c>
      <c r="N64" s="5">
        <v>120</v>
      </c>
      <c r="O64" s="5">
        <v>9</v>
      </c>
      <c r="P64" s="5" t="s">
        <v>773</v>
      </c>
      <c r="Q64" s="5">
        <v>1</v>
      </c>
      <c r="R64" s="7">
        <v>34637</v>
      </c>
      <c r="S64" s="5" t="s">
        <v>774</v>
      </c>
      <c r="T64" s="5">
        <v>0</v>
      </c>
      <c r="U64" s="5">
        <v>3</v>
      </c>
      <c r="V64" s="5">
        <v>1</v>
      </c>
      <c r="W64" s="5">
        <v>3</v>
      </c>
      <c r="X64" s="5">
        <v>4</v>
      </c>
      <c r="AA64" s="5">
        <v>1</v>
      </c>
      <c r="AB64" s="5">
        <v>0</v>
      </c>
      <c r="AC64" s="5">
        <v>1</v>
      </c>
      <c r="AD64" s="5">
        <v>0</v>
      </c>
      <c r="AE64" s="5">
        <v>0</v>
      </c>
      <c r="AF64" s="5">
        <v>0</v>
      </c>
      <c r="AG64" s="5">
        <v>0</v>
      </c>
      <c r="AH64" s="5" t="s">
        <v>775</v>
      </c>
      <c r="AI64" s="5" t="s">
        <v>388</v>
      </c>
      <c r="AJ64" s="5" t="s">
        <v>776</v>
      </c>
      <c r="AK64" s="5">
        <v>610422100147</v>
      </c>
      <c r="AL64" s="5" t="e">
        <f t="shared" si="3"/>
        <v>#VALUE!</v>
      </c>
    </row>
    <row r="65" spans="1:38" ht="12.5">
      <c r="A65" s="10" t="str">
        <f t="shared" si="0"/>
        <v>Bella Amalia</v>
      </c>
      <c r="B65" s="5">
        <f t="shared" si="1"/>
        <v>610422100022</v>
      </c>
      <c r="C65" s="5" t="str">
        <f t="shared" si="2"/>
        <v>Bella Amalia</v>
      </c>
      <c r="D65" s="5" t="s">
        <v>363</v>
      </c>
      <c r="E65" s="5" t="e">
        <f t="array" ref="E65">INDEX('Master SLS'!$H$2:$H998,MATCH($AL65,'Master SLS'!$K$2:$K998,0))</f>
        <v>#VALUE!</v>
      </c>
      <c r="F65" s="5" t="e">
        <f t="array" ref="F65">INDEX('Master SLS'!$I$2:$I998,MATCH($AL65,'Master SLS'!$K$2:$K998,0))</f>
        <v>#VALUE!</v>
      </c>
      <c r="G65" s="5" t="s">
        <v>777</v>
      </c>
      <c r="H65" s="5" t="s">
        <v>778</v>
      </c>
      <c r="I65" s="5" t="s">
        <v>366</v>
      </c>
      <c r="J65" s="5">
        <v>1</v>
      </c>
      <c r="K65" s="5" t="s">
        <v>779</v>
      </c>
      <c r="L65" s="5">
        <v>61</v>
      </c>
      <c r="M65" s="5">
        <v>4</v>
      </c>
      <c r="N65" s="5">
        <v>101</v>
      </c>
      <c r="O65" s="5">
        <v>6</v>
      </c>
      <c r="P65" s="5" t="s">
        <v>780</v>
      </c>
      <c r="Q65" s="5">
        <v>1</v>
      </c>
      <c r="R65" s="74">
        <v>35433</v>
      </c>
      <c r="S65" s="5" t="s">
        <v>781</v>
      </c>
      <c r="T65" s="5">
        <v>0</v>
      </c>
      <c r="U65" s="5">
        <v>1</v>
      </c>
      <c r="V65" s="5">
        <v>2</v>
      </c>
      <c r="W65" s="5">
        <v>5</v>
      </c>
      <c r="X65" s="5">
        <v>7</v>
      </c>
      <c r="Y65" s="5" t="s">
        <v>782</v>
      </c>
      <c r="AA65" s="5">
        <v>1</v>
      </c>
      <c r="AB65" s="5">
        <v>0</v>
      </c>
      <c r="AC65" s="5">
        <v>0</v>
      </c>
      <c r="AD65" s="5">
        <v>1</v>
      </c>
      <c r="AE65" s="5">
        <v>0</v>
      </c>
      <c r="AF65" s="5">
        <v>0</v>
      </c>
      <c r="AG65" s="5">
        <v>0</v>
      </c>
      <c r="AH65" s="5" t="s">
        <v>783</v>
      </c>
      <c r="AI65" s="5" t="s">
        <v>366</v>
      </c>
      <c r="AJ65" s="5" t="s">
        <v>784</v>
      </c>
      <c r="AK65" s="5">
        <v>610422100022</v>
      </c>
      <c r="AL65" s="5" t="e">
        <f t="shared" si="3"/>
        <v>#VALUE!</v>
      </c>
    </row>
    <row r="66" spans="1:38" ht="12.5">
      <c r="A66" s="10" t="str">
        <f t="shared" si="0"/>
        <v>Bernadus Supranoto</v>
      </c>
      <c r="B66" s="5">
        <f t="shared" si="1"/>
        <v>610423090017</v>
      </c>
      <c r="C66" s="5" t="str">
        <f t="shared" si="2"/>
        <v>Bernadus Supranoto</v>
      </c>
      <c r="D66" s="5" t="s">
        <v>363</v>
      </c>
      <c r="E66" s="5" t="e">
        <f t="array" ref="E66">INDEX('Master SLS'!$H$2:$H998,MATCH($AL66,'Master SLS'!$K$2:$K998,0))</f>
        <v>#VALUE!</v>
      </c>
      <c r="F66" s="5" t="e">
        <f t="array" ref="F66">INDEX('Master SLS'!$I$2:$I998,MATCH($AL66,'Master SLS'!$K$2:$K998,0))</f>
        <v>#VALUE!</v>
      </c>
      <c r="G66" s="5" t="s">
        <v>785</v>
      </c>
      <c r="H66" s="5" t="s">
        <v>786</v>
      </c>
      <c r="I66" s="5" t="s">
        <v>366</v>
      </c>
      <c r="J66" s="5">
        <v>1</v>
      </c>
      <c r="K66" s="5" t="s">
        <v>787</v>
      </c>
      <c r="L66" s="5">
        <v>61</v>
      </c>
      <c r="M66" s="5">
        <v>4</v>
      </c>
      <c r="N66" s="5">
        <v>91</v>
      </c>
      <c r="O66" s="5">
        <v>4</v>
      </c>
      <c r="P66" s="5" t="s">
        <v>788</v>
      </c>
      <c r="Q66" s="5">
        <v>1</v>
      </c>
      <c r="R66" s="74">
        <v>35205</v>
      </c>
      <c r="T66" s="5">
        <v>1</v>
      </c>
      <c r="U66" s="5">
        <v>3</v>
      </c>
      <c r="V66" s="5">
        <v>1</v>
      </c>
      <c r="W66" s="5">
        <v>4</v>
      </c>
      <c r="X66" s="5">
        <v>7</v>
      </c>
      <c r="Y66" s="5" t="s">
        <v>789</v>
      </c>
      <c r="AA66" s="5">
        <v>1</v>
      </c>
      <c r="AB66" s="5">
        <v>0</v>
      </c>
      <c r="AC66" s="5">
        <v>0</v>
      </c>
      <c r="AD66" s="5">
        <v>0</v>
      </c>
      <c r="AE66" s="5">
        <v>1</v>
      </c>
      <c r="AF66" s="5">
        <v>0</v>
      </c>
      <c r="AG66" s="5">
        <v>0</v>
      </c>
      <c r="AH66" s="5" t="s">
        <v>790</v>
      </c>
      <c r="AI66" s="5" t="s">
        <v>366</v>
      </c>
      <c r="AJ66" s="5" t="s">
        <v>791</v>
      </c>
      <c r="AK66" s="5">
        <v>610423090017</v>
      </c>
      <c r="AL66" s="5" t="e">
        <f t="shared" si="3"/>
        <v>#VALUE!</v>
      </c>
    </row>
    <row r="67" spans="1:38" ht="12.5">
      <c r="A67" s="10" t="str">
        <f t="shared" si="0"/>
        <v>Bintang Az-Zahra</v>
      </c>
      <c r="B67" s="5">
        <f t="shared" si="1"/>
        <v>610423110089</v>
      </c>
      <c r="C67" s="5" t="str">
        <f t="shared" si="2"/>
        <v>Bintang Az-zahra</v>
      </c>
      <c r="D67" s="5" t="s">
        <v>363</v>
      </c>
      <c r="E67" s="5" t="e">
        <f t="array" ref="E67">INDEX('Master SLS'!$H$2:$H998,MATCH($AL67,'Master SLS'!$K$2:$K998,0))</f>
        <v>#VALUE!</v>
      </c>
      <c r="F67" s="5" t="e">
        <f t="array" ref="F67">INDEX('Master SLS'!$I$2:$I998,MATCH($AL67,'Master SLS'!$K$2:$K998,0))</f>
        <v>#VALUE!</v>
      </c>
      <c r="G67" s="5" t="s">
        <v>792</v>
      </c>
      <c r="H67" s="5" t="s">
        <v>793</v>
      </c>
      <c r="I67" s="5" t="s">
        <v>474</v>
      </c>
      <c r="J67" s="5">
        <v>1</v>
      </c>
      <c r="K67" s="5" t="s">
        <v>794</v>
      </c>
      <c r="L67" s="5">
        <v>61</v>
      </c>
      <c r="M67" s="5">
        <v>4</v>
      </c>
      <c r="N67" s="5">
        <v>101</v>
      </c>
      <c r="O67" s="5">
        <v>6</v>
      </c>
      <c r="P67" s="5" t="s">
        <v>795</v>
      </c>
      <c r="Q67" s="5">
        <v>1</v>
      </c>
      <c r="R67" s="7">
        <v>37469</v>
      </c>
      <c r="S67" s="5" t="s">
        <v>796</v>
      </c>
      <c r="T67" s="5">
        <v>0</v>
      </c>
      <c r="U67" s="5">
        <v>1</v>
      </c>
      <c r="V67" s="5">
        <v>1</v>
      </c>
      <c r="W67" s="5">
        <v>3</v>
      </c>
      <c r="X67" s="5">
        <v>6</v>
      </c>
      <c r="AA67" s="5">
        <v>0</v>
      </c>
      <c r="AB67" s="5">
        <v>0</v>
      </c>
      <c r="AC67" s="5">
        <v>0</v>
      </c>
      <c r="AD67" s="5">
        <v>0</v>
      </c>
      <c r="AE67" s="5">
        <v>0</v>
      </c>
      <c r="AF67" s="5">
        <v>0</v>
      </c>
      <c r="AG67" s="5">
        <v>0</v>
      </c>
      <c r="AI67" s="5" t="s">
        <v>474</v>
      </c>
      <c r="AJ67" s="5" t="s">
        <v>797</v>
      </c>
      <c r="AK67" s="5">
        <v>610423110089</v>
      </c>
      <c r="AL67" s="5" t="e">
        <f t="shared" si="3"/>
        <v>#VALUE!</v>
      </c>
    </row>
    <row r="68" spans="1:38" ht="12.5">
      <c r="A68" s="10" t="str">
        <f t="shared" si="0"/>
        <v>Chairul Ikbal</v>
      </c>
      <c r="B68" s="5">
        <f t="shared" si="1"/>
        <v>610423110061</v>
      </c>
      <c r="C68" s="5" t="str">
        <f t="shared" si="2"/>
        <v>Chairul Ikbal</v>
      </c>
      <c r="D68" s="5" t="s">
        <v>560</v>
      </c>
      <c r="E68" s="5" t="s">
        <v>561</v>
      </c>
      <c r="F68" s="5" t="s">
        <v>562</v>
      </c>
      <c r="G68" s="5" t="s">
        <v>798</v>
      </c>
      <c r="H68" s="5" t="s">
        <v>799</v>
      </c>
      <c r="I68" s="5" t="s">
        <v>474</v>
      </c>
      <c r="J68" s="5">
        <v>1</v>
      </c>
      <c r="K68" s="5" t="s">
        <v>800</v>
      </c>
      <c r="L68" s="5">
        <v>61</v>
      </c>
      <c r="M68" s="5">
        <v>71</v>
      </c>
      <c r="N68" s="5">
        <v>40</v>
      </c>
      <c r="O68" s="5">
        <v>1</v>
      </c>
      <c r="P68" s="5" t="s">
        <v>801</v>
      </c>
      <c r="Q68" s="5">
        <v>1</v>
      </c>
      <c r="R68" s="7">
        <v>36419</v>
      </c>
      <c r="S68" s="5" t="s">
        <v>802</v>
      </c>
      <c r="T68" s="5">
        <v>1</v>
      </c>
      <c r="U68" s="5">
        <v>1</v>
      </c>
      <c r="V68" s="5">
        <v>1</v>
      </c>
      <c r="W68" s="5">
        <v>3</v>
      </c>
      <c r="X68" s="5">
        <v>6</v>
      </c>
      <c r="Y68" s="5"/>
      <c r="AA68" s="5">
        <v>0</v>
      </c>
      <c r="AB68" s="5">
        <v>0</v>
      </c>
      <c r="AC68" s="5">
        <v>0</v>
      </c>
      <c r="AD68" s="5">
        <v>0</v>
      </c>
      <c r="AE68" s="5">
        <v>0</v>
      </c>
      <c r="AF68" s="5">
        <v>0</v>
      </c>
      <c r="AG68" s="5">
        <v>0</v>
      </c>
      <c r="AH68" s="5" t="s">
        <v>803</v>
      </c>
      <c r="AI68" s="5" t="s">
        <v>474</v>
      </c>
      <c r="AJ68" s="5" t="s">
        <v>804</v>
      </c>
      <c r="AK68" s="5">
        <v>610423110061</v>
      </c>
      <c r="AL68" s="5" t="e">
        <f t="shared" si="3"/>
        <v>#VALUE!</v>
      </c>
    </row>
    <row r="69" spans="1:38" ht="12.5">
      <c r="A69" s="10" t="str">
        <f t="shared" si="0"/>
        <v>Charlie Jul Ervina</v>
      </c>
      <c r="B69" s="5">
        <f t="shared" si="1"/>
        <v>610423110152</v>
      </c>
      <c r="C69" s="5" t="str">
        <f t="shared" si="2"/>
        <v>Charlie Jul Ervina</v>
      </c>
      <c r="D69" s="5" t="s">
        <v>363</v>
      </c>
      <c r="E69" s="5" t="e">
        <f t="array" ref="E69">INDEX('Master SLS'!$H$2:$H998,MATCH($AL69,'Master SLS'!$K$2:$K998,0))</f>
        <v>#VALUE!</v>
      </c>
      <c r="F69" s="5" t="e">
        <f t="array" ref="F69">INDEX('Master SLS'!$I$2:$I998,MATCH($AL69,'Master SLS'!$K$2:$K998,0))</f>
        <v>#VALUE!</v>
      </c>
      <c r="G69" s="5" t="s">
        <v>805</v>
      </c>
      <c r="H69" s="5" t="s">
        <v>806</v>
      </c>
      <c r="I69" s="5" t="s">
        <v>366</v>
      </c>
      <c r="J69" s="5">
        <v>1</v>
      </c>
      <c r="K69" s="5" t="s">
        <v>807</v>
      </c>
      <c r="L69" s="5">
        <v>61</v>
      </c>
      <c r="M69" s="5">
        <v>4</v>
      </c>
      <c r="N69" s="5">
        <v>80</v>
      </c>
      <c r="O69" s="5">
        <v>2</v>
      </c>
      <c r="P69" s="5" t="s">
        <v>808</v>
      </c>
      <c r="Q69" s="5">
        <v>1</v>
      </c>
      <c r="R69" s="74">
        <v>37450</v>
      </c>
      <c r="S69" s="5"/>
      <c r="T69" s="5">
        <v>0</v>
      </c>
      <c r="U69" s="5">
        <v>1</v>
      </c>
      <c r="V69" s="5">
        <v>1</v>
      </c>
      <c r="W69" s="5">
        <v>3</v>
      </c>
      <c r="X69" s="5">
        <v>6</v>
      </c>
      <c r="AA69" s="5">
        <v>0</v>
      </c>
      <c r="AB69" s="5">
        <v>0</v>
      </c>
      <c r="AC69" s="5">
        <v>0</v>
      </c>
      <c r="AD69" s="5">
        <v>0</v>
      </c>
      <c r="AE69" s="5">
        <v>0</v>
      </c>
      <c r="AF69" s="5">
        <v>0</v>
      </c>
      <c r="AG69" s="5">
        <v>0</v>
      </c>
      <c r="AH69" s="5"/>
      <c r="AI69" s="5" t="s">
        <v>366</v>
      </c>
      <c r="AJ69" s="5" t="s">
        <v>809</v>
      </c>
      <c r="AK69" s="5">
        <v>610423110152</v>
      </c>
      <c r="AL69" s="5" t="e">
        <f t="shared" si="3"/>
        <v>#VALUE!</v>
      </c>
    </row>
    <row r="70" spans="1:38" ht="12.5">
      <c r="A70" s="10" t="str">
        <f t="shared" si="0"/>
        <v>Christian Ramli</v>
      </c>
      <c r="B70" s="5">
        <f t="shared" si="1"/>
        <v>610423110187</v>
      </c>
      <c r="C70" s="5" t="str">
        <f t="shared" si="2"/>
        <v>Christian ramli</v>
      </c>
      <c r="D70" s="5" t="s">
        <v>363</v>
      </c>
      <c r="E70" s="5" t="e">
        <f t="array" ref="E70">INDEX('Master SLS'!$H$2:$H998,MATCH($AL70,'Master SLS'!$K$2:$K998,0))</f>
        <v>#VALUE!</v>
      </c>
      <c r="F70" s="5" t="e">
        <f t="array" ref="F70">INDEX('Master SLS'!$I$2:$I998,MATCH($AL70,'Master SLS'!$K$2:$K998,0))</f>
        <v>#VALUE!</v>
      </c>
      <c r="G70" s="5" t="s">
        <v>810</v>
      </c>
      <c r="H70" s="5" t="s">
        <v>811</v>
      </c>
      <c r="I70" s="5" t="s">
        <v>366</v>
      </c>
      <c r="J70" s="5">
        <v>1</v>
      </c>
      <c r="K70" s="5" t="s">
        <v>812</v>
      </c>
      <c r="L70" s="5">
        <v>61</v>
      </c>
      <c r="M70" s="5">
        <v>4</v>
      </c>
      <c r="N70" s="5">
        <v>90</v>
      </c>
      <c r="O70" s="5">
        <v>4</v>
      </c>
      <c r="P70" s="5" t="s">
        <v>813</v>
      </c>
      <c r="Q70" s="5">
        <v>1</v>
      </c>
      <c r="R70" s="74">
        <v>30655</v>
      </c>
      <c r="T70" s="5">
        <v>1</v>
      </c>
      <c r="U70" s="5">
        <v>1</v>
      </c>
      <c r="V70" s="5">
        <v>2</v>
      </c>
      <c r="W70" s="5">
        <v>3</v>
      </c>
      <c r="X70" s="5">
        <v>7</v>
      </c>
      <c r="Y70" s="5" t="s">
        <v>814</v>
      </c>
      <c r="AA70" s="5">
        <v>0</v>
      </c>
      <c r="AB70" s="5">
        <v>0</v>
      </c>
      <c r="AC70" s="5">
        <v>0</v>
      </c>
      <c r="AD70" s="5">
        <v>0</v>
      </c>
      <c r="AE70" s="5">
        <v>0</v>
      </c>
      <c r="AF70" s="5">
        <v>0</v>
      </c>
      <c r="AG70" s="5">
        <v>0</v>
      </c>
      <c r="AH70" s="5" t="s">
        <v>815</v>
      </c>
      <c r="AI70" s="5" t="s">
        <v>366</v>
      </c>
      <c r="AJ70" s="5" t="s">
        <v>816</v>
      </c>
      <c r="AK70" s="5">
        <v>610423110187</v>
      </c>
      <c r="AL70" s="5" t="e">
        <f t="shared" si="3"/>
        <v>#VALUE!</v>
      </c>
    </row>
    <row r="71" spans="1:38" ht="12.5">
      <c r="A71" s="10" t="str">
        <f t="shared" si="0"/>
        <v>Cici</v>
      </c>
      <c r="B71" s="5">
        <f t="shared" si="1"/>
        <v>610422100186</v>
      </c>
      <c r="C71" s="5" t="str">
        <f t="shared" si="2"/>
        <v>Cici</v>
      </c>
      <c r="D71" s="5" t="s">
        <v>363</v>
      </c>
      <c r="E71" s="5" t="e">
        <f t="array" ref="E71">INDEX('Master SLS'!$H$2:$H998,MATCH($AL71,'Master SLS'!$K$2:$K998,0))</f>
        <v>#VALUE!</v>
      </c>
      <c r="F71" s="5" t="e">
        <f t="array" ref="F71">INDEX('Master SLS'!$I$2:$I998,MATCH($AL71,'Master SLS'!$K$2:$K998,0))</f>
        <v>#VALUE!</v>
      </c>
      <c r="G71" s="5" t="s">
        <v>817</v>
      </c>
      <c r="H71" s="5" t="s">
        <v>818</v>
      </c>
      <c r="I71" s="5" t="s">
        <v>366</v>
      </c>
      <c r="J71" s="5">
        <v>1</v>
      </c>
      <c r="K71" s="5" t="s">
        <v>819</v>
      </c>
      <c r="L71" s="5">
        <v>61</v>
      </c>
      <c r="M71" s="5">
        <v>4</v>
      </c>
      <c r="N71" s="5">
        <v>80</v>
      </c>
      <c r="O71" s="5">
        <v>4</v>
      </c>
      <c r="P71" s="5" t="s">
        <v>820</v>
      </c>
      <c r="Q71" s="5">
        <v>1</v>
      </c>
      <c r="R71" s="74">
        <v>36180</v>
      </c>
      <c r="T71" s="5">
        <v>0</v>
      </c>
      <c r="U71" s="5">
        <v>1</v>
      </c>
      <c r="V71" s="5">
        <v>1</v>
      </c>
      <c r="W71" s="5">
        <v>3</v>
      </c>
      <c r="X71" s="5">
        <v>7</v>
      </c>
      <c r="Y71" s="5" t="s">
        <v>821</v>
      </c>
      <c r="AA71" s="5">
        <v>1</v>
      </c>
      <c r="AB71" s="5">
        <v>0</v>
      </c>
      <c r="AC71" s="5">
        <v>0</v>
      </c>
      <c r="AD71" s="5">
        <v>1</v>
      </c>
      <c r="AE71" s="5">
        <v>0</v>
      </c>
      <c r="AF71" s="5">
        <v>0</v>
      </c>
      <c r="AG71" s="5">
        <v>0</v>
      </c>
      <c r="AH71" s="5" t="s">
        <v>822</v>
      </c>
      <c r="AI71" s="5" t="s">
        <v>366</v>
      </c>
      <c r="AJ71" s="5" t="s">
        <v>823</v>
      </c>
      <c r="AK71" s="5">
        <v>610422100186</v>
      </c>
      <c r="AL71" s="5" t="e">
        <f t="shared" si="3"/>
        <v>#VALUE!</v>
      </c>
    </row>
    <row r="72" spans="1:38" ht="12.5">
      <c r="A72" s="10" t="str">
        <f t="shared" si="0"/>
        <v>Cici Purnamasari</v>
      </c>
      <c r="B72" s="5">
        <f t="shared" si="1"/>
        <v>610422100111</v>
      </c>
      <c r="C72" s="5" t="str">
        <f t="shared" si="2"/>
        <v>CICI PURNAMASARI</v>
      </c>
      <c r="D72" s="5" t="s">
        <v>363</v>
      </c>
      <c r="E72" s="5" t="e">
        <f t="array" ref="E72">INDEX('Master SLS'!$H$2:$H998,MATCH($AL72,'Master SLS'!$K$2:$K998,0))</f>
        <v>#VALUE!</v>
      </c>
      <c r="F72" s="5" t="e">
        <f t="array" ref="F72">INDEX('Master SLS'!$I$2:$I998,MATCH($AL72,'Master SLS'!$K$2:$K998,0))</f>
        <v>#VALUE!</v>
      </c>
      <c r="G72" s="5" t="s">
        <v>824</v>
      </c>
      <c r="H72" s="5" t="s">
        <v>825</v>
      </c>
      <c r="I72" s="5" t="s">
        <v>366</v>
      </c>
      <c r="J72" s="5">
        <v>1</v>
      </c>
      <c r="K72" s="5" t="s">
        <v>826</v>
      </c>
      <c r="L72" s="5">
        <v>61</v>
      </c>
      <c r="M72" s="5">
        <v>4</v>
      </c>
      <c r="N72" s="5">
        <v>90</v>
      </c>
      <c r="O72" s="5">
        <v>3</v>
      </c>
      <c r="P72" s="5" t="s">
        <v>827</v>
      </c>
      <c r="Q72" s="5">
        <v>1</v>
      </c>
      <c r="R72" s="7">
        <v>37335</v>
      </c>
      <c r="T72" s="5">
        <v>0</v>
      </c>
      <c r="U72" s="5">
        <v>1</v>
      </c>
      <c r="V72" s="5">
        <v>1</v>
      </c>
      <c r="W72" s="5">
        <v>3</v>
      </c>
      <c r="X72" s="5">
        <v>6</v>
      </c>
      <c r="Y72" s="5"/>
      <c r="AA72" s="5">
        <v>1</v>
      </c>
      <c r="AB72" s="5">
        <v>0</v>
      </c>
      <c r="AC72" s="5">
        <v>1</v>
      </c>
      <c r="AD72" s="5">
        <v>1</v>
      </c>
      <c r="AE72" s="5">
        <v>0</v>
      </c>
      <c r="AF72" s="5">
        <v>1</v>
      </c>
      <c r="AG72" s="5">
        <v>0</v>
      </c>
      <c r="AH72" s="5" t="s">
        <v>828</v>
      </c>
      <c r="AI72" s="5" t="s">
        <v>366</v>
      </c>
      <c r="AJ72" s="5" t="s">
        <v>829</v>
      </c>
      <c r="AK72" s="5">
        <v>610422100111</v>
      </c>
      <c r="AL72" s="5" t="e">
        <f t="shared" si="3"/>
        <v>#VALUE!</v>
      </c>
    </row>
    <row r="73" spans="1:38" ht="12.5">
      <c r="A73" s="10" t="str">
        <f t="shared" si="0"/>
        <v>Cici Wahyuni</v>
      </c>
      <c r="B73" s="5">
        <f t="shared" si="1"/>
        <v>610423090007</v>
      </c>
      <c r="C73" s="5" t="str">
        <f t="shared" si="2"/>
        <v>Cici WAHYUNI</v>
      </c>
      <c r="D73" s="5" t="s">
        <v>363</v>
      </c>
      <c r="E73" s="5" t="e">
        <f t="array" ref="E73">INDEX('Master SLS'!$H$2:$H998,MATCH($AL73,'Master SLS'!$K$2:$K998,0))</f>
        <v>#VALUE!</v>
      </c>
      <c r="F73" s="5" t="e">
        <f t="array" ref="F73">INDEX('Master SLS'!$I$2:$I998,MATCH($AL73,'Master SLS'!$K$2:$K998,0))</f>
        <v>#VALUE!</v>
      </c>
      <c r="G73" s="5" t="s">
        <v>830</v>
      </c>
      <c r="H73" s="5" t="s">
        <v>831</v>
      </c>
      <c r="I73" s="5" t="s">
        <v>388</v>
      </c>
      <c r="J73" s="5">
        <v>1</v>
      </c>
      <c r="K73" s="5" t="s">
        <v>832</v>
      </c>
      <c r="L73" s="5">
        <v>61</v>
      </c>
      <c r="M73" s="5">
        <v>4</v>
      </c>
      <c r="N73" s="5">
        <v>90</v>
      </c>
      <c r="O73" s="5">
        <v>4</v>
      </c>
      <c r="P73" s="5" t="s">
        <v>833</v>
      </c>
      <c r="Q73" s="5">
        <v>1</v>
      </c>
      <c r="R73" s="74">
        <v>36937</v>
      </c>
      <c r="T73" s="5">
        <v>0</v>
      </c>
      <c r="U73" s="5">
        <v>1</v>
      </c>
      <c r="V73" s="5">
        <v>1</v>
      </c>
      <c r="W73" s="5">
        <v>3</v>
      </c>
      <c r="X73" s="5">
        <v>6</v>
      </c>
      <c r="AA73" s="5">
        <v>1</v>
      </c>
      <c r="AB73" s="5">
        <v>1</v>
      </c>
      <c r="AC73" s="5">
        <v>0</v>
      </c>
      <c r="AD73" s="5">
        <v>0</v>
      </c>
      <c r="AE73" s="5">
        <v>0</v>
      </c>
      <c r="AF73" s="5">
        <v>0</v>
      </c>
      <c r="AG73" s="5">
        <v>0</v>
      </c>
      <c r="AI73" s="5" t="s">
        <v>388</v>
      </c>
      <c r="AJ73" s="5" t="s">
        <v>834</v>
      </c>
      <c r="AK73" s="5">
        <v>610423090007</v>
      </c>
      <c r="AL73" s="5" t="e">
        <f t="shared" si="3"/>
        <v>#VALUE!</v>
      </c>
    </row>
    <row r="74" spans="1:38" ht="12.5">
      <c r="A74" s="10" t="str">
        <f t="shared" si="0"/>
        <v>Cindy Alya</v>
      </c>
      <c r="B74" s="5">
        <f t="shared" si="1"/>
        <v>610423110148</v>
      </c>
      <c r="C74" s="5" t="str">
        <f t="shared" si="2"/>
        <v>Cindy Alya</v>
      </c>
      <c r="D74" s="5" t="s">
        <v>363</v>
      </c>
      <c r="E74" s="5" t="e">
        <f t="array" ref="E74">INDEX('Master SLS'!$H$2:$H998,MATCH($AL74,'Master SLS'!$K$2:$K998,0))</f>
        <v>#VALUE!</v>
      </c>
      <c r="F74" s="5" t="e">
        <f t="array" ref="F74">INDEX('Master SLS'!$I$2:$I998,MATCH($AL74,'Master SLS'!$K$2:$K998,0))</f>
        <v>#VALUE!</v>
      </c>
      <c r="G74" s="5" t="s">
        <v>835</v>
      </c>
      <c r="H74" s="5" t="s">
        <v>836</v>
      </c>
      <c r="I74" s="5" t="s">
        <v>366</v>
      </c>
      <c r="J74" s="5">
        <v>1</v>
      </c>
      <c r="K74" s="5" t="s">
        <v>837</v>
      </c>
      <c r="L74" s="5">
        <v>61</v>
      </c>
      <c r="M74" s="5">
        <v>4</v>
      </c>
      <c r="N74" s="5">
        <v>110</v>
      </c>
      <c r="O74" s="5">
        <v>5</v>
      </c>
      <c r="P74" s="5" t="s">
        <v>838</v>
      </c>
      <c r="Q74" s="5">
        <v>1</v>
      </c>
      <c r="R74" s="74">
        <v>38146</v>
      </c>
      <c r="T74" s="5">
        <v>0</v>
      </c>
      <c r="U74" s="5">
        <v>1</v>
      </c>
      <c r="V74" s="5">
        <v>1</v>
      </c>
      <c r="W74" s="5">
        <v>3</v>
      </c>
      <c r="X74" s="5">
        <v>6</v>
      </c>
      <c r="AA74" s="5">
        <v>0</v>
      </c>
      <c r="AB74" s="5">
        <v>0</v>
      </c>
      <c r="AC74" s="5">
        <v>0</v>
      </c>
      <c r="AD74" s="5">
        <v>0</v>
      </c>
      <c r="AE74" s="5">
        <v>0</v>
      </c>
      <c r="AF74" s="5">
        <v>0</v>
      </c>
      <c r="AG74" s="5">
        <v>0</v>
      </c>
      <c r="AI74" s="5" t="s">
        <v>366</v>
      </c>
      <c r="AJ74" s="5" t="s">
        <v>839</v>
      </c>
      <c r="AK74" s="5">
        <v>610423110148</v>
      </c>
      <c r="AL74" s="5" t="e">
        <f t="shared" si="3"/>
        <v>#VALUE!</v>
      </c>
    </row>
    <row r="75" spans="1:38" ht="12.5">
      <c r="A75" s="10" t="str">
        <f t="shared" si="0"/>
        <v>Citra Eka Sari</v>
      </c>
      <c r="B75" s="5">
        <f t="shared" si="1"/>
        <v>610422100034</v>
      </c>
      <c r="C75" s="5" t="str">
        <f t="shared" si="2"/>
        <v>Citra Eka Sari</v>
      </c>
      <c r="D75" s="5" t="s">
        <v>363</v>
      </c>
      <c r="E75" s="5" t="e">
        <f t="array" ref="E75">INDEX('Master SLS'!$H$2:$H998,MATCH($AL75,'Master SLS'!$K$2:$K998,0))</f>
        <v>#VALUE!</v>
      </c>
      <c r="F75" s="5" t="e">
        <f t="array" ref="F75">INDEX('Master SLS'!$I$2:$I998,MATCH($AL75,'Master SLS'!$K$2:$K998,0))</f>
        <v>#VALUE!</v>
      </c>
      <c r="G75" s="5" t="s">
        <v>840</v>
      </c>
      <c r="H75" s="5" t="s">
        <v>841</v>
      </c>
      <c r="I75" s="5" t="s">
        <v>366</v>
      </c>
      <c r="J75" s="5">
        <v>1</v>
      </c>
      <c r="K75" s="5" t="s">
        <v>842</v>
      </c>
      <c r="L75" s="5">
        <v>61</v>
      </c>
      <c r="M75" s="5">
        <v>4</v>
      </c>
      <c r="N75" s="5">
        <v>101</v>
      </c>
      <c r="O75" s="5">
        <v>6</v>
      </c>
      <c r="P75" s="5" t="s">
        <v>843</v>
      </c>
      <c r="Q75" s="5">
        <v>1</v>
      </c>
      <c r="R75" s="74">
        <v>29339</v>
      </c>
      <c r="S75" s="5" t="s">
        <v>844</v>
      </c>
      <c r="T75" s="5">
        <v>0</v>
      </c>
      <c r="U75" s="5">
        <v>1</v>
      </c>
      <c r="V75" s="5">
        <v>2</v>
      </c>
      <c r="W75" s="5">
        <v>3</v>
      </c>
      <c r="X75" s="5">
        <v>4</v>
      </c>
      <c r="AA75" s="5">
        <v>1</v>
      </c>
      <c r="AB75" s="5">
        <v>0</v>
      </c>
      <c r="AC75" s="5">
        <v>1</v>
      </c>
      <c r="AD75" s="5">
        <v>0</v>
      </c>
      <c r="AE75" s="5">
        <v>0</v>
      </c>
      <c r="AF75" s="5">
        <v>0</v>
      </c>
      <c r="AG75" s="5">
        <v>0</v>
      </c>
      <c r="AI75" s="5" t="s">
        <v>366</v>
      </c>
      <c r="AJ75" s="5" t="s">
        <v>845</v>
      </c>
      <c r="AK75" s="5">
        <v>610422100034</v>
      </c>
      <c r="AL75" s="5" t="e">
        <f t="shared" si="3"/>
        <v>#VALUE!</v>
      </c>
    </row>
    <row r="76" spans="1:38" ht="12.5">
      <c r="A76" s="10" t="str">
        <f t="shared" si="0"/>
        <v>Dandini Damayanti</v>
      </c>
      <c r="B76" s="5">
        <f t="shared" si="1"/>
        <v>610422040069</v>
      </c>
      <c r="C76" s="5" t="str">
        <f t="shared" si="2"/>
        <v>Dandini Damayanti</v>
      </c>
      <c r="D76" s="5" t="s">
        <v>363</v>
      </c>
      <c r="E76" s="5" t="e">
        <f t="array" ref="E76">INDEX('Master SLS'!$H$2:$H998,MATCH($AL76,'Master SLS'!$K$2:$K998,0))</f>
        <v>#VALUE!</v>
      </c>
      <c r="F76" s="5" t="e">
        <f t="array" ref="F76">INDEX('Master SLS'!$I$2:$I998,MATCH($AL76,'Master SLS'!$K$2:$K998,0))</f>
        <v>#VALUE!</v>
      </c>
      <c r="G76" s="5" t="s">
        <v>846</v>
      </c>
      <c r="H76" s="5" t="s">
        <v>847</v>
      </c>
      <c r="I76" s="5" t="s">
        <v>366</v>
      </c>
      <c r="J76" s="5">
        <v>1</v>
      </c>
      <c r="K76" s="5" t="s">
        <v>848</v>
      </c>
      <c r="L76" s="5">
        <v>61</v>
      </c>
      <c r="M76" s="5">
        <v>4</v>
      </c>
      <c r="N76" s="5">
        <v>110</v>
      </c>
      <c r="O76" s="5">
        <v>3</v>
      </c>
      <c r="P76" s="5" t="s">
        <v>849</v>
      </c>
      <c r="Q76" s="5">
        <v>1</v>
      </c>
      <c r="R76" s="74">
        <v>36506</v>
      </c>
      <c r="S76" s="5" t="s">
        <v>850</v>
      </c>
      <c r="T76" s="5">
        <v>0</v>
      </c>
      <c r="U76" s="5">
        <v>1</v>
      </c>
      <c r="V76" s="5">
        <v>2</v>
      </c>
      <c r="W76" s="5">
        <v>3</v>
      </c>
      <c r="X76" s="5">
        <v>4</v>
      </c>
      <c r="Y76" s="5"/>
      <c r="AA76" s="5">
        <v>1</v>
      </c>
      <c r="AB76" s="5">
        <v>1</v>
      </c>
      <c r="AC76" s="5">
        <v>0</v>
      </c>
      <c r="AD76" s="5">
        <v>0</v>
      </c>
      <c r="AE76" s="5">
        <v>1</v>
      </c>
      <c r="AF76" s="5">
        <v>1</v>
      </c>
      <c r="AG76" s="5">
        <v>0</v>
      </c>
      <c r="AH76" s="5" t="s">
        <v>851</v>
      </c>
      <c r="AI76" s="5" t="s">
        <v>366</v>
      </c>
      <c r="AJ76" s="5" t="s">
        <v>852</v>
      </c>
      <c r="AK76" s="5">
        <v>610422040069</v>
      </c>
      <c r="AL76" s="5" t="e">
        <f t="shared" si="3"/>
        <v>#VALUE!</v>
      </c>
    </row>
    <row r="77" spans="1:38" ht="12.5">
      <c r="A77" s="10" t="str">
        <f t="shared" si="0"/>
        <v>Dandy</v>
      </c>
      <c r="B77" s="5">
        <f t="shared" si="1"/>
        <v>610422100006</v>
      </c>
      <c r="C77" s="5" t="str">
        <f t="shared" si="2"/>
        <v>Dandy</v>
      </c>
      <c r="D77" s="5" t="s">
        <v>363</v>
      </c>
      <c r="E77" s="5" t="e">
        <f t="array" ref="E77">INDEX('Master SLS'!$H$2:$H998,MATCH($AL77,'Master SLS'!$K$2:$K998,0))</f>
        <v>#VALUE!</v>
      </c>
      <c r="F77" s="5" t="e">
        <f t="array" ref="F77">INDEX('Master SLS'!$I$2:$I998,MATCH($AL77,'Master SLS'!$K$2:$K998,0))</f>
        <v>#VALUE!</v>
      </c>
      <c r="G77" s="5" t="s">
        <v>853</v>
      </c>
      <c r="H77" s="5" t="s">
        <v>854</v>
      </c>
      <c r="I77" s="5" t="s">
        <v>388</v>
      </c>
      <c r="J77" s="5">
        <v>1</v>
      </c>
      <c r="K77" s="5" t="s">
        <v>855</v>
      </c>
      <c r="L77" s="5">
        <v>61</v>
      </c>
      <c r="M77" s="5">
        <v>4</v>
      </c>
      <c r="N77" s="5">
        <v>80</v>
      </c>
      <c r="O77" s="5">
        <v>6</v>
      </c>
      <c r="P77" s="5" t="s">
        <v>856</v>
      </c>
      <c r="Q77" s="5">
        <v>1</v>
      </c>
      <c r="R77" s="74">
        <v>36088</v>
      </c>
      <c r="S77" s="5" t="s">
        <v>857</v>
      </c>
      <c r="T77" s="5">
        <v>1</v>
      </c>
      <c r="U77" s="5">
        <v>1</v>
      </c>
      <c r="V77" s="5">
        <v>1</v>
      </c>
      <c r="W77" s="5">
        <v>3</v>
      </c>
      <c r="X77" s="5">
        <v>7</v>
      </c>
      <c r="Y77" s="5" t="s">
        <v>553</v>
      </c>
      <c r="AA77" s="5">
        <v>1</v>
      </c>
      <c r="AB77" s="5">
        <v>0</v>
      </c>
      <c r="AC77" s="5">
        <v>1</v>
      </c>
      <c r="AD77" s="5">
        <v>1</v>
      </c>
      <c r="AE77" s="5">
        <v>0</v>
      </c>
      <c r="AF77" s="5">
        <v>0</v>
      </c>
      <c r="AG77" s="5">
        <v>0</v>
      </c>
      <c r="AI77" s="5" t="s">
        <v>388</v>
      </c>
      <c r="AJ77" s="5" t="s">
        <v>858</v>
      </c>
      <c r="AK77" s="5">
        <v>610422100006</v>
      </c>
      <c r="AL77" s="5" t="e">
        <f t="shared" si="3"/>
        <v>#VALUE!</v>
      </c>
    </row>
    <row r="78" spans="1:38" ht="12.5">
      <c r="A78" s="10" t="str">
        <f t="shared" si="0"/>
        <v>Darul Muslim</v>
      </c>
      <c r="B78" s="5">
        <f t="shared" si="1"/>
        <v>610423110120</v>
      </c>
      <c r="C78" s="5" t="str">
        <f t="shared" si="2"/>
        <v>Darul muslim</v>
      </c>
      <c r="D78" s="5" t="s">
        <v>363</v>
      </c>
      <c r="E78" s="5" t="e">
        <f t="array" ref="E78">INDEX('Master SLS'!$H$2:$H998,MATCH($AL78,'Master SLS'!$K$2:$K998,0))</f>
        <v>#VALUE!</v>
      </c>
      <c r="F78" s="5" t="e">
        <f t="array" ref="F78">INDEX('Master SLS'!$I$2:$I998,MATCH($AL78,'Master SLS'!$K$2:$K998,0))</f>
        <v>#VALUE!</v>
      </c>
      <c r="G78" s="5" t="s">
        <v>859</v>
      </c>
      <c r="H78" s="5" t="s">
        <v>860</v>
      </c>
      <c r="I78" s="5" t="s">
        <v>474</v>
      </c>
      <c r="J78" s="5">
        <v>1</v>
      </c>
      <c r="K78" s="5" t="s">
        <v>861</v>
      </c>
      <c r="L78" s="5">
        <v>61</v>
      </c>
      <c r="M78" s="5">
        <v>4</v>
      </c>
      <c r="N78" s="5">
        <v>101</v>
      </c>
      <c r="O78" s="5">
        <v>8</v>
      </c>
      <c r="P78" s="5" t="s">
        <v>862</v>
      </c>
      <c r="Q78" s="5">
        <v>1</v>
      </c>
      <c r="R78" s="74">
        <v>32874</v>
      </c>
      <c r="S78" s="5"/>
      <c r="T78" s="5">
        <v>1</v>
      </c>
      <c r="U78" s="5">
        <v>1</v>
      </c>
      <c r="V78" s="5">
        <v>2</v>
      </c>
      <c r="W78" s="5">
        <v>5</v>
      </c>
      <c r="X78" s="5">
        <v>5</v>
      </c>
      <c r="AA78" s="5">
        <v>0</v>
      </c>
      <c r="AB78" s="5">
        <v>0</v>
      </c>
      <c r="AC78" s="5">
        <v>0</v>
      </c>
      <c r="AD78" s="5">
        <v>0</v>
      </c>
      <c r="AE78" s="5">
        <v>0</v>
      </c>
      <c r="AF78" s="5">
        <v>0</v>
      </c>
      <c r="AG78" s="5">
        <v>0</v>
      </c>
      <c r="AH78" s="5" t="s">
        <v>376</v>
      </c>
      <c r="AI78" s="5" t="s">
        <v>474</v>
      </c>
      <c r="AJ78" s="5" t="s">
        <v>863</v>
      </c>
      <c r="AK78" s="5">
        <v>610423110120</v>
      </c>
      <c r="AL78" s="5" t="e">
        <f t="shared" si="3"/>
        <v>#VALUE!</v>
      </c>
    </row>
    <row r="79" spans="1:38" ht="12.5">
      <c r="A79" s="10" t="str">
        <f t="shared" si="0"/>
        <v>Dayda Mareta</v>
      </c>
      <c r="B79" s="5">
        <f t="shared" si="1"/>
        <v>610423110074</v>
      </c>
      <c r="C79" s="5" t="str">
        <f t="shared" si="2"/>
        <v>DAYDA MARETA</v>
      </c>
      <c r="D79" s="5" t="s">
        <v>363</v>
      </c>
      <c r="E79" s="5" t="e">
        <f t="array" ref="E79">INDEX('Master SLS'!$H$2:$H998,MATCH($AL79,'Master SLS'!$K$2:$K998,0))</f>
        <v>#VALUE!</v>
      </c>
      <c r="F79" s="5" t="e">
        <f t="array" ref="F79">INDEX('Master SLS'!$I$2:$I998,MATCH($AL79,'Master SLS'!$K$2:$K998,0))</f>
        <v>#VALUE!</v>
      </c>
      <c r="G79" s="5" t="s">
        <v>864</v>
      </c>
      <c r="H79" s="5" t="s">
        <v>865</v>
      </c>
      <c r="I79" s="5" t="s">
        <v>474</v>
      </c>
      <c r="J79" s="5">
        <v>1</v>
      </c>
      <c r="K79" s="5" t="s">
        <v>866</v>
      </c>
      <c r="L79" s="5">
        <v>61</v>
      </c>
      <c r="M79" s="5">
        <v>4</v>
      </c>
      <c r="N79" s="5">
        <v>110</v>
      </c>
      <c r="O79" s="5">
        <v>11</v>
      </c>
      <c r="P79" s="5" t="s">
        <v>867</v>
      </c>
      <c r="Q79" s="5">
        <v>2</v>
      </c>
      <c r="R79" s="74">
        <v>35515</v>
      </c>
      <c r="S79" s="5" t="s">
        <v>868</v>
      </c>
      <c r="T79" s="5">
        <v>0</v>
      </c>
      <c r="U79" s="5">
        <v>1</v>
      </c>
      <c r="V79" s="5">
        <v>2</v>
      </c>
      <c r="W79" s="5">
        <v>3</v>
      </c>
      <c r="X79" s="5">
        <v>4</v>
      </c>
      <c r="AA79" s="5">
        <v>1</v>
      </c>
      <c r="AB79" s="5">
        <v>0</v>
      </c>
      <c r="AC79" s="5">
        <v>0</v>
      </c>
      <c r="AD79" s="5">
        <v>1</v>
      </c>
      <c r="AE79" s="5">
        <v>0</v>
      </c>
      <c r="AF79" s="5">
        <v>0</v>
      </c>
      <c r="AG79" s="5">
        <v>0</v>
      </c>
      <c r="AH79" s="5" t="s">
        <v>869</v>
      </c>
      <c r="AI79" s="5" t="s">
        <v>474</v>
      </c>
      <c r="AJ79" s="5" t="s">
        <v>870</v>
      </c>
      <c r="AK79" s="5">
        <v>610423110074</v>
      </c>
      <c r="AL79" s="5" t="e">
        <f t="shared" si="3"/>
        <v>#VALUE!</v>
      </c>
    </row>
    <row r="80" spans="1:38" ht="12.5">
      <c r="A80" s="10" t="str">
        <f t="shared" si="0"/>
        <v>Dea Maiya Astari</v>
      </c>
      <c r="B80" s="5">
        <f t="shared" si="1"/>
        <v>610423110009</v>
      </c>
      <c r="C80" s="5" t="str">
        <f t="shared" si="2"/>
        <v>Dea Maiya Astari</v>
      </c>
      <c r="D80" s="5" t="s">
        <v>363</v>
      </c>
      <c r="E80" s="5" t="e">
        <f t="array" ref="E80">INDEX('Master SLS'!$H$2:$H998,MATCH($AL80,'Master SLS'!$K$2:$K998,0))</f>
        <v>#VALUE!</v>
      </c>
      <c r="F80" s="5" t="e">
        <f t="array" ref="F80">INDEX('Master SLS'!$I$2:$I998,MATCH($AL80,'Master SLS'!$K$2:$K998,0))</f>
        <v>#VALUE!</v>
      </c>
      <c r="G80" s="5" t="s">
        <v>871</v>
      </c>
      <c r="H80" s="5" t="s">
        <v>872</v>
      </c>
      <c r="I80" s="5" t="s">
        <v>366</v>
      </c>
      <c r="J80" s="5">
        <v>1</v>
      </c>
      <c r="K80" s="5" t="s">
        <v>873</v>
      </c>
      <c r="L80" s="5">
        <v>61</v>
      </c>
      <c r="M80" s="5">
        <v>4</v>
      </c>
      <c r="N80" s="5">
        <v>100</v>
      </c>
      <c r="O80" s="5">
        <v>1</v>
      </c>
      <c r="P80" s="5" t="s">
        <v>874</v>
      </c>
      <c r="Q80" s="5">
        <v>1</v>
      </c>
      <c r="R80" s="74">
        <v>35924</v>
      </c>
      <c r="S80" s="5" t="s">
        <v>875</v>
      </c>
      <c r="T80" s="5">
        <v>0</v>
      </c>
      <c r="U80" s="5">
        <v>1</v>
      </c>
      <c r="V80" s="5">
        <v>2</v>
      </c>
      <c r="W80" s="5">
        <v>5</v>
      </c>
      <c r="X80" s="5">
        <v>4</v>
      </c>
      <c r="AA80" s="5">
        <v>0</v>
      </c>
      <c r="AB80" s="5">
        <v>0</v>
      </c>
      <c r="AC80" s="5">
        <v>0</v>
      </c>
      <c r="AD80" s="5">
        <v>0</v>
      </c>
      <c r="AE80" s="5">
        <v>0</v>
      </c>
      <c r="AF80" s="5">
        <v>0</v>
      </c>
      <c r="AG80" s="5">
        <v>0</v>
      </c>
      <c r="AH80" s="5" t="s">
        <v>876</v>
      </c>
      <c r="AI80" s="5" t="s">
        <v>388</v>
      </c>
      <c r="AJ80" s="5" t="s">
        <v>877</v>
      </c>
      <c r="AK80" s="5">
        <v>610423110009</v>
      </c>
      <c r="AL80" s="5" t="e">
        <f t="shared" si="3"/>
        <v>#VALUE!</v>
      </c>
    </row>
    <row r="81" spans="1:38" ht="12.5">
      <c r="A81" s="10" t="str">
        <f t="shared" si="0"/>
        <v>Deby Yuliansyah</v>
      </c>
      <c r="B81" s="5">
        <f t="shared" si="1"/>
        <v>610423110177</v>
      </c>
      <c r="C81" s="5" t="str">
        <f t="shared" si="2"/>
        <v>Deby Yuliansyah</v>
      </c>
      <c r="D81" s="5" t="s">
        <v>363</v>
      </c>
      <c r="E81" s="5" t="e">
        <f t="array" ref="E81">INDEX('Master SLS'!$H$2:$H998,MATCH($AL81,'Master SLS'!$K$2:$K998,0))</f>
        <v>#VALUE!</v>
      </c>
      <c r="F81" s="5" t="e">
        <f t="array" ref="F81">INDEX('Master SLS'!$I$2:$I998,MATCH($AL81,'Master SLS'!$K$2:$K998,0))</f>
        <v>#VALUE!</v>
      </c>
      <c r="G81" s="5" t="s">
        <v>878</v>
      </c>
      <c r="H81" s="5" t="s">
        <v>879</v>
      </c>
      <c r="I81" s="5" t="s">
        <v>474</v>
      </c>
      <c r="J81" s="5">
        <v>1</v>
      </c>
      <c r="K81" s="5" t="s">
        <v>880</v>
      </c>
      <c r="L81" s="5">
        <v>61</v>
      </c>
      <c r="M81" s="5">
        <v>4</v>
      </c>
      <c r="N81" s="5">
        <v>100</v>
      </c>
      <c r="O81" s="5">
        <v>8</v>
      </c>
      <c r="P81" s="5" t="s">
        <v>881</v>
      </c>
      <c r="Q81" s="5">
        <v>1</v>
      </c>
      <c r="R81" s="74">
        <v>33942</v>
      </c>
      <c r="S81" s="5" t="s">
        <v>882</v>
      </c>
      <c r="T81" s="5">
        <v>1</v>
      </c>
      <c r="U81" s="5">
        <v>1</v>
      </c>
      <c r="V81" s="5">
        <v>1</v>
      </c>
      <c r="W81" s="5">
        <v>3</v>
      </c>
      <c r="X81" s="5">
        <v>7</v>
      </c>
      <c r="Y81" s="5" t="s">
        <v>883</v>
      </c>
      <c r="AA81" s="5">
        <v>0</v>
      </c>
      <c r="AB81" s="5">
        <v>0</v>
      </c>
      <c r="AC81" s="5">
        <v>0</v>
      </c>
      <c r="AD81" s="5">
        <v>0</v>
      </c>
      <c r="AE81" s="5">
        <v>0</v>
      </c>
      <c r="AF81" s="5">
        <v>0</v>
      </c>
      <c r="AG81" s="5">
        <v>0</v>
      </c>
      <c r="AH81" s="5" t="s">
        <v>884</v>
      </c>
      <c r="AI81" s="5" t="s">
        <v>474</v>
      </c>
      <c r="AJ81" s="5" t="s">
        <v>885</v>
      </c>
      <c r="AK81" s="5">
        <v>610423110177</v>
      </c>
      <c r="AL81" s="5" t="e">
        <f t="shared" si="3"/>
        <v>#VALUE!</v>
      </c>
    </row>
    <row r="82" spans="1:38" ht="12.5">
      <c r="A82" s="10" t="str">
        <f t="shared" si="0"/>
        <v>Dede Sri Delvey</v>
      </c>
      <c r="B82" s="5">
        <f t="shared" si="1"/>
        <v>610422040051</v>
      </c>
      <c r="C82" s="5" t="str">
        <f t="shared" si="2"/>
        <v>Dede sri delvey</v>
      </c>
      <c r="D82" s="5" t="s">
        <v>363</v>
      </c>
      <c r="E82" s="5" t="e">
        <f t="array" ref="E82">INDEX('Master SLS'!$H$2:$H998,MATCH($AL82,'Master SLS'!$K$2:$K998,0))</f>
        <v>#VALUE!</v>
      </c>
      <c r="F82" s="5" t="e">
        <f t="array" ref="F82">INDEX('Master SLS'!$I$2:$I998,MATCH($AL82,'Master SLS'!$K$2:$K998,0))</f>
        <v>#VALUE!</v>
      </c>
      <c r="G82" s="5" t="s">
        <v>886</v>
      </c>
      <c r="H82" s="5" t="s">
        <v>887</v>
      </c>
      <c r="I82" s="5" t="s">
        <v>366</v>
      </c>
      <c r="J82" s="5">
        <v>1</v>
      </c>
      <c r="K82" s="5" t="s">
        <v>888</v>
      </c>
      <c r="L82" s="5">
        <v>61</v>
      </c>
      <c r="M82" s="5">
        <v>4</v>
      </c>
      <c r="N82" s="5">
        <v>81</v>
      </c>
      <c r="O82" s="5">
        <v>3</v>
      </c>
      <c r="P82" s="5" t="s">
        <v>889</v>
      </c>
      <c r="Q82" s="5">
        <v>1</v>
      </c>
      <c r="R82" s="7">
        <v>37221</v>
      </c>
      <c r="T82" s="5">
        <v>0</v>
      </c>
      <c r="U82" s="5">
        <v>1</v>
      </c>
      <c r="V82" s="5">
        <v>1</v>
      </c>
      <c r="W82" s="5">
        <v>3</v>
      </c>
      <c r="X82" s="5">
        <v>6</v>
      </c>
      <c r="Y82" s="5"/>
      <c r="AA82" s="5">
        <v>1</v>
      </c>
      <c r="AB82" s="5">
        <v>1</v>
      </c>
      <c r="AC82" s="5">
        <v>1</v>
      </c>
      <c r="AD82" s="5">
        <v>1</v>
      </c>
      <c r="AE82" s="5">
        <v>1</v>
      </c>
      <c r="AF82" s="5">
        <v>0</v>
      </c>
      <c r="AG82" s="5">
        <v>0</v>
      </c>
      <c r="AI82" s="5" t="s">
        <v>366</v>
      </c>
      <c r="AJ82" s="5" t="s">
        <v>890</v>
      </c>
      <c r="AK82" s="5">
        <v>610422040051</v>
      </c>
      <c r="AL82" s="5" t="e">
        <f t="shared" si="3"/>
        <v>#VALUE!</v>
      </c>
    </row>
    <row r="83" spans="1:38" ht="12.5">
      <c r="A83" s="10" t="str">
        <f t="shared" si="0"/>
        <v>Dela Anggraini</v>
      </c>
      <c r="B83" s="5">
        <f t="shared" si="1"/>
        <v>610423110075</v>
      </c>
      <c r="C83" s="5" t="str">
        <f t="shared" si="2"/>
        <v>Dela Anggraini</v>
      </c>
      <c r="D83" s="5" t="s">
        <v>363</v>
      </c>
      <c r="E83" s="5" t="e">
        <f t="array" ref="E83">INDEX('Master SLS'!$H$2:$H998,MATCH($AL83,'Master SLS'!$K$2:$K998,0))</f>
        <v>#VALUE!</v>
      </c>
      <c r="F83" s="5" t="e">
        <f t="array" ref="F83">INDEX('Master SLS'!$I$2:$I998,MATCH($AL83,'Master SLS'!$K$2:$K998,0))</f>
        <v>#VALUE!</v>
      </c>
      <c r="G83" s="5" t="s">
        <v>891</v>
      </c>
      <c r="H83" s="5" t="s">
        <v>892</v>
      </c>
      <c r="I83" s="5" t="s">
        <v>474</v>
      </c>
      <c r="J83" s="5">
        <v>1</v>
      </c>
      <c r="K83" s="5" t="s">
        <v>893</v>
      </c>
      <c r="L83" s="5">
        <v>61</v>
      </c>
      <c r="M83" s="5">
        <v>4</v>
      </c>
      <c r="N83" s="5">
        <v>101</v>
      </c>
      <c r="O83" s="5">
        <v>6</v>
      </c>
      <c r="P83" s="5" t="s">
        <v>894</v>
      </c>
      <c r="Q83" s="5">
        <v>1</v>
      </c>
      <c r="R83" s="74">
        <v>36286</v>
      </c>
      <c r="S83" s="5"/>
      <c r="T83" s="5">
        <v>0</v>
      </c>
      <c r="U83" s="5">
        <v>1</v>
      </c>
      <c r="V83" s="5">
        <v>1</v>
      </c>
      <c r="W83" s="5">
        <v>5</v>
      </c>
      <c r="X83" s="5">
        <v>7</v>
      </c>
      <c r="Y83" s="5" t="s">
        <v>895</v>
      </c>
      <c r="AA83" s="5">
        <v>0</v>
      </c>
      <c r="AB83" s="5">
        <v>0</v>
      </c>
      <c r="AC83" s="5">
        <v>0</v>
      </c>
      <c r="AD83" s="5">
        <v>0</v>
      </c>
      <c r="AE83" s="5">
        <v>0</v>
      </c>
      <c r="AF83" s="5">
        <v>0</v>
      </c>
      <c r="AG83" s="5">
        <v>0</v>
      </c>
      <c r="AI83" s="5" t="s">
        <v>474</v>
      </c>
      <c r="AJ83" s="5" t="s">
        <v>896</v>
      </c>
      <c r="AK83" s="5">
        <v>610423110075</v>
      </c>
      <c r="AL83" s="5" t="e">
        <f t="shared" si="3"/>
        <v>#VALUE!</v>
      </c>
    </row>
    <row r="84" spans="1:38" ht="12.5">
      <c r="A84" s="10" t="str">
        <f t="shared" si="0"/>
        <v>Deri Fadli</v>
      </c>
      <c r="B84" s="5">
        <f t="shared" si="1"/>
        <v>610423110068</v>
      </c>
      <c r="C84" s="5" t="str">
        <f t="shared" si="2"/>
        <v>Deri fadli</v>
      </c>
      <c r="D84" s="5" t="s">
        <v>363</v>
      </c>
      <c r="E84" s="5" t="e">
        <f t="array" ref="E84">INDEX('Master SLS'!$H$2:$H998,MATCH($AL84,'Master SLS'!$K$2:$K998,0))</f>
        <v>#VALUE!</v>
      </c>
      <c r="F84" s="5" t="e">
        <f t="array" ref="F84">INDEX('Master SLS'!$I$2:$I998,MATCH($AL84,'Master SLS'!$K$2:$K998,0))</f>
        <v>#VALUE!</v>
      </c>
      <c r="G84" s="5" t="s">
        <v>897</v>
      </c>
      <c r="H84" s="5" t="s">
        <v>898</v>
      </c>
      <c r="I84" s="5" t="s">
        <v>474</v>
      </c>
      <c r="J84" s="5">
        <v>1</v>
      </c>
      <c r="K84" s="5" t="s">
        <v>899</v>
      </c>
      <c r="L84" s="5">
        <v>61</v>
      </c>
      <c r="M84" s="5">
        <v>4</v>
      </c>
      <c r="N84" s="5">
        <v>110</v>
      </c>
      <c r="O84" s="5">
        <v>6</v>
      </c>
      <c r="P84" s="5" t="s">
        <v>900</v>
      </c>
      <c r="Q84" s="5">
        <v>1</v>
      </c>
      <c r="R84" s="74">
        <v>35049</v>
      </c>
      <c r="S84" s="5"/>
      <c r="T84" s="5">
        <v>1</v>
      </c>
      <c r="U84" s="5">
        <v>1</v>
      </c>
      <c r="V84" s="5">
        <v>2</v>
      </c>
      <c r="W84" s="5">
        <v>5</v>
      </c>
      <c r="X84" s="5">
        <v>7</v>
      </c>
      <c r="Y84" s="5" t="s">
        <v>901</v>
      </c>
      <c r="AA84" s="5">
        <v>0</v>
      </c>
      <c r="AB84" s="5">
        <v>0</v>
      </c>
      <c r="AC84" s="5">
        <v>0</v>
      </c>
      <c r="AD84" s="5">
        <v>0</v>
      </c>
      <c r="AE84" s="5">
        <v>0</v>
      </c>
      <c r="AF84" s="5">
        <v>0</v>
      </c>
      <c r="AG84" s="5">
        <v>0</v>
      </c>
      <c r="AH84" s="5"/>
      <c r="AI84" s="5" t="s">
        <v>474</v>
      </c>
      <c r="AJ84" s="5" t="s">
        <v>902</v>
      </c>
      <c r="AK84" s="5">
        <v>610423110068</v>
      </c>
      <c r="AL84" s="5" t="e">
        <f t="shared" si="3"/>
        <v>#VALUE!</v>
      </c>
    </row>
    <row r="85" spans="1:38" ht="12.5">
      <c r="A85" s="10" t="str">
        <f t="shared" si="0"/>
        <v>Dermawansyah</v>
      </c>
      <c r="B85" s="5">
        <f t="shared" si="1"/>
        <v>610423110014</v>
      </c>
      <c r="C85" s="5" t="str">
        <f t="shared" si="2"/>
        <v>Dermawansyah</v>
      </c>
      <c r="D85" s="5" t="s">
        <v>363</v>
      </c>
      <c r="E85" s="5" t="e">
        <f t="array" ref="E85">INDEX('Master SLS'!$H$2:$H998,MATCH($AL85,'Master SLS'!$K$2:$K998,0))</f>
        <v>#VALUE!</v>
      </c>
      <c r="F85" s="5" t="e">
        <f t="array" ref="F85">INDEX('Master SLS'!$I$2:$I998,MATCH($AL85,'Master SLS'!$K$2:$K998,0))</f>
        <v>#VALUE!</v>
      </c>
      <c r="G85" s="5" t="s">
        <v>903</v>
      </c>
      <c r="H85" s="5" t="s">
        <v>904</v>
      </c>
      <c r="I85" s="5" t="s">
        <v>388</v>
      </c>
      <c r="J85" s="5">
        <v>1</v>
      </c>
      <c r="K85" s="5" t="s">
        <v>905</v>
      </c>
      <c r="L85" s="5">
        <v>61</v>
      </c>
      <c r="M85" s="5">
        <v>4</v>
      </c>
      <c r="N85" s="5">
        <v>100</v>
      </c>
      <c r="O85" s="5">
        <v>8</v>
      </c>
      <c r="P85" s="5" t="s">
        <v>906</v>
      </c>
      <c r="Q85" s="5">
        <v>1</v>
      </c>
      <c r="R85" s="74">
        <v>37619</v>
      </c>
      <c r="T85" s="5">
        <v>1</v>
      </c>
      <c r="U85" s="5">
        <v>1</v>
      </c>
      <c r="V85" s="5">
        <v>1</v>
      </c>
      <c r="W85" s="5">
        <v>3</v>
      </c>
      <c r="X85" s="5">
        <v>7</v>
      </c>
      <c r="Y85" s="5" t="s">
        <v>907</v>
      </c>
      <c r="AA85" s="5">
        <v>0</v>
      </c>
      <c r="AB85" s="5">
        <v>0</v>
      </c>
      <c r="AC85" s="5">
        <v>0</v>
      </c>
      <c r="AD85" s="5">
        <v>0</v>
      </c>
      <c r="AE85" s="5">
        <v>0</v>
      </c>
      <c r="AF85" s="5">
        <v>0</v>
      </c>
      <c r="AG85" s="5">
        <v>0</v>
      </c>
      <c r="AH85" s="5" t="s">
        <v>908</v>
      </c>
      <c r="AI85" s="5" t="s">
        <v>388</v>
      </c>
      <c r="AJ85" s="5" t="s">
        <v>909</v>
      </c>
      <c r="AK85" s="5">
        <v>610423110014</v>
      </c>
      <c r="AL85" s="5" t="e">
        <f t="shared" si="3"/>
        <v>#VALUE!</v>
      </c>
    </row>
    <row r="86" spans="1:38" ht="12.5">
      <c r="A86" s="10" t="str">
        <f t="shared" si="0"/>
        <v>Desi</v>
      </c>
      <c r="B86" s="5">
        <f t="shared" si="1"/>
        <v>610423110137</v>
      </c>
      <c r="C86" s="5" t="str">
        <f t="shared" si="2"/>
        <v>Desi</v>
      </c>
      <c r="D86" s="5" t="s">
        <v>363</v>
      </c>
      <c r="E86" s="5" t="e">
        <f t="array" ref="E86">INDEX('Master SLS'!$H$2:$H998,MATCH($AL86,'Master SLS'!$K$2:$K998,0))</f>
        <v>#VALUE!</v>
      </c>
      <c r="F86" s="5" t="e">
        <f t="array" ref="F86">INDEX('Master SLS'!$I$2:$I998,MATCH($AL86,'Master SLS'!$K$2:$K998,0))</f>
        <v>#VALUE!</v>
      </c>
      <c r="G86" s="5" t="s">
        <v>910</v>
      </c>
      <c r="H86" s="5" t="s">
        <v>911</v>
      </c>
      <c r="I86" s="5" t="s">
        <v>474</v>
      </c>
      <c r="J86" s="5">
        <v>1</v>
      </c>
      <c r="K86" s="5" t="s">
        <v>912</v>
      </c>
      <c r="L86" s="5">
        <v>61</v>
      </c>
      <c r="M86" s="5">
        <v>4</v>
      </c>
      <c r="N86" s="5">
        <v>80</v>
      </c>
      <c r="O86" s="5">
        <v>4</v>
      </c>
      <c r="P86" s="5" t="s">
        <v>913</v>
      </c>
      <c r="Q86" s="5">
        <v>1</v>
      </c>
      <c r="R86" s="74">
        <v>38615</v>
      </c>
      <c r="T86" s="5">
        <v>0</v>
      </c>
      <c r="U86" s="5">
        <v>1</v>
      </c>
      <c r="V86" s="5">
        <v>2</v>
      </c>
      <c r="W86" s="5">
        <v>3</v>
      </c>
      <c r="X86" s="5">
        <v>7</v>
      </c>
      <c r="Y86" s="5" t="s">
        <v>914</v>
      </c>
      <c r="AA86" s="5">
        <v>0</v>
      </c>
      <c r="AB86" s="5">
        <v>0</v>
      </c>
      <c r="AC86" s="5">
        <v>0</v>
      </c>
      <c r="AD86" s="5">
        <v>0</v>
      </c>
      <c r="AE86" s="5">
        <v>0</v>
      </c>
      <c r="AF86" s="5">
        <v>0</v>
      </c>
      <c r="AG86" s="5">
        <v>0</v>
      </c>
      <c r="AH86" s="5" t="s">
        <v>915</v>
      </c>
      <c r="AI86" s="5" t="s">
        <v>474</v>
      </c>
      <c r="AJ86" s="5" t="s">
        <v>916</v>
      </c>
      <c r="AK86" s="5">
        <v>610423110137</v>
      </c>
      <c r="AL86" s="5" t="e">
        <f t="shared" si="3"/>
        <v>#VALUE!</v>
      </c>
    </row>
    <row r="87" spans="1:38" ht="12.5">
      <c r="A87" s="10" t="str">
        <f t="shared" si="0"/>
        <v>Desi Natalia</v>
      </c>
      <c r="B87" s="5">
        <f t="shared" si="1"/>
        <v>610422050008</v>
      </c>
      <c r="C87" s="5" t="str">
        <f t="shared" si="2"/>
        <v>Desi Natalia</v>
      </c>
      <c r="D87" s="5" t="s">
        <v>363</v>
      </c>
      <c r="E87" s="5" t="e">
        <f t="array" ref="E87">INDEX('Master SLS'!$H$2:$H998,MATCH($AL87,'Master SLS'!$K$2:$K998,0))</f>
        <v>#VALUE!</v>
      </c>
      <c r="F87" s="5" t="e">
        <f t="array" ref="F87">INDEX('Master SLS'!$I$2:$I998,MATCH($AL87,'Master SLS'!$K$2:$K998,0))</f>
        <v>#VALUE!</v>
      </c>
      <c r="G87" s="5" t="s">
        <v>917</v>
      </c>
      <c r="H87" s="5" t="s">
        <v>918</v>
      </c>
      <c r="I87" s="5" t="s">
        <v>366</v>
      </c>
      <c r="J87" s="5">
        <v>1</v>
      </c>
      <c r="K87" s="5" t="s">
        <v>919</v>
      </c>
      <c r="L87" s="5">
        <v>61</v>
      </c>
      <c r="M87" s="5">
        <v>4</v>
      </c>
      <c r="N87" s="5">
        <v>120</v>
      </c>
      <c r="O87" s="5">
        <v>7</v>
      </c>
      <c r="P87" s="5" t="s">
        <v>920</v>
      </c>
      <c r="Q87" s="5">
        <v>1</v>
      </c>
      <c r="R87" s="74">
        <v>31775</v>
      </c>
      <c r="T87" s="5">
        <v>0</v>
      </c>
      <c r="U87" s="5">
        <v>3</v>
      </c>
      <c r="V87" s="5">
        <v>2</v>
      </c>
      <c r="W87" s="5">
        <v>5</v>
      </c>
      <c r="X87" s="5">
        <v>4</v>
      </c>
      <c r="Y87" s="5"/>
      <c r="AA87" s="5">
        <v>1</v>
      </c>
      <c r="AB87" s="5">
        <v>0</v>
      </c>
      <c r="AC87" s="5">
        <v>0</v>
      </c>
      <c r="AD87" s="5">
        <v>1</v>
      </c>
      <c r="AE87" s="5">
        <v>1</v>
      </c>
      <c r="AF87" s="5">
        <v>1</v>
      </c>
      <c r="AG87" s="5">
        <v>0</v>
      </c>
      <c r="AI87" s="5" t="s">
        <v>366</v>
      </c>
      <c r="AJ87" s="5" t="s">
        <v>921</v>
      </c>
      <c r="AK87" s="5">
        <v>610422050008</v>
      </c>
      <c r="AL87" s="5" t="e">
        <f t="shared" si="3"/>
        <v>#VALUE!</v>
      </c>
    </row>
    <row r="88" spans="1:38" ht="12.5">
      <c r="A88" s="10" t="str">
        <f t="shared" si="0"/>
        <v>Desta Dara Ayu Lestari, S.Pd</v>
      </c>
      <c r="B88" s="5">
        <f t="shared" si="1"/>
        <v>610423030006</v>
      </c>
      <c r="C88" s="5" t="str">
        <f t="shared" si="2"/>
        <v>DESTA DARA AYU LESTARI, S.Pd</v>
      </c>
      <c r="D88" s="5" t="s">
        <v>363</v>
      </c>
      <c r="E88" s="5" t="e">
        <f t="array" ref="E88">INDEX('Master SLS'!$H$2:$H998,MATCH($AL88,'Master SLS'!$K$2:$K998,0))</f>
        <v>#VALUE!</v>
      </c>
      <c r="F88" s="5" t="e">
        <f t="array" ref="F88">INDEX('Master SLS'!$I$2:$I998,MATCH($AL88,'Master SLS'!$K$2:$K998,0))</f>
        <v>#VALUE!</v>
      </c>
      <c r="G88" s="5" t="s">
        <v>922</v>
      </c>
      <c r="H88" s="5" t="s">
        <v>923</v>
      </c>
      <c r="I88" s="5" t="s">
        <v>366</v>
      </c>
      <c r="J88" s="5">
        <v>1</v>
      </c>
      <c r="K88" s="5" t="s">
        <v>924</v>
      </c>
      <c r="L88" s="5">
        <v>61</v>
      </c>
      <c r="M88" s="5">
        <v>4</v>
      </c>
      <c r="N88" s="5">
        <v>120</v>
      </c>
      <c r="O88" s="5">
        <v>5</v>
      </c>
      <c r="P88" s="5" t="s">
        <v>925</v>
      </c>
      <c r="Q88" s="5">
        <v>1</v>
      </c>
      <c r="R88" s="7">
        <v>35043</v>
      </c>
      <c r="S88" s="5" t="s">
        <v>926</v>
      </c>
      <c r="T88" s="5">
        <v>0</v>
      </c>
      <c r="U88" s="5">
        <v>3</v>
      </c>
      <c r="V88" s="5">
        <v>2</v>
      </c>
      <c r="W88" s="5">
        <v>5</v>
      </c>
      <c r="X88" s="5">
        <v>3</v>
      </c>
      <c r="AA88" s="5">
        <v>1</v>
      </c>
      <c r="AB88" s="5">
        <v>0</v>
      </c>
      <c r="AC88" s="5">
        <v>1</v>
      </c>
      <c r="AD88" s="5">
        <v>0</v>
      </c>
      <c r="AE88" s="5">
        <v>0</v>
      </c>
      <c r="AF88" s="5">
        <v>0</v>
      </c>
      <c r="AG88" s="5">
        <v>0</v>
      </c>
      <c r="AH88" s="5" t="s">
        <v>927</v>
      </c>
      <c r="AI88" s="5" t="s">
        <v>366</v>
      </c>
      <c r="AJ88" s="5" t="s">
        <v>928</v>
      </c>
      <c r="AK88" s="5">
        <v>610423030006</v>
      </c>
      <c r="AL88" s="5" t="e">
        <f t="shared" si="3"/>
        <v>#VALUE!</v>
      </c>
    </row>
    <row r="89" spans="1:38" ht="12.5">
      <c r="A89" s="10" t="str">
        <f t="shared" si="0"/>
        <v>Deti Erni Widiastuti</v>
      </c>
      <c r="B89" s="5">
        <f t="shared" si="1"/>
        <v>610422030002</v>
      </c>
      <c r="C89" s="5" t="str">
        <f t="shared" si="2"/>
        <v>Deti erni widiastuti</v>
      </c>
      <c r="D89" s="5" t="s">
        <v>363</v>
      </c>
      <c r="E89" s="5" t="e">
        <f t="array" ref="E89">INDEX('Master SLS'!$H$2:$H998,MATCH($AL89,'Master SLS'!$K$2:$K998,0))</f>
        <v>#VALUE!</v>
      </c>
      <c r="F89" s="5" t="e">
        <f t="array" ref="F89">INDEX('Master SLS'!$I$2:$I998,MATCH($AL89,'Master SLS'!$K$2:$K998,0))</f>
        <v>#VALUE!</v>
      </c>
      <c r="G89" s="5" t="s">
        <v>929</v>
      </c>
      <c r="H89" s="5" t="s">
        <v>930</v>
      </c>
      <c r="I89" s="5" t="s">
        <v>366</v>
      </c>
      <c r="J89" s="5">
        <v>1</v>
      </c>
      <c r="K89" s="5" t="s">
        <v>931</v>
      </c>
      <c r="L89" s="5">
        <v>61</v>
      </c>
      <c r="M89" s="5">
        <v>4</v>
      </c>
      <c r="N89" s="5">
        <v>81</v>
      </c>
      <c r="O89" s="5">
        <v>1</v>
      </c>
      <c r="P89" s="5" t="s">
        <v>932</v>
      </c>
      <c r="Q89" s="5">
        <v>1</v>
      </c>
      <c r="R89" s="74">
        <v>31773</v>
      </c>
      <c r="S89" s="5" t="s">
        <v>933</v>
      </c>
      <c r="T89" s="5">
        <v>0</v>
      </c>
      <c r="U89" s="5">
        <v>1</v>
      </c>
      <c r="V89" s="5">
        <v>2</v>
      </c>
      <c r="W89" s="5">
        <v>5</v>
      </c>
      <c r="X89" s="5">
        <v>4</v>
      </c>
      <c r="AA89" s="5">
        <v>1</v>
      </c>
      <c r="AB89" s="5">
        <v>1</v>
      </c>
      <c r="AC89" s="5">
        <v>0</v>
      </c>
      <c r="AD89" s="5">
        <v>0</v>
      </c>
      <c r="AE89" s="5">
        <v>1</v>
      </c>
      <c r="AF89" s="5">
        <v>1</v>
      </c>
      <c r="AG89" s="5">
        <v>0</v>
      </c>
      <c r="AH89" s="5" t="s">
        <v>934</v>
      </c>
      <c r="AI89" s="5" t="s">
        <v>366</v>
      </c>
      <c r="AJ89" s="5" t="s">
        <v>935</v>
      </c>
      <c r="AK89" s="5">
        <v>610422030002</v>
      </c>
      <c r="AL89" s="5" t="e">
        <f t="shared" si="3"/>
        <v>#VALUE!</v>
      </c>
    </row>
    <row r="90" spans="1:38" ht="12.5">
      <c r="A90" s="10" t="str">
        <f t="shared" si="0"/>
        <v>Devi Permatasari</v>
      </c>
      <c r="B90" s="5">
        <f t="shared" si="1"/>
        <v>610423110169</v>
      </c>
      <c r="C90" s="5" t="str">
        <f t="shared" si="2"/>
        <v>Devi Permatasari</v>
      </c>
      <c r="D90" s="5" t="s">
        <v>363</v>
      </c>
      <c r="E90" s="5" t="e">
        <f t="array" ref="E90">INDEX('Master SLS'!$H$2:$H998,MATCH($AL90,'Master SLS'!$K$2:$K998,0))</f>
        <v>#VALUE!</v>
      </c>
      <c r="F90" s="5" t="e">
        <f t="array" ref="F90">INDEX('Master SLS'!$I$2:$I998,MATCH($AL90,'Master SLS'!$K$2:$K998,0))</f>
        <v>#VALUE!</v>
      </c>
      <c r="G90" s="5" t="s">
        <v>936</v>
      </c>
      <c r="H90" s="5" t="s">
        <v>937</v>
      </c>
      <c r="I90" s="5" t="s">
        <v>388</v>
      </c>
      <c r="J90" s="5">
        <v>1</v>
      </c>
      <c r="K90" s="5" t="s">
        <v>938</v>
      </c>
      <c r="L90" s="5">
        <v>61</v>
      </c>
      <c r="M90" s="5">
        <v>4</v>
      </c>
      <c r="N90" s="5">
        <v>100</v>
      </c>
      <c r="O90" s="5">
        <v>8</v>
      </c>
      <c r="P90" s="5" t="s">
        <v>939</v>
      </c>
      <c r="Q90" s="5">
        <v>1</v>
      </c>
      <c r="R90" s="74">
        <v>36834</v>
      </c>
      <c r="S90" s="5"/>
      <c r="T90" s="5">
        <v>0</v>
      </c>
      <c r="U90" s="5">
        <v>1</v>
      </c>
      <c r="V90" s="5">
        <v>1</v>
      </c>
      <c r="W90" s="5">
        <v>5</v>
      </c>
      <c r="X90" s="5">
        <v>7</v>
      </c>
      <c r="Y90" s="5" t="s">
        <v>940</v>
      </c>
      <c r="AA90" s="5">
        <v>0</v>
      </c>
      <c r="AB90" s="5">
        <v>0</v>
      </c>
      <c r="AC90" s="5">
        <v>0</v>
      </c>
      <c r="AD90" s="5">
        <v>0</v>
      </c>
      <c r="AE90" s="5">
        <v>0</v>
      </c>
      <c r="AF90" s="5">
        <v>0</v>
      </c>
      <c r="AG90" s="5">
        <v>0</v>
      </c>
      <c r="AH90" s="5" t="s">
        <v>940</v>
      </c>
      <c r="AI90" s="5" t="s">
        <v>388</v>
      </c>
      <c r="AJ90" s="5" t="s">
        <v>941</v>
      </c>
      <c r="AK90" s="5">
        <v>610423110169</v>
      </c>
      <c r="AL90" s="5" t="e">
        <f t="shared" si="3"/>
        <v>#VALUE!</v>
      </c>
    </row>
    <row r="91" spans="1:38" ht="12.5">
      <c r="A91" s="10" t="str">
        <f t="shared" si="0"/>
        <v>Dewi Krisdayanti</v>
      </c>
      <c r="B91" s="5">
        <f t="shared" si="1"/>
        <v>610422040024</v>
      </c>
      <c r="C91" s="5" t="str">
        <f t="shared" si="2"/>
        <v>Dewi Krisdayanti</v>
      </c>
      <c r="D91" s="5" t="s">
        <v>363</v>
      </c>
      <c r="E91" s="5" t="e">
        <f t="array" ref="E91">INDEX('Master SLS'!$H$2:$H998,MATCH($AL91,'Master SLS'!$K$2:$K998,0))</f>
        <v>#VALUE!</v>
      </c>
      <c r="F91" s="5" t="e">
        <f t="array" ref="F91">INDEX('Master SLS'!$I$2:$I998,MATCH($AL91,'Master SLS'!$K$2:$K998,0))</f>
        <v>#VALUE!</v>
      </c>
      <c r="G91" s="5" t="s">
        <v>942</v>
      </c>
      <c r="H91" s="5" t="s">
        <v>943</v>
      </c>
      <c r="I91" s="5" t="s">
        <v>388</v>
      </c>
      <c r="J91" s="5">
        <v>1</v>
      </c>
      <c r="K91" s="5" t="s">
        <v>944</v>
      </c>
      <c r="L91" s="5">
        <v>61</v>
      </c>
      <c r="M91" s="5">
        <v>4</v>
      </c>
      <c r="N91" s="5">
        <v>120</v>
      </c>
      <c r="O91" s="5">
        <v>9</v>
      </c>
      <c r="P91" s="5" t="s">
        <v>945</v>
      </c>
      <c r="Q91" s="5">
        <v>1</v>
      </c>
      <c r="R91" s="74">
        <v>36033</v>
      </c>
      <c r="S91" s="5" t="s">
        <v>946</v>
      </c>
      <c r="T91" s="5">
        <v>0</v>
      </c>
      <c r="U91" s="5">
        <v>1</v>
      </c>
      <c r="V91" s="5">
        <v>2</v>
      </c>
      <c r="W91" s="5">
        <v>5</v>
      </c>
      <c r="X91" s="5">
        <v>3</v>
      </c>
      <c r="AA91" s="5">
        <v>1</v>
      </c>
      <c r="AB91" s="5">
        <v>1</v>
      </c>
      <c r="AC91" s="5">
        <v>0</v>
      </c>
      <c r="AD91" s="5">
        <v>0</v>
      </c>
      <c r="AE91" s="5">
        <v>0</v>
      </c>
      <c r="AF91" s="5">
        <v>0</v>
      </c>
      <c r="AG91" s="5">
        <v>0</v>
      </c>
      <c r="AI91" s="5" t="s">
        <v>388</v>
      </c>
      <c r="AJ91" s="5" t="s">
        <v>947</v>
      </c>
      <c r="AK91" s="5">
        <v>610422040024</v>
      </c>
      <c r="AL91" s="5" t="e">
        <f t="shared" si="3"/>
        <v>#VALUE!</v>
      </c>
    </row>
    <row r="92" spans="1:38" ht="12.5">
      <c r="A92" s="10" t="str">
        <f t="shared" si="0"/>
        <v>Dhea Nurul Hidayah</v>
      </c>
      <c r="B92" s="5">
        <f t="shared" si="1"/>
        <v>610423110026</v>
      </c>
      <c r="C92" s="5" t="str">
        <f t="shared" si="2"/>
        <v>Dhea Nurul Hidayah</v>
      </c>
      <c r="D92" s="5" t="s">
        <v>363</v>
      </c>
      <c r="E92" s="5" t="e">
        <f t="array" ref="E92">INDEX('Master SLS'!$H$2:$H998,MATCH($AL92,'Master SLS'!$K$2:$K998,0))</f>
        <v>#VALUE!</v>
      </c>
      <c r="F92" s="5" t="e">
        <f t="array" ref="F92">INDEX('Master SLS'!$I$2:$I998,MATCH($AL92,'Master SLS'!$K$2:$K998,0))</f>
        <v>#VALUE!</v>
      </c>
      <c r="G92" s="5" t="s">
        <v>948</v>
      </c>
      <c r="H92" s="5" t="s">
        <v>949</v>
      </c>
      <c r="I92" s="5" t="s">
        <v>366</v>
      </c>
      <c r="J92" s="5">
        <v>1</v>
      </c>
      <c r="K92" s="5" t="s">
        <v>950</v>
      </c>
      <c r="L92" s="5">
        <v>61</v>
      </c>
      <c r="M92" s="5">
        <v>4</v>
      </c>
      <c r="N92" s="5">
        <v>100</v>
      </c>
      <c r="O92" s="5">
        <v>12</v>
      </c>
      <c r="P92" s="5" t="s">
        <v>951</v>
      </c>
      <c r="Q92" s="5">
        <v>1</v>
      </c>
      <c r="R92" s="7">
        <v>38325</v>
      </c>
      <c r="T92" s="5">
        <v>0</v>
      </c>
      <c r="U92" s="5">
        <v>1</v>
      </c>
      <c r="V92" s="5">
        <v>1</v>
      </c>
      <c r="W92" s="5">
        <v>3</v>
      </c>
      <c r="X92" s="5">
        <v>6</v>
      </c>
      <c r="Y92" s="5"/>
      <c r="AA92" s="5">
        <v>0</v>
      </c>
      <c r="AB92" s="5">
        <v>0</v>
      </c>
      <c r="AC92" s="5">
        <v>0</v>
      </c>
      <c r="AD92" s="5">
        <v>0</v>
      </c>
      <c r="AE92" s="5">
        <v>0</v>
      </c>
      <c r="AF92" s="5">
        <v>0</v>
      </c>
      <c r="AG92" s="5">
        <v>0</v>
      </c>
      <c r="AH92" s="5" t="s">
        <v>952</v>
      </c>
      <c r="AI92" s="5" t="s">
        <v>366</v>
      </c>
      <c r="AJ92" s="5" t="s">
        <v>953</v>
      </c>
      <c r="AK92" s="5">
        <v>610423110026</v>
      </c>
      <c r="AL92" s="5" t="e">
        <f t="shared" si="3"/>
        <v>#VALUE!</v>
      </c>
    </row>
    <row r="93" spans="1:38" ht="12.5">
      <c r="A93" s="10" t="str">
        <f t="shared" si="0"/>
        <v>Dicky Rahman</v>
      </c>
      <c r="B93" s="5">
        <f t="shared" si="1"/>
        <v>610423110117</v>
      </c>
      <c r="C93" s="5" t="str">
        <f t="shared" si="2"/>
        <v>Dicky Rahman</v>
      </c>
      <c r="D93" s="5" t="s">
        <v>363</v>
      </c>
      <c r="E93" s="5" t="e">
        <f t="array" ref="E93">INDEX('Master SLS'!$H$2:$H998,MATCH($AL93,'Master SLS'!$K$2:$K998,0))</f>
        <v>#VALUE!</v>
      </c>
      <c r="F93" s="5" t="e">
        <f t="array" ref="F93">INDEX('Master SLS'!$I$2:$I998,MATCH($AL93,'Master SLS'!$K$2:$K998,0))</f>
        <v>#VALUE!</v>
      </c>
      <c r="G93" s="5" t="s">
        <v>954</v>
      </c>
      <c r="H93" s="5" t="s">
        <v>955</v>
      </c>
      <c r="I93" s="5" t="s">
        <v>366</v>
      </c>
      <c r="J93" s="5">
        <v>1</v>
      </c>
      <c r="K93" s="5" t="s">
        <v>956</v>
      </c>
      <c r="L93" s="5">
        <v>61</v>
      </c>
      <c r="M93" s="5">
        <v>4</v>
      </c>
      <c r="N93" s="5">
        <v>81</v>
      </c>
      <c r="O93" s="5">
        <v>3</v>
      </c>
      <c r="P93" s="5" t="s">
        <v>957</v>
      </c>
      <c r="Q93" s="5">
        <v>1</v>
      </c>
      <c r="R93" s="74">
        <v>37565</v>
      </c>
      <c r="T93" s="5">
        <v>1</v>
      </c>
      <c r="U93" s="5">
        <v>1</v>
      </c>
      <c r="V93" s="5">
        <v>1</v>
      </c>
      <c r="W93" s="5">
        <v>3</v>
      </c>
      <c r="X93" s="5">
        <v>6</v>
      </c>
      <c r="AA93" s="5">
        <v>0</v>
      </c>
      <c r="AB93" s="5">
        <v>0</v>
      </c>
      <c r="AC93" s="5">
        <v>0</v>
      </c>
      <c r="AD93" s="5">
        <v>0</v>
      </c>
      <c r="AE93" s="5">
        <v>0</v>
      </c>
      <c r="AF93" s="5">
        <v>0</v>
      </c>
      <c r="AG93" s="5">
        <v>0</v>
      </c>
      <c r="AI93" s="5" t="s">
        <v>366</v>
      </c>
      <c r="AJ93" s="5" t="s">
        <v>958</v>
      </c>
      <c r="AK93" s="5">
        <v>610423110117</v>
      </c>
      <c r="AL93" s="5" t="e">
        <f t="shared" si="3"/>
        <v>#VALUE!</v>
      </c>
    </row>
    <row r="94" spans="1:38" ht="12.5">
      <c r="A94" s="10" t="str">
        <f t="shared" si="0"/>
        <v>Difa Faradifa</v>
      </c>
      <c r="B94" s="5">
        <f t="shared" si="1"/>
        <v>610422100099</v>
      </c>
      <c r="C94" s="5" t="str">
        <f t="shared" si="2"/>
        <v>Difa faradifa</v>
      </c>
      <c r="D94" s="5" t="s">
        <v>363</v>
      </c>
      <c r="E94" s="5" t="e">
        <f t="array" ref="E94">INDEX('Master SLS'!$H$2:$H998,MATCH($AL94,'Master SLS'!$K$2:$K998,0))</f>
        <v>#VALUE!</v>
      </c>
      <c r="F94" s="5" t="e">
        <f t="array" ref="F94">INDEX('Master SLS'!$I$2:$I998,MATCH($AL94,'Master SLS'!$K$2:$K998,0))</f>
        <v>#VALUE!</v>
      </c>
      <c r="G94" s="5" t="s">
        <v>959</v>
      </c>
      <c r="H94" s="5" t="s">
        <v>960</v>
      </c>
      <c r="I94" s="5" t="s">
        <v>366</v>
      </c>
      <c r="J94" s="5">
        <v>1</v>
      </c>
      <c r="K94" s="5" t="s">
        <v>961</v>
      </c>
      <c r="L94" s="5">
        <v>61</v>
      </c>
      <c r="M94" s="5">
        <v>4</v>
      </c>
      <c r="N94" s="5">
        <v>80</v>
      </c>
      <c r="O94" s="5">
        <v>3</v>
      </c>
      <c r="P94" s="5" t="s">
        <v>962</v>
      </c>
      <c r="Q94" s="5">
        <v>1</v>
      </c>
      <c r="R94" s="74">
        <v>38055</v>
      </c>
      <c r="T94" s="5">
        <v>0</v>
      </c>
      <c r="U94" s="5">
        <v>1</v>
      </c>
      <c r="V94" s="5">
        <v>1</v>
      </c>
      <c r="W94" s="5">
        <v>3</v>
      </c>
      <c r="X94" s="5">
        <v>6</v>
      </c>
      <c r="Y94" s="5"/>
      <c r="AA94" s="5">
        <v>1</v>
      </c>
      <c r="AB94" s="5">
        <v>0</v>
      </c>
      <c r="AC94" s="5">
        <v>1</v>
      </c>
      <c r="AD94" s="5">
        <v>0</v>
      </c>
      <c r="AE94" s="5">
        <v>0</v>
      </c>
      <c r="AF94" s="5">
        <v>1</v>
      </c>
      <c r="AG94" s="5">
        <v>0</v>
      </c>
      <c r="AH94" s="5" t="s">
        <v>963</v>
      </c>
      <c r="AI94" s="5" t="s">
        <v>366</v>
      </c>
      <c r="AJ94" s="5" t="s">
        <v>964</v>
      </c>
      <c r="AK94" s="5">
        <v>610422100099</v>
      </c>
      <c r="AL94" s="5" t="e">
        <f t="shared" si="3"/>
        <v>#VALUE!</v>
      </c>
    </row>
    <row r="95" spans="1:38" ht="12.5">
      <c r="A95" s="10" t="str">
        <f t="shared" si="0"/>
        <v>Dina Fitri Wahyuni</v>
      </c>
      <c r="B95" s="5">
        <f t="shared" si="1"/>
        <v>610423040023</v>
      </c>
      <c r="C95" s="5" t="str">
        <f t="shared" si="2"/>
        <v>Dina Fitri Wahyuni</v>
      </c>
      <c r="D95" s="5" t="s">
        <v>363</v>
      </c>
      <c r="E95" s="5" t="e">
        <f t="array" ref="E95">INDEX('Master SLS'!$H$2:$H998,MATCH($AL95,'Master SLS'!$K$2:$K998,0))</f>
        <v>#VALUE!</v>
      </c>
      <c r="F95" s="5" t="e">
        <f t="array" ref="F95">INDEX('Master SLS'!$I$2:$I998,MATCH($AL95,'Master SLS'!$K$2:$K998,0))</f>
        <v>#VALUE!</v>
      </c>
      <c r="G95" s="5" t="s">
        <v>965</v>
      </c>
      <c r="H95" s="5" t="s">
        <v>966</v>
      </c>
      <c r="I95" s="5" t="s">
        <v>388</v>
      </c>
      <c r="J95" s="5">
        <v>1</v>
      </c>
      <c r="K95" s="5" t="s">
        <v>967</v>
      </c>
      <c r="L95" s="5">
        <v>61</v>
      </c>
      <c r="M95" s="5">
        <v>4</v>
      </c>
      <c r="N95" s="5">
        <v>110</v>
      </c>
      <c r="O95" s="5">
        <v>2</v>
      </c>
      <c r="P95" s="5" t="s">
        <v>968</v>
      </c>
      <c r="Q95" s="5">
        <v>1</v>
      </c>
      <c r="R95" s="74">
        <v>36673</v>
      </c>
      <c r="T95" s="5">
        <v>0</v>
      </c>
      <c r="U95" s="5">
        <v>1</v>
      </c>
      <c r="V95" s="5">
        <v>1</v>
      </c>
      <c r="W95" s="5">
        <v>4</v>
      </c>
      <c r="X95" s="5">
        <v>3</v>
      </c>
      <c r="AA95" s="5">
        <v>1</v>
      </c>
      <c r="AB95" s="5">
        <v>0</v>
      </c>
      <c r="AC95" s="5">
        <v>1</v>
      </c>
      <c r="AD95" s="5">
        <v>0</v>
      </c>
      <c r="AE95" s="5">
        <v>0</v>
      </c>
      <c r="AF95" s="5">
        <v>0</v>
      </c>
      <c r="AG95" s="5">
        <v>0</v>
      </c>
      <c r="AH95" s="5" t="s">
        <v>969</v>
      </c>
      <c r="AI95" s="5" t="s">
        <v>388</v>
      </c>
      <c r="AJ95" s="5" t="s">
        <v>970</v>
      </c>
      <c r="AK95" s="5">
        <v>610423040023</v>
      </c>
      <c r="AL95" s="5" t="e">
        <f t="shared" si="3"/>
        <v>#VALUE!</v>
      </c>
    </row>
    <row r="96" spans="1:38" ht="12.5">
      <c r="A96" s="10" t="str">
        <f t="shared" si="0"/>
        <v>Dinda Agus Triana</v>
      </c>
      <c r="B96" s="5">
        <f t="shared" si="1"/>
        <v>610422100090</v>
      </c>
      <c r="C96" s="5" t="str">
        <f t="shared" si="2"/>
        <v>DINDA AGUS TRIANA</v>
      </c>
      <c r="D96" s="5" t="s">
        <v>363</v>
      </c>
      <c r="E96" s="5" t="e">
        <f t="array" ref="E96">INDEX('Master SLS'!$H$2:$H998,MATCH($AL96,'Master SLS'!$K$2:$K998,0))</f>
        <v>#VALUE!</v>
      </c>
      <c r="F96" s="5" t="e">
        <f t="array" ref="F96">INDEX('Master SLS'!$I$2:$I998,MATCH($AL96,'Master SLS'!$K$2:$K998,0))</f>
        <v>#VALUE!</v>
      </c>
      <c r="G96" s="5" t="s">
        <v>971</v>
      </c>
      <c r="H96" s="5" t="s">
        <v>972</v>
      </c>
      <c r="I96" s="5" t="s">
        <v>366</v>
      </c>
      <c r="J96" s="5">
        <v>1</v>
      </c>
      <c r="K96" s="5" t="s">
        <v>973</v>
      </c>
      <c r="L96" s="5">
        <v>61</v>
      </c>
      <c r="M96" s="5">
        <v>4</v>
      </c>
      <c r="N96" s="5">
        <v>101</v>
      </c>
      <c r="O96" s="5">
        <v>2</v>
      </c>
      <c r="P96" s="5" t="s">
        <v>974</v>
      </c>
      <c r="Q96" s="5">
        <v>1</v>
      </c>
      <c r="R96" s="7">
        <v>36016</v>
      </c>
      <c r="S96" s="5"/>
      <c r="T96" s="5">
        <v>0</v>
      </c>
      <c r="U96" s="5">
        <v>1</v>
      </c>
      <c r="V96" s="5">
        <v>1</v>
      </c>
      <c r="W96" s="5">
        <v>3</v>
      </c>
      <c r="X96" s="5">
        <v>6</v>
      </c>
      <c r="Y96" s="5"/>
      <c r="AA96" s="5">
        <v>1</v>
      </c>
      <c r="AB96" s="5">
        <v>0</v>
      </c>
      <c r="AC96" s="5">
        <v>1</v>
      </c>
      <c r="AD96" s="5">
        <v>1</v>
      </c>
      <c r="AE96" s="5">
        <v>0</v>
      </c>
      <c r="AF96" s="5">
        <v>0</v>
      </c>
      <c r="AG96" s="5">
        <v>0</v>
      </c>
      <c r="AI96" s="5" t="s">
        <v>366</v>
      </c>
      <c r="AJ96" s="5" t="s">
        <v>975</v>
      </c>
      <c r="AK96" s="5">
        <v>610422100090</v>
      </c>
      <c r="AL96" s="5" t="e">
        <f t="shared" si="3"/>
        <v>#VALUE!</v>
      </c>
    </row>
    <row r="97" spans="1:38" ht="12.5">
      <c r="A97" s="10" t="str">
        <f t="shared" si="0"/>
        <v>Dodi Kurniawan</v>
      </c>
      <c r="B97" s="5">
        <f t="shared" si="1"/>
        <v>610422100096</v>
      </c>
      <c r="C97" s="5" t="str">
        <f t="shared" si="2"/>
        <v>Dodi Kurniawan</v>
      </c>
      <c r="D97" s="5" t="s">
        <v>363</v>
      </c>
      <c r="E97" s="5" t="e">
        <f t="array" ref="E97">INDEX('Master SLS'!$H$2:$H998,MATCH($AL97,'Master SLS'!$K$2:$K998,0))</f>
        <v>#VALUE!</v>
      </c>
      <c r="F97" s="5" t="e">
        <f t="array" ref="F97">INDEX('Master SLS'!$I$2:$I998,MATCH($AL97,'Master SLS'!$K$2:$K998,0))</f>
        <v>#VALUE!</v>
      </c>
      <c r="G97" s="5" t="s">
        <v>976</v>
      </c>
      <c r="H97" s="5" t="s">
        <v>977</v>
      </c>
      <c r="I97" s="5" t="s">
        <v>366</v>
      </c>
      <c r="J97" s="5">
        <v>1</v>
      </c>
      <c r="K97" s="5" t="s">
        <v>978</v>
      </c>
      <c r="L97" s="5">
        <v>61</v>
      </c>
      <c r="M97" s="5">
        <v>4</v>
      </c>
      <c r="N97" s="5">
        <v>91</v>
      </c>
      <c r="O97" s="5">
        <v>6</v>
      </c>
      <c r="P97" s="5" t="s">
        <v>979</v>
      </c>
      <c r="Q97" s="5">
        <v>1</v>
      </c>
      <c r="R97" s="74">
        <v>37285</v>
      </c>
      <c r="S97" s="5" t="s">
        <v>980</v>
      </c>
      <c r="T97" s="5">
        <v>1</v>
      </c>
      <c r="U97" s="5">
        <v>1</v>
      </c>
      <c r="V97" s="5">
        <v>1</v>
      </c>
      <c r="W97" s="5">
        <v>3</v>
      </c>
      <c r="X97" s="5">
        <v>7</v>
      </c>
      <c r="Y97" s="5" t="s">
        <v>981</v>
      </c>
      <c r="AA97" s="5">
        <v>1</v>
      </c>
      <c r="AB97" s="5">
        <v>0</v>
      </c>
      <c r="AC97" s="5">
        <v>0</v>
      </c>
      <c r="AD97" s="5">
        <v>1</v>
      </c>
      <c r="AE97" s="5">
        <v>0</v>
      </c>
      <c r="AF97" s="5">
        <v>0</v>
      </c>
      <c r="AG97" s="5">
        <v>0</v>
      </c>
      <c r="AH97" s="5" t="s">
        <v>982</v>
      </c>
      <c r="AI97" s="5" t="s">
        <v>366</v>
      </c>
      <c r="AJ97" s="5" t="s">
        <v>983</v>
      </c>
      <c r="AK97" s="5">
        <v>610422100096</v>
      </c>
      <c r="AL97" s="5" t="e">
        <f t="shared" si="3"/>
        <v>#VALUE!</v>
      </c>
    </row>
    <row r="98" spans="1:38" ht="12.5">
      <c r="A98" s="10" t="str">
        <f t="shared" si="0"/>
        <v>Domina Apriwinda</v>
      </c>
      <c r="B98" s="5">
        <f t="shared" si="1"/>
        <v>610423110190</v>
      </c>
      <c r="C98" s="5" t="str">
        <f t="shared" si="2"/>
        <v>Domina Apriwinda</v>
      </c>
      <c r="D98" s="5" t="s">
        <v>363</v>
      </c>
      <c r="E98" s="5" t="e">
        <f t="array" ref="E98">INDEX('Master SLS'!$H$2:$H998,MATCH($AL98,'Master SLS'!$K$2:$K998,0))</f>
        <v>#VALUE!</v>
      </c>
      <c r="F98" s="5" t="e">
        <f t="array" ref="F98">INDEX('Master SLS'!$I$2:$I998,MATCH($AL98,'Master SLS'!$K$2:$K998,0))</f>
        <v>#VALUE!</v>
      </c>
      <c r="G98" s="5" t="s">
        <v>984</v>
      </c>
      <c r="H98" s="5" t="s">
        <v>985</v>
      </c>
      <c r="I98" s="5" t="s">
        <v>388</v>
      </c>
      <c r="J98" s="5">
        <v>1</v>
      </c>
      <c r="K98" s="5" t="s">
        <v>986</v>
      </c>
      <c r="L98" s="5">
        <v>61</v>
      </c>
      <c r="M98" s="5">
        <v>4</v>
      </c>
      <c r="N98" s="5">
        <v>120</v>
      </c>
      <c r="O98" s="5">
        <v>5</v>
      </c>
      <c r="P98" s="5" t="s">
        <v>987</v>
      </c>
      <c r="Q98" s="5">
        <v>1</v>
      </c>
      <c r="R98" s="74">
        <v>35893</v>
      </c>
      <c r="T98" s="5">
        <v>0</v>
      </c>
      <c r="U98" s="5">
        <v>3</v>
      </c>
      <c r="V98" s="5">
        <v>2</v>
      </c>
      <c r="W98" s="5">
        <v>5</v>
      </c>
      <c r="X98" s="5">
        <v>4</v>
      </c>
      <c r="AA98" s="5">
        <v>0</v>
      </c>
      <c r="AB98" s="5">
        <v>0</v>
      </c>
      <c r="AC98" s="5">
        <v>0</v>
      </c>
      <c r="AD98" s="5">
        <v>0</v>
      </c>
      <c r="AE98" s="5">
        <v>0</v>
      </c>
      <c r="AF98" s="5">
        <v>0</v>
      </c>
      <c r="AG98" s="5">
        <v>0</v>
      </c>
      <c r="AH98" s="5" t="s">
        <v>988</v>
      </c>
      <c r="AI98" s="5" t="s">
        <v>388</v>
      </c>
      <c r="AJ98" s="5" t="s">
        <v>989</v>
      </c>
      <c r="AK98" s="5">
        <v>610423110190</v>
      </c>
      <c r="AL98" s="5" t="e">
        <f t="shared" si="3"/>
        <v>#VALUE!</v>
      </c>
    </row>
    <row r="99" spans="1:38" ht="12.5">
      <c r="A99" s="10" t="str">
        <f t="shared" si="0"/>
        <v>Donatus Alin</v>
      </c>
      <c r="B99" s="5">
        <f t="shared" si="1"/>
        <v>610422040064</v>
      </c>
      <c r="C99" s="5" t="str">
        <f t="shared" si="2"/>
        <v>Donatus Alin</v>
      </c>
      <c r="D99" s="5" t="s">
        <v>363</v>
      </c>
      <c r="E99" s="5" t="e">
        <f t="array" ref="E99">INDEX('Master SLS'!$H$2:$H998,MATCH($AL99,'Master SLS'!$K$2:$K998,0))</f>
        <v>#VALUE!</v>
      </c>
      <c r="F99" s="5" t="e">
        <f t="array" ref="F99">INDEX('Master SLS'!$I$2:$I998,MATCH($AL99,'Master SLS'!$K$2:$K998,0))</f>
        <v>#VALUE!</v>
      </c>
      <c r="G99" s="5" t="s">
        <v>990</v>
      </c>
      <c r="H99" s="5" t="s">
        <v>991</v>
      </c>
      <c r="I99" s="5" t="s">
        <v>366</v>
      </c>
      <c r="J99" s="5">
        <v>1</v>
      </c>
      <c r="K99" s="5" t="s">
        <v>992</v>
      </c>
      <c r="L99" s="5">
        <v>61</v>
      </c>
      <c r="M99" s="5">
        <v>4</v>
      </c>
      <c r="N99" s="5">
        <v>121</v>
      </c>
      <c r="O99" s="5">
        <v>1</v>
      </c>
      <c r="P99" s="5" t="s">
        <v>993</v>
      </c>
      <c r="Q99" s="5">
        <v>1</v>
      </c>
      <c r="R99" s="74">
        <v>31757</v>
      </c>
      <c r="T99" s="5">
        <v>1</v>
      </c>
      <c r="U99" s="5">
        <v>3</v>
      </c>
      <c r="V99" s="5">
        <v>2</v>
      </c>
      <c r="W99" s="5">
        <v>3</v>
      </c>
      <c r="X99" s="5">
        <v>7</v>
      </c>
      <c r="Y99" s="5" t="s">
        <v>746</v>
      </c>
      <c r="AA99" s="5">
        <v>1</v>
      </c>
      <c r="AB99" s="5">
        <v>1</v>
      </c>
      <c r="AC99" s="5">
        <v>0</v>
      </c>
      <c r="AD99" s="5">
        <v>1</v>
      </c>
      <c r="AE99" s="5">
        <v>1</v>
      </c>
      <c r="AF99" s="5">
        <v>0</v>
      </c>
      <c r="AG99" s="5">
        <v>0</v>
      </c>
      <c r="AI99" s="5" t="s">
        <v>366</v>
      </c>
      <c r="AJ99" s="5" t="s">
        <v>994</v>
      </c>
      <c r="AK99" s="5">
        <v>610422040064</v>
      </c>
      <c r="AL99" s="5" t="e">
        <f t="shared" si="3"/>
        <v>#VALUE!</v>
      </c>
    </row>
    <row r="100" spans="1:38" ht="12.5">
      <c r="A100" s="10" t="str">
        <f t="shared" si="0"/>
        <v>Dussalam</v>
      </c>
      <c r="B100" s="5">
        <f t="shared" si="1"/>
        <v>610422100048</v>
      </c>
      <c r="C100" s="5" t="str">
        <f t="shared" si="2"/>
        <v>DUSSALAM</v>
      </c>
      <c r="D100" s="5" t="s">
        <v>363</v>
      </c>
      <c r="E100" s="5" t="e">
        <f t="array" ref="E100">INDEX('Master SLS'!$H$2:$H998,MATCH($AL100,'Master SLS'!$K$2:$K998,0))</f>
        <v>#VALUE!</v>
      </c>
      <c r="F100" s="5" t="e">
        <f t="array" ref="F100">INDEX('Master SLS'!$I$2:$I998,MATCH($AL100,'Master SLS'!$K$2:$K998,0))</f>
        <v>#VALUE!</v>
      </c>
      <c r="G100" s="5" t="s">
        <v>995</v>
      </c>
      <c r="H100" s="5" t="s">
        <v>996</v>
      </c>
      <c r="I100" s="5" t="s">
        <v>388</v>
      </c>
      <c r="J100" s="5">
        <v>1</v>
      </c>
      <c r="K100" s="5" t="s">
        <v>997</v>
      </c>
      <c r="L100" s="5">
        <v>61</v>
      </c>
      <c r="M100" s="5">
        <v>4</v>
      </c>
      <c r="N100" s="5">
        <v>100</v>
      </c>
      <c r="O100" s="5">
        <v>14</v>
      </c>
      <c r="P100" s="5" t="s">
        <v>998</v>
      </c>
      <c r="Q100" s="5">
        <v>1</v>
      </c>
      <c r="R100" s="74">
        <v>35641</v>
      </c>
      <c r="S100" s="5" t="s">
        <v>999</v>
      </c>
      <c r="T100" s="5">
        <v>1</v>
      </c>
      <c r="U100" s="5">
        <v>1</v>
      </c>
      <c r="V100" s="5">
        <v>2</v>
      </c>
      <c r="W100" s="5">
        <v>5</v>
      </c>
      <c r="X100" s="5">
        <v>5</v>
      </c>
      <c r="AA100" s="5">
        <v>1</v>
      </c>
      <c r="AB100" s="5">
        <v>1</v>
      </c>
      <c r="AC100" s="5">
        <v>1</v>
      </c>
      <c r="AD100" s="5">
        <v>1</v>
      </c>
      <c r="AE100" s="5">
        <v>0</v>
      </c>
      <c r="AF100" s="5">
        <v>0</v>
      </c>
      <c r="AG100" s="5">
        <v>0</v>
      </c>
      <c r="AH100" s="5" t="s">
        <v>1000</v>
      </c>
      <c r="AI100" s="5" t="s">
        <v>388</v>
      </c>
      <c r="AJ100" s="5" t="s">
        <v>996</v>
      </c>
      <c r="AK100" s="5">
        <v>610422100048</v>
      </c>
      <c r="AL100" s="5" t="e">
        <f t="shared" si="3"/>
        <v>#VALUE!</v>
      </c>
    </row>
    <row r="101" spans="1:38" ht="12.5">
      <c r="A101" s="10" t="str">
        <f t="shared" si="0"/>
        <v>Dwi Afrianti</v>
      </c>
      <c r="B101" s="5">
        <f t="shared" si="1"/>
        <v>610423110050</v>
      </c>
      <c r="C101" s="5" t="str">
        <f t="shared" si="2"/>
        <v>Dwi Afrianti</v>
      </c>
      <c r="D101" s="5" t="s">
        <v>363</v>
      </c>
      <c r="E101" s="5" t="e">
        <f t="array" ref="E101">INDEX('Master SLS'!$H$2:$H998,MATCH($AL101,'Master SLS'!$K$2:$K998,0))</f>
        <v>#VALUE!</v>
      </c>
      <c r="F101" s="5" t="e">
        <f t="array" ref="F101">INDEX('Master SLS'!$I$2:$I998,MATCH($AL101,'Master SLS'!$K$2:$K998,0))</f>
        <v>#VALUE!</v>
      </c>
      <c r="G101" s="5" t="s">
        <v>1001</v>
      </c>
      <c r="H101" s="5" t="s">
        <v>1002</v>
      </c>
      <c r="I101" s="5" t="s">
        <v>366</v>
      </c>
      <c r="J101" s="5">
        <v>1</v>
      </c>
      <c r="K101" s="5" t="s">
        <v>1003</v>
      </c>
      <c r="L101" s="5">
        <v>61</v>
      </c>
      <c r="M101" s="5">
        <v>4</v>
      </c>
      <c r="N101" s="5">
        <v>100</v>
      </c>
      <c r="O101" s="5">
        <v>14</v>
      </c>
      <c r="P101" s="5" t="s">
        <v>1004</v>
      </c>
      <c r="Q101" s="5">
        <v>1</v>
      </c>
      <c r="R101" s="7">
        <v>36645</v>
      </c>
      <c r="T101" s="5">
        <v>0</v>
      </c>
      <c r="U101" s="5">
        <v>1</v>
      </c>
      <c r="V101" s="5">
        <v>1</v>
      </c>
      <c r="W101" s="5">
        <v>5</v>
      </c>
      <c r="X101" s="5">
        <v>7</v>
      </c>
      <c r="Y101" s="5" t="s">
        <v>1005</v>
      </c>
      <c r="AA101" s="5">
        <v>0</v>
      </c>
      <c r="AB101" s="5">
        <v>0</v>
      </c>
      <c r="AC101" s="5">
        <v>0</v>
      </c>
      <c r="AD101" s="5">
        <v>0</v>
      </c>
      <c r="AE101" s="5">
        <v>0</v>
      </c>
      <c r="AF101" s="5">
        <v>0</v>
      </c>
      <c r="AG101" s="5">
        <v>0</v>
      </c>
      <c r="AI101" s="5" t="s">
        <v>366</v>
      </c>
      <c r="AJ101" s="5" t="s">
        <v>1006</v>
      </c>
      <c r="AK101" s="5">
        <v>610423110050</v>
      </c>
      <c r="AL101" s="5" t="e">
        <f t="shared" si="3"/>
        <v>#VALUE!</v>
      </c>
    </row>
    <row r="102" spans="1:38" ht="12.5">
      <c r="A102" s="10" t="str">
        <f t="shared" si="0"/>
        <v>Dwi Oktavianto</v>
      </c>
      <c r="B102" s="5">
        <f t="shared" si="1"/>
        <v>610422060009</v>
      </c>
      <c r="C102" s="5" t="str">
        <f t="shared" si="2"/>
        <v>Dwi oktavianto</v>
      </c>
      <c r="D102" s="5" t="s">
        <v>363</v>
      </c>
      <c r="E102" s="5" t="e">
        <f t="array" ref="E102">INDEX('Master SLS'!$H$2:$H998,MATCH($AL102,'Master SLS'!$K$2:$K998,0))</f>
        <v>#VALUE!</v>
      </c>
      <c r="F102" s="5" t="e">
        <f t="array" ref="F102">INDEX('Master SLS'!$I$2:$I998,MATCH($AL102,'Master SLS'!$K$2:$K998,0))</f>
        <v>#VALUE!</v>
      </c>
      <c r="G102" s="5" t="s">
        <v>1007</v>
      </c>
      <c r="H102" s="5" t="s">
        <v>1008</v>
      </c>
      <c r="I102" s="5" t="s">
        <v>366</v>
      </c>
      <c r="J102" s="5">
        <v>1</v>
      </c>
      <c r="K102" s="5" t="s">
        <v>1009</v>
      </c>
      <c r="L102" s="5">
        <v>61</v>
      </c>
      <c r="M102" s="5">
        <v>4</v>
      </c>
      <c r="N102" s="5">
        <v>101</v>
      </c>
      <c r="O102" s="5">
        <v>7</v>
      </c>
      <c r="P102" s="5" t="s">
        <v>1010</v>
      </c>
      <c r="Q102" s="5">
        <v>1</v>
      </c>
      <c r="R102" s="74">
        <v>33521</v>
      </c>
      <c r="T102" s="5">
        <v>1</v>
      </c>
      <c r="U102" s="5">
        <v>1</v>
      </c>
      <c r="V102" s="5">
        <v>2</v>
      </c>
      <c r="W102" s="5">
        <v>5</v>
      </c>
      <c r="X102" s="5">
        <v>5</v>
      </c>
      <c r="AA102" s="5">
        <v>0</v>
      </c>
      <c r="AB102" s="5">
        <v>0</v>
      </c>
      <c r="AC102" s="5">
        <v>0</v>
      </c>
      <c r="AD102" s="5">
        <v>0</v>
      </c>
      <c r="AE102" s="5">
        <v>0</v>
      </c>
      <c r="AF102" s="5">
        <v>0</v>
      </c>
      <c r="AG102" s="5">
        <v>0</v>
      </c>
      <c r="AH102" s="5" t="s">
        <v>1011</v>
      </c>
      <c r="AI102" s="5" t="s">
        <v>366</v>
      </c>
      <c r="AJ102" s="5" t="s">
        <v>1012</v>
      </c>
      <c r="AK102" s="5">
        <v>610422060009</v>
      </c>
      <c r="AL102" s="5" t="e">
        <f t="shared" si="3"/>
        <v>#VALUE!</v>
      </c>
    </row>
    <row r="103" spans="1:38" ht="12.5">
      <c r="A103" s="10" t="str">
        <f t="shared" si="0"/>
        <v>Edi Purnomo</v>
      </c>
      <c r="B103" s="5">
        <f t="shared" si="1"/>
        <v>610423110147</v>
      </c>
      <c r="C103" s="5" t="str">
        <f t="shared" si="2"/>
        <v>Edi purnomo</v>
      </c>
      <c r="D103" s="5" t="s">
        <v>363</v>
      </c>
      <c r="E103" s="5" t="e">
        <f t="array" ref="E103">INDEX('Master SLS'!$H$2:$H998,MATCH($AL103,'Master SLS'!$K$2:$K998,0))</f>
        <v>#VALUE!</v>
      </c>
      <c r="F103" s="5" t="e">
        <f t="array" ref="F103">INDEX('Master SLS'!$I$2:$I998,MATCH($AL103,'Master SLS'!$K$2:$K998,0))</f>
        <v>#VALUE!</v>
      </c>
      <c r="G103" s="5" t="s">
        <v>1013</v>
      </c>
      <c r="H103" s="5" t="s">
        <v>1014</v>
      </c>
      <c r="I103" s="5" t="s">
        <v>366</v>
      </c>
      <c r="J103" s="5">
        <v>1</v>
      </c>
      <c r="K103" s="5" t="s">
        <v>1015</v>
      </c>
      <c r="L103" s="5">
        <v>61</v>
      </c>
      <c r="M103" s="5">
        <v>4</v>
      </c>
      <c r="N103" s="5">
        <v>101</v>
      </c>
      <c r="O103" s="5">
        <v>2</v>
      </c>
      <c r="P103" s="5" t="s">
        <v>1016</v>
      </c>
      <c r="Q103" s="5">
        <v>1</v>
      </c>
      <c r="R103" s="74">
        <v>33404</v>
      </c>
      <c r="T103" s="5">
        <v>1</v>
      </c>
      <c r="U103" s="5">
        <v>1</v>
      </c>
      <c r="V103" s="5">
        <v>2</v>
      </c>
      <c r="W103" s="5">
        <v>3</v>
      </c>
      <c r="X103" s="5">
        <v>7</v>
      </c>
      <c r="Y103" s="5" t="s">
        <v>1017</v>
      </c>
      <c r="AA103" s="5">
        <v>0</v>
      </c>
      <c r="AB103" s="5">
        <v>0</v>
      </c>
      <c r="AC103" s="5">
        <v>0</v>
      </c>
      <c r="AD103" s="5">
        <v>0</v>
      </c>
      <c r="AE103" s="5">
        <v>0</v>
      </c>
      <c r="AF103" s="5">
        <v>0</v>
      </c>
      <c r="AG103" s="5">
        <v>0</v>
      </c>
      <c r="AI103" s="5" t="s">
        <v>366</v>
      </c>
      <c r="AJ103" s="5" t="s">
        <v>1018</v>
      </c>
      <c r="AK103" s="5">
        <v>610423110147</v>
      </c>
      <c r="AL103" s="5" t="e">
        <f t="shared" si="3"/>
        <v>#VALUE!</v>
      </c>
    </row>
    <row r="104" spans="1:38" ht="12.5">
      <c r="A104" s="10" t="str">
        <f t="shared" si="0"/>
        <v>Ela Hamdari</v>
      </c>
      <c r="B104" s="5">
        <f t="shared" si="1"/>
        <v>610422020023</v>
      </c>
      <c r="C104" s="5" t="str">
        <f t="shared" si="2"/>
        <v>Ela Hamdari</v>
      </c>
      <c r="D104" s="5" t="s">
        <v>363</v>
      </c>
      <c r="E104" s="5" t="e">
        <f t="array" ref="E104">INDEX('Master SLS'!$H$2:$H998,MATCH($AL104,'Master SLS'!$K$2:$K998,0))</f>
        <v>#VALUE!</v>
      </c>
      <c r="F104" s="5" t="e">
        <f t="array" ref="F104">INDEX('Master SLS'!$I$2:$I998,MATCH($AL104,'Master SLS'!$K$2:$K998,0))</f>
        <v>#VALUE!</v>
      </c>
      <c r="G104" s="5" t="s">
        <v>1019</v>
      </c>
      <c r="H104" s="5" t="s">
        <v>1020</v>
      </c>
      <c r="I104" s="5" t="s">
        <v>388</v>
      </c>
      <c r="J104" s="5">
        <v>1</v>
      </c>
      <c r="K104" s="5" t="s">
        <v>1021</v>
      </c>
      <c r="L104" s="5">
        <v>61</v>
      </c>
      <c r="M104" s="5">
        <v>4</v>
      </c>
      <c r="N104" s="5">
        <v>80</v>
      </c>
      <c r="O104" s="5">
        <v>2</v>
      </c>
      <c r="P104" s="5" t="s">
        <v>1022</v>
      </c>
      <c r="Q104" s="5">
        <v>1</v>
      </c>
      <c r="R104" s="74">
        <v>36179</v>
      </c>
      <c r="T104" s="5">
        <v>0</v>
      </c>
      <c r="U104" s="5">
        <v>1</v>
      </c>
      <c r="V104" s="5">
        <v>1</v>
      </c>
      <c r="W104" s="5">
        <v>3</v>
      </c>
      <c r="X104" s="5">
        <v>7</v>
      </c>
      <c r="Y104" s="5" t="s">
        <v>647</v>
      </c>
      <c r="AA104" s="5">
        <v>1</v>
      </c>
      <c r="AB104" s="5">
        <v>1</v>
      </c>
      <c r="AC104" s="5">
        <v>1</v>
      </c>
      <c r="AD104" s="5">
        <v>1</v>
      </c>
      <c r="AE104" s="5">
        <v>0</v>
      </c>
      <c r="AF104" s="5">
        <v>0</v>
      </c>
      <c r="AG104" s="5">
        <v>0</v>
      </c>
      <c r="AH104" s="5" t="s">
        <v>1023</v>
      </c>
      <c r="AI104" s="5" t="s">
        <v>388</v>
      </c>
      <c r="AJ104" s="5" t="s">
        <v>1024</v>
      </c>
      <c r="AK104" s="5">
        <v>610422020023</v>
      </c>
      <c r="AL104" s="5" t="e">
        <f t="shared" si="3"/>
        <v>#VALUE!</v>
      </c>
    </row>
    <row r="105" spans="1:38" ht="12.5">
      <c r="A105" s="10" t="str">
        <f t="shared" si="0"/>
        <v>Eligia Giok</v>
      </c>
      <c r="B105" s="5">
        <f t="shared" si="1"/>
        <v>610422100043</v>
      </c>
      <c r="C105" s="5" t="str">
        <f t="shared" si="2"/>
        <v>eligia giok</v>
      </c>
      <c r="D105" s="5" t="s">
        <v>363</v>
      </c>
      <c r="E105" s="5" t="e">
        <f t="array" ref="E105">INDEX('Master SLS'!$H$2:$H998,MATCH($AL105,'Master SLS'!$K$2:$K998,0))</f>
        <v>#VALUE!</v>
      </c>
      <c r="F105" s="5" t="e">
        <f t="array" ref="F105">INDEX('Master SLS'!$I$2:$I998,MATCH($AL105,'Master SLS'!$K$2:$K998,0))</f>
        <v>#VALUE!</v>
      </c>
      <c r="G105" s="5" t="s">
        <v>1025</v>
      </c>
      <c r="H105" s="5" t="s">
        <v>1026</v>
      </c>
      <c r="I105" s="5" t="s">
        <v>388</v>
      </c>
      <c r="J105" s="5">
        <v>1</v>
      </c>
      <c r="K105" s="5" t="s">
        <v>1027</v>
      </c>
      <c r="L105" s="5">
        <v>61</v>
      </c>
      <c r="M105" s="5">
        <v>4</v>
      </c>
      <c r="N105" s="5">
        <v>91</v>
      </c>
      <c r="O105" s="5">
        <v>5</v>
      </c>
      <c r="P105" s="5" t="s">
        <v>1028</v>
      </c>
      <c r="Q105" s="5">
        <v>1</v>
      </c>
      <c r="R105" s="74">
        <v>36876</v>
      </c>
      <c r="T105" s="5">
        <v>0</v>
      </c>
      <c r="U105" s="5">
        <v>3</v>
      </c>
      <c r="V105" s="5">
        <v>1</v>
      </c>
      <c r="W105" s="5">
        <v>4</v>
      </c>
      <c r="X105" s="5">
        <v>7</v>
      </c>
      <c r="Y105" s="5" t="s">
        <v>369</v>
      </c>
      <c r="AA105" s="5">
        <v>1</v>
      </c>
      <c r="AB105" s="5">
        <v>1</v>
      </c>
      <c r="AC105" s="5">
        <v>1</v>
      </c>
      <c r="AD105" s="5">
        <v>1</v>
      </c>
      <c r="AE105" s="5">
        <v>0</v>
      </c>
      <c r="AF105" s="5">
        <v>1</v>
      </c>
      <c r="AG105" s="5">
        <v>0</v>
      </c>
      <c r="AH105" s="5" t="s">
        <v>1029</v>
      </c>
      <c r="AI105" s="5" t="s">
        <v>388</v>
      </c>
      <c r="AJ105" s="5">
        <v>20001216</v>
      </c>
      <c r="AK105" s="5">
        <v>610422100043</v>
      </c>
      <c r="AL105" s="5" t="e">
        <f t="shared" si="3"/>
        <v>#VALUE!</v>
      </c>
    </row>
    <row r="106" spans="1:38" ht="12.5">
      <c r="A106" s="10" t="str">
        <f t="shared" si="0"/>
        <v>Ella Febriyanti</v>
      </c>
      <c r="B106" s="5">
        <f t="shared" si="1"/>
        <v>610423090030</v>
      </c>
      <c r="C106" s="5" t="str">
        <f t="shared" si="2"/>
        <v>Ella febriyanti</v>
      </c>
      <c r="D106" s="5" t="s">
        <v>363</v>
      </c>
      <c r="E106" s="5" t="e">
        <f t="array" ref="E106">INDEX('Master SLS'!$H$2:$H998,MATCH($AL106,'Master SLS'!$K$2:$K998,0))</f>
        <v>#VALUE!</v>
      </c>
      <c r="F106" s="5" t="e">
        <f t="array" ref="F106">INDEX('Master SLS'!$I$2:$I998,MATCH($AL106,'Master SLS'!$K$2:$K998,0))</f>
        <v>#VALUE!</v>
      </c>
      <c r="G106" s="5" t="s">
        <v>1030</v>
      </c>
      <c r="H106" s="5" t="s">
        <v>1031</v>
      </c>
      <c r="I106" s="5" t="s">
        <v>366</v>
      </c>
      <c r="J106" s="5">
        <v>1</v>
      </c>
      <c r="K106" s="5" t="s">
        <v>1032</v>
      </c>
      <c r="L106" s="5">
        <v>61</v>
      </c>
      <c r="M106" s="5">
        <v>4</v>
      </c>
      <c r="N106" s="5">
        <v>90</v>
      </c>
      <c r="O106" s="5">
        <v>4</v>
      </c>
      <c r="P106" s="5" t="s">
        <v>1033</v>
      </c>
      <c r="Q106" s="5">
        <v>1</v>
      </c>
      <c r="R106" s="74">
        <v>37671</v>
      </c>
      <c r="T106" s="5">
        <v>0</v>
      </c>
      <c r="U106" s="5">
        <v>1</v>
      </c>
      <c r="V106" s="5">
        <v>1</v>
      </c>
      <c r="W106" s="5">
        <v>3</v>
      </c>
      <c r="X106" s="5">
        <v>6</v>
      </c>
      <c r="Y106" s="5"/>
      <c r="AA106" s="5">
        <v>1</v>
      </c>
      <c r="AB106" s="5">
        <v>1</v>
      </c>
      <c r="AC106" s="5">
        <v>0</v>
      </c>
      <c r="AD106" s="5">
        <v>0</v>
      </c>
      <c r="AE106" s="5">
        <v>1</v>
      </c>
      <c r="AF106" s="5">
        <v>1</v>
      </c>
      <c r="AG106" s="5">
        <v>0</v>
      </c>
      <c r="AI106" s="5" t="s">
        <v>366</v>
      </c>
      <c r="AJ106" s="5" t="s">
        <v>1034</v>
      </c>
      <c r="AK106" s="5">
        <v>610423090030</v>
      </c>
      <c r="AL106" s="5" t="e">
        <f t="shared" si="3"/>
        <v>#VALUE!</v>
      </c>
    </row>
    <row r="107" spans="1:38" ht="12.5">
      <c r="A107" s="10" t="str">
        <f t="shared" si="0"/>
        <v>Elma</v>
      </c>
      <c r="B107" s="5">
        <f t="shared" si="1"/>
        <v>610422100162</v>
      </c>
      <c r="C107" s="5" t="str">
        <f t="shared" si="2"/>
        <v>ELMA</v>
      </c>
      <c r="D107" s="5" t="s">
        <v>363</v>
      </c>
      <c r="E107" s="5" t="e">
        <f t="array" ref="E107">INDEX('Master SLS'!$H$2:$H998,MATCH($AL107,'Master SLS'!$K$2:$K998,0))</f>
        <v>#VALUE!</v>
      </c>
      <c r="F107" s="5" t="e">
        <f t="array" ref="F107">INDEX('Master SLS'!$I$2:$I998,MATCH($AL107,'Master SLS'!$K$2:$K998,0))</f>
        <v>#VALUE!</v>
      </c>
      <c r="G107" s="5" t="s">
        <v>1035</v>
      </c>
      <c r="H107" s="5" t="s">
        <v>1036</v>
      </c>
      <c r="I107" s="5" t="s">
        <v>366</v>
      </c>
      <c r="J107" s="5">
        <v>1</v>
      </c>
      <c r="K107" s="5" t="s">
        <v>1037</v>
      </c>
      <c r="L107" s="5">
        <v>61</v>
      </c>
      <c r="M107" s="5">
        <v>4</v>
      </c>
      <c r="N107" s="5">
        <v>120</v>
      </c>
      <c r="O107" s="5">
        <v>8</v>
      </c>
      <c r="P107" s="5" t="s">
        <v>1038</v>
      </c>
      <c r="Q107" s="5">
        <v>1</v>
      </c>
      <c r="R107" s="74">
        <v>36177</v>
      </c>
      <c r="T107" s="5">
        <v>0</v>
      </c>
      <c r="U107" s="5">
        <v>3</v>
      </c>
      <c r="V107" s="5">
        <v>1</v>
      </c>
      <c r="W107" s="5">
        <v>5</v>
      </c>
      <c r="X107" s="5">
        <v>2</v>
      </c>
      <c r="Y107" s="5"/>
      <c r="AA107" s="5">
        <v>1</v>
      </c>
      <c r="AB107" s="5">
        <v>1</v>
      </c>
      <c r="AC107" s="5">
        <v>1</v>
      </c>
      <c r="AD107" s="5">
        <v>0</v>
      </c>
      <c r="AE107" s="5">
        <v>0</v>
      </c>
      <c r="AF107" s="5">
        <v>0</v>
      </c>
      <c r="AG107" s="5">
        <v>0</v>
      </c>
      <c r="AH107" s="5" t="s">
        <v>1039</v>
      </c>
      <c r="AI107" s="5" t="s">
        <v>366</v>
      </c>
      <c r="AJ107" s="5" t="s">
        <v>1040</v>
      </c>
      <c r="AK107" s="5">
        <v>610422100162</v>
      </c>
      <c r="AL107" s="5" t="e">
        <f t="shared" si="3"/>
        <v>#VALUE!</v>
      </c>
    </row>
    <row r="108" spans="1:38" ht="12.5">
      <c r="A108" s="10" t="str">
        <f t="shared" si="0"/>
        <v>Elman</v>
      </c>
      <c r="B108" s="5">
        <f t="shared" si="1"/>
        <v>610422060001</v>
      </c>
      <c r="C108" s="5" t="str">
        <f t="shared" si="2"/>
        <v>Elman</v>
      </c>
      <c r="D108" s="5" t="s">
        <v>363</v>
      </c>
      <c r="E108" s="5" t="e">
        <f t="array" ref="E108">INDEX('Master SLS'!$H$2:$H998,MATCH($AL108,'Master SLS'!$K$2:$K998,0))</f>
        <v>#VALUE!</v>
      </c>
      <c r="F108" s="5" t="e">
        <f t="array" ref="F108">INDEX('Master SLS'!$I$2:$I998,MATCH($AL108,'Master SLS'!$K$2:$K998,0))</f>
        <v>#VALUE!</v>
      </c>
      <c r="G108" s="5" t="s">
        <v>1041</v>
      </c>
      <c r="H108" s="5" t="s">
        <v>1042</v>
      </c>
      <c r="I108" s="5" t="s">
        <v>366</v>
      </c>
      <c r="J108" s="5">
        <v>1</v>
      </c>
      <c r="K108" s="5" t="s">
        <v>1043</v>
      </c>
      <c r="L108" s="5">
        <v>61</v>
      </c>
      <c r="M108" s="5">
        <v>4</v>
      </c>
      <c r="N108" s="5">
        <v>110</v>
      </c>
      <c r="O108" s="5">
        <v>8</v>
      </c>
      <c r="P108" s="5" t="s">
        <v>1044</v>
      </c>
      <c r="Q108" s="5">
        <v>1</v>
      </c>
      <c r="R108" s="74">
        <v>34977</v>
      </c>
      <c r="T108" s="5">
        <v>1</v>
      </c>
      <c r="U108" s="5">
        <v>1</v>
      </c>
      <c r="V108" s="5">
        <v>1</v>
      </c>
      <c r="W108" s="5">
        <v>3</v>
      </c>
      <c r="X108" s="5">
        <v>6</v>
      </c>
      <c r="AA108" s="5">
        <v>1</v>
      </c>
      <c r="AB108" s="5">
        <v>1</v>
      </c>
      <c r="AC108" s="5">
        <v>1</v>
      </c>
      <c r="AD108" s="5">
        <v>0</v>
      </c>
      <c r="AE108" s="5">
        <v>0</v>
      </c>
      <c r="AF108" s="5">
        <v>0</v>
      </c>
      <c r="AG108" s="5">
        <v>0</v>
      </c>
      <c r="AI108" s="5" t="s">
        <v>366</v>
      </c>
      <c r="AJ108" s="5" t="s">
        <v>1045</v>
      </c>
      <c r="AK108" s="5">
        <v>610422060001</v>
      </c>
      <c r="AL108" s="5" t="e">
        <f t="shared" si="3"/>
        <v>#VALUE!</v>
      </c>
    </row>
    <row r="109" spans="1:38" ht="12.5">
      <c r="A109" s="10" t="str">
        <f t="shared" si="0"/>
        <v>Endang Hidayah</v>
      </c>
      <c r="B109" s="5">
        <f t="shared" si="1"/>
        <v>610423090009</v>
      </c>
      <c r="C109" s="5" t="str">
        <f t="shared" si="2"/>
        <v>Endang hidayah</v>
      </c>
      <c r="D109" s="5" t="s">
        <v>363</v>
      </c>
      <c r="E109" s="5" t="e">
        <f t="array" ref="E109">INDEX('Master SLS'!$H$2:$H998,MATCH($AL109,'Master SLS'!$K$2:$K998,0))</f>
        <v>#VALUE!</v>
      </c>
      <c r="F109" s="5" t="e">
        <f t="array" ref="F109">INDEX('Master SLS'!$I$2:$I998,MATCH($AL109,'Master SLS'!$K$2:$K998,0))</f>
        <v>#VALUE!</v>
      </c>
      <c r="G109" s="5" t="s">
        <v>1046</v>
      </c>
      <c r="H109" s="5" t="s">
        <v>1047</v>
      </c>
      <c r="I109" s="5" t="s">
        <v>366</v>
      </c>
      <c r="J109" s="5">
        <v>1</v>
      </c>
      <c r="K109" s="5" t="s">
        <v>1048</v>
      </c>
      <c r="L109" s="5">
        <v>61</v>
      </c>
      <c r="M109" s="5">
        <v>4</v>
      </c>
      <c r="N109" s="5">
        <v>101</v>
      </c>
      <c r="O109" s="5">
        <v>2</v>
      </c>
      <c r="P109" s="5" t="s">
        <v>1049</v>
      </c>
      <c r="Q109" s="5">
        <v>1</v>
      </c>
      <c r="R109" s="74">
        <v>34063</v>
      </c>
      <c r="S109" s="5" t="s">
        <v>1050</v>
      </c>
      <c r="T109" s="5">
        <v>0</v>
      </c>
      <c r="U109" s="5">
        <v>1</v>
      </c>
      <c r="V109" s="5">
        <v>2</v>
      </c>
      <c r="W109" s="5">
        <v>3</v>
      </c>
      <c r="X109" s="5">
        <v>4</v>
      </c>
      <c r="AA109" s="5">
        <v>0</v>
      </c>
      <c r="AB109" s="5">
        <v>0</v>
      </c>
      <c r="AC109" s="5">
        <v>0</v>
      </c>
      <c r="AD109" s="5">
        <v>0</v>
      </c>
      <c r="AE109" s="5">
        <v>0</v>
      </c>
      <c r="AF109" s="5">
        <v>0</v>
      </c>
      <c r="AG109" s="5">
        <v>0</v>
      </c>
      <c r="AH109" s="5" t="s">
        <v>1051</v>
      </c>
      <c r="AI109" s="5" t="s">
        <v>366</v>
      </c>
      <c r="AJ109" s="5" t="s">
        <v>1052</v>
      </c>
      <c r="AK109" s="5">
        <v>610423090009</v>
      </c>
      <c r="AL109" s="5" t="e">
        <f t="shared" si="3"/>
        <v>#VALUE!</v>
      </c>
    </row>
    <row r="110" spans="1:38" ht="12.5">
      <c r="A110" s="10" t="str">
        <f t="shared" si="0"/>
        <v>Eni Endah Hayati</v>
      </c>
      <c r="B110" s="5">
        <f t="shared" si="1"/>
        <v>610423110170</v>
      </c>
      <c r="C110" s="5" t="str">
        <f t="shared" si="2"/>
        <v>Eni Endah hayati</v>
      </c>
      <c r="D110" s="5" t="s">
        <v>363</v>
      </c>
      <c r="E110" s="5" t="e">
        <f t="array" ref="E110">INDEX('Master SLS'!$H$2:$H998,MATCH($AL110,'Master SLS'!$K$2:$K998,0))</f>
        <v>#VALUE!</v>
      </c>
      <c r="F110" s="5" t="e">
        <f t="array" ref="F110">INDEX('Master SLS'!$I$2:$I998,MATCH($AL110,'Master SLS'!$K$2:$K998,0))</f>
        <v>#VALUE!</v>
      </c>
      <c r="G110" s="5" t="s">
        <v>1053</v>
      </c>
      <c r="H110" s="5" t="s">
        <v>1054</v>
      </c>
      <c r="I110" s="5" t="s">
        <v>388</v>
      </c>
      <c r="J110" s="5">
        <v>1</v>
      </c>
      <c r="K110" s="5" t="s">
        <v>1055</v>
      </c>
      <c r="L110" s="5">
        <v>61</v>
      </c>
      <c r="M110" s="5">
        <v>4</v>
      </c>
      <c r="N110" s="5">
        <v>100</v>
      </c>
      <c r="O110" s="5">
        <v>7</v>
      </c>
      <c r="P110" s="5" t="s">
        <v>1056</v>
      </c>
      <c r="Q110" s="5">
        <v>1</v>
      </c>
      <c r="R110" s="74">
        <v>32680</v>
      </c>
      <c r="S110" s="5" t="s">
        <v>1057</v>
      </c>
      <c r="T110" s="5">
        <v>0</v>
      </c>
      <c r="U110" s="5">
        <v>1</v>
      </c>
      <c r="V110" s="5">
        <v>2</v>
      </c>
      <c r="W110" s="5">
        <v>4</v>
      </c>
      <c r="X110" s="5">
        <v>4</v>
      </c>
      <c r="AA110" s="5">
        <v>0</v>
      </c>
      <c r="AB110" s="5">
        <v>0</v>
      </c>
      <c r="AC110" s="5">
        <v>0</v>
      </c>
      <c r="AD110" s="5">
        <v>0</v>
      </c>
      <c r="AE110" s="5">
        <v>0</v>
      </c>
      <c r="AF110" s="5">
        <v>0</v>
      </c>
      <c r="AG110" s="5">
        <v>0</v>
      </c>
      <c r="AH110" s="5" t="s">
        <v>1058</v>
      </c>
      <c r="AI110" s="5" t="s">
        <v>388</v>
      </c>
      <c r="AJ110" s="5" t="s">
        <v>1059</v>
      </c>
      <c r="AK110" s="5">
        <v>610423110170</v>
      </c>
      <c r="AL110" s="5" t="e">
        <f t="shared" si="3"/>
        <v>#VALUE!</v>
      </c>
    </row>
    <row r="111" spans="1:38" ht="12.5">
      <c r="A111" s="10" t="str">
        <f t="shared" si="0"/>
        <v>Eni Putri</v>
      </c>
      <c r="B111" s="5">
        <f t="shared" si="1"/>
        <v>610423110161</v>
      </c>
      <c r="C111" s="5" t="str">
        <f t="shared" si="2"/>
        <v>Eni Putri</v>
      </c>
      <c r="D111" s="5" t="s">
        <v>363</v>
      </c>
      <c r="E111" s="5" t="e">
        <f t="array" ref="E111">INDEX('Master SLS'!$H$2:$H998,MATCH($AL111,'Master SLS'!$K$2:$K998,0))</f>
        <v>#VALUE!</v>
      </c>
      <c r="F111" s="5" t="e">
        <f t="array" ref="F111">INDEX('Master SLS'!$I$2:$I998,MATCH($AL111,'Master SLS'!$K$2:$K998,0))</f>
        <v>#VALUE!</v>
      </c>
      <c r="G111" s="5" t="s">
        <v>1060</v>
      </c>
      <c r="H111" s="5" t="s">
        <v>1061</v>
      </c>
      <c r="I111" s="5" t="s">
        <v>474</v>
      </c>
      <c r="J111" s="5">
        <v>1</v>
      </c>
      <c r="K111" s="5" t="s">
        <v>1062</v>
      </c>
      <c r="L111" s="5">
        <v>61</v>
      </c>
      <c r="M111" s="5">
        <v>4</v>
      </c>
      <c r="N111" s="5">
        <v>101</v>
      </c>
      <c r="O111" s="5">
        <v>8</v>
      </c>
      <c r="P111" s="5" t="s">
        <v>1063</v>
      </c>
      <c r="Q111" s="5">
        <v>1</v>
      </c>
      <c r="R111" s="74">
        <v>35716</v>
      </c>
      <c r="T111" s="5">
        <v>0</v>
      </c>
      <c r="U111" s="5">
        <v>1</v>
      </c>
      <c r="V111" s="5">
        <v>2</v>
      </c>
      <c r="W111" s="5">
        <v>3</v>
      </c>
      <c r="X111" s="5">
        <v>7</v>
      </c>
      <c r="Y111" s="5" t="s">
        <v>1064</v>
      </c>
      <c r="AA111" s="5">
        <v>0</v>
      </c>
      <c r="AB111" s="5">
        <v>0</v>
      </c>
      <c r="AC111" s="5">
        <v>0</v>
      </c>
      <c r="AD111" s="5">
        <v>0</v>
      </c>
      <c r="AE111" s="5">
        <v>0</v>
      </c>
      <c r="AF111" s="5">
        <v>0</v>
      </c>
      <c r="AG111" s="5">
        <v>0</v>
      </c>
      <c r="AH111" s="5" t="s">
        <v>1065</v>
      </c>
      <c r="AI111" s="5" t="s">
        <v>474</v>
      </c>
      <c r="AJ111" s="5" t="s">
        <v>1066</v>
      </c>
      <c r="AK111" s="5">
        <v>610423110161</v>
      </c>
      <c r="AL111" s="5" t="e">
        <f t="shared" si="3"/>
        <v>#VALUE!</v>
      </c>
    </row>
    <row r="112" spans="1:38" ht="12.5">
      <c r="A112" s="10" t="str">
        <f t="shared" si="0"/>
        <v>Enjel Harini Oktoberiyany</v>
      </c>
      <c r="B112" s="5">
        <f t="shared" si="1"/>
        <v>610422100182</v>
      </c>
      <c r="C112" s="5" t="str">
        <f t="shared" si="2"/>
        <v>ENJEL HARINI OKTOBERIYANY</v>
      </c>
      <c r="D112" s="5" t="s">
        <v>363</v>
      </c>
      <c r="E112" s="5" t="e">
        <f t="array" ref="E112">INDEX('Master SLS'!$H$2:$H998,MATCH($AL112,'Master SLS'!$K$2:$K998,0))</f>
        <v>#VALUE!</v>
      </c>
      <c r="F112" s="5" t="e">
        <f t="array" ref="F112">INDEX('Master SLS'!$I$2:$I998,MATCH($AL112,'Master SLS'!$K$2:$K998,0))</f>
        <v>#VALUE!</v>
      </c>
      <c r="G112" s="5" t="s">
        <v>1067</v>
      </c>
      <c r="H112" s="5" t="s">
        <v>1068</v>
      </c>
      <c r="I112" s="5" t="s">
        <v>366</v>
      </c>
      <c r="J112" s="5">
        <v>1</v>
      </c>
      <c r="K112" s="5" t="s">
        <v>1069</v>
      </c>
      <c r="L112" s="5">
        <v>61</v>
      </c>
      <c r="M112" s="5">
        <v>4</v>
      </c>
      <c r="N112" s="5">
        <v>90</v>
      </c>
      <c r="O112" s="5">
        <v>1</v>
      </c>
      <c r="P112" s="5" t="s">
        <v>1070</v>
      </c>
      <c r="Q112" s="5">
        <v>1</v>
      </c>
      <c r="R112" s="74">
        <v>37530</v>
      </c>
      <c r="T112" s="5">
        <v>0</v>
      </c>
      <c r="U112" s="5">
        <v>1</v>
      </c>
      <c r="V112" s="5">
        <v>1</v>
      </c>
      <c r="W112" s="5">
        <v>3</v>
      </c>
      <c r="X112" s="5">
        <v>7</v>
      </c>
      <c r="Y112" s="5" t="s">
        <v>1071</v>
      </c>
      <c r="AA112" s="5">
        <v>1</v>
      </c>
      <c r="AB112" s="5">
        <v>1</v>
      </c>
      <c r="AC112" s="5">
        <v>0</v>
      </c>
      <c r="AD112" s="5">
        <v>0</v>
      </c>
      <c r="AE112" s="5">
        <v>0</v>
      </c>
      <c r="AF112" s="5">
        <v>0</v>
      </c>
      <c r="AG112" s="5">
        <v>0</v>
      </c>
      <c r="AI112" s="5" t="s">
        <v>366</v>
      </c>
      <c r="AJ112" s="5" t="s">
        <v>1072</v>
      </c>
      <c r="AK112" s="5">
        <v>610422100182</v>
      </c>
      <c r="AL112" s="5" t="e">
        <f t="shared" si="3"/>
        <v>#VALUE!</v>
      </c>
    </row>
    <row r="113" spans="1:38" ht="12.5">
      <c r="A113" s="10" t="str">
        <f t="shared" si="0"/>
        <v>Eny Rohyati</v>
      </c>
      <c r="B113" s="5">
        <f t="shared" si="1"/>
        <v>610423110162</v>
      </c>
      <c r="C113" s="5" t="str">
        <f t="shared" si="2"/>
        <v>eny rohyati</v>
      </c>
      <c r="D113" s="5" t="s">
        <v>363</v>
      </c>
      <c r="E113" s="5" t="e">
        <f t="array" ref="E113">INDEX('Master SLS'!$H$2:$H998,MATCH($AL113,'Master SLS'!$K$2:$K998,0))</f>
        <v>#VALUE!</v>
      </c>
      <c r="F113" s="5" t="e">
        <f t="array" ref="F113">INDEX('Master SLS'!$I$2:$I998,MATCH($AL113,'Master SLS'!$K$2:$K998,0))</f>
        <v>#VALUE!</v>
      </c>
      <c r="G113" s="5" t="s">
        <v>1073</v>
      </c>
      <c r="H113" s="5" t="s">
        <v>1074</v>
      </c>
      <c r="I113" s="5" t="s">
        <v>366</v>
      </c>
      <c r="J113" s="5">
        <v>1</v>
      </c>
      <c r="K113" s="5" t="s">
        <v>1075</v>
      </c>
      <c r="L113" s="5">
        <v>61</v>
      </c>
      <c r="M113" s="5">
        <v>4</v>
      </c>
      <c r="N113" s="5">
        <v>91</v>
      </c>
      <c r="O113" s="5">
        <v>2</v>
      </c>
      <c r="P113" s="5" t="s">
        <v>1076</v>
      </c>
      <c r="Q113" s="5">
        <v>1</v>
      </c>
      <c r="R113" s="74">
        <v>35743</v>
      </c>
      <c r="S113" s="5" t="s">
        <v>1077</v>
      </c>
      <c r="T113" s="5">
        <v>0</v>
      </c>
      <c r="U113" s="5">
        <v>1</v>
      </c>
      <c r="V113" s="5">
        <v>2</v>
      </c>
      <c r="W113" s="5">
        <v>5</v>
      </c>
      <c r="X113" s="5">
        <v>7</v>
      </c>
      <c r="Y113" s="5" t="s">
        <v>1078</v>
      </c>
      <c r="AA113" s="5">
        <v>1</v>
      </c>
      <c r="AB113" s="5">
        <v>0</v>
      </c>
      <c r="AC113" s="5">
        <v>1</v>
      </c>
      <c r="AD113" s="5">
        <v>0</v>
      </c>
      <c r="AE113" s="5">
        <v>0</v>
      </c>
      <c r="AF113" s="5">
        <v>0</v>
      </c>
      <c r="AG113" s="5">
        <v>0</v>
      </c>
      <c r="AH113" s="5" t="s">
        <v>1079</v>
      </c>
      <c r="AI113" s="5" t="s">
        <v>366</v>
      </c>
      <c r="AJ113" s="5" t="s">
        <v>1080</v>
      </c>
      <c r="AK113" s="5">
        <v>610423110162</v>
      </c>
      <c r="AL113" s="5" t="e">
        <f t="shared" si="3"/>
        <v>#VALUE!</v>
      </c>
    </row>
    <row r="114" spans="1:38" ht="12.5">
      <c r="A114" s="10" t="str">
        <f t="shared" si="0"/>
        <v>Erlina Rivonni Kristiyanti</v>
      </c>
      <c r="B114" s="5">
        <f t="shared" si="1"/>
        <v>332022020038</v>
      </c>
      <c r="C114" s="5" t="str">
        <f t="shared" si="2"/>
        <v>Erlina Rivonni Kristiyanti</v>
      </c>
      <c r="D114" s="5" t="s">
        <v>363</v>
      </c>
      <c r="E114" s="5" t="e">
        <f t="array" ref="E114">INDEX('Master SLS'!$H$2:$H998,MATCH($AL114,'Master SLS'!$K$2:$K998,0))</f>
        <v>#VALUE!</v>
      </c>
      <c r="F114" s="5" t="e">
        <f t="array" ref="F114">INDEX('Master SLS'!$I$2:$I998,MATCH($AL114,'Master SLS'!$K$2:$K998,0))</f>
        <v>#VALUE!</v>
      </c>
      <c r="G114" s="5" t="s">
        <v>1081</v>
      </c>
      <c r="H114" s="5" t="s">
        <v>1082</v>
      </c>
      <c r="I114" s="5" t="s">
        <v>388</v>
      </c>
      <c r="J114" s="5">
        <v>1</v>
      </c>
      <c r="K114" s="5" t="s">
        <v>1083</v>
      </c>
      <c r="L114" s="5">
        <v>61</v>
      </c>
      <c r="M114" s="5">
        <v>4</v>
      </c>
      <c r="N114" s="5">
        <v>100</v>
      </c>
      <c r="O114" s="5">
        <v>8</v>
      </c>
      <c r="P114" s="5" t="s">
        <v>1084</v>
      </c>
      <c r="Q114" s="5">
        <v>1</v>
      </c>
      <c r="R114" s="74">
        <v>35023</v>
      </c>
      <c r="S114" s="5" t="s">
        <v>1085</v>
      </c>
      <c r="T114" s="5">
        <v>0</v>
      </c>
      <c r="U114" s="5">
        <v>1</v>
      </c>
      <c r="V114" s="5">
        <v>2</v>
      </c>
      <c r="W114" s="5">
        <v>4</v>
      </c>
      <c r="X114" s="5">
        <v>4</v>
      </c>
      <c r="AA114" s="5">
        <v>1</v>
      </c>
      <c r="AB114" s="5">
        <v>1</v>
      </c>
      <c r="AC114" s="5">
        <v>1</v>
      </c>
      <c r="AD114" s="5">
        <v>0</v>
      </c>
      <c r="AE114" s="5">
        <v>0</v>
      </c>
      <c r="AF114" s="5">
        <v>0</v>
      </c>
      <c r="AG114" s="5">
        <v>0</v>
      </c>
      <c r="AH114" s="5" t="s">
        <v>1086</v>
      </c>
      <c r="AI114" s="5" t="s">
        <v>388</v>
      </c>
      <c r="AJ114" s="5" t="s">
        <v>1087</v>
      </c>
      <c r="AK114" s="5">
        <v>332022020038</v>
      </c>
      <c r="AL114" s="5" t="e">
        <f t="shared" si="3"/>
        <v>#VALUE!</v>
      </c>
    </row>
    <row r="115" spans="1:38" ht="12.5">
      <c r="A115" s="10" t="str">
        <f t="shared" si="0"/>
        <v>Ermi Tiyarni</v>
      </c>
      <c r="B115" s="5">
        <f t="shared" si="1"/>
        <v>610422100108</v>
      </c>
      <c r="C115" s="5" t="str">
        <f t="shared" si="2"/>
        <v>Ermi Tiyarni</v>
      </c>
      <c r="D115" s="5" t="s">
        <v>363</v>
      </c>
      <c r="E115" s="5" t="e">
        <f t="array" ref="E115">INDEX('Master SLS'!$H$2:$H998,MATCH($AL115,'Master SLS'!$K$2:$K998,0))</f>
        <v>#VALUE!</v>
      </c>
      <c r="F115" s="5" t="e">
        <f t="array" ref="F115">INDEX('Master SLS'!$I$2:$I998,MATCH($AL115,'Master SLS'!$K$2:$K998,0))</f>
        <v>#VALUE!</v>
      </c>
      <c r="G115" s="5" t="s">
        <v>1088</v>
      </c>
      <c r="H115" s="5" t="s">
        <v>1089</v>
      </c>
      <c r="I115" s="5" t="s">
        <v>388</v>
      </c>
      <c r="J115" s="5">
        <v>1</v>
      </c>
      <c r="K115" s="5" t="s">
        <v>1090</v>
      </c>
      <c r="L115" s="5">
        <v>61</v>
      </c>
      <c r="M115" s="5">
        <v>4</v>
      </c>
      <c r="N115" s="5">
        <v>100</v>
      </c>
      <c r="O115" s="5">
        <v>7</v>
      </c>
      <c r="P115" s="5" t="s">
        <v>1091</v>
      </c>
      <c r="Q115" s="5">
        <v>1</v>
      </c>
      <c r="R115" s="74">
        <v>36154</v>
      </c>
      <c r="T115" s="5">
        <v>0</v>
      </c>
      <c r="U115" s="5">
        <v>1</v>
      </c>
      <c r="V115" s="5">
        <v>1</v>
      </c>
      <c r="W115" s="5">
        <v>4</v>
      </c>
      <c r="X115" s="5">
        <v>7</v>
      </c>
      <c r="Y115" s="5" t="s">
        <v>1092</v>
      </c>
      <c r="AA115" s="5">
        <v>1</v>
      </c>
      <c r="AB115" s="5">
        <v>0</v>
      </c>
      <c r="AC115" s="5">
        <v>1</v>
      </c>
      <c r="AD115" s="5">
        <v>0</v>
      </c>
      <c r="AE115" s="5">
        <v>0</v>
      </c>
      <c r="AF115" s="5">
        <v>0</v>
      </c>
      <c r="AG115" s="5">
        <v>0</v>
      </c>
      <c r="AI115" s="5" t="s">
        <v>388</v>
      </c>
      <c r="AJ115" s="5" t="s">
        <v>1093</v>
      </c>
      <c r="AK115" s="5">
        <v>610422100108</v>
      </c>
      <c r="AL115" s="5" t="e">
        <f t="shared" si="3"/>
        <v>#VALUE!</v>
      </c>
    </row>
    <row r="116" spans="1:38" ht="12.5">
      <c r="A116" s="10" t="str">
        <f t="shared" si="0"/>
        <v>Erna</v>
      </c>
      <c r="B116" s="5">
        <f t="shared" si="1"/>
        <v>610422100031</v>
      </c>
      <c r="C116" s="5" t="str">
        <f t="shared" si="2"/>
        <v>Erna</v>
      </c>
      <c r="D116" s="5" t="s">
        <v>363</v>
      </c>
      <c r="E116" s="5" t="e">
        <f t="array" ref="E116">INDEX('Master SLS'!$H$2:$H998,MATCH($AL116,'Master SLS'!$K$2:$K998,0))</f>
        <v>#VALUE!</v>
      </c>
      <c r="F116" s="5" t="e">
        <f t="array" ref="F116">INDEX('Master SLS'!$I$2:$I998,MATCH($AL116,'Master SLS'!$K$2:$K998,0))</f>
        <v>#VALUE!</v>
      </c>
      <c r="G116" s="5" t="s">
        <v>1094</v>
      </c>
      <c r="H116" s="5" t="s">
        <v>1095</v>
      </c>
      <c r="I116" s="5" t="s">
        <v>366</v>
      </c>
      <c r="J116" s="5">
        <v>1</v>
      </c>
      <c r="K116" s="5" t="s">
        <v>1096</v>
      </c>
      <c r="L116" s="5">
        <v>61</v>
      </c>
      <c r="M116" s="5">
        <v>4</v>
      </c>
      <c r="N116" s="5">
        <v>90</v>
      </c>
      <c r="O116" s="5">
        <v>11</v>
      </c>
      <c r="P116" s="5" t="s">
        <v>1097</v>
      </c>
      <c r="Q116" s="5">
        <v>1</v>
      </c>
      <c r="R116" s="7">
        <v>34894</v>
      </c>
      <c r="S116" s="5"/>
      <c r="T116" s="5">
        <v>0</v>
      </c>
      <c r="U116" s="5">
        <v>1</v>
      </c>
      <c r="V116" s="5">
        <v>2</v>
      </c>
      <c r="W116" s="5">
        <v>5</v>
      </c>
      <c r="X116" s="5">
        <v>3</v>
      </c>
      <c r="AA116" s="5">
        <v>1</v>
      </c>
      <c r="AB116" s="5">
        <v>0</v>
      </c>
      <c r="AC116" s="5">
        <v>1</v>
      </c>
      <c r="AD116" s="5">
        <v>1</v>
      </c>
      <c r="AE116" s="5">
        <v>1</v>
      </c>
      <c r="AF116" s="5">
        <v>0</v>
      </c>
      <c r="AG116" s="5">
        <v>0</v>
      </c>
      <c r="AH116" s="5" t="s">
        <v>1098</v>
      </c>
      <c r="AI116" s="5" t="s">
        <v>366</v>
      </c>
      <c r="AJ116" s="5" t="s">
        <v>1099</v>
      </c>
      <c r="AK116" s="5">
        <v>610422100031</v>
      </c>
      <c r="AL116" s="5" t="e">
        <f t="shared" si="3"/>
        <v>#VALUE!</v>
      </c>
    </row>
    <row r="117" spans="1:38" ht="12.5">
      <c r="A117" s="10" t="str">
        <f t="shared" si="0"/>
        <v>Erni Rahayu</v>
      </c>
      <c r="B117" s="5">
        <f t="shared" si="1"/>
        <v>610422040025</v>
      </c>
      <c r="C117" s="5" t="str">
        <f t="shared" si="2"/>
        <v>Erni rahayu</v>
      </c>
      <c r="D117" s="5" t="s">
        <v>363</v>
      </c>
      <c r="E117" s="5" t="e">
        <f t="array" ref="E117">INDEX('Master SLS'!$H$2:$H998,MATCH($AL117,'Master SLS'!$K$2:$K998,0))</f>
        <v>#VALUE!</v>
      </c>
      <c r="F117" s="5" t="e">
        <f t="array" ref="F117">INDEX('Master SLS'!$I$2:$I998,MATCH($AL117,'Master SLS'!$K$2:$K998,0))</f>
        <v>#VALUE!</v>
      </c>
      <c r="G117" s="5" t="s">
        <v>1100</v>
      </c>
      <c r="H117" s="5" t="s">
        <v>1101</v>
      </c>
      <c r="I117" s="5" t="s">
        <v>366</v>
      </c>
      <c r="J117" s="5">
        <v>1</v>
      </c>
      <c r="K117" s="5" t="s">
        <v>1102</v>
      </c>
      <c r="L117" s="5">
        <v>61</v>
      </c>
      <c r="M117" s="5">
        <v>4</v>
      </c>
      <c r="N117" s="5">
        <v>110</v>
      </c>
      <c r="O117" s="5">
        <v>12</v>
      </c>
      <c r="P117" s="5" t="s">
        <v>1103</v>
      </c>
      <c r="Q117" s="5">
        <v>1</v>
      </c>
      <c r="R117" s="74">
        <v>33778</v>
      </c>
      <c r="T117" s="5">
        <v>0</v>
      </c>
      <c r="U117" s="5">
        <v>1</v>
      </c>
      <c r="V117" s="5">
        <v>2</v>
      </c>
      <c r="W117" s="5">
        <v>3</v>
      </c>
      <c r="X117" s="5">
        <v>4</v>
      </c>
      <c r="AA117" s="5">
        <v>1</v>
      </c>
      <c r="AB117" s="5">
        <v>1</v>
      </c>
      <c r="AC117" s="5">
        <v>1</v>
      </c>
      <c r="AD117" s="5">
        <v>0</v>
      </c>
      <c r="AE117" s="5">
        <v>0</v>
      </c>
      <c r="AF117" s="5">
        <v>0</v>
      </c>
      <c r="AG117" s="5">
        <v>0</v>
      </c>
      <c r="AH117" s="5" t="s">
        <v>1104</v>
      </c>
      <c r="AI117" s="5" t="s">
        <v>366</v>
      </c>
      <c r="AJ117" s="5" t="s">
        <v>1105</v>
      </c>
      <c r="AK117" s="5">
        <v>610422040025</v>
      </c>
      <c r="AL117" s="5" t="e">
        <f t="shared" si="3"/>
        <v>#VALUE!</v>
      </c>
    </row>
    <row r="118" spans="1:38" ht="12.5">
      <c r="A118" s="10" t="str">
        <f t="shared" si="0"/>
        <v>Erwita</v>
      </c>
      <c r="B118" s="5">
        <f t="shared" si="1"/>
        <v>610423040009</v>
      </c>
      <c r="C118" s="5" t="str">
        <f t="shared" si="2"/>
        <v>Erwita</v>
      </c>
      <c r="D118" s="5" t="s">
        <v>363</v>
      </c>
      <c r="E118" s="5" t="e">
        <f t="array" ref="E118">INDEX('Master SLS'!$H$2:$H998,MATCH($AL118,'Master SLS'!$K$2:$K998,0))</f>
        <v>#VALUE!</v>
      </c>
      <c r="F118" s="5" t="e">
        <f t="array" ref="F118">INDEX('Master SLS'!$I$2:$I998,MATCH($AL118,'Master SLS'!$K$2:$K998,0))</f>
        <v>#VALUE!</v>
      </c>
      <c r="G118" s="5" t="s">
        <v>1106</v>
      </c>
      <c r="H118" s="5" t="s">
        <v>1107</v>
      </c>
      <c r="I118" s="5" t="s">
        <v>366</v>
      </c>
      <c r="J118" s="5">
        <v>1</v>
      </c>
      <c r="K118" s="5" t="s">
        <v>1108</v>
      </c>
      <c r="L118" s="5">
        <v>61</v>
      </c>
      <c r="M118" s="5">
        <v>4</v>
      </c>
      <c r="N118" s="5">
        <v>81</v>
      </c>
      <c r="O118" s="5">
        <v>6</v>
      </c>
      <c r="P118" s="5" t="s">
        <v>1109</v>
      </c>
      <c r="Q118" s="5">
        <v>1</v>
      </c>
      <c r="R118" s="74">
        <v>30085</v>
      </c>
      <c r="S118" s="5" t="s">
        <v>1110</v>
      </c>
      <c r="T118" s="5">
        <v>0</v>
      </c>
      <c r="U118" s="5">
        <v>1</v>
      </c>
      <c r="V118" s="5">
        <v>2</v>
      </c>
      <c r="W118" s="5">
        <v>3</v>
      </c>
      <c r="X118" s="5">
        <v>4</v>
      </c>
      <c r="AA118" s="5">
        <v>1</v>
      </c>
      <c r="AB118" s="5">
        <v>1</v>
      </c>
      <c r="AC118" s="5">
        <v>1</v>
      </c>
      <c r="AD118" s="5">
        <v>0</v>
      </c>
      <c r="AE118" s="5">
        <v>0</v>
      </c>
      <c r="AF118" s="5">
        <v>0</v>
      </c>
      <c r="AG118" s="5">
        <v>0</v>
      </c>
      <c r="AH118" s="5" t="s">
        <v>1111</v>
      </c>
      <c r="AI118" s="5" t="s">
        <v>366</v>
      </c>
      <c r="AJ118" s="5" t="s">
        <v>1112</v>
      </c>
      <c r="AK118" s="5">
        <v>610423040009</v>
      </c>
      <c r="AL118" s="5" t="e">
        <f t="shared" si="3"/>
        <v>#VALUE!</v>
      </c>
    </row>
    <row r="119" spans="1:38" ht="12.5">
      <c r="A119" s="10" t="str">
        <f t="shared" si="0"/>
        <v>Etri Warniyah, A.Md.Kg</v>
      </c>
      <c r="B119" s="5">
        <f t="shared" si="1"/>
        <v>610423110091</v>
      </c>
      <c r="C119" s="5" t="str">
        <f t="shared" si="2"/>
        <v>Etri warniyah, A.Md.KG</v>
      </c>
      <c r="D119" s="5" t="s">
        <v>363</v>
      </c>
      <c r="E119" s="5" t="e">
        <f t="array" ref="E119">INDEX('Master SLS'!$H$2:$H998,MATCH($AL119,'Master SLS'!$K$2:$K998,0))</f>
        <v>#VALUE!</v>
      </c>
      <c r="F119" s="5" t="e">
        <f t="array" ref="F119">INDEX('Master SLS'!$I$2:$I998,MATCH($AL119,'Master SLS'!$K$2:$K998,0))</f>
        <v>#VALUE!</v>
      </c>
      <c r="G119" s="5" t="s">
        <v>1113</v>
      </c>
      <c r="H119" s="5" t="s">
        <v>1114</v>
      </c>
      <c r="I119" s="5" t="s">
        <v>366</v>
      </c>
      <c r="J119" s="5">
        <v>1</v>
      </c>
      <c r="K119" s="5" t="s">
        <v>1115</v>
      </c>
      <c r="L119" s="5">
        <v>61</v>
      </c>
      <c r="M119" s="5">
        <v>4</v>
      </c>
      <c r="N119" s="5">
        <v>80</v>
      </c>
      <c r="O119" s="5">
        <v>1</v>
      </c>
      <c r="P119" s="5" t="s">
        <v>1116</v>
      </c>
      <c r="Q119" s="5">
        <v>1</v>
      </c>
      <c r="R119" s="74">
        <v>31901</v>
      </c>
      <c r="S119" s="5" t="s">
        <v>1117</v>
      </c>
      <c r="T119" s="5">
        <v>0</v>
      </c>
      <c r="U119" s="5">
        <v>1</v>
      </c>
      <c r="V119" s="5">
        <v>2</v>
      </c>
      <c r="W119" s="5">
        <v>4</v>
      </c>
      <c r="X119" s="5">
        <v>5</v>
      </c>
      <c r="AA119" s="5">
        <v>0</v>
      </c>
      <c r="AB119" s="5">
        <v>0</v>
      </c>
      <c r="AC119" s="5">
        <v>0</v>
      </c>
      <c r="AD119" s="5">
        <v>0</v>
      </c>
      <c r="AE119" s="5">
        <v>0</v>
      </c>
      <c r="AF119" s="5">
        <v>0</v>
      </c>
      <c r="AG119" s="5">
        <v>0</v>
      </c>
      <c r="AH119" s="5" t="s">
        <v>1118</v>
      </c>
      <c r="AI119" s="5" t="s">
        <v>366</v>
      </c>
      <c r="AJ119" s="5" t="s">
        <v>1119</v>
      </c>
      <c r="AK119" s="5">
        <v>610423110091</v>
      </c>
      <c r="AL119" s="5" t="e">
        <f t="shared" si="3"/>
        <v>#VALUE!</v>
      </c>
    </row>
    <row r="120" spans="1:38" ht="12.5">
      <c r="A120" s="10" t="str">
        <f t="shared" si="0"/>
        <v>Eva Fitria</v>
      </c>
      <c r="B120" s="5">
        <f t="shared" si="1"/>
        <v>610423110116</v>
      </c>
      <c r="C120" s="5" t="str">
        <f t="shared" si="2"/>
        <v>Eva Fitria</v>
      </c>
      <c r="D120" s="5" t="s">
        <v>363</v>
      </c>
      <c r="E120" s="5" t="e">
        <f t="array" ref="E120">INDEX('Master SLS'!$H$2:$H998,MATCH($AL120,'Master SLS'!$K$2:$K998,0))</f>
        <v>#VALUE!</v>
      </c>
      <c r="F120" s="5" t="e">
        <f t="array" ref="F120">INDEX('Master SLS'!$I$2:$I998,MATCH($AL120,'Master SLS'!$K$2:$K998,0))</f>
        <v>#VALUE!</v>
      </c>
      <c r="G120" s="5" t="s">
        <v>1120</v>
      </c>
      <c r="H120" s="5" t="s">
        <v>1121</v>
      </c>
      <c r="I120" s="5" t="s">
        <v>366</v>
      </c>
      <c r="J120" s="5">
        <v>1</v>
      </c>
      <c r="K120" s="5" t="s">
        <v>1122</v>
      </c>
      <c r="L120" s="5">
        <v>61</v>
      </c>
      <c r="M120" s="5">
        <v>4</v>
      </c>
      <c r="N120" s="5">
        <v>120</v>
      </c>
      <c r="O120" s="5">
        <v>8</v>
      </c>
      <c r="P120" s="5" t="s">
        <v>1123</v>
      </c>
      <c r="Q120" s="5">
        <v>1</v>
      </c>
      <c r="R120" s="74">
        <v>35961</v>
      </c>
      <c r="T120" s="5">
        <v>0</v>
      </c>
      <c r="U120" s="5">
        <v>1</v>
      </c>
      <c r="V120" s="5">
        <v>1</v>
      </c>
      <c r="W120" s="5">
        <v>5</v>
      </c>
      <c r="X120" s="5">
        <v>7</v>
      </c>
      <c r="Y120" s="5" t="s">
        <v>1124</v>
      </c>
      <c r="AA120" s="5">
        <v>1</v>
      </c>
      <c r="AB120" s="5">
        <v>1</v>
      </c>
      <c r="AC120" s="5">
        <v>0</v>
      </c>
      <c r="AD120" s="5">
        <v>0</v>
      </c>
      <c r="AE120" s="5">
        <v>0</v>
      </c>
      <c r="AF120" s="5">
        <v>0</v>
      </c>
      <c r="AG120" s="5">
        <v>0</v>
      </c>
      <c r="AH120" s="5" t="s">
        <v>1125</v>
      </c>
      <c r="AI120" s="5" t="s">
        <v>366</v>
      </c>
      <c r="AJ120" s="5" t="s">
        <v>1126</v>
      </c>
      <c r="AK120" s="5">
        <v>610423110116</v>
      </c>
      <c r="AL120" s="5" t="e">
        <f t="shared" si="3"/>
        <v>#VALUE!</v>
      </c>
    </row>
    <row r="121" spans="1:38" ht="12.5">
      <c r="A121" s="10" t="str">
        <f t="shared" si="0"/>
        <v>Evi Juniarty</v>
      </c>
      <c r="B121" s="5">
        <f t="shared" si="1"/>
        <v>610422050001</v>
      </c>
      <c r="C121" s="5" t="str">
        <f t="shared" si="2"/>
        <v>EVI JUNIARTY</v>
      </c>
      <c r="D121" s="5" t="s">
        <v>363</v>
      </c>
      <c r="E121" s="5" t="e">
        <f t="array" ref="E121">INDEX('Master SLS'!$H$2:$H998,MATCH($AL121,'Master SLS'!$K$2:$K998,0))</f>
        <v>#VALUE!</v>
      </c>
      <c r="F121" s="5" t="e">
        <f t="array" ref="F121">INDEX('Master SLS'!$I$2:$I998,MATCH($AL121,'Master SLS'!$K$2:$K998,0))</f>
        <v>#VALUE!</v>
      </c>
      <c r="G121" s="5" t="s">
        <v>1127</v>
      </c>
      <c r="H121" s="5" t="s">
        <v>1128</v>
      </c>
      <c r="I121" s="5" t="s">
        <v>366</v>
      </c>
      <c r="J121" s="5">
        <v>1</v>
      </c>
      <c r="K121" s="5" t="s">
        <v>1129</v>
      </c>
      <c r="L121" s="5">
        <v>61</v>
      </c>
      <c r="M121" s="5">
        <v>4</v>
      </c>
      <c r="N121" s="5">
        <v>91</v>
      </c>
      <c r="O121" s="5">
        <v>2</v>
      </c>
      <c r="P121" s="5" t="s">
        <v>1130</v>
      </c>
      <c r="Q121" s="5">
        <v>1</v>
      </c>
      <c r="R121" s="74">
        <v>30692</v>
      </c>
      <c r="S121" s="5" t="s">
        <v>1131</v>
      </c>
      <c r="T121" s="5">
        <v>0</v>
      </c>
      <c r="U121" s="5">
        <v>1</v>
      </c>
      <c r="V121" s="5">
        <v>2</v>
      </c>
      <c r="W121" s="5">
        <v>3</v>
      </c>
      <c r="X121" s="5">
        <v>4</v>
      </c>
      <c r="Y121" s="5"/>
      <c r="AA121" s="5">
        <v>1</v>
      </c>
      <c r="AB121" s="5">
        <v>1</v>
      </c>
      <c r="AC121" s="5">
        <v>1</v>
      </c>
      <c r="AD121" s="5">
        <v>0</v>
      </c>
      <c r="AE121" s="5">
        <v>0</v>
      </c>
      <c r="AF121" s="5">
        <v>0</v>
      </c>
      <c r="AG121" s="5">
        <v>0</v>
      </c>
      <c r="AH121" s="5" t="s">
        <v>1132</v>
      </c>
      <c r="AI121" s="5" t="s">
        <v>366</v>
      </c>
      <c r="AJ121" s="5" t="s">
        <v>1133</v>
      </c>
      <c r="AK121" s="5">
        <v>610422050001</v>
      </c>
      <c r="AL121" s="5" t="e">
        <f t="shared" si="3"/>
        <v>#VALUE!</v>
      </c>
    </row>
    <row r="122" spans="1:38" ht="12.5">
      <c r="A122" s="10" t="str">
        <f t="shared" si="0"/>
        <v>Evi Nurjanah</v>
      </c>
      <c r="B122" s="5">
        <f t="shared" si="1"/>
        <v>610423110130</v>
      </c>
      <c r="C122" s="5" t="str">
        <f t="shared" si="2"/>
        <v>EVI NURJANAH</v>
      </c>
      <c r="D122" s="5" t="s">
        <v>363</v>
      </c>
      <c r="E122" s="5" t="e">
        <f t="array" ref="E122">INDEX('Master SLS'!$H$2:$H998,MATCH($AL122,'Master SLS'!$K$2:$K998,0))</f>
        <v>#VALUE!</v>
      </c>
      <c r="F122" s="5" t="e">
        <f t="array" ref="F122">INDEX('Master SLS'!$I$2:$I998,MATCH($AL122,'Master SLS'!$K$2:$K998,0))</f>
        <v>#VALUE!</v>
      </c>
      <c r="G122" s="5" t="s">
        <v>1134</v>
      </c>
      <c r="H122" s="5" t="s">
        <v>1135</v>
      </c>
      <c r="I122" s="5" t="s">
        <v>474</v>
      </c>
      <c r="J122" s="5">
        <v>1</v>
      </c>
      <c r="K122" s="5" t="s">
        <v>1136</v>
      </c>
      <c r="L122" s="5">
        <v>61</v>
      </c>
      <c r="M122" s="5">
        <v>4</v>
      </c>
      <c r="N122" s="5">
        <v>90</v>
      </c>
      <c r="O122" s="5">
        <v>4</v>
      </c>
      <c r="P122" s="5" t="s">
        <v>1137</v>
      </c>
      <c r="Q122" s="5">
        <v>1</v>
      </c>
      <c r="R122" s="74">
        <v>35279</v>
      </c>
      <c r="S122" s="5" t="s">
        <v>1138</v>
      </c>
      <c r="T122" s="5">
        <v>0</v>
      </c>
      <c r="U122" s="5">
        <v>1</v>
      </c>
      <c r="V122" s="5">
        <v>2</v>
      </c>
      <c r="W122" s="5">
        <v>3</v>
      </c>
      <c r="X122" s="5">
        <v>4</v>
      </c>
      <c r="AA122" s="5">
        <v>0</v>
      </c>
      <c r="AB122" s="5">
        <v>0</v>
      </c>
      <c r="AC122" s="5">
        <v>0</v>
      </c>
      <c r="AD122" s="5">
        <v>0</v>
      </c>
      <c r="AE122" s="5">
        <v>0</v>
      </c>
      <c r="AF122" s="5">
        <v>0</v>
      </c>
      <c r="AG122" s="5">
        <v>0</v>
      </c>
      <c r="AI122" s="5" t="s">
        <v>474</v>
      </c>
      <c r="AJ122" s="5" t="s">
        <v>1139</v>
      </c>
      <c r="AK122" s="5">
        <v>610423110130</v>
      </c>
      <c r="AL122" s="5" t="e">
        <f t="shared" si="3"/>
        <v>#VALUE!</v>
      </c>
    </row>
    <row r="123" spans="1:38" ht="12.5">
      <c r="A123" s="10" t="str">
        <f t="shared" si="0"/>
        <v>Evi Setiana</v>
      </c>
      <c r="B123" s="5">
        <f t="shared" si="1"/>
        <v>610423110153</v>
      </c>
      <c r="C123" s="5" t="str">
        <f t="shared" si="2"/>
        <v>Evi setiana</v>
      </c>
      <c r="D123" s="5" t="s">
        <v>363</v>
      </c>
      <c r="E123" s="5" t="e">
        <f t="array" ref="E123">INDEX('Master SLS'!$H$2:$H998,MATCH($AL123,'Master SLS'!$K$2:$K998,0))</f>
        <v>#VALUE!</v>
      </c>
      <c r="F123" s="5" t="e">
        <f t="array" ref="F123">INDEX('Master SLS'!$I$2:$I998,MATCH($AL123,'Master SLS'!$K$2:$K998,0))</f>
        <v>#VALUE!</v>
      </c>
      <c r="G123" s="5" t="s">
        <v>1140</v>
      </c>
      <c r="H123" s="5" t="s">
        <v>1141</v>
      </c>
      <c r="I123" s="5" t="s">
        <v>388</v>
      </c>
      <c r="J123" s="5">
        <v>1</v>
      </c>
      <c r="K123" s="5" t="s">
        <v>1142</v>
      </c>
      <c r="L123" s="5">
        <v>61</v>
      </c>
      <c r="M123" s="5">
        <v>4</v>
      </c>
      <c r="N123" s="5">
        <v>81</v>
      </c>
      <c r="O123" s="5">
        <v>1</v>
      </c>
      <c r="P123" s="5" t="s">
        <v>1143</v>
      </c>
      <c r="Q123" s="5">
        <v>1</v>
      </c>
      <c r="R123" s="74">
        <v>36641</v>
      </c>
      <c r="S123" s="5"/>
      <c r="T123" s="5">
        <v>0</v>
      </c>
      <c r="U123" s="5">
        <v>1</v>
      </c>
      <c r="V123" s="5">
        <v>1</v>
      </c>
      <c r="W123" s="5">
        <v>4</v>
      </c>
      <c r="X123" s="5">
        <v>6</v>
      </c>
      <c r="Y123" s="5"/>
      <c r="AA123" s="5">
        <v>1</v>
      </c>
      <c r="AB123" s="5">
        <v>1</v>
      </c>
      <c r="AC123" s="5">
        <v>0</v>
      </c>
      <c r="AD123" s="5">
        <v>0</v>
      </c>
      <c r="AE123" s="5">
        <v>0</v>
      </c>
      <c r="AF123" s="5">
        <v>0</v>
      </c>
      <c r="AG123" s="5">
        <v>0</v>
      </c>
      <c r="AI123" s="5" t="s">
        <v>388</v>
      </c>
      <c r="AJ123" s="5" t="s">
        <v>1144</v>
      </c>
      <c r="AK123" s="5">
        <v>610423110153</v>
      </c>
      <c r="AL123" s="5" t="e">
        <f t="shared" si="3"/>
        <v>#VALUE!</v>
      </c>
    </row>
    <row r="124" spans="1:38" ht="12.5">
      <c r="A124" s="10" t="str">
        <f t="shared" si="0"/>
        <v>Evinta</v>
      </c>
      <c r="B124" s="5">
        <f t="shared" si="1"/>
        <v>610423040025</v>
      </c>
      <c r="C124" s="5" t="str">
        <f t="shared" si="2"/>
        <v>Evinta</v>
      </c>
      <c r="D124" s="5" t="s">
        <v>363</v>
      </c>
      <c r="E124" s="5" t="e">
        <f t="array" ref="E124">INDEX('Master SLS'!$H$2:$H998,MATCH($AL124,'Master SLS'!$K$2:$K998,0))</f>
        <v>#VALUE!</v>
      </c>
      <c r="F124" s="5" t="e">
        <f t="array" ref="F124">INDEX('Master SLS'!$I$2:$I998,MATCH($AL124,'Master SLS'!$K$2:$K998,0))</f>
        <v>#VALUE!</v>
      </c>
      <c r="G124" s="5" t="s">
        <v>1145</v>
      </c>
      <c r="H124" s="5" t="s">
        <v>1146</v>
      </c>
      <c r="I124" s="5" t="s">
        <v>366</v>
      </c>
      <c r="J124" s="5">
        <v>1</v>
      </c>
      <c r="K124" s="5" t="s">
        <v>1147</v>
      </c>
      <c r="L124" s="5">
        <v>61</v>
      </c>
      <c r="M124" s="5">
        <v>4</v>
      </c>
      <c r="N124" s="5">
        <v>120</v>
      </c>
      <c r="O124" s="5">
        <v>4</v>
      </c>
      <c r="P124" s="5" t="s">
        <v>1148</v>
      </c>
      <c r="Q124" s="5">
        <v>1</v>
      </c>
      <c r="R124" s="7">
        <v>37261</v>
      </c>
      <c r="T124" s="5">
        <v>0</v>
      </c>
      <c r="U124" s="5">
        <v>3</v>
      </c>
      <c r="V124" s="5">
        <v>1</v>
      </c>
      <c r="W124" s="5">
        <v>4</v>
      </c>
      <c r="X124" s="5">
        <v>3</v>
      </c>
      <c r="Y124" s="5"/>
      <c r="AA124" s="5">
        <v>1</v>
      </c>
      <c r="AB124" s="5">
        <v>0</v>
      </c>
      <c r="AC124" s="5">
        <v>1</v>
      </c>
      <c r="AD124" s="5">
        <v>0</v>
      </c>
      <c r="AE124" s="5">
        <v>0</v>
      </c>
      <c r="AF124" s="5">
        <v>0</v>
      </c>
      <c r="AG124" s="5">
        <v>0</v>
      </c>
      <c r="AI124" s="5" t="s">
        <v>366</v>
      </c>
      <c r="AJ124" s="5" t="s">
        <v>1146</v>
      </c>
      <c r="AK124" s="5">
        <v>610423040025</v>
      </c>
      <c r="AL124" s="5" t="e">
        <f t="shared" si="3"/>
        <v>#VALUE!</v>
      </c>
    </row>
    <row r="125" spans="1:38" ht="12.5">
      <c r="A125" s="10" t="str">
        <f t="shared" si="0"/>
        <v>Fachrur Rozi</v>
      </c>
      <c r="B125" s="5">
        <f t="shared" si="1"/>
        <v>610422040003</v>
      </c>
      <c r="C125" s="5" t="str">
        <f t="shared" si="2"/>
        <v>Fachrur Rozi</v>
      </c>
      <c r="D125" s="5" t="s">
        <v>363</v>
      </c>
      <c r="E125" s="5" t="e">
        <f t="array" ref="E125">INDEX('Master SLS'!$H$2:$H998,MATCH($AL125,'Master SLS'!$K$2:$K998,0))</f>
        <v>#VALUE!</v>
      </c>
      <c r="F125" s="5" t="e">
        <f t="array" ref="F125">INDEX('Master SLS'!$I$2:$I998,MATCH($AL125,'Master SLS'!$K$2:$K998,0))</f>
        <v>#VALUE!</v>
      </c>
      <c r="G125" s="5" t="s">
        <v>1149</v>
      </c>
      <c r="H125" s="5" t="s">
        <v>1150</v>
      </c>
      <c r="I125" s="5" t="s">
        <v>474</v>
      </c>
      <c r="J125" s="5">
        <v>1</v>
      </c>
      <c r="K125" s="5" t="s">
        <v>1151</v>
      </c>
      <c r="L125" s="5">
        <v>61</v>
      </c>
      <c r="M125" s="5">
        <v>4</v>
      </c>
      <c r="N125" s="5">
        <v>100</v>
      </c>
      <c r="O125" s="5">
        <v>7</v>
      </c>
      <c r="P125" s="5" t="s">
        <v>1152</v>
      </c>
      <c r="Q125" s="5">
        <v>1</v>
      </c>
      <c r="R125" s="74">
        <v>34075</v>
      </c>
      <c r="S125" s="5" t="s">
        <v>1153</v>
      </c>
      <c r="T125" s="5">
        <v>1</v>
      </c>
      <c r="U125" s="5">
        <v>1</v>
      </c>
      <c r="V125" s="5">
        <v>1</v>
      </c>
      <c r="W125" s="5">
        <v>5</v>
      </c>
      <c r="X125" s="5">
        <v>7</v>
      </c>
      <c r="Y125" s="5" t="s">
        <v>1154</v>
      </c>
      <c r="AA125" s="5">
        <v>1</v>
      </c>
      <c r="AB125" s="5">
        <v>1</v>
      </c>
      <c r="AC125" s="5">
        <v>0</v>
      </c>
      <c r="AD125" s="5">
        <v>0</v>
      </c>
      <c r="AE125" s="5">
        <v>0</v>
      </c>
      <c r="AF125" s="5">
        <v>0</v>
      </c>
      <c r="AG125" s="5">
        <v>0</v>
      </c>
      <c r="AH125" s="5" t="s">
        <v>1155</v>
      </c>
      <c r="AI125" s="5" t="s">
        <v>474</v>
      </c>
      <c r="AJ125" s="5" t="s">
        <v>1156</v>
      </c>
      <c r="AK125" s="5">
        <v>610422040003</v>
      </c>
      <c r="AL125" s="5" t="e">
        <f t="shared" si="3"/>
        <v>#VALUE!</v>
      </c>
    </row>
    <row r="126" spans="1:38" ht="12.5">
      <c r="A126" s="10" t="str">
        <f t="shared" si="0"/>
        <v>Fairuztia Atiqah Putri</v>
      </c>
      <c r="B126" s="5">
        <f t="shared" si="1"/>
        <v>610423040016</v>
      </c>
      <c r="C126" s="5" t="str">
        <f t="shared" si="2"/>
        <v>Fairuztia Atiqah Putri</v>
      </c>
      <c r="D126" s="5" t="s">
        <v>363</v>
      </c>
      <c r="E126" s="5" t="e">
        <f t="array" ref="E126">INDEX('Master SLS'!$H$2:$H998,MATCH($AL126,'Master SLS'!$K$2:$K998,0))</f>
        <v>#VALUE!</v>
      </c>
      <c r="F126" s="5" t="e">
        <f t="array" ref="F126">INDEX('Master SLS'!$I$2:$I998,MATCH($AL126,'Master SLS'!$K$2:$K998,0))</f>
        <v>#VALUE!</v>
      </c>
      <c r="G126" s="5" t="s">
        <v>1157</v>
      </c>
      <c r="H126" s="5" t="s">
        <v>1158</v>
      </c>
      <c r="I126" s="5" t="s">
        <v>388</v>
      </c>
      <c r="J126" s="5">
        <v>1</v>
      </c>
      <c r="K126" s="5" t="s">
        <v>1159</v>
      </c>
      <c r="L126" s="5">
        <v>61</v>
      </c>
      <c r="M126" s="5">
        <v>4</v>
      </c>
      <c r="N126" s="5">
        <v>100</v>
      </c>
      <c r="O126" s="5">
        <v>7</v>
      </c>
      <c r="P126" s="5" t="s">
        <v>1160</v>
      </c>
      <c r="Q126" s="5">
        <v>1</v>
      </c>
      <c r="R126" s="74">
        <v>37161</v>
      </c>
      <c r="T126" s="5">
        <v>0</v>
      </c>
      <c r="U126" s="5">
        <v>1</v>
      </c>
      <c r="V126" s="5">
        <v>1</v>
      </c>
      <c r="W126" s="5">
        <v>4</v>
      </c>
      <c r="X126" s="5">
        <v>6</v>
      </c>
      <c r="AA126" s="5">
        <v>0</v>
      </c>
      <c r="AB126" s="5">
        <v>0</v>
      </c>
      <c r="AC126" s="5">
        <v>0</v>
      </c>
      <c r="AD126" s="5">
        <v>0</v>
      </c>
      <c r="AE126" s="5">
        <v>0</v>
      </c>
      <c r="AF126" s="5">
        <v>0</v>
      </c>
      <c r="AG126" s="5">
        <v>0</v>
      </c>
      <c r="AH126" s="5" t="s">
        <v>1161</v>
      </c>
      <c r="AI126" s="5" t="s">
        <v>388</v>
      </c>
      <c r="AJ126" s="5" t="s">
        <v>1162</v>
      </c>
      <c r="AK126" s="5">
        <v>610423040016</v>
      </c>
      <c r="AL126" s="5" t="e">
        <f t="shared" si="3"/>
        <v>#VALUE!</v>
      </c>
    </row>
    <row r="127" spans="1:38" ht="12.5">
      <c r="A127" s="10" t="str">
        <f t="shared" si="0"/>
        <v>Fatihudin</v>
      </c>
      <c r="B127" s="5">
        <f t="shared" si="1"/>
        <v>610423110112</v>
      </c>
      <c r="C127" s="5" t="str">
        <f t="shared" si="2"/>
        <v>Fatihudin</v>
      </c>
      <c r="D127" s="5" t="s">
        <v>363</v>
      </c>
      <c r="E127" s="5" t="e">
        <f t="array" ref="E127">INDEX('Master SLS'!$H$2:$H998,MATCH($AL127,'Master SLS'!$K$2:$K998,0))</f>
        <v>#VALUE!</v>
      </c>
      <c r="F127" s="5" t="e">
        <f t="array" ref="F127">INDEX('Master SLS'!$I$2:$I998,MATCH($AL127,'Master SLS'!$K$2:$K998,0))</f>
        <v>#VALUE!</v>
      </c>
      <c r="G127" s="5" t="s">
        <v>1163</v>
      </c>
      <c r="H127" s="5" t="s">
        <v>1164</v>
      </c>
      <c r="I127" s="5" t="s">
        <v>366</v>
      </c>
      <c r="J127" s="5">
        <v>1</v>
      </c>
      <c r="K127" s="5" t="s">
        <v>1165</v>
      </c>
      <c r="L127" s="5">
        <v>61</v>
      </c>
      <c r="M127" s="5">
        <v>4</v>
      </c>
      <c r="N127" s="5">
        <v>90</v>
      </c>
      <c r="O127" s="5">
        <v>8</v>
      </c>
      <c r="P127" s="5" t="s">
        <v>1166</v>
      </c>
      <c r="Q127" s="5">
        <v>1</v>
      </c>
      <c r="R127" s="74">
        <v>34451</v>
      </c>
      <c r="T127" s="5">
        <v>1</v>
      </c>
      <c r="U127" s="5">
        <v>1</v>
      </c>
      <c r="V127" s="5">
        <v>2</v>
      </c>
      <c r="W127" s="5">
        <v>5</v>
      </c>
      <c r="X127" s="5">
        <v>3</v>
      </c>
      <c r="AA127" s="5">
        <v>0</v>
      </c>
      <c r="AB127" s="5">
        <v>0</v>
      </c>
      <c r="AC127" s="5">
        <v>0</v>
      </c>
      <c r="AD127" s="5">
        <v>0</v>
      </c>
      <c r="AE127" s="5">
        <v>0</v>
      </c>
      <c r="AF127" s="5">
        <v>0</v>
      </c>
      <c r="AG127" s="5">
        <v>0</v>
      </c>
      <c r="AH127" s="5" t="s">
        <v>1167</v>
      </c>
      <c r="AI127" s="5" t="s">
        <v>366</v>
      </c>
      <c r="AJ127" s="5" t="s">
        <v>1168</v>
      </c>
      <c r="AK127" s="5">
        <v>610423110112</v>
      </c>
      <c r="AL127" s="5" t="e">
        <f t="shared" si="3"/>
        <v>#VALUE!</v>
      </c>
    </row>
    <row r="128" spans="1:38" ht="12.5">
      <c r="A128" s="10" t="str">
        <f t="shared" si="0"/>
        <v>Fatimah Adeliya</v>
      </c>
      <c r="B128" s="5">
        <f t="shared" si="1"/>
        <v>610423110196</v>
      </c>
      <c r="C128" s="5" t="str">
        <f t="shared" si="2"/>
        <v>Fatimah adeliya</v>
      </c>
      <c r="D128" s="5" t="s">
        <v>363</v>
      </c>
      <c r="E128" s="5" t="e">
        <f t="array" ref="E128">INDEX('Master SLS'!$H$2:$H998,MATCH($AL128,'Master SLS'!$K$2:$K998,0))</f>
        <v>#VALUE!</v>
      </c>
      <c r="F128" s="5" t="e">
        <f t="array" ref="F128">INDEX('Master SLS'!$I$2:$I998,MATCH($AL128,'Master SLS'!$K$2:$K998,0))</f>
        <v>#VALUE!</v>
      </c>
      <c r="G128" s="5" t="s">
        <v>1169</v>
      </c>
      <c r="H128" s="5" t="s">
        <v>1170</v>
      </c>
      <c r="I128" s="5" t="s">
        <v>366</v>
      </c>
      <c r="J128" s="5">
        <v>1</v>
      </c>
      <c r="K128" s="5" t="s">
        <v>1171</v>
      </c>
      <c r="L128" s="5">
        <v>61</v>
      </c>
      <c r="M128" s="5">
        <v>4</v>
      </c>
      <c r="N128" s="5">
        <v>110</v>
      </c>
      <c r="O128" s="5">
        <v>11</v>
      </c>
      <c r="P128" s="5" t="s">
        <v>1172</v>
      </c>
      <c r="Q128" s="5">
        <v>1</v>
      </c>
      <c r="R128" s="7">
        <v>35571</v>
      </c>
      <c r="S128" s="5" t="s">
        <v>1173</v>
      </c>
      <c r="T128" s="5">
        <v>0</v>
      </c>
      <c r="U128" s="5">
        <v>1</v>
      </c>
      <c r="V128" s="5">
        <v>1</v>
      </c>
      <c r="W128" s="5">
        <v>5</v>
      </c>
      <c r="X128" s="5">
        <v>5</v>
      </c>
      <c r="AA128" s="5">
        <v>1</v>
      </c>
      <c r="AB128" s="5">
        <v>1</v>
      </c>
      <c r="AC128" s="5">
        <v>0</v>
      </c>
      <c r="AD128" s="5">
        <v>0</v>
      </c>
      <c r="AE128" s="5">
        <v>0</v>
      </c>
      <c r="AF128" s="5">
        <v>0</v>
      </c>
      <c r="AG128" s="5">
        <v>0</v>
      </c>
      <c r="AH128" s="5" t="s">
        <v>1174</v>
      </c>
      <c r="AI128" s="5" t="s">
        <v>366</v>
      </c>
      <c r="AJ128" s="5" t="s">
        <v>1175</v>
      </c>
      <c r="AK128" s="5">
        <v>610423110196</v>
      </c>
      <c r="AL128" s="5" t="e">
        <f t="shared" si="3"/>
        <v>#VALUE!</v>
      </c>
    </row>
    <row r="129" spans="1:38" ht="12.5">
      <c r="A129" s="10" t="str">
        <f t="shared" si="0"/>
        <v>Fatmawati,S.Hut</v>
      </c>
      <c r="B129" s="5">
        <f t="shared" si="1"/>
        <v>610422100001</v>
      </c>
      <c r="C129" s="5" t="str">
        <f t="shared" si="2"/>
        <v>Fatmawati,S.Hut</v>
      </c>
      <c r="D129" s="5" t="s">
        <v>363</v>
      </c>
      <c r="E129" s="5" t="e">
        <f t="array" ref="E129">INDEX('Master SLS'!$H$2:$H998,MATCH($AL129,'Master SLS'!$K$2:$K998,0))</f>
        <v>#VALUE!</v>
      </c>
      <c r="F129" s="5" t="e">
        <f t="array" ref="F129">INDEX('Master SLS'!$I$2:$I998,MATCH($AL129,'Master SLS'!$K$2:$K998,0))</f>
        <v>#VALUE!</v>
      </c>
      <c r="G129" s="5" t="s">
        <v>1176</v>
      </c>
      <c r="H129" s="5" t="s">
        <v>1177</v>
      </c>
      <c r="I129" s="5" t="s">
        <v>366</v>
      </c>
      <c r="J129" s="5">
        <v>1</v>
      </c>
      <c r="K129" s="5" t="s">
        <v>1178</v>
      </c>
      <c r="L129" s="5">
        <v>61</v>
      </c>
      <c r="M129" s="5">
        <v>4</v>
      </c>
      <c r="N129" s="5">
        <v>90</v>
      </c>
      <c r="O129" s="5">
        <v>11</v>
      </c>
      <c r="P129" s="5" t="s">
        <v>1179</v>
      </c>
      <c r="Q129" s="5">
        <v>1</v>
      </c>
      <c r="R129" s="74">
        <v>30507</v>
      </c>
      <c r="S129" s="5" t="s">
        <v>1180</v>
      </c>
      <c r="T129" s="5">
        <v>0</v>
      </c>
      <c r="U129" s="5">
        <v>1</v>
      </c>
      <c r="V129" s="5">
        <v>2</v>
      </c>
      <c r="W129" s="5">
        <v>5</v>
      </c>
      <c r="X129" s="5">
        <v>4</v>
      </c>
      <c r="AA129" s="5">
        <v>1</v>
      </c>
      <c r="AB129" s="5">
        <v>0</v>
      </c>
      <c r="AC129" s="5">
        <v>1</v>
      </c>
      <c r="AD129" s="5">
        <v>0</v>
      </c>
      <c r="AE129" s="5">
        <v>1</v>
      </c>
      <c r="AF129" s="5">
        <v>0</v>
      </c>
      <c r="AG129" s="5">
        <v>0</v>
      </c>
      <c r="AH129" s="5" t="s">
        <v>1181</v>
      </c>
      <c r="AI129" s="5" t="s">
        <v>366</v>
      </c>
      <c r="AJ129" s="5" t="s">
        <v>1182</v>
      </c>
      <c r="AK129" s="5">
        <v>610422100001</v>
      </c>
      <c r="AL129" s="5" t="e">
        <f t="shared" si="3"/>
        <v>#VALUE!</v>
      </c>
    </row>
    <row r="130" spans="1:38" ht="12.5">
      <c r="A130" s="10" t="str">
        <f t="shared" si="0"/>
        <v>Fenti Indria Febrianti</v>
      </c>
      <c r="B130" s="5">
        <f t="shared" si="1"/>
        <v>610423110098</v>
      </c>
      <c r="C130" s="5" t="str">
        <f t="shared" si="2"/>
        <v>fenti indria febrianti</v>
      </c>
      <c r="D130" s="5" t="s">
        <v>363</v>
      </c>
      <c r="E130" s="5" t="e">
        <f t="array" ref="E130">INDEX('Master SLS'!$H$2:$H998,MATCH($AL130,'Master SLS'!$K$2:$K998,0))</f>
        <v>#VALUE!</v>
      </c>
      <c r="F130" s="5" t="e">
        <f t="array" ref="F130">INDEX('Master SLS'!$I$2:$I998,MATCH($AL130,'Master SLS'!$K$2:$K998,0))</f>
        <v>#VALUE!</v>
      </c>
      <c r="G130" s="5" t="s">
        <v>1183</v>
      </c>
      <c r="H130" s="5" t="s">
        <v>1184</v>
      </c>
      <c r="I130" s="5" t="s">
        <v>366</v>
      </c>
      <c r="J130" s="5">
        <v>1</v>
      </c>
      <c r="K130" s="5" t="s">
        <v>1185</v>
      </c>
      <c r="L130" s="5">
        <v>61</v>
      </c>
      <c r="M130" s="5">
        <v>4</v>
      </c>
      <c r="N130" s="5">
        <v>101</v>
      </c>
      <c r="O130" s="5">
        <v>1</v>
      </c>
      <c r="P130" s="5" t="s">
        <v>1186</v>
      </c>
      <c r="Q130" s="5">
        <v>1</v>
      </c>
      <c r="R130" s="7">
        <v>36203</v>
      </c>
      <c r="S130" s="5" t="s">
        <v>1187</v>
      </c>
      <c r="T130" s="5">
        <v>0</v>
      </c>
      <c r="U130" s="5">
        <v>1</v>
      </c>
      <c r="V130" s="5">
        <v>1</v>
      </c>
      <c r="W130" s="5">
        <v>3</v>
      </c>
      <c r="X130" s="5">
        <v>4</v>
      </c>
      <c r="AA130" s="5">
        <v>0</v>
      </c>
      <c r="AB130" s="5">
        <v>0</v>
      </c>
      <c r="AC130" s="5">
        <v>0</v>
      </c>
      <c r="AD130" s="5">
        <v>0</v>
      </c>
      <c r="AE130" s="5">
        <v>0</v>
      </c>
      <c r="AF130" s="5">
        <v>0</v>
      </c>
      <c r="AG130" s="5">
        <v>0</v>
      </c>
      <c r="AH130" s="5" t="s">
        <v>25</v>
      </c>
      <c r="AI130" s="5" t="s">
        <v>366</v>
      </c>
      <c r="AJ130" s="5" t="s">
        <v>1188</v>
      </c>
      <c r="AK130" s="5">
        <v>610423110098</v>
      </c>
      <c r="AL130" s="5" t="e">
        <f t="shared" si="3"/>
        <v>#VALUE!</v>
      </c>
    </row>
    <row r="131" spans="1:38" ht="12.5">
      <c r="A131" s="10" t="str">
        <f t="shared" si="0"/>
        <v>Feri Firdaus</v>
      </c>
      <c r="B131" s="5">
        <f t="shared" si="1"/>
        <v>610422100176</v>
      </c>
      <c r="C131" s="5" t="str">
        <f t="shared" si="2"/>
        <v>Feri Firdaus</v>
      </c>
      <c r="D131" s="5" t="s">
        <v>363</v>
      </c>
      <c r="E131" s="5" t="e">
        <f t="array" ref="E131">INDEX('Master SLS'!$H$2:$H998,MATCH($AL131,'Master SLS'!$K$2:$K998,0))</f>
        <v>#VALUE!</v>
      </c>
      <c r="F131" s="5" t="e">
        <f t="array" ref="F131">INDEX('Master SLS'!$I$2:$I998,MATCH($AL131,'Master SLS'!$K$2:$K998,0))</f>
        <v>#VALUE!</v>
      </c>
      <c r="G131" s="5" t="s">
        <v>1189</v>
      </c>
      <c r="H131" s="5" t="s">
        <v>1190</v>
      </c>
      <c r="I131" s="5" t="s">
        <v>366</v>
      </c>
      <c r="J131" s="5">
        <v>1</v>
      </c>
      <c r="K131" s="5" t="s">
        <v>1191</v>
      </c>
      <c r="L131" s="5">
        <v>61</v>
      </c>
      <c r="M131" s="5">
        <v>4</v>
      </c>
      <c r="N131" s="5">
        <v>81</v>
      </c>
      <c r="O131" s="5">
        <v>2</v>
      </c>
      <c r="P131" s="5" t="s">
        <v>1192</v>
      </c>
      <c r="Q131" s="5">
        <v>1</v>
      </c>
      <c r="R131" s="7">
        <v>32481</v>
      </c>
      <c r="S131" s="5" t="s">
        <v>1193</v>
      </c>
      <c r="T131" s="5">
        <v>1</v>
      </c>
      <c r="U131" s="5">
        <v>1</v>
      </c>
      <c r="V131" s="5">
        <v>2</v>
      </c>
      <c r="W131" s="5">
        <v>3</v>
      </c>
      <c r="X131" s="5">
        <v>7</v>
      </c>
      <c r="Y131" s="5" t="s">
        <v>1194</v>
      </c>
      <c r="AA131" s="5">
        <v>1</v>
      </c>
      <c r="AB131" s="5">
        <v>1</v>
      </c>
      <c r="AC131" s="5">
        <v>1</v>
      </c>
      <c r="AD131" s="5">
        <v>1</v>
      </c>
      <c r="AE131" s="5">
        <v>1</v>
      </c>
      <c r="AF131" s="5">
        <v>1</v>
      </c>
      <c r="AG131" s="5">
        <v>0</v>
      </c>
      <c r="AI131" s="5" t="s">
        <v>366</v>
      </c>
      <c r="AJ131" s="5" t="s">
        <v>1195</v>
      </c>
      <c r="AK131" s="5">
        <v>610422100176</v>
      </c>
      <c r="AL131" s="5" t="e">
        <f t="shared" si="3"/>
        <v>#VALUE!</v>
      </c>
    </row>
    <row r="132" spans="1:38" ht="12.5">
      <c r="A132" s="10" t="str">
        <f t="shared" si="0"/>
        <v>Fikri Ardiansyah</v>
      </c>
      <c r="B132" s="5">
        <f t="shared" si="1"/>
        <v>610423110182</v>
      </c>
      <c r="C132" s="5" t="str">
        <f t="shared" si="2"/>
        <v>Fikri Ardiansyah</v>
      </c>
      <c r="D132" s="5" t="s">
        <v>363</v>
      </c>
      <c r="E132" s="5" t="e">
        <f t="array" ref="E132">INDEX('Master SLS'!$H$2:$H998,MATCH($AL132,'Master SLS'!$K$2:$K998,0))</f>
        <v>#VALUE!</v>
      </c>
      <c r="F132" s="5" t="e">
        <f t="array" ref="F132">INDEX('Master SLS'!$I$2:$I998,MATCH($AL132,'Master SLS'!$K$2:$K998,0))</f>
        <v>#VALUE!</v>
      </c>
      <c r="G132" s="5" t="s">
        <v>1196</v>
      </c>
      <c r="H132" s="5" t="s">
        <v>1197</v>
      </c>
      <c r="I132" s="5" t="s">
        <v>388</v>
      </c>
      <c r="J132" s="5">
        <v>1</v>
      </c>
      <c r="K132" s="5" t="s">
        <v>1198</v>
      </c>
      <c r="L132" s="5">
        <v>61</v>
      </c>
      <c r="M132" s="5">
        <v>4</v>
      </c>
      <c r="N132" s="5">
        <v>100</v>
      </c>
      <c r="O132" s="5">
        <v>14</v>
      </c>
      <c r="P132" s="5" t="s">
        <v>1199</v>
      </c>
      <c r="Q132" s="5">
        <v>1</v>
      </c>
      <c r="R132" s="74">
        <v>36526</v>
      </c>
      <c r="S132" s="5" t="s">
        <v>1200</v>
      </c>
      <c r="T132" s="5">
        <v>1</v>
      </c>
      <c r="U132" s="5">
        <v>1</v>
      </c>
      <c r="V132" s="5">
        <v>1</v>
      </c>
      <c r="W132" s="5">
        <v>5</v>
      </c>
      <c r="X132" s="5">
        <v>7</v>
      </c>
      <c r="Y132" s="5" t="s">
        <v>1201</v>
      </c>
      <c r="AA132" s="5">
        <v>0</v>
      </c>
      <c r="AB132" s="5">
        <v>0</v>
      </c>
      <c r="AC132" s="5">
        <v>0</v>
      </c>
      <c r="AD132" s="5">
        <v>0</v>
      </c>
      <c r="AE132" s="5">
        <v>0</v>
      </c>
      <c r="AF132" s="5">
        <v>0</v>
      </c>
      <c r="AG132" s="5">
        <v>0</v>
      </c>
      <c r="AH132" s="5" t="s">
        <v>1202</v>
      </c>
      <c r="AI132" s="5" t="s">
        <v>388</v>
      </c>
      <c r="AJ132" s="5" t="s">
        <v>1203</v>
      </c>
      <c r="AK132" s="5">
        <v>610423110182</v>
      </c>
      <c r="AL132" s="5" t="e">
        <f t="shared" si="3"/>
        <v>#VALUE!</v>
      </c>
    </row>
    <row r="133" spans="1:38" ht="12.5">
      <c r="A133" s="10" t="str">
        <f t="shared" si="0"/>
        <v>Fikri Nabil</v>
      </c>
      <c r="B133" s="5">
        <f t="shared" si="1"/>
        <v>610422100068</v>
      </c>
      <c r="C133" s="5" t="str">
        <f t="shared" si="2"/>
        <v>FIKRI NABIL</v>
      </c>
      <c r="D133" s="5" t="s">
        <v>363</v>
      </c>
      <c r="E133" s="5" t="e">
        <f t="array" ref="E133">INDEX('Master SLS'!$H$2:$H998,MATCH($AL133,'Master SLS'!$K$2:$K998,0))</f>
        <v>#VALUE!</v>
      </c>
      <c r="F133" s="5" t="e">
        <f t="array" ref="F133">INDEX('Master SLS'!$I$2:$I998,MATCH($AL133,'Master SLS'!$K$2:$K998,0))</f>
        <v>#VALUE!</v>
      </c>
      <c r="G133" s="5" t="s">
        <v>1204</v>
      </c>
      <c r="H133" s="5" t="s">
        <v>1205</v>
      </c>
      <c r="I133" s="5" t="s">
        <v>366</v>
      </c>
      <c r="J133" s="5">
        <v>1</v>
      </c>
      <c r="K133" s="5" t="s">
        <v>1206</v>
      </c>
      <c r="L133" s="5">
        <v>61</v>
      </c>
      <c r="M133" s="5">
        <v>4</v>
      </c>
      <c r="N133" s="5">
        <v>90</v>
      </c>
      <c r="O133" s="5">
        <v>10</v>
      </c>
      <c r="P133" s="5" t="s">
        <v>1207</v>
      </c>
      <c r="Q133" s="5">
        <v>1</v>
      </c>
      <c r="R133" s="74">
        <v>37307</v>
      </c>
      <c r="T133" s="5">
        <v>1</v>
      </c>
      <c r="U133" s="5">
        <v>1</v>
      </c>
      <c r="V133" s="5">
        <v>1</v>
      </c>
      <c r="W133" s="5">
        <v>3</v>
      </c>
      <c r="X133" s="5">
        <v>6</v>
      </c>
      <c r="AA133" s="5">
        <v>0</v>
      </c>
      <c r="AB133" s="5">
        <v>0</v>
      </c>
      <c r="AC133" s="5">
        <v>0</v>
      </c>
      <c r="AD133" s="5">
        <v>0</v>
      </c>
      <c r="AE133" s="5">
        <v>0</v>
      </c>
      <c r="AF133" s="5">
        <v>0</v>
      </c>
      <c r="AG133" s="5">
        <v>0</v>
      </c>
      <c r="AI133" s="5" t="s">
        <v>366</v>
      </c>
      <c r="AJ133" s="5" t="s">
        <v>1208</v>
      </c>
      <c r="AK133" s="5">
        <v>610422100068</v>
      </c>
      <c r="AL133" s="5" t="e">
        <f t="shared" si="3"/>
        <v>#VALUE!</v>
      </c>
    </row>
    <row r="134" spans="1:38" ht="12.5">
      <c r="A134" s="10" t="str">
        <f t="shared" si="0"/>
        <v>Fitria</v>
      </c>
      <c r="B134" s="5">
        <f t="shared" si="1"/>
        <v>610423110066</v>
      </c>
      <c r="C134" s="5" t="str">
        <f t="shared" si="2"/>
        <v>Fitria</v>
      </c>
      <c r="D134" s="5" t="s">
        <v>363</v>
      </c>
      <c r="E134" s="5" t="e">
        <f t="array" ref="E134">INDEX('Master SLS'!$H$2:$H998,MATCH($AL134,'Master SLS'!$K$2:$K998,0))</f>
        <v>#VALUE!</v>
      </c>
      <c r="F134" s="5" t="e">
        <f t="array" ref="F134">INDEX('Master SLS'!$I$2:$I998,MATCH($AL134,'Master SLS'!$K$2:$K998,0))</f>
        <v>#VALUE!</v>
      </c>
      <c r="G134" s="5" t="s">
        <v>1209</v>
      </c>
      <c r="H134" s="5" t="s">
        <v>1210</v>
      </c>
      <c r="I134" s="5" t="s">
        <v>366</v>
      </c>
      <c r="J134" s="5">
        <v>1</v>
      </c>
      <c r="K134" s="5" t="s">
        <v>1211</v>
      </c>
      <c r="L134" s="5">
        <v>61</v>
      </c>
      <c r="M134" s="5">
        <v>4</v>
      </c>
      <c r="N134" s="5">
        <v>110</v>
      </c>
      <c r="O134" s="5">
        <v>8</v>
      </c>
      <c r="P134" s="5" t="s">
        <v>1212</v>
      </c>
      <c r="Q134" s="5">
        <v>1</v>
      </c>
      <c r="R134" s="7">
        <v>34852</v>
      </c>
      <c r="S134" s="5" t="s">
        <v>1213</v>
      </c>
      <c r="T134" s="5">
        <v>0</v>
      </c>
      <c r="U134" s="5">
        <v>1</v>
      </c>
      <c r="V134" s="5">
        <v>3</v>
      </c>
      <c r="W134" s="5">
        <v>3</v>
      </c>
      <c r="X134" s="5">
        <v>7</v>
      </c>
      <c r="Y134" s="5" t="s">
        <v>1214</v>
      </c>
      <c r="AA134" s="5">
        <v>0</v>
      </c>
      <c r="AB134" s="5">
        <v>0</v>
      </c>
      <c r="AC134" s="5">
        <v>0</v>
      </c>
      <c r="AD134" s="5">
        <v>0</v>
      </c>
      <c r="AE134" s="5">
        <v>0</v>
      </c>
      <c r="AF134" s="5">
        <v>0</v>
      </c>
      <c r="AG134" s="5">
        <v>0</v>
      </c>
      <c r="AH134" s="5"/>
      <c r="AI134" s="5" t="s">
        <v>366</v>
      </c>
      <c r="AJ134" s="5" t="s">
        <v>1215</v>
      </c>
      <c r="AK134" s="5">
        <v>610423110066</v>
      </c>
      <c r="AL134" s="5" t="e">
        <f t="shared" si="3"/>
        <v>#VALUE!</v>
      </c>
    </row>
    <row r="135" spans="1:38" ht="12.5">
      <c r="A135" s="10" t="str">
        <f t="shared" si="0"/>
        <v>Fitrianis</v>
      </c>
      <c r="B135" s="5">
        <f t="shared" si="1"/>
        <v>610423110189</v>
      </c>
      <c r="C135" s="5" t="str">
        <f t="shared" si="2"/>
        <v>Fitrianis</v>
      </c>
      <c r="D135" s="5" t="s">
        <v>363</v>
      </c>
      <c r="E135" s="5" t="e">
        <f t="array" ref="E135">INDEX('Master SLS'!$H$2:$H998,MATCH($AL135,'Master SLS'!$K$2:$K998,0))</f>
        <v>#VALUE!</v>
      </c>
      <c r="F135" s="5" t="e">
        <f t="array" ref="F135">INDEX('Master SLS'!$I$2:$I998,MATCH($AL135,'Master SLS'!$K$2:$K998,0))</f>
        <v>#VALUE!</v>
      </c>
      <c r="G135" s="5" t="s">
        <v>1216</v>
      </c>
      <c r="H135" s="5" t="s">
        <v>1217</v>
      </c>
      <c r="I135" s="5" t="s">
        <v>388</v>
      </c>
      <c r="J135" s="5">
        <v>1</v>
      </c>
      <c r="K135" s="5" t="s">
        <v>1218</v>
      </c>
      <c r="L135" s="5">
        <v>61</v>
      </c>
      <c r="M135" s="5">
        <v>4</v>
      </c>
      <c r="N135" s="5">
        <v>110</v>
      </c>
      <c r="O135" s="5">
        <v>6</v>
      </c>
      <c r="P135" s="5" t="s">
        <v>1219</v>
      </c>
      <c r="Q135" s="5">
        <v>1</v>
      </c>
      <c r="R135" s="74">
        <v>34507</v>
      </c>
      <c r="S135" s="5"/>
      <c r="T135" s="5">
        <v>0</v>
      </c>
      <c r="U135" s="5">
        <v>1</v>
      </c>
      <c r="V135" s="5">
        <v>2</v>
      </c>
      <c r="W135" s="5">
        <v>5</v>
      </c>
      <c r="X135" s="5">
        <v>4</v>
      </c>
      <c r="AA135" s="5">
        <v>0</v>
      </c>
      <c r="AB135" s="5">
        <v>0</v>
      </c>
      <c r="AC135" s="5">
        <v>0</v>
      </c>
      <c r="AD135" s="5">
        <v>0</v>
      </c>
      <c r="AE135" s="5">
        <v>0</v>
      </c>
      <c r="AF135" s="5">
        <v>0</v>
      </c>
      <c r="AG135" s="5">
        <v>0</v>
      </c>
      <c r="AI135" s="5" t="s">
        <v>388</v>
      </c>
      <c r="AJ135" s="5" t="s">
        <v>1220</v>
      </c>
      <c r="AK135" s="5">
        <v>610423110189</v>
      </c>
      <c r="AL135" s="5" t="e">
        <f t="shared" si="3"/>
        <v>#VALUE!</v>
      </c>
    </row>
    <row r="136" spans="1:38" ht="12.5">
      <c r="A136" s="10" t="str">
        <f t="shared" si="0"/>
        <v>Fitrisia Yessi</v>
      </c>
      <c r="B136" s="5">
        <f t="shared" si="1"/>
        <v>610423040003</v>
      </c>
      <c r="C136" s="5" t="str">
        <f t="shared" si="2"/>
        <v>Fitrisia Yessi</v>
      </c>
      <c r="D136" s="5" t="s">
        <v>363</v>
      </c>
      <c r="E136" s="5" t="e">
        <f t="array" ref="E136">INDEX('Master SLS'!$H$2:$H998,MATCH($AL136,'Master SLS'!$K$2:$K998,0))</f>
        <v>#VALUE!</v>
      </c>
      <c r="F136" s="5" t="e">
        <f t="array" ref="F136">INDEX('Master SLS'!$I$2:$I998,MATCH($AL136,'Master SLS'!$K$2:$K998,0))</f>
        <v>#VALUE!</v>
      </c>
      <c r="G136" s="5" t="s">
        <v>1221</v>
      </c>
      <c r="H136" s="5" t="s">
        <v>1222</v>
      </c>
      <c r="I136" s="5" t="s">
        <v>366</v>
      </c>
      <c r="J136" s="5">
        <v>1</v>
      </c>
      <c r="K136" s="5" t="s">
        <v>1223</v>
      </c>
      <c r="L136" s="5">
        <v>61</v>
      </c>
      <c r="M136" s="5">
        <v>4</v>
      </c>
      <c r="N136" s="5">
        <v>120</v>
      </c>
      <c r="O136" s="5">
        <v>3</v>
      </c>
      <c r="P136" s="5" t="s">
        <v>1224</v>
      </c>
      <c r="Q136" s="5">
        <v>1</v>
      </c>
      <c r="R136" s="7">
        <v>36492</v>
      </c>
      <c r="T136" s="5">
        <v>0</v>
      </c>
      <c r="U136" s="5">
        <v>3</v>
      </c>
      <c r="V136" s="5">
        <v>1</v>
      </c>
      <c r="W136" s="5">
        <v>5</v>
      </c>
      <c r="X136" s="5">
        <v>3</v>
      </c>
      <c r="Y136" s="5"/>
      <c r="AA136" s="5">
        <v>1</v>
      </c>
      <c r="AB136" s="5">
        <v>0</v>
      </c>
      <c r="AC136" s="5">
        <v>1</v>
      </c>
      <c r="AD136" s="5">
        <v>0</v>
      </c>
      <c r="AE136" s="5">
        <v>0</v>
      </c>
      <c r="AF136" s="5">
        <v>0</v>
      </c>
      <c r="AG136" s="5">
        <v>0</v>
      </c>
      <c r="AH136" s="5"/>
      <c r="AI136" s="5" t="s">
        <v>366</v>
      </c>
      <c r="AJ136" s="5" t="s">
        <v>1225</v>
      </c>
      <c r="AK136" s="5">
        <v>610423040003</v>
      </c>
      <c r="AL136" s="5" t="e">
        <f t="shared" si="3"/>
        <v>#VALUE!</v>
      </c>
    </row>
    <row r="137" spans="1:38" ht="12.5">
      <c r="A137" s="10" t="str">
        <f t="shared" si="0"/>
        <v>Fladila Saswita</v>
      </c>
      <c r="B137" s="5">
        <f t="shared" si="1"/>
        <v>610422100143</v>
      </c>
      <c r="C137" s="5" t="str">
        <f t="shared" si="2"/>
        <v>Fladila Saswita</v>
      </c>
      <c r="D137" s="5" t="s">
        <v>363</v>
      </c>
      <c r="E137" s="5" t="e">
        <f t="array" ref="E137">INDEX('Master SLS'!$H$2:$H998,MATCH($AL137,'Master SLS'!$K$2:$K998,0))</f>
        <v>#VALUE!</v>
      </c>
      <c r="F137" s="5" t="e">
        <f t="array" ref="F137">INDEX('Master SLS'!$I$2:$I998,MATCH($AL137,'Master SLS'!$K$2:$K998,0))</f>
        <v>#VALUE!</v>
      </c>
      <c r="G137" s="5" t="s">
        <v>1226</v>
      </c>
      <c r="H137" s="5" t="s">
        <v>1227</v>
      </c>
      <c r="I137" s="5" t="s">
        <v>366</v>
      </c>
      <c r="J137" s="5">
        <v>1</v>
      </c>
      <c r="K137" s="5" t="s">
        <v>1228</v>
      </c>
      <c r="L137" s="5">
        <v>61</v>
      </c>
      <c r="M137" s="5">
        <v>4</v>
      </c>
      <c r="N137" s="5">
        <v>101</v>
      </c>
      <c r="O137" s="5">
        <v>5</v>
      </c>
      <c r="P137" s="5" t="s">
        <v>1229</v>
      </c>
      <c r="Q137" s="5">
        <v>1</v>
      </c>
      <c r="R137" s="7">
        <v>37334</v>
      </c>
      <c r="S137" s="5"/>
      <c r="T137" s="5">
        <v>0</v>
      </c>
      <c r="U137" s="5">
        <v>1</v>
      </c>
      <c r="V137" s="5">
        <v>1</v>
      </c>
      <c r="W137" s="5">
        <v>3</v>
      </c>
      <c r="X137" s="5">
        <v>6</v>
      </c>
      <c r="AA137" s="5">
        <v>0</v>
      </c>
      <c r="AB137" s="5">
        <v>0</v>
      </c>
      <c r="AC137" s="5">
        <v>0</v>
      </c>
      <c r="AD137" s="5">
        <v>0</v>
      </c>
      <c r="AE137" s="5">
        <v>0</v>
      </c>
      <c r="AF137" s="5">
        <v>0</v>
      </c>
      <c r="AG137" s="5">
        <v>0</v>
      </c>
      <c r="AH137" s="5" t="s">
        <v>1230</v>
      </c>
      <c r="AI137" s="5" t="s">
        <v>366</v>
      </c>
      <c r="AJ137" s="5" t="s">
        <v>1231</v>
      </c>
      <c r="AK137" s="5">
        <v>610422100143</v>
      </c>
      <c r="AL137" s="5" t="e">
        <f t="shared" si="3"/>
        <v>#VALUE!</v>
      </c>
    </row>
    <row r="138" spans="1:38" ht="12.5">
      <c r="A138" s="10" t="str">
        <f t="shared" si="0"/>
        <v>Fransiska Romana</v>
      </c>
      <c r="B138" s="5">
        <f t="shared" si="1"/>
        <v>610423040014</v>
      </c>
      <c r="C138" s="5" t="str">
        <f t="shared" si="2"/>
        <v>Fransiska romana</v>
      </c>
      <c r="D138" s="5" t="s">
        <v>363</v>
      </c>
      <c r="E138" s="5" t="e">
        <f t="array" ref="E138">INDEX('Master SLS'!$H$2:$H998,MATCH($AL138,'Master SLS'!$K$2:$K998,0))</f>
        <v>#VALUE!</v>
      </c>
      <c r="F138" s="5" t="e">
        <f t="array" ref="F138">INDEX('Master SLS'!$I$2:$I998,MATCH($AL138,'Master SLS'!$K$2:$K998,0))</f>
        <v>#VALUE!</v>
      </c>
      <c r="G138" s="5" t="s">
        <v>1232</v>
      </c>
      <c r="H138" s="5" t="s">
        <v>1233</v>
      </c>
      <c r="I138" s="5" t="s">
        <v>366</v>
      </c>
      <c r="J138" s="5">
        <v>1</v>
      </c>
      <c r="K138" s="5" t="s">
        <v>1234</v>
      </c>
      <c r="L138" s="5">
        <v>61</v>
      </c>
      <c r="M138" s="5">
        <v>4</v>
      </c>
      <c r="N138" s="5">
        <v>120</v>
      </c>
      <c r="O138" s="5">
        <v>9</v>
      </c>
      <c r="P138" s="5" t="s">
        <v>1235</v>
      </c>
      <c r="Q138" s="5">
        <v>1</v>
      </c>
      <c r="R138" s="7">
        <v>33318</v>
      </c>
      <c r="S138" s="5"/>
      <c r="T138" s="5">
        <v>0</v>
      </c>
      <c r="U138" s="5">
        <v>3</v>
      </c>
      <c r="V138" s="5">
        <v>2</v>
      </c>
      <c r="W138" s="5">
        <v>4</v>
      </c>
      <c r="X138" s="5">
        <v>4</v>
      </c>
      <c r="AA138" s="5">
        <v>1</v>
      </c>
      <c r="AB138" s="5">
        <v>0</v>
      </c>
      <c r="AC138" s="5">
        <v>1</v>
      </c>
      <c r="AD138" s="5">
        <v>0</v>
      </c>
      <c r="AE138" s="5">
        <v>0</v>
      </c>
      <c r="AF138" s="5">
        <v>0</v>
      </c>
      <c r="AG138" s="5">
        <v>0</v>
      </c>
      <c r="AI138" s="5" t="s">
        <v>366</v>
      </c>
      <c r="AJ138" s="5" t="s">
        <v>1236</v>
      </c>
      <c r="AK138" s="5">
        <v>610423040014</v>
      </c>
      <c r="AL138" s="5" t="e">
        <f t="shared" si="3"/>
        <v>#VALUE!</v>
      </c>
    </row>
    <row r="139" spans="1:38" ht="12.5">
      <c r="A139" s="10" t="str">
        <f t="shared" si="0"/>
        <v>Geosef Triyana</v>
      </c>
      <c r="B139" s="5">
        <f t="shared" si="1"/>
        <v>610423110059</v>
      </c>
      <c r="C139" s="5" t="str">
        <f t="shared" si="2"/>
        <v>Geosef Triyana</v>
      </c>
      <c r="D139" s="5" t="s">
        <v>363</v>
      </c>
      <c r="E139" s="5" t="e">
        <f t="array" ref="E139">INDEX('Master SLS'!$H$2:$H998,MATCH($AL139,'Master SLS'!$K$2:$K998,0))</f>
        <v>#VALUE!</v>
      </c>
      <c r="F139" s="5" t="e">
        <f t="array" ref="F139">INDEX('Master SLS'!$I$2:$I998,MATCH($AL139,'Master SLS'!$K$2:$K998,0))</f>
        <v>#VALUE!</v>
      </c>
      <c r="G139" s="5" t="s">
        <v>1237</v>
      </c>
      <c r="H139" s="5" t="s">
        <v>1238</v>
      </c>
      <c r="I139" s="5" t="s">
        <v>388</v>
      </c>
      <c r="J139" s="5">
        <v>1</v>
      </c>
      <c r="K139" s="5" t="s">
        <v>1239</v>
      </c>
      <c r="L139" s="5">
        <v>61</v>
      </c>
      <c r="M139" s="5">
        <v>4</v>
      </c>
      <c r="N139" s="5">
        <v>91</v>
      </c>
      <c r="O139" s="5">
        <v>2</v>
      </c>
      <c r="P139" s="5" t="s">
        <v>1240</v>
      </c>
      <c r="Q139" s="5">
        <v>1</v>
      </c>
      <c r="R139" s="7">
        <v>34230</v>
      </c>
      <c r="S139" s="5" t="s">
        <v>1241</v>
      </c>
      <c r="T139" s="5">
        <v>0</v>
      </c>
      <c r="U139" s="5">
        <v>3</v>
      </c>
      <c r="V139" s="5">
        <v>2</v>
      </c>
      <c r="W139" s="5">
        <v>5</v>
      </c>
      <c r="X139" s="5">
        <v>4</v>
      </c>
      <c r="AA139" s="5">
        <v>1</v>
      </c>
      <c r="AB139" s="5">
        <v>1</v>
      </c>
      <c r="AC139" s="5">
        <v>0</v>
      </c>
      <c r="AD139" s="5">
        <v>0</v>
      </c>
      <c r="AE139" s="5">
        <v>0</v>
      </c>
      <c r="AF139" s="5">
        <v>0</v>
      </c>
      <c r="AG139" s="5">
        <v>0</v>
      </c>
      <c r="AI139" s="5" t="s">
        <v>388</v>
      </c>
      <c r="AJ139" s="5" t="s">
        <v>1242</v>
      </c>
      <c r="AK139" s="5">
        <v>610423110059</v>
      </c>
      <c r="AL139" s="5" t="e">
        <f t="shared" si="3"/>
        <v>#VALUE!</v>
      </c>
    </row>
    <row r="140" spans="1:38" ht="12.5">
      <c r="A140" s="10" t="str">
        <f t="shared" si="0"/>
        <v>Gini Aulia</v>
      </c>
      <c r="B140" s="5">
        <f t="shared" si="1"/>
        <v>610423110060</v>
      </c>
      <c r="C140" s="5" t="str">
        <f t="shared" si="2"/>
        <v>Gini Aulia</v>
      </c>
      <c r="D140" s="5" t="s">
        <v>363</v>
      </c>
      <c r="E140" s="5" t="e">
        <f t="array" ref="E140">INDEX('Master SLS'!$H$2:$H998,MATCH($AL140,'Master SLS'!$K$2:$K998,0))</f>
        <v>#VALUE!</v>
      </c>
      <c r="F140" s="5" t="e">
        <f t="array" ref="F140">INDEX('Master SLS'!$I$2:$I998,MATCH($AL140,'Master SLS'!$K$2:$K998,0))</f>
        <v>#VALUE!</v>
      </c>
      <c r="G140" s="5" t="s">
        <v>1243</v>
      </c>
      <c r="H140" s="5" t="s">
        <v>1244</v>
      </c>
      <c r="I140" s="5" t="s">
        <v>366</v>
      </c>
      <c r="J140" s="5">
        <v>1</v>
      </c>
      <c r="K140" s="5" t="s">
        <v>1245</v>
      </c>
      <c r="L140" s="5">
        <v>61</v>
      </c>
      <c r="M140" s="5">
        <v>4</v>
      </c>
      <c r="N140" s="5">
        <v>91</v>
      </c>
      <c r="O140" s="5">
        <v>6</v>
      </c>
      <c r="P140" s="5" t="s">
        <v>1246</v>
      </c>
      <c r="Q140" s="5">
        <v>1</v>
      </c>
      <c r="R140" s="74">
        <v>37611</v>
      </c>
      <c r="S140" s="5"/>
      <c r="T140" s="5">
        <v>0</v>
      </c>
      <c r="U140" s="5">
        <v>1</v>
      </c>
      <c r="V140" s="5">
        <v>1</v>
      </c>
      <c r="W140" s="5">
        <v>3</v>
      </c>
      <c r="X140" s="5">
        <v>5</v>
      </c>
      <c r="AA140" s="5">
        <v>1</v>
      </c>
      <c r="AB140" s="5">
        <v>0</v>
      </c>
      <c r="AC140" s="5">
        <v>0</v>
      </c>
      <c r="AD140" s="5">
        <v>0</v>
      </c>
      <c r="AE140" s="5">
        <v>0</v>
      </c>
      <c r="AF140" s="5">
        <v>0</v>
      </c>
      <c r="AG140" s="5">
        <v>1</v>
      </c>
      <c r="AH140" s="5" t="s">
        <v>1247</v>
      </c>
      <c r="AI140" s="5" t="s">
        <v>366</v>
      </c>
      <c r="AJ140" s="5" t="s">
        <v>1248</v>
      </c>
      <c r="AK140" s="5">
        <v>610423110060</v>
      </c>
      <c r="AL140" s="5" t="e">
        <f t="shared" si="3"/>
        <v>#VALUE!</v>
      </c>
    </row>
    <row r="141" spans="1:38" ht="12.5">
      <c r="A141" s="10" t="str">
        <f t="shared" si="0"/>
        <v>Gunawan</v>
      </c>
      <c r="B141" s="5">
        <f t="shared" si="1"/>
        <v>610423040010</v>
      </c>
      <c r="C141" s="5" t="str">
        <f t="shared" si="2"/>
        <v>Gunawan</v>
      </c>
      <c r="D141" s="5" t="s">
        <v>363</v>
      </c>
      <c r="E141" s="5" t="e">
        <f t="array" ref="E141">INDEX('Master SLS'!$H$2:$H998,MATCH($AL141,'Master SLS'!$K$2:$K998,0))</f>
        <v>#VALUE!</v>
      </c>
      <c r="F141" s="5" t="e">
        <f t="array" ref="F141">INDEX('Master SLS'!$I$2:$I998,MATCH($AL141,'Master SLS'!$K$2:$K998,0))</f>
        <v>#VALUE!</v>
      </c>
      <c r="G141" s="5" t="s">
        <v>1249</v>
      </c>
      <c r="H141" s="5" t="s">
        <v>1250</v>
      </c>
      <c r="I141" s="5" t="s">
        <v>366</v>
      </c>
      <c r="J141" s="5">
        <v>1</v>
      </c>
      <c r="K141" s="5" t="s">
        <v>1251</v>
      </c>
      <c r="L141" s="5">
        <v>61</v>
      </c>
      <c r="M141" s="5">
        <v>4</v>
      </c>
      <c r="N141" s="5">
        <v>110</v>
      </c>
      <c r="O141" s="5">
        <v>9</v>
      </c>
      <c r="P141" s="5" t="s">
        <v>1252</v>
      </c>
      <c r="Q141" s="5">
        <v>1</v>
      </c>
      <c r="R141" s="74">
        <v>36419</v>
      </c>
      <c r="T141" s="5">
        <v>1</v>
      </c>
      <c r="U141" s="5">
        <v>1</v>
      </c>
      <c r="V141" s="5">
        <v>1</v>
      </c>
      <c r="W141" s="5">
        <v>3</v>
      </c>
      <c r="X141" s="5">
        <v>7</v>
      </c>
      <c r="Y141" s="5" t="s">
        <v>1017</v>
      </c>
      <c r="AA141" s="5">
        <v>1</v>
      </c>
      <c r="AB141" s="5">
        <v>0</v>
      </c>
      <c r="AC141" s="5">
        <v>1</v>
      </c>
      <c r="AD141" s="5">
        <v>0</v>
      </c>
      <c r="AE141" s="5">
        <v>0</v>
      </c>
      <c r="AF141" s="5">
        <v>0</v>
      </c>
      <c r="AG141" s="5">
        <v>0</v>
      </c>
      <c r="AH141" s="5" t="s">
        <v>1253</v>
      </c>
      <c r="AI141" s="5" t="s">
        <v>366</v>
      </c>
      <c r="AJ141" s="5" t="s">
        <v>1254</v>
      </c>
      <c r="AK141" s="5">
        <v>610423040010</v>
      </c>
      <c r="AL141" s="5" t="e">
        <f t="shared" si="3"/>
        <v>#VALUE!</v>
      </c>
    </row>
    <row r="142" spans="1:38" ht="12.5">
      <c r="A142" s="10" t="str">
        <f t="shared" si="0"/>
        <v>Gusti Effendi</v>
      </c>
      <c r="B142" s="5">
        <f t="shared" si="1"/>
        <v>610423110010</v>
      </c>
      <c r="C142" s="5" t="str">
        <f t="shared" si="2"/>
        <v>Gusti effendi</v>
      </c>
      <c r="D142" s="5" t="s">
        <v>363</v>
      </c>
      <c r="E142" s="5" t="e">
        <f t="array" ref="E142">INDEX('Master SLS'!$H$2:$H998,MATCH($AL142,'Master SLS'!$K$2:$K998,0))</f>
        <v>#VALUE!</v>
      </c>
      <c r="F142" s="5" t="e">
        <f t="array" ref="F142">INDEX('Master SLS'!$I$2:$I998,MATCH($AL142,'Master SLS'!$K$2:$K998,0))</f>
        <v>#VALUE!</v>
      </c>
      <c r="G142" s="5" t="s">
        <v>1255</v>
      </c>
      <c r="H142" s="5" t="s">
        <v>1256</v>
      </c>
      <c r="I142" s="5" t="s">
        <v>366</v>
      </c>
      <c r="J142" s="5">
        <v>1</v>
      </c>
      <c r="K142" s="5" t="s">
        <v>1257</v>
      </c>
      <c r="L142" s="5">
        <v>61</v>
      </c>
      <c r="M142" s="5">
        <v>4</v>
      </c>
      <c r="N142" s="5">
        <v>101</v>
      </c>
      <c r="O142" s="5">
        <v>7</v>
      </c>
      <c r="P142" s="5" t="s">
        <v>1258</v>
      </c>
      <c r="Q142" s="5">
        <v>1</v>
      </c>
      <c r="R142" s="74">
        <v>28367</v>
      </c>
      <c r="S142" s="5" t="s">
        <v>1259</v>
      </c>
      <c r="T142" s="5">
        <v>1</v>
      </c>
      <c r="U142" s="5">
        <v>1</v>
      </c>
      <c r="V142" s="5">
        <v>1</v>
      </c>
      <c r="W142" s="5">
        <v>3</v>
      </c>
      <c r="X142" s="5">
        <v>5</v>
      </c>
      <c r="Y142" s="5"/>
      <c r="AA142" s="5">
        <v>0</v>
      </c>
      <c r="AB142" s="5">
        <v>0</v>
      </c>
      <c r="AC142" s="5">
        <v>0</v>
      </c>
      <c r="AD142" s="5">
        <v>0</v>
      </c>
      <c r="AE142" s="5">
        <v>0</v>
      </c>
      <c r="AF142" s="5">
        <v>0</v>
      </c>
      <c r="AG142" s="5">
        <v>0</v>
      </c>
      <c r="AI142" s="5" t="s">
        <v>366</v>
      </c>
      <c r="AJ142" s="5" t="s">
        <v>1260</v>
      </c>
      <c r="AK142" s="5">
        <v>610423110010</v>
      </c>
      <c r="AL142" s="5" t="e">
        <f t="shared" si="3"/>
        <v>#VALUE!</v>
      </c>
    </row>
    <row r="143" spans="1:38" ht="12.5">
      <c r="A143" s="10" t="str">
        <f t="shared" si="0"/>
        <v>Gustiani</v>
      </c>
      <c r="B143" s="5">
        <f t="shared" si="1"/>
        <v>610423110192</v>
      </c>
      <c r="C143" s="5" t="str">
        <f t="shared" si="2"/>
        <v>Gustiani</v>
      </c>
      <c r="D143" s="5" t="s">
        <v>363</v>
      </c>
      <c r="E143" s="5" t="e">
        <f t="array" ref="E143">INDEX('Master SLS'!$H$2:$H998,MATCH($AL143,'Master SLS'!$K$2:$K998,0))</f>
        <v>#VALUE!</v>
      </c>
      <c r="F143" s="5" t="e">
        <f t="array" ref="F143">INDEX('Master SLS'!$I$2:$I998,MATCH($AL143,'Master SLS'!$K$2:$K998,0))</f>
        <v>#VALUE!</v>
      </c>
      <c r="G143" s="5" t="s">
        <v>1261</v>
      </c>
      <c r="H143" s="5" t="s">
        <v>1262</v>
      </c>
      <c r="I143" s="5" t="s">
        <v>366</v>
      </c>
      <c r="J143" s="5">
        <v>1</v>
      </c>
      <c r="K143" s="5" t="s">
        <v>1263</v>
      </c>
      <c r="L143" s="5">
        <v>61</v>
      </c>
      <c r="M143" s="5">
        <v>4</v>
      </c>
      <c r="N143" s="5">
        <v>80</v>
      </c>
      <c r="O143" s="5">
        <v>2</v>
      </c>
      <c r="P143" s="5" t="s">
        <v>1264</v>
      </c>
      <c r="Q143" s="5">
        <v>1</v>
      </c>
      <c r="R143" s="74">
        <v>28321</v>
      </c>
      <c r="T143" s="5">
        <v>0</v>
      </c>
      <c r="U143" s="5">
        <v>1</v>
      </c>
      <c r="V143" s="5">
        <v>2</v>
      </c>
      <c r="W143" s="5">
        <v>3</v>
      </c>
      <c r="X143" s="5">
        <v>4</v>
      </c>
      <c r="AA143" s="5">
        <v>1</v>
      </c>
      <c r="AB143" s="5">
        <v>1</v>
      </c>
      <c r="AC143" s="5">
        <v>0</v>
      </c>
      <c r="AD143" s="5">
        <v>1</v>
      </c>
      <c r="AE143" s="5">
        <v>0</v>
      </c>
      <c r="AF143" s="5">
        <v>0</v>
      </c>
      <c r="AG143" s="5">
        <v>0</v>
      </c>
      <c r="AH143" s="5" t="s">
        <v>1265</v>
      </c>
      <c r="AI143" s="5" t="s">
        <v>366</v>
      </c>
      <c r="AJ143" s="5" t="s">
        <v>1266</v>
      </c>
      <c r="AK143" s="5">
        <v>610423110192</v>
      </c>
      <c r="AL143" s="5" t="e">
        <f t="shared" si="3"/>
        <v>#VALUE!</v>
      </c>
    </row>
    <row r="144" spans="1:38" ht="12.5">
      <c r="A144" s="10" t="str">
        <f t="shared" si="0"/>
        <v>Hafizah</v>
      </c>
      <c r="B144" s="5">
        <f t="shared" si="1"/>
        <v>610423090010</v>
      </c>
      <c r="C144" s="5" t="str">
        <f t="shared" si="2"/>
        <v>Hafizah</v>
      </c>
      <c r="D144" s="5" t="s">
        <v>363</v>
      </c>
      <c r="E144" s="5" t="e">
        <f t="array" ref="E144">INDEX('Master SLS'!$H$2:$H998,MATCH($AL144,'Master SLS'!$K$2:$K998,0))</f>
        <v>#VALUE!</v>
      </c>
      <c r="F144" s="5" t="e">
        <f t="array" ref="F144">INDEX('Master SLS'!$I$2:$I998,MATCH($AL144,'Master SLS'!$K$2:$K998,0))</f>
        <v>#VALUE!</v>
      </c>
      <c r="G144" s="5" t="s">
        <v>1267</v>
      </c>
      <c r="H144" s="5" t="s">
        <v>1268</v>
      </c>
      <c r="I144" s="5" t="s">
        <v>366</v>
      </c>
      <c r="J144" s="5">
        <v>1</v>
      </c>
      <c r="K144" s="5" t="s">
        <v>1269</v>
      </c>
      <c r="L144" s="5">
        <v>61</v>
      </c>
      <c r="M144" s="5">
        <v>4</v>
      </c>
      <c r="N144" s="5">
        <v>90</v>
      </c>
      <c r="O144" s="5">
        <v>4</v>
      </c>
      <c r="P144" s="5" t="s">
        <v>1270</v>
      </c>
      <c r="Q144" s="5">
        <v>1</v>
      </c>
      <c r="R144" s="74">
        <v>37048</v>
      </c>
      <c r="T144" s="5">
        <v>0</v>
      </c>
      <c r="U144" s="5">
        <v>1</v>
      </c>
      <c r="V144" s="5">
        <v>1</v>
      </c>
      <c r="W144" s="5">
        <v>3</v>
      </c>
      <c r="X144" s="5">
        <v>6</v>
      </c>
      <c r="Y144" s="5"/>
      <c r="AA144" s="5">
        <v>1</v>
      </c>
      <c r="AB144" s="5">
        <v>1</v>
      </c>
      <c r="AC144" s="5">
        <v>0</v>
      </c>
      <c r="AD144" s="5">
        <v>0</v>
      </c>
      <c r="AE144" s="5">
        <v>0</v>
      </c>
      <c r="AF144" s="5">
        <v>0</v>
      </c>
      <c r="AG144" s="5">
        <v>0</v>
      </c>
      <c r="AH144" s="5" t="s">
        <v>1271</v>
      </c>
      <c r="AI144" s="5" t="s">
        <v>366</v>
      </c>
      <c r="AJ144" s="5" t="s">
        <v>1272</v>
      </c>
      <c r="AK144" s="5">
        <v>610423090010</v>
      </c>
      <c r="AL144" s="5" t="e">
        <f t="shared" si="3"/>
        <v>#VALUE!</v>
      </c>
    </row>
    <row r="145" spans="1:38" ht="12.5">
      <c r="A145" s="10" t="str">
        <f t="shared" si="0"/>
        <v>Hafizh</v>
      </c>
      <c r="B145" s="5">
        <f t="shared" si="1"/>
        <v>610422040028</v>
      </c>
      <c r="C145" s="5" t="str">
        <f t="shared" si="2"/>
        <v>Hafizh</v>
      </c>
      <c r="D145" s="5" t="s">
        <v>363</v>
      </c>
      <c r="E145" s="5" t="e">
        <f t="array" ref="E145">INDEX('Master SLS'!$H$2:$H998,MATCH($AL145,'Master SLS'!$K$2:$K998,0))</f>
        <v>#VALUE!</v>
      </c>
      <c r="F145" s="5" t="e">
        <f t="array" ref="F145">INDEX('Master SLS'!$I$2:$I998,MATCH($AL145,'Master SLS'!$K$2:$K998,0))</f>
        <v>#VALUE!</v>
      </c>
      <c r="G145" s="5" t="s">
        <v>1273</v>
      </c>
      <c r="H145" s="5" t="s">
        <v>1274</v>
      </c>
      <c r="I145" s="5" t="s">
        <v>366</v>
      </c>
      <c r="J145" s="5">
        <v>1</v>
      </c>
      <c r="K145" s="5" t="s">
        <v>1275</v>
      </c>
      <c r="L145" s="5">
        <v>61</v>
      </c>
      <c r="M145" s="5">
        <v>4</v>
      </c>
      <c r="N145" s="5">
        <v>101</v>
      </c>
      <c r="O145" s="5">
        <v>3</v>
      </c>
      <c r="P145" s="5" t="s">
        <v>1276</v>
      </c>
      <c r="Q145" s="5">
        <v>1</v>
      </c>
      <c r="R145" s="7">
        <v>34792</v>
      </c>
      <c r="S145" s="5" t="s">
        <v>1277</v>
      </c>
      <c r="T145" s="5">
        <v>0</v>
      </c>
      <c r="U145" s="5">
        <v>1</v>
      </c>
      <c r="V145" s="5">
        <v>2</v>
      </c>
      <c r="W145" s="5">
        <v>3</v>
      </c>
      <c r="X145" s="5">
        <v>4</v>
      </c>
      <c r="AA145" s="5">
        <v>1</v>
      </c>
      <c r="AB145" s="5">
        <v>1</v>
      </c>
      <c r="AC145" s="5">
        <v>1</v>
      </c>
      <c r="AD145" s="5">
        <v>0</v>
      </c>
      <c r="AE145" s="5">
        <v>1</v>
      </c>
      <c r="AF145" s="5">
        <v>1</v>
      </c>
      <c r="AG145" s="5">
        <v>0</v>
      </c>
      <c r="AH145" s="5" t="s">
        <v>1278</v>
      </c>
      <c r="AI145" s="5" t="s">
        <v>366</v>
      </c>
      <c r="AJ145" s="5" t="s">
        <v>1279</v>
      </c>
      <c r="AK145" s="5">
        <v>610422040028</v>
      </c>
      <c r="AL145" s="5" t="e">
        <f t="shared" si="3"/>
        <v>#VALUE!</v>
      </c>
    </row>
    <row r="146" spans="1:38" ht="12.5">
      <c r="A146" s="10" t="str">
        <f t="shared" si="0"/>
        <v>Hairul Anwar</v>
      </c>
      <c r="B146" s="5">
        <f t="shared" si="1"/>
        <v>611222110135</v>
      </c>
      <c r="C146" s="5" t="str">
        <f t="shared" si="2"/>
        <v>Hairul Anwar</v>
      </c>
      <c r="D146" s="5" t="s">
        <v>363</v>
      </c>
      <c r="E146" s="5" t="e">
        <f t="array" ref="E146">INDEX('Master SLS'!$H$2:$H998,MATCH($AL146,'Master SLS'!$K$2:$K998,0))</f>
        <v>#VALUE!</v>
      </c>
      <c r="F146" s="5" t="e">
        <f t="array" ref="F146">INDEX('Master SLS'!$I$2:$I998,MATCH($AL146,'Master SLS'!$K$2:$K998,0))</f>
        <v>#VALUE!</v>
      </c>
      <c r="G146" s="5" t="s">
        <v>1280</v>
      </c>
      <c r="H146" s="5" t="s">
        <v>1281</v>
      </c>
      <c r="I146" s="5" t="s">
        <v>388</v>
      </c>
      <c r="J146" s="5">
        <v>1</v>
      </c>
      <c r="K146" s="5" t="s">
        <v>1282</v>
      </c>
      <c r="L146" s="5">
        <v>61</v>
      </c>
      <c r="M146" s="5">
        <v>4</v>
      </c>
      <c r="N146" s="5">
        <v>110</v>
      </c>
      <c r="O146" s="5">
        <v>6</v>
      </c>
      <c r="P146" s="5" t="s">
        <v>1283</v>
      </c>
      <c r="Q146" s="5">
        <v>2</v>
      </c>
      <c r="R146" s="74">
        <v>34483</v>
      </c>
      <c r="S146" s="5" t="s">
        <v>1284</v>
      </c>
      <c r="T146" s="5">
        <v>1</v>
      </c>
      <c r="U146" s="5">
        <v>1</v>
      </c>
      <c r="V146" s="5">
        <v>2</v>
      </c>
      <c r="W146" s="5">
        <v>5</v>
      </c>
      <c r="X146" s="5">
        <v>5</v>
      </c>
      <c r="AA146" s="5">
        <v>1</v>
      </c>
      <c r="AB146" s="5">
        <v>1</v>
      </c>
      <c r="AC146" s="5">
        <v>0</v>
      </c>
      <c r="AD146" s="5">
        <v>0</v>
      </c>
      <c r="AE146" s="5">
        <v>0</v>
      </c>
      <c r="AF146" s="5">
        <v>0</v>
      </c>
      <c r="AG146" s="5">
        <v>0</v>
      </c>
      <c r="AH146" s="5" t="s">
        <v>1285</v>
      </c>
      <c r="AI146" s="5" t="s">
        <v>388</v>
      </c>
      <c r="AJ146" s="5" t="s">
        <v>1286</v>
      </c>
      <c r="AK146" s="5">
        <v>611222110135</v>
      </c>
      <c r="AL146" s="5" t="e">
        <f t="shared" si="3"/>
        <v>#VALUE!</v>
      </c>
    </row>
    <row r="147" spans="1:38" ht="12.5">
      <c r="A147" s="10" t="str">
        <f t="shared" si="0"/>
        <v>Hairussoleh</v>
      </c>
      <c r="B147" s="5">
        <f t="shared" si="1"/>
        <v>610423110018</v>
      </c>
      <c r="C147" s="5" t="str">
        <f t="shared" si="2"/>
        <v>HAIRUSSOLEH</v>
      </c>
      <c r="D147" s="5" t="s">
        <v>363</v>
      </c>
      <c r="E147" s="5" t="e">
        <f t="array" ref="E147">INDEX('Master SLS'!$H$2:$H998,MATCH($AL147,'Master SLS'!$K$2:$K998,0))</f>
        <v>#VALUE!</v>
      </c>
      <c r="F147" s="5" t="e">
        <f t="array" ref="F147">INDEX('Master SLS'!$I$2:$I998,MATCH($AL147,'Master SLS'!$K$2:$K998,0))</f>
        <v>#VALUE!</v>
      </c>
      <c r="G147" s="5" t="s">
        <v>1287</v>
      </c>
      <c r="H147" s="5" t="s">
        <v>1288</v>
      </c>
      <c r="I147" s="5" t="s">
        <v>388</v>
      </c>
      <c r="J147" s="5">
        <v>1</v>
      </c>
      <c r="K147" s="5" t="s">
        <v>1289</v>
      </c>
      <c r="L147" s="5">
        <v>61</v>
      </c>
      <c r="M147" s="5">
        <v>4</v>
      </c>
      <c r="N147" s="5">
        <v>101</v>
      </c>
      <c r="O147" s="5">
        <v>4</v>
      </c>
      <c r="P147" s="5" t="s">
        <v>1290</v>
      </c>
      <c r="Q147" s="5">
        <v>1</v>
      </c>
      <c r="R147" s="74">
        <v>35685</v>
      </c>
      <c r="S147" s="5" t="s">
        <v>1291</v>
      </c>
      <c r="T147" s="5">
        <v>1</v>
      </c>
      <c r="U147" s="5">
        <v>1</v>
      </c>
      <c r="V147" s="5">
        <v>1</v>
      </c>
      <c r="W147" s="5">
        <v>5</v>
      </c>
      <c r="X147" s="5">
        <v>5</v>
      </c>
      <c r="AA147" s="5">
        <v>1</v>
      </c>
      <c r="AB147" s="5">
        <v>1</v>
      </c>
      <c r="AC147" s="5">
        <v>1</v>
      </c>
      <c r="AD147" s="5">
        <v>1</v>
      </c>
      <c r="AE147" s="5">
        <v>1</v>
      </c>
      <c r="AF147" s="5">
        <v>0</v>
      </c>
      <c r="AG147" s="5">
        <v>0</v>
      </c>
      <c r="AH147" s="5" t="s">
        <v>1292</v>
      </c>
      <c r="AI147" s="5" t="s">
        <v>388</v>
      </c>
      <c r="AJ147" s="5" t="s">
        <v>1293</v>
      </c>
      <c r="AK147" s="5">
        <v>610423110018</v>
      </c>
      <c r="AL147" s="5" t="e">
        <f t="shared" si="3"/>
        <v>#VALUE!</v>
      </c>
    </row>
    <row r="148" spans="1:38" ht="12.5">
      <c r="A148" s="10" t="str">
        <f t="shared" si="0"/>
        <v>Haminah</v>
      </c>
      <c r="B148" s="5">
        <f t="shared" si="1"/>
        <v>610422100204</v>
      </c>
      <c r="C148" s="5" t="str">
        <f t="shared" si="2"/>
        <v>Haminah</v>
      </c>
      <c r="D148" s="5" t="s">
        <v>363</v>
      </c>
      <c r="E148" s="5" t="e">
        <f t="array" ref="E148">INDEX('Master SLS'!$H$2:$H998,MATCH($AL148,'Master SLS'!$K$2:$K998,0))</f>
        <v>#VALUE!</v>
      </c>
      <c r="F148" s="5" t="e">
        <f t="array" ref="F148">INDEX('Master SLS'!$I$2:$I998,MATCH($AL148,'Master SLS'!$K$2:$K998,0))</f>
        <v>#VALUE!</v>
      </c>
      <c r="G148" s="5" t="s">
        <v>1294</v>
      </c>
      <c r="H148" s="5" t="s">
        <v>1295</v>
      </c>
      <c r="I148" s="5" t="s">
        <v>366</v>
      </c>
      <c r="J148" s="5">
        <v>1</v>
      </c>
      <c r="K148" s="5" t="s">
        <v>1296</v>
      </c>
      <c r="L148" s="5">
        <v>61</v>
      </c>
      <c r="M148" s="5">
        <v>4</v>
      </c>
      <c r="N148" s="5">
        <v>81</v>
      </c>
      <c r="O148" s="5">
        <v>2</v>
      </c>
      <c r="P148" s="5" t="s">
        <v>1297</v>
      </c>
      <c r="Q148" s="5">
        <v>1</v>
      </c>
      <c r="R148" s="7">
        <v>30972</v>
      </c>
      <c r="S148" s="5" t="s">
        <v>1298</v>
      </c>
      <c r="T148" s="5">
        <v>0</v>
      </c>
      <c r="U148" s="5">
        <v>1</v>
      </c>
      <c r="V148" s="5">
        <v>2</v>
      </c>
      <c r="W148" s="5">
        <v>5</v>
      </c>
      <c r="X148" s="5">
        <v>3</v>
      </c>
      <c r="AA148" s="5">
        <v>1</v>
      </c>
      <c r="AB148" s="5">
        <v>0</v>
      </c>
      <c r="AC148" s="5">
        <v>0</v>
      </c>
      <c r="AD148" s="5">
        <v>1</v>
      </c>
      <c r="AE148" s="5">
        <v>0</v>
      </c>
      <c r="AF148" s="5">
        <v>0</v>
      </c>
      <c r="AG148" s="5">
        <v>0</v>
      </c>
      <c r="AH148" s="5" t="s">
        <v>1299</v>
      </c>
      <c r="AI148" s="5" t="s">
        <v>366</v>
      </c>
      <c r="AJ148" s="5" t="s">
        <v>1295</v>
      </c>
      <c r="AK148" s="5">
        <v>610422100204</v>
      </c>
      <c r="AL148" s="5" t="e">
        <f t="shared" si="3"/>
        <v>#VALUE!</v>
      </c>
    </row>
    <row r="149" spans="1:38" ht="12.5">
      <c r="A149" s="10" t="str">
        <f t="shared" si="0"/>
        <v>Handoko Tuah Sabarman Sipayung</v>
      </c>
      <c r="B149" s="5">
        <f t="shared" si="1"/>
        <v>610423040018</v>
      </c>
      <c r="C149" s="5" t="str">
        <f t="shared" si="2"/>
        <v>Handoko Tuah Sabarman Sipayung</v>
      </c>
      <c r="D149" s="5" t="s">
        <v>363</v>
      </c>
      <c r="E149" s="5" t="e">
        <f t="array" ref="E149">INDEX('Master SLS'!$H$2:$H998,MATCH($AL149,'Master SLS'!$K$2:$K998,0))</f>
        <v>#VALUE!</v>
      </c>
      <c r="F149" s="5" t="e">
        <f t="array" ref="F149">INDEX('Master SLS'!$I$2:$I998,MATCH($AL149,'Master SLS'!$K$2:$K998,0))</f>
        <v>#VALUE!</v>
      </c>
      <c r="G149" s="5" t="s">
        <v>1300</v>
      </c>
      <c r="H149" s="5" t="s">
        <v>1301</v>
      </c>
      <c r="I149" s="5" t="s">
        <v>366</v>
      </c>
      <c r="J149" s="5">
        <v>1</v>
      </c>
      <c r="K149" s="5" t="s">
        <v>1302</v>
      </c>
      <c r="L149" s="5">
        <v>61</v>
      </c>
      <c r="M149" s="5">
        <v>4</v>
      </c>
      <c r="N149" s="5">
        <v>120</v>
      </c>
      <c r="O149" s="5">
        <v>6</v>
      </c>
      <c r="P149" s="5" t="s">
        <v>1303</v>
      </c>
      <c r="Q149" s="5">
        <v>1</v>
      </c>
      <c r="R149" s="74">
        <v>32409</v>
      </c>
      <c r="S149" s="5"/>
      <c r="T149" s="5">
        <v>1</v>
      </c>
      <c r="U149" s="5">
        <v>2</v>
      </c>
      <c r="V149" s="5">
        <v>2</v>
      </c>
      <c r="W149" s="5">
        <v>3</v>
      </c>
      <c r="X149" s="5">
        <v>5</v>
      </c>
      <c r="AA149" s="5">
        <v>1</v>
      </c>
      <c r="AB149" s="5">
        <v>0</v>
      </c>
      <c r="AC149" s="5">
        <v>1</v>
      </c>
      <c r="AD149" s="5">
        <v>0</v>
      </c>
      <c r="AE149" s="5">
        <v>0</v>
      </c>
      <c r="AF149" s="5">
        <v>0</v>
      </c>
      <c r="AG149" s="5">
        <v>0</v>
      </c>
      <c r="AH149" s="5" t="s">
        <v>1304</v>
      </c>
      <c r="AI149" s="5" t="s">
        <v>366</v>
      </c>
      <c r="AJ149" s="5" t="s">
        <v>1305</v>
      </c>
      <c r="AK149" s="5">
        <v>610423040018</v>
      </c>
      <c r="AL149" s="5" t="e">
        <f t="shared" si="3"/>
        <v>#VALUE!</v>
      </c>
    </row>
    <row r="150" spans="1:38" ht="12.5">
      <c r="A150" s="10" t="str">
        <f t="shared" si="0"/>
        <v>Harry Purwanto</v>
      </c>
      <c r="B150" s="5">
        <f t="shared" si="1"/>
        <v>610422100194</v>
      </c>
      <c r="C150" s="5" t="str">
        <f t="shared" si="2"/>
        <v>HARRY PURWANTO</v>
      </c>
      <c r="D150" s="5" t="s">
        <v>363</v>
      </c>
      <c r="E150" s="5" t="e">
        <f t="array" ref="E150">INDEX('Master SLS'!$H$2:$H998,MATCH($AL150,'Master SLS'!$K$2:$K998,0))</f>
        <v>#VALUE!</v>
      </c>
      <c r="F150" s="5" t="e">
        <f t="array" ref="F150">INDEX('Master SLS'!$I$2:$I998,MATCH($AL150,'Master SLS'!$K$2:$K998,0))</f>
        <v>#VALUE!</v>
      </c>
      <c r="G150" s="5" t="s">
        <v>1306</v>
      </c>
      <c r="H150" s="5" t="s">
        <v>1307</v>
      </c>
      <c r="I150" s="5" t="s">
        <v>366</v>
      </c>
      <c r="J150" s="5">
        <v>1</v>
      </c>
      <c r="K150" s="5" t="s">
        <v>1308</v>
      </c>
      <c r="L150" s="5">
        <v>61</v>
      </c>
      <c r="M150" s="5">
        <v>4</v>
      </c>
      <c r="N150" s="5">
        <v>90</v>
      </c>
      <c r="O150" s="5">
        <v>9</v>
      </c>
      <c r="P150" s="5" t="s">
        <v>1309</v>
      </c>
      <c r="Q150" s="5">
        <v>1</v>
      </c>
      <c r="R150" s="74">
        <v>27681</v>
      </c>
      <c r="S150" s="5" t="s">
        <v>1310</v>
      </c>
      <c r="T150" s="5">
        <v>1</v>
      </c>
      <c r="U150" s="5">
        <v>1</v>
      </c>
      <c r="V150" s="5">
        <v>3</v>
      </c>
      <c r="W150" s="5">
        <v>3</v>
      </c>
      <c r="X150" s="5">
        <v>5</v>
      </c>
      <c r="AA150" s="5">
        <v>1</v>
      </c>
      <c r="AB150" s="5">
        <v>1</v>
      </c>
      <c r="AC150" s="5">
        <v>1</v>
      </c>
      <c r="AD150" s="5">
        <v>1</v>
      </c>
      <c r="AE150" s="5">
        <v>1</v>
      </c>
      <c r="AF150" s="5">
        <v>1</v>
      </c>
      <c r="AG150" s="5">
        <v>0</v>
      </c>
      <c r="AH150" s="5" t="s">
        <v>1311</v>
      </c>
      <c r="AI150" s="5" t="s">
        <v>366</v>
      </c>
      <c r="AJ150" s="5" t="s">
        <v>1312</v>
      </c>
      <c r="AK150" s="5">
        <v>610422100194</v>
      </c>
      <c r="AL150" s="5" t="e">
        <f t="shared" si="3"/>
        <v>#VALUE!</v>
      </c>
    </row>
    <row r="151" spans="1:38" ht="12.5">
      <c r="A151" s="10" t="str">
        <f t="shared" si="0"/>
        <v>Hasanuddin</v>
      </c>
      <c r="B151" s="5">
        <f t="shared" si="1"/>
        <v>610423110154</v>
      </c>
      <c r="C151" s="5" t="str">
        <f t="shared" si="2"/>
        <v>Hasanuddin</v>
      </c>
      <c r="D151" s="5" t="s">
        <v>363</v>
      </c>
      <c r="E151" s="5" t="e">
        <f t="array" ref="E151">INDEX('Master SLS'!$H$2:$H998,MATCH($AL151,'Master SLS'!$K$2:$K998,0))</f>
        <v>#VALUE!</v>
      </c>
      <c r="F151" s="5" t="e">
        <f t="array" ref="F151">INDEX('Master SLS'!$I$2:$I998,MATCH($AL151,'Master SLS'!$K$2:$K998,0))</f>
        <v>#VALUE!</v>
      </c>
      <c r="G151" s="5" t="s">
        <v>1313</v>
      </c>
      <c r="H151" s="5" t="s">
        <v>1314</v>
      </c>
      <c r="I151" s="5" t="s">
        <v>474</v>
      </c>
      <c r="J151" s="5">
        <v>1</v>
      </c>
      <c r="K151" s="5" t="s">
        <v>1315</v>
      </c>
      <c r="L151" s="5">
        <v>61</v>
      </c>
      <c r="M151" s="5">
        <v>4</v>
      </c>
      <c r="N151" s="5">
        <v>90</v>
      </c>
      <c r="O151" s="5">
        <v>3</v>
      </c>
      <c r="P151" s="5" t="s">
        <v>1316</v>
      </c>
      <c r="Q151" s="5">
        <v>1</v>
      </c>
      <c r="R151" s="74">
        <v>36524</v>
      </c>
      <c r="S151" s="5"/>
      <c r="T151" s="5">
        <v>1</v>
      </c>
      <c r="U151" s="5">
        <v>1</v>
      </c>
      <c r="V151" s="5">
        <v>1</v>
      </c>
      <c r="W151" s="5">
        <v>5</v>
      </c>
      <c r="X151" s="5">
        <v>3</v>
      </c>
      <c r="AA151" s="5">
        <v>1</v>
      </c>
      <c r="AB151" s="5">
        <v>1</v>
      </c>
      <c r="AC151" s="5">
        <v>1</v>
      </c>
      <c r="AD151" s="5">
        <v>1</v>
      </c>
      <c r="AE151" s="5">
        <v>0</v>
      </c>
      <c r="AF151" s="5">
        <v>0</v>
      </c>
      <c r="AG151" s="5">
        <v>0</v>
      </c>
      <c r="AH151" s="5" t="s">
        <v>1317</v>
      </c>
      <c r="AI151" s="5" t="s">
        <v>474</v>
      </c>
      <c r="AJ151" s="5" t="s">
        <v>1318</v>
      </c>
      <c r="AK151" s="5">
        <v>610423110154</v>
      </c>
      <c r="AL151" s="5" t="e">
        <f t="shared" si="3"/>
        <v>#VALUE!</v>
      </c>
    </row>
    <row r="152" spans="1:38" ht="12.5">
      <c r="A152" s="10" t="str">
        <f t="shared" si="0"/>
        <v>Hasanul Bukhari</v>
      </c>
      <c r="B152" s="5">
        <f t="shared" si="1"/>
        <v>610423110172</v>
      </c>
      <c r="C152" s="5" t="str">
        <f t="shared" si="2"/>
        <v>Hasanul Bukhari</v>
      </c>
      <c r="D152" s="5" t="s">
        <v>363</v>
      </c>
      <c r="E152" s="5" t="e">
        <f t="array" ref="E152">INDEX('Master SLS'!$H$2:$H998,MATCH($AL152,'Master SLS'!$K$2:$K998,0))</f>
        <v>#VALUE!</v>
      </c>
      <c r="F152" s="5" t="e">
        <f t="array" ref="F152">INDEX('Master SLS'!$I$2:$I998,MATCH($AL152,'Master SLS'!$K$2:$K998,0))</f>
        <v>#VALUE!</v>
      </c>
      <c r="G152" s="5" t="s">
        <v>1319</v>
      </c>
      <c r="H152" s="5" t="s">
        <v>1320</v>
      </c>
      <c r="I152" s="5" t="s">
        <v>388</v>
      </c>
      <c r="J152" s="5">
        <v>1</v>
      </c>
      <c r="K152" s="5" t="s">
        <v>1321</v>
      </c>
      <c r="L152" s="5">
        <v>61</v>
      </c>
      <c r="M152" s="5">
        <v>4</v>
      </c>
      <c r="N152" s="5">
        <v>90</v>
      </c>
      <c r="O152" s="5">
        <v>4</v>
      </c>
      <c r="P152" s="5" t="s">
        <v>1322</v>
      </c>
      <c r="Q152" s="5">
        <v>1</v>
      </c>
      <c r="R152" s="74">
        <v>36393</v>
      </c>
      <c r="S152" s="5" t="s">
        <v>1323</v>
      </c>
      <c r="T152" s="5">
        <v>1</v>
      </c>
      <c r="U152" s="5">
        <v>1</v>
      </c>
      <c r="V152" s="5">
        <v>1</v>
      </c>
      <c r="W152" s="5">
        <v>5</v>
      </c>
      <c r="X152" s="5">
        <v>7</v>
      </c>
      <c r="Y152" s="5" t="s">
        <v>1324</v>
      </c>
      <c r="AA152" s="5">
        <v>0</v>
      </c>
      <c r="AB152" s="5">
        <v>0</v>
      </c>
      <c r="AC152" s="5">
        <v>0</v>
      </c>
      <c r="AD152" s="5">
        <v>0</v>
      </c>
      <c r="AE152" s="5">
        <v>0</v>
      </c>
      <c r="AF152" s="5">
        <v>0</v>
      </c>
      <c r="AG152" s="5">
        <v>0</v>
      </c>
      <c r="AI152" s="5" t="s">
        <v>388</v>
      </c>
      <c r="AJ152" s="5" t="s">
        <v>1325</v>
      </c>
      <c r="AK152" s="5">
        <v>610423110172</v>
      </c>
      <c r="AL152" s="5" t="e">
        <f t="shared" si="3"/>
        <v>#VALUE!</v>
      </c>
    </row>
    <row r="153" spans="1:38" ht="12.5">
      <c r="A153" s="10" t="str">
        <f t="shared" si="0"/>
        <v>Hawasi</v>
      </c>
      <c r="B153" s="5">
        <f t="shared" si="1"/>
        <v>610422020044</v>
      </c>
      <c r="C153" s="5" t="str">
        <f t="shared" si="2"/>
        <v>Hawasi</v>
      </c>
      <c r="D153" s="5" t="s">
        <v>363</v>
      </c>
      <c r="E153" s="5" t="e">
        <f t="array" ref="E153">INDEX('Master SLS'!$H$2:$H998,MATCH($AL153,'Master SLS'!$K$2:$K998,0))</f>
        <v>#VALUE!</v>
      </c>
      <c r="F153" s="5" t="e">
        <f t="array" ref="F153">INDEX('Master SLS'!$I$2:$I998,MATCH($AL153,'Master SLS'!$K$2:$K998,0))</f>
        <v>#VALUE!</v>
      </c>
      <c r="G153" s="5" t="s">
        <v>1326</v>
      </c>
      <c r="H153" s="5" t="s">
        <v>1327</v>
      </c>
      <c r="I153" s="5" t="s">
        <v>366</v>
      </c>
      <c r="J153" s="5">
        <v>1</v>
      </c>
      <c r="K153" s="5" t="s">
        <v>1328</v>
      </c>
      <c r="L153" s="5">
        <v>61</v>
      </c>
      <c r="M153" s="5">
        <v>4</v>
      </c>
      <c r="N153" s="5">
        <v>80</v>
      </c>
      <c r="O153" s="5">
        <v>3</v>
      </c>
      <c r="P153" s="5" t="s">
        <v>1329</v>
      </c>
      <c r="Q153" s="5">
        <v>2</v>
      </c>
      <c r="R153" s="74">
        <v>31484</v>
      </c>
      <c r="S153" s="5" t="s">
        <v>1330</v>
      </c>
      <c r="T153" s="5">
        <v>1</v>
      </c>
      <c r="U153" s="5">
        <v>1</v>
      </c>
      <c r="V153" s="5">
        <v>2</v>
      </c>
      <c r="W153" s="5">
        <v>5</v>
      </c>
      <c r="X153" s="5">
        <v>5</v>
      </c>
      <c r="AA153" s="5">
        <v>1</v>
      </c>
      <c r="AB153" s="5">
        <v>1</v>
      </c>
      <c r="AC153" s="5">
        <v>1</v>
      </c>
      <c r="AD153" s="5">
        <v>1</v>
      </c>
      <c r="AE153" s="5">
        <v>0</v>
      </c>
      <c r="AF153" s="5">
        <v>0</v>
      </c>
      <c r="AG153" s="5">
        <v>0</v>
      </c>
      <c r="AH153" s="5" t="s">
        <v>1331</v>
      </c>
      <c r="AI153" s="5" t="s">
        <v>366</v>
      </c>
      <c r="AJ153" s="5" t="s">
        <v>1327</v>
      </c>
      <c r="AK153" s="5">
        <v>610422020044</v>
      </c>
      <c r="AL153" s="5" t="e">
        <f t="shared" si="3"/>
        <v>#VALUE!</v>
      </c>
    </row>
    <row r="154" spans="1:38" ht="12.5">
      <c r="A154" s="10" t="str">
        <f t="shared" si="0"/>
        <v>Hendra</v>
      </c>
      <c r="B154" s="5">
        <f t="shared" si="1"/>
        <v>610423110055</v>
      </c>
      <c r="C154" s="5" t="str">
        <f t="shared" si="2"/>
        <v>Hendra</v>
      </c>
      <c r="D154" s="5" t="s">
        <v>363</v>
      </c>
      <c r="E154" s="5" t="e">
        <f t="array" ref="E154">INDEX('Master SLS'!$H$2:$H998,MATCH($AL154,'Master SLS'!$K$2:$K998,0))</f>
        <v>#VALUE!</v>
      </c>
      <c r="F154" s="5" t="e">
        <f t="array" ref="F154">INDEX('Master SLS'!$I$2:$I998,MATCH($AL154,'Master SLS'!$K$2:$K998,0))</f>
        <v>#VALUE!</v>
      </c>
      <c r="G154" s="5" t="s">
        <v>1332</v>
      </c>
      <c r="H154" s="5" t="s">
        <v>1333</v>
      </c>
      <c r="I154" s="5" t="s">
        <v>366</v>
      </c>
      <c r="J154" s="5">
        <v>1</v>
      </c>
      <c r="K154" s="5" t="s">
        <v>1334</v>
      </c>
      <c r="L154" s="5">
        <v>61</v>
      </c>
      <c r="M154" s="5">
        <v>4</v>
      </c>
      <c r="N154" s="5">
        <v>100</v>
      </c>
      <c r="O154" s="5">
        <v>15</v>
      </c>
      <c r="P154" s="5" t="s">
        <v>1335</v>
      </c>
      <c r="Q154" s="5">
        <v>1</v>
      </c>
      <c r="R154" s="7">
        <v>34620</v>
      </c>
      <c r="S154" s="5" t="s">
        <v>1336</v>
      </c>
      <c r="T154" s="5">
        <v>1</v>
      </c>
      <c r="U154" s="5">
        <v>1</v>
      </c>
      <c r="V154" s="5">
        <v>2</v>
      </c>
      <c r="W154" s="5">
        <v>5</v>
      </c>
      <c r="X154" s="5">
        <v>7</v>
      </c>
      <c r="Y154" s="5" t="s">
        <v>1337</v>
      </c>
      <c r="AA154" s="5">
        <v>1</v>
      </c>
      <c r="AB154" s="5">
        <v>1</v>
      </c>
      <c r="AC154" s="5">
        <v>0</v>
      </c>
      <c r="AD154" s="5">
        <v>0</v>
      </c>
      <c r="AE154" s="5">
        <v>0</v>
      </c>
      <c r="AF154" s="5">
        <v>0</v>
      </c>
      <c r="AG154" s="5">
        <v>0</v>
      </c>
      <c r="AH154" s="5" t="s">
        <v>1338</v>
      </c>
      <c r="AI154" s="5" t="s">
        <v>366</v>
      </c>
      <c r="AJ154" s="5" t="s">
        <v>1339</v>
      </c>
      <c r="AK154" s="5">
        <v>610423110055</v>
      </c>
      <c r="AL154" s="5" t="e">
        <f t="shared" si="3"/>
        <v>#VALUE!</v>
      </c>
    </row>
    <row r="155" spans="1:38" ht="12.5">
      <c r="A155" s="10" t="str">
        <f t="shared" si="0"/>
        <v>Henita</v>
      </c>
      <c r="B155" s="5">
        <f t="shared" si="1"/>
        <v>610423050002</v>
      </c>
      <c r="C155" s="5" t="str">
        <f t="shared" si="2"/>
        <v>Henita</v>
      </c>
      <c r="D155" s="5" t="s">
        <v>363</v>
      </c>
      <c r="E155" s="5" t="e">
        <f t="array" ref="E155">INDEX('Master SLS'!$H$2:$H998,MATCH($AL155,'Master SLS'!$K$2:$K998,0))</f>
        <v>#VALUE!</v>
      </c>
      <c r="F155" s="5" t="e">
        <f t="array" ref="F155">INDEX('Master SLS'!$I$2:$I998,MATCH($AL155,'Master SLS'!$K$2:$K998,0))</f>
        <v>#VALUE!</v>
      </c>
      <c r="G155" s="5" t="s">
        <v>1340</v>
      </c>
      <c r="H155" s="5" t="s">
        <v>1341</v>
      </c>
      <c r="I155" s="5" t="s">
        <v>366</v>
      </c>
      <c r="J155" s="5">
        <v>1</v>
      </c>
      <c r="K155" s="5" t="s">
        <v>1342</v>
      </c>
      <c r="L155" s="5">
        <v>61</v>
      </c>
      <c r="M155" s="5">
        <v>4</v>
      </c>
      <c r="N155" s="5">
        <v>120</v>
      </c>
      <c r="O155" s="5">
        <v>7</v>
      </c>
      <c r="P155" s="5" t="s">
        <v>1343</v>
      </c>
      <c r="Q155" s="5">
        <v>1</v>
      </c>
      <c r="R155" s="74">
        <v>36285</v>
      </c>
      <c r="T155" s="5">
        <v>0</v>
      </c>
      <c r="U155" s="5">
        <v>3</v>
      </c>
      <c r="V155" s="5">
        <v>1</v>
      </c>
      <c r="W155" s="5">
        <v>3</v>
      </c>
      <c r="X155" s="5">
        <v>6</v>
      </c>
      <c r="Y155" s="5"/>
      <c r="AA155" s="5">
        <v>1</v>
      </c>
      <c r="AB155" s="5">
        <v>1</v>
      </c>
      <c r="AC155" s="5">
        <v>1</v>
      </c>
      <c r="AD155" s="5">
        <v>0</v>
      </c>
      <c r="AE155" s="5">
        <v>0</v>
      </c>
      <c r="AF155" s="5">
        <v>0</v>
      </c>
      <c r="AG155" s="5">
        <v>0</v>
      </c>
      <c r="AI155" s="5" t="s">
        <v>366</v>
      </c>
      <c r="AJ155" s="5" t="s">
        <v>1344</v>
      </c>
      <c r="AK155" s="5">
        <v>610423050002</v>
      </c>
      <c r="AL155" s="5" t="e">
        <f t="shared" si="3"/>
        <v>#VALUE!</v>
      </c>
    </row>
    <row r="156" spans="1:38" ht="12.5">
      <c r="A156" s="10" t="str">
        <f t="shared" si="0"/>
        <v>Heny Rahayu</v>
      </c>
      <c r="B156" s="5">
        <f t="shared" si="1"/>
        <v>610423110124</v>
      </c>
      <c r="C156" s="5" t="str">
        <f t="shared" si="2"/>
        <v>HENY RAHAYU</v>
      </c>
      <c r="D156" s="5" t="s">
        <v>363</v>
      </c>
      <c r="E156" s="5" t="e">
        <f t="array" ref="E156">INDEX('Master SLS'!$H$2:$H998,MATCH($AL156,'Master SLS'!$K$2:$K998,0))</f>
        <v>#VALUE!</v>
      </c>
      <c r="F156" s="5" t="e">
        <f t="array" ref="F156">INDEX('Master SLS'!$I$2:$I998,MATCH($AL156,'Master SLS'!$K$2:$K998,0))</f>
        <v>#VALUE!</v>
      </c>
      <c r="G156" s="5" t="s">
        <v>1345</v>
      </c>
      <c r="H156" s="5" t="s">
        <v>1346</v>
      </c>
      <c r="I156" s="5" t="s">
        <v>474</v>
      </c>
      <c r="J156" s="5">
        <v>1</v>
      </c>
      <c r="K156" s="5" t="s">
        <v>1347</v>
      </c>
      <c r="L156" s="5">
        <v>61</v>
      </c>
      <c r="M156" s="5">
        <v>4</v>
      </c>
      <c r="N156" s="5">
        <v>90</v>
      </c>
      <c r="O156" s="5">
        <v>9</v>
      </c>
      <c r="P156" s="5" t="s">
        <v>1348</v>
      </c>
      <c r="Q156" s="5">
        <v>1</v>
      </c>
      <c r="R156" s="74">
        <v>35589</v>
      </c>
      <c r="T156" s="5">
        <v>0</v>
      </c>
      <c r="U156" s="5">
        <v>1</v>
      </c>
      <c r="V156" s="5">
        <v>1</v>
      </c>
      <c r="W156" s="5">
        <v>5</v>
      </c>
      <c r="X156" s="5">
        <v>7</v>
      </c>
      <c r="Y156" s="5" t="s">
        <v>1349</v>
      </c>
      <c r="AA156" s="5">
        <v>0</v>
      </c>
      <c r="AB156" s="5">
        <v>0</v>
      </c>
      <c r="AC156" s="5">
        <v>0</v>
      </c>
      <c r="AD156" s="5">
        <v>0</v>
      </c>
      <c r="AE156" s="5">
        <v>0</v>
      </c>
      <c r="AF156" s="5">
        <v>0</v>
      </c>
      <c r="AG156" s="5">
        <v>0</v>
      </c>
      <c r="AI156" s="5" t="s">
        <v>474</v>
      </c>
      <c r="AJ156" s="5" t="s">
        <v>1350</v>
      </c>
      <c r="AK156" s="5">
        <v>610423110124</v>
      </c>
      <c r="AL156" s="5" t="e">
        <f t="shared" si="3"/>
        <v>#VALUE!</v>
      </c>
    </row>
    <row r="157" spans="1:38" ht="12.5">
      <c r="A157" s="10" t="str">
        <f t="shared" si="0"/>
        <v>Herdinatara Febria</v>
      </c>
      <c r="B157" s="5">
        <f t="shared" si="1"/>
        <v>610422020045</v>
      </c>
      <c r="C157" s="5" t="str">
        <f t="shared" si="2"/>
        <v>Herdinatara Febria</v>
      </c>
      <c r="D157" s="5" t="s">
        <v>363</v>
      </c>
      <c r="E157" s="5" t="e">
        <f t="array" ref="E157">INDEX('Master SLS'!$H$2:$H998,MATCH($AL157,'Master SLS'!$K$2:$K998,0))</f>
        <v>#VALUE!</v>
      </c>
      <c r="F157" s="5" t="e">
        <f t="array" ref="F157">INDEX('Master SLS'!$I$2:$I998,MATCH($AL157,'Master SLS'!$K$2:$K998,0))</f>
        <v>#VALUE!</v>
      </c>
      <c r="G157" s="5" t="s">
        <v>1351</v>
      </c>
      <c r="H157" s="5" t="s">
        <v>1352</v>
      </c>
      <c r="I157" s="5" t="s">
        <v>366</v>
      </c>
      <c r="J157" s="5">
        <v>1</v>
      </c>
      <c r="K157" s="5" t="s">
        <v>1353</v>
      </c>
      <c r="L157" s="5">
        <v>61</v>
      </c>
      <c r="M157" s="5">
        <v>4</v>
      </c>
      <c r="N157" s="5">
        <v>80</v>
      </c>
      <c r="O157" s="5">
        <v>3</v>
      </c>
      <c r="P157" s="5" t="s">
        <v>1354</v>
      </c>
      <c r="Q157" s="5">
        <v>2</v>
      </c>
      <c r="R157" s="74">
        <v>34232</v>
      </c>
      <c r="S157" s="5" t="s">
        <v>1355</v>
      </c>
      <c r="T157" s="5">
        <v>0</v>
      </c>
      <c r="U157" s="5">
        <v>1</v>
      </c>
      <c r="V157" s="5">
        <v>2</v>
      </c>
      <c r="W157" s="5">
        <v>3</v>
      </c>
      <c r="X157" s="5">
        <v>4</v>
      </c>
      <c r="AA157" s="5">
        <v>1</v>
      </c>
      <c r="AB157" s="5">
        <v>1</v>
      </c>
      <c r="AC157" s="5">
        <v>1</v>
      </c>
      <c r="AD157" s="5">
        <v>1</v>
      </c>
      <c r="AE157" s="5">
        <v>0</v>
      </c>
      <c r="AF157" s="5">
        <v>0</v>
      </c>
      <c r="AG157" s="5">
        <v>0</v>
      </c>
      <c r="AH157" s="5" t="s">
        <v>1356</v>
      </c>
      <c r="AI157" s="5" t="s">
        <v>366</v>
      </c>
      <c r="AJ157" s="5" t="s">
        <v>1357</v>
      </c>
      <c r="AK157" s="5">
        <v>610422020045</v>
      </c>
      <c r="AL157" s="5" t="e">
        <f t="shared" si="3"/>
        <v>#VALUE!</v>
      </c>
    </row>
    <row r="158" spans="1:38" ht="12.5">
      <c r="A158" s="10" t="str">
        <f t="shared" si="0"/>
        <v>Herri Gustaman</v>
      </c>
      <c r="B158" s="5">
        <f t="shared" si="1"/>
        <v>610422020048</v>
      </c>
      <c r="C158" s="5" t="str">
        <f t="shared" si="2"/>
        <v>Herri Gustaman</v>
      </c>
      <c r="D158" s="5" t="s">
        <v>363</v>
      </c>
      <c r="E158" s="5" t="e">
        <f t="array" ref="E158">INDEX('Master SLS'!$H$2:$H998,MATCH($AL158,'Master SLS'!$K$2:$K998,0))</f>
        <v>#VALUE!</v>
      </c>
      <c r="F158" s="5" t="e">
        <f t="array" ref="F158">INDEX('Master SLS'!$I$2:$I998,MATCH($AL158,'Master SLS'!$K$2:$K998,0))</f>
        <v>#VALUE!</v>
      </c>
      <c r="G158" s="5" t="s">
        <v>1358</v>
      </c>
      <c r="H158" s="5" t="s">
        <v>1359</v>
      </c>
      <c r="I158" s="5" t="s">
        <v>366</v>
      </c>
      <c r="J158" s="5">
        <v>1</v>
      </c>
      <c r="K158" s="5" t="s">
        <v>1360</v>
      </c>
      <c r="L158" s="5">
        <v>61</v>
      </c>
      <c r="M158" s="5">
        <v>4</v>
      </c>
      <c r="N158" s="5">
        <v>101</v>
      </c>
      <c r="O158" s="5">
        <v>7</v>
      </c>
      <c r="P158" s="5" t="s">
        <v>1361</v>
      </c>
      <c r="Q158" s="5">
        <v>1</v>
      </c>
      <c r="R158" s="7">
        <v>29305</v>
      </c>
      <c r="T158" s="5">
        <v>1</v>
      </c>
      <c r="U158" s="5">
        <v>1</v>
      </c>
      <c r="V158" s="5">
        <v>2</v>
      </c>
      <c r="W158" s="5">
        <v>3</v>
      </c>
      <c r="X158" s="5">
        <v>1</v>
      </c>
      <c r="AA158" s="5">
        <v>1</v>
      </c>
      <c r="AB158" s="5">
        <v>1</v>
      </c>
      <c r="AC158" s="5">
        <v>1</v>
      </c>
      <c r="AD158" s="5">
        <v>1</v>
      </c>
      <c r="AE158" s="5">
        <v>1</v>
      </c>
      <c r="AF158" s="5">
        <v>1</v>
      </c>
      <c r="AG158" s="5">
        <v>0</v>
      </c>
      <c r="AI158" s="5" t="s">
        <v>366</v>
      </c>
      <c r="AJ158" s="5" t="s">
        <v>1362</v>
      </c>
      <c r="AK158" s="5">
        <v>610422020048</v>
      </c>
      <c r="AL158" s="5" t="e">
        <f t="shared" si="3"/>
        <v>#VALUE!</v>
      </c>
    </row>
    <row r="159" spans="1:38" ht="12.5">
      <c r="A159" s="10" t="str">
        <f t="shared" si="0"/>
        <v>Heru Wiradinata</v>
      </c>
      <c r="B159" s="5">
        <f t="shared" si="1"/>
        <v>610423110021</v>
      </c>
      <c r="C159" s="5" t="str">
        <f t="shared" si="2"/>
        <v>Heru Wiradinata</v>
      </c>
      <c r="D159" s="5" t="s">
        <v>363</v>
      </c>
      <c r="E159" s="5" t="e">
        <f t="array" ref="E159">INDEX('Master SLS'!$H$2:$H998,MATCH($AL159,'Master SLS'!$K$2:$K998,0))</f>
        <v>#VALUE!</v>
      </c>
      <c r="F159" s="5" t="e">
        <f t="array" ref="F159">INDEX('Master SLS'!$I$2:$I998,MATCH($AL159,'Master SLS'!$K$2:$K998,0))</f>
        <v>#VALUE!</v>
      </c>
      <c r="G159" s="5" t="s">
        <v>1363</v>
      </c>
      <c r="H159" s="5" t="s">
        <v>1364</v>
      </c>
      <c r="I159" s="5" t="s">
        <v>388</v>
      </c>
      <c r="J159" s="5">
        <v>1</v>
      </c>
      <c r="K159" s="5" t="s">
        <v>1365</v>
      </c>
      <c r="L159" s="5">
        <v>61</v>
      </c>
      <c r="M159" s="5">
        <v>4</v>
      </c>
      <c r="N159" s="5">
        <v>100</v>
      </c>
      <c r="O159" s="5">
        <v>7</v>
      </c>
      <c r="P159" s="5" t="s">
        <v>1366</v>
      </c>
      <c r="Q159" s="5">
        <v>1</v>
      </c>
      <c r="R159" s="74">
        <v>37183</v>
      </c>
      <c r="T159" s="5">
        <v>1</v>
      </c>
      <c r="U159" s="5">
        <v>1</v>
      </c>
      <c r="V159" s="5">
        <v>1</v>
      </c>
      <c r="W159" s="5">
        <v>5</v>
      </c>
      <c r="X159" s="5">
        <v>7</v>
      </c>
      <c r="Y159" s="5" t="s">
        <v>1367</v>
      </c>
      <c r="AA159" s="5">
        <v>0</v>
      </c>
      <c r="AB159" s="5">
        <v>0</v>
      </c>
      <c r="AC159" s="5">
        <v>0</v>
      </c>
      <c r="AD159" s="5">
        <v>0</v>
      </c>
      <c r="AE159" s="5">
        <v>0</v>
      </c>
      <c r="AF159" s="5">
        <v>0</v>
      </c>
      <c r="AG159" s="5">
        <v>0</v>
      </c>
      <c r="AI159" s="5" t="s">
        <v>388</v>
      </c>
      <c r="AJ159" s="5" t="s">
        <v>1368</v>
      </c>
      <c r="AK159" s="5">
        <v>610423110021</v>
      </c>
      <c r="AL159" s="5" t="e">
        <f t="shared" si="3"/>
        <v>#VALUE!</v>
      </c>
    </row>
    <row r="160" spans="1:38" ht="12.5">
      <c r="A160" s="10" t="str">
        <f t="shared" si="0"/>
        <v>Hesty Yuniarti</v>
      </c>
      <c r="B160" s="5">
        <f t="shared" si="1"/>
        <v>610423110040</v>
      </c>
      <c r="C160" s="5" t="str">
        <f t="shared" si="2"/>
        <v>Hesty Yuniarti</v>
      </c>
      <c r="D160" s="5" t="s">
        <v>363</v>
      </c>
      <c r="E160" s="5" t="e">
        <f t="array" ref="E160">INDEX('Master SLS'!$H$2:$H998,MATCH($AL160,'Master SLS'!$K$2:$K998,0))</f>
        <v>#VALUE!</v>
      </c>
      <c r="F160" s="5" t="e">
        <f t="array" ref="F160">INDEX('Master SLS'!$I$2:$I998,MATCH($AL160,'Master SLS'!$K$2:$K998,0))</f>
        <v>#VALUE!</v>
      </c>
      <c r="G160" s="5" t="s">
        <v>1369</v>
      </c>
      <c r="H160" s="5" t="s">
        <v>1370</v>
      </c>
      <c r="I160" s="5" t="s">
        <v>366</v>
      </c>
      <c r="J160" s="5">
        <v>1</v>
      </c>
      <c r="K160" s="5" t="s">
        <v>1371</v>
      </c>
      <c r="L160" s="5">
        <v>61</v>
      </c>
      <c r="M160" s="5">
        <v>4</v>
      </c>
      <c r="N160" s="5">
        <v>90</v>
      </c>
      <c r="O160" s="5">
        <v>11</v>
      </c>
      <c r="P160" s="5" t="s">
        <v>1372</v>
      </c>
      <c r="Q160" s="5">
        <v>1</v>
      </c>
      <c r="R160" s="74">
        <v>37413</v>
      </c>
      <c r="T160" s="5">
        <v>0</v>
      </c>
      <c r="U160" s="5">
        <v>1</v>
      </c>
      <c r="V160" s="5">
        <v>1</v>
      </c>
      <c r="W160" s="5">
        <v>3</v>
      </c>
      <c r="X160" s="5">
        <v>6</v>
      </c>
      <c r="Y160" s="5"/>
      <c r="AA160" s="5">
        <v>0</v>
      </c>
      <c r="AB160" s="5">
        <v>0</v>
      </c>
      <c r="AC160" s="5">
        <v>0</v>
      </c>
      <c r="AD160" s="5">
        <v>0</v>
      </c>
      <c r="AE160" s="5">
        <v>0</v>
      </c>
      <c r="AF160" s="5">
        <v>0</v>
      </c>
      <c r="AG160" s="5">
        <v>0</v>
      </c>
      <c r="AH160" s="5" t="s">
        <v>1373</v>
      </c>
      <c r="AI160" s="5" t="s">
        <v>366</v>
      </c>
      <c r="AJ160" s="5" t="s">
        <v>1374</v>
      </c>
      <c r="AK160" s="5">
        <v>610423110040</v>
      </c>
      <c r="AL160" s="5" t="e">
        <f t="shared" si="3"/>
        <v>#VALUE!</v>
      </c>
    </row>
    <row r="161" spans="1:38" ht="12.5">
      <c r="A161" s="10" t="str">
        <f t="shared" si="0"/>
        <v>Hidayat</v>
      </c>
      <c r="B161" s="5">
        <f t="shared" si="1"/>
        <v>610423110088</v>
      </c>
      <c r="C161" s="5" t="str">
        <f t="shared" si="2"/>
        <v>Hidayat</v>
      </c>
      <c r="D161" s="5" t="s">
        <v>363</v>
      </c>
      <c r="E161" s="5" t="e">
        <f t="array" ref="E161">INDEX('Master SLS'!$H$2:$H998,MATCH($AL161,'Master SLS'!$K$2:$K998,0))</f>
        <v>#VALUE!</v>
      </c>
      <c r="F161" s="5" t="e">
        <f t="array" ref="F161">INDEX('Master SLS'!$I$2:$I998,MATCH($AL161,'Master SLS'!$K$2:$K998,0))</f>
        <v>#VALUE!</v>
      </c>
      <c r="G161" s="5" t="s">
        <v>1375</v>
      </c>
      <c r="H161" s="5" t="s">
        <v>1376</v>
      </c>
      <c r="I161" s="5" t="s">
        <v>474</v>
      </c>
      <c r="J161" s="5">
        <v>1</v>
      </c>
      <c r="K161" s="5" t="s">
        <v>1377</v>
      </c>
      <c r="L161" s="5">
        <v>61</v>
      </c>
      <c r="M161" s="5">
        <v>4</v>
      </c>
      <c r="N161" s="5">
        <v>100</v>
      </c>
      <c r="O161" s="5">
        <v>7</v>
      </c>
      <c r="P161" s="5" t="s">
        <v>1378</v>
      </c>
      <c r="Q161" s="5">
        <v>1</v>
      </c>
      <c r="R161" s="74">
        <v>38046</v>
      </c>
      <c r="T161" s="5">
        <v>1</v>
      </c>
      <c r="U161" s="5">
        <v>1</v>
      </c>
      <c r="V161" s="5">
        <v>1</v>
      </c>
      <c r="W161" s="5">
        <v>3</v>
      </c>
      <c r="X161" s="5">
        <v>6</v>
      </c>
      <c r="AA161" s="5">
        <v>0</v>
      </c>
      <c r="AB161" s="5">
        <v>0</v>
      </c>
      <c r="AC161" s="5">
        <v>0</v>
      </c>
      <c r="AD161" s="5">
        <v>0</v>
      </c>
      <c r="AE161" s="5">
        <v>0</v>
      </c>
      <c r="AF161" s="5">
        <v>0</v>
      </c>
      <c r="AG161" s="5">
        <v>0</v>
      </c>
      <c r="AI161" s="5" t="s">
        <v>474</v>
      </c>
      <c r="AJ161" s="5" t="s">
        <v>1379</v>
      </c>
      <c r="AK161" s="5">
        <v>610423110088</v>
      </c>
      <c r="AL161" s="5" t="e">
        <f t="shared" si="3"/>
        <v>#VALUE!</v>
      </c>
    </row>
    <row r="162" spans="1:38" ht="12.5">
      <c r="A162" s="10" t="str">
        <f t="shared" si="0"/>
        <v>Hidayatus Shalihin</v>
      </c>
      <c r="B162" s="5">
        <f t="shared" si="1"/>
        <v>610423110141</v>
      </c>
      <c r="C162" s="5" t="str">
        <f t="shared" si="2"/>
        <v>Hidayatus Shalihin</v>
      </c>
      <c r="D162" s="5" t="s">
        <v>363</v>
      </c>
      <c r="E162" s="5" t="e">
        <f t="array" ref="E162">INDEX('Master SLS'!$H$2:$H998,MATCH($AL162,'Master SLS'!$K$2:$K998,0))</f>
        <v>#VALUE!</v>
      </c>
      <c r="F162" s="5" t="e">
        <f t="array" ref="F162">INDEX('Master SLS'!$I$2:$I998,MATCH($AL162,'Master SLS'!$K$2:$K998,0))</f>
        <v>#VALUE!</v>
      </c>
      <c r="G162" s="5" t="s">
        <v>1380</v>
      </c>
      <c r="H162" s="5" t="s">
        <v>1381</v>
      </c>
      <c r="I162" s="5" t="s">
        <v>388</v>
      </c>
      <c r="J162" s="5">
        <v>1</v>
      </c>
      <c r="K162" s="5" t="s">
        <v>1382</v>
      </c>
      <c r="L162" s="5">
        <v>61</v>
      </c>
      <c r="M162" s="5">
        <v>4</v>
      </c>
      <c r="N162" s="5">
        <v>100</v>
      </c>
      <c r="O162" s="5">
        <v>13</v>
      </c>
      <c r="P162" s="5" t="s">
        <v>1383</v>
      </c>
      <c r="Q162" s="5">
        <v>1</v>
      </c>
      <c r="R162" s="74">
        <v>36856</v>
      </c>
      <c r="S162" s="5" t="s">
        <v>1384</v>
      </c>
      <c r="T162" s="5">
        <v>1</v>
      </c>
      <c r="U162" s="5">
        <v>1</v>
      </c>
      <c r="V162" s="5">
        <v>1</v>
      </c>
      <c r="W162" s="5">
        <v>3</v>
      </c>
      <c r="X162" s="5">
        <v>6</v>
      </c>
      <c r="AA162" s="5">
        <v>0</v>
      </c>
      <c r="AB162" s="5">
        <v>0</v>
      </c>
      <c r="AC162" s="5">
        <v>0</v>
      </c>
      <c r="AD162" s="5">
        <v>0</v>
      </c>
      <c r="AE162" s="5">
        <v>0</v>
      </c>
      <c r="AF162" s="5">
        <v>0</v>
      </c>
      <c r="AG162" s="5">
        <v>0</v>
      </c>
      <c r="AH162" s="5" t="s">
        <v>1385</v>
      </c>
      <c r="AI162" s="5" t="s">
        <v>388</v>
      </c>
      <c r="AJ162" s="5" t="s">
        <v>1386</v>
      </c>
      <c r="AK162" s="5">
        <v>610423110141</v>
      </c>
      <c r="AL162" s="5" t="e">
        <f t="shared" si="3"/>
        <v>#VALUE!</v>
      </c>
    </row>
    <row r="163" spans="1:38" ht="12.5">
      <c r="A163" s="10" t="str">
        <f t="shared" si="0"/>
        <v>Hoirol Abror Rohman</v>
      </c>
      <c r="B163" s="5">
        <f t="shared" si="1"/>
        <v>610423110114</v>
      </c>
      <c r="C163" s="5" t="str">
        <f t="shared" si="2"/>
        <v>HOIROL ABROR ROHMAN</v>
      </c>
      <c r="D163" s="5" t="s">
        <v>363</v>
      </c>
      <c r="E163" s="5" t="e">
        <f t="array" ref="E163">INDEX('Master SLS'!$H$2:$H998,MATCH($AL163,'Master SLS'!$K$2:$K998,0))</f>
        <v>#VALUE!</v>
      </c>
      <c r="F163" s="5" t="e">
        <f t="array" ref="F163">INDEX('Master SLS'!$I$2:$I998,MATCH($AL163,'Master SLS'!$K$2:$K998,0))</f>
        <v>#VALUE!</v>
      </c>
      <c r="G163" s="5" t="s">
        <v>1387</v>
      </c>
      <c r="H163" s="5" t="s">
        <v>1388</v>
      </c>
      <c r="I163" s="5" t="s">
        <v>388</v>
      </c>
      <c r="J163" s="5">
        <v>1</v>
      </c>
      <c r="K163" s="5" t="s">
        <v>1389</v>
      </c>
      <c r="L163" s="5">
        <v>61</v>
      </c>
      <c r="M163" s="5">
        <v>4</v>
      </c>
      <c r="N163" s="5">
        <v>80</v>
      </c>
      <c r="O163" s="5">
        <v>4</v>
      </c>
      <c r="P163" s="5" t="s">
        <v>1390</v>
      </c>
      <c r="Q163" s="5">
        <v>1</v>
      </c>
      <c r="R163" s="74">
        <v>36850</v>
      </c>
      <c r="T163" s="5">
        <v>1</v>
      </c>
      <c r="U163" s="5">
        <v>1</v>
      </c>
      <c r="V163" s="5">
        <v>1</v>
      </c>
      <c r="W163" s="5">
        <v>3</v>
      </c>
      <c r="X163" s="5">
        <v>6</v>
      </c>
      <c r="AA163" s="5">
        <v>1</v>
      </c>
      <c r="AB163" s="5">
        <v>0</v>
      </c>
      <c r="AC163" s="5">
        <v>1</v>
      </c>
      <c r="AD163" s="5">
        <v>0</v>
      </c>
      <c r="AE163" s="5">
        <v>0</v>
      </c>
      <c r="AF163" s="5">
        <v>0</v>
      </c>
      <c r="AG163" s="5">
        <v>0</v>
      </c>
      <c r="AH163" s="5" t="s">
        <v>1391</v>
      </c>
      <c r="AI163" s="5" t="s">
        <v>388</v>
      </c>
      <c r="AJ163" s="5" t="s">
        <v>1392</v>
      </c>
      <c r="AK163" s="5">
        <v>610423110114</v>
      </c>
      <c r="AL163" s="5" t="e">
        <f t="shared" si="3"/>
        <v>#VALUE!</v>
      </c>
    </row>
    <row r="164" spans="1:38" ht="12.5">
      <c r="A164" s="10" t="str">
        <f t="shared" si="0"/>
        <v>Holil</v>
      </c>
      <c r="B164" s="5">
        <f t="shared" si="1"/>
        <v>610422100277</v>
      </c>
      <c r="C164" s="5" t="str">
        <f t="shared" si="2"/>
        <v>Holil</v>
      </c>
      <c r="D164" s="5" t="s">
        <v>363</v>
      </c>
      <c r="E164" s="5" t="e">
        <f t="array" ref="E164">INDEX('Master SLS'!$H$2:$H998,MATCH($AL164,'Master SLS'!$K$2:$K998,0))</f>
        <v>#VALUE!</v>
      </c>
      <c r="F164" s="5" t="e">
        <f t="array" ref="F164">INDEX('Master SLS'!$I$2:$I998,MATCH($AL164,'Master SLS'!$K$2:$K998,0))</f>
        <v>#VALUE!</v>
      </c>
      <c r="G164" s="5" t="s">
        <v>1393</v>
      </c>
      <c r="H164" s="5" t="s">
        <v>1394</v>
      </c>
      <c r="I164" s="5" t="s">
        <v>366</v>
      </c>
      <c r="J164" s="5">
        <v>1</v>
      </c>
      <c r="K164" s="5" t="s">
        <v>1395</v>
      </c>
      <c r="L164" s="5">
        <v>61</v>
      </c>
      <c r="M164" s="5">
        <v>4</v>
      </c>
      <c r="N164" s="5">
        <v>90</v>
      </c>
      <c r="O164" s="5">
        <v>10</v>
      </c>
      <c r="P164" s="5" t="s">
        <v>1396</v>
      </c>
      <c r="Q164" s="5">
        <v>1</v>
      </c>
      <c r="R164" s="74">
        <v>36561</v>
      </c>
      <c r="T164" s="5">
        <v>1</v>
      </c>
      <c r="U164" s="5">
        <v>1</v>
      </c>
      <c r="V164" s="5">
        <v>1</v>
      </c>
      <c r="W164" s="5">
        <v>5</v>
      </c>
      <c r="X164" s="5">
        <v>7</v>
      </c>
      <c r="Y164" s="5" t="s">
        <v>1397</v>
      </c>
      <c r="AA164" s="5">
        <v>1</v>
      </c>
      <c r="AB164" s="5">
        <v>0</v>
      </c>
      <c r="AC164" s="5">
        <v>0</v>
      </c>
      <c r="AD164" s="5">
        <v>1</v>
      </c>
      <c r="AE164" s="5">
        <v>0</v>
      </c>
      <c r="AF164" s="5">
        <v>0</v>
      </c>
      <c r="AG164" s="5">
        <v>0</v>
      </c>
      <c r="AH164" s="5" t="s">
        <v>1398</v>
      </c>
      <c r="AI164" s="5" t="s">
        <v>366</v>
      </c>
      <c r="AJ164" s="5" t="s">
        <v>1399</v>
      </c>
      <c r="AK164" s="5">
        <v>610422100277</v>
      </c>
      <c r="AL164" s="5" t="e">
        <f t="shared" si="3"/>
        <v>#VALUE!</v>
      </c>
    </row>
    <row r="165" spans="1:38" ht="12.5">
      <c r="A165" s="10" t="str">
        <f t="shared" si="0"/>
        <v>Hotideh</v>
      </c>
      <c r="B165" s="5">
        <f t="shared" si="1"/>
        <v>610423090029</v>
      </c>
      <c r="C165" s="5" t="str">
        <f t="shared" si="2"/>
        <v>Hotideh</v>
      </c>
      <c r="D165" s="5" t="s">
        <v>363</v>
      </c>
      <c r="E165" s="5" t="e">
        <f t="array" ref="E165">INDEX('Master SLS'!$H$2:$H998,MATCH($AL165,'Master SLS'!$K$2:$K998,0))</f>
        <v>#VALUE!</v>
      </c>
      <c r="F165" s="5" t="e">
        <f t="array" ref="F165">INDEX('Master SLS'!$I$2:$I998,MATCH($AL165,'Master SLS'!$K$2:$K998,0))</f>
        <v>#VALUE!</v>
      </c>
      <c r="G165" s="5" t="s">
        <v>1400</v>
      </c>
      <c r="H165" s="5" t="s">
        <v>1401</v>
      </c>
      <c r="I165" s="5" t="s">
        <v>366</v>
      </c>
      <c r="J165" s="5">
        <v>1</v>
      </c>
      <c r="K165" s="5" t="s">
        <v>1402</v>
      </c>
      <c r="L165" s="5">
        <v>61</v>
      </c>
      <c r="M165" s="5">
        <v>4</v>
      </c>
      <c r="N165" s="5">
        <v>101</v>
      </c>
      <c r="O165" s="5">
        <v>7</v>
      </c>
      <c r="P165" s="5" t="s">
        <v>1403</v>
      </c>
      <c r="Q165" s="5">
        <v>1</v>
      </c>
      <c r="R165" s="7">
        <v>36414</v>
      </c>
      <c r="S165" s="5" t="s">
        <v>1404</v>
      </c>
      <c r="T165" s="5">
        <v>0</v>
      </c>
      <c r="U165" s="5">
        <v>1</v>
      </c>
      <c r="V165" s="5">
        <v>1</v>
      </c>
      <c r="W165" s="5">
        <v>5</v>
      </c>
      <c r="X165" s="5">
        <v>3</v>
      </c>
      <c r="Y165" s="5"/>
      <c r="AA165" s="5">
        <v>0</v>
      </c>
      <c r="AB165" s="5">
        <v>0</v>
      </c>
      <c r="AC165" s="5">
        <v>0</v>
      </c>
      <c r="AD165" s="5">
        <v>0</v>
      </c>
      <c r="AE165" s="5">
        <v>0</v>
      </c>
      <c r="AF165" s="5">
        <v>0</v>
      </c>
      <c r="AG165" s="5">
        <v>0</v>
      </c>
      <c r="AH165" s="5" t="s">
        <v>1405</v>
      </c>
      <c r="AI165" s="5" t="s">
        <v>366</v>
      </c>
      <c r="AJ165" s="5" t="s">
        <v>1401</v>
      </c>
      <c r="AK165" s="5">
        <v>610423090029</v>
      </c>
      <c r="AL165" s="5" t="e">
        <f t="shared" si="3"/>
        <v>#VALUE!</v>
      </c>
    </row>
    <row r="166" spans="1:38" ht="12.5">
      <c r="A166" s="10" t="str">
        <f t="shared" si="0"/>
        <v>Husnul Fadillah</v>
      </c>
      <c r="B166" s="5">
        <f t="shared" si="1"/>
        <v>610423090020</v>
      </c>
      <c r="C166" s="5" t="str">
        <f t="shared" si="2"/>
        <v>Husnul Fadillah</v>
      </c>
      <c r="D166" s="5" t="s">
        <v>363</v>
      </c>
      <c r="E166" s="5" t="e">
        <f t="array" ref="E166">INDEX('Master SLS'!$H$2:$H998,MATCH($AL166,'Master SLS'!$K$2:$K998,0))</f>
        <v>#VALUE!</v>
      </c>
      <c r="F166" s="5" t="e">
        <f t="array" ref="F166">INDEX('Master SLS'!$I$2:$I998,MATCH($AL166,'Master SLS'!$K$2:$K998,0))</f>
        <v>#VALUE!</v>
      </c>
      <c r="G166" s="5" t="s">
        <v>1406</v>
      </c>
      <c r="H166" s="5" t="s">
        <v>1407</v>
      </c>
      <c r="I166" s="5" t="s">
        <v>388</v>
      </c>
      <c r="J166" s="5">
        <v>1</v>
      </c>
      <c r="K166" s="5" t="s">
        <v>1408</v>
      </c>
      <c r="L166" s="5">
        <v>61</v>
      </c>
      <c r="M166" s="5">
        <v>4</v>
      </c>
      <c r="N166" s="5">
        <v>100</v>
      </c>
      <c r="O166" s="5">
        <v>8</v>
      </c>
      <c r="P166" s="5" t="s">
        <v>1409</v>
      </c>
      <c r="Q166" s="5">
        <v>1</v>
      </c>
      <c r="R166" s="74">
        <v>37518</v>
      </c>
      <c r="T166" s="5">
        <v>0</v>
      </c>
      <c r="U166" s="5">
        <v>1</v>
      </c>
      <c r="V166" s="5">
        <v>1</v>
      </c>
      <c r="W166" s="5">
        <v>3</v>
      </c>
      <c r="X166" s="5">
        <v>6</v>
      </c>
      <c r="AA166" s="5">
        <v>0</v>
      </c>
      <c r="AB166" s="5">
        <v>0</v>
      </c>
      <c r="AC166" s="5">
        <v>0</v>
      </c>
      <c r="AD166" s="5">
        <v>0</v>
      </c>
      <c r="AE166" s="5">
        <v>0</v>
      </c>
      <c r="AF166" s="5">
        <v>0</v>
      </c>
      <c r="AG166" s="5">
        <v>0</v>
      </c>
      <c r="AI166" s="5" t="s">
        <v>388</v>
      </c>
      <c r="AJ166" s="5" t="s">
        <v>1410</v>
      </c>
      <c r="AK166" s="5">
        <v>610423090020</v>
      </c>
      <c r="AL166" s="5" t="e">
        <f t="shared" si="3"/>
        <v>#VALUE!</v>
      </c>
    </row>
    <row r="167" spans="1:38" ht="12.5">
      <c r="A167" s="10" t="str">
        <f t="shared" si="0"/>
        <v>Ibrahim,S Pd.I</v>
      </c>
      <c r="B167" s="5">
        <f t="shared" si="1"/>
        <v>610423090011</v>
      </c>
      <c r="C167" s="5" t="str">
        <f t="shared" si="2"/>
        <v>IBRAHIM,S Pd.i</v>
      </c>
      <c r="D167" s="5" t="s">
        <v>363</v>
      </c>
      <c r="E167" s="5" t="e">
        <f t="array" ref="E167">INDEX('Master SLS'!$H$2:$H998,MATCH($AL167,'Master SLS'!$K$2:$K998,0))</f>
        <v>#VALUE!</v>
      </c>
      <c r="F167" s="5" t="e">
        <f t="array" ref="F167">INDEX('Master SLS'!$I$2:$I998,MATCH($AL167,'Master SLS'!$K$2:$K998,0))</f>
        <v>#VALUE!</v>
      </c>
      <c r="G167" s="5" t="s">
        <v>1411</v>
      </c>
      <c r="H167" s="5" t="s">
        <v>1412</v>
      </c>
      <c r="I167" s="5" t="s">
        <v>366</v>
      </c>
      <c r="J167" s="5">
        <v>1</v>
      </c>
      <c r="K167" s="5" t="s">
        <v>1413</v>
      </c>
      <c r="L167" s="5">
        <v>61</v>
      </c>
      <c r="M167" s="5">
        <v>4</v>
      </c>
      <c r="N167" s="5">
        <v>90</v>
      </c>
      <c r="O167" s="5">
        <v>4</v>
      </c>
      <c r="P167" s="5" t="s">
        <v>1414</v>
      </c>
      <c r="Q167" s="5">
        <v>1</v>
      </c>
      <c r="R167" s="7">
        <v>32383</v>
      </c>
      <c r="T167" s="5">
        <v>1</v>
      </c>
      <c r="U167" s="5">
        <v>1</v>
      </c>
      <c r="V167" s="5">
        <v>2</v>
      </c>
      <c r="W167" s="5">
        <v>5</v>
      </c>
      <c r="X167" s="5">
        <v>7</v>
      </c>
      <c r="Y167" s="5" t="s">
        <v>1415</v>
      </c>
      <c r="AA167" s="5">
        <v>0</v>
      </c>
      <c r="AB167" s="5">
        <v>0</v>
      </c>
      <c r="AC167" s="5">
        <v>0</v>
      </c>
      <c r="AD167" s="5">
        <v>0</v>
      </c>
      <c r="AE167" s="5">
        <v>0</v>
      </c>
      <c r="AF167" s="5">
        <v>0</v>
      </c>
      <c r="AG167" s="5">
        <v>0</v>
      </c>
      <c r="AH167" s="5" t="s">
        <v>369</v>
      </c>
      <c r="AI167" s="5" t="s">
        <v>366</v>
      </c>
      <c r="AJ167" s="5" t="s">
        <v>1416</v>
      </c>
      <c r="AK167" s="5">
        <v>610423090011</v>
      </c>
      <c r="AL167" s="5" t="e">
        <f t="shared" si="3"/>
        <v>#VALUE!</v>
      </c>
    </row>
    <row r="168" spans="1:38" ht="12.5">
      <c r="A168" s="10" t="str">
        <f t="shared" si="0"/>
        <v>Ikhsan</v>
      </c>
      <c r="B168" s="5">
        <f t="shared" si="1"/>
        <v>610423110156</v>
      </c>
      <c r="C168" s="5" t="str">
        <f t="shared" si="2"/>
        <v>IKHSAN</v>
      </c>
      <c r="D168" s="5" t="s">
        <v>363</v>
      </c>
      <c r="E168" s="5" t="e">
        <f t="array" ref="E168">INDEX('Master SLS'!$H$2:$H998,MATCH($AL168,'Master SLS'!$K$2:$K998,0))</f>
        <v>#VALUE!</v>
      </c>
      <c r="F168" s="5" t="e">
        <f t="array" ref="F168">INDEX('Master SLS'!$I$2:$I998,MATCH($AL168,'Master SLS'!$K$2:$K998,0))</f>
        <v>#VALUE!</v>
      </c>
      <c r="G168" s="5" t="s">
        <v>1417</v>
      </c>
      <c r="H168" s="5" t="s">
        <v>1418</v>
      </c>
      <c r="I168" s="5" t="s">
        <v>366</v>
      </c>
      <c r="J168" s="5">
        <v>1</v>
      </c>
      <c r="K168" s="5" t="s">
        <v>1419</v>
      </c>
      <c r="L168" s="5">
        <v>61</v>
      </c>
      <c r="M168" s="5">
        <v>4</v>
      </c>
      <c r="N168" s="5">
        <v>91</v>
      </c>
      <c r="O168" s="5">
        <v>6</v>
      </c>
      <c r="P168" s="5" t="s">
        <v>1420</v>
      </c>
      <c r="Q168" s="5">
        <v>1</v>
      </c>
      <c r="R168" s="74">
        <v>36382</v>
      </c>
      <c r="S168" s="5" t="s">
        <v>1421</v>
      </c>
      <c r="T168" s="5">
        <v>1</v>
      </c>
      <c r="U168" s="5">
        <v>1</v>
      </c>
      <c r="V168" s="5">
        <v>1</v>
      </c>
      <c r="W168" s="5">
        <v>3</v>
      </c>
      <c r="X168" s="5">
        <v>7</v>
      </c>
      <c r="Y168" s="5" t="s">
        <v>604</v>
      </c>
      <c r="AA168" s="5">
        <v>0</v>
      </c>
      <c r="AB168" s="5">
        <v>0</v>
      </c>
      <c r="AC168" s="5">
        <v>0</v>
      </c>
      <c r="AD168" s="5">
        <v>0</v>
      </c>
      <c r="AE168" s="5">
        <v>0</v>
      </c>
      <c r="AF168" s="5">
        <v>0</v>
      </c>
      <c r="AG168" s="5">
        <v>0</v>
      </c>
      <c r="AH168" s="5"/>
      <c r="AI168" s="5" t="s">
        <v>366</v>
      </c>
      <c r="AJ168" s="5" t="s">
        <v>1422</v>
      </c>
      <c r="AK168" s="5">
        <v>610423110156</v>
      </c>
      <c r="AL168" s="5" t="e">
        <f t="shared" si="3"/>
        <v>#VALUE!</v>
      </c>
    </row>
    <row r="169" spans="1:38" ht="12.5">
      <c r="A169" s="10" t="str">
        <f t="shared" si="0"/>
        <v>Ilfi Nur Diana</v>
      </c>
      <c r="B169" s="5">
        <f t="shared" si="1"/>
        <v>610422020008</v>
      </c>
      <c r="C169" s="5" t="str">
        <f t="shared" si="2"/>
        <v>Ilfi Nur Diana</v>
      </c>
      <c r="D169" s="5" t="s">
        <v>363</v>
      </c>
      <c r="E169" s="5" t="e">
        <f t="array" ref="E169">INDEX('Master SLS'!$H$2:$H998,MATCH($AL169,'Master SLS'!$K$2:$K998,0))</f>
        <v>#VALUE!</v>
      </c>
      <c r="F169" s="5" t="e">
        <f t="array" ref="F169">INDEX('Master SLS'!$I$2:$I998,MATCH($AL169,'Master SLS'!$K$2:$K998,0))</f>
        <v>#VALUE!</v>
      </c>
      <c r="G169" s="5" t="s">
        <v>1423</v>
      </c>
      <c r="H169" s="5" t="s">
        <v>1424</v>
      </c>
      <c r="I169" s="5" t="s">
        <v>388</v>
      </c>
      <c r="J169" s="5">
        <v>1</v>
      </c>
      <c r="K169" s="5" t="s">
        <v>1425</v>
      </c>
      <c r="L169" s="5">
        <v>61</v>
      </c>
      <c r="M169" s="5">
        <v>4</v>
      </c>
      <c r="N169" s="5">
        <v>110</v>
      </c>
      <c r="O169" s="5">
        <v>6</v>
      </c>
      <c r="P169" s="5" t="s">
        <v>1426</v>
      </c>
      <c r="Q169" s="5">
        <v>1</v>
      </c>
      <c r="R169" s="74">
        <v>35501</v>
      </c>
      <c r="S169" s="5" t="s">
        <v>1427</v>
      </c>
      <c r="T169" s="5">
        <v>0</v>
      </c>
      <c r="U169" s="5">
        <v>1</v>
      </c>
      <c r="V169" s="5">
        <v>1</v>
      </c>
      <c r="W169" s="5">
        <v>5</v>
      </c>
      <c r="X169" s="5">
        <v>5</v>
      </c>
      <c r="AA169" s="5">
        <v>1</v>
      </c>
      <c r="AB169" s="5">
        <v>1</v>
      </c>
      <c r="AC169" s="5">
        <v>1</v>
      </c>
      <c r="AD169" s="5">
        <v>0</v>
      </c>
      <c r="AE169" s="5">
        <v>1</v>
      </c>
      <c r="AF169" s="5">
        <v>1</v>
      </c>
      <c r="AG169" s="5">
        <v>0</v>
      </c>
      <c r="AH169" s="5"/>
      <c r="AI169" s="5" t="s">
        <v>388</v>
      </c>
      <c r="AJ169" s="5" t="s">
        <v>1428</v>
      </c>
      <c r="AK169" s="5">
        <v>610422020008</v>
      </c>
      <c r="AL169" s="5" t="e">
        <f t="shared" si="3"/>
        <v>#VALUE!</v>
      </c>
    </row>
    <row r="170" spans="1:38" ht="12.5">
      <c r="A170" s="10" t="str">
        <f t="shared" si="0"/>
        <v>Ilham Subagio</v>
      </c>
      <c r="B170" s="5">
        <f t="shared" si="1"/>
        <v>610422100083</v>
      </c>
      <c r="C170" s="5" t="str">
        <f t="shared" si="2"/>
        <v>ILHAM SUBAGIO</v>
      </c>
      <c r="D170" s="5" t="s">
        <v>363</v>
      </c>
      <c r="E170" s="5" t="e">
        <f t="array" ref="E170">INDEX('Master SLS'!$H$2:$H998,MATCH($AL170,'Master SLS'!$K$2:$K998,0))</f>
        <v>#VALUE!</v>
      </c>
      <c r="F170" s="5" t="e">
        <f t="array" ref="F170">INDEX('Master SLS'!$I$2:$I998,MATCH($AL170,'Master SLS'!$K$2:$K998,0))</f>
        <v>#VALUE!</v>
      </c>
      <c r="G170" s="5" t="s">
        <v>1429</v>
      </c>
      <c r="H170" s="5" t="s">
        <v>1430</v>
      </c>
      <c r="I170" s="5" t="s">
        <v>388</v>
      </c>
      <c r="J170" s="5">
        <v>1</v>
      </c>
      <c r="K170" s="5" t="s">
        <v>1431</v>
      </c>
      <c r="L170" s="5">
        <v>61</v>
      </c>
      <c r="M170" s="5">
        <v>4</v>
      </c>
      <c r="N170" s="5">
        <v>100</v>
      </c>
      <c r="O170" s="5">
        <v>7</v>
      </c>
      <c r="P170" s="5" t="s">
        <v>1432</v>
      </c>
      <c r="Q170" s="5">
        <v>1</v>
      </c>
      <c r="R170" s="74">
        <v>35601</v>
      </c>
      <c r="T170" s="5">
        <v>1</v>
      </c>
      <c r="U170" s="5">
        <v>1</v>
      </c>
      <c r="V170" s="5">
        <v>1</v>
      </c>
      <c r="W170" s="5">
        <v>3</v>
      </c>
      <c r="X170" s="5">
        <v>6</v>
      </c>
      <c r="Y170" s="5"/>
      <c r="AA170" s="5">
        <v>1</v>
      </c>
      <c r="AB170" s="5">
        <v>0</v>
      </c>
      <c r="AC170" s="5">
        <v>1</v>
      </c>
      <c r="AD170" s="5">
        <v>0</v>
      </c>
      <c r="AE170" s="5">
        <v>0</v>
      </c>
      <c r="AF170" s="5">
        <v>0</v>
      </c>
      <c r="AG170" s="5">
        <v>0</v>
      </c>
      <c r="AH170" s="5" t="s">
        <v>369</v>
      </c>
      <c r="AI170" s="5" t="s">
        <v>388</v>
      </c>
      <c r="AJ170" s="5" t="s">
        <v>1433</v>
      </c>
      <c r="AK170" s="5">
        <v>610422100083</v>
      </c>
      <c r="AL170" s="5" t="e">
        <f t="shared" si="3"/>
        <v>#VALUE!</v>
      </c>
    </row>
    <row r="171" spans="1:38" ht="12.5">
      <c r="A171" s="10" t="str">
        <f t="shared" si="0"/>
        <v>Imam Fajri Muslim</v>
      </c>
      <c r="B171" s="5">
        <f t="shared" si="1"/>
        <v>610422040031</v>
      </c>
      <c r="C171" s="5" t="str">
        <f t="shared" si="2"/>
        <v>IMAM FAJRI MUSLIM</v>
      </c>
      <c r="D171" s="5" t="s">
        <v>363</v>
      </c>
      <c r="E171" s="5" t="e">
        <f t="array" ref="E171">INDEX('Master SLS'!$H$2:$H998,MATCH($AL171,'Master SLS'!$K$2:$K998,0))</f>
        <v>#VALUE!</v>
      </c>
      <c r="F171" s="5" t="e">
        <f t="array" ref="F171">INDEX('Master SLS'!$I$2:$I998,MATCH($AL171,'Master SLS'!$K$2:$K998,0))</f>
        <v>#VALUE!</v>
      </c>
      <c r="G171" s="5" t="s">
        <v>1434</v>
      </c>
      <c r="H171" s="5" t="s">
        <v>1435</v>
      </c>
      <c r="I171" s="5" t="s">
        <v>388</v>
      </c>
      <c r="J171" s="5">
        <v>1</v>
      </c>
      <c r="K171" s="5" t="s">
        <v>1436</v>
      </c>
      <c r="L171" s="5">
        <v>61</v>
      </c>
      <c r="M171" s="5">
        <v>4</v>
      </c>
      <c r="N171" s="5">
        <v>100</v>
      </c>
      <c r="O171" s="5">
        <v>8</v>
      </c>
      <c r="P171" s="5" t="s">
        <v>1437</v>
      </c>
      <c r="Q171" s="5">
        <v>1</v>
      </c>
      <c r="R171" s="74">
        <v>37115</v>
      </c>
      <c r="T171" s="5">
        <v>1</v>
      </c>
      <c r="U171" s="5">
        <v>1</v>
      </c>
      <c r="V171" s="5">
        <v>1</v>
      </c>
      <c r="W171" s="5">
        <v>3</v>
      </c>
      <c r="X171" s="5">
        <v>7</v>
      </c>
      <c r="Y171" s="5" t="s">
        <v>567</v>
      </c>
      <c r="AA171" s="5">
        <v>1</v>
      </c>
      <c r="AB171" s="5">
        <v>1</v>
      </c>
      <c r="AC171" s="5">
        <v>0</v>
      </c>
      <c r="AD171" s="5">
        <v>0</v>
      </c>
      <c r="AE171" s="5">
        <v>0</v>
      </c>
      <c r="AF171" s="5">
        <v>0</v>
      </c>
      <c r="AG171" s="5">
        <v>0</v>
      </c>
      <c r="AI171" s="5" t="s">
        <v>388</v>
      </c>
      <c r="AJ171" s="5" t="s">
        <v>1438</v>
      </c>
      <c r="AK171" s="5">
        <v>610422040031</v>
      </c>
      <c r="AL171" s="5" t="e">
        <f t="shared" si="3"/>
        <v>#VALUE!</v>
      </c>
    </row>
    <row r="172" spans="1:38" ht="12.5">
      <c r="A172" s="10" t="str">
        <f t="shared" si="0"/>
        <v>Imam Supriyadi</v>
      </c>
      <c r="B172" s="5">
        <f t="shared" si="1"/>
        <v>610423110005</v>
      </c>
      <c r="C172" s="5" t="str">
        <f t="shared" si="2"/>
        <v>Imam Supriyadi</v>
      </c>
      <c r="D172" s="5" t="s">
        <v>363</v>
      </c>
      <c r="E172" s="5" t="e">
        <f t="array" ref="E172">INDEX('Master SLS'!$H$2:$H998,MATCH($AL172,'Master SLS'!$K$2:$K998,0))</f>
        <v>#VALUE!</v>
      </c>
      <c r="F172" s="5" t="e">
        <f t="array" ref="F172">INDEX('Master SLS'!$I$2:$I998,MATCH($AL172,'Master SLS'!$K$2:$K998,0))</f>
        <v>#VALUE!</v>
      </c>
      <c r="G172" s="5" t="s">
        <v>1439</v>
      </c>
      <c r="H172" s="5" t="s">
        <v>1440</v>
      </c>
      <c r="I172" s="5" t="s">
        <v>366</v>
      </c>
      <c r="J172" s="5">
        <v>1</v>
      </c>
      <c r="K172" s="5" t="s">
        <v>1441</v>
      </c>
      <c r="L172" s="5">
        <v>61</v>
      </c>
      <c r="M172" s="5">
        <v>4</v>
      </c>
      <c r="N172" s="5">
        <v>100</v>
      </c>
      <c r="O172" s="5">
        <v>7</v>
      </c>
      <c r="P172" s="5" t="s">
        <v>1442</v>
      </c>
      <c r="Q172" s="5">
        <v>1</v>
      </c>
      <c r="R172" s="74">
        <v>29550</v>
      </c>
      <c r="S172" s="5"/>
      <c r="T172" s="5">
        <v>1</v>
      </c>
      <c r="U172" s="5">
        <v>1</v>
      </c>
      <c r="V172" s="5">
        <v>2</v>
      </c>
      <c r="W172" s="5">
        <v>4</v>
      </c>
      <c r="X172" s="5">
        <v>3</v>
      </c>
      <c r="AA172" s="5">
        <v>0</v>
      </c>
      <c r="AB172" s="5">
        <v>0</v>
      </c>
      <c r="AC172" s="5">
        <v>0</v>
      </c>
      <c r="AD172" s="5">
        <v>0</v>
      </c>
      <c r="AE172" s="5">
        <v>0</v>
      </c>
      <c r="AF172" s="5">
        <v>0</v>
      </c>
      <c r="AG172" s="5">
        <v>0</v>
      </c>
      <c r="AH172" s="5" t="s">
        <v>1443</v>
      </c>
      <c r="AI172" s="5" t="s">
        <v>366</v>
      </c>
      <c r="AJ172" s="5" t="s">
        <v>1444</v>
      </c>
      <c r="AK172" s="5">
        <v>610423110005</v>
      </c>
      <c r="AL172" s="5" t="e">
        <f t="shared" si="3"/>
        <v>#VALUE!</v>
      </c>
    </row>
    <row r="173" spans="1:38" ht="12.5">
      <c r="A173" s="10" t="str">
        <f t="shared" si="0"/>
        <v>Imamul Akhyar</v>
      </c>
      <c r="B173" s="5">
        <f t="shared" si="1"/>
        <v>610422100086</v>
      </c>
      <c r="C173" s="5" t="str">
        <f t="shared" si="2"/>
        <v>Imamul akhyar</v>
      </c>
      <c r="D173" s="5" t="s">
        <v>363</v>
      </c>
      <c r="E173" s="5" t="e">
        <f t="array" ref="E173">INDEX('Master SLS'!$H$2:$H998,MATCH($AL173,'Master SLS'!$K$2:$K998,0))</f>
        <v>#VALUE!</v>
      </c>
      <c r="F173" s="5" t="e">
        <f t="array" ref="F173">INDEX('Master SLS'!$I$2:$I998,MATCH($AL173,'Master SLS'!$K$2:$K998,0))</f>
        <v>#VALUE!</v>
      </c>
      <c r="G173" s="5" t="s">
        <v>1445</v>
      </c>
      <c r="H173" s="5" t="s">
        <v>1446</v>
      </c>
      <c r="I173" s="5" t="s">
        <v>366</v>
      </c>
      <c r="J173" s="5">
        <v>1</v>
      </c>
      <c r="K173" s="5" t="s">
        <v>1447</v>
      </c>
      <c r="L173" s="5">
        <v>61</v>
      </c>
      <c r="M173" s="5">
        <v>4</v>
      </c>
      <c r="N173" s="5">
        <v>100</v>
      </c>
      <c r="O173" s="5">
        <v>14</v>
      </c>
      <c r="P173" s="5" t="s">
        <v>1448</v>
      </c>
      <c r="Q173" s="5">
        <v>1</v>
      </c>
      <c r="R173" s="74">
        <v>34295</v>
      </c>
      <c r="S173" s="5"/>
      <c r="T173" s="5">
        <v>1</v>
      </c>
      <c r="U173" s="5">
        <v>1</v>
      </c>
      <c r="V173" s="5">
        <v>2</v>
      </c>
      <c r="W173" s="5">
        <v>3</v>
      </c>
      <c r="X173" s="5">
        <v>5</v>
      </c>
      <c r="AA173" s="5">
        <v>1</v>
      </c>
      <c r="AB173" s="5">
        <v>0</v>
      </c>
      <c r="AC173" s="5">
        <v>1</v>
      </c>
      <c r="AD173" s="5">
        <v>0</v>
      </c>
      <c r="AE173" s="5">
        <v>0</v>
      </c>
      <c r="AF173" s="5">
        <v>1</v>
      </c>
      <c r="AG173" s="5">
        <v>0</v>
      </c>
      <c r="AH173" s="5" t="s">
        <v>1449</v>
      </c>
      <c r="AI173" s="5" t="s">
        <v>366</v>
      </c>
      <c r="AJ173" s="5" t="s">
        <v>1450</v>
      </c>
      <c r="AK173" s="5">
        <v>610422100086</v>
      </c>
      <c r="AL173" s="5" t="e">
        <f t="shared" si="3"/>
        <v>#VALUE!</v>
      </c>
    </row>
    <row r="174" spans="1:38" ht="12.5">
      <c r="A174" s="10" t="str">
        <f t="shared" si="0"/>
        <v>Imanuel Ribut</v>
      </c>
      <c r="B174" s="5">
        <f t="shared" si="1"/>
        <v>610423110123</v>
      </c>
      <c r="C174" s="5" t="str">
        <f t="shared" si="2"/>
        <v>Imanuel ribut</v>
      </c>
      <c r="D174" s="5" t="s">
        <v>363</v>
      </c>
      <c r="E174" s="5" t="e">
        <f t="array" ref="E174">INDEX('Master SLS'!$H$2:$H998,MATCH($AL174,'Master SLS'!$K$2:$K998,0))</f>
        <v>#VALUE!</v>
      </c>
      <c r="F174" s="5" t="e">
        <f t="array" ref="F174">INDEX('Master SLS'!$I$2:$I998,MATCH($AL174,'Master SLS'!$K$2:$K998,0))</f>
        <v>#VALUE!</v>
      </c>
      <c r="G174" s="5" t="s">
        <v>1451</v>
      </c>
      <c r="H174" s="5" t="s">
        <v>1452</v>
      </c>
      <c r="I174" s="5" t="s">
        <v>366</v>
      </c>
      <c r="J174" s="5">
        <v>1</v>
      </c>
      <c r="K174" s="5" t="s">
        <v>1453</v>
      </c>
      <c r="L174" s="5">
        <v>61</v>
      </c>
      <c r="M174" s="5">
        <v>4</v>
      </c>
      <c r="N174" s="5">
        <v>121</v>
      </c>
      <c r="O174" s="5">
        <v>2</v>
      </c>
      <c r="P174" s="5" t="s">
        <v>1454</v>
      </c>
      <c r="Q174" s="5">
        <v>1</v>
      </c>
      <c r="R174" s="74">
        <v>38048</v>
      </c>
      <c r="T174" s="5">
        <v>1</v>
      </c>
      <c r="U174" s="5">
        <v>2</v>
      </c>
      <c r="V174" s="5">
        <v>1</v>
      </c>
      <c r="W174" s="5">
        <v>3</v>
      </c>
      <c r="X174" s="5">
        <v>7</v>
      </c>
      <c r="Y174" s="5" t="s">
        <v>1455</v>
      </c>
      <c r="AA174" s="5">
        <v>0</v>
      </c>
      <c r="AB174" s="5">
        <v>0</v>
      </c>
      <c r="AC174" s="5">
        <v>0</v>
      </c>
      <c r="AD174" s="5">
        <v>0</v>
      </c>
      <c r="AE174" s="5">
        <v>0</v>
      </c>
      <c r="AF174" s="5">
        <v>0</v>
      </c>
      <c r="AG174" s="5">
        <v>0</v>
      </c>
      <c r="AI174" s="5" t="s">
        <v>366</v>
      </c>
      <c r="AJ174" s="5" t="s">
        <v>1456</v>
      </c>
      <c r="AK174" s="5">
        <v>610423110123</v>
      </c>
      <c r="AL174" s="5" t="e">
        <f t="shared" si="3"/>
        <v>#VALUE!</v>
      </c>
    </row>
    <row r="175" spans="1:38" ht="12.5">
      <c r="A175" s="10" t="str">
        <f t="shared" si="0"/>
        <v>Immi</v>
      </c>
      <c r="B175" s="5">
        <f t="shared" si="1"/>
        <v>610422100286</v>
      </c>
      <c r="C175" s="5" t="str">
        <f t="shared" si="2"/>
        <v>IMMI</v>
      </c>
      <c r="D175" s="5" t="s">
        <v>363</v>
      </c>
      <c r="E175" s="5" t="e">
        <f t="array" ref="E175">INDEX('Master SLS'!$H$2:$H998,MATCH($AL175,'Master SLS'!$K$2:$K998,0))</f>
        <v>#VALUE!</v>
      </c>
      <c r="F175" s="5" t="e">
        <f t="array" ref="F175">INDEX('Master SLS'!$I$2:$I998,MATCH($AL175,'Master SLS'!$K$2:$K998,0))</f>
        <v>#VALUE!</v>
      </c>
      <c r="G175" s="5" t="s">
        <v>1457</v>
      </c>
      <c r="H175" s="5" t="s">
        <v>1458</v>
      </c>
      <c r="I175" s="5" t="s">
        <v>366</v>
      </c>
      <c r="J175" s="5">
        <v>1</v>
      </c>
      <c r="K175" s="5" t="s">
        <v>1459</v>
      </c>
      <c r="L175" s="5">
        <v>61</v>
      </c>
      <c r="M175" s="5">
        <v>4</v>
      </c>
      <c r="N175" s="5">
        <v>110</v>
      </c>
      <c r="O175" s="5">
        <v>7</v>
      </c>
      <c r="P175" s="5" t="s">
        <v>1460</v>
      </c>
      <c r="Q175" s="5">
        <v>1</v>
      </c>
      <c r="R175" s="74">
        <v>27427</v>
      </c>
      <c r="S175" s="5"/>
      <c r="T175" s="5">
        <v>0</v>
      </c>
      <c r="U175" s="5">
        <v>1</v>
      </c>
      <c r="V175" s="5">
        <v>2</v>
      </c>
      <c r="W175" s="5">
        <v>3</v>
      </c>
      <c r="X175" s="5">
        <v>4</v>
      </c>
      <c r="AA175" s="5">
        <v>0</v>
      </c>
      <c r="AB175" s="5">
        <v>0</v>
      </c>
      <c r="AC175" s="5">
        <v>0</v>
      </c>
      <c r="AD175" s="5">
        <v>0</v>
      </c>
      <c r="AE175" s="5">
        <v>0</v>
      </c>
      <c r="AF175" s="5">
        <v>0</v>
      </c>
      <c r="AG175" s="5">
        <v>0</v>
      </c>
      <c r="AH175" s="5" t="s">
        <v>1461</v>
      </c>
      <c r="AI175" s="5" t="s">
        <v>366</v>
      </c>
      <c r="AJ175" s="5" t="s">
        <v>1462</v>
      </c>
      <c r="AK175" s="5">
        <v>610422100286</v>
      </c>
      <c r="AL175" s="5" t="e">
        <f t="shared" si="3"/>
        <v>#VALUE!</v>
      </c>
    </row>
    <row r="176" spans="1:38" ht="12.5">
      <c r="A176" s="10" t="str">
        <f t="shared" si="0"/>
        <v>Ina Keni Miliyanti</v>
      </c>
      <c r="B176" s="5">
        <f t="shared" si="1"/>
        <v>610423110038</v>
      </c>
      <c r="C176" s="5" t="str">
        <f t="shared" si="2"/>
        <v>Ina Keni Miliyanti</v>
      </c>
      <c r="D176" s="5" t="s">
        <v>363</v>
      </c>
      <c r="E176" s="5" t="e">
        <f t="array" ref="E176">INDEX('Master SLS'!$H$2:$H998,MATCH($AL176,'Master SLS'!$K$2:$K998,0))</f>
        <v>#VALUE!</v>
      </c>
      <c r="F176" s="5" t="e">
        <f t="array" ref="F176">INDEX('Master SLS'!$I$2:$I998,MATCH($AL176,'Master SLS'!$K$2:$K998,0))</f>
        <v>#VALUE!</v>
      </c>
      <c r="G176" s="5" t="s">
        <v>1463</v>
      </c>
      <c r="H176" s="5" t="s">
        <v>1464</v>
      </c>
      <c r="I176" s="5" t="s">
        <v>388</v>
      </c>
      <c r="J176" s="5">
        <v>1</v>
      </c>
      <c r="K176" s="5" t="s">
        <v>1465</v>
      </c>
      <c r="L176" s="5">
        <v>61</v>
      </c>
      <c r="M176" s="5">
        <v>4</v>
      </c>
      <c r="N176" s="5">
        <v>80</v>
      </c>
      <c r="O176" s="5">
        <v>4</v>
      </c>
      <c r="P176" s="5" t="s">
        <v>1466</v>
      </c>
      <c r="Q176" s="5">
        <v>1</v>
      </c>
      <c r="R176" s="74">
        <v>31378</v>
      </c>
      <c r="S176" s="5" t="s">
        <v>1467</v>
      </c>
      <c r="T176" s="5">
        <v>0</v>
      </c>
      <c r="U176" s="5">
        <v>1</v>
      </c>
      <c r="V176" s="5">
        <v>2</v>
      </c>
      <c r="W176" s="5">
        <v>5</v>
      </c>
      <c r="X176" s="5">
        <v>2</v>
      </c>
      <c r="Y176" s="5"/>
      <c r="AA176" s="5">
        <v>0</v>
      </c>
      <c r="AB176" s="5">
        <v>0</v>
      </c>
      <c r="AC176" s="5">
        <v>0</v>
      </c>
      <c r="AD176" s="5">
        <v>0</v>
      </c>
      <c r="AE176" s="5">
        <v>0</v>
      </c>
      <c r="AF176" s="5">
        <v>0</v>
      </c>
      <c r="AG176" s="5">
        <v>0</v>
      </c>
      <c r="AH176" s="5" t="s">
        <v>1468</v>
      </c>
      <c r="AI176" s="5" t="s">
        <v>388</v>
      </c>
      <c r="AJ176" s="5" t="s">
        <v>1469</v>
      </c>
      <c r="AK176" s="5">
        <v>610423110038</v>
      </c>
      <c r="AL176" s="5" t="e">
        <f t="shared" si="3"/>
        <v>#VALUE!</v>
      </c>
    </row>
    <row r="177" spans="1:38" ht="12.5">
      <c r="A177" s="10" t="str">
        <f t="shared" si="0"/>
        <v>Indah Gigih Rintiani</v>
      </c>
      <c r="B177" s="5">
        <f t="shared" si="1"/>
        <v>610422040054</v>
      </c>
      <c r="C177" s="5" t="str">
        <f t="shared" si="2"/>
        <v>Indah Gigih Rintiani</v>
      </c>
      <c r="D177" s="5" t="s">
        <v>363</v>
      </c>
      <c r="E177" s="5" t="e">
        <f t="array" ref="E177">INDEX('Master SLS'!$H$2:$H998,MATCH($AL177,'Master SLS'!$K$2:$K998,0))</f>
        <v>#VALUE!</v>
      </c>
      <c r="F177" s="5" t="e">
        <f t="array" ref="F177">INDEX('Master SLS'!$I$2:$I998,MATCH($AL177,'Master SLS'!$K$2:$K998,0))</f>
        <v>#VALUE!</v>
      </c>
      <c r="G177" s="5" t="s">
        <v>1470</v>
      </c>
      <c r="H177" s="5" t="s">
        <v>1471</v>
      </c>
      <c r="I177" s="5" t="s">
        <v>366</v>
      </c>
      <c r="J177" s="5">
        <v>1</v>
      </c>
      <c r="K177" s="5" t="s">
        <v>1472</v>
      </c>
      <c r="L177" s="5">
        <v>61</v>
      </c>
      <c r="M177" s="5">
        <v>4</v>
      </c>
      <c r="N177" s="5">
        <v>91</v>
      </c>
      <c r="O177" s="5">
        <v>2</v>
      </c>
      <c r="P177" s="5" t="s">
        <v>1473</v>
      </c>
      <c r="Q177" s="5">
        <v>1</v>
      </c>
      <c r="R177" s="74">
        <v>34097</v>
      </c>
      <c r="S177" s="5" t="s">
        <v>1474</v>
      </c>
      <c r="T177" s="5">
        <v>0</v>
      </c>
      <c r="U177" s="5">
        <v>1</v>
      </c>
      <c r="V177" s="5">
        <v>1</v>
      </c>
      <c r="W177" s="5">
        <v>5</v>
      </c>
      <c r="X177" s="5">
        <v>3</v>
      </c>
      <c r="AA177" s="5">
        <v>1</v>
      </c>
      <c r="AB177" s="5">
        <v>1</v>
      </c>
      <c r="AC177" s="5">
        <v>1</v>
      </c>
      <c r="AD177" s="5">
        <v>0</v>
      </c>
      <c r="AE177" s="5">
        <v>0</v>
      </c>
      <c r="AF177" s="5">
        <v>0</v>
      </c>
      <c r="AG177" s="5">
        <v>0</v>
      </c>
      <c r="AH177" s="5" t="s">
        <v>369</v>
      </c>
      <c r="AI177" s="5" t="s">
        <v>366</v>
      </c>
      <c r="AJ177" s="5" t="s">
        <v>1475</v>
      </c>
      <c r="AK177" s="5">
        <v>610422040054</v>
      </c>
      <c r="AL177" s="5" t="e">
        <f t="shared" si="3"/>
        <v>#VALUE!</v>
      </c>
    </row>
    <row r="178" spans="1:38" ht="12.5">
      <c r="A178" s="10" t="str">
        <f t="shared" si="0"/>
        <v>Indah Sukma Yulia Ningrum</v>
      </c>
      <c r="B178" s="5">
        <f t="shared" si="1"/>
        <v>610423110057</v>
      </c>
      <c r="C178" s="5" t="str">
        <f t="shared" si="2"/>
        <v>Indah Sukma Yulia Ningrum</v>
      </c>
      <c r="D178" s="5" t="s">
        <v>363</v>
      </c>
      <c r="E178" s="5" t="e">
        <f t="array" ref="E178">INDEX('Master SLS'!$H$2:$H998,MATCH($AL178,'Master SLS'!$K$2:$K998,0))</f>
        <v>#VALUE!</v>
      </c>
      <c r="F178" s="5" t="e">
        <f t="array" ref="F178">INDEX('Master SLS'!$I$2:$I998,MATCH($AL178,'Master SLS'!$K$2:$K998,0))</f>
        <v>#VALUE!</v>
      </c>
      <c r="G178" s="5" t="s">
        <v>1476</v>
      </c>
      <c r="H178" s="5" t="s">
        <v>1477</v>
      </c>
      <c r="I178" s="5" t="s">
        <v>366</v>
      </c>
      <c r="J178" s="5">
        <v>1</v>
      </c>
      <c r="K178" s="5" t="s">
        <v>1478</v>
      </c>
      <c r="L178" s="5">
        <v>61</v>
      </c>
      <c r="M178" s="5">
        <v>4</v>
      </c>
      <c r="N178" s="5">
        <v>110</v>
      </c>
      <c r="O178" s="5">
        <v>10</v>
      </c>
      <c r="P178" s="5" t="s">
        <v>1479</v>
      </c>
      <c r="Q178" s="5">
        <v>1</v>
      </c>
      <c r="R178" s="74">
        <v>37085</v>
      </c>
      <c r="S178" s="5"/>
      <c r="T178" s="5">
        <v>2</v>
      </c>
      <c r="U178" s="5">
        <v>1</v>
      </c>
      <c r="V178" s="5">
        <v>1</v>
      </c>
      <c r="W178" s="5">
        <v>3</v>
      </c>
      <c r="X178" s="5">
        <v>6</v>
      </c>
      <c r="AA178" s="5">
        <v>2</v>
      </c>
      <c r="AB178" s="5">
        <v>0</v>
      </c>
      <c r="AC178" s="5">
        <v>0</v>
      </c>
      <c r="AD178" s="5">
        <v>0</v>
      </c>
      <c r="AE178" s="5">
        <v>0</v>
      </c>
      <c r="AF178" s="5">
        <v>0</v>
      </c>
      <c r="AG178" s="5">
        <v>0</v>
      </c>
      <c r="AI178" s="5" t="s">
        <v>366</v>
      </c>
      <c r="AJ178" s="5" t="s">
        <v>1480</v>
      </c>
      <c r="AK178" s="5">
        <v>610423110057</v>
      </c>
      <c r="AL178" s="5" t="e">
        <f t="shared" si="3"/>
        <v>#VALUE!</v>
      </c>
    </row>
    <row r="179" spans="1:38" ht="12.5">
      <c r="A179" s="10" t="str">
        <f t="shared" si="0"/>
        <v>Indra</v>
      </c>
      <c r="B179" s="5">
        <f t="shared" si="1"/>
        <v>610422110005</v>
      </c>
      <c r="C179" s="5" t="str">
        <f t="shared" si="2"/>
        <v>indra</v>
      </c>
      <c r="D179" s="5" t="s">
        <v>363</v>
      </c>
      <c r="E179" s="5" t="e">
        <f t="array" ref="E179">INDEX('Master SLS'!$H$2:$H998,MATCH($AL179,'Master SLS'!$K$2:$K998,0))</f>
        <v>#VALUE!</v>
      </c>
      <c r="F179" s="5" t="e">
        <f t="array" ref="F179">INDEX('Master SLS'!$I$2:$I998,MATCH($AL179,'Master SLS'!$K$2:$K998,0))</f>
        <v>#VALUE!</v>
      </c>
      <c r="G179" s="5" t="s">
        <v>1481</v>
      </c>
      <c r="H179" s="5" t="s">
        <v>1482</v>
      </c>
      <c r="I179" s="5" t="s">
        <v>474</v>
      </c>
      <c r="J179" s="5">
        <v>1</v>
      </c>
      <c r="K179" s="5" t="s">
        <v>1483</v>
      </c>
      <c r="L179" s="5">
        <v>61</v>
      </c>
      <c r="M179" s="5">
        <v>4</v>
      </c>
      <c r="N179" s="5">
        <v>100</v>
      </c>
      <c r="O179" s="5">
        <v>15</v>
      </c>
      <c r="P179" s="5" t="s">
        <v>1484</v>
      </c>
      <c r="Q179" s="5">
        <v>1</v>
      </c>
      <c r="R179" s="74">
        <v>34855</v>
      </c>
      <c r="S179" s="5" t="s">
        <v>1485</v>
      </c>
      <c r="T179" s="5">
        <v>1</v>
      </c>
      <c r="U179" s="5">
        <v>1</v>
      </c>
      <c r="V179" s="5">
        <v>1</v>
      </c>
      <c r="W179" s="5">
        <v>4</v>
      </c>
      <c r="X179" s="5">
        <v>7</v>
      </c>
      <c r="Y179" s="5" t="s">
        <v>1486</v>
      </c>
      <c r="AA179" s="5">
        <v>1</v>
      </c>
      <c r="AB179" s="5">
        <v>0</v>
      </c>
      <c r="AC179" s="5">
        <v>0</v>
      </c>
      <c r="AD179" s="5">
        <v>1</v>
      </c>
      <c r="AE179" s="5">
        <v>0</v>
      </c>
      <c r="AF179" s="5">
        <v>0</v>
      </c>
      <c r="AG179" s="5">
        <v>0</v>
      </c>
      <c r="AI179" s="5" t="s">
        <v>474</v>
      </c>
      <c r="AJ179" s="5" t="s">
        <v>1487</v>
      </c>
      <c r="AK179" s="5">
        <v>610422110005</v>
      </c>
      <c r="AL179" s="5" t="e">
        <f t="shared" si="3"/>
        <v>#VALUE!</v>
      </c>
    </row>
    <row r="180" spans="1:38" ht="12.5">
      <c r="A180" s="10" t="str">
        <f t="shared" si="0"/>
        <v>Indra Wijaya</v>
      </c>
      <c r="B180" s="5">
        <f t="shared" si="1"/>
        <v>610423110082</v>
      </c>
      <c r="C180" s="5" t="str">
        <f t="shared" si="2"/>
        <v>indra wijaya</v>
      </c>
      <c r="D180" s="5" t="s">
        <v>363</v>
      </c>
      <c r="E180" s="5" t="e">
        <f t="array" ref="E180">INDEX('Master SLS'!$H$2:$H998,MATCH($AL180,'Master SLS'!$K$2:$K998,0))</f>
        <v>#VALUE!</v>
      </c>
      <c r="F180" s="5" t="e">
        <f t="array" ref="F180">INDEX('Master SLS'!$I$2:$I998,MATCH($AL180,'Master SLS'!$K$2:$K998,0))</f>
        <v>#VALUE!</v>
      </c>
      <c r="G180" s="5" t="s">
        <v>1488</v>
      </c>
      <c r="H180" s="5" t="s">
        <v>1489</v>
      </c>
      <c r="I180" s="5" t="s">
        <v>366</v>
      </c>
      <c r="J180" s="5">
        <v>1</v>
      </c>
      <c r="K180" s="5" t="s">
        <v>1490</v>
      </c>
      <c r="L180" s="5">
        <v>61</v>
      </c>
      <c r="M180" s="5">
        <v>4</v>
      </c>
      <c r="N180" s="5">
        <v>121</v>
      </c>
      <c r="O180" s="5">
        <v>2</v>
      </c>
      <c r="P180" s="5" t="s">
        <v>1491</v>
      </c>
      <c r="Q180" s="5">
        <v>1</v>
      </c>
      <c r="R180" s="74">
        <v>35646</v>
      </c>
      <c r="S180" s="5"/>
      <c r="T180" s="5">
        <v>1</v>
      </c>
      <c r="U180" s="5">
        <v>1</v>
      </c>
      <c r="V180" s="5">
        <v>1</v>
      </c>
      <c r="W180" s="5">
        <v>3</v>
      </c>
      <c r="X180" s="5">
        <v>7</v>
      </c>
      <c r="Y180" s="5" t="s">
        <v>376</v>
      </c>
      <c r="AA180" s="5">
        <v>0</v>
      </c>
      <c r="AB180" s="5">
        <v>0</v>
      </c>
      <c r="AC180" s="5">
        <v>0</v>
      </c>
      <c r="AD180" s="5">
        <v>0</v>
      </c>
      <c r="AE180" s="5">
        <v>0</v>
      </c>
      <c r="AF180" s="5">
        <v>0</v>
      </c>
      <c r="AG180" s="5">
        <v>0</v>
      </c>
      <c r="AH180" s="5" t="s">
        <v>1492</v>
      </c>
      <c r="AI180" s="5" t="s">
        <v>366</v>
      </c>
      <c r="AJ180" s="5" t="s">
        <v>1493</v>
      </c>
      <c r="AK180" s="5">
        <v>610423110082</v>
      </c>
      <c r="AL180" s="5" t="e">
        <f t="shared" si="3"/>
        <v>#VALUE!</v>
      </c>
    </row>
    <row r="181" spans="1:38" ht="12.5">
      <c r="A181" s="10" t="str">
        <f t="shared" si="0"/>
        <v>Intan Kartika Sari</v>
      </c>
      <c r="B181" s="5">
        <f t="shared" si="1"/>
        <v>610423110140</v>
      </c>
      <c r="C181" s="5" t="str">
        <f t="shared" si="2"/>
        <v>Intan Kartika Sari</v>
      </c>
      <c r="D181" s="5" t="s">
        <v>363</v>
      </c>
      <c r="E181" s="5" t="e">
        <f t="array" ref="E181">INDEX('Master SLS'!$H$2:$H998,MATCH($AL181,'Master SLS'!$K$2:$K998,0))</f>
        <v>#VALUE!</v>
      </c>
      <c r="F181" s="5" t="e">
        <f t="array" ref="F181">INDEX('Master SLS'!$I$2:$I998,MATCH($AL181,'Master SLS'!$K$2:$K998,0))</f>
        <v>#VALUE!</v>
      </c>
      <c r="G181" s="5" t="s">
        <v>1494</v>
      </c>
      <c r="H181" s="5" t="s">
        <v>1495</v>
      </c>
      <c r="I181" s="5" t="s">
        <v>366</v>
      </c>
      <c r="J181" s="5">
        <v>1</v>
      </c>
      <c r="K181" s="5" t="s">
        <v>1496</v>
      </c>
      <c r="L181" s="5">
        <v>61</v>
      </c>
      <c r="M181" s="5">
        <v>4</v>
      </c>
      <c r="N181" s="5">
        <v>120</v>
      </c>
      <c r="O181" s="5">
        <v>2</v>
      </c>
      <c r="P181" s="5" t="s">
        <v>1497</v>
      </c>
      <c r="Q181" s="5">
        <v>1</v>
      </c>
      <c r="R181" s="7">
        <v>37624</v>
      </c>
      <c r="S181" s="5"/>
      <c r="T181" s="5">
        <v>0</v>
      </c>
      <c r="U181" s="5">
        <v>1</v>
      </c>
      <c r="V181" s="5">
        <v>2</v>
      </c>
      <c r="W181" s="5">
        <v>3</v>
      </c>
      <c r="X181" s="5">
        <v>4</v>
      </c>
      <c r="Y181" s="5"/>
      <c r="AA181" s="5">
        <v>0</v>
      </c>
      <c r="AB181" s="5">
        <v>0</v>
      </c>
      <c r="AC181" s="5">
        <v>0</v>
      </c>
      <c r="AD181" s="5">
        <v>0</v>
      </c>
      <c r="AE181" s="5">
        <v>0</v>
      </c>
      <c r="AF181" s="5">
        <v>0</v>
      </c>
      <c r="AG181" s="5">
        <v>0</v>
      </c>
      <c r="AH181" s="5" t="s">
        <v>1498</v>
      </c>
      <c r="AI181" s="5" t="s">
        <v>366</v>
      </c>
      <c r="AJ181" s="5" t="s">
        <v>1499</v>
      </c>
      <c r="AK181" s="5">
        <v>610423110140</v>
      </c>
      <c r="AL181" s="5" t="e">
        <f t="shared" si="3"/>
        <v>#VALUE!</v>
      </c>
    </row>
    <row r="182" spans="1:38" ht="12.5">
      <c r="A182" s="10" t="str">
        <f t="shared" si="0"/>
        <v>Ira Dwihapsari</v>
      </c>
      <c r="B182" s="5">
        <f t="shared" si="1"/>
        <v>610422100113</v>
      </c>
      <c r="C182" s="5" t="str">
        <f t="shared" si="2"/>
        <v>IRA DWIHAPSARI</v>
      </c>
      <c r="D182" s="5" t="s">
        <v>363</v>
      </c>
      <c r="E182" s="5" t="e">
        <f t="array" ref="E182">INDEX('Master SLS'!$H$2:$H998,MATCH($AL182,'Master SLS'!$K$2:$K998,0))</f>
        <v>#VALUE!</v>
      </c>
      <c r="F182" s="5" t="e">
        <f t="array" ref="F182">INDEX('Master SLS'!$I$2:$I998,MATCH($AL182,'Master SLS'!$K$2:$K998,0))</f>
        <v>#VALUE!</v>
      </c>
      <c r="G182" s="5" t="s">
        <v>1500</v>
      </c>
      <c r="H182" s="5" t="s">
        <v>1501</v>
      </c>
      <c r="I182" s="5" t="s">
        <v>388</v>
      </c>
      <c r="J182" s="5">
        <v>1</v>
      </c>
      <c r="K182" s="5" t="s">
        <v>1502</v>
      </c>
      <c r="L182" s="5">
        <v>61</v>
      </c>
      <c r="M182" s="5">
        <v>4</v>
      </c>
      <c r="N182" s="5">
        <v>100</v>
      </c>
      <c r="O182" s="5">
        <v>8</v>
      </c>
      <c r="P182" s="5" t="s">
        <v>1503</v>
      </c>
      <c r="Q182" s="5">
        <v>1</v>
      </c>
      <c r="R182" s="74">
        <v>33634</v>
      </c>
      <c r="S182" s="5" t="s">
        <v>1504</v>
      </c>
      <c r="T182" s="5">
        <v>0</v>
      </c>
      <c r="U182" s="5">
        <v>1</v>
      </c>
      <c r="V182" s="5">
        <v>1</v>
      </c>
      <c r="W182" s="5">
        <v>5</v>
      </c>
      <c r="X182" s="5">
        <v>5</v>
      </c>
      <c r="AA182" s="5">
        <v>1</v>
      </c>
      <c r="AB182" s="5">
        <v>0</v>
      </c>
      <c r="AC182" s="5">
        <v>0</v>
      </c>
      <c r="AD182" s="5">
        <v>1</v>
      </c>
      <c r="AE182" s="5">
        <v>0</v>
      </c>
      <c r="AF182" s="5">
        <v>0</v>
      </c>
      <c r="AG182" s="5">
        <v>0</v>
      </c>
      <c r="AI182" s="5" t="s">
        <v>388</v>
      </c>
      <c r="AJ182" s="5" t="s">
        <v>1505</v>
      </c>
      <c r="AK182" s="5">
        <v>610422100113</v>
      </c>
      <c r="AL182" s="5" t="e">
        <f t="shared" si="3"/>
        <v>#VALUE!</v>
      </c>
    </row>
    <row r="183" spans="1:38" ht="12.5">
      <c r="A183" s="10" t="str">
        <f t="shared" si="0"/>
        <v>Irfan</v>
      </c>
      <c r="B183" s="5">
        <f t="shared" si="1"/>
        <v>610423110047</v>
      </c>
      <c r="C183" s="5" t="str">
        <f t="shared" si="2"/>
        <v>Irfan</v>
      </c>
      <c r="D183" s="5" t="s">
        <v>363</v>
      </c>
      <c r="E183" s="5" t="e">
        <f t="array" ref="E183">INDEX('Master SLS'!$H$2:$H998,MATCH($AL183,'Master SLS'!$K$2:$K998,0))</f>
        <v>#VALUE!</v>
      </c>
      <c r="F183" s="5" t="e">
        <f t="array" ref="F183">INDEX('Master SLS'!$I$2:$I998,MATCH($AL183,'Master SLS'!$K$2:$K998,0))</f>
        <v>#VALUE!</v>
      </c>
      <c r="G183" s="5" t="s">
        <v>1506</v>
      </c>
      <c r="H183" s="5" t="s">
        <v>1507</v>
      </c>
      <c r="I183" s="5" t="s">
        <v>388</v>
      </c>
      <c r="J183" s="5">
        <v>1</v>
      </c>
      <c r="K183" s="5" t="s">
        <v>1508</v>
      </c>
      <c r="L183" s="5">
        <v>61</v>
      </c>
      <c r="M183" s="5">
        <v>4</v>
      </c>
      <c r="N183" s="5">
        <v>90</v>
      </c>
      <c r="O183" s="5">
        <v>8</v>
      </c>
      <c r="P183" s="5" t="s">
        <v>1509</v>
      </c>
      <c r="Q183" s="5">
        <v>1</v>
      </c>
      <c r="R183" s="74">
        <v>36625</v>
      </c>
      <c r="S183" s="5" t="s">
        <v>1510</v>
      </c>
      <c r="T183" s="5">
        <v>1</v>
      </c>
      <c r="U183" s="5">
        <v>1</v>
      </c>
      <c r="V183" s="5">
        <v>1</v>
      </c>
      <c r="W183" s="5">
        <v>5</v>
      </c>
      <c r="X183" s="5">
        <v>5</v>
      </c>
      <c r="Y183" s="5"/>
      <c r="AA183" s="5">
        <v>0</v>
      </c>
      <c r="AB183" s="5">
        <v>0</v>
      </c>
      <c r="AC183" s="5">
        <v>0</v>
      </c>
      <c r="AD183" s="5">
        <v>0</v>
      </c>
      <c r="AE183" s="5">
        <v>0</v>
      </c>
      <c r="AF183" s="5">
        <v>0</v>
      </c>
      <c r="AG183" s="5">
        <v>0</v>
      </c>
      <c r="AH183" s="5" t="s">
        <v>1511</v>
      </c>
      <c r="AI183" s="5" t="s">
        <v>388</v>
      </c>
      <c r="AJ183" s="5" t="s">
        <v>1512</v>
      </c>
      <c r="AK183" s="5">
        <v>610423110047</v>
      </c>
      <c r="AL183" s="5" t="e">
        <f t="shared" si="3"/>
        <v>#VALUE!</v>
      </c>
    </row>
    <row r="184" spans="1:38" ht="12.5">
      <c r="A184" s="10" t="str">
        <f t="shared" si="0"/>
        <v>Irfan Faozi Sunaryo</v>
      </c>
      <c r="B184" s="5">
        <f t="shared" si="1"/>
        <v>610422100144</v>
      </c>
      <c r="C184" s="5" t="str">
        <f t="shared" si="2"/>
        <v>Irfan faozi sunaryo</v>
      </c>
      <c r="D184" s="5" t="s">
        <v>363</v>
      </c>
      <c r="E184" s="5" t="e">
        <f t="array" ref="E184">INDEX('Master SLS'!$H$2:$H998,MATCH($AL184,'Master SLS'!$K$2:$K998,0))</f>
        <v>#VALUE!</v>
      </c>
      <c r="F184" s="5" t="e">
        <f t="array" ref="F184">INDEX('Master SLS'!$I$2:$I998,MATCH($AL184,'Master SLS'!$K$2:$K998,0))</f>
        <v>#VALUE!</v>
      </c>
      <c r="G184" s="5" t="s">
        <v>1513</v>
      </c>
      <c r="H184" s="5" t="s">
        <v>1514</v>
      </c>
      <c r="I184" s="5" t="s">
        <v>366</v>
      </c>
      <c r="J184" s="5">
        <v>1</v>
      </c>
      <c r="K184" s="5" t="s">
        <v>1515</v>
      </c>
      <c r="L184" s="5">
        <v>61</v>
      </c>
      <c r="M184" s="5">
        <v>4</v>
      </c>
      <c r="N184" s="5">
        <v>110</v>
      </c>
      <c r="O184" s="5">
        <v>11</v>
      </c>
      <c r="P184" s="5" t="s">
        <v>1516</v>
      </c>
      <c r="Q184" s="5">
        <v>1</v>
      </c>
      <c r="R184" s="74">
        <v>36460</v>
      </c>
      <c r="S184" s="5"/>
      <c r="T184" s="5">
        <v>1</v>
      </c>
      <c r="U184" s="5">
        <v>1</v>
      </c>
      <c r="V184" s="5">
        <v>1</v>
      </c>
      <c r="W184" s="5">
        <v>3</v>
      </c>
      <c r="X184" s="5">
        <v>7</v>
      </c>
      <c r="Y184" s="5" t="s">
        <v>1455</v>
      </c>
      <c r="AA184" s="5">
        <v>1</v>
      </c>
      <c r="AB184" s="5">
        <v>0</v>
      </c>
      <c r="AC184" s="5">
        <v>1</v>
      </c>
      <c r="AD184" s="5">
        <v>0</v>
      </c>
      <c r="AE184" s="5">
        <v>0</v>
      </c>
      <c r="AF184" s="5">
        <v>0</v>
      </c>
      <c r="AG184" s="5">
        <v>0</v>
      </c>
      <c r="AH184" s="5" t="s">
        <v>1517</v>
      </c>
      <c r="AI184" s="5" t="s">
        <v>366</v>
      </c>
      <c r="AJ184" s="5" t="s">
        <v>1518</v>
      </c>
      <c r="AK184" s="5">
        <v>610422100144</v>
      </c>
      <c r="AL184" s="5" t="e">
        <f t="shared" si="3"/>
        <v>#VALUE!</v>
      </c>
    </row>
    <row r="185" spans="1:38" ht="12.5">
      <c r="A185" s="10" t="str">
        <f t="shared" si="0"/>
        <v>Isma Dewi</v>
      </c>
      <c r="B185" s="5">
        <f t="shared" si="1"/>
        <v>610422100161</v>
      </c>
      <c r="C185" s="5" t="str">
        <f t="shared" si="2"/>
        <v>ISMA DEWI</v>
      </c>
      <c r="D185" s="5" t="s">
        <v>363</v>
      </c>
      <c r="E185" s="5" t="e">
        <f t="array" ref="E185">INDEX('Master SLS'!$H$2:$H998,MATCH($AL185,'Master SLS'!$K$2:$K998,0))</f>
        <v>#VALUE!</v>
      </c>
      <c r="F185" s="5" t="e">
        <f t="array" ref="F185">INDEX('Master SLS'!$I$2:$I998,MATCH($AL185,'Master SLS'!$K$2:$K998,0))</f>
        <v>#VALUE!</v>
      </c>
      <c r="G185" s="5" t="s">
        <v>1519</v>
      </c>
      <c r="H185" s="5" t="s">
        <v>1520</v>
      </c>
      <c r="I185" s="5" t="s">
        <v>474</v>
      </c>
      <c r="J185" s="5">
        <v>1</v>
      </c>
      <c r="K185" s="5" t="s">
        <v>1521</v>
      </c>
      <c r="L185" s="5">
        <v>61</v>
      </c>
      <c r="M185" s="5">
        <v>4</v>
      </c>
      <c r="N185" s="5">
        <v>90</v>
      </c>
      <c r="O185" s="5">
        <v>5</v>
      </c>
      <c r="P185" s="5" t="s">
        <v>1522</v>
      </c>
      <c r="Q185" s="5">
        <v>1</v>
      </c>
      <c r="R185" s="74">
        <v>35831</v>
      </c>
      <c r="T185" s="5">
        <v>0</v>
      </c>
      <c r="U185" s="5">
        <v>1</v>
      </c>
      <c r="V185" s="5">
        <v>2</v>
      </c>
      <c r="W185" s="5">
        <v>5</v>
      </c>
      <c r="X185" s="5">
        <v>4</v>
      </c>
      <c r="AA185" s="5">
        <v>1</v>
      </c>
      <c r="AB185" s="5">
        <v>0</v>
      </c>
      <c r="AC185" s="5">
        <v>0</v>
      </c>
      <c r="AD185" s="5">
        <v>0</v>
      </c>
      <c r="AE185" s="5">
        <v>1</v>
      </c>
      <c r="AF185" s="5">
        <v>0</v>
      </c>
      <c r="AG185" s="5">
        <v>0</v>
      </c>
      <c r="AI185" s="5" t="s">
        <v>474</v>
      </c>
      <c r="AJ185" s="5" t="s">
        <v>1523</v>
      </c>
      <c r="AK185" s="5">
        <v>610422100161</v>
      </c>
      <c r="AL185" s="5" t="e">
        <f t="shared" si="3"/>
        <v>#VALUE!</v>
      </c>
    </row>
    <row r="186" spans="1:38" ht="12.5">
      <c r="A186" s="10" t="str">
        <f t="shared" si="0"/>
        <v>Ismail</v>
      </c>
      <c r="B186" s="5">
        <f t="shared" si="1"/>
        <v>610423090031</v>
      </c>
      <c r="C186" s="5" t="str">
        <f t="shared" si="2"/>
        <v>ismail</v>
      </c>
      <c r="D186" s="5" t="s">
        <v>363</v>
      </c>
      <c r="E186" s="5" t="e">
        <f t="array" ref="E186">INDEX('Master SLS'!$H$2:$H998,MATCH($AL186,'Master SLS'!$K$2:$K998,0))</f>
        <v>#VALUE!</v>
      </c>
      <c r="F186" s="5" t="e">
        <f t="array" ref="F186">INDEX('Master SLS'!$I$2:$I998,MATCH($AL186,'Master SLS'!$K$2:$K998,0))</f>
        <v>#VALUE!</v>
      </c>
      <c r="G186" s="5" t="s">
        <v>1524</v>
      </c>
      <c r="H186" s="5" t="s">
        <v>1525</v>
      </c>
      <c r="I186" s="5" t="s">
        <v>366</v>
      </c>
      <c r="J186" s="5">
        <v>1</v>
      </c>
      <c r="K186" s="5" t="s">
        <v>1526</v>
      </c>
      <c r="L186" s="5">
        <v>61</v>
      </c>
      <c r="M186" s="5">
        <v>4</v>
      </c>
      <c r="N186" s="5">
        <v>90</v>
      </c>
      <c r="O186" s="5">
        <v>4</v>
      </c>
      <c r="P186" s="5" t="s">
        <v>1527</v>
      </c>
      <c r="Q186" s="5">
        <v>1</v>
      </c>
      <c r="R186" s="74">
        <v>35925</v>
      </c>
      <c r="T186" s="5">
        <v>1</v>
      </c>
      <c r="U186" s="5">
        <v>1</v>
      </c>
      <c r="V186" s="5">
        <v>2</v>
      </c>
      <c r="W186" s="5">
        <v>3</v>
      </c>
      <c r="X186" s="5">
        <v>5</v>
      </c>
      <c r="AA186" s="5">
        <v>1</v>
      </c>
      <c r="AB186" s="5">
        <v>0</v>
      </c>
      <c r="AC186" s="5">
        <v>0</v>
      </c>
      <c r="AD186" s="5">
        <v>1</v>
      </c>
      <c r="AE186" s="5">
        <v>0</v>
      </c>
      <c r="AF186" s="5">
        <v>0</v>
      </c>
      <c r="AG186" s="5">
        <v>0</v>
      </c>
      <c r="AI186" s="5" t="s">
        <v>366</v>
      </c>
      <c r="AJ186" s="5" t="s">
        <v>1528</v>
      </c>
      <c r="AK186" s="5">
        <v>610423090031</v>
      </c>
      <c r="AL186" s="5" t="e">
        <f t="shared" si="3"/>
        <v>#VALUE!</v>
      </c>
    </row>
    <row r="187" spans="1:38" ht="12.5">
      <c r="A187" s="10" t="str">
        <f t="shared" si="0"/>
        <v>Isna Dyahwati</v>
      </c>
      <c r="B187" s="5">
        <f t="shared" si="1"/>
        <v>610422100059</v>
      </c>
      <c r="C187" s="5" t="str">
        <f t="shared" si="2"/>
        <v>ISNA DYAHWATI</v>
      </c>
      <c r="D187" s="5" t="s">
        <v>363</v>
      </c>
      <c r="E187" s="5" t="e">
        <f t="array" ref="E187">INDEX('Master SLS'!$H$2:$H998,MATCH($AL187,'Master SLS'!$K$2:$K998,0))</f>
        <v>#VALUE!</v>
      </c>
      <c r="F187" s="5" t="e">
        <f t="array" ref="F187">INDEX('Master SLS'!$I$2:$I998,MATCH($AL187,'Master SLS'!$K$2:$K998,0))</f>
        <v>#VALUE!</v>
      </c>
      <c r="G187" s="5" t="s">
        <v>1529</v>
      </c>
      <c r="H187" s="5" t="s">
        <v>1530</v>
      </c>
      <c r="I187" s="5" t="s">
        <v>366</v>
      </c>
      <c r="J187" s="5">
        <v>1</v>
      </c>
      <c r="K187" s="5" t="s">
        <v>1531</v>
      </c>
      <c r="L187" s="5">
        <v>61</v>
      </c>
      <c r="M187" s="5">
        <v>4</v>
      </c>
      <c r="N187" s="5">
        <v>101</v>
      </c>
      <c r="O187" s="5">
        <v>1</v>
      </c>
      <c r="P187" s="5" t="s">
        <v>1532</v>
      </c>
      <c r="Q187" s="5">
        <v>1</v>
      </c>
      <c r="R187" s="74">
        <v>36769</v>
      </c>
      <c r="T187" s="5">
        <v>0</v>
      </c>
      <c r="U187" s="5">
        <v>1</v>
      </c>
      <c r="V187" s="5">
        <v>1</v>
      </c>
      <c r="W187" s="5">
        <v>3</v>
      </c>
      <c r="X187" s="5">
        <v>4</v>
      </c>
      <c r="Y187" s="5"/>
      <c r="AA187" s="5">
        <v>1</v>
      </c>
      <c r="AB187" s="5">
        <v>1</v>
      </c>
      <c r="AC187" s="5">
        <v>0</v>
      </c>
      <c r="AD187" s="5">
        <v>0</v>
      </c>
      <c r="AE187" s="5">
        <v>0</v>
      </c>
      <c r="AF187" s="5">
        <v>0</v>
      </c>
      <c r="AG187" s="5">
        <v>0</v>
      </c>
      <c r="AH187" s="5" t="s">
        <v>1533</v>
      </c>
      <c r="AI187" s="5" t="s">
        <v>366</v>
      </c>
      <c r="AJ187" s="5" t="s">
        <v>1534</v>
      </c>
      <c r="AK187" s="5">
        <v>610422100059</v>
      </c>
      <c r="AL187" s="5" t="e">
        <f t="shared" si="3"/>
        <v>#VALUE!</v>
      </c>
    </row>
    <row r="188" spans="1:38" ht="12.5">
      <c r="A188" s="10" t="str">
        <f t="shared" si="0"/>
        <v>Isul</v>
      </c>
      <c r="B188" s="5">
        <f t="shared" si="1"/>
        <v>610422020012</v>
      </c>
      <c r="C188" s="5" t="str">
        <f t="shared" si="2"/>
        <v>ISUL</v>
      </c>
      <c r="D188" s="5" t="s">
        <v>363</v>
      </c>
      <c r="E188" s="5" t="e">
        <f t="array" ref="E188">INDEX('Master SLS'!$H$2:$H998,MATCH($AL188,'Master SLS'!$K$2:$K998,0))</f>
        <v>#VALUE!</v>
      </c>
      <c r="F188" s="5" t="e">
        <f t="array" ref="F188">INDEX('Master SLS'!$I$2:$I998,MATCH($AL188,'Master SLS'!$K$2:$K998,0))</f>
        <v>#VALUE!</v>
      </c>
      <c r="G188" s="5" t="s">
        <v>1535</v>
      </c>
      <c r="H188" s="5" t="s">
        <v>1536</v>
      </c>
      <c r="I188" s="5" t="s">
        <v>366</v>
      </c>
      <c r="J188" s="5">
        <v>1</v>
      </c>
      <c r="K188" s="5" t="s">
        <v>1537</v>
      </c>
      <c r="L188" s="5">
        <v>61</v>
      </c>
      <c r="M188" s="5">
        <v>4</v>
      </c>
      <c r="N188" s="5">
        <v>121</v>
      </c>
      <c r="O188" s="5">
        <v>3</v>
      </c>
      <c r="P188" s="5" t="s">
        <v>1538</v>
      </c>
      <c r="Q188" s="5">
        <v>1</v>
      </c>
      <c r="R188" s="74">
        <v>31585</v>
      </c>
      <c r="T188" s="5">
        <v>0</v>
      </c>
      <c r="U188" s="5">
        <v>2</v>
      </c>
      <c r="V188" s="5">
        <v>2</v>
      </c>
      <c r="W188" s="5">
        <v>3</v>
      </c>
      <c r="X188" s="5">
        <v>7</v>
      </c>
      <c r="Y188" s="5" t="s">
        <v>782</v>
      </c>
      <c r="AA188" s="5">
        <v>1</v>
      </c>
      <c r="AB188" s="5">
        <v>0</v>
      </c>
      <c r="AC188" s="5">
        <v>1</v>
      </c>
      <c r="AD188" s="5">
        <v>0</v>
      </c>
      <c r="AE188" s="5">
        <v>1</v>
      </c>
      <c r="AF188" s="5">
        <v>0</v>
      </c>
      <c r="AG188" s="5">
        <v>0</v>
      </c>
      <c r="AH188" s="5" t="s">
        <v>1539</v>
      </c>
      <c r="AI188" s="5" t="s">
        <v>366</v>
      </c>
      <c r="AJ188" s="5" t="s">
        <v>1540</v>
      </c>
      <c r="AK188" s="5">
        <v>610422020012</v>
      </c>
      <c r="AL188" s="5" t="e">
        <f t="shared" si="3"/>
        <v>#VALUE!</v>
      </c>
    </row>
    <row r="189" spans="1:38" ht="12.5">
      <c r="A189" s="10" t="str">
        <f t="shared" si="0"/>
        <v>Jaipan Jonatan</v>
      </c>
      <c r="B189" s="5">
        <f t="shared" si="1"/>
        <v>610423110104</v>
      </c>
      <c r="C189" s="5" t="str">
        <f t="shared" si="2"/>
        <v>JAIPAN JONATAN</v>
      </c>
      <c r="D189" s="5" t="s">
        <v>363</v>
      </c>
      <c r="E189" s="5" t="e">
        <f t="array" ref="E189">INDEX('Master SLS'!$H$2:$H998,MATCH($AL189,'Master SLS'!$K$2:$K998,0))</f>
        <v>#VALUE!</v>
      </c>
      <c r="F189" s="5" t="e">
        <f t="array" ref="F189">INDEX('Master SLS'!$I$2:$I998,MATCH($AL189,'Master SLS'!$K$2:$K998,0))</f>
        <v>#VALUE!</v>
      </c>
      <c r="G189" s="5" t="s">
        <v>1541</v>
      </c>
      <c r="H189" s="5" t="s">
        <v>1542</v>
      </c>
      <c r="I189" s="5" t="s">
        <v>366</v>
      </c>
      <c r="J189" s="5">
        <v>1</v>
      </c>
      <c r="K189" s="5" t="s">
        <v>1543</v>
      </c>
      <c r="L189" s="5">
        <v>61</v>
      </c>
      <c r="M189" s="5">
        <v>4</v>
      </c>
      <c r="N189" s="5">
        <v>121</v>
      </c>
      <c r="O189" s="5">
        <v>2</v>
      </c>
      <c r="P189" s="5" t="s">
        <v>1544</v>
      </c>
      <c r="Q189" s="5">
        <v>1</v>
      </c>
      <c r="R189" s="7">
        <v>33197</v>
      </c>
      <c r="T189" s="5">
        <v>1</v>
      </c>
      <c r="U189" s="5">
        <v>2</v>
      </c>
      <c r="V189" s="5">
        <v>4</v>
      </c>
      <c r="W189" s="5">
        <v>4</v>
      </c>
      <c r="X189" s="5">
        <v>7</v>
      </c>
      <c r="Y189" s="5" t="s">
        <v>746</v>
      </c>
      <c r="AA189" s="5">
        <v>0</v>
      </c>
      <c r="AB189" s="5">
        <v>0</v>
      </c>
      <c r="AC189" s="5">
        <v>0</v>
      </c>
      <c r="AD189" s="5">
        <v>0</v>
      </c>
      <c r="AE189" s="5">
        <v>0</v>
      </c>
      <c r="AF189" s="5">
        <v>0</v>
      </c>
      <c r="AG189" s="5">
        <v>0</v>
      </c>
      <c r="AH189" s="5" t="s">
        <v>1545</v>
      </c>
      <c r="AI189" s="5" t="s">
        <v>366</v>
      </c>
      <c r="AJ189" s="5" t="s">
        <v>1546</v>
      </c>
      <c r="AK189" s="5">
        <v>610423110104</v>
      </c>
      <c r="AL189" s="5" t="e">
        <f t="shared" si="3"/>
        <v>#VALUE!</v>
      </c>
    </row>
    <row r="190" spans="1:38" ht="12.5">
      <c r="A190" s="10" t="str">
        <f t="shared" si="0"/>
        <v>Jamaluddin, Sp</v>
      </c>
      <c r="B190" s="5">
        <f t="shared" si="1"/>
        <v>610422040058</v>
      </c>
      <c r="C190" s="5" t="str">
        <f t="shared" si="2"/>
        <v>Jamaluddin, SP</v>
      </c>
      <c r="D190" s="5" t="s">
        <v>363</v>
      </c>
      <c r="E190" s="5" t="e">
        <f t="array" ref="E190">INDEX('Master SLS'!$H$2:$H998,MATCH($AL190,'Master SLS'!$K$2:$K998,0))</f>
        <v>#VALUE!</v>
      </c>
      <c r="F190" s="5" t="e">
        <f t="array" ref="F190">INDEX('Master SLS'!$I$2:$I998,MATCH($AL190,'Master SLS'!$K$2:$K998,0))</f>
        <v>#VALUE!</v>
      </c>
      <c r="G190" s="5" t="s">
        <v>1547</v>
      </c>
      <c r="H190" s="5" t="s">
        <v>1548</v>
      </c>
      <c r="I190" s="5" t="s">
        <v>388</v>
      </c>
      <c r="J190" s="5">
        <v>1</v>
      </c>
      <c r="K190" s="5" t="s">
        <v>1549</v>
      </c>
      <c r="L190" s="5">
        <v>61</v>
      </c>
      <c r="M190" s="5">
        <v>4</v>
      </c>
      <c r="N190" s="5">
        <v>81</v>
      </c>
      <c r="O190" s="5">
        <v>1</v>
      </c>
      <c r="P190" s="5" t="s">
        <v>1550</v>
      </c>
      <c r="Q190" s="5">
        <v>1</v>
      </c>
      <c r="R190" s="74">
        <v>34541</v>
      </c>
      <c r="T190" s="5">
        <v>1</v>
      </c>
      <c r="U190" s="5">
        <v>1</v>
      </c>
      <c r="V190" s="5">
        <v>1</v>
      </c>
      <c r="W190" s="5">
        <v>5</v>
      </c>
      <c r="X190" s="5">
        <v>7</v>
      </c>
      <c r="Y190" s="5" t="s">
        <v>746</v>
      </c>
      <c r="AA190" s="5">
        <v>1</v>
      </c>
      <c r="AB190" s="5">
        <v>1</v>
      </c>
      <c r="AC190" s="5">
        <v>1</v>
      </c>
      <c r="AD190" s="5">
        <v>0</v>
      </c>
      <c r="AE190" s="5">
        <v>1</v>
      </c>
      <c r="AF190" s="5">
        <v>0</v>
      </c>
      <c r="AG190" s="5">
        <v>0</v>
      </c>
      <c r="AH190" s="5" t="s">
        <v>1551</v>
      </c>
      <c r="AI190" s="5" t="s">
        <v>388</v>
      </c>
      <c r="AJ190" s="5" t="s">
        <v>1552</v>
      </c>
      <c r="AK190" s="5">
        <v>610422040058</v>
      </c>
      <c r="AL190" s="5" t="e">
        <f t="shared" si="3"/>
        <v>#VALUE!</v>
      </c>
    </row>
    <row r="191" spans="1:38" ht="12.5">
      <c r="A191" s="10" t="str">
        <f t="shared" si="0"/>
        <v>Jamaludin</v>
      </c>
      <c r="B191" s="5">
        <f t="shared" si="1"/>
        <v>610422100122</v>
      </c>
      <c r="C191" s="5" t="str">
        <f t="shared" si="2"/>
        <v>Jamaludin</v>
      </c>
      <c r="D191" s="5" t="s">
        <v>363</v>
      </c>
      <c r="E191" s="5" t="e">
        <f t="array" ref="E191">INDEX('Master SLS'!$H$2:$H998,MATCH($AL191,'Master SLS'!$K$2:$K998,0))</f>
        <v>#VALUE!</v>
      </c>
      <c r="F191" s="5" t="e">
        <f t="array" ref="F191">INDEX('Master SLS'!$I$2:$I998,MATCH($AL191,'Master SLS'!$K$2:$K998,0))</f>
        <v>#VALUE!</v>
      </c>
      <c r="G191" s="5" t="s">
        <v>1553</v>
      </c>
      <c r="H191" s="5" t="s">
        <v>1554</v>
      </c>
      <c r="I191" s="5" t="s">
        <v>366</v>
      </c>
      <c r="J191" s="5">
        <v>1</v>
      </c>
      <c r="K191" s="5" t="s">
        <v>1555</v>
      </c>
      <c r="L191" s="5">
        <v>61</v>
      </c>
      <c r="M191" s="5">
        <v>4</v>
      </c>
      <c r="N191" s="5">
        <v>90</v>
      </c>
      <c r="O191" s="5">
        <v>10</v>
      </c>
      <c r="P191" s="5" t="s">
        <v>1207</v>
      </c>
      <c r="Q191" s="5">
        <v>1</v>
      </c>
      <c r="R191" s="74">
        <v>28354</v>
      </c>
      <c r="S191" s="5" t="s">
        <v>1556</v>
      </c>
      <c r="T191" s="5">
        <v>1</v>
      </c>
      <c r="U191" s="5">
        <v>1</v>
      </c>
      <c r="V191" s="5">
        <v>2</v>
      </c>
      <c r="W191" s="5">
        <v>3</v>
      </c>
      <c r="X191" s="5">
        <v>7</v>
      </c>
      <c r="Y191" s="5" t="s">
        <v>1337</v>
      </c>
      <c r="AA191" s="5">
        <v>0</v>
      </c>
      <c r="AB191" s="5">
        <v>0</v>
      </c>
      <c r="AC191" s="5">
        <v>0</v>
      </c>
      <c r="AD191" s="5">
        <v>0</v>
      </c>
      <c r="AE191" s="5">
        <v>0</v>
      </c>
      <c r="AF191" s="5">
        <v>0</v>
      </c>
      <c r="AG191" s="5">
        <v>0</v>
      </c>
      <c r="AI191" s="5" t="s">
        <v>366</v>
      </c>
      <c r="AJ191" s="5" t="s">
        <v>1557</v>
      </c>
      <c r="AK191" s="5">
        <v>610422100122</v>
      </c>
      <c r="AL191" s="5" t="e">
        <f t="shared" si="3"/>
        <v>#VALUE!</v>
      </c>
    </row>
    <row r="192" spans="1:38" ht="12.5">
      <c r="A192" s="10" t="str">
        <f t="shared" si="0"/>
        <v>Juliati</v>
      </c>
      <c r="B192" s="5">
        <f t="shared" si="1"/>
        <v>610422100146</v>
      </c>
      <c r="C192" s="5" t="str">
        <f t="shared" si="2"/>
        <v>Juliati</v>
      </c>
      <c r="D192" s="5" t="s">
        <v>363</v>
      </c>
      <c r="E192" s="5" t="e">
        <f t="array" ref="E192">INDEX('Master SLS'!$H$2:$H998,MATCH($AL192,'Master SLS'!$K$2:$K998,0))</f>
        <v>#VALUE!</v>
      </c>
      <c r="F192" s="5" t="e">
        <f t="array" ref="F192">INDEX('Master SLS'!$I$2:$I998,MATCH($AL192,'Master SLS'!$K$2:$K998,0))</f>
        <v>#VALUE!</v>
      </c>
      <c r="G192" s="5" t="s">
        <v>1558</v>
      </c>
      <c r="H192" s="5" t="s">
        <v>1559</v>
      </c>
      <c r="I192" s="5" t="s">
        <v>366</v>
      </c>
      <c r="J192" s="5">
        <v>1</v>
      </c>
      <c r="K192" s="5" t="s">
        <v>1560</v>
      </c>
      <c r="L192" s="5">
        <v>61</v>
      </c>
      <c r="M192" s="5">
        <v>4</v>
      </c>
      <c r="N192" s="5">
        <v>91</v>
      </c>
      <c r="O192" s="5">
        <v>6</v>
      </c>
      <c r="P192" s="5" t="s">
        <v>1561</v>
      </c>
      <c r="Q192" s="5">
        <v>1</v>
      </c>
      <c r="R192" s="74">
        <v>29637</v>
      </c>
      <c r="S192" s="5" t="s">
        <v>1562</v>
      </c>
      <c r="T192" s="5">
        <v>0</v>
      </c>
      <c r="U192" s="5">
        <v>2</v>
      </c>
      <c r="V192" s="5">
        <v>2</v>
      </c>
      <c r="W192" s="5">
        <v>3</v>
      </c>
      <c r="X192" s="5">
        <v>4</v>
      </c>
      <c r="AA192" s="5">
        <v>1</v>
      </c>
      <c r="AB192" s="5">
        <v>0</v>
      </c>
      <c r="AC192" s="5">
        <v>0</v>
      </c>
      <c r="AD192" s="5">
        <v>1</v>
      </c>
      <c r="AE192" s="5">
        <v>0</v>
      </c>
      <c r="AF192" s="5">
        <v>0</v>
      </c>
      <c r="AG192" s="5">
        <v>0</v>
      </c>
      <c r="AH192" s="5" t="s">
        <v>1563</v>
      </c>
      <c r="AI192" s="5" t="s">
        <v>366</v>
      </c>
      <c r="AJ192" s="5" t="s">
        <v>1564</v>
      </c>
      <c r="AK192" s="5">
        <v>610422100146</v>
      </c>
      <c r="AL192" s="5" t="e">
        <f t="shared" si="3"/>
        <v>#VALUE!</v>
      </c>
    </row>
    <row r="193" spans="1:38" ht="12.5">
      <c r="A193" s="10" t="str">
        <f t="shared" si="0"/>
        <v>Juliawati</v>
      </c>
      <c r="B193" s="5">
        <f t="shared" si="1"/>
        <v>610423110037</v>
      </c>
      <c r="C193" s="5" t="str">
        <f t="shared" si="2"/>
        <v>Juliawati</v>
      </c>
      <c r="D193" s="5" t="s">
        <v>363</v>
      </c>
      <c r="E193" s="5" t="e">
        <f t="array" ref="E193">INDEX('Master SLS'!$H$2:$H998,MATCH($AL193,'Master SLS'!$K$2:$K998,0))</f>
        <v>#VALUE!</v>
      </c>
      <c r="F193" s="5" t="e">
        <f t="array" ref="F193">INDEX('Master SLS'!$I$2:$I998,MATCH($AL193,'Master SLS'!$K$2:$K998,0))</f>
        <v>#VALUE!</v>
      </c>
      <c r="G193" s="5" t="s">
        <v>1565</v>
      </c>
      <c r="H193" s="5" t="s">
        <v>1566</v>
      </c>
      <c r="I193" s="5" t="s">
        <v>388</v>
      </c>
      <c r="J193" s="5">
        <v>1</v>
      </c>
      <c r="K193" s="5" t="s">
        <v>1567</v>
      </c>
      <c r="L193" s="5">
        <v>61</v>
      </c>
      <c r="M193" s="5">
        <v>4</v>
      </c>
      <c r="N193" s="5">
        <v>100</v>
      </c>
      <c r="O193" s="5">
        <v>8</v>
      </c>
      <c r="P193" s="5" t="s">
        <v>1568</v>
      </c>
      <c r="Q193" s="5">
        <v>1</v>
      </c>
      <c r="R193" s="74">
        <v>32699</v>
      </c>
      <c r="T193" s="5">
        <v>0</v>
      </c>
      <c r="U193" s="5">
        <v>1</v>
      </c>
      <c r="V193" s="5">
        <v>2</v>
      </c>
      <c r="W193" s="5">
        <v>5</v>
      </c>
      <c r="X193" s="5">
        <v>4</v>
      </c>
      <c r="AA193" s="5">
        <v>0</v>
      </c>
      <c r="AB193" s="5">
        <v>0</v>
      </c>
      <c r="AC193" s="5">
        <v>0</v>
      </c>
      <c r="AD193" s="5">
        <v>0</v>
      </c>
      <c r="AE193" s="5">
        <v>0</v>
      </c>
      <c r="AF193" s="5">
        <v>0</v>
      </c>
      <c r="AG193" s="5">
        <v>0</v>
      </c>
      <c r="AI193" s="5" t="s">
        <v>388</v>
      </c>
      <c r="AJ193" s="5" t="s">
        <v>1569</v>
      </c>
      <c r="AK193" s="5">
        <v>610423110037</v>
      </c>
      <c r="AL193" s="5" t="e">
        <f t="shared" si="3"/>
        <v>#VALUE!</v>
      </c>
    </row>
    <row r="194" spans="1:38" ht="12.5">
      <c r="A194" s="10" t="str">
        <f t="shared" si="0"/>
        <v>Junaidi</v>
      </c>
      <c r="B194" s="5">
        <f t="shared" si="1"/>
        <v>610422040036</v>
      </c>
      <c r="C194" s="5" t="str">
        <f t="shared" si="2"/>
        <v>Junaidi</v>
      </c>
      <c r="D194" s="5" t="s">
        <v>363</v>
      </c>
      <c r="E194" s="5" t="e">
        <f t="array" ref="E194">INDEX('Master SLS'!$H$2:$H998,MATCH($AL194,'Master SLS'!$K$2:$K998,0))</f>
        <v>#VALUE!</v>
      </c>
      <c r="F194" s="5" t="e">
        <f t="array" ref="F194">INDEX('Master SLS'!$I$2:$I998,MATCH($AL194,'Master SLS'!$K$2:$K998,0))</f>
        <v>#VALUE!</v>
      </c>
      <c r="G194" s="5" t="s">
        <v>1570</v>
      </c>
      <c r="H194" s="5" t="s">
        <v>1571</v>
      </c>
      <c r="I194" s="5" t="s">
        <v>366</v>
      </c>
      <c r="J194" s="5">
        <v>1</v>
      </c>
      <c r="K194" s="5" t="s">
        <v>1572</v>
      </c>
      <c r="L194" s="5">
        <v>61</v>
      </c>
      <c r="M194" s="5">
        <v>4</v>
      </c>
      <c r="N194" s="5">
        <v>81</v>
      </c>
      <c r="O194" s="5">
        <v>6</v>
      </c>
      <c r="P194" s="5" t="s">
        <v>1573</v>
      </c>
      <c r="Q194" s="5">
        <v>1</v>
      </c>
      <c r="R194" s="74">
        <v>32509</v>
      </c>
      <c r="S194" s="5" t="s">
        <v>1574</v>
      </c>
      <c r="T194" s="5">
        <v>1</v>
      </c>
      <c r="U194" s="5">
        <v>1</v>
      </c>
      <c r="V194" s="5">
        <v>2</v>
      </c>
      <c r="W194" s="5">
        <v>5</v>
      </c>
      <c r="X194" s="5">
        <v>3</v>
      </c>
      <c r="AA194" s="5">
        <v>1</v>
      </c>
      <c r="AB194" s="5">
        <v>1</v>
      </c>
      <c r="AC194" s="5">
        <v>1</v>
      </c>
      <c r="AD194" s="5">
        <v>1</v>
      </c>
      <c r="AE194" s="5">
        <v>1</v>
      </c>
      <c r="AF194" s="5">
        <v>0</v>
      </c>
      <c r="AG194" s="5">
        <v>0</v>
      </c>
      <c r="AH194" s="5" t="s">
        <v>369</v>
      </c>
      <c r="AI194" s="5" t="s">
        <v>366</v>
      </c>
      <c r="AJ194" s="5" t="s">
        <v>1575</v>
      </c>
      <c r="AK194" s="5">
        <v>610422040036</v>
      </c>
      <c r="AL194" s="5" t="e">
        <f t="shared" si="3"/>
        <v>#VALUE!</v>
      </c>
    </row>
    <row r="195" spans="1:38" ht="12.5">
      <c r="A195" s="10" t="str">
        <f t="shared" si="0"/>
        <v>Kemal Akbar</v>
      </c>
      <c r="B195" s="5">
        <f t="shared" si="1"/>
        <v>610423110185</v>
      </c>
      <c r="C195" s="5" t="str">
        <f t="shared" si="2"/>
        <v>Kemal Akbar</v>
      </c>
      <c r="D195" s="5" t="s">
        <v>363</v>
      </c>
      <c r="E195" s="5" t="e">
        <f t="array" ref="E195">INDEX('Master SLS'!$H$2:$H998,MATCH($AL195,'Master SLS'!$K$2:$K998,0))</f>
        <v>#VALUE!</v>
      </c>
      <c r="F195" s="5" t="e">
        <f t="array" ref="F195">INDEX('Master SLS'!$I$2:$I998,MATCH($AL195,'Master SLS'!$K$2:$K998,0))</f>
        <v>#VALUE!</v>
      </c>
      <c r="G195" s="5" t="s">
        <v>1576</v>
      </c>
      <c r="H195" s="5" t="s">
        <v>1577</v>
      </c>
      <c r="I195" s="5" t="s">
        <v>474</v>
      </c>
      <c r="J195" s="5">
        <v>1</v>
      </c>
      <c r="K195" s="5" t="s">
        <v>1578</v>
      </c>
      <c r="L195" s="5">
        <v>61</v>
      </c>
      <c r="M195" s="5">
        <v>4</v>
      </c>
      <c r="N195" s="5">
        <v>100</v>
      </c>
      <c r="O195" s="5">
        <v>8</v>
      </c>
      <c r="P195" s="5" t="s">
        <v>1579</v>
      </c>
      <c r="Q195" s="5">
        <v>1</v>
      </c>
      <c r="R195" s="74">
        <v>35460</v>
      </c>
      <c r="T195" s="5">
        <v>1</v>
      </c>
      <c r="U195" s="5">
        <v>1</v>
      </c>
      <c r="V195" s="5">
        <v>1</v>
      </c>
      <c r="W195" s="5">
        <v>5</v>
      </c>
      <c r="X195" s="5">
        <v>7</v>
      </c>
      <c r="Y195" s="5" t="s">
        <v>553</v>
      </c>
      <c r="AA195" s="5">
        <v>1</v>
      </c>
      <c r="AB195" s="5">
        <v>1</v>
      </c>
      <c r="AC195" s="5">
        <v>0</v>
      </c>
      <c r="AD195" s="5">
        <v>0</v>
      </c>
      <c r="AE195" s="5">
        <v>0</v>
      </c>
      <c r="AF195" s="5">
        <v>0</v>
      </c>
      <c r="AG195" s="5">
        <v>0</v>
      </c>
      <c r="AI195" s="5" t="s">
        <v>474</v>
      </c>
      <c r="AJ195" s="5" t="s">
        <v>1580</v>
      </c>
      <c r="AK195" s="5">
        <v>610423110185</v>
      </c>
      <c r="AL195" s="5" t="e">
        <f t="shared" si="3"/>
        <v>#VALUE!</v>
      </c>
    </row>
    <row r="196" spans="1:38" ht="12.5">
      <c r="A196" s="10" t="str">
        <f t="shared" si="0"/>
        <v>Khairun Rahmah Wati</v>
      </c>
      <c r="B196" s="5">
        <f t="shared" si="1"/>
        <v>610423110102</v>
      </c>
      <c r="C196" s="5" t="str">
        <f t="shared" si="2"/>
        <v>Khairun Rahmah Wati</v>
      </c>
      <c r="D196" s="5" t="s">
        <v>560</v>
      </c>
      <c r="E196" s="5" t="s">
        <v>1581</v>
      </c>
      <c r="F196" s="5" t="s">
        <v>1582</v>
      </c>
      <c r="G196" s="5" t="s">
        <v>1583</v>
      </c>
      <c r="H196" s="5" t="s">
        <v>1584</v>
      </c>
      <c r="I196" s="5" t="s">
        <v>388</v>
      </c>
      <c r="J196" s="5">
        <v>1</v>
      </c>
      <c r="K196" s="5" t="s">
        <v>1585</v>
      </c>
      <c r="L196" s="5">
        <v>61</v>
      </c>
      <c r="M196" s="5">
        <v>71</v>
      </c>
      <c r="N196" s="5">
        <v>10</v>
      </c>
      <c r="O196" s="5">
        <v>6</v>
      </c>
      <c r="P196" s="5" t="s">
        <v>1586</v>
      </c>
      <c r="Q196" s="5">
        <v>1</v>
      </c>
      <c r="R196" s="74">
        <v>37084</v>
      </c>
      <c r="T196" s="5">
        <v>0</v>
      </c>
      <c r="U196" s="5">
        <v>1</v>
      </c>
      <c r="V196" s="5">
        <v>1</v>
      </c>
      <c r="W196" s="5">
        <v>3</v>
      </c>
      <c r="X196" s="5">
        <v>6</v>
      </c>
      <c r="Y196" s="5" t="s">
        <v>1587</v>
      </c>
      <c r="AA196" s="5">
        <v>0</v>
      </c>
      <c r="AB196" s="5">
        <v>0</v>
      </c>
      <c r="AC196" s="5">
        <v>0</v>
      </c>
      <c r="AD196" s="5">
        <v>0</v>
      </c>
      <c r="AE196" s="5">
        <v>0</v>
      </c>
      <c r="AF196" s="5">
        <v>0</v>
      </c>
      <c r="AG196" s="5">
        <v>0</v>
      </c>
      <c r="AI196" s="5" t="s">
        <v>388</v>
      </c>
      <c r="AJ196" s="5" t="s">
        <v>1588</v>
      </c>
      <c r="AK196" s="5">
        <v>610423110102</v>
      </c>
      <c r="AL196" s="5" t="e">
        <f t="shared" si="3"/>
        <v>#VALUE!</v>
      </c>
    </row>
    <row r="197" spans="1:38" ht="12.5">
      <c r="A197" s="10" t="str">
        <f t="shared" si="0"/>
        <v>Khairunnisa</v>
      </c>
      <c r="B197" s="5">
        <f t="shared" si="1"/>
        <v>610423110077</v>
      </c>
      <c r="C197" s="5" t="str">
        <f t="shared" si="2"/>
        <v>Khairunnisa</v>
      </c>
      <c r="D197" s="5" t="s">
        <v>363</v>
      </c>
      <c r="E197" s="5" t="e">
        <f t="array" ref="E197">INDEX('Master SLS'!$H$2:$H998,MATCH($AL197,'Master SLS'!$K$2:$K998,0))</f>
        <v>#VALUE!</v>
      </c>
      <c r="F197" s="5" t="e">
        <f t="array" ref="F197">INDEX('Master SLS'!$I$2:$I998,MATCH($AL197,'Master SLS'!$K$2:$K998,0))</f>
        <v>#VALUE!</v>
      </c>
      <c r="G197" s="5" t="s">
        <v>1589</v>
      </c>
      <c r="H197" s="5" t="s">
        <v>1590</v>
      </c>
      <c r="I197" s="5" t="s">
        <v>366</v>
      </c>
      <c r="J197" s="5">
        <v>1</v>
      </c>
      <c r="K197" s="5" t="s">
        <v>1591</v>
      </c>
      <c r="L197" s="5">
        <v>61</v>
      </c>
      <c r="M197" s="5">
        <v>4</v>
      </c>
      <c r="N197" s="5">
        <v>81</v>
      </c>
      <c r="O197" s="5">
        <v>3</v>
      </c>
      <c r="P197" s="5" t="s">
        <v>1592</v>
      </c>
      <c r="Q197" s="5">
        <v>1</v>
      </c>
      <c r="R197" s="74">
        <v>35211</v>
      </c>
      <c r="T197" s="5">
        <v>0</v>
      </c>
      <c r="U197" s="5">
        <v>1</v>
      </c>
      <c r="V197" s="5">
        <v>2</v>
      </c>
      <c r="W197" s="5">
        <v>5</v>
      </c>
      <c r="X197" s="5">
        <v>3</v>
      </c>
      <c r="AA197" s="5">
        <v>0</v>
      </c>
      <c r="AB197" s="5">
        <v>0</v>
      </c>
      <c r="AC197" s="5">
        <v>0</v>
      </c>
      <c r="AD197" s="5">
        <v>0</v>
      </c>
      <c r="AE197" s="5">
        <v>0</v>
      </c>
      <c r="AF197" s="5">
        <v>0</v>
      </c>
      <c r="AG197" s="5">
        <v>0</v>
      </c>
      <c r="AH197" s="5" t="s">
        <v>1593</v>
      </c>
      <c r="AI197" s="5" t="s">
        <v>366</v>
      </c>
      <c r="AJ197" s="5" t="s">
        <v>1594</v>
      </c>
      <c r="AK197" s="5">
        <v>610423110077</v>
      </c>
      <c r="AL197" s="5" t="e">
        <f t="shared" si="3"/>
        <v>#VALUE!</v>
      </c>
    </row>
    <row r="198" spans="1:38" ht="12.5">
      <c r="A198" s="10" t="str">
        <f t="shared" si="0"/>
        <v>Kharim Marufah</v>
      </c>
      <c r="B198" s="5">
        <f t="shared" si="1"/>
        <v>610422100153</v>
      </c>
      <c r="C198" s="5" t="str">
        <f t="shared" si="2"/>
        <v>Kharim marufah</v>
      </c>
      <c r="D198" s="5" t="s">
        <v>363</v>
      </c>
      <c r="E198" s="5" t="e">
        <f t="array" ref="E198">INDEX('Master SLS'!$H$2:$H998,MATCH($AL198,'Master SLS'!$K$2:$K998,0))</f>
        <v>#VALUE!</v>
      </c>
      <c r="F198" s="5" t="e">
        <f t="array" ref="F198">INDEX('Master SLS'!$I$2:$I998,MATCH($AL198,'Master SLS'!$K$2:$K998,0))</f>
        <v>#VALUE!</v>
      </c>
      <c r="G198" s="5" t="s">
        <v>1595</v>
      </c>
      <c r="H198" s="5" t="s">
        <v>1596</v>
      </c>
      <c r="I198" s="5" t="s">
        <v>366</v>
      </c>
      <c r="J198" s="5">
        <v>1</v>
      </c>
      <c r="K198" s="5" t="s">
        <v>1597</v>
      </c>
      <c r="L198" s="5">
        <v>61</v>
      </c>
      <c r="M198" s="5">
        <v>4</v>
      </c>
      <c r="N198" s="5">
        <v>90</v>
      </c>
      <c r="O198" s="5">
        <v>1</v>
      </c>
      <c r="P198" s="5" t="s">
        <v>1598</v>
      </c>
      <c r="Q198" s="5">
        <v>1</v>
      </c>
      <c r="R198" s="74">
        <v>35465</v>
      </c>
      <c r="S198" s="5" t="s">
        <v>1599</v>
      </c>
      <c r="T198" s="5">
        <v>0</v>
      </c>
      <c r="U198" s="5">
        <v>1</v>
      </c>
      <c r="V198" s="5">
        <v>1</v>
      </c>
      <c r="W198" s="5">
        <v>5</v>
      </c>
      <c r="X198" s="5">
        <v>7</v>
      </c>
      <c r="Y198" s="5" t="s">
        <v>1600</v>
      </c>
      <c r="AA198" s="5">
        <v>1</v>
      </c>
      <c r="AB198" s="5">
        <v>0</v>
      </c>
      <c r="AC198" s="5">
        <v>1</v>
      </c>
      <c r="AD198" s="5">
        <v>0</v>
      </c>
      <c r="AE198" s="5">
        <v>0</v>
      </c>
      <c r="AF198" s="5">
        <v>0</v>
      </c>
      <c r="AG198" s="5">
        <v>0</v>
      </c>
      <c r="AI198" s="5" t="s">
        <v>366</v>
      </c>
      <c r="AJ198" s="5" t="s">
        <v>1601</v>
      </c>
      <c r="AK198" s="5">
        <v>610422100153</v>
      </c>
      <c r="AL198" s="5" t="e">
        <f t="shared" si="3"/>
        <v>#VALUE!</v>
      </c>
    </row>
    <row r="199" spans="1:38" ht="12.5">
      <c r="A199" s="10" t="str">
        <f t="shared" si="0"/>
        <v>Kristianto Erwan</v>
      </c>
      <c r="B199" s="5">
        <f t="shared" si="1"/>
        <v>610422100235</v>
      </c>
      <c r="C199" s="5" t="str">
        <f t="shared" si="2"/>
        <v>KRISTIANTO ERWAN</v>
      </c>
      <c r="D199" s="5" t="s">
        <v>363</v>
      </c>
      <c r="E199" s="5" t="e">
        <f t="array" ref="E199">INDEX('Master SLS'!$H$2:$H998,MATCH($AL199,'Master SLS'!$K$2:$K998,0))</f>
        <v>#VALUE!</v>
      </c>
      <c r="F199" s="5" t="e">
        <f t="array" ref="F199">INDEX('Master SLS'!$I$2:$I998,MATCH($AL199,'Master SLS'!$K$2:$K998,0))</f>
        <v>#VALUE!</v>
      </c>
      <c r="G199" s="5" t="s">
        <v>1602</v>
      </c>
      <c r="H199" s="5" t="s">
        <v>1603</v>
      </c>
      <c r="I199" s="5" t="s">
        <v>366</v>
      </c>
      <c r="J199" s="5">
        <v>1</v>
      </c>
      <c r="K199" s="5" t="s">
        <v>1604</v>
      </c>
      <c r="L199" s="5">
        <v>61</v>
      </c>
      <c r="M199" s="5">
        <v>4</v>
      </c>
      <c r="N199" s="5">
        <v>120</v>
      </c>
      <c r="O199" s="5">
        <v>6</v>
      </c>
      <c r="P199" s="5" t="s">
        <v>1605</v>
      </c>
      <c r="Q199" s="5">
        <v>1</v>
      </c>
      <c r="R199" s="74">
        <v>35468</v>
      </c>
      <c r="S199" s="5" t="s">
        <v>1606</v>
      </c>
      <c r="T199" s="5">
        <v>1</v>
      </c>
      <c r="U199" s="5">
        <v>3</v>
      </c>
      <c r="V199" s="5">
        <v>1</v>
      </c>
      <c r="W199" s="5">
        <v>5</v>
      </c>
      <c r="X199" s="5">
        <v>7</v>
      </c>
      <c r="Y199" s="5" t="s">
        <v>647</v>
      </c>
      <c r="AA199" s="5">
        <v>1</v>
      </c>
      <c r="AB199" s="5">
        <v>0</v>
      </c>
      <c r="AC199" s="5">
        <v>0</v>
      </c>
      <c r="AD199" s="5">
        <v>1</v>
      </c>
      <c r="AE199" s="5">
        <v>0</v>
      </c>
      <c r="AF199" s="5">
        <v>0</v>
      </c>
      <c r="AG199" s="5">
        <v>0</v>
      </c>
      <c r="AH199" s="5" t="s">
        <v>1607</v>
      </c>
      <c r="AI199" s="5" t="s">
        <v>366</v>
      </c>
      <c r="AJ199" s="5" t="s">
        <v>1608</v>
      </c>
      <c r="AK199" s="5">
        <v>610422100235</v>
      </c>
      <c r="AL199" s="5" t="e">
        <f t="shared" si="3"/>
        <v>#VALUE!</v>
      </c>
    </row>
    <row r="200" spans="1:38" ht="12.5">
      <c r="A200" s="10" t="str">
        <f t="shared" si="0"/>
        <v>Kudratika Indayani</v>
      </c>
      <c r="B200" s="5">
        <f t="shared" si="1"/>
        <v>610422100270</v>
      </c>
      <c r="C200" s="5" t="str">
        <f t="shared" si="2"/>
        <v>Kudratika indayani</v>
      </c>
      <c r="D200" s="5" t="s">
        <v>363</v>
      </c>
      <c r="E200" s="5" t="e">
        <f t="array" ref="E200">INDEX('Master SLS'!$H$2:$H998,MATCH($AL200,'Master SLS'!$K$2:$K998,0))</f>
        <v>#VALUE!</v>
      </c>
      <c r="F200" s="5" t="e">
        <f t="array" ref="F200">INDEX('Master SLS'!$I$2:$I998,MATCH($AL200,'Master SLS'!$K$2:$K998,0))</f>
        <v>#VALUE!</v>
      </c>
      <c r="G200" s="5" t="s">
        <v>1609</v>
      </c>
      <c r="H200" s="5" t="s">
        <v>1610</v>
      </c>
      <c r="I200" s="5" t="s">
        <v>366</v>
      </c>
      <c r="J200" s="5">
        <v>1</v>
      </c>
      <c r="K200" s="5" t="s">
        <v>1611</v>
      </c>
      <c r="L200" s="5">
        <v>61</v>
      </c>
      <c r="M200" s="5">
        <v>4</v>
      </c>
      <c r="N200" s="5">
        <v>101</v>
      </c>
      <c r="O200" s="5">
        <v>6</v>
      </c>
      <c r="P200" s="5" t="s">
        <v>1612</v>
      </c>
      <c r="Q200" s="5">
        <v>1</v>
      </c>
      <c r="R200" s="74">
        <v>34567</v>
      </c>
      <c r="S200" s="5" t="s">
        <v>1613</v>
      </c>
      <c r="T200" s="5">
        <v>0</v>
      </c>
      <c r="U200" s="5">
        <v>1</v>
      </c>
      <c r="V200" s="5">
        <v>3</v>
      </c>
      <c r="W200" s="5">
        <v>3</v>
      </c>
      <c r="X200" s="5">
        <v>5</v>
      </c>
      <c r="AA200" s="5">
        <v>1</v>
      </c>
      <c r="AB200" s="5">
        <v>0</v>
      </c>
      <c r="AC200" s="5">
        <v>0</v>
      </c>
      <c r="AD200" s="5">
        <v>1</v>
      </c>
      <c r="AE200" s="5">
        <v>0</v>
      </c>
      <c r="AF200" s="5">
        <v>0</v>
      </c>
      <c r="AG200" s="5">
        <v>0</v>
      </c>
      <c r="AH200" s="5" t="s">
        <v>1614</v>
      </c>
      <c r="AI200" s="5" t="s">
        <v>366</v>
      </c>
      <c r="AJ200" s="5" t="s">
        <v>1615</v>
      </c>
      <c r="AK200" s="5">
        <v>610422100270</v>
      </c>
      <c r="AL200" s="5" t="e">
        <f t="shared" si="3"/>
        <v>#VALUE!</v>
      </c>
    </row>
    <row r="201" spans="1:38" ht="12.5">
      <c r="A201" s="10" t="str">
        <f t="shared" si="0"/>
        <v>Kurnia Sari</v>
      </c>
      <c r="B201" s="5">
        <f t="shared" si="1"/>
        <v>610423110128</v>
      </c>
      <c r="C201" s="5" t="str">
        <f t="shared" si="2"/>
        <v>kurnia sari</v>
      </c>
      <c r="D201" s="5" t="s">
        <v>363</v>
      </c>
      <c r="E201" s="5" t="e">
        <f t="array" ref="E201">INDEX('Master SLS'!$H$2:$H998,MATCH($AL201,'Master SLS'!$K$2:$K998,0))</f>
        <v>#VALUE!</v>
      </c>
      <c r="F201" s="5" t="e">
        <f t="array" ref="F201">INDEX('Master SLS'!$I$2:$I998,MATCH($AL201,'Master SLS'!$K$2:$K998,0))</f>
        <v>#VALUE!</v>
      </c>
      <c r="G201" s="5" t="s">
        <v>1616</v>
      </c>
      <c r="H201" s="5" t="s">
        <v>1617</v>
      </c>
      <c r="I201" s="5" t="s">
        <v>366</v>
      </c>
      <c r="J201" s="5">
        <v>1</v>
      </c>
      <c r="K201" s="5" t="s">
        <v>1618</v>
      </c>
      <c r="L201" s="5">
        <v>61</v>
      </c>
      <c r="M201" s="5">
        <v>4</v>
      </c>
      <c r="N201" s="5">
        <v>101</v>
      </c>
      <c r="O201" s="5">
        <v>2</v>
      </c>
      <c r="P201" s="5" t="s">
        <v>1619</v>
      </c>
      <c r="Q201" s="5">
        <v>1</v>
      </c>
      <c r="R201" s="7">
        <v>34653</v>
      </c>
      <c r="T201" s="5">
        <v>0</v>
      </c>
      <c r="U201" s="5">
        <v>1</v>
      </c>
      <c r="V201" s="5">
        <v>2</v>
      </c>
      <c r="W201" s="5">
        <v>3</v>
      </c>
      <c r="X201" s="5">
        <v>4</v>
      </c>
      <c r="AA201" s="5">
        <v>0</v>
      </c>
      <c r="AB201" s="5">
        <v>0</v>
      </c>
      <c r="AC201" s="5">
        <v>0</v>
      </c>
      <c r="AD201" s="5">
        <v>0</v>
      </c>
      <c r="AE201" s="5">
        <v>0</v>
      </c>
      <c r="AF201" s="5">
        <v>0</v>
      </c>
      <c r="AG201" s="5">
        <v>0</v>
      </c>
      <c r="AI201" s="5" t="s">
        <v>366</v>
      </c>
      <c r="AJ201" s="5" t="s">
        <v>1620</v>
      </c>
      <c r="AK201" s="5">
        <v>610423110128</v>
      </c>
      <c r="AL201" s="5" t="e">
        <f t="shared" si="3"/>
        <v>#VALUE!</v>
      </c>
    </row>
    <row r="202" spans="1:38" ht="12.5">
      <c r="A202" s="10" t="str">
        <f t="shared" si="0"/>
        <v>Kurniadi</v>
      </c>
      <c r="B202" s="5">
        <f t="shared" si="1"/>
        <v>610422020029</v>
      </c>
      <c r="C202" s="5" t="str">
        <f t="shared" si="2"/>
        <v>Kurniadi</v>
      </c>
      <c r="D202" s="5" t="s">
        <v>363</v>
      </c>
      <c r="E202" s="5" t="e">
        <f t="array" ref="E202">INDEX('Master SLS'!$H$2:$H998,MATCH($AL202,'Master SLS'!$K$2:$K998,0))</f>
        <v>#VALUE!</v>
      </c>
      <c r="F202" s="5" t="e">
        <f t="array" ref="F202">INDEX('Master SLS'!$I$2:$I998,MATCH($AL202,'Master SLS'!$K$2:$K998,0))</f>
        <v>#VALUE!</v>
      </c>
      <c r="G202" s="5" t="s">
        <v>1621</v>
      </c>
      <c r="H202" s="5" t="s">
        <v>1622</v>
      </c>
      <c r="I202" s="5" t="s">
        <v>388</v>
      </c>
      <c r="J202" s="5">
        <v>1</v>
      </c>
      <c r="K202" s="5" t="s">
        <v>1623</v>
      </c>
      <c r="L202" s="5">
        <v>61</v>
      </c>
      <c r="M202" s="5">
        <v>4</v>
      </c>
      <c r="N202" s="5">
        <v>100</v>
      </c>
      <c r="O202" s="5">
        <v>8</v>
      </c>
      <c r="P202" s="5" t="s">
        <v>1624</v>
      </c>
      <c r="Q202" s="5">
        <v>1</v>
      </c>
      <c r="R202" s="7">
        <v>35714</v>
      </c>
      <c r="T202" s="5">
        <v>1</v>
      </c>
      <c r="U202" s="5">
        <v>1</v>
      </c>
      <c r="V202" s="5">
        <v>1</v>
      </c>
      <c r="W202" s="5">
        <v>5</v>
      </c>
      <c r="X202" s="5">
        <v>6</v>
      </c>
      <c r="AA202" s="5">
        <v>1</v>
      </c>
      <c r="AB202" s="5">
        <v>0</v>
      </c>
      <c r="AC202" s="5">
        <v>1</v>
      </c>
      <c r="AD202" s="5">
        <v>0</v>
      </c>
      <c r="AE202" s="5">
        <v>1</v>
      </c>
      <c r="AF202" s="5">
        <v>0</v>
      </c>
      <c r="AG202" s="5">
        <v>0</v>
      </c>
      <c r="AH202" s="5" t="s">
        <v>369</v>
      </c>
      <c r="AI202" s="5" t="s">
        <v>388</v>
      </c>
      <c r="AJ202" s="5" t="s">
        <v>1625</v>
      </c>
      <c r="AK202" s="5">
        <v>610422020029</v>
      </c>
      <c r="AL202" s="5" t="e">
        <f t="shared" si="3"/>
        <v>#VALUE!</v>
      </c>
    </row>
    <row r="203" spans="1:38" ht="12.5">
      <c r="A203" s="10" t="str">
        <f t="shared" si="0"/>
        <v>Laras Nanda Julita</v>
      </c>
      <c r="B203" s="5">
        <f t="shared" si="1"/>
        <v>610423030004</v>
      </c>
      <c r="C203" s="5" t="str">
        <f t="shared" si="2"/>
        <v>Laras Nanda Julita</v>
      </c>
      <c r="D203" s="5" t="s">
        <v>363</v>
      </c>
      <c r="E203" s="5" t="e">
        <f t="array" ref="E203">INDEX('Master SLS'!$H$2:$H998,MATCH($AL203,'Master SLS'!$K$2:$K998,0))</f>
        <v>#VALUE!</v>
      </c>
      <c r="F203" s="5" t="e">
        <f t="array" ref="F203">INDEX('Master SLS'!$I$2:$I998,MATCH($AL203,'Master SLS'!$K$2:$K998,0))</f>
        <v>#VALUE!</v>
      </c>
      <c r="G203" s="5" t="s">
        <v>1626</v>
      </c>
      <c r="H203" s="5" t="s">
        <v>1627</v>
      </c>
      <c r="I203" s="5" t="s">
        <v>366</v>
      </c>
      <c r="J203" s="5">
        <v>1</v>
      </c>
      <c r="K203" s="5" t="s">
        <v>1628</v>
      </c>
      <c r="L203" s="5">
        <v>61</v>
      </c>
      <c r="M203" s="5">
        <v>4</v>
      </c>
      <c r="N203" s="5">
        <v>90</v>
      </c>
      <c r="O203" s="5">
        <v>5</v>
      </c>
      <c r="P203" s="5" t="s">
        <v>1629</v>
      </c>
      <c r="Q203" s="5">
        <v>1</v>
      </c>
      <c r="R203" s="74">
        <v>36711</v>
      </c>
      <c r="S203" s="5" t="s">
        <v>1630</v>
      </c>
      <c r="T203" s="5">
        <v>0</v>
      </c>
      <c r="U203" s="5">
        <v>1</v>
      </c>
      <c r="V203" s="5">
        <v>1</v>
      </c>
      <c r="W203" s="5">
        <v>5</v>
      </c>
      <c r="X203" s="5">
        <v>3</v>
      </c>
      <c r="AA203" s="5">
        <v>1</v>
      </c>
      <c r="AB203" s="5">
        <v>0</v>
      </c>
      <c r="AC203" s="5">
        <v>1</v>
      </c>
      <c r="AD203" s="5">
        <v>0</v>
      </c>
      <c r="AE203" s="5">
        <v>0</v>
      </c>
      <c r="AF203" s="5">
        <v>0</v>
      </c>
      <c r="AG203" s="5">
        <v>0</v>
      </c>
      <c r="AH203" s="5" t="s">
        <v>1631</v>
      </c>
      <c r="AI203" s="5" t="s">
        <v>366</v>
      </c>
      <c r="AJ203" s="5" t="s">
        <v>1632</v>
      </c>
      <c r="AK203" s="5">
        <v>610423030004</v>
      </c>
      <c r="AL203" s="5" t="e">
        <f t="shared" si="3"/>
        <v>#VALUE!</v>
      </c>
    </row>
    <row r="204" spans="1:38" ht="12.5">
      <c r="A204" s="10" t="str">
        <f t="shared" si="0"/>
        <v>Lili Rahmahwati</v>
      </c>
      <c r="B204" s="5">
        <f t="shared" si="1"/>
        <v>610423110135</v>
      </c>
      <c r="C204" s="5" t="str">
        <f t="shared" si="2"/>
        <v>Lili Rahmahwati</v>
      </c>
      <c r="D204" s="5" t="s">
        <v>363</v>
      </c>
      <c r="E204" s="5" t="e">
        <f t="array" ref="E204">INDEX('Master SLS'!$H$2:$H998,MATCH($AL204,'Master SLS'!$K$2:$K998,0))</f>
        <v>#VALUE!</v>
      </c>
      <c r="F204" s="5" t="e">
        <f t="array" ref="F204">INDEX('Master SLS'!$I$2:$I998,MATCH($AL204,'Master SLS'!$K$2:$K998,0))</f>
        <v>#VALUE!</v>
      </c>
      <c r="G204" s="5" t="s">
        <v>1633</v>
      </c>
      <c r="H204" s="5" t="s">
        <v>1634</v>
      </c>
      <c r="I204" s="5" t="s">
        <v>474</v>
      </c>
      <c r="J204" s="5">
        <v>1</v>
      </c>
      <c r="K204" s="5" t="s">
        <v>1635</v>
      </c>
      <c r="L204" s="5">
        <v>61</v>
      </c>
      <c r="M204" s="5">
        <v>4</v>
      </c>
      <c r="N204" s="5">
        <v>110</v>
      </c>
      <c r="O204" s="5">
        <v>7</v>
      </c>
      <c r="P204" s="5" t="s">
        <v>1636</v>
      </c>
      <c r="Q204" s="5">
        <v>1</v>
      </c>
      <c r="R204" s="74">
        <v>36629</v>
      </c>
      <c r="T204" s="5">
        <v>0</v>
      </c>
      <c r="U204" s="5">
        <v>1</v>
      </c>
      <c r="V204" s="5">
        <v>1</v>
      </c>
      <c r="W204" s="5">
        <v>5</v>
      </c>
      <c r="X204" s="5">
        <v>7</v>
      </c>
      <c r="Y204" s="5" t="s">
        <v>895</v>
      </c>
      <c r="AA204" s="5">
        <v>0</v>
      </c>
      <c r="AB204" s="5">
        <v>0</v>
      </c>
      <c r="AC204" s="5">
        <v>0</v>
      </c>
      <c r="AD204" s="5">
        <v>0</v>
      </c>
      <c r="AE204" s="5">
        <v>0</v>
      </c>
      <c r="AF204" s="5">
        <v>0</v>
      </c>
      <c r="AG204" s="5">
        <v>0</v>
      </c>
      <c r="AH204" s="5" t="s">
        <v>1637</v>
      </c>
      <c r="AI204" s="5" t="s">
        <v>474</v>
      </c>
      <c r="AJ204" s="5" t="s">
        <v>1638</v>
      </c>
      <c r="AK204" s="5">
        <v>610423110135</v>
      </c>
      <c r="AL204" s="5" t="e">
        <f t="shared" si="3"/>
        <v>#VALUE!</v>
      </c>
    </row>
    <row r="205" spans="1:38" ht="12.5">
      <c r="A205" s="10" t="str">
        <f t="shared" si="0"/>
        <v>Lilis Suryani</v>
      </c>
      <c r="B205" s="5">
        <f t="shared" si="1"/>
        <v>610422020032</v>
      </c>
      <c r="C205" s="5" t="str">
        <f t="shared" si="2"/>
        <v>Lilis Suryani</v>
      </c>
      <c r="D205" s="5" t="s">
        <v>363</v>
      </c>
      <c r="E205" s="5" t="e">
        <f t="array" ref="E205">INDEX('Master SLS'!$H$2:$H998,MATCH($AL205,'Master SLS'!$K$2:$K998,0))</f>
        <v>#VALUE!</v>
      </c>
      <c r="F205" s="5" t="e">
        <f t="array" ref="F205">INDEX('Master SLS'!$I$2:$I998,MATCH($AL205,'Master SLS'!$K$2:$K998,0))</f>
        <v>#VALUE!</v>
      </c>
      <c r="G205" s="5" t="s">
        <v>1639</v>
      </c>
      <c r="H205" s="5" t="s">
        <v>1640</v>
      </c>
      <c r="I205" s="5" t="s">
        <v>366</v>
      </c>
      <c r="J205" s="5">
        <v>1</v>
      </c>
      <c r="K205" s="5" t="s">
        <v>1641</v>
      </c>
      <c r="L205" s="5">
        <v>61</v>
      </c>
      <c r="M205" s="5">
        <v>4</v>
      </c>
      <c r="N205" s="5">
        <v>101</v>
      </c>
      <c r="O205" s="5">
        <v>8</v>
      </c>
      <c r="P205" s="5" t="s">
        <v>1642</v>
      </c>
      <c r="Q205" s="5">
        <v>1</v>
      </c>
      <c r="R205" s="74">
        <v>32184</v>
      </c>
      <c r="S205" s="5" t="s">
        <v>1643</v>
      </c>
      <c r="T205" s="5">
        <v>0</v>
      </c>
      <c r="U205" s="5">
        <v>1</v>
      </c>
      <c r="V205" s="5">
        <v>2</v>
      </c>
      <c r="W205" s="5">
        <v>5</v>
      </c>
      <c r="X205" s="5">
        <v>3</v>
      </c>
      <c r="AA205" s="5">
        <v>1</v>
      </c>
      <c r="AB205" s="5">
        <v>1</v>
      </c>
      <c r="AC205" s="5">
        <v>1</v>
      </c>
      <c r="AD205" s="5">
        <v>0</v>
      </c>
      <c r="AE205" s="5">
        <v>1</v>
      </c>
      <c r="AF205" s="5">
        <v>1</v>
      </c>
      <c r="AG205" s="5">
        <v>0</v>
      </c>
      <c r="AH205" s="5" t="s">
        <v>1644</v>
      </c>
      <c r="AI205" s="5" t="s">
        <v>366</v>
      </c>
      <c r="AJ205" s="5" t="s">
        <v>1645</v>
      </c>
      <c r="AK205" s="5">
        <v>610422020032</v>
      </c>
      <c r="AL205" s="5" t="e">
        <f t="shared" si="3"/>
        <v>#VALUE!</v>
      </c>
    </row>
    <row r="206" spans="1:38" ht="12.5">
      <c r="A206" s="10" t="str">
        <f t="shared" si="0"/>
        <v>Lina Agustin Widya Siwi</v>
      </c>
      <c r="B206" s="5">
        <f t="shared" si="1"/>
        <v>610422100085</v>
      </c>
      <c r="C206" s="5" t="str">
        <f t="shared" si="2"/>
        <v>LINA AGUSTIN WIDYA SIWI</v>
      </c>
      <c r="D206" s="5" t="s">
        <v>363</v>
      </c>
      <c r="E206" s="5" t="e">
        <f t="array" ref="E206">INDEX('Master SLS'!$H$2:$H998,MATCH($AL206,'Master SLS'!$K$2:$K998,0))</f>
        <v>#VALUE!</v>
      </c>
      <c r="F206" s="5" t="e">
        <f t="array" ref="F206">INDEX('Master SLS'!$I$2:$I998,MATCH($AL206,'Master SLS'!$K$2:$K998,0))</f>
        <v>#VALUE!</v>
      </c>
      <c r="G206" s="5" t="s">
        <v>1646</v>
      </c>
      <c r="H206" s="5" t="s">
        <v>1647</v>
      </c>
      <c r="I206" s="5" t="s">
        <v>388</v>
      </c>
      <c r="J206" s="5">
        <v>1</v>
      </c>
      <c r="K206" s="5" t="s">
        <v>1648</v>
      </c>
      <c r="L206" s="5">
        <v>61</v>
      </c>
      <c r="M206" s="5">
        <v>4</v>
      </c>
      <c r="N206" s="5">
        <v>90</v>
      </c>
      <c r="O206" s="5">
        <v>4</v>
      </c>
      <c r="P206" s="5" t="s">
        <v>1649</v>
      </c>
      <c r="Q206" s="5">
        <v>1</v>
      </c>
      <c r="R206" s="74">
        <v>31275</v>
      </c>
      <c r="S206" s="5" t="s">
        <v>1650</v>
      </c>
      <c r="T206" s="5">
        <v>0</v>
      </c>
      <c r="U206" s="5">
        <v>1</v>
      </c>
      <c r="V206" s="5">
        <v>2</v>
      </c>
      <c r="W206" s="5">
        <v>5</v>
      </c>
      <c r="X206" s="5">
        <v>4</v>
      </c>
      <c r="AA206" s="5">
        <v>1</v>
      </c>
      <c r="AB206" s="5">
        <v>0</v>
      </c>
      <c r="AC206" s="5">
        <v>1</v>
      </c>
      <c r="AD206" s="5">
        <v>0</v>
      </c>
      <c r="AE206" s="5">
        <v>1</v>
      </c>
      <c r="AF206" s="5">
        <v>0</v>
      </c>
      <c r="AG206" s="5">
        <v>0</v>
      </c>
      <c r="AI206" s="5" t="s">
        <v>388</v>
      </c>
      <c r="AJ206" s="5" t="s">
        <v>1651</v>
      </c>
      <c r="AK206" s="5">
        <v>610422100085</v>
      </c>
      <c r="AL206" s="5" t="e">
        <f t="shared" si="3"/>
        <v>#VALUE!</v>
      </c>
    </row>
    <row r="207" spans="1:38" ht="12.5">
      <c r="A207" s="10" t="str">
        <f t="shared" si="0"/>
        <v>Lula Dasilva</v>
      </c>
      <c r="B207" s="5">
        <f t="shared" si="1"/>
        <v>610423110046</v>
      </c>
      <c r="C207" s="5" t="str">
        <f t="shared" si="2"/>
        <v>Lula Dasilva</v>
      </c>
      <c r="D207" s="5" t="s">
        <v>363</v>
      </c>
      <c r="E207" s="5" t="e">
        <f t="array" ref="E207">INDEX('Master SLS'!$H$2:$H998,MATCH($AL207,'Master SLS'!$K$2:$K998,0))</f>
        <v>#VALUE!</v>
      </c>
      <c r="F207" s="5" t="e">
        <f t="array" ref="F207">INDEX('Master SLS'!$I$2:$I998,MATCH($AL207,'Master SLS'!$K$2:$K998,0))</f>
        <v>#VALUE!</v>
      </c>
      <c r="G207" s="5" t="s">
        <v>1652</v>
      </c>
      <c r="H207" s="5" t="s">
        <v>1653</v>
      </c>
      <c r="I207" s="5" t="s">
        <v>474</v>
      </c>
      <c r="J207" s="5">
        <v>1</v>
      </c>
      <c r="K207" s="5" t="s">
        <v>1654</v>
      </c>
      <c r="L207" s="5">
        <v>61</v>
      </c>
      <c r="M207" s="5">
        <v>4</v>
      </c>
      <c r="N207" s="5">
        <v>100</v>
      </c>
      <c r="O207" s="5">
        <v>7</v>
      </c>
      <c r="P207" s="5" t="s">
        <v>1655</v>
      </c>
      <c r="Q207" s="5">
        <v>2</v>
      </c>
      <c r="R207" s="74">
        <v>38198</v>
      </c>
      <c r="T207" s="5">
        <v>0</v>
      </c>
      <c r="U207" s="5">
        <v>1</v>
      </c>
      <c r="V207" s="5">
        <v>1</v>
      </c>
      <c r="W207" s="5">
        <v>3</v>
      </c>
      <c r="X207" s="5">
        <v>6</v>
      </c>
      <c r="AA207" s="5">
        <v>0</v>
      </c>
      <c r="AB207" s="5">
        <v>0</v>
      </c>
      <c r="AC207" s="5">
        <v>0</v>
      </c>
      <c r="AD207" s="5">
        <v>0</v>
      </c>
      <c r="AE207" s="5">
        <v>0</v>
      </c>
      <c r="AF207" s="5">
        <v>0</v>
      </c>
      <c r="AG207" s="5">
        <v>0</v>
      </c>
      <c r="AI207" s="5" t="s">
        <v>474</v>
      </c>
      <c r="AJ207" s="5" t="s">
        <v>1656</v>
      </c>
      <c r="AK207" s="5">
        <v>610423110046</v>
      </c>
      <c r="AL207" s="5" t="e">
        <f t="shared" si="3"/>
        <v>#VALUE!</v>
      </c>
    </row>
    <row r="208" spans="1:38" ht="12.5">
      <c r="A208" s="10" t="str">
        <f t="shared" si="0"/>
        <v>Lulu Gesti Gunawati</v>
      </c>
      <c r="B208" s="5">
        <f t="shared" si="1"/>
        <v>610423040013</v>
      </c>
      <c r="C208" s="5" t="str">
        <f t="shared" si="2"/>
        <v>Lulu Gesti Gunawati</v>
      </c>
      <c r="D208" s="5" t="s">
        <v>363</v>
      </c>
      <c r="E208" s="5" t="e">
        <f t="array" ref="E208">INDEX('Master SLS'!$H$2:$H998,MATCH($AL208,'Master SLS'!$K$2:$K998,0))</f>
        <v>#VALUE!</v>
      </c>
      <c r="F208" s="5" t="e">
        <f t="array" ref="F208">INDEX('Master SLS'!$I$2:$I998,MATCH($AL208,'Master SLS'!$K$2:$K998,0))</f>
        <v>#VALUE!</v>
      </c>
      <c r="G208" s="5" t="s">
        <v>1657</v>
      </c>
      <c r="H208" s="5" t="s">
        <v>1658</v>
      </c>
      <c r="I208" s="5" t="s">
        <v>388</v>
      </c>
      <c r="J208" s="5">
        <v>1</v>
      </c>
      <c r="K208" s="5" t="s">
        <v>1659</v>
      </c>
      <c r="L208" s="5">
        <v>61</v>
      </c>
      <c r="M208" s="5">
        <v>4</v>
      </c>
      <c r="N208" s="5">
        <v>110</v>
      </c>
      <c r="O208" s="5">
        <v>3</v>
      </c>
      <c r="P208" s="5" t="s">
        <v>1660</v>
      </c>
      <c r="Q208" s="5">
        <v>1</v>
      </c>
      <c r="R208" s="74">
        <v>36546</v>
      </c>
      <c r="T208" s="5">
        <v>0</v>
      </c>
      <c r="U208" s="5">
        <v>1</v>
      </c>
      <c r="V208" s="5">
        <v>1</v>
      </c>
      <c r="W208" s="5">
        <v>5</v>
      </c>
      <c r="X208" s="5">
        <v>7</v>
      </c>
      <c r="Y208" s="5" t="s">
        <v>553</v>
      </c>
      <c r="AA208" s="5">
        <v>1</v>
      </c>
      <c r="AB208" s="5">
        <v>0</v>
      </c>
      <c r="AC208" s="5">
        <v>1</v>
      </c>
      <c r="AD208" s="5">
        <v>0</v>
      </c>
      <c r="AE208" s="5">
        <v>0</v>
      </c>
      <c r="AF208" s="5">
        <v>0</v>
      </c>
      <c r="AG208" s="5">
        <v>0</v>
      </c>
      <c r="AH208" s="5" t="s">
        <v>376</v>
      </c>
      <c r="AI208" s="5" t="s">
        <v>388</v>
      </c>
      <c r="AJ208" s="5" t="s">
        <v>1661</v>
      </c>
      <c r="AK208" s="5">
        <v>610423040013</v>
      </c>
      <c r="AL208" s="5" t="e">
        <f t="shared" si="3"/>
        <v>#VALUE!</v>
      </c>
    </row>
    <row r="209" spans="1:38" ht="12.5">
      <c r="A209" s="10" t="str">
        <f t="shared" si="0"/>
        <v>M Idris Afandi</v>
      </c>
      <c r="B209" s="5">
        <f t="shared" si="1"/>
        <v>610422100028</v>
      </c>
      <c r="C209" s="5" t="str">
        <f t="shared" si="2"/>
        <v>M IDRIS AFANDI</v>
      </c>
      <c r="D209" s="5" t="s">
        <v>363</v>
      </c>
      <c r="E209" s="5" t="e">
        <f t="array" ref="E209">INDEX('Master SLS'!$H$2:$H998,MATCH($AL209,'Master SLS'!$K$2:$K998,0))</f>
        <v>#VALUE!</v>
      </c>
      <c r="F209" s="5" t="e">
        <f t="array" ref="F209">INDEX('Master SLS'!$I$2:$I998,MATCH($AL209,'Master SLS'!$K$2:$K998,0))</f>
        <v>#VALUE!</v>
      </c>
      <c r="G209" s="5" t="s">
        <v>1662</v>
      </c>
      <c r="H209" s="5" t="s">
        <v>1663</v>
      </c>
      <c r="I209" s="5" t="s">
        <v>388</v>
      </c>
      <c r="J209" s="5">
        <v>1</v>
      </c>
      <c r="K209" s="5" t="s">
        <v>1664</v>
      </c>
      <c r="L209" s="5">
        <v>61</v>
      </c>
      <c r="M209" s="5">
        <v>4</v>
      </c>
      <c r="N209" s="5">
        <v>100</v>
      </c>
      <c r="O209" s="5">
        <v>12</v>
      </c>
      <c r="P209" s="5" t="s">
        <v>1665</v>
      </c>
      <c r="Q209" s="5">
        <v>1</v>
      </c>
      <c r="R209" s="74">
        <v>36226</v>
      </c>
      <c r="S209" s="5" t="s">
        <v>1666</v>
      </c>
      <c r="T209" s="5">
        <v>1</v>
      </c>
      <c r="U209" s="5">
        <v>1</v>
      </c>
      <c r="V209" s="5">
        <v>1</v>
      </c>
      <c r="W209" s="5">
        <v>3</v>
      </c>
      <c r="X209" s="5">
        <v>7</v>
      </c>
      <c r="Y209" s="5" t="s">
        <v>752</v>
      </c>
      <c r="AA209" s="5">
        <v>1</v>
      </c>
      <c r="AB209" s="5">
        <v>0</v>
      </c>
      <c r="AC209" s="5">
        <v>0</v>
      </c>
      <c r="AD209" s="5">
        <v>1</v>
      </c>
      <c r="AE209" s="5">
        <v>0</v>
      </c>
      <c r="AF209" s="5">
        <v>0</v>
      </c>
      <c r="AG209" s="5">
        <v>0</v>
      </c>
      <c r="AH209" s="5" t="s">
        <v>1667</v>
      </c>
      <c r="AI209" s="5" t="s">
        <v>388</v>
      </c>
      <c r="AJ209" s="5" t="s">
        <v>1668</v>
      </c>
      <c r="AK209" s="5">
        <v>610422100028</v>
      </c>
      <c r="AL209" s="5" t="e">
        <f t="shared" si="3"/>
        <v>#VALUE!</v>
      </c>
    </row>
    <row r="210" spans="1:38" ht="12.5">
      <c r="A210" s="10" t="str">
        <f t="shared" si="0"/>
        <v>M. Tohir</v>
      </c>
      <c r="B210" s="5">
        <f t="shared" si="1"/>
        <v>610422040044</v>
      </c>
      <c r="C210" s="5" t="str">
        <f t="shared" si="2"/>
        <v>M. Tohir</v>
      </c>
      <c r="D210" s="5" t="s">
        <v>363</v>
      </c>
      <c r="E210" s="5" t="e">
        <f t="array" ref="E210">INDEX('Master SLS'!$H$2:$H998,MATCH($AL210,'Master SLS'!$K$2:$K998,0))</f>
        <v>#VALUE!</v>
      </c>
      <c r="F210" s="5" t="e">
        <f t="array" ref="F210">INDEX('Master SLS'!$I$2:$I998,MATCH($AL210,'Master SLS'!$K$2:$K998,0))</f>
        <v>#VALUE!</v>
      </c>
      <c r="G210" s="5" t="s">
        <v>1669</v>
      </c>
      <c r="H210" s="5" t="s">
        <v>1670</v>
      </c>
      <c r="I210" s="5" t="s">
        <v>388</v>
      </c>
      <c r="J210" s="5">
        <v>1</v>
      </c>
      <c r="K210" s="5" t="s">
        <v>1671</v>
      </c>
      <c r="L210" s="5">
        <v>61</v>
      </c>
      <c r="M210" s="5">
        <v>4</v>
      </c>
      <c r="N210" s="5">
        <v>90</v>
      </c>
      <c r="O210" s="5">
        <v>3</v>
      </c>
      <c r="P210" s="5" t="s">
        <v>1672</v>
      </c>
      <c r="Q210" s="5">
        <v>1</v>
      </c>
      <c r="R210" s="74">
        <v>29608</v>
      </c>
      <c r="S210" s="5" t="s">
        <v>1673</v>
      </c>
      <c r="T210" s="5">
        <v>1</v>
      </c>
      <c r="U210" s="5">
        <v>1</v>
      </c>
      <c r="V210" s="5">
        <v>2</v>
      </c>
      <c r="W210" s="5">
        <v>5</v>
      </c>
      <c r="X210" s="5">
        <v>1</v>
      </c>
      <c r="AA210" s="5">
        <v>1</v>
      </c>
      <c r="AB210" s="5">
        <v>1</v>
      </c>
      <c r="AC210" s="5">
        <v>1</v>
      </c>
      <c r="AD210" s="5">
        <v>1</v>
      </c>
      <c r="AE210" s="5">
        <v>1</v>
      </c>
      <c r="AF210" s="5">
        <v>0</v>
      </c>
      <c r="AG210" s="5">
        <v>0</v>
      </c>
      <c r="AH210" s="5" t="s">
        <v>1674</v>
      </c>
      <c r="AI210" s="5" t="s">
        <v>388</v>
      </c>
      <c r="AJ210" s="5" t="s">
        <v>1675</v>
      </c>
      <c r="AK210" s="5">
        <v>610422040044</v>
      </c>
      <c r="AL210" s="5" t="e">
        <f t="shared" si="3"/>
        <v>#VALUE!</v>
      </c>
    </row>
    <row r="211" spans="1:38" ht="12.5">
      <c r="A211" s="10" t="str">
        <f t="shared" si="0"/>
        <v>Mardiansyah</v>
      </c>
      <c r="B211" s="5">
        <f t="shared" si="1"/>
        <v>610423110132</v>
      </c>
      <c r="C211" s="5" t="str">
        <f t="shared" si="2"/>
        <v>MARDIANSYAH</v>
      </c>
      <c r="D211" s="5" t="s">
        <v>363</v>
      </c>
      <c r="E211" s="5" t="e">
        <f t="array" ref="E211">INDEX('Master SLS'!$H$2:$H998,MATCH($AL211,'Master SLS'!$K$2:$K998,0))</f>
        <v>#VALUE!</v>
      </c>
      <c r="F211" s="5" t="e">
        <f t="array" ref="F211">INDEX('Master SLS'!$I$2:$I998,MATCH($AL211,'Master SLS'!$K$2:$K998,0))</f>
        <v>#VALUE!</v>
      </c>
      <c r="G211" s="5" t="s">
        <v>1676</v>
      </c>
      <c r="H211" s="5" t="s">
        <v>1677</v>
      </c>
      <c r="I211" s="5" t="s">
        <v>366</v>
      </c>
      <c r="J211" s="5">
        <v>1</v>
      </c>
      <c r="K211" s="5" t="s">
        <v>1678</v>
      </c>
      <c r="L211" s="5">
        <v>61</v>
      </c>
      <c r="M211" s="5">
        <v>4</v>
      </c>
      <c r="N211" s="5">
        <v>101</v>
      </c>
      <c r="O211" s="5">
        <v>2</v>
      </c>
      <c r="P211" s="5" t="s">
        <v>1679</v>
      </c>
      <c r="Q211" s="5">
        <v>1</v>
      </c>
      <c r="R211" s="74">
        <v>38433</v>
      </c>
      <c r="T211" s="5">
        <v>1</v>
      </c>
      <c r="U211" s="5">
        <v>1</v>
      </c>
      <c r="V211" s="5">
        <v>1</v>
      </c>
      <c r="W211" s="5">
        <v>3</v>
      </c>
      <c r="X211" s="5">
        <v>7</v>
      </c>
      <c r="Y211" s="5" t="s">
        <v>1680</v>
      </c>
      <c r="AA211" s="5">
        <v>0</v>
      </c>
      <c r="AB211" s="5">
        <v>0</v>
      </c>
      <c r="AC211" s="5">
        <v>0</v>
      </c>
      <c r="AD211" s="5">
        <v>0</v>
      </c>
      <c r="AE211" s="5">
        <v>0</v>
      </c>
      <c r="AF211" s="5">
        <v>0</v>
      </c>
      <c r="AG211" s="5">
        <v>0</v>
      </c>
      <c r="AI211" s="5" t="s">
        <v>366</v>
      </c>
      <c r="AJ211" s="5" t="s">
        <v>1681</v>
      </c>
      <c r="AK211" s="5">
        <v>610423110132</v>
      </c>
      <c r="AL211" s="5" t="e">
        <f t="shared" si="3"/>
        <v>#VALUE!</v>
      </c>
    </row>
    <row r="212" spans="1:38" ht="12.5">
      <c r="A212" s="10" t="str">
        <f t="shared" si="0"/>
        <v>Mario Andika Tri Putra</v>
      </c>
      <c r="B212" s="5">
        <f t="shared" si="1"/>
        <v>610423110053</v>
      </c>
      <c r="C212" s="5" t="str">
        <f t="shared" si="2"/>
        <v>MARIO ANDIKA TRI PUTRA</v>
      </c>
      <c r="D212" s="5" t="s">
        <v>363</v>
      </c>
      <c r="E212" s="5" t="e">
        <f t="array" ref="E212">INDEX('Master SLS'!$H$2:$H998,MATCH($AL212,'Master SLS'!$K$2:$K998,0))</f>
        <v>#VALUE!</v>
      </c>
      <c r="F212" s="5" t="e">
        <f t="array" ref="F212">INDEX('Master SLS'!$I$2:$I998,MATCH($AL212,'Master SLS'!$K$2:$K998,0))</f>
        <v>#VALUE!</v>
      </c>
      <c r="G212" s="5" t="s">
        <v>1682</v>
      </c>
      <c r="H212" s="5" t="s">
        <v>1683</v>
      </c>
      <c r="I212" s="5" t="s">
        <v>388</v>
      </c>
      <c r="J212" s="5">
        <v>1</v>
      </c>
      <c r="K212" s="5" t="s">
        <v>1684</v>
      </c>
      <c r="L212" s="5">
        <v>61</v>
      </c>
      <c r="M212" s="5">
        <v>4</v>
      </c>
      <c r="N212" s="5">
        <v>81</v>
      </c>
      <c r="O212" s="5">
        <v>3</v>
      </c>
      <c r="P212" s="5" t="s">
        <v>1685</v>
      </c>
      <c r="Q212" s="5">
        <v>1</v>
      </c>
      <c r="R212" s="74">
        <v>35865</v>
      </c>
      <c r="S212" s="5" t="s">
        <v>1686</v>
      </c>
      <c r="T212" s="5">
        <v>1</v>
      </c>
      <c r="U212" s="5">
        <v>1</v>
      </c>
      <c r="V212" s="5">
        <v>1</v>
      </c>
      <c r="W212" s="5">
        <v>5</v>
      </c>
      <c r="X212" s="5">
        <v>7</v>
      </c>
      <c r="Y212" s="5" t="s">
        <v>1687</v>
      </c>
      <c r="AA212" s="5">
        <v>0</v>
      </c>
      <c r="AB212" s="5">
        <v>0</v>
      </c>
      <c r="AC212" s="5">
        <v>0</v>
      </c>
      <c r="AD212" s="5">
        <v>0</v>
      </c>
      <c r="AE212" s="5">
        <v>0</v>
      </c>
      <c r="AF212" s="5">
        <v>0</v>
      </c>
      <c r="AG212" s="5">
        <v>0</v>
      </c>
      <c r="AI212" s="5" t="s">
        <v>388</v>
      </c>
      <c r="AJ212" s="5" t="s">
        <v>1688</v>
      </c>
      <c r="AK212" s="5">
        <v>610423110053</v>
      </c>
      <c r="AL212" s="5" t="e">
        <f t="shared" si="3"/>
        <v>#VALUE!</v>
      </c>
    </row>
    <row r="213" spans="1:38" ht="12.5">
      <c r="A213" s="10" t="str">
        <f t="shared" si="0"/>
        <v>Marni</v>
      </c>
      <c r="B213" s="5">
        <f t="shared" si="1"/>
        <v>610422100157</v>
      </c>
      <c r="C213" s="5" t="str">
        <f t="shared" si="2"/>
        <v>Marni</v>
      </c>
      <c r="D213" s="5" t="s">
        <v>363</v>
      </c>
      <c r="E213" s="5" t="e">
        <f t="array" ref="E213">INDEX('Master SLS'!$H$2:$H998,MATCH($AL213,'Master SLS'!$K$2:$K998,0))</f>
        <v>#VALUE!</v>
      </c>
      <c r="F213" s="5" t="e">
        <f t="array" ref="F213">INDEX('Master SLS'!$I$2:$I998,MATCH($AL213,'Master SLS'!$K$2:$K998,0))</f>
        <v>#VALUE!</v>
      </c>
      <c r="G213" s="5" t="s">
        <v>1689</v>
      </c>
      <c r="H213" s="5" t="s">
        <v>1690</v>
      </c>
      <c r="I213" s="5" t="s">
        <v>366</v>
      </c>
      <c r="J213" s="5">
        <v>1</v>
      </c>
      <c r="K213" s="5" t="s">
        <v>1691</v>
      </c>
      <c r="L213" s="5">
        <v>61</v>
      </c>
      <c r="M213" s="5">
        <v>4</v>
      </c>
      <c r="N213" s="5">
        <v>120</v>
      </c>
      <c r="O213" s="5">
        <v>7</v>
      </c>
      <c r="P213" s="5" t="s">
        <v>1692</v>
      </c>
      <c r="Q213" s="5">
        <v>1</v>
      </c>
      <c r="R213" s="74">
        <v>35541</v>
      </c>
      <c r="T213" s="5">
        <v>0</v>
      </c>
      <c r="U213" s="5">
        <v>3</v>
      </c>
      <c r="V213" s="5">
        <v>1</v>
      </c>
      <c r="W213" s="5">
        <v>5</v>
      </c>
      <c r="X213" s="5">
        <v>7</v>
      </c>
      <c r="Y213" s="5" t="s">
        <v>553</v>
      </c>
      <c r="AA213" s="5">
        <v>1</v>
      </c>
      <c r="AB213" s="5">
        <v>1</v>
      </c>
      <c r="AC213" s="5">
        <v>0</v>
      </c>
      <c r="AD213" s="5">
        <v>0</v>
      </c>
      <c r="AE213" s="5">
        <v>0</v>
      </c>
      <c r="AF213" s="5">
        <v>0</v>
      </c>
      <c r="AG213" s="5">
        <v>1</v>
      </c>
      <c r="AH213" s="5" t="s">
        <v>1693</v>
      </c>
      <c r="AI213" s="5" t="s">
        <v>366</v>
      </c>
      <c r="AJ213" s="5" t="s">
        <v>1694</v>
      </c>
      <c r="AK213" s="5">
        <v>610422100157</v>
      </c>
      <c r="AL213" s="5" t="e">
        <f t="shared" si="3"/>
        <v>#VALUE!</v>
      </c>
    </row>
    <row r="214" spans="1:38" ht="12.5">
      <c r="A214" s="10" t="str">
        <f t="shared" si="0"/>
        <v>Marselina</v>
      </c>
      <c r="B214" s="5">
        <f t="shared" si="1"/>
        <v>610423110063</v>
      </c>
      <c r="C214" s="5" t="str">
        <f t="shared" si="2"/>
        <v>Marselina</v>
      </c>
      <c r="D214" s="5" t="s">
        <v>363</v>
      </c>
      <c r="E214" s="5" t="e">
        <f t="array" ref="E214">INDEX('Master SLS'!$H$2:$H998,MATCH($AL214,'Master SLS'!$K$2:$K998,0))</f>
        <v>#VALUE!</v>
      </c>
      <c r="F214" s="5" t="e">
        <f t="array" ref="F214">INDEX('Master SLS'!$I$2:$I998,MATCH($AL214,'Master SLS'!$K$2:$K998,0))</f>
        <v>#VALUE!</v>
      </c>
      <c r="G214" s="5" t="s">
        <v>1695</v>
      </c>
      <c r="H214" s="5" t="s">
        <v>1696</v>
      </c>
      <c r="I214" s="5" t="s">
        <v>366</v>
      </c>
      <c r="J214" s="5">
        <v>1</v>
      </c>
      <c r="K214" s="5" t="s">
        <v>1697</v>
      </c>
      <c r="L214" s="5">
        <v>61</v>
      </c>
      <c r="M214" s="5">
        <v>4</v>
      </c>
      <c r="N214" s="5">
        <v>120</v>
      </c>
      <c r="O214" s="5">
        <v>7</v>
      </c>
      <c r="P214" s="5" t="s">
        <v>1698</v>
      </c>
      <c r="Q214" s="5">
        <v>1</v>
      </c>
      <c r="R214" s="74">
        <v>34848</v>
      </c>
      <c r="T214" s="5">
        <v>0</v>
      </c>
      <c r="U214" s="5">
        <v>3</v>
      </c>
      <c r="V214" s="5">
        <v>2</v>
      </c>
      <c r="W214" s="5">
        <v>5</v>
      </c>
      <c r="X214" s="5">
        <v>4</v>
      </c>
      <c r="AA214" s="5">
        <v>0</v>
      </c>
      <c r="AB214" s="5">
        <v>0</v>
      </c>
      <c r="AC214" s="5">
        <v>0</v>
      </c>
      <c r="AD214" s="5">
        <v>0</v>
      </c>
      <c r="AE214" s="5">
        <v>0</v>
      </c>
      <c r="AF214" s="5">
        <v>0</v>
      </c>
      <c r="AG214" s="5">
        <v>0</v>
      </c>
      <c r="AI214" s="5" t="s">
        <v>366</v>
      </c>
      <c r="AJ214" s="5" t="s">
        <v>1699</v>
      </c>
      <c r="AK214" s="5">
        <v>610423110063</v>
      </c>
      <c r="AL214" s="5" t="e">
        <f t="shared" si="3"/>
        <v>#VALUE!</v>
      </c>
    </row>
    <row r="215" spans="1:38" ht="12.5">
      <c r="A215" s="10" t="str">
        <f t="shared" si="0"/>
        <v>Marvira Tuwarahma</v>
      </c>
      <c r="B215" s="5">
        <f t="shared" si="1"/>
        <v>610423110019</v>
      </c>
      <c r="C215" s="5" t="str">
        <f t="shared" si="2"/>
        <v>Marvira Tuwarahma</v>
      </c>
      <c r="D215" s="5" t="s">
        <v>363</v>
      </c>
      <c r="E215" s="5" t="e">
        <f t="array" ref="E215">INDEX('Master SLS'!$H$2:$H998,MATCH($AL215,'Master SLS'!$K$2:$K998,0))</f>
        <v>#VALUE!</v>
      </c>
      <c r="F215" s="5" t="e">
        <f t="array" ref="F215">INDEX('Master SLS'!$I$2:$I998,MATCH($AL215,'Master SLS'!$K$2:$K998,0))</f>
        <v>#VALUE!</v>
      </c>
      <c r="G215" s="5" t="s">
        <v>1700</v>
      </c>
      <c r="H215" s="5" t="s">
        <v>1701</v>
      </c>
      <c r="I215" s="5" t="s">
        <v>388</v>
      </c>
      <c r="J215" s="5">
        <v>1</v>
      </c>
      <c r="K215" s="5" t="s">
        <v>1702</v>
      </c>
      <c r="L215" s="5">
        <v>61</v>
      </c>
      <c r="M215" s="5">
        <v>4</v>
      </c>
      <c r="N215" s="5">
        <v>90</v>
      </c>
      <c r="O215" s="5">
        <v>4</v>
      </c>
      <c r="P215" s="5" t="s">
        <v>1703</v>
      </c>
      <c r="Q215" s="5">
        <v>1</v>
      </c>
      <c r="R215" s="7">
        <v>36507</v>
      </c>
      <c r="T215" s="5">
        <v>0</v>
      </c>
      <c r="U215" s="5">
        <v>1</v>
      </c>
      <c r="V215" s="5">
        <v>1</v>
      </c>
      <c r="W215" s="5">
        <v>5</v>
      </c>
      <c r="X215" s="5">
        <v>7</v>
      </c>
      <c r="Y215" s="5" t="s">
        <v>1704</v>
      </c>
      <c r="AA215" s="5">
        <v>0</v>
      </c>
      <c r="AB215" s="5">
        <v>0</v>
      </c>
      <c r="AC215" s="5">
        <v>0</v>
      </c>
      <c r="AD215" s="5">
        <v>0</v>
      </c>
      <c r="AE215" s="5">
        <v>0</v>
      </c>
      <c r="AF215" s="5">
        <v>0</v>
      </c>
      <c r="AG215" s="5">
        <v>0</v>
      </c>
      <c r="AH215" s="5" t="s">
        <v>1705</v>
      </c>
      <c r="AI215" s="5" t="s">
        <v>388</v>
      </c>
      <c r="AJ215" s="5" t="s">
        <v>1706</v>
      </c>
      <c r="AK215" s="5">
        <v>610423110019</v>
      </c>
      <c r="AL215" s="5" t="e">
        <f t="shared" si="3"/>
        <v>#VALUE!</v>
      </c>
    </row>
    <row r="216" spans="1:38" ht="12.5">
      <c r="A216" s="10" t="str">
        <f t="shared" si="0"/>
        <v>Maryuni</v>
      </c>
      <c r="B216" s="5">
        <f t="shared" si="1"/>
        <v>610423110062</v>
      </c>
      <c r="C216" s="5" t="str">
        <f t="shared" si="2"/>
        <v>Maryuni</v>
      </c>
      <c r="D216" s="5" t="s">
        <v>363</v>
      </c>
      <c r="E216" s="5" t="e">
        <f t="array" ref="E216">INDEX('Master SLS'!$H$2:$H998,MATCH($AL216,'Master SLS'!$K$2:$K998,0))</f>
        <v>#VALUE!</v>
      </c>
      <c r="F216" s="5" t="e">
        <f t="array" ref="F216">INDEX('Master SLS'!$I$2:$I998,MATCH($AL216,'Master SLS'!$K$2:$K998,0))</f>
        <v>#VALUE!</v>
      </c>
      <c r="G216" s="5" t="s">
        <v>1707</v>
      </c>
      <c r="H216" s="5" t="s">
        <v>1708</v>
      </c>
      <c r="I216" s="5" t="s">
        <v>366</v>
      </c>
      <c r="J216" s="5">
        <v>1</v>
      </c>
      <c r="K216" s="5" t="s">
        <v>1709</v>
      </c>
      <c r="L216" s="5">
        <v>61</v>
      </c>
      <c r="M216" s="5">
        <v>4</v>
      </c>
      <c r="N216" s="5">
        <v>90</v>
      </c>
      <c r="O216" s="5">
        <v>1</v>
      </c>
      <c r="P216" s="5" t="s">
        <v>1710</v>
      </c>
      <c r="Q216" s="5">
        <v>1</v>
      </c>
      <c r="R216" s="74">
        <v>37416</v>
      </c>
      <c r="S216" s="5" t="s">
        <v>1711</v>
      </c>
      <c r="T216" s="5">
        <v>0</v>
      </c>
      <c r="U216" s="5">
        <v>1</v>
      </c>
      <c r="V216" s="5">
        <v>1</v>
      </c>
      <c r="W216" s="5">
        <v>3</v>
      </c>
      <c r="X216" s="5">
        <v>7</v>
      </c>
      <c r="Y216" s="5" t="s">
        <v>369</v>
      </c>
      <c r="AA216" s="5">
        <v>1</v>
      </c>
      <c r="AB216" s="5">
        <v>1</v>
      </c>
      <c r="AC216" s="5">
        <v>0</v>
      </c>
      <c r="AD216" s="5">
        <v>0</v>
      </c>
      <c r="AE216" s="5">
        <v>0</v>
      </c>
      <c r="AF216" s="5">
        <v>0</v>
      </c>
      <c r="AG216" s="5">
        <v>0</v>
      </c>
      <c r="AI216" s="5" t="s">
        <v>366</v>
      </c>
      <c r="AJ216" s="5" t="s">
        <v>1712</v>
      </c>
      <c r="AK216" s="5">
        <v>610423110062</v>
      </c>
      <c r="AL216" s="5" t="e">
        <f t="shared" si="3"/>
        <v>#VALUE!</v>
      </c>
    </row>
    <row r="217" spans="1:38" ht="12.5">
      <c r="A217" s="10" t="str">
        <f t="shared" si="0"/>
        <v>Mashuri</v>
      </c>
      <c r="B217" s="5">
        <f t="shared" si="1"/>
        <v>610423020001</v>
      </c>
      <c r="C217" s="5" t="str">
        <f t="shared" si="2"/>
        <v>Mashuri</v>
      </c>
      <c r="D217" s="5" t="s">
        <v>363</v>
      </c>
      <c r="E217" s="5" t="e">
        <f t="array" ref="E217">INDEX('Master SLS'!$H$2:$H998,MATCH($AL217,'Master SLS'!$K$2:$K998,0))</f>
        <v>#VALUE!</v>
      </c>
      <c r="F217" s="5" t="e">
        <f t="array" ref="F217">INDEX('Master SLS'!$I$2:$I998,MATCH($AL217,'Master SLS'!$K$2:$K998,0))</f>
        <v>#VALUE!</v>
      </c>
      <c r="G217" s="5" t="s">
        <v>1713</v>
      </c>
      <c r="H217" s="5" t="s">
        <v>1714</v>
      </c>
      <c r="I217" s="5" t="s">
        <v>366</v>
      </c>
      <c r="J217" s="5">
        <v>1</v>
      </c>
      <c r="K217" s="5" t="s">
        <v>1715</v>
      </c>
      <c r="L217" s="5">
        <v>61</v>
      </c>
      <c r="M217" s="5">
        <v>4</v>
      </c>
      <c r="N217" s="5">
        <v>100</v>
      </c>
      <c r="O217" s="5">
        <v>8</v>
      </c>
      <c r="P217" s="5" t="s">
        <v>1716</v>
      </c>
      <c r="Q217" s="5">
        <v>1</v>
      </c>
      <c r="R217" s="74">
        <v>28550</v>
      </c>
      <c r="T217" s="5">
        <v>1</v>
      </c>
      <c r="U217" s="5">
        <v>1</v>
      </c>
      <c r="V217" s="5">
        <v>2</v>
      </c>
      <c r="W217" s="5">
        <v>5</v>
      </c>
      <c r="X217" s="5">
        <v>7</v>
      </c>
      <c r="Y217" s="5" t="s">
        <v>1717</v>
      </c>
      <c r="AA217" s="5">
        <v>0</v>
      </c>
      <c r="AB217" s="5">
        <v>0</v>
      </c>
      <c r="AC217" s="5">
        <v>0</v>
      </c>
      <c r="AD217" s="5">
        <v>0</v>
      </c>
      <c r="AE217" s="5">
        <v>0</v>
      </c>
      <c r="AF217" s="5">
        <v>0</v>
      </c>
      <c r="AG217" s="5">
        <v>0</v>
      </c>
      <c r="AI217" s="5" t="s">
        <v>366</v>
      </c>
      <c r="AJ217" s="5" t="s">
        <v>1718</v>
      </c>
      <c r="AK217" s="5">
        <v>610423020001</v>
      </c>
      <c r="AL217" s="5" t="e">
        <f t="shared" si="3"/>
        <v>#VALUE!</v>
      </c>
    </row>
    <row r="218" spans="1:38" ht="12.5">
      <c r="A218" s="10" t="str">
        <f t="shared" si="0"/>
        <v>Masturi</v>
      </c>
      <c r="B218" s="5">
        <f t="shared" si="1"/>
        <v>610422100137</v>
      </c>
      <c r="C218" s="5" t="str">
        <f t="shared" si="2"/>
        <v>MASTURI</v>
      </c>
      <c r="D218" s="5" t="s">
        <v>363</v>
      </c>
      <c r="E218" s="5" t="e">
        <f t="array" ref="E218">INDEX('Master SLS'!$H$2:$H998,MATCH($AL218,'Master SLS'!$K$2:$K998,0))</f>
        <v>#VALUE!</v>
      </c>
      <c r="F218" s="5" t="e">
        <f t="array" ref="F218">INDEX('Master SLS'!$I$2:$I998,MATCH($AL218,'Master SLS'!$K$2:$K998,0))</f>
        <v>#VALUE!</v>
      </c>
      <c r="G218" s="5" t="s">
        <v>1719</v>
      </c>
      <c r="H218" s="5" t="s">
        <v>1720</v>
      </c>
      <c r="I218" s="5" t="s">
        <v>366</v>
      </c>
      <c r="J218" s="5">
        <v>1</v>
      </c>
      <c r="K218" s="5" t="s">
        <v>1721</v>
      </c>
      <c r="L218" s="5">
        <v>61</v>
      </c>
      <c r="M218" s="5">
        <v>4</v>
      </c>
      <c r="N218" s="5">
        <v>120</v>
      </c>
      <c r="O218" s="5">
        <v>2</v>
      </c>
      <c r="P218" s="5" t="s">
        <v>1722</v>
      </c>
      <c r="Q218" s="5">
        <v>1</v>
      </c>
      <c r="R218" s="74">
        <v>32027</v>
      </c>
      <c r="S218" s="5" t="s">
        <v>1723</v>
      </c>
      <c r="T218" s="5">
        <v>1</v>
      </c>
      <c r="U218" s="5">
        <v>1</v>
      </c>
      <c r="V218" s="5">
        <v>2</v>
      </c>
      <c r="W218" s="5">
        <v>5</v>
      </c>
      <c r="X218" s="5">
        <v>5</v>
      </c>
      <c r="AA218" s="5">
        <v>1</v>
      </c>
      <c r="AB218" s="5">
        <v>1</v>
      </c>
      <c r="AC218" s="5">
        <v>1</v>
      </c>
      <c r="AD218" s="5">
        <v>0</v>
      </c>
      <c r="AE218" s="5">
        <v>1</v>
      </c>
      <c r="AF218" s="5">
        <v>0</v>
      </c>
      <c r="AG218" s="5">
        <v>0</v>
      </c>
      <c r="AH218" s="5" t="s">
        <v>1724</v>
      </c>
      <c r="AI218" s="5" t="s">
        <v>366</v>
      </c>
      <c r="AJ218" s="5" t="s">
        <v>1725</v>
      </c>
      <c r="AK218" s="5">
        <v>610422100137</v>
      </c>
      <c r="AL218" s="5" t="e">
        <f t="shared" si="3"/>
        <v>#VALUE!</v>
      </c>
    </row>
    <row r="219" spans="1:38" ht="12.5">
      <c r="A219" s="10" t="str">
        <f t="shared" si="0"/>
        <v>Masyudi</v>
      </c>
      <c r="B219" s="5">
        <f t="shared" si="1"/>
        <v>610423110034</v>
      </c>
      <c r="C219" s="5" t="str">
        <f t="shared" si="2"/>
        <v>MASYUDI</v>
      </c>
      <c r="D219" s="5" t="s">
        <v>363</v>
      </c>
      <c r="E219" s="5" t="e">
        <f t="array" ref="E219">INDEX('Master SLS'!$H$2:$H998,MATCH($AL219,'Master SLS'!$K$2:$K998,0))</f>
        <v>#VALUE!</v>
      </c>
      <c r="F219" s="5" t="e">
        <f t="array" ref="F219">INDEX('Master SLS'!$I$2:$I998,MATCH($AL219,'Master SLS'!$K$2:$K998,0))</f>
        <v>#VALUE!</v>
      </c>
      <c r="G219" s="5" t="s">
        <v>1726</v>
      </c>
      <c r="H219" s="5" t="s">
        <v>1727</v>
      </c>
      <c r="I219" s="5" t="s">
        <v>366</v>
      </c>
      <c r="J219" s="5">
        <v>1</v>
      </c>
      <c r="K219" s="5" t="s">
        <v>1728</v>
      </c>
      <c r="L219" s="5">
        <v>61</v>
      </c>
      <c r="M219" s="5">
        <v>4</v>
      </c>
      <c r="N219" s="5">
        <v>81</v>
      </c>
      <c r="O219" s="5">
        <v>3</v>
      </c>
      <c r="P219" s="5" t="s">
        <v>1729</v>
      </c>
      <c r="Q219" s="5">
        <v>1</v>
      </c>
      <c r="R219" s="74">
        <v>33106</v>
      </c>
      <c r="S219" s="5" t="s">
        <v>1730</v>
      </c>
      <c r="T219" s="5">
        <v>1</v>
      </c>
      <c r="U219" s="5">
        <v>1</v>
      </c>
      <c r="V219" s="5">
        <v>2</v>
      </c>
      <c r="W219" s="5">
        <v>5</v>
      </c>
      <c r="X219" s="5">
        <v>7</v>
      </c>
      <c r="Y219" s="5" t="s">
        <v>1731</v>
      </c>
      <c r="AA219" s="5">
        <v>1</v>
      </c>
      <c r="AB219" s="5">
        <v>1</v>
      </c>
      <c r="AC219" s="5">
        <v>0</v>
      </c>
      <c r="AD219" s="5">
        <v>0</v>
      </c>
      <c r="AE219" s="5">
        <v>0</v>
      </c>
      <c r="AF219" s="5">
        <v>0</v>
      </c>
      <c r="AG219" s="5">
        <v>0</v>
      </c>
      <c r="AH219" s="5" t="s">
        <v>1732</v>
      </c>
      <c r="AI219" s="5" t="s">
        <v>366</v>
      </c>
      <c r="AJ219" s="5" t="s">
        <v>1733</v>
      </c>
      <c r="AK219" s="5">
        <v>610423110034</v>
      </c>
      <c r="AL219" s="5" t="e">
        <f t="shared" si="3"/>
        <v>#VALUE!</v>
      </c>
    </row>
    <row r="220" spans="1:38" ht="12.5">
      <c r="A220" s="10" t="str">
        <f t="shared" si="0"/>
        <v>Maya Iryani</v>
      </c>
      <c r="B220" s="5">
        <f t="shared" si="1"/>
        <v>610422040039</v>
      </c>
      <c r="C220" s="5" t="str">
        <f t="shared" si="2"/>
        <v>Maya Iryani</v>
      </c>
      <c r="D220" s="5" t="s">
        <v>363</v>
      </c>
      <c r="E220" s="5" t="e">
        <f t="array" ref="E220">INDEX('Master SLS'!$H$2:$H998,MATCH($AL220,'Master SLS'!$K$2:$K998,0))</f>
        <v>#VALUE!</v>
      </c>
      <c r="F220" s="5" t="e">
        <f t="array" ref="F220">INDEX('Master SLS'!$I$2:$I998,MATCH($AL220,'Master SLS'!$K$2:$K998,0))</f>
        <v>#VALUE!</v>
      </c>
      <c r="G220" s="5" t="s">
        <v>1734</v>
      </c>
      <c r="H220" s="5" t="s">
        <v>1735</v>
      </c>
      <c r="I220" s="5" t="s">
        <v>366</v>
      </c>
      <c r="J220" s="5">
        <v>1</v>
      </c>
      <c r="K220" s="5" t="s">
        <v>1736</v>
      </c>
      <c r="L220" s="5">
        <v>61</v>
      </c>
      <c r="M220" s="5">
        <v>4</v>
      </c>
      <c r="N220" s="5">
        <v>101</v>
      </c>
      <c r="O220" s="5">
        <v>7</v>
      </c>
      <c r="P220" s="5" t="s">
        <v>1737</v>
      </c>
      <c r="Q220" s="5">
        <v>1</v>
      </c>
      <c r="R220" s="74">
        <v>34955</v>
      </c>
      <c r="T220" s="5">
        <v>2</v>
      </c>
      <c r="U220" s="5">
        <v>1</v>
      </c>
      <c r="V220" s="5">
        <v>2</v>
      </c>
      <c r="W220" s="5">
        <v>3</v>
      </c>
      <c r="X220" s="5">
        <v>4</v>
      </c>
      <c r="AA220" s="5">
        <v>1</v>
      </c>
      <c r="AB220" s="5">
        <v>1</v>
      </c>
      <c r="AC220" s="5">
        <v>1</v>
      </c>
      <c r="AD220" s="5">
        <v>0</v>
      </c>
      <c r="AE220" s="5">
        <v>0</v>
      </c>
      <c r="AF220" s="5">
        <v>0</v>
      </c>
      <c r="AG220" s="5">
        <v>0</v>
      </c>
      <c r="AH220" s="5" t="s">
        <v>1738</v>
      </c>
      <c r="AI220" s="5" t="s">
        <v>366</v>
      </c>
      <c r="AJ220" s="5" t="s">
        <v>1739</v>
      </c>
      <c r="AK220" s="5">
        <v>610422040039</v>
      </c>
      <c r="AL220" s="5" t="e">
        <f t="shared" si="3"/>
        <v>#VALUE!</v>
      </c>
    </row>
    <row r="221" spans="1:38" ht="12.5">
      <c r="A221" s="10" t="str">
        <f t="shared" si="0"/>
        <v>Maya Julia Trinisa</v>
      </c>
      <c r="B221" s="5">
        <f t="shared" si="1"/>
        <v>610423110095</v>
      </c>
      <c r="C221" s="5" t="str">
        <f t="shared" si="2"/>
        <v>MAYA JULIA TRINISA</v>
      </c>
      <c r="D221" s="5" t="s">
        <v>363</v>
      </c>
      <c r="E221" s="5" t="e">
        <f t="array" ref="E221">INDEX('Master SLS'!$H$2:$H998,MATCH($AL221,'Master SLS'!$K$2:$K998,0))</f>
        <v>#VALUE!</v>
      </c>
      <c r="F221" s="5" t="e">
        <f t="array" ref="F221">INDEX('Master SLS'!$I$2:$I998,MATCH($AL221,'Master SLS'!$K$2:$K998,0))</f>
        <v>#VALUE!</v>
      </c>
      <c r="G221" s="5" t="s">
        <v>1740</v>
      </c>
      <c r="H221" s="5" t="s">
        <v>1741</v>
      </c>
      <c r="I221" s="5" t="s">
        <v>388</v>
      </c>
      <c r="J221" s="5">
        <v>1</v>
      </c>
      <c r="K221" s="5" t="s">
        <v>1742</v>
      </c>
      <c r="L221" s="5">
        <v>61</v>
      </c>
      <c r="M221" s="5">
        <v>4</v>
      </c>
      <c r="N221" s="5">
        <v>100</v>
      </c>
      <c r="O221" s="5">
        <v>8</v>
      </c>
      <c r="P221" s="5" t="s">
        <v>1743</v>
      </c>
      <c r="Q221" s="5">
        <v>1</v>
      </c>
      <c r="R221" s="74">
        <v>34899</v>
      </c>
      <c r="S221" s="5" t="s">
        <v>1744</v>
      </c>
      <c r="T221" s="5">
        <v>0</v>
      </c>
      <c r="U221" s="5">
        <v>1</v>
      </c>
      <c r="V221" s="5">
        <v>1</v>
      </c>
      <c r="W221" s="5">
        <v>5</v>
      </c>
      <c r="X221" s="5">
        <v>5</v>
      </c>
      <c r="AA221" s="5">
        <v>0</v>
      </c>
      <c r="AB221" s="5">
        <v>0</v>
      </c>
      <c r="AC221" s="5">
        <v>0</v>
      </c>
      <c r="AD221" s="5">
        <v>0</v>
      </c>
      <c r="AE221" s="5">
        <v>0</v>
      </c>
      <c r="AF221" s="5">
        <v>0</v>
      </c>
      <c r="AG221" s="5">
        <v>0</v>
      </c>
      <c r="AH221" s="5" t="s">
        <v>1745</v>
      </c>
      <c r="AI221" s="5" t="s">
        <v>388</v>
      </c>
      <c r="AJ221" s="5" t="s">
        <v>1746</v>
      </c>
      <c r="AK221" s="5">
        <v>610423110095</v>
      </c>
      <c r="AL221" s="5" t="e">
        <f t="shared" si="3"/>
        <v>#VALUE!</v>
      </c>
    </row>
    <row r="222" spans="1:38" ht="12.5">
      <c r="A222" s="10" t="str">
        <f t="shared" si="0"/>
        <v>Meilani Sukma Putri</v>
      </c>
      <c r="B222" s="5">
        <f t="shared" si="1"/>
        <v>610423090032</v>
      </c>
      <c r="C222" s="5" t="str">
        <f t="shared" si="2"/>
        <v>Meilani Sukma Putri</v>
      </c>
      <c r="D222" s="5" t="s">
        <v>363</v>
      </c>
      <c r="E222" s="5" t="e">
        <f t="array" ref="E222">INDEX('Master SLS'!$H$2:$H998,MATCH($AL222,'Master SLS'!$K$2:$K998,0))</f>
        <v>#VALUE!</v>
      </c>
      <c r="F222" s="5" t="e">
        <f t="array" ref="F222">INDEX('Master SLS'!$I$2:$I998,MATCH($AL222,'Master SLS'!$K$2:$K998,0))</f>
        <v>#VALUE!</v>
      </c>
      <c r="G222" s="5" t="s">
        <v>1747</v>
      </c>
      <c r="H222" s="5" t="s">
        <v>1748</v>
      </c>
      <c r="I222" s="5" t="s">
        <v>366</v>
      </c>
      <c r="J222" s="5">
        <v>1</v>
      </c>
      <c r="K222" s="5" t="s">
        <v>1749</v>
      </c>
      <c r="L222" s="5">
        <v>61</v>
      </c>
      <c r="M222" s="5">
        <v>4</v>
      </c>
      <c r="N222" s="5">
        <v>101</v>
      </c>
      <c r="O222" s="5">
        <v>8</v>
      </c>
      <c r="P222" s="5" t="s">
        <v>1750</v>
      </c>
      <c r="Q222" s="5">
        <v>1</v>
      </c>
      <c r="R222" s="74">
        <v>36298</v>
      </c>
      <c r="S222" s="5" t="s">
        <v>1751</v>
      </c>
      <c r="T222" s="5">
        <v>0</v>
      </c>
      <c r="U222" s="5">
        <v>1</v>
      </c>
      <c r="V222" s="5">
        <v>1</v>
      </c>
      <c r="W222" s="5">
        <v>5</v>
      </c>
      <c r="X222" s="5">
        <v>3</v>
      </c>
      <c r="AA222" s="5">
        <v>0</v>
      </c>
      <c r="AB222" s="5">
        <v>0</v>
      </c>
      <c r="AC222" s="5">
        <v>0</v>
      </c>
      <c r="AD222" s="5">
        <v>0</v>
      </c>
      <c r="AE222" s="5">
        <v>0</v>
      </c>
      <c r="AF222" s="5">
        <v>0</v>
      </c>
      <c r="AG222" s="5">
        <v>0</v>
      </c>
      <c r="AI222" s="5" t="s">
        <v>366</v>
      </c>
      <c r="AJ222" s="5" t="s">
        <v>1752</v>
      </c>
      <c r="AK222" s="5">
        <v>610423090032</v>
      </c>
      <c r="AL222" s="5" t="e">
        <f t="shared" si="3"/>
        <v>#VALUE!</v>
      </c>
    </row>
    <row r="223" spans="1:38" ht="12.5">
      <c r="A223" s="10" t="str">
        <f t="shared" si="0"/>
        <v>Meisye Sulastri</v>
      </c>
      <c r="B223" s="5">
        <f t="shared" si="1"/>
        <v>610423110020</v>
      </c>
      <c r="C223" s="5" t="str">
        <f t="shared" si="2"/>
        <v>MEISYE SULASTRI</v>
      </c>
      <c r="D223" s="5" t="s">
        <v>363</v>
      </c>
      <c r="E223" s="5" t="e">
        <f t="array" ref="E223">INDEX('Master SLS'!$H$2:$H998,MATCH($AL223,'Master SLS'!$K$2:$K998,0))</f>
        <v>#VALUE!</v>
      </c>
      <c r="F223" s="5" t="e">
        <f t="array" ref="F223">INDEX('Master SLS'!$I$2:$I998,MATCH($AL223,'Master SLS'!$K$2:$K998,0))</f>
        <v>#VALUE!</v>
      </c>
      <c r="G223" s="5" t="s">
        <v>1753</v>
      </c>
      <c r="H223" s="5" t="s">
        <v>1754</v>
      </c>
      <c r="I223" s="5" t="s">
        <v>388</v>
      </c>
      <c r="J223" s="5">
        <v>1</v>
      </c>
      <c r="K223" s="5" t="s">
        <v>1755</v>
      </c>
      <c r="L223" s="5">
        <v>61</v>
      </c>
      <c r="M223" s="5">
        <v>4</v>
      </c>
      <c r="N223" s="5">
        <v>81</v>
      </c>
      <c r="O223" s="5">
        <v>6</v>
      </c>
      <c r="P223" s="5" t="s">
        <v>1756</v>
      </c>
      <c r="Q223" s="5">
        <v>1</v>
      </c>
      <c r="R223" s="74">
        <v>37034</v>
      </c>
      <c r="T223" s="5">
        <v>0</v>
      </c>
      <c r="U223" s="5">
        <v>1</v>
      </c>
      <c r="V223" s="5">
        <v>1</v>
      </c>
      <c r="W223" s="5">
        <v>5</v>
      </c>
      <c r="X223" s="5">
        <v>7</v>
      </c>
      <c r="Y223" s="5" t="s">
        <v>1757</v>
      </c>
      <c r="AA223" s="5">
        <v>1</v>
      </c>
      <c r="AB223" s="5">
        <v>1</v>
      </c>
      <c r="AC223" s="5">
        <v>1</v>
      </c>
      <c r="AD223" s="5">
        <v>0</v>
      </c>
      <c r="AE223" s="5">
        <v>0</v>
      </c>
      <c r="AF223" s="5">
        <v>0</v>
      </c>
      <c r="AG223" s="5">
        <v>0</v>
      </c>
      <c r="AH223" s="5" t="s">
        <v>1758</v>
      </c>
      <c r="AI223" s="5" t="s">
        <v>388</v>
      </c>
      <c r="AJ223" s="5" t="s">
        <v>1759</v>
      </c>
      <c r="AK223" s="5">
        <v>610423110020</v>
      </c>
      <c r="AL223" s="5" t="e">
        <f t="shared" si="3"/>
        <v>#VALUE!</v>
      </c>
    </row>
    <row r="224" spans="1:38" ht="12.5">
      <c r="A224" s="10" t="str">
        <f t="shared" si="0"/>
        <v>Meliana Sunari</v>
      </c>
      <c r="B224" s="5">
        <f t="shared" si="1"/>
        <v>610423110184</v>
      </c>
      <c r="C224" s="5" t="str">
        <f t="shared" si="2"/>
        <v>Meliana sunari</v>
      </c>
      <c r="D224" s="5" t="s">
        <v>363</v>
      </c>
      <c r="E224" s="5" t="e">
        <f t="array" ref="E224">INDEX('Master SLS'!$H$2:$H998,MATCH($AL224,'Master SLS'!$K$2:$K998,0))</f>
        <v>#VALUE!</v>
      </c>
      <c r="F224" s="5" t="e">
        <f t="array" ref="F224">INDEX('Master SLS'!$I$2:$I998,MATCH($AL224,'Master SLS'!$K$2:$K998,0))</f>
        <v>#VALUE!</v>
      </c>
      <c r="G224" s="5" t="s">
        <v>1760</v>
      </c>
      <c r="H224" s="5" t="s">
        <v>1761</v>
      </c>
      <c r="I224" s="5" t="s">
        <v>366</v>
      </c>
      <c r="J224" s="5">
        <v>1</v>
      </c>
      <c r="K224" s="5" t="s">
        <v>1762</v>
      </c>
      <c r="L224" s="5">
        <v>61</v>
      </c>
      <c r="M224" s="5">
        <v>4</v>
      </c>
      <c r="N224" s="5">
        <v>121</v>
      </c>
      <c r="O224" s="5">
        <v>1</v>
      </c>
      <c r="P224" s="5" t="s">
        <v>1763</v>
      </c>
      <c r="Q224" s="5">
        <v>1</v>
      </c>
      <c r="R224" s="74">
        <v>31495</v>
      </c>
      <c r="T224" s="5">
        <v>0</v>
      </c>
      <c r="U224" s="5">
        <v>3</v>
      </c>
      <c r="V224" s="5">
        <v>2</v>
      </c>
      <c r="W224" s="5">
        <v>3</v>
      </c>
      <c r="X224" s="5">
        <v>4</v>
      </c>
      <c r="AA224" s="5">
        <v>0</v>
      </c>
      <c r="AB224" s="5">
        <v>0</v>
      </c>
      <c r="AC224" s="5">
        <v>0</v>
      </c>
      <c r="AD224" s="5">
        <v>0</v>
      </c>
      <c r="AE224" s="5">
        <v>0</v>
      </c>
      <c r="AF224" s="5">
        <v>0</v>
      </c>
      <c r="AG224" s="5">
        <v>0</v>
      </c>
      <c r="AI224" s="5" t="s">
        <v>366</v>
      </c>
      <c r="AJ224" s="5" t="s">
        <v>1764</v>
      </c>
      <c r="AK224" s="5">
        <v>610423110184</v>
      </c>
      <c r="AL224" s="5" t="e">
        <f t="shared" si="3"/>
        <v>#VALUE!</v>
      </c>
    </row>
    <row r="225" spans="1:38" ht="12.5">
      <c r="A225" s="10" t="str">
        <f t="shared" si="0"/>
        <v>Mellysa</v>
      </c>
      <c r="B225" s="5">
        <f t="shared" si="1"/>
        <v>610423110099</v>
      </c>
      <c r="C225" s="5" t="str">
        <f t="shared" si="2"/>
        <v>Mellysa</v>
      </c>
      <c r="D225" s="5" t="s">
        <v>363</v>
      </c>
      <c r="E225" s="5" t="e">
        <f t="array" ref="E225">INDEX('Master SLS'!$H$2:$H998,MATCH($AL225,'Master SLS'!$K$2:$K998,0))</f>
        <v>#VALUE!</v>
      </c>
      <c r="F225" s="5" t="e">
        <f t="array" ref="F225">INDEX('Master SLS'!$I$2:$I998,MATCH($AL225,'Master SLS'!$K$2:$K998,0))</f>
        <v>#VALUE!</v>
      </c>
      <c r="G225" s="5" t="s">
        <v>1765</v>
      </c>
      <c r="H225" s="5" t="s">
        <v>1766</v>
      </c>
      <c r="I225" s="5" t="s">
        <v>388</v>
      </c>
      <c r="J225" s="5">
        <v>1</v>
      </c>
      <c r="K225" s="5" t="s">
        <v>1767</v>
      </c>
      <c r="L225" s="5">
        <v>61</v>
      </c>
      <c r="M225" s="5">
        <v>4</v>
      </c>
      <c r="N225" s="5">
        <v>101</v>
      </c>
      <c r="O225" s="5">
        <v>4</v>
      </c>
      <c r="P225" s="5" t="s">
        <v>1768</v>
      </c>
      <c r="Q225" s="5">
        <v>1</v>
      </c>
      <c r="R225" s="74">
        <v>35692</v>
      </c>
      <c r="S225" s="5" t="s">
        <v>1769</v>
      </c>
      <c r="T225" s="5">
        <v>0</v>
      </c>
      <c r="U225" s="5">
        <v>1</v>
      </c>
      <c r="V225" s="5">
        <v>1</v>
      </c>
      <c r="W225" s="5">
        <v>5</v>
      </c>
      <c r="X225" s="5">
        <v>6</v>
      </c>
      <c r="AA225" s="5">
        <v>0</v>
      </c>
      <c r="AB225" s="5">
        <v>0</v>
      </c>
      <c r="AC225" s="5">
        <v>0</v>
      </c>
      <c r="AD225" s="5">
        <v>0</v>
      </c>
      <c r="AE225" s="5">
        <v>0</v>
      </c>
      <c r="AF225" s="5">
        <v>0</v>
      </c>
      <c r="AG225" s="5">
        <v>0</v>
      </c>
      <c r="AI225" s="5" t="s">
        <v>388</v>
      </c>
      <c r="AJ225" s="5" t="s">
        <v>1770</v>
      </c>
      <c r="AK225" s="5">
        <v>610423110099</v>
      </c>
      <c r="AL225" s="5" t="e">
        <f t="shared" si="3"/>
        <v>#VALUE!</v>
      </c>
    </row>
    <row r="226" spans="1:38" ht="12.5">
      <c r="A226" s="10" t="str">
        <f t="shared" si="0"/>
        <v>Mesri Jasianti</v>
      </c>
      <c r="B226" s="5">
        <f t="shared" si="1"/>
        <v>610423110064</v>
      </c>
      <c r="C226" s="5" t="str">
        <f t="shared" si="2"/>
        <v>Mesri Jasianti</v>
      </c>
      <c r="D226" s="5" t="s">
        <v>363</v>
      </c>
      <c r="E226" s="5" t="e">
        <f t="array" ref="E226">INDEX('Master SLS'!$H$2:$H998,MATCH($AL226,'Master SLS'!$K$2:$K998,0))</f>
        <v>#VALUE!</v>
      </c>
      <c r="F226" s="5" t="e">
        <f t="array" ref="F226">INDEX('Master SLS'!$I$2:$I998,MATCH($AL226,'Master SLS'!$K$2:$K998,0))</f>
        <v>#VALUE!</v>
      </c>
      <c r="G226" s="5" t="s">
        <v>1771</v>
      </c>
      <c r="H226" s="5" t="s">
        <v>1772</v>
      </c>
      <c r="I226" s="5" t="s">
        <v>388</v>
      </c>
      <c r="J226" s="5">
        <v>1</v>
      </c>
      <c r="K226" s="5" t="s">
        <v>1773</v>
      </c>
      <c r="L226" s="5">
        <v>61</v>
      </c>
      <c r="M226" s="5">
        <v>4</v>
      </c>
      <c r="N226" s="5">
        <v>120</v>
      </c>
      <c r="O226" s="5">
        <v>3</v>
      </c>
      <c r="P226" s="5" t="s">
        <v>1774</v>
      </c>
      <c r="Q226" s="5">
        <v>1</v>
      </c>
      <c r="R226" s="74">
        <v>34587</v>
      </c>
      <c r="T226" s="5">
        <v>0</v>
      </c>
      <c r="U226" s="5">
        <v>2</v>
      </c>
      <c r="V226" s="5">
        <v>1</v>
      </c>
      <c r="W226" s="5">
        <v>5</v>
      </c>
      <c r="X226" s="5">
        <v>5</v>
      </c>
      <c r="AA226" s="5">
        <v>0</v>
      </c>
      <c r="AB226" s="5">
        <v>0</v>
      </c>
      <c r="AC226" s="5">
        <v>0</v>
      </c>
      <c r="AD226" s="5">
        <v>0</v>
      </c>
      <c r="AE226" s="5">
        <v>0</v>
      </c>
      <c r="AF226" s="5">
        <v>0</v>
      </c>
      <c r="AG226" s="5">
        <v>0</v>
      </c>
      <c r="AH226" s="5" t="s">
        <v>1775</v>
      </c>
      <c r="AI226" s="5" t="s">
        <v>388</v>
      </c>
      <c r="AJ226" s="5" t="s">
        <v>1776</v>
      </c>
      <c r="AK226" s="5">
        <v>610423110064</v>
      </c>
      <c r="AL226" s="5" t="e">
        <f t="shared" si="3"/>
        <v>#VALUE!</v>
      </c>
    </row>
    <row r="227" spans="1:38" ht="12.5">
      <c r="A227" s="10" t="str">
        <f t="shared" si="0"/>
        <v>Meta</v>
      </c>
      <c r="B227" s="5">
        <f t="shared" si="1"/>
        <v>610422100256</v>
      </c>
      <c r="C227" s="5" t="str">
        <f t="shared" si="2"/>
        <v>Meta</v>
      </c>
      <c r="D227" s="5" t="s">
        <v>363</v>
      </c>
      <c r="E227" s="5" t="e">
        <f t="array" ref="E227">INDEX('Master SLS'!$H$2:$H998,MATCH($AL227,'Master SLS'!$K$2:$K998,0))</f>
        <v>#VALUE!</v>
      </c>
      <c r="F227" s="5" t="e">
        <f t="array" ref="F227">INDEX('Master SLS'!$I$2:$I998,MATCH($AL227,'Master SLS'!$K$2:$K998,0))</f>
        <v>#VALUE!</v>
      </c>
      <c r="G227" s="5" t="s">
        <v>1777</v>
      </c>
      <c r="H227" s="5" t="s">
        <v>1778</v>
      </c>
      <c r="I227" s="5" t="s">
        <v>366</v>
      </c>
      <c r="J227" s="5">
        <v>1</v>
      </c>
      <c r="K227" s="5" t="s">
        <v>1779</v>
      </c>
      <c r="L227" s="5">
        <v>61</v>
      </c>
      <c r="M227" s="5">
        <v>4</v>
      </c>
      <c r="N227" s="5">
        <v>121</v>
      </c>
      <c r="O227" s="5">
        <v>1</v>
      </c>
      <c r="P227" s="5" t="s">
        <v>1780</v>
      </c>
      <c r="Q227" s="5">
        <v>1</v>
      </c>
      <c r="R227" s="74">
        <v>35555</v>
      </c>
      <c r="T227" s="5">
        <v>0</v>
      </c>
      <c r="U227" s="5">
        <v>2</v>
      </c>
      <c r="V227" s="5">
        <v>2</v>
      </c>
      <c r="W227" s="5">
        <v>3</v>
      </c>
      <c r="X227" s="5">
        <v>7</v>
      </c>
      <c r="Y227" s="5" t="s">
        <v>1781</v>
      </c>
      <c r="AA227" s="5">
        <v>1</v>
      </c>
      <c r="AB227" s="5">
        <v>1</v>
      </c>
      <c r="AC227" s="5">
        <v>1</v>
      </c>
      <c r="AD227" s="5">
        <v>1</v>
      </c>
      <c r="AE227" s="5">
        <v>0</v>
      </c>
      <c r="AF227" s="5">
        <v>0</v>
      </c>
      <c r="AG227" s="5">
        <v>0</v>
      </c>
      <c r="AI227" s="5" t="s">
        <v>366</v>
      </c>
      <c r="AJ227" s="5" t="s">
        <v>1782</v>
      </c>
      <c r="AK227" s="5">
        <v>610422100256</v>
      </c>
      <c r="AL227" s="5" t="e">
        <f t="shared" si="3"/>
        <v>#VALUE!</v>
      </c>
    </row>
    <row r="228" spans="1:38" ht="12.5">
      <c r="A228" s="10" t="str">
        <f t="shared" si="0"/>
        <v>Mezekki</v>
      </c>
      <c r="B228" s="5">
        <f t="shared" si="1"/>
        <v>610422040043</v>
      </c>
      <c r="C228" s="5" t="str">
        <f t="shared" si="2"/>
        <v>Mezekki</v>
      </c>
      <c r="D228" s="5" t="s">
        <v>363</v>
      </c>
      <c r="E228" s="5" t="e">
        <f t="array" ref="E228">INDEX('Master SLS'!$H$2:$H998,MATCH($AL228,'Master SLS'!$K$2:$K998,0))</f>
        <v>#VALUE!</v>
      </c>
      <c r="F228" s="5" t="e">
        <f t="array" ref="F228">INDEX('Master SLS'!$I$2:$I998,MATCH($AL228,'Master SLS'!$K$2:$K998,0))</f>
        <v>#VALUE!</v>
      </c>
      <c r="G228" s="5" t="s">
        <v>1783</v>
      </c>
      <c r="H228" s="5" t="s">
        <v>1784</v>
      </c>
      <c r="I228" s="5" t="s">
        <v>366</v>
      </c>
      <c r="J228" s="5">
        <v>1</v>
      </c>
      <c r="K228" s="5" t="s">
        <v>1785</v>
      </c>
      <c r="L228" s="5">
        <v>61</v>
      </c>
      <c r="M228" s="5">
        <v>4</v>
      </c>
      <c r="N228" s="5">
        <v>90</v>
      </c>
      <c r="O228" s="5">
        <v>3</v>
      </c>
      <c r="P228" s="5" t="s">
        <v>1786</v>
      </c>
      <c r="Q228" s="5">
        <v>1</v>
      </c>
      <c r="R228" s="74">
        <v>32606</v>
      </c>
      <c r="S228" s="5" t="s">
        <v>1787</v>
      </c>
      <c r="T228" s="5">
        <v>1</v>
      </c>
      <c r="U228" s="5">
        <v>1</v>
      </c>
      <c r="V228" s="5">
        <v>1</v>
      </c>
      <c r="W228" s="5">
        <v>5</v>
      </c>
      <c r="X228" s="5">
        <v>6</v>
      </c>
      <c r="AA228" s="5">
        <v>1</v>
      </c>
      <c r="AB228" s="5">
        <v>1</v>
      </c>
      <c r="AC228" s="5">
        <v>1</v>
      </c>
      <c r="AD228" s="5">
        <v>0</v>
      </c>
      <c r="AE228" s="5">
        <v>0</v>
      </c>
      <c r="AF228" s="5">
        <v>0</v>
      </c>
      <c r="AG228" s="5">
        <v>0</v>
      </c>
      <c r="AH228" s="5" t="s">
        <v>1788</v>
      </c>
      <c r="AI228" s="5" t="s">
        <v>366</v>
      </c>
      <c r="AJ228" s="5" t="s">
        <v>1789</v>
      </c>
      <c r="AK228" s="5">
        <v>610422040043</v>
      </c>
      <c r="AL228" s="5" t="e">
        <f t="shared" si="3"/>
        <v>#VALUE!</v>
      </c>
    </row>
    <row r="229" spans="1:38" ht="12.5">
      <c r="A229" s="10" t="str">
        <f t="shared" si="0"/>
        <v>Mickodemus Khelvins</v>
      </c>
      <c r="B229" s="5">
        <f t="shared" si="1"/>
        <v>610423110194</v>
      </c>
      <c r="C229" s="5" t="str">
        <f t="shared" si="2"/>
        <v>Mickodemus khelvins</v>
      </c>
      <c r="D229" s="5" t="s">
        <v>363</v>
      </c>
      <c r="E229" s="5" t="e">
        <f t="array" ref="E229">INDEX('Master SLS'!$H$2:$H998,MATCH($AL229,'Master SLS'!$K$2:$K998,0))</f>
        <v>#VALUE!</v>
      </c>
      <c r="F229" s="5" t="e">
        <f t="array" ref="F229">INDEX('Master SLS'!$I$2:$I998,MATCH($AL229,'Master SLS'!$K$2:$K998,0))</f>
        <v>#VALUE!</v>
      </c>
      <c r="G229" s="5" t="s">
        <v>1790</v>
      </c>
      <c r="H229" s="5" t="s">
        <v>1791</v>
      </c>
      <c r="I229" s="5" t="s">
        <v>366</v>
      </c>
      <c r="J229" s="5">
        <v>1</v>
      </c>
      <c r="K229" s="5" t="s">
        <v>1792</v>
      </c>
      <c r="L229" s="5">
        <v>61</v>
      </c>
      <c r="M229" s="5">
        <v>4</v>
      </c>
      <c r="N229" s="5">
        <v>100</v>
      </c>
      <c r="O229" s="5">
        <v>8</v>
      </c>
      <c r="P229" s="5" t="s">
        <v>1793</v>
      </c>
      <c r="Q229" s="5">
        <v>1</v>
      </c>
      <c r="R229" s="74">
        <v>34746</v>
      </c>
      <c r="T229" s="5">
        <v>1</v>
      </c>
      <c r="U229" s="5">
        <v>3</v>
      </c>
      <c r="V229" s="5">
        <v>1</v>
      </c>
      <c r="W229" s="5">
        <v>3</v>
      </c>
      <c r="X229" s="5">
        <v>6</v>
      </c>
      <c r="AA229" s="5">
        <v>0</v>
      </c>
      <c r="AB229" s="5">
        <v>0</v>
      </c>
      <c r="AC229" s="5">
        <v>0</v>
      </c>
      <c r="AD229" s="5">
        <v>0</v>
      </c>
      <c r="AE229" s="5">
        <v>0</v>
      </c>
      <c r="AF229" s="5">
        <v>0</v>
      </c>
      <c r="AG229" s="5">
        <v>0</v>
      </c>
      <c r="AH229" s="5" t="s">
        <v>1794</v>
      </c>
      <c r="AI229" s="5" t="s">
        <v>366</v>
      </c>
      <c r="AJ229" s="5" t="s">
        <v>1795</v>
      </c>
      <c r="AK229" s="5">
        <v>610423110194</v>
      </c>
      <c r="AL229" s="5" t="e">
        <f t="shared" si="3"/>
        <v>#VALUE!</v>
      </c>
    </row>
    <row r="230" spans="1:38" ht="12.5">
      <c r="A230" s="10" t="str">
        <f t="shared" si="0"/>
        <v>Mika Lasni Roha Saragih</v>
      </c>
      <c r="B230" s="5">
        <f t="shared" si="1"/>
        <v>610423110111</v>
      </c>
      <c r="C230" s="5" t="str">
        <f t="shared" si="2"/>
        <v>Mika Lasni Roha Saragih</v>
      </c>
      <c r="D230" s="5" t="s">
        <v>363</v>
      </c>
      <c r="E230" s="5" t="e">
        <f t="array" ref="E230">INDEX('Master SLS'!$H$2:$H998,MATCH($AL230,'Master SLS'!$K$2:$K998,0))</f>
        <v>#VALUE!</v>
      </c>
      <c r="F230" s="5" t="e">
        <f t="array" ref="F230">INDEX('Master SLS'!$I$2:$I998,MATCH($AL230,'Master SLS'!$K$2:$K998,0))</f>
        <v>#VALUE!</v>
      </c>
      <c r="G230" s="5" t="s">
        <v>1796</v>
      </c>
      <c r="H230" s="5" t="s">
        <v>1797</v>
      </c>
      <c r="I230" s="5" t="s">
        <v>366</v>
      </c>
      <c r="J230" s="5">
        <v>1</v>
      </c>
      <c r="K230" s="5" t="s">
        <v>1798</v>
      </c>
      <c r="L230" s="5">
        <v>61</v>
      </c>
      <c r="M230" s="5">
        <v>4</v>
      </c>
      <c r="N230" s="5">
        <v>91</v>
      </c>
      <c r="O230" s="5">
        <v>6</v>
      </c>
      <c r="P230" s="5" t="s">
        <v>1799</v>
      </c>
      <c r="Q230" s="5">
        <v>1</v>
      </c>
      <c r="R230" s="74">
        <v>31903</v>
      </c>
      <c r="T230" s="5">
        <v>0</v>
      </c>
      <c r="U230" s="5">
        <v>2</v>
      </c>
      <c r="V230" s="5">
        <v>2</v>
      </c>
      <c r="W230" s="5">
        <v>5</v>
      </c>
      <c r="X230" s="5">
        <v>4</v>
      </c>
      <c r="AA230" s="5">
        <v>0</v>
      </c>
      <c r="AB230" s="5">
        <v>0</v>
      </c>
      <c r="AC230" s="5">
        <v>0</v>
      </c>
      <c r="AD230" s="5">
        <v>0</v>
      </c>
      <c r="AE230" s="5">
        <v>0</v>
      </c>
      <c r="AF230" s="5">
        <v>0</v>
      </c>
      <c r="AG230" s="5">
        <v>0</v>
      </c>
      <c r="AI230" s="5" t="s">
        <v>366</v>
      </c>
      <c r="AJ230" s="5" t="s">
        <v>1800</v>
      </c>
      <c r="AK230" s="5">
        <v>610423110111</v>
      </c>
      <c r="AL230" s="5" t="e">
        <f t="shared" si="3"/>
        <v>#VALUE!</v>
      </c>
    </row>
    <row r="231" spans="1:38" ht="12.5">
      <c r="A231" s="10" t="str">
        <f t="shared" si="0"/>
        <v>Minda Anarista</v>
      </c>
      <c r="B231" s="5">
        <f t="shared" si="1"/>
        <v>610423110090</v>
      </c>
      <c r="C231" s="5" t="str">
        <f t="shared" si="2"/>
        <v>Minda Anarista</v>
      </c>
      <c r="D231" s="5" t="s">
        <v>363</v>
      </c>
      <c r="E231" s="5" t="e">
        <f t="array" ref="E231">INDEX('Master SLS'!$H$2:$H998,MATCH($AL231,'Master SLS'!$K$2:$K998,0))</f>
        <v>#VALUE!</v>
      </c>
      <c r="F231" s="5" t="e">
        <f t="array" ref="F231">INDEX('Master SLS'!$I$2:$I998,MATCH($AL231,'Master SLS'!$K$2:$K998,0))</f>
        <v>#VALUE!</v>
      </c>
      <c r="G231" s="5" t="s">
        <v>1801</v>
      </c>
      <c r="H231" s="5" t="s">
        <v>1802</v>
      </c>
      <c r="I231" s="5" t="s">
        <v>366</v>
      </c>
      <c r="J231" s="5">
        <v>1</v>
      </c>
      <c r="K231" s="5" t="s">
        <v>1803</v>
      </c>
      <c r="L231" s="5">
        <v>61</v>
      </c>
      <c r="M231" s="5">
        <v>4</v>
      </c>
      <c r="N231" s="5">
        <v>100</v>
      </c>
      <c r="O231" s="5">
        <v>8</v>
      </c>
      <c r="P231" s="5" t="s">
        <v>1804</v>
      </c>
      <c r="Q231" s="5">
        <v>1</v>
      </c>
      <c r="R231" s="74">
        <v>37996</v>
      </c>
      <c r="T231" s="5">
        <v>0</v>
      </c>
      <c r="U231" s="5">
        <v>1</v>
      </c>
      <c r="V231" s="5">
        <v>1</v>
      </c>
      <c r="W231" s="5">
        <v>3</v>
      </c>
      <c r="X231" s="5">
        <v>6</v>
      </c>
      <c r="AA231" s="5">
        <v>0</v>
      </c>
      <c r="AB231" s="5">
        <v>0</v>
      </c>
      <c r="AC231" s="5">
        <v>0</v>
      </c>
      <c r="AD231" s="5">
        <v>0</v>
      </c>
      <c r="AE231" s="5">
        <v>0</v>
      </c>
      <c r="AF231" s="5">
        <v>0</v>
      </c>
      <c r="AG231" s="5">
        <v>0</v>
      </c>
      <c r="AI231" s="5" t="s">
        <v>366</v>
      </c>
      <c r="AJ231" s="5" t="s">
        <v>1805</v>
      </c>
      <c r="AK231" s="5">
        <v>610423110090</v>
      </c>
      <c r="AL231" s="5" t="e">
        <f t="shared" si="3"/>
        <v>#VALUE!</v>
      </c>
    </row>
    <row r="232" spans="1:38" ht="12.5">
      <c r="A232" s="10" t="str">
        <f t="shared" si="0"/>
        <v>Misbahul Hasanah</v>
      </c>
      <c r="B232" s="5">
        <f t="shared" si="1"/>
        <v>610422100062</v>
      </c>
      <c r="C232" s="5" t="str">
        <f t="shared" si="2"/>
        <v>Misbahul hasanah</v>
      </c>
      <c r="D232" s="5" t="s">
        <v>363</v>
      </c>
      <c r="E232" s="5" t="e">
        <f t="array" ref="E232">INDEX('Master SLS'!$H$2:$H998,MATCH($AL232,'Master SLS'!$K$2:$K998,0))</f>
        <v>#VALUE!</v>
      </c>
      <c r="F232" s="5" t="e">
        <f t="array" ref="F232">INDEX('Master SLS'!$I$2:$I998,MATCH($AL232,'Master SLS'!$K$2:$K998,0))</f>
        <v>#VALUE!</v>
      </c>
      <c r="G232" s="5" t="s">
        <v>1806</v>
      </c>
      <c r="H232" s="5" t="s">
        <v>1807</v>
      </c>
      <c r="I232" s="5" t="s">
        <v>388</v>
      </c>
      <c r="J232" s="5">
        <v>1</v>
      </c>
      <c r="K232" s="5" t="s">
        <v>1808</v>
      </c>
      <c r="L232" s="5">
        <v>61</v>
      </c>
      <c r="M232" s="5">
        <v>4</v>
      </c>
      <c r="N232" s="5">
        <v>110</v>
      </c>
      <c r="O232" s="5">
        <v>12</v>
      </c>
      <c r="P232" s="5" t="s">
        <v>1809</v>
      </c>
      <c r="Q232" s="5">
        <v>1</v>
      </c>
      <c r="R232" s="74">
        <v>35874</v>
      </c>
      <c r="T232" s="5">
        <v>0</v>
      </c>
      <c r="U232" s="5">
        <v>1</v>
      </c>
      <c r="V232" s="5">
        <v>1</v>
      </c>
      <c r="W232" s="5">
        <v>3</v>
      </c>
      <c r="X232" s="5">
        <v>6</v>
      </c>
      <c r="AA232" s="5">
        <v>1</v>
      </c>
      <c r="AB232" s="5">
        <v>0</v>
      </c>
      <c r="AC232" s="5">
        <v>1</v>
      </c>
      <c r="AD232" s="5">
        <v>0</v>
      </c>
      <c r="AE232" s="5">
        <v>0</v>
      </c>
      <c r="AF232" s="5">
        <v>0</v>
      </c>
      <c r="AG232" s="5">
        <v>0</v>
      </c>
      <c r="AH232" s="5" t="s">
        <v>1810</v>
      </c>
      <c r="AI232" s="5" t="s">
        <v>388</v>
      </c>
      <c r="AJ232" s="5" t="s">
        <v>1811</v>
      </c>
      <c r="AK232" s="5">
        <v>610422100062</v>
      </c>
      <c r="AL232" s="5" t="e">
        <f t="shared" si="3"/>
        <v>#VALUE!</v>
      </c>
    </row>
    <row r="233" spans="1:38" ht="12.5">
      <c r="A233" s="10" t="str">
        <f t="shared" si="0"/>
        <v>Misdi</v>
      </c>
      <c r="B233" s="5">
        <f t="shared" si="1"/>
        <v>610422040012</v>
      </c>
      <c r="C233" s="5" t="str">
        <f t="shared" si="2"/>
        <v>Misdi</v>
      </c>
      <c r="D233" s="5" t="s">
        <v>363</v>
      </c>
      <c r="E233" s="5" t="e">
        <f t="array" ref="E233">INDEX('Master SLS'!$H$2:$H998,MATCH($AL233,'Master SLS'!$K$2:$K998,0))</f>
        <v>#VALUE!</v>
      </c>
      <c r="F233" s="5" t="e">
        <f t="array" ref="F233">INDEX('Master SLS'!$I$2:$I998,MATCH($AL233,'Master SLS'!$K$2:$K998,0))</f>
        <v>#VALUE!</v>
      </c>
      <c r="G233" s="5" t="s">
        <v>1812</v>
      </c>
      <c r="H233" s="5" t="s">
        <v>1813</v>
      </c>
      <c r="I233" s="5" t="s">
        <v>366</v>
      </c>
      <c r="J233" s="5">
        <v>1</v>
      </c>
      <c r="K233" s="5" t="s">
        <v>1814</v>
      </c>
      <c r="L233" s="5">
        <v>61</v>
      </c>
      <c r="M233" s="5">
        <v>4</v>
      </c>
      <c r="N233" s="5">
        <v>90</v>
      </c>
      <c r="O233" s="5">
        <v>12</v>
      </c>
      <c r="P233" s="5" t="s">
        <v>1815</v>
      </c>
      <c r="Q233" s="5">
        <v>1</v>
      </c>
      <c r="R233" s="74">
        <v>36043</v>
      </c>
      <c r="T233" s="5">
        <v>1</v>
      </c>
      <c r="U233" s="5">
        <v>1</v>
      </c>
      <c r="V233" s="5">
        <v>1</v>
      </c>
      <c r="W233" s="5">
        <v>3</v>
      </c>
      <c r="X233" s="5">
        <v>6</v>
      </c>
      <c r="AA233" s="5">
        <v>1</v>
      </c>
      <c r="AB233" s="5">
        <v>1</v>
      </c>
      <c r="AC233" s="5">
        <v>1</v>
      </c>
      <c r="AD233" s="5">
        <v>0</v>
      </c>
      <c r="AE233" s="5">
        <v>0</v>
      </c>
      <c r="AF233" s="5">
        <v>0</v>
      </c>
      <c r="AG233" s="5">
        <v>0</v>
      </c>
      <c r="AH233" s="5" t="s">
        <v>1816</v>
      </c>
      <c r="AI233" s="5" t="s">
        <v>366</v>
      </c>
      <c r="AJ233" s="5" t="s">
        <v>1817</v>
      </c>
      <c r="AK233" s="5">
        <v>610422040012</v>
      </c>
      <c r="AL233" s="5" t="e">
        <f t="shared" si="3"/>
        <v>#VALUE!</v>
      </c>
    </row>
    <row r="234" spans="1:38" ht="12.5">
      <c r="A234" s="10" t="str">
        <f t="shared" si="0"/>
        <v>Mita Kurniasari</v>
      </c>
      <c r="B234" s="5">
        <f t="shared" si="1"/>
        <v>610422020037</v>
      </c>
      <c r="C234" s="5" t="str">
        <f t="shared" si="2"/>
        <v>Mita Kurniasari</v>
      </c>
      <c r="D234" s="5" t="s">
        <v>363</v>
      </c>
      <c r="E234" s="5" t="e">
        <f t="array" ref="E234">INDEX('Master SLS'!$H$2:$H998,MATCH($AL234,'Master SLS'!$K$2:$K998,0))</f>
        <v>#VALUE!</v>
      </c>
      <c r="F234" s="5" t="e">
        <f t="array" ref="F234">INDEX('Master SLS'!$I$2:$I998,MATCH($AL234,'Master SLS'!$K$2:$K998,0))</f>
        <v>#VALUE!</v>
      </c>
      <c r="G234" s="5" t="s">
        <v>1818</v>
      </c>
      <c r="H234" s="5" t="s">
        <v>1819</v>
      </c>
      <c r="I234" s="5" t="s">
        <v>388</v>
      </c>
      <c r="J234" s="5">
        <v>1</v>
      </c>
      <c r="K234" s="5" t="s">
        <v>1820</v>
      </c>
      <c r="L234" s="5">
        <v>61</v>
      </c>
      <c r="M234" s="5">
        <v>4</v>
      </c>
      <c r="N234" s="5">
        <v>100</v>
      </c>
      <c r="O234" s="5">
        <v>8</v>
      </c>
      <c r="P234" s="5" t="s">
        <v>1821</v>
      </c>
      <c r="Q234" s="5">
        <v>1</v>
      </c>
      <c r="R234" s="74">
        <v>35669</v>
      </c>
      <c r="T234" s="5">
        <v>0</v>
      </c>
      <c r="U234" s="5">
        <v>1</v>
      </c>
      <c r="V234" s="5">
        <v>1</v>
      </c>
      <c r="W234" s="5">
        <v>5</v>
      </c>
      <c r="X234" s="5">
        <v>7</v>
      </c>
      <c r="Y234" s="5" t="s">
        <v>369</v>
      </c>
      <c r="AA234" s="5">
        <v>1</v>
      </c>
      <c r="AB234" s="5">
        <v>1</v>
      </c>
      <c r="AC234" s="5">
        <v>0</v>
      </c>
      <c r="AD234" s="5">
        <v>0</v>
      </c>
      <c r="AE234" s="5">
        <v>1</v>
      </c>
      <c r="AF234" s="5">
        <v>0</v>
      </c>
      <c r="AG234" s="5">
        <v>0</v>
      </c>
      <c r="AH234" s="5" t="s">
        <v>1822</v>
      </c>
      <c r="AI234" s="5" t="s">
        <v>388</v>
      </c>
      <c r="AJ234" s="5" t="s">
        <v>1823</v>
      </c>
      <c r="AK234" s="5">
        <v>610422020037</v>
      </c>
      <c r="AL234" s="5" t="e">
        <f t="shared" si="3"/>
        <v>#VALUE!</v>
      </c>
    </row>
    <row r="235" spans="1:38" ht="12.5">
      <c r="A235" s="10" t="str">
        <f t="shared" si="0"/>
        <v>Mitasya Fitri Nainggolan</v>
      </c>
      <c r="B235" s="5">
        <f t="shared" si="1"/>
        <v>610423040006</v>
      </c>
      <c r="C235" s="5" t="str">
        <f t="shared" si="2"/>
        <v>MITASYA FITRI NAINGGOLAN</v>
      </c>
      <c r="D235" s="5" t="s">
        <v>363</v>
      </c>
      <c r="E235" s="5" t="e">
        <f t="array" ref="E235">INDEX('Master SLS'!$H$2:$H998,MATCH($AL235,'Master SLS'!$K$2:$K998,0))</f>
        <v>#VALUE!</v>
      </c>
      <c r="F235" s="5" t="e">
        <f t="array" ref="F235">INDEX('Master SLS'!$I$2:$I998,MATCH($AL235,'Master SLS'!$K$2:$K998,0))</f>
        <v>#VALUE!</v>
      </c>
      <c r="G235" s="5" t="s">
        <v>1824</v>
      </c>
      <c r="H235" s="5" t="s">
        <v>1825</v>
      </c>
      <c r="I235" s="5" t="s">
        <v>388</v>
      </c>
      <c r="J235" s="5">
        <v>1</v>
      </c>
      <c r="K235" s="5" t="s">
        <v>1826</v>
      </c>
      <c r="L235" s="5">
        <v>61</v>
      </c>
      <c r="M235" s="5">
        <v>4</v>
      </c>
      <c r="N235" s="5">
        <v>101</v>
      </c>
      <c r="O235" s="5">
        <v>6</v>
      </c>
      <c r="P235" s="5" t="s">
        <v>1827</v>
      </c>
      <c r="Q235" s="5">
        <v>1</v>
      </c>
      <c r="R235" s="74">
        <v>36663</v>
      </c>
      <c r="T235" s="5">
        <v>0</v>
      </c>
      <c r="U235" s="5">
        <v>1</v>
      </c>
      <c r="V235" s="5">
        <v>1</v>
      </c>
      <c r="W235" s="5">
        <v>3</v>
      </c>
      <c r="X235" s="5">
        <v>6</v>
      </c>
      <c r="AA235" s="5">
        <v>1</v>
      </c>
      <c r="AB235" s="5">
        <v>0</v>
      </c>
      <c r="AC235" s="5">
        <v>1</v>
      </c>
      <c r="AD235" s="5">
        <v>0</v>
      </c>
      <c r="AE235" s="5">
        <v>0</v>
      </c>
      <c r="AF235" s="5">
        <v>1</v>
      </c>
      <c r="AG235" s="5">
        <v>0</v>
      </c>
      <c r="AI235" s="5" t="s">
        <v>388</v>
      </c>
      <c r="AJ235" s="5" t="s">
        <v>1828</v>
      </c>
      <c r="AK235" s="5">
        <v>610423040006</v>
      </c>
      <c r="AL235" s="5" t="e">
        <f t="shared" si="3"/>
        <v>#VALUE!</v>
      </c>
    </row>
    <row r="236" spans="1:38" ht="12.5">
      <c r="A236" s="10" t="str">
        <f t="shared" si="0"/>
        <v>Muhamad Ibnu</v>
      </c>
      <c r="B236" s="5">
        <f t="shared" si="1"/>
        <v>610423110030</v>
      </c>
      <c r="C236" s="5" t="str">
        <f t="shared" si="2"/>
        <v>Muhamad ibnu</v>
      </c>
      <c r="D236" s="5" t="s">
        <v>363</v>
      </c>
      <c r="E236" s="5" t="e">
        <f t="array" ref="E236">INDEX('Master SLS'!$H$2:$H998,MATCH($AL236,'Master SLS'!$K$2:$K998,0))</f>
        <v>#VALUE!</v>
      </c>
      <c r="F236" s="5" t="e">
        <f t="array" ref="F236">INDEX('Master SLS'!$I$2:$I998,MATCH($AL236,'Master SLS'!$K$2:$K998,0))</f>
        <v>#VALUE!</v>
      </c>
      <c r="G236" s="5" t="s">
        <v>1829</v>
      </c>
      <c r="H236" s="5" t="s">
        <v>1830</v>
      </c>
      <c r="I236" s="5" t="s">
        <v>388</v>
      </c>
      <c r="J236" s="5">
        <v>1</v>
      </c>
      <c r="K236" s="5" t="s">
        <v>1831</v>
      </c>
      <c r="L236" s="5">
        <v>61</v>
      </c>
      <c r="M236" s="5">
        <v>4</v>
      </c>
      <c r="N236" s="5">
        <v>90</v>
      </c>
      <c r="O236" s="5">
        <v>11</v>
      </c>
      <c r="P236" s="5" t="s">
        <v>1832</v>
      </c>
      <c r="Q236" s="5">
        <v>1</v>
      </c>
      <c r="R236" s="7">
        <v>36810</v>
      </c>
      <c r="S236" s="5" t="s">
        <v>1833</v>
      </c>
      <c r="T236" s="5">
        <v>1</v>
      </c>
      <c r="U236" s="5">
        <v>1</v>
      </c>
      <c r="V236" s="5">
        <v>1</v>
      </c>
      <c r="W236" s="5">
        <v>4</v>
      </c>
      <c r="X236" s="5">
        <v>7</v>
      </c>
      <c r="Y236" s="5" t="s">
        <v>1834</v>
      </c>
      <c r="AA236" s="5">
        <v>0</v>
      </c>
      <c r="AB236" s="5">
        <v>0</v>
      </c>
      <c r="AC236" s="5">
        <v>0</v>
      </c>
      <c r="AD236" s="5">
        <v>0</v>
      </c>
      <c r="AE236" s="5">
        <v>0</v>
      </c>
      <c r="AF236" s="5">
        <v>0</v>
      </c>
      <c r="AG236" s="5">
        <v>0</v>
      </c>
      <c r="AI236" s="5" t="s">
        <v>388</v>
      </c>
      <c r="AJ236" s="5" t="s">
        <v>1835</v>
      </c>
      <c r="AK236" s="5">
        <v>610423110030</v>
      </c>
      <c r="AL236" s="5" t="e">
        <f t="shared" si="3"/>
        <v>#VALUE!</v>
      </c>
    </row>
    <row r="237" spans="1:38" ht="12.5">
      <c r="A237" s="10" t="str">
        <f t="shared" si="0"/>
        <v>Muhamad Siradjuddin</v>
      </c>
      <c r="B237" s="5">
        <f t="shared" si="1"/>
        <v>610423040017</v>
      </c>
      <c r="C237" s="5" t="str">
        <f t="shared" si="2"/>
        <v>Muhamad Siradjuddin</v>
      </c>
      <c r="D237" s="5" t="s">
        <v>363</v>
      </c>
      <c r="E237" s="5" t="e">
        <f t="array" ref="E237">INDEX('Master SLS'!$H$2:$H998,MATCH($AL237,'Master SLS'!$K$2:$K998,0))</f>
        <v>#VALUE!</v>
      </c>
      <c r="F237" s="5" t="e">
        <f t="array" ref="F237">INDEX('Master SLS'!$I$2:$I998,MATCH($AL237,'Master SLS'!$K$2:$K998,0))</f>
        <v>#VALUE!</v>
      </c>
      <c r="G237" s="5" t="s">
        <v>1836</v>
      </c>
      <c r="H237" s="5" t="s">
        <v>1837</v>
      </c>
      <c r="I237" s="5" t="s">
        <v>366</v>
      </c>
      <c r="J237" s="5">
        <v>1</v>
      </c>
      <c r="K237" s="5" t="s">
        <v>1838</v>
      </c>
      <c r="L237" s="5">
        <v>61</v>
      </c>
      <c r="M237" s="5">
        <v>4</v>
      </c>
      <c r="N237" s="5">
        <v>101</v>
      </c>
      <c r="O237" s="5">
        <v>7</v>
      </c>
      <c r="P237" s="5" t="s">
        <v>1839</v>
      </c>
      <c r="Q237" s="5">
        <v>2</v>
      </c>
      <c r="R237" s="74">
        <v>35566</v>
      </c>
      <c r="S237" s="5" t="s">
        <v>1840</v>
      </c>
      <c r="T237" s="5">
        <v>1</v>
      </c>
      <c r="U237" s="5">
        <v>1</v>
      </c>
      <c r="V237" s="5">
        <v>1</v>
      </c>
      <c r="W237" s="5">
        <v>5</v>
      </c>
      <c r="X237" s="5">
        <v>3</v>
      </c>
      <c r="AA237" s="5">
        <v>1</v>
      </c>
      <c r="AB237" s="5">
        <v>0</v>
      </c>
      <c r="AC237" s="5">
        <v>1</v>
      </c>
      <c r="AD237" s="5">
        <v>0</v>
      </c>
      <c r="AE237" s="5">
        <v>0</v>
      </c>
      <c r="AF237" s="5">
        <v>1</v>
      </c>
      <c r="AG237" s="5">
        <v>0</v>
      </c>
      <c r="AH237" s="5" t="s">
        <v>1841</v>
      </c>
      <c r="AI237" s="5" t="s">
        <v>366</v>
      </c>
      <c r="AJ237" s="5" t="s">
        <v>1842</v>
      </c>
      <c r="AK237" s="5">
        <v>610423040017</v>
      </c>
      <c r="AL237" s="5" t="e">
        <f t="shared" si="3"/>
        <v>#VALUE!</v>
      </c>
    </row>
    <row r="238" spans="1:38" ht="12.5">
      <c r="A238" s="10" t="str">
        <f t="shared" si="0"/>
        <v>Muhammad Abdullah</v>
      </c>
      <c r="B238" s="5">
        <f t="shared" si="1"/>
        <v>610422020007</v>
      </c>
      <c r="C238" s="5" t="str">
        <f t="shared" si="2"/>
        <v>Muhammad Abdullah</v>
      </c>
      <c r="D238" s="5" t="s">
        <v>363</v>
      </c>
      <c r="E238" s="5" t="e">
        <f t="array" ref="E238">INDEX('Master SLS'!$H$2:$H998,MATCH($AL238,'Master SLS'!$K$2:$K998,0))</f>
        <v>#VALUE!</v>
      </c>
      <c r="F238" s="5" t="e">
        <f t="array" ref="F238">INDEX('Master SLS'!$I$2:$I998,MATCH($AL238,'Master SLS'!$K$2:$K998,0))</f>
        <v>#VALUE!</v>
      </c>
      <c r="G238" s="5" t="s">
        <v>1843</v>
      </c>
      <c r="H238" s="5" t="s">
        <v>1844</v>
      </c>
      <c r="I238" s="5" t="s">
        <v>366</v>
      </c>
      <c r="J238" s="5">
        <v>1</v>
      </c>
      <c r="K238" s="5" t="s">
        <v>1845</v>
      </c>
      <c r="L238" s="5">
        <v>61</v>
      </c>
      <c r="M238" s="5">
        <v>4</v>
      </c>
      <c r="N238" s="5">
        <v>80</v>
      </c>
      <c r="O238" s="5">
        <v>3</v>
      </c>
      <c r="P238" s="5" t="s">
        <v>1846</v>
      </c>
      <c r="Q238" s="5">
        <v>1</v>
      </c>
      <c r="R238" s="74">
        <v>32266</v>
      </c>
      <c r="T238" s="5">
        <v>1</v>
      </c>
      <c r="U238" s="5">
        <v>1</v>
      </c>
      <c r="V238" s="5">
        <v>2</v>
      </c>
      <c r="W238" s="5">
        <v>5</v>
      </c>
      <c r="X238" s="5">
        <v>7</v>
      </c>
      <c r="Y238" s="5" t="s">
        <v>1455</v>
      </c>
      <c r="AA238" s="5">
        <v>1</v>
      </c>
      <c r="AB238" s="5">
        <v>1</v>
      </c>
      <c r="AC238" s="5">
        <v>1</v>
      </c>
      <c r="AD238" s="5">
        <v>0</v>
      </c>
      <c r="AE238" s="5">
        <v>0</v>
      </c>
      <c r="AF238" s="5">
        <v>0</v>
      </c>
      <c r="AG238" s="5">
        <v>0</v>
      </c>
      <c r="AH238" s="5" t="s">
        <v>1847</v>
      </c>
      <c r="AI238" s="5" t="s">
        <v>366</v>
      </c>
      <c r="AJ238" s="5" t="s">
        <v>1848</v>
      </c>
      <c r="AK238" s="5">
        <v>610422020007</v>
      </c>
      <c r="AL238" s="5" t="e">
        <f t="shared" si="3"/>
        <v>#VALUE!</v>
      </c>
    </row>
    <row r="239" spans="1:38" ht="12.5">
      <c r="A239" s="10" t="str">
        <f t="shared" si="0"/>
        <v>Muhammad Akbar Putra Riyani</v>
      </c>
      <c r="B239" s="5">
        <f t="shared" si="1"/>
        <v>610423110174</v>
      </c>
      <c r="C239" s="5" t="str">
        <f t="shared" si="2"/>
        <v>Muhammad Akbar Putra Riyani</v>
      </c>
      <c r="D239" s="5" t="s">
        <v>560</v>
      </c>
      <c r="E239" s="5" t="s">
        <v>1581</v>
      </c>
      <c r="F239" s="5" t="s">
        <v>1849</v>
      </c>
      <c r="G239" s="5" t="s">
        <v>1850</v>
      </c>
      <c r="H239" s="5" t="s">
        <v>1851</v>
      </c>
      <c r="I239" s="5" t="s">
        <v>388</v>
      </c>
      <c r="J239" s="5">
        <v>1</v>
      </c>
      <c r="K239" s="5" t="s">
        <v>1852</v>
      </c>
      <c r="L239" s="5">
        <v>61</v>
      </c>
      <c r="M239" s="5">
        <v>71</v>
      </c>
      <c r="N239" s="5">
        <v>10</v>
      </c>
      <c r="O239" s="5">
        <v>2</v>
      </c>
      <c r="P239" s="5" t="s">
        <v>1853</v>
      </c>
      <c r="Q239" s="5">
        <v>1</v>
      </c>
      <c r="R239" s="74">
        <v>37503</v>
      </c>
      <c r="T239" s="5">
        <v>1</v>
      </c>
      <c r="U239" s="5">
        <v>1</v>
      </c>
      <c r="V239" s="5">
        <v>1</v>
      </c>
      <c r="W239" s="5">
        <v>3</v>
      </c>
      <c r="X239" s="5">
        <v>6</v>
      </c>
      <c r="AA239" s="5">
        <v>0</v>
      </c>
      <c r="AB239" s="5">
        <v>0</v>
      </c>
      <c r="AC239" s="5">
        <v>0</v>
      </c>
      <c r="AD239" s="5">
        <v>0</v>
      </c>
      <c r="AE239" s="5">
        <v>0</v>
      </c>
      <c r="AF239" s="5">
        <v>0</v>
      </c>
      <c r="AG239" s="5">
        <v>0</v>
      </c>
      <c r="AH239" s="5" t="s">
        <v>1854</v>
      </c>
      <c r="AI239" s="5" t="s">
        <v>388</v>
      </c>
      <c r="AJ239" s="5" t="s">
        <v>1855</v>
      </c>
      <c r="AK239" s="5">
        <v>610423110174</v>
      </c>
      <c r="AL239" s="5" t="e">
        <f t="shared" si="3"/>
        <v>#VALUE!</v>
      </c>
    </row>
    <row r="240" spans="1:38" ht="12.5">
      <c r="A240" s="10" t="str">
        <f t="shared" si="0"/>
        <v>Muhammad Anies Safawi</v>
      </c>
      <c r="B240" s="5">
        <f t="shared" si="1"/>
        <v>610423090012</v>
      </c>
      <c r="C240" s="5" t="str">
        <f t="shared" si="2"/>
        <v>Muhammad Anies Safawi</v>
      </c>
      <c r="D240" s="5" t="s">
        <v>363</v>
      </c>
      <c r="E240" s="5" t="e">
        <f t="array" ref="E240">INDEX('Master SLS'!$H$2:$H998,MATCH($AL240,'Master SLS'!$K$2:$K998,0))</f>
        <v>#VALUE!</v>
      </c>
      <c r="F240" s="5" t="e">
        <f t="array" ref="F240">INDEX('Master SLS'!$I$2:$I998,MATCH($AL240,'Master SLS'!$K$2:$K998,0))</f>
        <v>#VALUE!</v>
      </c>
      <c r="G240" s="5" t="s">
        <v>1856</v>
      </c>
      <c r="H240" s="5" t="s">
        <v>1857</v>
      </c>
      <c r="I240" s="5" t="s">
        <v>474</v>
      </c>
      <c r="J240" s="5">
        <v>1</v>
      </c>
      <c r="K240" s="5" t="s">
        <v>1858</v>
      </c>
      <c r="L240" s="5">
        <v>61</v>
      </c>
      <c r="M240" s="5">
        <v>4</v>
      </c>
      <c r="N240" s="5">
        <v>90</v>
      </c>
      <c r="O240" s="5">
        <v>1</v>
      </c>
      <c r="P240" s="5" t="s">
        <v>1859</v>
      </c>
      <c r="Q240" s="5">
        <v>1</v>
      </c>
      <c r="R240" s="74">
        <v>35041</v>
      </c>
      <c r="T240" s="5">
        <v>1</v>
      </c>
      <c r="U240" s="5">
        <v>1</v>
      </c>
      <c r="V240" s="5">
        <v>1</v>
      </c>
      <c r="W240" s="5">
        <v>3</v>
      </c>
      <c r="X240" s="5">
        <v>7</v>
      </c>
      <c r="Y240" s="5" t="s">
        <v>1860</v>
      </c>
      <c r="AA240" s="5">
        <v>1</v>
      </c>
      <c r="AB240" s="5">
        <v>1</v>
      </c>
      <c r="AC240" s="5">
        <v>0</v>
      </c>
      <c r="AD240" s="5">
        <v>0</v>
      </c>
      <c r="AE240" s="5">
        <v>0</v>
      </c>
      <c r="AF240" s="5">
        <v>0</v>
      </c>
      <c r="AG240" s="5">
        <v>0</v>
      </c>
      <c r="AI240" s="5" t="s">
        <v>474</v>
      </c>
      <c r="AJ240" s="5" t="s">
        <v>1861</v>
      </c>
      <c r="AK240" s="5">
        <v>610423090012</v>
      </c>
      <c r="AL240" s="5" t="e">
        <f t="shared" si="3"/>
        <v>#VALUE!</v>
      </c>
    </row>
    <row r="241" spans="1:38" ht="12.5">
      <c r="A241" s="10" t="str">
        <f t="shared" si="0"/>
        <v>Muhammad Ariel Dafa Alvaro</v>
      </c>
      <c r="B241" s="5">
        <f t="shared" si="1"/>
        <v>610423110085</v>
      </c>
      <c r="C241" s="5" t="str">
        <f t="shared" si="2"/>
        <v>Muhammad Ariel dafa Alvaro</v>
      </c>
      <c r="D241" s="5" t="s">
        <v>363</v>
      </c>
      <c r="E241" s="5" t="e">
        <f t="array" ref="E241">INDEX('Master SLS'!$H$2:$H998,MATCH($AL241,'Master SLS'!$K$2:$K998,0))</f>
        <v>#VALUE!</v>
      </c>
      <c r="F241" s="5" t="e">
        <f t="array" ref="F241">INDEX('Master SLS'!$I$2:$I998,MATCH($AL241,'Master SLS'!$K$2:$K998,0))</f>
        <v>#VALUE!</v>
      </c>
      <c r="G241" s="5" t="s">
        <v>1862</v>
      </c>
      <c r="H241" s="5" t="s">
        <v>1863</v>
      </c>
      <c r="I241" s="5" t="s">
        <v>366</v>
      </c>
      <c r="J241" s="5">
        <v>1</v>
      </c>
      <c r="K241" s="5" t="s">
        <v>1864</v>
      </c>
      <c r="L241" s="5">
        <v>61</v>
      </c>
      <c r="M241" s="5">
        <v>4</v>
      </c>
      <c r="N241" s="5">
        <v>101</v>
      </c>
      <c r="O241" s="5">
        <v>6</v>
      </c>
      <c r="P241" s="5" t="s">
        <v>1865</v>
      </c>
      <c r="Q241" s="5">
        <v>1</v>
      </c>
      <c r="R241" s="74">
        <v>36689</v>
      </c>
      <c r="T241" s="5">
        <v>1</v>
      </c>
      <c r="U241" s="5">
        <v>1</v>
      </c>
      <c r="V241" s="5">
        <v>1</v>
      </c>
      <c r="W241" s="5">
        <v>5</v>
      </c>
      <c r="X241" s="5">
        <v>5</v>
      </c>
      <c r="AA241" s="5">
        <v>0</v>
      </c>
      <c r="AB241" s="5">
        <v>0</v>
      </c>
      <c r="AC241" s="5">
        <v>0</v>
      </c>
      <c r="AD241" s="5">
        <v>0</v>
      </c>
      <c r="AE241" s="5">
        <v>0</v>
      </c>
      <c r="AF241" s="5">
        <v>0</v>
      </c>
      <c r="AG241" s="5">
        <v>0</v>
      </c>
      <c r="AI241" s="5" t="s">
        <v>366</v>
      </c>
      <c r="AJ241" s="5" t="s">
        <v>1866</v>
      </c>
      <c r="AK241" s="5">
        <v>610423110085</v>
      </c>
      <c r="AL241" s="5" t="e">
        <f t="shared" si="3"/>
        <v>#VALUE!</v>
      </c>
    </row>
    <row r="242" spans="1:38" ht="12.5">
      <c r="A242" s="10" t="str">
        <f t="shared" si="0"/>
        <v>Muhammad Darwis</v>
      </c>
      <c r="B242" s="5">
        <f t="shared" si="1"/>
        <v>610423110081</v>
      </c>
      <c r="C242" s="5" t="str">
        <f t="shared" si="2"/>
        <v>Muhammad Darwis</v>
      </c>
      <c r="D242" s="5" t="s">
        <v>363</v>
      </c>
      <c r="E242" s="5" t="e">
        <f t="array" ref="E242">INDEX('Master SLS'!$H$2:$H998,MATCH($AL242,'Master SLS'!$K$2:$K998,0))</f>
        <v>#VALUE!</v>
      </c>
      <c r="F242" s="5" t="e">
        <f t="array" ref="F242">INDEX('Master SLS'!$I$2:$I998,MATCH($AL242,'Master SLS'!$K$2:$K998,0))</f>
        <v>#VALUE!</v>
      </c>
      <c r="G242" s="5" t="s">
        <v>1867</v>
      </c>
      <c r="H242" s="5" t="s">
        <v>1868</v>
      </c>
      <c r="I242" s="5" t="s">
        <v>366</v>
      </c>
      <c r="J242" s="5">
        <v>1</v>
      </c>
      <c r="K242" s="5" t="s">
        <v>1869</v>
      </c>
      <c r="L242" s="5">
        <v>61</v>
      </c>
      <c r="M242" s="5">
        <v>4</v>
      </c>
      <c r="N242" s="5">
        <v>100</v>
      </c>
      <c r="O242" s="5">
        <v>14</v>
      </c>
      <c r="P242" s="5" t="s">
        <v>1870</v>
      </c>
      <c r="Q242" s="5">
        <v>1</v>
      </c>
      <c r="R242" s="74">
        <v>35621</v>
      </c>
      <c r="T242" s="5">
        <v>1</v>
      </c>
      <c r="U242" s="5">
        <v>1</v>
      </c>
      <c r="V242" s="5">
        <v>1</v>
      </c>
      <c r="W242" s="5">
        <v>5</v>
      </c>
      <c r="X242" s="5">
        <v>3</v>
      </c>
      <c r="AA242" s="5">
        <v>1</v>
      </c>
      <c r="AB242" s="5">
        <v>0</v>
      </c>
      <c r="AC242" s="5">
        <v>1</v>
      </c>
      <c r="AD242" s="5">
        <v>0</v>
      </c>
      <c r="AE242" s="5">
        <v>0</v>
      </c>
      <c r="AF242" s="5">
        <v>0</v>
      </c>
      <c r="AG242" s="5">
        <v>0</v>
      </c>
      <c r="AH242" s="5" t="s">
        <v>1871</v>
      </c>
      <c r="AI242" s="5" t="s">
        <v>366</v>
      </c>
      <c r="AJ242" s="5" t="s">
        <v>1872</v>
      </c>
      <c r="AK242" s="5">
        <v>610423110081</v>
      </c>
      <c r="AL242" s="5" t="e">
        <f t="shared" si="3"/>
        <v>#VALUE!</v>
      </c>
    </row>
    <row r="243" spans="1:38" ht="12.5">
      <c r="A243" s="10" t="str">
        <f t="shared" si="0"/>
        <v>Muhammad Deny Hafizzul Muttaqin</v>
      </c>
      <c r="B243" s="5">
        <f t="shared" si="1"/>
        <v>617122110049</v>
      </c>
      <c r="C243" s="5" t="str">
        <f t="shared" si="2"/>
        <v>Muhammad Deny Hafizzul Muttaqin</v>
      </c>
      <c r="D243" s="5" t="s">
        <v>363</v>
      </c>
      <c r="E243" s="5" t="e">
        <f t="array" ref="E243">INDEX('Master SLS'!$H$2:$H998,MATCH($AL243,'Master SLS'!$K$2:$K998,0))</f>
        <v>#VALUE!</v>
      </c>
      <c r="F243" s="5" t="e">
        <f t="array" ref="F243">INDEX('Master SLS'!$I$2:$I998,MATCH($AL243,'Master SLS'!$K$2:$K998,0))</f>
        <v>#VALUE!</v>
      </c>
      <c r="G243" s="5" t="s">
        <v>1873</v>
      </c>
      <c r="H243" s="5" t="s">
        <v>1874</v>
      </c>
      <c r="I243" s="5" t="s">
        <v>388</v>
      </c>
      <c r="J243" s="5">
        <v>1</v>
      </c>
      <c r="K243" s="5" t="s">
        <v>1875</v>
      </c>
      <c r="L243" s="5">
        <v>61</v>
      </c>
      <c r="M243" s="5">
        <v>4</v>
      </c>
      <c r="N243" s="5">
        <v>101</v>
      </c>
      <c r="O243" s="5">
        <v>2</v>
      </c>
      <c r="P243" s="5" t="s">
        <v>1876</v>
      </c>
      <c r="Q243" s="5">
        <v>2</v>
      </c>
      <c r="R243" s="74">
        <v>36391</v>
      </c>
      <c r="T243" s="5">
        <v>1</v>
      </c>
      <c r="U243" s="5">
        <v>1</v>
      </c>
      <c r="V243" s="5">
        <v>1</v>
      </c>
      <c r="W243" s="5">
        <v>5</v>
      </c>
      <c r="X243" s="5">
        <v>7</v>
      </c>
      <c r="Y243" s="5" t="s">
        <v>567</v>
      </c>
      <c r="AA243" s="5">
        <v>0</v>
      </c>
      <c r="AB243" s="5">
        <v>0</v>
      </c>
      <c r="AC243" s="5">
        <v>0</v>
      </c>
      <c r="AD243" s="5">
        <v>0</v>
      </c>
      <c r="AE243" s="5">
        <v>0</v>
      </c>
      <c r="AF243" s="5">
        <v>0</v>
      </c>
      <c r="AG243" s="5">
        <v>0</v>
      </c>
      <c r="AI243" s="5" t="s">
        <v>388</v>
      </c>
      <c r="AJ243" s="5" t="s">
        <v>1877</v>
      </c>
      <c r="AK243" s="5">
        <v>617122110049</v>
      </c>
      <c r="AL243" s="5" t="e">
        <f t="shared" si="3"/>
        <v>#VALUE!</v>
      </c>
    </row>
    <row r="244" spans="1:38" ht="12.5">
      <c r="A244" s="10" t="str">
        <f t="shared" si="0"/>
        <v>Muhammad Fahlefi</v>
      </c>
      <c r="B244" s="5">
        <f t="shared" si="1"/>
        <v>610422060012</v>
      </c>
      <c r="C244" s="5" t="str">
        <f t="shared" si="2"/>
        <v>Muhammad Fahlefi</v>
      </c>
      <c r="D244" s="5" t="s">
        <v>363</v>
      </c>
      <c r="E244" s="5" t="e">
        <f t="array" ref="E244">INDEX('Master SLS'!$H$2:$H998,MATCH($AL244,'Master SLS'!$K$2:$K998,0))</f>
        <v>#VALUE!</v>
      </c>
      <c r="F244" s="5" t="e">
        <f t="array" ref="F244">INDEX('Master SLS'!$I$2:$I998,MATCH($AL244,'Master SLS'!$K$2:$K998,0))</f>
        <v>#VALUE!</v>
      </c>
      <c r="G244" s="5" t="s">
        <v>1878</v>
      </c>
      <c r="H244" s="5" t="s">
        <v>1879</v>
      </c>
      <c r="I244" s="5" t="s">
        <v>474</v>
      </c>
      <c r="J244" s="5">
        <v>1</v>
      </c>
      <c r="K244" s="5" t="s">
        <v>1880</v>
      </c>
      <c r="L244" s="5">
        <v>61</v>
      </c>
      <c r="M244" s="5">
        <v>4</v>
      </c>
      <c r="N244" s="5">
        <v>101</v>
      </c>
      <c r="O244" s="5">
        <v>7</v>
      </c>
      <c r="P244" s="5" t="s">
        <v>1881</v>
      </c>
      <c r="Q244" s="5">
        <v>1</v>
      </c>
      <c r="R244" s="74">
        <v>37467</v>
      </c>
      <c r="T244" s="5">
        <v>1</v>
      </c>
      <c r="U244" s="5">
        <v>1</v>
      </c>
      <c r="V244" s="5">
        <v>1</v>
      </c>
      <c r="W244" s="5">
        <v>3</v>
      </c>
      <c r="X244" s="5">
        <v>6</v>
      </c>
      <c r="AA244" s="5">
        <v>1</v>
      </c>
      <c r="AB244" s="5">
        <v>1</v>
      </c>
      <c r="AC244" s="5">
        <v>0</v>
      </c>
      <c r="AD244" s="5">
        <v>0</v>
      </c>
      <c r="AE244" s="5">
        <v>0</v>
      </c>
      <c r="AF244" s="5">
        <v>0</v>
      </c>
      <c r="AG244" s="5">
        <v>0</v>
      </c>
      <c r="AH244" s="5" t="s">
        <v>369</v>
      </c>
      <c r="AI244" s="5" t="s">
        <v>474</v>
      </c>
      <c r="AJ244" s="5" t="s">
        <v>1882</v>
      </c>
      <c r="AK244" s="5">
        <v>610422060012</v>
      </c>
      <c r="AL244" s="5" t="e">
        <f t="shared" si="3"/>
        <v>#VALUE!</v>
      </c>
    </row>
    <row r="245" spans="1:38" ht="12.5">
      <c r="A245" s="10" t="str">
        <f t="shared" si="0"/>
        <v>Muhammad Fajar</v>
      </c>
      <c r="B245" s="5">
        <f t="shared" si="1"/>
        <v>610423110029</v>
      </c>
      <c r="C245" s="5" t="str">
        <f t="shared" si="2"/>
        <v>Muhammad fajar</v>
      </c>
      <c r="D245" s="5" t="s">
        <v>363</v>
      </c>
      <c r="E245" s="5" t="e">
        <f t="array" ref="E245">INDEX('Master SLS'!$H$2:$H998,MATCH($AL245,'Master SLS'!$K$2:$K998,0))</f>
        <v>#VALUE!</v>
      </c>
      <c r="F245" s="5" t="e">
        <f t="array" ref="F245">INDEX('Master SLS'!$I$2:$I998,MATCH($AL245,'Master SLS'!$K$2:$K998,0))</f>
        <v>#VALUE!</v>
      </c>
      <c r="G245" s="5" t="s">
        <v>1883</v>
      </c>
      <c r="H245" s="5" t="s">
        <v>1884</v>
      </c>
      <c r="I245" s="5" t="s">
        <v>366</v>
      </c>
      <c r="J245" s="5">
        <v>1</v>
      </c>
      <c r="K245" s="5" t="s">
        <v>1885</v>
      </c>
      <c r="L245" s="5">
        <v>61</v>
      </c>
      <c r="M245" s="5">
        <v>4</v>
      </c>
      <c r="N245" s="5">
        <v>100</v>
      </c>
      <c r="O245" s="5">
        <v>7</v>
      </c>
      <c r="P245" s="5" t="s">
        <v>1886</v>
      </c>
      <c r="Q245" s="5">
        <v>1</v>
      </c>
      <c r="R245" s="74">
        <v>36425</v>
      </c>
      <c r="S245" s="5" t="s">
        <v>1887</v>
      </c>
      <c r="T245" s="5">
        <v>1</v>
      </c>
      <c r="U245" s="5">
        <v>1</v>
      </c>
      <c r="V245" s="5">
        <v>1</v>
      </c>
      <c r="W245" s="5">
        <v>4</v>
      </c>
      <c r="X245" s="5">
        <v>7</v>
      </c>
      <c r="Y245" s="5" t="s">
        <v>1124</v>
      </c>
      <c r="AA245" s="5">
        <v>0</v>
      </c>
      <c r="AB245" s="5">
        <v>0</v>
      </c>
      <c r="AC245" s="5">
        <v>0</v>
      </c>
      <c r="AD245" s="5">
        <v>0</v>
      </c>
      <c r="AE245" s="5">
        <v>0</v>
      </c>
      <c r="AF245" s="5">
        <v>0</v>
      </c>
      <c r="AG245" s="5">
        <v>0</v>
      </c>
      <c r="AI245" s="5" t="s">
        <v>366</v>
      </c>
      <c r="AJ245" s="5" t="s">
        <v>1888</v>
      </c>
      <c r="AK245" s="5">
        <v>610423110029</v>
      </c>
      <c r="AL245" s="5" t="e">
        <f t="shared" si="3"/>
        <v>#VALUE!</v>
      </c>
    </row>
    <row r="246" spans="1:38" ht="12.5">
      <c r="A246" s="10" t="str">
        <f t="shared" si="0"/>
        <v>Muhammad Farhan Ashari</v>
      </c>
      <c r="B246" s="5">
        <f t="shared" si="1"/>
        <v>610423110167</v>
      </c>
      <c r="C246" s="5" t="str">
        <f t="shared" si="2"/>
        <v>Muhammad Farhan Ashari</v>
      </c>
      <c r="D246" s="5" t="s">
        <v>560</v>
      </c>
      <c r="E246" s="5" t="s">
        <v>589</v>
      </c>
      <c r="F246" s="5" t="s">
        <v>1889</v>
      </c>
      <c r="G246" s="5" t="s">
        <v>1890</v>
      </c>
      <c r="H246" s="5" t="s">
        <v>1891</v>
      </c>
      <c r="I246" s="5" t="s">
        <v>388</v>
      </c>
      <c r="J246" s="5">
        <v>1</v>
      </c>
      <c r="K246" s="5" t="s">
        <v>1892</v>
      </c>
      <c r="L246" s="5">
        <v>61</v>
      </c>
      <c r="M246" s="5">
        <v>71</v>
      </c>
      <c r="N246" s="5">
        <v>30</v>
      </c>
      <c r="O246" s="5">
        <v>1</v>
      </c>
      <c r="P246" s="5" t="s">
        <v>1893</v>
      </c>
      <c r="Q246" s="5">
        <v>1</v>
      </c>
      <c r="R246" s="74">
        <v>35831</v>
      </c>
      <c r="S246" s="5" t="s">
        <v>1894</v>
      </c>
      <c r="T246" s="5">
        <v>1</v>
      </c>
      <c r="U246" s="5">
        <v>1</v>
      </c>
      <c r="V246" s="5">
        <v>1</v>
      </c>
      <c r="W246" s="5">
        <v>5</v>
      </c>
      <c r="X246" s="5">
        <v>5</v>
      </c>
      <c r="AA246" s="5">
        <v>0</v>
      </c>
      <c r="AB246" s="5">
        <v>0</v>
      </c>
      <c r="AC246" s="5">
        <v>0</v>
      </c>
      <c r="AD246" s="5">
        <v>0</v>
      </c>
      <c r="AE246" s="5">
        <v>0</v>
      </c>
      <c r="AF246" s="5">
        <v>0</v>
      </c>
      <c r="AG246" s="5">
        <v>0</v>
      </c>
      <c r="AH246" s="5" t="s">
        <v>1895</v>
      </c>
      <c r="AI246" s="5" t="s">
        <v>388</v>
      </c>
      <c r="AJ246" s="5" t="s">
        <v>1896</v>
      </c>
      <c r="AK246" s="5">
        <v>610423110167</v>
      </c>
      <c r="AL246" s="5" t="e">
        <f t="shared" si="3"/>
        <v>#VALUE!</v>
      </c>
    </row>
    <row r="247" spans="1:38" ht="12.5">
      <c r="A247" s="10" t="str">
        <f t="shared" si="0"/>
        <v>Muhammad Habibie</v>
      </c>
      <c r="B247" s="5">
        <f t="shared" si="1"/>
        <v>610422110006</v>
      </c>
      <c r="C247" s="5" t="str">
        <f t="shared" si="2"/>
        <v>Muhammad Habibie</v>
      </c>
      <c r="D247" s="5" t="s">
        <v>363</v>
      </c>
      <c r="E247" s="5" t="e">
        <f t="array" ref="E247">INDEX('Master SLS'!$H$2:$H998,MATCH($AL247,'Master SLS'!$K$2:$K998,0))</f>
        <v>#VALUE!</v>
      </c>
      <c r="F247" s="5" t="e">
        <f t="array" ref="F247">INDEX('Master SLS'!$I$2:$I998,MATCH($AL247,'Master SLS'!$K$2:$K998,0))</f>
        <v>#VALUE!</v>
      </c>
      <c r="G247" s="5" t="s">
        <v>1897</v>
      </c>
      <c r="H247" s="5" t="s">
        <v>1898</v>
      </c>
      <c r="I247" s="5" t="s">
        <v>388</v>
      </c>
      <c r="J247" s="5">
        <v>1</v>
      </c>
      <c r="K247" s="5" t="s">
        <v>1899</v>
      </c>
      <c r="L247" s="5">
        <v>61</v>
      </c>
      <c r="M247" s="5">
        <v>4</v>
      </c>
      <c r="N247" s="5">
        <v>100</v>
      </c>
      <c r="O247" s="5">
        <v>8</v>
      </c>
      <c r="P247" s="5" t="s">
        <v>1900</v>
      </c>
      <c r="Q247" s="5">
        <v>1</v>
      </c>
      <c r="R247" s="74">
        <v>38242</v>
      </c>
      <c r="T247" s="5">
        <v>1</v>
      </c>
      <c r="U247" s="5">
        <v>1</v>
      </c>
      <c r="V247" s="5">
        <v>1</v>
      </c>
      <c r="W247" s="5">
        <v>3</v>
      </c>
      <c r="X247" s="5">
        <v>7</v>
      </c>
      <c r="Y247" s="5" t="s">
        <v>369</v>
      </c>
      <c r="AA247" s="5">
        <v>0</v>
      </c>
      <c r="AB247" s="5">
        <v>0</v>
      </c>
      <c r="AC247" s="5">
        <v>0</v>
      </c>
      <c r="AD247" s="5">
        <v>0</v>
      </c>
      <c r="AE247" s="5">
        <v>0</v>
      </c>
      <c r="AF247" s="5">
        <v>0</v>
      </c>
      <c r="AG247" s="5">
        <v>0</v>
      </c>
      <c r="AI247" s="5" t="s">
        <v>388</v>
      </c>
      <c r="AJ247" s="5" t="s">
        <v>1901</v>
      </c>
      <c r="AK247" s="5">
        <v>610422110006</v>
      </c>
      <c r="AL247" s="5" t="e">
        <f t="shared" si="3"/>
        <v>#VALUE!</v>
      </c>
    </row>
    <row r="248" spans="1:38" ht="12.5">
      <c r="A248" s="10" t="str">
        <f t="shared" si="0"/>
        <v>Muhammad Haditio</v>
      </c>
      <c r="B248" s="5">
        <f t="shared" si="1"/>
        <v>610423110149</v>
      </c>
      <c r="C248" s="5" t="str">
        <f t="shared" si="2"/>
        <v>Muhammad haditio</v>
      </c>
      <c r="D248" s="5" t="s">
        <v>560</v>
      </c>
      <c r="E248" s="5" t="s">
        <v>1902</v>
      </c>
      <c r="F248" s="5" t="s">
        <v>1903</v>
      </c>
      <c r="G248" s="5" t="s">
        <v>1904</v>
      </c>
      <c r="H248" s="5" t="s">
        <v>1905</v>
      </c>
      <c r="I248" s="5" t="s">
        <v>474</v>
      </c>
      <c r="J248" s="5">
        <v>1</v>
      </c>
      <c r="K248" s="5" t="s">
        <v>1906</v>
      </c>
      <c r="L248" s="5">
        <v>61</v>
      </c>
      <c r="M248" s="5">
        <v>71</v>
      </c>
      <c r="N248" s="5">
        <v>11</v>
      </c>
      <c r="O248" s="5">
        <v>4</v>
      </c>
      <c r="P248" s="5" t="s">
        <v>1907</v>
      </c>
      <c r="Q248" s="5">
        <v>1</v>
      </c>
      <c r="R248" s="7">
        <v>34325</v>
      </c>
      <c r="S248" s="5" t="s">
        <v>1908</v>
      </c>
      <c r="T248" s="5">
        <v>1</v>
      </c>
      <c r="U248" s="5">
        <v>1</v>
      </c>
      <c r="V248" s="5">
        <v>1</v>
      </c>
      <c r="W248" s="5">
        <v>3</v>
      </c>
      <c r="X248" s="5">
        <v>5</v>
      </c>
      <c r="AA248" s="5">
        <v>0</v>
      </c>
      <c r="AB248" s="5">
        <v>0</v>
      </c>
      <c r="AC248" s="5">
        <v>0</v>
      </c>
      <c r="AD248" s="5">
        <v>0</v>
      </c>
      <c r="AE248" s="5">
        <v>0</v>
      </c>
      <c r="AF248" s="5">
        <v>0</v>
      </c>
      <c r="AG248" s="5">
        <v>0</v>
      </c>
      <c r="AI248" s="5" t="s">
        <v>474</v>
      </c>
      <c r="AJ248" s="5" t="s">
        <v>1909</v>
      </c>
      <c r="AK248" s="5">
        <v>610423110149</v>
      </c>
      <c r="AL248" s="5" t="e">
        <f t="shared" si="3"/>
        <v>#VALUE!</v>
      </c>
    </row>
    <row r="249" spans="1:38" ht="12.5">
      <c r="A249" s="10" t="str">
        <f t="shared" si="0"/>
        <v>Muhammad Hori</v>
      </c>
      <c r="B249" s="5">
        <f t="shared" si="1"/>
        <v>610422100192</v>
      </c>
      <c r="C249" s="5" t="str">
        <f t="shared" si="2"/>
        <v>Muhammad Hori</v>
      </c>
      <c r="D249" s="5" t="s">
        <v>363</v>
      </c>
      <c r="E249" s="5" t="e">
        <f t="array" ref="E249">INDEX('Master SLS'!$H$2:$H998,MATCH($AL249,'Master SLS'!$K$2:$K998,0))</f>
        <v>#VALUE!</v>
      </c>
      <c r="F249" s="5" t="e">
        <f t="array" ref="F249">INDEX('Master SLS'!$I$2:$I998,MATCH($AL249,'Master SLS'!$K$2:$K998,0))</f>
        <v>#VALUE!</v>
      </c>
      <c r="G249" s="5" t="s">
        <v>1910</v>
      </c>
      <c r="H249" s="5" t="s">
        <v>1911</v>
      </c>
      <c r="I249" s="5" t="s">
        <v>388</v>
      </c>
      <c r="J249" s="5">
        <v>1</v>
      </c>
      <c r="K249" s="5" t="s">
        <v>1912</v>
      </c>
      <c r="L249" s="5">
        <v>61</v>
      </c>
      <c r="M249" s="5">
        <v>4</v>
      </c>
      <c r="N249" s="5">
        <v>81</v>
      </c>
      <c r="O249" s="5">
        <v>3</v>
      </c>
      <c r="P249" s="5" t="s">
        <v>1913</v>
      </c>
      <c r="Q249" s="5">
        <v>1</v>
      </c>
      <c r="R249" s="74">
        <v>36192</v>
      </c>
      <c r="T249" s="5">
        <v>1</v>
      </c>
      <c r="U249" s="5">
        <v>1</v>
      </c>
      <c r="V249" s="5">
        <v>1</v>
      </c>
      <c r="W249" s="5">
        <v>5</v>
      </c>
      <c r="X249" s="5">
        <v>6</v>
      </c>
      <c r="AA249" s="5">
        <v>1</v>
      </c>
      <c r="AB249" s="5">
        <v>0</v>
      </c>
      <c r="AC249" s="5">
        <v>0</v>
      </c>
      <c r="AD249" s="5">
        <v>1</v>
      </c>
      <c r="AE249" s="5">
        <v>0</v>
      </c>
      <c r="AF249" s="5">
        <v>0</v>
      </c>
      <c r="AG249" s="5">
        <v>0</v>
      </c>
      <c r="AH249" s="5" t="s">
        <v>1914</v>
      </c>
      <c r="AI249" s="5" t="s">
        <v>388</v>
      </c>
      <c r="AJ249" s="5" t="s">
        <v>1915</v>
      </c>
      <c r="AK249" s="5">
        <v>610422100192</v>
      </c>
      <c r="AL249" s="5" t="e">
        <f t="shared" si="3"/>
        <v>#VALUE!</v>
      </c>
    </row>
    <row r="250" spans="1:38" ht="12.5">
      <c r="A250" s="10" t="str">
        <f t="shared" si="0"/>
        <v>Muhammad Ihsanul Arif</v>
      </c>
      <c r="B250" s="5">
        <f t="shared" si="1"/>
        <v>610423110058</v>
      </c>
      <c r="C250" s="5" t="str">
        <f t="shared" si="2"/>
        <v>Muhammad Ihsanul arif</v>
      </c>
      <c r="D250" s="5" t="s">
        <v>363</v>
      </c>
      <c r="E250" s="5" t="e">
        <f t="array" ref="E250">INDEX('Master SLS'!$H$2:$H998,MATCH($AL250,'Master SLS'!$K$2:$K998,0))</f>
        <v>#VALUE!</v>
      </c>
      <c r="F250" s="5" t="e">
        <f t="array" ref="F250">INDEX('Master SLS'!$I$2:$I998,MATCH($AL250,'Master SLS'!$K$2:$K998,0))</f>
        <v>#VALUE!</v>
      </c>
      <c r="G250" s="5" t="s">
        <v>1916</v>
      </c>
      <c r="H250" s="5" t="s">
        <v>1917</v>
      </c>
      <c r="I250" s="5" t="s">
        <v>366</v>
      </c>
      <c r="J250" s="5">
        <v>1</v>
      </c>
      <c r="K250" s="5" t="s">
        <v>1918</v>
      </c>
      <c r="L250" s="5">
        <v>61</v>
      </c>
      <c r="M250" s="5">
        <v>4</v>
      </c>
      <c r="N250" s="5">
        <v>80</v>
      </c>
      <c r="O250" s="5">
        <v>1</v>
      </c>
      <c r="P250" s="5" t="s">
        <v>1919</v>
      </c>
      <c r="Q250" s="5">
        <v>1</v>
      </c>
      <c r="R250" s="7">
        <v>37185</v>
      </c>
      <c r="T250" s="5">
        <v>1</v>
      </c>
      <c r="U250" s="5">
        <v>1</v>
      </c>
      <c r="V250" s="5">
        <v>1</v>
      </c>
      <c r="W250" s="5">
        <v>3</v>
      </c>
      <c r="X250" s="5">
        <v>6</v>
      </c>
      <c r="AA250" s="5">
        <v>0</v>
      </c>
      <c r="AB250" s="5">
        <v>0</v>
      </c>
      <c r="AC250" s="5">
        <v>0</v>
      </c>
      <c r="AD250" s="5">
        <v>0</v>
      </c>
      <c r="AE250" s="5">
        <v>0</v>
      </c>
      <c r="AF250" s="5">
        <v>0</v>
      </c>
      <c r="AG250" s="5">
        <v>0</v>
      </c>
      <c r="AI250" s="5" t="s">
        <v>366</v>
      </c>
      <c r="AJ250" s="5" t="s">
        <v>1920</v>
      </c>
      <c r="AK250" s="5">
        <v>610423110058</v>
      </c>
      <c r="AL250" s="5" t="e">
        <f t="shared" si="3"/>
        <v>#VALUE!</v>
      </c>
    </row>
    <row r="251" spans="1:38" ht="12.5">
      <c r="A251" s="10" t="str">
        <f t="shared" si="0"/>
        <v>Muhammad Luthfi</v>
      </c>
      <c r="B251" s="5">
        <f t="shared" si="1"/>
        <v>610423110080</v>
      </c>
      <c r="C251" s="5" t="str">
        <f t="shared" si="2"/>
        <v>Muhammad Luthfi</v>
      </c>
      <c r="D251" s="5" t="s">
        <v>560</v>
      </c>
      <c r="E251" s="5" t="s">
        <v>1921</v>
      </c>
      <c r="F251" s="5" t="s">
        <v>1922</v>
      </c>
      <c r="G251" s="5" t="s">
        <v>1923</v>
      </c>
      <c r="H251" s="5" t="s">
        <v>1924</v>
      </c>
      <c r="I251" s="5" t="s">
        <v>388</v>
      </c>
      <c r="J251" s="5">
        <v>1</v>
      </c>
      <c r="K251" s="5" t="s">
        <v>1925</v>
      </c>
      <c r="L251" s="5">
        <v>61</v>
      </c>
      <c r="M251" s="5">
        <v>71</v>
      </c>
      <c r="N251" s="5">
        <v>31</v>
      </c>
      <c r="O251" s="5">
        <v>5</v>
      </c>
      <c r="P251" s="5" t="s">
        <v>1926</v>
      </c>
      <c r="Q251" s="5">
        <v>1</v>
      </c>
      <c r="R251" s="74">
        <v>36679</v>
      </c>
      <c r="T251" s="5">
        <v>1</v>
      </c>
      <c r="U251" s="5">
        <v>1</v>
      </c>
      <c r="V251" s="5">
        <v>1</v>
      </c>
      <c r="W251" s="5">
        <v>5</v>
      </c>
      <c r="X251" s="5">
        <v>7</v>
      </c>
      <c r="Y251" s="5" t="s">
        <v>567</v>
      </c>
      <c r="AA251" s="5">
        <v>0</v>
      </c>
      <c r="AB251" s="5">
        <v>0</v>
      </c>
      <c r="AC251" s="5">
        <v>0</v>
      </c>
      <c r="AD251" s="5">
        <v>0</v>
      </c>
      <c r="AE251" s="5">
        <v>0</v>
      </c>
      <c r="AF251" s="5">
        <v>0</v>
      </c>
      <c r="AG251" s="5">
        <v>0</v>
      </c>
      <c r="AI251" s="5" t="s">
        <v>388</v>
      </c>
      <c r="AJ251" s="5" t="s">
        <v>1927</v>
      </c>
      <c r="AK251" s="5">
        <v>610423110080</v>
      </c>
      <c r="AL251" s="5" t="e">
        <f t="shared" si="3"/>
        <v>#VALUE!</v>
      </c>
    </row>
    <row r="252" spans="1:38" ht="12.5">
      <c r="A252" s="10" t="str">
        <f t="shared" si="0"/>
        <v>Muhammad Ramadan</v>
      </c>
      <c r="B252" s="5">
        <f t="shared" si="1"/>
        <v>610423110175</v>
      </c>
      <c r="C252" s="5" t="str">
        <f t="shared" si="2"/>
        <v>Muhammad Ramadan</v>
      </c>
      <c r="D252" s="5" t="s">
        <v>363</v>
      </c>
      <c r="E252" s="5" t="e">
        <f t="array" ref="E252">INDEX('Master SLS'!$H$2:$H998,MATCH($AL252,'Master SLS'!$K$2:$K998,0))</f>
        <v>#VALUE!</v>
      </c>
      <c r="F252" s="5" t="e">
        <f t="array" ref="F252">INDEX('Master SLS'!$I$2:$I998,MATCH($AL252,'Master SLS'!$K$2:$K998,0))</f>
        <v>#VALUE!</v>
      </c>
      <c r="G252" s="5" t="s">
        <v>1928</v>
      </c>
      <c r="H252" s="5" t="s">
        <v>1929</v>
      </c>
      <c r="I252" s="5" t="s">
        <v>388</v>
      </c>
      <c r="J252" s="5">
        <v>1</v>
      </c>
      <c r="K252" s="5" t="s">
        <v>1930</v>
      </c>
      <c r="L252" s="5">
        <v>61</v>
      </c>
      <c r="M252" s="5">
        <v>4</v>
      </c>
      <c r="N252" s="5">
        <v>81</v>
      </c>
      <c r="O252" s="5">
        <v>2</v>
      </c>
      <c r="P252" s="5" t="s">
        <v>1931</v>
      </c>
      <c r="Q252" s="5">
        <v>1</v>
      </c>
      <c r="R252" s="74">
        <v>34051</v>
      </c>
      <c r="S252" s="5" t="s">
        <v>1932</v>
      </c>
      <c r="T252" s="5">
        <v>1</v>
      </c>
      <c r="U252" s="5">
        <v>1</v>
      </c>
      <c r="V252" s="5">
        <v>2</v>
      </c>
      <c r="W252" s="5">
        <v>5</v>
      </c>
      <c r="X252" s="5">
        <v>5</v>
      </c>
      <c r="AA252" s="5">
        <v>0</v>
      </c>
      <c r="AB252" s="5">
        <v>0</v>
      </c>
      <c r="AC252" s="5">
        <v>0</v>
      </c>
      <c r="AD252" s="5">
        <v>0</v>
      </c>
      <c r="AE252" s="5">
        <v>0</v>
      </c>
      <c r="AF252" s="5">
        <v>0</v>
      </c>
      <c r="AG252" s="5">
        <v>0</v>
      </c>
      <c r="AH252" s="5" t="s">
        <v>1933</v>
      </c>
      <c r="AI252" s="5" t="s">
        <v>388</v>
      </c>
      <c r="AJ252" s="5" t="s">
        <v>1934</v>
      </c>
      <c r="AK252" s="5">
        <v>610423110175</v>
      </c>
      <c r="AL252" s="5" t="e">
        <f t="shared" si="3"/>
        <v>#VALUE!</v>
      </c>
    </row>
    <row r="253" spans="1:38" ht="12.5">
      <c r="A253" s="10" t="str">
        <f t="shared" si="0"/>
        <v>Muhammad Rendi Fakhrian</v>
      </c>
      <c r="B253" s="5">
        <f t="shared" si="1"/>
        <v>610422100010</v>
      </c>
      <c r="C253" s="5" t="str">
        <f t="shared" si="2"/>
        <v>Muhammad Rendi Fakhrian</v>
      </c>
      <c r="D253" s="5" t="s">
        <v>363</v>
      </c>
      <c r="E253" s="5" t="e">
        <f t="array" ref="E253">INDEX('Master SLS'!$H$2:$H998,MATCH($AL253,'Master SLS'!$K$2:$K998,0))</f>
        <v>#VALUE!</v>
      </c>
      <c r="F253" s="5" t="e">
        <f t="array" ref="F253">INDEX('Master SLS'!$I$2:$I998,MATCH($AL253,'Master SLS'!$K$2:$K998,0))</f>
        <v>#VALUE!</v>
      </c>
      <c r="G253" s="5" t="s">
        <v>1935</v>
      </c>
      <c r="H253" s="5" t="s">
        <v>1936</v>
      </c>
      <c r="I253" s="5" t="s">
        <v>388</v>
      </c>
      <c r="J253" s="5">
        <v>1</v>
      </c>
      <c r="K253" s="5" t="s">
        <v>1937</v>
      </c>
      <c r="L253" s="5">
        <v>61</v>
      </c>
      <c r="M253" s="5">
        <v>4</v>
      </c>
      <c r="N253" s="5">
        <v>100</v>
      </c>
      <c r="O253" s="5">
        <v>7</v>
      </c>
      <c r="P253" s="5" t="s">
        <v>1938</v>
      </c>
      <c r="Q253" s="5">
        <v>1</v>
      </c>
      <c r="R253" s="7">
        <v>36455</v>
      </c>
      <c r="T253" s="5">
        <v>1</v>
      </c>
      <c r="U253" s="5">
        <v>1</v>
      </c>
      <c r="V253" s="5">
        <v>1</v>
      </c>
      <c r="W253" s="5">
        <v>5</v>
      </c>
      <c r="X253" s="5">
        <v>7</v>
      </c>
      <c r="Y253" s="5" t="s">
        <v>553</v>
      </c>
      <c r="AA253" s="5">
        <v>0</v>
      </c>
      <c r="AB253" s="5">
        <v>0</v>
      </c>
      <c r="AC253" s="5">
        <v>0</v>
      </c>
      <c r="AD253" s="5">
        <v>0</v>
      </c>
      <c r="AE253" s="5">
        <v>0</v>
      </c>
      <c r="AF253" s="5">
        <v>0</v>
      </c>
      <c r="AG253" s="5">
        <v>0</v>
      </c>
      <c r="AH253" s="5" t="s">
        <v>1939</v>
      </c>
      <c r="AI253" s="5" t="s">
        <v>388</v>
      </c>
      <c r="AJ253" s="5" t="s">
        <v>1940</v>
      </c>
      <c r="AK253" s="5">
        <v>610422100010</v>
      </c>
      <c r="AL253" s="5" t="e">
        <f t="shared" si="3"/>
        <v>#VALUE!</v>
      </c>
    </row>
    <row r="254" spans="1:38" ht="12.5">
      <c r="A254" s="10" t="str">
        <f t="shared" si="0"/>
        <v>Muhammad Rizki Pratomo</v>
      </c>
      <c r="B254" s="5">
        <f t="shared" si="1"/>
        <v>610422100032</v>
      </c>
      <c r="C254" s="5" t="str">
        <f t="shared" si="2"/>
        <v>Muhammad Rizki Pratomo</v>
      </c>
      <c r="D254" s="5" t="s">
        <v>363</v>
      </c>
      <c r="E254" s="5" t="e">
        <f t="array" ref="E254">INDEX('Master SLS'!$H$2:$H998,MATCH($AL254,'Master SLS'!$K$2:$K998,0))</f>
        <v>#VALUE!</v>
      </c>
      <c r="F254" s="5" t="e">
        <f t="array" ref="F254">INDEX('Master SLS'!$I$2:$I998,MATCH($AL254,'Master SLS'!$K$2:$K998,0))</f>
        <v>#VALUE!</v>
      </c>
      <c r="G254" s="5" t="s">
        <v>1941</v>
      </c>
      <c r="H254" s="5" t="s">
        <v>1942</v>
      </c>
      <c r="I254" s="5" t="s">
        <v>388</v>
      </c>
      <c r="J254" s="5">
        <v>1</v>
      </c>
      <c r="K254" s="5" t="s">
        <v>1943</v>
      </c>
      <c r="L254" s="5">
        <v>61</v>
      </c>
      <c r="M254" s="5">
        <v>4</v>
      </c>
      <c r="N254" s="5">
        <v>100</v>
      </c>
      <c r="O254" s="5">
        <v>8</v>
      </c>
      <c r="P254" s="5" t="s">
        <v>1944</v>
      </c>
      <c r="Q254" s="5">
        <v>1</v>
      </c>
      <c r="R254" s="7">
        <v>35721</v>
      </c>
      <c r="S254" s="5" t="s">
        <v>1945</v>
      </c>
      <c r="T254" s="5">
        <v>1</v>
      </c>
      <c r="U254" s="5">
        <v>1</v>
      </c>
      <c r="V254" s="5">
        <v>1</v>
      </c>
      <c r="W254" s="5">
        <v>5</v>
      </c>
      <c r="X254" s="5">
        <v>7</v>
      </c>
      <c r="Y254" s="5" t="s">
        <v>1946</v>
      </c>
      <c r="AA254" s="5">
        <v>1</v>
      </c>
      <c r="AB254" s="5">
        <v>0</v>
      </c>
      <c r="AC254" s="5">
        <v>1</v>
      </c>
      <c r="AD254" s="5">
        <v>0</v>
      </c>
      <c r="AE254" s="5">
        <v>1</v>
      </c>
      <c r="AF254" s="5">
        <v>0</v>
      </c>
      <c r="AG254" s="5">
        <v>0</v>
      </c>
      <c r="AI254" s="5" t="s">
        <v>388</v>
      </c>
      <c r="AJ254" s="5" t="s">
        <v>1947</v>
      </c>
      <c r="AK254" s="5">
        <v>610422100032</v>
      </c>
      <c r="AL254" s="5" t="e">
        <f t="shared" si="3"/>
        <v>#VALUE!</v>
      </c>
    </row>
    <row r="255" spans="1:38" ht="12.5">
      <c r="A255" s="10" t="str">
        <f t="shared" si="0"/>
        <v>Muhammad Septiadi</v>
      </c>
      <c r="B255" s="5">
        <f t="shared" si="1"/>
        <v>610423110051</v>
      </c>
      <c r="C255" s="5" t="str">
        <f t="shared" si="2"/>
        <v>Muhammad septiadi</v>
      </c>
      <c r="D255" s="5" t="s">
        <v>363</v>
      </c>
      <c r="E255" s="5" t="e">
        <f t="array" ref="E255">INDEX('Master SLS'!$H$2:$H998,MATCH($AL255,'Master SLS'!$K$2:$K998,0))</f>
        <v>#VALUE!</v>
      </c>
      <c r="F255" s="5" t="e">
        <f t="array" ref="F255">INDEX('Master SLS'!$I$2:$I998,MATCH($AL255,'Master SLS'!$K$2:$K998,0))</f>
        <v>#VALUE!</v>
      </c>
      <c r="G255" s="5" t="s">
        <v>1948</v>
      </c>
      <c r="H255" s="5" t="s">
        <v>1949</v>
      </c>
      <c r="I255" s="5" t="s">
        <v>474</v>
      </c>
      <c r="J255" s="5">
        <v>1</v>
      </c>
      <c r="K255" s="5" t="s">
        <v>1950</v>
      </c>
      <c r="L255" s="5">
        <v>61</v>
      </c>
      <c r="M255" s="5">
        <v>4</v>
      </c>
      <c r="N255" s="5">
        <v>90</v>
      </c>
      <c r="O255" s="5">
        <v>9</v>
      </c>
      <c r="P255" s="5" t="s">
        <v>1951</v>
      </c>
      <c r="Q255" s="5">
        <v>1</v>
      </c>
      <c r="R255" s="74">
        <v>38962</v>
      </c>
      <c r="T255" s="5">
        <v>1</v>
      </c>
      <c r="U255" s="5">
        <v>1</v>
      </c>
      <c r="V255" s="5">
        <v>1</v>
      </c>
      <c r="W255" s="5">
        <v>3</v>
      </c>
      <c r="X255" s="5">
        <v>6</v>
      </c>
      <c r="AA255" s="5">
        <v>1</v>
      </c>
      <c r="AB255" s="5">
        <v>0</v>
      </c>
      <c r="AC255" s="5">
        <v>1</v>
      </c>
      <c r="AD255" s="5">
        <v>0</v>
      </c>
      <c r="AE255" s="5">
        <v>0</v>
      </c>
      <c r="AF255" s="5">
        <v>1</v>
      </c>
      <c r="AG255" s="5">
        <v>0</v>
      </c>
      <c r="AH255" s="5" t="s">
        <v>1952</v>
      </c>
      <c r="AI255" s="5" t="s">
        <v>474</v>
      </c>
      <c r="AJ255" s="5" t="s">
        <v>1953</v>
      </c>
      <c r="AK255" s="5">
        <v>610423110051</v>
      </c>
      <c r="AL255" s="5" t="e">
        <f t="shared" si="3"/>
        <v>#VALUE!</v>
      </c>
    </row>
    <row r="256" spans="1:38" ht="12.5">
      <c r="A256" s="10" t="str">
        <f t="shared" si="0"/>
        <v>Muhammad Siera Reza</v>
      </c>
      <c r="B256" s="5">
        <f t="shared" si="1"/>
        <v>610423110134</v>
      </c>
      <c r="C256" s="5" t="str">
        <f t="shared" si="2"/>
        <v>Muhammad Siera Reza</v>
      </c>
      <c r="D256" s="5" t="s">
        <v>363</v>
      </c>
      <c r="E256" s="5" t="e">
        <f t="array" ref="E256">INDEX('Master SLS'!$H$2:$H998,MATCH($AL256,'Master SLS'!$K$2:$K998,0))</f>
        <v>#VALUE!</v>
      </c>
      <c r="F256" s="5" t="e">
        <f t="array" ref="F256">INDEX('Master SLS'!$I$2:$I998,MATCH($AL256,'Master SLS'!$K$2:$K998,0))</f>
        <v>#VALUE!</v>
      </c>
      <c r="G256" s="5" t="s">
        <v>1954</v>
      </c>
      <c r="H256" s="5" t="s">
        <v>1955</v>
      </c>
      <c r="I256" s="5" t="s">
        <v>474</v>
      </c>
      <c r="J256" s="5">
        <v>1</v>
      </c>
      <c r="K256" s="5" t="s">
        <v>1956</v>
      </c>
      <c r="L256" s="5">
        <v>61</v>
      </c>
      <c r="M256" s="5">
        <v>4</v>
      </c>
      <c r="N256" s="5">
        <v>100</v>
      </c>
      <c r="O256" s="5">
        <v>7</v>
      </c>
      <c r="P256" s="5" t="s">
        <v>1957</v>
      </c>
      <c r="Q256" s="5">
        <v>1</v>
      </c>
      <c r="R256" s="74">
        <v>38241</v>
      </c>
      <c r="T256" s="5">
        <v>1</v>
      </c>
      <c r="U256" s="5">
        <v>1</v>
      </c>
      <c r="V256" s="5">
        <v>1</v>
      </c>
      <c r="W256" s="5">
        <v>3</v>
      </c>
      <c r="X256" s="5">
        <v>6</v>
      </c>
      <c r="AA256" s="5">
        <v>0</v>
      </c>
      <c r="AB256" s="5">
        <v>0</v>
      </c>
      <c r="AC256" s="5">
        <v>0</v>
      </c>
      <c r="AD256" s="5">
        <v>0</v>
      </c>
      <c r="AE256" s="5">
        <v>0</v>
      </c>
      <c r="AF256" s="5">
        <v>0</v>
      </c>
      <c r="AG256" s="5">
        <v>0</v>
      </c>
      <c r="AH256" s="5" t="s">
        <v>369</v>
      </c>
      <c r="AI256" s="5" t="s">
        <v>474</v>
      </c>
      <c r="AJ256" s="5" t="s">
        <v>1958</v>
      </c>
      <c r="AK256" s="5">
        <v>610423110134</v>
      </c>
      <c r="AL256" s="5" t="e">
        <f t="shared" si="3"/>
        <v>#VALUE!</v>
      </c>
    </row>
    <row r="257" spans="1:38" ht="12.5">
      <c r="A257" s="10" t="str">
        <f t="shared" si="0"/>
        <v>Muhammad Soleh</v>
      </c>
      <c r="B257" s="5">
        <f t="shared" si="1"/>
        <v>610422100024</v>
      </c>
      <c r="C257" s="5" t="str">
        <f t="shared" si="2"/>
        <v>Muhammad Soleh</v>
      </c>
      <c r="D257" s="5" t="s">
        <v>363</v>
      </c>
      <c r="E257" s="5" t="e">
        <f t="array" ref="E257">INDEX('Master SLS'!$H$2:$H998,MATCH($AL257,'Master SLS'!$K$2:$K998,0))</f>
        <v>#VALUE!</v>
      </c>
      <c r="F257" s="5" t="e">
        <f t="array" ref="F257">INDEX('Master SLS'!$I$2:$I998,MATCH($AL257,'Master SLS'!$K$2:$K998,0))</f>
        <v>#VALUE!</v>
      </c>
      <c r="G257" s="76">
        <v>6102080000000000</v>
      </c>
      <c r="H257" s="5" t="s">
        <v>1959</v>
      </c>
      <c r="I257" s="5" t="s">
        <v>366</v>
      </c>
      <c r="J257" s="5">
        <v>1</v>
      </c>
      <c r="K257" s="5" t="s">
        <v>1960</v>
      </c>
      <c r="L257" s="5">
        <v>61</v>
      </c>
      <c r="M257" s="5">
        <v>4</v>
      </c>
      <c r="N257" s="5">
        <v>80</v>
      </c>
      <c r="O257" s="5">
        <v>4</v>
      </c>
      <c r="P257" s="5" t="s">
        <v>1961</v>
      </c>
      <c r="Q257" s="5">
        <v>1</v>
      </c>
      <c r="R257" s="74">
        <v>35836</v>
      </c>
      <c r="T257" s="5">
        <v>1</v>
      </c>
      <c r="U257" s="5">
        <v>1</v>
      </c>
      <c r="V257" s="5">
        <v>1</v>
      </c>
      <c r="W257" s="5">
        <v>5</v>
      </c>
      <c r="X257" s="5">
        <v>6</v>
      </c>
      <c r="AA257" s="5">
        <v>1</v>
      </c>
      <c r="AB257" s="5">
        <v>1</v>
      </c>
      <c r="AC257" s="5">
        <v>0</v>
      </c>
      <c r="AD257" s="5">
        <v>0</v>
      </c>
      <c r="AE257" s="5">
        <v>0</v>
      </c>
      <c r="AF257" s="5">
        <v>0</v>
      </c>
      <c r="AG257" s="5">
        <v>0</v>
      </c>
      <c r="AH257" s="5" t="s">
        <v>1962</v>
      </c>
      <c r="AI257" s="5" t="s">
        <v>366</v>
      </c>
      <c r="AJ257" s="5" t="s">
        <v>1963</v>
      </c>
      <c r="AK257" s="5">
        <v>610422100024</v>
      </c>
      <c r="AL257" s="5" t="e">
        <f t="shared" si="3"/>
        <v>#VALUE!</v>
      </c>
    </row>
    <row r="258" spans="1:38" ht="12.5">
      <c r="A258" s="10" t="str">
        <f t="shared" si="0"/>
        <v>Muhammad Tajuddin,A.Ma.Pd</v>
      </c>
      <c r="B258" s="5">
        <f t="shared" si="1"/>
        <v>610423110180</v>
      </c>
      <c r="C258" s="5" t="str">
        <f t="shared" si="2"/>
        <v>Muhammad Tajuddin,A.Ma.PD</v>
      </c>
      <c r="D258" s="5" t="s">
        <v>363</v>
      </c>
      <c r="E258" s="5" t="e">
        <f t="array" ref="E258">INDEX('Master SLS'!$H$2:$H998,MATCH($AL258,'Master SLS'!$K$2:$K998,0))</f>
        <v>#VALUE!</v>
      </c>
      <c r="F258" s="5" t="e">
        <f t="array" ref="F258">INDEX('Master SLS'!$I$2:$I998,MATCH($AL258,'Master SLS'!$K$2:$K998,0))</f>
        <v>#VALUE!</v>
      </c>
      <c r="G258" s="5" t="s">
        <v>1964</v>
      </c>
      <c r="H258" s="5" t="s">
        <v>1965</v>
      </c>
      <c r="I258" s="5" t="s">
        <v>366</v>
      </c>
      <c r="J258" s="5">
        <v>1</v>
      </c>
      <c r="K258" s="5" t="s">
        <v>1966</v>
      </c>
      <c r="L258" s="5">
        <v>61</v>
      </c>
      <c r="M258" s="5">
        <v>4</v>
      </c>
      <c r="N258" s="5">
        <v>101</v>
      </c>
      <c r="O258" s="5">
        <v>4</v>
      </c>
      <c r="P258" s="5" t="s">
        <v>1967</v>
      </c>
      <c r="Q258" s="5">
        <v>1</v>
      </c>
      <c r="R258" s="74">
        <v>31101</v>
      </c>
      <c r="S258" s="5" t="s">
        <v>1968</v>
      </c>
      <c r="T258" s="5">
        <v>1</v>
      </c>
      <c r="U258" s="5">
        <v>1</v>
      </c>
      <c r="V258" s="5">
        <v>2</v>
      </c>
      <c r="W258" s="5">
        <v>4</v>
      </c>
      <c r="X258" s="5">
        <v>7</v>
      </c>
      <c r="Y258" s="5" t="s">
        <v>1969</v>
      </c>
      <c r="AA258" s="5">
        <v>0</v>
      </c>
      <c r="AB258" s="5">
        <v>0</v>
      </c>
      <c r="AC258" s="5">
        <v>0</v>
      </c>
      <c r="AD258" s="5">
        <v>0</v>
      </c>
      <c r="AE258" s="5">
        <v>0</v>
      </c>
      <c r="AF258" s="5">
        <v>0</v>
      </c>
      <c r="AG258" s="5">
        <v>0</v>
      </c>
      <c r="AH258" s="5" t="s">
        <v>1970</v>
      </c>
      <c r="AI258" s="5" t="s">
        <v>366</v>
      </c>
      <c r="AJ258" s="5" t="s">
        <v>1971</v>
      </c>
      <c r="AK258" s="5">
        <v>610423110180</v>
      </c>
      <c r="AL258" s="5" t="e">
        <f t="shared" si="3"/>
        <v>#VALUE!</v>
      </c>
    </row>
    <row r="259" spans="1:38" ht="12.5">
      <c r="A259" s="10" t="str">
        <f t="shared" si="0"/>
        <v>Muhammad Yani</v>
      </c>
      <c r="B259" s="5">
        <f t="shared" si="1"/>
        <v>610423090004</v>
      </c>
      <c r="C259" s="5" t="str">
        <f t="shared" si="2"/>
        <v>Muhammad yani</v>
      </c>
      <c r="D259" s="5" t="s">
        <v>560</v>
      </c>
      <c r="E259" s="5" t="s">
        <v>561</v>
      </c>
      <c r="F259" s="5" t="s">
        <v>562</v>
      </c>
      <c r="G259" s="5" t="s">
        <v>1972</v>
      </c>
      <c r="H259" s="5" t="s">
        <v>1973</v>
      </c>
      <c r="I259" s="5" t="s">
        <v>388</v>
      </c>
      <c r="J259" s="5">
        <v>1</v>
      </c>
      <c r="K259" s="5" t="s">
        <v>1974</v>
      </c>
      <c r="L259" s="5">
        <v>61</v>
      </c>
      <c r="M259" s="5">
        <v>71</v>
      </c>
      <c r="N259" s="5">
        <v>40</v>
      </c>
      <c r="O259" s="5">
        <v>1</v>
      </c>
      <c r="P259" s="5" t="s">
        <v>1975</v>
      </c>
      <c r="Q259" s="5">
        <v>1</v>
      </c>
      <c r="R259" s="74">
        <v>29026</v>
      </c>
      <c r="T259" s="5">
        <v>1</v>
      </c>
      <c r="U259" s="5">
        <v>1</v>
      </c>
      <c r="V259" s="5">
        <v>2</v>
      </c>
      <c r="W259" s="5">
        <v>3</v>
      </c>
      <c r="X259" s="5">
        <v>5</v>
      </c>
      <c r="AA259" s="5">
        <v>0</v>
      </c>
      <c r="AB259" s="5">
        <v>0</v>
      </c>
      <c r="AC259" s="5">
        <v>0</v>
      </c>
      <c r="AD259" s="5">
        <v>0</v>
      </c>
      <c r="AE259" s="5">
        <v>0</v>
      </c>
      <c r="AF259" s="5">
        <v>0</v>
      </c>
      <c r="AG259" s="5">
        <v>0</v>
      </c>
      <c r="AH259" s="5" t="s">
        <v>1976</v>
      </c>
      <c r="AI259" s="5" t="s">
        <v>388</v>
      </c>
      <c r="AJ259" s="5" t="s">
        <v>1977</v>
      </c>
      <c r="AK259" s="5">
        <v>610423090004</v>
      </c>
      <c r="AL259" s="5" t="e">
        <f t="shared" si="3"/>
        <v>#VALUE!</v>
      </c>
    </row>
    <row r="260" spans="1:38" ht="12.5">
      <c r="A260" s="10" t="str">
        <f t="shared" si="0"/>
        <v>Muhammad Zainal Arifin</v>
      </c>
      <c r="B260" s="5">
        <f t="shared" si="1"/>
        <v>610422100077</v>
      </c>
      <c r="C260" s="5" t="str">
        <f t="shared" si="2"/>
        <v>Muhammad zainal arifin</v>
      </c>
      <c r="D260" s="5" t="s">
        <v>363</v>
      </c>
      <c r="E260" s="5" t="e">
        <f t="array" ref="E260">INDEX('Master SLS'!$H$2:$H998,MATCH($AL260,'Master SLS'!$K$2:$K998,0))</f>
        <v>#VALUE!</v>
      </c>
      <c r="F260" s="5" t="e">
        <f t="array" ref="F260">INDEX('Master SLS'!$I$2:$I998,MATCH($AL260,'Master SLS'!$K$2:$K998,0))</f>
        <v>#VALUE!</v>
      </c>
      <c r="G260" s="5" t="s">
        <v>1978</v>
      </c>
      <c r="H260" s="5" t="s">
        <v>1979</v>
      </c>
      <c r="I260" s="5" t="s">
        <v>388</v>
      </c>
      <c r="J260" s="5">
        <v>1</v>
      </c>
      <c r="K260" s="5" t="s">
        <v>1980</v>
      </c>
      <c r="L260" s="5">
        <v>61</v>
      </c>
      <c r="M260" s="5">
        <v>4</v>
      </c>
      <c r="N260" s="5">
        <v>90</v>
      </c>
      <c r="O260" s="5">
        <v>3</v>
      </c>
      <c r="P260" s="5" t="s">
        <v>1981</v>
      </c>
      <c r="Q260" s="5">
        <v>1</v>
      </c>
      <c r="R260" s="74">
        <v>36320</v>
      </c>
      <c r="T260" s="5">
        <v>1</v>
      </c>
      <c r="U260" s="5">
        <v>1</v>
      </c>
      <c r="V260" s="5">
        <v>1</v>
      </c>
      <c r="W260" s="5">
        <v>5</v>
      </c>
      <c r="X260" s="5">
        <v>6</v>
      </c>
      <c r="AA260" s="5">
        <v>1</v>
      </c>
      <c r="AB260" s="5">
        <v>0</v>
      </c>
      <c r="AC260" s="5">
        <v>0</v>
      </c>
      <c r="AD260" s="5">
        <v>1</v>
      </c>
      <c r="AE260" s="5">
        <v>0</v>
      </c>
      <c r="AF260" s="5">
        <v>0</v>
      </c>
      <c r="AG260" s="5">
        <v>0</v>
      </c>
      <c r="AH260" s="5" t="s">
        <v>1982</v>
      </c>
      <c r="AI260" s="5" t="s">
        <v>388</v>
      </c>
      <c r="AJ260" s="5" t="s">
        <v>1983</v>
      </c>
      <c r="AK260" s="5">
        <v>610422100077</v>
      </c>
      <c r="AL260" s="5" t="e">
        <f t="shared" si="3"/>
        <v>#VALUE!</v>
      </c>
    </row>
    <row r="261" spans="1:38" ht="12.5">
      <c r="A261" s="10" t="str">
        <f t="shared" si="0"/>
        <v>Muhaneb Febriansyah</v>
      </c>
      <c r="B261" s="5">
        <f t="shared" si="1"/>
        <v>610423110015</v>
      </c>
      <c r="C261" s="5" t="str">
        <f t="shared" si="2"/>
        <v>Muhaneb Febriansyah</v>
      </c>
      <c r="D261" s="5" t="s">
        <v>363</v>
      </c>
      <c r="E261" s="5" t="e">
        <f t="array" ref="E261">INDEX('Master SLS'!$H$2:$H998,MATCH($AL261,'Master SLS'!$K$2:$K998,0))</f>
        <v>#VALUE!</v>
      </c>
      <c r="F261" s="5" t="e">
        <f t="array" ref="F261">INDEX('Master SLS'!$I$2:$I998,MATCH($AL261,'Master SLS'!$K$2:$K998,0))</f>
        <v>#VALUE!</v>
      </c>
      <c r="G261" s="5" t="s">
        <v>1984</v>
      </c>
      <c r="H261" s="5" t="s">
        <v>1985</v>
      </c>
      <c r="I261" s="5" t="s">
        <v>388</v>
      </c>
      <c r="J261" s="5">
        <v>1</v>
      </c>
      <c r="K261" s="5" t="s">
        <v>1986</v>
      </c>
      <c r="L261" s="5">
        <v>61</v>
      </c>
      <c r="M261" s="5">
        <v>4</v>
      </c>
      <c r="N261" s="5">
        <v>90</v>
      </c>
      <c r="O261" s="5">
        <v>4</v>
      </c>
      <c r="P261" s="5" t="s">
        <v>1987</v>
      </c>
      <c r="Q261" s="5">
        <v>1</v>
      </c>
      <c r="R261" s="74">
        <v>38393</v>
      </c>
      <c r="T261" s="5">
        <v>1</v>
      </c>
      <c r="U261" s="5">
        <v>1</v>
      </c>
      <c r="V261" s="5">
        <v>1</v>
      </c>
      <c r="W261" s="5">
        <v>3</v>
      </c>
      <c r="X261" s="5">
        <v>7</v>
      </c>
      <c r="Y261" s="5" t="s">
        <v>940</v>
      </c>
      <c r="AA261" s="5">
        <v>0</v>
      </c>
      <c r="AB261" s="5">
        <v>0</v>
      </c>
      <c r="AC261" s="5">
        <v>0</v>
      </c>
      <c r="AD261" s="5">
        <v>0</v>
      </c>
      <c r="AE261" s="5">
        <v>0</v>
      </c>
      <c r="AF261" s="5">
        <v>0</v>
      </c>
      <c r="AG261" s="5">
        <v>0</v>
      </c>
      <c r="AH261" s="5" t="s">
        <v>940</v>
      </c>
      <c r="AI261" s="5" t="s">
        <v>388</v>
      </c>
      <c r="AJ261" s="5" t="s">
        <v>1988</v>
      </c>
      <c r="AK261" s="5">
        <v>610423110015</v>
      </c>
      <c r="AL261" s="5" t="e">
        <f t="shared" si="3"/>
        <v>#VALUE!</v>
      </c>
    </row>
    <row r="262" spans="1:38" ht="12.5">
      <c r="A262" s="10" t="str">
        <f t="shared" si="0"/>
        <v>Muhlisin</v>
      </c>
      <c r="B262" s="5">
        <f t="shared" si="1"/>
        <v>610422100285</v>
      </c>
      <c r="C262" s="5" t="str">
        <f t="shared" si="2"/>
        <v>Muhlisin</v>
      </c>
      <c r="D262" s="5" t="s">
        <v>363</v>
      </c>
      <c r="E262" s="5" t="e">
        <f t="array" ref="E262">INDEX('Master SLS'!$H$2:$H998,MATCH($AL262,'Master SLS'!$K$2:$K998,0))</f>
        <v>#VALUE!</v>
      </c>
      <c r="F262" s="5" t="e">
        <f t="array" ref="F262">INDEX('Master SLS'!$I$2:$I998,MATCH($AL262,'Master SLS'!$K$2:$K998,0))</f>
        <v>#VALUE!</v>
      </c>
      <c r="G262" s="5" t="s">
        <v>1989</v>
      </c>
      <c r="H262" s="5" t="s">
        <v>1990</v>
      </c>
      <c r="I262" s="5" t="s">
        <v>366</v>
      </c>
      <c r="J262" s="5">
        <v>1</v>
      </c>
      <c r="K262" s="5" t="s">
        <v>1991</v>
      </c>
      <c r="L262" s="5">
        <v>61</v>
      </c>
      <c r="M262" s="5">
        <v>4</v>
      </c>
      <c r="N262" s="5">
        <v>110</v>
      </c>
      <c r="O262" s="5">
        <v>8</v>
      </c>
      <c r="P262" s="5" t="s">
        <v>1992</v>
      </c>
      <c r="Q262" s="5">
        <v>1</v>
      </c>
      <c r="R262" s="74">
        <v>34740</v>
      </c>
      <c r="S262" s="5" t="s">
        <v>1993</v>
      </c>
      <c r="T262" s="5">
        <v>1</v>
      </c>
      <c r="U262" s="5">
        <v>1</v>
      </c>
      <c r="V262" s="5">
        <v>2</v>
      </c>
      <c r="W262" s="5">
        <v>5</v>
      </c>
      <c r="X262" s="5">
        <v>5</v>
      </c>
      <c r="AA262" s="5">
        <v>1</v>
      </c>
      <c r="AB262" s="5">
        <v>1</v>
      </c>
      <c r="AC262" s="5">
        <v>0</v>
      </c>
      <c r="AD262" s="5">
        <v>0</v>
      </c>
      <c r="AE262" s="5">
        <v>0</v>
      </c>
      <c r="AF262" s="5">
        <v>0</v>
      </c>
      <c r="AG262" s="5">
        <v>0</v>
      </c>
      <c r="AH262" s="5" t="s">
        <v>1994</v>
      </c>
      <c r="AI262" s="5" t="s">
        <v>366</v>
      </c>
      <c r="AJ262" s="5" t="s">
        <v>1995</v>
      </c>
      <c r="AK262" s="5">
        <v>610422100285</v>
      </c>
      <c r="AL262" s="5" t="e">
        <f t="shared" si="3"/>
        <v>#VALUE!</v>
      </c>
    </row>
    <row r="263" spans="1:38" ht="12.5">
      <c r="A263" s="10" t="str">
        <f t="shared" si="0"/>
        <v>Mujito</v>
      </c>
      <c r="B263" s="5">
        <f t="shared" si="1"/>
        <v>610423110002</v>
      </c>
      <c r="C263" s="5" t="str">
        <f t="shared" si="2"/>
        <v>Mujito</v>
      </c>
      <c r="D263" s="5" t="s">
        <v>363</v>
      </c>
      <c r="E263" s="5" t="e">
        <f t="array" ref="E263">INDEX('Master SLS'!$H$2:$H998,MATCH($AL263,'Master SLS'!$K$2:$K998,0))</f>
        <v>#VALUE!</v>
      </c>
      <c r="F263" s="5" t="e">
        <f t="array" ref="F263">INDEX('Master SLS'!$I$2:$I998,MATCH($AL263,'Master SLS'!$K$2:$K998,0))</f>
        <v>#VALUE!</v>
      </c>
      <c r="G263" s="5" t="s">
        <v>1996</v>
      </c>
      <c r="H263" s="5" t="s">
        <v>1997</v>
      </c>
      <c r="I263" s="5" t="s">
        <v>366</v>
      </c>
      <c r="J263" s="5">
        <v>1</v>
      </c>
      <c r="K263" s="5" t="s">
        <v>1998</v>
      </c>
      <c r="L263" s="5">
        <v>61</v>
      </c>
      <c r="M263" s="5">
        <v>4</v>
      </c>
      <c r="N263" s="5">
        <v>100</v>
      </c>
      <c r="O263" s="5">
        <v>8</v>
      </c>
      <c r="P263" s="5" t="s">
        <v>1999</v>
      </c>
      <c r="Q263" s="5">
        <v>1</v>
      </c>
      <c r="R263" s="74">
        <v>29365</v>
      </c>
      <c r="T263" s="5">
        <v>1</v>
      </c>
      <c r="U263" s="5">
        <v>1</v>
      </c>
      <c r="V263" s="5">
        <v>2</v>
      </c>
      <c r="W263" s="5">
        <v>5</v>
      </c>
      <c r="X263" s="5">
        <v>3</v>
      </c>
      <c r="AA263" s="5">
        <v>0</v>
      </c>
      <c r="AB263" s="5">
        <v>0</v>
      </c>
      <c r="AC263" s="5">
        <v>0</v>
      </c>
      <c r="AD263" s="5">
        <v>0</v>
      </c>
      <c r="AE263" s="5">
        <v>0</v>
      </c>
      <c r="AF263" s="5">
        <v>0</v>
      </c>
      <c r="AG263" s="5">
        <v>0</v>
      </c>
      <c r="AH263" s="5" t="s">
        <v>2000</v>
      </c>
      <c r="AI263" s="5" t="s">
        <v>366</v>
      </c>
      <c r="AJ263" s="5" t="s">
        <v>2001</v>
      </c>
      <c r="AK263" s="5">
        <v>610423110002</v>
      </c>
      <c r="AL263" s="5" t="e">
        <f t="shared" si="3"/>
        <v>#VALUE!</v>
      </c>
    </row>
    <row r="264" spans="1:38" ht="12.5">
      <c r="A264" s="10" t="str">
        <f t="shared" si="0"/>
        <v>Mulyadi</v>
      </c>
      <c r="B264" s="5">
        <f t="shared" si="1"/>
        <v>610423040002</v>
      </c>
      <c r="C264" s="5" t="str">
        <f t="shared" si="2"/>
        <v>Mulyadi</v>
      </c>
      <c r="D264" s="5" t="s">
        <v>363</v>
      </c>
      <c r="E264" s="5" t="e">
        <f t="array" ref="E264">INDEX('Master SLS'!$H$2:$H998,MATCH($AL264,'Master SLS'!$K$2:$K998,0))</f>
        <v>#VALUE!</v>
      </c>
      <c r="F264" s="5" t="e">
        <f t="array" ref="F264">INDEX('Master SLS'!$I$2:$I998,MATCH($AL264,'Master SLS'!$K$2:$K998,0))</f>
        <v>#VALUE!</v>
      </c>
      <c r="G264" s="5" t="s">
        <v>2002</v>
      </c>
      <c r="H264" s="5" t="s">
        <v>2003</v>
      </c>
      <c r="I264" s="5" t="s">
        <v>366</v>
      </c>
      <c r="J264" s="5">
        <v>1</v>
      </c>
      <c r="K264" s="5" t="s">
        <v>2004</v>
      </c>
      <c r="L264" s="5">
        <v>61</v>
      </c>
      <c r="M264" s="5">
        <v>4</v>
      </c>
      <c r="N264" s="5">
        <v>81</v>
      </c>
      <c r="O264" s="5">
        <v>6</v>
      </c>
      <c r="P264" s="5" t="s">
        <v>2005</v>
      </c>
      <c r="Q264" s="5">
        <v>1</v>
      </c>
      <c r="R264" s="74">
        <v>31131</v>
      </c>
      <c r="S264" s="5" t="s">
        <v>2006</v>
      </c>
      <c r="T264" s="5">
        <v>1</v>
      </c>
      <c r="U264" s="5">
        <v>1</v>
      </c>
      <c r="V264" s="5">
        <v>2</v>
      </c>
      <c r="W264" s="5">
        <v>3</v>
      </c>
      <c r="X264" s="5">
        <v>5</v>
      </c>
      <c r="AA264" s="5">
        <v>1</v>
      </c>
      <c r="AB264" s="5">
        <v>1</v>
      </c>
      <c r="AC264" s="5">
        <v>1</v>
      </c>
      <c r="AD264" s="5">
        <v>1</v>
      </c>
      <c r="AE264" s="5">
        <v>1</v>
      </c>
      <c r="AF264" s="5">
        <v>1</v>
      </c>
      <c r="AG264" s="5">
        <v>0</v>
      </c>
      <c r="AI264" s="5" t="s">
        <v>366</v>
      </c>
      <c r="AJ264" s="5" t="s">
        <v>2007</v>
      </c>
      <c r="AK264" s="5">
        <v>610423040002</v>
      </c>
      <c r="AL264" s="5" t="e">
        <f t="shared" si="3"/>
        <v>#VALUE!</v>
      </c>
    </row>
    <row r="265" spans="1:38" ht="12.5">
      <c r="A265" s="10" t="str">
        <f t="shared" si="0"/>
        <v>Mulyadiansyah</v>
      </c>
      <c r="B265" s="5">
        <f t="shared" si="1"/>
        <v>610422040060</v>
      </c>
      <c r="C265" s="5" t="str">
        <f t="shared" si="2"/>
        <v>MULYADIANSYAH</v>
      </c>
      <c r="D265" s="5" t="s">
        <v>363</v>
      </c>
      <c r="E265" s="5" t="e">
        <f t="array" ref="E265">INDEX('Master SLS'!$H$2:$H998,MATCH($AL265,'Master SLS'!$K$2:$K998,0))</f>
        <v>#VALUE!</v>
      </c>
      <c r="F265" s="5" t="e">
        <f t="array" ref="F265">INDEX('Master SLS'!$I$2:$I998,MATCH($AL265,'Master SLS'!$K$2:$K998,0))</f>
        <v>#VALUE!</v>
      </c>
      <c r="G265" s="5" t="s">
        <v>2008</v>
      </c>
      <c r="H265" s="5" t="s">
        <v>2009</v>
      </c>
      <c r="I265" s="5" t="s">
        <v>366</v>
      </c>
      <c r="J265" s="5">
        <v>1</v>
      </c>
      <c r="K265" s="5" t="s">
        <v>2010</v>
      </c>
      <c r="L265" s="5">
        <v>61</v>
      </c>
      <c r="M265" s="5">
        <v>4</v>
      </c>
      <c r="N265" s="5">
        <v>101</v>
      </c>
      <c r="O265" s="5">
        <v>1</v>
      </c>
      <c r="P265" s="5" t="s">
        <v>2011</v>
      </c>
      <c r="Q265" s="5">
        <v>1</v>
      </c>
      <c r="R265" s="74">
        <v>33501</v>
      </c>
      <c r="S265" s="5" t="s">
        <v>2012</v>
      </c>
      <c r="T265" s="5">
        <v>1</v>
      </c>
      <c r="U265" s="5">
        <v>1</v>
      </c>
      <c r="V265" s="5">
        <v>2</v>
      </c>
      <c r="W265" s="5">
        <v>5</v>
      </c>
      <c r="X265" s="5">
        <v>5</v>
      </c>
      <c r="AA265" s="5">
        <v>1</v>
      </c>
      <c r="AB265" s="5">
        <v>1</v>
      </c>
      <c r="AC265" s="5">
        <v>0</v>
      </c>
      <c r="AD265" s="5">
        <v>0</v>
      </c>
      <c r="AE265" s="5">
        <v>0</v>
      </c>
      <c r="AF265" s="5">
        <v>0</v>
      </c>
      <c r="AG265" s="5">
        <v>0</v>
      </c>
      <c r="AH265" s="5" t="s">
        <v>2013</v>
      </c>
      <c r="AI265" s="5" t="s">
        <v>366</v>
      </c>
      <c r="AJ265" s="5" t="s">
        <v>2014</v>
      </c>
      <c r="AK265" s="5">
        <v>610422040060</v>
      </c>
      <c r="AL265" s="5" t="e">
        <f t="shared" si="3"/>
        <v>#VALUE!</v>
      </c>
    </row>
    <row r="266" spans="1:38" ht="12.5">
      <c r="A266" s="10" t="str">
        <f t="shared" si="0"/>
        <v>Munandar</v>
      </c>
      <c r="B266" s="5">
        <f t="shared" si="1"/>
        <v>610422100167</v>
      </c>
      <c r="C266" s="5" t="str">
        <f t="shared" si="2"/>
        <v>Munandar</v>
      </c>
      <c r="D266" s="5" t="s">
        <v>363</v>
      </c>
      <c r="E266" s="5" t="e">
        <f t="array" ref="E266">INDEX('Master SLS'!$H$2:$H998,MATCH($AL266,'Master SLS'!$K$2:$K998,0))</f>
        <v>#VALUE!</v>
      </c>
      <c r="F266" s="5" t="e">
        <f t="array" ref="F266">INDEX('Master SLS'!$I$2:$I998,MATCH($AL266,'Master SLS'!$K$2:$K998,0))</f>
        <v>#VALUE!</v>
      </c>
      <c r="G266" s="5" t="s">
        <v>2015</v>
      </c>
      <c r="H266" s="5" t="s">
        <v>2016</v>
      </c>
      <c r="I266" s="5" t="s">
        <v>366</v>
      </c>
      <c r="J266" s="5">
        <v>1</v>
      </c>
      <c r="K266" s="5" t="s">
        <v>2017</v>
      </c>
      <c r="L266" s="5">
        <v>61</v>
      </c>
      <c r="M266" s="5">
        <v>4</v>
      </c>
      <c r="N266" s="5">
        <v>81</v>
      </c>
      <c r="O266" s="5">
        <v>5</v>
      </c>
      <c r="P266" s="5" t="s">
        <v>2018</v>
      </c>
      <c r="Q266" s="5">
        <v>1</v>
      </c>
      <c r="R266" s="74">
        <v>36401</v>
      </c>
      <c r="T266" s="5">
        <v>1</v>
      </c>
      <c r="U266" s="5">
        <v>1</v>
      </c>
      <c r="V266" s="5">
        <v>1</v>
      </c>
      <c r="W266" s="5">
        <v>3</v>
      </c>
      <c r="X266" s="5">
        <v>7</v>
      </c>
      <c r="Y266" s="5" t="s">
        <v>567</v>
      </c>
      <c r="AA266" s="5">
        <v>1</v>
      </c>
      <c r="AB266" s="5">
        <v>0</v>
      </c>
      <c r="AC266" s="5">
        <v>1</v>
      </c>
      <c r="AD266" s="5">
        <v>0</v>
      </c>
      <c r="AE266" s="5">
        <v>0</v>
      </c>
      <c r="AF266" s="5">
        <v>0</v>
      </c>
      <c r="AG266" s="5">
        <v>0</v>
      </c>
      <c r="AI266" s="5" t="s">
        <v>366</v>
      </c>
      <c r="AJ266" s="5" t="s">
        <v>2019</v>
      </c>
      <c r="AK266" s="5">
        <v>610422100167</v>
      </c>
      <c r="AL266" s="5" t="e">
        <f t="shared" si="3"/>
        <v>#VALUE!</v>
      </c>
    </row>
    <row r="267" spans="1:38" ht="12.5">
      <c r="A267" s="10" t="str">
        <f t="shared" si="0"/>
        <v>Munawarah</v>
      </c>
      <c r="B267" s="5">
        <f t="shared" si="1"/>
        <v>610423110125</v>
      </c>
      <c r="C267" s="5" t="str">
        <f t="shared" si="2"/>
        <v>Munawarah</v>
      </c>
      <c r="D267" s="5" t="s">
        <v>363</v>
      </c>
      <c r="E267" s="5" t="e">
        <f t="array" ref="E267">INDEX('Master SLS'!$H$2:$H998,MATCH($AL267,'Master SLS'!$K$2:$K998,0))</f>
        <v>#VALUE!</v>
      </c>
      <c r="F267" s="5" t="e">
        <f t="array" ref="F267">INDEX('Master SLS'!$I$2:$I998,MATCH($AL267,'Master SLS'!$K$2:$K998,0))</f>
        <v>#VALUE!</v>
      </c>
      <c r="G267" s="5" t="s">
        <v>2020</v>
      </c>
      <c r="H267" s="5" t="s">
        <v>2021</v>
      </c>
      <c r="I267" s="5" t="s">
        <v>388</v>
      </c>
      <c r="J267" s="5">
        <v>1</v>
      </c>
      <c r="K267" s="5" t="s">
        <v>2022</v>
      </c>
      <c r="L267" s="5">
        <v>61</v>
      </c>
      <c r="M267" s="5">
        <v>4</v>
      </c>
      <c r="N267" s="5">
        <v>101</v>
      </c>
      <c r="O267" s="5">
        <v>2</v>
      </c>
      <c r="P267" s="5" t="s">
        <v>2023</v>
      </c>
      <c r="Q267" s="5">
        <v>1</v>
      </c>
      <c r="R267" s="74">
        <v>44997</v>
      </c>
      <c r="S267" s="5" t="s">
        <v>2024</v>
      </c>
      <c r="T267" s="5">
        <v>0</v>
      </c>
      <c r="U267" s="5">
        <v>1</v>
      </c>
      <c r="V267" s="5">
        <v>1</v>
      </c>
      <c r="W267" s="5">
        <v>5</v>
      </c>
      <c r="X267" s="5">
        <v>7</v>
      </c>
      <c r="Y267" s="5" t="s">
        <v>2025</v>
      </c>
      <c r="AA267" s="5">
        <v>0</v>
      </c>
      <c r="AB267" s="5">
        <v>0</v>
      </c>
      <c r="AC267" s="5">
        <v>0</v>
      </c>
      <c r="AD267" s="5">
        <v>0</v>
      </c>
      <c r="AE267" s="5">
        <v>0</v>
      </c>
      <c r="AF267" s="5">
        <v>0</v>
      </c>
      <c r="AG267" s="5">
        <v>0</v>
      </c>
      <c r="AH267" s="5" t="s">
        <v>2026</v>
      </c>
      <c r="AI267" s="5" t="s">
        <v>388</v>
      </c>
      <c r="AJ267" s="5" t="s">
        <v>2027</v>
      </c>
      <c r="AK267" s="5">
        <v>610423110125</v>
      </c>
      <c r="AL267" s="5" t="e">
        <f t="shared" si="3"/>
        <v>#VALUE!</v>
      </c>
    </row>
    <row r="268" spans="1:38" ht="12.5">
      <c r="A268" s="10" t="str">
        <f t="shared" si="0"/>
        <v>Musdalifah</v>
      </c>
      <c r="B268" s="5">
        <f t="shared" si="1"/>
        <v>610422060002</v>
      </c>
      <c r="C268" s="5" t="str">
        <f t="shared" si="2"/>
        <v>Musdalifah</v>
      </c>
      <c r="D268" s="5" t="s">
        <v>363</v>
      </c>
      <c r="E268" s="5" t="e">
        <f t="array" ref="E268">INDEX('Master SLS'!$H$2:$H998,MATCH($AL268,'Master SLS'!$K$2:$K998,0))</f>
        <v>#VALUE!</v>
      </c>
      <c r="F268" s="5" t="e">
        <f t="array" ref="F268">INDEX('Master SLS'!$I$2:$I998,MATCH($AL268,'Master SLS'!$K$2:$K998,0))</f>
        <v>#VALUE!</v>
      </c>
      <c r="G268" s="5" t="s">
        <v>2028</v>
      </c>
      <c r="H268" s="5" t="s">
        <v>2029</v>
      </c>
      <c r="I268" s="5" t="s">
        <v>388</v>
      </c>
      <c r="J268" s="5">
        <v>1</v>
      </c>
      <c r="K268" s="5" t="s">
        <v>2030</v>
      </c>
      <c r="L268" s="5">
        <v>61</v>
      </c>
      <c r="M268" s="5">
        <v>4</v>
      </c>
      <c r="N268" s="5">
        <v>100</v>
      </c>
      <c r="O268" s="5">
        <v>15</v>
      </c>
      <c r="P268" s="5" t="s">
        <v>2031</v>
      </c>
      <c r="Q268" s="5">
        <v>1</v>
      </c>
      <c r="R268" s="74">
        <v>36073</v>
      </c>
      <c r="S268" s="5" t="s">
        <v>2032</v>
      </c>
      <c r="T268" s="5">
        <v>0</v>
      </c>
      <c r="U268" s="5">
        <v>1</v>
      </c>
      <c r="V268" s="5">
        <v>1</v>
      </c>
      <c r="W268" s="5">
        <v>5</v>
      </c>
      <c r="X268" s="5">
        <v>3</v>
      </c>
      <c r="AA268" s="5">
        <v>1</v>
      </c>
      <c r="AB268" s="5">
        <v>1</v>
      </c>
      <c r="AC268" s="5">
        <v>0</v>
      </c>
      <c r="AD268" s="5">
        <v>1</v>
      </c>
      <c r="AE268" s="5">
        <v>0</v>
      </c>
      <c r="AF268" s="5">
        <v>0</v>
      </c>
      <c r="AG268" s="5">
        <v>0</v>
      </c>
      <c r="AH268" s="5" t="s">
        <v>2033</v>
      </c>
      <c r="AI268" s="5" t="s">
        <v>388</v>
      </c>
      <c r="AJ268" s="5" t="s">
        <v>2034</v>
      </c>
      <c r="AK268" s="5">
        <v>610422060002</v>
      </c>
      <c r="AL268" s="5" t="e">
        <f t="shared" si="3"/>
        <v>#VALUE!</v>
      </c>
    </row>
    <row r="269" spans="1:38" ht="12.5">
      <c r="A269" s="10" t="str">
        <f t="shared" si="0"/>
        <v>Muslimat</v>
      </c>
      <c r="B269" s="5">
        <f t="shared" si="1"/>
        <v>610422100033</v>
      </c>
      <c r="C269" s="5" t="str">
        <f t="shared" si="2"/>
        <v>Muslimat</v>
      </c>
      <c r="D269" s="5" t="s">
        <v>363</v>
      </c>
      <c r="E269" s="5" t="e">
        <f t="array" ref="E269">INDEX('Master SLS'!$H$2:$H998,MATCH($AL269,'Master SLS'!$K$2:$K998,0))</f>
        <v>#VALUE!</v>
      </c>
      <c r="F269" s="5" t="e">
        <f t="array" ref="F269">INDEX('Master SLS'!$I$2:$I998,MATCH($AL269,'Master SLS'!$K$2:$K998,0))</f>
        <v>#VALUE!</v>
      </c>
      <c r="G269" s="5" t="s">
        <v>2035</v>
      </c>
      <c r="H269" s="5" t="s">
        <v>2036</v>
      </c>
      <c r="I269" s="5" t="s">
        <v>366</v>
      </c>
      <c r="J269" s="5">
        <v>1</v>
      </c>
      <c r="K269" s="5" t="s">
        <v>2037</v>
      </c>
      <c r="L269" s="5">
        <v>61</v>
      </c>
      <c r="M269" s="5">
        <v>4</v>
      </c>
      <c r="N269" s="5">
        <v>110</v>
      </c>
      <c r="O269" s="5">
        <v>8</v>
      </c>
      <c r="P269" s="5" t="s">
        <v>2038</v>
      </c>
      <c r="Q269" s="5">
        <v>1</v>
      </c>
      <c r="R269" s="74">
        <v>34920</v>
      </c>
      <c r="S269" s="5" t="s">
        <v>2039</v>
      </c>
      <c r="T269" s="5">
        <v>1</v>
      </c>
      <c r="U269" s="5">
        <v>1</v>
      </c>
      <c r="V269" s="5">
        <v>2</v>
      </c>
      <c r="W269" s="5">
        <v>6</v>
      </c>
      <c r="X269" s="5">
        <v>7</v>
      </c>
      <c r="Y269" s="5" t="s">
        <v>2040</v>
      </c>
      <c r="AA269" s="5">
        <v>1</v>
      </c>
      <c r="AB269" s="5">
        <v>1</v>
      </c>
      <c r="AC269" s="5">
        <v>0</v>
      </c>
      <c r="AD269" s="5">
        <v>0</v>
      </c>
      <c r="AE269" s="5">
        <v>0</v>
      </c>
      <c r="AF269" s="5">
        <v>0</v>
      </c>
      <c r="AG269" s="5">
        <v>1</v>
      </c>
      <c r="AH269" s="5" t="s">
        <v>2041</v>
      </c>
      <c r="AI269" s="5" t="s">
        <v>366</v>
      </c>
      <c r="AJ269" s="5">
        <v>9081995</v>
      </c>
      <c r="AK269" s="5">
        <v>610422100033</v>
      </c>
      <c r="AL269" s="5" t="e">
        <f t="shared" si="3"/>
        <v>#VALUE!</v>
      </c>
    </row>
    <row r="270" spans="1:38" ht="12.5">
      <c r="A270" s="10" t="str">
        <f t="shared" si="0"/>
        <v>Muslimin</v>
      </c>
      <c r="B270" s="5">
        <f t="shared" si="1"/>
        <v>610422100220</v>
      </c>
      <c r="C270" s="5" t="str">
        <f t="shared" si="2"/>
        <v>Muslimin</v>
      </c>
      <c r="D270" s="5" t="s">
        <v>363</v>
      </c>
      <c r="E270" s="5" t="e">
        <f t="array" ref="E270">INDEX('Master SLS'!$H$2:$H998,MATCH($AL270,'Master SLS'!$K$2:$K998,0))</f>
        <v>#VALUE!</v>
      </c>
      <c r="F270" s="5" t="e">
        <f t="array" ref="F270">INDEX('Master SLS'!$I$2:$I998,MATCH($AL270,'Master SLS'!$K$2:$K998,0))</f>
        <v>#VALUE!</v>
      </c>
      <c r="G270" s="5" t="s">
        <v>2042</v>
      </c>
      <c r="H270" s="5" t="s">
        <v>2043</v>
      </c>
      <c r="I270" s="5" t="s">
        <v>388</v>
      </c>
      <c r="J270" s="5">
        <v>1</v>
      </c>
      <c r="K270" s="5" t="s">
        <v>2044</v>
      </c>
      <c r="L270" s="5">
        <v>61</v>
      </c>
      <c r="M270" s="5">
        <v>4</v>
      </c>
      <c r="N270" s="5">
        <v>90</v>
      </c>
      <c r="O270" s="5">
        <v>3</v>
      </c>
      <c r="P270" s="5" t="s">
        <v>2045</v>
      </c>
      <c r="Q270" s="5">
        <v>2</v>
      </c>
      <c r="R270" s="74">
        <v>30542</v>
      </c>
      <c r="S270" s="5" t="s">
        <v>2046</v>
      </c>
      <c r="T270" s="5">
        <v>1</v>
      </c>
      <c r="U270" s="5">
        <v>1</v>
      </c>
      <c r="V270" s="5">
        <v>2</v>
      </c>
      <c r="W270" s="5">
        <v>5</v>
      </c>
      <c r="X270" s="5">
        <v>3</v>
      </c>
      <c r="AA270" s="5">
        <v>1</v>
      </c>
      <c r="AB270" s="5">
        <v>1</v>
      </c>
      <c r="AC270" s="5">
        <v>0</v>
      </c>
      <c r="AD270" s="5">
        <v>0</v>
      </c>
      <c r="AE270" s="5">
        <v>0</v>
      </c>
      <c r="AF270" s="5">
        <v>0</v>
      </c>
      <c r="AG270" s="5">
        <v>0</v>
      </c>
      <c r="AI270" s="5" t="s">
        <v>388</v>
      </c>
      <c r="AJ270" s="5" t="s">
        <v>2047</v>
      </c>
      <c r="AK270" s="5">
        <v>610422100220</v>
      </c>
      <c r="AL270" s="5" t="e">
        <f t="shared" si="3"/>
        <v>#VALUE!</v>
      </c>
    </row>
    <row r="271" spans="1:38" ht="12.5">
      <c r="A271" s="10" t="str">
        <f t="shared" si="0"/>
        <v>Mustakim</v>
      </c>
      <c r="B271" s="5">
        <f t="shared" si="1"/>
        <v>610423110083</v>
      </c>
      <c r="C271" s="5" t="str">
        <f t="shared" si="2"/>
        <v>Mustakim</v>
      </c>
      <c r="D271" s="5" t="s">
        <v>363</v>
      </c>
      <c r="E271" s="5" t="e">
        <f t="array" ref="E271">INDEX('Master SLS'!$H$2:$H998,MATCH($AL271,'Master SLS'!$K$2:$K998,0))</f>
        <v>#VALUE!</v>
      </c>
      <c r="F271" s="5" t="e">
        <f t="array" ref="F271">INDEX('Master SLS'!$I$2:$I998,MATCH($AL271,'Master SLS'!$K$2:$K998,0))</f>
        <v>#VALUE!</v>
      </c>
      <c r="G271" s="5" t="s">
        <v>2048</v>
      </c>
      <c r="H271" s="5" t="s">
        <v>2049</v>
      </c>
      <c r="I271" s="5" t="s">
        <v>366</v>
      </c>
      <c r="J271" s="5">
        <v>1</v>
      </c>
      <c r="K271" s="5" t="s">
        <v>2050</v>
      </c>
      <c r="L271" s="5">
        <v>61</v>
      </c>
      <c r="M271" s="5">
        <v>4</v>
      </c>
      <c r="N271" s="5">
        <v>80</v>
      </c>
      <c r="O271" s="5">
        <v>3</v>
      </c>
      <c r="P271" s="5" t="s">
        <v>2051</v>
      </c>
      <c r="Q271" s="5">
        <v>1</v>
      </c>
      <c r="R271" s="74">
        <v>35508</v>
      </c>
      <c r="S271" s="5" t="s">
        <v>2052</v>
      </c>
      <c r="T271" s="5">
        <v>1</v>
      </c>
      <c r="U271" s="5">
        <v>1</v>
      </c>
      <c r="V271" s="5">
        <v>1</v>
      </c>
      <c r="W271" s="5">
        <v>5</v>
      </c>
      <c r="X271" s="5">
        <v>5</v>
      </c>
      <c r="AA271" s="5">
        <v>0</v>
      </c>
      <c r="AB271" s="5">
        <v>0</v>
      </c>
      <c r="AC271" s="5">
        <v>0</v>
      </c>
      <c r="AD271" s="5">
        <v>0</v>
      </c>
      <c r="AE271" s="5">
        <v>0</v>
      </c>
      <c r="AF271" s="5">
        <v>0</v>
      </c>
      <c r="AG271" s="5">
        <v>0</v>
      </c>
      <c r="AH271" s="5" t="s">
        <v>2053</v>
      </c>
      <c r="AI271" s="5" t="s">
        <v>366</v>
      </c>
      <c r="AJ271" s="5" t="s">
        <v>2054</v>
      </c>
      <c r="AK271" s="5">
        <v>610423110083</v>
      </c>
      <c r="AL271" s="5" t="e">
        <f t="shared" si="3"/>
        <v>#VALUE!</v>
      </c>
    </row>
    <row r="272" spans="1:38" ht="12.5">
      <c r="A272" s="10" t="str">
        <f t="shared" si="0"/>
        <v>Mustakim</v>
      </c>
      <c r="B272" s="5">
        <f t="shared" si="1"/>
        <v>610423110155</v>
      </c>
      <c r="C272" s="5" t="str">
        <f t="shared" si="2"/>
        <v>Mustakim</v>
      </c>
      <c r="D272" s="5" t="s">
        <v>363</v>
      </c>
      <c r="E272" s="5" t="e">
        <f t="array" ref="E272">INDEX('Master SLS'!$H$2:$H998,MATCH($AL272,'Master SLS'!$K$2:$K998,0))</f>
        <v>#VALUE!</v>
      </c>
      <c r="F272" s="5" t="e">
        <f t="array" ref="F272">INDEX('Master SLS'!$I$2:$I998,MATCH($AL272,'Master SLS'!$K$2:$K998,0))</f>
        <v>#VALUE!</v>
      </c>
      <c r="G272" s="5" t="s">
        <v>2055</v>
      </c>
      <c r="H272" s="5" t="s">
        <v>2049</v>
      </c>
      <c r="I272" s="5" t="s">
        <v>366</v>
      </c>
      <c r="J272" s="5">
        <v>1</v>
      </c>
      <c r="K272" s="5" t="s">
        <v>2056</v>
      </c>
      <c r="L272" s="5">
        <v>61</v>
      </c>
      <c r="M272" s="5">
        <v>4</v>
      </c>
      <c r="N272" s="5">
        <v>110</v>
      </c>
      <c r="O272" s="5">
        <v>8</v>
      </c>
      <c r="P272" s="5" t="s">
        <v>2057</v>
      </c>
      <c r="Q272" s="5">
        <v>1</v>
      </c>
      <c r="R272" s="74">
        <v>37418</v>
      </c>
      <c r="S272" s="5" t="s">
        <v>2058</v>
      </c>
      <c r="T272" s="5">
        <v>1</v>
      </c>
      <c r="U272" s="5">
        <v>1</v>
      </c>
      <c r="V272" s="5">
        <v>1</v>
      </c>
      <c r="W272" s="5">
        <v>3</v>
      </c>
      <c r="X272" s="5">
        <v>6</v>
      </c>
      <c r="AA272" s="5">
        <v>0</v>
      </c>
      <c r="AB272" s="5">
        <v>0</v>
      </c>
      <c r="AC272" s="5">
        <v>0</v>
      </c>
      <c r="AD272" s="5">
        <v>0</v>
      </c>
      <c r="AE272" s="5">
        <v>0</v>
      </c>
      <c r="AF272" s="5">
        <v>0</v>
      </c>
      <c r="AG272" s="5">
        <v>0</v>
      </c>
      <c r="AI272" s="5" t="s">
        <v>366</v>
      </c>
      <c r="AJ272" s="5" t="s">
        <v>2059</v>
      </c>
      <c r="AK272" s="5">
        <v>610423110155</v>
      </c>
      <c r="AL272" s="5" t="e">
        <f t="shared" si="3"/>
        <v>#VALUE!</v>
      </c>
    </row>
    <row r="273" spans="1:38" ht="12.5">
      <c r="A273" s="10" t="str">
        <f t="shared" si="0"/>
        <v>Mustami'In</v>
      </c>
      <c r="B273" s="5">
        <f t="shared" si="1"/>
        <v>610423110105</v>
      </c>
      <c r="C273" s="5" t="str">
        <f t="shared" si="2"/>
        <v>Mustami'in</v>
      </c>
      <c r="D273" s="5" t="s">
        <v>363</v>
      </c>
      <c r="E273" s="5" t="e">
        <f t="array" ref="E273">INDEX('Master SLS'!$H$2:$H998,MATCH($AL273,'Master SLS'!$K$2:$K998,0))</f>
        <v>#VALUE!</v>
      </c>
      <c r="F273" s="5" t="e">
        <f t="array" ref="F273">INDEX('Master SLS'!$I$2:$I998,MATCH($AL273,'Master SLS'!$K$2:$K998,0))</f>
        <v>#VALUE!</v>
      </c>
      <c r="G273" s="5" t="s">
        <v>2060</v>
      </c>
      <c r="H273" s="5" t="s">
        <v>2061</v>
      </c>
      <c r="I273" s="5" t="s">
        <v>366</v>
      </c>
      <c r="J273" s="5">
        <v>1</v>
      </c>
      <c r="K273" s="5" t="s">
        <v>2062</v>
      </c>
      <c r="L273" s="5">
        <v>61</v>
      </c>
      <c r="M273" s="5">
        <v>4</v>
      </c>
      <c r="N273" s="5">
        <v>100</v>
      </c>
      <c r="O273" s="5">
        <v>14</v>
      </c>
      <c r="P273" s="5" t="s">
        <v>2063</v>
      </c>
      <c r="Q273" s="5">
        <v>1</v>
      </c>
      <c r="R273" s="74">
        <v>35898</v>
      </c>
      <c r="S273" s="5" t="s">
        <v>2064</v>
      </c>
      <c r="T273" s="5">
        <v>1</v>
      </c>
      <c r="U273" s="5">
        <v>1</v>
      </c>
      <c r="V273" s="5">
        <v>1</v>
      </c>
      <c r="W273" s="5">
        <v>5</v>
      </c>
      <c r="X273" s="5">
        <v>3</v>
      </c>
      <c r="AA273" s="5">
        <v>1</v>
      </c>
      <c r="AB273" s="5">
        <v>0</v>
      </c>
      <c r="AC273" s="5">
        <v>0</v>
      </c>
      <c r="AD273" s="5">
        <v>0</v>
      </c>
      <c r="AE273" s="5">
        <v>1</v>
      </c>
      <c r="AF273" s="5">
        <v>0</v>
      </c>
      <c r="AG273" s="5">
        <v>0</v>
      </c>
      <c r="AH273" s="5" t="s">
        <v>2065</v>
      </c>
      <c r="AI273" s="5" t="s">
        <v>366</v>
      </c>
      <c r="AJ273" s="5" t="s">
        <v>2066</v>
      </c>
      <c r="AK273" s="5">
        <v>610423110105</v>
      </c>
      <c r="AL273" s="5" t="e">
        <f t="shared" si="3"/>
        <v>#VALUE!</v>
      </c>
    </row>
    <row r="274" spans="1:38" ht="12.5">
      <c r="A274" s="10" t="str">
        <f t="shared" si="0"/>
        <v>Mutasim Billah</v>
      </c>
      <c r="B274" s="5">
        <f t="shared" si="1"/>
        <v>610423110176</v>
      </c>
      <c r="C274" s="5" t="str">
        <f t="shared" si="2"/>
        <v>MUTASIM BILLAH</v>
      </c>
      <c r="D274" s="5" t="s">
        <v>363</v>
      </c>
      <c r="E274" s="5" t="e">
        <f t="array" ref="E274">INDEX('Master SLS'!$H$2:$H998,MATCH($AL274,'Master SLS'!$K$2:$K998,0))</f>
        <v>#VALUE!</v>
      </c>
      <c r="F274" s="5" t="e">
        <f t="array" ref="F274">INDEX('Master SLS'!$I$2:$I998,MATCH($AL274,'Master SLS'!$K$2:$K998,0))</f>
        <v>#VALUE!</v>
      </c>
      <c r="G274" s="5" t="s">
        <v>2067</v>
      </c>
      <c r="H274" s="5" t="s">
        <v>2068</v>
      </c>
      <c r="I274" s="5" t="s">
        <v>366</v>
      </c>
      <c r="J274" s="5">
        <v>1</v>
      </c>
      <c r="K274" s="5" t="s">
        <v>2069</v>
      </c>
      <c r="L274" s="5">
        <v>61</v>
      </c>
      <c r="M274" s="5">
        <v>4</v>
      </c>
      <c r="N274" s="5">
        <v>110</v>
      </c>
      <c r="O274" s="5">
        <v>8</v>
      </c>
      <c r="P274" s="5" t="s">
        <v>2070</v>
      </c>
      <c r="Q274" s="5">
        <v>1</v>
      </c>
      <c r="R274" s="74">
        <v>36798</v>
      </c>
      <c r="S274" s="5" t="s">
        <v>2071</v>
      </c>
      <c r="T274" s="5">
        <v>1</v>
      </c>
      <c r="U274" s="5">
        <v>1</v>
      </c>
      <c r="V274" s="5">
        <v>2</v>
      </c>
      <c r="W274" s="5">
        <v>3</v>
      </c>
      <c r="X274" s="5">
        <v>5</v>
      </c>
      <c r="AA274" s="5">
        <v>1</v>
      </c>
      <c r="AB274" s="5">
        <v>1</v>
      </c>
      <c r="AC274" s="5">
        <v>0</v>
      </c>
      <c r="AD274" s="5">
        <v>0</v>
      </c>
      <c r="AE274" s="5">
        <v>0</v>
      </c>
      <c r="AF274" s="5">
        <v>0</v>
      </c>
      <c r="AG274" s="5">
        <v>0</v>
      </c>
      <c r="AI274" s="5" t="s">
        <v>366</v>
      </c>
      <c r="AJ274" s="5" t="s">
        <v>2072</v>
      </c>
      <c r="AK274" s="5">
        <v>610423110176</v>
      </c>
      <c r="AL274" s="5" t="e">
        <f t="shared" si="3"/>
        <v>#VALUE!</v>
      </c>
    </row>
    <row r="275" spans="1:38" ht="12.5">
      <c r="A275" s="10" t="str">
        <f t="shared" si="0"/>
        <v>Mutiara Faralaksa</v>
      </c>
      <c r="B275" s="5">
        <f t="shared" si="1"/>
        <v>610423110145</v>
      </c>
      <c r="C275" s="5" t="str">
        <f t="shared" si="2"/>
        <v>Mutiara Faralaksa</v>
      </c>
      <c r="D275" s="5" t="s">
        <v>363</v>
      </c>
      <c r="E275" s="5" t="e">
        <f t="array" ref="E275">INDEX('Master SLS'!$H$2:$H998,MATCH($AL275,'Master SLS'!$K$2:$K998,0))</f>
        <v>#VALUE!</v>
      </c>
      <c r="F275" s="5" t="e">
        <f t="array" ref="F275">INDEX('Master SLS'!$I$2:$I998,MATCH($AL275,'Master SLS'!$K$2:$K998,0))</f>
        <v>#VALUE!</v>
      </c>
      <c r="G275" s="5" t="s">
        <v>2073</v>
      </c>
      <c r="H275" s="5" t="s">
        <v>2074</v>
      </c>
      <c r="I275" s="5" t="s">
        <v>388</v>
      </c>
      <c r="J275" s="5">
        <v>1</v>
      </c>
      <c r="K275" s="5" t="s">
        <v>2075</v>
      </c>
      <c r="L275" s="5">
        <v>61</v>
      </c>
      <c r="M275" s="5">
        <v>4</v>
      </c>
      <c r="N275" s="5">
        <v>110</v>
      </c>
      <c r="O275" s="5">
        <v>6</v>
      </c>
      <c r="P275" s="5" t="s">
        <v>2076</v>
      </c>
      <c r="Q275" s="5">
        <v>1</v>
      </c>
      <c r="R275" s="74">
        <v>37322</v>
      </c>
      <c r="T275" s="5">
        <v>0</v>
      </c>
      <c r="U275" s="5">
        <v>1</v>
      </c>
      <c r="V275" s="5">
        <v>1</v>
      </c>
      <c r="W275" s="5">
        <v>4</v>
      </c>
      <c r="X275" s="5">
        <v>7</v>
      </c>
      <c r="Y275" s="5" t="s">
        <v>567</v>
      </c>
      <c r="AA275" s="5">
        <v>0</v>
      </c>
      <c r="AB275" s="5">
        <v>0</v>
      </c>
      <c r="AC275" s="5">
        <v>0</v>
      </c>
      <c r="AD275" s="5">
        <v>0</v>
      </c>
      <c r="AE275" s="5">
        <v>0</v>
      </c>
      <c r="AF275" s="5">
        <v>0</v>
      </c>
      <c r="AG275" s="5">
        <v>0</v>
      </c>
      <c r="AH275" s="5" t="s">
        <v>2077</v>
      </c>
      <c r="AI275" s="5" t="s">
        <v>388</v>
      </c>
      <c r="AJ275" s="5" t="s">
        <v>2078</v>
      </c>
      <c r="AK275" s="5">
        <v>610423110145</v>
      </c>
      <c r="AL275" s="5" t="e">
        <f t="shared" si="3"/>
        <v>#VALUE!</v>
      </c>
    </row>
    <row r="276" spans="1:38" ht="12.5">
      <c r="A276" s="10" t="str">
        <f t="shared" si="0"/>
        <v>Nadillah</v>
      </c>
      <c r="B276" s="5">
        <f t="shared" si="1"/>
        <v>610423110087</v>
      </c>
      <c r="C276" s="5" t="str">
        <f t="shared" si="2"/>
        <v>NADILLAH</v>
      </c>
      <c r="D276" s="5" t="s">
        <v>363</v>
      </c>
      <c r="E276" s="5" t="e">
        <f t="array" ref="E276">INDEX('Master SLS'!$H$2:$H998,MATCH($AL276,'Master SLS'!$K$2:$K998,0))</f>
        <v>#VALUE!</v>
      </c>
      <c r="F276" s="5" t="e">
        <f t="array" ref="F276">INDEX('Master SLS'!$I$2:$I998,MATCH($AL276,'Master SLS'!$K$2:$K998,0))</f>
        <v>#VALUE!</v>
      </c>
      <c r="G276" s="5" t="s">
        <v>2079</v>
      </c>
      <c r="H276" s="5" t="s">
        <v>2080</v>
      </c>
      <c r="I276" s="5" t="s">
        <v>474</v>
      </c>
      <c r="J276" s="5">
        <v>1</v>
      </c>
      <c r="K276" s="5" t="s">
        <v>2081</v>
      </c>
      <c r="L276" s="5">
        <v>61</v>
      </c>
      <c r="M276" s="5">
        <v>4</v>
      </c>
      <c r="N276" s="5">
        <v>101</v>
      </c>
      <c r="O276" s="5">
        <v>2</v>
      </c>
      <c r="P276" s="5" t="s">
        <v>2082</v>
      </c>
      <c r="Q276" s="5">
        <v>1</v>
      </c>
      <c r="R276" s="7">
        <v>37244</v>
      </c>
      <c r="S276" s="5" t="s">
        <v>2083</v>
      </c>
      <c r="T276" s="5">
        <v>0</v>
      </c>
      <c r="U276" s="5">
        <v>1</v>
      </c>
      <c r="V276" s="5">
        <v>1</v>
      </c>
      <c r="W276" s="5">
        <v>3</v>
      </c>
      <c r="X276" s="5">
        <v>3</v>
      </c>
      <c r="AA276" s="5">
        <v>1</v>
      </c>
      <c r="AB276" s="5">
        <v>0</v>
      </c>
      <c r="AC276" s="5">
        <v>1</v>
      </c>
      <c r="AD276" s="5">
        <v>0</v>
      </c>
      <c r="AE276" s="5">
        <v>0</v>
      </c>
      <c r="AF276" s="5">
        <v>0</v>
      </c>
      <c r="AG276" s="5">
        <v>0</v>
      </c>
      <c r="AI276" s="5" t="s">
        <v>474</v>
      </c>
      <c r="AJ276" s="5" t="s">
        <v>2084</v>
      </c>
      <c r="AK276" s="5">
        <v>610423110087</v>
      </c>
      <c r="AL276" s="5" t="e">
        <f t="shared" si="3"/>
        <v>#VALUE!</v>
      </c>
    </row>
    <row r="277" spans="1:38" ht="12.5">
      <c r="A277" s="10" t="str">
        <f t="shared" si="0"/>
        <v>Nanda Ariska</v>
      </c>
      <c r="B277" s="5">
        <f t="shared" si="1"/>
        <v>610422040005</v>
      </c>
      <c r="C277" s="5" t="str">
        <f t="shared" si="2"/>
        <v>NANDA ARISKA</v>
      </c>
      <c r="D277" s="5" t="s">
        <v>363</v>
      </c>
      <c r="E277" s="5" t="e">
        <f t="array" ref="E277">INDEX('Master SLS'!$H$2:$H998,MATCH($AL277,'Master SLS'!$K$2:$K998,0))</f>
        <v>#VALUE!</v>
      </c>
      <c r="F277" s="5" t="e">
        <f t="array" ref="F277">INDEX('Master SLS'!$I$2:$I998,MATCH($AL277,'Master SLS'!$K$2:$K998,0))</f>
        <v>#VALUE!</v>
      </c>
      <c r="G277" s="5" t="s">
        <v>2085</v>
      </c>
      <c r="H277" s="5" t="s">
        <v>2086</v>
      </c>
      <c r="I277" s="5" t="s">
        <v>366</v>
      </c>
      <c r="J277" s="5">
        <v>1</v>
      </c>
      <c r="K277" s="5" t="s">
        <v>2087</v>
      </c>
      <c r="L277" s="5">
        <v>61</v>
      </c>
      <c r="M277" s="5">
        <v>4</v>
      </c>
      <c r="N277" s="5">
        <v>101</v>
      </c>
      <c r="O277" s="5">
        <v>7</v>
      </c>
      <c r="P277" s="5" t="s">
        <v>2088</v>
      </c>
      <c r="Q277" s="5">
        <v>1</v>
      </c>
      <c r="R277" s="7">
        <v>36888</v>
      </c>
      <c r="T277" s="5">
        <v>0</v>
      </c>
      <c r="U277" s="5">
        <v>1</v>
      </c>
      <c r="V277" s="5">
        <v>2</v>
      </c>
      <c r="W277" s="5">
        <v>3</v>
      </c>
      <c r="X277" s="5">
        <v>4</v>
      </c>
      <c r="AA277" s="5">
        <v>1</v>
      </c>
      <c r="AB277" s="5">
        <v>1</v>
      </c>
      <c r="AC277" s="5">
        <v>1</v>
      </c>
      <c r="AD277" s="5">
        <v>0</v>
      </c>
      <c r="AE277" s="5">
        <v>1</v>
      </c>
      <c r="AF277" s="5">
        <v>1</v>
      </c>
      <c r="AG277" s="5">
        <v>0</v>
      </c>
      <c r="AH277" s="5" t="s">
        <v>2089</v>
      </c>
      <c r="AI277" s="5" t="s">
        <v>366</v>
      </c>
      <c r="AJ277" s="5" t="s">
        <v>2090</v>
      </c>
      <c r="AK277" s="5">
        <v>610422040005</v>
      </c>
      <c r="AL277" s="5" t="e">
        <f t="shared" si="3"/>
        <v>#VALUE!</v>
      </c>
    </row>
    <row r="278" spans="1:38" ht="12.5">
      <c r="A278" s="10" t="str">
        <f t="shared" si="0"/>
        <v>Nanda Septia</v>
      </c>
      <c r="B278" s="5">
        <f t="shared" si="1"/>
        <v>610423110131</v>
      </c>
      <c r="C278" s="5" t="str">
        <f t="shared" si="2"/>
        <v>Nanda Septia</v>
      </c>
      <c r="D278" s="5" t="s">
        <v>363</v>
      </c>
      <c r="E278" s="5" t="e">
        <f t="array" ref="E278">INDEX('Master SLS'!$H$2:$H998,MATCH($AL278,'Master SLS'!$K$2:$K998,0))</f>
        <v>#VALUE!</v>
      </c>
      <c r="F278" s="5" t="e">
        <f t="array" ref="F278">INDEX('Master SLS'!$I$2:$I998,MATCH($AL278,'Master SLS'!$K$2:$K998,0))</f>
        <v>#VALUE!</v>
      </c>
      <c r="G278" s="5" t="s">
        <v>2091</v>
      </c>
      <c r="H278" s="5" t="s">
        <v>2092</v>
      </c>
      <c r="I278" s="5" t="s">
        <v>474</v>
      </c>
      <c r="J278" s="5">
        <v>1</v>
      </c>
      <c r="K278" s="5" t="s">
        <v>2093</v>
      </c>
      <c r="L278" s="5">
        <v>61</v>
      </c>
      <c r="M278" s="5">
        <v>4</v>
      </c>
      <c r="N278" s="5">
        <v>101</v>
      </c>
      <c r="O278" s="5">
        <v>6</v>
      </c>
      <c r="P278" s="5" t="s">
        <v>2094</v>
      </c>
      <c r="Q278" s="5">
        <v>1</v>
      </c>
      <c r="R278" s="74">
        <v>36415</v>
      </c>
      <c r="T278" s="5">
        <v>0</v>
      </c>
      <c r="U278" s="5">
        <v>1</v>
      </c>
      <c r="V278" s="5">
        <v>1</v>
      </c>
      <c r="W278" s="5">
        <v>5</v>
      </c>
      <c r="X278" s="5">
        <v>7</v>
      </c>
      <c r="Y278" s="5" t="s">
        <v>2095</v>
      </c>
      <c r="AA278" s="5">
        <v>0</v>
      </c>
      <c r="AB278" s="5">
        <v>0</v>
      </c>
      <c r="AC278" s="5">
        <v>0</v>
      </c>
      <c r="AD278" s="5">
        <v>0</v>
      </c>
      <c r="AE278" s="5">
        <v>0</v>
      </c>
      <c r="AF278" s="5">
        <v>0</v>
      </c>
      <c r="AG278" s="5">
        <v>0</v>
      </c>
      <c r="AI278" s="5" t="s">
        <v>474</v>
      </c>
      <c r="AJ278" s="5" t="s">
        <v>2096</v>
      </c>
      <c r="AK278" s="5">
        <v>610423110131</v>
      </c>
      <c r="AL278" s="5" t="e">
        <f t="shared" si="3"/>
        <v>#VALUE!</v>
      </c>
    </row>
    <row r="279" spans="1:38" ht="12.5">
      <c r="A279" s="10" t="str">
        <f t="shared" si="0"/>
        <v>Nasrullah</v>
      </c>
      <c r="B279" s="5">
        <f t="shared" si="1"/>
        <v>610422020006</v>
      </c>
      <c r="C279" s="5" t="str">
        <f t="shared" si="2"/>
        <v>Nasrullah</v>
      </c>
      <c r="D279" s="5" t="s">
        <v>363</v>
      </c>
      <c r="E279" s="5" t="e">
        <f t="array" ref="E279">INDEX('Master SLS'!$H$2:$H998,MATCH($AL279,'Master SLS'!$K$2:$K998,0))</f>
        <v>#VALUE!</v>
      </c>
      <c r="F279" s="5" t="e">
        <f t="array" ref="F279">INDEX('Master SLS'!$I$2:$I998,MATCH($AL279,'Master SLS'!$K$2:$K998,0))</f>
        <v>#VALUE!</v>
      </c>
      <c r="G279" s="5" t="s">
        <v>2097</v>
      </c>
      <c r="H279" s="5" t="s">
        <v>2098</v>
      </c>
      <c r="I279" s="5" t="s">
        <v>388</v>
      </c>
      <c r="J279" s="5">
        <v>1</v>
      </c>
      <c r="K279" s="5" t="s">
        <v>2099</v>
      </c>
      <c r="L279" s="5">
        <v>61</v>
      </c>
      <c r="M279" s="5">
        <v>4</v>
      </c>
      <c r="N279" s="5">
        <v>100</v>
      </c>
      <c r="O279" s="5">
        <v>15</v>
      </c>
      <c r="P279" s="5" t="s">
        <v>2100</v>
      </c>
      <c r="Q279" s="5">
        <v>1</v>
      </c>
      <c r="R279" s="7">
        <v>35744</v>
      </c>
      <c r="S279" s="5" t="s">
        <v>2101</v>
      </c>
      <c r="T279" s="5">
        <v>1</v>
      </c>
      <c r="U279" s="5">
        <v>1</v>
      </c>
      <c r="V279" s="5">
        <v>1</v>
      </c>
      <c r="W279" s="5">
        <v>5</v>
      </c>
      <c r="X279" s="5">
        <v>1</v>
      </c>
      <c r="AA279" s="5">
        <v>1</v>
      </c>
      <c r="AB279" s="5">
        <v>1</v>
      </c>
      <c r="AC279" s="5">
        <v>1</v>
      </c>
      <c r="AD279" s="5">
        <v>1</v>
      </c>
      <c r="AE279" s="5">
        <v>1</v>
      </c>
      <c r="AF279" s="5">
        <v>1</v>
      </c>
      <c r="AG279" s="5">
        <v>0</v>
      </c>
      <c r="AI279" s="5" t="s">
        <v>388</v>
      </c>
      <c r="AJ279" s="5" t="s">
        <v>2098</v>
      </c>
      <c r="AK279" s="5">
        <v>610422020006</v>
      </c>
      <c r="AL279" s="5" t="e">
        <f t="shared" si="3"/>
        <v>#VALUE!</v>
      </c>
    </row>
    <row r="280" spans="1:38" ht="12.5">
      <c r="A280" s="10" t="str">
        <f t="shared" si="0"/>
        <v>Natasha Syafa'Ati Almirzannah</v>
      </c>
      <c r="B280" s="5">
        <f t="shared" si="1"/>
        <v>610423110033</v>
      </c>
      <c r="C280" s="5" t="str">
        <f t="shared" si="2"/>
        <v>Natasha Syafa'ati Almirzannah</v>
      </c>
      <c r="D280" s="5" t="s">
        <v>363</v>
      </c>
      <c r="E280" s="5" t="e">
        <f t="array" ref="E280">INDEX('Master SLS'!$H$2:$H998,MATCH($AL280,'Master SLS'!$K$2:$K998,0))</f>
        <v>#VALUE!</v>
      </c>
      <c r="F280" s="5" t="e">
        <f t="array" ref="F280">INDEX('Master SLS'!$I$2:$I998,MATCH($AL280,'Master SLS'!$K$2:$K998,0))</f>
        <v>#VALUE!</v>
      </c>
      <c r="G280" s="5" t="s">
        <v>2102</v>
      </c>
      <c r="H280" s="5" t="s">
        <v>2103</v>
      </c>
      <c r="I280" s="5" t="s">
        <v>388</v>
      </c>
      <c r="J280" s="5">
        <v>1</v>
      </c>
      <c r="K280" s="5" t="s">
        <v>2104</v>
      </c>
      <c r="L280" s="5">
        <v>61</v>
      </c>
      <c r="M280" s="5">
        <v>4</v>
      </c>
      <c r="N280" s="5">
        <v>100</v>
      </c>
      <c r="O280" s="5">
        <v>7</v>
      </c>
      <c r="P280" s="5" t="s">
        <v>2105</v>
      </c>
      <c r="Q280" s="5">
        <v>1</v>
      </c>
      <c r="R280" s="74">
        <v>36254</v>
      </c>
      <c r="S280" s="5" t="s">
        <v>2106</v>
      </c>
      <c r="T280" s="5">
        <v>0</v>
      </c>
      <c r="U280" s="5">
        <v>1</v>
      </c>
      <c r="V280" s="5">
        <v>1</v>
      </c>
      <c r="W280" s="5">
        <v>5</v>
      </c>
      <c r="X280" s="5">
        <v>7</v>
      </c>
      <c r="Y280" s="5" t="s">
        <v>553</v>
      </c>
      <c r="AA280" s="5">
        <v>0</v>
      </c>
      <c r="AB280" s="5">
        <v>0</v>
      </c>
      <c r="AC280" s="5">
        <v>0</v>
      </c>
      <c r="AD280" s="5">
        <v>0</v>
      </c>
      <c r="AE280" s="5">
        <v>0</v>
      </c>
      <c r="AF280" s="5">
        <v>0</v>
      </c>
      <c r="AG280" s="5">
        <v>0</v>
      </c>
      <c r="AH280" s="5" t="s">
        <v>2107</v>
      </c>
      <c r="AI280" s="5" t="s">
        <v>388</v>
      </c>
      <c r="AJ280" s="5" t="s">
        <v>2108</v>
      </c>
      <c r="AK280" s="5">
        <v>610423110033</v>
      </c>
      <c r="AL280" s="5" t="e">
        <f t="shared" si="3"/>
        <v>#VALUE!</v>
      </c>
    </row>
    <row r="281" spans="1:38" ht="12.5">
      <c r="A281" s="10" t="str">
        <f t="shared" si="0"/>
        <v>Nelly Nalita</v>
      </c>
      <c r="B281" s="5">
        <f t="shared" si="1"/>
        <v>610422040034</v>
      </c>
      <c r="C281" s="5" t="str">
        <f t="shared" si="2"/>
        <v>Nelly Nalita</v>
      </c>
      <c r="D281" s="5" t="s">
        <v>363</v>
      </c>
      <c r="E281" s="5" t="e">
        <f t="array" ref="E281">INDEX('Master SLS'!$H$2:$H998,MATCH($AL281,'Master SLS'!$K$2:$K998,0))</f>
        <v>#VALUE!</v>
      </c>
      <c r="F281" s="5" t="e">
        <f t="array" ref="F281">INDEX('Master SLS'!$I$2:$I998,MATCH($AL281,'Master SLS'!$K$2:$K998,0))</f>
        <v>#VALUE!</v>
      </c>
      <c r="G281" s="5" t="s">
        <v>2109</v>
      </c>
      <c r="H281" s="5" t="s">
        <v>2110</v>
      </c>
      <c r="I281" s="5" t="s">
        <v>366</v>
      </c>
      <c r="J281" s="5">
        <v>1</v>
      </c>
      <c r="K281" s="5" t="s">
        <v>2111</v>
      </c>
      <c r="L281" s="5">
        <v>61</v>
      </c>
      <c r="M281" s="5">
        <v>4</v>
      </c>
      <c r="N281" s="5">
        <v>100</v>
      </c>
      <c r="O281" s="5">
        <v>14</v>
      </c>
      <c r="P281" s="5" t="s">
        <v>2112</v>
      </c>
      <c r="Q281" s="5">
        <v>1</v>
      </c>
      <c r="R281" s="74">
        <v>32849</v>
      </c>
      <c r="S281" s="5" t="s">
        <v>2113</v>
      </c>
      <c r="T281" s="5">
        <v>0</v>
      </c>
      <c r="U281" s="5">
        <v>1</v>
      </c>
      <c r="V281" s="5">
        <v>2</v>
      </c>
      <c r="W281" s="5">
        <v>3</v>
      </c>
      <c r="X281" s="5">
        <v>4</v>
      </c>
      <c r="AA281" s="5">
        <v>1</v>
      </c>
      <c r="AB281" s="5">
        <v>1</v>
      </c>
      <c r="AC281" s="5">
        <v>1</v>
      </c>
      <c r="AD281" s="5">
        <v>0</v>
      </c>
      <c r="AE281" s="5">
        <v>1</v>
      </c>
      <c r="AF281" s="5">
        <v>1</v>
      </c>
      <c r="AG281" s="5">
        <v>0</v>
      </c>
      <c r="AH281" s="5" t="s">
        <v>2114</v>
      </c>
      <c r="AI281" s="5" t="s">
        <v>366</v>
      </c>
      <c r="AJ281" s="5" t="s">
        <v>2115</v>
      </c>
      <c r="AK281" s="5">
        <v>610422040034</v>
      </c>
      <c r="AL281" s="5" t="e">
        <f t="shared" si="3"/>
        <v>#VALUE!</v>
      </c>
    </row>
    <row r="282" spans="1:38" ht="12.5">
      <c r="A282" s="10" t="str">
        <f t="shared" si="0"/>
        <v>Nengsih</v>
      </c>
      <c r="B282" s="5">
        <f t="shared" si="1"/>
        <v>610423040007</v>
      </c>
      <c r="C282" s="5" t="str">
        <f t="shared" si="2"/>
        <v>NENGSIH</v>
      </c>
      <c r="D282" s="5" t="s">
        <v>363</v>
      </c>
      <c r="E282" s="5" t="e">
        <f t="array" ref="E282">INDEX('Master SLS'!$H$2:$H998,MATCH($AL282,'Master SLS'!$K$2:$K998,0))</f>
        <v>#VALUE!</v>
      </c>
      <c r="F282" s="5" t="e">
        <f t="array" ref="F282">INDEX('Master SLS'!$I$2:$I998,MATCH($AL282,'Master SLS'!$K$2:$K998,0))</f>
        <v>#VALUE!</v>
      </c>
      <c r="G282" s="5" t="s">
        <v>2116</v>
      </c>
      <c r="H282" s="5" t="s">
        <v>2117</v>
      </c>
      <c r="I282" s="5" t="s">
        <v>366</v>
      </c>
      <c r="J282" s="5">
        <v>1</v>
      </c>
      <c r="K282" s="5" t="s">
        <v>2118</v>
      </c>
      <c r="L282" s="5">
        <v>61</v>
      </c>
      <c r="M282" s="5">
        <v>4</v>
      </c>
      <c r="N282" s="5">
        <v>121</v>
      </c>
      <c r="O282" s="5">
        <v>4</v>
      </c>
      <c r="P282" s="5" t="s">
        <v>2119</v>
      </c>
      <c r="Q282" s="5">
        <v>1</v>
      </c>
      <c r="R282" s="74">
        <v>30418</v>
      </c>
      <c r="T282" s="5">
        <v>0</v>
      </c>
      <c r="U282" s="5">
        <v>3</v>
      </c>
      <c r="V282" s="5">
        <v>2</v>
      </c>
      <c r="W282" s="5">
        <v>3</v>
      </c>
      <c r="X282" s="5">
        <v>4</v>
      </c>
      <c r="AA282" s="5">
        <v>1</v>
      </c>
      <c r="AB282" s="5">
        <v>0</v>
      </c>
      <c r="AC282" s="5">
        <v>1</v>
      </c>
      <c r="AD282" s="5">
        <v>0</v>
      </c>
      <c r="AE282" s="5">
        <v>0</v>
      </c>
      <c r="AF282" s="5">
        <v>0</v>
      </c>
      <c r="AG282" s="5">
        <v>0</v>
      </c>
      <c r="AH282" s="5" t="s">
        <v>470</v>
      </c>
      <c r="AI282" s="5" t="s">
        <v>366</v>
      </c>
      <c r="AJ282" s="5" t="s">
        <v>2120</v>
      </c>
      <c r="AK282" s="5">
        <v>610423040007</v>
      </c>
      <c r="AL282" s="5" t="e">
        <f t="shared" si="3"/>
        <v>#VALUE!</v>
      </c>
    </row>
    <row r="283" spans="1:38" ht="12.5">
      <c r="A283" s="10" t="str">
        <f t="shared" si="0"/>
        <v>Nisa Istiqomah Harahap</v>
      </c>
      <c r="B283" s="5">
        <f t="shared" si="1"/>
        <v>610422060007</v>
      </c>
      <c r="C283" s="5" t="str">
        <f t="shared" si="2"/>
        <v>Nisa Istiqomah Harahap</v>
      </c>
      <c r="D283" s="5" t="s">
        <v>363</v>
      </c>
      <c r="E283" s="5" t="e">
        <f t="array" ref="E283">INDEX('Master SLS'!$H$2:$H998,MATCH($AL283,'Master SLS'!$K$2:$K998,0))</f>
        <v>#VALUE!</v>
      </c>
      <c r="F283" s="5" t="e">
        <f t="array" ref="F283">INDEX('Master SLS'!$I$2:$I998,MATCH($AL283,'Master SLS'!$K$2:$K998,0))</f>
        <v>#VALUE!</v>
      </c>
      <c r="G283" s="5" t="s">
        <v>2121</v>
      </c>
      <c r="H283" s="5" t="s">
        <v>2122</v>
      </c>
      <c r="I283" s="5" t="s">
        <v>474</v>
      </c>
      <c r="J283" s="5">
        <v>1</v>
      </c>
      <c r="K283" s="5" t="s">
        <v>2123</v>
      </c>
      <c r="L283" s="5">
        <v>61</v>
      </c>
      <c r="M283" s="5">
        <v>4</v>
      </c>
      <c r="N283" s="5">
        <v>100</v>
      </c>
      <c r="O283" s="5">
        <v>7</v>
      </c>
      <c r="P283" s="5" t="s">
        <v>2124</v>
      </c>
      <c r="Q283" s="5">
        <v>1</v>
      </c>
      <c r="R283" s="74">
        <v>34168</v>
      </c>
      <c r="T283" s="5">
        <v>0</v>
      </c>
      <c r="U283" s="5">
        <v>1</v>
      </c>
      <c r="V283" s="5">
        <v>2</v>
      </c>
      <c r="W283" s="5">
        <v>5</v>
      </c>
      <c r="X283" s="5">
        <v>4</v>
      </c>
      <c r="AA283" s="5">
        <v>1</v>
      </c>
      <c r="AB283" s="5">
        <v>1</v>
      </c>
      <c r="AC283" s="5">
        <v>0</v>
      </c>
      <c r="AD283" s="5">
        <v>0</v>
      </c>
      <c r="AE283" s="5">
        <v>0</v>
      </c>
      <c r="AF283" s="5">
        <v>0</v>
      </c>
      <c r="AG283" s="5">
        <v>0</v>
      </c>
      <c r="AH283" s="5" t="s">
        <v>2125</v>
      </c>
      <c r="AI283" s="5" t="s">
        <v>474</v>
      </c>
      <c r="AJ283" s="5" t="s">
        <v>2126</v>
      </c>
      <c r="AK283" s="5">
        <v>610422060007</v>
      </c>
      <c r="AL283" s="5" t="e">
        <f t="shared" si="3"/>
        <v>#VALUE!</v>
      </c>
    </row>
    <row r="284" spans="1:38" ht="12.5">
      <c r="A284" s="10" t="str">
        <f t="shared" si="0"/>
        <v>Nita Mursyida</v>
      </c>
      <c r="B284" s="5">
        <f t="shared" si="1"/>
        <v>610423110133</v>
      </c>
      <c r="C284" s="5" t="str">
        <f t="shared" si="2"/>
        <v>Nita Mursyida</v>
      </c>
      <c r="D284" s="5" t="s">
        <v>363</v>
      </c>
      <c r="E284" s="5" t="e">
        <f t="array" ref="E284">INDEX('Master SLS'!$H$2:$H998,MATCH($AL284,'Master SLS'!$K$2:$K998,0))</f>
        <v>#VALUE!</v>
      </c>
      <c r="F284" s="5" t="e">
        <f t="array" ref="F284">INDEX('Master SLS'!$I$2:$I998,MATCH($AL284,'Master SLS'!$K$2:$K998,0))</f>
        <v>#VALUE!</v>
      </c>
      <c r="G284" s="5" t="s">
        <v>2127</v>
      </c>
      <c r="H284" s="5" t="s">
        <v>2128</v>
      </c>
      <c r="I284" s="5" t="s">
        <v>366</v>
      </c>
      <c r="J284" s="5">
        <v>1</v>
      </c>
      <c r="K284" s="5" t="s">
        <v>2129</v>
      </c>
      <c r="L284" s="5">
        <v>61</v>
      </c>
      <c r="M284" s="5">
        <v>4</v>
      </c>
      <c r="N284" s="5">
        <v>101</v>
      </c>
      <c r="O284" s="5">
        <v>2</v>
      </c>
      <c r="P284" s="5" t="s">
        <v>2130</v>
      </c>
      <c r="Q284" s="5">
        <v>1</v>
      </c>
      <c r="R284" s="74">
        <v>35544</v>
      </c>
      <c r="S284" s="5" t="s">
        <v>2131</v>
      </c>
      <c r="T284" s="5">
        <v>0</v>
      </c>
      <c r="U284" s="5">
        <v>1</v>
      </c>
      <c r="V284" s="5">
        <v>1</v>
      </c>
      <c r="W284" s="5">
        <v>4</v>
      </c>
      <c r="X284" s="5">
        <v>7</v>
      </c>
      <c r="Y284" s="5" t="s">
        <v>2132</v>
      </c>
      <c r="AA284" s="5">
        <v>0</v>
      </c>
      <c r="AB284" s="5">
        <v>0</v>
      </c>
      <c r="AC284" s="5">
        <v>0</v>
      </c>
      <c r="AD284" s="5">
        <v>0</v>
      </c>
      <c r="AE284" s="5">
        <v>0</v>
      </c>
      <c r="AF284" s="5">
        <v>0</v>
      </c>
      <c r="AG284" s="5">
        <v>0</v>
      </c>
      <c r="AI284" s="5" t="s">
        <v>366</v>
      </c>
      <c r="AJ284" s="5" t="s">
        <v>2133</v>
      </c>
      <c r="AK284" s="5">
        <v>610423110133</v>
      </c>
      <c r="AL284" s="5" t="e">
        <f t="shared" si="3"/>
        <v>#VALUE!</v>
      </c>
    </row>
    <row r="285" spans="1:38" ht="12.5">
      <c r="A285" s="10" t="str">
        <f t="shared" si="0"/>
        <v>Norma Aspri Yani</v>
      </c>
      <c r="B285" s="5">
        <f t="shared" si="1"/>
        <v>610422100076</v>
      </c>
      <c r="C285" s="5" t="str">
        <f t="shared" si="2"/>
        <v>NORMA ASPRI YANI</v>
      </c>
      <c r="D285" s="5" t="s">
        <v>363</v>
      </c>
      <c r="E285" s="5" t="e">
        <f t="array" ref="E285">INDEX('Master SLS'!$H$2:$H998,MATCH($AL285,'Master SLS'!$K$2:$K998,0))</f>
        <v>#VALUE!</v>
      </c>
      <c r="F285" s="5" t="e">
        <f t="array" ref="F285">INDEX('Master SLS'!$I$2:$I998,MATCH($AL285,'Master SLS'!$K$2:$K998,0))</f>
        <v>#VALUE!</v>
      </c>
      <c r="G285" s="5" t="s">
        <v>2134</v>
      </c>
      <c r="H285" s="5" t="s">
        <v>2135</v>
      </c>
      <c r="I285" s="5" t="s">
        <v>366</v>
      </c>
      <c r="J285" s="5">
        <v>1</v>
      </c>
      <c r="K285" s="5" t="s">
        <v>2136</v>
      </c>
      <c r="L285" s="5">
        <v>61</v>
      </c>
      <c r="M285" s="5">
        <v>4</v>
      </c>
      <c r="N285" s="5">
        <v>110</v>
      </c>
      <c r="O285" s="5">
        <v>5</v>
      </c>
      <c r="P285" s="5" t="s">
        <v>2137</v>
      </c>
      <c r="Q285" s="5">
        <v>1</v>
      </c>
      <c r="R285" s="74">
        <v>35528</v>
      </c>
      <c r="T285" s="5">
        <v>0</v>
      </c>
      <c r="U285" s="5">
        <v>1</v>
      </c>
      <c r="V285" s="5">
        <v>1</v>
      </c>
      <c r="W285" s="5">
        <v>3</v>
      </c>
      <c r="X285" s="5">
        <v>6</v>
      </c>
      <c r="AA285" s="5">
        <v>1</v>
      </c>
      <c r="AB285" s="5">
        <v>0</v>
      </c>
      <c r="AC285" s="5">
        <v>1</v>
      </c>
      <c r="AD285" s="5">
        <v>0</v>
      </c>
      <c r="AE285" s="5">
        <v>0</v>
      </c>
      <c r="AF285" s="5">
        <v>0</v>
      </c>
      <c r="AG285" s="5">
        <v>0</v>
      </c>
      <c r="AH285" s="5" t="s">
        <v>2138</v>
      </c>
      <c r="AI285" s="5" t="s">
        <v>366</v>
      </c>
      <c r="AJ285" s="5" t="s">
        <v>2139</v>
      </c>
      <c r="AK285" s="5">
        <v>610422100076</v>
      </c>
      <c r="AL285" s="5" t="e">
        <f t="shared" si="3"/>
        <v>#VALUE!</v>
      </c>
    </row>
    <row r="286" spans="1:38" ht="12.5">
      <c r="A286" s="10" t="str">
        <f t="shared" si="0"/>
        <v>Novi Sri Wulandari</v>
      </c>
      <c r="B286" s="5">
        <f t="shared" si="1"/>
        <v>610422100008</v>
      </c>
      <c r="C286" s="5" t="str">
        <f t="shared" si="2"/>
        <v>Novi Sri Wulandari</v>
      </c>
      <c r="D286" s="5" t="s">
        <v>560</v>
      </c>
      <c r="E286" s="5" t="s">
        <v>1921</v>
      </c>
      <c r="F286" s="5" t="s">
        <v>2140</v>
      </c>
      <c r="G286" s="5" t="s">
        <v>2141</v>
      </c>
      <c r="H286" s="5" t="s">
        <v>2142</v>
      </c>
      <c r="I286" s="5" t="s">
        <v>366</v>
      </c>
      <c r="J286" s="5">
        <v>1</v>
      </c>
      <c r="K286" s="5" t="s">
        <v>2143</v>
      </c>
      <c r="L286" s="5">
        <v>61</v>
      </c>
      <c r="M286" s="5">
        <v>71</v>
      </c>
      <c r="N286" s="5">
        <v>31</v>
      </c>
      <c r="O286" s="5">
        <v>1</v>
      </c>
      <c r="P286" s="5" t="s">
        <v>2144</v>
      </c>
      <c r="Q286" s="5">
        <v>1</v>
      </c>
      <c r="R286" s="7">
        <v>32461</v>
      </c>
      <c r="S286" s="5" t="s">
        <v>2145</v>
      </c>
      <c r="T286" s="5">
        <v>0</v>
      </c>
      <c r="U286" s="5">
        <v>1</v>
      </c>
      <c r="V286" s="5">
        <v>2</v>
      </c>
      <c r="W286" s="5">
        <v>5</v>
      </c>
      <c r="X286" s="5">
        <v>5</v>
      </c>
      <c r="AA286" s="5">
        <v>1</v>
      </c>
      <c r="AB286" s="5">
        <v>0</v>
      </c>
      <c r="AC286" s="5">
        <v>1</v>
      </c>
      <c r="AD286" s="5">
        <v>1</v>
      </c>
      <c r="AE286" s="5">
        <v>0</v>
      </c>
      <c r="AF286" s="5">
        <v>0</v>
      </c>
      <c r="AG286" s="5">
        <v>0</v>
      </c>
      <c r="AH286" s="5" t="s">
        <v>2146</v>
      </c>
      <c r="AI286" s="5" t="s">
        <v>366</v>
      </c>
      <c r="AJ286" s="5" t="s">
        <v>2147</v>
      </c>
      <c r="AK286" s="5">
        <v>610422100008</v>
      </c>
      <c r="AL286" s="5" t="e">
        <f t="shared" si="3"/>
        <v>#VALUE!</v>
      </c>
    </row>
    <row r="287" spans="1:38" ht="12.5">
      <c r="A287" s="10" t="str">
        <f t="shared" si="0"/>
        <v>Novita Diana Lestari</v>
      </c>
      <c r="B287" s="5">
        <f t="shared" si="1"/>
        <v>610423090018</v>
      </c>
      <c r="C287" s="5" t="str">
        <f t="shared" si="2"/>
        <v>Novita diana lestari</v>
      </c>
      <c r="D287" s="5" t="s">
        <v>363</v>
      </c>
      <c r="E287" s="5" t="e">
        <f t="array" ref="E287">INDEX('Master SLS'!$H$2:$H998,MATCH($AL287,'Master SLS'!$K$2:$K998,0))</f>
        <v>#VALUE!</v>
      </c>
      <c r="F287" s="5" t="e">
        <f t="array" ref="F287">INDEX('Master SLS'!$I$2:$I998,MATCH($AL287,'Master SLS'!$K$2:$K998,0))</f>
        <v>#VALUE!</v>
      </c>
      <c r="G287" s="5" t="s">
        <v>2148</v>
      </c>
      <c r="H287" s="5" t="s">
        <v>2149</v>
      </c>
      <c r="I287" s="5" t="s">
        <v>366</v>
      </c>
      <c r="J287" s="5">
        <v>1</v>
      </c>
      <c r="K287" s="5" t="s">
        <v>2150</v>
      </c>
      <c r="L287" s="5">
        <v>61</v>
      </c>
      <c r="M287" s="5">
        <v>4</v>
      </c>
      <c r="N287" s="5">
        <v>101</v>
      </c>
      <c r="O287" s="5">
        <v>3</v>
      </c>
      <c r="P287" s="5" t="s">
        <v>2151</v>
      </c>
      <c r="Q287" s="5">
        <v>1</v>
      </c>
      <c r="R287" s="7">
        <v>33932</v>
      </c>
      <c r="S287" s="5" t="s">
        <v>2152</v>
      </c>
      <c r="T287" s="5">
        <v>0</v>
      </c>
      <c r="U287" s="5">
        <v>1</v>
      </c>
      <c r="V287" s="5">
        <v>1</v>
      </c>
      <c r="W287" s="5">
        <v>3</v>
      </c>
      <c r="X287" s="5">
        <v>6</v>
      </c>
      <c r="AA287" s="5">
        <v>0</v>
      </c>
      <c r="AB287" s="5">
        <v>0</v>
      </c>
      <c r="AC287" s="5">
        <v>0</v>
      </c>
      <c r="AD287" s="5">
        <v>0</v>
      </c>
      <c r="AE287" s="5">
        <v>0</v>
      </c>
      <c r="AF287" s="5">
        <v>0</v>
      </c>
      <c r="AG287" s="5">
        <v>0</v>
      </c>
      <c r="AI287" s="5" t="s">
        <v>366</v>
      </c>
      <c r="AJ287" s="5" t="s">
        <v>2153</v>
      </c>
      <c r="AK287" s="5">
        <v>610423090018</v>
      </c>
      <c r="AL287" s="5" t="e">
        <f t="shared" si="3"/>
        <v>#VALUE!</v>
      </c>
    </row>
    <row r="288" spans="1:38" ht="12.5">
      <c r="A288" s="10" t="str">
        <f t="shared" si="0"/>
        <v>Novita Sari</v>
      </c>
      <c r="B288" s="5">
        <f t="shared" si="1"/>
        <v>610422040050</v>
      </c>
      <c r="C288" s="5" t="str">
        <f t="shared" si="2"/>
        <v>NOVITA SARI</v>
      </c>
      <c r="D288" s="5" t="s">
        <v>363</v>
      </c>
      <c r="E288" s="5" t="e">
        <f t="array" ref="E288">INDEX('Master SLS'!$H$2:$H998,MATCH($AL288,'Master SLS'!$K$2:$K998,0))</f>
        <v>#VALUE!</v>
      </c>
      <c r="F288" s="5" t="e">
        <f t="array" ref="F288">INDEX('Master SLS'!$I$2:$I998,MATCH($AL288,'Master SLS'!$K$2:$K998,0))</f>
        <v>#VALUE!</v>
      </c>
      <c r="G288" s="5" t="s">
        <v>2154</v>
      </c>
      <c r="H288" s="5" t="s">
        <v>2155</v>
      </c>
      <c r="I288" s="5" t="s">
        <v>388</v>
      </c>
      <c r="J288" s="5">
        <v>1</v>
      </c>
      <c r="K288" s="5" t="s">
        <v>2156</v>
      </c>
      <c r="L288" s="5">
        <v>61</v>
      </c>
      <c r="M288" s="5">
        <v>4</v>
      </c>
      <c r="N288" s="5">
        <v>80</v>
      </c>
      <c r="O288" s="5">
        <v>2</v>
      </c>
      <c r="P288" s="5" t="s">
        <v>2157</v>
      </c>
      <c r="Q288" s="5">
        <v>1</v>
      </c>
      <c r="R288" s="74">
        <v>36330</v>
      </c>
      <c r="T288" s="5">
        <v>0</v>
      </c>
      <c r="U288" s="5">
        <v>1</v>
      </c>
      <c r="V288" s="5">
        <v>1</v>
      </c>
      <c r="W288" s="5">
        <v>3</v>
      </c>
      <c r="X288" s="5">
        <v>6</v>
      </c>
      <c r="AA288" s="5">
        <v>1</v>
      </c>
      <c r="AB288" s="5">
        <v>0</v>
      </c>
      <c r="AC288" s="5">
        <v>1</v>
      </c>
      <c r="AD288" s="5">
        <v>0</v>
      </c>
      <c r="AE288" s="5">
        <v>1</v>
      </c>
      <c r="AF288" s="5">
        <v>1</v>
      </c>
      <c r="AG288" s="5">
        <v>0</v>
      </c>
      <c r="AI288" s="5" t="s">
        <v>388</v>
      </c>
      <c r="AJ288" s="5" t="s">
        <v>2158</v>
      </c>
      <c r="AK288" s="5">
        <v>610422040050</v>
      </c>
      <c r="AL288" s="5" t="e">
        <f t="shared" si="3"/>
        <v>#VALUE!</v>
      </c>
    </row>
    <row r="289" spans="1:38" ht="12.5">
      <c r="A289" s="10" t="str">
        <f t="shared" si="0"/>
        <v>Nur Ai'Mah</v>
      </c>
      <c r="B289" s="5">
        <f t="shared" si="1"/>
        <v>610423110103</v>
      </c>
      <c r="C289" s="5" t="str">
        <f t="shared" si="2"/>
        <v>NUR AI'MAH</v>
      </c>
      <c r="D289" s="5" t="s">
        <v>363</v>
      </c>
      <c r="E289" s="5" t="e">
        <f t="array" ref="E289">INDEX('Master SLS'!$H$2:$H998,MATCH($AL289,'Master SLS'!$K$2:$K998,0))</f>
        <v>#VALUE!</v>
      </c>
      <c r="F289" s="5" t="e">
        <f t="array" ref="F289">INDEX('Master SLS'!$I$2:$I998,MATCH($AL289,'Master SLS'!$K$2:$K998,0))</f>
        <v>#VALUE!</v>
      </c>
      <c r="G289" s="5" t="s">
        <v>2159</v>
      </c>
      <c r="H289" s="5" t="s">
        <v>2160</v>
      </c>
      <c r="I289" s="5" t="s">
        <v>366</v>
      </c>
      <c r="J289" s="5">
        <v>1</v>
      </c>
      <c r="K289" s="5" t="s">
        <v>2161</v>
      </c>
      <c r="L289" s="5">
        <v>61</v>
      </c>
      <c r="M289" s="5">
        <v>4</v>
      </c>
      <c r="N289" s="5">
        <v>110</v>
      </c>
      <c r="O289" s="5">
        <v>7</v>
      </c>
      <c r="P289" s="5" t="s">
        <v>2162</v>
      </c>
      <c r="Q289" s="5">
        <v>1</v>
      </c>
      <c r="R289" s="74">
        <v>36223</v>
      </c>
      <c r="T289" s="5">
        <v>0</v>
      </c>
      <c r="U289" s="5">
        <v>1</v>
      </c>
      <c r="V289" s="5">
        <v>1</v>
      </c>
      <c r="W289" s="5">
        <v>3</v>
      </c>
      <c r="X289" s="5">
        <v>6</v>
      </c>
      <c r="AA289" s="5">
        <v>0</v>
      </c>
      <c r="AB289" s="5">
        <v>0</v>
      </c>
      <c r="AC289" s="5">
        <v>0</v>
      </c>
      <c r="AD289" s="5">
        <v>0</v>
      </c>
      <c r="AE289" s="5">
        <v>0</v>
      </c>
      <c r="AF289" s="5">
        <v>0</v>
      </c>
      <c r="AG289" s="5">
        <v>0</v>
      </c>
      <c r="AH289" s="5" t="s">
        <v>2163</v>
      </c>
      <c r="AI289" s="5" t="s">
        <v>366</v>
      </c>
      <c r="AJ289" s="5" t="s">
        <v>2164</v>
      </c>
      <c r="AK289" s="5">
        <v>610423110103</v>
      </c>
      <c r="AL289" s="5" t="e">
        <f t="shared" si="3"/>
        <v>#VALUE!</v>
      </c>
    </row>
    <row r="290" spans="1:38" ht="12.5">
      <c r="A290" s="10" t="str">
        <f t="shared" si="0"/>
        <v>Nur Azizah Fizqy</v>
      </c>
      <c r="B290" s="5">
        <f t="shared" si="1"/>
        <v>610423110121</v>
      </c>
      <c r="C290" s="5" t="str">
        <f t="shared" si="2"/>
        <v>Nur Azizah Fizqy</v>
      </c>
      <c r="D290" s="5" t="s">
        <v>363</v>
      </c>
      <c r="E290" s="5" t="e">
        <f t="array" ref="E290">INDEX('Master SLS'!$H$2:$H998,MATCH($AL290,'Master SLS'!$K$2:$K998,0))</f>
        <v>#VALUE!</v>
      </c>
      <c r="F290" s="5" t="e">
        <f t="array" ref="F290">INDEX('Master SLS'!$I$2:$I998,MATCH($AL290,'Master SLS'!$K$2:$K998,0))</f>
        <v>#VALUE!</v>
      </c>
      <c r="G290" s="5" t="s">
        <v>2165</v>
      </c>
      <c r="H290" s="5" t="s">
        <v>2166</v>
      </c>
      <c r="I290" s="5" t="s">
        <v>388</v>
      </c>
      <c r="J290" s="5">
        <v>1</v>
      </c>
      <c r="K290" s="5" t="s">
        <v>2167</v>
      </c>
      <c r="L290" s="5">
        <v>61</v>
      </c>
      <c r="M290" s="5">
        <v>4</v>
      </c>
      <c r="N290" s="5">
        <v>100</v>
      </c>
      <c r="O290" s="5">
        <v>8</v>
      </c>
      <c r="P290" s="5" t="s">
        <v>2168</v>
      </c>
      <c r="Q290" s="5">
        <v>1</v>
      </c>
      <c r="R290" s="7">
        <v>37246</v>
      </c>
      <c r="S290" s="5" t="s">
        <v>2169</v>
      </c>
      <c r="T290" s="5">
        <v>0</v>
      </c>
      <c r="U290" s="5">
        <v>1</v>
      </c>
      <c r="V290" s="5">
        <v>1</v>
      </c>
      <c r="W290" s="5">
        <v>3</v>
      </c>
      <c r="X290" s="5">
        <v>7</v>
      </c>
      <c r="Y290" s="5" t="s">
        <v>2170</v>
      </c>
      <c r="AA290" s="5">
        <v>0</v>
      </c>
      <c r="AB290" s="5">
        <v>0</v>
      </c>
      <c r="AC290" s="5">
        <v>0</v>
      </c>
      <c r="AD290" s="5">
        <v>0</v>
      </c>
      <c r="AE290" s="5">
        <v>0</v>
      </c>
      <c r="AF290" s="5">
        <v>0</v>
      </c>
      <c r="AG290" s="5">
        <v>0</v>
      </c>
      <c r="AI290" s="5" t="s">
        <v>388</v>
      </c>
      <c r="AJ290" s="5" t="s">
        <v>2171</v>
      </c>
      <c r="AK290" s="5">
        <v>610423110121</v>
      </c>
      <c r="AL290" s="5" t="e">
        <f t="shared" si="3"/>
        <v>#VALUE!</v>
      </c>
    </row>
    <row r="291" spans="1:38" ht="12.5">
      <c r="A291" s="10" t="str">
        <f t="shared" si="0"/>
        <v>Nur Khalifah</v>
      </c>
      <c r="B291" s="5">
        <f t="shared" si="1"/>
        <v>610423110028</v>
      </c>
      <c r="C291" s="5" t="str">
        <f t="shared" si="2"/>
        <v>Nur Khalifah</v>
      </c>
      <c r="D291" s="5" t="s">
        <v>363</v>
      </c>
      <c r="E291" s="5" t="e">
        <f t="array" ref="E291">INDEX('Master SLS'!$H$2:$H998,MATCH($AL291,'Master SLS'!$K$2:$K998,0))</f>
        <v>#VALUE!</v>
      </c>
      <c r="F291" s="5" t="e">
        <f t="array" ref="F291">INDEX('Master SLS'!$I$2:$I998,MATCH($AL291,'Master SLS'!$K$2:$K998,0))</f>
        <v>#VALUE!</v>
      </c>
      <c r="G291" s="5" t="s">
        <v>2172</v>
      </c>
      <c r="H291" s="5" t="s">
        <v>2173</v>
      </c>
      <c r="I291" s="5" t="s">
        <v>366</v>
      </c>
      <c r="J291" s="5">
        <v>1</v>
      </c>
      <c r="K291" s="5" t="s">
        <v>2174</v>
      </c>
      <c r="L291" s="5">
        <v>61</v>
      </c>
      <c r="M291" s="5">
        <v>4</v>
      </c>
      <c r="N291" s="5">
        <v>100</v>
      </c>
      <c r="O291" s="5">
        <v>8</v>
      </c>
      <c r="P291" s="5" t="s">
        <v>2175</v>
      </c>
      <c r="Q291" s="5">
        <v>1</v>
      </c>
      <c r="R291" s="74">
        <v>36714</v>
      </c>
      <c r="T291" s="5">
        <v>0</v>
      </c>
      <c r="U291" s="5">
        <v>1</v>
      </c>
      <c r="V291" s="5">
        <v>1</v>
      </c>
      <c r="W291" s="5">
        <v>5</v>
      </c>
      <c r="X291" s="5">
        <v>7</v>
      </c>
      <c r="Y291" s="5" t="s">
        <v>2176</v>
      </c>
      <c r="AA291" s="5">
        <v>0</v>
      </c>
      <c r="AB291" s="5">
        <v>0</v>
      </c>
      <c r="AC291" s="5">
        <v>0</v>
      </c>
      <c r="AD291" s="5">
        <v>0</v>
      </c>
      <c r="AE291" s="5">
        <v>0</v>
      </c>
      <c r="AF291" s="5">
        <v>0</v>
      </c>
      <c r="AG291" s="5">
        <v>0</v>
      </c>
      <c r="AI291" s="5" t="s">
        <v>366</v>
      </c>
      <c r="AJ291" s="5" t="s">
        <v>2177</v>
      </c>
      <c r="AK291" s="5">
        <v>610423110028</v>
      </c>
      <c r="AL291" s="5" t="e">
        <f t="shared" si="3"/>
        <v>#VALUE!</v>
      </c>
    </row>
    <row r="292" spans="1:38" ht="12.5">
      <c r="A292" s="10" t="str">
        <f t="shared" si="0"/>
        <v>Nur Wanda Ismaulia</v>
      </c>
      <c r="B292" s="5">
        <f t="shared" si="1"/>
        <v>610422070003</v>
      </c>
      <c r="C292" s="5" t="str">
        <f t="shared" si="2"/>
        <v>Nur Wanda Ismaulia</v>
      </c>
      <c r="D292" s="5" t="s">
        <v>363</v>
      </c>
      <c r="E292" s="5" t="e">
        <f t="array" ref="E292">INDEX('Master SLS'!$H$2:$H998,MATCH($AL292,'Master SLS'!$K$2:$K998,0))</f>
        <v>#VALUE!</v>
      </c>
      <c r="F292" s="5" t="e">
        <f t="array" ref="F292">INDEX('Master SLS'!$I$2:$I998,MATCH($AL292,'Master SLS'!$K$2:$K998,0))</f>
        <v>#VALUE!</v>
      </c>
      <c r="G292" s="5" t="s">
        <v>2178</v>
      </c>
      <c r="H292" s="5" t="s">
        <v>2179</v>
      </c>
      <c r="I292" s="5" t="s">
        <v>388</v>
      </c>
      <c r="J292" s="5">
        <v>1</v>
      </c>
      <c r="K292" s="5" t="s">
        <v>2180</v>
      </c>
      <c r="L292" s="5">
        <v>61</v>
      </c>
      <c r="M292" s="5">
        <v>4</v>
      </c>
      <c r="N292" s="5">
        <v>100</v>
      </c>
      <c r="O292" s="5">
        <v>8</v>
      </c>
      <c r="P292" s="5" t="s">
        <v>2181</v>
      </c>
      <c r="Q292" s="5">
        <v>1</v>
      </c>
      <c r="R292" s="74">
        <v>38153</v>
      </c>
      <c r="T292" s="5">
        <v>0</v>
      </c>
      <c r="U292" s="5">
        <v>1</v>
      </c>
      <c r="V292" s="5">
        <v>1</v>
      </c>
      <c r="W292" s="5">
        <v>3</v>
      </c>
      <c r="X292" s="5">
        <v>7</v>
      </c>
      <c r="Y292" s="5" t="s">
        <v>895</v>
      </c>
      <c r="AA292" s="5">
        <v>0</v>
      </c>
      <c r="AB292" s="5">
        <v>0</v>
      </c>
      <c r="AC292" s="5">
        <v>0</v>
      </c>
      <c r="AD292" s="5">
        <v>0</v>
      </c>
      <c r="AE292" s="5">
        <v>0</v>
      </c>
      <c r="AF292" s="5">
        <v>0</v>
      </c>
      <c r="AG292" s="5">
        <v>0</v>
      </c>
      <c r="AH292" s="5" t="s">
        <v>369</v>
      </c>
      <c r="AI292" s="5" t="s">
        <v>388</v>
      </c>
      <c r="AJ292" s="5" t="s">
        <v>2182</v>
      </c>
      <c r="AK292" s="5">
        <v>610422070003</v>
      </c>
      <c r="AL292" s="5" t="e">
        <f t="shared" si="3"/>
        <v>#VALUE!</v>
      </c>
    </row>
    <row r="293" spans="1:38" ht="12.5">
      <c r="A293" s="10" t="str">
        <f t="shared" si="0"/>
        <v>Nurhapiza</v>
      </c>
      <c r="B293" s="5">
        <f t="shared" si="1"/>
        <v>610423110076</v>
      </c>
      <c r="C293" s="5" t="str">
        <f t="shared" si="2"/>
        <v>Nurhapiza</v>
      </c>
      <c r="D293" s="5" t="s">
        <v>363</v>
      </c>
      <c r="E293" s="5" t="e">
        <f t="array" ref="E293">INDEX('Master SLS'!$H$2:$H998,MATCH($AL293,'Master SLS'!$K$2:$K998,0))</f>
        <v>#VALUE!</v>
      </c>
      <c r="F293" s="5" t="e">
        <f t="array" ref="F293">INDEX('Master SLS'!$I$2:$I998,MATCH($AL293,'Master SLS'!$K$2:$K998,0))</f>
        <v>#VALUE!</v>
      </c>
      <c r="G293" s="5" t="s">
        <v>2183</v>
      </c>
      <c r="H293" s="5" t="s">
        <v>2184</v>
      </c>
      <c r="I293" s="5" t="s">
        <v>366</v>
      </c>
      <c r="J293" s="5">
        <v>1</v>
      </c>
      <c r="K293" s="5" t="s">
        <v>2185</v>
      </c>
      <c r="L293" s="5">
        <v>61</v>
      </c>
      <c r="M293" s="5">
        <v>4</v>
      </c>
      <c r="N293" s="5">
        <v>101</v>
      </c>
      <c r="O293" s="5">
        <v>1</v>
      </c>
      <c r="P293" s="5" t="s">
        <v>2186</v>
      </c>
      <c r="Q293" s="5">
        <v>1</v>
      </c>
      <c r="R293" s="74">
        <v>33443</v>
      </c>
      <c r="S293" s="5" t="s">
        <v>2187</v>
      </c>
      <c r="T293" s="5">
        <v>0</v>
      </c>
      <c r="U293" s="5">
        <v>1</v>
      </c>
      <c r="V293" s="5">
        <v>2</v>
      </c>
      <c r="W293" s="5">
        <v>5</v>
      </c>
      <c r="X293" s="5">
        <v>4</v>
      </c>
      <c r="AA293" s="5">
        <v>0</v>
      </c>
      <c r="AB293" s="5">
        <v>0</v>
      </c>
      <c r="AC293" s="5">
        <v>0</v>
      </c>
      <c r="AD293" s="5">
        <v>0</v>
      </c>
      <c r="AE293" s="5">
        <v>0</v>
      </c>
      <c r="AF293" s="5">
        <v>0</v>
      </c>
      <c r="AG293" s="5">
        <v>0</v>
      </c>
      <c r="AI293" s="5" t="s">
        <v>366</v>
      </c>
      <c r="AJ293" s="5" t="s">
        <v>2184</v>
      </c>
      <c r="AK293" s="5">
        <v>610423110076</v>
      </c>
      <c r="AL293" s="5" t="e">
        <f t="shared" si="3"/>
        <v>#VALUE!</v>
      </c>
    </row>
    <row r="294" spans="1:38" ht="12.5">
      <c r="A294" s="10" t="str">
        <f t="shared" si="0"/>
        <v>Nuriza</v>
      </c>
      <c r="B294" s="5">
        <f t="shared" si="1"/>
        <v>610422100224</v>
      </c>
      <c r="C294" s="5" t="str">
        <f t="shared" si="2"/>
        <v>Nuriza</v>
      </c>
      <c r="D294" s="5" t="s">
        <v>363</v>
      </c>
      <c r="E294" s="5" t="e">
        <f t="array" ref="E294">INDEX('Master SLS'!$H$2:$H998,MATCH($AL294,'Master SLS'!$K$2:$K998,0))</f>
        <v>#VALUE!</v>
      </c>
      <c r="F294" s="5" t="e">
        <f t="array" ref="F294">INDEX('Master SLS'!$I$2:$I998,MATCH($AL294,'Master SLS'!$K$2:$K998,0))</f>
        <v>#VALUE!</v>
      </c>
      <c r="G294" s="5" t="s">
        <v>2188</v>
      </c>
      <c r="H294" s="5" t="s">
        <v>2189</v>
      </c>
      <c r="I294" s="5" t="s">
        <v>388</v>
      </c>
      <c r="J294" s="5">
        <v>1</v>
      </c>
      <c r="K294" s="5" t="s">
        <v>2190</v>
      </c>
      <c r="L294" s="5">
        <v>61</v>
      </c>
      <c r="M294" s="5">
        <v>4</v>
      </c>
      <c r="N294" s="5">
        <v>110</v>
      </c>
      <c r="O294" s="5">
        <v>3</v>
      </c>
      <c r="P294" s="5" t="s">
        <v>2191</v>
      </c>
      <c r="Q294" s="5">
        <v>1</v>
      </c>
      <c r="R294" s="7">
        <v>37554</v>
      </c>
      <c r="S294" s="5" t="s">
        <v>2192</v>
      </c>
      <c r="T294" s="5">
        <v>0</v>
      </c>
      <c r="U294" s="5">
        <v>1</v>
      </c>
      <c r="V294" s="5">
        <v>1</v>
      </c>
      <c r="W294" s="5">
        <v>3</v>
      </c>
      <c r="X294" s="5">
        <v>6</v>
      </c>
      <c r="AA294" s="5">
        <v>1</v>
      </c>
      <c r="AB294" s="5">
        <v>0</v>
      </c>
      <c r="AC294" s="5">
        <v>1</v>
      </c>
      <c r="AD294" s="5">
        <v>1</v>
      </c>
      <c r="AE294" s="5">
        <v>0</v>
      </c>
      <c r="AF294" s="5">
        <v>0</v>
      </c>
      <c r="AG294" s="5">
        <v>0</v>
      </c>
      <c r="AH294" s="5" t="s">
        <v>2193</v>
      </c>
      <c r="AI294" s="5" t="s">
        <v>388</v>
      </c>
      <c r="AJ294" s="5" t="s">
        <v>2194</v>
      </c>
      <c r="AK294" s="5">
        <v>610422100224</v>
      </c>
      <c r="AL294" s="5" t="e">
        <f t="shared" si="3"/>
        <v>#VALUE!</v>
      </c>
    </row>
    <row r="295" spans="1:38" ht="12.5">
      <c r="A295" s="10" t="str">
        <f t="shared" si="0"/>
        <v>Nurlian</v>
      </c>
      <c r="B295" s="5">
        <f t="shared" si="1"/>
        <v>610422040033</v>
      </c>
      <c r="C295" s="5" t="str">
        <f t="shared" si="2"/>
        <v>NURLIAN</v>
      </c>
      <c r="D295" s="5" t="s">
        <v>363</v>
      </c>
      <c r="E295" s="5" t="e">
        <f t="array" ref="E295">INDEX('Master SLS'!$H$2:$H998,MATCH($AL295,'Master SLS'!$K$2:$K998,0))</f>
        <v>#VALUE!</v>
      </c>
      <c r="F295" s="5" t="e">
        <f t="array" ref="F295">INDEX('Master SLS'!$I$2:$I998,MATCH($AL295,'Master SLS'!$K$2:$K998,0))</f>
        <v>#VALUE!</v>
      </c>
      <c r="G295" s="5" t="s">
        <v>2195</v>
      </c>
      <c r="H295" s="5" t="s">
        <v>2196</v>
      </c>
      <c r="I295" s="5" t="s">
        <v>388</v>
      </c>
      <c r="J295" s="5">
        <v>1</v>
      </c>
      <c r="K295" s="5" t="s">
        <v>2197</v>
      </c>
      <c r="L295" s="5">
        <v>61</v>
      </c>
      <c r="M295" s="5">
        <v>4</v>
      </c>
      <c r="N295" s="5">
        <v>80</v>
      </c>
      <c r="O295" s="5">
        <v>2</v>
      </c>
      <c r="P295" s="5" t="s">
        <v>2198</v>
      </c>
      <c r="Q295" s="5">
        <v>1</v>
      </c>
      <c r="R295" s="74">
        <v>35166</v>
      </c>
      <c r="T295" s="5">
        <v>0</v>
      </c>
      <c r="U295" s="5">
        <v>1</v>
      </c>
      <c r="V295" s="5">
        <v>1</v>
      </c>
      <c r="W295" s="5">
        <v>3</v>
      </c>
      <c r="X295" s="5">
        <v>4</v>
      </c>
      <c r="AA295" s="5">
        <v>1</v>
      </c>
      <c r="AB295" s="5">
        <v>1</v>
      </c>
      <c r="AC295" s="5">
        <v>0</v>
      </c>
      <c r="AD295" s="5">
        <v>0</v>
      </c>
      <c r="AE295" s="5">
        <v>1</v>
      </c>
      <c r="AF295" s="5">
        <v>1</v>
      </c>
      <c r="AG295" s="5">
        <v>0</v>
      </c>
      <c r="AH295" s="5" t="s">
        <v>369</v>
      </c>
      <c r="AI295" s="5" t="s">
        <v>388</v>
      </c>
      <c r="AJ295" s="5" t="s">
        <v>2199</v>
      </c>
      <c r="AK295" s="5">
        <v>610422040033</v>
      </c>
      <c r="AL295" s="5" t="e">
        <f t="shared" si="3"/>
        <v>#VALUE!</v>
      </c>
    </row>
    <row r="296" spans="1:38" ht="12.5">
      <c r="A296" s="10" t="str">
        <f t="shared" si="0"/>
        <v>Nurmala</v>
      </c>
      <c r="B296" s="5">
        <f t="shared" si="1"/>
        <v>610423110109</v>
      </c>
      <c r="C296" s="5" t="str">
        <f t="shared" si="2"/>
        <v>Nurmala</v>
      </c>
      <c r="D296" s="5" t="s">
        <v>363</v>
      </c>
      <c r="E296" s="5" t="e">
        <f t="array" ref="E296">INDEX('Master SLS'!$H$2:$H998,MATCH($AL296,'Master SLS'!$K$2:$K998,0))</f>
        <v>#VALUE!</v>
      </c>
      <c r="F296" s="5" t="e">
        <f t="array" ref="F296">INDEX('Master SLS'!$I$2:$I998,MATCH($AL296,'Master SLS'!$K$2:$K998,0))</f>
        <v>#VALUE!</v>
      </c>
      <c r="G296" s="5" t="s">
        <v>2200</v>
      </c>
      <c r="H296" s="5" t="s">
        <v>2201</v>
      </c>
      <c r="I296" s="5" t="s">
        <v>366</v>
      </c>
      <c r="J296" s="5">
        <v>1</v>
      </c>
      <c r="K296" s="5" t="s">
        <v>2202</v>
      </c>
      <c r="L296" s="5">
        <v>61</v>
      </c>
      <c r="M296" s="5">
        <v>4</v>
      </c>
      <c r="N296" s="5">
        <v>90</v>
      </c>
      <c r="O296" s="5">
        <v>8</v>
      </c>
      <c r="P296" s="5" t="s">
        <v>2203</v>
      </c>
      <c r="Q296" s="5">
        <v>1</v>
      </c>
      <c r="R296" s="74">
        <v>36472</v>
      </c>
      <c r="T296" s="5">
        <v>0</v>
      </c>
      <c r="U296" s="5">
        <v>1</v>
      </c>
      <c r="V296" s="5">
        <v>1</v>
      </c>
      <c r="W296" s="5">
        <v>3</v>
      </c>
      <c r="X296" s="5">
        <v>6</v>
      </c>
      <c r="AA296" s="5">
        <v>0</v>
      </c>
      <c r="AB296" s="5">
        <v>0</v>
      </c>
      <c r="AC296" s="5">
        <v>0</v>
      </c>
      <c r="AD296" s="5">
        <v>0</v>
      </c>
      <c r="AE296" s="5">
        <v>0</v>
      </c>
      <c r="AF296" s="5">
        <v>0</v>
      </c>
      <c r="AG296" s="5">
        <v>0</v>
      </c>
      <c r="AH296" s="5" t="s">
        <v>2204</v>
      </c>
      <c r="AI296" s="5" t="s">
        <v>366</v>
      </c>
      <c r="AJ296" s="5" t="s">
        <v>2205</v>
      </c>
      <c r="AK296" s="5">
        <v>610423110109</v>
      </c>
      <c r="AL296" s="5" t="e">
        <f t="shared" si="3"/>
        <v>#VALUE!</v>
      </c>
    </row>
    <row r="297" spans="1:38" ht="12.5">
      <c r="A297" s="10" t="str">
        <f t="shared" si="0"/>
        <v>Nursia</v>
      </c>
      <c r="B297" s="5">
        <f t="shared" si="1"/>
        <v>610423040011</v>
      </c>
      <c r="C297" s="5" t="str">
        <f t="shared" si="2"/>
        <v>Nursia</v>
      </c>
      <c r="D297" s="5" t="s">
        <v>363</v>
      </c>
      <c r="E297" s="5" t="e">
        <f t="array" ref="E297">INDEX('Master SLS'!$H$2:$H998,MATCH($AL297,'Master SLS'!$K$2:$K998,0))</f>
        <v>#VALUE!</v>
      </c>
      <c r="F297" s="5" t="e">
        <f t="array" ref="F297">INDEX('Master SLS'!$I$2:$I998,MATCH($AL297,'Master SLS'!$K$2:$K998,0))</f>
        <v>#VALUE!</v>
      </c>
      <c r="G297" s="5" t="s">
        <v>2206</v>
      </c>
      <c r="H297" s="5" t="s">
        <v>2207</v>
      </c>
      <c r="I297" s="5" t="s">
        <v>366</v>
      </c>
      <c r="J297" s="5">
        <v>1</v>
      </c>
      <c r="K297" s="5" t="s">
        <v>2208</v>
      </c>
      <c r="L297" s="5">
        <v>61</v>
      </c>
      <c r="M297" s="5">
        <v>4</v>
      </c>
      <c r="N297" s="5">
        <v>81</v>
      </c>
      <c r="O297" s="5">
        <v>6</v>
      </c>
      <c r="P297" s="5" t="s">
        <v>2209</v>
      </c>
      <c r="Q297" s="5">
        <v>1</v>
      </c>
      <c r="R297" s="74">
        <v>35665</v>
      </c>
      <c r="T297" s="5">
        <v>0</v>
      </c>
      <c r="U297" s="5">
        <v>1</v>
      </c>
      <c r="V297" s="5">
        <v>1</v>
      </c>
      <c r="W297" s="5">
        <v>5</v>
      </c>
      <c r="X297" s="5">
        <v>3</v>
      </c>
      <c r="AA297" s="5">
        <v>1</v>
      </c>
      <c r="AB297" s="5">
        <v>0</v>
      </c>
      <c r="AC297" s="5">
        <v>1</v>
      </c>
      <c r="AD297" s="5">
        <v>0</v>
      </c>
      <c r="AE297" s="5">
        <v>0</v>
      </c>
      <c r="AF297" s="5">
        <v>0</v>
      </c>
      <c r="AG297" s="5">
        <v>0</v>
      </c>
      <c r="AH297" s="5" t="s">
        <v>2210</v>
      </c>
      <c r="AI297" s="5" t="s">
        <v>366</v>
      </c>
      <c r="AJ297" s="5" t="s">
        <v>2211</v>
      </c>
      <c r="AK297" s="5">
        <v>610423040011</v>
      </c>
      <c r="AL297" s="5" t="e">
        <f t="shared" si="3"/>
        <v>#VALUE!</v>
      </c>
    </row>
    <row r="298" spans="1:38" ht="12.5">
      <c r="A298" s="10" t="str">
        <f t="shared" si="0"/>
        <v>Nurul Huda</v>
      </c>
      <c r="B298" s="5">
        <f t="shared" si="1"/>
        <v>610423090019</v>
      </c>
      <c r="C298" s="5" t="str">
        <f t="shared" si="2"/>
        <v>Nurul Huda</v>
      </c>
      <c r="D298" s="5" t="s">
        <v>363</v>
      </c>
      <c r="E298" s="5" t="e">
        <f t="array" ref="E298">INDEX('Master SLS'!$H$2:$H998,MATCH($AL298,'Master SLS'!$K$2:$K998,0))</f>
        <v>#VALUE!</v>
      </c>
      <c r="F298" s="5" t="e">
        <f t="array" ref="F298">INDEX('Master SLS'!$I$2:$I998,MATCH($AL298,'Master SLS'!$K$2:$K998,0))</f>
        <v>#VALUE!</v>
      </c>
      <c r="G298" s="5" t="s">
        <v>2212</v>
      </c>
      <c r="H298" s="5" t="s">
        <v>2213</v>
      </c>
      <c r="I298" s="5" t="s">
        <v>366</v>
      </c>
      <c r="J298" s="5">
        <v>1</v>
      </c>
      <c r="K298" s="5" t="s">
        <v>2214</v>
      </c>
      <c r="L298" s="5">
        <v>61</v>
      </c>
      <c r="M298" s="5">
        <v>4</v>
      </c>
      <c r="N298" s="5">
        <v>100</v>
      </c>
      <c r="O298" s="5">
        <v>2</v>
      </c>
      <c r="P298" s="5" t="s">
        <v>2215</v>
      </c>
      <c r="Q298" s="5">
        <v>1</v>
      </c>
      <c r="R298" s="74">
        <v>30991</v>
      </c>
      <c r="T298" s="5">
        <v>0</v>
      </c>
      <c r="U298" s="5">
        <v>1</v>
      </c>
      <c r="V298" s="5">
        <v>2</v>
      </c>
      <c r="W298" s="5">
        <v>5</v>
      </c>
      <c r="X298" s="5">
        <v>7</v>
      </c>
      <c r="Y298" s="5" t="s">
        <v>575</v>
      </c>
      <c r="AA298" s="5">
        <v>1</v>
      </c>
      <c r="AB298" s="5">
        <v>1</v>
      </c>
      <c r="AC298" s="5">
        <v>0</v>
      </c>
      <c r="AD298" s="5">
        <v>0</v>
      </c>
      <c r="AE298" s="5">
        <v>0</v>
      </c>
      <c r="AF298" s="5">
        <v>0</v>
      </c>
      <c r="AG298" s="5">
        <v>1</v>
      </c>
      <c r="AH298" s="5" t="s">
        <v>369</v>
      </c>
      <c r="AI298" s="5" t="s">
        <v>366</v>
      </c>
      <c r="AJ298" s="5" t="s">
        <v>2216</v>
      </c>
      <c r="AK298" s="5">
        <v>610423090019</v>
      </c>
      <c r="AL298" s="5" t="e">
        <f t="shared" si="3"/>
        <v>#VALUE!</v>
      </c>
    </row>
    <row r="299" spans="1:38" ht="12.5">
      <c r="A299" s="10" t="str">
        <f t="shared" si="0"/>
        <v>Nurul Ismayunda</v>
      </c>
      <c r="B299" s="5">
        <f t="shared" si="1"/>
        <v>610423110042</v>
      </c>
      <c r="C299" s="5" t="str">
        <f t="shared" si="2"/>
        <v>Nurul Ismayunda</v>
      </c>
      <c r="D299" s="5" t="s">
        <v>363</v>
      </c>
      <c r="E299" s="5" t="e">
        <f t="array" ref="E299">INDEX('Master SLS'!$H$2:$H998,MATCH($AL299,'Master SLS'!$K$2:$K998,0))</f>
        <v>#VALUE!</v>
      </c>
      <c r="F299" s="5" t="e">
        <f t="array" ref="F299">INDEX('Master SLS'!$I$2:$I998,MATCH($AL299,'Master SLS'!$K$2:$K998,0))</f>
        <v>#VALUE!</v>
      </c>
      <c r="G299" s="5" t="s">
        <v>2217</v>
      </c>
      <c r="H299" s="5" t="s">
        <v>2218</v>
      </c>
      <c r="I299" s="5" t="s">
        <v>366</v>
      </c>
      <c r="J299" s="5">
        <v>1</v>
      </c>
      <c r="K299" s="5" t="s">
        <v>2219</v>
      </c>
      <c r="L299" s="5">
        <v>61</v>
      </c>
      <c r="M299" s="5">
        <v>4</v>
      </c>
      <c r="N299" s="5">
        <v>90</v>
      </c>
      <c r="O299" s="5">
        <v>11</v>
      </c>
      <c r="P299" s="5" t="s">
        <v>1372</v>
      </c>
      <c r="Q299" s="5">
        <v>1</v>
      </c>
      <c r="R299" s="7">
        <v>35017</v>
      </c>
      <c r="S299" s="5" t="s">
        <v>2220</v>
      </c>
      <c r="T299" s="5">
        <v>0</v>
      </c>
      <c r="U299" s="5">
        <v>1</v>
      </c>
      <c r="V299" s="5">
        <v>1</v>
      </c>
      <c r="W299" s="5">
        <v>5</v>
      </c>
      <c r="X299" s="5">
        <v>3</v>
      </c>
      <c r="AA299" s="5">
        <v>0</v>
      </c>
      <c r="AB299" s="5">
        <v>0</v>
      </c>
      <c r="AC299" s="5">
        <v>0</v>
      </c>
      <c r="AD299" s="5">
        <v>0</v>
      </c>
      <c r="AE299" s="5">
        <v>0</v>
      </c>
      <c r="AF299" s="5">
        <v>0</v>
      </c>
      <c r="AG299" s="5">
        <v>0</v>
      </c>
      <c r="AH299" s="5" t="s">
        <v>2221</v>
      </c>
      <c r="AI299" s="5" t="s">
        <v>366</v>
      </c>
      <c r="AJ299" s="5" t="s">
        <v>2222</v>
      </c>
      <c r="AK299" s="5">
        <v>610423110042</v>
      </c>
      <c r="AL299" s="5" t="e">
        <f t="shared" si="3"/>
        <v>#VALUE!</v>
      </c>
    </row>
    <row r="300" spans="1:38" ht="12.5">
      <c r="A300" s="10" t="str">
        <f t="shared" si="0"/>
        <v>Nurul Syafitri</v>
      </c>
      <c r="B300" s="5">
        <f t="shared" si="1"/>
        <v>610422040018</v>
      </c>
      <c r="C300" s="5" t="str">
        <f t="shared" si="2"/>
        <v>NURUL SYAFITRI</v>
      </c>
      <c r="D300" s="5" t="s">
        <v>363</v>
      </c>
      <c r="E300" s="5" t="e">
        <f t="array" ref="E300">INDEX('Master SLS'!$H$2:$H998,MATCH($AL300,'Master SLS'!$K$2:$K998,0))</f>
        <v>#VALUE!</v>
      </c>
      <c r="F300" s="5" t="e">
        <f t="array" ref="F300">INDEX('Master SLS'!$I$2:$I998,MATCH($AL300,'Master SLS'!$K$2:$K998,0))</f>
        <v>#VALUE!</v>
      </c>
      <c r="G300" s="5" t="s">
        <v>2223</v>
      </c>
      <c r="H300" s="5" t="s">
        <v>2224</v>
      </c>
      <c r="I300" s="5" t="s">
        <v>366</v>
      </c>
      <c r="J300" s="5">
        <v>1</v>
      </c>
      <c r="K300" s="5" t="s">
        <v>2225</v>
      </c>
      <c r="L300" s="5">
        <v>61</v>
      </c>
      <c r="M300" s="5">
        <v>4</v>
      </c>
      <c r="N300" s="5">
        <v>101</v>
      </c>
      <c r="O300" s="5">
        <v>1</v>
      </c>
      <c r="P300" s="5" t="s">
        <v>2226</v>
      </c>
      <c r="Q300" s="5">
        <v>1</v>
      </c>
      <c r="R300" s="7">
        <v>37600</v>
      </c>
      <c r="S300" s="5" t="s">
        <v>2227</v>
      </c>
      <c r="T300" s="5">
        <v>0</v>
      </c>
      <c r="U300" s="5">
        <v>1</v>
      </c>
      <c r="V300" s="5">
        <v>1</v>
      </c>
      <c r="W300" s="5">
        <v>3</v>
      </c>
      <c r="X300" s="5">
        <v>7</v>
      </c>
      <c r="Y300" s="5" t="s">
        <v>1092</v>
      </c>
      <c r="AA300" s="5">
        <v>1</v>
      </c>
      <c r="AB300" s="5">
        <v>1</v>
      </c>
      <c r="AC300" s="5">
        <v>0</v>
      </c>
      <c r="AD300" s="5">
        <v>0</v>
      </c>
      <c r="AE300" s="5">
        <v>0</v>
      </c>
      <c r="AF300" s="5">
        <v>0</v>
      </c>
      <c r="AG300" s="5">
        <v>0</v>
      </c>
      <c r="AH300" s="5" t="s">
        <v>2228</v>
      </c>
      <c r="AI300" s="5" t="s">
        <v>366</v>
      </c>
      <c r="AJ300" s="5" t="s">
        <v>2229</v>
      </c>
      <c r="AK300" s="5">
        <v>610422040018</v>
      </c>
      <c r="AL300" s="5" t="e">
        <f t="shared" si="3"/>
        <v>#VALUE!</v>
      </c>
    </row>
    <row r="301" spans="1:38" ht="12.5">
      <c r="A301" s="10" t="str">
        <f t="shared" si="0"/>
        <v>Pitra,Sp</v>
      </c>
      <c r="B301" s="5">
        <f t="shared" si="1"/>
        <v>610422030001</v>
      </c>
      <c r="C301" s="5" t="str">
        <f t="shared" si="2"/>
        <v>Pitra,SP</v>
      </c>
      <c r="D301" s="5" t="s">
        <v>363</v>
      </c>
      <c r="E301" s="5" t="e">
        <f t="array" ref="E301">INDEX('Master SLS'!$H$2:$H998,MATCH($AL301,'Master SLS'!$K$2:$K998,0))</f>
        <v>#VALUE!</v>
      </c>
      <c r="F301" s="5" t="e">
        <f t="array" ref="F301">INDEX('Master SLS'!$I$2:$I998,MATCH($AL301,'Master SLS'!$K$2:$K998,0))</f>
        <v>#VALUE!</v>
      </c>
      <c r="G301" s="5" t="s">
        <v>2230</v>
      </c>
      <c r="H301" s="5" t="s">
        <v>2231</v>
      </c>
      <c r="I301" s="5" t="s">
        <v>366</v>
      </c>
      <c r="J301" s="5">
        <v>1</v>
      </c>
      <c r="K301" s="5" t="s">
        <v>2232</v>
      </c>
      <c r="L301" s="5">
        <v>61</v>
      </c>
      <c r="M301" s="5">
        <v>4</v>
      </c>
      <c r="N301" s="5">
        <v>81</v>
      </c>
      <c r="O301" s="5">
        <v>1</v>
      </c>
      <c r="P301" s="5" t="s">
        <v>2233</v>
      </c>
      <c r="Q301" s="5">
        <v>1</v>
      </c>
      <c r="R301" s="74">
        <v>29441</v>
      </c>
      <c r="S301" s="5" t="s">
        <v>2234</v>
      </c>
      <c r="T301" s="5">
        <v>1</v>
      </c>
      <c r="U301" s="5">
        <v>1</v>
      </c>
      <c r="V301" s="5">
        <v>2</v>
      </c>
      <c r="W301" s="5">
        <v>5</v>
      </c>
      <c r="X301" s="5">
        <v>5</v>
      </c>
      <c r="AA301" s="5">
        <v>1</v>
      </c>
      <c r="AB301" s="5">
        <v>1</v>
      </c>
      <c r="AC301" s="5">
        <v>1</v>
      </c>
      <c r="AD301" s="5">
        <v>1</v>
      </c>
      <c r="AE301" s="5">
        <v>1</v>
      </c>
      <c r="AF301" s="5">
        <v>1</v>
      </c>
      <c r="AG301" s="5">
        <v>0</v>
      </c>
      <c r="AH301" s="5" t="s">
        <v>934</v>
      </c>
      <c r="AI301" s="5" t="s">
        <v>366</v>
      </c>
      <c r="AJ301" s="5" t="s">
        <v>2235</v>
      </c>
      <c r="AK301" s="5">
        <v>610422030001</v>
      </c>
      <c r="AL301" s="5" t="e">
        <f t="shared" si="3"/>
        <v>#VALUE!</v>
      </c>
    </row>
    <row r="302" spans="1:38" ht="12.5">
      <c r="A302" s="10" t="str">
        <f t="shared" si="0"/>
        <v>Prabowo</v>
      </c>
      <c r="B302" s="5">
        <f t="shared" si="1"/>
        <v>610422100124</v>
      </c>
      <c r="C302" s="5" t="str">
        <f t="shared" si="2"/>
        <v>Prabowo</v>
      </c>
      <c r="D302" s="5" t="s">
        <v>560</v>
      </c>
      <c r="E302" s="5" t="s">
        <v>1921</v>
      </c>
      <c r="F302" s="5" t="s">
        <v>2140</v>
      </c>
      <c r="G302" s="5" t="s">
        <v>2236</v>
      </c>
      <c r="H302" s="5" t="s">
        <v>2237</v>
      </c>
      <c r="I302" s="5" t="s">
        <v>366</v>
      </c>
      <c r="J302" s="5">
        <v>1</v>
      </c>
      <c r="K302" s="5" t="s">
        <v>2238</v>
      </c>
      <c r="L302" s="5">
        <v>61</v>
      </c>
      <c r="M302" s="5">
        <v>71</v>
      </c>
      <c r="N302" s="5">
        <v>31</v>
      </c>
      <c r="O302" s="5">
        <v>1</v>
      </c>
      <c r="P302" s="5" t="s">
        <v>2239</v>
      </c>
      <c r="Q302" s="5">
        <v>1</v>
      </c>
      <c r="R302" s="74">
        <v>29068</v>
      </c>
      <c r="S302" s="5" t="s">
        <v>2240</v>
      </c>
      <c r="T302" s="5">
        <v>1</v>
      </c>
      <c r="U302" s="5">
        <v>1</v>
      </c>
      <c r="V302" s="5">
        <v>2</v>
      </c>
      <c r="W302" s="5">
        <v>5</v>
      </c>
      <c r="X302" s="5">
        <v>5</v>
      </c>
      <c r="AA302" s="5">
        <v>1</v>
      </c>
      <c r="AB302" s="5">
        <v>0</v>
      </c>
      <c r="AC302" s="5">
        <v>1</v>
      </c>
      <c r="AD302" s="5">
        <v>1</v>
      </c>
      <c r="AE302" s="5">
        <v>0</v>
      </c>
      <c r="AF302" s="5">
        <v>0</v>
      </c>
      <c r="AG302" s="5">
        <v>0</v>
      </c>
      <c r="AH302" s="5" t="s">
        <v>2241</v>
      </c>
      <c r="AI302" s="5" t="s">
        <v>366</v>
      </c>
      <c r="AJ302" s="5" t="s">
        <v>2242</v>
      </c>
      <c r="AK302" s="5">
        <v>610422100124</v>
      </c>
      <c r="AL302" s="5" t="e">
        <f t="shared" si="3"/>
        <v>#VALUE!</v>
      </c>
    </row>
    <row r="303" spans="1:38" ht="12.5">
      <c r="A303" s="10" t="str">
        <f t="shared" si="0"/>
        <v>Puja Indryani</v>
      </c>
      <c r="B303" s="5">
        <f t="shared" si="1"/>
        <v>610422100051</v>
      </c>
      <c r="C303" s="5" t="str">
        <f t="shared" si="2"/>
        <v>Puja Indryani</v>
      </c>
      <c r="D303" s="5" t="s">
        <v>363</v>
      </c>
      <c r="E303" s="5" t="e">
        <f t="array" ref="E303">INDEX('Master SLS'!$H$2:$H998,MATCH($AL303,'Master SLS'!$K$2:$K998,0))</f>
        <v>#VALUE!</v>
      </c>
      <c r="F303" s="5" t="e">
        <f t="array" ref="F303">INDEX('Master SLS'!$I$2:$I998,MATCH($AL303,'Master SLS'!$K$2:$K998,0))</f>
        <v>#VALUE!</v>
      </c>
      <c r="G303" s="5" t="s">
        <v>2243</v>
      </c>
      <c r="H303" s="5" t="s">
        <v>2244</v>
      </c>
      <c r="I303" s="5" t="s">
        <v>474</v>
      </c>
      <c r="J303" s="5">
        <v>1</v>
      </c>
      <c r="K303" s="5" t="s">
        <v>2245</v>
      </c>
      <c r="L303" s="5">
        <v>61</v>
      </c>
      <c r="M303" s="5">
        <v>4</v>
      </c>
      <c r="N303" s="5">
        <v>101</v>
      </c>
      <c r="O303" s="5">
        <v>2</v>
      </c>
      <c r="P303" s="5" t="s">
        <v>2246</v>
      </c>
      <c r="Q303" s="5">
        <v>1</v>
      </c>
      <c r="R303" s="74">
        <v>36714</v>
      </c>
      <c r="T303" s="5">
        <v>0</v>
      </c>
      <c r="U303" s="5">
        <v>1</v>
      </c>
      <c r="V303" s="5">
        <v>1</v>
      </c>
      <c r="W303" s="5">
        <v>3</v>
      </c>
      <c r="X303" s="5">
        <v>6</v>
      </c>
      <c r="AA303" s="5">
        <v>1</v>
      </c>
      <c r="AB303" s="5">
        <v>0</v>
      </c>
      <c r="AC303" s="5">
        <v>1</v>
      </c>
      <c r="AD303" s="5">
        <v>0</v>
      </c>
      <c r="AE303" s="5">
        <v>1</v>
      </c>
      <c r="AF303" s="5">
        <v>0</v>
      </c>
      <c r="AG303" s="5">
        <v>0</v>
      </c>
      <c r="AH303" s="5" t="s">
        <v>2247</v>
      </c>
      <c r="AI303" s="5" t="s">
        <v>474</v>
      </c>
      <c r="AJ303" s="5" t="s">
        <v>2248</v>
      </c>
      <c r="AK303" s="5">
        <v>610422100051</v>
      </c>
      <c r="AL303" s="5" t="e">
        <f t="shared" si="3"/>
        <v>#VALUE!</v>
      </c>
    </row>
    <row r="304" spans="1:38" ht="12.5">
      <c r="A304" s="10" t="str">
        <f t="shared" si="0"/>
        <v>Putri Indah Sari</v>
      </c>
      <c r="B304" s="5">
        <f t="shared" si="1"/>
        <v>610422020003</v>
      </c>
      <c r="C304" s="5" t="str">
        <f t="shared" si="2"/>
        <v>Putri Indah Sari</v>
      </c>
      <c r="D304" s="5" t="s">
        <v>363</v>
      </c>
      <c r="E304" s="5" t="e">
        <f t="array" ref="E304">INDEX('Master SLS'!$H$2:$H998,MATCH($AL304,'Master SLS'!$K$2:$K998,0))</f>
        <v>#VALUE!</v>
      </c>
      <c r="F304" s="5" t="e">
        <f t="array" ref="F304">INDEX('Master SLS'!$I$2:$I998,MATCH($AL304,'Master SLS'!$K$2:$K998,0))</f>
        <v>#VALUE!</v>
      </c>
      <c r="G304" s="5" t="s">
        <v>2249</v>
      </c>
      <c r="H304" s="5" t="s">
        <v>2250</v>
      </c>
      <c r="I304" s="5" t="s">
        <v>366</v>
      </c>
      <c r="J304" s="5">
        <v>1</v>
      </c>
      <c r="K304" s="5" t="s">
        <v>2251</v>
      </c>
      <c r="L304" s="5">
        <v>61</v>
      </c>
      <c r="M304" s="5">
        <v>4</v>
      </c>
      <c r="N304" s="5">
        <v>80</v>
      </c>
      <c r="O304" s="5">
        <v>3</v>
      </c>
      <c r="P304" s="5" t="s">
        <v>2252</v>
      </c>
      <c r="Q304" s="5">
        <v>1</v>
      </c>
      <c r="R304" s="74">
        <v>37565</v>
      </c>
      <c r="T304" s="5">
        <v>0</v>
      </c>
      <c r="U304" s="5">
        <v>1</v>
      </c>
      <c r="V304" s="5">
        <v>2</v>
      </c>
      <c r="W304" s="5">
        <v>3</v>
      </c>
      <c r="X304" s="5">
        <v>7</v>
      </c>
      <c r="Y304" s="5" t="s">
        <v>2253</v>
      </c>
      <c r="AA304" s="5">
        <v>1</v>
      </c>
      <c r="AB304" s="5">
        <v>1</v>
      </c>
      <c r="AC304" s="5">
        <v>1</v>
      </c>
      <c r="AD304" s="5">
        <v>0</v>
      </c>
      <c r="AE304" s="5">
        <v>0</v>
      </c>
      <c r="AF304" s="5">
        <v>0</v>
      </c>
      <c r="AG304" s="5">
        <v>0</v>
      </c>
      <c r="AI304" s="5" t="s">
        <v>366</v>
      </c>
      <c r="AJ304" s="5" t="s">
        <v>2254</v>
      </c>
      <c r="AK304" s="5">
        <v>610422020003</v>
      </c>
      <c r="AL304" s="5" t="e">
        <f t="shared" si="3"/>
        <v>#VALUE!</v>
      </c>
    </row>
    <row r="305" spans="1:38" ht="12.5">
      <c r="A305" s="10" t="str">
        <f t="shared" si="0"/>
        <v>Putri Wulanda Sari</v>
      </c>
      <c r="B305" s="5">
        <f t="shared" si="1"/>
        <v>610423110032</v>
      </c>
      <c r="C305" s="5" t="str">
        <f t="shared" si="2"/>
        <v>Putri Wulanda Sari</v>
      </c>
      <c r="D305" s="5" t="s">
        <v>363</v>
      </c>
      <c r="E305" s="5" t="e">
        <f t="array" ref="E305">INDEX('Master SLS'!$H$2:$H998,MATCH($AL305,'Master SLS'!$K$2:$K998,0))</f>
        <v>#VALUE!</v>
      </c>
      <c r="F305" s="5" t="e">
        <f t="array" ref="F305">INDEX('Master SLS'!$I$2:$I998,MATCH($AL305,'Master SLS'!$K$2:$K998,0))</f>
        <v>#VALUE!</v>
      </c>
      <c r="G305" s="5" t="s">
        <v>2255</v>
      </c>
      <c r="H305" s="5" t="s">
        <v>2256</v>
      </c>
      <c r="I305" s="5" t="s">
        <v>366</v>
      </c>
      <c r="J305" s="5">
        <v>1</v>
      </c>
      <c r="K305" s="5" t="s">
        <v>2257</v>
      </c>
      <c r="L305" s="5">
        <v>61</v>
      </c>
      <c r="M305" s="5">
        <v>4</v>
      </c>
      <c r="N305" s="5">
        <v>101</v>
      </c>
      <c r="O305" s="5">
        <v>3</v>
      </c>
      <c r="P305" s="5" t="s">
        <v>2258</v>
      </c>
      <c r="Q305" s="5">
        <v>1</v>
      </c>
      <c r="R305" s="74">
        <v>36391</v>
      </c>
      <c r="S305" s="5" t="s">
        <v>2259</v>
      </c>
      <c r="T305" s="5">
        <v>0</v>
      </c>
      <c r="U305" s="5">
        <v>1</v>
      </c>
      <c r="V305" s="5">
        <v>1</v>
      </c>
      <c r="W305" s="5">
        <v>5</v>
      </c>
      <c r="X305" s="5">
        <v>7</v>
      </c>
      <c r="Y305" s="5" t="s">
        <v>567</v>
      </c>
      <c r="AA305" s="5">
        <v>0</v>
      </c>
      <c r="AB305" s="5">
        <v>0</v>
      </c>
      <c r="AC305" s="5">
        <v>0</v>
      </c>
      <c r="AD305" s="5">
        <v>0</v>
      </c>
      <c r="AE305" s="5">
        <v>0</v>
      </c>
      <c r="AF305" s="5">
        <v>0</v>
      </c>
      <c r="AG305" s="5">
        <v>0</v>
      </c>
      <c r="AH305" s="5" t="s">
        <v>2260</v>
      </c>
      <c r="AI305" s="5" t="s">
        <v>366</v>
      </c>
      <c r="AJ305" s="5" t="s">
        <v>2261</v>
      </c>
      <c r="AK305" s="5">
        <v>610423110032</v>
      </c>
      <c r="AL305" s="5" t="e">
        <f t="shared" si="3"/>
        <v>#VALUE!</v>
      </c>
    </row>
    <row r="306" spans="1:38" ht="12.5">
      <c r="A306" s="10" t="str">
        <f t="shared" si="0"/>
        <v>Putri Wulandari</v>
      </c>
      <c r="B306" s="5">
        <f t="shared" si="1"/>
        <v>610423110025</v>
      </c>
      <c r="C306" s="5" t="str">
        <f t="shared" si="2"/>
        <v>putri wulandari</v>
      </c>
      <c r="D306" s="5" t="s">
        <v>363</v>
      </c>
      <c r="E306" s="5" t="e">
        <f t="array" ref="E306">INDEX('Master SLS'!$H$2:$H998,MATCH($AL306,'Master SLS'!$K$2:$K998,0))</f>
        <v>#VALUE!</v>
      </c>
      <c r="F306" s="5" t="e">
        <f t="array" ref="F306">INDEX('Master SLS'!$I$2:$I998,MATCH($AL306,'Master SLS'!$K$2:$K998,0))</f>
        <v>#VALUE!</v>
      </c>
      <c r="G306" s="5" t="s">
        <v>2262</v>
      </c>
      <c r="H306" s="5" t="s">
        <v>2263</v>
      </c>
      <c r="I306" s="5" t="s">
        <v>474</v>
      </c>
      <c r="J306" s="5">
        <v>1</v>
      </c>
      <c r="K306" s="5" t="s">
        <v>2264</v>
      </c>
      <c r="L306" s="5">
        <v>61</v>
      </c>
      <c r="M306" s="5">
        <v>4</v>
      </c>
      <c r="N306" s="5">
        <v>100</v>
      </c>
      <c r="O306" s="5">
        <v>14</v>
      </c>
      <c r="P306" s="5" t="s">
        <v>2265</v>
      </c>
      <c r="Q306" s="5">
        <v>1</v>
      </c>
      <c r="R306" s="74">
        <v>36965</v>
      </c>
      <c r="T306" s="5">
        <v>0</v>
      </c>
      <c r="U306" s="5">
        <v>1</v>
      </c>
      <c r="V306" s="5">
        <v>1</v>
      </c>
      <c r="W306" s="5">
        <v>5</v>
      </c>
      <c r="X306" s="5">
        <v>7</v>
      </c>
      <c r="Y306" s="5" t="s">
        <v>2095</v>
      </c>
      <c r="AA306" s="5">
        <v>0</v>
      </c>
      <c r="AB306" s="5">
        <v>0</v>
      </c>
      <c r="AC306" s="5">
        <v>0</v>
      </c>
      <c r="AD306" s="5">
        <v>0</v>
      </c>
      <c r="AE306" s="5">
        <v>0</v>
      </c>
      <c r="AF306" s="5">
        <v>0</v>
      </c>
      <c r="AG306" s="5">
        <v>0</v>
      </c>
      <c r="AI306" s="5" t="s">
        <v>474</v>
      </c>
      <c r="AJ306" s="5" t="s">
        <v>2266</v>
      </c>
      <c r="AK306" s="5">
        <v>610423110025</v>
      </c>
      <c r="AL306" s="5" t="e">
        <f t="shared" si="3"/>
        <v>#VALUE!</v>
      </c>
    </row>
    <row r="307" spans="1:38" ht="12.5">
      <c r="A307" s="10" t="str">
        <f t="shared" si="0"/>
        <v>Rafli Haikal</v>
      </c>
      <c r="B307" s="5">
        <f t="shared" si="1"/>
        <v>610422100180</v>
      </c>
      <c r="C307" s="5" t="str">
        <f t="shared" si="2"/>
        <v>Rafli haikal</v>
      </c>
      <c r="D307" s="5" t="s">
        <v>363</v>
      </c>
      <c r="E307" s="5" t="e">
        <f t="array" ref="E307">INDEX('Master SLS'!$H$2:$H998,MATCH($AL307,'Master SLS'!$K$2:$K998,0))</f>
        <v>#VALUE!</v>
      </c>
      <c r="F307" s="5" t="e">
        <f t="array" ref="F307">INDEX('Master SLS'!$I$2:$I998,MATCH($AL307,'Master SLS'!$K$2:$K998,0))</f>
        <v>#VALUE!</v>
      </c>
      <c r="G307" s="5" t="s">
        <v>2267</v>
      </c>
      <c r="H307" s="5" t="s">
        <v>2268</v>
      </c>
      <c r="I307" s="5" t="s">
        <v>366</v>
      </c>
      <c r="J307" s="5">
        <v>1</v>
      </c>
      <c r="K307" s="5" t="s">
        <v>2269</v>
      </c>
      <c r="L307" s="5">
        <v>61</v>
      </c>
      <c r="M307" s="5">
        <v>4</v>
      </c>
      <c r="N307" s="5">
        <v>90</v>
      </c>
      <c r="O307" s="5">
        <v>12</v>
      </c>
      <c r="P307" s="5" t="s">
        <v>2270</v>
      </c>
      <c r="Q307" s="5">
        <v>1</v>
      </c>
      <c r="R307" s="74">
        <v>36470</v>
      </c>
      <c r="T307" s="5">
        <v>1</v>
      </c>
      <c r="U307" s="5">
        <v>1</v>
      </c>
      <c r="V307" s="5">
        <v>1</v>
      </c>
      <c r="W307" s="5">
        <v>3</v>
      </c>
      <c r="X307" s="5">
        <v>2</v>
      </c>
      <c r="AA307" s="5">
        <v>1</v>
      </c>
      <c r="AB307" s="5">
        <v>0</v>
      </c>
      <c r="AC307" s="5">
        <v>0</v>
      </c>
      <c r="AD307" s="5">
        <v>1</v>
      </c>
      <c r="AE307" s="5">
        <v>0</v>
      </c>
      <c r="AF307" s="5">
        <v>0</v>
      </c>
      <c r="AG307" s="5">
        <v>0</v>
      </c>
      <c r="AH307" s="5" t="s">
        <v>2271</v>
      </c>
      <c r="AI307" s="5" t="s">
        <v>366</v>
      </c>
      <c r="AJ307" s="5" t="s">
        <v>2272</v>
      </c>
      <c r="AK307" s="5">
        <v>610422100180</v>
      </c>
      <c r="AL307" s="5" t="e">
        <f t="shared" si="3"/>
        <v>#VALUE!</v>
      </c>
    </row>
    <row r="308" spans="1:38" ht="12.5">
      <c r="A308" s="10" t="str">
        <f t="shared" si="0"/>
        <v>Ragil Pangestu</v>
      </c>
      <c r="B308" s="5">
        <f t="shared" si="1"/>
        <v>610423110092</v>
      </c>
      <c r="C308" s="5" t="str">
        <f t="shared" si="2"/>
        <v>Ragil Pangestu</v>
      </c>
      <c r="D308" s="5" t="s">
        <v>363</v>
      </c>
      <c r="E308" s="5" t="e">
        <f t="array" ref="E308">INDEX('Master SLS'!$H$2:$H998,MATCH($AL308,'Master SLS'!$K$2:$K998,0))</f>
        <v>#VALUE!</v>
      </c>
      <c r="F308" s="5" t="e">
        <f t="array" ref="F308">INDEX('Master SLS'!$I$2:$I998,MATCH($AL308,'Master SLS'!$K$2:$K998,0))</f>
        <v>#VALUE!</v>
      </c>
      <c r="G308" s="5" t="s">
        <v>2273</v>
      </c>
      <c r="H308" s="5" t="s">
        <v>2274</v>
      </c>
      <c r="I308" s="5" t="s">
        <v>388</v>
      </c>
      <c r="J308" s="5">
        <v>1</v>
      </c>
      <c r="K308" s="5" t="s">
        <v>2275</v>
      </c>
      <c r="L308" s="5">
        <v>61</v>
      </c>
      <c r="M308" s="5">
        <v>4</v>
      </c>
      <c r="N308" s="5">
        <v>100</v>
      </c>
      <c r="O308" s="5">
        <v>8</v>
      </c>
      <c r="P308" s="5" t="s">
        <v>2276</v>
      </c>
      <c r="Q308" s="5">
        <v>1</v>
      </c>
      <c r="R308" s="74">
        <v>35923</v>
      </c>
      <c r="T308" s="5">
        <v>1</v>
      </c>
      <c r="U308" s="5">
        <v>1</v>
      </c>
      <c r="V308" s="5">
        <v>1</v>
      </c>
      <c r="W308" s="5">
        <v>5</v>
      </c>
      <c r="X308" s="5">
        <v>7</v>
      </c>
      <c r="Y308" s="5" t="s">
        <v>2277</v>
      </c>
      <c r="AA308" s="5">
        <v>1</v>
      </c>
      <c r="AB308" s="5">
        <v>1</v>
      </c>
      <c r="AC308" s="5">
        <v>0</v>
      </c>
      <c r="AD308" s="5">
        <v>0</v>
      </c>
      <c r="AE308" s="5">
        <v>0</v>
      </c>
      <c r="AF308" s="5">
        <v>0</v>
      </c>
      <c r="AG308" s="5">
        <v>0</v>
      </c>
      <c r="AH308" s="5" t="s">
        <v>2278</v>
      </c>
      <c r="AI308" s="5" t="s">
        <v>388</v>
      </c>
      <c r="AJ308" s="5" t="s">
        <v>2279</v>
      </c>
      <c r="AK308" s="5">
        <v>610423110092</v>
      </c>
      <c r="AL308" s="5" t="e">
        <f t="shared" si="3"/>
        <v>#VALUE!</v>
      </c>
    </row>
    <row r="309" spans="1:38" ht="12.5">
      <c r="A309" s="10" t="str">
        <f t="shared" si="0"/>
        <v>Rahmayani</v>
      </c>
      <c r="B309" s="5">
        <f t="shared" si="1"/>
        <v>610422040035</v>
      </c>
      <c r="C309" s="5" t="str">
        <f t="shared" si="2"/>
        <v>Rahmayani</v>
      </c>
      <c r="D309" s="5" t="s">
        <v>363</v>
      </c>
      <c r="E309" s="5" t="e">
        <f t="array" ref="E309">INDEX('Master SLS'!$H$2:$H998,MATCH($AL309,'Master SLS'!$K$2:$K998,0))</f>
        <v>#VALUE!</v>
      </c>
      <c r="F309" s="5" t="e">
        <f t="array" ref="F309">INDEX('Master SLS'!$I$2:$I998,MATCH($AL309,'Master SLS'!$K$2:$K998,0))</f>
        <v>#VALUE!</v>
      </c>
      <c r="G309" s="5" t="s">
        <v>2280</v>
      </c>
      <c r="H309" s="5" t="s">
        <v>2281</v>
      </c>
      <c r="I309" s="5" t="s">
        <v>366</v>
      </c>
      <c r="J309" s="5">
        <v>1</v>
      </c>
      <c r="K309" s="5" t="s">
        <v>2282</v>
      </c>
      <c r="L309" s="5">
        <v>61</v>
      </c>
      <c r="M309" s="5">
        <v>4</v>
      </c>
      <c r="N309" s="5">
        <v>101</v>
      </c>
      <c r="O309" s="5">
        <v>7</v>
      </c>
      <c r="P309" s="5" t="s">
        <v>2283</v>
      </c>
      <c r="Q309" s="5">
        <v>1</v>
      </c>
      <c r="R309" s="74">
        <v>35544</v>
      </c>
      <c r="T309" s="5">
        <v>0</v>
      </c>
      <c r="U309" s="5">
        <v>1</v>
      </c>
      <c r="V309" s="5">
        <v>2</v>
      </c>
      <c r="W309" s="5">
        <v>3</v>
      </c>
      <c r="X309" s="5">
        <v>4</v>
      </c>
      <c r="AA309" s="5">
        <v>1</v>
      </c>
      <c r="AB309" s="5">
        <v>1</v>
      </c>
      <c r="AC309" s="5">
        <v>1</v>
      </c>
      <c r="AD309" s="5">
        <v>1</v>
      </c>
      <c r="AE309" s="5">
        <v>1</v>
      </c>
      <c r="AF309" s="5">
        <v>1</v>
      </c>
      <c r="AG309" s="5">
        <v>0</v>
      </c>
      <c r="AH309" s="5" t="s">
        <v>2284</v>
      </c>
      <c r="AI309" s="5" t="s">
        <v>366</v>
      </c>
      <c r="AJ309" s="5" t="s">
        <v>2285</v>
      </c>
      <c r="AK309" s="5">
        <v>610422040035</v>
      </c>
      <c r="AL309" s="5" t="e">
        <f t="shared" si="3"/>
        <v>#VALUE!</v>
      </c>
    </row>
    <row r="310" spans="1:38" ht="12.5">
      <c r="A310" s="10" t="str">
        <f t="shared" si="0"/>
        <v>Ranto</v>
      </c>
      <c r="B310" s="5">
        <f t="shared" si="1"/>
        <v>610423110178</v>
      </c>
      <c r="C310" s="5" t="str">
        <f t="shared" si="2"/>
        <v>ranto</v>
      </c>
      <c r="D310" s="5" t="s">
        <v>363</v>
      </c>
      <c r="E310" s="5" t="e">
        <f t="array" ref="E310">INDEX('Master SLS'!$H$2:$H998,MATCH($AL310,'Master SLS'!$K$2:$K998,0))</f>
        <v>#VALUE!</v>
      </c>
      <c r="F310" s="5" t="e">
        <f t="array" ref="F310">INDEX('Master SLS'!$I$2:$I998,MATCH($AL310,'Master SLS'!$K$2:$K998,0))</f>
        <v>#VALUE!</v>
      </c>
      <c r="G310" s="5" t="s">
        <v>2286</v>
      </c>
      <c r="H310" s="5" t="s">
        <v>2287</v>
      </c>
      <c r="I310" s="5" t="s">
        <v>366</v>
      </c>
      <c r="J310" s="5">
        <v>1</v>
      </c>
      <c r="K310" s="5" t="s">
        <v>2288</v>
      </c>
      <c r="L310" s="5">
        <v>61</v>
      </c>
      <c r="M310" s="5">
        <v>4</v>
      </c>
      <c r="N310" s="5">
        <v>91</v>
      </c>
      <c r="O310" s="5">
        <v>2</v>
      </c>
      <c r="P310" s="5" t="s">
        <v>2289</v>
      </c>
      <c r="Q310" s="5">
        <v>1</v>
      </c>
      <c r="R310" s="74">
        <v>31925</v>
      </c>
      <c r="S310" s="5" t="s">
        <v>2290</v>
      </c>
      <c r="T310" s="5">
        <v>1</v>
      </c>
      <c r="U310" s="5">
        <v>3</v>
      </c>
      <c r="V310" s="5">
        <v>2</v>
      </c>
      <c r="W310" s="5">
        <v>3</v>
      </c>
      <c r="X310" s="5">
        <v>7</v>
      </c>
      <c r="Y310" s="5" t="s">
        <v>2291</v>
      </c>
      <c r="AA310" s="5">
        <v>0</v>
      </c>
      <c r="AB310" s="5">
        <v>0</v>
      </c>
      <c r="AC310" s="5">
        <v>0</v>
      </c>
      <c r="AD310" s="5">
        <v>0</v>
      </c>
      <c r="AE310" s="5">
        <v>0</v>
      </c>
      <c r="AF310" s="5">
        <v>0</v>
      </c>
      <c r="AG310" s="5">
        <v>0</v>
      </c>
      <c r="AH310" s="5" t="s">
        <v>2292</v>
      </c>
      <c r="AI310" s="5" t="s">
        <v>366</v>
      </c>
      <c r="AJ310" s="5" t="s">
        <v>2293</v>
      </c>
      <c r="AK310" s="5">
        <v>610423110178</v>
      </c>
      <c r="AL310" s="5" t="e">
        <f t="shared" si="3"/>
        <v>#VALUE!</v>
      </c>
    </row>
    <row r="311" spans="1:38" ht="12.5">
      <c r="A311" s="10" t="str">
        <f t="shared" si="0"/>
        <v>Rara Shati</v>
      </c>
      <c r="B311" s="5">
        <f t="shared" si="1"/>
        <v>610422100175</v>
      </c>
      <c r="C311" s="5" t="str">
        <f t="shared" si="2"/>
        <v>Rara Shati</v>
      </c>
      <c r="D311" s="5" t="s">
        <v>363</v>
      </c>
      <c r="E311" s="5" t="e">
        <f t="array" ref="E311">INDEX('Master SLS'!$H$2:$H998,MATCH($AL311,'Master SLS'!$K$2:$K998,0))</f>
        <v>#VALUE!</v>
      </c>
      <c r="F311" s="5" t="e">
        <f t="array" ref="F311">INDEX('Master SLS'!$I$2:$I998,MATCH($AL311,'Master SLS'!$K$2:$K998,0))</f>
        <v>#VALUE!</v>
      </c>
      <c r="G311" s="5" t="s">
        <v>2294</v>
      </c>
      <c r="H311" s="5" t="s">
        <v>2295</v>
      </c>
      <c r="I311" s="5" t="s">
        <v>366</v>
      </c>
      <c r="J311" s="5">
        <v>1</v>
      </c>
      <c r="K311" s="5" t="s">
        <v>2296</v>
      </c>
      <c r="L311" s="5">
        <v>61</v>
      </c>
      <c r="M311" s="5">
        <v>4</v>
      </c>
      <c r="N311" s="5">
        <v>120</v>
      </c>
      <c r="O311" s="5">
        <v>5</v>
      </c>
      <c r="P311" s="5" t="s">
        <v>2297</v>
      </c>
      <c r="Q311" s="5">
        <v>1</v>
      </c>
      <c r="R311" s="74">
        <v>36001</v>
      </c>
      <c r="S311" s="5" t="s">
        <v>2298</v>
      </c>
      <c r="T311" s="5">
        <v>0</v>
      </c>
      <c r="U311" s="5">
        <v>1</v>
      </c>
      <c r="V311" s="5">
        <v>1</v>
      </c>
      <c r="W311" s="5">
        <v>3</v>
      </c>
      <c r="X311" s="5">
        <v>3</v>
      </c>
      <c r="AA311" s="5">
        <v>1</v>
      </c>
      <c r="AB311" s="5">
        <v>0</v>
      </c>
      <c r="AC311" s="5">
        <v>1</v>
      </c>
      <c r="AD311" s="5">
        <v>0</v>
      </c>
      <c r="AE311" s="5">
        <v>1</v>
      </c>
      <c r="AF311" s="5">
        <v>1</v>
      </c>
      <c r="AG311" s="5">
        <v>0</v>
      </c>
      <c r="AH311" s="5" t="s">
        <v>2299</v>
      </c>
      <c r="AI311" s="5" t="s">
        <v>366</v>
      </c>
      <c r="AJ311" s="5" t="s">
        <v>2300</v>
      </c>
      <c r="AK311" s="5">
        <v>610422100175</v>
      </c>
      <c r="AL311" s="5" t="e">
        <f t="shared" si="3"/>
        <v>#VALUE!</v>
      </c>
    </row>
    <row r="312" spans="1:38" ht="12.5">
      <c r="A312" s="10" t="str">
        <f t="shared" si="0"/>
        <v>Reka Oktavina</v>
      </c>
      <c r="B312" s="5">
        <f t="shared" si="1"/>
        <v>610423110100</v>
      </c>
      <c r="C312" s="5" t="str">
        <f t="shared" si="2"/>
        <v>Reka Oktavina</v>
      </c>
      <c r="D312" s="5" t="s">
        <v>363</v>
      </c>
      <c r="E312" s="5" t="e">
        <f t="array" ref="E312">INDEX('Master SLS'!$H$2:$H998,MATCH($AL312,'Master SLS'!$K$2:$K998,0))</f>
        <v>#VALUE!</v>
      </c>
      <c r="F312" s="5" t="e">
        <f t="array" ref="F312">INDEX('Master SLS'!$I$2:$I998,MATCH($AL312,'Master SLS'!$K$2:$K998,0))</f>
        <v>#VALUE!</v>
      </c>
      <c r="G312" s="5" t="s">
        <v>2301</v>
      </c>
      <c r="H312" s="5" t="s">
        <v>2302</v>
      </c>
      <c r="I312" s="5" t="s">
        <v>388</v>
      </c>
      <c r="J312" s="5">
        <v>1</v>
      </c>
      <c r="K312" s="5" t="s">
        <v>2303</v>
      </c>
      <c r="L312" s="5">
        <v>61</v>
      </c>
      <c r="M312" s="5">
        <v>4</v>
      </c>
      <c r="N312" s="5">
        <v>100</v>
      </c>
      <c r="O312" s="5">
        <v>8</v>
      </c>
      <c r="P312" s="5" t="s">
        <v>2304</v>
      </c>
      <c r="Q312" s="5">
        <v>2</v>
      </c>
      <c r="R312" s="7">
        <v>36097</v>
      </c>
      <c r="T312" s="5">
        <v>0</v>
      </c>
      <c r="U312" s="5">
        <v>1</v>
      </c>
      <c r="V312" s="5">
        <v>2</v>
      </c>
      <c r="W312" s="5">
        <v>5</v>
      </c>
      <c r="X312" s="5">
        <v>4</v>
      </c>
      <c r="AA312" s="5">
        <v>1</v>
      </c>
      <c r="AB312" s="5">
        <v>1</v>
      </c>
      <c r="AC312" s="5">
        <v>1</v>
      </c>
      <c r="AD312" s="5">
        <v>1</v>
      </c>
      <c r="AE312" s="5">
        <v>0</v>
      </c>
      <c r="AF312" s="5">
        <v>0</v>
      </c>
      <c r="AG312" s="5">
        <v>0</v>
      </c>
      <c r="AI312" s="5" t="s">
        <v>388</v>
      </c>
      <c r="AJ312" s="5" t="s">
        <v>2305</v>
      </c>
      <c r="AK312" s="5">
        <v>610423110100</v>
      </c>
      <c r="AL312" s="5" t="e">
        <f t="shared" si="3"/>
        <v>#VALUE!</v>
      </c>
    </row>
    <row r="313" spans="1:38" ht="12.5">
      <c r="A313" s="10" t="str">
        <f t="shared" si="0"/>
        <v>Rendy Kurniawan Chia</v>
      </c>
      <c r="B313" s="5">
        <f t="shared" si="1"/>
        <v>610423110017</v>
      </c>
      <c r="C313" s="5" t="str">
        <f t="shared" si="2"/>
        <v>RENDY KURNIAWAN CHIA</v>
      </c>
      <c r="D313" s="5" t="s">
        <v>363</v>
      </c>
      <c r="E313" s="5" t="e">
        <f t="array" ref="E313">INDEX('Master SLS'!$H$2:$H998,MATCH($AL313,'Master SLS'!$K$2:$K998,0))</f>
        <v>#VALUE!</v>
      </c>
      <c r="F313" s="5" t="e">
        <f t="array" ref="F313">INDEX('Master SLS'!$I$2:$I998,MATCH($AL313,'Master SLS'!$K$2:$K998,0))</f>
        <v>#VALUE!</v>
      </c>
      <c r="G313" s="5" t="s">
        <v>2306</v>
      </c>
      <c r="H313" s="5" t="s">
        <v>2307</v>
      </c>
      <c r="I313" s="5" t="s">
        <v>366</v>
      </c>
      <c r="J313" s="5">
        <v>1</v>
      </c>
      <c r="K313" s="5" t="s">
        <v>2308</v>
      </c>
      <c r="L313" s="5">
        <v>61</v>
      </c>
      <c r="M313" s="5">
        <v>4</v>
      </c>
      <c r="N313" s="5">
        <v>91</v>
      </c>
      <c r="O313" s="5">
        <v>2</v>
      </c>
      <c r="P313" s="5" t="s">
        <v>2309</v>
      </c>
      <c r="Q313" s="5">
        <v>1</v>
      </c>
      <c r="R313" s="7">
        <v>35051</v>
      </c>
      <c r="T313" s="5">
        <v>1</v>
      </c>
      <c r="U313" s="5">
        <v>3</v>
      </c>
      <c r="V313" s="5">
        <v>1</v>
      </c>
      <c r="W313" s="5">
        <v>3</v>
      </c>
      <c r="X313" s="5">
        <v>5</v>
      </c>
      <c r="AA313" s="5">
        <v>1</v>
      </c>
      <c r="AB313" s="5">
        <v>1</v>
      </c>
      <c r="AC313" s="5">
        <v>0</v>
      </c>
      <c r="AD313" s="5">
        <v>0</v>
      </c>
      <c r="AE313" s="5">
        <v>0</v>
      </c>
      <c r="AF313" s="5">
        <v>0</v>
      </c>
      <c r="AG313" s="5">
        <v>0</v>
      </c>
      <c r="AI313" s="5" t="s">
        <v>366</v>
      </c>
      <c r="AJ313" s="5" t="s">
        <v>2310</v>
      </c>
      <c r="AK313" s="5">
        <v>610423110017</v>
      </c>
      <c r="AL313" s="5" t="e">
        <f t="shared" si="3"/>
        <v>#VALUE!</v>
      </c>
    </row>
    <row r="314" spans="1:38" ht="12.5">
      <c r="A314" s="10" t="str">
        <f t="shared" si="0"/>
        <v>Resti Okviasari</v>
      </c>
      <c r="B314" s="5">
        <f t="shared" si="1"/>
        <v>610422100183</v>
      </c>
      <c r="C314" s="5" t="str">
        <f t="shared" si="2"/>
        <v>Resti Okviasari</v>
      </c>
      <c r="D314" s="5" t="s">
        <v>363</v>
      </c>
      <c r="E314" s="5" t="e">
        <f t="array" ref="E314">INDEX('Master SLS'!$H$2:$H998,MATCH($AL314,'Master SLS'!$K$2:$K998,0))</f>
        <v>#VALUE!</v>
      </c>
      <c r="F314" s="5" t="e">
        <f t="array" ref="F314">INDEX('Master SLS'!$I$2:$I998,MATCH($AL314,'Master SLS'!$K$2:$K998,0))</f>
        <v>#VALUE!</v>
      </c>
      <c r="G314" s="5" t="s">
        <v>2311</v>
      </c>
      <c r="H314" s="5" t="s">
        <v>2312</v>
      </c>
      <c r="I314" s="5" t="s">
        <v>366</v>
      </c>
      <c r="J314" s="5">
        <v>1</v>
      </c>
      <c r="K314" s="5" t="s">
        <v>2313</v>
      </c>
      <c r="L314" s="5">
        <v>61</v>
      </c>
      <c r="M314" s="5">
        <v>4</v>
      </c>
      <c r="N314" s="5">
        <v>81</v>
      </c>
      <c r="O314" s="5">
        <v>1</v>
      </c>
      <c r="P314" s="5" t="s">
        <v>2314</v>
      </c>
      <c r="Q314" s="5">
        <v>1</v>
      </c>
      <c r="R314" s="74">
        <v>37172</v>
      </c>
      <c r="S314" s="5" t="s">
        <v>1241</v>
      </c>
      <c r="T314" s="5">
        <v>0</v>
      </c>
      <c r="U314" s="5">
        <v>1</v>
      </c>
      <c r="V314" s="5">
        <v>1</v>
      </c>
      <c r="W314" s="5">
        <v>5</v>
      </c>
      <c r="X314" s="5">
        <v>7</v>
      </c>
      <c r="Y314" s="5" t="s">
        <v>2315</v>
      </c>
      <c r="AA314" s="5">
        <v>0</v>
      </c>
      <c r="AB314" s="5">
        <v>0</v>
      </c>
      <c r="AC314" s="5">
        <v>0</v>
      </c>
      <c r="AD314" s="5">
        <v>0</v>
      </c>
      <c r="AE314" s="5">
        <v>0</v>
      </c>
      <c r="AF314" s="5">
        <v>0</v>
      </c>
      <c r="AG314" s="5">
        <v>0</v>
      </c>
      <c r="AH314" s="5" t="s">
        <v>2316</v>
      </c>
      <c r="AI314" s="5" t="s">
        <v>366</v>
      </c>
      <c r="AJ314" s="5" t="s">
        <v>2317</v>
      </c>
      <c r="AK314" s="5">
        <v>610422100183</v>
      </c>
      <c r="AL314" s="5" t="e">
        <f t="shared" si="3"/>
        <v>#VALUE!</v>
      </c>
    </row>
    <row r="315" spans="1:38" ht="12.5">
      <c r="A315" s="10" t="str">
        <f t="shared" si="0"/>
        <v>Reza Apriyani</v>
      </c>
      <c r="B315" s="5">
        <f t="shared" si="1"/>
        <v>610422040027</v>
      </c>
      <c r="C315" s="5" t="str">
        <f t="shared" si="2"/>
        <v>Reza Apriyani</v>
      </c>
      <c r="D315" s="5" t="s">
        <v>363</v>
      </c>
      <c r="E315" s="5" t="e">
        <f t="array" ref="E315">INDEX('Master SLS'!$H$2:$H998,MATCH($AL315,'Master SLS'!$K$2:$K998,0))</f>
        <v>#VALUE!</v>
      </c>
      <c r="F315" s="5" t="e">
        <f t="array" ref="F315">INDEX('Master SLS'!$I$2:$I998,MATCH($AL315,'Master SLS'!$K$2:$K998,0))</f>
        <v>#VALUE!</v>
      </c>
      <c r="G315" s="5" t="s">
        <v>2318</v>
      </c>
      <c r="H315" s="5" t="s">
        <v>2319</v>
      </c>
      <c r="I315" s="5" t="s">
        <v>366</v>
      </c>
      <c r="J315" s="5">
        <v>1</v>
      </c>
      <c r="K315" s="5" t="s">
        <v>2320</v>
      </c>
      <c r="L315" s="5">
        <v>61</v>
      </c>
      <c r="M315" s="5">
        <v>4</v>
      </c>
      <c r="N315" s="5">
        <v>80</v>
      </c>
      <c r="O315" s="5">
        <v>2</v>
      </c>
      <c r="P315" s="5" t="s">
        <v>2321</v>
      </c>
      <c r="Q315" s="5">
        <v>1</v>
      </c>
      <c r="R315" s="74">
        <v>36723</v>
      </c>
      <c r="T315" s="5">
        <v>0</v>
      </c>
      <c r="U315" s="5">
        <v>1</v>
      </c>
      <c r="V315" s="5">
        <v>1</v>
      </c>
      <c r="W315" s="5">
        <v>5</v>
      </c>
      <c r="X315" s="5">
        <v>3</v>
      </c>
      <c r="AA315" s="5">
        <v>1</v>
      </c>
      <c r="AB315" s="5">
        <v>1</v>
      </c>
      <c r="AC315" s="5">
        <v>1</v>
      </c>
      <c r="AD315" s="5">
        <v>0</v>
      </c>
      <c r="AE315" s="5">
        <v>0</v>
      </c>
      <c r="AF315" s="5">
        <v>0</v>
      </c>
      <c r="AG315" s="5">
        <v>0</v>
      </c>
      <c r="AI315" s="5" t="s">
        <v>366</v>
      </c>
      <c r="AJ315" s="5" t="s">
        <v>2322</v>
      </c>
      <c r="AK315" s="5">
        <v>610422040027</v>
      </c>
      <c r="AL315" s="5" t="e">
        <f t="shared" si="3"/>
        <v>#VALUE!</v>
      </c>
    </row>
    <row r="316" spans="1:38" ht="12.5">
      <c r="A316" s="10" t="str">
        <f t="shared" si="0"/>
        <v>Rian Natalius</v>
      </c>
      <c r="B316" s="5">
        <f t="shared" si="1"/>
        <v>610423110159</v>
      </c>
      <c r="C316" s="5" t="str">
        <f t="shared" si="2"/>
        <v>RIAN NATALIUS</v>
      </c>
      <c r="D316" s="5" t="s">
        <v>363</v>
      </c>
      <c r="E316" s="5" t="e">
        <f t="array" ref="E316">INDEX('Master SLS'!$H$2:$H998,MATCH($AL316,'Master SLS'!$K$2:$K998,0))</f>
        <v>#VALUE!</v>
      </c>
      <c r="F316" s="5" t="e">
        <f t="array" ref="F316">INDEX('Master SLS'!$I$2:$I998,MATCH($AL316,'Master SLS'!$K$2:$K998,0))</f>
        <v>#VALUE!</v>
      </c>
      <c r="G316" s="5" t="s">
        <v>2323</v>
      </c>
      <c r="H316" s="5" t="s">
        <v>2324</v>
      </c>
      <c r="I316" s="5" t="s">
        <v>366</v>
      </c>
      <c r="J316" s="5">
        <v>1</v>
      </c>
      <c r="K316" s="5" t="s">
        <v>2325</v>
      </c>
      <c r="L316" s="5">
        <v>61</v>
      </c>
      <c r="M316" s="5">
        <v>4</v>
      </c>
      <c r="N316" s="5">
        <v>91</v>
      </c>
      <c r="O316" s="5">
        <v>6</v>
      </c>
      <c r="P316" s="5" t="s">
        <v>2326</v>
      </c>
      <c r="Q316" s="5">
        <v>1</v>
      </c>
      <c r="R316" s="7">
        <v>34693</v>
      </c>
      <c r="S316" s="5" t="s">
        <v>2327</v>
      </c>
      <c r="T316" s="5">
        <v>1</v>
      </c>
      <c r="U316" s="5">
        <v>2</v>
      </c>
      <c r="V316" s="5">
        <v>1</v>
      </c>
      <c r="W316" s="5">
        <v>3</v>
      </c>
      <c r="X316" s="5">
        <v>5</v>
      </c>
      <c r="AA316" s="5">
        <v>0</v>
      </c>
      <c r="AB316" s="5">
        <v>0</v>
      </c>
      <c r="AC316" s="5">
        <v>0</v>
      </c>
      <c r="AD316" s="5">
        <v>0</v>
      </c>
      <c r="AE316" s="5">
        <v>0</v>
      </c>
      <c r="AF316" s="5">
        <v>0</v>
      </c>
      <c r="AG316" s="5">
        <v>0</v>
      </c>
      <c r="AH316" s="5" t="s">
        <v>2328</v>
      </c>
      <c r="AI316" s="5" t="s">
        <v>366</v>
      </c>
      <c r="AJ316" s="5" t="s">
        <v>2329</v>
      </c>
      <c r="AK316" s="5">
        <v>610423110159</v>
      </c>
      <c r="AL316" s="5" t="e">
        <f t="shared" si="3"/>
        <v>#VALUE!</v>
      </c>
    </row>
    <row r="317" spans="1:38" ht="12.5">
      <c r="A317" s="10" t="str">
        <f t="shared" si="0"/>
        <v>Ridha Nur Mitha</v>
      </c>
      <c r="B317" s="5">
        <f t="shared" si="1"/>
        <v>610422040006</v>
      </c>
      <c r="C317" s="5" t="str">
        <f t="shared" si="2"/>
        <v>RIDHA NUR MITHA</v>
      </c>
      <c r="D317" s="5" t="s">
        <v>363</v>
      </c>
      <c r="E317" s="5" t="e">
        <f t="array" ref="E317">INDEX('Master SLS'!$H$2:$H998,MATCH($AL317,'Master SLS'!$K$2:$K998,0))</f>
        <v>#VALUE!</v>
      </c>
      <c r="F317" s="5" t="e">
        <f t="array" ref="F317">INDEX('Master SLS'!$I$2:$I998,MATCH($AL317,'Master SLS'!$K$2:$K998,0))</f>
        <v>#VALUE!</v>
      </c>
      <c r="G317" s="5" t="s">
        <v>2330</v>
      </c>
      <c r="H317" s="5" t="s">
        <v>2331</v>
      </c>
      <c r="I317" s="5" t="s">
        <v>366</v>
      </c>
      <c r="J317" s="5">
        <v>1</v>
      </c>
      <c r="K317" s="5" t="s">
        <v>2332</v>
      </c>
      <c r="L317" s="5">
        <v>61</v>
      </c>
      <c r="M317" s="5">
        <v>4</v>
      </c>
      <c r="N317" s="5">
        <v>101</v>
      </c>
      <c r="O317" s="5">
        <v>6</v>
      </c>
      <c r="P317" s="5" t="s">
        <v>2333</v>
      </c>
      <c r="Q317" s="5">
        <v>1</v>
      </c>
      <c r="R317" s="74">
        <v>37343</v>
      </c>
      <c r="T317" s="5">
        <v>0</v>
      </c>
      <c r="U317" s="5">
        <v>1</v>
      </c>
      <c r="V317" s="5">
        <v>1</v>
      </c>
      <c r="W317" s="5">
        <v>3</v>
      </c>
      <c r="X317" s="5">
        <v>6</v>
      </c>
      <c r="AA317" s="5">
        <v>1</v>
      </c>
      <c r="AB317" s="5">
        <v>1</v>
      </c>
      <c r="AC317" s="5">
        <v>1</v>
      </c>
      <c r="AD317" s="5">
        <v>0</v>
      </c>
      <c r="AE317" s="5">
        <v>1</v>
      </c>
      <c r="AF317" s="5">
        <v>1</v>
      </c>
      <c r="AG317" s="5">
        <v>0</v>
      </c>
      <c r="AH317" s="5" t="s">
        <v>2334</v>
      </c>
      <c r="AI317" s="5" t="s">
        <v>366</v>
      </c>
      <c r="AJ317" s="5" t="s">
        <v>2335</v>
      </c>
      <c r="AK317" s="5">
        <v>610422040006</v>
      </c>
      <c r="AL317" s="5" t="e">
        <f t="shared" si="3"/>
        <v>#VALUE!</v>
      </c>
    </row>
    <row r="318" spans="1:38" ht="12.5">
      <c r="A318" s="10" t="str">
        <f t="shared" si="0"/>
        <v>Ridhawati</v>
      </c>
      <c r="B318" s="5">
        <f t="shared" si="1"/>
        <v>610422100106</v>
      </c>
      <c r="C318" s="5" t="str">
        <f t="shared" si="2"/>
        <v>Ridhawati</v>
      </c>
      <c r="D318" s="5" t="s">
        <v>363</v>
      </c>
      <c r="E318" s="5" t="e">
        <f t="array" ref="E318">INDEX('Master SLS'!$H$2:$H998,MATCH($AL318,'Master SLS'!$K$2:$K998,0))</f>
        <v>#VALUE!</v>
      </c>
      <c r="F318" s="5" t="e">
        <f t="array" ref="F318">INDEX('Master SLS'!$I$2:$I998,MATCH($AL318,'Master SLS'!$K$2:$K998,0))</f>
        <v>#VALUE!</v>
      </c>
      <c r="G318" s="5" t="s">
        <v>2336</v>
      </c>
      <c r="H318" s="5" t="s">
        <v>2337</v>
      </c>
      <c r="I318" s="5" t="s">
        <v>366</v>
      </c>
      <c r="J318" s="5">
        <v>1</v>
      </c>
      <c r="K318" s="5" t="s">
        <v>2338</v>
      </c>
      <c r="L318" s="5">
        <v>61</v>
      </c>
      <c r="M318" s="5">
        <v>4</v>
      </c>
      <c r="N318" s="5">
        <v>101</v>
      </c>
      <c r="O318" s="5">
        <v>5</v>
      </c>
      <c r="P318" s="5" t="s">
        <v>2339</v>
      </c>
      <c r="Q318" s="5">
        <v>1</v>
      </c>
      <c r="R318" s="74">
        <v>33451</v>
      </c>
      <c r="S318" s="5" t="s">
        <v>2340</v>
      </c>
      <c r="T318" s="5">
        <v>0</v>
      </c>
      <c r="U318" s="5">
        <v>1</v>
      </c>
      <c r="V318" s="5">
        <v>2</v>
      </c>
      <c r="W318" s="5">
        <v>5</v>
      </c>
      <c r="X318" s="5">
        <v>4</v>
      </c>
      <c r="AA318" s="5">
        <v>1</v>
      </c>
      <c r="AB318" s="5">
        <v>0</v>
      </c>
      <c r="AC318" s="5">
        <v>0</v>
      </c>
      <c r="AD318" s="5">
        <v>1</v>
      </c>
      <c r="AE318" s="5">
        <v>0</v>
      </c>
      <c r="AF318" s="5">
        <v>0</v>
      </c>
      <c r="AG318" s="5">
        <v>0</v>
      </c>
      <c r="AH318" s="5" t="s">
        <v>2341</v>
      </c>
      <c r="AI318" s="5" t="s">
        <v>366</v>
      </c>
      <c r="AJ318" s="5" t="s">
        <v>2342</v>
      </c>
      <c r="AK318" s="5">
        <v>610422100106</v>
      </c>
      <c r="AL318" s="5" t="e">
        <f t="shared" si="3"/>
        <v>#VALUE!</v>
      </c>
    </row>
    <row r="319" spans="1:38" ht="12.5">
      <c r="A319" s="10" t="str">
        <f t="shared" si="0"/>
        <v>Rifaldi</v>
      </c>
      <c r="B319" s="5">
        <f t="shared" si="1"/>
        <v>610423110166</v>
      </c>
      <c r="C319" s="5" t="str">
        <f t="shared" si="2"/>
        <v>RIFALDI</v>
      </c>
      <c r="D319" s="5" t="s">
        <v>363</v>
      </c>
      <c r="E319" s="5" t="e">
        <f t="array" ref="E319">INDEX('Master SLS'!$H$2:$H998,MATCH($AL319,'Master SLS'!$K$2:$K998,0))</f>
        <v>#VALUE!</v>
      </c>
      <c r="F319" s="5" t="e">
        <f t="array" ref="F319">INDEX('Master SLS'!$I$2:$I998,MATCH($AL319,'Master SLS'!$K$2:$K998,0))</f>
        <v>#VALUE!</v>
      </c>
      <c r="G319" s="5" t="s">
        <v>2343</v>
      </c>
      <c r="H319" s="5" t="s">
        <v>2344</v>
      </c>
      <c r="I319" s="5" t="s">
        <v>474</v>
      </c>
      <c r="J319" s="5">
        <v>1</v>
      </c>
      <c r="K319" s="5" t="s">
        <v>2345</v>
      </c>
      <c r="L319" s="5">
        <v>61</v>
      </c>
      <c r="M319" s="5">
        <v>4</v>
      </c>
      <c r="N319" s="5">
        <v>110</v>
      </c>
      <c r="O319" s="5">
        <v>3</v>
      </c>
      <c r="P319" s="5" t="s">
        <v>2346</v>
      </c>
      <c r="Q319" s="5">
        <v>1</v>
      </c>
      <c r="R319" s="74">
        <v>36549</v>
      </c>
      <c r="S319" s="5" t="s">
        <v>2347</v>
      </c>
      <c r="T319" s="5">
        <v>1</v>
      </c>
      <c r="U319" s="5">
        <v>1</v>
      </c>
      <c r="V319" s="5">
        <v>2</v>
      </c>
      <c r="W319" s="5">
        <v>5</v>
      </c>
      <c r="X319" s="5">
        <v>7</v>
      </c>
      <c r="Y319" s="5" t="s">
        <v>2348</v>
      </c>
      <c r="AA319" s="5">
        <v>0</v>
      </c>
      <c r="AB319" s="5">
        <v>0</v>
      </c>
      <c r="AC319" s="5">
        <v>0</v>
      </c>
      <c r="AD319" s="5">
        <v>0</v>
      </c>
      <c r="AE319" s="5">
        <v>0</v>
      </c>
      <c r="AF319" s="5">
        <v>0</v>
      </c>
      <c r="AG319" s="5">
        <v>0</v>
      </c>
      <c r="AI319" s="5" t="s">
        <v>474</v>
      </c>
      <c r="AJ319" s="5" t="s">
        <v>2349</v>
      </c>
      <c r="AK319" s="5">
        <v>610423110166</v>
      </c>
      <c r="AL319" s="5" t="e">
        <f t="shared" si="3"/>
        <v>#VALUE!</v>
      </c>
    </row>
    <row r="320" spans="1:38" ht="12.5">
      <c r="A320" s="10" t="str">
        <f t="shared" si="0"/>
        <v>Rima Melati</v>
      </c>
      <c r="B320" s="5">
        <f t="shared" si="1"/>
        <v>610422100231</v>
      </c>
      <c r="C320" s="5" t="str">
        <f t="shared" si="2"/>
        <v>Rima Melati</v>
      </c>
      <c r="D320" s="5" t="s">
        <v>363</v>
      </c>
      <c r="E320" s="5" t="e">
        <f t="array" ref="E320">INDEX('Master SLS'!$H$2:$H998,MATCH($AL320,'Master SLS'!$K$2:$K998,0))</f>
        <v>#VALUE!</v>
      </c>
      <c r="F320" s="5" t="e">
        <f t="array" ref="F320">INDEX('Master SLS'!$I$2:$I998,MATCH($AL320,'Master SLS'!$K$2:$K998,0))</f>
        <v>#VALUE!</v>
      </c>
      <c r="G320" s="5" t="s">
        <v>2350</v>
      </c>
      <c r="H320" s="5" t="s">
        <v>2351</v>
      </c>
      <c r="I320" s="5" t="s">
        <v>366</v>
      </c>
      <c r="J320" s="5">
        <v>1</v>
      </c>
      <c r="K320" s="5" t="s">
        <v>2352</v>
      </c>
      <c r="L320" s="5">
        <v>61</v>
      </c>
      <c r="M320" s="5">
        <v>4</v>
      </c>
      <c r="N320" s="5">
        <v>80</v>
      </c>
      <c r="O320" s="5">
        <v>1</v>
      </c>
      <c r="P320" s="5" t="s">
        <v>2353</v>
      </c>
      <c r="Q320" s="5">
        <v>1</v>
      </c>
      <c r="R320" s="74">
        <v>35691</v>
      </c>
      <c r="T320" s="5">
        <v>0</v>
      </c>
      <c r="U320" s="5">
        <v>1</v>
      </c>
      <c r="V320" s="5">
        <v>2</v>
      </c>
      <c r="W320" s="5">
        <v>3</v>
      </c>
      <c r="X320" s="5">
        <v>7</v>
      </c>
      <c r="Y320" s="5" t="s">
        <v>647</v>
      </c>
      <c r="AA320" s="5">
        <v>1</v>
      </c>
      <c r="AB320" s="5">
        <v>0</v>
      </c>
      <c r="AC320" s="5">
        <v>1</v>
      </c>
      <c r="AD320" s="5">
        <v>1</v>
      </c>
      <c r="AE320" s="5">
        <v>0</v>
      </c>
      <c r="AF320" s="5">
        <v>0</v>
      </c>
      <c r="AG320" s="5">
        <v>0</v>
      </c>
      <c r="AH320" s="5" t="s">
        <v>2354</v>
      </c>
      <c r="AI320" s="5" t="s">
        <v>366</v>
      </c>
      <c r="AJ320" s="5" t="s">
        <v>2355</v>
      </c>
      <c r="AK320" s="5">
        <v>610422100231</v>
      </c>
      <c r="AL320" s="5" t="e">
        <f t="shared" si="3"/>
        <v>#VALUE!</v>
      </c>
    </row>
    <row r="321" spans="1:38" ht="12.5">
      <c r="A321" s="10" t="str">
        <f t="shared" si="0"/>
        <v>Rina Purwanti</v>
      </c>
      <c r="B321" s="5">
        <f t="shared" si="1"/>
        <v>610422100029</v>
      </c>
      <c r="C321" s="5" t="str">
        <f t="shared" si="2"/>
        <v>Rina Purwanti</v>
      </c>
      <c r="D321" s="5" t="s">
        <v>363</v>
      </c>
      <c r="E321" s="5" t="e">
        <f t="array" ref="E321">INDEX('Master SLS'!$H$2:$H998,MATCH($AL321,'Master SLS'!$K$2:$K998,0))</f>
        <v>#VALUE!</v>
      </c>
      <c r="F321" s="5" t="e">
        <f t="array" ref="F321">INDEX('Master SLS'!$I$2:$I998,MATCH($AL321,'Master SLS'!$K$2:$K998,0))</f>
        <v>#VALUE!</v>
      </c>
      <c r="G321" s="5" t="s">
        <v>2356</v>
      </c>
      <c r="H321" s="5" t="s">
        <v>2357</v>
      </c>
      <c r="I321" s="5" t="s">
        <v>366</v>
      </c>
      <c r="J321" s="5">
        <v>1</v>
      </c>
      <c r="K321" s="5" t="s">
        <v>2358</v>
      </c>
      <c r="L321" s="5">
        <v>61</v>
      </c>
      <c r="M321" s="5">
        <v>4</v>
      </c>
      <c r="N321" s="5">
        <v>101</v>
      </c>
      <c r="O321" s="5">
        <v>7</v>
      </c>
      <c r="P321" s="5" t="s">
        <v>2359</v>
      </c>
      <c r="Q321" s="5">
        <v>1</v>
      </c>
      <c r="R321" s="74">
        <v>36730</v>
      </c>
      <c r="S321" s="5" t="s">
        <v>2360</v>
      </c>
      <c r="T321" s="5">
        <v>0</v>
      </c>
      <c r="U321" s="5">
        <v>1</v>
      </c>
      <c r="V321" s="5">
        <v>1</v>
      </c>
      <c r="W321" s="5">
        <v>3</v>
      </c>
      <c r="X321" s="5">
        <v>4</v>
      </c>
      <c r="AA321" s="5">
        <v>1</v>
      </c>
      <c r="AB321" s="5">
        <v>0</v>
      </c>
      <c r="AC321" s="5">
        <v>0</v>
      </c>
      <c r="AD321" s="5">
        <v>0</v>
      </c>
      <c r="AE321" s="5">
        <v>1</v>
      </c>
      <c r="AF321" s="5">
        <v>0</v>
      </c>
      <c r="AG321" s="5">
        <v>0</v>
      </c>
      <c r="AH321" s="5" t="s">
        <v>2361</v>
      </c>
      <c r="AI321" s="5" t="s">
        <v>366</v>
      </c>
      <c r="AJ321" s="5" t="s">
        <v>2362</v>
      </c>
      <c r="AK321" s="5">
        <v>610422100029</v>
      </c>
      <c r="AL321" s="5" t="e">
        <f t="shared" si="3"/>
        <v>#VALUE!</v>
      </c>
    </row>
    <row r="322" spans="1:38" ht="12.5">
      <c r="A322" s="10" t="str">
        <f t="shared" si="0"/>
        <v>Risa Yolani</v>
      </c>
      <c r="B322" s="5">
        <f t="shared" si="1"/>
        <v>610423110150</v>
      </c>
      <c r="C322" s="5" t="str">
        <f t="shared" si="2"/>
        <v>Risa Yolani</v>
      </c>
      <c r="D322" s="5" t="s">
        <v>363</v>
      </c>
      <c r="E322" s="5" t="e">
        <f t="array" ref="E322">INDEX('Master SLS'!$H$2:$H998,MATCH($AL322,'Master SLS'!$K$2:$K998,0))</f>
        <v>#VALUE!</v>
      </c>
      <c r="F322" s="5" t="e">
        <f t="array" ref="F322">INDEX('Master SLS'!$I$2:$I998,MATCH($AL322,'Master SLS'!$K$2:$K998,0))</f>
        <v>#VALUE!</v>
      </c>
      <c r="G322" s="5" t="s">
        <v>2363</v>
      </c>
      <c r="H322" s="5" t="s">
        <v>2364</v>
      </c>
      <c r="I322" s="5" t="s">
        <v>474</v>
      </c>
      <c r="J322" s="5">
        <v>1</v>
      </c>
      <c r="K322" s="5" t="s">
        <v>2365</v>
      </c>
      <c r="L322" s="5">
        <v>61</v>
      </c>
      <c r="M322" s="5">
        <v>4</v>
      </c>
      <c r="N322" s="5">
        <v>100</v>
      </c>
      <c r="O322" s="5">
        <v>7</v>
      </c>
      <c r="P322" s="5" t="s">
        <v>2366</v>
      </c>
      <c r="Q322" s="5">
        <v>1</v>
      </c>
      <c r="R322" s="74">
        <v>34381</v>
      </c>
      <c r="T322" s="5">
        <v>0</v>
      </c>
      <c r="U322" s="5">
        <v>1</v>
      </c>
      <c r="V322" s="5">
        <v>1</v>
      </c>
      <c r="W322" s="5">
        <v>5</v>
      </c>
      <c r="X322" s="5">
        <v>5</v>
      </c>
      <c r="AA322" s="5">
        <v>0</v>
      </c>
      <c r="AB322" s="5">
        <v>0</v>
      </c>
      <c r="AC322" s="5">
        <v>0</v>
      </c>
      <c r="AD322" s="5">
        <v>0</v>
      </c>
      <c r="AE322" s="5">
        <v>0</v>
      </c>
      <c r="AF322" s="5">
        <v>0</v>
      </c>
      <c r="AG322" s="5">
        <v>0</v>
      </c>
      <c r="AI322" s="5" t="s">
        <v>474</v>
      </c>
      <c r="AJ322" s="5" t="s">
        <v>2367</v>
      </c>
      <c r="AK322" s="5">
        <v>610423110150</v>
      </c>
      <c r="AL322" s="5" t="e">
        <f t="shared" si="3"/>
        <v>#VALUE!</v>
      </c>
    </row>
    <row r="323" spans="1:38" ht="12.5">
      <c r="A323" s="10" t="str">
        <f t="shared" si="0"/>
        <v>Riska Rahmadani</v>
      </c>
      <c r="B323" s="5">
        <f t="shared" si="1"/>
        <v>610423110197</v>
      </c>
      <c r="C323" s="5" t="str">
        <f t="shared" si="2"/>
        <v>Riska Rahmadani</v>
      </c>
      <c r="D323" s="5" t="s">
        <v>363</v>
      </c>
      <c r="E323" s="5" t="e">
        <f t="array" ref="E323">INDEX('Master SLS'!$H$2:$H998,MATCH($AL323,'Master SLS'!$K$2:$K998,0))</f>
        <v>#VALUE!</v>
      </c>
      <c r="F323" s="5" t="e">
        <f t="array" ref="F323">INDEX('Master SLS'!$I$2:$I998,MATCH($AL323,'Master SLS'!$K$2:$K998,0))</f>
        <v>#VALUE!</v>
      </c>
      <c r="G323" s="5" t="s">
        <v>2368</v>
      </c>
      <c r="H323" s="5" t="s">
        <v>2369</v>
      </c>
      <c r="I323" s="5" t="s">
        <v>366</v>
      </c>
      <c r="J323" s="5">
        <v>1</v>
      </c>
      <c r="K323" s="5" t="s">
        <v>2370</v>
      </c>
      <c r="L323" s="5">
        <v>61</v>
      </c>
      <c r="M323" s="5">
        <v>4</v>
      </c>
      <c r="N323" s="5">
        <v>80</v>
      </c>
      <c r="O323" s="5">
        <v>3</v>
      </c>
      <c r="P323" s="5" t="s">
        <v>2371</v>
      </c>
      <c r="Q323" s="5">
        <v>1</v>
      </c>
      <c r="R323" s="7">
        <v>38286</v>
      </c>
      <c r="T323" s="5">
        <v>0</v>
      </c>
      <c r="U323" s="5">
        <v>1</v>
      </c>
      <c r="V323" s="5">
        <v>1</v>
      </c>
      <c r="W323" s="5">
        <v>3</v>
      </c>
      <c r="X323" s="5">
        <v>7</v>
      </c>
      <c r="Y323" s="5" t="s">
        <v>1092</v>
      </c>
      <c r="AA323" s="5">
        <v>1</v>
      </c>
      <c r="AB323" s="5">
        <v>0</v>
      </c>
      <c r="AC323" s="5">
        <v>0</v>
      </c>
      <c r="AD323" s="5">
        <v>1</v>
      </c>
      <c r="AE323" s="5">
        <v>0</v>
      </c>
      <c r="AF323" s="5">
        <v>0</v>
      </c>
      <c r="AG323" s="5">
        <v>0</v>
      </c>
      <c r="AI323" s="5" t="s">
        <v>366</v>
      </c>
      <c r="AJ323" s="5" t="s">
        <v>2372</v>
      </c>
      <c r="AK323" s="5">
        <v>610423110197</v>
      </c>
      <c r="AL323" s="5" t="e">
        <f t="shared" si="3"/>
        <v>#VALUE!</v>
      </c>
    </row>
    <row r="324" spans="1:38" ht="12.5">
      <c r="A324" s="10" t="str">
        <f t="shared" si="0"/>
        <v>Riskaturrohmah</v>
      </c>
      <c r="B324" s="5">
        <f t="shared" si="1"/>
        <v>610423040020</v>
      </c>
      <c r="C324" s="5" t="str">
        <f t="shared" si="2"/>
        <v>RISKATURROHMAH</v>
      </c>
      <c r="D324" s="5" t="s">
        <v>363</v>
      </c>
      <c r="E324" s="5" t="e">
        <f t="array" ref="E324">INDEX('Master SLS'!$H$2:$H998,MATCH($AL324,'Master SLS'!$K$2:$K998,0))</f>
        <v>#VALUE!</v>
      </c>
      <c r="F324" s="5" t="e">
        <f t="array" ref="F324">INDEX('Master SLS'!$I$2:$I998,MATCH($AL324,'Master SLS'!$K$2:$K998,0))</f>
        <v>#VALUE!</v>
      </c>
      <c r="G324" s="5" t="s">
        <v>2373</v>
      </c>
      <c r="H324" s="5" t="s">
        <v>2374</v>
      </c>
      <c r="I324" s="5" t="s">
        <v>366</v>
      </c>
      <c r="J324" s="5">
        <v>1</v>
      </c>
      <c r="K324" s="5" t="s">
        <v>2375</v>
      </c>
      <c r="L324" s="5">
        <v>61</v>
      </c>
      <c r="M324" s="5">
        <v>4</v>
      </c>
      <c r="N324" s="5">
        <v>90</v>
      </c>
      <c r="O324" s="5">
        <v>3</v>
      </c>
      <c r="P324" s="5" t="s">
        <v>2376</v>
      </c>
      <c r="Q324" s="5">
        <v>1</v>
      </c>
      <c r="R324" s="7">
        <v>36885</v>
      </c>
      <c r="T324" s="5">
        <v>0</v>
      </c>
      <c r="U324" s="5">
        <v>1</v>
      </c>
      <c r="V324" s="5">
        <v>1</v>
      </c>
      <c r="W324" s="5">
        <v>3</v>
      </c>
      <c r="X324" s="5">
        <v>6</v>
      </c>
      <c r="AA324" s="5">
        <v>1</v>
      </c>
      <c r="AB324" s="5">
        <v>0</v>
      </c>
      <c r="AC324" s="5">
        <v>1</v>
      </c>
      <c r="AD324" s="5">
        <v>0</v>
      </c>
      <c r="AE324" s="5">
        <v>0</v>
      </c>
      <c r="AF324" s="5">
        <v>0</v>
      </c>
      <c r="AG324" s="5">
        <v>0</v>
      </c>
      <c r="AH324" s="5" t="s">
        <v>2377</v>
      </c>
      <c r="AI324" s="5" t="s">
        <v>366</v>
      </c>
      <c r="AJ324" s="5" t="s">
        <v>2374</v>
      </c>
      <c r="AK324" s="5">
        <v>610423040020</v>
      </c>
      <c r="AL324" s="5" t="e">
        <f t="shared" si="3"/>
        <v>#VALUE!</v>
      </c>
    </row>
    <row r="325" spans="1:38" ht="12.5">
      <c r="A325" s="10" t="str">
        <f t="shared" si="0"/>
        <v>Risma Aprianti</v>
      </c>
      <c r="B325" s="5">
        <f t="shared" si="1"/>
        <v>610423110012</v>
      </c>
      <c r="C325" s="5" t="str">
        <f t="shared" si="2"/>
        <v>Risma Aprianti</v>
      </c>
      <c r="D325" s="5" t="s">
        <v>363</v>
      </c>
      <c r="E325" s="5" t="e">
        <f t="array" ref="E325">INDEX('Master SLS'!$H$2:$H998,MATCH($AL325,'Master SLS'!$K$2:$K998,0))</f>
        <v>#VALUE!</v>
      </c>
      <c r="F325" s="5" t="e">
        <f t="array" ref="F325">INDEX('Master SLS'!$I$2:$I998,MATCH($AL325,'Master SLS'!$K$2:$K998,0))</f>
        <v>#VALUE!</v>
      </c>
      <c r="G325" s="5" t="s">
        <v>2378</v>
      </c>
      <c r="H325" s="5" t="s">
        <v>2379</v>
      </c>
      <c r="I325" s="5" t="s">
        <v>366</v>
      </c>
      <c r="J325" s="5">
        <v>1</v>
      </c>
      <c r="K325" s="5" t="s">
        <v>2380</v>
      </c>
      <c r="L325" s="5">
        <v>61</v>
      </c>
      <c r="M325" s="5">
        <v>4</v>
      </c>
      <c r="N325" s="5">
        <v>100</v>
      </c>
      <c r="O325" s="5">
        <v>15</v>
      </c>
      <c r="P325" s="5" t="s">
        <v>2381</v>
      </c>
      <c r="Q325" s="5">
        <v>1</v>
      </c>
      <c r="R325" s="74">
        <v>37370</v>
      </c>
      <c r="T325" s="5">
        <v>0</v>
      </c>
      <c r="U325" s="5">
        <v>1</v>
      </c>
      <c r="V325" s="5">
        <v>1</v>
      </c>
      <c r="W325" s="5">
        <v>3</v>
      </c>
      <c r="X325" s="5">
        <v>6</v>
      </c>
      <c r="AA325" s="5">
        <v>0</v>
      </c>
      <c r="AB325" s="5">
        <v>0</v>
      </c>
      <c r="AC325" s="5">
        <v>0</v>
      </c>
      <c r="AD325" s="5">
        <v>0</v>
      </c>
      <c r="AE325" s="5">
        <v>0</v>
      </c>
      <c r="AF325" s="5">
        <v>0</v>
      </c>
      <c r="AG325" s="5">
        <v>0</v>
      </c>
      <c r="AI325" s="5" t="s">
        <v>366</v>
      </c>
      <c r="AJ325" s="5" t="s">
        <v>2382</v>
      </c>
      <c r="AK325" s="5">
        <v>610423110012</v>
      </c>
      <c r="AL325" s="5" t="e">
        <f t="shared" si="3"/>
        <v>#VALUE!</v>
      </c>
    </row>
    <row r="326" spans="1:38" ht="12.5">
      <c r="A326" s="10" t="str">
        <f t="shared" si="0"/>
        <v>Riszki_Suhenra_Amin</v>
      </c>
      <c r="B326" s="5">
        <f t="shared" si="1"/>
        <v>610423090014</v>
      </c>
      <c r="C326" s="5" t="str">
        <f t="shared" si="2"/>
        <v>RISZKI_SUHENRA_AMIN</v>
      </c>
      <c r="D326" s="5" t="s">
        <v>363</v>
      </c>
      <c r="E326" s="5" t="e">
        <f t="array" ref="E326">INDEX('Master SLS'!$H$2:$H998,MATCH($AL326,'Master SLS'!$K$2:$K998,0))</f>
        <v>#VALUE!</v>
      </c>
      <c r="F326" s="5" t="e">
        <f t="array" ref="F326">INDEX('Master SLS'!$I$2:$I998,MATCH($AL326,'Master SLS'!$K$2:$K998,0))</f>
        <v>#VALUE!</v>
      </c>
      <c r="G326" s="5" t="s">
        <v>2383</v>
      </c>
      <c r="H326" s="5" t="s">
        <v>2384</v>
      </c>
      <c r="I326" s="5" t="s">
        <v>474</v>
      </c>
      <c r="J326" s="5">
        <v>1</v>
      </c>
      <c r="K326" s="5" t="s">
        <v>2385</v>
      </c>
      <c r="L326" s="5">
        <v>61</v>
      </c>
      <c r="M326" s="5">
        <v>4</v>
      </c>
      <c r="N326" s="5">
        <v>90</v>
      </c>
      <c r="O326" s="5">
        <v>11</v>
      </c>
      <c r="P326" s="5" t="s">
        <v>2386</v>
      </c>
      <c r="Q326" s="5">
        <v>1</v>
      </c>
      <c r="R326" s="74">
        <v>36649</v>
      </c>
      <c r="S326" s="5" t="s">
        <v>2387</v>
      </c>
      <c r="T326" s="5">
        <v>1</v>
      </c>
      <c r="U326" s="5">
        <v>1</v>
      </c>
      <c r="V326" s="5">
        <v>1</v>
      </c>
      <c r="W326" s="5">
        <v>5</v>
      </c>
      <c r="X326" s="5">
        <v>3</v>
      </c>
      <c r="AA326" s="5">
        <v>0</v>
      </c>
      <c r="AB326" s="5">
        <v>0</v>
      </c>
      <c r="AC326" s="5">
        <v>0</v>
      </c>
      <c r="AD326" s="5">
        <v>0</v>
      </c>
      <c r="AE326" s="5">
        <v>0</v>
      </c>
      <c r="AF326" s="5">
        <v>0</v>
      </c>
      <c r="AG326" s="5">
        <v>0</v>
      </c>
      <c r="AH326" s="5" t="s">
        <v>2388</v>
      </c>
      <c r="AI326" s="5" t="s">
        <v>474</v>
      </c>
      <c r="AJ326" s="5" t="s">
        <v>2389</v>
      </c>
      <c r="AK326" s="5">
        <v>610423090014</v>
      </c>
      <c r="AL326" s="5" t="e">
        <f t="shared" si="3"/>
        <v>#VALUE!</v>
      </c>
    </row>
    <row r="327" spans="1:38" ht="12.5">
      <c r="A327" s="10" t="str">
        <f t="shared" si="0"/>
        <v>Rita Apriliyanti</v>
      </c>
      <c r="B327" s="5">
        <f t="shared" si="1"/>
        <v>610423110191</v>
      </c>
      <c r="C327" s="5" t="str">
        <f t="shared" si="2"/>
        <v>Rita Apriliyanti</v>
      </c>
      <c r="D327" s="5" t="s">
        <v>363</v>
      </c>
      <c r="E327" s="5" t="e">
        <f t="array" ref="E327">INDEX('Master SLS'!$H$2:$H998,MATCH($AL327,'Master SLS'!$K$2:$K998,0))</f>
        <v>#VALUE!</v>
      </c>
      <c r="F327" s="5" t="e">
        <f t="array" ref="F327">INDEX('Master SLS'!$I$2:$I998,MATCH($AL327,'Master SLS'!$K$2:$K998,0))</f>
        <v>#VALUE!</v>
      </c>
      <c r="G327" s="5" t="s">
        <v>2390</v>
      </c>
      <c r="H327" s="5" t="s">
        <v>2391</v>
      </c>
      <c r="I327" s="5" t="s">
        <v>474</v>
      </c>
      <c r="J327" s="5">
        <v>1</v>
      </c>
      <c r="K327" s="5" t="s">
        <v>2392</v>
      </c>
      <c r="L327" s="5">
        <v>61</v>
      </c>
      <c r="M327" s="5">
        <v>4</v>
      </c>
      <c r="N327" s="5">
        <v>100</v>
      </c>
      <c r="O327" s="5">
        <v>7</v>
      </c>
      <c r="P327" s="5" t="s">
        <v>2393</v>
      </c>
      <c r="Q327" s="5">
        <v>1</v>
      </c>
      <c r="R327" s="74">
        <v>36995</v>
      </c>
      <c r="T327" s="5">
        <v>0</v>
      </c>
      <c r="U327" s="5">
        <v>5</v>
      </c>
      <c r="V327" s="5">
        <v>1</v>
      </c>
      <c r="W327" s="5">
        <v>5</v>
      </c>
      <c r="X327" s="5">
        <v>5</v>
      </c>
      <c r="AA327" s="5">
        <v>0</v>
      </c>
      <c r="AB327" s="5">
        <v>0</v>
      </c>
      <c r="AC327" s="5">
        <v>0</v>
      </c>
      <c r="AD327" s="5">
        <v>0</v>
      </c>
      <c r="AE327" s="5">
        <v>0</v>
      </c>
      <c r="AF327" s="5">
        <v>0</v>
      </c>
      <c r="AG327" s="5">
        <v>0</v>
      </c>
      <c r="AI327" s="5" t="s">
        <v>474</v>
      </c>
      <c r="AJ327" s="5" t="s">
        <v>2394</v>
      </c>
      <c r="AK327" s="5">
        <v>610423110191</v>
      </c>
      <c r="AL327" s="5" t="e">
        <f t="shared" si="3"/>
        <v>#VALUE!</v>
      </c>
    </row>
    <row r="328" spans="1:38" ht="12.5">
      <c r="A328" s="10" t="str">
        <f t="shared" si="0"/>
        <v>Riza Aldilla</v>
      </c>
      <c r="B328" s="5">
        <f t="shared" si="1"/>
        <v>610423090015</v>
      </c>
      <c r="C328" s="5" t="str">
        <f t="shared" si="2"/>
        <v>RIZA ALDILLA</v>
      </c>
      <c r="D328" s="5" t="s">
        <v>363</v>
      </c>
      <c r="E328" s="5" t="e">
        <f t="array" ref="E328">INDEX('Master SLS'!$H$2:$H998,MATCH($AL328,'Master SLS'!$K$2:$K998,0))</f>
        <v>#VALUE!</v>
      </c>
      <c r="F328" s="5" t="e">
        <f t="array" ref="F328">INDEX('Master SLS'!$I$2:$I998,MATCH($AL328,'Master SLS'!$K$2:$K998,0))</f>
        <v>#VALUE!</v>
      </c>
      <c r="G328" s="5" t="s">
        <v>2395</v>
      </c>
      <c r="H328" s="5" t="s">
        <v>2396</v>
      </c>
      <c r="I328" s="5" t="s">
        <v>388</v>
      </c>
      <c r="J328" s="5">
        <v>1</v>
      </c>
      <c r="K328" s="5" t="s">
        <v>2397</v>
      </c>
      <c r="L328" s="5">
        <v>61</v>
      </c>
      <c r="M328" s="5">
        <v>4</v>
      </c>
      <c r="N328" s="5">
        <v>90</v>
      </c>
      <c r="O328" s="5">
        <v>9</v>
      </c>
      <c r="P328" s="5" t="s">
        <v>2398</v>
      </c>
      <c r="Q328" s="5">
        <v>2</v>
      </c>
      <c r="R328" s="74">
        <v>35927</v>
      </c>
      <c r="T328" s="5">
        <v>1</v>
      </c>
      <c r="U328" s="5">
        <v>1</v>
      </c>
      <c r="V328" s="5">
        <v>1</v>
      </c>
      <c r="W328" s="5">
        <v>5</v>
      </c>
      <c r="X328" s="5">
        <v>6</v>
      </c>
      <c r="AA328" s="5">
        <v>0</v>
      </c>
      <c r="AB328" s="5">
        <v>0</v>
      </c>
      <c r="AC328" s="5">
        <v>0</v>
      </c>
      <c r="AD328" s="5">
        <v>0</v>
      </c>
      <c r="AE328" s="5">
        <v>0</v>
      </c>
      <c r="AF328" s="5">
        <v>0</v>
      </c>
      <c r="AG328" s="5">
        <v>0</v>
      </c>
      <c r="AI328" s="5" t="s">
        <v>388</v>
      </c>
      <c r="AJ328" s="5" t="s">
        <v>2399</v>
      </c>
      <c r="AK328" s="5">
        <v>610423090015</v>
      </c>
      <c r="AL328" s="5" t="e">
        <f t="shared" si="3"/>
        <v>#VALUE!</v>
      </c>
    </row>
    <row r="329" spans="1:38" ht="12.5">
      <c r="A329" s="10" t="str">
        <f t="shared" si="0"/>
        <v>Rizka Muliyani</v>
      </c>
      <c r="B329" s="5">
        <f t="shared" si="1"/>
        <v>610423110073</v>
      </c>
      <c r="C329" s="5" t="str">
        <f t="shared" si="2"/>
        <v>Rizka Muliyani</v>
      </c>
      <c r="D329" s="5" t="s">
        <v>363</v>
      </c>
      <c r="E329" s="5" t="e">
        <f t="array" ref="E329">INDEX('Master SLS'!$H$2:$H998,MATCH($AL329,'Master SLS'!$K$2:$K998,0))</f>
        <v>#VALUE!</v>
      </c>
      <c r="F329" s="5" t="e">
        <f t="array" ref="F329">INDEX('Master SLS'!$I$2:$I998,MATCH($AL329,'Master SLS'!$K$2:$K998,0))</f>
        <v>#VALUE!</v>
      </c>
      <c r="G329" s="5" t="s">
        <v>2400</v>
      </c>
      <c r="H329" s="5" t="s">
        <v>2401</v>
      </c>
      <c r="I329" s="5" t="s">
        <v>366</v>
      </c>
      <c r="J329" s="5">
        <v>1</v>
      </c>
      <c r="K329" s="5" t="s">
        <v>2402</v>
      </c>
      <c r="L329" s="5">
        <v>61</v>
      </c>
      <c r="M329" s="5">
        <v>4</v>
      </c>
      <c r="N329" s="5">
        <v>110</v>
      </c>
      <c r="O329" s="5">
        <v>10</v>
      </c>
      <c r="P329" s="5" t="s">
        <v>2403</v>
      </c>
      <c r="Q329" s="5">
        <v>1</v>
      </c>
      <c r="R329" s="74">
        <v>35931</v>
      </c>
      <c r="S329" s="5" t="s">
        <v>2404</v>
      </c>
      <c r="T329" s="5">
        <v>0</v>
      </c>
      <c r="U329" s="5">
        <v>1</v>
      </c>
      <c r="V329" s="5">
        <v>1</v>
      </c>
      <c r="W329" s="5">
        <v>5</v>
      </c>
      <c r="X329" s="5">
        <v>7</v>
      </c>
      <c r="Y329" s="5" t="s">
        <v>2405</v>
      </c>
      <c r="AA329" s="5">
        <v>0</v>
      </c>
      <c r="AB329" s="5">
        <v>0</v>
      </c>
      <c r="AC329" s="5">
        <v>0</v>
      </c>
      <c r="AD329" s="5">
        <v>0</v>
      </c>
      <c r="AE329" s="5">
        <v>0</v>
      </c>
      <c r="AF329" s="5">
        <v>0</v>
      </c>
      <c r="AG329" s="5">
        <v>0</v>
      </c>
      <c r="AI329" s="5" t="s">
        <v>366</v>
      </c>
      <c r="AJ329" s="5" t="s">
        <v>2406</v>
      </c>
      <c r="AK329" s="5">
        <v>610423110073</v>
      </c>
      <c r="AL329" s="5" t="e">
        <f t="shared" si="3"/>
        <v>#VALUE!</v>
      </c>
    </row>
    <row r="330" spans="1:38" ht="12.5">
      <c r="A330" s="10" t="str">
        <f t="shared" si="0"/>
        <v>Rohmi</v>
      </c>
      <c r="B330" s="5">
        <f t="shared" si="1"/>
        <v>610422100188</v>
      </c>
      <c r="C330" s="5" t="str">
        <f t="shared" si="2"/>
        <v>Rohmi</v>
      </c>
      <c r="D330" s="5" t="s">
        <v>363</v>
      </c>
      <c r="E330" s="5" t="e">
        <f t="array" ref="E330">INDEX('Master SLS'!$H$2:$H998,MATCH($AL330,'Master SLS'!$K$2:$K998,0))</f>
        <v>#VALUE!</v>
      </c>
      <c r="F330" s="5" t="e">
        <f t="array" ref="F330">INDEX('Master SLS'!$I$2:$I998,MATCH($AL330,'Master SLS'!$K$2:$K998,0))</f>
        <v>#VALUE!</v>
      </c>
      <c r="G330" s="5" t="s">
        <v>2407</v>
      </c>
      <c r="H330" s="5" t="s">
        <v>2408</v>
      </c>
      <c r="I330" s="5" t="s">
        <v>388</v>
      </c>
      <c r="J330" s="5">
        <v>1</v>
      </c>
      <c r="K330" s="5" t="s">
        <v>2409</v>
      </c>
      <c r="L330" s="5">
        <v>61</v>
      </c>
      <c r="M330" s="5">
        <v>4</v>
      </c>
      <c r="N330" s="5">
        <v>100</v>
      </c>
      <c r="O330" s="5">
        <v>7</v>
      </c>
      <c r="P330" s="5" t="s">
        <v>2410</v>
      </c>
      <c r="Q330" s="5">
        <v>1</v>
      </c>
      <c r="R330" s="74">
        <v>36592</v>
      </c>
      <c r="T330" s="5">
        <v>0</v>
      </c>
      <c r="U330" s="5">
        <v>1</v>
      </c>
      <c r="V330" s="5">
        <v>2</v>
      </c>
      <c r="W330" s="5">
        <v>5</v>
      </c>
      <c r="X330" s="5">
        <v>7</v>
      </c>
      <c r="Y330" s="5" t="s">
        <v>553</v>
      </c>
      <c r="AA330" s="5">
        <v>1</v>
      </c>
      <c r="AB330" s="5">
        <v>1</v>
      </c>
      <c r="AC330" s="5">
        <v>1</v>
      </c>
      <c r="AD330" s="5">
        <v>0</v>
      </c>
      <c r="AE330" s="5">
        <v>0</v>
      </c>
      <c r="AF330" s="5">
        <v>0</v>
      </c>
      <c r="AG330" s="5">
        <v>0</v>
      </c>
      <c r="AH330" s="5" t="s">
        <v>2411</v>
      </c>
      <c r="AI330" s="5" t="s">
        <v>388</v>
      </c>
      <c r="AJ330" s="5" t="s">
        <v>2412</v>
      </c>
      <c r="AK330" s="5">
        <v>610422100188</v>
      </c>
      <c r="AL330" s="5" t="e">
        <f t="shared" si="3"/>
        <v>#VALUE!</v>
      </c>
    </row>
    <row r="331" spans="1:38" ht="12.5">
      <c r="A331" s="10" t="str">
        <f t="shared" si="0"/>
        <v>Rojali</v>
      </c>
      <c r="B331" s="5">
        <f t="shared" si="1"/>
        <v>610423110096</v>
      </c>
      <c r="C331" s="5" t="str">
        <f t="shared" si="2"/>
        <v>Rojali</v>
      </c>
      <c r="D331" s="5" t="s">
        <v>363</v>
      </c>
      <c r="E331" s="5" t="e">
        <f t="array" ref="E331">INDEX('Master SLS'!$H$2:$H998,MATCH($AL331,'Master SLS'!$K$2:$K998,0))</f>
        <v>#VALUE!</v>
      </c>
      <c r="F331" s="5" t="e">
        <f t="array" ref="F331">INDEX('Master SLS'!$I$2:$I998,MATCH($AL331,'Master SLS'!$K$2:$K998,0))</f>
        <v>#VALUE!</v>
      </c>
      <c r="G331" s="5" t="s">
        <v>2413</v>
      </c>
      <c r="H331" s="5" t="s">
        <v>2414</v>
      </c>
      <c r="I331" s="5" t="s">
        <v>366</v>
      </c>
      <c r="J331" s="5">
        <v>1</v>
      </c>
      <c r="K331" s="5" t="s">
        <v>2415</v>
      </c>
      <c r="L331" s="5">
        <v>61</v>
      </c>
      <c r="M331" s="5">
        <v>4</v>
      </c>
      <c r="N331" s="5">
        <v>80</v>
      </c>
      <c r="O331" s="5">
        <v>2</v>
      </c>
      <c r="P331" s="5" t="s">
        <v>2416</v>
      </c>
      <c r="Q331" s="5">
        <v>1</v>
      </c>
      <c r="R331" s="74">
        <v>35195</v>
      </c>
      <c r="T331" s="5">
        <v>1</v>
      </c>
      <c r="U331" s="5">
        <v>1</v>
      </c>
      <c r="V331" s="5">
        <v>1</v>
      </c>
      <c r="W331" s="5">
        <v>5</v>
      </c>
      <c r="X331" s="5">
        <v>7</v>
      </c>
      <c r="Y331" s="5" t="s">
        <v>895</v>
      </c>
      <c r="AA331" s="5">
        <v>0</v>
      </c>
      <c r="AB331" s="5">
        <v>0</v>
      </c>
      <c r="AC331" s="5">
        <v>0</v>
      </c>
      <c r="AD331" s="5">
        <v>0</v>
      </c>
      <c r="AE331" s="5">
        <v>0</v>
      </c>
      <c r="AF331" s="5">
        <v>0</v>
      </c>
      <c r="AG331" s="5">
        <v>0</v>
      </c>
      <c r="AH331" s="5" t="s">
        <v>2417</v>
      </c>
      <c r="AI331" s="5" t="s">
        <v>366</v>
      </c>
      <c r="AJ331" s="5" t="s">
        <v>2418</v>
      </c>
      <c r="AK331" s="5">
        <v>610423110096</v>
      </c>
      <c r="AL331" s="5" t="e">
        <f t="shared" si="3"/>
        <v>#VALUE!</v>
      </c>
    </row>
    <row r="332" spans="1:38" ht="12.5">
      <c r="A332" s="10" t="str">
        <f t="shared" si="0"/>
        <v>Romia</v>
      </c>
      <c r="B332" s="5">
        <f t="shared" si="1"/>
        <v>610422100229</v>
      </c>
      <c r="C332" s="5" t="str">
        <f t="shared" si="2"/>
        <v>Romia</v>
      </c>
      <c r="D332" s="5" t="s">
        <v>363</v>
      </c>
      <c r="E332" s="5" t="e">
        <f t="array" ref="E332">INDEX('Master SLS'!$H$2:$H998,MATCH($AL332,'Master SLS'!$K$2:$K998,0))</f>
        <v>#VALUE!</v>
      </c>
      <c r="F332" s="5" t="e">
        <f t="array" ref="F332">INDEX('Master SLS'!$I$2:$I998,MATCH($AL332,'Master SLS'!$K$2:$K998,0))</f>
        <v>#VALUE!</v>
      </c>
      <c r="G332" s="5" t="s">
        <v>2419</v>
      </c>
      <c r="H332" s="5" t="s">
        <v>2420</v>
      </c>
      <c r="I332" s="5" t="s">
        <v>388</v>
      </c>
      <c r="J332" s="5">
        <v>1</v>
      </c>
      <c r="K332" s="5" t="s">
        <v>2421</v>
      </c>
      <c r="L332" s="5">
        <v>61</v>
      </c>
      <c r="M332" s="5">
        <v>4</v>
      </c>
      <c r="N332" s="5">
        <v>100</v>
      </c>
      <c r="O332" s="5">
        <v>12</v>
      </c>
      <c r="P332" s="5" t="s">
        <v>2422</v>
      </c>
      <c r="Q332" s="5">
        <v>1</v>
      </c>
      <c r="R332" s="74">
        <v>36423</v>
      </c>
      <c r="S332" s="5" t="s">
        <v>2423</v>
      </c>
      <c r="T332" s="5">
        <v>0</v>
      </c>
      <c r="U332" s="5">
        <v>1</v>
      </c>
      <c r="V332" s="5">
        <v>2</v>
      </c>
      <c r="W332" s="5">
        <v>5</v>
      </c>
      <c r="X332" s="5">
        <v>5</v>
      </c>
      <c r="AA332" s="5">
        <v>1</v>
      </c>
      <c r="AB332" s="5">
        <v>0</v>
      </c>
      <c r="AC332" s="5">
        <v>1</v>
      </c>
      <c r="AD332" s="5">
        <v>1</v>
      </c>
      <c r="AE332" s="5">
        <v>0</v>
      </c>
      <c r="AF332" s="5">
        <v>0</v>
      </c>
      <c r="AG332" s="5">
        <v>0</v>
      </c>
      <c r="AH332" s="5" t="s">
        <v>2424</v>
      </c>
      <c r="AI332" s="5" t="s">
        <v>388</v>
      </c>
      <c r="AJ332" s="5" t="s">
        <v>2425</v>
      </c>
      <c r="AK332" s="5">
        <v>610422100229</v>
      </c>
      <c r="AL332" s="5" t="e">
        <f t="shared" si="3"/>
        <v>#VALUE!</v>
      </c>
    </row>
    <row r="333" spans="1:38" ht="12.5">
      <c r="A333" s="10" t="str">
        <f t="shared" si="0"/>
        <v>Rusdianto</v>
      </c>
      <c r="B333" s="5">
        <f t="shared" si="1"/>
        <v>610422100225</v>
      </c>
      <c r="C333" s="5" t="str">
        <f t="shared" si="2"/>
        <v>RUSDIANTO</v>
      </c>
      <c r="D333" s="5" t="s">
        <v>363</v>
      </c>
      <c r="E333" s="5" t="e">
        <f t="array" ref="E333">INDEX('Master SLS'!$H$2:$H998,MATCH($AL333,'Master SLS'!$K$2:$K998,0))</f>
        <v>#VALUE!</v>
      </c>
      <c r="F333" s="5" t="e">
        <f t="array" ref="F333">INDEX('Master SLS'!$I$2:$I998,MATCH($AL333,'Master SLS'!$K$2:$K998,0))</f>
        <v>#VALUE!</v>
      </c>
      <c r="G333" s="5" t="s">
        <v>2426</v>
      </c>
      <c r="H333" s="5" t="s">
        <v>2427</v>
      </c>
      <c r="I333" s="5" t="s">
        <v>366</v>
      </c>
      <c r="J333" s="5">
        <v>1</v>
      </c>
      <c r="K333" s="5" t="s">
        <v>2428</v>
      </c>
      <c r="L333" s="5">
        <v>61</v>
      </c>
      <c r="M333" s="5">
        <v>4</v>
      </c>
      <c r="N333" s="5">
        <v>81</v>
      </c>
      <c r="O333" s="5">
        <v>3</v>
      </c>
      <c r="P333" s="5" t="s">
        <v>2429</v>
      </c>
      <c r="Q333" s="5">
        <v>1</v>
      </c>
      <c r="R333" s="74">
        <v>33771</v>
      </c>
      <c r="S333" s="5" t="s">
        <v>2430</v>
      </c>
      <c r="T333" s="5">
        <v>1</v>
      </c>
      <c r="U333" s="5">
        <v>1</v>
      </c>
      <c r="V333" s="5">
        <v>2</v>
      </c>
      <c r="W333" s="5">
        <v>5</v>
      </c>
      <c r="X333" s="5">
        <v>3</v>
      </c>
      <c r="AA333" s="5">
        <v>1</v>
      </c>
      <c r="AB333" s="5">
        <v>1</v>
      </c>
      <c r="AC333" s="5">
        <v>1</v>
      </c>
      <c r="AD333" s="5">
        <v>0</v>
      </c>
      <c r="AE333" s="5">
        <v>1</v>
      </c>
      <c r="AF333" s="5">
        <v>0</v>
      </c>
      <c r="AG333" s="5">
        <v>0</v>
      </c>
      <c r="AH333" s="5" t="s">
        <v>2431</v>
      </c>
      <c r="AI333" s="5" t="s">
        <v>366</v>
      </c>
      <c r="AJ333" s="5" t="s">
        <v>2432</v>
      </c>
      <c r="AK333" s="5">
        <v>610422100225</v>
      </c>
      <c r="AL333" s="5" t="e">
        <f t="shared" si="3"/>
        <v>#VALUE!</v>
      </c>
    </row>
    <row r="334" spans="1:38" ht="12.5">
      <c r="A334" s="10" t="str">
        <f t="shared" si="0"/>
        <v>Ryan Mahendra</v>
      </c>
      <c r="B334" s="5">
        <f t="shared" si="1"/>
        <v>610423090016</v>
      </c>
      <c r="C334" s="5" t="str">
        <f t="shared" si="2"/>
        <v>Ryan Mahendra</v>
      </c>
      <c r="D334" s="5" t="s">
        <v>363</v>
      </c>
      <c r="E334" s="5" t="e">
        <f t="array" ref="E334">INDEX('Master SLS'!$H$2:$H998,MATCH($AL334,'Master SLS'!$K$2:$K998,0))</f>
        <v>#VALUE!</v>
      </c>
      <c r="F334" s="5" t="e">
        <f t="array" ref="F334">INDEX('Master SLS'!$I$2:$I998,MATCH($AL334,'Master SLS'!$K$2:$K998,0))</f>
        <v>#VALUE!</v>
      </c>
      <c r="G334" s="5" t="s">
        <v>2433</v>
      </c>
      <c r="H334" s="5" t="s">
        <v>2434</v>
      </c>
      <c r="I334" s="5" t="s">
        <v>366</v>
      </c>
      <c r="J334" s="5">
        <v>1</v>
      </c>
      <c r="K334" s="5" t="s">
        <v>2435</v>
      </c>
      <c r="L334" s="5">
        <v>61</v>
      </c>
      <c r="M334" s="5">
        <v>4</v>
      </c>
      <c r="N334" s="5">
        <v>90</v>
      </c>
      <c r="O334" s="5">
        <v>11</v>
      </c>
      <c r="P334" s="5" t="s">
        <v>2436</v>
      </c>
      <c r="Q334" s="5">
        <v>1</v>
      </c>
      <c r="R334" s="74">
        <v>35206</v>
      </c>
      <c r="T334" s="5">
        <v>1</v>
      </c>
      <c r="U334" s="5">
        <v>1</v>
      </c>
      <c r="V334" s="5">
        <v>1</v>
      </c>
      <c r="W334" s="5">
        <v>3</v>
      </c>
      <c r="X334" s="5">
        <v>3</v>
      </c>
      <c r="AA334" s="5">
        <v>0</v>
      </c>
      <c r="AB334" s="5">
        <v>0</v>
      </c>
      <c r="AC334" s="5">
        <v>0</v>
      </c>
      <c r="AD334" s="5">
        <v>0</v>
      </c>
      <c r="AE334" s="5">
        <v>0</v>
      </c>
      <c r="AF334" s="5">
        <v>0</v>
      </c>
      <c r="AG334" s="5">
        <v>0</v>
      </c>
      <c r="AH334" s="5" t="s">
        <v>2437</v>
      </c>
      <c r="AI334" s="5" t="s">
        <v>366</v>
      </c>
      <c r="AJ334" s="5" t="s">
        <v>2438</v>
      </c>
      <c r="AK334" s="5">
        <v>610423090016</v>
      </c>
      <c r="AL334" s="5" t="e">
        <f t="shared" si="3"/>
        <v>#VALUE!</v>
      </c>
    </row>
    <row r="335" spans="1:38" ht="12.5">
      <c r="A335" s="10" t="str">
        <f t="shared" si="0"/>
        <v>Sabani</v>
      </c>
      <c r="B335" s="5">
        <f t="shared" si="1"/>
        <v>610422040061</v>
      </c>
      <c r="C335" s="5" t="str">
        <f t="shared" si="2"/>
        <v>Sabani</v>
      </c>
      <c r="D335" s="5" t="s">
        <v>363</v>
      </c>
      <c r="E335" s="5" t="e">
        <f t="array" ref="E335">INDEX('Master SLS'!$H$2:$H998,MATCH($AL335,'Master SLS'!$K$2:$K998,0))</f>
        <v>#VALUE!</v>
      </c>
      <c r="F335" s="5" t="e">
        <f t="array" ref="F335">INDEX('Master SLS'!$I$2:$I998,MATCH($AL335,'Master SLS'!$K$2:$K998,0))</f>
        <v>#VALUE!</v>
      </c>
      <c r="G335" s="5" t="s">
        <v>2439</v>
      </c>
      <c r="H335" s="5" t="s">
        <v>2440</v>
      </c>
      <c r="I335" s="5" t="s">
        <v>366</v>
      </c>
      <c r="J335" s="5">
        <v>1</v>
      </c>
      <c r="K335" s="5" t="s">
        <v>2441</v>
      </c>
      <c r="L335" s="5">
        <v>61</v>
      </c>
      <c r="M335" s="5">
        <v>4</v>
      </c>
      <c r="N335" s="5">
        <v>81</v>
      </c>
      <c r="O335" s="5">
        <v>5</v>
      </c>
      <c r="P335" s="5" t="s">
        <v>2442</v>
      </c>
      <c r="Q335" s="5">
        <v>1</v>
      </c>
      <c r="R335" s="7">
        <v>31777</v>
      </c>
      <c r="S335" s="5" t="s">
        <v>2443</v>
      </c>
      <c r="T335" s="5">
        <v>1</v>
      </c>
      <c r="U335" s="5">
        <v>1</v>
      </c>
      <c r="V335" s="5">
        <v>2</v>
      </c>
      <c r="W335" s="5">
        <v>5</v>
      </c>
      <c r="X335" s="5">
        <v>7</v>
      </c>
      <c r="Y335" s="5" t="s">
        <v>2444</v>
      </c>
      <c r="AA335" s="5">
        <v>1</v>
      </c>
      <c r="AB335" s="5">
        <v>1</v>
      </c>
      <c r="AC335" s="5">
        <v>1</v>
      </c>
      <c r="AD335" s="5">
        <v>0</v>
      </c>
      <c r="AE335" s="5">
        <v>1</v>
      </c>
      <c r="AF335" s="5">
        <v>1</v>
      </c>
      <c r="AG335" s="5">
        <v>0</v>
      </c>
      <c r="AH335" s="5" t="s">
        <v>369</v>
      </c>
      <c r="AI335" s="5" t="s">
        <v>366</v>
      </c>
      <c r="AJ335" s="5" t="s">
        <v>2445</v>
      </c>
      <c r="AK335" s="5">
        <v>610422040061</v>
      </c>
      <c r="AL335" s="5" t="e">
        <f t="shared" si="3"/>
        <v>#VALUE!</v>
      </c>
    </row>
    <row r="336" spans="1:38" ht="12.5">
      <c r="A336" s="10" t="str">
        <f t="shared" si="0"/>
        <v>Safitri Handayani</v>
      </c>
      <c r="B336" s="5">
        <f t="shared" si="1"/>
        <v>610423110007</v>
      </c>
      <c r="C336" s="5" t="str">
        <f t="shared" si="2"/>
        <v>Safitri handayani</v>
      </c>
      <c r="D336" s="5" t="s">
        <v>363</v>
      </c>
      <c r="E336" s="5" t="e">
        <f t="array" ref="E336">INDEX('Master SLS'!$H$2:$H998,MATCH($AL336,'Master SLS'!$K$2:$K998,0))</f>
        <v>#VALUE!</v>
      </c>
      <c r="F336" s="5" t="e">
        <f t="array" ref="F336">INDEX('Master SLS'!$I$2:$I998,MATCH($AL336,'Master SLS'!$K$2:$K998,0))</f>
        <v>#VALUE!</v>
      </c>
      <c r="G336" s="5" t="s">
        <v>2446</v>
      </c>
      <c r="H336" s="5" t="s">
        <v>2447</v>
      </c>
      <c r="I336" s="5" t="s">
        <v>366</v>
      </c>
      <c r="J336" s="5">
        <v>1</v>
      </c>
      <c r="K336" s="5" t="s">
        <v>2448</v>
      </c>
      <c r="L336" s="5">
        <v>61</v>
      </c>
      <c r="M336" s="5">
        <v>4</v>
      </c>
      <c r="N336" s="5">
        <v>101</v>
      </c>
      <c r="O336" s="5">
        <v>3</v>
      </c>
      <c r="P336" s="5" t="s">
        <v>2449</v>
      </c>
      <c r="Q336" s="5">
        <v>1</v>
      </c>
      <c r="R336" s="74">
        <v>38444</v>
      </c>
      <c r="T336" s="5">
        <v>0</v>
      </c>
      <c r="U336" s="5">
        <v>1</v>
      </c>
      <c r="V336" s="5">
        <v>1</v>
      </c>
      <c r="W336" s="5">
        <v>3</v>
      </c>
      <c r="X336" s="5">
        <v>7</v>
      </c>
      <c r="Y336" s="5" t="s">
        <v>2450</v>
      </c>
      <c r="AA336" s="5">
        <v>0</v>
      </c>
      <c r="AB336" s="5">
        <v>0</v>
      </c>
      <c r="AC336" s="5">
        <v>0</v>
      </c>
      <c r="AD336" s="5">
        <v>0</v>
      </c>
      <c r="AE336" s="5">
        <v>0</v>
      </c>
      <c r="AF336" s="5">
        <v>0</v>
      </c>
      <c r="AG336" s="5">
        <v>0</v>
      </c>
      <c r="AH336" s="5" t="s">
        <v>2451</v>
      </c>
      <c r="AI336" s="5" t="s">
        <v>366</v>
      </c>
      <c r="AJ336" s="5" t="s">
        <v>2452</v>
      </c>
      <c r="AK336" s="5">
        <v>610423110007</v>
      </c>
      <c r="AL336" s="5" t="e">
        <f t="shared" si="3"/>
        <v>#VALUE!</v>
      </c>
    </row>
    <row r="337" spans="1:38" ht="12.5">
      <c r="A337" s="10" t="str">
        <f t="shared" si="0"/>
        <v>Saidah</v>
      </c>
      <c r="B337" s="5">
        <f t="shared" si="1"/>
        <v>610423110108</v>
      </c>
      <c r="C337" s="5" t="str">
        <f t="shared" si="2"/>
        <v>Saidah</v>
      </c>
      <c r="D337" s="5" t="s">
        <v>363</v>
      </c>
      <c r="E337" s="5" t="e">
        <f t="array" ref="E337">INDEX('Master SLS'!$H$2:$H998,MATCH($AL337,'Master SLS'!$K$2:$K998,0))</f>
        <v>#VALUE!</v>
      </c>
      <c r="F337" s="5" t="e">
        <f t="array" ref="F337">INDEX('Master SLS'!$I$2:$I998,MATCH($AL337,'Master SLS'!$K$2:$K998,0))</f>
        <v>#VALUE!</v>
      </c>
      <c r="G337" s="5" t="s">
        <v>2453</v>
      </c>
      <c r="H337" s="5" t="s">
        <v>2454</v>
      </c>
      <c r="I337" s="5" t="s">
        <v>366</v>
      </c>
      <c r="J337" s="5">
        <v>1</v>
      </c>
      <c r="K337" s="5" t="s">
        <v>2455</v>
      </c>
      <c r="L337" s="5">
        <v>61</v>
      </c>
      <c r="M337" s="5">
        <v>4</v>
      </c>
      <c r="N337" s="5">
        <v>90</v>
      </c>
      <c r="O337" s="5">
        <v>12</v>
      </c>
      <c r="P337" s="5" t="s">
        <v>2456</v>
      </c>
      <c r="Q337" s="5">
        <v>2</v>
      </c>
      <c r="R337" s="74">
        <v>34170</v>
      </c>
      <c r="T337" s="5">
        <v>0</v>
      </c>
      <c r="U337" s="5">
        <v>1</v>
      </c>
      <c r="V337" s="5">
        <v>2</v>
      </c>
      <c r="W337" s="5">
        <v>5</v>
      </c>
      <c r="X337" s="5">
        <v>7</v>
      </c>
      <c r="Y337" s="5" t="s">
        <v>647</v>
      </c>
      <c r="AA337" s="5">
        <v>0</v>
      </c>
      <c r="AB337" s="5">
        <v>0</v>
      </c>
      <c r="AC337" s="5">
        <v>0</v>
      </c>
      <c r="AD337" s="5">
        <v>0</v>
      </c>
      <c r="AE337" s="5">
        <v>0</v>
      </c>
      <c r="AF337" s="5">
        <v>0</v>
      </c>
      <c r="AG337" s="5">
        <v>0</v>
      </c>
      <c r="AH337" s="5" t="s">
        <v>2457</v>
      </c>
      <c r="AI337" s="5" t="s">
        <v>366</v>
      </c>
      <c r="AJ337" s="5" t="s">
        <v>2458</v>
      </c>
      <c r="AK337" s="5">
        <v>610423110108</v>
      </c>
      <c r="AL337" s="5" t="e">
        <f t="shared" si="3"/>
        <v>#VALUE!</v>
      </c>
    </row>
    <row r="338" spans="1:38" ht="12.5">
      <c r="A338" s="10" t="str">
        <f t="shared" si="0"/>
        <v>Saipul Anwar</v>
      </c>
      <c r="B338" s="5">
        <f t="shared" si="1"/>
        <v>610422060011</v>
      </c>
      <c r="C338" s="5" t="str">
        <f t="shared" si="2"/>
        <v>Saipul anwar</v>
      </c>
      <c r="D338" s="5" t="s">
        <v>363</v>
      </c>
      <c r="E338" s="5" t="e">
        <f t="array" ref="E338">INDEX('Master SLS'!$H$2:$H998,MATCH($AL338,'Master SLS'!$K$2:$K998,0))</f>
        <v>#VALUE!</v>
      </c>
      <c r="F338" s="5" t="e">
        <f t="array" ref="F338">INDEX('Master SLS'!$I$2:$I998,MATCH($AL338,'Master SLS'!$K$2:$K998,0))</f>
        <v>#VALUE!</v>
      </c>
      <c r="G338" s="5" t="s">
        <v>2459</v>
      </c>
      <c r="H338" s="5" t="s">
        <v>2460</v>
      </c>
      <c r="I338" s="5" t="s">
        <v>474</v>
      </c>
      <c r="J338" s="5">
        <v>1</v>
      </c>
      <c r="K338" s="5" t="s">
        <v>2461</v>
      </c>
      <c r="L338" s="5">
        <v>61</v>
      </c>
      <c r="M338" s="5">
        <v>4</v>
      </c>
      <c r="N338" s="5">
        <v>100</v>
      </c>
      <c r="O338" s="5">
        <v>15</v>
      </c>
      <c r="P338" s="5" t="s">
        <v>2462</v>
      </c>
      <c r="Q338" s="5">
        <v>1</v>
      </c>
      <c r="R338" s="74">
        <v>32143</v>
      </c>
      <c r="T338" s="5">
        <v>1</v>
      </c>
      <c r="U338" s="5">
        <v>1</v>
      </c>
      <c r="V338" s="5">
        <v>2</v>
      </c>
      <c r="W338" s="5">
        <v>5</v>
      </c>
      <c r="X338" s="5">
        <v>3</v>
      </c>
      <c r="AA338" s="5">
        <v>1</v>
      </c>
      <c r="AB338" s="5">
        <v>1</v>
      </c>
      <c r="AC338" s="5">
        <v>1</v>
      </c>
      <c r="AD338" s="5">
        <v>0</v>
      </c>
      <c r="AE338" s="5">
        <v>0</v>
      </c>
      <c r="AF338" s="5">
        <v>0</v>
      </c>
      <c r="AG338" s="5">
        <v>0</v>
      </c>
      <c r="AI338" s="5" t="s">
        <v>474</v>
      </c>
      <c r="AJ338" s="5" t="s">
        <v>2463</v>
      </c>
      <c r="AK338" s="5">
        <v>610422060011</v>
      </c>
      <c r="AL338" s="5" t="e">
        <f t="shared" si="3"/>
        <v>#VALUE!</v>
      </c>
    </row>
    <row r="339" spans="1:38" ht="12.5">
      <c r="A339" s="10" t="str">
        <f t="shared" si="0"/>
        <v>Samsiah</v>
      </c>
      <c r="B339" s="5">
        <f t="shared" si="1"/>
        <v>610423110052</v>
      </c>
      <c r="C339" s="5" t="str">
        <f t="shared" si="2"/>
        <v>Samsiah</v>
      </c>
      <c r="D339" s="5" t="s">
        <v>363</v>
      </c>
      <c r="E339" s="5" t="e">
        <f t="array" ref="E339">INDEX('Master SLS'!$H$2:$H998,MATCH($AL339,'Master SLS'!$K$2:$K998,0))</f>
        <v>#VALUE!</v>
      </c>
      <c r="F339" s="5" t="e">
        <f t="array" ref="F339">INDEX('Master SLS'!$I$2:$I998,MATCH($AL339,'Master SLS'!$K$2:$K998,0))</f>
        <v>#VALUE!</v>
      </c>
      <c r="G339" s="5" t="s">
        <v>2464</v>
      </c>
      <c r="H339" s="5" t="s">
        <v>2465</v>
      </c>
      <c r="I339" s="5" t="s">
        <v>366</v>
      </c>
      <c r="J339" s="5">
        <v>1</v>
      </c>
      <c r="K339" s="5" t="s">
        <v>2466</v>
      </c>
      <c r="L339" s="5">
        <v>61</v>
      </c>
      <c r="M339" s="5">
        <v>4</v>
      </c>
      <c r="N339" s="5">
        <v>100</v>
      </c>
      <c r="O339" s="5">
        <v>14</v>
      </c>
      <c r="P339" s="5" t="s">
        <v>2467</v>
      </c>
      <c r="Q339" s="5">
        <v>1</v>
      </c>
      <c r="R339" s="74">
        <v>36346</v>
      </c>
      <c r="T339" s="5">
        <v>0</v>
      </c>
      <c r="U339" s="5">
        <v>1</v>
      </c>
      <c r="V339" s="5">
        <v>1</v>
      </c>
      <c r="W339" s="5">
        <v>5</v>
      </c>
      <c r="X339" s="5">
        <v>7</v>
      </c>
      <c r="Y339" s="5" t="s">
        <v>2468</v>
      </c>
      <c r="AA339" s="5">
        <v>0</v>
      </c>
      <c r="AB339" s="5">
        <v>0</v>
      </c>
      <c r="AC339" s="5">
        <v>0</v>
      </c>
      <c r="AD339" s="5">
        <v>0</v>
      </c>
      <c r="AE339" s="5">
        <v>0</v>
      </c>
      <c r="AF339" s="5">
        <v>0</v>
      </c>
      <c r="AG339" s="5">
        <v>0</v>
      </c>
      <c r="AH339" s="5" t="s">
        <v>2469</v>
      </c>
      <c r="AI339" s="5" t="s">
        <v>366</v>
      </c>
      <c r="AJ339" s="5" t="s">
        <v>2470</v>
      </c>
      <c r="AK339" s="5">
        <v>610423110052</v>
      </c>
      <c r="AL339" s="5" t="e">
        <f t="shared" si="3"/>
        <v>#VALUE!</v>
      </c>
    </row>
    <row r="340" spans="1:38" ht="12.5">
      <c r="A340" s="10" t="str">
        <f t="shared" si="0"/>
        <v>Samsul Bahri</v>
      </c>
      <c r="B340" s="5">
        <f t="shared" si="1"/>
        <v>610423090025</v>
      </c>
      <c r="C340" s="5" t="str">
        <f t="shared" si="2"/>
        <v>SAMSUL BAHRI</v>
      </c>
      <c r="D340" s="5" t="s">
        <v>363</v>
      </c>
      <c r="E340" s="5" t="e">
        <f t="array" ref="E340">INDEX('Master SLS'!$H$2:$H998,MATCH($AL340,'Master SLS'!$K$2:$K998,0))</f>
        <v>#VALUE!</v>
      </c>
      <c r="F340" s="5" t="e">
        <f t="array" ref="F340">INDEX('Master SLS'!$I$2:$I998,MATCH($AL340,'Master SLS'!$K$2:$K998,0))</f>
        <v>#VALUE!</v>
      </c>
      <c r="G340" s="5" t="s">
        <v>2471</v>
      </c>
      <c r="H340" s="5" t="s">
        <v>2472</v>
      </c>
      <c r="I340" s="5" t="s">
        <v>366</v>
      </c>
      <c r="J340" s="5">
        <v>1</v>
      </c>
      <c r="K340" s="5" t="s">
        <v>2473</v>
      </c>
      <c r="L340" s="5">
        <v>61</v>
      </c>
      <c r="M340" s="5">
        <v>4</v>
      </c>
      <c r="N340" s="5">
        <v>81</v>
      </c>
      <c r="O340" s="5">
        <v>3</v>
      </c>
      <c r="P340" s="5" t="s">
        <v>2474</v>
      </c>
      <c r="Q340" s="5">
        <v>1</v>
      </c>
      <c r="R340" s="74">
        <v>35520</v>
      </c>
      <c r="T340" s="5">
        <v>1</v>
      </c>
      <c r="U340" s="5">
        <v>1</v>
      </c>
      <c r="V340" s="5">
        <v>2</v>
      </c>
      <c r="W340" s="5">
        <v>3</v>
      </c>
      <c r="X340" s="5">
        <v>7</v>
      </c>
      <c r="Y340" s="5" t="s">
        <v>2475</v>
      </c>
      <c r="AA340" s="5">
        <v>1</v>
      </c>
      <c r="AB340" s="5">
        <v>1</v>
      </c>
      <c r="AC340" s="5">
        <v>0</v>
      </c>
      <c r="AD340" s="5">
        <v>0</v>
      </c>
      <c r="AE340" s="5">
        <v>0</v>
      </c>
      <c r="AF340" s="5">
        <v>1</v>
      </c>
      <c r="AG340" s="5">
        <v>1</v>
      </c>
      <c r="AH340" s="5" t="s">
        <v>2476</v>
      </c>
      <c r="AI340" s="5" t="s">
        <v>366</v>
      </c>
      <c r="AJ340" s="5" t="s">
        <v>2477</v>
      </c>
      <c r="AK340" s="5">
        <v>610423090025</v>
      </c>
      <c r="AL340" s="5" t="e">
        <f t="shared" si="3"/>
        <v>#VALUE!</v>
      </c>
    </row>
    <row r="341" spans="1:38" ht="12.5">
      <c r="A341" s="10" t="str">
        <f t="shared" si="0"/>
        <v>Sari Rahmawati</v>
      </c>
      <c r="B341" s="5">
        <f t="shared" si="1"/>
        <v>610423110048</v>
      </c>
      <c r="C341" s="5" t="str">
        <f t="shared" si="2"/>
        <v>Sari Rahmawati</v>
      </c>
      <c r="D341" s="5" t="s">
        <v>363</v>
      </c>
      <c r="E341" s="5" t="e">
        <f t="array" ref="E341">INDEX('Master SLS'!$H$2:$H998,MATCH($AL341,'Master SLS'!$K$2:$K998,0))</f>
        <v>#VALUE!</v>
      </c>
      <c r="F341" s="5" t="e">
        <f t="array" ref="F341">INDEX('Master SLS'!$I$2:$I998,MATCH($AL341,'Master SLS'!$K$2:$K998,0))</f>
        <v>#VALUE!</v>
      </c>
      <c r="G341" s="5" t="s">
        <v>2478</v>
      </c>
      <c r="H341" s="5" t="s">
        <v>2479</v>
      </c>
      <c r="I341" s="5" t="s">
        <v>366</v>
      </c>
      <c r="J341" s="5">
        <v>1</v>
      </c>
      <c r="K341" s="5" t="s">
        <v>2480</v>
      </c>
      <c r="L341" s="5">
        <v>61</v>
      </c>
      <c r="M341" s="5">
        <v>4</v>
      </c>
      <c r="N341" s="5">
        <v>100</v>
      </c>
      <c r="O341" s="5">
        <v>14</v>
      </c>
      <c r="P341" s="5" t="s">
        <v>454</v>
      </c>
      <c r="Q341" s="5">
        <v>1</v>
      </c>
      <c r="R341" s="74">
        <v>35636</v>
      </c>
      <c r="T341" s="5">
        <v>0</v>
      </c>
      <c r="U341" s="5">
        <v>1</v>
      </c>
      <c r="V341" s="5">
        <v>1</v>
      </c>
      <c r="W341" s="5">
        <v>3</v>
      </c>
      <c r="X341" s="5">
        <v>7</v>
      </c>
      <c r="Y341" s="5" t="s">
        <v>895</v>
      </c>
      <c r="AA341" s="5">
        <v>0</v>
      </c>
      <c r="AB341" s="5">
        <v>0</v>
      </c>
      <c r="AC341" s="5">
        <v>0</v>
      </c>
      <c r="AD341" s="5">
        <v>0</v>
      </c>
      <c r="AE341" s="5">
        <v>0</v>
      </c>
      <c r="AF341" s="5">
        <v>0</v>
      </c>
      <c r="AG341" s="5">
        <v>0</v>
      </c>
      <c r="AH341" s="5" t="s">
        <v>2481</v>
      </c>
      <c r="AI341" s="5" t="s">
        <v>366</v>
      </c>
      <c r="AJ341" s="5" t="s">
        <v>2482</v>
      </c>
      <c r="AK341" s="5">
        <v>610423110048</v>
      </c>
      <c r="AL341" s="5" t="e">
        <f t="shared" si="3"/>
        <v>#VALUE!</v>
      </c>
    </row>
    <row r="342" spans="1:38" ht="12.5">
      <c r="A342" s="10" t="str">
        <f t="shared" si="0"/>
        <v>Sartika Turrahmi</v>
      </c>
      <c r="B342" s="5">
        <f t="shared" si="1"/>
        <v>610423110044</v>
      </c>
      <c r="C342" s="5" t="str">
        <f t="shared" si="2"/>
        <v>Sartika Turrahmi</v>
      </c>
      <c r="D342" s="5" t="s">
        <v>363</v>
      </c>
      <c r="E342" s="5" t="e">
        <f t="array" ref="E342">INDEX('Master SLS'!$H$2:$H998,MATCH($AL342,'Master SLS'!$K$2:$K998,0))</f>
        <v>#VALUE!</v>
      </c>
      <c r="F342" s="5" t="e">
        <f t="array" ref="F342">INDEX('Master SLS'!$I$2:$I998,MATCH($AL342,'Master SLS'!$K$2:$K998,0))</f>
        <v>#VALUE!</v>
      </c>
      <c r="G342" s="5" t="s">
        <v>2483</v>
      </c>
      <c r="H342" s="5" t="s">
        <v>2484</v>
      </c>
      <c r="I342" s="5" t="s">
        <v>366</v>
      </c>
      <c r="J342" s="5">
        <v>1</v>
      </c>
      <c r="K342" s="5" t="s">
        <v>2485</v>
      </c>
      <c r="L342" s="5">
        <v>61</v>
      </c>
      <c r="M342" s="5">
        <v>4</v>
      </c>
      <c r="N342" s="5">
        <v>110</v>
      </c>
      <c r="O342" s="5">
        <v>5</v>
      </c>
      <c r="P342" s="5" t="s">
        <v>2486</v>
      </c>
      <c r="Q342" s="5">
        <v>1</v>
      </c>
      <c r="R342" s="74">
        <v>36391</v>
      </c>
      <c r="T342" s="5">
        <v>0</v>
      </c>
      <c r="U342" s="5">
        <v>1</v>
      </c>
      <c r="V342" s="5">
        <v>1</v>
      </c>
      <c r="W342" s="5">
        <v>3</v>
      </c>
      <c r="X342" s="5">
        <v>5</v>
      </c>
      <c r="AA342" s="5">
        <v>0</v>
      </c>
      <c r="AB342" s="5">
        <v>0</v>
      </c>
      <c r="AC342" s="5">
        <v>0</v>
      </c>
      <c r="AD342" s="5">
        <v>0</v>
      </c>
      <c r="AE342" s="5">
        <v>0</v>
      </c>
      <c r="AF342" s="5">
        <v>0</v>
      </c>
      <c r="AG342" s="5">
        <v>0</v>
      </c>
      <c r="AI342" s="5" t="s">
        <v>366</v>
      </c>
      <c r="AJ342" s="5" t="s">
        <v>2487</v>
      </c>
      <c r="AK342" s="5">
        <v>610423110044</v>
      </c>
      <c r="AL342" s="5" t="e">
        <f t="shared" si="3"/>
        <v>#VALUE!</v>
      </c>
    </row>
    <row r="343" spans="1:38" ht="12.5">
      <c r="A343" s="10" t="str">
        <f t="shared" si="0"/>
        <v>Satriya</v>
      </c>
      <c r="B343" s="5">
        <f t="shared" si="1"/>
        <v>610422020009</v>
      </c>
      <c r="C343" s="5" t="str">
        <f t="shared" si="2"/>
        <v>Satriya</v>
      </c>
      <c r="D343" s="5" t="s">
        <v>363</v>
      </c>
      <c r="E343" s="5" t="e">
        <f t="array" ref="E343">INDEX('Master SLS'!$H$2:$H998,MATCH($AL343,'Master SLS'!$K$2:$K998,0))</f>
        <v>#VALUE!</v>
      </c>
      <c r="F343" s="5" t="e">
        <f t="array" ref="F343">INDEX('Master SLS'!$I$2:$I998,MATCH($AL343,'Master SLS'!$K$2:$K998,0))</f>
        <v>#VALUE!</v>
      </c>
      <c r="G343" s="5" t="s">
        <v>2488</v>
      </c>
      <c r="H343" s="5" t="s">
        <v>2489</v>
      </c>
      <c r="I343" s="5" t="s">
        <v>388</v>
      </c>
      <c r="J343" s="5">
        <v>1</v>
      </c>
      <c r="K343" s="5" t="s">
        <v>2490</v>
      </c>
      <c r="L343" s="5">
        <v>61</v>
      </c>
      <c r="M343" s="5">
        <v>4</v>
      </c>
      <c r="N343" s="5">
        <v>80</v>
      </c>
      <c r="O343" s="5">
        <v>2</v>
      </c>
      <c r="P343" s="5" t="s">
        <v>2491</v>
      </c>
      <c r="Q343" s="5">
        <v>1</v>
      </c>
      <c r="R343" s="74">
        <v>35951</v>
      </c>
      <c r="T343" s="5">
        <v>1</v>
      </c>
      <c r="U343" s="5">
        <v>1</v>
      </c>
      <c r="V343" s="5">
        <v>1</v>
      </c>
      <c r="W343" s="5">
        <v>5</v>
      </c>
      <c r="X343" s="5">
        <v>3</v>
      </c>
      <c r="AA343" s="5">
        <v>1</v>
      </c>
      <c r="AB343" s="5">
        <v>0</v>
      </c>
      <c r="AC343" s="5">
        <v>0</v>
      </c>
      <c r="AD343" s="5">
        <v>1</v>
      </c>
      <c r="AE343" s="5">
        <v>0</v>
      </c>
      <c r="AF343" s="5">
        <v>0</v>
      </c>
      <c r="AG343" s="5">
        <v>0</v>
      </c>
      <c r="AI343" s="5" t="s">
        <v>388</v>
      </c>
      <c r="AJ343" s="5" t="s">
        <v>2492</v>
      </c>
      <c r="AK343" s="5">
        <v>610422020009</v>
      </c>
      <c r="AL343" s="5" t="e">
        <f t="shared" si="3"/>
        <v>#VALUE!</v>
      </c>
    </row>
    <row r="344" spans="1:38" ht="12.5">
      <c r="A344" s="10" t="str">
        <f t="shared" si="0"/>
        <v>Seftin Dwi Yuliani</v>
      </c>
      <c r="B344" s="5">
        <f t="shared" si="1"/>
        <v>610423110113</v>
      </c>
      <c r="C344" s="5" t="str">
        <f t="shared" si="2"/>
        <v>SEFTIN DWI YULIANI</v>
      </c>
      <c r="D344" s="5" t="s">
        <v>363</v>
      </c>
      <c r="E344" s="5" t="e">
        <f t="array" ref="E344">INDEX('Master SLS'!$H$2:$H998,MATCH($AL344,'Master SLS'!$K$2:$K998,0))</f>
        <v>#VALUE!</v>
      </c>
      <c r="F344" s="5" t="e">
        <f t="array" ref="F344">INDEX('Master SLS'!$I$2:$I998,MATCH($AL344,'Master SLS'!$K$2:$K998,0))</f>
        <v>#VALUE!</v>
      </c>
      <c r="G344" s="5" t="s">
        <v>2493</v>
      </c>
      <c r="H344" s="5" t="s">
        <v>2494</v>
      </c>
      <c r="I344" s="5" t="s">
        <v>474</v>
      </c>
      <c r="J344" s="5">
        <v>1</v>
      </c>
      <c r="K344" s="5" t="s">
        <v>2495</v>
      </c>
      <c r="L344" s="5">
        <v>61</v>
      </c>
      <c r="M344" s="5">
        <v>4</v>
      </c>
      <c r="N344" s="5">
        <v>80</v>
      </c>
      <c r="O344" s="5">
        <v>6</v>
      </c>
      <c r="P344" s="5" t="s">
        <v>2496</v>
      </c>
      <c r="Q344" s="5">
        <v>1</v>
      </c>
      <c r="R344" s="74">
        <v>34588</v>
      </c>
      <c r="S344" s="5" t="s">
        <v>2497</v>
      </c>
      <c r="T344" s="5">
        <v>0</v>
      </c>
      <c r="U344" s="5">
        <v>1</v>
      </c>
      <c r="V344" s="5">
        <v>2</v>
      </c>
      <c r="W344" s="5">
        <v>5</v>
      </c>
      <c r="X344" s="5">
        <v>4</v>
      </c>
      <c r="AA344" s="5">
        <v>0</v>
      </c>
      <c r="AB344" s="5">
        <v>0</v>
      </c>
      <c r="AC344" s="5">
        <v>0</v>
      </c>
      <c r="AD344" s="5">
        <v>0</v>
      </c>
      <c r="AE344" s="5">
        <v>0</v>
      </c>
      <c r="AF344" s="5">
        <v>0</v>
      </c>
      <c r="AG344" s="5">
        <v>0</v>
      </c>
      <c r="AI344" s="5" t="s">
        <v>474</v>
      </c>
      <c r="AJ344" s="5" t="s">
        <v>2498</v>
      </c>
      <c r="AK344" s="5">
        <v>610423110113</v>
      </c>
      <c r="AL344" s="5" t="e">
        <f t="shared" si="3"/>
        <v>#VALUE!</v>
      </c>
    </row>
    <row r="345" spans="1:38" ht="12.5">
      <c r="A345" s="10" t="str">
        <f t="shared" si="0"/>
        <v>Sefty Eca Putri</v>
      </c>
      <c r="B345" s="5">
        <f t="shared" si="1"/>
        <v>610422020041</v>
      </c>
      <c r="C345" s="5" t="str">
        <f t="shared" si="2"/>
        <v>SEFTY ECA PUTRI</v>
      </c>
      <c r="D345" s="5" t="s">
        <v>363</v>
      </c>
      <c r="E345" s="5" t="e">
        <f t="array" ref="E345">INDEX('Master SLS'!$H$2:$H998,MATCH($AL345,'Master SLS'!$K$2:$K998,0))</f>
        <v>#VALUE!</v>
      </c>
      <c r="F345" s="5" t="e">
        <f t="array" ref="F345">INDEX('Master SLS'!$I$2:$I998,MATCH($AL345,'Master SLS'!$K$2:$K998,0))</f>
        <v>#VALUE!</v>
      </c>
      <c r="G345" s="5" t="s">
        <v>2499</v>
      </c>
      <c r="H345" s="5" t="s">
        <v>2500</v>
      </c>
      <c r="I345" s="5" t="s">
        <v>388</v>
      </c>
      <c r="J345" s="5">
        <v>1</v>
      </c>
      <c r="K345" s="5" t="s">
        <v>2501</v>
      </c>
      <c r="L345" s="5">
        <v>61</v>
      </c>
      <c r="M345" s="5">
        <v>4</v>
      </c>
      <c r="N345" s="5">
        <v>91</v>
      </c>
      <c r="O345" s="5">
        <v>3</v>
      </c>
      <c r="P345" s="5" t="s">
        <v>2502</v>
      </c>
      <c r="Q345" s="5">
        <v>1</v>
      </c>
      <c r="R345" s="74">
        <v>37877</v>
      </c>
      <c r="T345" s="5">
        <v>0</v>
      </c>
      <c r="U345" s="5">
        <v>1</v>
      </c>
      <c r="V345" s="5">
        <v>1</v>
      </c>
      <c r="W345" s="5">
        <v>3</v>
      </c>
      <c r="X345" s="5">
        <v>5</v>
      </c>
      <c r="AA345" s="5">
        <v>1</v>
      </c>
      <c r="AB345" s="5">
        <v>0</v>
      </c>
      <c r="AC345" s="5">
        <v>1</v>
      </c>
      <c r="AD345" s="5">
        <v>0</v>
      </c>
      <c r="AE345" s="5">
        <v>1</v>
      </c>
      <c r="AF345" s="5">
        <v>1</v>
      </c>
      <c r="AG345" s="5">
        <v>0</v>
      </c>
      <c r="AI345" s="5" t="s">
        <v>388</v>
      </c>
      <c r="AJ345" s="5" t="s">
        <v>2503</v>
      </c>
      <c r="AK345" s="5">
        <v>610422020041</v>
      </c>
      <c r="AL345" s="5" t="e">
        <f t="shared" si="3"/>
        <v>#VALUE!</v>
      </c>
    </row>
    <row r="346" spans="1:38" ht="12.5">
      <c r="A346" s="10" t="str">
        <f t="shared" si="0"/>
        <v>Seliana</v>
      </c>
      <c r="B346" s="5">
        <f t="shared" si="1"/>
        <v>610423040021</v>
      </c>
      <c r="C346" s="5" t="str">
        <f t="shared" si="2"/>
        <v>Seliana</v>
      </c>
      <c r="D346" s="5" t="s">
        <v>363</v>
      </c>
      <c r="E346" s="5" t="e">
        <f t="array" ref="E346">INDEX('Master SLS'!$H$2:$H998,MATCH($AL346,'Master SLS'!$K$2:$K998,0))</f>
        <v>#VALUE!</v>
      </c>
      <c r="F346" s="5" t="e">
        <f t="array" ref="F346">INDEX('Master SLS'!$I$2:$I998,MATCH($AL346,'Master SLS'!$K$2:$K998,0))</f>
        <v>#VALUE!</v>
      </c>
      <c r="G346" s="5" t="s">
        <v>2504</v>
      </c>
      <c r="H346" s="5" t="s">
        <v>2505</v>
      </c>
      <c r="I346" s="5" t="s">
        <v>388</v>
      </c>
      <c r="J346" s="5">
        <v>1</v>
      </c>
      <c r="K346" s="5" t="s">
        <v>2506</v>
      </c>
      <c r="L346" s="5">
        <v>61</v>
      </c>
      <c r="M346" s="5">
        <v>4</v>
      </c>
      <c r="N346" s="5">
        <v>121</v>
      </c>
      <c r="O346" s="5">
        <v>5</v>
      </c>
      <c r="P346" s="5" t="s">
        <v>2507</v>
      </c>
      <c r="Q346" s="5">
        <v>1</v>
      </c>
      <c r="R346" s="74">
        <v>32320</v>
      </c>
      <c r="T346" s="5">
        <v>0</v>
      </c>
      <c r="U346" s="5">
        <v>1</v>
      </c>
      <c r="V346" s="5">
        <v>2</v>
      </c>
      <c r="W346" s="5">
        <v>3</v>
      </c>
      <c r="X346" s="5">
        <v>2</v>
      </c>
      <c r="AA346" s="5">
        <v>1</v>
      </c>
      <c r="AB346" s="5">
        <v>0</v>
      </c>
      <c r="AC346" s="5">
        <v>1</v>
      </c>
      <c r="AD346" s="5">
        <v>0</v>
      </c>
      <c r="AE346" s="5">
        <v>0</v>
      </c>
      <c r="AF346" s="5">
        <v>0</v>
      </c>
      <c r="AG346" s="5">
        <v>0</v>
      </c>
      <c r="AH346" s="5" t="s">
        <v>2508</v>
      </c>
      <c r="AI346" s="5" t="s">
        <v>388</v>
      </c>
      <c r="AJ346" s="5" t="s">
        <v>2509</v>
      </c>
      <c r="AK346" s="5">
        <v>610423040021</v>
      </c>
      <c r="AL346" s="5" t="e">
        <f t="shared" si="3"/>
        <v>#VALUE!</v>
      </c>
    </row>
    <row r="347" spans="1:38" ht="12.5">
      <c r="A347" s="10" t="str">
        <f t="shared" si="0"/>
        <v>Sella Anria</v>
      </c>
      <c r="B347" s="5">
        <f t="shared" si="1"/>
        <v>610423110084</v>
      </c>
      <c r="C347" s="5" t="str">
        <f t="shared" si="2"/>
        <v>SELLA ANRIA</v>
      </c>
      <c r="D347" s="5" t="s">
        <v>363</v>
      </c>
      <c r="E347" s="5" t="e">
        <f t="array" ref="E347">INDEX('Master SLS'!$H$2:$H998,MATCH($AL347,'Master SLS'!$K$2:$K998,0))</f>
        <v>#VALUE!</v>
      </c>
      <c r="F347" s="5" t="e">
        <f t="array" ref="F347">INDEX('Master SLS'!$I$2:$I998,MATCH($AL347,'Master SLS'!$K$2:$K998,0))</f>
        <v>#VALUE!</v>
      </c>
      <c r="G347" s="5" t="s">
        <v>2510</v>
      </c>
      <c r="H347" s="5" t="s">
        <v>2511</v>
      </c>
      <c r="I347" s="5" t="s">
        <v>366</v>
      </c>
      <c r="J347" s="5">
        <v>1</v>
      </c>
      <c r="K347" s="5" t="s">
        <v>2512</v>
      </c>
      <c r="L347" s="5">
        <v>61</v>
      </c>
      <c r="M347" s="5">
        <v>4</v>
      </c>
      <c r="N347" s="5">
        <v>81</v>
      </c>
      <c r="O347" s="5">
        <v>3</v>
      </c>
      <c r="P347" s="5" t="s">
        <v>2513</v>
      </c>
      <c r="Q347" s="5">
        <v>1</v>
      </c>
      <c r="R347" s="74">
        <v>37030</v>
      </c>
      <c r="T347" s="5">
        <v>0</v>
      </c>
      <c r="U347" s="5">
        <v>1</v>
      </c>
      <c r="V347" s="5">
        <v>1</v>
      </c>
      <c r="W347" s="5">
        <v>5</v>
      </c>
      <c r="X347" s="5">
        <v>7</v>
      </c>
      <c r="Y347" s="5" t="s">
        <v>2514</v>
      </c>
      <c r="AA347" s="5">
        <v>0</v>
      </c>
      <c r="AB347" s="5">
        <v>0</v>
      </c>
      <c r="AC347" s="5">
        <v>0</v>
      </c>
      <c r="AD347" s="5">
        <v>0</v>
      </c>
      <c r="AE347" s="5">
        <v>0</v>
      </c>
      <c r="AF347" s="5">
        <v>0</v>
      </c>
      <c r="AG347" s="5">
        <v>0</v>
      </c>
      <c r="AI347" s="5" t="s">
        <v>366</v>
      </c>
      <c r="AJ347" s="5" t="s">
        <v>2515</v>
      </c>
      <c r="AK347" s="5">
        <v>610423110084</v>
      </c>
      <c r="AL347" s="5" t="e">
        <f t="shared" si="3"/>
        <v>#VALUE!</v>
      </c>
    </row>
    <row r="348" spans="1:38" ht="12.5">
      <c r="A348" s="10" t="str">
        <f t="shared" si="0"/>
        <v>Selvira Hendini</v>
      </c>
      <c r="B348" s="5">
        <f t="shared" si="1"/>
        <v>610423110195</v>
      </c>
      <c r="C348" s="5" t="str">
        <f t="shared" si="2"/>
        <v>SELVIRA HENDINI</v>
      </c>
      <c r="D348" s="5" t="s">
        <v>363</v>
      </c>
      <c r="E348" s="5" t="e">
        <f t="array" ref="E348">INDEX('Master SLS'!$H$2:$H998,MATCH($AL348,'Master SLS'!$K$2:$K998,0))</f>
        <v>#VALUE!</v>
      </c>
      <c r="F348" s="5" t="e">
        <f t="array" ref="F348">INDEX('Master SLS'!$I$2:$I998,MATCH($AL348,'Master SLS'!$K$2:$K998,0))</f>
        <v>#VALUE!</v>
      </c>
      <c r="G348" s="5" t="s">
        <v>2516</v>
      </c>
      <c r="H348" s="5" t="s">
        <v>2517</v>
      </c>
      <c r="I348" s="5" t="s">
        <v>366</v>
      </c>
      <c r="J348" s="5">
        <v>1</v>
      </c>
      <c r="K348" s="5" t="s">
        <v>2518</v>
      </c>
      <c r="L348" s="5">
        <v>61</v>
      </c>
      <c r="M348" s="5">
        <v>4</v>
      </c>
      <c r="N348" s="5">
        <v>110</v>
      </c>
      <c r="O348" s="5">
        <v>6</v>
      </c>
      <c r="P348" s="5" t="s">
        <v>2519</v>
      </c>
      <c r="Q348" s="5">
        <v>1</v>
      </c>
      <c r="R348" s="74">
        <v>38154</v>
      </c>
      <c r="T348" s="5">
        <v>0</v>
      </c>
      <c r="U348" s="5">
        <v>1</v>
      </c>
      <c r="V348" s="5">
        <v>1</v>
      </c>
      <c r="W348" s="5">
        <v>3</v>
      </c>
      <c r="X348" s="5">
        <v>7</v>
      </c>
      <c r="Y348" s="5" t="s">
        <v>647</v>
      </c>
      <c r="AA348" s="5">
        <v>0</v>
      </c>
      <c r="AB348" s="5">
        <v>0</v>
      </c>
      <c r="AC348" s="5">
        <v>0</v>
      </c>
      <c r="AD348" s="5">
        <v>0</v>
      </c>
      <c r="AE348" s="5">
        <v>0</v>
      </c>
      <c r="AF348" s="5">
        <v>0</v>
      </c>
      <c r="AG348" s="5">
        <v>0</v>
      </c>
      <c r="AI348" s="5" t="s">
        <v>366</v>
      </c>
      <c r="AJ348" s="5" t="s">
        <v>2520</v>
      </c>
      <c r="AK348" s="5">
        <v>610423110195</v>
      </c>
      <c r="AL348" s="5" t="e">
        <f t="shared" si="3"/>
        <v>#VALUE!</v>
      </c>
    </row>
    <row r="349" spans="1:38" ht="12.5">
      <c r="A349" s="10" t="str">
        <f t="shared" si="0"/>
        <v>Sepri Nanda</v>
      </c>
      <c r="B349" s="5">
        <f t="shared" si="1"/>
        <v>610422020043</v>
      </c>
      <c r="C349" s="5" t="str">
        <f t="shared" si="2"/>
        <v>Sepri Nanda</v>
      </c>
      <c r="D349" s="5" t="s">
        <v>363</v>
      </c>
      <c r="E349" s="5" t="e">
        <f t="array" ref="E349">INDEX('Master SLS'!$H$2:$H998,MATCH($AL349,'Master SLS'!$K$2:$K998,0))</f>
        <v>#VALUE!</v>
      </c>
      <c r="F349" s="5" t="e">
        <f t="array" ref="F349">INDEX('Master SLS'!$I$2:$I998,MATCH($AL349,'Master SLS'!$K$2:$K998,0))</f>
        <v>#VALUE!</v>
      </c>
      <c r="G349" s="5" t="s">
        <v>2521</v>
      </c>
      <c r="H349" s="5" t="s">
        <v>2522</v>
      </c>
      <c r="I349" s="5" t="s">
        <v>388</v>
      </c>
      <c r="J349" s="5">
        <v>1</v>
      </c>
      <c r="K349" s="5" t="s">
        <v>2523</v>
      </c>
      <c r="L349" s="5">
        <v>61</v>
      </c>
      <c r="M349" s="5">
        <v>4</v>
      </c>
      <c r="N349" s="5">
        <v>80</v>
      </c>
      <c r="O349" s="5">
        <v>6</v>
      </c>
      <c r="P349" s="5" t="s">
        <v>2524</v>
      </c>
      <c r="Q349" s="5">
        <v>1</v>
      </c>
      <c r="R349" s="74">
        <v>36770</v>
      </c>
      <c r="T349" s="5">
        <v>0</v>
      </c>
      <c r="U349" s="5">
        <v>1</v>
      </c>
      <c r="V349" s="5">
        <v>1</v>
      </c>
      <c r="W349" s="5">
        <v>3</v>
      </c>
      <c r="X349" s="5">
        <v>6</v>
      </c>
      <c r="AA349" s="5">
        <v>1</v>
      </c>
      <c r="AB349" s="5">
        <v>0</v>
      </c>
      <c r="AC349" s="5">
        <v>1</v>
      </c>
      <c r="AD349" s="5">
        <v>0</v>
      </c>
      <c r="AE349" s="5">
        <v>0</v>
      </c>
      <c r="AF349" s="5">
        <v>1</v>
      </c>
      <c r="AG349" s="5">
        <v>0</v>
      </c>
      <c r="AI349" s="5" t="s">
        <v>388</v>
      </c>
      <c r="AJ349" s="5" t="s">
        <v>2525</v>
      </c>
      <c r="AK349" s="5">
        <v>610422020043</v>
      </c>
      <c r="AL349" s="5" t="e">
        <f t="shared" si="3"/>
        <v>#VALUE!</v>
      </c>
    </row>
    <row r="350" spans="1:38" ht="12.5">
      <c r="A350" s="10" t="str">
        <f t="shared" si="0"/>
        <v>Sevhia Aprindu</v>
      </c>
      <c r="B350" s="5">
        <f t="shared" si="1"/>
        <v>610423110036</v>
      </c>
      <c r="C350" s="5" t="str">
        <f t="shared" si="2"/>
        <v>sevhia aprindu</v>
      </c>
      <c r="D350" s="5" t="s">
        <v>363</v>
      </c>
      <c r="E350" s="5" t="e">
        <f t="array" ref="E350">INDEX('Master SLS'!$H$2:$H998,MATCH($AL350,'Master SLS'!$K$2:$K998,0))</f>
        <v>#VALUE!</v>
      </c>
      <c r="F350" s="5" t="e">
        <f t="array" ref="F350">INDEX('Master SLS'!$I$2:$I998,MATCH($AL350,'Master SLS'!$K$2:$K998,0))</f>
        <v>#VALUE!</v>
      </c>
      <c r="G350" s="5" t="s">
        <v>2526</v>
      </c>
      <c r="H350" s="5" t="s">
        <v>2527</v>
      </c>
      <c r="I350" s="5" t="s">
        <v>366</v>
      </c>
      <c r="J350" s="5">
        <v>1</v>
      </c>
      <c r="K350" s="5" t="s">
        <v>2528</v>
      </c>
      <c r="L350" s="5">
        <v>61</v>
      </c>
      <c r="M350" s="5">
        <v>4</v>
      </c>
      <c r="N350" s="5">
        <v>110</v>
      </c>
      <c r="O350" s="5">
        <v>10</v>
      </c>
      <c r="P350" s="5" t="s">
        <v>2529</v>
      </c>
      <c r="Q350" s="5">
        <v>1</v>
      </c>
      <c r="R350" s="74">
        <v>36935</v>
      </c>
      <c r="T350" s="5">
        <v>0</v>
      </c>
      <c r="U350" s="5">
        <v>1</v>
      </c>
      <c r="V350" s="5">
        <v>2</v>
      </c>
      <c r="W350" s="5">
        <v>3</v>
      </c>
      <c r="X350" s="5">
        <v>4</v>
      </c>
      <c r="AA350" s="5">
        <v>0</v>
      </c>
      <c r="AB350" s="5">
        <v>0</v>
      </c>
      <c r="AC350" s="5">
        <v>0</v>
      </c>
      <c r="AD350" s="5">
        <v>0</v>
      </c>
      <c r="AE350" s="5">
        <v>0</v>
      </c>
      <c r="AF350" s="5">
        <v>0</v>
      </c>
      <c r="AG350" s="5">
        <v>0</v>
      </c>
      <c r="AI350" s="5" t="s">
        <v>366</v>
      </c>
      <c r="AJ350" s="5" t="s">
        <v>2530</v>
      </c>
      <c r="AK350" s="5">
        <v>610423110036</v>
      </c>
      <c r="AL350" s="5" t="e">
        <f t="shared" si="3"/>
        <v>#VALUE!</v>
      </c>
    </row>
    <row r="351" spans="1:38" ht="12.5">
      <c r="A351" s="10" t="str">
        <f t="shared" si="0"/>
        <v>Shofyansyah</v>
      </c>
      <c r="B351" s="5">
        <f t="shared" si="1"/>
        <v>610422020040</v>
      </c>
      <c r="C351" s="5" t="str">
        <f t="shared" si="2"/>
        <v>Shofyansyah</v>
      </c>
      <c r="D351" s="5" t="s">
        <v>363</v>
      </c>
      <c r="E351" s="5" t="e">
        <f t="array" ref="E351">INDEX('Master SLS'!$H$2:$H998,MATCH($AL351,'Master SLS'!$K$2:$K998,0))</f>
        <v>#VALUE!</v>
      </c>
      <c r="F351" s="5" t="e">
        <f t="array" ref="F351">INDEX('Master SLS'!$I$2:$I998,MATCH($AL351,'Master SLS'!$K$2:$K998,0))</f>
        <v>#VALUE!</v>
      </c>
      <c r="G351" s="5" t="s">
        <v>2531</v>
      </c>
      <c r="H351" s="5" t="s">
        <v>2532</v>
      </c>
      <c r="I351" s="5" t="s">
        <v>366</v>
      </c>
      <c r="J351" s="5">
        <v>1</v>
      </c>
      <c r="K351" s="5" t="s">
        <v>2533</v>
      </c>
      <c r="L351" s="5">
        <v>61</v>
      </c>
      <c r="M351" s="5">
        <v>4</v>
      </c>
      <c r="N351" s="5">
        <v>91</v>
      </c>
      <c r="O351" s="5">
        <v>3</v>
      </c>
      <c r="P351" s="5" t="s">
        <v>2534</v>
      </c>
      <c r="Q351" s="5">
        <v>1</v>
      </c>
      <c r="R351" s="74">
        <v>29297</v>
      </c>
      <c r="S351" s="5" t="s">
        <v>2535</v>
      </c>
      <c r="T351" s="5">
        <v>1</v>
      </c>
      <c r="U351" s="5">
        <v>1</v>
      </c>
      <c r="V351" s="5">
        <v>2</v>
      </c>
      <c r="W351" s="5">
        <v>3</v>
      </c>
      <c r="X351" s="5">
        <v>5</v>
      </c>
      <c r="AA351" s="5">
        <v>1</v>
      </c>
      <c r="AB351" s="5">
        <v>1</v>
      </c>
      <c r="AC351" s="5">
        <v>1</v>
      </c>
      <c r="AD351" s="5">
        <v>1</v>
      </c>
      <c r="AE351" s="5">
        <v>1</v>
      </c>
      <c r="AF351" s="5">
        <v>1</v>
      </c>
      <c r="AG351" s="5">
        <v>0</v>
      </c>
      <c r="AI351" s="5" t="s">
        <v>366</v>
      </c>
      <c r="AJ351" s="5" t="s">
        <v>2536</v>
      </c>
      <c r="AK351" s="5">
        <v>610422020040</v>
      </c>
      <c r="AL351" s="5" t="e">
        <f t="shared" si="3"/>
        <v>#VALUE!</v>
      </c>
    </row>
    <row r="352" spans="1:38" ht="12.5">
      <c r="A352" s="10" t="str">
        <f t="shared" si="0"/>
        <v>Shohibul Anam</v>
      </c>
      <c r="B352" s="5">
        <f t="shared" si="1"/>
        <v>610423110139</v>
      </c>
      <c r="C352" s="5" t="str">
        <f t="shared" si="2"/>
        <v>Shohibul anam</v>
      </c>
      <c r="D352" s="5" t="s">
        <v>363</v>
      </c>
      <c r="E352" s="5" t="e">
        <f t="array" ref="E352">INDEX('Master SLS'!$H$2:$H998,MATCH($AL352,'Master SLS'!$K$2:$K998,0))</f>
        <v>#VALUE!</v>
      </c>
      <c r="F352" s="5" t="e">
        <f t="array" ref="F352">INDEX('Master SLS'!$I$2:$I998,MATCH($AL352,'Master SLS'!$K$2:$K998,0))</f>
        <v>#VALUE!</v>
      </c>
      <c r="G352" s="5" t="s">
        <v>2537</v>
      </c>
      <c r="H352" s="5" t="s">
        <v>2538</v>
      </c>
      <c r="I352" s="5" t="s">
        <v>366</v>
      </c>
      <c r="J352" s="5">
        <v>1</v>
      </c>
      <c r="K352" s="5" t="s">
        <v>2539</v>
      </c>
      <c r="L352" s="5">
        <v>61</v>
      </c>
      <c r="M352" s="5">
        <v>4</v>
      </c>
      <c r="N352" s="5">
        <v>90</v>
      </c>
      <c r="O352" s="5">
        <v>8</v>
      </c>
      <c r="P352" s="5" t="s">
        <v>2540</v>
      </c>
      <c r="Q352" s="5">
        <v>1</v>
      </c>
      <c r="R352" s="74">
        <v>45051</v>
      </c>
      <c r="T352" s="5">
        <v>1</v>
      </c>
      <c r="U352" s="5">
        <v>1</v>
      </c>
      <c r="V352" s="5">
        <v>2</v>
      </c>
      <c r="W352" s="5">
        <v>5</v>
      </c>
      <c r="X352" s="5">
        <v>3</v>
      </c>
      <c r="AA352" s="5">
        <v>1</v>
      </c>
      <c r="AB352" s="5">
        <v>1</v>
      </c>
      <c r="AC352" s="5">
        <v>1</v>
      </c>
      <c r="AD352" s="5">
        <v>1</v>
      </c>
      <c r="AE352" s="5">
        <v>1</v>
      </c>
      <c r="AF352" s="5">
        <v>1</v>
      </c>
      <c r="AG352" s="5">
        <v>1</v>
      </c>
      <c r="AH352" s="5" t="s">
        <v>2541</v>
      </c>
      <c r="AI352" s="5" t="s">
        <v>366</v>
      </c>
      <c r="AJ352" s="5" t="s">
        <v>2542</v>
      </c>
      <c r="AK352" s="5">
        <v>610423110139</v>
      </c>
      <c r="AL352" s="5" t="e">
        <f t="shared" si="3"/>
        <v>#VALUE!</v>
      </c>
    </row>
    <row r="353" spans="1:38" ht="12.5">
      <c r="A353" s="10" t="str">
        <f t="shared" si="0"/>
        <v>Sifatul Jannah</v>
      </c>
      <c r="B353" s="5">
        <f t="shared" si="1"/>
        <v>610423110094</v>
      </c>
      <c r="C353" s="5" t="str">
        <f t="shared" si="2"/>
        <v>Sifatul jannah</v>
      </c>
      <c r="D353" s="5" t="s">
        <v>363</v>
      </c>
      <c r="E353" s="5" t="e">
        <f t="array" ref="E353">INDEX('Master SLS'!$H$2:$H998,MATCH($AL353,'Master SLS'!$K$2:$K998,0))</f>
        <v>#VALUE!</v>
      </c>
      <c r="F353" s="5" t="e">
        <f t="array" ref="F353">INDEX('Master SLS'!$I$2:$I998,MATCH($AL353,'Master SLS'!$K$2:$K998,0))</f>
        <v>#VALUE!</v>
      </c>
      <c r="G353" s="5" t="s">
        <v>2543</v>
      </c>
      <c r="H353" s="5" t="s">
        <v>2544</v>
      </c>
      <c r="I353" s="5" t="s">
        <v>366</v>
      </c>
      <c r="J353" s="5">
        <v>1</v>
      </c>
      <c r="K353" s="5" t="s">
        <v>2545</v>
      </c>
      <c r="L353" s="5">
        <v>61</v>
      </c>
      <c r="M353" s="5">
        <v>4</v>
      </c>
      <c r="N353" s="5">
        <v>101</v>
      </c>
      <c r="O353" s="5">
        <v>3</v>
      </c>
      <c r="P353" s="5" t="s">
        <v>2546</v>
      </c>
      <c r="Q353" s="5">
        <v>1</v>
      </c>
      <c r="R353" s="74">
        <v>35157</v>
      </c>
      <c r="T353" s="5">
        <v>0</v>
      </c>
      <c r="U353" s="5">
        <v>1</v>
      </c>
      <c r="V353" s="5">
        <v>2</v>
      </c>
      <c r="W353" s="5">
        <v>5</v>
      </c>
      <c r="X353" s="5">
        <v>7</v>
      </c>
      <c r="Y353" s="5" t="s">
        <v>2547</v>
      </c>
      <c r="AA353" s="5">
        <v>0</v>
      </c>
      <c r="AB353" s="5">
        <v>0</v>
      </c>
      <c r="AC353" s="5">
        <v>0</v>
      </c>
      <c r="AD353" s="5">
        <v>0</v>
      </c>
      <c r="AE353" s="5">
        <v>0</v>
      </c>
      <c r="AF353" s="5">
        <v>0</v>
      </c>
      <c r="AG353" s="5">
        <v>0</v>
      </c>
      <c r="AH353" s="5" t="s">
        <v>2548</v>
      </c>
      <c r="AI353" s="5" t="s">
        <v>366</v>
      </c>
      <c r="AJ353" s="5" t="s">
        <v>2549</v>
      </c>
      <c r="AK353" s="5">
        <v>610423110094</v>
      </c>
      <c r="AL353" s="5" t="e">
        <f t="shared" si="3"/>
        <v>#VALUE!</v>
      </c>
    </row>
    <row r="354" spans="1:38" ht="12.5">
      <c r="A354" s="10" t="str">
        <f t="shared" si="0"/>
        <v>Sintia Febiola</v>
      </c>
      <c r="B354" s="5">
        <f t="shared" si="1"/>
        <v>610422100140</v>
      </c>
      <c r="C354" s="5" t="str">
        <f t="shared" si="2"/>
        <v>SINTIA FEBIOLA</v>
      </c>
      <c r="D354" s="5" t="s">
        <v>363</v>
      </c>
      <c r="E354" s="5" t="e">
        <f t="array" ref="E354">INDEX('Master SLS'!$H$2:$H998,MATCH($AL354,'Master SLS'!$K$2:$K998,0))</f>
        <v>#VALUE!</v>
      </c>
      <c r="F354" s="5" t="e">
        <f t="array" ref="F354">INDEX('Master SLS'!$I$2:$I998,MATCH($AL354,'Master SLS'!$K$2:$K998,0))</f>
        <v>#VALUE!</v>
      </c>
      <c r="G354" s="5" t="s">
        <v>2550</v>
      </c>
      <c r="H354" s="5" t="s">
        <v>2551</v>
      </c>
      <c r="I354" s="5" t="s">
        <v>366</v>
      </c>
      <c r="J354" s="5">
        <v>1</v>
      </c>
      <c r="K354" s="5" t="s">
        <v>2552</v>
      </c>
      <c r="L354" s="5">
        <v>61</v>
      </c>
      <c r="M354" s="5">
        <v>4</v>
      </c>
      <c r="N354" s="5">
        <v>110</v>
      </c>
      <c r="O354" s="5">
        <v>7</v>
      </c>
      <c r="P354" s="5" t="s">
        <v>2553</v>
      </c>
      <c r="Q354" s="5">
        <v>1</v>
      </c>
      <c r="R354" s="74">
        <v>35842</v>
      </c>
      <c r="T354" s="5">
        <v>0</v>
      </c>
      <c r="U354" s="5">
        <v>1</v>
      </c>
      <c r="V354" s="5">
        <v>2</v>
      </c>
      <c r="W354" s="5">
        <v>3</v>
      </c>
      <c r="X354" s="5">
        <v>4</v>
      </c>
      <c r="AA354" s="5">
        <v>1</v>
      </c>
      <c r="AB354" s="5">
        <v>0</v>
      </c>
      <c r="AC354" s="5">
        <v>1</v>
      </c>
      <c r="AD354" s="5">
        <v>0</v>
      </c>
      <c r="AE354" s="5">
        <v>0</v>
      </c>
      <c r="AF354" s="5">
        <v>0</v>
      </c>
      <c r="AG354" s="5">
        <v>0</v>
      </c>
      <c r="AH354" s="5" t="s">
        <v>2554</v>
      </c>
      <c r="AI354" s="5" t="s">
        <v>366</v>
      </c>
      <c r="AJ354" s="5" t="s">
        <v>2555</v>
      </c>
      <c r="AK354" s="5">
        <v>610422100140</v>
      </c>
      <c r="AL354" s="5" t="e">
        <f t="shared" si="3"/>
        <v>#VALUE!</v>
      </c>
    </row>
    <row r="355" spans="1:38" ht="12.5">
      <c r="A355" s="10" t="str">
        <f t="shared" si="0"/>
        <v>Sintia Miramis</v>
      </c>
      <c r="B355" s="5">
        <f t="shared" si="1"/>
        <v>610423110151</v>
      </c>
      <c r="C355" s="5" t="str">
        <f t="shared" si="2"/>
        <v>sintia miramis</v>
      </c>
      <c r="D355" s="5" t="s">
        <v>363</v>
      </c>
      <c r="E355" s="5" t="e">
        <f t="array" ref="E355">INDEX('Master SLS'!$H$2:$H998,MATCH($AL355,'Master SLS'!$K$2:$K998,0))</f>
        <v>#VALUE!</v>
      </c>
      <c r="F355" s="5" t="e">
        <f t="array" ref="F355">INDEX('Master SLS'!$I$2:$I998,MATCH($AL355,'Master SLS'!$K$2:$K998,0))</f>
        <v>#VALUE!</v>
      </c>
      <c r="G355" s="5" t="s">
        <v>2556</v>
      </c>
      <c r="H355" s="5" t="s">
        <v>2557</v>
      </c>
      <c r="I355" s="5" t="s">
        <v>388</v>
      </c>
      <c r="J355" s="5">
        <v>1</v>
      </c>
      <c r="K355" s="5" t="s">
        <v>2558</v>
      </c>
      <c r="L355" s="5">
        <v>61</v>
      </c>
      <c r="M355" s="5">
        <v>4</v>
      </c>
      <c r="N355" s="5">
        <v>101</v>
      </c>
      <c r="O355" s="5">
        <v>3</v>
      </c>
      <c r="P355" s="5" t="s">
        <v>2559</v>
      </c>
      <c r="Q355" s="5">
        <v>1</v>
      </c>
      <c r="R355" s="74">
        <v>35335</v>
      </c>
      <c r="T355" s="5">
        <v>0</v>
      </c>
      <c r="U355" s="5">
        <v>1</v>
      </c>
      <c r="V355" s="5">
        <v>2</v>
      </c>
      <c r="W355" s="5">
        <v>5</v>
      </c>
      <c r="X355" s="5">
        <v>7</v>
      </c>
      <c r="Y355" s="5" t="s">
        <v>2560</v>
      </c>
      <c r="AA355" s="5">
        <v>0</v>
      </c>
      <c r="AB355" s="5">
        <v>0</v>
      </c>
      <c r="AC355" s="5">
        <v>0</v>
      </c>
      <c r="AD355" s="5">
        <v>0</v>
      </c>
      <c r="AE355" s="5">
        <v>0</v>
      </c>
      <c r="AF355" s="5">
        <v>0</v>
      </c>
      <c r="AG355" s="5">
        <v>0</v>
      </c>
      <c r="AH355" s="5" t="s">
        <v>2561</v>
      </c>
      <c r="AI355" s="5" t="s">
        <v>388</v>
      </c>
      <c r="AJ355" s="5" t="s">
        <v>2562</v>
      </c>
      <c r="AK355" s="5">
        <v>610423110151</v>
      </c>
      <c r="AL355" s="5" t="e">
        <f t="shared" si="3"/>
        <v>#VALUE!</v>
      </c>
    </row>
    <row r="356" spans="1:38" ht="12.5">
      <c r="A356" s="10" t="str">
        <f t="shared" si="0"/>
        <v>Siti Daniastiti</v>
      </c>
      <c r="B356" s="5">
        <f t="shared" si="1"/>
        <v>610423110016</v>
      </c>
      <c r="C356" s="5" t="str">
        <f t="shared" si="2"/>
        <v>Siti Daniastiti</v>
      </c>
      <c r="D356" s="5" t="s">
        <v>363</v>
      </c>
      <c r="E356" s="5" t="e">
        <f t="array" ref="E356">INDEX('Master SLS'!$H$2:$H998,MATCH($AL356,'Master SLS'!$K$2:$K998,0))</f>
        <v>#VALUE!</v>
      </c>
      <c r="F356" s="5" t="e">
        <f t="array" ref="F356">INDEX('Master SLS'!$I$2:$I998,MATCH($AL356,'Master SLS'!$K$2:$K998,0))</f>
        <v>#VALUE!</v>
      </c>
      <c r="G356" s="5" t="s">
        <v>2563</v>
      </c>
      <c r="H356" s="5" t="s">
        <v>2564</v>
      </c>
      <c r="I356" s="5" t="s">
        <v>366</v>
      </c>
      <c r="J356" s="5">
        <v>1</v>
      </c>
      <c r="K356" s="5" t="s">
        <v>2565</v>
      </c>
      <c r="L356" s="5">
        <v>61</v>
      </c>
      <c r="M356" s="5">
        <v>4</v>
      </c>
      <c r="N356" s="5">
        <v>91</v>
      </c>
      <c r="O356" s="5">
        <v>3</v>
      </c>
      <c r="P356" s="5" t="s">
        <v>2566</v>
      </c>
      <c r="Q356" s="5">
        <v>1</v>
      </c>
      <c r="R356" s="74">
        <v>35926</v>
      </c>
      <c r="S356" s="5" t="s">
        <v>2567</v>
      </c>
      <c r="T356" s="5">
        <v>0</v>
      </c>
      <c r="U356" s="5">
        <v>1</v>
      </c>
      <c r="V356" s="5">
        <v>1</v>
      </c>
      <c r="W356" s="5">
        <v>5</v>
      </c>
      <c r="X356" s="5">
        <v>5</v>
      </c>
      <c r="AA356" s="5">
        <v>1</v>
      </c>
      <c r="AB356" s="5">
        <v>0</v>
      </c>
      <c r="AC356" s="5">
        <v>0</v>
      </c>
      <c r="AD356" s="5">
        <v>1</v>
      </c>
      <c r="AE356" s="5">
        <v>0</v>
      </c>
      <c r="AF356" s="5">
        <v>0</v>
      </c>
      <c r="AG356" s="5">
        <v>0</v>
      </c>
      <c r="AI356" s="5" t="s">
        <v>366</v>
      </c>
      <c r="AJ356" s="5" t="s">
        <v>2568</v>
      </c>
      <c r="AK356" s="5">
        <v>610423110016</v>
      </c>
      <c r="AL356" s="5" t="e">
        <f t="shared" si="3"/>
        <v>#VALUE!</v>
      </c>
    </row>
    <row r="357" spans="1:38" ht="12.5">
      <c r="A357" s="10" t="str">
        <f t="shared" si="0"/>
        <v>Siti Nursyella</v>
      </c>
      <c r="B357" s="5">
        <f t="shared" si="1"/>
        <v>610422100280</v>
      </c>
      <c r="C357" s="5" t="str">
        <f t="shared" si="2"/>
        <v>Siti Nursyella</v>
      </c>
      <c r="D357" s="5" t="s">
        <v>363</v>
      </c>
      <c r="E357" s="5" t="e">
        <f t="array" ref="E357">INDEX('Master SLS'!$H$2:$H998,MATCH($AL357,'Master SLS'!$K$2:$K998,0))</f>
        <v>#VALUE!</v>
      </c>
      <c r="F357" s="5" t="e">
        <f t="array" ref="F357">INDEX('Master SLS'!$I$2:$I998,MATCH($AL357,'Master SLS'!$K$2:$K998,0))</f>
        <v>#VALUE!</v>
      </c>
      <c r="G357" s="5" t="s">
        <v>2569</v>
      </c>
      <c r="H357" s="5" t="s">
        <v>2570</v>
      </c>
      <c r="I357" s="5" t="s">
        <v>366</v>
      </c>
      <c r="J357" s="5">
        <v>1</v>
      </c>
      <c r="K357" s="5" t="s">
        <v>2571</v>
      </c>
      <c r="L357" s="5">
        <v>61</v>
      </c>
      <c r="M357" s="5">
        <v>4</v>
      </c>
      <c r="N357" s="5">
        <v>110</v>
      </c>
      <c r="O357" s="5">
        <v>5</v>
      </c>
      <c r="P357" s="5" t="s">
        <v>2572</v>
      </c>
      <c r="Q357" s="5">
        <v>1</v>
      </c>
      <c r="R357" s="74">
        <v>37801</v>
      </c>
      <c r="T357" s="5">
        <v>0</v>
      </c>
      <c r="U357" s="5">
        <v>1</v>
      </c>
      <c r="V357" s="5">
        <v>1</v>
      </c>
      <c r="W357" s="5">
        <v>3</v>
      </c>
      <c r="X357" s="5">
        <v>6</v>
      </c>
      <c r="AA357" s="5">
        <v>0</v>
      </c>
      <c r="AB357" s="5">
        <v>0</v>
      </c>
      <c r="AC357" s="5">
        <v>0</v>
      </c>
      <c r="AD357" s="5">
        <v>0</v>
      </c>
      <c r="AE357" s="5">
        <v>0</v>
      </c>
      <c r="AF357" s="5">
        <v>0</v>
      </c>
      <c r="AG357" s="5">
        <v>0</v>
      </c>
      <c r="AH357" s="5" t="s">
        <v>2573</v>
      </c>
      <c r="AI357" s="5" t="s">
        <v>366</v>
      </c>
      <c r="AJ357" s="5" t="s">
        <v>2574</v>
      </c>
      <c r="AK357" s="5">
        <v>610422100280</v>
      </c>
      <c r="AL357" s="5" t="e">
        <f t="shared" si="3"/>
        <v>#VALUE!</v>
      </c>
    </row>
    <row r="358" spans="1:38" ht="12.5">
      <c r="A358" s="10" t="str">
        <f t="shared" si="0"/>
        <v>Siti Rahmah</v>
      </c>
      <c r="B358" s="5">
        <f t="shared" si="1"/>
        <v>610423110110</v>
      </c>
      <c r="C358" s="5" t="str">
        <f t="shared" si="2"/>
        <v>Siti Rahmah</v>
      </c>
      <c r="D358" s="5" t="s">
        <v>363</v>
      </c>
      <c r="E358" s="5" t="e">
        <f t="array" ref="E358">INDEX('Master SLS'!$H$2:$H998,MATCH($AL358,'Master SLS'!$K$2:$K998,0))</f>
        <v>#VALUE!</v>
      </c>
      <c r="F358" s="5" t="e">
        <f t="array" ref="F358">INDEX('Master SLS'!$I$2:$I998,MATCH($AL358,'Master SLS'!$K$2:$K998,0))</f>
        <v>#VALUE!</v>
      </c>
      <c r="G358" s="5" t="s">
        <v>2575</v>
      </c>
      <c r="H358" s="5" t="s">
        <v>2576</v>
      </c>
      <c r="I358" s="5" t="s">
        <v>366</v>
      </c>
      <c r="J358" s="5">
        <v>1</v>
      </c>
      <c r="K358" s="5" t="s">
        <v>2577</v>
      </c>
      <c r="L358" s="5">
        <v>61</v>
      </c>
      <c r="M358" s="5">
        <v>4</v>
      </c>
      <c r="N358" s="5">
        <v>110</v>
      </c>
      <c r="O358" s="5">
        <v>10</v>
      </c>
      <c r="P358" s="5" t="s">
        <v>2578</v>
      </c>
      <c r="Q358" s="5">
        <v>1</v>
      </c>
      <c r="R358" s="74">
        <v>36655</v>
      </c>
      <c r="T358" s="5">
        <v>0</v>
      </c>
      <c r="U358" s="5">
        <v>1</v>
      </c>
      <c r="V358" s="5">
        <v>1</v>
      </c>
      <c r="W358" s="5">
        <v>3</v>
      </c>
      <c r="X358" s="5">
        <v>6</v>
      </c>
      <c r="AA358" s="5">
        <v>0</v>
      </c>
      <c r="AB358" s="5">
        <v>0</v>
      </c>
      <c r="AC358" s="5">
        <v>0</v>
      </c>
      <c r="AD358" s="5">
        <v>0</v>
      </c>
      <c r="AE358" s="5">
        <v>0</v>
      </c>
      <c r="AF358" s="5">
        <v>0</v>
      </c>
      <c r="AG358" s="5">
        <v>0</v>
      </c>
      <c r="AI358" s="5" t="s">
        <v>366</v>
      </c>
      <c r="AJ358" s="5" t="s">
        <v>2579</v>
      </c>
      <c r="AK358" s="5">
        <v>610423110110</v>
      </c>
      <c r="AL358" s="5" t="e">
        <f t="shared" si="3"/>
        <v>#VALUE!</v>
      </c>
    </row>
    <row r="359" spans="1:38" ht="12.5">
      <c r="A359" s="10" t="str">
        <f t="shared" si="0"/>
        <v>Siti Rohmah</v>
      </c>
      <c r="B359" s="5">
        <f t="shared" si="1"/>
        <v>610422100132</v>
      </c>
      <c r="C359" s="5" t="str">
        <f t="shared" si="2"/>
        <v>Siti Rohmah</v>
      </c>
      <c r="D359" s="5" t="s">
        <v>363</v>
      </c>
      <c r="E359" s="5" t="e">
        <f t="array" ref="E359">INDEX('Master SLS'!$H$2:$H998,MATCH($AL359,'Master SLS'!$K$2:$K998,0))</f>
        <v>#VALUE!</v>
      </c>
      <c r="F359" s="5" t="e">
        <f t="array" ref="F359">INDEX('Master SLS'!$I$2:$I998,MATCH($AL359,'Master SLS'!$K$2:$K998,0))</f>
        <v>#VALUE!</v>
      </c>
      <c r="G359" s="5" t="s">
        <v>2580</v>
      </c>
      <c r="H359" s="5" t="s">
        <v>2581</v>
      </c>
      <c r="I359" s="5" t="s">
        <v>366</v>
      </c>
      <c r="J359" s="5">
        <v>1</v>
      </c>
      <c r="K359" s="5" t="s">
        <v>2582</v>
      </c>
      <c r="L359" s="5">
        <v>61</v>
      </c>
      <c r="M359" s="5">
        <v>4</v>
      </c>
      <c r="N359" s="5">
        <v>110</v>
      </c>
      <c r="O359" s="5">
        <v>11</v>
      </c>
      <c r="P359" s="5" t="s">
        <v>2583</v>
      </c>
      <c r="Q359" s="5">
        <v>1</v>
      </c>
      <c r="R359" s="74">
        <v>35929</v>
      </c>
      <c r="T359" s="5">
        <v>0</v>
      </c>
      <c r="U359" s="5">
        <v>1</v>
      </c>
      <c r="V359" s="5">
        <v>1</v>
      </c>
      <c r="W359" s="5">
        <v>5</v>
      </c>
      <c r="X359" s="5">
        <v>7</v>
      </c>
      <c r="Y359" s="5" t="s">
        <v>575</v>
      </c>
      <c r="AA359" s="5">
        <v>0</v>
      </c>
      <c r="AB359" s="5">
        <v>0</v>
      </c>
      <c r="AC359" s="5">
        <v>0</v>
      </c>
      <c r="AD359" s="5">
        <v>0</v>
      </c>
      <c r="AE359" s="5">
        <v>0</v>
      </c>
      <c r="AF359" s="5">
        <v>0</v>
      </c>
      <c r="AG359" s="5">
        <v>0</v>
      </c>
      <c r="AH359" s="5" t="s">
        <v>2584</v>
      </c>
      <c r="AI359" s="5" t="s">
        <v>366</v>
      </c>
      <c r="AJ359" s="5" t="s">
        <v>2585</v>
      </c>
      <c r="AK359" s="5">
        <v>610422100132</v>
      </c>
      <c r="AL359" s="5" t="e">
        <f t="shared" si="3"/>
        <v>#VALUE!</v>
      </c>
    </row>
    <row r="360" spans="1:38" ht="12.5">
      <c r="A360" s="10" t="str">
        <f t="shared" si="0"/>
        <v>Siti Rohmawati</v>
      </c>
      <c r="B360" s="5">
        <f t="shared" si="1"/>
        <v>610422040048</v>
      </c>
      <c r="C360" s="5" t="str">
        <f t="shared" si="2"/>
        <v>Siti Rohmawati</v>
      </c>
      <c r="D360" s="5" t="s">
        <v>363</v>
      </c>
      <c r="E360" s="5" t="e">
        <f t="array" ref="E360">INDEX('Master SLS'!$H$2:$H998,MATCH($AL360,'Master SLS'!$K$2:$K998,0))</f>
        <v>#VALUE!</v>
      </c>
      <c r="F360" s="5" t="e">
        <f t="array" ref="F360">INDEX('Master SLS'!$I$2:$I998,MATCH($AL360,'Master SLS'!$K$2:$K998,0))</f>
        <v>#VALUE!</v>
      </c>
      <c r="G360" s="5" t="s">
        <v>2586</v>
      </c>
      <c r="H360" s="5" t="s">
        <v>2587</v>
      </c>
      <c r="I360" s="5" t="s">
        <v>366</v>
      </c>
      <c r="J360" s="5">
        <v>1</v>
      </c>
      <c r="K360" s="5" t="s">
        <v>2588</v>
      </c>
      <c r="L360" s="5">
        <v>61</v>
      </c>
      <c r="M360" s="5">
        <v>4</v>
      </c>
      <c r="N360" s="5">
        <v>90</v>
      </c>
      <c r="O360" s="5">
        <v>1</v>
      </c>
      <c r="P360" s="5" t="s">
        <v>2589</v>
      </c>
      <c r="Q360" s="5">
        <v>1</v>
      </c>
      <c r="R360" s="74">
        <v>33313</v>
      </c>
      <c r="S360" s="5" t="s">
        <v>2590</v>
      </c>
      <c r="T360" s="5">
        <v>0</v>
      </c>
      <c r="U360" s="5">
        <v>1</v>
      </c>
      <c r="V360" s="5">
        <v>2</v>
      </c>
      <c r="W360" s="5">
        <v>5</v>
      </c>
      <c r="X360" s="5">
        <v>3</v>
      </c>
      <c r="AA360" s="5">
        <v>1</v>
      </c>
      <c r="AB360" s="5">
        <v>1</v>
      </c>
      <c r="AC360" s="5">
        <v>1</v>
      </c>
      <c r="AD360" s="5">
        <v>1</v>
      </c>
      <c r="AE360" s="5">
        <v>1</v>
      </c>
      <c r="AF360" s="5">
        <v>1</v>
      </c>
      <c r="AG360" s="5">
        <v>0</v>
      </c>
      <c r="AI360" s="5" t="s">
        <v>366</v>
      </c>
      <c r="AJ360" s="5" t="s">
        <v>2591</v>
      </c>
      <c r="AK360" s="5">
        <v>610422040048</v>
      </c>
      <c r="AL360" s="5" t="e">
        <f t="shared" si="3"/>
        <v>#VALUE!</v>
      </c>
    </row>
    <row r="361" spans="1:38" ht="12.5">
      <c r="A361" s="10" t="str">
        <f t="shared" si="0"/>
        <v>Siti Saiyidati Atqiya'I</v>
      </c>
      <c r="B361" s="5">
        <f t="shared" si="1"/>
        <v>610422100104</v>
      </c>
      <c r="C361" s="5" t="str">
        <f t="shared" si="2"/>
        <v>SITI SAIYIDATI ATQIYA'I</v>
      </c>
      <c r="D361" s="5" t="s">
        <v>363</v>
      </c>
      <c r="E361" s="5" t="e">
        <f t="array" ref="E361">INDEX('Master SLS'!$H$2:$H998,MATCH($AL361,'Master SLS'!$K$2:$K998,0))</f>
        <v>#VALUE!</v>
      </c>
      <c r="F361" s="5" t="e">
        <f t="array" ref="F361">INDEX('Master SLS'!$I$2:$I998,MATCH($AL361,'Master SLS'!$K$2:$K998,0))</f>
        <v>#VALUE!</v>
      </c>
      <c r="G361" s="5" t="s">
        <v>2592</v>
      </c>
      <c r="H361" s="5" t="s">
        <v>2593</v>
      </c>
      <c r="I361" s="5" t="s">
        <v>366</v>
      </c>
      <c r="J361" s="5">
        <v>1</v>
      </c>
      <c r="K361" s="5" t="s">
        <v>2594</v>
      </c>
      <c r="L361" s="5">
        <v>61</v>
      </c>
      <c r="M361" s="5">
        <v>4</v>
      </c>
      <c r="N361" s="5">
        <v>110</v>
      </c>
      <c r="O361" s="5">
        <v>4</v>
      </c>
      <c r="P361" s="5" t="s">
        <v>2595</v>
      </c>
      <c r="Q361" s="5">
        <v>1</v>
      </c>
      <c r="R361" s="74">
        <v>36542</v>
      </c>
      <c r="T361" s="5">
        <v>2</v>
      </c>
      <c r="U361" s="5">
        <v>1</v>
      </c>
      <c r="V361" s="5">
        <v>1</v>
      </c>
      <c r="W361" s="5">
        <v>5</v>
      </c>
      <c r="X361" s="5">
        <v>3</v>
      </c>
      <c r="AA361" s="5">
        <v>2</v>
      </c>
      <c r="AB361" s="5">
        <v>0</v>
      </c>
      <c r="AC361" s="5">
        <v>0</v>
      </c>
      <c r="AD361" s="5">
        <v>0</v>
      </c>
      <c r="AE361" s="5">
        <v>0</v>
      </c>
      <c r="AF361" s="5">
        <v>0</v>
      </c>
      <c r="AG361" s="5">
        <v>0</v>
      </c>
      <c r="AI361" s="5" t="s">
        <v>366</v>
      </c>
      <c r="AJ361" s="5" t="s">
        <v>2596</v>
      </c>
      <c r="AK361" s="5">
        <v>610422100104</v>
      </c>
      <c r="AL361" s="5" t="e">
        <f t="shared" si="3"/>
        <v>#VALUE!</v>
      </c>
    </row>
    <row r="362" spans="1:38" ht="12.5">
      <c r="A362" s="10" t="str">
        <f t="shared" si="0"/>
        <v>Siti Utari Fitriani</v>
      </c>
      <c r="B362" s="5">
        <f t="shared" si="1"/>
        <v>610423110071</v>
      </c>
      <c r="C362" s="5" t="str">
        <f t="shared" si="2"/>
        <v>Siti Utari Fitriani</v>
      </c>
      <c r="D362" s="5" t="s">
        <v>363</v>
      </c>
      <c r="E362" s="5" t="e">
        <f t="array" ref="E362">INDEX('Master SLS'!$H$2:$H998,MATCH($AL362,'Master SLS'!$K$2:$K998,0))</f>
        <v>#VALUE!</v>
      </c>
      <c r="F362" s="5" t="e">
        <f t="array" ref="F362">INDEX('Master SLS'!$I$2:$I998,MATCH($AL362,'Master SLS'!$K$2:$K998,0))</f>
        <v>#VALUE!</v>
      </c>
      <c r="G362" s="5" t="s">
        <v>2597</v>
      </c>
      <c r="H362" s="5" t="s">
        <v>2598</v>
      </c>
      <c r="I362" s="5" t="s">
        <v>366</v>
      </c>
      <c r="J362" s="5">
        <v>1</v>
      </c>
      <c r="K362" s="5" t="s">
        <v>2599</v>
      </c>
      <c r="L362" s="5">
        <v>61</v>
      </c>
      <c r="M362" s="5">
        <v>4</v>
      </c>
      <c r="N362" s="5">
        <v>110</v>
      </c>
      <c r="O362" s="5">
        <v>7</v>
      </c>
      <c r="P362" s="5" t="s">
        <v>2600</v>
      </c>
      <c r="Q362" s="5">
        <v>1</v>
      </c>
      <c r="R362" s="74">
        <v>35860</v>
      </c>
      <c r="T362" s="5">
        <v>0</v>
      </c>
      <c r="U362" s="5">
        <v>1</v>
      </c>
      <c r="V362" s="5">
        <v>1</v>
      </c>
      <c r="W362" s="5">
        <v>3</v>
      </c>
      <c r="X362" s="5">
        <v>6</v>
      </c>
      <c r="AA362" s="5">
        <v>0</v>
      </c>
      <c r="AB362" s="5">
        <v>0</v>
      </c>
      <c r="AC362" s="5">
        <v>0</v>
      </c>
      <c r="AD362" s="5">
        <v>0</v>
      </c>
      <c r="AE362" s="5">
        <v>0</v>
      </c>
      <c r="AF362" s="5">
        <v>0</v>
      </c>
      <c r="AG362" s="5">
        <v>0</v>
      </c>
      <c r="AI362" s="5" t="s">
        <v>366</v>
      </c>
      <c r="AJ362" s="5" t="s">
        <v>2601</v>
      </c>
      <c r="AK362" s="5">
        <v>610423110071</v>
      </c>
      <c r="AL362" s="5" t="e">
        <f t="shared" si="3"/>
        <v>#VALUE!</v>
      </c>
    </row>
    <row r="363" spans="1:38" ht="12.5">
      <c r="A363" s="10" t="str">
        <f t="shared" si="0"/>
        <v>Siti Yunita</v>
      </c>
      <c r="B363" s="5">
        <f t="shared" si="1"/>
        <v>610422040067</v>
      </c>
      <c r="C363" s="5" t="str">
        <f t="shared" si="2"/>
        <v>Siti Yunita</v>
      </c>
      <c r="D363" s="5" t="s">
        <v>363</v>
      </c>
      <c r="E363" s="5" t="e">
        <f t="array" ref="E363">INDEX('Master SLS'!$H$2:$H998,MATCH($AL363,'Master SLS'!$K$2:$K998,0))</f>
        <v>#VALUE!</v>
      </c>
      <c r="F363" s="5" t="e">
        <f t="array" ref="F363">INDEX('Master SLS'!$I$2:$I998,MATCH($AL363,'Master SLS'!$K$2:$K998,0))</f>
        <v>#VALUE!</v>
      </c>
      <c r="G363" s="5" t="s">
        <v>2602</v>
      </c>
      <c r="H363" s="5" t="s">
        <v>2603</v>
      </c>
      <c r="I363" s="5" t="s">
        <v>388</v>
      </c>
      <c r="J363" s="5">
        <v>1</v>
      </c>
      <c r="K363" s="5" t="s">
        <v>2604</v>
      </c>
      <c r="L363" s="5">
        <v>61</v>
      </c>
      <c r="M363" s="5">
        <v>4</v>
      </c>
      <c r="N363" s="5">
        <v>110</v>
      </c>
      <c r="O363" s="5">
        <v>5</v>
      </c>
      <c r="P363" s="5" t="s">
        <v>2605</v>
      </c>
      <c r="Q363" s="5">
        <v>1</v>
      </c>
      <c r="R363" s="74">
        <v>37728</v>
      </c>
      <c r="T363" s="5">
        <v>0</v>
      </c>
      <c r="U363" s="5">
        <v>1</v>
      </c>
      <c r="V363" s="5">
        <v>1</v>
      </c>
      <c r="W363" s="5">
        <v>3</v>
      </c>
      <c r="X363" s="5">
        <v>6</v>
      </c>
      <c r="AA363" s="5">
        <v>1</v>
      </c>
      <c r="AB363" s="5">
        <v>1</v>
      </c>
      <c r="AC363" s="5">
        <v>1</v>
      </c>
      <c r="AD363" s="5">
        <v>0</v>
      </c>
      <c r="AE363" s="5">
        <v>0</v>
      </c>
      <c r="AF363" s="5">
        <v>0</v>
      </c>
      <c r="AG363" s="5">
        <v>0</v>
      </c>
      <c r="AI363" s="5" t="s">
        <v>388</v>
      </c>
      <c r="AJ363" s="5" t="s">
        <v>2606</v>
      </c>
      <c r="AK363" s="5">
        <v>610422040067</v>
      </c>
      <c r="AL363" s="5" t="e">
        <f t="shared" si="3"/>
        <v>#VALUE!</v>
      </c>
    </row>
    <row r="364" spans="1:38" ht="12.5">
      <c r="A364" s="10" t="str">
        <f t="shared" si="0"/>
        <v>Soviana Ayuni</v>
      </c>
      <c r="B364" s="5">
        <f t="shared" si="1"/>
        <v>610422020011</v>
      </c>
      <c r="C364" s="5" t="str">
        <f t="shared" si="2"/>
        <v>SOVIANA AYUNI</v>
      </c>
      <c r="D364" s="5" t="s">
        <v>363</v>
      </c>
      <c r="E364" s="5" t="e">
        <f t="array" ref="E364">INDEX('Master SLS'!$H$2:$H998,MATCH($AL364,'Master SLS'!$K$2:$K998,0))</f>
        <v>#VALUE!</v>
      </c>
      <c r="F364" s="5" t="e">
        <f t="array" ref="F364">INDEX('Master SLS'!$I$2:$I998,MATCH($AL364,'Master SLS'!$K$2:$K998,0))</f>
        <v>#VALUE!</v>
      </c>
      <c r="G364" s="5" t="s">
        <v>2607</v>
      </c>
      <c r="H364" s="5" t="s">
        <v>2608</v>
      </c>
      <c r="I364" s="5" t="s">
        <v>366</v>
      </c>
      <c r="J364" s="5">
        <v>1</v>
      </c>
      <c r="K364" s="5" t="s">
        <v>2609</v>
      </c>
      <c r="L364" s="5">
        <v>61</v>
      </c>
      <c r="M364" s="5">
        <v>4</v>
      </c>
      <c r="N364" s="5">
        <v>121</v>
      </c>
      <c r="O364" s="5">
        <v>3</v>
      </c>
      <c r="P364" s="5" t="s">
        <v>2610</v>
      </c>
      <c r="Q364" s="5">
        <v>1</v>
      </c>
      <c r="R364" s="74">
        <v>35534</v>
      </c>
      <c r="T364" s="5">
        <v>0</v>
      </c>
      <c r="U364" s="5">
        <v>3</v>
      </c>
      <c r="V364" s="5">
        <v>1</v>
      </c>
      <c r="W364" s="5">
        <v>5</v>
      </c>
      <c r="X364" s="5">
        <v>5</v>
      </c>
      <c r="AA364" s="5">
        <v>1</v>
      </c>
      <c r="AB364" s="5">
        <v>0</v>
      </c>
      <c r="AC364" s="5">
        <v>1</v>
      </c>
      <c r="AD364" s="5">
        <v>1</v>
      </c>
      <c r="AE364" s="5">
        <v>0</v>
      </c>
      <c r="AF364" s="5">
        <v>0</v>
      </c>
      <c r="AG364" s="5">
        <v>0</v>
      </c>
      <c r="AH364" s="5" t="s">
        <v>2611</v>
      </c>
      <c r="AI364" s="5" t="s">
        <v>366</v>
      </c>
      <c r="AJ364" s="5" t="s">
        <v>2612</v>
      </c>
      <c r="AK364" s="5">
        <v>610422020011</v>
      </c>
      <c r="AL364" s="5" t="e">
        <f t="shared" si="3"/>
        <v>#VALUE!</v>
      </c>
    </row>
    <row r="365" spans="1:38" ht="12.5">
      <c r="A365" s="10" t="str">
        <f t="shared" si="0"/>
        <v>Sri Ratna Dewi</v>
      </c>
      <c r="B365" s="5">
        <f t="shared" si="1"/>
        <v>610422100084</v>
      </c>
      <c r="C365" s="5" t="str">
        <f t="shared" si="2"/>
        <v>Sri ratna dewi</v>
      </c>
      <c r="D365" s="5" t="s">
        <v>363</v>
      </c>
      <c r="E365" s="5" t="e">
        <f t="array" ref="E365">INDEX('Master SLS'!$H$2:$H998,MATCH($AL365,'Master SLS'!$K$2:$K998,0))</f>
        <v>#VALUE!</v>
      </c>
      <c r="F365" s="5" t="e">
        <f t="array" ref="F365">INDEX('Master SLS'!$I$2:$I998,MATCH($AL365,'Master SLS'!$K$2:$K998,0))</f>
        <v>#VALUE!</v>
      </c>
      <c r="G365" s="5" t="s">
        <v>2613</v>
      </c>
      <c r="H365" s="5" t="s">
        <v>2614</v>
      </c>
      <c r="I365" s="5" t="s">
        <v>366</v>
      </c>
      <c r="J365" s="5">
        <v>1</v>
      </c>
      <c r="K365" s="5" t="s">
        <v>2615</v>
      </c>
      <c r="L365" s="5">
        <v>61</v>
      </c>
      <c r="M365" s="5">
        <v>4</v>
      </c>
      <c r="N365" s="5">
        <v>90</v>
      </c>
      <c r="O365" s="5">
        <v>5</v>
      </c>
      <c r="P365" s="5" t="s">
        <v>2616</v>
      </c>
      <c r="Q365" s="5">
        <v>1</v>
      </c>
      <c r="R365" s="7">
        <v>30640</v>
      </c>
      <c r="S365" s="5" t="s">
        <v>2617</v>
      </c>
      <c r="T365" s="5">
        <v>0</v>
      </c>
      <c r="U365" s="5">
        <v>1</v>
      </c>
      <c r="V365" s="5">
        <v>2</v>
      </c>
      <c r="W365" s="5">
        <v>3</v>
      </c>
      <c r="X365" s="5">
        <v>2</v>
      </c>
      <c r="AA365" s="5">
        <v>1</v>
      </c>
      <c r="AB365" s="5">
        <v>1</v>
      </c>
      <c r="AC365" s="5">
        <v>1</v>
      </c>
      <c r="AD365" s="5">
        <v>1</v>
      </c>
      <c r="AE365" s="5">
        <v>1</v>
      </c>
      <c r="AF365" s="5">
        <v>0</v>
      </c>
      <c r="AG365" s="5">
        <v>0</v>
      </c>
      <c r="AH365" s="5" t="s">
        <v>2618</v>
      </c>
      <c r="AI365" s="5" t="s">
        <v>366</v>
      </c>
      <c r="AJ365" s="5" t="s">
        <v>2619</v>
      </c>
      <c r="AK365" s="5">
        <v>610422100084</v>
      </c>
      <c r="AL365" s="5" t="e">
        <f t="shared" si="3"/>
        <v>#VALUE!</v>
      </c>
    </row>
    <row r="366" spans="1:38" ht="12.5">
      <c r="A366" s="10" t="str">
        <f t="shared" si="0"/>
        <v>Suci Awalia</v>
      </c>
      <c r="B366" s="5">
        <f t="shared" si="1"/>
        <v>610422020019</v>
      </c>
      <c r="C366" s="5" t="str">
        <f t="shared" si="2"/>
        <v>Suci Awalia</v>
      </c>
      <c r="D366" s="5" t="s">
        <v>363</v>
      </c>
      <c r="E366" s="5" t="e">
        <f t="array" ref="E366">INDEX('Master SLS'!$H$2:$H998,MATCH($AL366,'Master SLS'!$K$2:$K998,0))</f>
        <v>#VALUE!</v>
      </c>
      <c r="F366" s="5" t="e">
        <f t="array" ref="F366">INDEX('Master SLS'!$I$2:$I998,MATCH($AL366,'Master SLS'!$K$2:$K998,0))</f>
        <v>#VALUE!</v>
      </c>
      <c r="G366" s="5" t="s">
        <v>2620</v>
      </c>
      <c r="H366" s="5" t="s">
        <v>2621</v>
      </c>
      <c r="I366" s="5" t="s">
        <v>388</v>
      </c>
      <c r="J366" s="5">
        <v>1</v>
      </c>
      <c r="K366" s="5" t="s">
        <v>2622</v>
      </c>
      <c r="L366" s="5">
        <v>61</v>
      </c>
      <c r="M366" s="5">
        <v>4</v>
      </c>
      <c r="N366" s="5">
        <v>110</v>
      </c>
      <c r="O366" s="5">
        <v>6</v>
      </c>
      <c r="P366" s="5" t="s">
        <v>2623</v>
      </c>
      <c r="Q366" s="5">
        <v>1</v>
      </c>
      <c r="R366" s="74">
        <v>36501</v>
      </c>
      <c r="T366" s="5">
        <v>0</v>
      </c>
      <c r="U366" s="5">
        <v>1</v>
      </c>
      <c r="V366" s="5">
        <v>1</v>
      </c>
      <c r="W366" s="5">
        <v>3</v>
      </c>
      <c r="X366" s="5">
        <v>7</v>
      </c>
      <c r="Y366" s="5" t="s">
        <v>647</v>
      </c>
      <c r="AA366" s="5">
        <v>1</v>
      </c>
      <c r="AB366" s="5">
        <v>1</v>
      </c>
      <c r="AC366" s="5">
        <v>1</v>
      </c>
      <c r="AD366" s="5">
        <v>0</v>
      </c>
      <c r="AE366" s="5">
        <v>0</v>
      </c>
      <c r="AF366" s="5">
        <v>0</v>
      </c>
      <c r="AG366" s="5">
        <v>0</v>
      </c>
      <c r="AI366" s="5" t="s">
        <v>388</v>
      </c>
      <c r="AJ366" s="5" t="s">
        <v>2624</v>
      </c>
      <c r="AK366" s="5">
        <v>610422020019</v>
      </c>
      <c r="AL366" s="5" t="e">
        <f t="shared" si="3"/>
        <v>#VALUE!</v>
      </c>
    </row>
    <row r="367" spans="1:38" ht="12.5">
      <c r="A367" s="10" t="str">
        <f t="shared" si="0"/>
        <v>Suci Indah Pratiwi</v>
      </c>
      <c r="B367" s="5">
        <f t="shared" si="1"/>
        <v>610423110067</v>
      </c>
      <c r="C367" s="5" t="str">
        <f t="shared" si="2"/>
        <v>Suci indah pratiwi</v>
      </c>
      <c r="D367" s="5" t="s">
        <v>363</v>
      </c>
      <c r="E367" s="5" t="e">
        <f t="array" ref="E367">INDEX('Master SLS'!$H$2:$H998,MATCH($AL367,'Master SLS'!$K$2:$K998,0))</f>
        <v>#VALUE!</v>
      </c>
      <c r="F367" s="5" t="e">
        <f t="array" ref="F367">INDEX('Master SLS'!$I$2:$I998,MATCH($AL367,'Master SLS'!$K$2:$K998,0))</f>
        <v>#VALUE!</v>
      </c>
      <c r="G367" s="5" t="s">
        <v>2625</v>
      </c>
      <c r="H367" s="5" t="s">
        <v>2626</v>
      </c>
      <c r="I367" s="5" t="s">
        <v>388</v>
      </c>
      <c r="J367" s="5">
        <v>1</v>
      </c>
      <c r="K367" s="5" t="s">
        <v>2627</v>
      </c>
      <c r="L367" s="5">
        <v>61</v>
      </c>
      <c r="M367" s="5">
        <v>4</v>
      </c>
      <c r="N367" s="5">
        <v>100</v>
      </c>
      <c r="O367" s="5">
        <v>8</v>
      </c>
      <c r="P367" s="5" t="s">
        <v>2628</v>
      </c>
      <c r="Q367" s="5">
        <v>1</v>
      </c>
      <c r="R367" s="7">
        <v>37190</v>
      </c>
      <c r="S367" s="5" t="s">
        <v>2629</v>
      </c>
      <c r="T367" s="5">
        <v>0</v>
      </c>
      <c r="U367" s="5">
        <v>1</v>
      </c>
      <c r="V367" s="5">
        <v>1</v>
      </c>
      <c r="W367" s="5">
        <v>4</v>
      </c>
      <c r="X367" s="5">
        <v>5</v>
      </c>
      <c r="AA367" s="5">
        <v>0</v>
      </c>
      <c r="AB367" s="5">
        <v>0</v>
      </c>
      <c r="AC367" s="5">
        <v>0</v>
      </c>
      <c r="AD367" s="5">
        <v>0</v>
      </c>
      <c r="AE367" s="5">
        <v>0</v>
      </c>
      <c r="AF367" s="5">
        <v>0</v>
      </c>
      <c r="AG367" s="5">
        <v>0</v>
      </c>
      <c r="AH367" s="5" t="s">
        <v>2630</v>
      </c>
      <c r="AI367" s="5" t="s">
        <v>388</v>
      </c>
      <c r="AJ367" s="5" t="s">
        <v>2631</v>
      </c>
      <c r="AK367" s="5">
        <v>610423110067</v>
      </c>
      <c r="AL367" s="5" t="e">
        <f t="shared" si="3"/>
        <v>#VALUE!</v>
      </c>
    </row>
    <row r="368" spans="1:38" ht="12.5">
      <c r="A368" s="10" t="str">
        <f t="shared" si="0"/>
        <v>Sugianto</v>
      </c>
      <c r="B368" s="5">
        <f t="shared" si="1"/>
        <v>610422100244</v>
      </c>
      <c r="C368" s="5" t="str">
        <f t="shared" si="2"/>
        <v>Sugianto</v>
      </c>
      <c r="D368" s="5" t="s">
        <v>363</v>
      </c>
      <c r="E368" s="5" t="e">
        <f t="array" ref="E368">INDEX('Master SLS'!$H$2:$H998,MATCH($AL368,'Master SLS'!$K$2:$K998,0))</f>
        <v>#VALUE!</v>
      </c>
      <c r="F368" s="5" t="e">
        <f t="array" ref="F368">INDEX('Master SLS'!$I$2:$I998,MATCH($AL368,'Master SLS'!$K$2:$K998,0))</f>
        <v>#VALUE!</v>
      </c>
      <c r="G368" s="5" t="s">
        <v>2632</v>
      </c>
      <c r="H368" s="5" t="s">
        <v>2633</v>
      </c>
      <c r="I368" s="5" t="s">
        <v>366</v>
      </c>
      <c r="J368" s="5">
        <v>1</v>
      </c>
      <c r="K368" s="5" t="s">
        <v>2634</v>
      </c>
      <c r="L368" s="5">
        <v>61</v>
      </c>
      <c r="M368" s="5">
        <v>4</v>
      </c>
      <c r="N368" s="5">
        <v>121</v>
      </c>
      <c r="O368" s="5">
        <v>3</v>
      </c>
      <c r="P368" s="5" t="s">
        <v>2635</v>
      </c>
      <c r="Q368" s="5">
        <v>1</v>
      </c>
      <c r="R368" s="74">
        <v>32942</v>
      </c>
      <c r="S368" s="5" t="s">
        <v>2636</v>
      </c>
      <c r="T368" s="5">
        <v>1</v>
      </c>
      <c r="U368" s="5">
        <v>2</v>
      </c>
      <c r="V368" s="5">
        <v>2</v>
      </c>
      <c r="W368" s="5">
        <v>5</v>
      </c>
      <c r="X368" s="5">
        <v>7</v>
      </c>
      <c r="Y368" s="5" t="s">
        <v>2475</v>
      </c>
      <c r="AA368" s="5">
        <v>1</v>
      </c>
      <c r="AB368" s="5">
        <v>1</v>
      </c>
      <c r="AC368" s="5">
        <v>1</v>
      </c>
      <c r="AD368" s="5">
        <v>0</v>
      </c>
      <c r="AE368" s="5">
        <v>1</v>
      </c>
      <c r="AF368" s="5">
        <v>1</v>
      </c>
      <c r="AG368" s="5">
        <v>0</v>
      </c>
      <c r="AH368" s="5" t="s">
        <v>470</v>
      </c>
      <c r="AI368" s="5" t="s">
        <v>366</v>
      </c>
      <c r="AJ368" s="5" t="s">
        <v>2637</v>
      </c>
      <c r="AK368" s="5">
        <v>610422100244</v>
      </c>
      <c r="AL368" s="5" t="e">
        <f t="shared" si="3"/>
        <v>#VALUE!</v>
      </c>
    </row>
    <row r="369" spans="1:38" ht="12.5">
      <c r="A369" s="10" t="str">
        <f t="shared" si="0"/>
        <v>Suhaimi</v>
      </c>
      <c r="B369" s="5">
        <f t="shared" si="1"/>
        <v>610422100027</v>
      </c>
      <c r="C369" s="5" t="str">
        <f t="shared" si="2"/>
        <v>SUHAIMI</v>
      </c>
      <c r="D369" s="5" t="s">
        <v>363</v>
      </c>
      <c r="E369" s="5" t="e">
        <f t="array" ref="E369">INDEX('Master SLS'!$H$2:$H998,MATCH($AL369,'Master SLS'!$K$2:$K998,0))</f>
        <v>#VALUE!</v>
      </c>
      <c r="F369" s="5" t="e">
        <f t="array" ref="F369">INDEX('Master SLS'!$I$2:$I998,MATCH($AL369,'Master SLS'!$K$2:$K998,0))</f>
        <v>#VALUE!</v>
      </c>
      <c r="G369" s="5" t="s">
        <v>2638</v>
      </c>
      <c r="H369" s="5" t="s">
        <v>2639</v>
      </c>
      <c r="I369" s="5" t="s">
        <v>366</v>
      </c>
      <c r="J369" s="5">
        <v>1</v>
      </c>
      <c r="K369" s="5" t="s">
        <v>2640</v>
      </c>
      <c r="L369" s="5">
        <v>61</v>
      </c>
      <c r="M369" s="5">
        <v>4</v>
      </c>
      <c r="N369" s="5">
        <v>91</v>
      </c>
      <c r="O369" s="5">
        <v>6</v>
      </c>
      <c r="P369" s="5" t="s">
        <v>2641</v>
      </c>
      <c r="Q369" s="5">
        <v>1</v>
      </c>
      <c r="R369" s="74">
        <v>34788</v>
      </c>
      <c r="T369" s="5">
        <v>1</v>
      </c>
      <c r="U369" s="5">
        <v>1</v>
      </c>
      <c r="V369" s="5">
        <v>2</v>
      </c>
      <c r="W369" s="5">
        <v>5</v>
      </c>
      <c r="X369" s="5">
        <v>2</v>
      </c>
      <c r="AA369" s="5">
        <v>1</v>
      </c>
      <c r="AB369" s="5">
        <v>0</v>
      </c>
      <c r="AC369" s="5">
        <v>1</v>
      </c>
      <c r="AD369" s="5">
        <v>0</v>
      </c>
      <c r="AE369" s="5">
        <v>0</v>
      </c>
      <c r="AF369" s="5">
        <v>0</v>
      </c>
      <c r="AG369" s="5">
        <v>0</v>
      </c>
      <c r="AH369" s="5" t="s">
        <v>2642</v>
      </c>
      <c r="AI369" s="5" t="s">
        <v>366</v>
      </c>
      <c r="AJ369" s="5" t="s">
        <v>2643</v>
      </c>
      <c r="AK369" s="5">
        <v>610422100027</v>
      </c>
      <c r="AL369" s="5" t="e">
        <f t="shared" si="3"/>
        <v>#VALUE!</v>
      </c>
    </row>
    <row r="370" spans="1:38" ht="12.5">
      <c r="A370" s="10" t="str">
        <f t="shared" si="0"/>
        <v>Sukmawati,S.Si</v>
      </c>
      <c r="B370" s="5">
        <f t="shared" si="1"/>
        <v>610422100101</v>
      </c>
      <c r="C370" s="5" t="str">
        <f t="shared" si="2"/>
        <v>SUKMAWATI,S.SI</v>
      </c>
      <c r="D370" s="5" t="s">
        <v>363</v>
      </c>
      <c r="E370" s="5" t="e">
        <f t="array" ref="E370">INDEX('Master SLS'!$H$2:$H998,MATCH($AL370,'Master SLS'!$K$2:$K998,0))</f>
        <v>#VALUE!</v>
      </c>
      <c r="F370" s="5" t="e">
        <f t="array" ref="F370">INDEX('Master SLS'!$I$2:$I998,MATCH($AL370,'Master SLS'!$K$2:$K998,0))</f>
        <v>#VALUE!</v>
      </c>
      <c r="G370" s="5" t="s">
        <v>2644</v>
      </c>
      <c r="H370" s="5" t="s">
        <v>2645</v>
      </c>
      <c r="I370" s="5" t="s">
        <v>366</v>
      </c>
      <c r="J370" s="5">
        <v>1</v>
      </c>
      <c r="K370" s="5" t="s">
        <v>2646</v>
      </c>
      <c r="L370" s="5">
        <v>61</v>
      </c>
      <c r="M370" s="5">
        <v>4</v>
      </c>
      <c r="N370" s="5">
        <v>91</v>
      </c>
      <c r="O370" s="5">
        <v>2</v>
      </c>
      <c r="P370" s="5" t="s">
        <v>2647</v>
      </c>
      <c r="Q370" s="5">
        <v>1</v>
      </c>
      <c r="R370" s="74">
        <v>32158</v>
      </c>
      <c r="T370" s="5">
        <v>0</v>
      </c>
      <c r="U370" s="5">
        <v>1</v>
      </c>
      <c r="V370" s="5">
        <v>2</v>
      </c>
      <c r="W370" s="5">
        <v>5</v>
      </c>
      <c r="X370" s="5">
        <v>4</v>
      </c>
      <c r="AA370" s="5">
        <v>1</v>
      </c>
      <c r="AB370" s="5">
        <v>1</v>
      </c>
      <c r="AC370" s="5">
        <v>1</v>
      </c>
      <c r="AD370" s="5">
        <v>0</v>
      </c>
      <c r="AE370" s="5">
        <v>1</v>
      </c>
      <c r="AF370" s="5">
        <v>0</v>
      </c>
      <c r="AG370" s="5">
        <v>0</v>
      </c>
      <c r="AI370" s="5" t="s">
        <v>366</v>
      </c>
      <c r="AJ370" s="5" t="s">
        <v>2648</v>
      </c>
      <c r="AK370" s="5">
        <v>610422100101</v>
      </c>
      <c r="AL370" s="5" t="e">
        <f t="shared" si="3"/>
        <v>#VALUE!</v>
      </c>
    </row>
    <row r="371" spans="1:38" ht="12.5">
      <c r="A371" s="10" t="str">
        <f t="shared" si="0"/>
        <v>Sulis Tri Handayani</v>
      </c>
      <c r="B371" s="5">
        <f t="shared" si="1"/>
        <v>610422040049</v>
      </c>
      <c r="C371" s="5" t="str">
        <f t="shared" si="2"/>
        <v>Sulis tri handayani</v>
      </c>
      <c r="D371" s="5" t="s">
        <v>363</v>
      </c>
      <c r="E371" s="5" t="e">
        <f t="array" ref="E371">INDEX('Master SLS'!$H$2:$H998,MATCH($AL371,'Master SLS'!$K$2:$K998,0))</f>
        <v>#VALUE!</v>
      </c>
      <c r="F371" s="5" t="e">
        <f t="array" ref="F371">INDEX('Master SLS'!$I$2:$I998,MATCH($AL371,'Master SLS'!$K$2:$K998,0))</f>
        <v>#VALUE!</v>
      </c>
      <c r="G371" s="5" t="s">
        <v>2649</v>
      </c>
      <c r="H371" s="5" t="s">
        <v>2650</v>
      </c>
      <c r="I371" s="5" t="s">
        <v>366</v>
      </c>
      <c r="J371" s="5">
        <v>1</v>
      </c>
      <c r="K371" s="5" t="s">
        <v>2651</v>
      </c>
      <c r="L371" s="5">
        <v>61</v>
      </c>
      <c r="M371" s="5">
        <v>4</v>
      </c>
      <c r="N371" s="5">
        <v>90</v>
      </c>
      <c r="O371" s="5">
        <v>9</v>
      </c>
      <c r="P371" s="5" t="s">
        <v>2652</v>
      </c>
      <c r="Q371" s="5">
        <v>1</v>
      </c>
      <c r="R371" s="74">
        <v>30866</v>
      </c>
      <c r="T371" s="5">
        <v>0</v>
      </c>
      <c r="U371" s="5">
        <v>1</v>
      </c>
      <c r="V371" s="5">
        <v>2</v>
      </c>
      <c r="W371" s="5">
        <v>3</v>
      </c>
      <c r="X371" s="5">
        <v>4</v>
      </c>
      <c r="AA371" s="5">
        <v>1</v>
      </c>
      <c r="AB371" s="5">
        <v>1</v>
      </c>
      <c r="AC371" s="5">
        <v>1</v>
      </c>
      <c r="AD371" s="5">
        <v>1</v>
      </c>
      <c r="AE371" s="5">
        <v>1</v>
      </c>
      <c r="AF371" s="5">
        <v>0</v>
      </c>
      <c r="AG371" s="5">
        <v>0</v>
      </c>
      <c r="AH371" s="5" t="s">
        <v>369</v>
      </c>
      <c r="AI371" s="5" t="s">
        <v>366</v>
      </c>
      <c r="AJ371" s="5" t="s">
        <v>2653</v>
      </c>
      <c r="AK371" s="5">
        <v>610422040049</v>
      </c>
      <c r="AL371" s="5" t="e">
        <f t="shared" si="3"/>
        <v>#VALUE!</v>
      </c>
    </row>
    <row r="372" spans="1:38" ht="12.5">
      <c r="A372" s="10" t="str">
        <f t="shared" si="0"/>
        <v>Supianto</v>
      </c>
      <c r="B372" s="5">
        <f t="shared" si="1"/>
        <v>610423110008</v>
      </c>
      <c r="C372" s="5" t="str">
        <f t="shared" si="2"/>
        <v>Supianto</v>
      </c>
      <c r="D372" s="5" t="s">
        <v>363</v>
      </c>
      <c r="E372" s="5" t="e">
        <f t="array" ref="E372">INDEX('Master SLS'!$H$2:$H998,MATCH($AL372,'Master SLS'!$K$2:$K998,0))</f>
        <v>#VALUE!</v>
      </c>
      <c r="F372" s="5" t="e">
        <f t="array" ref="F372">INDEX('Master SLS'!$I$2:$I998,MATCH($AL372,'Master SLS'!$K$2:$K998,0))</f>
        <v>#VALUE!</v>
      </c>
      <c r="G372" s="5" t="s">
        <v>2654</v>
      </c>
      <c r="H372" s="5" t="s">
        <v>2655</v>
      </c>
      <c r="I372" s="5" t="s">
        <v>366</v>
      </c>
      <c r="J372" s="5">
        <v>1</v>
      </c>
      <c r="K372" s="5" t="s">
        <v>2656</v>
      </c>
      <c r="L372" s="5">
        <v>61</v>
      </c>
      <c r="M372" s="5">
        <v>4</v>
      </c>
      <c r="N372" s="5">
        <v>81</v>
      </c>
      <c r="O372" s="5">
        <v>3</v>
      </c>
      <c r="P372" s="5" t="s">
        <v>2657</v>
      </c>
      <c r="Q372" s="5">
        <v>1</v>
      </c>
      <c r="R372" s="74">
        <v>32941</v>
      </c>
      <c r="T372" s="5">
        <v>1</v>
      </c>
      <c r="U372" s="5">
        <v>1</v>
      </c>
      <c r="V372" s="5">
        <v>2</v>
      </c>
      <c r="W372" s="5">
        <v>3</v>
      </c>
      <c r="X372" s="5">
        <v>5</v>
      </c>
      <c r="AA372" s="5">
        <v>0</v>
      </c>
      <c r="AB372" s="5">
        <v>0</v>
      </c>
      <c r="AC372" s="5">
        <v>0</v>
      </c>
      <c r="AD372" s="5">
        <v>0</v>
      </c>
      <c r="AE372" s="5">
        <v>0</v>
      </c>
      <c r="AF372" s="5">
        <v>0</v>
      </c>
      <c r="AG372" s="5">
        <v>0</v>
      </c>
      <c r="AI372" s="5" t="s">
        <v>366</v>
      </c>
      <c r="AJ372" s="5" t="s">
        <v>2658</v>
      </c>
      <c r="AK372" s="5">
        <v>610423110008</v>
      </c>
      <c r="AL372" s="5" t="e">
        <f t="shared" si="3"/>
        <v>#VALUE!</v>
      </c>
    </row>
    <row r="373" spans="1:38" ht="12.5">
      <c r="A373" s="10" t="str">
        <f t="shared" si="0"/>
        <v>Suryansah</v>
      </c>
      <c r="B373" s="5">
        <f t="shared" si="1"/>
        <v>610422100030</v>
      </c>
      <c r="C373" s="5" t="str">
        <f t="shared" si="2"/>
        <v>Suryansah</v>
      </c>
      <c r="D373" s="5" t="s">
        <v>363</v>
      </c>
      <c r="E373" s="5" t="e">
        <f t="array" ref="E373">INDEX('Master SLS'!$H$2:$H998,MATCH($AL373,'Master SLS'!$K$2:$K998,0))</f>
        <v>#VALUE!</v>
      </c>
      <c r="F373" s="5" t="e">
        <f t="array" ref="F373">INDEX('Master SLS'!$I$2:$I998,MATCH($AL373,'Master SLS'!$K$2:$K998,0))</f>
        <v>#VALUE!</v>
      </c>
      <c r="G373" s="5" t="s">
        <v>2659</v>
      </c>
      <c r="H373" s="5" t="s">
        <v>2660</v>
      </c>
      <c r="I373" s="5" t="s">
        <v>366</v>
      </c>
      <c r="J373" s="5">
        <v>1</v>
      </c>
      <c r="K373" s="5" t="s">
        <v>2661</v>
      </c>
      <c r="L373" s="5">
        <v>61</v>
      </c>
      <c r="M373" s="5">
        <v>4</v>
      </c>
      <c r="N373" s="5">
        <v>110</v>
      </c>
      <c r="O373" s="5">
        <v>10</v>
      </c>
      <c r="P373" s="5" t="s">
        <v>2662</v>
      </c>
      <c r="Q373" s="5">
        <v>1</v>
      </c>
      <c r="R373" s="7">
        <v>34997</v>
      </c>
      <c r="S373" s="5" t="s">
        <v>2663</v>
      </c>
      <c r="T373" s="5">
        <v>1</v>
      </c>
      <c r="U373" s="5">
        <v>1</v>
      </c>
      <c r="V373" s="5">
        <v>1</v>
      </c>
      <c r="W373" s="5">
        <v>5</v>
      </c>
      <c r="X373" s="5">
        <v>5</v>
      </c>
      <c r="AA373" s="5">
        <v>1</v>
      </c>
      <c r="AB373" s="5">
        <v>0</v>
      </c>
      <c r="AC373" s="5">
        <v>1</v>
      </c>
      <c r="AD373" s="5">
        <v>1</v>
      </c>
      <c r="AE373" s="5">
        <v>0</v>
      </c>
      <c r="AF373" s="5">
        <v>0</v>
      </c>
      <c r="AG373" s="5">
        <v>0</v>
      </c>
      <c r="AI373" s="5" t="s">
        <v>366</v>
      </c>
      <c r="AJ373" s="5" t="s">
        <v>2664</v>
      </c>
      <c r="AK373" s="5">
        <v>610422100030</v>
      </c>
      <c r="AL373" s="5" t="e">
        <f t="shared" si="3"/>
        <v>#VALUE!</v>
      </c>
    </row>
    <row r="374" spans="1:38" ht="12.5">
      <c r="A374" s="10" t="str">
        <f t="shared" si="0"/>
        <v>Sutty Ahsanunnadia</v>
      </c>
      <c r="B374" s="5">
        <f t="shared" si="1"/>
        <v>610423110106</v>
      </c>
      <c r="C374" s="5" t="str">
        <f t="shared" si="2"/>
        <v>Sutty Ahsanunnadia</v>
      </c>
      <c r="D374" s="5" t="s">
        <v>363</v>
      </c>
      <c r="E374" s="5" t="e">
        <f t="array" ref="E374">INDEX('Master SLS'!$H$2:$H998,MATCH($AL374,'Master SLS'!$K$2:$K998,0))</f>
        <v>#VALUE!</v>
      </c>
      <c r="F374" s="5" t="e">
        <f t="array" ref="F374">INDEX('Master SLS'!$I$2:$I998,MATCH($AL374,'Master SLS'!$K$2:$K998,0))</f>
        <v>#VALUE!</v>
      </c>
      <c r="G374" s="5" t="s">
        <v>2665</v>
      </c>
      <c r="H374" s="5" t="s">
        <v>2666</v>
      </c>
      <c r="I374" s="5" t="s">
        <v>388</v>
      </c>
      <c r="J374" s="5">
        <v>1</v>
      </c>
      <c r="K374" s="5" t="s">
        <v>2667</v>
      </c>
      <c r="L374" s="5">
        <v>61</v>
      </c>
      <c r="M374" s="5">
        <v>4</v>
      </c>
      <c r="N374" s="5">
        <v>110</v>
      </c>
      <c r="O374" s="5">
        <v>10</v>
      </c>
      <c r="P374" s="5" t="s">
        <v>2668</v>
      </c>
      <c r="Q374" s="5">
        <v>1</v>
      </c>
      <c r="R374" s="74">
        <v>36638</v>
      </c>
      <c r="T374" s="5">
        <v>0</v>
      </c>
      <c r="U374" s="5">
        <v>1</v>
      </c>
      <c r="V374" s="5">
        <v>1</v>
      </c>
      <c r="W374" s="5">
        <v>5</v>
      </c>
      <c r="X374" s="5">
        <v>7</v>
      </c>
      <c r="Y374" s="5" t="s">
        <v>553</v>
      </c>
      <c r="AA374" s="5">
        <v>0</v>
      </c>
      <c r="AB374" s="5">
        <v>0</v>
      </c>
      <c r="AC374" s="5">
        <v>0</v>
      </c>
      <c r="AD374" s="5">
        <v>0</v>
      </c>
      <c r="AE374" s="5">
        <v>0</v>
      </c>
      <c r="AF374" s="5">
        <v>0</v>
      </c>
      <c r="AG374" s="5">
        <v>0</v>
      </c>
      <c r="AI374" s="5" t="s">
        <v>388</v>
      </c>
      <c r="AJ374" s="5" t="s">
        <v>2669</v>
      </c>
      <c r="AK374" s="5">
        <v>610423110106</v>
      </c>
      <c r="AL374" s="5" t="e">
        <f t="shared" si="3"/>
        <v>#VALUE!</v>
      </c>
    </row>
    <row r="375" spans="1:38" ht="12.5">
      <c r="A375" s="10" t="str">
        <f t="shared" si="0"/>
        <v>Suyehdi</v>
      </c>
      <c r="B375" s="5">
        <f t="shared" si="1"/>
        <v>610422020039</v>
      </c>
      <c r="C375" s="5" t="str">
        <f t="shared" si="2"/>
        <v>Suyehdi</v>
      </c>
      <c r="D375" s="5" t="s">
        <v>363</v>
      </c>
      <c r="E375" s="5" t="e">
        <f t="array" ref="E375">INDEX('Master SLS'!$H$2:$H998,MATCH($AL375,'Master SLS'!$K$2:$K998,0))</f>
        <v>#VALUE!</v>
      </c>
      <c r="F375" s="5" t="e">
        <f t="array" ref="F375">INDEX('Master SLS'!$I$2:$I998,MATCH($AL375,'Master SLS'!$K$2:$K998,0))</f>
        <v>#VALUE!</v>
      </c>
      <c r="G375" s="5" t="s">
        <v>2670</v>
      </c>
      <c r="H375" s="5" t="s">
        <v>2671</v>
      </c>
      <c r="I375" s="5" t="s">
        <v>388</v>
      </c>
      <c r="J375" s="5">
        <v>1</v>
      </c>
      <c r="K375" s="5" t="s">
        <v>2672</v>
      </c>
      <c r="L375" s="5">
        <v>61</v>
      </c>
      <c r="M375" s="5">
        <v>4</v>
      </c>
      <c r="N375" s="5">
        <v>100</v>
      </c>
      <c r="O375" s="5">
        <v>12</v>
      </c>
      <c r="P375" s="5" t="s">
        <v>2673</v>
      </c>
      <c r="Q375" s="5">
        <v>1</v>
      </c>
      <c r="R375" s="74">
        <v>33438</v>
      </c>
      <c r="S375" s="5" t="s">
        <v>2674</v>
      </c>
      <c r="T375" s="5">
        <v>1</v>
      </c>
      <c r="U375" s="5">
        <v>1</v>
      </c>
      <c r="V375" s="5">
        <v>2</v>
      </c>
      <c r="W375" s="5">
        <v>3</v>
      </c>
      <c r="X375" s="5">
        <v>7</v>
      </c>
      <c r="Y375" s="5" t="s">
        <v>2025</v>
      </c>
      <c r="AA375" s="5">
        <v>1</v>
      </c>
      <c r="AB375" s="5">
        <v>0</v>
      </c>
      <c r="AC375" s="5">
        <v>1</v>
      </c>
      <c r="AD375" s="5">
        <v>0</v>
      </c>
      <c r="AE375" s="5">
        <v>1</v>
      </c>
      <c r="AF375" s="5">
        <v>1</v>
      </c>
      <c r="AG375" s="5">
        <v>0</v>
      </c>
      <c r="AI375" s="5" t="s">
        <v>388</v>
      </c>
      <c r="AJ375" s="5" t="s">
        <v>2675</v>
      </c>
      <c r="AK375" s="5">
        <v>610422020039</v>
      </c>
      <c r="AL375" s="5" t="e">
        <f t="shared" si="3"/>
        <v>#VALUE!</v>
      </c>
    </row>
    <row r="376" spans="1:38" ht="12.5">
      <c r="A376" s="10" t="str">
        <f t="shared" si="0"/>
        <v>Syaipul</v>
      </c>
      <c r="B376" s="5">
        <f t="shared" si="1"/>
        <v>610423110069</v>
      </c>
      <c r="C376" s="5" t="str">
        <f t="shared" si="2"/>
        <v>SYAIPUL</v>
      </c>
      <c r="D376" s="5" t="s">
        <v>363</v>
      </c>
      <c r="E376" s="5" t="e">
        <f t="array" ref="E376">INDEX('Master SLS'!$H$2:$H998,MATCH($AL376,'Master SLS'!$K$2:$K998,0))</f>
        <v>#VALUE!</v>
      </c>
      <c r="F376" s="5" t="e">
        <f t="array" ref="F376">INDEX('Master SLS'!$I$2:$I998,MATCH($AL376,'Master SLS'!$K$2:$K998,0))</f>
        <v>#VALUE!</v>
      </c>
      <c r="G376" s="5" t="s">
        <v>2676</v>
      </c>
      <c r="H376" s="5" t="s">
        <v>2677</v>
      </c>
      <c r="I376" s="5" t="s">
        <v>474</v>
      </c>
      <c r="J376" s="5">
        <v>1</v>
      </c>
      <c r="K376" s="5" t="s">
        <v>2678</v>
      </c>
      <c r="L376" s="5">
        <v>61</v>
      </c>
      <c r="M376" s="5">
        <v>4</v>
      </c>
      <c r="N376" s="5">
        <v>101</v>
      </c>
      <c r="O376" s="5">
        <v>7</v>
      </c>
      <c r="P376" s="5" t="s">
        <v>2679</v>
      </c>
      <c r="Q376" s="5">
        <v>1</v>
      </c>
      <c r="R376" s="74">
        <v>38494</v>
      </c>
      <c r="T376" s="5">
        <v>1</v>
      </c>
      <c r="U376" s="5">
        <v>1</v>
      </c>
      <c r="V376" s="5">
        <v>1</v>
      </c>
      <c r="W376" s="5">
        <v>3</v>
      </c>
      <c r="X376" s="5">
        <v>7</v>
      </c>
      <c r="Y376" s="5" t="s">
        <v>2680</v>
      </c>
      <c r="AA376" s="5">
        <v>0</v>
      </c>
      <c r="AB376" s="5">
        <v>0</v>
      </c>
      <c r="AC376" s="5">
        <v>0</v>
      </c>
      <c r="AD376" s="5">
        <v>0</v>
      </c>
      <c r="AE376" s="5">
        <v>0</v>
      </c>
      <c r="AF376" s="5">
        <v>0</v>
      </c>
      <c r="AG376" s="5">
        <v>0</v>
      </c>
      <c r="AH376" s="5" t="s">
        <v>2681</v>
      </c>
      <c r="AI376" s="5" t="s">
        <v>474</v>
      </c>
      <c r="AJ376" s="5" t="s">
        <v>2682</v>
      </c>
      <c r="AK376" s="5">
        <v>610423110069</v>
      </c>
      <c r="AL376" s="5" t="e">
        <f t="shared" si="3"/>
        <v>#VALUE!</v>
      </c>
    </row>
    <row r="377" spans="1:38" ht="12.5">
      <c r="A377" s="10" t="str">
        <f t="shared" si="0"/>
        <v>Syamsul</v>
      </c>
      <c r="B377" s="5">
        <f t="shared" si="1"/>
        <v>610422100131</v>
      </c>
      <c r="C377" s="5" t="str">
        <f t="shared" si="2"/>
        <v>SYAMSUL</v>
      </c>
      <c r="D377" s="5" t="s">
        <v>363</v>
      </c>
      <c r="E377" s="5" t="e">
        <f t="array" ref="E377">INDEX('Master SLS'!$H$2:$H998,MATCH($AL377,'Master SLS'!$K$2:$K998,0))</f>
        <v>#VALUE!</v>
      </c>
      <c r="F377" s="5" t="e">
        <f t="array" ref="F377">INDEX('Master SLS'!$I$2:$I998,MATCH($AL377,'Master SLS'!$K$2:$K998,0))</f>
        <v>#VALUE!</v>
      </c>
      <c r="G377" s="5" t="s">
        <v>2683</v>
      </c>
      <c r="H377" s="5" t="s">
        <v>2684</v>
      </c>
      <c r="I377" s="5" t="s">
        <v>366</v>
      </c>
      <c r="J377" s="5">
        <v>1</v>
      </c>
      <c r="K377" s="5" t="s">
        <v>2685</v>
      </c>
      <c r="L377" s="5">
        <v>61</v>
      </c>
      <c r="M377" s="5">
        <v>4</v>
      </c>
      <c r="N377" s="5">
        <v>110</v>
      </c>
      <c r="O377" s="5">
        <v>6</v>
      </c>
      <c r="P377" s="5" t="s">
        <v>2686</v>
      </c>
      <c r="Q377" s="5">
        <v>1</v>
      </c>
      <c r="R377" s="74">
        <v>31602</v>
      </c>
      <c r="S377" s="5" t="s">
        <v>2687</v>
      </c>
      <c r="T377" s="5">
        <v>1</v>
      </c>
      <c r="U377" s="5">
        <v>1</v>
      </c>
      <c r="V377" s="5">
        <v>2</v>
      </c>
      <c r="W377" s="5">
        <v>3</v>
      </c>
      <c r="X377" s="5">
        <v>5</v>
      </c>
      <c r="AA377" s="5">
        <v>1</v>
      </c>
      <c r="AB377" s="5">
        <v>0</v>
      </c>
      <c r="AC377" s="5">
        <v>1</v>
      </c>
      <c r="AD377" s="5">
        <v>0</v>
      </c>
      <c r="AE377" s="5">
        <v>0</v>
      </c>
      <c r="AF377" s="5">
        <v>1</v>
      </c>
      <c r="AG377" s="5">
        <v>0</v>
      </c>
      <c r="AI377" s="5" t="s">
        <v>366</v>
      </c>
      <c r="AJ377" s="5" t="s">
        <v>2688</v>
      </c>
      <c r="AK377" s="5">
        <v>610422100131</v>
      </c>
      <c r="AL377" s="5" t="e">
        <f t="shared" si="3"/>
        <v>#VALUE!</v>
      </c>
    </row>
    <row r="378" spans="1:38" ht="12.5">
      <c r="A378" s="10" t="str">
        <f t="shared" si="0"/>
        <v>Syamsul Arifin</v>
      </c>
      <c r="B378" s="5">
        <f t="shared" si="1"/>
        <v>610422100038</v>
      </c>
      <c r="C378" s="5" t="str">
        <f t="shared" si="2"/>
        <v>Syamsul Arifin</v>
      </c>
      <c r="D378" s="5" t="s">
        <v>363</v>
      </c>
      <c r="E378" s="5" t="e">
        <f t="array" ref="E378">INDEX('Master SLS'!$H$2:$H998,MATCH($AL378,'Master SLS'!$K$2:$K998,0))</f>
        <v>#VALUE!</v>
      </c>
      <c r="F378" s="5" t="e">
        <f t="array" ref="F378">INDEX('Master SLS'!$I$2:$I998,MATCH($AL378,'Master SLS'!$K$2:$K998,0))</f>
        <v>#VALUE!</v>
      </c>
      <c r="G378" s="5" t="s">
        <v>2689</v>
      </c>
      <c r="H378" s="5" t="s">
        <v>2690</v>
      </c>
      <c r="I378" s="5" t="s">
        <v>366</v>
      </c>
      <c r="J378" s="5">
        <v>1</v>
      </c>
      <c r="K378" s="5" t="s">
        <v>2691</v>
      </c>
      <c r="L378" s="5">
        <v>61</v>
      </c>
      <c r="M378" s="5">
        <v>4</v>
      </c>
      <c r="N378" s="5">
        <v>90</v>
      </c>
      <c r="O378" s="5">
        <v>3</v>
      </c>
      <c r="P378" s="5" t="s">
        <v>2692</v>
      </c>
      <c r="Q378" s="5">
        <v>1</v>
      </c>
      <c r="R378" s="74">
        <v>32378</v>
      </c>
      <c r="S378" s="5" t="s">
        <v>2693</v>
      </c>
      <c r="T378" s="5">
        <v>1</v>
      </c>
      <c r="U378" s="5">
        <v>1</v>
      </c>
      <c r="V378" s="5">
        <v>2</v>
      </c>
      <c r="W378" s="5">
        <v>5</v>
      </c>
      <c r="X378" s="5">
        <v>5</v>
      </c>
      <c r="AA378" s="5">
        <v>1</v>
      </c>
      <c r="AB378" s="5">
        <v>1</v>
      </c>
      <c r="AC378" s="5">
        <v>1</v>
      </c>
      <c r="AD378" s="5">
        <v>1</v>
      </c>
      <c r="AE378" s="5">
        <v>0</v>
      </c>
      <c r="AF378" s="5">
        <v>0</v>
      </c>
      <c r="AG378" s="5">
        <v>0</v>
      </c>
      <c r="AH378" s="5" t="s">
        <v>2694</v>
      </c>
      <c r="AI378" s="5" t="s">
        <v>366</v>
      </c>
      <c r="AJ378" s="5" t="s">
        <v>2695</v>
      </c>
      <c r="AK378" s="5">
        <v>610422100038</v>
      </c>
      <c r="AL378" s="5" t="e">
        <f t="shared" si="3"/>
        <v>#VALUE!</v>
      </c>
    </row>
    <row r="379" spans="1:38" ht="12.5">
      <c r="A379" s="10" t="str">
        <f t="shared" si="0"/>
        <v>Syarifah Desti Pratiwi</v>
      </c>
      <c r="B379" s="5">
        <f t="shared" si="1"/>
        <v>610422040030</v>
      </c>
      <c r="C379" s="5" t="str">
        <f t="shared" si="2"/>
        <v>Syarifah Desti Pratiwi</v>
      </c>
      <c r="D379" s="5" t="s">
        <v>363</v>
      </c>
      <c r="E379" s="5" t="e">
        <f t="array" ref="E379">INDEX('Master SLS'!$H$2:$H998,MATCH($AL379,'Master SLS'!$K$2:$K998,0))</f>
        <v>#VALUE!</v>
      </c>
      <c r="F379" s="5" t="e">
        <f t="array" ref="F379">INDEX('Master SLS'!$I$2:$I998,MATCH($AL379,'Master SLS'!$K$2:$K998,0))</f>
        <v>#VALUE!</v>
      </c>
      <c r="G379" s="5" t="s">
        <v>2696</v>
      </c>
      <c r="H379" s="5" t="s">
        <v>2697</v>
      </c>
      <c r="I379" s="5" t="s">
        <v>366</v>
      </c>
      <c r="J379" s="5">
        <v>1</v>
      </c>
      <c r="K379" s="5" t="s">
        <v>2698</v>
      </c>
      <c r="L379" s="5">
        <v>61</v>
      </c>
      <c r="M379" s="5">
        <v>4</v>
      </c>
      <c r="N379" s="5">
        <v>80</v>
      </c>
      <c r="O379" s="5">
        <v>2</v>
      </c>
      <c r="P379" s="5" t="s">
        <v>2699</v>
      </c>
      <c r="Q379" s="5">
        <v>1</v>
      </c>
      <c r="R379" s="74">
        <v>35038</v>
      </c>
      <c r="S379" s="5" t="s">
        <v>2700</v>
      </c>
      <c r="T379" s="5">
        <v>0</v>
      </c>
      <c r="U379" s="5">
        <v>1</v>
      </c>
      <c r="V379" s="5">
        <v>1</v>
      </c>
      <c r="W379" s="5">
        <v>5</v>
      </c>
      <c r="X379" s="5">
        <v>7</v>
      </c>
      <c r="Y379" s="5" t="s">
        <v>1969</v>
      </c>
      <c r="AA379" s="5">
        <v>1</v>
      </c>
      <c r="AB379" s="5">
        <v>1</v>
      </c>
      <c r="AC379" s="5">
        <v>1</v>
      </c>
      <c r="AD379" s="5">
        <v>0</v>
      </c>
      <c r="AE379" s="5">
        <v>1</v>
      </c>
      <c r="AF379" s="5">
        <v>1</v>
      </c>
      <c r="AG379" s="5">
        <v>0</v>
      </c>
      <c r="AH379" s="5" t="s">
        <v>369</v>
      </c>
      <c r="AI379" s="5" t="s">
        <v>366</v>
      </c>
      <c r="AJ379" s="5" t="s">
        <v>2701</v>
      </c>
      <c r="AK379" s="5">
        <v>610422040030</v>
      </c>
      <c r="AL379" s="5" t="e">
        <f t="shared" si="3"/>
        <v>#VALUE!</v>
      </c>
    </row>
    <row r="380" spans="1:38" ht="12.5">
      <c r="A380" s="10" t="str">
        <f t="shared" si="0"/>
        <v>Syarifah Febriyana</v>
      </c>
      <c r="B380" s="5">
        <f t="shared" si="1"/>
        <v>610423110013</v>
      </c>
      <c r="C380" s="5" t="str">
        <f t="shared" si="2"/>
        <v>SYARIFAH FEBRIYANA</v>
      </c>
      <c r="D380" s="5" t="s">
        <v>363</v>
      </c>
      <c r="E380" s="5" t="e">
        <f t="array" ref="E380">INDEX('Master SLS'!$H$2:$H998,MATCH($AL380,'Master SLS'!$K$2:$K998,0))</f>
        <v>#VALUE!</v>
      </c>
      <c r="F380" s="5" t="e">
        <f t="array" ref="F380">INDEX('Master SLS'!$I$2:$I998,MATCH($AL380,'Master SLS'!$K$2:$K998,0))</f>
        <v>#VALUE!</v>
      </c>
      <c r="G380" s="5" t="s">
        <v>2702</v>
      </c>
      <c r="H380" s="5" t="s">
        <v>2703</v>
      </c>
      <c r="I380" s="5" t="s">
        <v>388</v>
      </c>
      <c r="J380" s="5">
        <v>1</v>
      </c>
      <c r="K380" s="5" t="s">
        <v>2704</v>
      </c>
      <c r="L380" s="5">
        <v>61</v>
      </c>
      <c r="M380" s="5">
        <v>4</v>
      </c>
      <c r="N380" s="5">
        <v>100</v>
      </c>
      <c r="O380" s="5">
        <v>8</v>
      </c>
      <c r="P380" s="5" t="s">
        <v>2705</v>
      </c>
      <c r="Q380" s="5">
        <v>1</v>
      </c>
      <c r="R380" s="74">
        <v>38022</v>
      </c>
      <c r="T380" s="5">
        <v>0</v>
      </c>
      <c r="U380" s="5">
        <v>1</v>
      </c>
      <c r="V380" s="5">
        <v>1</v>
      </c>
      <c r="W380" s="5">
        <v>3</v>
      </c>
      <c r="X380" s="5">
        <v>6</v>
      </c>
      <c r="AA380" s="5">
        <v>0</v>
      </c>
      <c r="AB380" s="5">
        <v>0</v>
      </c>
      <c r="AC380" s="5">
        <v>0</v>
      </c>
      <c r="AD380" s="5">
        <v>0</v>
      </c>
      <c r="AE380" s="5">
        <v>0</v>
      </c>
      <c r="AF380" s="5">
        <v>0</v>
      </c>
      <c r="AG380" s="5">
        <v>0</v>
      </c>
      <c r="AH380" s="5" t="s">
        <v>2706</v>
      </c>
      <c r="AI380" s="5" t="s">
        <v>388</v>
      </c>
      <c r="AJ380" s="5" t="s">
        <v>2707</v>
      </c>
      <c r="AK380" s="5">
        <v>610423110013</v>
      </c>
      <c r="AL380" s="5" t="e">
        <f t="shared" si="3"/>
        <v>#VALUE!</v>
      </c>
    </row>
    <row r="381" spans="1:38" ht="12.5">
      <c r="A381" s="10" t="str">
        <f t="shared" si="0"/>
        <v>Syarifah Meri Wardiani</v>
      </c>
      <c r="B381" s="5">
        <f t="shared" si="1"/>
        <v>610423110023</v>
      </c>
      <c r="C381" s="5" t="str">
        <f t="shared" si="2"/>
        <v>syarifah meri wardiani</v>
      </c>
      <c r="D381" s="5" t="s">
        <v>363</v>
      </c>
      <c r="E381" s="5" t="e">
        <f t="array" ref="E381">INDEX('Master SLS'!$H$2:$H998,MATCH($AL381,'Master SLS'!$K$2:$K998,0))</f>
        <v>#VALUE!</v>
      </c>
      <c r="F381" s="5" t="e">
        <f t="array" ref="F381">INDEX('Master SLS'!$I$2:$I998,MATCH($AL381,'Master SLS'!$K$2:$K998,0))</f>
        <v>#VALUE!</v>
      </c>
      <c r="G381" s="5" t="s">
        <v>2708</v>
      </c>
      <c r="H381" s="5" t="s">
        <v>2709</v>
      </c>
      <c r="I381" s="5" t="s">
        <v>366</v>
      </c>
      <c r="J381" s="5">
        <v>1</v>
      </c>
      <c r="K381" s="5" t="s">
        <v>2710</v>
      </c>
      <c r="L381" s="5">
        <v>61</v>
      </c>
      <c r="M381" s="5">
        <v>4</v>
      </c>
      <c r="N381" s="5">
        <v>110</v>
      </c>
      <c r="O381" s="5">
        <v>6</v>
      </c>
      <c r="P381" s="5" t="s">
        <v>2711</v>
      </c>
      <c r="Q381" s="5">
        <v>1</v>
      </c>
      <c r="R381" s="74">
        <v>36038</v>
      </c>
      <c r="T381" s="5">
        <v>0</v>
      </c>
      <c r="U381" s="5">
        <v>1</v>
      </c>
      <c r="V381" s="5">
        <v>1</v>
      </c>
      <c r="W381" s="5">
        <v>3</v>
      </c>
      <c r="X381" s="5">
        <v>7</v>
      </c>
      <c r="Y381" s="5" t="s">
        <v>2712</v>
      </c>
      <c r="AA381" s="5">
        <v>0</v>
      </c>
      <c r="AB381" s="5">
        <v>0</v>
      </c>
      <c r="AC381" s="5">
        <v>0</v>
      </c>
      <c r="AD381" s="5">
        <v>0</v>
      </c>
      <c r="AE381" s="5">
        <v>0</v>
      </c>
      <c r="AF381" s="5">
        <v>0</v>
      </c>
      <c r="AG381" s="5">
        <v>0</v>
      </c>
      <c r="AI381" s="5" t="s">
        <v>366</v>
      </c>
      <c r="AJ381" s="5" t="s">
        <v>2713</v>
      </c>
      <c r="AK381" s="5">
        <v>610423110023</v>
      </c>
      <c r="AL381" s="5" t="e">
        <f t="shared" si="3"/>
        <v>#VALUE!</v>
      </c>
    </row>
    <row r="382" spans="1:38" ht="12.5">
      <c r="A382" s="10" t="str">
        <f t="shared" si="0"/>
        <v>Syarifah Utari Dewi</v>
      </c>
      <c r="B382" s="5">
        <f t="shared" si="1"/>
        <v>610423110181</v>
      </c>
      <c r="C382" s="5" t="str">
        <f t="shared" si="2"/>
        <v>syarifah utari dewi</v>
      </c>
      <c r="D382" s="5" t="s">
        <v>363</v>
      </c>
      <c r="E382" s="5" t="e">
        <f t="array" ref="E382">INDEX('Master SLS'!$H$2:$H998,MATCH($AL382,'Master SLS'!$K$2:$K998,0))</f>
        <v>#VALUE!</v>
      </c>
      <c r="F382" s="5" t="e">
        <f t="array" ref="F382">INDEX('Master SLS'!$I$2:$I998,MATCH($AL382,'Master SLS'!$K$2:$K998,0))</f>
        <v>#VALUE!</v>
      </c>
      <c r="G382" s="5" t="s">
        <v>2714</v>
      </c>
      <c r="H382" s="5" t="s">
        <v>2715</v>
      </c>
      <c r="I382" s="5" t="s">
        <v>388</v>
      </c>
      <c r="J382" s="5">
        <v>1</v>
      </c>
      <c r="K382" s="5" t="s">
        <v>2716</v>
      </c>
      <c r="L382" s="5">
        <v>61</v>
      </c>
      <c r="M382" s="5">
        <v>4</v>
      </c>
      <c r="N382" s="5">
        <v>101</v>
      </c>
      <c r="O382" s="5">
        <v>7</v>
      </c>
      <c r="P382" s="5" t="s">
        <v>2717</v>
      </c>
      <c r="Q382" s="5">
        <v>1</v>
      </c>
      <c r="R382" s="74">
        <v>37411</v>
      </c>
      <c r="T382" s="5">
        <v>0</v>
      </c>
      <c r="U382" s="5">
        <v>1</v>
      </c>
      <c r="V382" s="5">
        <v>1</v>
      </c>
      <c r="W382" s="5">
        <v>5</v>
      </c>
      <c r="X382" s="5">
        <v>6</v>
      </c>
      <c r="AA382" s="5">
        <v>0</v>
      </c>
      <c r="AB382" s="5">
        <v>0</v>
      </c>
      <c r="AC382" s="5">
        <v>0</v>
      </c>
      <c r="AD382" s="5">
        <v>0</v>
      </c>
      <c r="AE382" s="5">
        <v>0</v>
      </c>
      <c r="AF382" s="5">
        <v>0</v>
      </c>
      <c r="AG382" s="5">
        <v>0</v>
      </c>
      <c r="AI382" s="5" t="s">
        <v>388</v>
      </c>
      <c r="AJ382" s="5" t="s">
        <v>2718</v>
      </c>
      <c r="AK382" s="5">
        <v>610423110181</v>
      </c>
      <c r="AL382" s="5" t="e">
        <f t="shared" si="3"/>
        <v>#VALUE!</v>
      </c>
    </row>
    <row r="383" spans="1:38" ht="12.5">
      <c r="A383" s="10" t="str">
        <f t="shared" si="0"/>
        <v>Tegar Kurniawan</v>
      </c>
      <c r="B383" s="5">
        <f t="shared" si="1"/>
        <v>610423110041</v>
      </c>
      <c r="C383" s="5" t="str">
        <f t="shared" si="2"/>
        <v>Tegar Kurniawan</v>
      </c>
      <c r="D383" s="5" t="s">
        <v>363</v>
      </c>
      <c r="E383" s="5" t="e">
        <f t="array" ref="E383">INDEX('Master SLS'!$H$2:$H998,MATCH($AL383,'Master SLS'!$K$2:$K998,0))</f>
        <v>#VALUE!</v>
      </c>
      <c r="F383" s="5" t="e">
        <f t="array" ref="F383">INDEX('Master SLS'!$I$2:$I998,MATCH($AL383,'Master SLS'!$K$2:$K998,0))</f>
        <v>#VALUE!</v>
      </c>
      <c r="G383" s="5" t="s">
        <v>2719</v>
      </c>
      <c r="H383" s="5" t="s">
        <v>2720</v>
      </c>
      <c r="I383" s="5" t="s">
        <v>366</v>
      </c>
      <c r="J383" s="5">
        <v>1</v>
      </c>
      <c r="K383" s="5" t="s">
        <v>2721</v>
      </c>
      <c r="L383" s="5">
        <v>61</v>
      </c>
      <c r="M383" s="5">
        <v>4</v>
      </c>
      <c r="N383" s="5">
        <v>100</v>
      </c>
      <c r="O383" s="5">
        <v>14</v>
      </c>
      <c r="P383" s="5" t="s">
        <v>2722</v>
      </c>
      <c r="Q383" s="5">
        <v>1</v>
      </c>
      <c r="R383" s="74">
        <v>38357</v>
      </c>
      <c r="T383" s="5">
        <v>1</v>
      </c>
      <c r="U383" s="5">
        <v>1</v>
      </c>
      <c r="V383" s="5">
        <v>1</v>
      </c>
      <c r="W383" s="5">
        <v>3</v>
      </c>
      <c r="X383" s="5">
        <v>5</v>
      </c>
      <c r="AA383" s="5">
        <v>0</v>
      </c>
      <c r="AB383" s="5">
        <v>0</v>
      </c>
      <c r="AC383" s="5">
        <v>0</v>
      </c>
      <c r="AD383" s="5">
        <v>0</v>
      </c>
      <c r="AE383" s="5">
        <v>0</v>
      </c>
      <c r="AF383" s="5">
        <v>0</v>
      </c>
      <c r="AG383" s="5">
        <v>0</v>
      </c>
      <c r="AH383" s="5" t="s">
        <v>2723</v>
      </c>
      <c r="AI383" s="5" t="s">
        <v>366</v>
      </c>
      <c r="AJ383" s="5" t="s">
        <v>2724</v>
      </c>
      <c r="AK383" s="5">
        <v>610423110041</v>
      </c>
      <c r="AL383" s="5" t="e">
        <f t="shared" si="3"/>
        <v>#VALUE!</v>
      </c>
    </row>
    <row r="384" spans="1:38" ht="12.5">
      <c r="A384" s="10" t="str">
        <f t="shared" si="0"/>
        <v>Tesa</v>
      </c>
      <c r="B384" s="5">
        <f t="shared" si="1"/>
        <v>610422100236</v>
      </c>
      <c r="C384" s="5" t="str">
        <f t="shared" si="2"/>
        <v>Tesa</v>
      </c>
      <c r="D384" s="5" t="s">
        <v>363</v>
      </c>
      <c r="E384" s="5" t="e">
        <f t="array" ref="E384">INDEX('Master SLS'!$H$2:$H998,MATCH($AL384,'Master SLS'!$K$2:$K998,0))</f>
        <v>#VALUE!</v>
      </c>
      <c r="F384" s="5" t="e">
        <f t="array" ref="F384">INDEX('Master SLS'!$I$2:$I998,MATCH($AL384,'Master SLS'!$K$2:$K998,0))</f>
        <v>#VALUE!</v>
      </c>
      <c r="G384" s="5" t="s">
        <v>2725</v>
      </c>
      <c r="H384" s="5" t="s">
        <v>2726</v>
      </c>
      <c r="I384" s="5" t="s">
        <v>366</v>
      </c>
      <c r="J384" s="5">
        <v>1</v>
      </c>
      <c r="K384" s="5" t="s">
        <v>2727</v>
      </c>
      <c r="L384" s="5">
        <v>61</v>
      </c>
      <c r="M384" s="5">
        <v>4</v>
      </c>
      <c r="N384" s="5">
        <v>121</v>
      </c>
      <c r="O384" s="5">
        <v>1</v>
      </c>
      <c r="P384" s="5" t="s">
        <v>2728</v>
      </c>
      <c r="Q384" s="5">
        <v>1</v>
      </c>
      <c r="R384" s="74">
        <v>37002</v>
      </c>
      <c r="T384" s="5">
        <v>0</v>
      </c>
      <c r="U384" s="5">
        <v>2</v>
      </c>
      <c r="V384" s="5">
        <v>1</v>
      </c>
      <c r="W384" s="5">
        <v>3</v>
      </c>
      <c r="X384" s="5">
        <v>4</v>
      </c>
      <c r="AA384" s="5">
        <v>1</v>
      </c>
      <c r="AB384" s="5">
        <v>0</v>
      </c>
      <c r="AC384" s="5">
        <v>1</v>
      </c>
      <c r="AD384" s="5">
        <v>1</v>
      </c>
      <c r="AE384" s="5">
        <v>0</v>
      </c>
      <c r="AF384" s="5">
        <v>0</v>
      </c>
      <c r="AG384" s="5">
        <v>0</v>
      </c>
      <c r="AI384" s="5" t="s">
        <v>366</v>
      </c>
      <c r="AJ384" s="5" t="s">
        <v>2729</v>
      </c>
      <c r="AK384" s="5">
        <v>610422100236</v>
      </c>
      <c r="AL384" s="5" t="e">
        <f t="shared" si="3"/>
        <v>#VALUE!</v>
      </c>
    </row>
    <row r="385" spans="1:38" ht="12.5">
      <c r="A385" s="10" t="str">
        <f t="shared" si="0"/>
        <v>Thama Riewanty Oesman</v>
      </c>
      <c r="B385" s="5">
        <f t="shared" si="1"/>
        <v>610423090021</v>
      </c>
      <c r="C385" s="5" t="str">
        <f t="shared" si="2"/>
        <v>Thama Riewanty Oesman</v>
      </c>
      <c r="D385" s="5" t="s">
        <v>363</v>
      </c>
      <c r="E385" s="5" t="e">
        <f t="array" ref="E385">INDEX('Master SLS'!$H$2:$H998,MATCH($AL385,'Master SLS'!$K$2:$K998,0))</f>
        <v>#VALUE!</v>
      </c>
      <c r="F385" s="5" t="e">
        <f t="array" ref="F385">INDEX('Master SLS'!$I$2:$I998,MATCH($AL385,'Master SLS'!$K$2:$K998,0))</f>
        <v>#VALUE!</v>
      </c>
      <c r="G385" s="5" t="s">
        <v>2730</v>
      </c>
      <c r="H385" s="5" t="s">
        <v>2731</v>
      </c>
      <c r="I385" s="5" t="s">
        <v>474</v>
      </c>
      <c r="J385" s="5">
        <v>1</v>
      </c>
      <c r="K385" s="5" t="s">
        <v>2732</v>
      </c>
      <c r="L385" s="5">
        <v>61</v>
      </c>
      <c r="M385" s="5">
        <v>4</v>
      </c>
      <c r="N385" s="5">
        <v>100</v>
      </c>
      <c r="O385" s="5">
        <v>8</v>
      </c>
      <c r="P385" s="5" t="s">
        <v>2733</v>
      </c>
      <c r="Q385" s="5">
        <v>1</v>
      </c>
      <c r="R385" s="74">
        <v>36245</v>
      </c>
      <c r="T385" s="5">
        <v>0</v>
      </c>
      <c r="U385" s="5">
        <v>1</v>
      </c>
      <c r="V385" s="5">
        <v>1</v>
      </c>
      <c r="W385" s="5">
        <v>3</v>
      </c>
      <c r="X385" s="5">
        <v>5</v>
      </c>
      <c r="AA385" s="5">
        <v>1</v>
      </c>
      <c r="AB385" s="5">
        <v>0</v>
      </c>
      <c r="AC385" s="5">
        <v>1</v>
      </c>
      <c r="AD385" s="5">
        <v>0</v>
      </c>
      <c r="AE385" s="5">
        <v>0</v>
      </c>
      <c r="AF385" s="5">
        <v>0</v>
      </c>
      <c r="AG385" s="5">
        <v>0</v>
      </c>
      <c r="AH385" s="5" t="s">
        <v>2734</v>
      </c>
      <c r="AI385" s="5" t="s">
        <v>474</v>
      </c>
      <c r="AJ385" s="5" t="s">
        <v>2735</v>
      </c>
      <c r="AK385" s="5">
        <v>610423090021</v>
      </c>
      <c r="AL385" s="5" t="e">
        <f t="shared" si="3"/>
        <v>#VALUE!</v>
      </c>
    </row>
    <row r="386" spans="1:38" ht="12.5">
      <c r="A386" s="10" t="str">
        <f t="shared" si="0"/>
        <v>Titi Khairunnisa</v>
      </c>
      <c r="B386" s="5">
        <f t="shared" si="1"/>
        <v>610423110144</v>
      </c>
      <c r="C386" s="5" t="str">
        <f t="shared" si="2"/>
        <v>Titi Khairunnisa</v>
      </c>
      <c r="D386" s="5" t="s">
        <v>363</v>
      </c>
      <c r="E386" s="5" t="e">
        <f t="array" ref="E386">INDEX('Master SLS'!$H$2:$H998,MATCH($AL386,'Master SLS'!$K$2:$K998,0))</f>
        <v>#VALUE!</v>
      </c>
      <c r="F386" s="5" t="e">
        <f t="array" ref="F386">INDEX('Master SLS'!$I$2:$I998,MATCH($AL386,'Master SLS'!$K$2:$K998,0))</f>
        <v>#VALUE!</v>
      </c>
      <c r="G386" s="5" t="s">
        <v>2736</v>
      </c>
      <c r="H386" s="5" t="s">
        <v>2737</v>
      </c>
      <c r="I386" s="5" t="s">
        <v>366</v>
      </c>
      <c r="J386" s="5">
        <v>1</v>
      </c>
      <c r="K386" s="5" t="s">
        <v>2738</v>
      </c>
      <c r="L386" s="5">
        <v>61</v>
      </c>
      <c r="M386" s="5">
        <v>4</v>
      </c>
      <c r="N386" s="5">
        <v>81</v>
      </c>
      <c r="O386" s="5">
        <v>3</v>
      </c>
      <c r="P386" s="5" t="s">
        <v>2739</v>
      </c>
      <c r="Q386" s="5">
        <v>1</v>
      </c>
      <c r="R386" s="74">
        <v>35371</v>
      </c>
      <c r="T386" s="5">
        <v>0</v>
      </c>
      <c r="U386" s="5">
        <v>1</v>
      </c>
      <c r="V386" s="5">
        <v>2</v>
      </c>
      <c r="W386" s="5">
        <v>5</v>
      </c>
      <c r="X386" s="5">
        <v>4</v>
      </c>
      <c r="AA386" s="5">
        <v>0</v>
      </c>
      <c r="AB386" s="5">
        <v>0</v>
      </c>
      <c r="AC386" s="5">
        <v>0</v>
      </c>
      <c r="AD386" s="5">
        <v>0</v>
      </c>
      <c r="AE386" s="5">
        <v>0</v>
      </c>
      <c r="AF386" s="5">
        <v>0</v>
      </c>
      <c r="AG386" s="5">
        <v>0</v>
      </c>
      <c r="AI386" s="5" t="s">
        <v>366</v>
      </c>
      <c r="AJ386" s="5" t="s">
        <v>2740</v>
      </c>
      <c r="AK386" s="5">
        <v>610423110144</v>
      </c>
      <c r="AL386" s="5" t="e">
        <f t="shared" si="3"/>
        <v>#VALUE!</v>
      </c>
    </row>
    <row r="387" spans="1:38" ht="12.5">
      <c r="A387" s="10" t="str">
        <f t="shared" si="0"/>
        <v>Tohir</v>
      </c>
      <c r="B387" s="5">
        <f t="shared" si="1"/>
        <v>610423110086</v>
      </c>
      <c r="C387" s="5" t="str">
        <f t="shared" si="2"/>
        <v>TOHIR</v>
      </c>
      <c r="D387" s="5" t="s">
        <v>363</v>
      </c>
      <c r="E387" s="5" t="e">
        <f t="array" ref="E387">INDEX('Master SLS'!$H$2:$H998,MATCH($AL387,'Master SLS'!$K$2:$K998,0))</f>
        <v>#VALUE!</v>
      </c>
      <c r="F387" s="5" t="e">
        <f t="array" ref="F387">INDEX('Master SLS'!$I$2:$I998,MATCH($AL387,'Master SLS'!$K$2:$K998,0))</f>
        <v>#VALUE!</v>
      </c>
      <c r="G387" s="5" t="s">
        <v>2741</v>
      </c>
      <c r="H387" s="5" t="s">
        <v>2742</v>
      </c>
      <c r="I387" s="5" t="s">
        <v>388</v>
      </c>
      <c r="J387" s="5">
        <v>1</v>
      </c>
      <c r="K387" s="5" t="s">
        <v>2743</v>
      </c>
      <c r="L387" s="5">
        <v>61</v>
      </c>
      <c r="M387" s="5">
        <v>4</v>
      </c>
      <c r="N387" s="5">
        <v>101</v>
      </c>
      <c r="O387" s="5">
        <v>2</v>
      </c>
      <c r="P387" s="5" t="s">
        <v>2744</v>
      </c>
      <c r="Q387" s="5">
        <v>1</v>
      </c>
      <c r="R387" s="74">
        <v>34924</v>
      </c>
      <c r="S387" s="5" t="s">
        <v>2745</v>
      </c>
      <c r="T387" s="5">
        <v>1</v>
      </c>
      <c r="U387" s="5">
        <v>1</v>
      </c>
      <c r="V387" s="5">
        <v>1</v>
      </c>
      <c r="W387" s="5">
        <v>3</v>
      </c>
      <c r="X387" s="5">
        <v>5</v>
      </c>
      <c r="AA387" s="5">
        <v>1</v>
      </c>
      <c r="AB387" s="5">
        <v>1</v>
      </c>
      <c r="AC387" s="5">
        <v>0</v>
      </c>
      <c r="AD387" s="5">
        <v>0</v>
      </c>
      <c r="AE387" s="5">
        <v>0</v>
      </c>
      <c r="AF387" s="5">
        <v>0</v>
      </c>
      <c r="AG387" s="5">
        <v>0</v>
      </c>
      <c r="AH387" s="5" t="s">
        <v>2746</v>
      </c>
      <c r="AI387" s="5" t="s">
        <v>388</v>
      </c>
      <c r="AJ387" s="5">
        <v>501195</v>
      </c>
      <c r="AK387" s="5">
        <v>610423110086</v>
      </c>
      <c r="AL387" s="5" t="e">
        <f t="shared" si="3"/>
        <v>#VALUE!</v>
      </c>
    </row>
    <row r="388" spans="1:38" ht="12.5">
      <c r="A388" s="10" t="str">
        <f t="shared" si="0"/>
        <v>Tohir Azis</v>
      </c>
      <c r="B388" s="5">
        <f t="shared" si="1"/>
        <v>610423110179</v>
      </c>
      <c r="C388" s="5" t="str">
        <f t="shared" si="2"/>
        <v>TOHIR AZIS</v>
      </c>
      <c r="D388" s="5" t="s">
        <v>363</v>
      </c>
      <c r="E388" s="5" t="e">
        <f t="array" ref="E388">INDEX('Master SLS'!$H$2:$H998,MATCH($AL388,'Master SLS'!$K$2:$K998,0))</f>
        <v>#VALUE!</v>
      </c>
      <c r="F388" s="5" t="e">
        <f t="array" ref="F388">INDEX('Master SLS'!$I$2:$I998,MATCH($AL388,'Master SLS'!$K$2:$K998,0))</f>
        <v>#VALUE!</v>
      </c>
      <c r="G388" s="5" t="s">
        <v>2747</v>
      </c>
      <c r="H388" s="5" t="s">
        <v>2748</v>
      </c>
      <c r="I388" s="5" t="s">
        <v>366</v>
      </c>
      <c r="J388" s="5">
        <v>1</v>
      </c>
      <c r="K388" s="5" t="s">
        <v>2749</v>
      </c>
      <c r="L388" s="5">
        <v>61</v>
      </c>
      <c r="M388" s="5">
        <v>4</v>
      </c>
      <c r="N388" s="5">
        <v>90</v>
      </c>
      <c r="O388" s="5">
        <v>8</v>
      </c>
      <c r="P388" s="5" t="s">
        <v>2750</v>
      </c>
      <c r="Q388" s="5">
        <v>1</v>
      </c>
      <c r="R388" s="74">
        <v>31264</v>
      </c>
      <c r="S388" s="5" t="s">
        <v>2751</v>
      </c>
      <c r="T388" s="5">
        <v>1</v>
      </c>
      <c r="U388" s="5">
        <v>1</v>
      </c>
      <c r="V388" s="5">
        <v>2</v>
      </c>
      <c r="W388" s="5">
        <v>5</v>
      </c>
      <c r="X388" s="5">
        <v>5</v>
      </c>
      <c r="AA388" s="5">
        <v>1</v>
      </c>
      <c r="AB388" s="5">
        <v>1</v>
      </c>
      <c r="AC388" s="5">
        <v>0</v>
      </c>
      <c r="AD388" s="5">
        <v>0</v>
      </c>
      <c r="AE388" s="5">
        <v>0</v>
      </c>
      <c r="AF388" s="5">
        <v>0</v>
      </c>
      <c r="AG388" s="5">
        <v>0</v>
      </c>
      <c r="AH388" s="5" t="s">
        <v>2752</v>
      </c>
      <c r="AI388" s="5" t="s">
        <v>366</v>
      </c>
      <c r="AJ388" s="5" t="s">
        <v>2753</v>
      </c>
      <c r="AK388" s="5">
        <v>610423110179</v>
      </c>
      <c r="AL388" s="5" t="e">
        <f t="shared" si="3"/>
        <v>#VALUE!</v>
      </c>
    </row>
    <row r="389" spans="1:38" ht="12.5">
      <c r="A389" s="10" t="str">
        <f t="shared" si="0"/>
        <v>Toniatus</v>
      </c>
      <c r="B389" s="5">
        <f t="shared" si="1"/>
        <v>610423110138</v>
      </c>
      <c r="C389" s="5" t="str">
        <f t="shared" si="2"/>
        <v>Toniatus</v>
      </c>
      <c r="D389" s="5" t="s">
        <v>363</v>
      </c>
      <c r="E389" s="5" t="e">
        <f t="array" ref="E389">INDEX('Master SLS'!$H$2:$H998,MATCH($AL389,'Master SLS'!$K$2:$K998,0))</f>
        <v>#VALUE!</v>
      </c>
      <c r="F389" s="5" t="e">
        <f t="array" ref="F389">INDEX('Master SLS'!$I$2:$I998,MATCH($AL389,'Master SLS'!$K$2:$K998,0))</f>
        <v>#VALUE!</v>
      </c>
      <c r="G389" s="5" t="s">
        <v>2754</v>
      </c>
      <c r="H389" s="5" t="s">
        <v>2755</v>
      </c>
      <c r="I389" s="5" t="s">
        <v>388</v>
      </c>
      <c r="J389" s="5">
        <v>1</v>
      </c>
      <c r="K389" s="5" t="s">
        <v>2756</v>
      </c>
      <c r="L389" s="5">
        <v>61</v>
      </c>
      <c r="M389" s="5">
        <v>4</v>
      </c>
      <c r="N389" s="5">
        <v>120</v>
      </c>
      <c r="O389" s="5">
        <v>3</v>
      </c>
      <c r="P389" s="5" t="s">
        <v>2757</v>
      </c>
      <c r="Q389" s="5">
        <v>1</v>
      </c>
      <c r="R389" s="7">
        <v>31027</v>
      </c>
      <c r="T389" s="5">
        <v>1</v>
      </c>
      <c r="U389" s="5">
        <v>3</v>
      </c>
      <c r="V389" s="5">
        <v>3</v>
      </c>
      <c r="W389" s="5">
        <v>5</v>
      </c>
      <c r="X389" s="5">
        <v>7</v>
      </c>
      <c r="Y389" s="5" t="s">
        <v>2758</v>
      </c>
      <c r="AA389" s="5">
        <v>0</v>
      </c>
      <c r="AB389" s="5">
        <v>0</v>
      </c>
      <c r="AC389" s="5">
        <v>0</v>
      </c>
      <c r="AD389" s="5">
        <v>0</v>
      </c>
      <c r="AE389" s="5">
        <v>0</v>
      </c>
      <c r="AF389" s="5">
        <v>0</v>
      </c>
      <c r="AG389" s="5">
        <v>0</v>
      </c>
      <c r="AI389" s="5" t="s">
        <v>388</v>
      </c>
      <c r="AJ389" s="5" t="s">
        <v>2755</v>
      </c>
      <c r="AK389" s="5">
        <v>610423110138</v>
      </c>
      <c r="AL389" s="5" t="e">
        <f t="shared" si="3"/>
        <v>#VALUE!</v>
      </c>
    </row>
    <row r="390" spans="1:38" ht="12.5">
      <c r="A390" s="10" t="str">
        <f t="shared" si="0"/>
        <v>Umar Syahidin</v>
      </c>
      <c r="B390" s="5">
        <f t="shared" si="1"/>
        <v>610423110173</v>
      </c>
      <c r="C390" s="5" t="str">
        <f t="shared" si="2"/>
        <v>Umar syahidin</v>
      </c>
      <c r="D390" s="5" t="s">
        <v>363</v>
      </c>
      <c r="E390" s="5" t="e">
        <f t="array" ref="E390">INDEX('Master SLS'!$H$2:$H998,MATCH($AL390,'Master SLS'!$K$2:$K998,0))</f>
        <v>#VALUE!</v>
      </c>
      <c r="F390" s="5" t="e">
        <f t="array" ref="F390">INDEX('Master SLS'!$I$2:$I998,MATCH($AL390,'Master SLS'!$K$2:$K998,0))</f>
        <v>#VALUE!</v>
      </c>
      <c r="G390" s="5" t="s">
        <v>2759</v>
      </c>
      <c r="H390" s="5" t="s">
        <v>2760</v>
      </c>
      <c r="I390" s="5" t="s">
        <v>388</v>
      </c>
      <c r="J390" s="5">
        <v>1</v>
      </c>
      <c r="K390" s="5" t="s">
        <v>2761</v>
      </c>
      <c r="L390" s="5">
        <v>61</v>
      </c>
      <c r="M390" s="5">
        <v>4</v>
      </c>
      <c r="N390" s="5">
        <v>100</v>
      </c>
      <c r="O390" s="5">
        <v>8</v>
      </c>
      <c r="P390" s="5" t="s">
        <v>2762</v>
      </c>
      <c r="Q390" s="5">
        <v>1</v>
      </c>
      <c r="R390" s="74">
        <v>33063</v>
      </c>
      <c r="T390" s="5">
        <v>1</v>
      </c>
      <c r="U390" s="5">
        <v>1</v>
      </c>
      <c r="V390" s="5">
        <v>2</v>
      </c>
      <c r="W390" s="5">
        <v>5</v>
      </c>
      <c r="X390" s="5">
        <v>5</v>
      </c>
      <c r="AA390" s="5">
        <v>0</v>
      </c>
      <c r="AB390" s="5">
        <v>0</v>
      </c>
      <c r="AC390" s="5">
        <v>0</v>
      </c>
      <c r="AD390" s="5">
        <v>0</v>
      </c>
      <c r="AE390" s="5">
        <v>0</v>
      </c>
      <c r="AF390" s="5">
        <v>0</v>
      </c>
      <c r="AG390" s="5">
        <v>0</v>
      </c>
      <c r="AI390" s="5" t="s">
        <v>388</v>
      </c>
      <c r="AJ390" s="5" t="s">
        <v>2763</v>
      </c>
      <c r="AK390" s="5">
        <v>610423110173</v>
      </c>
      <c r="AL390" s="5" t="e">
        <f t="shared" si="3"/>
        <v>#VALUE!</v>
      </c>
    </row>
    <row r="391" spans="1:38" ht="12.5">
      <c r="A391" s="10" t="str">
        <f t="shared" si="0"/>
        <v>Uswatun Hasanah</v>
      </c>
      <c r="B391" s="5">
        <f t="shared" si="1"/>
        <v>610422100053</v>
      </c>
      <c r="C391" s="5" t="str">
        <f t="shared" si="2"/>
        <v>Uswatun hasanah</v>
      </c>
      <c r="D391" s="5" t="s">
        <v>363</v>
      </c>
      <c r="E391" s="5" t="e">
        <f t="array" ref="E391">INDEX('Master SLS'!$H$2:$H998,MATCH($AL391,'Master SLS'!$K$2:$K998,0))</f>
        <v>#VALUE!</v>
      </c>
      <c r="F391" s="5" t="e">
        <f t="array" ref="F391">INDEX('Master SLS'!$I$2:$I998,MATCH($AL391,'Master SLS'!$K$2:$K998,0))</f>
        <v>#VALUE!</v>
      </c>
      <c r="G391" s="5" t="s">
        <v>2764</v>
      </c>
      <c r="H391" s="5" t="s">
        <v>2765</v>
      </c>
      <c r="I391" s="5" t="s">
        <v>366</v>
      </c>
      <c r="J391" s="5">
        <v>1</v>
      </c>
      <c r="K391" s="5" t="s">
        <v>2766</v>
      </c>
      <c r="L391" s="5">
        <v>61</v>
      </c>
      <c r="M391" s="5">
        <v>4</v>
      </c>
      <c r="N391" s="5">
        <v>90</v>
      </c>
      <c r="O391" s="5">
        <v>3</v>
      </c>
      <c r="P391" s="5" t="s">
        <v>2767</v>
      </c>
      <c r="Q391" s="5">
        <v>1</v>
      </c>
      <c r="R391" s="74">
        <v>37415</v>
      </c>
      <c r="T391" s="5">
        <v>2</v>
      </c>
      <c r="U391" s="5">
        <v>1</v>
      </c>
      <c r="V391" s="5">
        <v>1</v>
      </c>
      <c r="W391" s="5">
        <v>3</v>
      </c>
      <c r="X391" s="5">
        <v>7</v>
      </c>
      <c r="Y391" s="5" t="s">
        <v>553</v>
      </c>
      <c r="AA391" s="5">
        <v>1</v>
      </c>
      <c r="AB391" s="5">
        <v>1</v>
      </c>
      <c r="AC391" s="5">
        <v>1</v>
      </c>
      <c r="AD391" s="5">
        <v>1</v>
      </c>
      <c r="AE391" s="5">
        <v>0</v>
      </c>
      <c r="AF391" s="5">
        <v>0</v>
      </c>
      <c r="AG391" s="5">
        <v>0</v>
      </c>
      <c r="AI391" s="5" t="s">
        <v>366</v>
      </c>
      <c r="AJ391" s="5" t="s">
        <v>2768</v>
      </c>
      <c r="AK391" s="5">
        <v>610422100053</v>
      </c>
      <c r="AL391" s="5" t="e">
        <f t="shared" si="3"/>
        <v>#VALUE!</v>
      </c>
    </row>
    <row r="392" spans="1:38" ht="12.5">
      <c r="A392" s="10" t="str">
        <f t="shared" si="0"/>
        <v>Utami Angraini</v>
      </c>
      <c r="B392" s="5">
        <f t="shared" si="1"/>
        <v>610423090001</v>
      </c>
      <c r="C392" s="5" t="str">
        <f t="shared" si="2"/>
        <v>Utami Angraini</v>
      </c>
      <c r="D392" s="5" t="s">
        <v>363</v>
      </c>
      <c r="E392" s="5" t="e">
        <f t="array" ref="E392">INDEX('Master SLS'!$H$2:$H998,MATCH($AL392,'Master SLS'!$K$2:$K998,0))</f>
        <v>#VALUE!</v>
      </c>
      <c r="F392" s="5" t="e">
        <f t="array" ref="F392">INDEX('Master SLS'!$I$2:$I998,MATCH($AL392,'Master SLS'!$K$2:$K998,0))</f>
        <v>#VALUE!</v>
      </c>
      <c r="G392" s="5" t="s">
        <v>2769</v>
      </c>
      <c r="H392" s="5" t="s">
        <v>2770</v>
      </c>
      <c r="I392" s="5" t="s">
        <v>366</v>
      </c>
      <c r="J392" s="5">
        <v>1</v>
      </c>
      <c r="K392" s="5" t="s">
        <v>2771</v>
      </c>
      <c r="L392" s="5">
        <v>61</v>
      </c>
      <c r="M392" s="5">
        <v>4</v>
      </c>
      <c r="N392" s="5">
        <v>80</v>
      </c>
      <c r="O392" s="5">
        <v>2</v>
      </c>
      <c r="P392" s="5" t="s">
        <v>2772</v>
      </c>
      <c r="Q392" s="5">
        <v>1</v>
      </c>
      <c r="R392" s="7">
        <v>36096</v>
      </c>
      <c r="T392" s="5">
        <v>0</v>
      </c>
      <c r="U392" s="5">
        <v>1</v>
      </c>
      <c r="V392" s="5">
        <v>1</v>
      </c>
      <c r="W392" s="5">
        <v>5</v>
      </c>
      <c r="X392" s="5">
        <v>7</v>
      </c>
      <c r="Y392" s="5" t="s">
        <v>567</v>
      </c>
      <c r="AA392" s="5">
        <v>0</v>
      </c>
      <c r="AB392" s="5">
        <v>0</v>
      </c>
      <c r="AC392" s="5">
        <v>0</v>
      </c>
      <c r="AD392" s="5">
        <v>0</v>
      </c>
      <c r="AE392" s="5">
        <v>0</v>
      </c>
      <c r="AF392" s="5">
        <v>0</v>
      </c>
      <c r="AG392" s="5">
        <v>0</v>
      </c>
      <c r="AI392" s="5" t="s">
        <v>366</v>
      </c>
      <c r="AJ392" s="5" t="s">
        <v>2773</v>
      </c>
      <c r="AK392" s="5">
        <v>610423090001</v>
      </c>
      <c r="AL392" s="5" t="e">
        <f t="shared" si="3"/>
        <v>#VALUE!</v>
      </c>
    </row>
    <row r="393" spans="1:38" ht="12.5">
      <c r="A393" s="10" t="str">
        <f t="shared" si="0"/>
        <v>Utin Apridayani</v>
      </c>
      <c r="B393" s="5">
        <f t="shared" si="1"/>
        <v>610423110004</v>
      </c>
      <c r="C393" s="5" t="str">
        <f t="shared" si="2"/>
        <v>Utin Apridayani</v>
      </c>
      <c r="D393" s="5" t="s">
        <v>363</v>
      </c>
      <c r="E393" s="5" t="e">
        <f t="array" ref="E393">INDEX('Master SLS'!$H$2:$H998,MATCH($AL393,'Master SLS'!$K$2:$K998,0))</f>
        <v>#VALUE!</v>
      </c>
      <c r="F393" s="5" t="e">
        <f t="array" ref="F393">INDEX('Master SLS'!$I$2:$I998,MATCH($AL393,'Master SLS'!$K$2:$K998,0))</f>
        <v>#VALUE!</v>
      </c>
      <c r="G393" s="5" t="s">
        <v>2774</v>
      </c>
      <c r="H393" s="5" t="s">
        <v>2775</v>
      </c>
      <c r="I393" s="5" t="s">
        <v>366</v>
      </c>
      <c r="J393" s="5">
        <v>1</v>
      </c>
      <c r="K393" s="5" t="s">
        <v>2776</v>
      </c>
      <c r="L393" s="5">
        <v>61</v>
      </c>
      <c r="M393" s="5">
        <v>4</v>
      </c>
      <c r="N393" s="5">
        <v>100</v>
      </c>
      <c r="O393" s="5">
        <v>7</v>
      </c>
      <c r="P393" s="5" t="s">
        <v>2777</v>
      </c>
      <c r="Q393" s="5">
        <v>1</v>
      </c>
      <c r="R393" s="7">
        <v>29538</v>
      </c>
      <c r="T393" s="5">
        <v>0</v>
      </c>
      <c r="U393" s="5">
        <v>1</v>
      </c>
      <c r="V393" s="5">
        <v>2</v>
      </c>
      <c r="W393" s="5">
        <v>5</v>
      </c>
      <c r="X393" s="5">
        <v>3</v>
      </c>
      <c r="AA393" s="5">
        <v>0</v>
      </c>
      <c r="AB393" s="5">
        <v>0</v>
      </c>
      <c r="AC393" s="5">
        <v>0</v>
      </c>
      <c r="AD393" s="5">
        <v>0</v>
      </c>
      <c r="AE393" s="5">
        <v>0</v>
      </c>
      <c r="AF393" s="5">
        <v>0</v>
      </c>
      <c r="AG393" s="5">
        <v>0</v>
      </c>
      <c r="AH393" s="5" t="s">
        <v>2778</v>
      </c>
      <c r="AI393" s="5" t="s">
        <v>366</v>
      </c>
      <c r="AJ393" s="5" t="s">
        <v>2779</v>
      </c>
      <c r="AK393" s="5">
        <v>610423110004</v>
      </c>
      <c r="AL393" s="5" t="e">
        <f t="shared" si="3"/>
        <v>#VALUE!</v>
      </c>
    </row>
    <row r="394" spans="1:38" ht="12.5">
      <c r="A394" s="10" t="str">
        <f t="shared" si="0"/>
        <v>Veti Ningsi</v>
      </c>
      <c r="B394" s="5">
        <f t="shared" si="1"/>
        <v>610422040053</v>
      </c>
      <c r="C394" s="5" t="str">
        <f t="shared" si="2"/>
        <v>Veti Ningsi</v>
      </c>
      <c r="D394" s="5" t="s">
        <v>363</v>
      </c>
      <c r="E394" s="5" t="e">
        <f t="array" ref="E394">INDEX('Master SLS'!$H$2:$H998,MATCH($AL394,'Master SLS'!$K$2:$K998,0))</f>
        <v>#VALUE!</v>
      </c>
      <c r="F394" s="5" t="e">
        <f t="array" ref="F394">INDEX('Master SLS'!$I$2:$I998,MATCH($AL394,'Master SLS'!$K$2:$K998,0))</f>
        <v>#VALUE!</v>
      </c>
      <c r="G394" s="5" t="s">
        <v>2780</v>
      </c>
      <c r="H394" s="5" t="s">
        <v>2781</v>
      </c>
      <c r="I394" s="5" t="s">
        <v>366</v>
      </c>
      <c r="J394" s="5">
        <v>1</v>
      </c>
      <c r="K394" s="5" t="s">
        <v>2782</v>
      </c>
      <c r="L394" s="5">
        <v>61</v>
      </c>
      <c r="M394" s="5">
        <v>4</v>
      </c>
      <c r="N394" s="5">
        <v>110</v>
      </c>
      <c r="O394" s="5">
        <v>10</v>
      </c>
      <c r="P394" s="5" t="s">
        <v>2783</v>
      </c>
      <c r="Q394" s="5">
        <v>1</v>
      </c>
      <c r="R394" s="74">
        <v>36997</v>
      </c>
      <c r="T394" s="5">
        <v>0</v>
      </c>
      <c r="U394" s="5">
        <v>1</v>
      </c>
      <c r="V394" s="5">
        <v>1</v>
      </c>
      <c r="W394" s="5">
        <v>3</v>
      </c>
      <c r="X394" s="5">
        <v>6</v>
      </c>
      <c r="AA394" s="5">
        <v>1</v>
      </c>
      <c r="AB394" s="5">
        <v>1</v>
      </c>
      <c r="AC394" s="5">
        <v>1</v>
      </c>
      <c r="AD394" s="5">
        <v>0</v>
      </c>
      <c r="AE394" s="5">
        <v>1</v>
      </c>
      <c r="AF394" s="5">
        <v>1</v>
      </c>
      <c r="AG394" s="5">
        <v>0</v>
      </c>
      <c r="AH394" s="5" t="s">
        <v>1895</v>
      </c>
      <c r="AI394" s="5" t="s">
        <v>366</v>
      </c>
      <c r="AJ394" s="5" t="s">
        <v>2784</v>
      </c>
      <c r="AK394" s="5">
        <v>610422040053</v>
      </c>
      <c r="AL394" s="5" t="e">
        <f t="shared" si="3"/>
        <v>#VALUE!</v>
      </c>
    </row>
    <row r="395" spans="1:38" ht="12.5">
      <c r="A395" s="10" t="str">
        <f t="shared" si="0"/>
        <v>Vicky Maulaya Warsi</v>
      </c>
      <c r="B395" s="5">
        <f t="shared" si="1"/>
        <v>610422020047</v>
      </c>
      <c r="C395" s="5" t="str">
        <f t="shared" si="2"/>
        <v>Vicky Maulaya Warsi</v>
      </c>
      <c r="D395" s="5" t="s">
        <v>363</v>
      </c>
      <c r="E395" s="5" t="e">
        <f t="array" ref="E395">INDEX('Master SLS'!$H$2:$H998,MATCH($AL395,'Master SLS'!$K$2:$K998,0))</f>
        <v>#VALUE!</v>
      </c>
      <c r="F395" s="5" t="e">
        <f t="array" ref="F395">INDEX('Master SLS'!$I$2:$I998,MATCH($AL395,'Master SLS'!$K$2:$K998,0))</f>
        <v>#VALUE!</v>
      </c>
      <c r="G395" s="5" t="s">
        <v>2785</v>
      </c>
      <c r="H395" s="5" t="s">
        <v>2786</v>
      </c>
      <c r="I395" s="5" t="s">
        <v>388</v>
      </c>
      <c r="J395" s="5">
        <v>1</v>
      </c>
      <c r="K395" s="5" t="s">
        <v>2787</v>
      </c>
      <c r="L395" s="5">
        <v>61</v>
      </c>
      <c r="M395" s="5">
        <v>4</v>
      </c>
      <c r="N395" s="5">
        <v>90</v>
      </c>
      <c r="O395" s="5">
        <v>4</v>
      </c>
      <c r="P395" s="5" t="s">
        <v>1527</v>
      </c>
      <c r="Q395" s="5">
        <v>1</v>
      </c>
      <c r="R395" s="74">
        <v>36542</v>
      </c>
      <c r="T395" s="5">
        <v>0</v>
      </c>
      <c r="U395" s="5">
        <v>1</v>
      </c>
      <c r="V395" s="5">
        <v>1</v>
      </c>
      <c r="W395" s="5">
        <v>3</v>
      </c>
      <c r="X395" s="5">
        <v>7</v>
      </c>
      <c r="Y395" s="5" t="s">
        <v>2788</v>
      </c>
      <c r="AA395" s="5">
        <v>1</v>
      </c>
      <c r="AB395" s="5">
        <v>1</v>
      </c>
      <c r="AC395" s="5">
        <v>1</v>
      </c>
      <c r="AD395" s="5">
        <v>0</v>
      </c>
      <c r="AE395" s="5">
        <v>1</v>
      </c>
      <c r="AF395" s="5">
        <v>1</v>
      </c>
      <c r="AG395" s="5">
        <v>0</v>
      </c>
      <c r="AI395" s="5" t="s">
        <v>388</v>
      </c>
      <c r="AJ395" s="5" t="s">
        <v>2789</v>
      </c>
      <c r="AK395" s="5">
        <v>610422020047</v>
      </c>
      <c r="AL395" s="5" t="e">
        <f t="shared" si="3"/>
        <v>#VALUE!</v>
      </c>
    </row>
    <row r="396" spans="1:38" ht="12.5">
      <c r="A396" s="10" t="str">
        <f t="shared" si="0"/>
        <v>Vika Rizkiani</v>
      </c>
      <c r="B396" s="5">
        <f t="shared" si="1"/>
        <v>610422100055</v>
      </c>
      <c r="C396" s="5" t="str">
        <f t="shared" si="2"/>
        <v>Vika Rizkiani</v>
      </c>
      <c r="D396" s="5" t="s">
        <v>363</v>
      </c>
      <c r="E396" s="5" t="e">
        <f t="array" ref="E396">INDEX('Master SLS'!$H$2:$H998,MATCH($AL396,'Master SLS'!$K$2:$K998,0))</f>
        <v>#VALUE!</v>
      </c>
      <c r="F396" s="5" t="e">
        <f t="array" ref="F396">INDEX('Master SLS'!$I$2:$I998,MATCH($AL396,'Master SLS'!$K$2:$K998,0))</f>
        <v>#VALUE!</v>
      </c>
      <c r="G396" s="5" t="s">
        <v>2790</v>
      </c>
      <c r="H396" s="5" t="s">
        <v>2791</v>
      </c>
      <c r="I396" s="5" t="s">
        <v>366</v>
      </c>
      <c r="J396" s="5">
        <v>1</v>
      </c>
      <c r="K396" s="5" t="s">
        <v>2792</v>
      </c>
      <c r="L396" s="5">
        <v>61</v>
      </c>
      <c r="M396" s="5">
        <v>4</v>
      </c>
      <c r="N396" s="5">
        <v>80</v>
      </c>
      <c r="O396" s="5">
        <v>2</v>
      </c>
      <c r="P396" s="5" t="s">
        <v>2793</v>
      </c>
      <c r="Q396" s="5">
        <v>1</v>
      </c>
      <c r="R396" s="74">
        <v>35978</v>
      </c>
      <c r="T396" s="5">
        <v>0</v>
      </c>
      <c r="U396" s="5">
        <v>1</v>
      </c>
      <c r="V396" s="5">
        <v>1</v>
      </c>
      <c r="W396" s="5">
        <v>3</v>
      </c>
      <c r="X396" s="5">
        <v>7</v>
      </c>
      <c r="Y396" s="5" t="s">
        <v>553</v>
      </c>
      <c r="AA396" s="5">
        <v>1</v>
      </c>
      <c r="AB396" s="5">
        <v>0</v>
      </c>
      <c r="AC396" s="5">
        <v>1</v>
      </c>
      <c r="AD396" s="5">
        <v>1</v>
      </c>
      <c r="AE396" s="5">
        <v>0</v>
      </c>
      <c r="AF396" s="5">
        <v>1</v>
      </c>
      <c r="AG396" s="5">
        <v>0</v>
      </c>
      <c r="AI396" s="5" t="s">
        <v>366</v>
      </c>
      <c r="AJ396" s="5" t="s">
        <v>2794</v>
      </c>
      <c r="AK396" s="5">
        <v>610422100055</v>
      </c>
      <c r="AL396" s="5" t="e">
        <f t="shared" si="3"/>
        <v>#VALUE!</v>
      </c>
    </row>
    <row r="397" spans="1:38" ht="12.5">
      <c r="A397" s="10" t="str">
        <f t="shared" si="0"/>
        <v>Vikram Aris Munandar</v>
      </c>
      <c r="B397" s="5">
        <f t="shared" si="1"/>
        <v>610422040045</v>
      </c>
      <c r="C397" s="5" t="str">
        <f t="shared" si="2"/>
        <v>Vikram Aris Munandar</v>
      </c>
      <c r="D397" s="5" t="s">
        <v>363</v>
      </c>
      <c r="E397" s="5" t="e">
        <f t="array" ref="E397">INDEX('Master SLS'!$H$2:$H998,MATCH($AL397,'Master SLS'!$K$2:$K998,0))</f>
        <v>#VALUE!</v>
      </c>
      <c r="F397" s="5" t="e">
        <f t="array" ref="F397">INDEX('Master SLS'!$I$2:$I998,MATCH($AL397,'Master SLS'!$K$2:$K998,0))</f>
        <v>#VALUE!</v>
      </c>
      <c r="G397" s="5" t="s">
        <v>2795</v>
      </c>
      <c r="H397" s="5" t="s">
        <v>2796</v>
      </c>
      <c r="I397" s="5" t="s">
        <v>366</v>
      </c>
      <c r="J397" s="5">
        <v>1</v>
      </c>
      <c r="K397" s="5" t="s">
        <v>2797</v>
      </c>
      <c r="L397" s="5">
        <v>61</v>
      </c>
      <c r="M397" s="5">
        <v>4</v>
      </c>
      <c r="N397" s="5">
        <v>120</v>
      </c>
      <c r="O397" s="5">
        <v>2</v>
      </c>
      <c r="P397" s="5" t="s">
        <v>2798</v>
      </c>
      <c r="Q397" s="5">
        <v>1</v>
      </c>
      <c r="R397" s="7">
        <v>35730</v>
      </c>
      <c r="S397" s="5" t="s">
        <v>2799</v>
      </c>
      <c r="T397" s="5">
        <v>1</v>
      </c>
      <c r="U397" s="5">
        <v>1</v>
      </c>
      <c r="V397" s="5">
        <v>1</v>
      </c>
      <c r="W397" s="5">
        <v>5</v>
      </c>
      <c r="X397" s="5">
        <v>7</v>
      </c>
      <c r="Y397" s="5" t="s">
        <v>746</v>
      </c>
      <c r="AA397" s="5">
        <v>1</v>
      </c>
      <c r="AB397" s="5">
        <v>1</v>
      </c>
      <c r="AC397" s="5">
        <v>0</v>
      </c>
      <c r="AD397" s="5">
        <v>0</v>
      </c>
      <c r="AE397" s="5">
        <v>0</v>
      </c>
      <c r="AF397" s="5">
        <v>0</v>
      </c>
      <c r="AG397" s="5">
        <v>0</v>
      </c>
      <c r="AH397" s="5" t="s">
        <v>2800</v>
      </c>
      <c r="AI397" s="5" t="s">
        <v>366</v>
      </c>
      <c r="AJ397" s="5" t="s">
        <v>2801</v>
      </c>
      <c r="AK397" s="5">
        <v>610422040045</v>
      </c>
      <c r="AL397" s="5" t="e">
        <f t="shared" si="3"/>
        <v>#VALUE!</v>
      </c>
    </row>
    <row r="398" spans="1:38" ht="12.5">
      <c r="A398" s="10" t="str">
        <f t="shared" si="0"/>
        <v>Vikri Manggala</v>
      </c>
      <c r="B398" s="5">
        <f t="shared" si="1"/>
        <v>610423110011</v>
      </c>
      <c r="C398" s="5" t="str">
        <f t="shared" si="2"/>
        <v>Vikri Manggala</v>
      </c>
      <c r="D398" s="5" t="s">
        <v>363</v>
      </c>
      <c r="E398" s="5" t="e">
        <f t="array" ref="E398">INDEX('Master SLS'!$H$2:$H998,MATCH($AL398,'Master SLS'!$K$2:$K998,0))</f>
        <v>#VALUE!</v>
      </c>
      <c r="F398" s="5" t="e">
        <f t="array" ref="F398">INDEX('Master SLS'!$I$2:$I998,MATCH($AL398,'Master SLS'!$K$2:$K998,0))</f>
        <v>#VALUE!</v>
      </c>
      <c r="G398" s="5" t="s">
        <v>2802</v>
      </c>
      <c r="H398" s="5" t="s">
        <v>2803</v>
      </c>
      <c r="I398" s="5" t="s">
        <v>388</v>
      </c>
      <c r="J398" s="5">
        <v>1</v>
      </c>
      <c r="K398" s="5" t="s">
        <v>2804</v>
      </c>
      <c r="L398" s="5">
        <v>61</v>
      </c>
      <c r="M398" s="5">
        <v>4</v>
      </c>
      <c r="N398" s="5">
        <v>80</v>
      </c>
      <c r="O398" s="5">
        <v>4</v>
      </c>
      <c r="P398" s="5" t="s">
        <v>2805</v>
      </c>
      <c r="Q398" s="5">
        <v>1</v>
      </c>
      <c r="R398" s="74">
        <v>36254</v>
      </c>
      <c r="T398" s="5">
        <v>1</v>
      </c>
      <c r="U398" s="5">
        <v>1</v>
      </c>
      <c r="V398" s="5">
        <v>1</v>
      </c>
      <c r="W398" s="5">
        <v>3</v>
      </c>
      <c r="X398" s="5">
        <v>2</v>
      </c>
      <c r="AA398" s="5">
        <v>0</v>
      </c>
      <c r="AB398" s="5">
        <v>0</v>
      </c>
      <c r="AC398" s="5">
        <v>0</v>
      </c>
      <c r="AD398" s="5">
        <v>0</v>
      </c>
      <c r="AE398" s="5">
        <v>0</v>
      </c>
      <c r="AF398" s="5">
        <v>0</v>
      </c>
      <c r="AG398" s="5">
        <v>0</v>
      </c>
      <c r="AI398" s="5" t="s">
        <v>388</v>
      </c>
      <c r="AJ398" s="5" t="s">
        <v>2806</v>
      </c>
      <c r="AK398" s="5">
        <v>610423110011</v>
      </c>
      <c r="AL398" s="5" t="e">
        <f t="shared" si="3"/>
        <v>#VALUE!</v>
      </c>
    </row>
    <row r="399" spans="1:38" ht="12.5">
      <c r="A399" s="10" t="str">
        <f t="shared" si="0"/>
        <v>Vivi Ayu Lestari</v>
      </c>
      <c r="B399" s="5">
        <f t="shared" si="1"/>
        <v>610423090026</v>
      </c>
      <c r="C399" s="5" t="str">
        <f t="shared" si="2"/>
        <v>VIVI AYU LESTARI</v>
      </c>
      <c r="D399" s="5" t="s">
        <v>363</v>
      </c>
      <c r="E399" s="5" t="e">
        <f t="array" ref="E399">INDEX('Master SLS'!$H$2:$H998,MATCH($AL399,'Master SLS'!$K$2:$K998,0))</f>
        <v>#VALUE!</v>
      </c>
      <c r="F399" s="5" t="e">
        <f t="array" ref="F399">INDEX('Master SLS'!$I$2:$I998,MATCH($AL399,'Master SLS'!$K$2:$K998,0))</f>
        <v>#VALUE!</v>
      </c>
      <c r="G399" s="5" t="s">
        <v>2807</v>
      </c>
      <c r="H399" s="5" t="s">
        <v>2808</v>
      </c>
      <c r="I399" s="5" t="s">
        <v>366</v>
      </c>
      <c r="J399" s="5">
        <v>1</v>
      </c>
      <c r="K399" s="5" t="s">
        <v>2809</v>
      </c>
      <c r="L399" s="5">
        <v>61</v>
      </c>
      <c r="M399" s="5">
        <v>4</v>
      </c>
      <c r="N399" s="5">
        <v>101</v>
      </c>
      <c r="O399" s="5">
        <v>7</v>
      </c>
      <c r="P399" s="5" t="s">
        <v>2810</v>
      </c>
      <c r="Q399" s="5">
        <v>1</v>
      </c>
      <c r="R399" s="74">
        <v>36323</v>
      </c>
      <c r="T399" s="5">
        <v>0</v>
      </c>
      <c r="U399" s="5">
        <v>1</v>
      </c>
      <c r="V399" s="5">
        <v>1</v>
      </c>
      <c r="W399" s="5">
        <v>5</v>
      </c>
      <c r="X399" s="5">
        <v>4</v>
      </c>
      <c r="AA399" s="5">
        <v>1</v>
      </c>
      <c r="AB399" s="5">
        <v>0</v>
      </c>
      <c r="AC399" s="5">
        <v>0</v>
      </c>
      <c r="AD399" s="5">
        <v>1</v>
      </c>
      <c r="AE399" s="5">
        <v>1</v>
      </c>
      <c r="AF399" s="5">
        <v>0</v>
      </c>
      <c r="AG399" s="5">
        <v>0</v>
      </c>
      <c r="AI399" s="5" t="s">
        <v>366</v>
      </c>
      <c r="AJ399" s="5" t="s">
        <v>2811</v>
      </c>
      <c r="AK399" s="5">
        <v>610423090026</v>
      </c>
      <c r="AL399" s="5" t="e">
        <f t="shared" si="3"/>
        <v>#VALUE!</v>
      </c>
    </row>
    <row r="400" spans="1:38" ht="12.5">
      <c r="A400" s="10" t="str">
        <f t="shared" si="0"/>
        <v>Wafa</v>
      </c>
      <c r="B400" s="5">
        <f t="shared" si="1"/>
        <v>610422040010</v>
      </c>
      <c r="C400" s="5" t="str">
        <f t="shared" si="2"/>
        <v>Wafa</v>
      </c>
      <c r="D400" s="5" t="s">
        <v>363</v>
      </c>
      <c r="E400" s="5" t="e">
        <f t="array" ref="E400">INDEX('Master SLS'!$H$2:$H998,MATCH($AL400,'Master SLS'!$K$2:$K998,0))</f>
        <v>#VALUE!</v>
      </c>
      <c r="F400" s="5" t="e">
        <f t="array" ref="F400">INDEX('Master SLS'!$I$2:$I998,MATCH($AL400,'Master SLS'!$K$2:$K998,0))</f>
        <v>#VALUE!</v>
      </c>
      <c r="G400" s="5" t="s">
        <v>2812</v>
      </c>
      <c r="H400" s="5" t="s">
        <v>2813</v>
      </c>
      <c r="I400" s="5" t="s">
        <v>388</v>
      </c>
      <c r="J400" s="5">
        <v>1</v>
      </c>
      <c r="K400" s="5" t="s">
        <v>2814</v>
      </c>
      <c r="L400" s="5">
        <v>61</v>
      </c>
      <c r="M400" s="5">
        <v>4</v>
      </c>
      <c r="N400" s="5">
        <v>80</v>
      </c>
      <c r="O400" s="5">
        <v>2</v>
      </c>
      <c r="P400" s="5" t="s">
        <v>2815</v>
      </c>
      <c r="Q400" s="5">
        <v>1</v>
      </c>
      <c r="R400" s="7">
        <v>36825</v>
      </c>
      <c r="T400" s="5">
        <v>1</v>
      </c>
      <c r="U400" s="5">
        <v>1</v>
      </c>
      <c r="V400" s="5">
        <v>1</v>
      </c>
      <c r="W400" s="5">
        <v>3</v>
      </c>
      <c r="X400" s="5">
        <v>6</v>
      </c>
      <c r="AA400" s="5">
        <v>1</v>
      </c>
      <c r="AB400" s="5">
        <v>1</v>
      </c>
      <c r="AC400" s="5">
        <v>1</v>
      </c>
      <c r="AD400" s="5">
        <v>0</v>
      </c>
      <c r="AE400" s="5">
        <v>0</v>
      </c>
      <c r="AF400" s="5">
        <v>0</v>
      </c>
      <c r="AG400" s="5">
        <v>0</v>
      </c>
      <c r="AI400" s="5" t="s">
        <v>388</v>
      </c>
      <c r="AJ400" s="5" t="s">
        <v>2816</v>
      </c>
      <c r="AK400" s="5">
        <v>610422040010</v>
      </c>
      <c r="AL400" s="5" t="e">
        <f t="shared" si="3"/>
        <v>#VALUE!</v>
      </c>
    </row>
    <row r="401" spans="1:38" ht="12.5">
      <c r="A401" s="10" t="str">
        <f t="shared" si="0"/>
        <v>Wahida</v>
      </c>
      <c r="B401" s="5">
        <f t="shared" si="1"/>
        <v>610423110035</v>
      </c>
      <c r="C401" s="5" t="str">
        <f t="shared" si="2"/>
        <v>Wahida</v>
      </c>
      <c r="D401" s="5" t="s">
        <v>363</v>
      </c>
      <c r="E401" s="5" t="e">
        <f t="array" ref="E401">INDEX('Master SLS'!$H$2:$H998,MATCH($AL401,'Master SLS'!$K$2:$K998,0))</f>
        <v>#VALUE!</v>
      </c>
      <c r="F401" s="5" t="e">
        <f t="array" ref="F401">INDEX('Master SLS'!$I$2:$I998,MATCH($AL401,'Master SLS'!$K$2:$K998,0))</f>
        <v>#VALUE!</v>
      </c>
      <c r="G401" s="5" t="s">
        <v>2817</v>
      </c>
      <c r="H401" s="5" t="s">
        <v>2818</v>
      </c>
      <c r="I401" s="5" t="s">
        <v>366</v>
      </c>
      <c r="J401" s="5">
        <v>1</v>
      </c>
      <c r="K401" s="5" t="s">
        <v>2819</v>
      </c>
      <c r="L401" s="5">
        <v>61</v>
      </c>
      <c r="M401" s="5">
        <v>4</v>
      </c>
      <c r="N401" s="5">
        <v>100</v>
      </c>
      <c r="O401" s="5">
        <v>8</v>
      </c>
      <c r="P401" s="5" t="s">
        <v>2820</v>
      </c>
      <c r="Q401" s="5">
        <v>1</v>
      </c>
      <c r="R401" s="74">
        <v>30221</v>
      </c>
      <c r="S401" s="5" t="s">
        <v>2821</v>
      </c>
      <c r="T401" s="5">
        <v>0</v>
      </c>
      <c r="U401" s="5">
        <v>1</v>
      </c>
      <c r="V401" s="5">
        <v>2</v>
      </c>
      <c r="W401" s="5">
        <v>3</v>
      </c>
      <c r="X401" s="5">
        <v>2</v>
      </c>
      <c r="AA401" s="5">
        <v>1</v>
      </c>
      <c r="AB401" s="5">
        <v>1</v>
      </c>
      <c r="AC401" s="5">
        <v>0</v>
      </c>
      <c r="AD401" s="5">
        <v>0</v>
      </c>
      <c r="AE401" s="5">
        <v>0</v>
      </c>
      <c r="AF401" s="5">
        <v>0</v>
      </c>
      <c r="AG401" s="5">
        <v>0</v>
      </c>
      <c r="AH401" s="5" t="s">
        <v>2822</v>
      </c>
      <c r="AI401" s="5" t="s">
        <v>366</v>
      </c>
      <c r="AJ401" s="5" t="s">
        <v>2823</v>
      </c>
      <c r="AK401" s="5">
        <v>610423110035</v>
      </c>
      <c r="AL401" s="5" t="e">
        <f t="shared" si="3"/>
        <v>#VALUE!</v>
      </c>
    </row>
    <row r="402" spans="1:38" ht="12.5">
      <c r="A402" s="10" t="str">
        <f t="shared" si="0"/>
        <v>Wandi Syafari</v>
      </c>
      <c r="B402" s="5">
        <f t="shared" si="1"/>
        <v>610422040056</v>
      </c>
      <c r="C402" s="5" t="str">
        <f t="shared" si="2"/>
        <v>Wandi Syafari</v>
      </c>
      <c r="D402" s="5" t="s">
        <v>363</v>
      </c>
      <c r="E402" s="5" t="e">
        <f t="array" ref="E402">INDEX('Master SLS'!$H$2:$H998,MATCH($AL402,'Master SLS'!$K$2:$K998,0))</f>
        <v>#VALUE!</v>
      </c>
      <c r="F402" s="5" t="e">
        <f t="array" ref="F402">INDEX('Master SLS'!$I$2:$I998,MATCH($AL402,'Master SLS'!$K$2:$K998,0))</f>
        <v>#VALUE!</v>
      </c>
      <c r="G402" s="5" t="s">
        <v>2824</v>
      </c>
      <c r="H402" s="5" t="s">
        <v>2825</v>
      </c>
      <c r="I402" s="5" t="s">
        <v>366</v>
      </c>
      <c r="J402" s="5">
        <v>1</v>
      </c>
      <c r="K402" s="5" t="s">
        <v>2826</v>
      </c>
      <c r="L402" s="5">
        <v>61</v>
      </c>
      <c r="M402" s="5">
        <v>4</v>
      </c>
      <c r="N402" s="5">
        <v>100</v>
      </c>
      <c r="O402" s="5">
        <v>8</v>
      </c>
      <c r="P402" s="5" t="s">
        <v>2181</v>
      </c>
      <c r="Q402" s="5">
        <v>1</v>
      </c>
      <c r="R402" s="74">
        <v>27798</v>
      </c>
      <c r="T402" s="5">
        <v>1</v>
      </c>
      <c r="U402" s="5">
        <v>1</v>
      </c>
      <c r="V402" s="5">
        <v>2</v>
      </c>
      <c r="W402" s="5">
        <v>3</v>
      </c>
      <c r="X402" s="5">
        <v>5</v>
      </c>
      <c r="AA402" s="5">
        <v>1</v>
      </c>
      <c r="AB402" s="5">
        <v>1</v>
      </c>
      <c r="AC402" s="5">
        <v>1</v>
      </c>
      <c r="AD402" s="5">
        <v>1</v>
      </c>
      <c r="AE402" s="5">
        <v>1</v>
      </c>
      <c r="AF402" s="5">
        <v>1</v>
      </c>
      <c r="AG402" s="5">
        <v>1</v>
      </c>
      <c r="AH402" s="5" t="s">
        <v>369</v>
      </c>
      <c r="AI402" s="5" t="s">
        <v>366</v>
      </c>
      <c r="AJ402" s="5" t="s">
        <v>2827</v>
      </c>
      <c r="AK402" s="5">
        <v>610422040056</v>
      </c>
      <c r="AL402" s="5" t="e">
        <f t="shared" si="3"/>
        <v>#VALUE!</v>
      </c>
    </row>
    <row r="403" spans="1:38" ht="12.5">
      <c r="A403" s="10" t="str">
        <f t="shared" si="0"/>
        <v>Wenny Jenmery</v>
      </c>
      <c r="B403" s="5">
        <f t="shared" si="1"/>
        <v>610423110003</v>
      </c>
      <c r="C403" s="5" t="str">
        <f t="shared" si="2"/>
        <v>Wenny Jenmery</v>
      </c>
      <c r="D403" s="5" t="s">
        <v>363</v>
      </c>
      <c r="E403" s="5" t="e">
        <f t="array" ref="E403">INDEX('Master SLS'!$H$2:$H998,MATCH($AL403,'Master SLS'!$K$2:$K998,0))</f>
        <v>#VALUE!</v>
      </c>
      <c r="F403" s="5" t="e">
        <f t="array" ref="F403">INDEX('Master SLS'!$I$2:$I998,MATCH($AL403,'Master SLS'!$K$2:$K998,0))</f>
        <v>#VALUE!</v>
      </c>
      <c r="G403" s="5" t="s">
        <v>2828</v>
      </c>
      <c r="H403" s="5" t="s">
        <v>2829</v>
      </c>
      <c r="I403" s="5" t="s">
        <v>388</v>
      </c>
      <c r="J403" s="5">
        <v>1</v>
      </c>
      <c r="K403" s="5" t="s">
        <v>2830</v>
      </c>
      <c r="L403" s="5">
        <v>61</v>
      </c>
      <c r="M403" s="5">
        <v>4</v>
      </c>
      <c r="N403" s="5">
        <v>100</v>
      </c>
      <c r="O403" s="5">
        <v>8</v>
      </c>
      <c r="P403" s="5" t="s">
        <v>2831</v>
      </c>
      <c r="Q403" s="5">
        <v>2</v>
      </c>
      <c r="R403" s="74">
        <v>28669</v>
      </c>
      <c r="T403" s="5">
        <v>0</v>
      </c>
      <c r="U403" s="5">
        <v>3</v>
      </c>
      <c r="V403" s="5">
        <v>4</v>
      </c>
      <c r="W403" s="5">
        <v>3</v>
      </c>
      <c r="X403" s="5">
        <v>5</v>
      </c>
      <c r="AA403" s="5">
        <v>0</v>
      </c>
      <c r="AB403" s="5">
        <v>0</v>
      </c>
      <c r="AC403" s="5">
        <v>0</v>
      </c>
      <c r="AD403" s="5">
        <v>0</v>
      </c>
      <c r="AE403" s="5">
        <v>0</v>
      </c>
      <c r="AF403" s="5">
        <v>0</v>
      </c>
      <c r="AG403" s="5">
        <v>0</v>
      </c>
      <c r="AI403" s="5" t="s">
        <v>388</v>
      </c>
      <c r="AJ403" s="5" t="s">
        <v>2832</v>
      </c>
      <c r="AK403" s="5">
        <v>610423110003</v>
      </c>
      <c r="AL403" s="5" t="e">
        <f t="shared" si="3"/>
        <v>#VALUE!</v>
      </c>
    </row>
    <row r="404" spans="1:38" ht="12.5">
      <c r="A404" s="10" t="str">
        <f t="shared" si="0"/>
        <v>Widy Rifhaldi</v>
      </c>
      <c r="B404" s="5">
        <f t="shared" si="1"/>
        <v>610423110006</v>
      </c>
      <c r="C404" s="5" t="str">
        <f t="shared" si="2"/>
        <v>WIDY RIFHALDI</v>
      </c>
      <c r="D404" s="5" t="s">
        <v>363</v>
      </c>
      <c r="E404" s="5" t="e">
        <f t="array" ref="E404">INDEX('Master SLS'!$H$2:$H998,MATCH($AL404,'Master SLS'!$K$2:$K998,0))</f>
        <v>#VALUE!</v>
      </c>
      <c r="F404" s="5" t="e">
        <f t="array" ref="F404">INDEX('Master SLS'!$I$2:$I998,MATCH($AL404,'Master SLS'!$K$2:$K998,0))</f>
        <v>#VALUE!</v>
      </c>
      <c r="G404" s="5" t="s">
        <v>2833</v>
      </c>
      <c r="H404" s="5" t="s">
        <v>2834</v>
      </c>
      <c r="I404" s="5" t="s">
        <v>388</v>
      </c>
      <c r="J404" s="5">
        <v>1</v>
      </c>
      <c r="K404" s="5" t="s">
        <v>2835</v>
      </c>
      <c r="L404" s="5">
        <v>61</v>
      </c>
      <c r="M404" s="5">
        <v>4</v>
      </c>
      <c r="N404" s="5">
        <v>90</v>
      </c>
      <c r="O404" s="5">
        <v>3</v>
      </c>
      <c r="P404" s="5" t="s">
        <v>2836</v>
      </c>
      <c r="Q404" s="5">
        <v>1</v>
      </c>
      <c r="R404" s="74">
        <v>34338</v>
      </c>
      <c r="S404" s="5" t="s">
        <v>2837</v>
      </c>
      <c r="T404" s="5">
        <v>1</v>
      </c>
      <c r="U404" s="5">
        <v>1</v>
      </c>
      <c r="V404" s="5">
        <v>2</v>
      </c>
      <c r="W404" s="5">
        <v>4</v>
      </c>
      <c r="X404" s="5">
        <v>7</v>
      </c>
      <c r="Y404" s="5" t="s">
        <v>2838</v>
      </c>
      <c r="AA404" s="5">
        <v>1</v>
      </c>
      <c r="AB404" s="5">
        <v>0</v>
      </c>
      <c r="AC404" s="5">
        <v>1</v>
      </c>
      <c r="AD404" s="5">
        <v>0</v>
      </c>
      <c r="AE404" s="5">
        <v>0</v>
      </c>
      <c r="AF404" s="5">
        <v>0</v>
      </c>
      <c r="AG404" s="5">
        <v>0</v>
      </c>
      <c r="AH404" s="5" t="s">
        <v>2839</v>
      </c>
      <c r="AI404" s="5" t="s">
        <v>388</v>
      </c>
      <c r="AJ404" s="5" t="s">
        <v>2840</v>
      </c>
      <c r="AK404" s="5">
        <v>610423110006</v>
      </c>
      <c r="AL404" s="5" t="e">
        <f t="shared" si="3"/>
        <v>#VALUE!</v>
      </c>
    </row>
    <row r="405" spans="1:38" ht="12.5">
      <c r="A405" s="10" t="str">
        <f t="shared" si="0"/>
        <v>Winda Dwi Ananda</v>
      </c>
      <c r="B405" s="5">
        <f t="shared" si="1"/>
        <v>610422100139</v>
      </c>
      <c r="C405" s="5" t="str">
        <f t="shared" si="2"/>
        <v>Winda Dwi Ananda</v>
      </c>
      <c r="D405" s="5" t="s">
        <v>363</v>
      </c>
      <c r="E405" s="5" t="e">
        <f t="array" ref="E405">INDEX('Master SLS'!$H$2:$H998,MATCH($AL405,'Master SLS'!$K$2:$K998,0))</f>
        <v>#VALUE!</v>
      </c>
      <c r="F405" s="5" t="e">
        <f t="array" ref="F405">INDEX('Master SLS'!$I$2:$I998,MATCH($AL405,'Master SLS'!$K$2:$K998,0))</f>
        <v>#VALUE!</v>
      </c>
      <c r="G405" s="5" t="s">
        <v>2841</v>
      </c>
      <c r="H405" s="5" t="s">
        <v>2842</v>
      </c>
      <c r="I405" s="5" t="s">
        <v>388</v>
      </c>
      <c r="J405" s="5">
        <v>1</v>
      </c>
      <c r="K405" s="5" t="s">
        <v>2843</v>
      </c>
      <c r="L405" s="5">
        <v>61</v>
      </c>
      <c r="M405" s="5">
        <v>4</v>
      </c>
      <c r="N405" s="5">
        <v>100</v>
      </c>
      <c r="O405" s="5">
        <v>13</v>
      </c>
      <c r="P405" s="5" t="s">
        <v>2844</v>
      </c>
      <c r="Q405" s="5">
        <v>1</v>
      </c>
      <c r="R405" s="7">
        <v>36522</v>
      </c>
      <c r="T405" s="5">
        <v>0</v>
      </c>
      <c r="U405" s="5">
        <v>1</v>
      </c>
      <c r="V405" s="5">
        <v>1</v>
      </c>
      <c r="W405" s="5">
        <v>5</v>
      </c>
      <c r="X405" s="5">
        <v>7</v>
      </c>
      <c r="Y405" s="5" t="s">
        <v>567</v>
      </c>
      <c r="AA405" s="5">
        <v>1</v>
      </c>
      <c r="AB405" s="5">
        <v>0</v>
      </c>
      <c r="AC405" s="5">
        <v>0</v>
      </c>
      <c r="AD405" s="5">
        <v>1</v>
      </c>
      <c r="AE405" s="5">
        <v>1</v>
      </c>
      <c r="AF405" s="5">
        <v>0</v>
      </c>
      <c r="AG405" s="5">
        <v>0</v>
      </c>
      <c r="AH405" s="5" t="s">
        <v>2845</v>
      </c>
      <c r="AI405" s="5" t="s">
        <v>388</v>
      </c>
      <c r="AJ405" s="5" t="s">
        <v>2846</v>
      </c>
      <c r="AK405" s="5">
        <v>610422100139</v>
      </c>
      <c r="AL405" s="5" t="e">
        <f t="shared" si="3"/>
        <v>#VALUE!</v>
      </c>
    </row>
    <row r="406" spans="1:38" ht="12.5">
      <c r="A406" s="10" t="str">
        <f t="shared" si="0"/>
        <v>Winten</v>
      </c>
      <c r="B406" s="5">
        <f t="shared" si="1"/>
        <v>610423110142</v>
      </c>
      <c r="C406" s="5" t="str">
        <f t="shared" si="2"/>
        <v>Winten</v>
      </c>
      <c r="D406" s="5" t="s">
        <v>363</v>
      </c>
      <c r="E406" s="5" t="e">
        <f t="array" ref="E406">INDEX('Master SLS'!$H$2:$H998,MATCH($AL406,'Master SLS'!$K$2:$K998,0))</f>
        <v>#VALUE!</v>
      </c>
      <c r="F406" s="5" t="e">
        <f t="array" ref="F406">INDEX('Master SLS'!$I$2:$I998,MATCH($AL406,'Master SLS'!$K$2:$K998,0))</f>
        <v>#VALUE!</v>
      </c>
      <c r="G406" s="5" t="s">
        <v>2847</v>
      </c>
      <c r="H406" s="5" t="s">
        <v>2848</v>
      </c>
      <c r="I406" s="5" t="s">
        <v>366</v>
      </c>
      <c r="J406" s="5">
        <v>1</v>
      </c>
      <c r="K406" s="5" t="s">
        <v>2849</v>
      </c>
      <c r="L406" s="5">
        <v>61</v>
      </c>
      <c r="M406" s="5">
        <v>4</v>
      </c>
      <c r="N406" s="5">
        <v>101</v>
      </c>
      <c r="O406" s="5">
        <v>3</v>
      </c>
      <c r="P406" s="5" t="s">
        <v>2850</v>
      </c>
      <c r="Q406" s="5">
        <v>1</v>
      </c>
      <c r="R406" s="7">
        <v>36078</v>
      </c>
      <c r="T406" s="5">
        <v>0</v>
      </c>
      <c r="U406" s="5">
        <v>1</v>
      </c>
      <c r="V406" s="5">
        <v>1</v>
      </c>
      <c r="W406" s="5">
        <v>5</v>
      </c>
      <c r="X406" s="5">
        <v>7</v>
      </c>
      <c r="Y406" s="5" t="s">
        <v>2851</v>
      </c>
      <c r="AA406" s="5">
        <v>0</v>
      </c>
      <c r="AB406" s="5">
        <v>0</v>
      </c>
      <c r="AC406" s="5">
        <v>0</v>
      </c>
      <c r="AD406" s="5">
        <v>0</v>
      </c>
      <c r="AE406" s="5">
        <v>0</v>
      </c>
      <c r="AF406" s="5">
        <v>0</v>
      </c>
      <c r="AG406" s="5">
        <v>0</v>
      </c>
      <c r="AH406" s="5" t="s">
        <v>2852</v>
      </c>
      <c r="AI406" s="5" t="s">
        <v>366</v>
      </c>
      <c r="AJ406" s="5" t="s">
        <v>2853</v>
      </c>
      <c r="AK406" s="5">
        <v>610423110142</v>
      </c>
      <c r="AL406" s="5" t="e">
        <f t="shared" si="3"/>
        <v>#VALUE!</v>
      </c>
    </row>
    <row r="407" spans="1:38" ht="12.5">
      <c r="A407" s="10" t="str">
        <f t="shared" si="0"/>
        <v>Yanti</v>
      </c>
      <c r="B407" s="5">
        <f t="shared" si="1"/>
        <v>610422100165</v>
      </c>
      <c r="C407" s="5" t="str">
        <f t="shared" si="2"/>
        <v>Yanti</v>
      </c>
      <c r="D407" s="5" t="s">
        <v>363</v>
      </c>
      <c r="E407" s="5" t="e">
        <f t="array" ref="E407">INDEX('Master SLS'!$H$2:$H998,MATCH($AL407,'Master SLS'!$K$2:$K998,0))</f>
        <v>#VALUE!</v>
      </c>
      <c r="F407" s="5" t="e">
        <f t="array" ref="F407">INDEX('Master SLS'!$I$2:$I998,MATCH($AL407,'Master SLS'!$K$2:$K998,0))</f>
        <v>#VALUE!</v>
      </c>
      <c r="G407" s="5" t="s">
        <v>2854</v>
      </c>
      <c r="H407" s="5" t="s">
        <v>2855</v>
      </c>
      <c r="I407" s="5" t="s">
        <v>366</v>
      </c>
      <c r="J407" s="5">
        <v>1</v>
      </c>
      <c r="K407" s="5" t="s">
        <v>2856</v>
      </c>
      <c r="L407" s="5">
        <v>61</v>
      </c>
      <c r="M407" s="5">
        <v>4</v>
      </c>
      <c r="N407" s="5">
        <v>90</v>
      </c>
      <c r="O407" s="5">
        <v>11</v>
      </c>
      <c r="P407" s="5" t="s">
        <v>2857</v>
      </c>
      <c r="Q407" s="5">
        <v>1</v>
      </c>
      <c r="R407" s="74">
        <v>35862</v>
      </c>
      <c r="S407" s="5" t="s">
        <v>2858</v>
      </c>
      <c r="T407" s="5">
        <v>0</v>
      </c>
      <c r="U407" s="5">
        <v>1</v>
      </c>
      <c r="V407" s="5">
        <v>1</v>
      </c>
      <c r="W407" s="5">
        <v>5</v>
      </c>
      <c r="X407" s="5">
        <v>3</v>
      </c>
      <c r="AA407" s="5">
        <v>1</v>
      </c>
      <c r="AB407" s="5">
        <v>0</v>
      </c>
      <c r="AC407" s="5">
        <v>1</v>
      </c>
      <c r="AD407" s="5">
        <v>1</v>
      </c>
      <c r="AE407" s="5">
        <v>0</v>
      </c>
      <c r="AF407" s="5">
        <v>0</v>
      </c>
      <c r="AG407" s="5">
        <v>0</v>
      </c>
      <c r="AH407" s="5" t="s">
        <v>2859</v>
      </c>
      <c r="AI407" s="5" t="s">
        <v>366</v>
      </c>
      <c r="AJ407" s="5" t="s">
        <v>2860</v>
      </c>
      <c r="AK407" s="5">
        <v>610422100165</v>
      </c>
      <c r="AL407" s="5" t="e">
        <f t="shared" si="3"/>
        <v>#VALUE!</v>
      </c>
    </row>
    <row r="408" spans="1:38" ht="12.5">
      <c r="A408" s="10" t="str">
        <f t="shared" si="0"/>
        <v>Yeni Lestari</v>
      </c>
      <c r="B408" s="5">
        <f t="shared" si="1"/>
        <v>610422100105</v>
      </c>
      <c r="C408" s="5" t="str">
        <f t="shared" si="2"/>
        <v>Yeni Lestari</v>
      </c>
      <c r="D408" s="5" t="s">
        <v>363</v>
      </c>
      <c r="E408" s="5" t="e">
        <f t="array" ref="E408">INDEX('Master SLS'!$H$2:$H998,MATCH($AL408,'Master SLS'!$K$2:$K998,0))</f>
        <v>#VALUE!</v>
      </c>
      <c r="F408" s="5" t="e">
        <f t="array" ref="F408">INDEX('Master SLS'!$I$2:$I998,MATCH($AL408,'Master SLS'!$K$2:$K998,0))</f>
        <v>#VALUE!</v>
      </c>
      <c r="G408" s="5" t="s">
        <v>2861</v>
      </c>
      <c r="H408" s="5" t="s">
        <v>2862</v>
      </c>
      <c r="I408" s="5" t="s">
        <v>388</v>
      </c>
      <c r="J408" s="5">
        <v>1</v>
      </c>
      <c r="K408" s="5" t="s">
        <v>2863</v>
      </c>
      <c r="L408" s="5">
        <v>61</v>
      </c>
      <c r="M408" s="5">
        <v>4</v>
      </c>
      <c r="N408" s="5">
        <v>101</v>
      </c>
      <c r="O408" s="5">
        <v>6</v>
      </c>
      <c r="P408" s="5" t="s">
        <v>2864</v>
      </c>
      <c r="Q408" s="5">
        <v>1</v>
      </c>
      <c r="R408" s="74">
        <v>36266</v>
      </c>
      <c r="S408" s="5" t="s">
        <v>2865</v>
      </c>
      <c r="T408" s="5">
        <v>0</v>
      </c>
      <c r="U408" s="5">
        <v>1</v>
      </c>
      <c r="V408" s="5">
        <v>1</v>
      </c>
      <c r="W408" s="5">
        <v>5</v>
      </c>
      <c r="X408" s="5">
        <v>6</v>
      </c>
      <c r="AA408" s="5">
        <v>1</v>
      </c>
      <c r="AB408" s="5">
        <v>0</v>
      </c>
      <c r="AC408" s="5">
        <v>0</v>
      </c>
      <c r="AD408" s="5">
        <v>1</v>
      </c>
      <c r="AE408" s="5">
        <v>0</v>
      </c>
      <c r="AF408" s="5">
        <v>0</v>
      </c>
      <c r="AG408" s="5">
        <v>0</v>
      </c>
      <c r="AH408" s="5" t="s">
        <v>2866</v>
      </c>
      <c r="AI408" s="5" t="s">
        <v>388</v>
      </c>
      <c r="AJ408" s="5" t="s">
        <v>2867</v>
      </c>
      <c r="AK408" s="5">
        <v>610422100105</v>
      </c>
      <c r="AL408" s="5" t="e">
        <f t="shared" si="3"/>
        <v>#VALUE!</v>
      </c>
    </row>
    <row r="409" spans="1:38" ht="12.5">
      <c r="A409" s="10" t="str">
        <f t="shared" si="0"/>
        <v>Yeni Rianti</v>
      </c>
      <c r="B409" s="5">
        <f t="shared" si="1"/>
        <v>610422100257</v>
      </c>
      <c r="C409" s="5" t="str">
        <f t="shared" si="2"/>
        <v>Yeni rianti</v>
      </c>
      <c r="D409" s="5" t="s">
        <v>363</v>
      </c>
      <c r="E409" s="5" t="e">
        <f t="array" ref="E409">INDEX('Master SLS'!$H$2:$H998,MATCH($AL409,'Master SLS'!$K$2:$K998,0))</f>
        <v>#VALUE!</v>
      </c>
      <c r="F409" s="5" t="e">
        <f t="array" ref="F409">INDEX('Master SLS'!$I$2:$I998,MATCH($AL409,'Master SLS'!$K$2:$K998,0))</f>
        <v>#VALUE!</v>
      </c>
      <c r="G409" s="5" t="s">
        <v>2868</v>
      </c>
      <c r="H409" s="5" t="s">
        <v>2869</v>
      </c>
      <c r="I409" s="5" t="s">
        <v>366</v>
      </c>
      <c r="J409" s="5">
        <v>1</v>
      </c>
      <c r="K409" s="5" t="s">
        <v>2870</v>
      </c>
      <c r="L409" s="5">
        <v>61</v>
      </c>
      <c r="M409" s="5">
        <v>4</v>
      </c>
      <c r="N409" s="5">
        <v>120</v>
      </c>
      <c r="O409" s="5">
        <v>8</v>
      </c>
      <c r="P409" s="5" t="s">
        <v>2871</v>
      </c>
      <c r="Q409" s="5">
        <v>1</v>
      </c>
      <c r="R409" s="7">
        <v>35019</v>
      </c>
      <c r="T409" s="5">
        <v>0</v>
      </c>
      <c r="U409" s="5">
        <v>3</v>
      </c>
      <c r="V409" s="5">
        <v>1</v>
      </c>
      <c r="W409" s="5">
        <v>3</v>
      </c>
      <c r="X409" s="5">
        <v>7</v>
      </c>
      <c r="Y409" s="5" t="s">
        <v>2872</v>
      </c>
      <c r="AA409" s="5">
        <v>1</v>
      </c>
      <c r="AB409" s="5">
        <v>0</v>
      </c>
      <c r="AC409" s="5">
        <v>1</v>
      </c>
      <c r="AD409" s="5">
        <v>0</v>
      </c>
      <c r="AE409" s="5">
        <v>0</v>
      </c>
      <c r="AF409" s="5">
        <v>0</v>
      </c>
      <c r="AG409" s="5">
        <v>0</v>
      </c>
      <c r="AH409" s="5" t="s">
        <v>2873</v>
      </c>
      <c r="AI409" s="5" t="s">
        <v>366</v>
      </c>
      <c r="AJ409" s="5" t="s">
        <v>2874</v>
      </c>
      <c r="AK409" s="5">
        <v>610422100257</v>
      </c>
      <c r="AL409" s="5" t="e">
        <f t="shared" si="3"/>
        <v>#VALUE!</v>
      </c>
    </row>
    <row r="410" spans="1:38" ht="12.5">
      <c r="A410" s="10" t="str">
        <f t="shared" si="0"/>
        <v>Yenni</v>
      </c>
      <c r="B410" s="5">
        <f t="shared" si="1"/>
        <v>610423110119</v>
      </c>
      <c r="C410" s="5" t="str">
        <f t="shared" si="2"/>
        <v>YENNI</v>
      </c>
      <c r="D410" s="5" t="s">
        <v>363</v>
      </c>
      <c r="E410" s="5" t="e">
        <f t="array" ref="E410">INDEX('Master SLS'!$H$2:$H998,MATCH($AL410,'Master SLS'!$K$2:$K998,0))</f>
        <v>#VALUE!</v>
      </c>
      <c r="F410" s="5" t="e">
        <f t="array" ref="F410">INDEX('Master SLS'!$I$2:$I998,MATCH($AL410,'Master SLS'!$K$2:$K998,0))</f>
        <v>#VALUE!</v>
      </c>
      <c r="G410" s="5" t="s">
        <v>2875</v>
      </c>
      <c r="H410" s="5" t="s">
        <v>2876</v>
      </c>
      <c r="I410" s="5" t="s">
        <v>474</v>
      </c>
      <c r="J410" s="5">
        <v>1</v>
      </c>
      <c r="K410" s="5" t="s">
        <v>2877</v>
      </c>
      <c r="L410" s="5">
        <v>61</v>
      </c>
      <c r="M410" s="5">
        <v>4</v>
      </c>
      <c r="N410" s="5">
        <v>90</v>
      </c>
      <c r="O410" s="5">
        <v>9</v>
      </c>
      <c r="P410" s="5" t="s">
        <v>2878</v>
      </c>
      <c r="Q410" s="5">
        <v>1</v>
      </c>
      <c r="R410" s="74">
        <v>35328</v>
      </c>
      <c r="T410" s="5">
        <v>0</v>
      </c>
      <c r="U410" s="5">
        <v>1</v>
      </c>
      <c r="V410" s="5">
        <v>1</v>
      </c>
      <c r="W410" s="5">
        <v>5</v>
      </c>
      <c r="X410" s="5">
        <v>5</v>
      </c>
      <c r="AA410" s="5">
        <v>1</v>
      </c>
      <c r="AB410" s="5">
        <v>1</v>
      </c>
      <c r="AC410" s="5">
        <v>0</v>
      </c>
      <c r="AD410" s="5">
        <v>0</v>
      </c>
      <c r="AE410" s="5">
        <v>0</v>
      </c>
      <c r="AF410" s="5">
        <v>0</v>
      </c>
      <c r="AG410" s="5">
        <v>0</v>
      </c>
      <c r="AH410" s="5" t="s">
        <v>2879</v>
      </c>
      <c r="AI410" s="5" t="s">
        <v>474</v>
      </c>
      <c r="AJ410" s="5" t="s">
        <v>2880</v>
      </c>
      <c r="AK410" s="5">
        <v>610423110119</v>
      </c>
      <c r="AL410" s="5" t="e">
        <f t="shared" si="3"/>
        <v>#VALUE!</v>
      </c>
    </row>
    <row r="411" spans="1:38" ht="12.5">
      <c r="A411" s="10" t="str">
        <f t="shared" si="0"/>
        <v>Yeshika Rachelya Riani</v>
      </c>
      <c r="B411" s="5">
        <f t="shared" si="1"/>
        <v>610423110193</v>
      </c>
      <c r="C411" s="5" t="str">
        <f t="shared" si="2"/>
        <v>YESHIKA RACHELYA RIANI</v>
      </c>
      <c r="D411" s="5" t="s">
        <v>363</v>
      </c>
      <c r="E411" s="5" t="e">
        <f t="array" ref="E411">INDEX('Master SLS'!$H$2:$H998,MATCH($AL411,'Master SLS'!$K$2:$K998,0))</f>
        <v>#VALUE!</v>
      </c>
      <c r="F411" s="5" t="e">
        <f t="array" ref="F411">INDEX('Master SLS'!$I$2:$I998,MATCH($AL411,'Master SLS'!$K$2:$K998,0))</f>
        <v>#VALUE!</v>
      </c>
      <c r="G411" s="5" t="s">
        <v>2881</v>
      </c>
      <c r="H411" s="5" t="s">
        <v>2882</v>
      </c>
      <c r="I411" s="5" t="s">
        <v>366</v>
      </c>
      <c r="J411" s="5">
        <v>1</v>
      </c>
      <c r="K411" s="5" t="s">
        <v>2883</v>
      </c>
      <c r="L411" s="5">
        <v>61</v>
      </c>
      <c r="M411" s="5">
        <v>4</v>
      </c>
      <c r="N411" s="5">
        <v>91</v>
      </c>
      <c r="O411" s="5">
        <v>3</v>
      </c>
      <c r="P411" s="5" t="s">
        <v>2884</v>
      </c>
      <c r="Q411" s="5">
        <v>1</v>
      </c>
      <c r="R411" s="74">
        <v>35607</v>
      </c>
      <c r="S411" s="5" t="s">
        <v>2885</v>
      </c>
      <c r="T411" s="5">
        <v>0</v>
      </c>
      <c r="U411" s="5">
        <v>2</v>
      </c>
      <c r="V411" s="5">
        <v>1</v>
      </c>
      <c r="W411" s="5">
        <v>5</v>
      </c>
      <c r="X411" s="5">
        <v>5</v>
      </c>
      <c r="AA411" s="5">
        <v>1</v>
      </c>
      <c r="AB411" s="5">
        <v>1</v>
      </c>
      <c r="AC411" s="5">
        <v>0</v>
      </c>
      <c r="AD411" s="5">
        <v>0</v>
      </c>
      <c r="AE411" s="5">
        <v>0</v>
      </c>
      <c r="AF411" s="5">
        <v>0</v>
      </c>
      <c r="AG411" s="5">
        <v>0</v>
      </c>
      <c r="AI411" s="5" t="s">
        <v>366</v>
      </c>
      <c r="AJ411" s="5" t="s">
        <v>2886</v>
      </c>
      <c r="AK411" s="5">
        <v>610423110193</v>
      </c>
      <c r="AL411" s="5" t="e">
        <f t="shared" si="3"/>
        <v>#VALUE!</v>
      </c>
    </row>
    <row r="412" spans="1:38" ht="12.5">
      <c r="A412" s="10" t="str">
        <f t="shared" si="0"/>
        <v>Yona Thessia</v>
      </c>
      <c r="B412" s="5">
        <f t="shared" si="1"/>
        <v>610423110097</v>
      </c>
      <c r="C412" s="5" t="str">
        <f t="shared" si="2"/>
        <v>Yona Thessia</v>
      </c>
      <c r="D412" s="5" t="s">
        <v>363</v>
      </c>
      <c r="E412" s="5" t="e">
        <f t="array" ref="E412">INDEX('Master SLS'!$H$2:$H998,MATCH($AL412,'Master SLS'!$K$2:$K998,0))</f>
        <v>#VALUE!</v>
      </c>
      <c r="F412" s="5" t="e">
        <f t="array" ref="F412">INDEX('Master SLS'!$I$2:$I998,MATCH($AL412,'Master SLS'!$K$2:$K998,0))</f>
        <v>#VALUE!</v>
      </c>
      <c r="G412" s="5" t="s">
        <v>2887</v>
      </c>
      <c r="H412" s="5" t="s">
        <v>2888</v>
      </c>
      <c r="I412" s="5" t="s">
        <v>366</v>
      </c>
      <c r="J412" s="5">
        <v>1</v>
      </c>
      <c r="K412" s="5" t="s">
        <v>2889</v>
      </c>
      <c r="L412" s="5">
        <v>61</v>
      </c>
      <c r="M412" s="5">
        <v>4</v>
      </c>
      <c r="N412" s="5">
        <v>91</v>
      </c>
      <c r="O412" s="5">
        <v>6</v>
      </c>
      <c r="P412" s="5" t="s">
        <v>2890</v>
      </c>
      <c r="Q412" s="5">
        <v>1</v>
      </c>
      <c r="R412" s="74">
        <v>35812</v>
      </c>
      <c r="T412" s="5">
        <v>0</v>
      </c>
      <c r="U412" s="5">
        <v>2</v>
      </c>
      <c r="V412" s="5">
        <v>1</v>
      </c>
      <c r="W412" s="5">
        <v>5</v>
      </c>
      <c r="X412" s="5">
        <v>7</v>
      </c>
      <c r="Y412" s="5" t="s">
        <v>553</v>
      </c>
      <c r="AA412" s="5">
        <v>0</v>
      </c>
      <c r="AB412" s="5">
        <v>0</v>
      </c>
      <c r="AC412" s="5">
        <v>0</v>
      </c>
      <c r="AD412" s="5">
        <v>0</v>
      </c>
      <c r="AE412" s="5">
        <v>0</v>
      </c>
      <c r="AF412" s="5">
        <v>0</v>
      </c>
      <c r="AG412" s="5">
        <v>0</v>
      </c>
      <c r="AI412" s="5" t="s">
        <v>366</v>
      </c>
      <c r="AJ412" s="5" t="s">
        <v>2891</v>
      </c>
      <c r="AK412" s="5">
        <v>610423110097</v>
      </c>
      <c r="AL412" s="5" t="e">
        <f t="shared" si="3"/>
        <v>#VALUE!</v>
      </c>
    </row>
    <row r="413" spans="1:38" ht="12.5">
      <c r="A413" s="10" t="str">
        <f t="shared" si="0"/>
        <v>Yotta Lutfi Yanta</v>
      </c>
      <c r="B413" s="5">
        <f t="shared" si="1"/>
        <v>610423110022</v>
      </c>
      <c r="C413" s="5" t="str">
        <f t="shared" si="2"/>
        <v>Yotta Lutfi Yanta</v>
      </c>
      <c r="D413" s="5" t="s">
        <v>363</v>
      </c>
      <c r="E413" s="5" t="e">
        <f t="array" ref="E413">INDEX('Master SLS'!$H$2:$H998,MATCH($AL413,'Master SLS'!$K$2:$K998,0))</f>
        <v>#VALUE!</v>
      </c>
      <c r="F413" s="5" t="e">
        <f t="array" ref="F413">INDEX('Master SLS'!$I$2:$I998,MATCH($AL413,'Master SLS'!$K$2:$K998,0))</f>
        <v>#VALUE!</v>
      </c>
      <c r="G413" s="5" t="s">
        <v>2892</v>
      </c>
      <c r="H413" s="5" t="s">
        <v>2893</v>
      </c>
      <c r="I413" s="5" t="s">
        <v>366</v>
      </c>
      <c r="J413" s="5">
        <v>1</v>
      </c>
      <c r="K413" s="5" t="s">
        <v>2894</v>
      </c>
      <c r="L413" s="5">
        <v>61</v>
      </c>
      <c r="M413" s="5">
        <v>4</v>
      </c>
      <c r="N413" s="5">
        <v>100</v>
      </c>
      <c r="O413" s="5">
        <v>8</v>
      </c>
      <c r="P413" s="5" t="s">
        <v>2895</v>
      </c>
      <c r="Q413" s="5">
        <v>1</v>
      </c>
      <c r="R413" s="74">
        <v>33821</v>
      </c>
      <c r="T413" s="5">
        <v>1</v>
      </c>
      <c r="U413" s="5">
        <v>1</v>
      </c>
      <c r="V413" s="5">
        <v>2</v>
      </c>
      <c r="W413" s="5">
        <v>3</v>
      </c>
      <c r="X413" s="5">
        <v>5</v>
      </c>
      <c r="AA413" s="5">
        <v>0</v>
      </c>
      <c r="AB413" s="5">
        <v>0</v>
      </c>
      <c r="AC413" s="5">
        <v>0</v>
      </c>
      <c r="AD413" s="5">
        <v>0</v>
      </c>
      <c r="AE413" s="5">
        <v>0</v>
      </c>
      <c r="AF413" s="5">
        <v>0</v>
      </c>
      <c r="AG413" s="5">
        <v>0</v>
      </c>
      <c r="AH413" s="5" t="s">
        <v>2896</v>
      </c>
      <c r="AI413" s="5" t="s">
        <v>366</v>
      </c>
      <c r="AJ413" s="5" t="s">
        <v>2897</v>
      </c>
      <c r="AK413" s="5">
        <v>610423110022</v>
      </c>
      <c r="AL413" s="5" t="e">
        <f t="shared" si="3"/>
        <v>#VALUE!</v>
      </c>
    </row>
    <row r="414" spans="1:38" ht="12.5">
      <c r="A414" s="10" t="str">
        <f t="shared" si="0"/>
        <v>Yudi Wahyudi</v>
      </c>
      <c r="B414" s="5">
        <f t="shared" si="1"/>
        <v>610422040062</v>
      </c>
      <c r="C414" s="5" t="str">
        <f t="shared" si="2"/>
        <v>Yudi Wahyudi</v>
      </c>
      <c r="D414" s="5" t="s">
        <v>363</v>
      </c>
      <c r="E414" s="5" t="e">
        <f t="array" ref="E414">INDEX('Master SLS'!$H$2:$H998,MATCH($AL414,'Master SLS'!$K$2:$K998,0))</f>
        <v>#VALUE!</v>
      </c>
      <c r="F414" s="5" t="e">
        <f t="array" ref="F414">INDEX('Master SLS'!$I$2:$I998,MATCH($AL414,'Master SLS'!$K$2:$K998,0))</f>
        <v>#VALUE!</v>
      </c>
      <c r="G414" s="5" t="s">
        <v>2898</v>
      </c>
      <c r="H414" s="5" t="s">
        <v>2899</v>
      </c>
      <c r="I414" s="5" t="s">
        <v>366</v>
      </c>
      <c r="J414" s="5">
        <v>1</v>
      </c>
      <c r="K414" s="5" t="s">
        <v>2900</v>
      </c>
      <c r="L414" s="5">
        <v>61</v>
      </c>
      <c r="M414" s="5">
        <v>4</v>
      </c>
      <c r="N414" s="5">
        <v>90</v>
      </c>
      <c r="O414" s="5">
        <v>11</v>
      </c>
      <c r="P414" s="5" t="s">
        <v>2901</v>
      </c>
      <c r="Q414" s="5">
        <v>1</v>
      </c>
      <c r="R414" s="74">
        <v>29359</v>
      </c>
      <c r="S414" s="5" t="s">
        <v>2902</v>
      </c>
      <c r="T414" s="5">
        <v>1</v>
      </c>
      <c r="U414" s="5">
        <v>1</v>
      </c>
      <c r="V414" s="5">
        <v>2</v>
      </c>
      <c r="W414" s="5">
        <v>3</v>
      </c>
      <c r="X414" s="5">
        <v>5</v>
      </c>
      <c r="AA414" s="5">
        <v>1</v>
      </c>
      <c r="AB414" s="5">
        <v>1</v>
      </c>
      <c r="AC414" s="5">
        <v>1</v>
      </c>
      <c r="AD414" s="5">
        <v>0</v>
      </c>
      <c r="AE414" s="5">
        <v>1</v>
      </c>
      <c r="AF414" s="5">
        <v>1</v>
      </c>
      <c r="AG414" s="5">
        <v>1</v>
      </c>
      <c r="AH414" s="5" t="s">
        <v>2903</v>
      </c>
      <c r="AI414" s="5" t="s">
        <v>366</v>
      </c>
      <c r="AJ414" s="5" t="s">
        <v>2904</v>
      </c>
      <c r="AK414" s="5">
        <v>610422040062</v>
      </c>
      <c r="AL414" s="5" t="e">
        <f t="shared" si="3"/>
        <v>#VALUE!</v>
      </c>
    </row>
    <row r="415" spans="1:38" ht="12.5">
      <c r="A415" s="10" t="str">
        <f t="shared" si="0"/>
        <v>Yuli Amelia</v>
      </c>
      <c r="B415" s="5">
        <f t="shared" si="1"/>
        <v>610422100126</v>
      </c>
      <c r="C415" s="5" t="str">
        <f t="shared" si="2"/>
        <v>Yuli Amelia</v>
      </c>
      <c r="D415" s="5" t="s">
        <v>363</v>
      </c>
      <c r="E415" s="5" t="e">
        <f t="array" ref="E415">INDEX('Master SLS'!$H$2:$H998,MATCH($AL415,'Master SLS'!$K$2:$K998,0))</f>
        <v>#VALUE!</v>
      </c>
      <c r="F415" s="5" t="e">
        <f t="array" ref="F415">INDEX('Master SLS'!$I$2:$I998,MATCH($AL415,'Master SLS'!$K$2:$K998,0))</f>
        <v>#VALUE!</v>
      </c>
      <c r="G415" s="5" t="s">
        <v>2905</v>
      </c>
      <c r="H415" s="5" t="s">
        <v>2906</v>
      </c>
      <c r="I415" s="5" t="s">
        <v>388</v>
      </c>
      <c r="J415" s="5">
        <v>1</v>
      </c>
      <c r="K415" s="5" t="s">
        <v>2907</v>
      </c>
      <c r="L415" s="5">
        <v>61</v>
      </c>
      <c r="M415" s="5">
        <v>4</v>
      </c>
      <c r="N415" s="5">
        <v>80</v>
      </c>
      <c r="O415" s="5">
        <v>4</v>
      </c>
      <c r="P415" s="5" t="s">
        <v>2908</v>
      </c>
      <c r="Q415" s="5">
        <v>1</v>
      </c>
      <c r="R415" s="74">
        <v>36716</v>
      </c>
      <c r="T415" s="5">
        <v>0</v>
      </c>
      <c r="U415" s="5">
        <v>1</v>
      </c>
      <c r="V415" s="5">
        <v>1</v>
      </c>
      <c r="W415" s="5">
        <v>4</v>
      </c>
      <c r="X415" s="5">
        <v>7</v>
      </c>
      <c r="Y415" s="5" t="s">
        <v>647</v>
      </c>
      <c r="AA415" s="5">
        <v>1</v>
      </c>
      <c r="AB415" s="5">
        <v>1</v>
      </c>
      <c r="AC415" s="5">
        <v>0</v>
      </c>
      <c r="AD415" s="5">
        <v>0</v>
      </c>
      <c r="AE415" s="5">
        <v>0</v>
      </c>
      <c r="AF415" s="5">
        <v>0</v>
      </c>
      <c r="AG415" s="5">
        <v>0</v>
      </c>
      <c r="AH415" s="5" t="s">
        <v>2909</v>
      </c>
      <c r="AI415" s="5" t="s">
        <v>388</v>
      </c>
      <c r="AJ415" s="5" t="s">
        <v>2910</v>
      </c>
      <c r="AK415" s="5">
        <v>610422100126</v>
      </c>
      <c r="AL415" s="5" t="e">
        <f t="shared" si="3"/>
        <v>#VALUE!</v>
      </c>
    </row>
    <row r="416" spans="1:38" ht="12.5">
      <c r="A416" s="10" t="str">
        <f t="shared" si="0"/>
        <v>Yulia Novita</v>
      </c>
      <c r="B416" s="5">
        <f t="shared" si="1"/>
        <v>610423110056</v>
      </c>
      <c r="C416" s="5" t="str">
        <f t="shared" si="2"/>
        <v>Yulia Novita</v>
      </c>
      <c r="D416" s="5" t="s">
        <v>363</v>
      </c>
      <c r="E416" s="5" t="e">
        <f t="array" ref="E416">INDEX('Master SLS'!$H$2:$H998,MATCH($AL416,'Master SLS'!$K$2:$K998,0))</f>
        <v>#VALUE!</v>
      </c>
      <c r="F416" s="5" t="e">
        <f t="array" ref="F416">INDEX('Master SLS'!$I$2:$I998,MATCH($AL416,'Master SLS'!$K$2:$K998,0))</f>
        <v>#VALUE!</v>
      </c>
      <c r="G416" s="5" t="s">
        <v>2911</v>
      </c>
      <c r="H416" s="5" t="s">
        <v>2912</v>
      </c>
      <c r="I416" s="5" t="s">
        <v>388</v>
      </c>
      <c r="J416" s="5">
        <v>1</v>
      </c>
      <c r="K416" s="5" t="s">
        <v>2913</v>
      </c>
      <c r="L416" s="5">
        <v>61</v>
      </c>
      <c r="M416" s="5">
        <v>4</v>
      </c>
      <c r="N416" s="5">
        <v>101</v>
      </c>
      <c r="O416" s="5">
        <v>7</v>
      </c>
      <c r="P416" s="5" t="s">
        <v>2914</v>
      </c>
      <c r="Q416" s="5">
        <v>1</v>
      </c>
      <c r="R416" s="74">
        <v>35616</v>
      </c>
      <c r="T416" s="5">
        <v>0</v>
      </c>
      <c r="U416" s="5">
        <v>1</v>
      </c>
      <c r="V416" s="5">
        <v>2</v>
      </c>
      <c r="W416" s="5">
        <v>5</v>
      </c>
      <c r="X416" s="5">
        <v>4</v>
      </c>
      <c r="AA416" s="5">
        <v>0</v>
      </c>
      <c r="AB416" s="5">
        <v>0</v>
      </c>
      <c r="AC416" s="5">
        <v>0</v>
      </c>
      <c r="AD416" s="5">
        <v>0</v>
      </c>
      <c r="AE416" s="5">
        <v>0</v>
      </c>
      <c r="AF416" s="5">
        <v>0</v>
      </c>
      <c r="AG416" s="5">
        <v>0</v>
      </c>
      <c r="AH416" s="5" t="s">
        <v>2915</v>
      </c>
      <c r="AI416" s="5" t="s">
        <v>388</v>
      </c>
      <c r="AJ416" s="5" t="s">
        <v>2916</v>
      </c>
      <c r="AK416" s="5">
        <v>610423110056</v>
      </c>
      <c r="AL416" s="5" t="e">
        <f t="shared" si="3"/>
        <v>#VALUE!</v>
      </c>
    </row>
    <row r="417" spans="1:38" ht="12.5">
      <c r="A417" s="10" t="str">
        <f t="shared" si="0"/>
        <v>Yuliana</v>
      </c>
      <c r="B417" s="5">
        <f t="shared" si="1"/>
        <v>610423110101</v>
      </c>
      <c r="C417" s="5" t="str">
        <f t="shared" si="2"/>
        <v>Yuliana</v>
      </c>
      <c r="D417" s="5" t="s">
        <v>363</v>
      </c>
      <c r="E417" s="5" t="e">
        <f t="array" ref="E417">INDEX('Master SLS'!$H$2:$H998,MATCH($AL417,'Master SLS'!$K$2:$K998,0))</f>
        <v>#VALUE!</v>
      </c>
      <c r="F417" s="5" t="e">
        <f t="array" ref="F417">INDEX('Master SLS'!$I$2:$I998,MATCH($AL417,'Master SLS'!$K$2:$K998,0))</f>
        <v>#VALUE!</v>
      </c>
      <c r="G417" s="5" t="s">
        <v>2917</v>
      </c>
      <c r="H417" s="5" t="s">
        <v>2918</v>
      </c>
      <c r="I417" s="5" t="s">
        <v>388</v>
      </c>
      <c r="J417" s="5">
        <v>1</v>
      </c>
      <c r="K417" s="5" t="s">
        <v>2919</v>
      </c>
      <c r="L417" s="5">
        <v>61</v>
      </c>
      <c r="M417" s="5">
        <v>4</v>
      </c>
      <c r="N417" s="5">
        <v>90</v>
      </c>
      <c r="O417" s="5">
        <v>4</v>
      </c>
      <c r="P417" s="5" t="s">
        <v>2920</v>
      </c>
      <c r="Q417" s="5">
        <v>1</v>
      </c>
      <c r="R417" s="7">
        <v>36147</v>
      </c>
      <c r="S417" s="5" t="s">
        <v>2921</v>
      </c>
      <c r="T417" s="5">
        <v>0</v>
      </c>
      <c r="U417" s="5">
        <v>1</v>
      </c>
      <c r="V417" s="5">
        <v>1</v>
      </c>
      <c r="W417" s="5">
        <v>5</v>
      </c>
      <c r="X417" s="5">
        <v>5</v>
      </c>
      <c r="AA417" s="5">
        <v>0</v>
      </c>
      <c r="AB417" s="5">
        <v>0</v>
      </c>
      <c r="AC417" s="5">
        <v>0</v>
      </c>
      <c r="AD417" s="5">
        <v>0</v>
      </c>
      <c r="AE417" s="5">
        <v>0</v>
      </c>
      <c r="AF417" s="5">
        <v>0</v>
      </c>
      <c r="AG417" s="5">
        <v>0</v>
      </c>
      <c r="AH417" s="5" t="s">
        <v>1155</v>
      </c>
      <c r="AI417" s="5" t="s">
        <v>388</v>
      </c>
      <c r="AJ417" s="5" t="s">
        <v>2922</v>
      </c>
      <c r="AK417" s="5">
        <v>610423110101</v>
      </c>
      <c r="AL417" s="5" t="e">
        <f t="shared" si="3"/>
        <v>#VALUE!</v>
      </c>
    </row>
    <row r="418" spans="1:38" ht="12.5">
      <c r="A418" s="10" t="str">
        <f t="shared" si="0"/>
        <v>Yuly Wacaningtias</v>
      </c>
      <c r="B418" s="5">
        <f t="shared" si="1"/>
        <v>610422100184</v>
      </c>
      <c r="C418" s="5" t="str">
        <f t="shared" si="2"/>
        <v>Yuly wacaningtias</v>
      </c>
      <c r="D418" s="5" t="s">
        <v>363</v>
      </c>
      <c r="E418" s="5" t="e">
        <f t="array" ref="E418">INDEX('Master SLS'!$H$2:$H998,MATCH($AL418,'Master SLS'!$K$2:$K998,0))</f>
        <v>#VALUE!</v>
      </c>
      <c r="F418" s="5" t="e">
        <f t="array" ref="F418">INDEX('Master SLS'!$I$2:$I998,MATCH($AL418,'Master SLS'!$K$2:$K998,0))</f>
        <v>#VALUE!</v>
      </c>
      <c r="G418" s="5" t="s">
        <v>2923</v>
      </c>
      <c r="H418" s="5" t="s">
        <v>2924</v>
      </c>
      <c r="I418" s="5" t="s">
        <v>474</v>
      </c>
      <c r="J418" s="5">
        <v>1</v>
      </c>
      <c r="K418" s="5" t="s">
        <v>2925</v>
      </c>
      <c r="L418" s="5">
        <v>61</v>
      </c>
      <c r="M418" s="5">
        <v>4</v>
      </c>
      <c r="N418" s="5">
        <v>81</v>
      </c>
      <c r="O418" s="5">
        <v>5</v>
      </c>
      <c r="P418" s="5" t="s">
        <v>2926</v>
      </c>
      <c r="Q418" s="5">
        <v>1</v>
      </c>
      <c r="R418" s="74">
        <v>36729</v>
      </c>
      <c r="T418" s="5">
        <v>0</v>
      </c>
      <c r="U418" s="5">
        <v>1</v>
      </c>
      <c r="V418" s="5">
        <v>1</v>
      </c>
      <c r="W418" s="5">
        <v>5</v>
      </c>
      <c r="X418" s="5">
        <v>6</v>
      </c>
      <c r="AA418" s="5">
        <v>1</v>
      </c>
      <c r="AB418" s="5">
        <v>1</v>
      </c>
      <c r="AC418" s="5">
        <v>0</v>
      </c>
      <c r="AD418" s="5">
        <v>0</v>
      </c>
      <c r="AE418" s="5">
        <v>0</v>
      </c>
      <c r="AF418" s="5">
        <v>0</v>
      </c>
      <c r="AG418" s="5">
        <v>0</v>
      </c>
      <c r="AH418" s="5" t="s">
        <v>1895</v>
      </c>
      <c r="AI418" s="5" t="s">
        <v>474</v>
      </c>
      <c r="AJ418" s="5" t="s">
        <v>2927</v>
      </c>
      <c r="AK418" s="5">
        <v>610422100184</v>
      </c>
      <c r="AL418" s="5" t="e">
        <f t="shared" si="3"/>
        <v>#VALUE!</v>
      </c>
    </row>
    <row r="419" spans="1:38" ht="12.5">
      <c r="A419" s="10" t="str">
        <f t="shared" si="0"/>
        <v>Yuni Astuti</v>
      </c>
      <c r="B419" s="5">
        <f t="shared" si="1"/>
        <v>610422040014</v>
      </c>
      <c r="C419" s="5" t="str">
        <f t="shared" si="2"/>
        <v>Yuni Astuti</v>
      </c>
      <c r="D419" s="5" t="s">
        <v>363</v>
      </c>
      <c r="E419" s="5" t="e">
        <f t="array" ref="E419">INDEX('Master SLS'!$H$2:$H998,MATCH($AL419,'Master SLS'!$K$2:$K998,0))</f>
        <v>#VALUE!</v>
      </c>
      <c r="F419" s="5" t="e">
        <f t="array" ref="F419">INDEX('Master SLS'!$I$2:$I998,MATCH($AL419,'Master SLS'!$K$2:$K998,0))</f>
        <v>#VALUE!</v>
      </c>
      <c r="G419" s="5" t="s">
        <v>2928</v>
      </c>
      <c r="H419" s="5" t="s">
        <v>2929</v>
      </c>
      <c r="I419" s="5" t="s">
        <v>366</v>
      </c>
      <c r="J419" s="5">
        <v>1</v>
      </c>
      <c r="K419" s="5" t="s">
        <v>2930</v>
      </c>
      <c r="L419" s="5">
        <v>61</v>
      </c>
      <c r="M419" s="5">
        <v>4</v>
      </c>
      <c r="N419" s="5">
        <v>80</v>
      </c>
      <c r="O419" s="5">
        <v>6</v>
      </c>
      <c r="P419" s="5" t="s">
        <v>2931</v>
      </c>
      <c r="Q419" s="5">
        <v>1</v>
      </c>
      <c r="R419" s="74">
        <v>35224</v>
      </c>
      <c r="T419" s="5">
        <v>0</v>
      </c>
      <c r="U419" s="5">
        <v>1</v>
      </c>
      <c r="V419" s="5">
        <v>1</v>
      </c>
      <c r="W419" s="5">
        <v>3</v>
      </c>
      <c r="X419" s="5">
        <v>7</v>
      </c>
      <c r="Y419" s="5" t="s">
        <v>2932</v>
      </c>
      <c r="AA419" s="5">
        <v>1</v>
      </c>
      <c r="AB419" s="5">
        <v>1</v>
      </c>
      <c r="AC419" s="5">
        <v>1</v>
      </c>
      <c r="AD419" s="5">
        <v>0</v>
      </c>
      <c r="AE419" s="5">
        <v>0</v>
      </c>
      <c r="AF419" s="5">
        <v>0</v>
      </c>
      <c r="AG419" s="5">
        <v>0</v>
      </c>
      <c r="AI419" s="5" t="s">
        <v>366</v>
      </c>
      <c r="AJ419" s="5" t="s">
        <v>2933</v>
      </c>
      <c r="AK419" s="5">
        <v>610422040014</v>
      </c>
      <c r="AL419" s="5" t="e">
        <f t="shared" si="3"/>
        <v>#VALUE!</v>
      </c>
    </row>
    <row r="420" spans="1:38" ht="12.5">
      <c r="A420" s="10" t="str">
        <f t="shared" si="0"/>
        <v>Yuni Miranda</v>
      </c>
      <c r="B420" s="5">
        <f t="shared" si="1"/>
        <v>610423110143</v>
      </c>
      <c r="C420" s="5" t="str">
        <f t="shared" si="2"/>
        <v>Yuni Miranda</v>
      </c>
      <c r="D420" s="5" t="s">
        <v>363</v>
      </c>
      <c r="E420" s="5" t="e">
        <f t="array" ref="E420">INDEX('Master SLS'!$H$2:$H998,MATCH($AL420,'Master SLS'!$K$2:$K998,0))</f>
        <v>#VALUE!</v>
      </c>
      <c r="F420" s="5" t="e">
        <f t="array" ref="F420">INDEX('Master SLS'!$I$2:$I998,MATCH($AL420,'Master SLS'!$K$2:$K998,0))</f>
        <v>#VALUE!</v>
      </c>
      <c r="G420" s="5" t="s">
        <v>2934</v>
      </c>
      <c r="H420" s="5" t="s">
        <v>2935</v>
      </c>
      <c r="I420" s="5" t="s">
        <v>474</v>
      </c>
      <c r="J420" s="5">
        <v>1</v>
      </c>
      <c r="K420" s="5" t="s">
        <v>2936</v>
      </c>
      <c r="L420" s="5">
        <v>61</v>
      </c>
      <c r="M420" s="5">
        <v>4</v>
      </c>
      <c r="N420" s="5">
        <v>110</v>
      </c>
      <c r="O420" s="5">
        <v>5</v>
      </c>
      <c r="P420" s="5" t="s">
        <v>558</v>
      </c>
      <c r="Q420" s="5">
        <v>1</v>
      </c>
      <c r="R420" s="74">
        <v>37105</v>
      </c>
      <c r="T420" s="5">
        <v>0</v>
      </c>
      <c r="U420" s="5">
        <v>1</v>
      </c>
      <c r="V420" s="5">
        <v>1</v>
      </c>
      <c r="W420" s="5">
        <v>5</v>
      </c>
      <c r="X420" s="5">
        <v>6</v>
      </c>
      <c r="AA420" s="5">
        <v>0</v>
      </c>
      <c r="AB420" s="5">
        <v>0</v>
      </c>
      <c r="AC420" s="5">
        <v>0</v>
      </c>
      <c r="AD420" s="5">
        <v>0</v>
      </c>
      <c r="AE420" s="5">
        <v>0</v>
      </c>
      <c r="AF420" s="5">
        <v>0</v>
      </c>
      <c r="AG420" s="5">
        <v>0</v>
      </c>
      <c r="AI420" s="5" t="s">
        <v>474</v>
      </c>
      <c r="AJ420" s="5" t="s">
        <v>2937</v>
      </c>
      <c r="AK420" s="5">
        <v>610423110143</v>
      </c>
      <c r="AL420" s="5" t="e">
        <f t="shared" si="3"/>
        <v>#VALUE!</v>
      </c>
    </row>
    <row r="421" spans="1:38" ht="12.5">
      <c r="A421" s="10" t="str">
        <f t="shared" si="0"/>
        <v>Yunita</v>
      </c>
      <c r="B421" s="5">
        <f t="shared" si="1"/>
        <v>610423110171</v>
      </c>
      <c r="C421" s="5" t="str">
        <f t="shared" si="2"/>
        <v>Yunita</v>
      </c>
      <c r="D421" s="5" t="s">
        <v>363</v>
      </c>
      <c r="E421" s="5" t="e">
        <f t="array" ref="E421">INDEX('Master SLS'!$H$2:$H998,MATCH($AL421,'Master SLS'!$K$2:$K998,0))</f>
        <v>#VALUE!</v>
      </c>
      <c r="F421" s="5" t="e">
        <f t="array" ref="F421">INDEX('Master SLS'!$I$2:$I998,MATCH($AL421,'Master SLS'!$K$2:$K998,0))</f>
        <v>#VALUE!</v>
      </c>
      <c r="G421" s="5" t="s">
        <v>2938</v>
      </c>
      <c r="H421" s="5" t="s">
        <v>2939</v>
      </c>
      <c r="I421" s="5" t="s">
        <v>388</v>
      </c>
      <c r="J421" s="5">
        <v>1</v>
      </c>
      <c r="K421" s="5" t="s">
        <v>2940</v>
      </c>
      <c r="L421" s="5">
        <v>61</v>
      </c>
      <c r="M421" s="5">
        <v>4</v>
      </c>
      <c r="N421" s="5">
        <v>101</v>
      </c>
      <c r="O421" s="5">
        <v>7</v>
      </c>
      <c r="P421" s="5" t="s">
        <v>2941</v>
      </c>
      <c r="Q421" s="5">
        <v>1</v>
      </c>
      <c r="R421" s="7">
        <v>36819</v>
      </c>
      <c r="S421" s="5" t="s">
        <v>2942</v>
      </c>
      <c r="T421" s="5">
        <v>0</v>
      </c>
      <c r="U421" s="5">
        <v>1</v>
      </c>
      <c r="V421" s="5">
        <v>1</v>
      </c>
      <c r="W421" s="5">
        <v>5</v>
      </c>
      <c r="X421" s="5">
        <v>7</v>
      </c>
      <c r="Y421" s="5" t="s">
        <v>567</v>
      </c>
      <c r="AA421" s="5">
        <v>0</v>
      </c>
      <c r="AB421" s="5">
        <v>0</v>
      </c>
      <c r="AC421" s="5">
        <v>0</v>
      </c>
      <c r="AD421" s="5">
        <v>0</v>
      </c>
      <c r="AE421" s="5">
        <v>0</v>
      </c>
      <c r="AF421" s="5">
        <v>0</v>
      </c>
      <c r="AG421" s="5">
        <v>0</v>
      </c>
      <c r="AH421" s="5" t="s">
        <v>2943</v>
      </c>
      <c r="AI421" s="5" t="s">
        <v>388</v>
      </c>
      <c r="AJ421" s="5" t="s">
        <v>2944</v>
      </c>
      <c r="AK421" s="5">
        <v>610423110171</v>
      </c>
      <c r="AL421" s="5" t="e">
        <f t="shared" si="3"/>
        <v>#VALUE!</v>
      </c>
    </row>
    <row r="422" spans="1:38" ht="12.5">
      <c r="A422" s="10" t="str">
        <f t="shared" si="0"/>
        <v>Yusfachruddin</v>
      </c>
      <c r="B422" s="5">
        <f t="shared" si="1"/>
        <v>610423110163</v>
      </c>
      <c r="C422" s="5" t="str">
        <f t="shared" si="2"/>
        <v>YUSFACHRUDDIN</v>
      </c>
      <c r="D422" s="5" t="s">
        <v>363</v>
      </c>
      <c r="E422" s="5" t="e">
        <f t="array" ref="E422">INDEX('Master SLS'!$H$2:$H998,MATCH($AL422,'Master SLS'!$K$2:$K998,0))</f>
        <v>#VALUE!</v>
      </c>
      <c r="F422" s="5" t="e">
        <f t="array" ref="F422">INDEX('Master SLS'!$I$2:$I998,MATCH($AL422,'Master SLS'!$K$2:$K998,0))</f>
        <v>#VALUE!</v>
      </c>
      <c r="G422" s="5" t="s">
        <v>2945</v>
      </c>
      <c r="H422" s="5" t="s">
        <v>2946</v>
      </c>
      <c r="I422" s="5" t="s">
        <v>366</v>
      </c>
      <c r="J422" s="5">
        <v>1</v>
      </c>
      <c r="K422" s="5" t="s">
        <v>2947</v>
      </c>
      <c r="L422" s="5">
        <v>61</v>
      </c>
      <c r="M422" s="5">
        <v>4</v>
      </c>
      <c r="N422" s="5">
        <v>90</v>
      </c>
      <c r="O422" s="5">
        <v>4</v>
      </c>
      <c r="P422" s="5" t="s">
        <v>2948</v>
      </c>
      <c r="Q422" s="5">
        <v>1</v>
      </c>
      <c r="R422" s="7">
        <v>28777</v>
      </c>
      <c r="S422" s="5" t="s">
        <v>2949</v>
      </c>
      <c r="T422" s="5">
        <v>1</v>
      </c>
      <c r="U422" s="5">
        <v>1</v>
      </c>
      <c r="V422" s="5">
        <v>2</v>
      </c>
      <c r="W422" s="5">
        <v>3</v>
      </c>
      <c r="X422" s="5">
        <v>5</v>
      </c>
      <c r="AA422" s="5">
        <v>1</v>
      </c>
      <c r="AB422" s="5">
        <v>1</v>
      </c>
      <c r="AC422" s="5">
        <v>1</v>
      </c>
      <c r="AD422" s="5">
        <v>1</v>
      </c>
      <c r="AE422" s="5">
        <v>1</v>
      </c>
      <c r="AF422" s="5">
        <v>1</v>
      </c>
      <c r="AG422" s="5">
        <v>0</v>
      </c>
      <c r="AH422" s="5" t="s">
        <v>369</v>
      </c>
      <c r="AI422" s="5" t="s">
        <v>366</v>
      </c>
      <c r="AJ422" s="5" t="s">
        <v>2950</v>
      </c>
      <c r="AK422" s="5">
        <v>610423110163</v>
      </c>
      <c r="AL422" s="5" t="e">
        <f t="shared" si="3"/>
        <v>#VALUE!</v>
      </c>
    </row>
    <row r="423" spans="1:38" ht="12.5">
      <c r="A423" s="10" t="str">
        <f t="shared" si="0"/>
        <v>Yusimianto</v>
      </c>
      <c r="B423" s="5">
        <f t="shared" si="1"/>
        <v>610422040052</v>
      </c>
      <c r="C423" s="5" t="str">
        <f t="shared" si="2"/>
        <v>Yusimianto</v>
      </c>
      <c r="D423" s="5" t="s">
        <v>363</v>
      </c>
      <c r="E423" s="5" t="e">
        <f t="array" ref="E423">INDEX('Master SLS'!$H$2:$H998,MATCH($AL423,'Master SLS'!$K$2:$K998,0))</f>
        <v>#VALUE!</v>
      </c>
      <c r="F423" s="5" t="e">
        <f t="array" ref="F423">INDEX('Master SLS'!$I$2:$I998,MATCH($AL423,'Master SLS'!$K$2:$K998,0))</f>
        <v>#VALUE!</v>
      </c>
      <c r="G423" s="5" t="s">
        <v>2951</v>
      </c>
      <c r="H423" s="5" t="s">
        <v>2952</v>
      </c>
      <c r="I423" s="5" t="s">
        <v>366</v>
      </c>
      <c r="J423" s="5">
        <v>1</v>
      </c>
      <c r="K423" s="5" t="s">
        <v>2953</v>
      </c>
      <c r="L423" s="5">
        <v>61</v>
      </c>
      <c r="M423" s="5">
        <v>4</v>
      </c>
      <c r="N423" s="5">
        <v>91</v>
      </c>
      <c r="O423" s="5">
        <v>4</v>
      </c>
      <c r="P423" s="5" t="s">
        <v>2954</v>
      </c>
      <c r="Q423" s="5">
        <v>1</v>
      </c>
      <c r="R423" s="74">
        <v>28920</v>
      </c>
      <c r="S423" s="5" t="s">
        <v>2955</v>
      </c>
      <c r="T423" s="5">
        <v>1</v>
      </c>
      <c r="U423" s="5">
        <v>2</v>
      </c>
      <c r="V423" s="5">
        <v>2</v>
      </c>
      <c r="W423" s="5">
        <v>3</v>
      </c>
      <c r="X423" s="5">
        <v>5</v>
      </c>
      <c r="AA423" s="5">
        <v>1</v>
      </c>
      <c r="AB423" s="5">
        <v>0</v>
      </c>
      <c r="AC423" s="5">
        <v>1</v>
      </c>
      <c r="AD423" s="5">
        <v>1</v>
      </c>
      <c r="AE423" s="5">
        <v>1</v>
      </c>
      <c r="AF423" s="5">
        <v>1</v>
      </c>
      <c r="AG423" s="5">
        <v>0</v>
      </c>
      <c r="AI423" s="5" t="s">
        <v>366</v>
      </c>
      <c r="AJ423" s="5" t="s">
        <v>2952</v>
      </c>
      <c r="AK423" s="5">
        <v>610422040052</v>
      </c>
      <c r="AL423" s="5" t="e">
        <f t="shared" si="3"/>
        <v>#VALUE!</v>
      </c>
    </row>
    <row r="424" spans="1:38" ht="12.5">
      <c r="A424" s="10" t="str">
        <f t="shared" si="0"/>
        <v>Yusra, Se</v>
      </c>
      <c r="B424" s="5">
        <f t="shared" si="1"/>
        <v>610422040013</v>
      </c>
      <c r="C424" s="5" t="str">
        <f t="shared" si="2"/>
        <v>Yusra, SE</v>
      </c>
      <c r="D424" s="5" t="s">
        <v>363</v>
      </c>
      <c r="E424" s="5" t="e">
        <f t="array" ref="E424">INDEX('Master SLS'!$H$2:$H998,MATCH($AL424,'Master SLS'!$K$2:$K998,0))</f>
        <v>#VALUE!</v>
      </c>
      <c r="F424" s="5" t="e">
        <f t="array" ref="F424">INDEX('Master SLS'!$I$2:$I998,MATCH($AL424,'Master SLS'!$K$2:$K998,0))</f>
        <v>#VALUE!</v>
      </c>
      <c r="G424" s="5" t="s">
        <v>2956</v>
      </c>
      <c r="H424" s="5" t="s">
        <v>2957</v>
      </c>
      <c r="I424" s="5" t="s">
        <v>366</v>
      </c>
      <c r="J424" s="5">
        <v>1</v>
      </c>
      <c r="K424" s="5" t="s">
        <v>2958</v>
      </c>
      <c r="L424" s="5">
        <v>61</v>
      </c>
      <c r="M424" s="5">
        <v>4</v>
      </c>
      <c r="N424" s="5">
        <v>81</v>
      </c>
      <c r="O424" s="5">
        <v>6</v>
      </c>
      <c r="P424" s="5" t="s">
        <v>2959</v>
      </c>
      <c r="Q424" s="5">
        <v>1</v>
      </c>
      <c r="R424" s="7">
        <v>32832</v>
      </c>
      <c r="S424" s="5" t="s">
        <v>2960</v>
      </c>
      <c r="T424" s="5">
        <v>1</v>
      </c>
      <c r="U424" s="5">
        <v>1</v>
      </c>
      <c r="V424" s="5">
        <v>2</v>
      </c>
      <c r="W424" s="5">
        <v>5</v>
      </c>
      <c r="X424" s="5">
        <v>7</v>
      </c>
      <c r="Y424" s="5" t="s">
        <v>2961</v>
      </c>
      <c r="AA424" s="5">
        <v>1</v>
      </c>
      <c r="AB424" s="5">
        <v>1</v>
      </c>
      <c r="AC424" s="5">
        <v>1</v>
      </c>
      <c r="AD424" s="5">
        <v>0</v>
      </c>
      <c r="AE424" s="5">
        <v>1</v>
      </c>
      <c r="AF424" s="5">
        <v>0</v>
      </c>
      <c r="AG424" s="5">
        <v>0</v>
      </c>
      <c r="AH424" s="5" t="s">
        <v>2962</v>
      </c>
      <c r="AI424" s="5" t="s">
        <v>366</v>
      </c>
      <c r="AJ424" s="5" t="s">
        <v>2963</v>
      </c>
      <c r="AK424" s="5">
        <v>610422040013</v>
      </c>
      <c r="AL424" s="5" t="e">
        <f t="shared" si="3"/>
        <v>#VALUE!</v>
      </c>
    </row>
    <row r="425" spans="1:38" ht="12.5">
      <c r="A425" s="10" t="str">
        <f t="shared" si="0"/>
        <v>Yusrol Hana</v>
      </c>
      <c r="B425" s="5">
        <f t="shared" si="1"/>
        <v>610422100205</v>
      </c>
      <c r="C425" s="5" t="str">
        <f t="shared" si="2"/>
        <v>YUSROL HANA</v>
      </c>
      <c r="D425" s="5" t="s">
        <v>363</v>
      </c>
      <c r="E425" s="5" t="e">
        <f t="array" ref="E425">INDEX('Master SLS'!$H$2:$H998,MATCH($AL425,'Master SLS'!$K$2:$K998,0))</f>
        <v>#VALUE!</v>
      </c>
      <c r="F425" s="5" t="e">
        <f t="array" ref="F425">INDEX('Master SLS'!$I$2:$I998,MATCH($AL425,'Master SLS'!$K$2:$K998,0))</f>
        <v>#VALUE!</v>
      </c>
      <c r="G425" s="5" t="s">
        <v>2964</v>
      </c>
      <c r="H425" s="5" t="s">
        <v>2965</v>
      </c>
      <c r="I425" s="5" t="s">
        <v>388</v>
      </c>
      <c r="J425" s="5">
        <v>1</v>
      </c>
      <c r="K425" s="5" t="s">
        <v>2966</v>
      </c>
      <c r="L425" s="5">
        <v>61</v>
      </c>
      <c r="M425" s="5">
        <v>4</v>
      </c>
      <c r="N425" s="5">
        <v>90</v>
      </c>
      <c r="O425" s="5">
        <v>11</v>
      </c>
      <c r="P425" s="5" t="s">
        <v>2967</v>
      </c>
      <c r="Q425" s="5">
        <v>1</v>
      </c>
      <c r="R425" s="7">
        <v>36872</v>
      </c>
      <c r="T425" s="5">
        <v>0</v>
      </c>
      <c r="U425" s="5">
        <v>1</v>
      </c>
      <c r="V425" s="5">
        <v>1</v>
      </c>
      <c r="W425" s="5">
        <v>5</v>
      </c>
      <c r="X425" s="5">
        <v>7</v>
      </c>
      <c r="Y425" s="5" t="s">
        <v>2968</v>
      </c>
      <c r="AA425" s="5">
        <v>1</v>
      </c>
      <c r="AB425" s="5">
        <v>0</v>
      </c>
      <c r="AC425" s="5">
        <v>1</v>
      </c>
      <c r="AD425" s="5">
        <v>1</v>
      </c>
      <c r="AE425" s="5">
        <v>0</v>
      </c>
      <c r="AF425" s="5">
        <v>0</v>
      </c>
      <c r="AG425" s="5">
        <v>0</v>
      </c>
      <c r="AH425" s="5" t="s">
        <v>2969</v>
      </c>
      <c r="AI425" s="5" t="s">
        <v>388</v>
      </c>
      <c r="AJ425" s="5" t="s">
        <v>2970</v>
      </c>
      <c r="AK425" s="5">
        <v>610422100205</v>
      </c>
      <c r="AL425" s="5" t="e">
        <f t="shared" si="3"/>
        <v>#VALUE!</v>
      </c>
    </row>
    <row r="426" spans="1:38" ht="12.5">
      <c r="A426" s="10" t="str">
        <f t="shared" si="0"/>
        <v>Yusron</v>
      </c>
      <c r="B426" s="5">
        <f t="shared" si="1"/>
        <v>610422040002</v>
      </c>
      <c r="C426" s="5" t="str">
        <f t="shared" si="2"/>
        <v>YUSRON</v>
      </c>
      <c r="D426" s="5" t="s">
        <v>363</v>
      </c>
      <c r="E426" s="5" t="e">
        <f t="array" ref="E426">INDEX('Master SLS'!$H$2:$H998,MATCH($AL426,'Master SLS'!$K$2:$K998,0))</f>
        <v>#VALUE!</v>
      </c>
      <c r="F426" s="5" t="e">
        <f t="array" ref="F426">INDEX('Master SLS'!$I$2:$I998,MATCH($AL426,'Master SLS'!$K$2:$K998,0))</f>
        <v>#VALUE!</v>
      </c>
      <c r="G426" s="5" t="s">
        <v>2971</v>
      </c>
      <c r="H426" s="5" t="s">
        <v>2972</v>
      </c>
      <c r="I426" s="5" t="s">
        <v>366</v>
      </c>
      <c r="J426" s="5">
        <v>1</v>
      </c>
      <c r="K426" s="5" t="s">
        <v>2973</v>
      </c>
      <c r="L426" s="5">
        <v>61</v>
      </c>
      <c r="M426" s="5">
        <v>4</v>
      </c>
      <c r="N426" s="5">
        <v>101</v>
      </c>
      <c r="O426" s="5">
        <v>6</v>
      </c>
      <c r="P426" s="5" t="s">
        <v>2974</v>
      </c>
      <c r="Q426" s="5">
        <v>1</v>
      </c>
      <c r="R426" s="74">
        <v>36649</v>
      </c>
      <c r="T426" s="5">
        <v>1</v>
      </c>
      <c r="U426" s="5">
        <v>1</v>
      </c>
      <c r="V426" s="5">
        <v>1</v>
      </c>
      <c r="W426" s="5">
        <v>3</v>
      </c>
      <c r="X426" s="5">
        <v>6</v>
      </c>
      <c r="AA426" s="5">
        <v>1</v>
      </c>
      <c r="AB426" s="5">
        <v>1</v>
      </c>
      <c r="AC426" s="5">
        <v>1</v>
      </c>
      <c r="AD426" s="5">
        <v>1</v>
      </c>
      <c r="AE426" s="5">
        <v>0</v>
      </c>
      <c r="AF426" s="5">
        <v>0</v>
      </c>
      <c r="AG426" s="5">
        <v>0</v>
      </c>
      <c r="AH426" s="5" t="s">
        <v>2975</v>
      </c>
      <c r="AI426" s="5" t="s">
        <v>366</v>
      </c>
      <c r="AJ426" s="5" t="s">
        <v>2976</v>
      </c>
      <c r="AK426" s="5">
        <v>610422040002</v>
      </c>
      <c r="AL426" s="5" t="e">
        <f t="shared" si="3"/>
        <v>#VALUE!</v>
      </c>
    </row>
    <row r="427" spans="1:38" ht="12.5">
      <c r="A427" s="10" t="str">
        <f t="shared" si="0"/>
        <v>Yustian</v>
      </c>
      <c r="B427" s="5">
        <f t="shared" si="1"/>
        <v>610422040068</v>
      </c>
      <c r="C427" s="5" t="str">
        <f t="shared" si="2"/>
        <v>Yustian</v>
      </c>
      <c r="D427" s="5" t="s">
        <v>363</v>
      </c>
      <c r="E427" s="5" t="e">
        <f t="array" ref="E427">INDEX('Master SLS'!$H$2:$H998,MATCH($AL427,'Master SLS'!$K$2:$K998,0))</f>
        <v>#VALUE!</v>
      </c>
      <c r="F427" s="5" t="e">
        <f t="array" ref="F427">INDEX('Master SLS'!$I$2:$I998,MATCH($AL427,'Master SLS'!$K$2:$K998,0))</f>
        <v>#VALUE!</v>
      </c>
      <c r="G427" s="5" t="s">
        <v>2977</v>
      </c>
      <c r="H427" s="5" t="s">
        <v>2978</v>
      </c>
      <c r="I427" s="5" t="s">
        <v>366</v>
      </c>
      <c r="J427" s="5">
        <v>1</v>
      </c>
      <c r="K427" s="5" t="s">
        <v>2979</v>
      </c>
      <c r="L427" s="5">
        <v>61</v>
      </c>
      <c r="M427" s="5">
        <v>4</v>
      </c>
      <c r="N427" s="5">
        <v>121</v>
      </c>
      <c r="O427" s="5">
        <v>4</v>
      </c>
      <c r="P427" s="5" t="s">
        <v>2980</v>
      </c>
      <c r="Q427" s="5">
        <v>1</v>
      </c>
      <c r="R427" s="74">
        <v>28626</v>
      </c>
      <c r="T427" s="5">
        <v>1</v>
      </c>
      <c r="U427" s="5">
        <v>3</v>
      </c>
      <c r="V427" s="5">
        <v>2</v>
      </c>
      <c r="W427" s="5">
        <v>3</v>
      </c>
      <c r="X427" s="5">
        <v>5</v>
      </c>
      <c r="AA427" s="5">
        <v>1</v>
      </c>
      <c r="AB427" s="5">
        <v>0</v>
      </c>
      <c r="AC427" s="5">
        <v>1</v>
      </c>
      <c r="AD427" s="5">
        <v>0</v>
      </c>
      <c r="AE427" s="5">
        <v>0</v>
      </c>
      <c r="AF427" s="5">
        <v>0</v>
      </c>
      <c r="AG427" s="5">
        <v>0</v>
      </c>
      <c r="AH427" s="5" t="s">
        <v>470</v>
      </c>
      <c r="AI427" s="5" t="s">
        <v>366</v>
      </c>
      <c r="AJ427" s="5" t="s">
        <v>2978</v>
      </c>
      <c r="AK427" s="5">
        <v>610422040068</v>
      </c>
      <c r="AL427" s="5" t="e">
        <f t="shared" si="3"/>
        <v>#VALUE!</v>
      </c>
    </row>
    <row r="428" spans="1:38" ht="12.5">
      <c r="A428" s="10" t="str">
        <f t="shared" si="0"/>
        <v>Yusuf Abdurrahman</v>
      </c>
      <c r="B428" s="5">
        <f t="shared" si="1"/>
        <v>610423030002</v>
      </c>
      <c r="C428" s="5" t="str">
        <f t="shared" si="2"/>
        <v>Yusuf abdurrahman</v>
      </c>
      <c r="D428" s="5" t="s">
        <v>363</v>
      </c>
      <c r="E428" s="5" t="e">
        <f t="array" ref="E428">INDEX('Master SLS'!$H$2:$H998,MATCH($AL428,'Master SLS'!$K$2:$K998,0))</f>
        <v>#VALUE!</v>
      </c>
      <c r="F428" s="5" t="e">
        <f t="array" ref="F428">INDEX('Master SLS'!$I$2:$I998,MATCH($AL428,'Master SLS'!$K$2:$K998,0))</f>
        <v>#VALUE!</v>
      </c>
      <c r="G428" s="5" t="s">
        <v>2981</v>
      </c>
      <c r="H428" s="5" t="s">
        <v>2982</v>
      </c>
      <c r="I428" s="5" t="s">
        <v>366</v>
      </c>
      <c r="J428" s="5">
        <v>1</v>
      </c>
      <c r="K428" s="5" t="s">
        <v>2983</v>
      </c>
      <c r="L428" s="5">
        <v>61</v>
      </c>
      <c r="M428" s="5">
        <v>4</v>
      </c>
      <c r="N428" s="5">
        <v>120</v>
      </c>
      <c r="O428" s="5">
        <v>2</v>
      </c>
      <c r="P428" s="5" t="s">
        <v>2984</v>
      </c>
      <c r="Q428" s="5">
        <v>1</v>
      </c>
      <c r="R428" s="74">
        <v>35577</v>
      </c>
      <c r="S428" s="5" t="s">
        <v>2985</v>
      </c>
      <c r="T428" s="5">
        <v>1</v>
      </c>
      <c r="U428" s="5">
        <v>1</v>
      </c>
      <c r="V428" s="5">
        <v>2</v>
      </c>
      <c r="W428" s="5">
        <v>5</v>
      </c>
      <c r="X428" s="5">
        <v>5</v>
      </c>
      <c r="AA428" s="5">
        <v>1</v>
      </c>
      <c r="AB428" s="5">
        <v>0</v>
      </c>
      <c r="AC428" s="5">
        <v>1</v>
      </c>
      <c r="AD428" s="5">
        <v>0</v>
      </c>
      <c r="AE428" s="5">
        <v>0</v>
      </c>
      <c r="AF428" s="5">
        <v>1</v>
      </c>
      <c r="AG428" s="5">
        <v>0</v>
      </c>
      <c r="AI428" s="5" t="s">
        <v>366</v>
      </c>
      <c r="AJ428" s="5" t="s">
        <v>2986</v>
      </c>
      <c r="AK428" s="5">
        <v>610423030002</v>
      </c>
      <c r="AL428" s="5" t="e">
        <f t="shared" si="3"/>
        <v>#VALUE!</v>
      </c>
    </row>
    <row r="429" spans="1:38" ht="12.5">
      <c r="A429" s="10" t="str">
        <f t="shared" si="0"/>
        <v>Yuyun Antoni, S.E.</v>
      </c>
      <c r="B429" s="5">
        <f t="shared" si="1"/>
        <v>610422040038</v>
      </c>
      <c r="C429" s="5" t="str">
        <f t="shared" si="2"/>
        <v>YUYUN ANTONI, S.E.</v>
      </c>
      <c r="D429" s="5" t="s">
        <v>363</v>
      </c>
      <c r="E429" s="5" t="e">
        <f t="array" ref="E429">INDEX('Master SLS'!$H$2:$H998,MATCH($AL429,'Master SLS'!$K$2:$K998,0))</f>
        <v>#VALUE!</v>
      </c>
      <c r="F429" s="5" t="e">
        <f t="array" ref="F429">INDEX('Master SLS'!$I$2:$I998,MATCH($AL429,'Master SLS'!$K$2:$K998,0))</f>
        <v>#VALUE!</v>
      </c>
      <c r="G429" s="5" t="s">
        <v>2987</v>
      </c>
      <c r="H429" s="5" t="s">
        <v>2988</v>
      </c>
      <c r="I429" s="5" t="s">
        <v>366</v>
      </c>
      <c r="J429" s="5">
        <v>1</v>
      </c>
      <c r="K429" s="5" t="s">
        <v>2989</v>
      </c>
      <c r="L429" s="5">
        <v>61</v>
      </c>
      <c r="M429" s="5">
        <v>4</v>
      </c>
      <c r="N429" s="5">
        <v>110</v>
      </c>
      <c r="O429" s="5">
        <v>5</v>
      </c>
      <c r="P429" s="5" t="s">
        <v>2990</v>
      </c>
      <c r="Q429" s="5">
        <v>1</v>
      </c>
      <c r="R429" s="74">
        <v>27566</v>
      </c>
      <c r="T429" s="5">
        <v>1</v>
      </c>
      <c r="U429" s="5">
        <v>1</v>
      </c>
      <c r="V429" s="5">
        <v>1</v>
      </c>
      <c r="W429" s="5">
        <v>5</v>
      </c>
      <c r="X429" s="5">
        <v>7</v>
      </c>
      <c r="Y429" s="5" t="s">
        <v>2991</v>
      </c>
      <c r="AA429" s="5">
        <v>1</v>
      </c>
      <c r="AB429" s="5">
        <v>1</v>
      </c>
      <c r="AC429" s="5">
        <v>1</v>
      </c>
      <c r="AD429" s="5">
        <v>0</v>
      </c>
      <c r="AE429" s="5">
        <v>1</v>
      </c>
      <c r="AF429" s="5">
        <v>1</v>
      </c>
      <c r="AG429" s="5">
        <v>0</v>
      </c>
      <c r="AI429" s="5" t="s">
        <v>366</v>
      </c>
      <c r="AJ429" s="5" t="s">
        <v>2992</v>
      </c>
      <c r="AK429" s="5">
        <v>610422040038</v>
      </c>
      <c r="AL429" s="5" t="e">
        <f t="shared" si="3"/>
        <v>#VALUE!</v>
      </c>
    </row>
    <row r="430" spans="1:38" ht="12.5">
      <c r="A430" s="10" t="str">
        <f t="shared" si="0"/>
        <v>Zailani</v>
      </c>
      <c r="B430" s="5">
        <f t="shared" si="1"/>
        <v>610422100174</v>
      </c>
      <c r="C430" s="5" t="str">
        <f t="shared" si="2"/>
        <v>Zailani</v>
      </c>
      <c r="D430" s="5" t="s">
        <v>363</v>
      </c>
      <c r="E430" s="5" t="e">
        <f t="array" ref="E430">INDEX('Master SLS'!$H$2:$H998,MATCH($AL430,'Master SLS'!$K$2:$K998,0))</f>
        <v>#VALUE!</v>
      </c>
      <c r="F430" s="5" t="e">
        <f t="array" ref="F430">INDEX('Master SLS'!$I$2:$I998,MATCH($AL430,'Master SLS'!$K$2:$K998,0))</f>
        <v>#VALUE!</v>
      </c>
      <c r="G430" s="5" t="s">
        <v>2993</v>
      </c>
      <c r="H430" s="5" t="s">
        <v>2994</v>
      </c>
      <c r="I430" s="5" t="s">
        <v>388</v>
      </c>
      <c r="J430" s="5">
        <v>1</v>
      </c>
      <c r="K430" s="5" t="s">
        <v>2995</v>
      </c>
      <c r="L430" s="5">
        <v>61</v>
      </c>
      <c r="M430" s="5">
        <v>4</v>
      </c>
      <c r="N430" s="5">
        <v>90</v>
      </c>
      <c r="O430" s="5">
        <v>9</v>
      </c>
      <c r="P430" s="5" t="s">
        <v>2996</v>
      </c>
      <c r="Q430" s="5">
        <v>2</v>
      </c>
      <c r="R430" s="7">
        <v>29519</v>
      </c>
      <c r="S430" s="5" t="s">
        <v>2997</v>
      </c>
      <c r="T430" s="5">
        <v>1</v>
      </c>
      <c r="U430" s="5">
        <v>1</v>
      </c>
      <c r="V430" s="5">
        <v>2</v>
      </c>
      <c r="W430" s="5">
        <v>5</v>
      </c>
      <c r="X430" s="5">
        <v>5</v>
      </c>
      <c r="AA430" s="5">
        <v>1</v>
      </c>
      <c r="AB430" s="5">
        <v>1</v>
      </c>
      <c r="AC430" s="5">
        <v>0</v>
      </c>
      <c r="AD430" s="5">
        <v>0</v>
      </c>
      <c r="AE430" s="5">
        <v>0</v>
      </c>
      <c r="AF430" s="5">
        <v>0</v>
      </c>
      <c r="AG430" s="5">
        <v>0</v>
      </c>
      <c r="AH430" s="5" t="s">
        <v>1299</v>
      </c>
      <c r="AI430" s="5" t="s">
        <v>388</v>
      </c>
      <c r="AJ430" s="5" t="s">
        <v>2998</v>
      </c>
      <c r="AK430" s="5">
        <v>610422100174</v>
      </c>
      <c r="AL430" s="5" t="e">
        <f t="shared" si="3"/>
        <v>#VALUE!</v>
      </c>
    </row>
    <row r="431" spans="1:38" ht="12.5">
      <c r="A431" s="10" t="str">
        <f t="shared" si="0"/>
        <v>Zaini</v>
      </c>
      <c r="B431" s="5">
        <f t="shared" si="1"/>
        <v>610422040029</v>
      </c>
      <c r="C431" s="5" t="str">
        <f t="shared" si="2"/>
        <v>Zaini</v>
      </c>
      <c r="D431" s="5" t="s">
        <v>363</v>
      </c>
      <c r="E431" s="5" t="e">
        <f t="array" ref="E431">INDEX('Master SLS'!$H$2:$H998,MATCH($AL431,'Master SLS'!$K$2:$K998,0))</f>
        <v>#VALUE!</v>
      </c>
      <c r="F431" s="5" t="e">
        <f t="array" ref="F431">INDEX('Master SLS'!$I$2:$I998,MATCH($AL431,'Master SLS'!$K$2:$K998,0))</f>
        <v>#VALUE!</v>
      </c>
      <c r="G431" s="5" t="s">
        <v>2999</v>
      </c>
      <c r="H431" s="5" t="s">
        <v>3000</v>
      </c>
      <c r="I431" s="5" t="s">
        <v>366</v>
      </c>
      <c r="J431" s="5">
        <v>1</v>
      </c>
      <c r="K431" s="5" t="s">
        <v>3001</v>
      </c>
      <c r="L431" s="5">
        <v>61</v>
      </c>
      <c r="M431" s="5">
        <v>4</v>
      </c>
      <c r="N431" s="5">
        <v>100</v>
      </c>
      <c r="O431" s="5">
        <v>7</v>
      </c>
      <c r="P431" s="5" t="s">
        <v>3002</v>
      </c>
      <c r="Q431" s="5">
        <v>1</v>
      </c>
      <c r="R431" s="74">
        <v>31964</v>
      </c>
      <c r="T431" s="5">
        <v>1</v>
      </c>
      <c r="U431" s="5">
        <v>1</v>
      </c>
      <c r="V431" s="5">
        <v>2</v>
      </c>
      <c r="W431" s="5">
        <v>3</v>
      </c>
      <c r="X431" s="5">
        <v>7</v>
      </c>
      <c r="Y431" s="5" t="s">
        <v>3003</v>
      </c>
      <c r="AA431" s="5">
        <v>1</v>
      </c>
      <c r="AB431" s="5">
        <v>1</v>
      </c>
      <c r="AC431" s="5">
        <v>1</v>
      </c>
      <c r="AD431" s="5">
        <v>1</v>
      </c>
      <c r="AE431" s="5">
        <v>1</v>
      </c>
      <c r="AF431" s="5">
        <v>1</v>
      </c>
      <c r="AG431" s="5">
        <v>0</v>
      </c>
      <c r="AI431" s="5" t="s">
        <v>366</v>
      </c>
      <c r="AJ431" s="5" t="s">
        <v>3004</v>
      </c>
      <c r="AK431" s="5">
        <v>610422040029</v>
      </c>
      <c r="AL431" s="5" t="e">
        <f t="shared" si="3"/>
        <v>#VALUE!</v>
      </c>
    </row>
    <row r="432" spans="1:38" ht="12.5">
      <c r="A432" s="10" t="str">
        <f t="shared" si="0"/>
        <v>Zakiah</v>
      </c>
      <c r="B432" s="5">
        <f t="shared" si="1"/>
        <v>610422100064</v>
      </c>
      <c r="C432" s="5" t="str">
        <f t="shared" si="2"/>
        <v>Zakiah</v>
      </c>
      <c r="D432" s="5" t="s">
        <v>363</v>
      </c>
      <c r="E432" s="5" t="e">
        <f t="array" ref="E432">INDEX('Master SLS'!$H$2:$H998,MATCH($AL432,'Master SLS'!$K$2:$K998,0))</f>
        <v>#VALUE!</v>
      </c>
      <c r="F432" s="5" t="e">
        <f t="array" ref="F432">INDEX('Master SLS'!$I$2:$I998,MATCH($AL432,'Master SLS'!$K$2:$K998,0))</f>
        <v>#VALUE!</v>
      </c>
      <c r="G432" s="5" t="s">
        <v>3005</v>
      </c>
      <c r="H432" s="5" t="s">
        <v>3006</v>
      </c>
      <c r="I432" s="5" t="s">
        <v>388</v>
      </c>
      <c r="J432" s="5">
        <v>1</v>
      </c>
      <c r="K432" s="5" t="s">
        <v>3007</v>
      </c>
      <c r="L432" s="5">
        <v>61</v>
      </c>
      <c r="M432" s="5">
        <v>4</v>
      </c>
      <c r="N432" s="5">
        <v>90</v>
      </c>
      <c r="O432" s="5">
        <v>11</v>
      </c>
      <c r="P432" s="5" t="s">
        <v>3008</v>
      </c>
      <c r="Q432" s="5">
        <v>1</v>
      </c>
      <c r="R432" s="74">
        <v>35554</v>
      </c>
      <c r="T432" s="5">
        <v>0</v>
      </c>
      <c r="U432" s="5">
        <v>1</v>
      </c>
      <c r="V432" s="5">
        <v>1</v>
      </c>
      <c r="W432" s="5">
        <v>5</v>
      </c>
      <c r="X432" s="5">
        <v>7</v>
      </c>
      <c r="Y432" s="5" t="s">
        <v>3009</v>
      </c>
      <c r="AA432" s="5">
        <v>0</v>
      </c>
      <c r="AB432" s="5">
        <v>0</v>
      </c>
      <c r="AC432" s="5">
        <v>0</v>
      </c>
      <c r="AD432" s="5">
        <v>0</v>
      </c>
      <c r="AE432" s="5">
        <v>0</v>
      </c>
      <c r="AF432" s="5">
        <v>0</v>
      </c>
      <c r="AG432" s="5">
        <v>0</v>
      </c>
      <c r="AH432" s="5" t="s">
        <v>3010</v>
      </c>
      <c r="AI432" s="5" t="s">
        <v>388</v>
      </c>
      <c r="AJ432" s="5" t="s">
        <v>3011</v>
      </c>
      <c r="AK432" s="5">
        <v>610422100064</v>
      </c>
      <c r="AL432" s="5" t="e">
        <f t="shared" si="3"/>
        <v>#VALUE!</v>
      </c>
    </row>
    <row r="433" spans="1:38" ht="12.5">
      <c r="A433" s="10" t="str">
        <f t="shared" si="0"/>
        <v>Zuliansyah</v>
      </c>
      <c r="B433" s="5">
        <f t="shared" si="1"/>
        <v>610422040055</v>
      </c>
      <c r="C433" s="5" t="str">
        <f t="shared" si="2"/>
        <v>Zuliansyah</v>
      </c>
      <c r="D433" s="5" t="s">
        <v>363</v>
      </c>
      <c r="E433" s="5" t="e">
        <f t="array" ref="E433">INDEX('Master SLS'!$H$2:$H998,MATCH($AL433,'Master SLS'!$K$2:$K998,0))</f>
        <v>#VALUE!</v>
      </c>
      <c r="F433" s="5" t="e">
        <f t="array" ref="F433">INDEX('Master SLS'!$I$2:$I998,MATCH($AL433,'Master SLS'!$K$2:$K998,0))</f>
        <v>#VALUE!</v>
      </c>
      <c r="G433" s="5" t="s">
        <v>3012</v>
      </c>
      <c r="H433" s="5" t="s">
        <v>3013</v>
      </c>
      <c r="I433" s="5" t="s">
        <v>366</v>
      </c>
      <c r="J433" s="5">
        <v>1</v>
      </c>
      <c r="K433" s="5" t="s">
        <v>3014</v>
      </c>
      <c r="L433" s="5">
        <v>61</v>
      </c>
      <c r="M433" s="5">
        <v>4</v>
      </c>
      <c r="N433" s="5">
        <v>81</v>
      </c>
      <c r="O433" s="5">
        <v>2</v>
      </c>
      <c r="P433" s="5" t="s">
        <v>3015</v>
      </c>
      <c r="Q433" s="5">
        <v>1</v>
      </c>
      <c r="R433" s="74">
        <v>36930</v>
      </c>
      <c r="T433" s="5">
        <v>1</v>
      </c>
      <c r="U433" s="5">
        <v>1</v>
      </c>
      <c r="V433" s="5">
        <v>1</v>
      </c>
      <c r="W433" s="5">
        <v>3</v>
      </c>
      <c r="X433" s="5">
        <v>6</v>
      </c>
      <c r="AA433" s="5">
        <v>1</v>
      </c>
      <c r="AB433" s="5">
        <v>1</v>
      </c>
      <c r="AC433" s="5">
        <v>0</v>
      </c>
      <c r="AD433" s="5">
        <v>1</v>
      </c>
      <c r="AE433" s="5">
        <v>0</v>
      </c>
      <c r="AF433" s="5">
        <v>0</v>
      </c>
      <c r="AG433" s="5">
        <v>0</v>
      </c>
      <c r="AI433" s="5" t="s">
        <v>366</v>
      </c>
      <c r="AJ433" s="5" t="s">
        <v>3016</v>
      </c>
      <c r="AK433" s="5">
        <v>610422040055</v>
      </c>
      <c r="AL433" s="5" t="e">
        <f t="shared" si="3"/>
        <v>#VALUE!</v>
      </c>
    </row>
    <row r="434" spans="1:38" ht="12.5">
      <c r="A434" s="10" t="str">
        <f t="shared" si="0"/>
        <v>Zulistian Ariffandy</v>
      </c>
      <c r="B434" s="5">
        <f t="shared" si="1"/>
        <v>610423110127</v>
      </c>
      <c r="C434" s="5" t="str">
        <f t="shared" si="2"/>
        <v>Zulistian Ariffandy</v>
      </c>
      <c r="D434" s="5" t="s">
        <v>363</v>
      </c>
      <c r="E434" s="5" t="e">
        <f t="array" ref="E434">INDEX('Master SLS'!$H$2:$H998,MATCH($AL434,'Master SLS'!$K$2:$K998,0))</f>
        <v>#VALUE!</v>
      </c>
      <c r="F434" s="5" t="e">
        <f t="array" ref="F434">INDEX('Master SLS'!$I$2:$I998,MATCH($AL434,'Master SLS'!$K$2:$K998,0))</f>
        <v>#VALUE!</v>
      </c>
      <c r="G434" s="5" t="s">
        <v>3017</v>
      </c>
      <c r="H434" s="5" t="s">
        <v>3018</v>
      </c>
      <c r="I434" s="5" t="s">
        <v>388</v>
      </c>
      <c r="J434" s="5">
        <v>1</v>
      </c>
      <c r="K434" s="5" t="s">
        <v>3019</v>
      </c>
      <c r="L434" s="5">
        <v>61</v>
      </c>
      <c r="M434" s="5">
        <v>4</v>
      </c>
      <c r="N434" s="5">
        <v>100</v>
      </c>
      <c r="O434" s="5">
        <v>14</v>
      </c>
      <c r="P434" s="5" t="s">
        <v>3020</v>
      </c>
      <c r="Q434" s="5">
        <v>1</v>
      </c>
      <c r="R434" s="74">
        <v>30910</v>
      </c>
      <c r="S434" s="5" t="s">
        <v>3021</v>
      </c>
      <c r="T434" s="5">
        <v>1</v>
      </c>
      <c r="U434" s="5">
        <v>1</v>
      </c>
      <c r="V434" s="5">
        <v>2</v>
      </c>
      <c r="W434" s="5">
        <v>5</v>
      </c>
      <c r="X434" s="5">
        <v>7</v>
      </c>
      <c r="Y434" s="5" t="s">
        <v>3022</v>
      </c>
      <c r="AA434" s="5">
        <v>0</v>
      </c>
      <c r="AB434" s="5">
        <v>0</v>
      </c>
      <c r="AC434" s="5">
        <v>0</v>
      </c>
      <c r="AD434" s="5">
        <v>0</v>
      </c>
      <c r="AE434" s="5">
        <v>0</v>
      </c>
      <c r="AF434" s="5">
        <v>0</v>
      </c>
      <c r="AG434" s="5">
        <v>0</v>
      </c>
      <c r="AH434" s="5" t="s">
        <v>3023</v>
      </c>
      <c r="AI434" s="5" t="s">
        <v>388</v>
      </c>
      <c r="AJ434" s="5" t="s">
        <v>3024</v>
      </c>
      <c r="AK434" s="5">
        <v>610423110127</v>
      </c>
      <c r="AL434" s="5" t="e">
        <f t="shared" si="3"/>
        <v>#VALUE!</v>
      </c>
    </row>
    <row r="438" spans="1:38" ht="12.5">
      <c r="F438" s="10" t="str">
        <f ca="1">IFERROR(__xludf.DUMMYFUNCTION("UNIQUE(E2:E998)"),"MEMPAWAH HILIR")</f>
        <v>MEMPAWAH HILIR</v>
      </c>
    </row>
    <row r="439" spans="1:38" ht="12.5">
      <c r="F439" s="10" t="str">
        <f ca="1">IFERROR(__xludf.DUMMYFUNCTION("""COMPUTED_VALUE"""),"SUNGAI PINYUH")</f>
        <v>SUNGAI PINYUH</v>
      </c>
    </row>
    <row r="440" spans="1:38" ht="12.5">
      <c r="F440" s="10" t="str">
        <f ca="1">IFERROR(__xludf.DUMMYFUNCTION("""COMPUTED_VALUE"""),"TOHO")</f>
        <v>TOHO</v>
      </c>
    </row>
    <row r="441" spans="1:38" ht="12.5">
      <c r="F441" s="10" t="str">
        <f ca="1">IFERROR(__xludf.DUMMYFUNCTION("""COMPUTED_VALUE"""),"JONGKAT")</f>
        <v>JONGKAT</v>
      </c>
    </row>
    <row r="442" spans="1:38" ht="12.5">
      <c r="F442" s="10" t="str">
        <f ca="1">IFERROR(__xludf.DUMMYFUNCTION("""COMPUTED_VALUE"""),"SUNGAI KUNYIT")</f>
        <v>SUNGAI KUNYIT</v>
      </c>
    </row>
    <row r="443" spans="1:38" ht="12.5">
      <c r="F443" s="10" t="str">
        <f ca="1">IFERROR(__xludf.DUMMYFUNCTION("""COMPUTED_VALUE"""),"MEMPAWAH TIMUR")</f>
        <v>MEMPAWAH TIMUR</v>
      </c>
    </row>
    <row r="444" spans="1:38" ht="12.5">
      <c r="F444" s="10" t="str">
        <f ca="1">IFERROR(__xludf.DUMMYFUNCTION("""COMPUTED_VALUE"""),"SADANIANG")</f>
        <v>SADANIANG</v>
      </c>
    </row>
    <row r="445" spans="1:38" ht="12.5">
      <c r="F445" s="10" t="str">
        <f ca="1">IFERROR(__xludf.DUMMYFUNCTION("""COMPUTED_VALUE"""),"SEGEDONG")</f>
        <v>SEGEDONG</v>
      </c>
    </row>
    <row r="446" spans="1:38" ht="12.5">
      <c r="F446" s="10" t="str">
        <f ca="1">IFERROR(__xludf.DUMMYFUNCTION("""COMPUTED_VALUE"""),"PONTIANAK UTARA")</f>
        <v>PONTIANAK UTARA</v>
      </c>
    </row>
    <row r="447" spans="1:38" ht="12.5">
      <c r="F447" s="10" t="str">
        <f ca="1">IFERROR(__xludf.DUMMYFUNCTION("""COMPUTED_VALUE"""),"PONTIANAK BARAT")</f>
        <v>PONTIANAK BARAT</v>
      </c>
    </row>
    <row r="448" spans="1:38" ht="12.5">
      <c r="F448" s="10" t="str">
        <f ca="1">IFERROR(__xludf.DUMMYFUNCTION("""COMPUTED_VALUE"""),"ANJONGAN")</f>
        <v>ANJONGAN</v>
      </c>
    </row>
    <row r="449" spans="6:6" ht="12.5">
      <c r="F449" s="10" t="str">
        <f ca="1">IFERROR(__xludf.DUMMYFUNCTION("""COMPUTED_VALUE"""),"PONTIANAK TIMUR")</f>
        <v>PONTIANAK TIMUR</v>
      </c>
    </row>
    <row r="450" spans="6:6" ht="12.5">
      <c r="F450" s="10" t="str">
        <f ca="1">IFERROR(__xludf.DUMMYFUNCTION("""COMPUTED_VALUE"""),"PONTIANAK SELATAN")</f>
        <v>PONTIANAK SELATAN</v>
      </c>
    </row>
    <row r="451" spans="6:6" ht="12.5">
      <c r="F451" s="10" t="str">
        <f ca="1">IFERROR(__xludf.DUMMYFUNCTION("""COMPUTED_VALUE"""),"PONTIANAK TENGGARA")</f>
        <v>PONTIANAK TENGGARA</v>
      </c>
    </row>
    <row r="452" spans="6:6" ht="12.5">
      <c r="F452" s="10" t="str">
        <f ca="1">IFERROR(__xludf.DUMMYFUNCTION("""COMPUTED_VALUE"""),"PONTIANAK KOTA")</f>
        <v>PONTIANAK KOTA</v>
      </c>
    </row>
    <row r="453" spans="6:6" ht="12.5">
      <c r="F453" s="10"/>
    </row>
  </sheetData>
  <autoFilter ref="A1:AL432" xr:uid="{00000000-0009-0000-0000-000003000000}"/>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outlinePr summaryBelow="0" summaryRight="0"/>
  </sheetPr>
  <dimension ref="A1:Q1001"/>
  <sheetViews>
    <sheetView workbookViewId="0">
      <pane ySplit="1" topLeftCell="A2" activePane="bottomLeft" state="frozen"/>
      <selection pane="bottomLeft" activeCell="B3" sqref="B3"/>
    </sheetView>
  </sheetViews>
  <sheetFormatPr defaultColWidth="12.6328125" defaultRowHeight="15.75" customHeight="1"/>
  <sheetData>
    <row r="1" spans="1:17">
      <c r="A1" s="2" t="s">
        <v>3025</v>
      </c>
      <c r="B1" s="2" t="s">
        <v>3026</v>
      </c>
      <c r="C1" s="77" t="str">
        <f ca="1">INDIRECT("'Alokasi Honor'!A$1:O1")</f>
        <v>belum_ada</v>
      </c>
      <c r="D1" s="78" t="s">
        <v>3</v>
      </c>
      <c r="E1" s="78" t="s">
        <v>58</v>
      </c>
      <c r="F1" s="78" t="s">
        <v>12</v>
      </c>
      <c r="G1" s="78" t="s">
        <v>59</v>
      </c>
      <c r="H1" s="78" t="s">
        <v>17</v>
      </c>
      <c r="I1" s="78" t="s">
        <v>60</v>
      </c>
      <c r="J1" s="78" t="s">
        <v>61</v>
      </c>
      <c r="K1" s="78" t="s">
        <v>62</v>
      </c>
      <c r="L1" s="78" t="s">
        <v>7</v>
      </c>
      <c r="M1" s="79" t="s">
        <v>8</v>
      </c>
      <c r="N1" s="78" t="s">
        <v>9</v>
      </c>
      <c r="O1" s="78" t="s">
        <v>10</v>
      </c>
      <c r="P1" s="80" t="s">
        <v>63</v>
      </c>
      <c r="Q1" s="81" t="s">
        <v>6</v>
      </c>
    </row>
    <row r="2" spans="1:17" ht="15.75" customHeight="1">
      <c r="A2" s="82">
        <f t="array" aca="1" ref="A2" ca="1">INDEX('Database Mitra'!$R$2:$R1001,MATCH(C2,'Database Mitra'!$B$2:$B1001,0))</f>
        <v>31773</v>
      </c>
      <c r="B2" s="10" t="e">
        <f t="shared" ref="B2:B1000" ca="1" si="0">FLOOR(_xludf.DAYS(NOW(),A2)/365,1)</f>
        <v>#NAME?</v>
      </c>
      <c r="C2" s="83">
        <f ca="1">IFERROR(__xludf.DUMMYFUNCTION("FILTER('Alokasi Honor'!A$1:O1001,'Alokasi Honor'!O$1:O1001&lt;NOW())"),610422030002)</f>
        <v>610422030002</v>
      </c>
      <c r="D2" s="10" t="str">
        <f ca="1">IFERROR(__xludf.DUMMYFUNCTION("""COMPUTED_VALUE"""),"SHPB24-LAPANGAN-JANUARI")</f>
        <v>SHPB24-LAPANGAN-JANUARI</v>
      </c>
      <c r="E2" s="10"/>
      <c r="F2" s="10">
        <f ca="1">IFERROR(__xludf.DUMMYFUNCTION("""COMPUTED_VALUE"""),1)</f>
        <v>1</v>
      </c>
      <c r="G2" s="10" t="str">
        <f ca="1">IFERROR(__xludf.DUMMYFUNCTION("""COMPUTED_VALUE"""),"Deti Erni Widiastuti")</f>
        <v>Deti Erni Widiastuti</v>
      </c>
      <c r="H2" s="10" t="str">
        <f ca="1">IFERROR(__xludf.DUMMYFUNCTION("""COMPUTED_VALUE"""),"PPL")</f>
        <v>PPL</v>
      </c>
      <c r="I2" s="10" t="str">
        <f ca="1">IFERROR(__xludf.DUMMYFUNCTION("""COMPUTED_VALUE"""),"6102016712860001")</f>
        <v>6102016712860001</v>
      </c>
      <c r="J2" s="10" t="str">
        <f ca="1">IFERROR(__xludf.DUMMYFUNCTION("""COMPUTED_VALUE"""),"PENDATAAN")</f>
        <v>PENDATAAN</v>
      </c>
      <c r="K2" s="10" t="str">
        <f ca="1">IFERROR(__xludf.DUMMYFUNCTION("""COMPUTED_VALUE"""),"SHPB24-LAPANGAN-JANUARI-PPL-PENDATAAN")</f>
        <v>SHPB24-LAPANGAN-JANUARI-PPL-PENDATAAN</v>
      </c>
      <c r="L2" s="10" t="str">
        <f ca="1">IFERROR(__xludf.DUMMYFUNCTION("""COMPUTED_VALUE"""),"Dokumen")</f>
        <v>Dokumen</v>
      </c>
      <c r="M2" s="66">
        <f ca="1">IFERROR(__xludf.DUMMYFUNCTION("""COMPUTED_VALUE"""),50000)</f>
        <v>50000</v>
      </c>
      <c r="N2" s="10">
        <f ca="1">IFERROR(__xludf.DUMMYFUNCTION("""COMPUTED_VALUE"""),15)</f>
        <v>15</v>
      </c>
      <c r="O2" s="10">
        <f ca="1">IFERROR(__xludf.DUMMYFUNCTION("""COMPUTED_VALUE"""),750000)</f>
        <v>750000</v>
      </c>
      <c r="P2" s="10"/>
      <c r="Q2" s="67">
        <f ca="1">IFERROR(__xludf.DUMMYFUNCTION("""COMPUTED_VALUE"""),45311)</f>
        <v>45311</v>
      </c>
    </row>
    <row r="3" spans="1:17" ht="15.75" customHeight="1">
      <c r="A3" s="82">
        <f t="array" aca="1" ref="A3" ca="1">INDEX('Database Mitra'!$R$2:$R1001,MATCH(C3,'Database Mitra'!$B$2:$B1001,0))</f>
        <v>32942</v>
      </c>
      <c r="B3" s="10" t="e">
        <f t="shared" ca="1" si="0"/>
        <v>#NAME?</v>
      </c>
      <c r="C3" s="83">
        <f ca="1">IFERROR(__xludf.DUMMYFUNCTION("""COMPUTED_VALUE"""),610422100244)</f>
        <v>610422100244</v>
      </c>
      <c r="D3" s="10" t="str">
        <f ca="1">IFERROR(__xludf.DUMMYFUNCTION("""COMPUTED_VALUE"""),"HPG24-LAPANGAN-JANUARI")</f>
        <v>HPG24-LAPANGAN-JANUARI</v>
      </c>
      <c r="E3" s="10"/>
      <c r="F3" s="10">
        <f ca="1">IFERROR(__xludf.DUMMYFUNCTION("""COMPUTED_VALUE"""),1)</f>
        <v>1</v>
      </c>
      <c r="G3" s="10" t="str">
        <f ca="1">IFERROR(__xludf.DUMMYFUNCTION("""COMPUTED_VALUE"""),"Sugianto")</f>
        <v>Sugianto</v>
      </c>
      <c r="H3" s="10" t="str">
        <f ca="1">IFERROR(__xludf.DUMMYFUNCTION("""COMPUTED_VALUE"""),"PPL")</f>
        <v>PPL</v>
      </c>
      <c r="I3" s="10" t="str">
        <f ca="1">IFERROR(__xludf.DUMMYFUNCTION("""COMPUTED_VALUE"""),"6102171003900002")</f>
        <v>6102171003900002</v>
      </c>
      <c r="J3" s="10" t="str">
        <f ca="1">IFERROR(__xludf.DUMMYFUNCTION("""COMPUTED_VALUE"""),"PENDATAAN")</f>
        <v>PENDATAAN</v>
      </c>
      <c r="K3" s="10" t="str">
        <f ca="1">IFERROR(__xludf.DUMMYFUNCTION("""COMPUTED_VALUE"""),"HPG24-LAPANGAN-JANUARI-PPL-PENDATAAN")</f>
        <v>HPG24-LAPANGAN-JANUARI-PPL-PENDATAAN</v>
      </c>
      <c r="L3" s="10" t="str">
        <f ca="1">IFERROR(__xludf.DUMMYFUNCTION("""COMPUTED_VALUE"""),"Dokumen")</f>
        <v>Dokumen</v>
      </c>
      <c r="M3" s="66">
        <f ca="1">IFERROR(__xludf.DUMMYFUNCTION("""COMPUTED_VALUE"""),50000)</f>
        <v>50000</v>
      </c>
      <c r="N3" s="10">
        <f ca="1">IFERROR(__xludf.DUMMYFUNCTION("""COMPUTED_VALUE"""),1)</f>
        <v>1</v>
      </c>
      <c r="O3" s="10">
        <f ca="1">IFERROR(__xludf.DUMMYFUNCTION("""COMPUTED_VALUE"""),50000)</f>
        <v>50000</v>
      </c>
      <c r="P3" s="10"/>
      <c r="Q3" s="67">
        <f ca="1">IFERROR(__xludf.DUMMYFUNCTION("""COMPUTED_VALUE"""),45311)</f>
        <v>45311</v>
      </c>
    </row>
    <row r="4" spans="1:17" ht="15.75" customHeight="1">
      <c r="A4" s="82">
        <f t="array" aca="1" ref="A4" ca="1">INDEX('Database Mitra'!$R$2:$R1001,MATCH(C4,'Database Mitra'!$B$2:$B1001,0))</f>
        <v>29068</v>
      </c>
      <c r="B4" s="10" t="e">
        <f t="shared" ca="1" si="0"/>
        <v>#NAME?</v>
      </c>
      <c r="C4" s="83">
        <f ca="1">IFERROR(__xludf.DUMMYFUNCTION("""COMPUTED_VALUE"""),610422100124)</f>
        <v>610422100124</v>
      </c>
      <c r="D4" s="10" t="str">
        <f ca="1">IFERROR(__xludf.DUMMYFUNCTION("""COMPUTED_VALUE"""),"HPG24-LAPANGAN-JANUARI")</f>
        <v>HPG24-LAPANGAN-JANUARI</v>
      </c>
      <c r="E4" s="10"/>
      <c r="F4" s="10">
        <f ca="1">IFERROR(__xludf.DUMMYFUNCTION("""COMPUTED_VALUE"""),1)</f>
        <v>1</v>
      </c>
      <c r="G4" s="10" t="str">
        <f ca="1">IFERROR(__xludf.DUMMYFUNCTION("""COMPUTED_VALUE"""),"Prabowo")</f>
        <v>Prabowo</v>
      </c>
      <c r="H4" s="10" t="str">
        <f ca="1">IFERROR(__xludf.DUMMYFUNCTION("""COMPUTED_VALUE"""),"PPL")</f>
        <v>PPL</v>
      </c>
      <c r="I4" s="10" t="str">
        <f ca="1">IFERROR(__xludf.DUMMYFUNCTION("""COMPUTED_VALUE"""),"6171010108790015")</f>
        <v>6171010108790015</v>
      </c>
      <c r="J4" s="10" t="str">
        <f ca="1">IFERROR(__xludf.DUMMYFUNCTION("""COMPUTED_VALUE"""),"PENDATAAN")</f>
        <v>PENDATAAN</v>
      </c>
      <c r="K4" s="10" t="str">
        <f ca="1">IFERROR(__xludf.DUMMYFUNCTION("""COMPUTED_VALUE"""),"HPG24-LAPANGAN-JANUARI-PPL-PENDATAAN")</f>
        <v>HPG24-LAPANGAN-JANUARI-PPL-PENDATAAN</v>
      </c>
      <c r="L4" s="10" t="str">
        <f ca="1">IFERROR(__xludf.DUMMYFUNCTION("""COMPUTED_VALUE"""),"Dokumen")</f>
        <v>Dokumen</v>
      </c>
      <c r="M4" s="66">
        <f ca="1">IFERROR(__xludf.DUMMYFUNCTION("""COMPUTED_VALUE"""),50000)</f>
        <v>50000</v>
      </c>
      <c r="N4" s="10">
        <f ca="1">IFERROR(__xludf.DUMMYFUNCTION("""COMPUTED_VALUE"""),1)</f>
        <v>1</v>
      </c>
      <c r="O4" s="10">
        <f ca="1">IFERROR(__xludf.DUMMYFUNCTION("""COMPUTED_VALUE"""),50000)</f>
        <v>50000</v>
      </c>
      <c r="P4" s="10"/>
      <c r="Q4" s="67">
        <f ca="1">IFERROR(__xludf.DUMMYFUNCTION("""COMPUTED_VALUE"""),45311)</f>
        <v>45311</v>
      </c>
    </row>
    <row r="5" spans="1:17" ht="15.75" customHeight="1">
      <c r="A5" s="82">
        <f t="array" aca="1" ref="A5" ca="1">INDEX('Database Mitra'!$R$2:$R1001,MATCH(C5,'Database Mitra'!$B$2:$B1001,0))</f>
        <v>35501</v>
      </c>
      <c r="B5" s="10" t="e">
        <f t="shared" ca="1" si="0"/>
        <v>#NAME?</v>
      </c>
      <c r="C5" s="83">
        <f ca="1">IFERROR(__xludf.DUMMYFUNCTION("""COMPUTED_VALUE"""),610422020008)</f>
        <v>610422020008</v>
      </c>
      <c r="D5" s="10" t="str">
        <f ca="1">IFERROR(__xludf.DUMMYFUNCTION("""COMPUTED_VALUE"""),"SHPED24-LAPANGAN-JANUARI")</f>
        <v>SHPED24-LAPANGAN-JANUARI</v>
      </c>
      <c r="E5" s="10"/>
      <c r="F5" s="10">
        <f ca="1">IFERROR(__xludf.DUMMYFUNCTION("""COMPUTED_VALUE"""),1)</f>
        <v>1</v>
      </c>
      <c r="G5" s="10" t="str">
        <f ca="1">IFERROR(__xludf.DUMMYFUNCTION("""COMPUTED_VALUE"""),"Ilfi Nur Diana")</f>
        <v>Ilfi Nur Diana</v>
      </c>
      <c r="H5" s="10" t="str">
        <f ca="1">IFERROR(__xludf.DUMMYFUNCTION("""COMPUTED_VALUE"""),"PPL")</f>
        <v>PPL</v>
      </c>
      <c r="I5" s="10" t="str">
        <f ca="1">IFERROR(__xludf.DUMMYFUNCTION("""COMPUTED_VALUE"""),"6102125203970003")</f>
        <v>6102125203970003</v>
      </c>
      <c r="J5" s="10" t="str">
        <f ca="1">IFERROR(__xludf.DUMMYFUNCTION("""COMPUTED_VALUE"""),"PENDATAAN KONSUMEN")</f>
        <v>PENDATAAN KONSUMEN</v>
      </c>
      <c r="K5" s="10" t="str">
        <f ca="1">IFERROR(__xludf.DUMMYFUNCTION("""COMPUTED_VALUE"""),"SHPED24-LAPANGAN-JANUARI-PPL-PENDATAAN KONSUMEN")</f>
        <v>SHPED24-LAPANGAN-JANUARI-PPL-PENDATAAN KONSUMEN</v>
      </c>
      <c r="L5" s="10" t="str">
        <f ca="1">IFERROR(__xludf.DUMMYFUNCTION("""COMPUTED_VALUE"""),"Dokumen")</f>
        <v>Dokumen</v>
      </c>
      <c r="M5" s="66">
        <f ca="1">IFERROR(__xludf.DUMMYFUNCTION("""COMPUTED_VALUE"""),65000)</f>
        <v>65000</v>
      </c>
      <c r="N5" s="10">
        <f ca="1">IFERROR(__xludf.DUMMYFUNCTION("""COMPUTED_VALUE"""),3)</f>
        <v>3</v>
      </c>
      <c r="O5" s="10">
        <f ca="1">IFERROR(__xludf.DUMMYFUNCTION("""COMPUTED_VALUE"""),195000)</f>
        <v>195000</v>
      </c>
      <c r="P5" s="10"/>
      <c r="Q5" s="67">
        <f ca="1">IFERROR(__xludf.DUMMYFUNCTION("""COMPUTED_VALUE"""),45311)</f>
        <v>45311</v>
      </c>
    </row>
    <row r="6" spans="1:17" ht="15.75" customHeight="1">
      <c r="A6" s="82">
        <f t="array" aca="1" ref="A6" ca="1">INDEX('Database Mitra'!$R$2:$R1001,MATCH(C6,'Database Mitra'!$B$2:$B1001,0))</f>
        <v>30692</v>
      </c>
      <c r="B6" s="10" t="e">
        <f t="shared" ca="1" si="0"/>
        <v>#NAME?</v>
      </c>
      <c r="C6" s="83">
        <f ca="1">IFERROR(__xludf.DUMMYFUNCTION("""COMPUTED_VALUE"""),610422050001)</f>
        <v>610422050001</v>
      </c>
      <c r="D6" s="10" t="str">
        <f ca="1">IFERROR(__xludf.DUMMYFUNCTION("""COMPUTED_VALUE"""),"SHPED24-LAPANGAN-JANUARI")</f>
        <v>SHPED24-LAPANGAN-JANUARI</v>
      </c>
      <c r="E6" s="10"/>
      <c r="F6" s="10">
        <f ca="1">IFERROR(__xludf.DUMMYFUNCTION("""COMPUTED_VALUE"""),1)</f>
        <v>1</v>
      </c>
      <c r="G6" s="10" t="str">
        <f ca="1">IFERROR(__xludf.DUMMYFUNCTION("""COMPUTED_VALUE"""),"Evi Juniarty")</f>
        <v>Evi Juniarty</v>
      </c>
      <c r="H6" s="10" t="str">
        <f ca="1">IFERROR(__xludf.DUMMYFUNCTION("""COMPUTED_VALUE"""),"PPL")</f>
        <v>PPL</v>
      </c>
      <c r="I6" s="10" t="str">
        <f ca="1">IFERROR(__xludf.DUMMYFUNCTION("""COMPUTED_VALUE"""),"6102165101840001")</f>
        <v>6102165101840001</v>
      </c>
      <c r="J6" s="10" t="str">
        <f ca="1">IFERROR(__xludf.DUMMYFUNCTION("""COMPUTED_VALUE"""),"PENDATAAN KONSUMEN")</f>
        <v>PENDATAAN KONSUMEN</v>
      </c>
      <c r="K6" s="10" t="str">
        <f ca="1">IFERROR(__xludf.DUMMYFUNCTION("""COMPUTED_VALUE"""),"SHPED24-LAPANGAN-JANUARI-PPL-PENDATAAN KONSUMEN")</f>
        <v>SHPED24-LAPANGAN-JANUARI-PPL-PENDATAAN KONSUMEN</v>
      </c>
      <c r="L6" s="10" t="str">
        <f ca="1">IFERROR(__xludf.DUMMYFUNCTION("""COMPUTED_VALUE"""),"Dokumen")</f>
        <v>Dokumen</v>
      </c>
      <c r="M6" s="66">
        <f ca="1">IFERROR(__xludf.DUMMYFUNCTION("""COMPUTED_VALUE"""),65000)</f>
        <v>65000</v>
      </c>
      <c r="N6" s="10">
        <f ca="1">IFERROR(__xludf.DUMMYFUNCTION("""COMPUTED_VALUE"""),3)</f>
        <v>3</v>
      </c>
      <c r="O6" s="10">
        <f ca="1">IFERROR(__xludf.DUMMYFUNCTION("""COMPUTED_VALUE"""),195000)</f>
        <v>195000</v>
      </c>
      <c r="P6" s="10"/>
      <c r="Q6" s="67">
        <f ca="1">IFERROR(__xludf.DUMMYFUNCTION("""COMPUTED_VALUE"""),45311)</f>
        <v>45311</v>
      </c>
    </row>
    <row r="7" spans="1:17" ht="15.75" customHeight="1">
      <c r="A7" s="82">
        <f t="array" aca="1" ref="A7" ca="1">INDEX('Database Mitra'!$R$2:$R1001,MATCH(C7,'Database Mitra'!$B$2:$B1001,0))</f>
        <v>35038</v>
      </c>
      <c r="B7" s="10" t="e">
        <f t="shared" ca="1" si="0"/>
        <v>#NAME?</v>
      </c>
      <c r="C7" s="83">
        <f ca="1">IFERROR(__xludf.DUMMYFUNCTION("""COMPUTED_VALUE"""),610422040030)</f>
        <v>610422040030</v>
      </c>
      <c r="D7" s="10" t="str">
        <f ca="1">IFERROR(__xludf.DUMMYFUNCTION("""COMPUTED_VALUE"""),"SHPED24-LAPANGAN-JANUARI")</f>
        <v>SHPED24-LAPANGAN-JANUARI</v>
      </c>
      <c r="E7" s="10"/>
      <c r="F7" s="10">
        <f ca="1">IFERROR(__xludf.DUMMYFUNCTION("""COMPUTED_VALUE"""),1)</f>
        <v>1</v>
      </c>
      <c r="G7" s="10" t="str">
        <f ca="1">IFERROR(__xludf.DUMMYFUNCTION("""COMPUTED_VALUE"""),"Syarifah Desti Pratiwi")</f>
        <v>Syarifah Desti Pratiwi</v>
      </c>
      <c r="H7" s="10" t="str">
        <f ca="1">IFERROR(__xludf.DUMMYFUNCTION("""COMPUTED_VALUE"""),"PPL")</f>
        <v>PPL</v>
      </c>
      <c r="I7" s="10" t="str">
        <f ca="1">IFERROR(__xludf.DUMMYFUNCTION("""COMPUTED_VALUE"""),"6102084512950002")</f>
        <v>6102084512950002</v>
      </c>
      <c r="J7" s="10" t="str">
        <f ca="1">IFERROR(__xludf.DUMMYFUNCTION("""COMPUTED_VALUE"""),"PENDATAAN PRODUSEN")</f>
        <v>PENDATAAN PRODUSEN</v>
      </c>
      <c r="K7" s="10" t="str">
        <f ca="1">IFERROR(__xludf.DUMMYFUNCTION("""COMPUTED_VALUE"""),"SHPED24-LAPANGAN-JANUARI-PPL-PENDATAAN PRODUSEN")</f>
        <v>SHPED24-LAPANGAN-JANUARI-PPL-PENDATAAN PRODUSEN</v>
      </c>
      <c r="L7" s="10" t="str">
        <f ca="1">IFERROR(__xludf.DUMMYFUNCTION("""COMPUTED_VALUE"""),"Dokumen")</f>
        <v>Dokumen</v>
      </c>
      <c r="M7" s="66">
        <f ca="1">IFERROR(__xludf.DUMMYFUNCTION("""COMPUTED_VALUE"""),55000)</f>
        <v>55000</v>
      </c>
      <c r="N7" s="10">
        <f ca="1">IFERROR(__xludf.DUMMYFUNCTION("""COMPUTED_VALUE"""),1)</f>
        <v>1</v>
      </c>
      <c r="O7" s="10">
        <f ca="1">IFERROR(__xludf.DUMMYFUNCTION("""COMPUTED_VALUE"""),55000)</f>
        <v>55000</v>
      </c>
      <c r="P7" s="10"/>
      <c r="Q7" s="67">
        <f ca="1">IFERROR(__xludf.DUMMYFUNCTION("""COMPUTED_VALUE"""),45311)</f>
        <v>45311</v>
      </c>
    </row>
    <row r="8" spans="1:17" ht="15.75" customHeight="1">
      <c r="A8" s="82">
        <f t="array" aca="1" ref="A8" ca="1">INDEX('Database Mitra'!$R$2:$R1001,MATCH(C8,'Database Mitra'!$B$2:$B1001,0))</f>
        <v>29068</v>
      </c>
      <c r="B8" s="10" t="e">
        <f t="shared" ca="1" si="0"/>
        <v>#NAME?</v>
      </c>
      <c r="C8" s="83">
        <f ca="1">IFERROR(__xludf.DUMMYFUNCTION("""COMPUTED_VALUE"""),610422100124)</f>
        <v>610422100124</v>
      </c>
      <c r="D8" s="10" t="str">
        <f ca="1">IFERROR(__xludf.DUMMYFUNCTION("""COMPUTED_VALUE"""),"SHPED24-LAPANGAN-JANUARI")</f>
        <v>SHPED24-LAPANGAN-JANUARI</v>
      </c>
      <c r="E8" s="10"/>
      <c r="F8" s="10">
        <f ca="1">IFERROR(__xludf.DUMMYFUNCTION("""COMPUTED_VALUE"""),1)</f>
        <v>1</v>
      </c>
      <c r="G8" s="10" t="str">
        <f ca="1">IFERROR(__xludf.DUMMYFUNCTION("""COMPUTED_VALUE"""),"Prabowo")</f>
        <v>Prabowo</v>
      </c>
      <c r="H8" s="10" t="str">
        <f ca="1">IFERROR(__xludf.DUMMYFUNCTION("""COMPUTED_VALUE"""),"PPL")</f>
        <v>PPL</v>
      </c>
      <c r="I8" s="10" t="str">
        <f ca="1">IFERROR(__xludf.DUMMYFUNCTION("""COMPUTED_VALUE"""),"6171010108790015")</f>
        <v>6171010108790015</v>
      </c>
      <c r="J8" s="10" t="str">
        <f ca="1">IFERROR(__xludf.DUMMYFUNCTION("""COMPUTED_VALUE"""),"PENDATAAN PRODUSEN")</f>
        <v>PENDATAAN PRODUSEN</v>
      </c>
      <c r="K8" s="10" t="str">
        <f ca="1">IFERROR(__xludf.DUMMYFUNCTION("""COMPUTED_VALUE"""),"SHPED24-LAPANGAN-JANUARI-PPL-PENDATAAN PRODUSEN")</f>
        <v>SHPED24-LAPANGAN-JANUARI-PPL-PENDATAAN PRODUSEN</v>
      </c>
      <c r="L8" s="10" t="str">
        <f ca="1">IFERROR(__xludf.DUMMYFUNCTION("""COMPUTED_VALUE"""),"Dokumen")</f>
        <v>Dokumen</v>
      </c>
      <c r="M8" s="66">
        <f ca="1">IFERROR(__xludf.DUMMYFUNCTION("""COMPUTED_VALUE"""),55000)</f>
        <v>55000</v>
      </c>
      <c r="N8" s="10">
        <f ca="1">IFERROR(__xludf.DUMMYFUNCTION("""COMPUTED_VALUE"""),3)</f>
        <v>3</v>
      </c>
      <c r="O8" s="10">
        <f ca="1">IFERROR(__xludf.DUMMYFUNCTION("""COMPUTED_VALUE"""),165000)</f>
        <v>165000</v>
      </c>
      <c r="P8" s="10"/>
      <c r="Q8" s="67">
        <f ca="1">IFERROR(__xludf.DUMMYFUNCTION("""COMPUTED_VALUE"""),45311)</f>
        <v>45311</v>
      </c>
    </row>
    <row r="9" spans="1:17" ht="15.75" customHeight="1">
      <c r="A9" s="82">
        <f t="array" aca="1" ref="A9" ca="1">INDEX('Database Mitra'!$R$2:$R1001,MATCH(C9,'Database Mitra'!$B$2:$B1001,0))</f>
        <v>32942</v>
      </c>
      <c r="B9" s="10" t="e">
        <f t="shared" ca="1" si="0"/>
        <v>#NAME?</v>
      </c>
      <c r="C9" s="83">
        <f ca="1">IFERROR(__xludf.DUMMYFUNCTION("""COMPUTED_VALUE"""),610422100244)</f>
        <v>610422100244</v>
      </c>
      <c r="D9" s="10" t="str">
        <f ca="1">IFERROR(__xludf.DUMMYFUNCTION("""COMPUTED_VALUE"""),"SHPED24-LAPANGAN-JANUARI")</f>
        <v>SHPED24-LAPANGAN-JANUARI</v>
      </c>
      <c r="E9" s="10"/>
      <c r="F9" s="10">
        <f ca="1">IFERROR(__xludf.DUMMYFUNCTION("""COMPUTED_VALUE"""),1)</f>
        <v>1</v>
      </c>
      <c r="G9" s="10" t="str">
        <f ca="1">IFERROR(__xludf.DUMMYFUNCTION("""COMPUTED_VALUE"""),"Sugianto")</f>
        <v>Sugianto</v>
      </c>
      <c r="H9" s="10" t="str">
        <f ca="1">IFERROR(__xludf.DUMMYFUNCTION("""COMPUTED_VALUE"""),"PPL")</f>
        <v>PPL</v>
      </c>
      <c r="I9" s="10" t="str">
        <f ca="1">IFERROR(__xludf.DUMMYFUNCTION("""COMPUTED_VALUE"""),"6102171003900002")</f>
        <v>6102171003900002</v>
      </c>
      <c r="J9" s="10" t="str">
        <f ca="1">IFERROR(__xludf.DUMMYFUNCTION("""COMPUTED_VALUE"""),"PENDATAAN PRODUSEN")</f>
        <v>PENDATAAN PRODUSEN</v>
      </c>
      <c r="K9" s="10" t="str">
        <f ca="1">IFERROR(__xludf.DUMMYFUNCTION("""COMPUTED_VALUE"""),"SHPED24-LAPANGAN-JANUARI-PPL-PENDATAAN PRODUSEN")</f>
        <v>SHPED24-LAPANGAN-JANUARI-PPL-PENDATAAN PRODUSEN</v>
      </c>
      <c r="L9" s="10" t="str">
        <f ca="1">IFERROR(__xludf.DUMMYFUNCTION("""COMPUTED_VALUE"""),"Dokumen")</f>
        <v>Dokumen</v>
      </c>
      <c r="M9" s="66">
        <f ca="1">IFERROR(__xludf.DUMMYFUNCTION("""COMPUTED_VALUE"""),55000)</f>
        <v>55000</v>
      </c>
      <c r="N9" s="10">
        <f ca="1">IFERROR(__xludf.DUMMYFUNCTION("""COMPUTED_VALUE"""),2)</f>
        <v>2</v>
      </c>
      <c r="O9" s="10">
        <f ca="1">IFERROR(__xludf.DUMMYFUNCTION("""COMPUTED_VALUE"""),110000)</f>
        <v>110000</v>
      </c>
      <c r="P9" s="10"/>
      <c r="Q9" s="67">
        <f ca="1">IFERROR(__xludf.DUMMYFUNCTION("""COMPUTED_VALUE"""),45311)</f>
        <v>45311</v>
      </c>
    </row>
    <row r="10" spans="1:17" ht="15.75" customHeight="1">
      <c r="A10" s="11">
        <f t="array" aca="1" ref="A10" ca="1">INDEX('Database Mitra'!$R$2:$R1001,MATCH(C10,'Database Mitra'!$B$2:$B1001,0))</f>
        <v>34895</v>
      </c>
      <c r="B10" s="10" t="e">
        <f t="shared" ca="1" si="0"/>
        <v>#NAME?</v>
      </c>
      <c r="C10" s="83">
        <f ca="1">IFERROR(__xludf.DUMMYFUNCTION("""COMPUTED_VALUE"""),610422020016)</f>
        <v>610422020016</v>
      </c>
      <c r="D10" s="10" t="str">
        <f ca="1">IFERROR(__xludf.DUMMYFUNCTION("""COMPUTED_VALUE"""),"SHPED24-LAPANGAN-JANUARI")</f>
        <v>SHPED24-LAPANGAN-JANUARI</v>
      </c>
      <c r="E10" s="10"/>
      <c r="F10" s="10">
        <f ca="1">IFERROR(__xludf.DUMMYFUNCTION("""COMPUTED_VALUE"""),1)</f>
        <v>1</v>
      </c>
      <c r="G10" s="10" t="str">
        <f ca="1">IFERROR(__xludf.DUMMYFUNCTION("""COMPUTED_VALUE"""),"Abdul Aziz")</f>
        <v>Abdul Aziz</v>
      </c>
      <c r="H10" s="10" t="str">
        <f ca="1">IFERROR(__xludf.DUMMYFUNCTION("""COMPUTED_VALUE"""),"PPL")</f>
        <v>PPL</v>
      </c>
      <c r="I10" s="10" t="str">
        <f ca="1">IFERROR(__xludf.DUMMYFUNCTION("""COMPUTED_VALUE"""),"6102061507950006")</f>
        <v>6102061507950006</v>
      </c>
      <c r="J10" s="10" t="str">
        <f ca="1">IFERROR(__xludf.DUMMYFUNCTION("""COMPUTED_VALUE"""),"PENDATAAN PRODUSEN")</f>
        <v>PENDATAAN PRODUSEN</v>
      </c>
      <c r="K10" s="10" t="str">
        <f ca="1">IFERROR(__xludf.DUMMYFUNCTION("""COMPUTED_VALUE"""),"SHPED24-LAPANGAN-JANUARI-PPL-PENDATAAN PRODUSEN")</f>
        <v>SHPED24-LAPANGAN-JANUARI-PPL-PENDATAAN PRODUSEN</v>
      </c>
      <c r="L10" s="10" t="str">
        <f ca="1">IFERROR(__xludf.DUMMYFUNCTION("""COMPUTED_VALUE"""),"Dokumen")</f>
        <v>Dokumen</v>
      </c>
      <c r="M10" s="66">
        <f ca="1">IFERROR(__xludf.DUMMYFUNCTION("""COMPUTED_VALUE"""),55000)</f>
        <v>55000</v>
      </c>
      <c r="N10" s="10">
        <f ca="1">IFERROR(__xludf.DUMMYFUNCTION("""COMPUTED_VALUE"""),3)</f>
        <v>3</v>
      </c>
      <c r="O10" s="10">
        <f ca="1">IFERROR(__xludf.DUMMYFUNCTION("""COMPUTED_VALUE"""),165000)</f>
        <v>165000</v>
      </c>
      <c r="P10" s="10"/>
      <c r="Q10" s="67">
        <f ca="1">IFERROR(__xludf.DUMMYFUNCTION("""COMPUTED_VALUE"""),45311)</f>
        <v>45311</v>
      </c>
    </row>
    <row r="11" spans="1:17" ht="15.75" customHeight="1">
      <c r="A11" s="82">
        <f t="array" aca="1" ref="A11" ca="1">INDEX('Database Mitra'!$R$2:$R1001,MATCH(C11,'Database Mitra'!$B$2:$B1001,0))</f>
        <v>35501</v>
      </c>
      <c r="B11" s="10" t="e">
        <f t="shared" ca="1" si="0"/>
        <v>#NAME?</v>
      </c>
      <c r="C11" s="83">
        <f ca="1">IFERROR(__xludf.DUMMYFUNCTION("""COMPUTED_VALUE"""),610422020008)</f>
        <v>610422020008</v>
      </c>
      <c r="D11" s="10" t="str">
        <f ca="1">IFERROR(__xludf.DUMMYFUNCTION("""COMPUTED_VALUE"""),"SHPED24-LAPANGAN-JANUARI")</f>
        <v>SHPED24-LAPANGAN-JANUARI</v>
      </c>
      <c r="E11" s="10"/>
      <c r="F11" s="10">
        <f ca="1">IFERROR(__xludf.DUMMYFUNCTION("""COMPUTED_VALUE"""),1)</f>
        <v>1</v>
      </c>
      <c r="G11" s="10" t="str">
        <f ca="1">IFERROR(__xludf.DUMMYFUNCTION("""COMPUTED_VALUE"""),"Ilfi Nur Diana")</f>
        <v>Ilfi Nur Diana</v>
      </c>
      <c r="H11" s="10" t="str">
        <f ca="1">IFERROR(__xludf.DUMMYFUNCTION("""COMPUTED_VALUE"""),"PPL")</f>
        <v>PPL</v>
      </c>
      <c r="I11" s="10" t="str">
        <f ca="1">IFERROR(__xludf.DUMMYFUNCTION("""COMPUTED_VALUE"""),"6102125203970003")</f>
        <v>6102125203970003</v>
      </c>
      <c r="J11" s="10" t="str">
        <f ca="1">IFERROR(__xludf.DUMMYFUNCTION("""COMPUTED_VALUE"""),"PENDATAAN PRODUSEN")</f>
        <v>PENDATAAN PRODUSEN</v>
      </c>
      <c r="K11" s="10" t="str">
        <f ca="1">IFERROR(__xludf.DUMMYFUNCTION("""COMPUTED_VALUE"""),"SHPED24-LAPANGAN-JANUARI-PPL-PENDATAAN PRODUSEN")</f>
        <v>SHPED24-LAPANGAN-JANUARI-PPL-PENDATAAN PRODUSEN</v>
      </c>
      <c r="L11" s="10" t="str">
        <f ca="1">IFERROR(__xludf.DUMMYFUNCTION("""COMPUTED_VALUE"""),"Dokumen")</f>
        <v>Dokumen</v>
      </c>
      <c r="M11" s="66">
        <f ca="1">IFERROR(__xludf.DUMMYFUNCTION("""COMPUTED_VALUE"""),55000)</f>
        <v>55000</v>
      </c>
      <c r="N11" s="10">
        <f ca="1">IFERROR(__xludf.DUMMYFUNCTION("""COMPUTED_VALUE"""),1)</f>
        <v>1</v>
      </c>
      <c r="O11" s="10">
        <f ca="1">IFERROR(__xludf.DUMMYFUNCTION("""COMPUTED_VALUE"""),55000)</f>
        <v>55000</v>
      </c>
      <c r="P11" s="10"/>
      <c r="Q11" s="67">
        <f ca="1">IFERROR(__xludf.DUMMYFUNCTION("""COMPUTED_VALUE"""),45311)</f>
        <v>45311</v>
      </c>
    </row>
    <row r="12" spans="1:17" ht="15.75" customHeight="1">
      <c r="A12" s="11">
        <f t="array" aca="1" ref="A12" ca="1">INDEX('Database Mitra'!$R$2:$R1001,MATCH(C12,'Database Mitra'!$B$2:$B1001,0))</f>
        <v>29305</v>
      </c>
      <c r="B12" s="10" t="e">
        <f t="shared" ca="1" si="0"/>
        <v>#NAME?</v>
      </c>
      <c r="C12" s="83">
        <f ca="1">IFERROR(__xludf.DUMMYFUNCTION("""COMPUTED_VALUE"""),610422020048)</f>
        <v>610422020048</v>
      </c>
      <c r="D12" s="10" t="str">
        <f ca="1">IFERROR(__xludf.DUMMYFUNCTION("""COMPUTED_VALUE"""),"SHPED24-LAPANGAN-JANUARI")</f>
        <v>SHPED24-LAPANGAN-JANUARI</v>
      </c>
      <c r="E12" s="10"/>
      <c r="F12" s="10">
        <f ca="1">IFERROR(__xludf.DUMMYFUNCTION("""COMPUTED_VALUE"""),1)</f>
        <v>1</v>
      </c>
      <c r="G12" s="10" t="str">
        <f ca="1">IFERROR(__xludf.DUMMYFUNCTION("""COMPUTED_VALUE"""),"Herri Gustaman")</f>
        <v>Herri Gustaman</v>
      </c>
      <c r="H12" s="10" t="str">
        <f ca="1">IFERROR(__xludf.DUMMYFUNCTION("""COMPUTED_VALUE"""),"PPL")</f>
        <v>PPL</v>
      </c>
      <c r="I12" s="10" t="str">
        <f ca="1">IFERROR(__xludf.DUMMYFUNCTION("""COMPUTED_VALUE"""),"6102072503800001")</f>
        <v>6102072503800001</v>
      </c>
      <c r="J12" s="10" t="str">
        <f ca="1">IFERROR(__xludf.DUMMYFUNCTION("""COMPUTED_VALUE"""),"PENDATAAN PRODUSEN")</f>
        <v>PENDATAAN PRODUSEN</v>
      </c>
      <c r="K12" s="10" t="str">
        <f ca="1">IFERROR(__xludf.DUMMYFUNCTION("""COMPUTED_VALUE"""),"SHPED24-LAPANGAN-JANUARI-PPL-PENDATAAN PRODUSEN")</f>
        <v>SHPED24-LAPANGAN-JANUARI-PPL-PENDATAAN PRODUSEN</v>
      </c>
      <c r="L12" s="10" t="str">
        <f ca="1">IFERROR(__xludf.DUMMYFUNCTION("""COMPUTED_VALUE"""),"Dokumen")</f>
        <v>Dokumen</v>
      </c>
      <c r="M12" s="66">
        <f ca="1">IFERROR(__xludf.DUMMYFUNCTION("""COMPUTED_VALUE"""),55000)</f>
        <v>55000</v>
      </c>
      <c r="N12" s="10">
        <f ca="1">IFERROR(__xludf.DUMMYFUNCTION("""COMPUTED_VALUE"""),3)</f>
        <v>3</v>
      </c>
      <c r="O12" s="10">
        <f ca="1">IFERROR(__xludf.DUMMYFUNCTION("""COMPUTED_VALUE"""),165000)</f>
        <v>165000</v>
      </c>
      <c r="P12" s="10"/>
      <c r="Q12" s="67">
        <f ca="1">IFERROR(__xludf.DUMMYFUNCTION("""COMPUTED_VALUE"""),45311)</f>
        <v>45311</v>
      </c>
    </row>
    <row r="13" spans="1:17" ht="15.75" customHeight="1">
      <c r="A13" s="82">
        <f t="array" aca="1" ref="A13" ca="1">INDEX('Database Mitra'!$R$2:$R1001,MATCH(C13,'Database Mitra'!$B$2:$B1001,0))</f>
        <v>31964</v>
      </c>
      <c r="B13" s="10" t="e">
        <f t="shared" ca="1" si="0"/>
        <v>#NAME?</v>
      </c>
      <c r="C13" s="83">
        <f ca="1">IFERROR(__xludf.DUMMYFUNCTION("""COMPUTED_VALUE"""),610422040029)</f>
        <v>610422040029</v>
      </c>
      <c r="D13" s="10" t="str">
        <f ca="1">IFERROR(__xludf.DUMMYFUNCTION("""COMPUTED_VALUE"""),"SHPED24-LAPANGAN-JANUARI")</f>
        <v>SHPED24-LAPANGAN-JANUARI</v>
      </c>
      <c r="E13" s="10"/>
      <c r="F13" s="10">
        <f ca="1">IFERROR(__xludf.DUMMYFUNCTION("""COMPUTED_VALUE"""),1)</f>
        <v>1</v>
      </c>
      <c r="G13" s="10" t="str">
        <f ca="1">IFERROR(__xludf.DUMMYFUNCTION("""COMPUTED_VALUE"""),"Zaini")</f>
        <v>Zaini</v>
      </c>
      <c r="H13" s="10" t="str">
        <f ca="1">IFERROR(__xludf.DUMMYFUNCTION("""COMPUTED_VALUE"""),"PPL")</f>
        <v>PPL</v>
      </c>
      <c r="I13" s="10" t="str">
        <f ca="1">IFERROR(__xludf.DUMMYFUNCTION("""COMPUTED_VALUE"""),"6102010607870002")</f>
        <v>6102010607870002</v>
      </c>
      <c r="J13" s="10" t="str">
        <f ca="1">IFERROR(__xludf.DUMMYFUNCTION("""COMPUTED_VALUE"""),"PENDATAAN PRODUSEN")</f>
        <v>PENDATAAN PRODUSEN</v>
      </c>
      <c r="K13" s="10" t="str">
        <f ca="1">IFERROR(__xludf.DUMMYFUNCTION("""COMPUTED_VALUE"""),"SHPED24-LAPANGAN-JANUARI-PPL-PENDATAAN PRODUSEN")</f>
        <v>SHPED24-LAPANGAN-JANUARI-PPL-PENDATAAN PRODUSEN</v>
      </c>
      <c r="L13" s="10" t="str">
        <f ca="1">IFERROR(__xludf.DUMMYFUNCTION("""COMPUTED_VALUE"""),"Dokumen")</f>
        <v>Dokumen</v>
      </c>
      <c r="M13" s="66">
        <f ca="1">IFERROR(__xludf.DUMMYFUNCTION("""COMPUTED_VALUE"""),55000)</f>
        <v>55000</v>
      </c>
      <c r="N13" s="10">
        <f ca="1">IFERROR(__xludf.DUMMYFUNCTION("""COMPUTED_VALUE"""),4)</f>
        <v>4</v>
      </c>
      <c r="O13" s="10">
        <f ca="1">IFERROR(__xludf.DUMMYFUNCTION("""COMPUTED_VALUE"""),220000)</f>
        <v>220000</v>
      </c>
      <c r="P13" s="10"/>
      <c r="Q13" s="67">
        <f ca="1">IFERROR(__xludf.DUMMYFUNCTION("""COMPUTED_VALUE"""),45311)</f>
        <v>45311</v>
      </c>
    </row>
    <row r="14" spans="1:17" ht="15.75" customHeight="1">
      <c r="A14" s="82">
        <f t="array" aca="1" ref="A14" ca="1">INDEX('Database Mitra'!$R$2:$R1001,MATCH(C14,'Database Mitra'!$B$2:$B1001,0))</f>
        <v>30692</v>
      </c>
      <c r="B14" s="10" t="e">
        <f t="shared" ca="1" si="0"/>
        <v>#NAME?</v>
      </c>
      <c r="C14" s="83">
        <f ca="1">IFERROR(__xludf.DUMMYFUNCTION("""COMPUTED_VALUE"""),610422050001)</f>
        <v>610422050001</v>
      </c>
      <c r="D14" s="10" t="str">
        <f ca="1">IFERROR(__xludf.DUMMYFUNCTION("""COMPUTED_VALUE"""),"SHPED24-LAPANGAN-JANUARI")</f>
        <v>SHPED24-LAPANGAN-JANUARI</v>
      </c>
      <c r="E14" s="10"/>
      <c r="F14" s="10">
        <f ca="1">IFERROR(__xludf.DUMMYFUNCTION("""COMPUTED_VALUE"""),1)</f>
        <v>1</v>
      </c>
      <c r="G14" s="10" t="str">
        <f ca="1">IFERROR(__xludf.DUMMYFUNCTION("""COMPUTED_VALUE"""),"Evi Juniarty")</f>
        <v>Evi Juniarty</v>
      </c>
      <c r="H14" s="10" t="str">
        <f ca="1">IFERROR(__xludf.DUMMYFUNCTION("""COMPUTED_VALUE"""),"PPL")</f>
        <v>PPL</v>
      </c>
      <c r="I14" s="10" t="str">
        <f ca="1">IFERROR(__xludf.DUMMYFUNCTION("""COMPUTED_VALUE"""),"6102165101840001")</f>
        <v>6102165101840001</v>
      </c>
      <c r="J14" s="10" t="str">
        <f ca="1">IFERROR(__xludf.DUMMYFUNCTION("""COMPUTED_VALUE"""),"PENDATAAN PRODUSEN")</f>
        <v>PENDATAAN PRODUSEN</v>
      </c>
      <c r="K14" s="10" t="str">
        <f ca="1">IFERROR(__xludf.DUMMYFUNCTION("""COMPUTED_VALUE"""),"SHPED24-LAPANGAN-JANUARI-PPL-PENDATAAN PRODUSEN")</f>
        <v>SHPED24-LAPANGAN-JANUARI-PPL-PENDATAAN PRODUSEN</v>
      </c>
      <c r="L14" s="10" t="str">
        <f ca="1">IFERROR(__xludf.DUMMYFUNCTION("""COMPUTED_VALUE"""),"Dokumen")</f>
        <v>Dokumen</v>
      </c>
      <c r="M14" s="66">
        <f ca="1">IFERROR(__xludf.DUMMYFUNCTION("""COMPUTED_VALUE"""),55000)</f>
        <v>55000</v>
      </c>
      <c r="N14" s="10">
        <f ca="1">IFERROR(__xludf.DUMMYFUNCTION("""COMPUTED_VALUE"""),1)</f>
        <v>1</v>
      </c>
      <c r="O14" s="10">
        <f ca="1">IFERROR(__xludf.DUMMYFUNCTION("""COMPUTED_VALUE"""),55000)</f>
        <v>55000</v>
      </c>
      <c r="P14" s="10"/>
      <c r="Q14" s="67">
        <f ca="1">IFERROR(__xludf.DUMMYFUNCTION("""COMPUTED_VALUE"""),45311)</f>
        <v>45311</v>
      </c>
    </row>
    <row r="15" spans="1:17" ht="15.75" customHeight="1">
      <c r="A15" s="82">
        <f t="array" aca="1" ref="A15" ca="1">INDEX('Database Mitra'!$R$2:$R1001,MATCH(C15,'Database Mitra'!$B$2:$B1001,0))</f>
        <v>29068</v>
      </c>
      <c r="B15" s="10" t="e">
        <f t="shared" ca="1" si="0"/>
        <v>#NAME?</v>
      </c>
      <c r="C15" s="83">
        <f ca="1">IFERROR(__xludf.DUMMYFUNCTION("""COMPUTED_VALUE"""),610422100124)</f>
        <v>610422100124</v>
      </c>
      <c r="D15" s="10" t="str">
        <f ca="1">IFERROR(__xludf.DUMMYFUNCTION("""COMPUTED_VALUE"""),"HPBG24-LAPANGAN-JANUARI")</f>
        <v>HPBG24-LAPANGAN-JANUARI</v>
      </c>
      <c r="E15" s="10"/>
      <c r="F15" s="10">
        <f ca="1">IFERROR(__xludf.DUMMYFUNCTION("""COMPUTED_VALUE"""),1)</f>
        <v>1</v>
      </c>
      <c r="G15" s="10" t="str">
        <f ca="1">IFERROR(__xludf.DUMMYFUNCTION("""COMPUTED_VALUE"""),"Prabowo")</f>
        <v>Prabowo</v>
      </c>
      <c r="H15" s="10" t="str">
        <f ca="1">IFERROR(__xludf.DUMMYFUNCTION("""COMPUTED_VALUE"""),"PPL")</f>
        <v>PPL</v>
      </c>
      <c r="I15" s="10" t="str">
        <f ca="1">IFERROR(__xludf.DUMMYFUNCTION("""COMPUTED_VALUE"""),"6171010108790015")</f>
        <v>6171010108790015</v>
      </c>
      <c r="J15" s="10" t="str">
        <f ca="1">IFERROR(__xludf.DUMMYFUNCTION("""COMPUTED_VALUE"""),"PENDATAAN")</f>
        <v>PENDATAAN</v>
      </c>
      <c r="K15" s="10" t="str">
        <f ca="1">IFERROR(__xludf.DUMMYFUNCTION("""COMPUTED_VALUE"""),"HPBG24-LAPANGAN-JANUARI-PPL-PENDATAAN")</f>
        <v>HPBG24-LAPANGAN-JANUARI-PPL-PENDATAAN</v>
      </c>
      <c r="L15" s="10" t="str">
        <f ca="1">IFERROR(__xludf.DUMMYFUNCTION("""COMPUTED_VALUE"""),"Dokumen")</f>
        <v>Dokumen</v>
      </c>
      <c r="M15" s="66">
        <f ca="1">IFERROR(__xludf.DUMMYFUNCTION("""COMPUTED_VALUE"""),55000)</f>
        <v>55000</v>
      </c>
      <c r="N15" s="10">
        <f ca="1">IFERROR(__xludf.DUMMYFUNCTION("""COMPUTED_VALUE"""),2)</f>
        <v>2</v>
      </c>
      <c r="O15" s="10">
        <f ca="1">IFERROR(__xludf.DUMMYFUNCTION("""COMPUTED_VALUE"""),110000)</f>
        <v>110000</v>
      </c>
      <c r="P15" s="10"/>
      <c r="Q15" s="67">
        <f ca="1">IFERROR(__xludf.DUMMYFUNCTION("""COMPUTED_VALUE"""),45311)</f>
        <v>45311</v>
      </c>
    </row>
    <row r="16" spans="1:17" ht="15.75" customHeight="1">
      <c r="A16" s="82">
        <f t="array" aca="1" ref="A16" ca="1">INDEX('Database Mitra'!$R$2:$R1001,MATCH(C16,'Database Mitra'!$B$2:$B1001,0))</f>
        <v>32942</v>
      </c>
      <c r="B16" s="10" t="e">
        <f t="shared" ca="1" si="0"/>
        <v>#NAME?</v>
      </c>
      <c r="C16" s="83">
        <f ca="1">IFERROR(__xludf.DUMMYFUNCTION("""COMPUTED_VALUE"""),610422100244)</f>
        <v>610422100244</v>
      </c>
      <c r="D16" s="10" t="str">
        <f ca="1">IFERROR(__xludf.DUMMYFUNCTION("""COMPUTED_VALUE"""),"HPBG24-LAPANGAN-JANUARI")</f>
        <v>HPBG24-LAPANGAN-JANUARI</v>
      </c>
      <c r="E16" s="10"/>
      <c r="F16" s="10">
        <f ca="1">IFERROR(__xludf.DUMMYFUNCTION("""COMPUTED_VALUE"""),1)</f>
        <v>1</v>
      </c>
      <c r="G16" s="10" t="str">
        <f ca="1">IFERROR(__xludf.DUMMYFUNCTION("""COMPUTED_VALUE"""),"Sugianto")</f>
        <v>Sugianto</v>
      </c>
      <c r="H16" s="10" t="str">
        <f ca="1">IFERROR(__xludf.DUMMYFUNCTION("""COMPUTED_VALUE"""),"PPL")</f>
        <v>PPL</v>
      </c>
      <c r="I16" s="10" t="str">
        <f ca="1">IFERROR(__xludf.DUMMYFUNCTION("""COMPUTED_VALUE"""),"6102171003900002")</f>
        <v>6102171003900002</v>
      </c>
      <c r="J16" s="10" t="str">
        <f ca="1">IFERROR(__xludf.DUMMYFUNCTION("""COMPUTED_VALUE"""),"PENDATAAN")</f>
        <v>PENDATAAN</v>
      </c>
      <c r="K16" s="10" t="str">
        <f ca="1">IFERROR(__xludf.DUMMYFUNCTION("""COMPUTED_VALUE"""),"HPBG24-LAPANGAN-JANUARI-PPL-PENDATAAN")</f>
        <v>HPBG24-LAPANGAN-JANUARI-PPL-PENDATAAN</v>
      </c>
      <c r="L16" s="10" t="str">
        <f ca="1">IFERROR(__xludf.DUMMYFUNCTION("""COMPUTED_VALUE"""),"Dokumen")</f>
        <v>Dokumen</v>
      </c>
      <c r="M16" s="66">
        <f ca="1">IFERROR(__xludf.DUMMYFUNCTION("""COMPUTED_VALUE"""),55000)</f>
        <v>55000</v>
      </c>
      <c r="N16" s="10">
        <f ca="1">IFERROR(__xludf.DUMMYFUNCTION("""COMPUTED_VALUE"""),2)</f>
        <v>2</v>
      </c>
      <c r="O16" s="10">
        <f ca="1">IFERROR(__xludf.DUMMYFUNCTION("""COMPUTED_VALUE"""),110000)</f>
        <v>110000</v>
      </c>
      <c r="P16" s="10"/>
      <c r="Q16" s="67">
        <f ca="1">IFERROR(__xludf.DUMMYFUNCTION("""COMPUTED_VALUE"""),45311)</f>
        <v>45311</v>
      </c>
    </row>
    <row r="17" spans="1:17" ht="15.75" customHeight="1">
      <c r="A17" s="82">
        <f t="array" aca="1" ref="A17" ca="1">INDEX('Database Mitra'!$R$2:$R1001,MATCH(C17,'Database Mitra'!$B$2:$B1001,0))</f>
        <v>35862</v>
      </c>
      <c r="B17" s="10" t="e">
        <f t="shared" ca="1" si="0"/>
        <v>#NAME?</v>
      </c>
      <c r="C17" s="83">
        <f ca="1">IFERROR(__xludf.DUMMYFUNCTION("""COMPUTED_VALUE"""),610422100165)</f>
        <v>610422100165</v>
      </c>
      <c r="D17" s="10" t="str">
        <f ca="1">IFERROR(__xludf.DUMMYFUNCTION("""COMPUTED_VALUE"""),"HPBG24-LAPANGAN-JANUARI")</f>
        <v>HPBG24-LAPANGAN-JANUARI</v>
      </c>
      <c r="E17" s="10"/>
      <c r="F17" s="10">
        <f ca="1">IFERROR(__xludf.DUMMYFUNCTION("""COMPUTED_VALUE"""),1)</f>
        <v>1</v>
      </c>
      <c r="G17" s="10" t="str">
        <f ca="1">IFERROR(__xludf.DUMMYFUNCTION("""COMPUTED_VALUE"""),"Yanti")</f>
        <v>Yanti</v>
      </c>
      <c r="H17" s="10" t="str">
        <f ca="1">IFERROR(__xludf.DUMMYFUNCTION("""COMPUTED_VALUE"""),"PPL")</f>
        <v>PPL</v>
      </c>
      <c r="I17" s="10" t="str">
        <f ca="1">IFERROR(__xludf.DUMMYFUNCTION("""COMPUTED_VALUE"""),"6102074803980002")</f>
        <v>6102074803980002</v>
      </c>
      <c r="J17" s="10" t="str">
        <f ca="1">IFERROR(__xludf.DUMMYFUNCTION("""COMPUTED_VALUE"""),"PENDATAAN")</f>
        <v>PENDATAAN</v>
      </c>
      <c r="K17" s="10" t="str">
        <f ca="1">IFERROR(__xludf.DUMMYFUNCTION("""COMPUTED_VALUE"""),"HPBG24-LAPANGAN-JANUARI-PPL-PENDATAAN")</f>
        <v>HPBG24-LAPANGAN-JANUARI-PPL-PENDATAAN</v>
      </c>
      <c r="L17" s="10" t="str">
        <f ca="1">IFERROR(__xludf.DUMMYFUNCTION("""COMPUTED_VALUE"""),"Dokumen")</f>
        <v>Dokumen</v>
      </c>
      <c r="M17" s="66">
        <f ca="1">IFERROR(__xludf.DUMMYFUNCTION("""COMPUTED_VALUE"""),55000)</f>
        <v>55000</v>
      </c>
      <c r="N17" s="10">
        <f ca="1">IFERROR(__xludf.DUMMYFUNCTION("""COMPUTED_VALUE"""),2)</f>
        <v>2</v>
      </c>
      <c r="O17" s="10">
        <f ca="1">IFERROR(__xludf.DUMMYFUNCTION("""COMPUTED_VALUE"""),110000)</f>
        <v>110000</v>
      </c>
      <c r="P17" s="10"/>
      <c r="Q17" s="67">
        <f ca="1">IFERROR(__xludf.DUMMYFUNCTION("""COMPUTED_VALUE"""),45311)</f>
        <v>45311</v>
      </c>
    </row>
    <row r="18" spans="1:17" ht="15.75" customHeight="1">
      <c r="A18" s="82">
        <f t="array" aca="1" ref="A18" ca="1">INDEX('Database Mitra'!$R$2:$R1001,MATCH(C18,'Database Mitra'!$B$2:$B1001,0))</f>
        <v>35862</v>
      </c>
      <c r="B18" s="10" t="e">
        <f t="shared" ca="1" si="0"/>
        <v>#NAME?</v>
      </c>
      <c r="C18" s="83">
        <f ca="1">IFERROR(__xludf.DUMMYFUNCTION("""COMPUTED_VALUE"""),610422100165)</f>
        <v>610422100165</v>
      </c>
      <c r="D18" s="10" t="str">
        <f ca="1">IFERROR(__xludf.DUMMYFUNCTION("""COMPUTED_VALUE"""),"HPJ24-LAPANGAN-JANUARI")</f>
        <v>HPJ24-LAPANGAN-JANUARI</v>
      </c>
      <c r="E18" s="10"/>
      <c r="F18" s="10">
        <f ca="1">IFERROR(__xludf.DUMMYFUNCTION("""COMPUTED_VALUE"""),1)</f>
        <v>1</v>
      </c>
      <c r="G18" s="10" t="str">
        <f ca="1">IFERROR(__xludf.DUMMYFUNCTION("""COMPUTED_VALUE"""),"Yanti")</f>
        <v>Yanti</v>
      </c>
      <c r="H18" s="10" t="str">
        <f ca="1">IFERROR(__xludf.DUMMYFUNCTION("""COMPUTED_VALUE"""),"PPL")</f>
        <v>PPL</v>
      </c>
      <c r="I18" s="10" t="str">
        <f ca="1">IFERROR(__xludf.DUMMYFUNCTION("""COMPUTED_VALUE"""),"6102074803980002")</f>
        <v>6102074803980002</v>
      </c>
      <c r="J18" s="10" t="str">
        <f ca="1">IFERROR(__xludf.DUMMYFUNCTION("""COMPUTED_VALUE"""),"PENDATAAN")</f>
        <v>PENDATAAN</v>
      </c>
      <c r="K18" s="10" t="str">
        <f ca="1">IFERROR(__xludf.DUMMYFUNCTION("""COMPUTED_VALUE"""),"HPJ24-LAPANGAN-JANUARI-PPL-PENDATAAN")</f>
        <v>HPJ24-LAPANGAN-JANUARI-PPL-PENDATAAN</v>
      </c>
      <c r="L18" s="10" t="str">
        <f ca="1">IFERROR(__xludf.DUMMYFUNCTION("""COMPUTED_VALUE"""),"Dokumen")</f>
        <v>Dokumen</v>
      </c>
      <c r="M18" s="66">
        <f ca="1">IFERROR(__xludf.DUMMYFUNCTION("""COMPUTED_VALUE"""),50000)</f>
        <v>50000</v>
      </c>
      <c r="N18" s="10">
        <f ca="1">IFERROR(__xludf.DUMMYFUNCTION("""COMPUTED_VALUE"""),1)</f>
        <v>1</v>
      </c>
      <c r="O18" s="10">
        <f ca="1">IFERROR(__xludf.DUMMYFUNCTION("""COMPUTED_VALUE"""),50000)</f>
        <v>50000</v>
      </c>
      <c r="P18" s="10"/>
      <c r="Q18" s="67">
        <f ca="1">IFERROR(__xludf.DUMMYFUNCTION("""COMPUTED_VALUE"""),45311)</f>
        <v>45311</v>
      </c>
    </row>
    <row r="19" spans="1:17" ht="15.75" customHeight="1">
      <c r="A19" s="82">
        <f t="array" aca="1" ref="A19" ca="1">INDEX('Database Mitra'!$R$2:$R1001,MATCH(C19,'Database Mitra'!$B$2:$B1001,0))</f>
        <v>31964</v>
      </c>
      <c r="B19" s="10" t="e">
        <f t="shared" ca="1" si="0"/>
        <v>#NAME?</v>
      </c>
      <c r="C19" s="83">
        <f ca="1">IFERROR(__xludf.DUMMYFUNCTION("""COMPUTED_VALUE"""),610422040029)</f>
        <v>610422040029</v>
      </c>
      <c r="D19" s="10" t="str">
        <f ca="1">IFERROR(__xludf.DUMMYFUNCTION("""COMPUTED_VALUE"""),"VHTS24-LAPANGAN-JANUARI")</f>
        <v>VHTS24-LAPANGAN-JANUARI</v>
      </c>
      <c r="E19" s="10"/>
      <c r="F19" s="10">
        <f ca="1">IFERROR(__xludf.DUMMYFUNCTION("""COMPUTED_VALUE"""),1)</f>
        <v>1</v>
      </c>
      <c r="G19" s="10" t="str">
        <f ca="1">IFERROR(__xludf.DUMMYFUNCTION("""COMPUTED_VALUE"""),"Zaini")</f>
        <v>Zaini</v>
      </c>
      <c r="H19" s="10" t="str">
        <f ca="1">IFERROR(__xludf.DUMMYFUNCTION("""COMPUTED_VALUE"""),"PPL")</f>
        <v>PPL</v>
      </c>
      <c r="I19" s="10" t="str">
        <f ca="1">IFERROR(__xludf.DUMMYFUNCTION("""COMPUTED_VALUE"""),"6102010607870002")</f>
        <v>6102010607870002</v>
      </c>
      <c r="J19" s="10" t="str">
        <f ca="1">IFERROR(__xludf.DUMMYFUNCTION("""COMPUTED_VALUE"""),"PENDATAAN")</f>
        <v>PENDATAAN</v>
      </c>
      <c r="K19" s="10" t="str">
        <f ca="1">IFERROR(__xludf.DUMMYFUNCTION("""COMPUTED_VALUE"""),"VHTS24-LAPANGAN-JANUARI-PPL-PENDATAAN")</f>
        <v>VHTS24-LAPANGAN-JANUARI-PPL-PENDATAAN</v>
      </c>
      <c r="L19" s="10" t="str">
        <f ca="1">IFERROR(__xludf.DUMMYFUNCTION("""COMPUTED_VALUE"""),"Dokumen")</f>
        <v>Dokumen</v>
      </c>
      <c r="M19" s="66">
        <f ca="1">IFERROR(__xludf.DUMMYFUNCTION("""COMPUTED_VALUE"""),55000)</f>
        <v>55000</v>
      </c>
      <c r="N19" s="10">
        <f ca="1">IFERROR(__xludf.DUMMYFUNCTION("""COMPUTED_VALUE"""),3)</f>
        <v>3</v>
      </c>
      <c r="O19" s="10">
        <f ca="1">IFERROR(__xludf.DUMMYFUNCTION("""COMPUTED_VALUE"""),165000)</f>
        <v>165000</v>
      </c>
      <c r="P19" s="70">
        <f ca="1">IFERROR(__xludf.DUMMYFUNCTION("""COMPUTED_VALUE"""),165000)</f>
        <v>165000</v>
      </c>
      <c r="Q19" s="67">
        <f ca="1">IFERROR(__xludf.DUMMYFUNCTION("""COMPUTED_VALUE"""),45311)</f>
        <v>45311</v>
      </c>
    </row>
    <row r="20" spans="1:17" ht="15.75" customHeight="1">
      <c r="A20" s="82">
        <f t="array" aca="1" ref="A20" ca="1">INDEX('Database Mitra'!$R$2:$R1001,MATCH(C20,'Database Mitra'!$B$2:$B1001,0))</f>
        <v>35862</v>
      </c>
      <c r="B20" s="10" t="e">
        <f t="shared" ca="1" si="0"/>
        <v>#NAME?</v>
      </c>
      <c r="C20" s="83">
        <f ca="1">IFERROR(__xludf.DUMMYFUNCTION("""COMPUTED_VALUE"""),610422100165)</f>
        <v>610422100165</v>
      </c>
      <c r="D20" s="10" t="str">
        <f ca="1">IFERROR(__xludf.DUMMYFUNCTION("""COMPUTED_VALUE"""),"VHTS24-LAPANGAN-JANUARI")</f>
        <v>VHTS24-LAPANGAN-JANUARI</v>
      </c>
      <c r="E20" s="10"/>
      <c r="F20" s="10">
        <f ca="1">IFERROR(__xludf.DUMMYFUNCTION("""COMPUTED_VALUE"""),1)</f>
        <v>1</v>
      </c>
      <c r="G20" s="10" t="str">
        <f ca="1">IFERROR(__xludf.DUMMYFUNCTION("""COMPUTED_VALUE"""),"Yanti")</f>
        <v>Yanti</v>
      </c>
      <c r="H20" s="10" t="str">
        <f ca="1">IFERROR(__xludf.DUMMYFUNCTION("""COMPUTED_VALUE"""),"PPL")</f>
        <v>PPL</v>
      </c>
      <c r="I20" s="10" t="str">
        <f ca="1">IFERROR(__xludf.DUMMYFUNCTION("""COMPUTED_VALUE"""),"6102074803980002")</f>
        <v>6102074803980002</v>
      </c>
      <c r="J20" s="10" t="str">
        <f ca="1">IFERROR(__xludf.DUMMYFUNCTION("""COMPUTED_VALUE"""),"PENDATAAN")</f>
        <v>PENDATAAN</v>
      </c>
      <c r="K20" s="10" t="str">
        <f ca="1">IFERROR(__xludf.DUMMYFUNCTION("""COMPUTED_VALUE"""),"VHTS24-LAPANGAN-JANUARI-PPL-PENDATAAN")</f>
        <v>VHTS24-LAPANGAN-JANUARI-PPL-PENDATAAN</v>
      </c>
      <c r="L20" s="10" t="str">
        <f ca="1">IFERROR(__xludf.DUMMYFUNCTION("""COMPUTED_VALUE"""),"Dokumen")</f>
        <v>Dokumen</v>
      </c>
      <c r="M20" s="66">
        <f ca="1">IFERROR(__xludf.DUMMYFUNCTION("""COMPUTED_VALUE"""),55000)</f>
        <v>55000</v>
      </c>
      <c r="N20" s="10">
        <f ca="1">IFERROR(__xludf.DUMMYFUNCTION("""COMPUTED_VALUE"""),3)</f>
        <v>3</v>
      </c>
      <c r="O20" s="10">
        <f ca="1">IFERROR(__xludf.DUMMYFUNCTION("""COMPUTED_VALUE"""),165000)</f>
        <v>165000</v>
      </c>
      <c r="P20" s="70">
        <f ca="1">IFERROR(__xludf.DUMMYFUNCTION("""COMPUTED_VALUE"""),165000)</f>
        <v>165000</v>
      </c>
      <c r="Q20" s="67">
        <f ca="1">IFERROR(__xludf.DUMMYFUNCTION("""COMPUTED_VALUE"""),45311)</f>
        <v>45311</v>
      </c>
    </row>
    <row r="21" spans="1:17" ht="15.75" customHeight="1">
      <c r="A21" s="82">
        <f t="array" aca="1" ref="A21" ca="1">INDEX('Database Mitra'!$R$2:$R1001,MATCH(C21,'Database Mitra'!$B$2:$B1001,0))</f>
        <v>30692</v>
      </c>
      <c r="B21" s="10" t="e">
        <f t="shared" ca="1" si="0"/>
        <v>#NAME?</v>
      </c>
      <c r="C21" s="83">
        <f ca="1">IFERROR(__xludf.DUMMYFUNCTION("""COMPUTED_VALUE"""),610422050001)</f>
        <v>610422050001</v>
      </c>
      <c r="D21" s="10" t="str">
        <f ca="1">IFERROR(__xludf.DUMMYFUNCTION("""COMPUTED_VALUE"""),"VHTS24-LAPANGAN-JANUARI")</f>
        <v>VHTS24-LAPANGAN-JANUARI</v>
      </c>
      <c r="E21" s="10"/>
      <c r="F21" s="10">
        <f ca="1">IFERROR(__xludf.DUMMYFUNCTION("""COMPUTED_VALUE"""),1)</f>
        <v>1</v>
      </c>
      <c r="G21" s="10" t="str">
        <f ca="1">IFERROR(__xludf.DUMMYFUNCTION("""COMPUTED_VALUE"""),"Evi Juniarty")</f>
        <v>Evi Juniarty</v>
      </c>
      <c r="H21" s="10" t="str">
        <f ca="1">IFERROR(__xludf.DUMMYFUNCTION("""COMPUTED_VALUE"""),"PPL")</f>
        <v>PPL</v>
      </c>
      <c r="I21" s="10" t="str">
        <f ca="1">IFERROR(__xludf.DUMMYFUNCTION("""COMPUTED_VALUE"""),"6102165101840001")</f>
        <v>6102165101840001</v>
      </c>
      <c r="J21" s="10" t="str">
        <f ca="1">IFERROR(__xludf.DUMMYFUNCTION("""COMPUTED_VALUE"""),"PENDATAAN")</f>
        <v>PENDATAAN</v>
      </c>
      <c r="K21" s="10" t="str">
        <f ca="1">IFERROR(__xludf.DUMMYFUNCTION("""COMPUTED_VALUE"""),"VHTS24-LAPANGAN-JANUARI-PPL-PENDATAAN")</f>
        <v>VHTS24-LAPANGAN-JANUARI-PPL-PENDATAAN</v>
      </c>
      <c r="L21" s="10" t="str">
        <f ca="1">IFERROR(__xludf.DUMMYFUNCTION("""COMPUTED_VALUE"""),"Dokumen")</f>
        <v>Dokumen</v>
      </c>
      <c r="M21" s="66">
        <f ca="1">IFERROR(__xludf.DUMMYFUNCTION("""COMPUTED_VALUE"""),55000)</f>
        <v>55000</v>
      </c>
      <c r="N21" s="10">
        <f ca="1">IFERROR(__xludf.DUMMYFUNCTION("""COMPUTED_VALUE"""),3)</f>
        <v>3</v>
      </c>
      <c r="O21" s="10">
        <f ca="1">IFERROR(__xludf.DUMMYFUNCTION("""COMPUTED_VALUE"""),165000)</f>
        <v>165000</v>
      </c>
      <c r="P21" s="70">
        <f ca="1">IFERROR(__xludf.DUMMYFUNCTION("""COMPUTED_VALUE"""),165000)</f>
        <v>165000</v>
      </c>
      <c r="Q21" s="67">
        <f ca="1">IFERROR(__xludf.DUMMYFUNCTION("""COMPUTED_VALUE"""),45311)</f>
        <v>45311</v>
      </c>
    </row>
    <row r="22" spans="1:17" ht="15.75" customHeight="1">
      <c r="A22" s="82">
        <f t="array" aca="1" ref="A22" ca="1">INDEX('Database Mitra'!$R$2:$R1001,MATCH(C22,'Database Mitra'!$B$2:$B1001,0))</f>
        <v>27798</v>
      </c>
      <c r="B22" s="10" t="e">
        <f t="shared" ca="1" si="0"/>
        <v>#NAME?</v>
      </c>
      <c r="C22" s="83">
        <f ca="1">IFERROR(__xludf.DUMMYFUNCTION("""COMPUTED_VALUE"""),610422040056)</f>
        <v>610422040056</v>
      </c>
      <c r="D22" s="10" t="str">
        <f ca="1">IFERROR(__xludf.DUMMYFUNCTION("""COMPUTED_VALUE"""),"VHTS24-LAPANGAN-JANUARI")</f>
        <v>VHTS24-LAPANGAN-JANUARI</v>
      </c>
      <c r="E22" s="10"/>
      <c r="F22" s="10">
        <f ca="1">IFERROR(__xludf.DUMMYFUNCTION("""COMPUTED_VALUE"""),1)</f>
        <v>1</v>
      </c>
      <c r="G22" s="10" t="str">
        <f ca="1">IFERROR(__xludf.DUMMYFUNCTION("""COMPUTED_VALUE"""),"Wandi Syafari")</f>
        <v>Wandi Syafari</v>
      </c>
      <c r="H22" s="10" t="str">
        <f ca="1">IFERROR(__xludf.DUMMYFUNCTION("""COMPUTED_VALUE"""),"PPL")</f>
        <v>PPL</v>
      </c>
      <c r="I22" s="10" t="str">
        <f ca="1">IFERROR(__xludf.DUMMYFUNCTION("""COMPUTED_VALUE"""),"6102010802760001")</f>
        <v>6102010802760001</v>
      </c>
      <c r="J22" s="10" t="str">
        <f ca="1">IFERROR(__xludf.DUMMYFUNCTION("""COMPUTED_VALUE"""),"PENDATAAN")</f>
        <v>PENDATAAN</v>
      </c>
      <c r="K22" s="10" t="str">
        <f ca="1">IFERROR(__xludf.DUMMYFUNCTION("""COMPUTED_VALUE"""),"VHTS24-LAPANGAN-JANUARI-PPL-PENDATAAN")</f>
        <v>VHTS24-LAPANGAN-JANUARI-PPL-PENDATAAN</v>
      </c>
      <c r="L22" s="10" t="str">
        <f ca="1">IFERROR(__xludf.DUMMYFUNCTION("""COMPUTED_VALUE"""),"Dokumen")</f>
        <v>Dokumen</v>
      </c>
      <c r="M22" s="66">
        <f ca="1">IFERROR(__xludf.DUMMYFUNCTION("""COMPUTED_VALUE"""),55000)</f>
        <v>55000</v>
      </c>
      <c r="N22" s="10">
        <f ca="1">IFERROR(__xludf.DUMMYFUNCTION("""COMPUTED_VALUE"""),2)</f>
        <v>2</v>
      </c>
      <c r="O22" s="10">
        <f ca="1">IFERROR(__xludf.DUMMYFUNCTION("""COMPUTED_VALUE"""),110000)</f>
        <v>110000</v>
      </c>
      <c r="P22" s="70">
        <f ca="1">IFERROR(__xludf.DUMMYFUNCTION("""COMPUTED_VALUE"""),110000)</f>
        <v>110000</v>
      </c>
      <c r="Q22" s="67">
        <f ca="1">IFERROR(__xludf.DUMMYFUNCTION("""COMPUTED_VALUE"""),45311)</f>
        <v>45311</v>
      </c>
    </row>
    <row r="23" spans="1:17" ht="15.75" customHeight="1">
      <c r="A23" s="82">
        <f t="array" aca="1" ref="A23" ca="1">INDEX('Database Mitra'!$R$2:$R1001,MATCH(C23,'Database Mitra'!$B$2:$B1001,0))</f>
        <v>31964</v>
      </c>
      <c r="B23" s="10" t="e">
        <f t="shared" ca="1" si="0"/>
        <v>#NAME?</v>
      </c>
      <c r="C23" s="83">
        <f ca="1">IFERROR(__xludf.DUMMYFUNCTION("""COMPUTED_VALUE"""),610422040029)</f>
        <v>610422040029</v>
      </c>
      <c r="D23" s="10" t="str">
        <f ca="1">IFERROR(__xludf.DUMMYFUNCTION("""COMPUTED_VALUE"""),"SHKK24-LAPANGAN-JANUARI")</f>
        <v>SHKK24-LAPANGAN-JANUARI</v>
      </c>
      <c r="E23" s="10"/>
      <c r="F23" s="10">
        <f ca="1">IFERROR(__xludf.DUMMYFUNCTION("""COMPUTED_VALUE"""),1)</f>
        <v>1</v>
      </c>
      <c r="G23" s="10" t="str">
        <f ca="1">IFERROR(__xludf.DUMMYFUNCTION("""COMPUTED_VALUE"""),"Zaini")</f>
        <v>Zaini</v>
      </c>
      <c r="H23" s="10" t="str">
        <f ca="1">IFERROR(__xludf.DUMMYFUNCTION("""COMPUTED_VALUE"""),"PPL")</f>
        <v>PPL</v>
      </c>
      <c r="I23" s="10" t="str">
        <f ca="1">IFERROR(__xludf.DUMMYFUNCTION("""COMPUTED_VALUE"""),"6102010607870002")</f>
        <v>6102010607870002</v>
      </c>
      <c r="J23" s="10" t="str">
        <f ca="1">IFERROR(__xludf.DUMMYFUNCTION("""COMPUTED_VALUE"""),"PENDATAAN")</f>
        <v>PENDATAAN</v>
      </c>
      <c r="K23" s="10" t="str">
        <f ca="1">IFERROR(__xludf.DUMMYFUNCTION("""COMPUTED_VALUE"""),"SHKK24-LAPANGAN-JANUARI-PPL-PENDATAAN")</f>
        <v>SHKK24-LAPANGAN-JANUARI-PPL-PENDATAAN</v>
      </c>
      <c r="L23" s="10" t="str">
        <f ca="1">IFERROR(__xludf.DUMMYFUNCTION("""COMPUTED_VALUE"""),"Dokumen")</f>
        <v>Dokumen</v>
      </c>
      <c r="M23" s="66">
        <f ca="1">IFERROR(__xludf.DUMMYFUNCTION("""COMPUTED_VALUE"""),60000)</f>
        <v>60000</v>
      </c>
      <c r="N23" s="10">
        <f ca="1">IFERROR(__xludf.DUMMYFUNCTION("""COMPUTED_VALUE"""),16)</f>
        <v>16</v>
      </c>
      <c r="O23" s="10">
        <f ca="1">IFERROR(__xludf.DUMMYFUNCTION("""COMPUTED_VALUE"""),960000)</f>
        <v>960000</v>
      </c>
      <c r="P23" s="10"/>
      <c r="Q23" s="67">
        <f ca="1">IFERROR(__xludf.DUMMYFUNCTION("""COMPUTED_VALUE"""),45311)</f>
        <v>45311</v>
      </c>
    </row>
    <row r="24" spans="1:17" ht="15.75" customHeight="1">
      <c r="A24" s="11">
        <f t="array" aca="1" ref="A24" ca="1">INDEX('Database Mitra'!$R$2:$R1001,MATCH(C24,'Database Mitra'!$B$2:$B1001,0))</f>
        <v>29305</v>
      </c>
      <c r="B24" s="10" t="e">
        <f t="shared" ca="1" si="0"/>
        <v>#NAME?</v>
      </c>
      <c r="C24" s="83">
        <f ca="1">IFERROR(__xludf.DUMMYFUNCTION("""COMPUTED_VALUE"""),610422020048)</f>
        <v>610422020048</v>
      </c>
      <c r="D24" s="10" t="str">
        <f ca="1">IFERROR(__xludf.DUMMYFUNCTION("""COMPUTED_VALUE"""),"SHKK24-LAPANGAN-JANUARI")</f>
        <v>SHKK24-LAPANGAN-JANUARI</v>
      </c>
      <c r="E24" s="10"/>
      <c r="F24" s="10">
        <f ca="1">IFERROR(__xludf.DUMMYFUNCTION("""COMPUTED_VALUE"""),1)</f>
        <v>1</v>
      </c>
      <c r="G24" s="10" t="str">
        <f ca="1">IFERROR(__xludf.DUMMYFUNCTION("""COMPUTED_VALUE"""),"Herri Gustaman")</f>
        <v>Herri Gustaman</v>
      </c>
      <c r="H24" s="10" t="str">
        <f ca="1">IFERROR(__xludf.DUMMYFUNCTION("""COMPUTED_VALUE"""),"PPL")</f>
        <v>PPL</v>
      </c>
      <c r="I24" s="10" t="str">
        <f ca="1">IFERROR(__xludf.DUMMYFUNCTION("""COMPUTED_VALUE"""),"6102072503800001")</f>
        <v>6102072503800001</v>
      </c>
      <c r="J24" s="10" t="str">
        <f ca="1">IFERROR(__xludf.DUMMYFUNCTION("""COMPUTED_VALUE"""),"PENDATAAN")</f>
        <v>PENDATAAN</v>
      </c>
      <c r="K24" s="10" t="str">
        <f ca="1">IFERROR(__xludf.DUMMYFUNCTION("""COMPUTED_VALUE"""),"SHKK24-LAPANGAN-JANUARI-PPL-PENDATAAN")</f>
        <v>SHKK24-LAPANGAN-JANUARI-PPL-PENDATAAN</v>
      </c>
      <c r="L24" s="10" t="str">
        <f ca="1">IFERROR(__xludf.DUMMYFUNCTION("""COMPUTED_VALUE"""),"Dokumen")</f>
        <v>Dokumen</v>
      </c>
      <c r="M24" s="66">
        <f ca="1">IFERROR(__xludf.DUMMYFUNCTION("""COMPUTED_VALUE"""),60000)</f>
        <v>60000</v>
      </c>
      <c r="N24" s="10">
        <f ca="1">IFERROR(__xludf.DUMMYFUNCTION("""COMPUTED_VALUE"""),10)</f>
        <v>10</v>
      </c>
      <c r="O24" s="10">
        <f ca="1">IFERROR(__xludf.DUMMYFUNCTION("""COMPUTED_VALUE"""),600000)</f>
        <v>600000</v>
      </c>
      <c r="P24" s="10"/>
      <c r="Q24" s="67">
        <f ca="1">IFERROR(__xludf.DUMMYFUNCTION("""COMPUTED_VALUE"""),45311)</f>
        <v>45311</v>
      </c>
    </row>
    <row r="25" spans="1:17" ht="15.75" customHeight="1">
      <c r="A25" s="82">
        <f t="array" aca="1" ref="A25" ca="1">INDEX('Database Mitra'!$R$2:$R1001,MATCH(C25,'Database Mitra'!$B$2:$B1001,0))</f>
        <v>35862</v>
      </c>
      <c r="B25" s="10" t="e">
        <f t="shared" ca="1" si="0"/>
        <v>#NAME?</v>
      </c>
      <c r="C25" s="83">
        <f ca="1">IFERROR(__xludf.DUMMYFUNCTION("""COMPUTED_VALUE"""),610422100165)</f>
        <v>610422100165</v>
      </c>
      <c r="D25" s="10" t="str">
        <f ca="1">IFERROR(__xludf.DUMMYFUNCTION("""COMPUTED_VALUE"""),"SHKK24-LAPANGAN-JANUARI")</f>
        <v>SHKK24-LAPANGAN-JANUARI</v>
      </c>
      <c r="E25" s="10"/>
      <c r="F25" s="10">
        <f ca="1">IFERROR(__xludf.DUMMYFUNCTION("""COMPUTED_VALUE"""),1)</f>
        <v>1</v>
      </c>
      <c r="G25" s="10" t="str">
        <f ca="1">IFERROR(__xludf.DUMMYFUNCTION("""COMPUTED_VALUE"""),"Yanti")</f>
        <v>Yanti</v>
      </c>
      <c r="H25" s="10" t="str">
        <f ca="1">IFERROR(__xludf.DUMMYFUNCTION("""COMPUTED_VALUE"""),"PPL")</f>
        <v>PPL</v>
      </c>
      <c r="I25" s="10" t="str">
        <f ca="1">IFERROR(__xludf.DUMMYFUNCTION("""COMPUTED_VALUE"""),"6102074803980002")</f>
        <v>6102074803980002</v>
      </c>
      <c r="J25" s="10" t="str">
        <f ca="1">IFERROR(__xludf.DUMMYFUNCTION("""COMPUTED_VALUE"""),"PENDATAAN")</f>
        <v>PENDATAAN</v>
      </c>
      <c r="K25" s="10" t="str">
        <f ca="1">IFERROR(__xludf.DUMMYFUNCTION("""COMPUTED_VALUE"""),"SHKK24-LAPANGAN-JANUARI-PPL-PENDATAAN")</f>
        <v>SHKK24-LAPANGAN-JANUARI-PPL-PENDATAAN</v>
      </c>
      <c r="L25" s="10" t="str">
        <f ca="1">IFERROR(__xludf.DUMMYFUNCTION("""COMPUTED_VALUE"""),"Dokumen")</f>
        <v>Dokumen</v>
      </c>
      <c r="M25" s="66">
        <f ca="1">IFERROR(__xludf.DUMMYFUNCTION("""COMPUTED_VALUE"""),60000)</f>
        <v>60000</v>
      </c>
      <c r="N25" s="10">
        <f ca="1">IFERROR(__xludf.DUMMYFUNCTION("""COMPUTED_VALUE"""),6)</f>
        <v>6</v>
      </c>
      <c r="O25" s="10">
        <f ca="1">IFERROR(__xludf.DUMMYFUNCTION("""COMPUTED_VALUE"""),360000)</f>
        <v>360000</v>
      </c>
      <c r="P25" s="10"/>
      <c r="Q25" s="67">
        <f ca="1">IFERROR(__xludf.DUMMYFUNCTION("""COMPUTED_VALUE"""),45311)</f>
        <v>45311</v>
      </c>
    </row>
    <row r="26" spans="1:17" ht="15.75" customHeight="1">
      <c r="A26" s="82">
        <f t="array" aca="1" ref="A26" ca="1">INDEX('Database Mitra'!$R$2:$R1001,MATCH(C26,'Database Mitra'!$B$2:$B1001,0))</f>
        <v>29177</v>
      </c>
      <c r="B26" s="10" t="e">
        <f t="shared" ca="1" si="0"/>
        <v>#NAME?</v>
      </c>
      <c r="C26" s="83">
        <f ca="1">IFERROR(__xludf.DUMMYFUNCTION("""COMPUTED_VALUE"""),610422020052)</f>
        <v>610422020052</v>
      </c>
      <c r="D26" s="10" t="str">
        <f ca="1">IFERROR(__xludf.DUMMYFUNCTION("""COMPUTED_VALUE"""),"SHKK24-LAPANGAN-JANUARI")</f>
        <v>SHKK24-LAPANGAN-JANUARI</v>
      </c>
      <c r="E26" s="10"/>
      <c r="F26" s="10">
        <f ca="1">IFERROR(__xludf.DUMMYFUNCTION("""COMPUTED_VALUE"""),1)</f>
        <v>1</v>
      </c>
      <c r="G26" s="10" t="str">
        <f ca="1">IFERROR(__xludf.DUMMYFUNCTION("""COMPUTED_VALUE"""),"Agus Supriyanto")</f>
        <v>Agus Supriyanto</v>
      </c>
      <c r="H26" s="10" t="str">
        <f ca="1">IFERROR(__xludf.DUMMYFUNCTION("""COMPUTED_VALUE"""),"PPL")</f>
        <v>PPL</v>
      </c>
      <c r="I26" s="10" t="str">
        <f ca="1">IFERROR(__xludf.DUMMYFUNCTION("""COMPUTED_VALUE"""),"6102071811790001")</f>
        <v>6102071811790001</v>
      </c>
      <c r="J26" s="10" t="str">
        <f ca="1">IFERROR(__xludf.DUMMYFUNCTION("""COMPUTED_VALUE"""),"PENDATAAN")</f>
        <v>PENDATAAN</v>
      </c>
      <c r="K26" s="10" t="str">
        <f ca="1">IFERROR(__xludf.DUMMYFUNCTION("""COMPUTED_VALUE"""),"SHKK24-LAPANGAN-JANUARI-PPL-PENDATAAN")</f>
        <v>SHKK24-LAPANGAN-JANUARI-PPL-PENDATAAN</v>
      </c>
      <c r="L26" s="10" t="str">
        <f ca="1">IFERROR(__xludf.DUMMYFUNCTION("""COMPUTED_VALUE"""),"Dokumen")</f>
        <v>Dokumen</v>
      </c>
      <c r="M26" s="66">
        <f ca="1">IFERROR(__xludf.DUMMYFUNCTION("""COMPUTED_VALUE"""),60000)</f>
        <v>60000</v>
      </c>
      <c r="N26" s="10">
        <f ca="1">IFERROR(__xludf.DUMMYFUNCTION("""COMPUTED_VALUE"""),7)</f>
        <v>7</v>
      </c>
      <c r="O26" s="10">
        <f ca="1">IFERROR(__xludf.DUMMYFUNCTION("""COMPUTED_VALUE"""),420000)</f>
        <v>420000</v>
      </c>
      <c r="P26" s="10"/>
      <c r="Q26" s="67">
        <f ca="1">IFERROR(__xludf.DUMMYFUNCTION("""COMPUTED_VALUE"""),45311)</f>
        <v>45311</v>
      </c>
    </row>
    <row r="27" spans="1:17" ht="15.75" customHeight="1">
      <c r="A27" s="11">
        <f t="array" aca="1" ref="A27" ca="1">INDEX('Database Mitra'!$R$2:$R1001,MATCH(C27,'Database Mitra'!$B$2:$B1001,0))</f>
        <v>34895</v>
      </c>
      <c r="B27" s="10" t="e">
        <f t="shared" ca="1" si="0"/>
        <v>#NAME?</v>
      </c>
      <c r="C27" s="83">
        <f ca="1">IFERROR(__xludf.DUMMYFUNCTION("""COMPUTED_VALUE"""),610422020016)</f>
        <v>610422020016</v>
      </c>
      <c r="D27" s="10" t="str">
        <f ca="1">IFERROR(__xludf.DUMMYFUNCTION("""COMPUTED_VALUE"""),"KSA24-LAPANGAN-JANUARI")</f>
        <v>KSA24-LAPANGAN-JANUARI</v>
      </c>
      <c r="E27" s="10"/>
      <c r="F27" s="10">
        <f ca="1">IFERROR(__xludf.DUMMYFUNCTION("""COMPUTED_VALUE"""),1)</f>
        <v>1</v>
      </c>
      <c r="G27" s="10" t="str">
        <f ca="1">IFERROR(__xludf.DUMMYFUNCTION("""COMPUTED_VALUE"""),"Abdul Aziz")</f>
        <v>Abdul Aziz</v>
      </c>
      <c r="H27" s="10" t="str">
        <f ca="1">IFERROR(__xludf.DUMMYFUNCTION("""COMPUTED_VALUE"""),"PPL")</f>
        <v>PPL</v>
      </c>
      <c r="I27" s="10" t="str">
        <f ca="1">IFERROR(__xludf.DUMMYFUNCTION("""COMPUTED_VALUE"""),"6102061507950006")</f>
        <v>6102061507950006</v>
      </c>
      <c r="J27" s="10" t="str">
        <f ca="1">IFERROR(__xludf.DUMMYFUNCTION("""COMPUTED_VALUE"""),"KSA PADI")</f>
        <v>KSA PADI</v>
      </c>
      <c r="K27" s="10" t="str">
        <f ca="1">IFERROR(__xludf.DUMMYFUNCTION("""COMPUTED_VALUE"""),"KSA24-LAPANGAN-JANUARI-PPL-KSA PADI")</f>
        <v>KSA24-LAPANGAN-JANUARI-PPL-KSA PADI</v>
      </c>
      <c r="L27" s="10" t="str">
        <f ca="1">IFERROR(__xludf.DUMMYFUNCTION("""COMPUTED_VALUE"""),"Segmen")</f>
        <v>Segmen</v>
      </c>
      <c r="M27" s="66">
        <f ca="1">IFERROR(__xludf.DUMMYFUNCTION("""COMPUTED_VALUE"""),116000)</f>
        <v>116000</v>
      </c>
      <c r="N27" s="10">
        <f ca="1">IFERROR(__xludf.DUMMYFUNCTION("""COMPUTED_VALUE"""),3)</f>
        <v>3</v>
      </c>
      <c r="O27" s="10">
        <f ca="1">IFERROR(__xludf.DUMMYFUNCTION("""COMPUTED_VALUE"""),348000)</f>
        <v>348000</v>
      </c>
      <c r="P27" s="70">
        <f ca="1">IFERROR(__xludf.DUMMYFUNCTION("""COMPUTED_VALUE"""),348000)</f>
        <v>348000</v>
      </c>
      <c r="Q27" s="67">
        <f ca="1">IFERROR(__xludf.DUMMYFUNCTION("""COMPUTED_VALUE"""),45322)</f>
        <v>45322</v>
      </c>
    </row>
    <row r="28" spans="1:17" ht="15.75" customHeight="1">
      <c r="A28" s="82">
        <f t="array" aca="1" ref="A28" ca="1">INDEX('Database Mitra'!$R$2:$R1001,MATCH(C28,'Database Mitra'!$B$2:$B1001,0))</f>
        <v>36043</v>
      </c>
      <c r="B28" s="10" t="e">
        <f t="shared" ca="1" si="0"/>
        <v>#NAME?</v>
      </c>
      <c r="C28" s="83">
        <f ca="1">IFERROR(__xludf.DUMMYFUNCTION("""COMPUTED_VALUE"""),610422040012)</f>
        <v>610422040012</v>
      </c>
      <c r="D28" s="10" t="str">
        <f ca="1">IFERROR(__xludf.DUMMYFUNCTION("""COMPUTED_VALUE"""),"KSA24-LAPANGAN-JANUARI")</f>
        <v>KSA24-LAPANGAN-JANUARI</v>
      </c>
      <c r="E28" s="10"/>
      <c r="F28" s="10">
        <f ca="1">IFERROR(__xludf.DUMMYFUNCTION("""COMPUTED_VALUE"""),1)</f>
        <v>1</v>
      </c>
      <c r="G28" s="10" t="str">
        <f ca="1">IFERROR(__xludf.DUMMYFUNCTION("""COMPUTED_VALUE"""),"Misdi")</f>
        <v>Misdi</v>
      </c>
      <c r="H28" s="10" t="str">
        <f ca="1">IFERROR(__xludf.DUMMYFUNCTION("""COMPUTED_VALUE"""),"PPL")</f>
        <v>PPL</v>
      </c>
      <c r="I28" s="10" t="str">
        <f ca="1">IFERROR(__xludf.DUMMYFUNCTION("""COMPUTED_VALUE"""),"6102070706940001")</f>
        <v>6102070706940001</v>
      </c>
      <c r="J28" s="10" t="str">
        <f ca="1">IFERROR(__xludf.DUMMYFUNCTION("""COMPUTED_VALUE"""),"KSA PADI")</f>
        <v>KSA PADI</v>
      </c>
      <c r="K28" s="10" t="str">
        <f ca="1">IFERROR(__xludf.DUMMYFUNCTION("""COMPUTED_VALUE"""),"KSA24-LAPANGAN-JANUARI-PPL-KSA PADI")</f>
        <v>KSA24-LAPANGAN-JANUARI-PPL-KSA PADI</v>
      </c>
      <c r="L28" s="10" t="str">
        <f ca="1">IFERROR(__xludf.DUMMYFUNCTION("""COMPUTED_VALUE"""),"Segmen")</f>
        <v>Segmen</v>
      </c>
      <c r="M28" s="66">
        <f ca="1">IFERROR(__xludf.DUMMYFUNCTION("""COMPUTED_VALUE"""),116000)</f>
        <v>116000</v>
      </c>
      <c r="N28" s="10">
        <f ca="1">IFERROR(__xludf.DUMMYFUNCTION("""COMPUTED_VALUE"""),3)</f>
        <v>3</v>
      </c>
      <c r="O28" s="10">
        <f ca="1">IFERROR(__xludf.DUMMYFUNCTION("""COMPUTED_VALUE"""),348000)</f>
        <v>348000</v>
      </c>
      <c r="P28" s="70">
        <f ca="1">IFERROR(__xludf.DUMMYFUNCTION("""COMPUTED_VALUE"""),348000)</f>
        <v>348000</v>
      </c>
      <c r="Q28" s="67">
        <f ca="1">IFERROR(__xludf.DUMMYFUNCTION("""COMPUTED_VALUE"""),45322)</f>
        <v>45322</v>
      </c>
    </row>
    <row r="29" spans="1:17" ht="15.75" customHeight="1">
      <c r="A29" s="82">
        <f t="array" aca="1" ref="A29" ca="1">INDEX('Database Mitra'!$R$2:$R1001,MATCH(C29,'Database Mitra'!$B$2:$B1001,0))</f>
        <v>28816</v>
      </c>
      <c r="B29" s="10" t="e">
        <f t="shared" ca="1" si="0"/>
        <v>#NAME?</v>
      </c>
      <c r="C29" s="83">
        <f ca="1">IFERROR(__xludf.DUMMYFUNCTION("""COMPUTED_VALUE"""),610422040059)</f>
        <v>610422040059</v>
      </c>
      <c r="D29" s="10" t="str">
        <f ca="1">IFERROR(__xludf.DUMMYFUNCTION("""COMPUTED_VALUE"""),"KSA24-LAPANGAN-JANUARI")</f>
        <v>KSA24-LAPANGAN-JANUARI</v>
      </c>
      <c r="E29" s="10"/>
      <c r="F29" s="10">
        <f ca="1">IFERROR(__xludf.DUMMYFUNCTION("""COMPUTED_VALUE"""),1)</f>
        <v>1</v>
      </c>
      <c r="G29" s="10" t="str">
        <f ca="1">IFERROR(__xludf.DUMMYFUNCTION("""COMPUTED_VALUE"""),"Abang Handri")</f>
        <v>Abang Handri</v>
      </c>
      <c r="H29" s="10" t="str">
        <f ca="1">IFERROR(__xludf.DUMMYFUNCTION("""COMPUTED_VALUE"""),"PPL")</f>
        <v>PPL</v>
      </c>
      <c r="I29" s="10" t="str">
        <f ca="1">IFERROR(__xludf.DUMMYFUNCTION("""COMPUTED_VALUE"""),"6102072211780002")</f>
        <v>6102072211780002</v>
      </c>
      <c r="J29" s="10" t="str">
        <f ca="1">IFERROR(__xludf.DUMMYFUNCTION("""COMPUTED_VALUE"""),"KSA PADI")</f>
        <v>KSA PADI</v>
      </c>
      <c r="K29" s="10" t="str">
        <f ca="1">IFERROR(__xludf.DUMMYFUNCTION("""COMPUTED_VALUE"""),"KSA24-LAPANGAN-JANUARI-PPL-KSA PADI")</f>
        <v>KSA24-LAPANGAN-JANUARI-PPL-KSA PADI</v>
      </c>
      <c r="L29" s="10" t="str">
        <f ca="1">IFERROR(__xludf.DUMMYFUNCTION("""COMPUTED_VALUE"""),"Segmen")</f>
        <v>Segmen</v>
      </c>
      <c r="M29" s="66">
        <f ca="1">IFERROR(__xludf.DUMMYFUNCTION("""COMPUTED_VALUE"""),116000)</f>
        <v>116000</v>
      </c>
      <c r="N29" s="10">
        <f ca="1">IFERROR(__xludf.DUMMYFUNCTION("""COMPUTED_VALUE"""),4)</f>
        <v>4</v>
      </c>
      <c r="O29" s="10">
        <f ca="1">IFERROR(__xludf.DUMMYFUNCTION("""COMPUTED_VALUE"""),464000)</f>
        <v>464000</v>
      </c>
      <c r="P29" s="70">
        <f ca="1">IFERROR(__xludf.DUMMYFUNCTION("""COMPUTED_VALUE"""),464000)</f>
        <v>464000</v>
      </c>
      <c r="Q29" s="67">
        <f ca="1">IFERROR(__xludf.DUMMYFUNCTION("""COMPUTED_VALUE"""),45322)</f>
        <v>45322</v>
      </c>
    </row>
    <row r="30" spans="1:17" ht="15.75" customHeight="1">
      <c r="A30" s="11">
        <f t="array" aca="1" ref="A30" ca="1">INDEX('Database Mitra'!$R$2:$R1001,MATCH(C30,'Database Mitra'!$B$2:$B1001,0))</f>
        <v>31777</v>
      </c>
      <c r="B30" s="10" t="e">
        <f t="shared" ca="1" si="0"/>
        <v>#NAME?</v>
      </c>
      <c r="C30" s="83">
        <f ca="1">IFERROR(__xludf.DUMMYFUNCTION("""COMPUTED_VALUE"""),610422040061)</f>
        <v>610422040061</v>
      </c>
      <c r="D30" s="10" t="str">
        <f ca="1">IFERROR(__xludf.DUMMYFUNCTION("""COMPUTED_VALUE"""),"KSA24-LAPANGAN-JANUARI")</f>
        <v>KSA24-LAPANGAN-JANUARI</v>
      </c>
      <c r="E30" s="10"/>
      <c r="F30" s="10">
        <f ca="1">IFERROR(__xludf.DUMMYFUNCTION("""COMPUTED_VALUE"""),1)</f>
        <v>1</v>
      </c>
      <c r="G30" s="10" t="str">
        <f ca="1">IFERROR(__xludf.DUMMYFUNCTION("""COMPUTED_VALUE"""),"Sabani")</f>
        <v>Sabani</v>
      </c>
      <c r="H30" s="10" t="str">
        <f ca="1">IFERROR(__xludf.DUMMYFUNCTION("""COMPUTED_VALUE"""),"PPL")</f>
        <v>PPL</v>
      </c>
      <c r="I30" s="10" t="str">
        <f ca="1">IFERROR(__xludf.DUMMYFUNCTION("""COMPUTED_VALUE"""),"6102153112860003")</f>
        <v>6102153112860003</v>
      </c>
      <c r="J30" s="10" t="str">
        <f ca="1">IFERROR(__xludf.DUMMYFUNCTION("""COMPUTED_VALUE"""),"KSA PADI")</f>
        <v>KSA PADI</v>
      </c>
      <c r="K30" s="10" t="str">
        <f ca="1">IFERROR(__xludf.DUMMYFUNCTION("""COMPUTED_VALUE"""),"KSA24-LAPANGAN-JANUARI-PPL-KSA PADI")</f>
        <v>KSA24-LAPANGAN-JANUARI-PPL-KSA PADI</v>
      </c>
      <c r="L30" s="10" t="str">
        <f ca="1">IFERROR(__xludf.DUMMYFUNCTION("""COMPUTED_VALUE"""),"Segmen")</f>
        <v>Segmen</v>
      </c>
      <c r="M30" s="66">
        <f ca="1">IFERROR(__xludf.DUMMYFUNCTION("""COMPUTED_VALUE"""),116000)</f>
        <v>116000</v>
      </c>
      <c r="N30" s="10">
        <f ca="1">IFERROR(__xludf.DUMMYFUNCTION("""COMPUTED_VALUE"""),3)</f>
        <v>3</v>
      </c>
      <c r="O30" s="10">
        <f ca="1">IFERROR(__xludf.DUMMYFUNCTION("""COMPUTED_VALUE"""),348000)</f>
        <v>348000</v>
      </c>
      <c r="P30" s="70">
        <f ca="1">IFERROR(__xludf.DUMMYFUNCTION("""COMPUTED_VALUE"""),348000)</f>
        <v>348000</v>
      </c>
      <c r="Q30" s="67">
        <f ca="1">IFERROR(__xludf.DUMMYFUNCTION("""COMPUTED_VALUE"""),45322)</f>
        <v>45322</v>
      </c>
    </row>
    <row r="31" spans="1:17" ht="12.5">
      <c r="A31" s="82">
        <f t="array" aca="1" ref="A31" ca="1">INDEX('Database Mitra'!$R$2:$R1001,MATCH(C31,'Database Mitra'!$B$2:$B1001,0))</f>
        <v>31602</v>
      </c>
      <c r="B31" s="10" t="e">
        <f t="shared" ca="1" si="0"/>
        <v>#NAME?</v>
      </c>
      <c r="C31" s="83">
        <f ca="1">IFERROR(__xludf.DUMMYFUNCTION("""COMPUTED_VALUE"""),610422100131)</f>
        <v>610422100131</v>
      </c>
      <c r="D31" s="10" t="str">
        <f ca="1">IFERROR(__xludf.DUMMYFUNCTION("""COMPUTED_VALUE"""),"KSA24-LAPANGAN-JANUARI")</f>
        <v>KSA24-LAPANGAN-JANUARI</v>
      </c>
      <c r="E31" s="10"/>
      <c r="F31" s="10">
        <f ca="1">IFERROR(__xludf.DUMMYFUNCTION("""COMPUTED_VALUE"""),1)</f>
        <v>1</v>
      </c>
      <c r="G31" s="10" t="str">
        <f ca="1">IFERROR(__xludf.DUMMYFUNCTION("""COMPUTED_VALUE"""),"Syamsul")</f>
        <v>Syamsul</v>
      </c>
      <c r="H31" s="10" t="str">
        <f ca="1">IFERROR(__xludf.DUMMYFUNCTION("""COMPUTED_VALUE"""),"PPL")</f>
        <v>PPL</v>
      </c>
      <c r="I31" s="10" t="str">
        <f ca="1">IFERROR(__xludf.DUMMYFUNCTION("""COMPUTED_VALUE"""),"6102150907860003")</f>
        <v>6102150907860003</v>
      </c>
      <c r="J31" s="10" t="str">
        <f ca="1">IFERROR(__xludf.DUMMYFUNCTION("""COMPUTED_VALUE"""),"KSA PADI")</f>
        <v>KSA PADI</v>
      </c>
      <c r="K31" s="10" t="str">
        <f ca="1">IFERROR(__xludf.DUMMYFUNCTION("""COMPUTED_VALUE"""),"KSA24-LAPANGAN-JANUARI-PPL-KSA PADI")</f>
        <v>KSA24-LAPANGAN-JANUARI-PPL-KSA PADI</v>
      </c>
      <c r="L31" s="10" t="str">
        <f ca="1">IFERROR(__xludf.DUMMYFUNCTION("""COMPUTED_VALUE"""),"Segmen")</f>
        <v>Segmen</v>
      </c>
      <c r="M31" s="66">
        <f ca="1">IFERROR(__xludf.DUMMYFUNCTION("""COMPUTED_VALUE"""),116000)</f>
        <v>116000</v>
      </c>
      <c r="N31" s="10">
        <f ca="1">IFERROR(__xludf.DUMMYFUNCTION("""COMPUTED_VALUE"""),3)</f>
        <v>3</v>
      </c>
      <c r="O31" s="10">
        <f ca="1">IFERROR(__xludf.DUMMYFUNCTION("""COMPUTED_VALUE"""),348000)</f>
        <v>348000</v>
      </c>
      <c r="P31" s="70">
        <f ca="1">IFERROR(__xludf.DUMMYFUNCTION("""COMPUTED_VALUE"""),348000)</f>
        <v>348000</v>
      </c>
      <c r="Q31" s="67">
        <f ca="1">IFERROR(__xludf.DUMMYFUNCTION("""COMPUTED_VALUE"""),45322)</f>
        <v>45322</v>
      </c>
    </row>
    <row r="32" spans="1:17" ht="12.5">
      <c r="A32" s="82">
        <f t="array" aca="1" ref="A32" ca="1">INDEX('Database Mitra'!$R$2:$R1001,MATCH(C32,'Database Mitra'!$B$2:$B1001,0))</f>
        <v>32942</v>
      </c>
      <c r="B32" s="10" t="e">
        <f t="shared" ca="1" si="0"/>
        <v>#NAME?</v>
      </c>
      <c r="C32" s="83">
        <f ca="1">IFERROR(__xludf.DUMMYFUNCTION("""COMPUTED_VALUE"""),610422100244)</f>
        <v>610422100244</v>
      </c>
      <c r="D32" s="10" t="str">
        <f ca="1">IFERROR(__xludf.DUMMYFUNCTION("""COMPUTED_VALUE"""),"KSA24-LAPANGAN-JANUARI")</f>
        <v>KSA24-LAPANGAN-JANUARI</v>
      </c>
      <c r="E32" s="10"/>
      <c r="F32" s="10">
        <f ca="1">IFERROR(__xludf.DUMMYFUNCTION("""COMPUTED_VALUE"""),1)</f>
        <v>1</v>
      </c>
      <c r="G32" s="10" t="str">
        <f ca="1">IFERROR(__xludf.DUMMYFUNCTION("""COMPUTED_VALUE"""),"Sugianto")</f>
        <v>Sugianto</v>
      </c>
      <c r="H32" s="10" t="str">
        <f ca="1">IFERROR(__xludf.DUMMYFUNCTION("""COMPUTED_VALUE"""),"PPL")</f>
        <v>PPL</v>
      </c>
      <c r="I32" s="10" t="str">
        <f ca="1">IFERROR(__xludf.DUMMYFUNCTION("""COMPUTED_VALUE"""),"6102171003900002")</f>
        <v>6102171003900002</v>
      </c>
      <c r="J32" s="10" t="str">
        <f ca="1">IFERROR(__xludf.DUMMYFUNCTION("""COMPUTED_VALUE"""),"KSA PADI")</f>
        <v>KSA PADI</v>
      </c>
      <c r="K32" s="10" t="str">
        <f ca="1">IFERROR(__xludf.DUMMYFUNCTION("""COMPUTED_VALUE"""),"KSA24-LAPANGAN-JANUARI-PPL-KSA PADI")</f>
        <v>KSA24-LAPANGAN-JANUARI-PPL-KSA PADI</v>
      </c>
      <c r="L32" s="10" t="str">
        <f ca="1">IFERROR(__xludf.DUMMYFUNCTION("""COMPUTED_VALUE"""),"Segmen")</f>
        <v>Segmen</v>
      </c>
      <c r="M32" s="66">
        <f ca="1">IFERROR(__xludf.DUMMYFUNCTION("""COMPUTED_VALUE"""),116000)</f>
        <v>116000</v>
      </c>
      <c r="N32" s="10">
        <f ca="1">IFERROR(__xludf.DUMMYFUNCTION("""COMPUTED_VALUE"""),3)</f>
        <v>3</v>
      </c>
      <c r="O32" s="10">
        <f ca="1">IFERROR(__xludf.DUMMYFUNCTION("""COMPUTED_VALUE"""),348000)</f>
        <v>348000</v>
      </c>
      <c r="P32" s="70">
        <f ca="1">IFERROR(__xludf.DUMMYFUNCTION("""COMPUTED_VALUE"""),348000)</f>
        <v>348000</v>
      </c>
      <c r="Q32" s="67">
        <f ca="1">IFERROR(__xludf.DUMMYFUNCTION("""COMPUTED_VALUE"""),45322)</f>
        <v>45322</v>
      </c>
    </row>
    <row r="33" spans="1:17" ht="12.5">
      <c r="A33" s="11">
        <f t="array" aca="1" ref="A33" ca="1">INDEX('Database Mitra'!$R$2:$R1001,MATCH(C33,'Database Mitra'!$B$2:$B1001,0))</f>
        <v>32481</v>
      </c>
      <c r="B33" s="10" t="e">
        <f t="shared" ca="1" si="0"/>
        <v>#NAME?</v>
      </c>
      <c r="C33" s="83">
        <f ca="1">IFERROR(__xludf.DUMMYFUNCTION("""COMPUTED_VALUE"""),610422100176)</f>
        <v>610422100176</v>
      </c>
      <c r="D33" s="10" t="str">
        <f ca="1">IFERROR(__xludf.DUMMYFUNCTION("""COMPUTED_VALUE"""),"KSA24-LAPANGAN-JANUARI")</f>
        <v>KSA24-LAPANGAN-JANUARI</v>
      </c>
      <c r="E33" s="10"/>
      <c r="F33" s="10">
        <f ca="1">IFERROR(__xludf.DUMMYFUNCTION("""COMPUTED_VALUE"""),1)</f>
        <v>1</v>
      </c>
      <c r="G33" s="10" t="str">
        <f ca="1">IFERROR(__xludf.DUMMYFUNCTION("""COMPUTED_VALUE"""),"Feri Firdaus")</f>
        <v>Feri Firdaus</v>
      </c>
      <c r="H33" s="10" t="str">
        <f ca="1">IFERROR(__xludf.DUMMYFUNCTION("""COMPUTED_VALUE"""),"PPL")</f>
        <v>PPL</v>
      </c>
      <c r="I33" s="10" t="str">
        <f ca="1">IFERROR(__xludf.DUMMYFUNCTION("""COMPUTED_VALUE"""),"6102150412880001")</f>
        <v>6102150412880001</v>
      </c>
      <c r="J33" s="10" t="str">
        <f ca="1">IFERROR(__xludf.DUMMYFUNCTION("""COMPUTED_VALUE"""),"KSA PADI")</f>
        <v>KSA PADI</v>
      </c>
      <c r="K33" s="10" t="str">
        <f ca="1">IFERROR(__xludf.DUMMYFUNCTION("""COMPUTED_VALUE"""),"KSA24-LAPANGAN-JANUARI-PPL-KSA PADI")</f>
        <v>KSA24-LAPANGAN-JANUARI-PPL-KSA PADI</v>
      </c>
      <c r="L33" s="10" t="str">
        <f ca="1">IFERROR(__xludf.DUMMYFUNCTION("""COMPUTED_VALUE"""),"Segmen")</f>
        <v>Segmen</v>
      </c>
      <c r="M33" s="66">
        <f ca="1">IFERROR(__xludf.DUMMYFUNCTION("""COMPUTED_VALUE"""),116000)</f>
        <v>116000</v>
      </c>
      <c r="N33" s="10">
        <f ca="1">IFERROR(__xludf.DUMMYFUNCTION("""COMPUTED_VALUE"""),3)</f>
        <v>3</v>
      </c>
      <c r="O33" s="10">
        <f ca="1">IFERROR(__xludf.DUMMYFUNCTION("""COMPUTED_VALUE"""),348000)</f>
        <v>348000</v>
      </c>
      <c r="P33" s="70">
        <f ca="1">IFERROR(__xludf.DUMMYFUNCTION("""COMPUTED_VALUE"""),348000)</f>
        <v>348000</v>
      </c>
      <c r="Q33" s="67">
        <f ca="1">IFERROR(__xludf.DUMMYFUNCTION("""COMPUTED_VALUE"""),45322)</f>
        <v>45322</v>
      </c>
    </row>
    <row r="34" spans="1:17" ht="12.5">
      <c r="A34" s="82">
        <f t="array" aca="1" ref="A34" ca="1">INDEX('Database Mitra'!$R$2:$R1001,MATCH(C34,'Database Mitra'!$B$2:$B1001,0))</f>
        <v>29171</v>
      </c>
      <c r="B34" s="10" t="e">
        <f t="shared" ca="1" si="0"/>
        <v>#NAME?</v>
      </c>
      <c r="C34" s="83">
        <f ca="1">IFERROR(__xludf.DUMMYFUNCTION("""COMPUTED_VALUE"""),610423110183)</f>
        <v>610423110183</v>
      </c>
      <c r="D34" s="10" t="str">
        <f ca="1">IFERROR(__xludf.DUMMYFUNCTION("""COMPUTED_VALUE"""),"KSA24-LAPANGAN-JANUARI")</f>
        <v>KSA24-LAPANGAN-JANUARI</v>
      </c>
      <c r="E34" s="10"/>
      <c r="F34" s="10">
        <f ca="1">IFERROR(__xludf.DUMMYFUNCTION("""COMPUTED_VALUE"""),1)</f>
        <v>1</v>
      </c>
      <c r="G34" s="10" t="str">
        <f ca="1">IFERROR(__xludf.DUMMYFUNCTION("""COMPUTED_VALUE"""),"Azhar")</f>
        <v>Azhar</v>
      </c>
      <c r="H34" s="10" t="str">
        <f ca="1">IFERROR(__xludf.DUMMYFUNCTION("""COMPUTED_VALUE"""),"PPL")</f>
        <v>PPL</v>
      </c>
      <c r="I34" s="10" t="str">
        <f ca="1">IFERROR(__xludf.DUMMYFUNCTION("""COMPUTED_VALUE"""),"6102081211790004")</f>
        <v>6102081211790004</v>
      </c>
      <c r="J34" s="10" t="str">
        <f ca="1">IFERROR(__xludf.DUMMYFUNCTION("""COMPUTED_VALUE"""),"KSA PADI")</f>
        <v>KSA PADI</v>
      </c>
      <c r="K34" s="10" t="str">
        <f ca="1">IFERROR(__xludf.DUMMYFUNCTION("""COMPUTED_VALUE"""),"KSA24-LAPANGAN-JANUARI-PPL-KSA PADI")</f>
        <v>KSA24-LAPANGAN-JANUARI-PPL-KSA PADI</v>
      </c>
      <c r="L34" s="10" t="str">
        <f ca="1">IFERROR(__xludf.DUMMYFUNCTION("""COMPUTED_VALUE"""),"Segmen")</f>
        <v>Segmen</v>
      </c>
      <c r="M34" s="66">
        <f ca="1">IFERROR(__xludf.DUMMYFUNCTION("""COMPUTED_VALUE"""),116000)</f>
        <v>116000</v>
      </c>
      <c r="N34" s="10">
        <f ca="1">IFERROR(__xludf.DUMMYFUNCTION("""COMPUTED_VALUE"""),6)</f>
        <v>6</v>
      </c>
      <c r="O34" s="10">
        <f ca="1">IFERROR(__xludf.DUMMYFUNCTION("""COMPUTED_VALUE"""),696000)</f>
        <v>696000</v>
      </c>
      <c r="P34" s="70">
        <f ca="1">IFERROR(__xludf.DUMMYFUNCTION("""COMPUTED_VALUE"""),696000)</f>
        <v>696000</v>
      </c>
      <c r="Q34" s="67">
        <f ca="1">IFERROR(__xludf.DUMMYFUNCTION("""COMPUTED_VALUE"""),45322)</f>
        <v>45322</v>
      </c>
    </row>
    <row r="35" spans="1:17" ht="12.5">
      <c r="A35" s="82">
        <f t="array" aca="1" ref="A35" ca="1">INDEX('Database Mitra'!$R$2:$R1001,MATCH(C35,'Database Mitra'!$B$2:$B1001,0))</f>
        <v>32409</v>
      </c>
      <c r="B35" s="10" t="e">
        <f t="shared" ca="1" si="0"/>
        <v>#NAME?</v>
      </c>
      <c r="C35" s="83">
        <f ca="1">IFERROR(__xludf.DUMMYFUNCTION("""COMPUTED_VALUE"""),610423040018)</f>
        <v>610423040018</v>
      </c>
      <c r="D35" s="10" t="str">
        <f ca="1">IFERROR(__xludf.DUMMYFUNCTION("""COMPUTED_VALUE"""),"KSA24-LAPANGAN-JANUARI")</f>
        <v>KSA24-LAPANGAN-JANUARI</v>
      </c>
      <c r="E35" s="10"/>
      <c r="F35" s="10">
        <f ca="1">IFERROR(__xludf.DUMMYFUNCTION("""COMPUTED_VALUE"""),1)</f>
        <v>1</v>
      </c>
      <c r="G35" s="10" t="str">
        <f ca="1">IFERROR(__xludf.DUMMYFUNCTION("""COMPUTED_VALUE"""),"Handoko Tuah Sabarman Sipayung")</f>
        <v>Handoko Tuah Sabarman Sipayung</v>
      </c>
      <c r="H35" s="10" t="str">
        <f ca="1">IFERROR(__xludf.DUMMYFUNCTION("""COMPUTED_VALUE"""),"PPL")</f>
        <v>PPL</v>
      </c>
      <c r="I35" s="10" t="str">
        <f ca="1">IFERROR(__xludf.DUMMYFUNCTION("""COMPUTED_VALUE"""),"1212092309880001")</f>
        <v>1212092309880001</v>
      </c>
      <c r="J35" s="10" t="str">
        <f ca="1">IFERROR(__xludf.DUMMYFUNCTION("""COMPUTED_VALUE"""),"KSA PADI")</f>
        <v>KSA PADI</v>
      </c>
      <c r="K35" s="10" t="str">
        <f ca="1">IFERROR(__xludf.DUMMYFUNCTION("""COMPUTED_VALUE"""),"KSA24-LAPANGAN-JANUARI-PPL-KSA PADI")</f>
        <v>KSA24-LAPANGAN-JANUARI-PPL-KSA PADI</v>
      </c>
      <c r="L35" s="10" t="str">
        <f ca="1">IFERROR(__xludf.DUMMYFUNCTION("""COMPUTED_VALUE"""),"Segmen")</f>
        <v>Segmen</v>
      </c>
      <c r="M35" s="66">
        <f ca="1">IFERROR(__xludf.DUMMYFUNCTION("""COMPUTED_VALUE"""),116000)</f>
        <v>116000</v>
      </c>
      <c r="N35" s="10">
        <f ca="1">IFERROR(__xludf.DUMMYFUNCTION("""COMPUTED_VALUE"""),4)</f>
        <v>4</v>
      </c>
      <c r="O35" s="10">
        <f ca="1">IFERROR(__xludf.DUMMYFUNCTION("""COMPUTED_VALUE"""),464000)</f>
        <v>464000</v>
      </c>
      <c r="P35" s="70">
        <f ca="1">IFERROR(__xludf.DUMMYFUNCTION("""COMPUTED_VALUE"""),464000)</f>
        <v>464000</v>
      </c>
      <c r="Q35" s="67">
        <f ca="1">IFERROR(__xludf.DUMMYFUNCTION("""COMPUTED_VALUE"""),45322)</f>
        <v>45322</v>
      </c>
    </row>
    <row r="36" spans="1:17" ht="12.5">
      <c r="A36" s="82">
        <f t="array" aca="1" ref="A36" ca="1">INDEX('Database Mitra'!$R$2:$R1001,MATCH(C36,'Database Mitra'!$B$2:$B1001,0))</f>
        <v>28816</v>
      </c>
      <c r="B36" s="10" t="e">
        <f t="shared" ca="1" si="0"/>
        <v>#NAME?</v>
      </c>
      <c r="C36" s="83">
        <f ca="1">IFERROR(__xludf.DUMMYFUNCTION("""COMPUTED_VALUE"""),610422040059)</f>
        <v>610422040059</v>
      </c>
      <c r="D36" s="10" t="str">
        <f ca="1">IFERROR(__xludf.DUMMYFUNCTION("""COMPUTED_VALUE"""),"KSA24-LAPANGAN-JANUARI")</f>
        <v>KSA24-LAPANGAN-JANUARI</v>
      </c>
      <c r="E36" s="10"/>
      <c r="F36" s="10">
        <f ca="1">IFERROR(__xludf.DUMMYFUNCTION("""COMPUTED_VALUE"""),1)</f>
        <v>1</v>
      </c>
      <c r="G36" s="10" t="str">
        <f ca="1">IFERROR(__xludf.DUMMYFUNCTION("""COMPUTED_VALUE"""),"Abang Handri")</f>
        <v>Abang Handri</v>
      </c>
      <c r="H36" s="10" t="str">
        <f ca="1">IFERROR(__xludf.DUMMYFUNCTION("""COMPUTED_VALUE"""),"PPL")</f>
        <v>PPL</v>
      </c>
      <c r="I36" s="10" t="str">
        <f ca="1">IFERROR(__xludf.DUMMYFUNCTION("""COMPUTED_VALUE"""),"6102072211780002")</f>
        <v>6102072211780002</v>
      </c>
      <c r="J36" s="10" t="str">
        <f ca="1">IFERROR(__xludf.DUMMYFUNCTION("""COMPUTED_VALUE"""),"KSA JAGUNG")</f>
        <v>KSA JAGUNG</v>
      </c>
      <c r="K36" s="10" t="str">
        <f ca="1">IFERROR(__xludf.DUMMYFUNCTION("""COMPUTED_VALUE"""),"KSA24-LAPANGAN-JANUARI-PPL-KSA JAGUNG")</f>
        <v>KSA24-LAPANGAN-JANUARI-PPL-KSA JAGUNG</v>
      </c>
      <c r="L36" s="10" t="str">
        <f ca="1">IFERROR(__xludf.DUMMYFUNCTION("""COMPUTED_VALUE"""),"Segmen")</f>
        <v>Segmen</v>
      </c>
      <c r="M36" s="66">
        <f ca="1">IFERROR(__xludf.DUMMYFUNCTION("""COMPUTED_VALUE"""),59000)</f>
        <v>59000</v>
      </c>
      <c r="N36" s="10">
        <f ca="1">IFERROR(__xludf.DUMMYFUNCTION("""COMPUTED_VALUE"""),6)</f>
        <v>6</v>
      </c>
      <c r="O36" s="10">
        <f ca="1">IFERROR(__xludf.DUMMYFUNCTION("""COMPUTED_VALUE"""),354000)</f>
        <v>354000</v>
      </c>
      <c r="P36" s="70">
        <f ca="1">IFERROR(__xludf.DUMMYFUNCTION("""COMPUTED_VALUE"""),354000)</f>
        <v>354000</v>
      </c>
      <c r="Q36" s="67">
        <f ca="1">IFERROR(__xludf.DUMMYFUNCTION("""COMPUTED_VALUE"""),45322)</f>
        <v>45322</v>
      </c>
    </row>
    <row r="37" spans="1:17" ht="12.5">
      <c r="A37" s="11">
        <f t="array" aca="1" ref="A37" ca="1">INDEX('Database Mitra'!$R$2:$R1001,MATCH(C37,'Database Mitra'!$B$2:$B1001,0))</f>
        <v>29305</v>
      </c>
      <c r="B37" s="10" t="e">
        <f t="shared" ca="1" si="0"/>
        <v>#NAME?</v>
      </c>
      <c r="C37" s="83">
        <f ca="1">IFERROR(__xludf.DUMMYFUNCTION("""COMPUTED_VALUE"""),610422020048)</f>
        <v>610422020048</v>
      </c>
      <c r="D37" s="10" t="str">
        <f ca="1">IFERROR(__xludf.DUMMYFUNCTION("""COMPUTED_VALUE"""),"KSA24-LAPANGAN-JANUARI")</f>
        <v>KSA24-LAPANGAN-JANUARI</v>
      </c>
      <c r="E37" s="10"/>
      <c r="F37" s="10">
        <f ca="1">IFERROR(__xludf.DUMMYFUNCTION("""COMPUTED_VALUE"""),1)</f>
        <v>1</v>
      </c>
      <c r="G37" s="10" t="str">
        <f ca="1">IFERROR(__xludf.DUMMYFUNCTION("""COMPUTED_VALUE"""),"Herri Gustaman")</f>
        <v>Herri Gustaman</v>
      </c>
      <c r="H37" s="10" t="str">
        <f ca="1">IFERROR(__xludf.DUMMYFUNCTION("""COMPUTED_VALUE"""),"PPL")</f>
        <v>PPL</v>
      </c>
      <c r="I37" s="10" t="str">
        <f ca="1">IFERROR(__xludf.DUMMYFUNCTION("""COMPUTED_VALUE"""),"6102072503800001")</f>
        <v>6102072503800001</v>
      </c>
      <c r="J37" s="10" t="str">
        <f ca="1">IFERROR(__xludf.DUMMYFUNCTION("""COMPUTED_VALUE"""),"KSA JAGUNG")</f>
        <v>KSA JAGUNG</v>
      </c>
      <c r="K37" s="10" t="str">
        <f ca="1">IFERROR(__xludf.DUMMYFUNCTION("""COMPUTED_VALUE"""),"KSA24-LAPANGAN-JANUARI-PPL-KSA JAGUNG")</f>
        <v>KSA24-LAPANGAN-JANUARI-PPL-KSA JAGUNG</v>
      </c>
      <c r="L37" s="10" t="str">
        <f ca="1">IFERROR(__xludf.DUMMYFUNCTION("""COMPUTED_VALUE"""),"Segmen")</f>
        <v>Segmen</v>
      </c>
      <c r="M37" s="66">
        <f ca="1">IFERROR(__xludf.DUMMYFUNCTION("""COMPUTED_VALUE"""),59000)</f>
        <v>59000</v>
      </c>
      <c r="N37" s="10">
        <f ca="1">IFERROR(__xludf.DUMMYFUNCTION("""COMPUTED_VALUE"""),6)</f>
        <v>6</v>
      </c>
      <c r="O37" s="10">
        <f ca="1">IFERROR(__xludf.DUMMYFUNCTION("""COMPUTED_VALUE"""),354000)</f>
        <v>354000</v>
      </c>
      <c r="P37" s="70">
        <f ca="1">IFERROR(__xludf.DUMMYFUNCTION("""COMPUTED_VALUE"""),354000)</f>
        <v>354000</v>
      </c>
      <c r="Q37" s="67">
        <f ca="1">IFERROR(__xludf.DUMMYFUNCTION("""COMPUTED_VALUE"""),45322)</f>
        <v>45322</v>
      </c>
    </row>
    <row r="38" spans="1:17" ht="12.5">
      <c r="A38" s="82">
        <f t="array" aca="1" ref="A38" ca="1">INDEX('Database Mitra'!$R$2:$R1001,MATCH(C38,'Database Mitra'!$B$2:$B1001,0))</f>
        <v>34541</v>
      </c>
      <c r="B38" s="10" t="e">
        <f t="shared" ca="1" si="0"/>
        <v>#NAME?</v>
      </c>
      <c r="C38" s="83">
        <f ca="1">IFERROR(__xludf.DUMMYFUNCTION("""COMPUTED_VALUE"""),610422040058)</f>
        <v>610422040058</v>
      </c>
      <c r="D38" s="10" t="str">
        <f ca="1">IFERROR(__xludf.DUMMYFUNCTION("""COMPUTED_VALUE"""),"KSA24-LAPANGAN-JANUARI")</f>
        <v>KSA24-LAPANGAN-JANUARI</v>
      </c>
      <c r="E38" s="10"/>
      <c r="F38" s="10">
        <f ca="1">IFERROR(__xludf.DUMMYFUNCTION("""COMPUTED_VALUE"""),1)</f>
        <v>1</v>
      </c>
      <c r="G38" s="10" t="str">
        <f ca="1">IFERROR(__xludf.DUMMYFUNCTION("""COMPUTED_VALUE"""),"Jamaluddin, Sp")</f>
        <v>Jamaluddin, Sp</v>
      </c>
      <c r="H38" s="10" t="str">
        <f ca="1">IFERROR(__xludf.DUMMYFUNCTION("""COMPUTED_VALUE"""),"PPL")</f>
        <v>PPL</v>
      </c>
      <c r="I38" s="10" t="str">
        <f ca="1">IFERROR(__xludf.DUMMYFUNCTION("""COMPUTED_VALUE"""),"6102152607940002")</f>
        <v>6102152607940002</v>
      </c>
      <c r="J38" s="10" t="str">
        <f ca="1">IFERROR(__xludf.DUMMYFUNCTION("""COMPUTED_VALUE"""),"KSA JAGUNG")</f>
        <v>KSA JAGUNG</v>
      </c>
      <c r="K38" s="10" t="str">
        <f ca="1">IFERROR(__xludf.DUMMYFUNCTION("""COMPUTED_VALUE"""),"KSA24-LAPANGAN-JANUARI-PPL-KSA JAGUNG")</f>
        <v>KSA24-LAPANGAN-JANUARI-PPL-KSA JAGUNG</v>
      </c>
      <c r="L38" s="10" t="str">
        <f ca="1">IFERROR(__xludf.DUMMYFUNCTION("""COMPUTED_VALUE"""),"Segmen")</f>
        <v>Segmen</v>
      </c>
      <c r="M38" s="66">
        <f ca="1">IFERROR(__xludf.DUMMYFUNCTION("""COMPUTED_VALUE"""),59000)</f>
        <v>59000</v>
      </c>
      <c r="N38" s="10">
        <f ca="1">IFERROR(__xludf.DUMMYFUNCTION("""COMPUTED_VALUE"""),10)</f>
        <v>10</v>
      </c>
      <c r="O38" s="10">
        <f ca="1">IFERROR(__xludf.DUMMYFUNCTION("""COMPUTED_VALUE"""),590000)</f>
        <v>590000</v>
      </c>
      <c r="P38" s="70">
        <f ca="1">IFERROR(__xludf.DUMMYFUNCTION("""COMPUTED_VALUE"""),590000)</f>
        <v>590000</v>
      </c>
      <c r="Q38" s="67">
        <f ca="1">IFERROR(__xludf.DUMMYFUNCTION("""COMPUTED_VALUE"""),45322)</f>
        <v>45322</v>
      </c>
    </row>
    <row r="39" spans="1:17" ht="12.5">
      <c r="A39" s="82">
        <f t="array" aca="1" ref="A39" ca="1">INDEX('Database Mitra'!$R$2:$R1001,MATCH(C39,'Database Mitra'!$B$2:$B1001,0))</f>
        <v>29171</v>
      </c>
      <c r="B39" s="10" t="e">
        <f t="shared" ca="1" si="0"/>
        <v>#NAME?</v>
      </c>
      <c r="C39" s="83">
        <f ca="1">IFERROR(__xludf.DUMMYFUNCTION("""COMPUTED_VALUE"""),610423110183)</f>
        <v>610423110183</v>
      </c>
      <c r="D39" s="10" t="str">
        <f ca="1">IFERROR(__xludf.DUMMYFUNCTION("""COMPUTED_VALUE"""),"KSA24-LAPANGAN-JANUARI")</f>
        <v>KSA24-LAPANGAN-JANUARI</v>
      </c>
      <c r="E39" s="10"/>
      <c r="F39" s="10">
        <f ca="1">IFERROR(__xludf.DUMMYFUNCTION("""COMPUTED_VALUE"""),1)</f>
        <v>1</v>
      </c>
      <c r="G39" s="10" t="str">
        <f ca="1">IFERROR(__xludf.DUMMYFUNCTION("""COMPUTED_VALUE"""),"Azhar")</f>
        <v>Azhar</v>
      </c>
      <c r="H39" s="10" t="str">
        <f ca="1">IFERROR(__xludf.DUMMYFUNCTION("""COMPUTED_VALUE"""),"PPL")</f>
        <v>PPL</v>
      </c>
      <c r="I39" s="10" t="str">
        <f ca="1">IFERROR(__xludf.DUMMYFUNCTION("""COMPUTED_VALUE"""),"6102081211790004")</f>
        <v>6102081211790004</v>
      </c>
      <c r="J39" s="10" t="str">
        <f ca="1">IFERROR(__xludf.DUMMYFUNCTION("""COMPUTED_VALUE"""),"KSA JAGUNG")</f>
        <v>KSA JAGUNG</v>
      </c>
      <c r="K39" s="10" t="str">
        <f ca="1">IFERROR(__xludf.DUMMYFUNCTION("""COMPUTED_VALUE"""),"KSA24-LAPANGAN-JANUARI-PPL-KSA JAGUNG")</f>
        <v>KSA24-LAPANGAN-JANUARI-PPL-KSA JAGUNG</v>
      </c>
      <c r="L39" s="10" t="str">
        <f ca="1">IFERROR(__xludf.DUMMYFUNCTION("""COMPUTED_VALUE"""),"Segmen")</f>
        <v>Segmen</v>
      </c>
      <c r="M39" s="66">
        <f ca="1">IFERROR(__xludf.DUMMYFUNCTION("""COMPUTED_VALUE"""),59000)</f>
        <v>59000</v>
      </c>
      <c r="N39" s="10">
        <f ca="1">IFERROR(__xludf.DUMMYFUNCTION("""COMPUTED_VALUE"""),6)</f>
        <v>6</v>
      </c>
      <c r="O39" s="10">
        <f ca="1">IFERROR(__xludf.DUMMYFUNCTION("""COMPUTED_VALUE"""),354000)</f>
        <v>354000</v>
      </c>
      <c r="P39" s="70">
        <f ca="1">IFERROR(__xludf.DUMMYFUNCTION("""COMPUTED_VALUE"""),354000)</f>
        <v>354000</v>
      </c>
      <c r="Q39" s="67">
        <f ca="1">IFERROR(__xludf.DUMMYFUNCTION("""COMPUTED_VALUE"""),45322)</f>
        <v>45322</v>
      </c>
    </row>
    <row r="40" spans="1:17" ht="12.5">
      <c r="A40" s="82">
        <f t="array" aca="1" ref="A40" ca="1">INDEX('Database Mitra'!$R$2:$R1001,MATCH(C40,'Database Mitra'!$B$2:$B1001,0))</f>
        <v>32942</v>
      </c>
      <c r="B40" s="10" t="e">
        <f t="shared" ca="1" si="0"/>
        <v>#NAME?</v>
      </c>
      <c r="C40" s="83">
        <f ca="1">IFERROR(__xludf.DUMMYFUNCTION("""COMPUTED_VALUE"""),610422100244)</f>
        <v>610422100244</v>
      </c>
      <c r="D40" s="10" t="str">
        <f ca="1">IFERROR(__xludf.DUMMYFUNCTION("""COMPUTED_VALUE"""),"KSA24-LAPANGAN-JANUARI")</f>
        <v>KSA24-LAPANGAN-JANUARI</v>
      </c>
      <c r="E40" s="10"/>
      <c r="F40" s="10">
        <f ca="1">IFERROR(__xludf.DUMMYFUNCTION("""COMPUTED_VALUE"""),1)</f>
        <v>1</v>
      </c>
      <c r="G40" s="10" t="str">
        <f ca="1">IFERROR(__xludf.DUMMYFUNCTION("""COMPUTED_VALUE"""),"Sugianto")</f>
        <v>Sugianto</v>
      </c>
      <c r="H40" s="10" t="str">
        <f ca="1">IFERROR(__xludf.DUMMYFUNCTION("""COMPUTED_VALUE"""),"PPL")</f>
        <v>PPL</v>
      </c>
      <c r="I40" s="10" t="str">
        <f ca="1">IFERROR(__xludf.DUMMYFUNCTION("""COMPUTED_VALUE"""),"6102171003900002")</f>
        <v>6102171003900002</v>
      </c>
      <c r="J40" s="10" t="str">
        <f ca="1">IFERROR(__xludf.DUMMYFUNCTION("""COMPUTED_VALUE"""),"KSA JAGUNG")</f>
        <v>KSA JAGUNG</v>
      </c>
      <c r="K40" s="10" t="str">
        <f ca="1">IFERROR(__xludf.DUMMYFUNCTION("""COMPUTED_VALUE"""),"KSA24-LAPANGAN-JANUARI-PPL-KSA JAGUNG")</f>
        <v>KSA24-LAPANGAN-JANUARI-PPL-KSA JAGUNG</v>
      </c>
      <c r="L40" s="10" t="str">
        <f ca="1">IFERROR(__xludf.DUMMYFUNCTION("""COMPUTED_VALUE"""),"Segmen")</f>
        <v>Segmen</v>
      </c>
      <c r="M40" s="66">
        <f ca="1">IFERROR(__xludf.DUMMYFUNCTION("""COMPUTED_VALUE"""),59000)</f>
        <v>59000</v>
      </c>
      <c r="N40" s="10">
        <f ca="1">IFERROR(__xludf.DUMMYFUNCTION("""COMPUTED_VALUE"""),8)</f>
        <v>8</v>
      </c>
      <c r="O40" s="10">
        <f ca="1">IFERROR(__xludf.DUMMYFUNCTION("""COMPUTED_VALUE"""),472000)</f>
        <v>472000</v>
      </c>
      <c r="P40" s="70">
        <f ca="1">IFERROR(__xludf.DUMMYFUNCTION("""COMPUTED_VALUE"""),472000)</f>
        <v>472000</v>
      </c>
      <c r="Q40" s="67">
        <f ca="1">IFERROR(__xludf.DUMMYFUNCTION("""COMPUTED_VALUE"""),45322)</f>
        <v>45322</v>
      </c>
    </row>
    <row r="41" spans="1:17" ht="12.5">
      <c r="A41" s="82">
        <f t="array" aca="1" ref="A41" ca="1">INDEX('Database Mitra'!$R$2:$R1001,MATCH(C41,'Database Mitra'!$B$2:$B1001,0))</f>
        <v>35862</v>
      </c>
      <c r="B41" s="10" t="e">
        <f t="shared" ca="1" si="0"/>
        <v>#NAME?</v>
      </c>
      <c r="C41" s="83">
        <f ca="1">IFERROR(__xludf.DUMMYFUNCTION("""COMPUTED_VALUE"""),610422100165)</f>
        <v>610422100165</v>
      </c>
      <c r="D41" s="10" t="str">
        <f ca="1">IFERROR(__xludf.DUMMYFUNCTION("""COMPUTED_VALUE"""),"HPSJT-UPDATING")</f>
        <v>HPSJT-UPDATING</v>
      </c>
      <c r="E41" s="10"/>
      <c r="F41" s="10">
        <f ca="1">IFERROR(__xludf.DUMMYFUNCTION("""COMPUTED_VALUE"""),1)</f>
        <v>1</v>
      </c>
      <c r="G41" s="10" t="str">
        <f ca="1">IFERROR(__xludf.DUMMYFUNCTION("""COMPUTED_VALUE"""),"Yanti")</f>
        <v>Yanti</v>
      </c>
      <c r="H41" s="10" t="str">
        <f ca="1">IFERROR(__xludf.DUMMYFUNCTION("""COMPUTED_VALUE"""),"PPL")</f>
        <v>PPL</v>
      </c>
      <c r="I41" s="10" t="str">
        <f ca="1">IFERROR(__xludf.DUMMYFUNCTION("""COMPUTED_VALUE"""),"6102074803980002")</f>
        <v>6102074803980002</v>
      </c>
      <c r="J41" s="10" t="str">
        <f ca="1">IFERROR(__xludf.DUMMYFUNCTION("""COMPUTED_VALUE"""),"PAKET UPDATING LISTING")</f>
        <v>PAKET UPDATING LISTING</v>
      </c>
      <c r="K41" s="10" t="str">
        <f ca="1">IFERROR(__xludf.DUMMYFUNCTION("""COMPUTED_VALUE"""),"HPSJT-UPDATING-PPL-PAKET UPDATING LISTING")</f>
        <v>HPSJT-UPDATING-PPL-PAKET UPDATING LISTING</v>
      </c>
      <c r="L41" s="10" t="str">
        <f ca="1">IFERROR(__xludf.DUMMYFUNCTION("""COMPUTED_VALUE"""),"Dokumen")</f>
        <v>Dokumen</v>
      </c>
      <c r="M41" s="66">
        <f ca="1">IFERROR(__xludf.DUMMYFUNCTION("""COMPUTED_VALUE"""),50000)</f>
        <v>50000</v>
      </c>
      <c r="N41" s="10">
        <f ca="1">IFERROR(__xludf.DUMMYFUNCTION("""COMPUTED_VALUE"""),1)</f>
        <v>1</v>
      </c>
      <c r="O41" s="10">
        <f ca="1">IFERROR(__xludf.DUMMYFUNCTION("""COMPUTED_VALUE"""),50000)</f>
        <v>50000</v>
      </c>
      <c r="P41" s="10"/>
      <c r="Q41" s="67">
        <f ca="1">IFERROR(__xludf.DUMMYFUNCTION("""COMPUTED_VALUE"""),45322)</f>
        <v>45322</v>
      </c>
    </row>
    <row r="42" spans="1:17" ht="12.5">
      <c r="A42" s="82">
        <f t="array" aca="1" ref="A42" ca="1">INDEX('Database Mitra'!$R$2:$R1001,MATCH(C42,'Database Mitra'!$B$2:$B1001,0))</f>
        <v>29441</v>
      </c>
      <c r="B42" s="10" t="e">
        <f t="shared" ca="1" si="0"/>
        <v>#NAME?</v>
      </c>
      <c r="C42" s="83">
        <f ca="1">IFERROR(__xludf.DUMMYFUNCTION("""COMPUTED_VALUE"""),610422030001)</f>
        <v>610422030001</v>
      </c>
      <c r="D42" s="10" t="str">
        <f ca="1">IFERROR(__xludf.DUMMYFUNCTION("""COMPUTED_VALUE"""),"SAKERNAS24-LAPANGAN-SEMESTER1")</f>
        <v>SAKERNAS24-LAPANGAN-SEMESTER1</v>
      </c>
      <c r="E42" s="10"/>
      <c r="F42" s="10">
        <f ca="1">IFERROR(__xludf.DUMMYFUNCTION("""COMPUTED_VALUE"""),1)</f>
        <v>1</v>
      </c>
      <c r="G42" s="10" t="str">
        <f ca="1">IFERROR(__xludf.DUMMYFUNCTION("""COMPUTED_VALUE"""),"Pitra,Sp")</f>
        <v>Pitra,Sp</v>
      </c>
      <c r="H42" s="10" t="str">
        <f ca="1">IFERROR(__xludf.DUMMYFUNCTION("""COMPUTED_VALUE"""),"PML")</f>
        <v>PML</v>
      </c>
      <c r="I42" s="10" t="str">
        <f ca="1">IFERROR(__xludf.DUMMYFUNCTION("""COMPUTED_VALUE"""),"6102010808800006")</f>
        <v>6102010808800006</v>
      </c>
      <c r="J42" s="10" t="str">
        <f ca="1">IFERROR(__xludf.DUMMYFUNCTION("""COMPUTED_VALUE"""),"UPDATING LISTING")</f>
        <v>UPDATING LISTING</v>
      </c>
      <c r="K42" s="10" t="str">
        <f ca="1">IFERROR(__xludf.DUMMYFUNCTION("""COMPUTED_VALUE"""),"SAKERNAS24-LAPANGAN-SEMESTER1-PML-UPDATING LISTING")</f>
        <v>SAKERNAS24-LAPANGAN-SEMESTER1-PML-UPDATING LISTING</v>
      </c>
      <c r="L42" s="10" t="str">
        <f ca="1">IFERROR(__xludf.DUMMYFUNCTION("""COMPUTED_VALUE"""),"Dokumen")</f>
        <v>Dokumen</v>
      </c>
      <c r="M42" s="66">
        <f ca="1">IFERROR(__xludf.DUMMYFUNCTION("""COMPUTED_VALUE"""),55000)</f>
        <v>55000</v>
      </c>
      <c r="N42" s="10">
        <f ca="1">IFERROR(__xludf.DUMMYFUNCTION("""COMPUTED_VALUE"""),4)</f>
        <v>4</v>
      </c>
      <c r="O42" s="10">
        <f ca="1">IFERROR(__xludf.DUMMYFUNCTION("""COMPUTED_VALUE"""),220000)</f>
        <v>220000</v>
      </c>
      <c r="P42" s="70">
        <f ca="1">IFERROR(__xludf.DUMMYFUNCTION("""COMPUTED_VALUE"""),213400)</f>
        <v>213400</v>
      </c>
      <c r="Q42" s="67">
        <f ca="1">IFERROR(__xludf.DUMMYFUNCTION("""COMPUTED_VALUE"""),45330)</f>
        <v>45330</v>
      </c>
    </row>
    <row r="43" spans="1:17" ht="12.5">
      <c r="A43" s="82">
        <f t="array" aca="1" ref="A43" ca="1">INDEX('Database Mitra'!$R$2:$R1001,MATCH(C43,'Database Mitra'!$B$2:$B1001,0))</f>
        <v>27798</v>
      </c>
      <c r="B43" s="10" t="e">
        <f t="shared" ca="1" si="0"/>
        <v>#NAME?</v>
      </c>
      <c r="C43" s="83">
        <f ca="1">IFERROR(__xludf.DUMMYFUNCTION("""COMPUTED_VALUE"""),610422040056)</f>
        <v>610422040056</v>
      </c>
      <c r="D43" s="10" t="str">
        <f ca="1">IFERROR(__xludf.DUMMYFUNCTION("""COMPUTED_VALUE"""),"SAKERNAS24-LAPANGAN-SEMESTER1")</f>
        <v>SAKERNAS24-LAPANGAN-SEMESTER1</v>
      </c>
      <c r="E43" s="10"/>
      <c r="F43" s="10">
        <f ca="1">IFERROR(__xludf.DUMMYFUNCTION("""COMPUTED_VALUE"""),1)</f>
        <v>1</v>
      </c>
      <c r="G43" s="10" t="str">
        <f ca="1">IFERROR(__xludf.DUMMYFUNCTION("""COMPUTED_VALUE"""),"Wandi Syafari")</f>
        <v>Wandi Syafari</v>
      </c>
      <c r="H43" s="10" t="str">
        <f ca="1">IFERROR(__xludf.DUMMYFUNCTION("""COMPUTED_VALUE"""),"PML")</f>
        <v>PML</v>
      </c>
      <c r="I43" s="10" t="str">
        <f ca="1">IFERROR(__xludf.DUMMYFUNCTION("""COMPUTED_VALUE"""),"6102010802760001")</f>
        <v>6102010802760001</v>
      </c>
      <c r="J43" s="10" t="str">
        <f ca="1">IFERROR(__xludf.DUMMYFUNCTION("""COMPUTED_VALUE"""),"UPDATING LISTING")</f>
        <v>UPDATING LISTING</v>
      </c>
      <c r="K43" s="10" t="str">
        <f ca="1">IFERROR(__xludf.DUMMYFUNCTION("""COMPUTED_VALUE"""),"SAKERNAS24-LAPANGAN-SEMESTER1-PML-UPDATING LISTING")</f>
        <v>SAKERNAS24-LAPANGAN-SEMESTER1-PML-UPDATING LISTING</v>
      </c>
      <c r="L43" s="10" t="str">
        <f ca="1">IFERROR(__xludf.DUMMYFUNCTION("""COMPUTED_VALUE"""),"Dokumen")</f>
        <v>Dokumen</v>
      </c>
      <c r="M43" s="66">
        <f ca="1">IFERROR(__xludf.DUMMYFUNCTION("""COMPUTED_VALUE"""),55000)</f>
        <v>55000</v>
      </c>
      <c r="N43" s="10">
        <f ca="1">IFERROR(__xludf.DUMMYFUNCTION("""COMPUTED_VALUE"""),6)</f>
        <v>6</v>
      </c>
      <c r="O43" s="10">
        <f ca="1">IFERROR(__xludf.DUMMYFUNCTION("""COMPUTED_VALUE"""),330000)</f>
        <v>330000</v>
      </c>
      <c r="P43" s="70">
        <f ca="1">IFERROR(__xludf.DUMMYFUNCTION("""COMPUTED_VALUE"""),320100)</f>
        <v>320100</v>
      </c>
      <c r="Q43" s="67">
        <f ca="1">IFERROR(__xludf.DUMMYFUNCTION("""COMPUTED_VALUE"""),45330)</f>
        <v>45330</v>
      </c>
    </row>
    <row r="44" spans="1:17" ht="12.5">
      <c r="A44" s="11">
        <f t="array" aca="1" ref="A44" ca="1">INDEX('Database Mitra'!$R$2:$R1001,MATCH(C44,'Database Mitra'!$B$2:$B1001,0))</f>
        <v>35043</v>
      </c>
      <c r="B44" s="10" t="e">
        <f t="shared" ca="1" si="0"/>
        <v>#NAME?</v>
      </c>
      <c r="C44" s="83">
        <f ca="1">IFERROR(__xludf.DUMMYFUNCTION("""COMPUTED_VALUE"""),610423030006)</f>
        <v>610423030006</v>
      </c>
      <c r="D44" s="10" t="str">
        <f ca="1">IFERROR(__xludf.DUMMYFUNCTION("""COMPUTED_VALUE"""),"SAKERNAS24-LAPANGAN-SEMESTER1")</f>
        <v>SAKERNAS24-LAPANGAN-SEMESTER1</v>
      </c>
      <c r="E44" s="10"/>
      <c r="F44" s="10">
        <f ca="1">IFERROR(__xludf.DUMMYFUNCTION("""COMPUTED_VALUE"""),1)</f>
        <v>1</v>
      </c>
      <c r="G44" s="10" t="str">
        <f ca="1">IFERROR(__xludf.DUMMYFUNCTION("""COMPUTED_VALUE"""),"Desta Dara Ayu Lestari, S.Pd")</f>
        <v>Desta Dara Ayu Lestari, S.Pd</v>
      </c>
      <c r="H44" s="10" t="str">
        <f ca="1">IFERROR(__xludf.DUMMYFUNCTION("""COMPUTED_VALUE"""),"PML")</f>
        <v>PML</v>
      </c>
      <c r="I44" s="10" t="str">
        <f ca="1">IFERROR(__xludf.DUMMYFUNCTION("""COMPUTED_VALUE"""),"6102065012950003")</f>
        <v>6102065012950003</v>
      </c>
      <c r="J44" s="10" t="str">
        <f ca="1">IFERROR(__xludf.DUMMYFUNCTION("""COMPUTED_VALUE"""),"UPDATING LISTING")</f>
        <v>UPDATING LISTING</v>
      </c>
      <c r="K44" s="10" t="str">
        <f ca="1">IFERROR(__xludf.DUMMYFUNCTION("""COMPUTED_VALUE"""),"SAKERNAS24-LAPANGAN-SEMESTER1-PML-UPDATING LISTING")</f>
        <v>SAKERNAS24-LAPANGAN-SEMESTER1-PML-UPDATING LISTING</v>
      </c>
      <c r="L44" s="10" t="str">
        <f ca="1">IFERROR(__xludf.DUMMYFUNCTION("""COMPUTED_VALUE"""),"Dokumen")</f>
        <v>Dokumen</v>
      </c>
      <c r="M44" s="66">
        <f ca="1">IFERROR(__xludf.DUMMYFUNCTION("""COMPUTED_VALUE"""),55000)</f>
        <v>55000</v>
      </c>
      <c r="N44" s="10">
        <f ca="1">IFERROR(__xludf.DUMMYFUNCTION("""COMPUTED_VALUE"""),4)</f>
        <v>4</v>
      </c>
      <c r="O44" s="10">
        <f ca="1">IFERROR(__xludf.DUMMYFUNCTION("""COMPUTED_VALUE"""),220000)</f>
        <v>220000</v>
      </c>
      <c r="P44" s="70">
        <f ca="1">IFERROR(__xludf.DUMMYFUNCTION("""COMPUTED_VALUE"""),213400)</f>
        <v>213400</v>
      </c>
      <c r="Q44" s="67">
        <f ca="1">IFERROR(__xludf.DUMMYFUNCTION("""COMPUTED_VALUE"""),45330)</f>
        <v>45330</v>
      </c>
    </row>
    <row r="45" spans="1:17" ht="12.5">
      <c r="A45" s="11">
        <f t="array" aca="1" ref="A45" ca="1">INDEX('Database Mitra'!$R$2:$R1001,MATCH(C45,'Database Mitra'!$B$2:$B1001,0))</f>
        <v>36096</v>
      </c>
      <c r="B45" s="10" t="e">
        <f t="shared" ca="1" si="0"/>
        <v>#NAME?</v>
      </c>
      <c r="C45" s="83">
        <f ca="1">IFERROR(__xludf.DUMMYFUNCTION("""COMPUTED_VALUE"""),610423090001)</f>
        <v>610423090001</v>
      </c>
      <c r="D45" s="10" t="str">
        <f ca="1">IFERROR(__xludf.DUMMYFUNCTION("""COMPUTED_VALUE"""),"SAKERNAS24-LAPANGAN-SEMESTER1")</f>
        <v>SAKERNAS24-LAPANGAN-SEMESTER1</v>
      </c>
      <c r="E45" s="10"/>
      <c r="F45" s="10">
        <f ca="1">IFERROR(__xludf.DUMMYFUNCTION("""COMPUTED_VALUE"""),1)</f>
        <v>1</v>
      </c>
      <c r="G45" s="10" t="str">
        <f ca="1">IFERROR(__xludf.DUMMYFUNCTION("""COMPUTED_VALUE"""),"Utami Angraini")</f>
        <v>Utami Angraini</v>
      </c>
      <c r="H45" s="10" t="str">
        <f ca="1">IFERROR(__xludf.DUMMYFUNCTION("""COMPUTED_VALUE"""),"PPL")</f>
        <v>PPL</v>
      </c>
      <c r="I45" s="10" t="str">
        <f ca="1">IFERROR(__xludf.DUMMYFUNCTION("""COMPUTED_VALUE"""),"6102086810980002")</f>
        <v>6102086810980002</v>
      </c>
      <c r="J45" s="10" t="str">
        <f ca="1">IFERROR(__xludf.DUMMYFUNCTION("""COMPUTED_VALUE"""),"UPDATING LISTING")</f>
        <v>UPDATING LISTING</v>
      </c>
      <c r="K45" s="10" t="str">
        <f ca="1">IFERROR(__xludf.DUMMYFUNCTION("""COMPUTED_VALUE"""),"SAKERNAS24-LAPANGAN-SEMESTER1-PPL-UPDATING LISTING")</f>
        <v>SAKERNAS24-LAPANGAN-SEMESTER1-PPL-UPDATING LISTING</v>
      </c>
      <c r="L45" s="10" t="str">
        <f ca="1">IFERROR(__xludf.DUMMYFUNCTION("""COMPUTED_VALUE"""),"Blok Sensus")</f>
        <v>Blok Sensus</v>
      </c>
      <c r="M45" s="66">
        <f ca="1">IFERROR(__xludf.DUMMYFUNCTION("""COMPUTED_VALUE"""),168000)</f>
        <v>168000</v>
      </c>
      <c r="N45" s="10">
        <f ca="1">IFERROR(__xludf.DUMMYFUNCTION("""COMPUTED_VALUE"""),2)</f>
        <v>2</v>
      </c>
      <c r="O45" s="10">
        <f ca="1">IFERROR(__xludf.DUMMYFUNCTION("""COMPUTED_VALUE"""),336000)</f>
        <v>336000</v>
      </c>
      <c r="P45" s="70">
        <f ca="1">IFERROR(__xludf.DUMMYFUNCTION("""COMPUTED_VALUE"""),325920)</f>
        <v>325920</v>
      </c>
      <c r="Q45" s="67">
        <f ca="1">IFERROR(__xludf.DUMMYFUNCTION("""COMPUTED_VALUE"""),45330)</f>
        <v>45330</v>
      </c>
    </row>
    <row r="46" spans="1:17" ht="12.5">
      <c r="A46" s="82">
        <f t="array" aca="1" ref="A46" ca="1">INDEX('Database Mitra'!$R$2:$R1001,MATCH(C46,'Database Mitra'!$B$2:$B1001,0))</f>
        <v>28816</v>
      </c>
      <c r="B46" s="10" t="e">
        <f t="shared" ca="1" si="0"/>
        <v>#NAME?</v>
      </c>
      <c r="C46" s="83">
        <f ca="1">IFERROR(__xludf.DUMMYFUNCTION("""COMPUTED_VALUE"""),610422040059)</f>
        <v>610422040059</v>
      </c>
      <c r="D46" s="10" t="str">
        <f ca="1">IFERROR(__xludf.DUMMYFUNCTION("""COMPUTED_VALUE"""),"SAKERNAS24-LAPANGAN-SEMESTER1")</f>
        <v>SAKERNAS24-LAPANGAN-SEMESTER1</v>
      </c>
      <c r="E46" s="10"/>
      <c r="F46" s="10">
        <f ca="1">IFERROR(__xludf.DUMMYFUNCTION("""COMPUTED_VALUE"""),1)</f>
        <v>1</v>
      </c>
      <c r="G46" s="10" t="str">
        <f ca="1">IFERROR(__xludf.DUMMYFUNCTION("""COMPUTED_VALUE"""),"Abang Handri")</f>
        <v>Abang Handri</v>
      </c>
      <c r="H46" s="10" t="str">
        <f ca="1">IFERROR(__xludf.DUMMYFUNCTION("""COMPUTED_VALUE"""),"PPL")</f>
        <v>PPL</v>
      </c>
      <c r="I46" s="10" t="str">
        <f ca="1">IFERROR(__xludf.DUMMYFUNCTION("""COMPUTED_VALUE"""),"6102072211780002")</f>
        <v>6102072211780002</v>
      </c>
      <c r="J46" s="10" t="str">
        <f ca="1">IFERROR(__xludf.DUMMYFUNCTION("""COMPUTED_VALUE"""),"UPDATING LISTING")</f>
        <v>UPDATING LISTING</v>
      </c>
      <c r="K46" s="10" t="str">
        <f ca="1">IFERROR(__xludf.DUMMYFUNCTION("""COMPUTED_VALUE"""),"SAKERNAS24-LAPANGAN-SEMESTER1-PPL-UPDATING LISTING")</f>
        <v>SAKERNAS24-LAPANGAN-SEMESTER1-PPL-UPDATING LISTING</v>
      </c>
      <c r="L46" s="10" t="str">
        <f ca="1">IFERROR(__xludf.DUMMYFUNCTION("""COMPUTED_VALUE"""),"Blok Sensus")</f>
        <v>Blok Sensus</v>
      </c>
      <c r="M46" s="66">
        <f ca="1">IFERROR(__xludf.DUMMYFUNCTION("""COMPUTED_VALUE"""),168000)</f>
        <v>168000</v>
      </c>
      <c r="N46" s="10">
        <f ca="1">IFERROR(__xludf.DUMMYFUNCTION("""COMPUTED_VALUE"""),2)</f>
        <v>2</v>
      </c>
      <c r="O46" s="10">
        <f ca="1">IFERROR(__xludf.DUMMYFUNCTION("""COMPUTED_VALUE"""),336000)</f>
        <v>336000</v>
      </c>
      <c r="P46" s="70">
        <f ca="1">IFERROR(__xludf.DUMMYFUNCTION("""COMPUTED_VALUE"""),325920)</f>
        <v>325920</v>
      </c>
      <c r="Q46" s="67">
        <f ca="1">IFERROR(__xludf.DUMMYFUNCTION("""COMPUTED_VALUE"""),45330)</f>
        <v>45330</v>
      </c>
    </row>
    <row r="47" spans="1:17" ht="12.5">
      <c r="A47" s="11">
        <f t="array" aca="1" ref="A47" ca="1">INDEX('Database Mitra'!$R$2:$R1001,MATCH(C47,'Database Mitra'!$B$2:$B1001,0))</f>
        <v>32461</v>
      </c>
      <c r="B47" s="10" t="e">
        <f t="shared" ca="1" si="0"/>
        <v>#NAME?</v>
      </c>
      <c r="C47" s="83">
        <f ca="1">IFERROR(__xludf.DUMMYFUNCTION("""COMPUTED_VALUE"""),610422100008)</f>
        <v>610422100008</v>
      </c>
      <c r="D47" s="10" t="str">
        <f ca="1">IFERROR(__xludf.DUMMYFUNCTION("""COMPUTED_VALUE"""),"SAKERNAS24-LAPANGAN-SEMESTER1")</f>
        <v>SAKERNAS24-LAPANGAN-SEMESTER1</v>
      </c>
      <c r="E47" s="10"/>
      <c r="F47" s="10">
        <f ca="1">IFERROR(__xludf.DUMMYFUNCTION("""COMPUTED_VALUE"""),1)</f>
        <v>1</v>
      </c>
      <c r="G47" s="10" t="str">
        <f ca="1">IFERROR(__xludf.DUMMYFUNCTION("""COMPUTED_VALUE"""),"Novi Sri Wulandari")</f>
        <v>Novi Sri Wulandari</v>
      </c>
      <c r="H47" s="10" t="str">
        <f ca="1">IFERROR(__xludf.DUMMYFUNCTION("""COMPUTED_VALUE"""),"PPL")</f>
        <v>PPL</v>
      </c>
      <c r="I47" s="10" t="str">
        <f ca="1">IFERROR(__xludf.DUMMYFUNCTION("""COMPUTED_VALUE"""),"6171055411880008")</f>
        <v>6171055411880008</v>
      </c>
      <c r="J47" s="10" t="str">
        <f ca="1">IFERROR(__xludf.DUMMYFUNCTION("""COMPUTED_VALUE"""),"UPDATING LISTING")</f>
        <v>UPDATING LISTING</v>
      </c>
      <c r="K47" s="10" t="str">
        <f ca="1">IFERROR(__xludf.DUMMYFUNCTION("""COMPUTED_VALUE"""),"SAKERNAS24-LAPANGAN-SEMESTER1-PPL-UPDATING LISTING")</f>
        <v>SAKERNAS24-LAPANGAN-SEMESTER1-PPL-UPDATING LISTING</v>
      </c>
      <c r="L47" s="10" t="str">
        <f ca="1">IFERROR(__xludf.DUMMYFUNCTION("""COMPUTED_VALUE"""),"Blok Sensus")</f>
        <v>Blok Sensus</v>
      </c>
      <c r="M47" s="66">
        <f ca="1">IFERROR(__xludf.DUMMYFUNCTION("""COMPUTED_VALUE"""),168000)</f>
        <v>168000</v>
      </c>
      <c r="N47" s="10">
        <f ca="1">IFERROR(__xludf.DUMMYFUNCTION("""COMPUTED_VALUE"""),2)</f>
        <v>2</v>
      </c>
      <c r="O47" s="10">
        <f ca="1">IFERROR(__xludf.DUMMYFUNCTION("""COMPUTED_VALUE"""),336000)</f>
        <v>336000</v>
      </c>
      <c r="P47" s="70">
        <f ca="1">IFERROR(__xludf.DUMMYFUNCTION("""COMPUTED_VALUE"""),325920)</f>
        <v>325920</v>
      </c>
      <c r="Q47" s="67">
        <f ca="1">IFERROR(__xludf.DUMMYFUNCTION("""COMPUTED_VALUE"""),45330)</f>
        <v>45330</v>
      </c>
    </row>
    <row r="48" spans="1:17" ht="12.5">
      <c r="A48" s="82">
        <f t="array" aca="1" ref="A48" ca="1">INDEX('Database Mitra'!$R$2:$R1001,MATCH(C48,'Database Mitra'!$B$2:$B1001,0))</f>
        <v>36876</v>
      </c>
      <c r="B48" s="10" t="e">
        <f t="shared" ca="1" si="0"/>
        <v>#NAME?</v>
      </c>
      <c r="C48" s="83">
        <f ca="1">IFERROR(__xludf.DUMMYFUNCTION("""COMPUTED_VALUE"""),610422100043)</f>
        <v>610422100043</v>
      </c>
      <c r="D48" s="10" t="str">
        <f ca="1">IFERROR(__xludf.DUMMYFUNCTION("""COMPUTED_VALUE"""),"SAKERNAS24-LAPANGAN-SEMESTER1")</f>
        <v>SAKERNAS24-LAPANGAN-SEMESTER1</v>
      </c>
      <c r="E48" s="10"/>
      <c r="F48" s="10">
        <f ca="1">IFERROR(__xludf.DUMMYFUNCTION("""COMPUTED_VALUE"""),1)</f>
        <v>1</v>
      </c>
      <c r="G48" s="10" t="str">
        <f ca="1">IFERROR(__xludf.DUMMYFUNCTION("""COMPUTED_VALUE"""),"Eligia Giok")</f>
        <v>Eligia Giok</v>
      </c>
      <c r="H48" s="10" t="str">
        <f ca="1">IFERROR(__xludf.DUMMYFUNCTION("""COMPUTED_VALUE"""),"PPL")</f>
        <v>PPL</v>
      </c>
      <c r="I48" s="10" t="str">
        <f ca="1">IFERROR(__xludf.DUMMYFUNCTION("""COMPUTED_VALUE"""),"6102165612000001")</f>
        <v>6102165612000001</v>
      </c>
      <c r="J48" s="10" t="str">
        <f ca="1">IFERROR(__xludf.DUMMYFUNCTION("""COMPUTED_VALUE"""),"UPDATING LISTING")</f>
        <v>UPDATING LISTING</v>
      </c>
      <c r="K48" s="10" t="str">
        <f ca="1">IFERROR(__xludf.DUMMYFUNCTION("""COMPUTED_VALUE"""),"SAKERNAS24-LAPANGAN-SEMESTER1-PPL-UPDATING LISTING")</f>
        <v>SAKERNAS24-LAPANGAN-SEMESTER1-PPL-UPDATING LISTING</v>
      </c>
      <c r="L48" s="10" t="str">
        <f ca="1">IFERROR(__xludf.DUMMYFUNCTION("""COMPUTED_VALUE"""),"Blok Sensus")</f>
        <v>Blok Sensus</v>
      </c>
      <c r="M48" s="66">
        <f ca="1">IFERROR(__xludf.DUMMYFUNCTION("""COMPUTED_VALUE"""),168000)</f>
        <v>168000</v>
      </c>
      <c r="N48" s="10">
        <f ca="1">IFERROR(__xludf.DUMMYFUNCTION("""COMPUTED_VALUE"""),2)</f>
        <v>2</v>
      </c>
      <c r="O48" s="10">
        <f ca="1">IFERROR(__xludf.DUMMYFUNCTION("""COMPUTED_VALUE"""),336000)</f>
        <v>336000</v>
      </c>
      <c r="P48" s="70">
        <f ca="1">IFERROR(__xludf.DUMMYFUNCTION("""COMPUTED_VALUE"""),325920)</f>
        <v>325920</v>
      </c>
      <c r="Q48" s="67">
        <f ca="1">IFERROR(__xludf.DUMMYFUNCTION("""COMPUTED_VALUE"""),45330)</f>
        <v>45330</v>
      </c>
    </row>
    <row r="49" spans="1:17" ht="12.5">
      <c r="A49" s="82">
        <f t="array" aca="1" ref="A49" ca="1">INDEX('Database Mitra'!$R$2:$R1001,MATCH(C49,'Database Mitra'!$B$2:$B1001,0))</f>
        <v>34295</v>
      </c>
      <c r="B49" s="10" t="e">
        <f t="shared" ca="1" si="0"/>
        <v>#NAME?</v>
      </c>
      <c r="C49" s="83">
        <f ca="1">IFERROR(__xludf.DUMMYFUNCTION("""COMPUTED_VALUE"""),610422100086)</f>
        <v>610422100086</v>
      </c>
      <c r="D49" s="10" t="str">
        <f ca="1">IFERROR(__xludf.DUMMYFUNCTION("""COMPUTED_VALUE"""),"SAKERNAS24-LAPANGAN-SEMESTER1")</f>
        <v>SAKERNAS24-LAPANGAN-SEMESTER1</v>
      </c>
      <c r="E49" s="10"/>
      <c r="F49" s="10">
        <f ca="1">IFERROR(__xludf.DUMMYFUNCTION("""COMPUTED_VALUE"""),1)</f>
        <v>1</v>
      </c>
      <c r="G49" s="10" t="str">
        <f ca="1">IFERROR(__xludf.DUMMYFUNCTION("""COMPUTED_VALUE"""),"Imamul Akhyar")</f>
        <v>Imamul Akhyar</v>
      </c>
      <c r="H49" s="10" t="str">
        <f ca="1">IFERROR(__xludf.DUMMYFUNCTION("""COMPUTED_VALUE"""),"PPL")</f>
        <v>PPL</v>
      </c>
      <c r="I49" s="10" t="str">
        <f ca="1">IFERROR(__xludf.DUMMYFUNCTION("""COMPUTED_VALUE"""),"6102012211930002")</f>
        <v>6102012211930002</v>
      </c>
      <c r="J49" s="10" t="str">
        <f ca="1">IFERROR(__xludf.DUMMYFUNCTION("""COMPUTED_VALUE"""),"UPDATING LISTING")</f>
        <v>UPDATING LISTING</v>
      </c>
      <c r="K49" s="10" t="str">
        <f ca="1">IFERROR(__xludf.DUMMYFUNCTION("""COMPUTED_VALUE"""),"SAKERNAS24-LAPANGAN-SEMESTER1-PPL-UPDATING LISTING")</f>
        <v>SAKERNAS24-LAPANGAN-SEMESTER1-PPL-UPDATING LISTING</v>
      </c>
      <c r="L49" s="10" t="str">
        <f ca="1">IFERROR(__xludf.DUMMYFUNCTION("""COMPUTED_VALUE"""),"Blok Sensus")</f>
        <v>Blok Sensus</v>
      </c>
      <c r="M49" s="66">
        <f ca="1">IFERROR(__xludf.DUMMYFUNCTION("""COMPUTED_VALUE"""),168000)</f>
        <v>168000</v>
      </c>
      <c r="N49" s="10">
        <f ca="1">IFERROR(__xludf.DUMMYFUNCTION("""COMPUTED_VALUE"""),2)</f>
        <v>2</v>
      </c>
      <c r="O49" s="10">
        <f ca="1">IFERROR(__xludf.DUMMYFUNCTION("""COMPUTED_VALUE"""),336000)</f>
        <v>336000</v>
      </c>
      <c r="P49" s="70">
        <f ca="1">IFERROR(__xludf.DUMMYFUNCTION("""COMPUTED_VALUE"""),325920)</f>
        <v>325920</v>
      </c>
      <c r="Q49" s="67">
        <f ca="1">IFERROR(__xludf.DUMMYFUNCTION("""COMPUTED_VALUE"""),45330)</f>
        <v>45330</v>
      </c>
    </row>
    <row r="50" spans="1:17" ht="12.5">
      <c r="A50" s="11">
        <f t="array" aca="1" ref="A50" ca="1">INDEX('Database Mitra'!$R$2:$R1001,MATCH(C50,'Database Mitra'!$B$2:$B1001,0))</f>
        <v>37335</v>
      </c>
      <c r="B50" s="10" t="e">
        <f t="shared" ca="1" si="0"/>
        <v>#NAME?</v>
      </c>
      <c r="C50" s="83">
        <f ca="1">IFERROR(__xludf.DUMMYFUNCTION("""COMPUTED_VALUE"""),610422100111)</f>
        <v>610422100111</v>
      </c>
      <c r="D50" s="10" t="str">
        <f ca="1">IFERROR(__xludf.DUMMYFUNCTION("""COMPUTED_VALUE"""),"SAKERNAS24-LAPANGAN-SEMESTER1")</f>
        <v>SAKERNAS24-LAPANGAN-SEMESTER1</v>
      </c>
      <c r="E50" s="10"/>
      <c r="F50" s="10">
        <f ca="1">IFERROR(__xludf.DUMMYFUNCTION("""COMPUTED_VALUE"""),1)</f>
        <v>1</v>
      </c>
      <c r="G50" s="10" t="str">
        <f ca="1">IFERROR(__xludf.DUMMYFUNCTION("""COMPUTED_VALUE"""),"Cici Purnamasari")</f>
        <v>Cici Purnamasari</v>
      </c>
      <c r="H50" s="10" t="str">
        <f ca="1">IFERROR(__xludf.DUMMYFUNCTION("""COMPUTED_VALUE"""),"PPL")</f>
        <v>PPL</v>
      </c>
      <c r="I50" s="10" t="str">
        <f ca="1">IFERROR(__xludf.DUMMYFUNCTION("""COMPUTED_VALUE"""),"6102074203010007")</f>
        <v>6102074203010007</v>
      </c>
      <c r="J50" s="10" t="str">
        <f ca="1">IFERROR(__xludf.DUMMYFUNCTION("""COMPUTED_VALUE"""),"UPDATING LISTING")</f>
        <v>UPDATING LISTING</v>
      </c>
      <c r="K50" s="10" t="str">
        <f ca="1">IFERROR(__xludf.DUMMYFUNCTION("""COMPUTED_VALUE"""),"SAKERNAS24-LAPANGAN-SEMESTER1-PPL-UPDATING LISTING")</f>
        <v>SAKERNAS24-LAPANGAN-SEMESTER1-PPL-UPDATING LISTING</v>
      </c>
      <c r="L50" s="10" t="str">
        <f ca="1">IFERROR(__xludf.DUMMYFUNCTION("""COMPUTED_VALUE"""),"Blok Sensus")</f>
        <v>Blok Sensus</v>
      </c>
      <c r="M50" s="66">
        <f ca="1">IFERROR(__xludf.DUMMYFUNCTION("""COMPUTED_VALUE"""),168000)</f>
        <v>168000</v>
      </c>
      <c r="N50" s="10">
        <f ca="1">IFERROR(__xludf.DUMMYFUNCTION("""COMPUTED_VALUE"""),2)</f>
        <v>2</v>
      </c>
      <c r="O50" s="10">
        <f ca="1">IFERROR(__xludf.DUMMYFUNCTION("""COMPUTED_VALUE"""),336000)</f>
        <v>336000</v>
      </c>
      <c r="P50" s="70">
        <f ca="1">IFERROR(__xludf.DUMMYFUNCTION("""COMPUTED_VALUE"""),325920)</f>
        <v>325920</v>
      </c>
      <c r="Q50" s="67">
        <f ca="1">IFERROR(__xludf.DUMMYFUNCTION("""COMPUTED_VALUE"""),45330)</f>
        <v>45330</v>
      </c>
    </row>
    <row r="51" spans="1:17" ht="12.5">
      <c r="A51" s="82">
        <f t="array" aca="1" ref="A51" ca="1">INDEX('Database Mitra'!$R$2:$R1001,MATCH(C51,'Database Mitra'!$B$2:$B1001,0))</f>
        <v>36001</v>
      </c>
      <c r="B51" s="10" t="e">
        <f t="shared" ca="1" si="0"/>
        <v>#NAME?</v>
      </c>
      <c r="C51" s="83">
        <f ca="1">IFERROR(__xludf.DUMMYFUNCTION("""COMPUTED_VALUE"""),610422100175)</f>
        <v>610422100175</v>
      </c>
      <c r="D51" s="10" t="str">
        <f ca="1">IFERROR(__xludf.DUMMYFUNCTION("""COMPUTED_VALUE"""),"SAKERNAS24-LAPANGAN-SEMESTER1")</f>
        <v>SAKERNAS24-LAPANGAN-SEMESTER1</v>
      </c>
      <c r="E51" s="10"/>
      <c r="F51" s="10">
        <f ca="1">IFERROR(__xludf.DUMMYFUNCTION("""COMPUTED_VALUE"""),1)</f>
        <v>1</v>
      </c>
      <c r="G51" s="10" t="str">
        <f ca="1">IFERROR(__xludf.DUMMYFUNCTION("""COMPUTED_VALUE"""),"Rara Shati")</f>
        <v>Rara Shati</v>
      </c>
      <c r="H51" s="10" t="str">
        <f ca="1">IFERROR(__xludf.DUMMYFUNCTION("""COMPUTED_VALUE"""),"PPL")</f>
        <v>PPL</v>
      </c>
      <c r="I51" s="10" t="str">
        <f ca="1">IFERROR(__xludf.DUMMYFUNCTION("""COMPUTED_VALUE"""),"6102066507980001")</f>
        <v>6102066507980001</v>
      </c>
      <c r="J51" s="10" t="str">
        <f ca="1">IFERROR(__xludf.DUMMYFUNCTION("""COMPUTED_VALUE"""),"UPDATING LISTING")</f>
        <v>UPDATING LISTING</v>
      </c>
      <c r="K51" s="10" t="str">
        <f ca="1">IFERROR(__xludf.DUMMYFUNCTION("""COMPUTED_VALUE"""),"SAKERNAS24-LAPANGAN-SEMESTER1-PPL-UPDATING LISTING")</f>
        <v>SAKERNAS24-LAPANGAN-SEMESTER1-PPL-UPDATING LISTING</v>
      </c>
      <c r="L51" s="10" t="str">
        <f ca="1">IFERROR(__xludf.DUMMYFUNCTION("""COMPUTED_VALUE"""),"Blok Sensus")</f>
        <v>Blok Sensus</v>
      </c>
      <c r="M51" s="66">
        <f ca="1">IFERROR(__xludf.DUMMYFUNCTION("""COMPUTED_VALUE"""),168000)</f>
        <v>168000</v>
      </c>
      <c r="N51" s="10">
        <f ca="1">IFERROR(__xludf.DUMMYFUNCTION("""COMPUTED_VALUE"""),2)</f>
        <v>2</v>
      </c>
      <c r="O51" s="10">
        <f ca="1">IFERROR(__xludf.DUMMYFUNCTION("""COMPUTED_VALUE"""),336000)</f>
        <v>336000</v>
      </c>
      <c r="P51" s="70">
        <f ca="1">IFERROR(__xludf.DUMMYFUNCTION("""COMPUTED_VALUE"""),325920)</f>
        <v>325920</v>
      </c>
      <c r="Q51" s="67">
        <f ca="1">IFERROR(__xludf.DUMMYFUNCTION("""COMPUTED_VALUE"""),45330)</f>
        <v>45330</v>
      </c>
    </row>
    <row r="52" spans="1:17" ht="12.5">
      <c r="A52" s="11">
        <f t="array" aca="1" ref="A52" ca="1">INDEX('Database Mitra'!$R$2:$R1001,MATCH(C52,'Database Mitra'!$B$2:$B1001,0))</f>
        <v>35714</v>
      </c>
      <c r="B52" s="10" t="e">
        <f t="shared" ca="1" si="0"/>
        <v>#NAME?</v>
      </c>
      <c r="C52" s="83">
        <f ca="1">IFERROR(__xludf.DUMMYFUNCTION("""COMPUTED_VALUE"""),610422020029)</f>
        <v>610422020029</v>
      </c>
      <c r="D52" s="10" t="str">
        <f ca="1">IFERROR(__xludf.DUMMYFUNCTION("""COMPUTED_VALUE"""),"SUSENAS24-LAPANGAN-SEMESTER1")</f>
        <v>SUSENAS24-LAPANGAN-SEMESTER1</v>
      </c>
      <c r="E52" s="10"/>
      <c r="F52" s="10">
        <f ca="1">IFERROR(__xludf.DUMMYFUNCTION("""COMPUTED_VALUE"""),1)</f>
        <v>1</v>
      </c>
      <c r="G52" s="10" t="str">
        <f ca="1">IFERROR(__xludf.DUMMYFUNCTION("""COMPUTED_VALUE"""),"Kurniadi")</f>
        <v>Kurniadi</v>
      </c>
      <c r="H52" s="10" t="str">
        <f ca="1">IFERROR(__xludf.DUMMYFUNCTION("""COMPUTED_VALUE"""),"PML")</f>
        <v>PML</v>
      </c>
      <c r="I52" s="10" t="str">
        <f ca="1">IFERROR(__xludf.DUMMYFUNCTION("""COMPUTED_VALUE"""),"6102011110970002")</f>
        <v>6102011110970002</v>
      </c>
      <c r="J52" s="10" t="str">
        <f ca="1">IFERROR(__xludf.DUMMYFUNCTION("""COMPUTED_VALUE"""),"UPDATING LISTING")</f>
        <v>UPDATING LISTING</v>
      </c>
      <c r="K52" s="10" t="str">
        <f ca="1">IFERROR(__xludf.DUMMYFUNCTION("""COMPUTED_VALUE"""),"SUSENAS24-LAPANGAN-SEMESTER1-PML-UPDATING LISTING")</f>
        <v>SUSENAS24-LAPANGAN-SEMESTER1-PML-UPDATING LISTING</v>
      </c>
      <c r="L52" s="10" t="str">
        <f ca="1">IFERROR(__xludf.DUMMYFUNCTION("""COMPUTED_VALUE"""),"Blok Sensus")</f>
        <v>Blok Sensus</v>
      </c>
      <c r="M52" s="66">
        <f ca="1">IFERROR(__xludf.DUMMYFUNCTION("""COMPUTED_VALUE"""),55000)</f>
        <v>55000</v>
      </c>
      <c r="N52" s="10">
        <f ca="1">IFERROR(__xludf.DUMMYFUNCTION("""COMPUTED_VALUE"""),4)</f>
        <v>4</v>
      </c>
      <c r="O52" s="10">
        <f ca="1">IFERROR(__xludf.DUMMYFUNCTION("""COMPUTED_VALUE"""),220000)</f>
        <v>220000</v>
      </c>
      <c r="P52" s="70"/>
      <c r="Q52" s="67">
        <f ca="1">IFERROR(__xludf.DUMMYFUNCTION("""COMPUTED_VALUE"""),45335)</f>
        <v>45335</v>
      </c>
    </row>
    <row r="53" spans="1:17" ht="12.5">
      <c r="A53" s="11">
        <f t="array" aca="1" ref="A53" ca="1">INDEX('Database Mitra'!$R$2:$R1001,MATCH(C53,'Database Mitra'!$B$2:$B1001,0))</f>
        <v>34895</v>
      </c>
      <c r="B53" s="10" t="e">
        <f t="shared" ca="1" si="0"/>
        <v>#NAME?</v>
      </c>
      <c r="C53" s="83">
        <f ca="1">IFERROR(__xludf.DUMMYFUNCTION("""COMPUTED_VALUE"""),610422020016)</f>
        <v>610422020016</v>
      </c>
      <c r="D53" s="10" t="str">
        <f ca="1">IFERROR(__xludf.DUMMYFUNCTION("""COMPUTED_VALUE"""),"SUSENAS24-LAPANGAN-SEMESTER1")</f>
        <v>SUSENAS24-LAPANGAN-SEMESTER1</v>
      </c>
      <c r="E53" s="10"/>
      <c r="F53" s="10">
        <f ca="1">IFERROR(__xludf.DUMMYFUNCTION("""COMPUTED_VALUE"""),1)</f>
        <v>1</v>
      </c>
      <c r="G53" s="10" t="str">
        <f ca="1">IFERROR(__xludf.DUMMYFUNCTION("""COMPUTED_VALUE"""),"Abdul Aziz")</f>
        <v>Abdul Aziz</v>
      </c>
      <c r="H53" s="10" t="str">
        <f ca="1">IFERROR(__xludf.DUMMYFUNCTION("""COMPUTED_VALUE"""),"PML")</f>
        <v>PML</v>
      </c>
      <c r="I53" s="10" t="str">
        <f ca="1">IFERROR(__xludf.DUMMYFUNCTION("""COMPUTED_VALUE"""),"6102061507950006")</f>
        <v>6102061507950006</v>
      </c>
      <c r="J53" s="10" t="str">
        <f ca="1">IFERROR(__xludf.DUMMYFUNCTION("""COMPUTED_VALUE"""),"UPDATING LISTING")</f>
        <v>UPDATING LISTING</v>
      </c>
      <c r="K53" s="10" t="str">
        <f ca="1">IFERROR(__xludf.DUMMYFUNCTION("""COMPUTED_VALUE"""),"SUSENAS24-LAPANGAN-SEMESTER1-PML-UPDATING LISTING")</f>
        <v>SUSENAS24-LAPANGAN-SEMESTER1-PML-UPDATING LISTING</v>
      </c>
      <c r="L53" s="10" t="str">
        <f ca="1">IFERROR(__xludf.DUMMYFUNCTION("""COMPUTED_VALUE"""),"Blok Sensus")</f>
        <v>Blok Sensus</v>
      </c>
      <c r="M53" s="66">
        <f ca="1">IFERROR(__xludf.DUMMYFUNCTION("""COMPUTED_VALUE"""),55000)</f>
        <v>55000</v>
      </c>
      <c r="N53" s="10">
        <f ca="1">IFERROR(__xludf.DUMMYFUNCTION("""COMPUTED_VALUE"""),4)</f>
        <v>4</v>
      </c>
      <c r="O53" s="10">
        <f ca="1">IFERROR(__xludf.DUMMYFUNCTION("""COMPUTED_VALUE"""),220000)</f>
        <v>220000</v>
      </c>
      <c r="P53" s="70"/>
      <c r="Q53" s="67">
        <f ca="1">IFERROR(__xludf.DUMMYFUNCTION("""COMPUTED_VALUE"""),45335)</f>
        <v>45335</v>
      </c>
    </row>
    <row r="54" spans="1:17" ht="12.5">
      <c r="A54" s="82">
        <f t="array" aca="1" ref="A54" ca="1">INDEX('Database Mitra'!$R$2:$R1001,MATCH(C54,'Database Mitra'!$B$2:$B1001,0))</f>
        <v>37115</v>
      </c>
      <c r="B54" s="10" t="e">
        <f t="shared" ca="1" si="0"/>
        <v>#NAME?</v>
      </c>
      <c r="C54" s="83">
        <f ca="1">IFERROR(__xludf.DUMMYFUNCTION("""COMPUTED_VALUE"""),610422040031)</f>
        <v>610422040031</v>
      </c>
      <c r="D54" s="10" t="str">
        <f ca="1">IFERROR(__xludf.DUMMYFUNCTION("""COMPUTED_VALUE"""),"SUSENAS24-LAPANGAN-SEMESTER1")</f>
        <v>SUSENAS24-LAPANGAN-SEMESTER1</v>
      </c>
      <c r="E54" s="10"/>
      <c r="F54" s="10">
        <f ca="1">IFERROR(__xludf.DUMMYFUNCTION("""COMPUTED_VALUE"""),1)</f>
        <v>1</v>
      </c>
      <c r="G54" s="10" t="str">
        <f ca="1">IFERROR(__xludf.DUMMYFUNCTION("""COMPUTED_VALUE"""),"Imam Fajri Muslim")</f>
        <v>Imam Fajri Muslim</v>
      </c>
      <c r="H54" s="10" t="str">
        <f ca="1">IFERROR(__xludf.DUMMYFUNCTION("""COMPUTED_VALUE"""),"PML")</f>
        <v>PML</v>
      </c>
      <c r="I54" s="10" t="str">
        <f ca="1">IFERROR(__xludf.DUMMYFUNCTION("""COMPUTED_VALUE"""),"6102161208010001")</f>
        <v>6102161208010001</v>
      </c>
      <c r="J54" s="10" t="str">
        <f ca="1">IFERROR(__xludf.DUMMYFUNCTION("""COMPUTED_VALUE"""),"UPDATING LISTING")</f>
        <v>UPDATING LISTING</v>
      </c>
      <c r="K54" s="10" t="str">
        <f ca="1">IFERROR(__xludf.DUMMYFUNCTION("""COMPUTED_VALUE"""),"SUSENAS24-LAPANGAN-SEMESTER1-PML-UPDATING LISTING")</f>
        <v>SUSENAS24-LAPANGAN-SEMESTER1-PML-UPDATING LISTING</v>
      </c>
      <c r="L54" s="10" t="str">
        <f ca="1">IFERROR(__xludf.DUMMYFUNCTION("""COMPUTED_VALUE"""),"Blok Sensus")</f>
        <v>Blok Sensus</v>
      </c>
      <c r="M54" s="66">
        <f ca="1">IFERROR(__xludf.DUMMYFUNCTION("""COMPUTED_VALUE"""),55000)</f>
        <v>55000</v>
      </c>
      <c r="N54" s="10">
        <f ca="1">IFERROR(__xludf.DUMMYFUNCTION("""COMPUTED_VALUE"""),4)</f>
        <v>4</v>
      </c>
      <c r="O54" s="10">
        <f ca="1">IFERROR(__xludf.DUMMYFUNCTION("""COMPUTED_VALUE"""),220000)</f>
        <v>220000</v>
      </c>
      <c r="P54" s="70"/>
      <c r="Q54" s="67">
        <f ca="1">IFERROR(__xludf.DUMMYFUNCTION("""COMPUTED_VALUE"""),45335)</f>
        <v>45335</v>
      </c>
    </row>
    <row r="55" spans="1:17" ht="12.5">
      <c r="A55" s="11">
        <f t="array" aca="1" ref="A55" ca="1">INDEX('Database Mitra'!$R$2:$R1001,MATCH(C55,'Database Mitra'!$B$2:$B1001,0))</f>
        <v>36888</v>
      </c>
      <c r="B55" s="10" t="e">
        <f t="shared" ca="1" si="0"/>
        <v>#NAME?</v>
      </c>
      <c r="C55" s="83">
        <f ca="1">IFERROR(__xludf.DUMMYFUNCTION("""COMPUTED_VALUE"""),610422040005)</f>
        <v>610422040005</v>
      </c>
      <c r="D55" s="10" t="str">
        <f ca="1">IFERROR(__xludf.DUMMYFUNCTION("""COMPUTED_VALUE"""),"SUSENAS24-LAPANGAN-SEMESTER1")</f>
        <v>SUSENAS24-LAPANGAN-SEMESTER1</v>
      </c>
      <c r="E55" s="10"/>
      <c r="F55" s="10">
        <f ca="1">IFERROR(__xludf.DUMMYFUNCTION("""COMPUTED_VALUE"""),1)</f>
        <v>1</v>
      </c>
      <c r="G55" s="10" t="str">
        <f ca="1">IFERROR(__xludf.DUMMYFUNCTION("""COMPUTED_VALUE"""),"Nanda Ariska")</f>
        <v>Nanda Ariska</v>
      </c>
      <c r="H55" s="10" t="str">
        <f ca="1">IFERROR(__xludf.DUMMYFUNCTION("""COMPUTED_VALUE"""),"PML")</f>
        <v>PML</v>
      </c>
      <c r="I55" s="10" t="str">
        <f ca="1">IFERROR(__xludf.DUMMYFUNCTION("""COMPUTED_VALUE"""),"6102186812000004")</f>
        <v>6102186812000004</v>
      </c>
      <c r="J55" s="10" t="str">
        <f ca="1">IFERROR(__xludf.DUMMYFUNCTION("""COMPUTED_VALUE"""),"UPDATING LISTING")</f>
        <v>UPDATING LISTING</v>
      </c>
      <c r="K55" s="10" t="str">
        <f ca="1">IFERROR(__xludf.DUMMYFUNCTION("""COMPUTED_VALUE"""),"SUSENAS24-LAPANGAN-SEMESTER1-PML-UPDATING LISTING")</f>
        <v>SUSENAS24-LAPANGAN-SEMESTER1-PML-UPDATING LISTING</v>
      </c>
      <c r="L55" s="10" t="str">
        <f ca="1">IFERROR(__xludf.DUMMYFUNCTION("""COMPUTED_VALUE"""),"Blok Sensus")</f>
        <v>Blok Sensus</v>
      </c>
      <c r="M55" s="66">
        <f ca="1">IFERROR(__xludf.DUMMYFUNCTION("""COMPUTED_VALUE"""),55000)</f>
        <v>55000</v>
      </c>
      <c r="N55" s="10">
        <f ca="1">IFERROR(__xludf.DUMMYFUNCTION("""COMPUTED_VALUE"""),4)</f>
        <v>4</v>
      </c>
      <c r="O55" s="10">
        <f ca="1">IFERROR(__xludf.DUMMYFUNCTION("""COMPUTED_VALUE"""),220000)</f>
        <v>220000</v>
      </c>
      <c r="P55" s="70"/>
      <c r="Q55" s="67">
        <f ca="1">IFERROR(__xludf.DUMMYFUNCTION("""COMPUTED_VALUE"""),45335)</f>
        <v>45335</v>
      </c>
    </row>
    <row r="56" spans="1:17" ht="12.5">
      <c r="A56" s="82">
        <f t="array" aca="1" ref="A56" ca="1">INDEX('Database Mitra'!$R$2:$R1001,MATCH(C56,'Database Mitra'!$B$2:$B1001,0))</f>
        <v>27566</v>
      </c>
      <c r="B56" s="10" t="e">
        <f t="shared" ca="1" si="0"/>
        <v>#NAME?</v>
      </c>
      <c r="C56" s="83">
        <f ca="1">IFERROR(__xludf.DUMMYFUNCTION("""COMPUTED_VALUE"""),610422040038)</f>
        <v>610422040038</v>
      </c>
      <c r="D56" s="10" t="str">
        <f ca="1">IFERROR(__xludf.DUMMYFUNCTION("""COMPUTED_VALUE"""),"SUSENAS24-LAPANGAN-SEMESTER1")</f>
        <v>SUSENAS24-LAPANGAN-SEMESTER1</v>
      </c>
      <c r="E56" s="10"/>
      <c r="F56" s="10">
        <f ca="1">IFERROR(__xludf.DUMMYFUNCTION("""COMPUTED_VALUE"""),1)</f>
        <v>1</v>
      </c>
      <c r="G56" s="10" t="str">
        <f ca="1">IFERROR(__xludf.DUMMYFUNCTION("""COMPUTED_VALUE"""),"Yuyun Antoni, S.E.")</f>
        <v>Yuyun Antoni, S.E.</v>
      </c>
      <c r="H56" s="10" t="str">
        <f ca="1">IFERROR(__xludf.DUMMYFUNCTION("""COMPUTED_VALUE"""),"PML")</f>
        <v>PML</v>
      </c>
      <c r="I56" s="10" t="str">
        <f ca="1">IFERROR(__xludf.DUMMYFUNCTION("""COMPUTED_VALUE"""),"6102122106750003")</f>
        <v>6102122106750003</v>
      </c>
      <c r="J56" s="10" t="str">
        <f ca="1">IFERROR(__xludf.DUMMYFUNCTION("""COMPUTED_VALUE"""),"UPDATING LISTING")</f>
        <v>UPDATING LISTING</v>
      </c>
      <c r="K56" s="10" t="str">
        <f ca="1">IFERROR(__xludf.DUMMYFUNCTION("""COMPUTED_VALUE"""),"SUSENAS24-LAPANGAN-SEMESTER1-PML-UPDATING LISTING")</f>
        <v>SUSENAS24-LAPANGAN-SEMESTER1-PML-UPDATING LISTING</v>
      </c>
      <c r="L56" s="10" t="str">
        <f ca="1">IFERROR(__xludf.DUMMYFUNCTION("""COMPUTED_VALUE"""),"Blok Sensus")</f>
        <v>Blok Sensus</v>
      </c>
      <c r="M56" s="66">
        <f ca="1">IFERROR(__xludf.DUMMYFUNCTION("""COMPUTED_VALUE"""),55000)</f>
        <v>55000</v>
      </c>
      <c r="N56" s="10">
        <f ca="1">IFERROR(__xludf.DUMMYFUNCTION("""COMPUTED_VALUE"""),4)</f>
        <v>4</v>
      </c>
      <c r="O56" s="10">
        <f ca="1">IFERROR(__xludf.DUMMYFUNCTION("""COMPUTED_VALUE"""),220000)</f>
        <v>220000</v>
      </c>
      <c r="P56" s="70"/>
      <c r="Q56" s="67">
        <f ca="1">IFERROR(__xludf.DUMMYFUNCTION("""COMPUTED_VALUE"""),45335)</f>
        <v>45335</v>
      </c>
    </row>
    <row r="57" spans="1:17" ht="12.5">
      <c r="A57" s="82">
        <f t="array" aca="1" ref="A57" ca="1">INDEX('Database Mitra'!$R$2:$R1001,MATCH(C57,'Database Mitra'!$B$2:$B1001,0))</f>
        <v>35038</v>
      </c>
      <c r="B57" s="10" t="e">
        <f t="shared" ca="1" si="0"/>
        <v>#NAME?</v>
      </c>
      <c r="C57" s="83">
        <f ca="1">IFERROR(__xludf.DUMMYFUNCTION("""COMPUTED_VALUE"""),610422040030)</f>
        <v>610422040030</v>
      </c>
      <c r="D57" s="10" t="str">
        <f ca="1">IFERROR(__xludf.DUMMYFUNCTION("""COMPUTED_VALUE"""),"SUSENAS24-LAPANGAN-SEMESTER1")</f>
        <v>SUSENAS24-LAPANGAN-SEMESTER1</v>
      </c>
      <c r="E57" s="10"/>
      <c r="F57" s="10">
        <f ca="1">IFERROR(__xludf.DUMMYFUNCTION("""COMPUTED_VALUE"""),1)</f>
        <v>1</v>
      </c>
      <c r="G57" s="10" t="str">
        <f ca="1">IFERROR(__xludf.DUMMYFUNCTION("""COMPUTED_VALUE"""),"Syarifah Desti Pratiwi")</f>
        <v>Syarifah Desti Pratiwi</v>
      </c>
      <c r="H57" s="10" t="str">
        <f ca="1">IFERROR(__xludf.DUMMYFUNCTION("""COMPUTED_VALUE"""),"PML")</f>
        <v>PML</v>
      </c>
      <c r="I57" s="10" t="str">
        <f ca="1">IFERROR(__xludf.DUMMYFUNCTION("""COMPUTED_VALUE"""),"6102084512950002")</f>
        <v>6102084512950002</v>
      </c>
      <c r="J57" s="10" t="str">
        <f ca="1">IFERROR(__xludf.DUMMYFUNCTION("""COMPUTED_VALUE"""),"UPDATING LISTING")</f>
        <v>UPDATING LISTING</v>
      </c>
      <c r="K57" s="10" t="str">
        <f ca="1">IFERROR(__xludf.DUMMYFUNCTION("""COMPUTED_VALUE"""),"SUSENAS24-LAPANGAN-SEMESTER1-PML-UPDATING LISTING")</f>
        <v>SUSENAS24-LAPANGAN-SEMESTER1-PML-UPDATING LISTING</v>
      </c>
      <c r="L57" s="10" t="str">
        <f ca="1">IFERROR(__xludf.DUMMYFUNCTION("""COMPUTED_VALUE"""),"Blok Sensus")</f>
        <v>Blok Sensus</v>
      </c>
      <c r="M57" s="66">
        <f ca="1">IFERROR(__xludf.DUMMYFUNCTION("""COMPUTED_VALUE"""),55000)</f>
        <v>55000</v>
      </c>
      <c r="N57" s="10">
        <f ca="1">IFERROR(__xludf.DUMMYFUNCTION("""COMPUTED_VALUE"""),4)</f>
        <v>4</v>
      </c>
      <c r="O57" s="10">
        <f ca="1">IFERROR(__xludf.DUMMYFUNCTION("""COMPUTED_VALUE"""),220000)</f>
        <v>220000</v>
      </c>
      <c r="P57" s="70"/>
      <c r="Q57" s="67">
        <f ca="1">IFERROR(__xludf.DUMMYFUNCTION("""COMPUTED_VALUE"""),45335)</f>
        <v>45335</v>
      </c>
    </row>
    <row r="58" spans="1:17" ht="12.5">
      <c r="A58" s="82">
        <f t="array" aca="1" ref="A58" ca="1">INDEX('Database Mitra'!$R$2:$R1001,MATCH(C58,'Database Mitra'!$B$2:$B1001,0))</f>
        <v>29359</v>
      </c>
      <c r="B58" s="10" t="e">
        <f t="shared" ca="1" si="0"/>
        <v>#NAME?</v>
      </c>
      <c r="C58" s="83">
        <f ca="1">IFERROR(__xludf.DUMMYFUNCTION("""COMPUTED_VALUE"""),610422040062)</f>
        <v>610422040062</v>
      </c>
      <c r="D58" s="10" t="str">
        <f ca="1">IFERROR(__xludf.DUMMYFUNCTION("""COMPUTED_VALUE"""),"SUSENAS24-LAPANGAN-SEMESTER1")</f>
        <v>SUSENAS24-LAPANGAN-SEMESTER1</v>
      </c>
      <c r="E58" s="10"/>
      <c r="F58" s="10">
        <f ca="1">IFERROR(__xludf.DUMMYFUNCTION("""COMPUTED_VALUE"""),1)</f>
        <v>1</v>
      </c>
      <c r="G58" s="10" t="str">
        <f ca="1">IFERROR(__xludf.DUMMYFUNCTION("""COMPUTED_VALUE"""),"Yudi Wahyudi")</f>
        <v>Yudi Wahyudi</v>
      </c>
      <c r="H58" s="10" t="str">
        <f ca="1">IFERROR(__xludf.DUMMYFUNCTION("""COMPUTED_VALUE"""),"PML")</f>
        <v>PML</v>
      </c>
      <c r="I58" s="10" t="str">
        <f ca="1">IFERROR(__xludf.DUMMYFUNCTION("""COMPUTED_VALUE"""),"6108011805800004")</f>
        <v>6108011805800004</v>
      </c>
      <c r="J58" s="10" t="str">
        <f ca="1">IFERROR(__xludf.DUMMYFUNCTION("""COMPUTED_VALUE"""),"UPDATING LISTING")</f>
        <v>UPDATING LISTING</v>
      </c>
      <c r="K58" s="10" t="str">
        <f ca="1">IFERROR(__xludf.DUMMYFUNCTION("""COMPUTED_VALUE"""),"SUSENAS24-LAPANGAN-SEMESTER1-PML-UPDATING LISTING")</f>
        <v>SUSENAS24-LAPANGAN-SEMESTER1-PML-UPDATING LISTING</v>
      </c>
      <c r="L58" s="10" t="str">
        <f ca="1">IFERROR(__xludf.DUMMYFUNCTION("""COMPUTED_VALUE"""),"Blok Sensus")</f>
        <v>Blok Sensus</v>
      </c>
      <c r="M58" s="66">
        <f ca="1">IFERROR(__xludf.DUMMYFUNCTION("""COMPUTED_VALUE"""),55000)</f>
        <v>55000</v>
      </c>
      <c r="N58" s="10">
        <f ca="1">IFERROR(__xludf.DUMMYFUNCTION("""COMPUTED_VALUE"""),4)</f>
        <v>4</v>
      </c>
      <c r="O58" s="10">
        <f ca="1">IFERROR(__xludf.DUMMYFUNCTION("""COMPUTED_VALUE"""),220000)</f>
        <v>220000</v>
      </c>
      <c r="P58" s="70"/>
      <c r="Q58" s="67">
        <f ca="1">IFERROR(__xludf.DUMMYFUNCTION("""COMPUTED_VALUE"""),45335)</f>
        <v>45335</v>
      </c>
    </row>
    <row r="59" spans="1:17" ht="12.5">
      <c r="A59" s="82">
        <f t="array" aca="1" ref="A59" ca="1">INDEX('Database Mitra'!$R$2:$R1001,MATCH(C59,'Database Mitra'!$B$2:$B1001,0))</f>
        <v>36436</v>
      </c>
      <c r="B59" s="10" t="e">
        <f t="shared" ca="1" si="0"/>
        <v>#NAME?</v>
      </c>
      <c r="C59" s="83">
        <f ca="1">IFERROR(__xludf.DUMMYFUNCTION("""COMPUTED_VALUE"""),610422100274)</f>
        <v>610422100274</v>
      </c>
      <c r="D59" s="10" t="str">
        <f ca="1">IFERROR(__xludf.DUMMYFUNCTION("""COMPUTED_VALUE"""),"SUSENAS24-LAPANGAN-SEMESTER1")</f>
        <v>SUSENAS24-LAPANGAN-SEMESTER1</v>
      </c>
      <c r="E59" s="10"/>
      <c r="F59" s="10">
        <f ca="1">IFERROR(__xludf.DUMMYFUNCTION("""COMPUTED_VALUE"""),1)</f>
        <v>1</v>
      </c>
      <c r="G59" s="10" t="str">
        <f ca="1">IFERROR(__xludf.DUMMYFUNCTION("""COMPUTED_VALUE"""),"Anisatunnabilah")</f>
        <v>Anisatunnabilah</v>
      </c>
      <c r="H59" s="10" t="str">
        <f ca="1">IFERROR(__xludf.DUMMYFUNCTION("""COMPUTED_VALUE"""),"PML")</f>
        <v>PML</v>
      </c>
      <c r="I59" s="10" t="str">
        <f ca="1">IFERROR(__xludf.DUMMYFUNCTION("""COMPUTED_VALUE"""),"6102184310990001")</f>
        <v>6102184310990001</v>
      </c>
      <c r="J59" s="10" t="str">
        <f ca="1">IFERROR(__xludf.DUMMYFUNCTION("""COMPUTED_VALUE"""),"UPDATING LISTING")</f>
        <v>UPDATING LISTING</v>
      </c>
      <c r="K59" s="10" t="str">
        <f ca="1">IFERROR(__xludf.DUMMYFUNCTION("""COMPUTED_VALUE"""),"SUSENAS24-LAPANGAN-SEMESTER1-PML-UPDATING LISTING")</f>
        <v>SUSENAS24-LAPANGAN-SEMESTER1-PML-UPDATING LISTING</v>
      </c>
      <c r="L59" s="10" t="str">
        <f ca="1">IFERROR(__xludf.DUMMYFUNCTION("""COMPUTED_VALUE"""),"Blok Sensus")</f>
        <v>Blok Sensus</v>
      </c>
      <c r="M59" s="66">
        <f ca="1">IFERROR(__xludf.DUMMYFUNCTION("""COMPUTED_VALUE"""),55000)</f>
        <v>55000</v>
      </c>
      <c r="N59" s="10">
        <f ca="1">IFERROR(__xludf.DUMMYFUNCTION("""COMPUTED_VALUE"""),4)</f>
        <v>4</v>
      </c>
      <c r="O59" s="10">
        <f ca="1">IFERROR(__xludf.DUMMYFUNCTION("""COMPUTED_VALUE"""),220000)</f>
        <v>220000</v>
      </c>
      <c r="P59" s="70"/>
      <c r="Q59" s="67">
        <f ca="1">IFERROR(__xludf.DUMMYFUNCTION("""COMPUTED_VALUE"""),45335)</f>
        <v>45335</v>
      </c>
    </row>
    <row r="60" spans="1:17" ht="12.5">
      <c r="A60" s="82">
        <f t="array" aca="1" ref="A60" ca="1">INDEX('Database Mitra'!$R$2:$R1001,MATCH(C60,'Database Mitra'!$B$2:$B1001,0))</f>
        <v>36154</v>
      </c>
      <c r="B60" s="10" t="e">
        <f t="shared" ca="1" si="0"/>
        <v>#NAME?</v>
      </c>
      <c r="C60" s="83">
        <f ca="1">IFERROR(__xludf.DUMMYFUNCTION("""COMPUTED_VALUE"""),610422100108)</f>
        <v>610422100108</v>
      </c>
      <c r="D60" s="10" t="str">
        <f ca="1">IFERROR(__xludf.DUMMYFUNCTION("""COMPUTED_VALUE"""),"SUSENAS24-LAPANGAN-SEMESTER1")</f>
        <v>SUSENAS24-LAPANGAN-SEMESTER1</v>
      </c>
      <c r="E60" s="10"/>
      <c r="F60" s="10">
        <f ca="1">IFERROR(__xludf.DUMMYFUNCTION("""COMPUTED_VALUE"""),1)</f>
        <v>1</v>
      </c>
      <c r="G60" s="10" t="str">
        <f ca="1">IFERROR(__xludf.DUMMYFUNCTION("""COMPUTED_VALUE"""),"Ermi Tiyarni")</f>
        <v>Ermi Tiyarni</v>
      </c>
      <c r="H60" s="10" t="str">
        <f ca="1">IFERROR(__xludf.DUMMYFUNCTION("""COMPUTED_VALUE"""),"PML")</f>
        <v>PML</v>
      </c>
      <c r="I60" s="10" t="str">
        <f ca="1">IFERROR(__xludf.DUMMYFUNCTION("""COMPUTED_VALUE"""),"6102016512980004")</f>
        <v>6102016512980004</v>
      </c>
      <c r="J60" s="10" t="str">
        <f ca="1">IFERROR(__xludf.DUMMYFUNCTION("""COMPUTED_VALUE"""),"UPDATING LISTING")</f>
        <v>UPDATING LISTING</v>
      </c>
      <c r="K60" s="10" t="str">
        <f ca="1">IFERROR(__xludf.DUMMYFUNCTION("""COMPUTED_VALUE"""),"SUSENAS24-LAPANGAN-SEMESTER1-PML-UPDATING LISTING")</f>
        <v>SUSENAS24-LAPANGAN-SEMESTER1-PML-UPDATING LISTING</v>
      </c>
      <c r="L60" s="10" t="str">
        <f ca="1">IFERROR(__xludf.DUMMYFUNCTION("""COMPUTED_VALUE"""),"Blok Sensus")</f>
        <v>Blok Sensus</v>
      </c>
      <c r="M60" s="66">
        <f ca="1">IFERROR(__xludf.DUMMYFUNCTION("""COMPUTED_VALUE"""),55000)</f>
        <v>55000</v>
      </c>
      <c r="N60" s="10">
        <f ca="1">IFERROR(__xludf.DUMMYFUNCTION("""COMPUTED_VALUE"""),4)</f>
        <v>4</v>
      </c>
      <c r="O60" s="10">
        <f ca="1">IFERROR(__xludf.DUMMYFUNCTION("""COMPUTED_VALUE"""),220000)</f>
        <v>220000</v>
      </c>
      <c r="P60" s="70"/>
      <c r="Q60" s="67">
        <f ca="1">IFERROR(__xludf.DUMMYFUNCTION("""COMPUTED_VALUE"""),45335)</f>
        <v>45335</v>
      </c>
    </row>
    <row r="61" spans="1:17" ht="12.5">
      <c r="A61" s="82">
        <f t="array" aca="1" ref="A61" ca="1">INDEX('Database Mitra'!$R$2:$R1001,MATCH(C61,'Database Mitra'!$B$2:$B1001,0))</f>
        <v>37161</v>
      </c>
      <c r="B61" s="10" t="e">
        <f t="shared" ca="1" si="0"/>
        <v>#NAME?</v>
      </c>
      <c r="C61" s="83">
        <f ca="1">IFERROR(__xludf.DUMMYFUNCTION("""COMPUTED_VALUE"""),610423040016)</f>
        <v>610423040016</v>
      </c>
      <c r="D61" s="10" t="str">
        <f ca="1">IFERROR(__xludf.DUMMYFUNCTION("""COMPUTED_VALUE"""),"SUSENAS24-LAPANGAN-SEMESTER1")</f>
        <v>SUSENAS24-LAPANGAN-SEMESTER1</v>
      </c>
      <c r="E61" s="10"/>
      <c r="F61" s="10">
        <f ca="1">IFERROR(__xludf.DUMMYFUNCTION("""COMPUTED_VALUE"""),1)</f>
        <v>1</v>
      </c>
      <c r="G61" s="10" t="str">
        <f ca="1">IFERROR(__xludf.DUMMYFUNCTION("""COMPUTED_VALUE"""),"Fairuztia Atiqah Putri")</f>
        <v>Fairuztia Atiqah Putri</v>
      </c>
      <c r="H61" s="10" t="str">
        <f ca="1">IFERROR(__xludf.DUMMYFUNCTION("""COMPUTED_VALUE"""),"PML")</f>
        <v>PML</v>
      </c>
      <c r="I61" s="10" t="str">
        <f ca="1">IFERROR(__xludf.DUMMYFUNCTION("""COMPUTED_VALUE"""),"6102016709010003")</f>
        <v>6102016709010003</v>
      </c>
      <c r="J61" s="10" t="str">
        <f ca="1">IFERROR(__xludf.DUMMYFUNCTION("""COMPUTED_VALUE"""),"UPDATING LISTING")</f>
        <v>UPDATING LISTING</v>
      </c>
      <c r="K61" s="10" t="str">
        <f ca="1">IFERROR(__xludf.DUMMYFUNCTION("""COMPUTED_VALUE"""),"SUSENAS24-LAPANGAN-SEMESTER1-PML-UPDATING LISTING")</f>
        <v>SUSENAS24-LAPANGAN-SEMESTER1-PML-UPDATING LISTING</v>
      </c>
      <c r="L61" s="10" t="str">
        <f ca="1">IFERROR(__xludf.DUMMYFUNCTION("""COMPUTED_VALUE"""),"Blok Sensus")</f>
        <v>Blok Sensus</v>
      </c>
      <c r="M61" s="66">
        <f ca="1">IFERROR(__xludf.DUMMYFUNCTION("""COMPUTED_VALUE"""),55000)</f>
        <v>55000</v>
      </c>
      <c r="N61" s="10">
        <f ca="1">IFERROR(__xludf.DUMMYFUNCTION("""COMPUTED_VALUE"""),4)</f>
        <v>4</v>
      </c>
      <c r="O61" s="10">
        <f ca="1">IFERROR(__xludf.DUMMYFUNCTION("""COMPUTED_VALUE"""),220000)</f>
        <v>220000</v>
      </c>
      <c r="P61" s="70"/>
      <c r="Q61" s="67">
        <f ca="1">IFERROR(__xludf.DUMMYFUNCTION("""COMPUTED_VALUE"""),45335)</f>
        <v>45335</v>
      </c>
    </row>
    <row r="62" spans="1:17" ht="12.5">
      <c r="A62" s="11">
        <f t="array" aca="1" ref="A62" ca="1">INDEX('Database Mitra'!$R$2:$R1001,MATCH(C62,'Database Mitra'!$B$2:$B1001,0))</f>
        <v>35721</v>
      </c>
      <c r="B62" s="10" t="e">
        <f t="shared" ca="1" si="0"/>
        <v>#NAME?</v>
      </c>
      <c r="C62" s="83">
        <f ca="1">IFERROR(__xludf.DUMMYFUNCTION("""COMPUTED_VALUE"""),610422100032)</f>
        <v>610422100032</v>
      </c>
      <c r="D62" s="10" t="str">
        <f ca="1">IFERROR(__xludf.DUMMYFUNCTION("""COMPUTED_VALUE"""),"SUSENAS24-LAPANGAN-SEMESTER1")</f>
        <v>SUSENAS24-LAPANGAN-SEMESTER1</v>
      </c>
      <c r="E62" s="10"/>
      <c r="F62" s="10">
        <f ca="1">IFERROR(__xludf.DUMMYFUNCTION("""COMPUTED_VALUE"""),1)</f>
        <v>1</v>
      </c>
      <c r="G62" s="10" t="str">
        <f ca="1">IFERROR(__xludf.DUMMYFUNCTION("""COMPUTED_VALUE"""),"Muhammad Rizki Pratomo")</f>
        <v>Muhammad Rizki Pratomo</v>
      </c>
      <c r="H62" s="10" t="str">
        <f ca="1">IFERROR(__xludf.DUMMYFUNCTION("""COMPUTED_VALUE"""),"PML")</f>
        <v>PML</v>
      </c>
      <c r="I62" s="10" t="str">
        <f ca="1">IFERROR(__xludf.DUMMYFUNCTION("""COMPUTED_VALUE"""),"6102011810970004")</f>
        <v>6102011810970004</v>
      </c>
      <c r="J62" s="10" t="str">
        <f ca="1">IFERROR(__xludf.DUMMYFUNCTION("""COMPUTED_VALUE"""),"UPDATING LISTING")</f>
        <v>UPDATING LISTING</v>
      </c>
      <c r="K62" s="10" t="str">
        <f ca="1">IFERROR(__xludf.DUMMYFUNCTION("""COMPUTED_VALUE"""),"SUSENAS24-LAPANGAN-SEMESTER1-PML-UPDATING LISTING")</f>
        <v>SUSENAS24-LAPANGAN-SEMESTER1-PML-UPDATING LISTING</v>
      </c>
      <c r="L62" s="10" t="str">
        <f ca="1">IFERROR(__xludf.DUMMYFUNCTION("""COMPUTED_VALUE"""),"Blok Sensus")</f>
        <v>Blok Sensus</v>
      </c>
      <c r="M62" s="66">
        <f ca="1">IFERROR(__xludf.DUMMYFUNCTION("""COMPUTED_VALUE"""),55000)</f>
        <v>55000</v>
      </c>
      <c r="N62" s="10">
        <f ca="1">IFERROR(__xludf.DUMMYFUNCTION("""COMPUTED_VALUE"""),4)</f>
        <v>4</v>
      </c>
      <c r="O62" s="10">
        <f ca="1">IFERROR(__xludf.DUMMYFUNCTION("""COMPUTED_VALUE"""),220000)</f>
        <v>220000</v>
      </c>
      <c r="P62" s="70"/>
      <c r="Q62" s="67">
        <f ca="1">IFERROR(__xludf.DUMMYFUNCTION("""COMPUTED_VALUE"""),45335)</f>
        <v>45335</v>
      </c>
    </row>
    <row r="63" spans="1:17" ht="12.5">
      <c r="A63" s="82">
        <f t="array" aca="1" ref="A63" ca="1">INDEX('Database Mitra'!$R$2:$R1001,MATCH(C63,'Database Mitra'!$B$2:$B1001,0))</f>
        <v>32942</v>
      </c>
      <c r="B63" s="10" t="e">
        <f t="shared" ca="1" si="0"/>
        <v>#NAME?</v>
      </c>
      <c r="C63" s="83">
        <f ca="1">IFERROR(__xludf.DUMMYFUNCTION("""COMPUTED_VALUE"""),610422100244)</f>
        <v>610422100244</v>
      </c>
      <c r="D63" s="10" t="str">
        <f ca="1">IFERROR(__xludf.DUMMYFUNCTION("""COMPUTED_VALUE"""),"SUSENAS24-LAPANGAN-SEMESTER1")</f>
        <v>SUSENAS24-LAPANGAN-SEMESTER1</v>
      </c>
      <c r="E63" s="10"/>
      <c r="F63" s="10">
        <f ca="1">IFERROR(__xludf.DUMMYFUNCTION("""COMPUTED_VALUE"""),1)</f>
        <v>1</v>
      </c>
      <c r="G63" s="10" t="str">
        <f ca="1">IFERROR(__xludf.DUMMYFUNCTION("""COMPUTED_VALUE"""),"Sugianto")</f>
        <v>Sugianto</v>
      </c>
      <c r="H63" s="10" t="str">
        <f ca="1">IFERROR(__xludf.DUMMYFUNCTION("""COMPUTED_VALUE"""),"PML")</f>
        <v>PML</v>
      </c>
      <c r="I63" s="10" t="str">
        <f ca="1">IFERROR(__xludf.DUMMYFUNCTION("""COMPUTED_VALUE"""),"6102171003900002")</f>
        <v>6102171003900002</v>
      </c>
      <c r="J63" s="10" t="str">
        <f ca="1">IFERROR(__xludf.DUMMYFUNCTION("""COMPUTED_VALUE"""),"UPDATING LISTING")</f>
        <v>UPDATING LISTING</v>
      </c>
      <c r="K63" s="10" t="str">
        <f ca="1">IFERROR(__xludf.DUMMYFUNCTION("""COMPUTED_VALUE"""),"SUSENAS24-LAPANGAN-SEMESTER1-PML-UPDATING LISTING")</f>
        <v>SUSENAS24-LAPANGAN-SEMESTER1-PML-UPDATING LISTING</v>
      </c>
      <c r="L63" s="10" t="str">
        <f ca="1">IFERROR(__xludf.DUMMYFUNCTION("""COMPUTED_VALUE"""),"Blok Sensus")</f>
        <v>Blok Sensus</v>
      </c>
      <c r="M63" s="66">
        <f ca="1">IFERROR(__xludf.DUMMYFUNCTION("""COMPUTED_VALUE"""),55000)</f>
        <v>55000</v>
      </c>
      <c r="N63" s="10">
        <f ca="1">IFERROR(__xludf.DUMMYFUNCTION("""COMPUTED_VALUE"""),4)</f>
        <v>4</v>
      </c>
      <c r="O63" s="10">
        <f ca="1">IFERROR(__xludf.DUMMYFUNCTION("""COMPUTED_VALUE"""),220000)</f>
        <v>220000</v>
      </c>
      <c r="P63" s="70"/>
      <c r="Q63" s="67">
        <f ca="1">IFERROR(__xludf.DUMMYFUNCTION("""COMPUTED_VALUE"""),45335)</f>
        <v>45335</v>
      </c>
    </row>
    <row r="64" spans="1:17" ht="12.5">
      <c r="A64" s="82">
        <f t="array" aca="1" ref="A64" ca="1">INDEX('Database Mitra'!$R$2:$R1001,MATCH(C64,'Database Mitra'!$B$2:$B1001,0))</f>
        <v>35555</v>
      </c>
      <c r="B64" s="10" t="e">
        <f t="shared" ca="1" si="0"/>
        <v>#NAME?</v>
      </c>
      <c r="C64" s="83">
        <f ca="1">IFERROR(__xludf.DUMMYFUNCTION("""COMPUTED_VALUE"""),610422100256)</f>
        <v>610422100256</v>
      </c>
      <c r="D64" s="10" t="str">
        <f ca="1">IFERROR(__xludf.DUMMYFUNCTION("""COMPUTED_VALUE"""),"SUSENAS24-LAPANGAN-SEMESTER1")</f>
        <v>SUSENAS24-LAPANGAN-SEMESTER1</v>
      </c>
      <c r="E64" s="10"/>
      <c r="F64" s="10">
        <f ca="1">IFERROR(__xludf.DUMMYFUNCTION("""COMPUTED_VALUE"""),1)</f>
        <v>1</v>
      </c>
      <c r="G64" s="10" t="str">
        <f ca="1">IFERROR(__xludf.DUMMYFUNCTION("""COMPUTED_VALUE"""),"Meta")</f>
        <v>Meta</v>
      </c>
      <c r="H64" s="10" t="str">
        <f ca="1">IFERROR(__xludf.DUMMYFUNCTION("""COMPUTED_VALUE"""),"PPL")</f>
        <v>PPL</v>
      </c>
      <c r="I64" s="10" t="str">
        <f ca="1">IFERROR(__xludf.DUMMYFUNCTION("""COMPUTED_VALUE"""),"6102174505970001")</f>
        <v>6102174505970001</v>
      </c>
      <c r="J64" s="10" t="str">
        <f ca="1">IFERROR(__xludf.DUMMYFUNCTION("""COMPUTED_VALUE"""),"UPDATING LISTING")</f>
        <v>UPDATING LISTING</v>
      </c>
      <c r="K64" s="10" t="str">
        <f ca="1">IFERROR(__xludf.DUMMYFUNCTION("""COMPUTED_VALUE"""),"SUSENAS24-LAPANGAN-SEMESTER1-PPL-UPDATING LISTING")</f>
        <v>SUSENAS24-LAPANGAN-SEMESTER1-PPL-UPDATING LISTING</v>
      </c>
      <c r="L64" s="10" t="str">
        <f ca="1">IFERROR(__xludf.DUMMYFUNCTION("""COMPUTED_VALUE"""),"Blok Sensus")</f>
        <v>Blok Sensus</v>
      </c>
      <c r="M64" s="66">
        <f ca="1">IFERROR(__xludf.DUMMYFUNCTION("""COMPUTED_VALUE"""),168000)</f>
        <v>168000</v>
      </c>
      <c r="N64" s="10">
        <f ca="1">IFERROR(__xludf.DUMMYFUNCTION("""COMPUTED_VALUE"""),1)</f>
        <v>1</v>
      </c>
      <c r="O64" s="10">
        <f ca="1">IFERROR(__xludf.DUMMYFUNCTION("""COMPUTED_VALUE"""),168000)</f>
        <v>168000</v>
      </c>
      <c r="P64" s="70">
        <f ca="1">IFERROR(__xludf.DUMMYFUNCTION("""COMPUTED_VALUE"""),162960)</f>
        <v>162960</v>
      </c>
      <c r="Q64" s="67">
        <f ca="1">IFERROR(__xludf.DUMMYFUNCTION("""COMPUTED_VALUE"""),45335)</f>
        <v>45335</v>
      </c>
    </row>
    <row r="65" spans="1:17" ht="12.5">
      <c r="A65" s="82">
        <f t="array" aca="1" ref="A65" ca="1">INDEX('Database Mitra'!$R$2:$R1001,MATCH(C65,'Database Mitra'!$B$2:$B1001,0))</f>
        <v>35978</v>
      </c>
      <c r="B65" s="10" t="e">
        <f t="shared" ca="1" si="0"/>
        <v>#NAME?</v>
      </c>
      <c r="C65" s="83">
        <f ca="1">IFERROR(__xludf.DUMMYFUNCTION("""COMPUTED_VALUE"""),610422100055)</f>
        <v>610422100055</v>
      </c>
      <c r="D65" s="10" t="str">
        <f ca="1">IFERROR(__xludf.DUMMYFUNCTION("""COMPUTED_VALUE"""),"SUSENAS24-LAPANGAN-SEMESTER1")</f>
        <v>SUSENAS24-LAPANGAN-SEMESTER1</v>
      </c>
      <c r="E65" s="10"/>
      <c r="F65" s="10">
        <f ca="1">IFERROR(__xludf.DUMMYFUNCTION("""COMPUTED_VALUE"""),1)</f>
        <v>1</v>
      </c>
      <c r="G65" s="10" t="str">
        <f ca="1">IFERROR(__xludf.DUMMYFUNCTION("""COMPUTED_VALUE"""),"Vika Rizkiani")</f>
        <v>Vika Rizkiani</v>
      </c>
      <c r="H65" s="10" t="str">
        <f ca="1">IFERROR(__xludf.DUMMYFUNCTION("""COMPUTED_VALUE"""),"PPL")</f>
        <v>PPL</v>
      </c>
      <c r="I65" s="10" t="str">
        <f ca="1">IFERROR(__xludf.DUMMYFUNCTION("""COMPUTED_VALUE"""),"6102084207980006")</f>
        <v>6102084207980006</v>
      </c>
      <c r="J65" s="10" t="str">
        <f ca="1">IFERROR(__xludf.DUMMYFUNCTION("""COMPUTED_VALUE"""),"UPDATING LISTING")</f>
        <v>UPDATING LISTING</v>
      </c>
      <c r="K65" s="10" t="str">
        <f ca="1">IFERROR(__xludf.DUMMYFUNCTION("""COMPUTED_VALUE"""),"SUSENAS24-LAPANGAN-SEMESTER1-PPL-UPDATING LISTING")</f>
        <v>SUSENAS24-LAPANGAN-SEMESTER1-PPL-UPDATING LISTING</v>
      </c>
      <c r="L65" s="10" t="str">
        <f ca="1">IFERROR(__xludf.DUMMYFUNCTION("""COMPUTED_VALUE"""),"Blok Sensus")</f>
        <v>Blok Sensus</v>
      </c>
      <c r="M65" s="66">
        <f ca="1">IFERROR(__xludf.DUMMYFUNCTION("""COMPUTED_VALUE"""),168000)</f>
        <v>168000</v>
      </c>
      <c r="N65" s="10">
        <f ca="1">IFERROR(__xludf.DUMMYFUNCTION("""COMPUTED_VALUE"""),1)</f>
        <v>1</v>
      </c>
      <c r="O65" s="10">
        <f ca="1">IFERROR(__xludf.DUMMYFUNCTION("""COMPUTED_VALUE"""),168000)</f>
        <v>168000</v>
      </c>
      <c r="P65" s="70">
        <f ca="1">IFERROR(__xludf.DUMMYFUNCTION("""COMPUTED_VALUE"""),162960)</f>
        <v>162960</v>
      </c>
      <c r="Q65" s="67">
        <f ca="1">IFERROR(__xludf.DUMMYFUNCTION("""COMPUTED_VALUE"""),45335)</f>
        <v>45335</v>
      </c>
    </row>
    <row r="66" spans="1:17" ht="12.5">
      <c r="A66" s="82">
        <f t="array" aca="1" ref="A66" ca="1">INDEX('Database Mitra'!$R$2:$R1001,MATCH(C66,'Database Mitra'!$B$2:$B1001,0))</f>
        <v>35501</v>
      </c>
      <c r="B66" s="10" t="e">
        <f t="shared" ca="1" si="0"/>
        <v>#NAME?</v>
      </c>
      <c r="C66" s="83">
        <f ca="1">IFERROR(__xludf.DUMMYFUNCTION("""COMPUTED_VALUE"""),610422020008)</f>
        <v>610422020008</v>
      </c>
      <c r="D66" s="10" t="str">
        <f ca="1">IFERROR(__xludf.DUMMYFUNCTION("""COMPUTED_VALUE"""),"SUSENAS24-LAPANGAN-SEMESTER1")</f>
        <v>SUSENAS24-LAPANGAN-SEMESTER1</v>
      </c>
      <c r="E66" s="10"/>
      <c r="F66" s="10">
        <f ca="1">IFERROR(__xludf.DUMMYFUNCTION("""COMPUTED_VALUE"""),1)</f>
        <v>1</v>
      </c>
      <c r="G66" s="10" t="str">
        <f ca="1">IFERROR(__xludf.DUMMYFUNCTION("""COMPUTED_VALUE"""),"Ilfi Nur Diana")</f>
        <v>Ilfi Nur Diana</v>
      </c>
      <c r="H66" s="10" t="str">
        <f ca="1">IFERROR(__xludf.DUMMYFUNCTION("""COMPUTED_VALUE"""),"PPL")</f>
        <v>PPL</v>
      </c>
      <c r="I66" s="10" t="str">
        <f ca="1">IFERROR(__xludf.DUMMYFUNCTION("""COMPUTED_VALUE"""),"6102125203970003")</f>
        <v>6102125203970003</v>
      </c>
      <c r="J66" s="10" t="str">
        <f ca="1">IFERROR(__xludf.DUMMYFUNCTION("""COMPUTED_VALUE"""),"UPDATING LISTING")</f>
        <v>UPDATING LISTING</v>
      </c>
      <c r="K66" s="10" t="str">
        <f ca="1">IFERROR(__xludf.DUMMYFUNCTION("""COMPUTED_VALUE"""),"SUSENAS24-LAPANGAN-SEMESTER1-PPL-UPDATING LISTING")</f>
        <v>SUSENAS24-LAPANGAN-SEMESTER1-PPL-UPDATING LISTING</v>
      </c>
      <c r="L66" s="10" t="str">
        <f ca="1">IFERROR(__xludf.DUMMYFUNCTION("""COMPUTED_VALUE"""),"Blok Sensus")</f>
        <v>Blok Sensus</v>
      </c>
      <c r="M66" s="66">
        <f ca="1">IFERROR(__xludf.DUMMYFUNCTION("""COMPUTED_VALUE"""),168000)</f>
        <v>168000</v>
      </c>
      <c r="N66" s="10">
        <f ca="1">IFERROR(__xludf.DUMMYFUNCTION("""COMPUTED_VALUE"""),2)</f>
        <v>2</v>
      </c>
      <c r="O66" s="10">
        <f ca="1">IFERROR(__xludf.DUMMYFUNCTION("""COMPUTED_VALUE"""),336000)</f>
        <v>336000</v>
      </c>
      <c r="P66" s="70">
        <f ca="1">IFERROR(__xludf.DUMMYFUNCTION("""COMPUTED_VALUE"""),325920)</f>
        <v>325920</v>
      </c>
      <c r="Q66" s="67">
        <f ca="1">IFERROR(__xludf.DUMMYFUNCTION("""COMPUTED_VALUE"""),45335)</f>
        <v>45335</v>
      </c>
    </row>
    <row r="67" spans="1:17" ht="12.5">
      <c r="A67" s="11">
        <f t="array" aca="1" ref="A67" ca="1">INDEX('Database Mitra'!$R$2:$R1001,MATCH(C67,'Database Mitra'!$B$2:$B1001,0))</f>
        <v>33318</v>
      </c>
      <c r="B67" s="10" t="e">
        <f t="shared" ca="1" si="0"/>
        <v>#NAME?</v>
      </c>
      <c r="C67" s="83">
        <f ca="1">IFERROR(__xludf.DUMMYFUNCTION("""COMPUTED_VALUE"""),610423040014)</f>
        <v>610423040014</v>
      </c>
      <c r="D67" s="10" t="str">
        <f ca="1">IFERROR(__xludf.DUMMYFUNCTION("""COMPUTED_VALUE"""),"SUSENAS24-LAPANGAN-SEMESTER1")</f>
        <v>SUSENAS24-LAPANGAN-SEMESTER1</v>
      </c>
      <c r="E67" s="10"/>
      <c r="F67" s="10">
        <f ca="1">IFERROR(__xludf.DUMMYFUNCTION("""COMPUTED_VALUE"""),1)</f>
        <v>1</v>
      </c>
      <c r="G67" s="10" t="str">
        <f ca="1">IFERROR(__xludf.DUMMYFUNCTION("""COMPUTED_VALUE"""),"Fransiska Romana")</f>
        <v>Fransiska Romana</v>
      </c>
      <c r="H67" s="10" t="str">
        <f ca="1">IFERROR(__xludf.DUMMYFUNCTION("""COMPUTED_VALUE"""),"PPL")</f>
        <v>PPL</v>
      </c>
      <c r="I67" s="10" t="str">
        <f ca="1">IFERROR(__xludf.DUMMYFUNCTION("""COMPUTED_VALUE"""),"6107036103910001")</f>
        <v>6107036103910001</v>
      </c>
      <c r="J67" s="10" t="str">
        <f ca="1">IFERROR(__xludf.DUMMYFUNCTION("""COMPUTED_VALUE"""),"UPDATING LISTING")</f>
        <v>UPDATING LISTING</v>
      </c>
      <c r="K67" s="10" t="str">
        <f ca="1">IFERROR(__xludf.DUMMYFUNCTION("""COMPUTED_VALUE"""),"SUSENAS24-LAPANGAN-SEMESTER1-PPL-UPDATING LISTING")</f>
        <v>SUSENAS24-LAPANGAN-SEMESTER1-PPL-UPDATING LISTING</v>
      </c>
      <c r="L67" s="10" t="str">
        <f ca="1">IFERROR(__xludf.DUMMYFUNCTION("""COMPUTED_VALUE"""),"Blok Sensus")</f>
        <v>Blok Sensus</v>
      </c>
      <c r="M67" s="66">
        <f ca="1">IFERROR(__xludf.DUMMYFUNCTION("""COMPUTED_VALUE"""),168000)</f>
        <v>168000</v>
      </c>
      <c r="N67" s="10">
        <f ca="1">IFERROR(__xludf.DUMMYFUNCTION("""COMPUTED_VALUE"""),2)</f>
        <v>2</v>
      </c>
      <c r="O67" s="10">
        <f ca="1">IFERROR(__xludf.DUMMYFUNCTION("""COMPUTED_VALUE"""),336000)</f>
        <v>336000</v>
      </c>
      <c r="P67" s="70">
        <f ca="1">IFERROR(__xludf.DUMMYFUNCTION("""COMPUTED_VALUE"""),325920)</f>
        <v>325920</v>
      </c>
      <c r="Q67" s="67">
        <f ca="1">IFERROR(__xludf.DUMMYFUNCTION("""COMPUTED_VALUE"""),45335)</f>
        <v>45335</v>
      </c>
    </row>
    <row r="68" spans="1:17" ht="12.5">
      <c r="A68" s="82">
        <f t="array" aca="1" ref="A68" ca="1">INDEX('Database Mitra'!$R$2:$R1001,MATCH(C68,'Database Mitra'!$B$2:$B1001,0))</f>
        <v>35815</v>
      </c>
      <c r="B68" s="10" t="e">
        <f t="shared" ca="1" si="0"/>
        <v>#NAME?</v>
      </c>
      <c r="C68" s="83">
        <f ca="1">IFERROR(__xludf.DUMMYFUNCTION("""COMPUTED_VALUE"""),610423040022)</f>
        <v>610423040022</v>
      </c>
      <c r="D68" s="10" t="str">
        <f ca="1">IFERROR(__xludf.DUMMYFUNCTION("""COMPUTED_VALUE"""),"SUSENAS24-LAPANGAN-SEMESTER1")</f>
        <v>SUSENAS24-LAPANGAN-SEMESTER1</v>
      </c>
      <c r="E68" s="10"/>
      <c r="F68" s="10">
        <f ca="1">IFERROR(__xludf.DUMMYFUNCTION("""COMPUTED_VALUE"""),1)</f>
        <v>1</v>
      </c>
      <c r="G68" s="10" t="str">
        <f ca="1">IFERROR(__xludf.DUMMYFUNCTION("""COMPUTED_VALUE"""),"Alip Susanto")</f>
        <v>Alip Susanto</v>
      </c>
      <c r="H68" s="10" t="str">
        <f ca="1">IFERROR(__xludf.DUMMYFUNCTION("""COMPUTED_VALUE"""),"PPL")</f>
        <v>PPL</v>
      </c>
      <c r="I68" s="10" t="str">
        <f ca="1">IFERROR(__xludf.DUMMYFUNCTION("""COMPUTED_VALUE"""),"6102172001980001")</f>
        <v>6102172001980001</v>
      </c>
      <c r="J68" s="10" t="str">
        <f ca="1">IFERROR(__xludf.DUMMYFUNCTION("""COMPUTED_VALUE"""),"UPDATING LISTING")</f>
        <v>UPDATING LISTING</v>
      </c>
      <c r="K68" s="10" t="str">
        <f ca="1">IFERROR(__xludf.DUMMYFUNCTION("""COMPUTED_VALUE"""),"SUSENAS24-LAPANGAN-SEMESTER1-PPL-UPDATING LISTING")</f>
        <v>SUSENAS24-LAPANGAN-SEMESTER1-PPL-UPDATING LISTING</v>
      </c>
      <c r="L68" s="10" t="str">
        <f ca="1">IFERROR(__xludf.DUMMYFUNCTION("""COMPUTED_VALUE"""),"Blok Sensus")</f>
        <v>Blok Sensus</v>
      </c>
      <c r="M68" s="66">
        <f ca="1">IFERROR(__xludf.DUMMYFUNCTION("""COMPUTED_VALUE"""),168000)</f>
        <v>168000</v>
      </c>
      <c r="N68" s="10">
        <f ca="1">IFERROR(__xludf.DUMMYFUNCTION("""COMPUTED_VALUE"""),2)</f>
        <v>2</v>
      </c>
      <c r="O68" s="10">
        <f ca="1">IFERROR(__xludf.DUMMYFUNCTION("""COMPUTED_VALUE"""),336000)</f>
        <v>336000</v>
      </c>
      <c r="P68" s="70">
        <f ca="1">IFERROR(__xludf.DUMMYFUNCTION("""COMPUTED_VALUE"""),325920)</f>
        <v>325920</v>
      </c>
      <c r="Q68" s="67">
        <f ca="1">IFERROR(__xludf.DUMMYFUNCTION("""COMPUTED_VALUE"""),45335)</f>
        <v>45335</v>
      </c>
    </row>
    <row r="69" spans="1:17" ht="12.5">
      <c r="A69" s="82">
        <f t="array" aca="1" ref="A69" ca="1">INDEX('Database Mitra'!$R$2:$R1001,MATCH(C69,'Database Mitra'!$B$2:$B1001,0))</f>
        <v>36711</v>
      </c>
      <c r="B69" s="10" t="e">
        <f t="shared" ca="1" si="0"/>
        <v>#NAME?</v>
      </c>
      <c r="C69" s="83">
        <f ca="1">IFERROR(__xludf.DUMMYFUNCTION("""COMPUTED_VALUE"""),610423030004)</f>
        <v>610423030004</v>
      </c>
      <c r="D69" s="10" t="str">
        <f ca="1">IFERROR(__xludf.DUMMYFUNCTION("""COMPUTED_VALUE"""),"SUSENAS24-LAPANGAN-SEMESTER1")</f>
        <v>SUSENAS24-LAPANGAN-SEMESTER1</v>
      </c>
      <c r="E69" s="10"/>
      <c r="F69" s="10">
        <f ca="1">IFERROR(__xludf.DUMMYFUNCTION("""COMPUTED_VALUE"""),1)</f>
        <v>1</v>
      </c>
      <c r="G69" s="10" t="str">
        <f ca="1">IFERROR(__xludf.DUMMYFUNCTION("""COMPUTED_VALUE"""),"Laras Nanda Julita")</f>
        <v>Laras Nanda Julita</v>
      </c>
      <c r="H69" s="10" t="str">
        <f ca="1">IFERROR(__xludf.DUMMYFUNCTION("""COMPUTED_VALUE"""),"PPL")</f>
        <v>PPL</v>
      </c>
      <c r="I69" s="10" t="str">
        <f ca="1">IFERROR(__xludf.DUMMYFUNCTION("""COMPUTED_VALUE"""),"6102074407000003")</f>
        <v>6102074407000003</v>
      </c>
      <c r="J69" s="10" t="str">
        <f ca="1">IFERROR(__xludf.DUMMYFUNCTION("""COMPUTED_VALUE"""),"UPDATING LISTING")</f>
        <v>UPDATING LISTING</v>
      </c>
      <c r="K69" s="10" t="str">
        <f ca="1">IFERROR(__xludf.DUMMYFUNCTION("""COMPUTED_VALUE"""),"SUSENAS24-LAPANGAN-SEMESTER1-PPL-UPDATING LISTING")</f>
        <v>SUSENAS24-LAPANGAN-SEMESTER1-PPL-UPDATING LISTING</v>
      </c>
      <c r="L69" s="10" t="str">
        <f ca="1">IFERROR(__xludf.DUMMYFUNCTION("""COMPUTED_VALUE"""),"Blok Sensus")</f>
        <v>Blok Sensus</v>
      </c>
      <c r="M69" s="66">
        <f ca="1">IFERROR(__xludf.DUMMYFUNCTION("""COMPUTED_VALUE"""),168000)</f>
        <v>168000</v>
      </c>
      <c r="N69" s="10">
        <f ca="1">IFERROR(__xludf.DUMMYFUNCTION("""COMPUTED_VALUE"""),2)</f>
        <v>2</v>
      </c>
      <c r="O69" s="10">
        <f ca="1">IFERROR(__xludf.DUMMYFUNCTION("""COMPUTED_VALUE"""),336000)</f>
        <v>336000</v>
      </c>
      <c r="P69" s="70">
        <f ca="1">IFERROR(__xludf.DUMMYFUNCTION("""COMPUTED_VALUE"""),325920)</f>
        <v>325920</v>
      </c>
      <c r="Q69" s="67">
        <f ca="1">IFERROR(__xludf.DUMMYFUNCTION("""COMPUTED_VALUE"""),45335)</f>
        <v>45335</v>
      </c>
    </row>
    <row r="70" spans="1:17" ht="12.5">
      <c r="A70" s="82">
        <f t="array" aca="1" ref="A70" ca="1">INDEX('Database Mitra'!$R$2:$R1001,MATCH(C70,'Database Mitra'!$B$2:$B1001,0))</f>
        <v>34191</v>
      </c>
      <c r="B70" s="10" t="e">
        <f t="shared" ca="1" si="0"/>
        <v>#NAME?</v>
      </c>
      <c r="C70" s="83">
        <f ca="1">IFERROR(__xludf.DUMMYFUNCTION("""COMPUTED_VALUE"""),610423040004)</f>
        <v>610423040004</v>
      </c>
      <c r="D70" s="10" t="str">
        <f ca="1">IFERROR(__xludf.DUMMYFUNCTION("""COMPUTED_VALUE"""),"SUSENAS24-LAPANGAN-SEMESTER1")</f>
        <v>SUSENAS24-LAPANGAN-SEMESTER1</v>
      </c>
      <c r="E70" s="10"/>
      <c r="F70" s="10">
        <f ca="1">IFERROR(__xludf.DUMMYFUNCTION("""COMPUTED_VALUE"""),1)</f>
        <v>1</v>
      </c>
      <c r="G70" s="10" t="str">
        <f ca="1">IFERROR(__xludf.DUMMYFUNCTION("""COMPUTED_VALUE"""),"Ayu Agustin")</f>
        <v>Ayu Agustin</v>
      </c>
      <c r="H70" s="10" t="str">
        <f ca="1">IFERROR(__xludf.DUMMYFUNCTION("""COMPUTED_VALUE"""),"PPL")</f>
        <v>PPL</v>
      </c>
      <c r="I70" s="10" t="str">
        <f ca="1">IFERROR(__xludf.DUMMYFUNCTION("""COMPUTED_VALUE"""),"6111025008930002")</f>
        <v>6111025008930002</v>
      </c>
      <c r="J70" s="10" t="str">
        <f ca="1">IFERROR(__xludf.DUMMYFUNCTION("""COMPUTED_VALUE"""),"UPDATING LISTING")</f>
        <v>UPDATING LISTING</v>
      </c>
      <c r="K70" s="10" t="str">
        <f ca="1">IFERROR(__xludf.DUMMYFUNCTION("""COMPUTED_VALUE"""),"SUSENAS24-LAPANGAN-SEMESTER1-PPL-UPDATING LISTING")</f>
        <v>SUSENAS24-LAPANGAN-SEMESTER1-PPL-UPDATING LISTING</v>
      </c>
      <c r="L70" s="10" t="str">
        <f ca="1">IFERROR(__xludf.DUMMYFUNCTION("""COMPUTED_VALUE"""),"Blok Sensus")</f>
        <v>Blok Sensus</v>
      </c>
      <c r="M70" s="66">
        <f ca="1">IFERROR(__xludf.DUMMYFUNCTION("""COMPUTED_VALUE"""),168000)</f>
        <v>168000</v>
      </c>
      <c r="N70" s="10">
        <f ca="1">IFERROR(__xludf.DUMMYFUNCTION("""COMPUTED_VALUE"""),1)</f>
        <v>1</v>
      </c>
      <c r="O70" s="10">
        <f ca="1">IFERROR(__xludf.DUMMYFUNCTION("""COMPUTED_VALUE"""),168000)</f>
        <v>168000</v>
      </c>
      <c r="P70" s="70">
        <f ca="1">IFERROR(__xludf.DUMMYFUNCTION("""COMPUTED_VALUE"""),162960)</f>
        <v>162960</v>
      </c>
      <c r="Q70" s="67">
        <f ca="1">IFERROR(__xludf.DUMMYFUNCTION("""COMPUTED_VALUE"""),45335)</f>
        <v>45335</v>
      </c>
    </row>
    <row r="71" spans="1:17" ht="12.5">
      <c r="A71" s="82">
        <f t="array" aca="1" ref="A71" ca="1">INDEX('Database Mitra'!$R$2:$R1001,MATCH(C71,'Database Mitra'!$B$2:$B1001,0))</f>
        <v>36663</v>
      </c>
      <c r="B71" s="10" t="e">
        <f t="shared" ca="1" si="0"/>
        <v>#NAME?</v>
      </c>
      <c r="C71" s="83">
        <f ca="1">IFERROR(__xludf.DUMMYFUNCTION("""COMPUTED_VALUE"""),610423040006)</f>
        <v>610423040006</v>
      </c>
      <c r="D71" s="10" t="str">
        <f ca="1">IFERROR(__xludf.DUMMYFUNCTION("""COMPUTED_VALUE"""),"SUSENAS24-LAPANGAN-SEMESTER1")</f>
        <v>SUSENAS24-LAPANGAN-SEMESTER1</v>
      </c>
      <c r="E71" s="10"/>
      <c r="F71" s="10">
        <f ca="1">IFERROR(__xludf.DUMMYFUNCTION("""COMPUTED_VALUE"""),1)</f>
        <v>1</v>
      </c>
      <c r="G71" s="10" t="str">
        <f ca="1">IFERROR(__xludf.DUMMYFUNCTION("""COMPUTED_VALUE"""),"Mitasya Fitri Nainggolan")</f>
        <v>Mitasya Fitri Nainggolan</v>
      </c>
      <c r="H71" s="10" t="str">
        <f ca="1">IFERROR(__xludf.DUMMYFUNCTION("""COMPUTED_VALUE"""),"PPL")</f>
        <v>PPL</v>
      </c>
      <c r="I71" s="10" t="str">
        <f ca="1">IFERROR(__xludf.DUMMYFUNCTION("""COMPUTED_VALUE"""),"6102185705000003")</f>
        <v>6102185705000003</v>
      </c>
      <c r="J71" s="10" t="str">
        <f ca="1">IFERROR(__xludf.DUMMYFUNCTION("""COMPUTED_VALUE"""),"UPDATING LISTING")</f>
        <v>UPDATING LISTING</v>
      </c>
      <c r="K71" s="10" t="str">
        <f ca="1">IFERROR(__xludf.DUMMYFUNCTION("""COMPUTED_VALUE"""),"SUSENAS24-LAPANGAN-SEMESTER1-PPL-UPDATING LISTING")</f>
        <v>SUSENAS24-LAPANGAN-SEMESTER1-PPL-UPDATING LISTING</v>
      </c>
      <c r="L71" s="10" t="str">
        <f ca="1">IFERROR(__xludf.DUMMYFUNCTION("""COMPUTED_VALUE"""),"Blok Sensus")</f>
        <v>Blok Sensus</v>
      </c>
      <c r="M71" s="66">
        <f ca="1">IFERROR(__xludf.DUMMYFUNCTION("""COMPUTED_VALUE"""),168000)</f>
        <v>168000</v>
      </c>
      <c r="N71" s="10">
        <f ca="1">IFERROR(__xludf.DUMMYFUNCTION("""COMPUTED_VALUE"""),2)</f>
        <v>2</v>
      </c>
      <c r="O71" s="10">
        <f ca="1">IFERROR(__xludf.DUMMYFUNCTION("""COMPUTED_VALUE"""),336000)</f>
        <v>336000</v>
      </c>
      <c r="P71" s="70">
        <f ca="1">IFERROR(__xludf.DUMMYFUNCTION("""COMPUTED_VALUE"""),325920)</f>
        <v>325920</v>
      </c>
      <c r="Q71" s="67">
        <f ca="1">IFERROR(__xludf.DUMMYFUNCTION("""COMPUTED_VALUE"""),45335)</f>
        <v>45335</v>
      </c>
    </row>
    <row r="72" spans="1:17" ht="12.5">
      <c r="A72" s="82">
        <f t="array" aca="1" ref="A72" ca="1">INDEX('Database Mitra'!$R$2:$R1001,MATCH(C72,'Database Mitra'!$B$2:$B1001,0))</f>
        <v>36546</v>
      </c>
      <c r="B72" s="10" t="e">
        <f t="shared" ca="1" si="0"/>
        <v>#NAME?</v>
      </c>
      <c r="C72" s="83">
        <f ca="1">IFERROR(__xludf.DUMMYFUNCTION("""COMPUTED_VALUE"""),610423040013)</f>
        <v>610423040013</v>
      </c>
      <c r="D72" s="10" t="str">
        <f ca="1">IFERROR(__xludf.DUMMYFUNCTION("""COMPUTED_VALUE"""),"SUSENAS24-LAPANGAN-SEMESTER1")</f>
        <v>SUSENAS24-LAPANGAN-SEMESTER1</v>
      </c>
      <c r="E72" s="10"/>
      <c r="F72" s="10">
        <f ca="1">IFERROR(__xludf.DUMMYFUNCTION("""COMPUTED_VALUE"""),1)</f>
        <v>1</v>
      </c>
      <c r="G72" s="10" t="str">
        <f ca="1">IFERROR(__xludf.DUMMYFUNCTION("""COMPUTED_VALUE"""),"Lulu Gesti Gunawati")</f>
        <v>Lulu Gesti Gunawati</v>
      </c>
      <c r="H72" s="10" t="str">
        <f ca="1">IFERROR(__xludf.DUMMYFUNCTION("""COMPUTED_VALUE"""),"PPL")</f>
        <v>PPL</v>
      </c>
      <c r="I72" s="10" t="str">
        <f ca="1">IFERROR(__xludf.DUMMYFUNCTION("""COMPUTED_VALUE"""),"3314066101000001")</f>
        <v>3314066101000001</v>
      </c>
      <c r="J72" s="10" t="str">
        <f ca="1">IFERROR(__xludf.DUMMYFUNCTION("""COMPUTED_VALUE"""),"UPDATING LISTING")</f>
        <v>UPDATING LISTING</v>
      </c>
      <c r="K72" s="10" t="str">
        <f ca="1">IFERROR(__xludf.DUMMYFUNCTION("""COMPUTED_VALUE"""),"SUSENAS24-LAPANGAN-SEMESTER1-PPL-UPDATING LISTING")</f>
        <v>SUSENAS24-LAPANGAN-SEMESTER1-PPL-UPDATING LISTING</v>
      </c>
      <c r="L72" s="10" t="str">
        <f ca="1">IFERROR(__xludf.DUMMYFUNCTION("""COMPUTED_VALUE"""),"Blok Sensus")</f>
        <v>Blok Sensus</v>
      </c>
      <c r="M72" s="66">
        <f ca="1">IFERROR(__xludf.DUMMYFUNCTION("""COMPUTED_VALUE"""),168000)</f>
        <v>168000</v>
      </c>
      <c r="N72" s="10">
        <f ca="1">IFERROR(__xludf.DUMMYFUNCTION("""COMPUTED_VALUE"""),1)</f>
        <v>1</v>
      </c>
      <c r="O72" s="10">
        <f ca="1">IFERROR(__xludf.DUMMYFUNCTION("""COMPUTED_VALUE"""),168000)</f>
        <v>168000</v>
      </c>
      <c r="P72" s="70">
        <f ca="1">IFERROR(__xludf.DUMMYFUNCTION("""COMPUTED_VALUE"""),162960)</f>
        <v>162960</v>
      </c>
      <c r="Q72" s="67">
        <f ca="1">IFERROR(__xludf.DUMMYFUNCTION("""COMPUTED_VALUE"""),45335)</f>
        <v>45335</v>
      </c>
    </row>
    <row r="73" spans="1:17" ht="12.5">
      <c r="A73" s="82">
        <f t="array" aca="1" ref="A73" ca="1">INDEX('Database Mitra'!$R$2:$R1001,MATCH(C73,'Database Mitra'!$B$2:$B1001,0))</f>
        <v>30991</v>
      </c>
      <c r="B73" s="10" t="e">
        <f t="shared" ca="1" si="0"/>
        <v>#NAME?</v>
      </c>
      <c r="C73" s="83">
        <f ca="1">IFERROR(__xludf.DUMMYFUNCTION("""COMPUTED_VALUE"""),610423090019)</f>
        <v>610423090019</v>
      </c>
      <c r="D73" s="10" t="str">
        <f ca="1">IFERROR(__xludf.DUMMYFUNCTION("""COMPUTED_VALUE"""),"SUSENAS24-LAPANGAN-SEMESTER1")</f>
        <v>SUSENAS24-LAPANGAN-SEMESTER1</v>
      </c>
      <c r="E73" s="10"/>
      <c r="F73" s="10">
        <f ca="1">IFERROR(__xludf.DUMMYFUNCTION("""COMPUTED_VALUE"""),1)</f>
        <v>1</v>
      </c>
      <c r="G73" s="10" t="str">
        <f ca="1">IFERROR(__xludf.DUMMYFUNCTION("""COMPUTED_VALUE"""),"Nurul Huda")</f>
        <v>Nurul Huda</v>
      </c>
      <c r="H73" s="10" t="str">
        <f ca="1">IFERROR(__xludf.DUMMYFUNCTION("""COMPUTED_VALUE"""),"PPL")</f>
        <v>PPL</v>
      </c>
      <c r="I73" s="10" t="str">
        <f ca="1">IFERROR(__xludf.DUMMYFUNCTION("""COMPUTED_VALUE"""),"6102014511840003")</f>
        <v>6102014511840003</v>
      </c>
      <c r="J73" s="10" t="str">
        <f ca="1">IFERROR(__xludf.DUMMYFUNCTION("""COMPUTED_VALUE"""),"UPDATING LISTING")</f>
        <v>UPDATING LISTING</v>
      </c>
      <c r="K73" s="10" t="str">
        <f ca="1">IFERROR(__xludf.DUMMYFUNCTION("""COMPUTED_VALUE"""),"SUSENAS24-LAPANGAN-SEMESTER1-PPL-UPDATING LISTING")</f>
        <v>SUSENAS24-LAPANGAN-SEMESTER1-PPL-UPDATING LISTING</v>
      </c>
      <c r="L73" s="10" t="str">
        <f ca="1">IFERROR(__xludf.DUMMYFUNCTION("""COMPUTED_VALUE"""),"Blok Sensus")</f>
        <v>Blok Sensus</v>
      </c>
      <c r="M73" s="66">
        <f ca="1">IFERROR(__xludf.DUMMYFUNCTION("""COMPUTED_VALUE"""),168000)</f>
        <v>168000</v>
      </c>
      <c r="N73" s="10">
        <f ca="1">IFERROR(__xludf.DUMMYFUNCTION("""COMPUTED_VALUE"""),2)</f>
        <v>2</v>
      </c>
      <c r="O73" s="10">
        <f ca="1">IFERROR(__xludf.DUMMYFUNCTION("""COMPUTED_VALUE"""),336000)</f>
        <v>336000</v>
      </c>
      <c r="P73" s="70">
        <f ca="1">IFERROR(__xludf.DUMMYFUNCTION("""COMPUTED_VALUE"""),325920)</f>
        <v>325920</v>
      </c>
      <c r="Q73" s="67">
        <f ca="1">IFERROR(__xludf.DUMMYFUNCTION("""COMPUTED_VALUE"""),45335)</f>
        <v>45335</v>
      </c>
    </row>
    <row r="74" spans="1:17" ht="12.5">
      <c r="A74" s="82">
        <f t="array" aca="1" ref="A74" ca="1">INDEX('Database Mitra'!$R$2:$R1001,MATCH(C74,'Database Mitra'!$B$2:$B1001,0))</f>
        <v>35862</v>
      </c>
      <c r="B74" s="10" t="e">
        <f t="shared" ca="1" si="0"/>
        <v>#NAME?</v>
      </c>
      <c r="C74" s="83">
        <f ca="1">IFERROR(__xludf.DUMMYFUNCTION("""COMPUTED_VALUE"""),610422100165)</f>
        <v>610422100165</v>
      </c>
      <c r="D74" s="10" t="str">
        <f ca="1">IFERROR(__xludf.DUMMYFUNCTION("""COMPUTED_VALUE"""),"SUSENAS24-LAPANGAN-SEMESTER1")</f>
        <v>SUSENAS24-LAPANGAN-SEMESTER1</v>
      </c>
      <c r="E74" s="10"/>
      <c r="F74" s="10">
        <f ca="1">IFERROR(__xludf.DUMMYFUNCTION("""COMPUTED_VALUE"""),1)</f>
        <v>1</v>
      </c>
      <c r="G74" s="10" t="str">
        <f ca="1">IFERROR(__xludf.DUMMYFUNCTION("""COMPUTED_VALUE"""),"Yanti")</f>
        <v>Yanti</v>
      </c>
      <c r="H74" s="10" t="str">
        <f ca="1">IFERROR(__xludf.DUMMYFUNCTION("""COMPUTED_VALUE"""),"PPL")</f>
        <v>PPL</v>
      </c>
      <c r="I74" s="10" t="str">
        <f ca="1">IFERROR(__xludf.DUMMYFUNCTION("""COMPUTED_VALUE"""),"6102074803980002")</f>
        <v>6102074803980002</v>
      </c>
      <c r="J74" s="10" t="str">
        <f ca="1">IFERROR(__xludf.DUMMYFUNCTION("""COMPUTED_VALUE"""),"UPDATING LISTING")</f>
        <v>UPDATING LISTING</v>
      </c>
      <c r="K74" s="10" t="str">
        <f ca="1">IFERROR(__xludf.DUMMYFUNCTION("""COMPUTED_VALUE"""),"SUSENAS24-LAPANGAN-SEMESTER1-PPL-UPDATING LISTING")</f>
        <v>SUSENAS24-LAPANGAN-SEMESTER1-PPL-UPDATING LISTING</v>
      </c>
      <c r="L74" s="10" t="str">
        <f ca="1">IFERROR(__xludf.DUMMYFUNCTION("""COMPUTED_VALUE"""),"Blok Sensus")</f>
        <v>Blok Sensus</v>
      </c>
      <c r="M74" s="66">
        <f ca="1">IFERROR(__xludf.DUMMYFUNCTION("""COMPUTED_VALUE"""),168000)</f>
        <v>168000</v>
      </c>
      <c r="N74" s="10">
        <f ca="1">IFERROR(__xludf.DUMMYFUNCTION("""COMPUTED_VALUE"""),2)</f>
        <v>2</v>
      </c>
      <c r="O74" s="10">
        <f ca="1">IFERROR(__xludf.DUMMYFUNCTION("""COMPUTED_VALUE"""),336000)</f>
        <v>336000</v>
      </c>
      <c r="P74" s="70">
        <f ca="1">IFERROR(__xludf.DUMMYFUNCTION("""COMPUTED_VALUE"""),325920)</f>
        <v>325920</v>
      </c>
      <c r="Q74" s="67">
        <f ca="1">IFERROR(__xludf.DUMMYFUNCTION("""COMPUTED_VALUE"""),45335)</f>
        <v>45335</v>
      </c>
    </row>
    <row r="75" spans="1:17" ht="12.5">
      <c r="A75" s="11">
        <f t="array" aca="1" ref="A75" ca="1">INDEX('Database Mitra'!$R$2:$R1001,MATCH(C75,'Database Mitra'!$B$2:$B1001,0))</f>
        <v>36522</v>
      </c>
      <c r="B75" s="10" t="e">
        <f t="shared" ca="1" si="0"/>
        <v>#NAME?</v>
      </c>
      <c r="C75" s="83">
        <f ca="1">IFERROR(__xludf.DUMMYFUNCTION("""COMPUTED_VALUE"""),610422100139)</f>
        <v>610422100139</v>
      </c>
      <c r="D75" s="10" t="str">
        <f ca="1">IFERROR(__xludf.DUMMYFUNCTION("""COMPUTED_VALUE"""),"SUSENAS24-LAPANGAN-SEMESTER1")</f>
        <v>SUSENAS24-LAPANGAN-SEMESTER1</v>
      </c>
      <c r="E75" s="10"/>
      <c r="F75" s="10">
        <f ca="1">IFERROR(__xludf.DUMMYFUNCTION("""COMPUTED_VALUE"""),1)</f>
        <v>1</v>
      </c>
      <c r="G75" s="10" t="str">
        <f ca="1">IFERROR(__xludf.DUMMYFUNCTION("""COMPUTED_VALUE"""),"Winda Dwi Ananda")</f>
        <v>Winda Dwi Ananda</v>
      </c>
      <c r="H75" s="10" t="str">
        <f ca="1">IFERROR(__xludf.DUMMYFUNCTION("""COMPUTED_VALUE"""),"PPL")</f>
        <v>PPL</v>
      </c>
      <c r="I75" s="10" t="str">
        <f ca="1">IFERROR(__xludf.DUMMYFUNCTION("""COMPUTED_VALUE"""),"6102016812990001")</f>
        <v>6102016812990001</v>
      </c>
      <c r="J75" s="10" t="str">
        <f ca="1">IFERROR(__xludf.DUMMYFUNCTION("""COMPUTED_VALUE"""),"UPDATING LISTING")</f>
        <v>UPDATING LISTING</v>
      </c>
      <c r="K75" s="10" t="str">
        <f ca="1">IFERROR(__xludf.DUMMYFUNCTION("""COMPUTED_VALUE"""),"SUSENAS24-LAPANGAN-SEMESTER1-PPL-UPDATING LISTING")</f>
        <v>SUSENAS24-LAPANGAN-SEMESTER1-PPL-UPDATING LISTING</v>
      </c>
      <c r="L75" s="10" t="str">
        <f ca="1">IFERROR(__xludf.DUMMYFUNCTION("""COMPUTED_VALUE"""),"Blok Sensus")</f>
        <v>Blok Sensus</v>
      </c>
      <c r="M75" s="66">
        <f ca="1">IFERROR(__xludf.DUMMYFUNCTION("""COMPUTED_VALUE"""),168000)</f>
        <v>168000</v>
      </c>
      <c r="N75" s="10">
        <f ca="1">IFERROR(__xludf.DUMMYFUNCTION("""COMPUTED_VALUE"""),1)</f>
        <v>1</v>
      </c>
      <c r="O75" s="10">
        <f ca="1">IFERROR(__xludf.DUMMYFUNCTION("""COMPUTED_VALUE"""),168000)</f>
        <v>168000</v>
      </c>
      <c r="P75" s="70">
        <f ca="1">IFERROR(__xludf.DUMMYFUNCTION("""COMPUTED_VALUE"""),162960)</f>
        <v>162960</v>
      </c>
      <c r="Q75" s="67">
        <f ca="1">IFERROR(__xludf.DUMMYFUNCTION("""COMPUTED_VALUE"""),45335)</f>
        <v>45335</v>
      </c>
    </row>
    <row r="76" spans="1:17" ht="12.5">
      <c r="A76" s="82">
        <f t="array" aca="1" ref="A76" ca="1">INDEX('Database Mitra'!$R$2:$R1001,MATCH(C76,'Database Mitra'!$B$2:$B1001,0))</f>
        <v>32027</v>
      </c>
      <c r="B76" s="10" t="e">
        <f t="shared" ca="1" si="0"/>
        <v>#NAME?</v>
      </c>
      <c r="C76" s="83">
        <f ca="1">IFERROR(__xludf.DUMMYFUNCTION("""COMPUTED_VALUE"""),610422100137)</f>
        <v>610422100137</v>
      </c>
      <c r="D76" s="10" t="str">
        <f ca="1">IFERROR(__xludf.DUMMYFUNCTION("""COMPUTED_VALUE"""),"SUSENAS24-LAPANGAN-SEMESTER1")</f>
        <v>SUSENAS24-LAPANGAN-SEMESTER1</v>
      </c>
      <c r="E76" s="10"/>
      <c r="F76" s="10">
        <f ca="1">IFERROR(__xludf.DUMMYFUNCTION("""COMPUTED_VALUE"""),1)</f>
        <v>1</v>
      </c>
      <c r="G76" s="10" t="str">
        <f ca="1">IFERROR(__xludf.DUMMYFUNCTION("""COMPUTED_VALUE"""),"Masturi")</f>
        <v>Masturi</v>
      </c>
      <c r="H76" s="10" t="str">
        <f ca="1">IFERROR(__xludf.DUMMYFUNCTION("""COMPUTED_VALUE"""),"PPL")</f>
        <v>PPL</v>
      </c>
      <c r="I76" s="10" t="str">
        <f ca="1">IFERROR(__xludf.DUMMYFUNCTION("""COMPUTED_VALUE"""),"6102060709870002")</f>
        <v>6102060709870002</v>
      </c>
      <c r="J76" s="10" t="str">
        <f ca="1">IFERROR(__xludf.DUMMYFUNCTION("""COMPUTED_VALUE"""),"UPDATING LISTING")</f>
        <v>UPDATING LISTING</v>
      </c>
      <c r="K76" s="10" t="str">
        <f ca="1">IFERROR(__xludf.DUMMYFUNCTION("""COMPUTED_VALUE"""),"SUSENAS24-LAPANGAN-SEMESTER1-PPL-UPDATING LISTING")</f>
        <v>SUSENAS24-LAPANGAN-SEMESTER1-PPL-UPDATING LISTING</v>
      </c>
      <c r="L76" s="10" t="str">
        <f ca="1">IFERROR(__xludf.DUMMYFUNCTION("""COMPUTED_VALUE"""),"Blok Sensus")</f>
        <v>Blok Sensus</v>
      </c>
      <c r="M76" s="66">
        <f ca="1">IFERROR(__xludf.DUMMYFUNCTION("""COMPUTED_VALUE"""),168000)</f>
        <v>168000</v>
      </c>
      <c r="N76" s="10">
        <f ca="1">IFERROR(__xludf.DUMMYFUNCTION("""COMPUTED_VALUE"""),1)</f>
        <v>1</v>
      </c>
      <c r="O76" s="10">
        <f ca="1">IFERROR(__xludf.DUMMYFUNCTION("""COMPUTED_VALUE"""),168000)</f>
        <v>168000</v>
      </c>
      <c r="P76" s="70">
        <f ca="1">IFERROR(__xludf.DUMMYFUNCTION("""COMPUTED_VALUE"""),162960)</f>
        <v>162960</v>
      </c>
      <c r="Q76" s="67">
        <f ca="1">IFERROR(__xludf.DUMMYFUNCTION("""COMPUTED_VALUE"""),45335)</f>
        <v>45335</v>
      </c>
    </row>
    <row r="77" spans="1:17" ht="12.5">
      <c r="A77" s="82">
        <f t="array" aca="1" ref="A77" ca="1">INDEX('Database Mitra'!$R$2:$R1001,MATCH(C77,'Database Mitra'!$B$2:$B1001,0))</f>
        <v>36460</v>
      </c>
      <c r="B77" s="10" t="e">
        <f t="shared" ca="1" si="0"/>
        <v>#NAME?</v>
      </c>
      <c r="C77" s="83">
        <f ca="1">IFERROR(__xludf.DUMMYFUNCTION("""COMPUTED_VALUE"""),610422100144)</f>
        <v>610422100144</v>
      </c>
      <c r="D77" s="10" t="str">
        <f ca="1">IFERROR(__xludf.DUMMYFUNCTION("""COMPUTED_VALUE"""),"SUSENAS24-LAPANGAN-SEMESTER1")</f>
        <v>SUSENAS24-LAPANGAN-SEMESTER1</v>
      </c>
      <c r="E77" s="10"/>
      <c r="F77" s="10">
        <f ca="1">IFERROR(__xludf.DUMMYFUNCTION("""COMPUTED_VALUE"""),1)</f>
        <v>1</v>
      </c>
      <c r="G77" s="10" t="str">
        <f ca="1">IFERROR(__xludf.DUMMYFUNCTION("""COMPUTED_VALUE"""),"Irfan Faozi Sunaryo")</f>
        <v>Irfan Faozi Sunaryo</v>
      </c>
      <c r="H77" s="10" t="str">
        <f ca="1">IFERROR(__xludf.DUMMYFUNCTION("""COMPUTED_VALUE"""),"PPL")</f>
        <v>PPL</v>
      </c>
      <c r="I77" s="10" t="str">
        <f ca="1">IFERROR(__xludf.DUMMYFUNCTION("""COMPUTED_VALUE"""),"6102122710990001")</f>
        <v>6102122710990001</v>
      </c>
      <c r="J77" s="10" t="str">
        <f ca="1">IFERROR(__xludf.DUMMYFUNCTION("""COMPUTED_VALUE"""),"UPDATING LISTING")</f>
        <v>UPDATING LISTING</v>
      </c>
      <c r="K77" s="10" t="str">
        <f ca="1">IFERROR(__xludf.DUMMYFUNCTION("""COMPUTED_VALUE"""),"SUSENAS24-LAPANGAN-SEMESTER1-PPL-UPDATING LISTING")</f>
        <v>SUSENAS24-LAPANGAN-SEMESTER1-PPL-UPDATING LISTING</v>
      </c>
      <c r="L77" s="10" t="str">
        <f ca="1">IFERROR(__xludf.DUMMYFUNCTION("""COMPUTED_VALUE"""),"Blok Sensus")</f>
        <v>Blok Sensus</v>
      </c>
      <c r="M77" s="66">
        <f ca="1">IFERROR(__xludf.DUMMYFUNCTION("""COMPUTED_VALUE"""),168000)</f>
        <v>168000</v>
      </c>
      <c r="N77" s="10">
        <f ca="1">IFERROR(__xludf.DUMMYFUNCTION("""COMPUTED_VALUE"""),1)</f>
        <v>1</v>
      </c>
      <c r="O77" s="10">
        <f ca="1">IFERROR(__xludf.DUMMYFUNCTION("""COMPUTED_VALUE"""),168000)</f>
        <v>168000</v>
      </c>
      <c r="P77" s="70">
        <f ca="1">IFERROR(__xludf.DUMMYFUNCTION("""COMPUTED_VALUE"""),162960)</f>
        <v>162960</v>
      </c>
      <c r="Q77" s="67">
        <f ca="1">IFERROR(__xludf.DUMMYFUNCTION("""COMPUTED_VALUE"""),45335)</f>
        <v>45335</v>
      </c>
    </row>
    <row r="78" spans="1:17" ht="12.5">
      <c r="A78" s="82">
        <f t="array" aca="1" ref="A78" ca="1">INDEX('Database Mitra'!$R$2:$R1001,MATCH(C78,'Database Mitra'!$B$2:$B1001,0))</f>
        <v>37002</v>
      </c>
      <c r="B78" s="10" t="e">
        <f t="shared" ca="1" si="0"/>
        <v>#NAME?</v>
      </c>
      <c r="C78" s="83">
        <f ca="1">IFERROR(__xludf.DUMMYFUNCTION("""COMPUTED_VALUE"""),610422100236)</f>
        <v>610422100236</v>
      </c>
      <c r="D78" s="10" t="str">
        <f ca="1">IFERROR(__xludf.DUMMYFUNCTION("""COMPUTED_VALUE"""),"SUSENAS24-LAPANGAN-SEMESTER1")</f>
        <v>SUSENAS24-LAPANGAN-SEMESTER1</v>
      </c>
      <c r="E78" s="10"/>
      <c r="F78" s="10">
        <f ca="1">IFERROR(__xludf.DUMMYFUNCTION("""COMPUTED_VALUE"""),1)</f>
        <v>1</v>
      </c>
      <c r="G78" s="10" t="str">
        <f ca="1">IFERROR(__xludf.DUMMYFUNCTION("""COMPUTED_VALUE"""),"Tesa")</f>
        <v>Tesa</v>
      </c>
      <c r="H78" s="10" t="str">
        <f ca="1">IFERROR(__xludf.DUMMYFUNCTION("""COMPUTED_VALUE"""),"PPL")</f>
        <v>PPL</v>
      </c>
      <c r="I78" s="10" t="str">
        <f ca="1">IFERROR(__xludf.DUMMYFUNCTION("""COMPUTED_VALUE"""),"6102174604010003")</f>
        <v>6102174604010003</v>
      </c>
      <c r="J78" s="10" t="str">
        <f ca="1">IFERROR(__xludf.DUMMYFUNCTION("""COMPUTED_VALUE"""),"UPDATING LISTING")</f>
        <v>UPDATING LISTING</v>
      </c>
      <c r="K78" s="10" t="str">
        <f ca="1">IFERROR(__xludf.DUMMYFUNCTION("""COMPUTED_VALUE"""),"SUSENAS24-LAPANGAN-SEMESTER1-PPL-UPDATING LISTING")</f>
        <v>SUSENAS24-LAPANGAN-SEMESTER1-PPL-UPDATING LISTING</v>
      </c>
      <c r="L78" s="10" t="str">
        <f ca="1">IFERROR(__xludf.DUMMYFUNCTION("""COMPUTED_VALUE"""),"Blok Sensus")</f>
        <v>Blok Sensus</v>
      </c>
      <c r="M78" s="66">
        <f ca="1">IFERROR(__xludf.DUMMYFUNCTION("""COMPUTED_VALUE"""),168000)</f>
        <v>168000</v>
      </c>
      <c r="N78" s="10">
        <f ca="1">IFERROR(__xludf.DUMMYFUNCTION("""COMPUTED_VALUE"""),2)</f>
        <v>2</v>
      </c>
      <c r="O78" s="10">
        <f ca="1">IFERROR(__xludf.DUMMYFUNCTION("""COMPUTED_VALUE"""),336000)</f>
        <v>336000</v>
      </c>
      <c r="P78" s="70">
        <f ca="1">IFERROR(__xludf.DUMMYFUNCTION("""COMPUTED_VALUE"""),325920)</f>
        <v>325920</v>
      </c>
      <c r="Q78" s="67">
        <f ca="1">IFERROR(__xludf.DUMMYFUNCTION("""COMPUTED_VALUE"""),45335)</f>
        <v>45335</v>
      </c>
    </row>
    <row r="79" spans="1:17" ht="12.5">
      <c r="A79" s="82">
        <f t="array" aca="1" ref="A79" ca="1">INDEX('Database Mitra'!$R$2:$R1001,MATCH(C79,'Database Mitra'!$B$2:$B1001,0))</f>
        <v>37531</v>
      </c>
      <c r="B79" s="10" t="e">
        <f t="shared" ca="1" si="0"/>
        <v>#NAME?</v>
      </c>
      <c r="C79" s="83">
        <f ca="1">IFERROR(__xludf.DUMMYFUNCTION("""COMPUTED_VALUE"""),610422100016)</f>
        <v>610422100016</v>
      </c>
      <c r="D79" s="10" t="str">
        <f ca="1">IFERROR(__xludf.DUMMYFUNCTION("""COMPUTED_VALUE"""),"SUSENAS24-LAPANGAN-SEMESTER1")</f>
        <v>SUSENAS24-LAPANGAN-SEMESTER1</v>
      </c>
      <c r="E79" s="10"/>
      <c r="F79" s="10">
        <f ca="1">IFERROR(__xludf.DUMMYFUNCTION("""COMPUTED_VALUE"""),1)</f>
        <v>1</v>
      </c>
      <c r="G79" s="10" t="str">
        <f ca="1">IFERROR(__xludf.DUMMYFUNCTION("""COMPUTED_VALUE"""),"Amalia Faisya")</f>
        <v>Amalia Faisya</v>
      </c>
      <c r="H79" s="10" t="str">
        <f ca="1">IFERROR(__xludf.DUMMYFUNCTION("""COMPUTED_VALUE"""),"PPL")</f>
        <v>PPL</v>
      </c>
      <c r="I79" s="10" t="str">
        <f ca="1">IFERROR(__xludf.DUMMYFUNCTION("""COMPUTED_VALUE"""),"6102124210010005")</f>
        <v>6102124210010005</v>
      </c>
      <c r="J79" s="10" t="str">
        <f ca="1">IFERROR(__xludf.DUMMYFUNCTION("""COMPUTED_VALUE"""),"UPDATING LISTING")</f>
        <v>UPDATING LISTING</v>
      </c>
      <c r="K79" s="10" t="str">
        <f ca="1">IFERROR(__xludf.DUMMYFUNCTION("""COMPUTED_VALUE"""),"SUSENAS24-LAPANGAN-SEMESTER1-PPL-UPDATING LISTING")</f>
        <v>SUSENAS24-LAPANGAN-SEMESTER1-PPL-UPDATING LISTING</v>
      </c>
      <c r="L79" s="10" t="str">
        <f ca="1">IFERROR(__xludf.DUMMYFUNCTION("""COMPUTED_VALUE"""),"Blok Sensus")</f>
        <v>Blok Sensus</v>
      </c>
      <c r="M79" s="66">
        <f ca="1">IFERROR(__xludf.DUMMYFUNCTION("""COMPUTED_VALUE"""),168000)</f>
        <v>168000</v>
      </c>
      <c r="N79" s="10">
        <f ca="1">IFERROR(__xludf.DUMMYFUNCTION("""COMPUTED_VALUE"""),2)</f>
        <v>2</v>
      </c>
      <c r="O79" s="10">
        <f ca="1">IFERROR(__xludf.DUMMYFUNCTION("""COMPUTED_VALUE"""),336000)</f>
        <v>336000</v>
      </c>
      <c r="P79" s="70">
        <f ca="1">IFERROR(__xludf.DUMMYFUNCTION("""COMPUTED_VALUE"""),325920)</f>
        <v>325920</v>
      </c>
      <c r="Q79" s="67">
        <f ca="1">IFERROR(__xludf.DUMMYFUNCTION("""COMPUTED_VALUE"""),45335)</f>
        <v>45335</v>
      </c>
    </row>
    <row r="80" spans="1:17" ht="12.5">
      <c r="A80" s="82">
        <f t="array" aca="1" ref="A80" ca="1">INDEX('Database Mitra'!$R$2:$R1001,MATCH(C80,'Database Mitra'!$B$2:$B1001,0))</f>
        <v>32158</v>
      </c>
      <c r="B80" s="10" t="e">
        <f t="shared" ca="1" si="0"/>
        <v>#NAME?</v>
      </c>
      <c r="C80" s="83">
        <f ca="1">IFERROR(__xludf.DUMMYFUNCTION("""COMPUTED_VALUE"""),610422100101)</f>
        <v>610422100101</v>
      </c>
      <c r="D80" s="10" t="str">
        <f ca="1">IFERROR(__xludf.DUMMYFUNCTION("""COMPUTED_VALUE"""),"SUSENAS24-LAPANGAN-SEMESTER1")</f>
        <v>SUSENAS24-LAPANGAN-SEMESTER1</v>
      </c>
      <c r="E80" s="10"/>
      <c r="F80" s="10">
        <f ca="1">IFERROR(__xludf.DUMMYFUNCTION("""COMPUTED_VALUE"""),1)</f>
        <v>1</v>
      </c>
      <c r="G80" s="10" t="str">
        <f ca="1">IFERROR(__xludf.DUMMYFUNCTION("""COMPUTED_VALUE"""),"Sukmawati,S.Si")</f>
        <v>Sukmawati,S.Si</v>
      </c>
      <c r="H80" s="10" t="str">
        <f ca="1">IFERROR(__xludf.DUMMYFUNCTION("""COMPUTED_VALUE"""),"PPL")</f>
        <v>PPL</v>
      </c>
      <c r="I80" s="10" t="str">
        <f ca="1">IFERROR(__xludf.DUMMYFUNCTION("""COMPUTED_VALUE"""),"3402135601880001")</f>
        <v>3402135601880001</v>
      </c>
      <c r="J80" s="10" t="str">
        <f ca="1">IFERROR(__xludf.DUMMYFUNCTION("""COMPUTED_VALUE"""),"UPDATING LISTING")</f>
        <v>UPDATING LISTING</v>
      </c>
      <c r="K80" s="10" t="str">
        <f ca="1">IFERROR(__xludf.DUMMYFUNCTION("""COMPUTED_VALUE"""),"SUSENAS24-LAPANGAN-SEMESTER1-PPL-UPDATING LISTING")</f>
        <v>SUSENAS24-LAPANGAN-SEMESTER1-PPL-UPDATING LISTING</v>
      </c>
      <c r="L80" s="10" t="str">
        <f ca="1">IFERROR(__xludf.DUMMYFUNCTION("""COMPUTED_VALUE"""),"Blok Sensus")</f>
        <v>Blok Sensus</v>
      </c>
      <c r="M80" s="66">
        <f ca="1">IFERROR(__xludf.DUMMYFUNCTION("""COMPUTED_VALUE"""),168000)</f>
        <v>168000</v>
      </c>
      <c r="N80" s="10">
        <f ca="1">IFERROR(__xludf.DUMMYFUNCTION("""COMPUTED_VALUE"""),2)</f>
        <v>2</v>
      </c>
      <c r="O80" s="10">
        <f ca="1">IFERROR(__xludf.DUMMYFUNCTION("""COMPUTED_VALUE"""),336000)</f>
        <v>336000</v>
      </c>
      <c r="P80" s="70">
        <f ca="1">IFERROR(__xludf.DUMMYFUNCTION("""COMPUTED_VALUE"""),325920)</f>
        <v>325920</v>
      </c>
      <c r="Q80" s="67">
        <f ca="1">IFERROR(__xludf.DUMMYFUNCTION("""COMPUTED_VALUE"""),45335)</f>
        <v>45335</v>
      </c>
    </row>
    <row r="81" spans="1:17" ht="12.5">
      <c r="A81" s="11">
        <f t="array" aca="1" ref="A81" ca="1">INDEX('Database Mitra'!$R$2:$R1001,MATCH(C81,'Database Mitra'!$B$2:$B1001,0))</f>
        <v>34637</v>
      </c>
      <c r="B81" s="10" t="e">
        <f t="shared" ca="1" si="0"/>
        <v>#NAME?</v>
      </c>
      <c r="C81" s="83">
        <f ca="1">IFERROR(__xludf.DUMMYFUNCTION("""COMPUTED_VALUE"""),610422100147)</f>
        <v>610422100147</v>
      </c>
      <c r="D81" s="10" t="str">
        <f ca="1">IFERROR(__xludf.DUMMYFUNCTION("""COMPUTED_VALUE"""),"SUSENAS24-LAPANGAN-SEMESTER1")</f>
        <v>SUSENAS24-LAPANGAN-SEMESTER1</v>
      </c>
      <c r="E81" s="10"/>
      <c r="F81" s="10">
        <f ca="1">IFERROR(__xludf.DUMMYFUNCTION("""COMPUTED_VALUE"""),1)</f>
        <v>1</v>
      </c>
      <c r="G81" s="10" t="str">
        <f ca="1">IFERROR(__xludf.DUMMYFUNCTION("""COMPUTED_VALUE"""),"Bella")</f>
        <v>Bella</v>
      </c>
      <c r="H81" s="10" t="str">
        <f ca="1">IFERROR(__xludf.DUMMYFUNCTION("""COMPUTED_VALUE"""),"PPL")</f>
        <v>PPL</v>
      </c>
      <c r="I81" s="10" t="str">
        <f ca="1">IFERROR(__xludf.DUMMYFUNCTION("""COMPUTED_VALUE"""),"6102067009940001")</f>
        <v>6102067009940001</v>
      </c>
      <c r="J81" s="10" t="str">
        <f ca="1">IFERROR(__xludf.DUMMYFUNCTION("""COMPUTED_VALUE"""),"UPDATING LISTING")</f>
        <v>UPDATING LISTING</v>
      </c>
      <c r="K81" s="10" t="str">
        <f ca="1">IFERROR(__xludf.DUMMYFUNCTION("""COMPUTED_VALUE"""),"SUSENAS24-LAPANGAN-SEMESTER1-PPL-UPDATING LISTING")</f>
        <v>SUSENAS24-LAPANGAN-SEMESTER1-PPL-UPDATING LISTING</v>
      </c>
      <c r="L81" s="10" t="str">
        <f ca="1">IFERROR(__xludf.DUMMYFUNCTION("""COMPUTED_VALUE"""),"Blok Sensus")</f>
        <v>Blok Sensus</v>
      </c>
      <c r="M81" s="66">
        <f ca="1">IFERROR(__xludf.DUMMYFUNCTION("""COMPUTED_VALUE"""),168000)</f>
        <v>168000</v>
      </c>
      <c r="N81" s="10">
        <f ca="1">IFERROR(__xludf.DUMMYFUNCTION("""COMPUTED_VALUE"""),2)</f>
        <v>2</v>
      </c>
      <c r="O81" s="10">
        <f ca="1">IFERROR(__xludf.DUMMYFUNCTION("""COMPUTED_VALUE"""),336000)</f>
        <v>336000</v>
      </c>
      <c r="P81" s="70">
        <f ca="1">IFERROR(__xludf.DUMMYFUNCTION("""COMPUTED_VALUE"""),325920)</f>
        <v>325920</v>
      </c>
      <c r="Q81" s="67">
        <f ca="1">IFERROR(__xludf.DUMMYFUNCTION("""COMPUTED_VALUE"""),45335)</f>
        <v>45335</v>
      </c>
    </row>
    <row r="82" spans="1:17" ht="12.5">
      <c r="A82" s="82">
        <f t="array" aca="1" ref="A82" ca="1">INDEX('Database Mitra'!$R$2:$R1001,MATCH(C82,'Database Mitra'!$B$2:$B1001,0))</f>
        <v>31775</v>
      </c>
      <c r="B82" s="10" t="e">
        <f t="shared" ca="1" si="0"/>
        <v>#NAME?</v>
      </c>
      <c r="C82" s="83">
        <f ca="1">IFERROR(__xludf.DUMMYFUNCTION("""COMPUTED_VALUE"""),610422050008)</f>
        <v>610422050008</v>
      </c>
      <c r="D82" s="10" t="str">
        <f ca="1">IFERROR(__xludf.DUMMYFUNCTION("""COMPUTED_VALUE"""),"SUSENAS24-LAPANGAN-SEMESTER1")</f>
        <v>SUSENAS24-LAPANGAN-SEMESTER1</v>
      </c>
      <c r="E82" s="10"/>
      <c r="F82" s="10">
        <f ca="1">IFERROR(__xludf.DUMMYFUNCTION("""COMPUTED_VALUE"""),1)</f>
        <v>1</v>
      </c>
      <c r="G82" s="10" t="str">
        <f ca="1">IFERROR(__xludf.DUMMYFUNCTION("""COMPUTED_VALUE"""),"Desi Natalia")</f>
        <v>Desi Natalia</v>
      </c>
      <c r="H82" s="10" t="str">
        <f ca="1">IFERROR(__xludf.DUMMYFUNCTION("""COMPUTED_VALUE"""),"PPL")</f>
        <v>PPL</v>
      </c>
      <c r="I82" s="10" t="str">
        <f ca="1">IFERROR(__xludf.DUMMYFUNCTION("""COMPUTED_VALUE"""),"6102066912860001")</f>
        <v>6102066912860001</v>
      </c>
      <c r="J82" s="10" t="str">
        <f ca="1">IFERROR(__xludf.DUMMYFUNCTION("""COMPUTED_VALUE"""),"UPDATING LISTING")</f>
        <v>UPDATING LISTING</v>
      </c>
      <c r="K82" s="10" t="str">
        <f ca="1">IFERROR(__xludf.DUMMYFUNCTION("""COMPUTED_VALUE"""),"SUSENAS24-LAPANGAN-SEMESTER1-PPL-UPDATING LISTING")</f>
        <v>SUSENAS24-LAPANGAN-SEMESTER1-PPL-UPDATING LISTING</v>
      </c>
      <c r="L82" s="10" t="str">
        <f ca="1">IFERROR(__xludf.DUMMYFUNCTION("""COMPUTED_VALUE"""),"Blok Sensus")</f>
        <v>Blok Sensus</v>
      </c>
      <c r="M82" s="66">
        <f ca="1">IFERROR(__xludf.DUMMYFUNCTION("""COMPUTED_VALUE"""),168000)</f>
        <v>168000</v>
      </c>
      <c r="N82" s="10">
        <f ca="1">IFERROR(__xludf.DUMMYFUNCTION("""COMPUTED_VALUE"""),2)</f>
        <v>2</v>
      </c>
      <c r="O82" s="10">
        <f ca="1">IFERROR(__xludf.DUMMYFUNCTION("""COMPUTED_VALUE"""),336000)</f>
        <v>336000</v>
      </c>
      <c r="P82" s="70">
        <f ca="1">IFERROR(__xludf.DUMMYFUNCTION("""COMPUTED_VALUE"""),325920)</f>
        <v>325920</v>
      </c>
      <c r="Q82" s="67">
        <f ca="1">IFERROR(__xludf.DUMMYFUNCTION("""COMPUTED_VALUE"""),45335)</f>
        <v>45335</v>
      </c>
    </row>
    <row r="83" spans="1:17" ht="12.5">
      <c r="A83" s="82">
        <f t="array" aca="1" ref="A83" ca="1">INDEX('Database Mitra'!$R$2:$R1001,MATCH(C83,'Database Mitra'!$B$2:$B1001,0))</f>
        <v>31275</v>
      </c>
      <c r="B83" s="10" t="e">
        <f t="shared" ca="1" si="0"/>
        <v>#NAME?</v>
      </c>
      <c r="C83" s="83">
        <f ca="1">IFERROR(__xludf.DUMMYFUNCTION("""COMPUTED_VALUE"""),610422100085)</f>
        <v>610422100085</v>
      </c>
      <c r="D83" s="10" t="str">
        <f ca="1">IFERROR(__xludf.DUMMYFUNCTION("""COMPUTED_VALUE"""),"SUSENAS24-LAPANGAN-SEMESTER1")</f>
        <v>SUSENAS24-LAPANGAN-SEMESTER1</v>
      </c>
      <c r="E83" s="10"/>
      <c r="F83" s="10">
        <f ca="1">IFERROR(__xludf.DUMMYFUNCTION("""COMPUTED_VALUE"""),1)</f>
        <v>1</v>
      </c>
      <c r="G83" s="10" t="str">
        <f ca="1">IFERROR(__xludf.DUMMYFUNCTION("""COMPUTED_VALUE"""),"Lina Agustin Widya Siwi")</f>
        <v>Lina Agustin Widya Siwi</v>
      </c>
      <c r="H83" s="10" t="str">
        <f ca="1">IFERROR(__xludf.DUMMYFUNCTION("""COMPUTED_VALUE"""),"PPL")</f>
        <v>PPL</v>
      </c>
      <c r="I83" s="10" t="str">
        <f ca="1">IFERROR(__xludf.DUMMYFUNCTION("""COMPUTED_VALUE"""),"3301225608850001")</f>
        <v>3301225608850001</v>
      </c>
      <c r="J83" s="10" t="str">
        <f ca="1">IFERROR(__xludf.DUMMYFUNCTION("""COMPUTED_VALUE"""),"UPDATING LISTING")</f>
        <v>UPDATING LISTING</v>
      </c>
      <c r="K83" s="10" t="str">
        <f ca="1">IFERROR(__xludf.DUMMYFUNCTION("""COMPUTED_VALUE"""),"SUSENAS24-LAPANGAN-SEMESTER1-PPL-UPDATING LISTING")</f>
        <v>SUSENAS24-LAPANGAN-SEMESTER1-PPL-UPDATING LISTING</v>
      </c>
      <c r="L83" s="10" t="str">
        <f ca="1">IFERROR(__xludf.DUMMYFUNCTION("""COMPUTED_VALUE"""),"Blok Sensus")</f>
        <v>Blok Sensus</v>
      </c>
      <c r="M83" s="66">
        <f ca="1">IFERROR(__xludf.DUMMYFUNCTION("""COMPUTED_VALUE"""),168000)</f>
        <v>168000</v>
      </c>
      <c r="N83" s="10">
        <f ca="1">IFERROR(__xludf.DUMMYFUNCTION("""COMPUTED_VALUE"""),1)</f>
        <v>1</v>
      </c>
      <c r="O83" s="10">
        <f ca="1">IFERROR(__xludf.DUMMYFUNCTION("""COMPUTED_VALUE"""),168000)</f>
        <v>168000</v>
      </c>
      <c r="P83" s="70">
        <f ca="1">IFERROR(__xludf.DUMMYFUNCTION("""COMPUTED_VALUE"""),162960)</f>
        <v>162960</v>
      </c>
      <c r="Q83" s="67">
        <f ca="1">IFERROR(__xludf.DUMMYFUNCTION("""COMPUTED_VALUE"""),45335)</f>
        <v>45335</v>
      </c>
    </row>
    <row r="84" spans="1:17" ht="12.5">
      <c r="A84" s="82">
        <f t="array" aca="1" ref="A84" ca="1">INDEX('Database Mitra'!$R$2:$R1001,MATCH(C84,'Database Mitra'!$B$2:$B1001,0))</f>
        <v>34977</v>
      </c>
      <c r="B84" s="10" t="e">
        <f t="shared" ca="1" si="0"/>
        <v>#NAME?</v>
      </c>
      <c r="C84" s="83">
        <f ca="1">IFERROR(__xludf.DUMMYFUNCTION("""COMPUTED_VALUE"""),610422060001)</f>
        <v>610422060001</v>
      </c>
      <c r="D84" s="10" t="str">
        <f ca="1">IFERROR(__xludf.DUMMYFUNCTION("""COMPUTED_VALUE"""),"SUSENAS24-LAPANGAN-SEMESTER1")</f>
        <v>SUSENAS24-LAPANGAN-SEMESTER1</v>
      </c>
      <c r="E84" s="10"/>
      <c r="F84" s="10">
        <f ca="1">IFERROR(__xludf.DUMMYFUNCTION("""COMPUTED_VALUE"""),1)</f>
        <v>1</v>
      </c>
      <c r="G84" s="10" t="str">
        <f ca="1">IFERROR(__xludf.DUMMYFUNCTION("""COMPUTED_VALUE"""),"Elman")</f>
        <v>Elman</v>
      </c>
      <c r="H84" s="10" t="str">
        <f ca="1">IFERROR(__xludf.DUMMYFUNCTION("""COMPUTED_VALUE"""),"PPL")</f>
        <v>PPL</v>
      </c>
      <c r="I84" s="10" t="str">
        <f ca="1">IFERROR(__xludf.DUMMYFUNCTION("""COMPUTED_VALUE"""),"6102120510950002")</f>
        <v>6102120510950002</v>
      </c>
      <c r="J84" s="10" t="str">
        <f ca="1">IFERROR(__xludf.DUMMYFUNCTION("""COMPUTED_VALUE"""),"UPDATING LISTING")</f>
        <v>UPDATING LISTING</v>
      </c>
      <c r="K84" s="10" t="str">
        <f ca="1">IFERROR(__xludf.DUMMYFUNCTION("""COMPUTED_VALUE"""),"SUSENAS24-LAPANGAN-SEMESTER1-PPL-UPDATING LISTING")</f>
        <v>SUSENAS24-LAPANGAN-SEMESTER1-PPL-UPDATING LISTING</v>
      </c>
      <c r="L84" s="10" t="str">
        <f ca="1">IFERROR(__xludf.DUMMYFUNCTION("""COMPUTED_VALUE"""),"Blok Sensus")</f>
        <v>Blok Sensus</v>
      </c>
      <c r="M84" s="66">
        <f ca="1">IFERROR(__xludf.DUMMYFUNCTION("""COMPUTED_VALUE"""),168000)</f>
        <v>168000</v>
      </c>
      <c r="N84" s="10">
        <f ca="1">IFERROR(__xludf.DUMMYFUNCTION("""COMPUTED_VALUE"""),2)</f>
        <v>2</v>
      </c>
      <c r="O84" s="10">
        <f ca="1">IFERROR(__xludf.DUMMYFUNCTION("""COMPUTED_VALUE"""),336000)</f>
        <v>336000</v>
      </c>
      <c r="P84" s="70">
        <f ca="1">IFERROR(__xludf.DUMMYFUNCTION("""COMPUTED_VALUE"""),325920)</f>
        <v>325920</v>
      </c>
      <c r="Q84" s="67">
        <f ca="1">IFERROR(__xludf.DUMMYFUNCTION("""COMPUTED_VALUE"""),45335)</f>
        <v>45335</v>
      </c>
    </row>
    <row r="85" spans="1:17" ht="12.5">
      <c r="A85" s="82">
        <f t="array" aca="1" ref="A85" ca="1">INDEX('Database Mitra'!$R$2:$R1001,MATCH(C85,'Database Mitra'!$B$2:$B1001,0))</f>
        <v>30507</v>
      </c>
      <c r="B85" s="10" t="e">
        <f t="shared" ca="1" si="0"/>
        <v>#NAME?</v>
      </c>
      <c r="C85" s="83">
        <f ca="1">IFERROR(__xludf.DUMMYFUNCTION("""COMPUTED_VALUE"""),610422100001)</f>
        <v>610422100001</v>
      </c>
      <c r="D85" s="10" t="str">
        <f ca="1">IFERROR(__xludf.DUMMYFUNCTION("""COMPUTED_VALUE"""),"SUSENAS24-LAPANGAN-SEMESTER1")</f>
        <v>SUSENAS24-LAPANGAN-SEMESTER1</v>
      </c>
      <c r="E85" s="10"/>
      <c r="F85" s="10">
        <f ca="1">IFERROR(__xludf.DUMMYFUNCTION("""COMPUTED_VALUE"""),1)</f>
        <v>1</v>
      </c>
      <c r="G85" s="10" t="str">
        <f ca="1">IFERROR(__xludf.DUMMYFUNCTION("""COMPUTED_VALUE"""),"Fatmawati,S.Hut")</f>
        <v>Fatmawati,S.Hut</v>
      </c>
      <c r="H85" s="10" t="str">
        <f ca="1">IFERROR(__xludf.DUMMYFUNCTION("""COMPUTED_VALUE"""),"PPL")</f>
        <v>PPL</v>
      </c>
      <c r="I85" s="10" t="str">
        <f ca="1">IFERROR(__xludf.DUMMYFUNCTION("""COMPUTED_VALUE"""),"6102075007830003")</f>
        <v>6102075007830003</v>
      </c>
      <c r="J85" s="10" t="str">
        <f ca="1">IFERROR(__xludf.DUMMYFUNCTION("""COMPUTED_VALUE"""),"UPDATING LISTING")</f>
        <v>UPDATING LISTING</v>
      </c>
      <c r="K85" s="10" t="str">
        <f ca="1">IFERROR(__xludf.DUMMYFUNCTION("""COMPUTED_VALUE"""),"SUSENAS24-LAPANGAN-SEMESTER1-PPL-UPDATING LISTING")</f>
        <v>SUSENAS24-LAPANGAN-SEMESTER1-PPL-UPDATING LISTING</v>
      </c>
      <c r="L85" s="10" t="str">
        <f ca="1">IFERROR(__xludf.DUMMYFUNCTION("""COMPUTED_VALUE"""),"Blok Sensus")</f>
        <v>Blok Sensus</v>
      </c>
      <c r="M85" s="66">
        <f ca="1">IFERROR(__xludf.DUMMYFUNCTION("""COMPUTED_VALUE"""),168000)</f>
        <v>168000</v>
      </c>
      <c r="N85" s="10">
        <f ca="1">IFERROR(__xludf.DUMMYFUNCTION("""COMPUTED_VALUE"""),2)</f>
        <v>2</v>
      </c>
      <c r="O85" s="10">
        <f ca="1">IFERROR(__xludf.DUMMYFUNCTION("""COMPUTED_VALUE"""),336000)</f>
        <v>336000</v>
      </c>
      <c r="P85" s="70">
        <f ca="1">IFERROR(__xludf.DUMMYFUNCTION("""COMPUTED_VALUE"""),325920)</f>
        <v>325920</v>
      </c>
      <c r="Q85" s="67">
        <f ca="1">IFERROR(__xludf.DUMMYFUNCTION("""COMPUTED_VALUE"""),45335)</f>
        <v>45335</v>
      </c>
    </row>
    <row r="86" spans="1:17" ht="12.5">
      <c r="A86" s="82">
        <f t="array" aca="1" ref="A86" ca="1">INDEX('Database Mitra'!$R$2:$R1001,MATCH(C86,'Database Mitra'!$B$2:$B1001,0))</f>
        <v>32849</v>
      </c>
      <c r="B86" s="10" t="e">
        <f t="shared" ca="1" si="0"/>
        <v>#NAME?</v>
      </c>
      <c r="C86" s="83">
        <f ca="1">IFERROR(__xludf.DUMMYFUNCTION("""COMPUTED_VALUE"""),610422040034)</f>
        <v>610422040034</v>
      </c>
      <c r="D86" s="10" t="str">
        <f ca="1">IFERROR(__xludf.DUMMYFUNCTION("""COMPUTED_VALUE"""),"SUSENAS24-LAPANGAN-SEMESTER1")</f>
        <v>SUSENAS24-LAPANGAN-SEMESTER1</v>
      </c>
      <c r="E86" s="10"/>
      <c r="F86" s="10">
        <f ca="1">IFERROR(__xludf.DUMMYFUNCTION("""COMPUTED_VALUE"""),1)</f>
        <v>1</v>
      </c>
      <c r="G86" s="10" t="str">
        <f ca="1">IFERROR(__xludf.DUMMYFUNCTION("""COMPUTED_VALUE"""),"Nelly Nalita")</f>
        <v>Nelly Nalita</v>
      </c>
      <c r="H86" s="10" t="str">
        <f ca="1">IFERROR(__xludf.DUMMYFUNCTION("""COMPUTED_VALUE"""),"PPL")</f>
        <v>PPL</v>
      </c>
      <c r="I86" s="10" t="str">
        <f ca="1">IFERROR(__xludf.DUMMYFUNCTION("""COMPUTED_VALUE"""),"6102014712890004")</f>
        <v>6102014712890004</v>
      </c>
      <c r="J86" s="10" t="str">
        <f ca="1">IFERROR(__xludf.DUMMYFUNCTION("""COMPUTED_VALUE"""),"UPDATING LISTING")</f>
        <v>UPDATING LISTING</v>
      </c>
      <c r="K86" s="10" t="str">
        <f ca="1">IFERROR(__xludf.DUMMYFUNCTION("""COMPUTED_VALUE"""),"SUSENAS24-LAPANGAN-SEMESTER1-PPL-UPDATING LISTING")</f>
        <v>SUSENAS24-LAPANGAN-SEMESTER1-PPL-UPDATING LISTING</v>
      </c>
      <c r="L86" s="10" t="str">
        <f ca="1">IFERROR(__xludf.DUMMYFUNCTION("""COMPUTED_VALUE"""),"Blok Sensus")</f>
        <v>Blok Sensus</v>
      </c>
      <c r="M86" s="66">
        <f ca="1">IFERROR(__xludf.DUMMYFUNCTION("""COMPUTED_VALUE"""),168000)</f>
        <v>168000</v>
      </c>
      <c r="N86" s="10">
        <f ca="1">IFERROR(__xludf.DUMMYFUNCTION("""COMPUTED_VALUE"""),2)</f>
        <v>2</v>
      </c>
      <c r="O86" s="10">
        <f ca="1">IFERROR(__xludf.DUMMYFUNCTION("""COMPUTED_VALUE"""),336000)</f>
        <v>336000</v>
      </c>
      <c r="P86" s="70">
        <f ca="1">IFERROR(__xludf.DUMMYFUNCTION("""COMPUTED_VALUE"""),325920)</f>
        <v>325920</v>
      </c>
      <c r="Q86" s="67">
        <f ca="1">IFERROR(__xludf.DUMMYFUNCTION("""COMPUTED_VALUE"""),45335)</f>
        <v>45335</v>
      </c>
    </row>
    <row r="87" spans="1:17" ht="12.5">
      <c r="A87" s="82">
        <f t="array" aca="1" ref="A87" ca="1">INDEX('Database Mitra'!$R$2:$R1001,MATCH(C87,'Database Mitra'!$B$2:$B1001,0))</f>
        <v>34541</v>
      </c>
      <c r="B87" s="10" t="e">
        <f t="shared" ca="1" si="0"/>
        <v>#NAME?</v>
      </c>
      <c r="C87" s="83">
        <f ca="1">IFERROR(__xludf.DUMMYFUNCTION("""COMPUTED_VALUE"""),610422040058)</f>
        <v>610422040058</v>
      </c>
      <c r="D87" s="10" t="str">
        <f ca="1">IFERROR(__xludf.DUMMYFUNCTION("""COMPUTED_VALUE"""),"SUSENAS24-LAPANGAN-SEMESTER1")</f>
        <v>SUSENAS24-LAPANGAN-SEMESTER1</v>
      </c>
      <c r="E87" s="10"/>
      <c r="F87" s="10">
        <f ca="1">IFERROR(__xludf.DUMMYFUNCTION("""COMPUTED_VALUE"""),1)</f>
        <v>1</v>
      </c>
      <c r="G87" s="10" t="str">
        <f ca="1">IFERROR(__xludf.DUMMYFUNCTION("""COMPUTED_VALUE"""),"Jamaluddin, Sp")</f>
        <v>Jamaluddin, Sp</v>
      </c>
      <c r="H87" s="10" t="str">
        <f ca="1">IFERROR(__xludf.DUMMYFUNCTION("""COMPUTED_VALUE"""),"PPL")</f>
        <v>PPL</v>
      </c>
      <c r="I87" s="10" t="str">
        <f ca="1">IFERROR(__xludf.DUMMYFUNCTION("""COMPUTED_VALUE"""),"6102152607940002")</f>
        <v>6102152607940002</v>
      </c>
      <c r="J87" s="10" t="str">
        <f ca="1">IFERROR(__xludf.DUMMYFUNCTION("""COMPUTED_VALUE"""),"UPDATING LISTING")</f>
        <v>UPDATING LISTING</v>
      </c>
      <c r="K87" s="10" t="str">
        <f ca="1">IFERROR(__xludf.DUMMYFUNCTION("""COMPUTED_VALUE"""),"SUSENAS24-LAPANGAN-SEMESTER1-PPL-UPDATING LISTING")</f>
        <v>SUSENAS24-LAPANGAN-SEMESTER1-PPL-UPDATING LISTING</v>
      </c>
      <c r="L87" s="10" t="str">
        <f ca="1">IFERROR(__xludf.DUMMYFUNCTION("""COMPUTED_VALUE"""),"Blok Sensus")</f>
        <v>Blok Sensus</v>
      </c>
      <c r="M87" s="66">
        <f ca="1">IFERROR(__xludf.DUMMYFUNCTION("""COMPUTED_VALUE"""),168000)</f>
        <v>168000</v>
      </c>
      <c r="N87" s="10">
        <f ca="1">IFERROR(__xludf.DUMMYFUNCTION("""COMPUTED_VALUE"""),2)</f>
        <v>2</v>
      </c>
      <c r="O87" s="10">
        <f ca="1">IFERROR(__xludf.DUMMYFUNCTION("""COMPUTED_VALUE"""),336000)</f>
        <v>336000</v>
      </c>
      <c r="P87" s="70">
        <f ca="1">IFERROR(__xludf.DUMMYFUNCTION("""COMPUTED_VALUE"""),325920)</f>
        <v>325920</v>
      </c>
      <c r="Q87" s="67">
        <f ca="1">IFERROR(__xludf.DUMMYFUNCTION("""COMPUTED_VALUE"""),45335)</f>
        <v>45335</v>
      </c>
    </row>
    <row r="88" spans="1:17" ht="12.5">
      <c r="A88" s="82">
        <f t="array" aca="1" ref="A88" ca="1">INDEX('Database Mitra'!$R$2:$R1001,MATCH(C88,'Database Mitra'!$B$2:$B1001,0))</f>
        <v>28920</v>
      </c>
      <c r="B88" s="10" t="e">
        <f t="shared" ca="1" si="0"/>
        <v>#NAME?</v>
      </c>
      <c r="C88" s="83">
        <f ca="1">IFERROR(__xludf.DUMMYFUNCTION("""COMPUTED_VALUE"""),610422040052)</f>
        <v>610422040052</v>
      </c>
      <c r="D88" s="10" t="str">
        <f ca="1">IFERROR(__xludf.DUMMYFUNCTION("""COMPUTED_VALUE"""),"SUSENAS24-LAPANGAN-SEMESTER1")</f>
        <v>SUSENAS24-LAPANGAN-SEMESTER1</v>
      </c>
      <c r="E88" s="10"/>
      <c r="F88" s="10">
        <f ca="1">IFERROR(__xludf.DUMMYFUNCTION("""COMPUTED_VALUE"""),1)</f>
        <v>1</v>
      </c>
      <c r="G88" s="10" t="str">
        <f ca="1">IFERROR(__xludf.DUMMYFUNCTION("""COMPUTED_VALUE"""),"Yusimianto")</f>
        <v>Yusimianto</v>
      </c>
      <c r="H88" s="10" t="str">
        <f ca="1">IFERROR(__xludf.DUMMYFUNCTION("""COMPUTED_VALUE"""),"PPL")</f>
        <v>PPL</v>
      </c>
      <c r="I88" s="10" t="str">
        <f ca="1">IFERROR(__xludf.DUMMYFUNCTION("""COMPUTED_VALUE"""),"6102160603790001")</f>
        <v>6102160603790001</v>
      </c>
      <c r="J88" s="10" t="str">
        <f ca="1">IFERROR(__xludf.DUMMYFUNCTION("""COMPUTED_VALUE"""),"UPDATING LISTING")</f>
        <v>UPDATING LISTING</v>
      </c>
      <c r="K88" s="10" t="str">
        <f ca="1">IFERROR(__xludf.DUMMYFUNCTION("""COMPUTED_VALUE"""),"SUSENAS24-LAPANGAN-SEMESTER1-PPL-UPDATING LISTING")</f>
        <v>SUSENAS24-LAPANGAN-SEMESTER1-PPL-UPDATING LISTING</v>
      </c>
      <c r="L88" s="10" t="str">
        <f ca="1">IFERROR(__xludf.DUMMYFUNCTION("""COMPUTED_VALUE"""),"Blok Sensus")</f>
        <v>Blok Sensus</v>
      </c>
      <c r="M88" s="66">
        <f ca="1">IFERROR(__xludf.DUMMYFUNCTION("""COMPUTED_VALUE"""),168000)</f>
        <v>168000</v>
      </c>
      <c r="N88" s="10">
        <f ca="1">IFERROR(__xludf.DUMMYFUNCTION("""COMPUTED_VALUE"""),1)</f>
        <v>1</v>
      </c>
      <c r="O88" s="10">
        <f ca="1">IFERROR(__xludf.DUMMYFUNCTION("""COMPUTED_VALUE"""),168000)</f>
        <v>168000</v>
      </c>
      <c r="P88" s="70">
        <f ca="1">IFERROR(__xludf.DUMMYFUNCTION("""COMPUTED_VALUE"""),162960)</f>
        <v>162960</v>
      </c>
      <c r="Q88" s="67">
        <f ca="1">IFERROR(__xludf.DUMMYFUNCTION("""COMPUTED_VALUE"""),45335)</f>
        <v>45335</v>
      </c>
    </row>
    <row r="89" spans="1:17" ht="12.5">
      <c r="A89" s="11">
        <f t="array" aca="1" ref="A89" ca="1">INDEX('Database Mitra'!$R$2:$R1001,MATCH(C89,'Database Mitra'!$B$2:$B1001,0))</f>
        <v>31777</v>
      </c>
      <c r="B89" s="10" t="e">
        <f t="shared" ca="1" si="0"/>
        <v>#NAME?</v>
      </c>
      <c r="C89" s="83">
        <f ca="1">IFERROR(__xludf.DUMMYFUNCTION("""COMPUTED_VALUE"""),610422040061)</f>
        <v>610422040061</v>
      </c>
      <c r="D89" s="10" t="str">
        <f ca="1">IFERROR(__xludf.DUMMYFUNCTION("""COMPUTED_VALUE"""),"SUSENAS24-LAPANGAN-SEMESTER1")</f>
        <v>SUSENAS24-LAPANGAN-SEMESTER1</v>
      </c>
      <c r="E89" s="10"/>
      <c r="F89" s="10">
        <f ca="1">IFERROR(__xludf.DUMMYFUNCTION("""COMPUTED_VALUE"""),1)</f>
        <v>1</v>
      </c>
      <c r="G89" s="10" t="str">
        <f ca="1">IFERROR(__xludf.DUMMYFUNCTION("""COMPUTED_VALUE"""),"Sabani")</f>
        <v>Sabani</v>
      </c>
      <c r="H89" s="10" t="str">
        <f ca="1">IFERROR(__xludf.DUMMYFUNCTION("""COMPUTED_VALUE"""),"PPL")</f>
        <v>PPL</v>
      </c>
      <c r="I89" s="10" t="str">
        <f ca="1">IFERROR(__xludf.DUMMYFUNCTION("""COMPUTED_VALUE"""),"6102153112860003")</f>
        <v>6102153112860003</v>
      </c>
      <c r="J89" s="10" t="str">
        <f ca="1">IFERROR(__xludf.DUMMYFUNCTION("""COMPUTED_VALUE"""),"UPDATING LISTING")</f>
        <v>UPDATING LISTING</v>
      </c>
      <c r="K89" s="10" t="str">
        <f ca="1">IFERROR(__xludf.DUMMYFUNCTION("""COMPUTED_VALUE"""),"SUSENAS24-LAPANGAN-SEMESTER1-PPL-UPDATING LISTING")</f>
        <v>SUSENAS24-LAPANGAN-SEMESTER1-PPL-UPDATING LISTING</v>
      </c>
      <c r="L89" s="10" t="str">
        <f ca="1">IFERROR(__xludf.DUMMYFUNCTION("""COMPUTED_VALUE"""),"Blok Sensus")</f>
        <v>Blok Sensus</v>
      </c>
      <c r="M89" s="66">
        <f ca="1">IFERROR(__xludf.DUMMYFUNCTION("""COMPUTED_VALUE"""),168000)</f>
        <v>168000</v>
      </c>
      <c r="N89" s="10">
        <f ca="1">IFERROR(__xludf.DUMMYFUNCTION("""COMPUTED_VALUE"""),1)</f>
        <v>1</v>
      </c>
      <c r="O89" s="10">
        <f ca="1">IFERROR(__xludf.DUMMYFUNCTION("""COMPUTED_VALUE"""),168000)</f>
        <v>168000</v>
      </c>
      <c r="P89" s="70">
        <f ca="1">IFERROR(__xludf.DUMMYFUNCTION("""COMPUTED_VALUE"""),162960)</f>
        <v>162960</v>
      </c>
      <c r="Q89" s="67">
        <f ca="1">IFERROR(__xludf.DUMMYFUNCTION("""COMPUTED_VALUE"""),45335)</f>
        <v>45335</v>
      </c>
    </row>
    <row r="90" spans="1:17" ht="12.5">
      <c r="A90" s="82">
        <f t="array" aca="1" ref="A90" ca="1">INDEX('Database Mitra'!$R$2:$R1001,MATCH(C90,'Database Mitra'!$B$2:$B1001,0))</f>
        <v>37343</v>
      </c>
      <c r="B90" s="10" t="e">
        <f t="shared" ca="1" si="0"/>
        <v>#NAME?</v>
      </c>
      <c r="C90" s="83">
        <f ca="1">IFERROR(__xludf.DUMMYFUNCTION("""COMPUTED_VALUE"""),610422040006)</f>
        <v>610422040006</v>
      </c>
      <c r="D90" s="10" t="str">
        <f ca="1">IFERROR(__xludf.DUMMYFUNCTION("""COMPUTED_VALUE"""),"SUSENAS24-LAPANGAN-SEMESTER1")</f>
        <v>SUSENAS24-LAPANGAN-SEMESTER1</v>
      </c>
      <c r="E90" s="10"/>
      <c r="F90" s="10">
        <f ca="1">IFERROR(__xludf.DUMMYFUNCTION("""COMPUTED_VALUE"""),1)</f>
        <v>1</v>
      </c>
      <c r="G90" s="10" t="str">
        <f ca="1">IFERROR(__xludf.DUMMYFUNCTION("""COMPUTED_VALUE"""),"Ridha Nur Mitha")</f>
        <v>Ridha Nur Mitha</v>
      </c>
      <c r="H90" s="10" t="str">
        <f ca="1">IFERROR(__xludf.DUMMYFUNCTION("""COMPUTED_VALUE"""),"PPL")</f>
        <v>PPL</v>
      </c>
      <c r="I90" s="10" t="str">
        <f ca="1">IFERROR(__xludf.DUMMYFUNCTION("""COMPUTED_VALUE"""),"6102186803020002")</f>
        <v>6102186803020002</v>
      </c>
      <c r="J90" s="10" t="str">
        <f ca="1">IFERROR(__xludf.DUMMYFUNCTION("""COMPUTED_VALUE"""),"UPDATING LISTING")</f>
        <v>UPDATING LISTING</v>
      </c>
      <c r="K90" s="10" t="str">
        <f ca="1">IFERROR(__xludf.DUMMYFUNCTION("""COMPUTED_VALUE"""),"SUSENAS24-LAPANGAN-SEMESTER1-PPL-UPDATING LISTING")</f>
        <v>SUSENAS24-LAPANGAN-SEMESTER1-PPL-UPDATING LISTING</v>
      </c>
      <c r="L90" s="10" t="str">
        <f ca="1">IFERROR(__xludf.DUMMYFUNCTION("""COMPUTED_VALUE"""),"Blok Sensus")</f>
        <v>Blok Sensus</v>
      </c>
      <c r="M90" s="66">
        <f ca="1">IFERROR(__xludf.DUMMYFUNCTION("""COMPUTED_VALUE"""),168000)</f>
        <v>168000</v>
      </c>
      <c r="N90" s="10">
        <f ca="1">IFERROR(__xludf.DUMMYFUNCTION("""COMPUTED_VALUE"""),2)</f>
        <v>2</v>
      </c>
      <c r="O90" s="10">
        <f ca="1">IFERROR(__xludf.DUMMYFUNCTION("""COMPUTED_VALUE"""),336000)</f>
        <v>336000</v>
      </c>
      <c r="P90" s="70">
        <f ca="1">IFERROR(__xludf.DUMMYFUNCTION("""COMPUTED_VALUE"""),325920)</f>
        <v>325920</v>
      </c>
      <c r="Q90" s="67">
        <f ca="1">IFERROR(__xludf.DUMMYFUNCTION("""COMPUTED_VALUE"""),45335)</f>
        <v>45335</v>
      </c>
    </row>
    <row r="91" spans="1:17" ht="12.5">
      <c r="A91" s="11">
        <f t="array" aca="1" ref="A91" ca="1">INDEX('Database Mitra'!$R$2:$R1001,MATCH(C91,'Database Mitra'!$B$2:$B1001,0))</f>
        <v>34792</v>
      </c>
      <c r="B91" s="10" t="e">
        <f t="shared" ca="1" si="0"/>
        <v>#NAME?</v>
      </c>
      <c r="C91" s="83">
        <f ca="1">IFERROR(__xludf.DUMMYFUNCTION("""COMPUTED_VALUE"""),610422040028)</f>
        <v>610422040028</v>
      </c>
      <c r="D91" s="10" t="str">
        <f ca="1">IFERROR(__xludf.DUMMYFUNCTION("""COMPUTED_VALUE"""),"SUSENAS24-LAPANGAN-SEMESTER1")</f>
        <v>SUSENAS24-LAPANGAN-SEMESTER1</v>
      </c>
      <c r="E91" s="10"/>
      <c r="F91" s="10">
        <f ca="1">IFERROR(__xludf.DUMMYFUNCTION("""COMPUTED_VALUE"""),1)</f>
        <v>1</v>
      </c>
      <c r="G91" s="10" t="str">
        <f ca="1">IFERROR(__xludf.DUMMYFUNCTION("""COMPUTED_VALUE"""),"Hafizh")</f>
        <v>Hafizh</v>
      </c>
      <c r="H91" s="10" t="str">
        <f ca="1">IFERROR(__xludf.DUMMYFUNCTION("""COMPUTED_VALUE"""),"PPL")</f>
        <v>PPL</v>
      </c>
      <c r="I91" s="10" t="str">
        <f ca="1">IFERROR(__xludf.DUMMYFUNCTION("""COMPUTED_VALUE"""),"6102184304950003")</f>
        <v>6102184304950003</v>
      </c>
      <c r="J91" s="10" t="str">
        <f ca="1">IFERROR(__xludf.DUMMYFUNCTION("""COMPUTED_VALUE"""),"UPDATING LISTING")</f>
        <v>UPDATING LISTING</v>
      </c>
      <c r="K91" s="10" t="str">
        <f ca="1">IFERROR(__xludf.DUMMYFUNCTION("""COMPUTED_VALUE"""),"SUSENAS24-LAPANGAN-SEMESTER1-PPL-UPDATING LISTING")</f>
        <v>SUSENAS24-LAPANGAN-SEMESTER1-PPL-UPDATING LISTING</v>
      </c>
      <c r="L91" s="10" t="str">
        <f ca="1">IFERROR(__xludf.DUMMYFUNCTION("""COMPUTED_VALUE"""),"Blok Sensus")</f>
        <v>Blok Sensus</v>
      </c>
      <c r="M91" s="66">
        <f ca="1">IFERROR(__xludf.DUMMYFUNCTION("""COMPUTED_VALUE"""),168000)</f>
        <v>168000</v>
      </c>
      <c r="N91" s="10">
        <f ca="1">IFERROR(__xludf.DUMMYFUNCTION("""COMPUTED_VALUE"""),2)</f>
        <v>2</v>
      </c>
      <c r="O91" s="10">
        <f ca="1">IFERROR(__xludf.DUMMYFUNCTION("""COMPUTED_VALUE"""),336000)</f>
        <v>336000</v>
      </c>
      <c r="P91" s="70">
        <f ca="1">IFERROR(__xludf.DUMMYFUNCTION("""COMPUTED_VALUE"""),325920)</f>
        <v>325920</v>
      </c>
      <c r="Q91" s="67">
        <f ca="1">IFERROR(__xludf.DUMMYFUNCTION("""COMPUTED_VALUE"""),45335)</f>
        <v>45335</v>
      </c>
    </row>
    <row r="92" spans="1:17" ht="12.5">
      <c r="A92" s="82">
        <f t="array" aca="1" ref="A92" ca="1">INDEX('Database Mitra'!$R$2:$R1001,MATCH(C92,'Database Mitra'!$B$2:$B1001,0))</f>
        <v>35544</v>
      </c>
      <c r="B92" s="10" t="e">
        <f t="shared" ca="1" si="0"/>
        <v>#NAME?</v>
      </c>
      <c r="C92" s="83">
        <f ca="1">IFERROR(__xludf.DUMMYFUNCTION("""COMPUTED_VALUE"""),610422040035)</f>
        <v>610422040035</v>
      </c>
      <c r="D92" s="10" t="str">
        <f ca="1">IFERROR(__xludf.DUMMYFUNCTION("""COMPUTED_VALUE"""),"SUSENAS24-LAPANGAN-SEMESTER1")</f>
        <v>SUSENAS24-LAPANGAN-SEMESTER1</v>
      </c>
      <c r="E92" s="10"/>
      <c r="F92" s="10">
        <f ca="1">IFERROR(__xludf.DUMMYFUNCTION("""COMPUTED_VALUE"""),1)</f>
        <v>1</v>
      </c>
      <c r="G92" s="10" t="str">
        <f ca="1">IFERROR(__xludf.DUMMYFUNCTION("""COMPUTED_VALUE"""),"Rahmayani")</f>
        <v>Rahmayani</v>
      </c>
      <c r="H92" s="10" t="str">
        <f ca="1">IFERROR(__xludf.DUMMYFUNCTION("""COMPUTED_VALUE"""),"PPL")</f>
        <v>PPL</v>
      </c>
      <c r="I92" s="10" t="str">
        <f ca="1">IFERROR(__xludf.DUMMYFUNCTION("""COMPUTED_VALUE"""),"6102186404970003")</f>
        <v>6102186404970003</v>
      </c>
      <c r="J92" s="10" t="str">
        <f ca="1">IFERROR(__xludf.DUMMYFUNCTION("""COMPUTED_VALUE"""),"UPDATING LISTING")</f>
        <v>UPDATING LISTING</v>
      </c>
      <c r="K92" s="10" t="str">
        <f ca="1">IFERROR(__xludf.DUMMYFUNCTION("""COMPUTED_VALUE"""),"SUSENAS24-LAPANGAN-SEMESTER1-PPL-UPDATING LISTING")</f>
        <v>SUSENAS24-LAPANGAN-SEMESTER1-PPL-UPDATING LISTING</v>
      </c>
      <c r="L92" s="10" t="str">
        <f ca="1">IFERROR(__xludf.DUMMYFUNCTION("""COMPUTED_VALUE"""),"Blok Sensus")</f>
        <v>Blok Sensus</v>
      </c>
      <c r="M92" s="66">
        <f ca="1">IFERROR(__xludf.DUMMYFUNCTION("""COMPUTED_VALUE"""),168000)</f>
        <v>168000</v>
      </c>
      <c r="N92" s="10">
        <f ca="1">IFERROR(__xludf.DUMMYFUNCTION("""COMPUTED_VALUE"""),1)</f>
        <v>1</v>
      </c>
      <c r="O92" s="10">
        <f ca="1">IFERROR(__xludf.DUMMYFUNCTION("""COMPUTED_VALUE"""),168000)</f>
        <v>168000</v>
      </c>
      <c r="P92" s="70">
        <f ca="1">IFERROR(__xludf.DUMMYFUNCTION("""COMPUTED_VALUE"""),162960)</f>
        <v>162960</v>
      </c>
      <c r="Q92" s="67">
        <f ca="1">IFERROR(__xludf.DUMMYFUNCTION("""COMPUTED_VALUE"""),45335)</f>
        <v>45335</v>
      </c>
    </row>
    <row r="93" spans="1:17" ht="12.5">
      <c r="A93" s="82">
        <f t="array" aca="1" ref="A93" ca="1">INDEX('Database Mitra'!$R$2:$R1001,MATCH(C93,'Database Mitra'!$B$2:$B1001,0))</f>
        <v>30866</v>
      </c>
      <c r="B93" s="10" t="e">
        <f t="shared" ca="1" si="0"/>
        <v>#NAME?</v>
      </c>
      <c r="C93" s="83">
        <f ca="1">IFERROR(__xludf.DUMMYFUNCTION("""COMPUTED_VALUE"""),610422040049)</f>
        <v>610422040049</v>
      </c>
      <c r="D93" s="10" t="str">
        <f ca="1">IFERROR(__xludf.DUMMYFUNCTION("""COMPUTED_VALUE"""),"SUSENAS24-LAPANGAN-SEMESTER1")</f>
        <v>SUSENAS24-LAPANGAN-SEMESTER1</v>
      </c>
      <c r="E93" s="10"/>
      <c r="F93" s="10">
        <f ca="1">IFERROR(__xludf.DUMMYFUNCTION("""COMPUTED_VALUE"""),1)</f>
        <v>1</v>
      </c>
      <c r="G93" s="10" t="str">
        <f ca="1">IFERROR(__xludf.DUMMYFUNCTION("""COMPUTED_VALUE"""),"Sulis Tri Handayani")</f>
        <v>Sulis Tri Handayani</v>
      </c>
      <c r="H93" s="10" t="str">
        <f ca="1">IFERROR(__xludf.DUMMYFUNCTION("""COMPUTED_VALUE"""),"PPL")</f>
        <v>PPL</v>
      </c>
      <c r="I93" s="10" t="str">
        <f ca="1">IFERROR(__xludf.DUMMYFUNCTION("""COMPUTED_VALUE"""),"6102074307840004")</f>
        <v>6102074307840004</v>
      </c>
      <c r="J93" s="10" t="str">
        <f ca="1">IFERROR(__xludf.DUMMYFUNCTION("""COMPUTED_VALUE"""),"UPDATING LISTING")</f>
        <v>UPDATING LISTING</v>
      </c>
      <c r="K93" s="10" t="str">
        <f ca="1">IFERROR(__xludf.DUMMYFUNCTION("""COMPUTED_VALUE"""),"SUSENAS24-LAPANGAN-SEMESTER1-PPL-UPDATING LISTING")</f>
        <v>SUSENAS24-LAPANGAN-SEMESTER1-PPL-UPDATING LISTING</v>
      </c>
      <c r="L93" s="10" t="str">
        <f ca="1">IFERROR(__xludf.DUMMYFUNCTION("""COMPUTED_VALUE"""),"Blok Sensus")</f>
        <v>Blok Sensus</v>
      </c>
      <c r="M93" s="66">
        <f ca="1">IFERROR(__xludf.DUMMYFUNCTION("""COMPUTED_VALUE"""),168000)</f>
        <v>168000</v>
      </c>
      <c r="N93" s="10">
        <f ca="1">IFERROR(__xludf.DUMMYFUNCTION("""COMPUTED_VALUE"""),2)</f>
        <v>2</v>
      </c>
      <c r="O93" s="10">
        <f ca="1">IFERROR(__xludf.DUMMYFUNCTION("""COMPUTED_VALUE"""),336000)</f>
        <v>336000</v>
      </c>
      <c r="P93" s="70">
        <f ca="1">IFERROR(__xludf.DUMMYFUNCTION("""COMPUTED_VALUE"""),325920)</f>
        <v>325920</v>
      </c>
      <c r="Q93" s="67">
        <f ca="1">IFERROR(__xludf.DUMMYFUNCTION("""COMPUTED_VALUE"""),45335)</f>
        <v>45335</v>
      </c>
    </row>
    <row r="94" spans="1:17" ht="12.5">
      <c r="A94" s="82">
        <f t="array" aca="1" ref="A94" ca="1">INDEX('Database Mitra'!$R$2:$R1001,MATCH(C94,'Database Mitra'!$B$2:$B1001,0))</f>
        <v>35166</v>
      </c>
      <c r="B94" s="10" t="e">
        <f t="shared" ca="1" si="0"/>
        <v>#NAME?</v>
      </c>
      <c r="C94" s="83">
        <f ca="1">IFERROR(__xludf.DUMMYFUNCTION("""COMPUTED_VALUE"""),610422040033)</f>
        <v>610422040033</v>
      </c>
      <c r="D94" s="10" t="str">
        <f ca="1">IFERROR(__xludf.DUMMYFUNCTION("""COMPUTED_VALUE"""),"SUSENAS24-LAPANGAN-SEMESTER1")</f>
        <v>SUSENAS24-LAPANGAN-SEMESTER1</v>
      </c>
      <c r="E94" s="10"/>
      <c r="F94" s="10">
        <f ca="1">IFERROR(__xludf.DUMMYFUNCTION("""COMPUTED_VALUE"""),1)</f>
        <v>1</v>
      </c>
      <c r="G94" s="10" t="str">
        <f ca="1">IFERROR(__xludf.DUMMYFUNCTION("""COMPUTED_VALUE"""),"Nurlian")</f>
        <v>Nurlian</v>
      </c>
      <c r="H94" s="10" t="str">
        <f ca="1">IFERROR(__xludf.DUMMYFUNCTION("""COMPUTED_VALUE"""),"PPL")</f>
        <v>PPL</v>
      </c>
      <c r="I94" s="10" t="str">
        <f ca="1">IFERROR(__xludf.DUMMYFUNCTION("""COMPUTED_VALUE"""),"6102085104960002")</f>
        <v>6102085104960002</v>
      </c>
      <c r="J94" s="10" t="str">
        <f ca="1">IFERROR(__xludf.DUMMYFUNCTION("""COMPUTED_VALUE"""),"UPDATING LISTING")</f>
        <v>UPDATING LISTING</v>
      </c>
      <c r="K94" s="10" t="str">
        <f ca="1">IFERROR(__xludf.DUMMYFUNCTION("""COMPUTED_VALUE"""),"SUSENAS24-LAPANGAN-SEMESTER1-PPL-UPDATING LISTING")</f>
        <v>SUSENAS24-LAPANGAN-SEMESTER1-PPL-UPDATING LISTING</v>
      </c>
      <c r="L94" s="10" t="str">
        <f ca="1">IFERROR(__xludf.DUMMYFUNCTION("""COMPUTED_VALUE"""),"Blok Sensus")</f>
        <v>Blok Sensus</v>
      </c>
      <c r="M94" s="66">
        <f ca="1">IFERROR(__xludf.DUMMYFUNCTION("""COMPUTED_VALUE"""),168000)</f>
        <v>168000</v>
      </c>
      <c r="N94" s="10">
        <f ca="1">IFERROR(__xludf.DUMMYFUNCTION("""COMPUTED_VALUE"""),2)</f>
        <v>2</v>
      </c>
      <c r="O94" s="10">
        <f ca="1">IFERROR(__xludf.DUMMYFUNCTION("""COMPUTED_VALUE"""),336000)</f>
        <v>336000</v>
      </c>
      <c r="P94" s="70">
        <f ca="1">IFERROR(__xludf.DUMMYFUNCTION("""COMPUTED_VALUE"""),325920)</f>
        <v>325920</v>
      </c>
      <c r="Q94" s="67">
        <f ca="1">IFERROR(__xludf.DUMMYFUNCTION("""COMPUTED_VALUE"""),45335)</f>
        <v>45335</v>
      </c>
    </row>
    <row r="95" spans="1:17" ht="12.5">
      <c r="A95" s="82">
        <f t="array" aca="1" ref="A95" ca="1">INDEX('Database Mitra'!$R$2:$R1001,MATCH(C95,'Database Mitra'!$B$2:$B1001,0))</f>
        <v>36330</v>
      </c>
      <c r="B95" s="10" t="e">
        <f t="shared" ca="1" si="0"/>
        <v>#NAME?</v>
      </c>
      <c r="C95" s="83">
        <f ca="1">IFERROR(__xludf.DUMMYFUNCTION("""COMPUTED_VALUE"""),610422040050)</f>
        <v>610422040050</v>
      </c>
      <c r="D95" s="10" t="str">
        <f ca="1">IFERROR(__xludf.DUMMYFUNCTION("""COMPUTED_VALUE"""),"SUSENAS24-LAPANGAN-SEMESTER1")</f>
        <v>SUSENAS24-LAPANGAN-SEMESTER1</v>
      </c>
      <c r="E95" s="10"/>
      <c r="F95" s="10">
        <f ca="1">IFERROR(__xludf.DUMMYFUNCTION("""COMPUTED_VALUE"""),1)</f>
        <v>1</v>
      </c>
      <c r="G95" s="10" t="str">
        <f ca="1">IFERROR(__xludf.DUMMYFUNCTION("""COMPUTED_VALUE"""),"Novita Sari")</f>
        <v>Novita Sari</v>
      </c>
      <c r="H95" s="10" t="str">
        <f ca="1">IFERROR(__xludf.DUMMYFUNCTION("""COMPUTED_VALUE"""),"PPL")</f>
        <v>PPL</v>
      </c>
      <c r="I95" s="10" t="str">
        <f ca="1">IFERROR(__xludf.DUMMYFUNCTION("""COMPUTED_VALUE"""),"6102085906990001")</f>
        <v>6102085906990001</v>
      </c>
      <c r="J95" s="10" t="str">
        <f ca="1">IFERROR(__xludf.DUMMYFUNCTION("""COMPUTED_VALUE"""),"UPDATING LISTING")</f>
        <v>UPDATING LISTING</v>
      </c>
      <c r="K95" s="10" t="str">
        <f ca="1">IFERROR(__xludf.DUMMYFUNCTION("""COMPUTED_VALUE"""),"SUSENAS24-LAPANGAN-SEMESTER1-PPL-UPDATING LISTING")</f>
        <v>SUSENAS24-LAPANGAN-SEMESTER1-PPL-UPDATING LISTING</v>
      </c>
      <c r="L95" s="10" t="str">
        <f ca="1">IFERROR(__xludf.DUMMYFUNCTION("""COMPUTED_VALUE"""),"Blok Sensus")</f>
        <v>Blok Sensus</v>
      </c>
      <c r="M95" s="66">
        <f ca="1">IFERROR(__xludf.DUMMYFUNCTION("""COMPUTED_VALUE"""),168000)</f>
        <v>168000</v>
      </c>
      <c r="N95" s="10">
        <f ca="1">IFERROR(__xludf.DUMMYFUNCTION("""COMPUTED_VALUE"""),1)</f>
        <v>1</v>
      </c>
      <c r="O95" s="10">
        <f ca="1">IFERROR(__xludf.DUMMYFUNCTION("""COMPUTED_VALUE"""),168000)</f>
        <v>168000</v>
      </c>
      <c r="P95" s="70">
        <f ca="1">IFERROR(__xludf.DUMMYFUNCTION("""COMPUTED_VALUE"""),162960)</f>
        <v>162960</v>
      </c>
      <c r="Q95" s="67">
        <f ca="1">IFERROR(__xludf.DUMMYFUNCTION("""COMPUTED_VALUE"""),45335)</f>
        <v>45335</v>
      </c>
    </row>
    <row r="96" spans="1:17" ht="12.5">
      <c r="A96" s="82">
        <f t="array" aca="1" ref="A96" ca="1">INDEX('Database Mitra'!$R$2:$R1001,MATCH(C96,'Database Mitra'!$B$2:$B1001,0))</f>
        <v>31773</v>
      </c>
      <c r="B96" s="10" t="e">
        <f t="shared" ca="1" si="0"/>
        <v>#NAME?</v>
      </c>
      <c r="C96" s="83">
        <f ca="1">IFERROR(__xludf.DUMMYFUNCTION("""COMPUTED_VALUE"""),610422030002)</f>
        <v>610422030002</v>
      </c>
      <c r="D96" s="10" t="str">
        <f ca="1">IFERROR(__xludf.DUMMYFUNCTION("""COMPUTED_VALUE"""),"SUSENAS24-LAPANGAN-SEMESTER1")</f>
        <v>SUSENAS24-LAPANGAN-SEMESTER1</v>
      </c>
      <c r="E96" s="10"/>
      <c r="F96" s="10">
        <f ca="1">IFERROR(__xludf.DUMMYFUNCTION("""COMPUTED_VALUE"""),1)</f>
        <v>1</v>
      </c>
      <c r="G96" s="10" t="str">
        <f ca="1">IFERROR(__xludf.DUMMYFUNCTION("""COMPUTED_VALUE"""),"Deti Erni Widiastuti")</f>
        <v>Deti Erni Widiastuti</v>
      </c>
      <c r="H96" s="10" t="str">
        <f ca="1">IFERROR(__xludf.DUMMYFUNCTION("""COMPUTED_VALUE"""),"PPL")</f>
        <v>PPL</v>
      </c>
      <c r="I96" s="10" t="str">
        <f ca="1">IFERROR(__xludf.DUMMYFUNCTION("""COMPUTED_VALUE"""),"6102016712860001")</f>
        <v>6102016712860001</v>
      </c>
      <c r="J96" s="10" t="str">
        <f ca="1">IFERROR(__xludf.DUMMYFUNCTION("""COMPUTED_VALUE"""),"UPDATING LISTING")</f>
        <v>UPDATING LISTING</v>
      </c>
      <c r="K96" s="10" t="str">
        <f ca="1">IFERROR(__xludf.DUMMYFUNCTION("""COMPUTED_VALUE"""),"SUSENAS24-LAPANGAN-SEMESTER1-PPL-UPDATING LISTING")</f>
        <v>SUSENAS24-LAPANGAN-SEMESTER1-PPL-UPDATING LISTING</v>
      </c>
      <c r="L96" s="10" t="str">
        <f ca="1">IFERROR(__xludf.DUMMYFUNCTION("""COMPUTED_VALUE"""),"Blok Sensus")</f>
        <v>Blok Sensus</v>
      </c>
      <c r="M96" s="66">
        <f ca="1">IFERROR(__xludf.DUMMYFUNCTION("""COMPUTED_VALUE"""),168000)</f>
        <v>168000</v>
      </c>
      <c r="N96" s="10">
        <f ca="1">IFERROR(__xludf.DUMMYFUNCTION("""COMPUTED_VALUE"""),2)</f>
        <v>2</v>
      </c>
      <c r="O96" s="10">
        <f ca="1">IFERROR(__xludf.DUMMYFUNCTION("""COMPUTED_VALUE"""),336000)</f>
        <v>336000</v>
      </c>
      <c r="P96" s="70">
        <f ca="1">IFERROR(__xludf.DUMMYFUNCTION("""COMPUTED_VALUE"""),325920)</f>
        <v>325920</v>
      </c>
      <c r="Q96" s="67">
        <f ca="1">IFERROR(__xludf.DUMMYFUNCTION("""COMPUTED_VALUE"""),45335)</f>
        <v>45335</v>
      </c>
    </row>
    <row r="97" spans="1:17" ht="12.5">
      <c r="A97" s="82">
        <f t="array" aca="1" ref="A97" ca="1">INDEX('Database Mitra'!$R$2:$R1001,MATCH(C97,'Database Mitra'!$B$2:$B1001,0))</f>
        <v>31964</v>
      </c>
      <c r="B97" s="10" t="e">
        <f t="shared" ca="1" si="0"/>
        <v>#NAME?</v>
      </c>
      <c r="C97" s="83">
        <f ca="1">IFERROR(__xludf.DUMMYFUNCTION("""COMPUTED_VALUE"""),610422040029)</f>
        <v>610422040029</v>
      </c>
      <c r="D97" s="10" t="str">
        <f ca="1">IFERROR(__xludf.DUMMYFUNCTION("""COMPUTED_VALUE"""),"SUSENAS24-LAPANGAN-SEMESTER1")</f>
        <v>SUSENAS24-LAPANGAN-SEMESTER1</v>
      </c>
      <c r="E97" s="10"/>
      <c r="F97" s="10">
        <f ca="1">IFERROR(__xludf.DUMMYFUNCTION("""COMPUTED_VALUE"""),1)</f>
        <v>1</v>
      </c>
      <c r="G97" s="10" t="str">
        <f ca="1">IFERROR(__xludf.DUMMYFUNCTION("""COMPUTED_VALUE"""),"Zaini")</f>
        <v>Zaini</v>
      </c>
      <c r="H97" s="10" t="str">
        <f ca="1">IFERROR(__xludf.DUMMYFUNCTION("""COMPUTED_VALUE"""),"PPL")</f>
        <v>PPL</v>
      </c>
      <c r="I97" s="10" t="str">
        <f ca="1">IFERROR(__xludf.DUMMYFUNCTION("""COMPUTED_VALUE"""),"6102010607870002")</f>
        <v>6102010607870002</v>
      </c>
      <c r="J97" s="10" t="str">
        <f ca="1">IFERROR(__xludf.DUMMYFUNCTION("""COMPUTED_VALUE"""),"UPDATING LISTING")</f>
        <v>UPDATING LISTING</v>
      </c>
      <c r="K97" s="10" t="str">
        <f ca="1">IFERROR(__xludf.DUMMYFUNCTION("""COMPUTED_VALUE"""),"SUSENAS24-LAPANGAN-SEMESTER1-PPL-UPDATING LISTING")</f>
        <v>SUSENAS24-LAPANGAN-SEMESTER1-PPL-UPDATING LISTING</v>
      </c>
      <c r="L97" s="10" t="str">
        <f ca="1">IFERROR(__xludf.DUMMYFUNCTION("""COMPUTED_VALUE"""),"Blok Sensus")</f>
        <v>Blok Sensus</v>
      </c>
      <c r="M97" s="66">
        <f ca="1">IFERROR(__xludf.DUMMYFUNCTION("""COMPUTED_VALUE"""),168000)</f>
        <v>168000</v>
      </c>
      <c r="N97" s="10">
        <f ca="1">IFERROR(__xludf.DUMMYFUNCTION("""COMPUTED_VALUE"""),2)</f>
        <v>2</v>
      </c>
      <c r="O97" s="10">
        <f ca="1">IFERROR(__xludf.DUMMYFUNCTION("""COMPUTED_VALUE"""),336000)</f>
        <v>336000</v>
      </c>
      <c r="P97" s="70">
        <f ca="1">IFERROR(__xludf.DUMMYFUNCTION("""COMPUTED_VALUE"""),325920)</f>
        <v>325920</v>
      </c>
      <c r="Q97" s="67">
        <f ca="1">IFERROR(__xludf.DUMMYFUNCTION("""COMPUTED_VALUE"""),45335)</f>
        <v>45335</v>
      </c>
    </row>
    <row r="98" spans="1:17" ht="12.5">
      <c r="A98" s="82">
        <f t="array" aca="1" ref="A98" ca="1">INDEX('Database Mitra'!$R$2:$R1001,MATCH(C98,'Database Mitra'!$B$2:$B1001,0))</f>
        <v>36997</v>
      </c>
      <c r="B98" s="10" t="e">
        <f t="shared" ca="1" si="0"/>
        <v>#NAME?</v>
      </c>
      <c r="C98" s="83">
        <f ca="1">IFERROR(__xludf.DUMMYFUNCTION("""COMPUTED_VALUE"""),610422040053)</f>
        <v>610422040053</v>
      </c>
      <c r="D98" s="10" t="str">
        <f ca="1">IFERROR(__xludf.DUMMYFUNCTION("""COMPUTED_VALUE"""),"SUSENAS24-LAPANGAN-SEMESTER1")</f>
        <v>SUSENAS24-LAPANGAN-SEMESTER1</v>
      </c>
      <c r="E98" s="10"/>
      <c r="F98" s="10">
        <f ca="1">IFERROR(__xludf.DUMMYFUNCTION("""COMPUTED_VALUE"""),1)</f>
        <v>1</v>
      </c>
      <c r="G98" s="10" t="str">
        <f ca="1">IFERROR(__xludf.DUMMYFUNCTION("""COMPUTED_VALUE"""),"Veti Ningsi")</f>
        <v>Veti Ningsi</v>
      </c>
      <c r="H98" s="10" t="str">
        <f ca="1">IFERROR(__xludf.DUMMYFUNCTION("""COMPUTED_VALUE"""),"PPL")</f>
        <v>PPL</v>
      </c>
      <c r="I98" s="10" t="str">
        <f ca="1">IFERROR(__xludf.DUMMYFUNCTION("""COMPUTED_VALUE"""),"6102125604010002")</f>
        <v>6102125604010002</v>
      </c>
      <c r="J98" s="10" t="str">
        <f ca="1">IFERROR(__xludf.DUMMYFUNCTION("""COMPUTED_VALUE"""),"UPDATING LISTING")</f>
        <v>UPDATING LISTING</v>
      </c>
      <c r="K98" s="10" t="str">
        <f ca="1">IFERROR(__xludf.DUMMYFUNCTION("""COMPUTED_VALUE"""),"SUSENAS24-LAPANGAN-SEMESTER1-PPL-UPDATING LISTING")</f>
        <v>SUSENAS24-LAPANGAN-SEMESTER1-PPL-UPDATING LISTING</v>
      </c>
      <c r="L98" s="10" t="str">
        <f ca="1">IFERROR(__xludf.DUMMYFUNCTION("""COMPUTED_VALUE"""),"Blok Sensus")</f>
        <v>Blok Sensus</v>
      </c>
      <c r="M98" s="66">
        <f ca="1">IFERROR(__xludf.DUMMYFUNCTION("""COMPUTED_VALUE"""),168000)</f>
        <v>168000</v>
      </c>
      <c r="N98" s="10">
        <f ca="1">IFERROR(__xludf.DUMMYFUNCTION("""COMPUTED_VALUE"""),1)</f>
        <v>1</v>
      </c>
      <c r="O98" s="10">
        <f ca="1">IFERROR(__xludf.DUMMYFUNCTION("""COMPUTED_VALUE"""),168000)</f>
        <v>168000</v>
      </c>
      <c r="P98" s="70">
        <f ca="1">IFERROR(__xludf.DUMMYFUNCTION("""COMPUTED_VALUE"""),162960)</f>
        <v>162960</v>
      </c>
      <c r="Q98" s="67">
        <f ca="1">IFERROR(__xludf.DUMMYFUNCTION("""COMPUTED_VALUE"""),45335)</f>
        <v>45335</v>
      </c>
    </row>
    <row r="99" spans="1:17" ht="12.5">
      <c r="A99" s="11">
        <f t="array" aca="1" ref="A99" ca="1">INDEX('Database Mitra'!$R$2:$R1001,MATCH(C99,'Database Mitra'!$B$2:$B1001,0))</f>
        <v>32832</v>
      </c>
      <c r="B99" s="10" t="e">
        <f t="shared" ca="1" si="0"/>
        <v>#NAME?</v>
      </c>
      <c r="C99" s="83">
        <f ca="1">IFERROR(__xludf.DUMMYFUNCTION("""COMPUTED_VALUE"""),610422040013)</f>
        <v>610422040013</v>
      </c>
      <c r="D99" s="10" t="str">
        <f ca="1">IFERROR(__xludf.DUMMYFUNCTION("""COMPUTED_VALUE"""),"SUSENAS24-LAPANGAN-SEMESTER1")</f>
        <v>SUSENAS24-LAPANGAN-SEMESTER1</v>
      </c>
      <c r="E99" s="10"/>
      <c r="F99" s="10">
        <f ca="1">IFERROR(__xludf.DUMMYFUNCTION("""COMPUTED_VALUE"""),1)</f>
        <v>1</v>
      </c>
      <c r="G99" s="10" t="str">
        <f ca="1">IFERROR(__xludf.DUMMYFUNCTION("""COMPUTED_VALUE"""),"Yusra, Se")</f>
        <v>Yusra, Se</v>
      </c>
      <c r="H99" s="10" t="str">
        <f ca="1">IFERROR(__xludf.DUMMYFUNCTION("""COMPUTED_VALUE"""),"PPL")</f>
        <v>PPL</v>
      </c>
      <c r="I99" s="10" t="str">
        <f ca="1">IFERROR(__xludf.DUMMYFUNCTION("""COMPUTED_VALUE"""),"6102152011890001")</f>
        <v>6102152011890001</v>
      </c>
      <c r="J99" s="10" t="str">
        <f ca="1">IFERROR(__xludf.DUMMYFUNCTION("""COMPUTED_VALUE"""),"UPDATING LISTING")</f>
        <v>UPDATING LISTING</v>
      </c>
      <c r="K99" s="10" t="str">
        <f ca="1">IFERROR(__xludf.DUMMYFUNCTION("""COMPUTED_VALUE"""),"SUSENAS24-LAPANGAN-SEMESTER1-PPL-UPDATING LISTING")</f>
        <v>SUSENAS24-LAPANGAN-SEMESTER1-PPL-UPDATING LISTING</v>
      </c>
      <c r="L99" s="10" t="str">
        <f ca="1">IFERROR(__xludf.DUMMYFUNCTION("""COMPUTED_VALUE"""),"Blok Sensus")</f>
        <v>Blok Sensus</v>
      </c>
      <c r="M99" s="66">
        <f ca="1">IFERROR(__xludf.DUMMYFUNCTION("""COMPUTED_VALUE"""),168000)</f>
        <v>168000</v>
      </c>
      <c r="N99" s="10">
        <f ca="1">IFERROR(__xludf.DUMMYFUNCTION("""COMPUTED_VALUE"""),2)</f>
        <v>2</v>
      </c>
      <c r="O99" s="10">
        <f ca="1">IFERROR(__xludf.DUMMYFUNCTION("""COMPUTED_VALUE"""),336000)</f>
        <v>336000</v>
      </c>
      <c r="P99" s="70">
        <f ca="1">IFERROR(__xludf.DUMMYFUNCTION("""COMPUTED_VALUE"""),325920)</f>
        <v>325920</v>
      </c>
      <c r="Q99" s="67">
        <f ca="1">IFERROR(__xludf.DUMMYFUNCTION("""COMPUTED_VALUE"""),45335)</f>
        <v>45335</v>
      </c>
    </row>
    <row r="100" spans="1:17" ht="12.5">
      <c r="A100" s="82">
        <f t="array" aca="1" ref="A100" ca="1">INDEX('Database Mitra'!$R$2:$R1001,MATCH(C100,'Database Mitra'!$B$2:$B1001,0))</f>
        <v>32184</v>
      </c>
      <c r="B100" s="10" t="e">
        <f t="shared" ca="1" si="0"/>
        <v>#NAME?</v>
      </c>
      <c r="C100" s="83">
        <f ca="1">IFERROR(__xludf.DUMMYFUNCTION("""COMPUTED_VALUE"""),610422020032)</f>
        <v>610422020032</v>
      </c>
      <c r="D100" s="10" t="str">
        <f ca="1">IFERROR(__xludf.DUMMYFUNCTION("""COMPUTED_VALUE"""),"SUSENAS24-LAPANGAN-SEMESTER1")</f>
        <v>SUSENAS24-LAPANGAN-SEMESTER1</v>
      </c>
      <c r="E100" s="10"/>
      <c r="F100" s="10">
        <f ca="1">IFERROR(__xludf.DUMMYFUNCTION("""COMPUTED_VALUE"""),1)</f>
        <v>1</v>
      </c>
      <c r="G100" s="10" t="str">
        <f ca="1">IFERROR(__xludf.DUMMYFUNCTION("""COMPUTED_VALUE"""),"Lilis Suryani")</f>
        <v>Lilis Suryani</v>
      </c>
      <c r="H100" s="10" t="str">
        <f ca="1">IFERROR(__xludf.DUMMYFUNCTION("""COMPUTED_VALUE"""),"PPL")</f>
        <v>PPL</v>
      </c>
      <c r="I100" s="10" t="str">
        <f ca="1">IFERROR(__xludf.DUMMYFUNCTION("""COMPUTED_VALUE"""),"6102185102880001")</f>
        <v>6102185102880001</v>
      </c>
      <c r="J100" s="10" t="str">
        <f ca="1">IFERROR(__xludf.DUMMYFUNCTION("""COMPUTED_VALUE"""),"UPDATING LISTING")</f>
        <v>UPDATING LISTING</v>
      </c>
      <c r="K100" s="10" t="str">
        <f ca="1">IFERROR(__xludf.DUMMYFUNCTION("""COMPUTED_VALUE"""),"SUSENAS24-LAPANGAN-SEMESTER1-PPL-UPDATING LISTING")</f>
        <v>SUSENAS24-LAPANGAN-SEMESTER1-PPL-UPDATING LISTING</v>
      </c>
      <c r="L100" s="10" t="str">
        <f ca="1">IFERROR(__xludf.DUMMYFUNCTION("""COMPUTED_VALUE"""),"Blok Sensus")</f>
        <v>Blok Sensus</v>
      </c>
      <c r="M100" s="66">
        <f ca="1">IFERROR(__xludf.DUMMYFUNCTION("""COMPUTED_VALUE"""),168000)</f>
        <v>168000</v>
      </c>
      <c r="N100" s="10">
        <f ca="1">IFERROR(__xludf.DUMMYFUNCTION("""COMPUTED_VALUE"""),1)</f>
        <v>1</v>
      </c>
      <c r="O100" s="10">
        <f ca="1">IFERROR(__xludf.DUMMYFUNCTION("""COMPUTED_VALUE"""),168000)</f>
        <v>168000</v>
      </c>
      <c r="P100" s="70">
        <f ca="1">IFERROR(__xludf.DUMMYFUNCTION("""COMPUTED_VALUE"""),162960)</f>
        <v>162960</v>
      </c>
      <c r="Q100" s="67">
        <f ca="1">IFERROR(__xludf.DUMMYFUNCTION("""COMPUTED_VALUE"""),45335)</f>
        <v>45335</v>
      </c>
    </row>
    <row r="101" spans="1:17" ht="12.5">
      <c r="A101" s="82">
        <f t="array" aca="1" ref="A101" ca="1">INDEX('Database Mitra'!$R$2:$R1001,MATCH(C101,'Database Mitra'!$B$2:$B1001,0))</f>
        <v>34232</v>
      </c>
      <c r="B101" s="10" t="e">
        <f t="shared" ca="1" si="0"/>
        <v>#NAME?</v>
      </c>
      <c r="C101" s="83">
        <f ca="1">IFERROR(__xludf.DUMMYFUNCTION("""COMPUTED_VALUE"""),610422020045)</f>
        <v>610422020045</v>
      </c>
      <c r="D101" s="10" t="str">
        <f ca="1">IFERROR(__xludf.DUMMYFUNCTION("""COMPUTED_VALUE"""),"SUSENAS24-LAPANGAN-SEMESTER1")</f>
        <v>SUSENAS24-LAPANGAN-SEMESTER1</v>
      </c>
      <c r="E101" s="10"/>
      <c r="F101" s="10">
        <f ca="1">IFERROR(__xludf.DUMMYFUNCTION("""COMPUTED_VALUE"""),1)</f>
        <v>1</v>
      </c>
      <c r="G101" s="10" t="str">
        <f ca="1">IFERROR(__xludf.DUMMYFUNCTION("""COMPUTED_VALUE"""),"Herdinatara Febria")</f>
        <v>Herdinatara Febria</v>
      </c>
      <c r="H101" s="10" t="str">
        <f ca="1">IFERROR(__xludf.DUMMYFUNCTION("""COMPUTED_VALUE"""),"PPL")</f>
        <v>PPL</v>
      </c>
      <c r="I101" s="10" t="str">
        <f ca="1">IFERROR(__xludf.DUMMYFUNCTION("""COMPUTED_VALUE"""),"6107086009930002")</f>
        <v>6107086009930002</v>
      </c>
      <c r="J101" s="10" t="str">
        <f ca="1">IFERROR(__xludf.DUMMYFUNCTION("""COMPUTED_VALUE"""),"UPDATING LISTING")</f>
        <v>UPDATING LISTING</v>
      </c>
      <c r="K101" s="10" t="str">
        <f ca="1">IFERROR(__xludf.DUMMYFUNCTION("""COMPUTED_VALUE"""),"SUSENAS24-LAPANGAN-SEMESTER1-PPL-UPDATING LISTING")</f>
        <v>SUSENAS24-LAPANGAN-SEMESTER1-PPL-UPDATING LISTING</v>
      </c>
      <c r="L101" s="10" t="str">
        <f ca="1">IFERROR(__xludf.DUMMYFUNCTION("""COMPUTED_VALUE"""),"Blok Sensus")</f>
        <v>Blok Sensus</v>
      </c>
      <c r="M101" s="66">
        <f ca="1">IFERROR(__xludf.DUMMYFUNCTION("""COMPUTED_VALUE"""),168000)</f>
        <v>168000</v>
      </c>
      <c r="N101" s="10">
        <f ca="1">IFERROR(__xludf.DUMMYFUNCTION("""COMPUTED_VALUE"""),2)</f>
        <v>2</v>
      </c>
      <c r="O101" s="10">
        <f ca="1">IFERROR(__xludf.DUMMYFUNCTION("""COMPUTED_VALUE"""),336000)</f>
        <v>336000</v>
      </c>
      <c r="P101" s="70">
        <f ca="1">IFERROR(__xludf.DUMMYFUNCTION("""COMPUTED_VALUE"""),325920)</f>
        <v>325920</v>
      </c>
      <c r="Q101" s="67">
        <f ca="1">IFERROR(__xludf.DUMMYFUNCTION("""COMPUTED_VALUE"""),45335)</f>
        <v>45335</v>
      </c>
    </row>
    <row r="102" spans="1:17" ht="12.5">
      <c r="A102" s="11">
        <f t="array" aca="1" ref="A102" ca="1">INDEX('Database Mitra'!$R$2:$R1001,MATCH(C102,'Database Mitra'!$B$2:$B1001,0))</f>
        <v>35744</v>
      </c>
      <c r="B102" s="10" t="e">
        <f t="shared" ca="1" si="0"/>
        <v>#NAME?</v>
      </c>
      <c r="C102" s="83">
        <f ca="1">IFERROR(__xludf.DUMMYFUNCTION("""COMPUTED_VALUE"""),610422020006)</f>
        <v>610422020006</v>
      </c>
      <c r="D102" s="10" t="str">
        <f ca="1">IFERROR(__xludf.DUMMYFUNCTION("""COMPUTED_VALUE"""),"SUSENAS24-LAPANGAN-SEMESTER1")</f>
        <v>SUSENAS24-LAPANGAN-SEMESTER1</v>
      </c>
      <c r="E102" s="10"/>
      <c r="F102" s="10">
        <f ca="1">IFERROR(__xludf.DUMMYFUNCTION("""COMPUTED_VALUE"""),1)</f>
        <v>1</v>
      </c>
      <c r="G102" s="10" t="str">
        <f ca="1">IFERROR(__xludf.DUMMYFUNCTION("""COMPUTED_VALUE"""),"Nasrullah")</f>
        <v>Nasrullah</v>
      </c>
      <c r="H102" s="10" t="str">
        <f ca="1">IFERROR(__xludf.DUMMYFUNCTION("""COMPUTED_VALUE"""),"PETUGAS ENTRI")</f>
        <v>PETUGAS ENTRI</v>
      </c>
      <c r="I102" s="10" t="str">
        <f ca="1">IFERROR(__xludf.DUMMYFUNCTION("""COMPUTED_VALUE"""),"6102011011970003")</f>
        <v>6102011011970003</v>
      </c>
      <c r="J102" s="10" t="str">
        <f ca="1">IFERROR(__xludf.DUMMYFUNCTION("""COMPUTED_VALUE"""),"PENGOLAHAN LISTING")</f>
        <v>PENGOLAHAN LISTING</v>
      </c>
      <c r="K102" s="10" t="str">
        <f ca="1">IFERROR(__xludf.DUMMYFUNCTION("""COMPUTED_VALUE"""),"SUSENAS24-LAPANGAN-SEMESTER1-PETUGAS ENTRI-PENGOLAHAN LISTING")</f>
        <v>SUSENAS24-LAPANGAN-SEMESTER1-PETUGAS ENTRI-PENGOLAHAN LISTING</v>
      </c>
      <c r="L102" s="10" t="str">
        <f ca="1">IFERROR(__xludf.DUMMYFUNCTION("""COMPUTED_VALUE"""),"Dokumen")</f>
        <v>Dokumen</v>
      </c>
      <c r="M102" s="66">
        <f ca="1">IFERROR(__xludf.DUMMYFUNCTION("""COMPUTED_VALUE"""),34000)</f>
        <v>34000</v>
      </c>
      <c r="N102" s="10">
        <f ca="1">IFERROR(__xludf.DUMMYFUNCTION("""COMPUTED_VALUE"""),26)</f>
        <v>26</v>
      </c>
      <c r="O102" s="10">
        <f ca="1">IFERROR(__xludf.DUMMYFUNCTION("""COMPUTED_VALUE"""),884000)</f>
        <v>884000</v>
      </c>
      <c r="P102" s="70">
        <f ca="1">IFERROR(__xludf.DUMMYFUNCTION("""COMPUTED_VALUE"""),857480)</f>
        <v>857480</v>
      </c>
      <c r="Q102" s="67">
        <f ca="1">IFERROR(__xludf.DUMMYFUNCTION("""COMPUTED_VALUE"""),45340)</f>
        <v>45340</v>
      </c>
    </row>
    <row r="103" spans="1:17" ht="12.5">
      <c r="A103" s="11">
        <f t="array" aca="1" ref="A103" ca="1">INDEX('Database Mitra'!$R$2:$R1001,MATCH(C103,'Database Mitra'!$B$2:$B1001,0))</f>
        <v>36455</v>
      </c>
      <c r="B103" s="10" t="e">
        <f t="shared" ca="1" si="0"/>
        <v>#NAME?</v>
      </c>
      <c r="C103" s="83">
        <f ca="1">IFERROR(__xludf.DUMMYFUNCTION("""COMPUTED_VALUE"""),610422100010)</f>
        <v>610422100010</v>
      </c>
      <c r="D103" s="10" t="str">
        <f ca="1">IFERROR(__xludf.DUMMYFUNCTION("""COMPUTED_VALUE"""),"SUSENAS24-LAPANGAN-SEMESTER1")</f>
        <v>SUSENAS24-LAPANGAN-SEMESTER1</v>
      </c>
      <c r="E103" s="10"/>
      <c r="F103" s="10">
        <f ca="1">IFERROR(__xludf.DUMMYFUNCTION("""COMPUTED_VALUE"""),1)</f>
        <v>1</v>
      </c>
      <c r="G103" s="10" t="str">
        <f ca="1">IFERROR(__xludf.DUMMYFUNCTION("""COMPUTED_VALUE"""),"Muhammad Rendi Fakhrian")</f>
        <v>Muhammad Rendi Fakhrian</v>
      </c>
      <c r="H103" s="10" t="str">
        <f ca="1">IFERROR(__xludf.DUMMYFUNCTION("""COMPUTED_VALUE"""),"PETUGAS ENTRI")</f>
        <v>PETUGAS ENTRI</v>
      </c>
      <c r="I103" s="10" t="str">
        <f ca="1">IFERROR(__xludf.DUMMYFUNCTION("""COMPUTED_VALUE"""),"6102012210990001")</f>
        <v>6102012210990001</v>
      </c>
      <c r="J103" s="10" t="str">
        <f ca="1">IFERROR(__xludf.DUMMYFUNCTION("""COMPUTED_VALUE"""),"PENGOLAHAN LISTING")</f>
        <v>PENGOLAHAN LISTING</v>
      </c>
      <c r="K103" s="10" t="str">
        <f ca="1">IFERROR(__xludf.DUMMYFUNCTION("""COMPUTED_VALUE"""),"SUSENAS24-LAPANGAN-SEMESTER1-PETUGAS ENTRI-PENGOLAHAN LISTING")</f>
        <v>SUSENAS24-LAPANGAN-SEMESTER1-PETUGAS ENTRI-PENGOLAHAN LISTING</v>
      </c>
      <c r="L103" s="10" t="str">
        <f ca="1">IFERROR(__xludf.DUMMYFUNCTION("""COMPUTED_VALUE"""),"Dokumen")</f>
        <v>Dokumen</v>
      </c>
      <c r="M103" s="66">
        <f ca="1">IFERROR(__xludf.DUMMYFUNCTION("""COMPUTED_VALUE"""),34000)</f>
        <v>34000</v>
      </c>
      <c r="N103" s="10">
        <f ca="1">IFERROR(__xludf.DUMMYFUNCTION("""COMPUTED_VALUE"""),13)</f>
        <v>13</v>
      </c>
      <c r="O103" s="10">
        <f ca="1">IFERROR(__xludf.DUMMYFUNCTION("""COMPUTED_VALUE"""),442000)</f>
        <v>442000</v>
      </c>
      <c r="P103" s="70">
        <f ca="1">IFERROR(__xludf.DUMMYFUNCTION("""COMPUTED_VALUE"""),428740)</f>
        <v>428740</v>
      </c>
      <c r="Q103" s="67">
        <f ca="1">IFERROR(__xludf.DUMMYFUNCTION("""COMPUTED_VALUE"""),45340)</f>
        <v>45340</v>
      </c>
    </row>
    <row r="104" spans="1:17" ht="12.5">
      <c r="A104" s="82">
        <f t="array" aca="1" ref="A104" ca="1">INDEX('Database Mitra'!$R$2:$R1001,MATCH(C104,'Database Mitra'!$B$2:$B1001,0))</f>
        <v>35839</v>
      </c>
      <c r="B104" s="10" t="e">
        <f t="shared" ca="1" si="0"/>
        <v>#NAME?</v>
      </c>
      <c r="C104" s="83">
        <f ca="1">IFERROR(__xludf.DUMMYFUNCTION("""COMPUTED_VALUE"""),610422100177)</f>
        <v>610422100177</v>
      </c>
      <c r="D104" s="10" t="str">
        <f ca="1">IFERROR(__xludf.DUMMYFUNCTION("""COMPUTED_VALUE"""),"SUSENAS24-LAPANGAN-SEMESTER1")</f>
        <v>SUSENAS24-LAPANGAN-SEMESTER1</v>
      </c>
      <c r="E104" s="10"/>
      <c r="F104" s="10">
        <f ca="1">IFERROR(__xludf.DUMMYFUNCTION("""COMPUTED_VALUE"""),1)</f>
        <v>1</v>
      </c>
      <c r="G104" s="10" t="str">
        <f ca="1">IFERROR(__xludf.DUMMYFUNCTION("""COMPUTED_VALUE"""),"Amirah")</f>
        <v>Amirah</v>
      </c>
      <c r="H104" s="10" t="str">
        <f ca="1">IFERROR(__xludf.DUMMYFUNCTION("""COMPUTED_VALUE"""),"PETUGAS ENTRI")</f>
        <v>PETUGAS ENTRI</v>
      </c>
      <c r="I104" s="10" t="str">
        <f ca="1">IFERROR(__xludf.DUMMYFUNCTION("""COMPUTED_VALUE"""),"6102015302980003")</f>
        <v>6102015302980003</v>
      </c>
      <c r="J104" s="10" t="str">
        <f ca="1">IFERROR(__xludf.DUMMYFUNCTION("""COMPUTED_VALUE"""),"PENGOLAHAN LISTING")</f>
        <v>PENGOLAHAN LISTING</v>
      </c>
      <c r="K104" s="10" t="str">
        <f ca="1">IFERROR(__xludf.DUMMYFUNCTION("""COMPUTED_VALUE"""),"SUSENAS24-LAPANGAN-SEMESTER1-PETUGAS ENTRI-PENGOLAHAN LISTING")</f>
        <v>SUSENAS24-LAPANGAN-SEMESTER1-PETUGAS ENTRI-PENGOLAHAN LISTING</v>
      </c>
      <c r="L104" s="10" t="str">
        <f ca="1">IFERROR(__xludf.DUMMYFUNCTION("""COMPUTED_VALUE"""),"Dokumen")</f>
        <v>Dokumen</v>
      </c>
      <c r="M104" s="66">
        <f ca="1">IFERROR(__xludf.DUMMYFUNCTION("""COMPUTED_VALUE"""),34000)</f>
        <v>34000</v>
      </c>
      <c r="N104" s="10">
        <f ca="1">IFERROR(__xludf.DUMMYFUNCTION("""COMPUTED_VALUE"""),2)</f>
        <v>2</v>
      </c>
      <c r="O104" s="10">
        <f ca="1">IFERROR(__xludf.DUMMYFUNCTION("""COMPUTED_VALUE"""),68000)</f>
        <v>68000</v>
      </c>
      <c r="P104" s="70">
        <f ca="1">IFERROR(__xludf.DUMMYFUNCTION("""COMPUTED_VALUE"""),65960)</f>
        <v>65960</v>
      </c>
      <c r="Q104" s="67">
        <f ca="1">IFERROR(__xludf.DUMMYFUNCTION("""COMPUTED_VALUE"""),45340)</f>
        <v>45340</v>
      </c>
    </row>
    <row r="105" spans="1:17" ht="12.5">
      <c r="A105" s="82">
        <f t="array" aca="1" ref="A105" ca="1">INDEX('Database Mitra'!$R$2:$R1001,MATCH(C105,'Database Mitra'!$B$2:$B1001,0))</f>
        <v>35601</v>
      </c>
      <c r="B105" s="10" t="e">
        <f t="shared" ca="1" si="0"/>
        <v>#NAME?</v>
      </c>
      <c r="C105" s="83">
        <f ca="1">IFERROR(__xludf.DUMMYFUNCTION("""COMPUTED_VALUE"""),610422100083)</f>
        <v>610422100083</v>
      </c>
      <c r="D105" s="10" t="str">
        <f ca="1">IFERROR(__xludf.DUMMYFUNCTION("""COMPUTED_VALUE"""),"SUSENAS24-LAPANGAN-SEMESTER1")</f>
        <v>SUSENAS24-LAPANGAN-SEMESTER1</v>
      </c>
      <c r="E105" s="10"/>
      <c r="F105" s="10">
        <f ca="1">IFERROR(__xludf.DUMMYFUNCTION("""COMPUTED_VALUE"""),1)</f>
        <v>1</v>
      </c>
      <c r="G105" s="10" t="str">
        <f ca="1">IFERROR(__xludf.DUMMYFUNCTION("""COMPUTED_VALUE"""),"Ilham Subagio")</f>
        <v>Ilham Subagio</v>
      </c>
      <c r="H105" s="10" t="str">
        <f ca="1">IFERROR(__xludf.DUMMYFUNCTION("""COMPUTED_VALUE"""),"PETUGAS ENTRI")</f>
        <v>PETUGAS ENTRI</v>
      </c>
      <c r="I105" s="10" t="str">
        <f ca="1">IFERROR(__xludf.DUMMYFUNCTION("""COMPUTED_VALUE"""),"6102012006970002")</f>
        <v>6102012006970002</v>
      </c>
      <c r="J105" s="10" t="str">
        <f ca="1">IFERROR(__xludf.DUMMYFUNCTION("""COMPUTED_VALUE"""),"PENGOLAHAN LISTING")</f>
        <v>PENGOLAHAN LISTING</v>
      </c>
      <c r="K105" s="10" t="str">
        <f ca="1">IFERROR(__xludf.DUMMYFUNCTION("""COMPUTED_VALUE"""),"SUSENAS24-LAPANGAN-SEMESTER1-PETUGAS ENTRI-PENGOLAHAN LISTING")</f>
        <v>SUSENAS24-LAPANGAN-SEMESTER1-PETUGAS ENTRI-PENGOLAHAN LISTING</v>
      </c>
      <c r="L105" s="10" t="str">
        <f ca="1">IFERROR(__xludf.DUMMYFUNCTION("""COMPUTED_VALUE"""),"Dokumen")</f>
        <v>Dokumen</v>
      </c>
      <c r="M105" s="66">
        <f ca="1">IFERROR(__xludf.DUMMYFUNCTION("""COMPUTED_VALUE"""),34000)</f>
        <v>34000</v>
      </c>
      <c r="N105" s="10">
        <f ca="1">IFERROR(__xludf.DUMMYFUNCTION("""COMPUTED_VALUE"""),21)</f>
        <v>21</v>
      </c>
      <c r="O105" s="10">
        <f ca="1">IFERROR(__xludf.DUMMYFUNCTION("""COMPUTED_VALUE"""),714000)</f>
        <v>714000</v>
      </c>
      <c r="P105" s="70">
        <f ca="1">IFERROR(__xludf.DUMMYFUNCTION("""COMPUTED_VALUE"""),692580)</f>
        <v>692580</v>
      </c>
      <c r="Q105" s="67">
        <f ca="1">IFERROR(__xludf.DUMMYFUNCTION("""COMPUTED_VALUE"""),45340)</f>
        <v>45340</v>
      </c>
    </row>
    <row r="106" spans="1:17" ht="12.5">
      <c r="A106" s="82">
        <f t="array" aca="1" ref="A106" ca="1">INDEX('Database Mitra'!$R$2:$R1001,MATCH(C106,'Database Mitra'!$B$2:$B1001,0))</f>
        <v>31773</v>
      </c>
      <c r="B106" s="10" t="e">
        <f t="shared" ca="1" si="0"/>
        <v>#NAME?</v>
      </c>
      <c r="C106" s="83">
        <f ca="1">IFERROR(__xludf.DUMMYFUNCTION("""COMPUTED_VALUE"""),610422030002)</f>
        <v>610422030002</v>
      </c>
      <c r="D106" s="10" t="str">
        <f ca="1">IFERROR(__xludf.DUMMYFUNCTION("""COMPUTED_VALUE"""),"SHPB24-LAPANGAN-FEBRUARI")</f>
        <v>SHPB24-LAPANGAN-FEBRUARI</v>
      </c>
      <c r="E106" s="10"/>
      <c r="F106" s="10">
        <f ca="1">IFERROR(__xludf.DUMMYFUNCTION("""COMPUTED_VALUE"""),1)</f>
        <v>1</v>
      </c>
      <c r="G106" s="10" t="str">
        <f ca="1">IFERROR(__xludf.DUMMYFUNCTION("""COMPUTED_VALUE"""),"Deti Erni Widiastuti")</f>
        <v>Deti Erni Widiastuti</v>
      </c>
      <c r="H106" s="10" t="str">
        <f ca="1">IFERROR(__xludf.DUMMYFUNCTION("""COMPUTED_VALUE"""),"PPL")</f>
        <v>PPL</v>
      </c>
      <c r="I106" s="10" t="str">
        <f ca="1">IFERROR(__xludf.DUMMYFUNCTION("""COMPUTED_VALUE"""),"6102016712860001")</f>
        <v>6102016712860001</v>
      </c>
      <c r="J106" s="10" t="str">
        <f ca="1">IFERROR(__xludf.DUMMYFUNCTION("""COMPUTED_VALUE"""),"PENDATAAN")</f>
        <v>PENDATAAN</v>
      </c>
      <c r="K106" s="10" t="str">
        <f ca="1">IFERROR(__xludf.DUMMYFUNCTION("""COMPUTED_VALUE"""),"SHPB24-LAPANGAN-FEBRUARI-PPL-PENDATAAN")</f>
        <v>SHPB24-LAPANGAN-FEBRUARI-PPL-PENDATAAN</v>
      </c>
      <c r="L106" s="10" t="str">
        <f ca="1">IFERROR(__xludf.DUMMYFUNCTION("""COMPUTED_VALUE"""),"Dokumen")</f>
        <v>Dokumen</v>
      </c>
      <c r="M106" s="66">
        <f ca="1">IFERROR(__xludf.DUMMYFUNCTION("""COMPUTED_VALUE"""),50000)</f>
        <v>50000</v>
      </c>
      <c r="N106" s="10">
        <f ca="1">IFERROR(__xludf.DUMMYFUNCTION("""COMPUTED_VALUE"""),15)</f>
        <v>15</v>
      </c>
      <c r="O106" s="10">
        <f ca="1">IFERROR(__xludf.DUMMYFUNCTION("""COMPUTED_VALUE"""),750000)</f>
        <v>750000</v>
      </c>
      <c r="P106" s="10"/>
      <c r="Q106" s="67">
        <f ca="1">IFERROR(__xludf.DUMMYFUNCTION("""COMPUTED_VALUE"""),45342)</f>
        <v>45342</v>
      </c>
    </row>
    <row r="107" spans="1:17" ht="12.5">
      <c r="A107" s="82">
        <f t="array" aca="1" ref="A107" ca="1">INDEX('Database Mitra'!$R$2:$R1001,MATCH(C107,'Database Mitra'!$B$2:$B1001,0))</f>
        <v>32942</v>
      </c>
      <c r="B107" s="10" t="e">
        <f t="shared" ca="1" si="0"/>
        <v>#NAME?</v>
      </c>
      <c r="C107" s="83">
        <f ca="1">IFERROR(__xludf.DUMMYFUNCTION("""COMPUTED_VALUE"""),610422100244)</f>
        <v>610422100244</v>
      </c>
      <c r="D107" s="10" t="str">
        <f ca="1">IFERROR(__xludf.DUMMYFUNCTION("""COMPUTED_VALUE"""),"HPG24-LAPANGAN-FEBRUARI")</f>
        <v>HPG24-LAPANGAN-FEBRUARI</v>
      </c>
      <c r="E107" s="10"/>
      <c r="F107" s="10">
        <f ca="1">IFERROR(__xludf.DUMMYFUNCTION("""COMPUTED_VALUE"""),1)</f>
        <v>1</v>
      </c>
      <c r="G107" s="10" t="str">
        <f ca="1">IFERROR(__xludf.DUMMYFUNCTION("""COMPUTED_VALUE"""),"Sugianto")</f>
        <v>Sugianto</v>
      </c>
      <c r="H107" s="10" t="str">
        <f ca="1">IFERROR(__xludf.DUMMYFUNCTION("""COMPUTED_VALUE"""),"PPL")</f>
        <v>PPL</v>
      </c>
      <c r="I107" s="10" t="str">
        <f ca="1">IFERROR(__xludf.DUMMYFUNCTION("""COMPUTED_VALUE"""),"6102171003900002")</f>
        <v>6102171003900002</v>
      </c>
      <c r="J107" s="10" t="str">
        <f ca="1">IFERROR(__xludf.DUMMYFUNCTION("""COMPUTED_VALUE"""),"PENDATAAN")</f>
        <v>PENDATAAN</v>
      </c>
      <c r="K107" s="10" t="str">
        <f ca="1">IFERROR(__xludf.DUMMYFUNCTION("""COMPUTED_VALUE"""),"HPG24-LAPANGAN-FEBRUARI-PPL-PENDATAAN")</f>
        <v>HPG24-LAPANGAN-FEBRUARI-PPL-PENDATAAN</v>
      </c>
      <c r="L107" s="10" t="str">
        <f ca="1">IFERROR(__xludf.DUMMYFUNCTION("""COMPUTED_VALUE"""),"Dokumen")</f>
        <v>Dokumen</v>
      </c>
      <c r="M107" s="66">
        <f ca="1">IFERROR(__xludf.DUMMYFUNCTION("""COMPUTED_VALUE"""),50000)</f>
        <v>50000</v>
      </c>
      <c r="N107" s="10">
        <f ca="1">IFERROR(__xludf.DUMMYFUNCTION("""COMPUTED_VALUE"""),1)</f>
        <v>1</v>
      </c>
      <c r="O107" s="10">
        <f ca="1">IFERROR(__xludf.DUMMYFUNCTION("""COMPUTED_VALUE"""),50000)</f>
        <v>50000</v>
      </c>
      <c r="P107" s="10"/>
      <c r="Q107" s="67">
        <f ca="1">IFERROR(__xludf.DUMMYFUNCTION("""COMPUTED_VALUE"""),45342)</f>
        <v>45342</v>
      </c>
    </row>
    <row r="108" spans="1:17" ht="12.5">
      <c r="A108" s="82">
        <f t="array" aca="1" ref="A108" ca="1">INDEX('Database Mitra'!$R$2:$R1001,MATCH(C108,'Database Mitra'!$B$2:$B1001,0))</f>
        <v>29068</v>
      </c>
      <c r="B108" s="10" t="e">
        <f t="shared" ca="1" si="0"/>
        <v>#NAME?</v>
      </c>
      <c r="C108" s="83">
        <f ca="1">IFERROR(__xludf.DUMMYFUNCTION("""COMPUTED_VALUE"""),610422100124)</f>
        <v>610422100124</v>
      </c>
      <c r="D108" s="10" t="str">
        <f ca="1">IFERROR(__xludf.DUMMYFUNCTION("""COMPUTED_VALUE"""),"HPG24-LAPANGAN-FEBRUARI")</f>
        <v>HPG24-LAPANGAN-FEBRUARI</v>
      </c>
      <c r="E108" s="10"/>
      <c r="F108" s="10">
        <f ca="1">IFERROR(__xludf.DUMMYFUNCTION("""COMPUTED_VALUE"""),1)</f>
        <v>1</v>
      </c>
      <c r="G108" s="10" t="str">
        <f ca="1">IFERROR(__xludf.DUMMYFUNCTION("""COMPUTED_VALUE"""),"Prabowo")</f>
        <v>Prabowo</v>
      </c>
      <c r="H108" s="10" t="str">
        <f ca="1">IFERROR(__xludf.DUMMYFUNCTION("""COMPUTED_VALUE"""),"PPL")</f>
        <v>PPL</v>
      </c>
      <c r="I108" s="10" t="str">
        <f ca="1">IFERROR(__xludf.DUMMYFUNCTION("""COMPUTED_VALUE"""),"6171010108790015")</f>
        <v>6171010108790015</v>
      </c>
      <c r="J108" s="10" t="str">
        <f ca="1">IFERROR(__xludf.DUMMYFUNCTION("""COMPUTED_VALUE"""),"PENDATAAN")</f>
        <v>PENDATAAN</v>
      </c>
      <c r="K108" s="10" t="str">
        <f ca="1">IFERROR(__xludf.DUMMYFUNCTION("""COMPUTED_VALUE"""),"HPG24-LAPANGAN-FEBRUARI-PPL-PENDATAAN")</f>
        <v>HPG24-LAPANGAN-FEBRUARI-PPL-PENDATAAN</v>
      </c>
      <c r="L108" s="10" t="str">
        <f ca="1">IFERROR(__xludf.DUMMYFUNCTION("""COMPUTED_VALUE"""),"Dokumen")</f>
        <v>Dokumen</v>
      </c>
      <c r="M108" s="66">
        <f ca="1">IFERROR(__xludf.DUMMYFUNCTION("""COMPUTED_VALUE"""),50000)</f>
        <v>50000</v>
      </c>
      <c r="N108" s="10">
        <f ca="1">IFERROR(__xludf.DUMMYFUNCTION("""COMPUTED_VALUE"""),1)</f>
        <v>1</v>
      </c>
      <c r="O108" s="10">
        <f ca="1">IFERROR(__xludf.DUMMYFUNCTION("""COMPUTED_VALUE"""),50000)</f>
        <v>50000</v>
      </c>
      <c r="P108" s="10"/>
      <c r="Q108" s="67">
        <f ca="1">IFERROR(__xludf.DUMMYFUNCTION("""COMPUTED_VALUE"""),45342)</f>
        <v>45342</v>
      </c>
    </row>
    <row r="109" spans="1:17" ht="12.5">
      <c r="A109" s="82">
        <f t="array" aca="1" ref="A109" ca="1">INDEX('Database Mitra'!$R$2:$R1001,MATCH(C109,'Database Mitra'!$B$2:$B1001,0))</f>
        <v>37531</v>
      </c>
      <c r="B109" s="10" t="e">
        <f t="shared" ca="1" si="0"/>
        <v>#NAME?</v>
      </c>
      <c r="C109" s="83">
        <f ca="1">IFERROR(__xludf.DUMMYFUNCTION("""COMPUTED_VALUE"""),610422100016)</f>
        <v>610422100016</v>
      </c>
      <c r="D109" s="10" t="str">
        <f ca="1">IFERROR(__xludf.DUMMYFUNCTION("""COMPUTED_VALUE"""),"SHPED24-LAPANGAN-FEBRUARI")</f>
        <v>SHPED24-LAPANGAN-FEBRUARI</v>
      </c>
      <c r="E109" s="10"/>
      <c r="F109" s="10">
        <f ca="1">IFERROR(__xludf.DUMMYFUNCTION("""COMPUTED_VALUE"""),1)</f>
        <v>1</v>
      </c>
      <c r="G109" s="10" t="str">
        <f ca="1">IFERROR(__xludf.DUMMYFUNCTION("""COMPUTED_VALUE"""),"Amalia Faisya")</f>
        <v>Amalia Faisya</v>
      </c>
      <c r="H109" s="10" t="str">
        <f ca="1">IFERROR(__xludf.DUMMYFUNCTION("""COMPUTED_VALUE"""),"PPL")</f>
        <v>PPL</v>
      </c>
      <c r="I109" s="10" t="str">
        <f ca="1">IFERROR(__xludf.DUMMYFUNCTION("""COMPUTED_VALUE"""),"6102124210010005")</f>
        <v>6102124210010005</v>
      </c>
      <c r="J109" s="10" t="str">
        <f ca="1">IFERROR(__xludf.DUMMYFUNCTION("""COMPUTED_VALUE"""),"PENDATAAN KONSUMEN")</f>
        <v>PENDATAAN KONSUMEN</v>
      </c>
      <c r="K109" s="10" t="str">
        <f ca="1">IFERROR(__xludf.DUMMYFUNCTION("""COMPUTED_VALUE"""),"SHPED24-LAPANGAN-FEBRUARI-PPL-PENDATAAN KONSUMEN")</f>
        <v>SHPED24-LAPANGAN-FEBRUARI-PPL-PENDATAAN KONSUMEN</v>
      </c>
      <c r="L109" s="10" t="str">
        <f ca="1">IFERROR(__xludf.DUMMYFUNCTION("""COMPUTED_VALUE"""),"Dokumen")</f>
        <v>Dokumen</v>
      </c>
      <c r="M109" s="66">
        <f ca="1">IFERROR(__xludf.DUMMYFUNCTION("""COMPUTED_VALUE"""),65000)</f>
        <v>65000</v>
      </c>
      <c r="N109" s="10">
        <f ca="1">IFERROR(__xludf.DUMMYFUNCTION("""COMPUTED_VALUE"""),3)</f>
        <v>3</v>
      </c>
      <c r="O109" s="10">
        <f ca="1">IFERROR(__xludf.DUMMYFUNCTION("""COMPUTED_VALUE"""),195000)</f>
        <v>195000</v>
      </c>
      <c r="P109" s="10"/>
      <c r="Q109" s="67">
        <f ca="1">IFERROR(__xludf.DUMMYFUNCTION("""COMPUTED_VALUE"""),45342)</f>
        <v>45342</v>
      </c>
    </row>
    <row r="110" spans="1:17" ht="12.5">
      <c r="A110" s="82">
        <f t="array" aca="1" ref="A110" ca="1">INDEX('Database Mitra'!$R$2:$R1001,MATCH(C110,'Database Mitra'!$B$2:$B1001,0))</f>
        <v>30692</v>
      </c>
      <c r="B110" s="10" t="e">
        <f t="shared" ca="1" si="0"/>
        <v>#NAME?</v>
      </c>
      <c r="C110" s="83">
        <f ca="1">IFERROR(__xludf.DUMMYFUNCTION("""COMPUTED_VALUE"""),610422050001)</f>
        <v>610422050001</v>
      </c>
      <c r="D110" s="10" t="str">
        <f ca="1">IFERROR(__xludf.DUMMYFUNCTION("""COMPUTED_VALUE"""),"SHPED24-LAPANGAN-FEBRUARI")</f>
        <v>SHPED24-LAPANGAN-FEBRUARI</v>
      </c>
      <c r="E110" s="10"/>
      <c r="F110" s="10">
        <f ca="1">IFERROR(__xludf.DUMMYFUNCTION("""COMPUTED_VALUE"""),1)</f>
        <v>1</v>
      </c>
      <c r="G110" s="10" t="str">
        <f ca="1">IFERROR(__xludf.DUMMYFUNCTION("""COMPUTED_VALUE"""),"Evi Juniarty")</f>
        <v>Evi Juniarty</v>
      </c>
      <c r="H110" s="10" t="str">
        <f ca="1">IFERROR(__xludf.DUMMYFUNCTION("""COMPUTED_VALUE"""),"PPL")</f>
        <v>PPL</v>
      </c>
      <c r="I110" s="10" t="str">
        <f ca="1">IFERROR(__xludf.DUMMYFUNCTION("""COMPUTED_VALUE"""),"6102165101840001")</f>
        <v>6102165101840001</v>
      </c>
      <c r="J110" s="10" t="str">
        <f ca="1">IFERROR(__xludf.DUMMYFUNCTION("""COMPUTED_VALUE"""),"PENDATAAN KONSUMEN")</f>
        <v>PENDATAAN KONSUMEN</v>
      </c>
      <c r="K110" s="10" t="str">
        <f ca="1">IFERROR(__xludf.DUMMYFUNCTION("""COMPUTED_VALUE"""),"SHPED24-LAPANGAN-FEBRUARI-PPL-PENDATAAN KONSUMEN")</f>
        <v>SHPED24-LAPANGAN-FEBRUARI-PPL-PENDATAAN KONSUMEN</v>
      </c>
      <c r="L110" s="10" t="str">
        <f ca="1">IFERROR(__xludf.DUMMYFUNCTION("""COMPUTED_VALUE"""),"Dokumen")</f>
        <v>Dokumen</v>
      </c>
      <c r="M110" s="66">
        <f ca="1">IFERROR(__xludf.DUMMYFUNCTION("""COMPUTED_VALUE"""),65000)</f>
        <v>65000</v>
      </c>
      <c r="N110" s="10">
        <f ca="1">IFERROR(__xludf.DUMMYFUNCTION("""COMPUTED_VALUE"""),3)</f>
        <v>3</v>
      </c>
      <c r="O110" s="10">
        <f ca="1">IFERROR(__xludf.DUMMYFUNCTION("""COMPUTED_VALUE"""),195000)</f>
        <v>195000</v>
      </c>
      <c r="P110" s="10"/>
      <c r="Q110" s="67">
        <f ca="1">IFERROR(__xludf.DUMMYFUNCTION("""COMPUTED_VALUE"""),45342)</f>
        <v>45342</v>
      </c>
    </row>
    <row r="111" spans="1:17" ht="12.5">
      <c r="A111" s="82">
        <f t="array" aca="1" ref="A111" ca="1">INDEX('Database Mitra'!$R$2:$R1001,MATCH(C111,'Database Mitra'!$B$2:$B1001,0))</f>
        <v>35038</v>
      </c>
      <c r="B111" s="10" t="e">
        <f t="shared" ca="1" si="0"/>
        <v>#NAME?</v>
      </c>
      <c r="C111" s="83">
        <f ca="1">IFERROR(__xludf.DUMMYFUNCTION("""COMPUTED_VALUE"""),610422040030)</f>
        <v>610422040030</v>
      </c>
      <c r="D111" s="10" t="str">
        <f ca="1">IFERROR(__xludf.DUMMYFUNCTION("""COMPUTED_VALUE"""),"SHPED24-LAPANGAN-FEBRUARI")</f>
        <v>SHPED24-LAPANGAN-FEBRUARI</v>
      </c>
      <c r="E111" s="10"/>
      <c r="F111" s="10">
        <f ca="1">IFERROR(__xludf.DUMMYFUNCTION("""COMPUTED_VALUE"""),1)</f>
        <v>1</v>
      </c>
      <c r="G111" s="10" t="str">
        <f ca="1">IFERROR(__xludf.DUMMYFUNCTION("""COMPUTED_VALUE"""),"Syarifah Desti Pratiwi")</f>
        <v>Syarifah Desti Pratiwi</v>
      </c>
      <c r="H111" s="10" t="str">
        <f ca="1">IFERROR(__xludf.DUMMYFUNCTION("""COMPUTED_VALUE"""),"PPL")</f>
        <v>PPL</v>
      </c>
      <c r="I111" s="10" t="str">
        <f ca="1">IFERROR(__xludf.DUMMYFUNCTION("""COMPUTED_VALUE"""),"6102084512950002")</f>
        <v>6102084512950002</v>
      </c>
      <c r="J111" s="10" t="str">
        <f ca="1">IFERROR(__xludf.DUMMYFUNCTION("""COMPUTED_VALUE"""),"PENDATAAN PRODUSEN")</f>
        <v>PENDATAAN PRODUSEN</v>
      </c>
      <c r="K111" s="10" t="str">
        <f ca="1">IFERROR(__xludf.DUMMYFUNCTION("""COMPUTED_VALUE"""),"SHPED24-LAPANGAN-FEBRUARI-PPL-PENDATAAN PRODUSEN")</f>
        <v>SHPED24-LAPANGAN-FEBRUARI-PPL-PENDATAAN PRODUSEN</v>
      </c>
      <c r="L111" s="10" t="str">
        <f ca="1">IFERROR(__xludf.DUMMYFUNCTION("""COMPUTED_VALUE"""),"Dokumen")</f>
        <v>Dokumen</v>
      </c>
      <c r="M111" s="66">
        <f ca="1">IFERROR(__xludf.DUMMYFUNCTION("""COMPUTED_VALUE"""),55000)</f>
        <v>55000</v>
      </c>
      <c r="N111" s="10">
        <f ca="1">IFERROR(__xludf.DUMMYFUNCTION("""COMPUTED_VALUE"""),1)</f>
        <v>1</v>
      </c>
      <c r="O111" s="10">
        <f ca="1">IFERROR(__xludf.DUMMYFUNCTION("""COMPUTED_VALUE"""),55000)</f>
        <v>55000</v>
      </c>
      <c r="P111" s="10"/>
      <c r="Q111" s="67">
        <f ca="1">IFERROR(__xludf.DUMMYFUNCTION("""COMPUTED_VALUE"""),45342)</f>
        <v>45342</v>
      </c>
    </row>
    <row r="112" spans="1:17" ht="12.5">
      <c r="A112" s="82">
        <f t="array" aca="1" ref="A112" ca="1">INDEX('Database Mitra'!$R$2:$R1001,MATCH(C112,'Database Mitra'!$B$2:$B1001,0))</f>
        <v>29068</v>
      </c>
      <c r="B112" s="10" t="e">
        <f t="shared" ca="1" si="0"/>
        <v>#NAME?</v>
      </c>
      <c r="C112" s="83">
        <f ca="1">IFERROR(__xludf.DUMMYFUNCTION("""COMPUTED_VALUE"""),610422100124)</f>
        <v>610422100124</v>
      </c>
      <c r="D112" s="10" t="str">
        <f ca="1">IFERROR(__xludf.DUMMYFUNCTION("""COMPUTED_VALUE"""),"SHPED24-LAPANGAN-FEBRUARI")</f>
        <v>SHPED24-LAPANGAN-FEBRUARI</v>
      </c>
      <c r="E112" s="10"/>
      <c r="F112" s="10">
        <f ca="1">IFERROR(__xludf.DUMMYFUNCTION("""COMPUTED_VALUE"""),1)</f>
        <v>1</v>
      </c>
      <c r="G112" s="10" t="str">
        <f ca="1">IFERROR(__xludf.DUMMYFUNCTION("""COMPUTED_VALUE"""),"Prabowo")</f>
        <v>Prabowo</v>
      </c>
      <c r="H112" s="10" t="str">
        <f ca="1">IFERROR(__xludf.DUMMYFUNCTION("""COMPUTED_VALUE"""),"PPL")</f>
        <v>PPL</v>
      </c>
      <c r="I112" s="10" t="str">
        <f ca="1">IFERROR(__xludf.DUMMYFUNCTION("""COMPUTED_VALUE"""),"6171010108790015")</f>
        <v>6171010108790015</v>
      </c>
      <c r="J112" s="10" t="str">
        <f ca="1">IFERROR(__xludf.DUMMYFUNCTION("""COMPUTED_VALUE"""),"PENDATAAN PRODUSEN")</f>
        <v>PENDATAAN PRODUSEN</v>
      </c>
      <c r="K112" s="10" t="str">
        <f ca="1">IFERROR(__xludf.DUMMYFUNCTION("""COMPUTED_VALUE"""),"SHPED24-LAPANGAN-FEBRUARI-PPL-PENDATAAN PRODUSEN")</f>
        <v>SHPED24-LAPANGAN-FEBRUARI-PPL-PENDATAAN PRODUSEN</v>
      </c>
      <c r="L112" s="10" t="str">
        <f ca="1">IFERROR(__xludf.DUMMYFUNCTION("""COMPUTED_VALUE"""),"Dokumen")</f>
        <v>Dokumen</v>
      </c>
      <c r="M112" s="66">
        <f ca="1">IFERROR(__xludf.DUMMYFUNCTION("""COMPUTED_VALUE"""),55000)</f>
        <v>55000</v>
      </c>
      <c r="N112" s="10">
        <f ca="1">IFERROR(__xludf.DUMMYFUNCTION("""COMPUTED_VALUE"""),3)</f>
        <v>3</v>
      </c>
      <c r="O112" s="10">
        <f ca="1">IFERROR(__xludf.DUMMYFUNCTION("""COMPUTED_VALUE"""),165000)</f>
        <v>165000</v>
      </c>
      <c r="P112" s="10"/>
      <c r="Q112" s="67">
        <f ca="1">IFERROR(__xludf.DUMMYFUNCTION("""COMPUTED_VALUE"""),45342)</f>
        <v>45342</v>
      </c>
    </row>
    <row r="113" spans="1:17" ht="12.5">
      <c r="A113" s="82">
        <f t="array" aca="1" ref="A113" ca="1">INDEX('Database Mitra'!$R$2:$R1001,MATCH(C113,'Database Mitra'!$B$2:$B1001,0))</f>
        <v>32942</v>
      </c>
      <c r="B113" s="10" t="e">
        <f t="shared" ca="1" si="0"/>
        <v>#NAME?</v>
      </c>
      <c r="C113" s="83">
        <f ca="1">IFERROR(__xludf.DUMMYFUNCTION("""COMPUTED_VALUE"""),610422100244)</f>
        <v>610422100244</v>
      </c>
      <c r="D113" s="10" t="str">
        <f ca="1">IFERROR(__xludf.DUMMYFUNCTION("""COMPUTED_VALUE"""),"SHPED24-LAPANGAN-FEBRUARI")</f>
        <v>SHPED24-LAPANGAN-FEBRUARI</v>
      </c>
      <c r="E113" s="10"/>
      <c r="F113" s="10">
        <f ca="1">IFERROR(__xludf.DUMMYFUNCTION("""COMPUTED_VALUE"""),1)</f>
        <v>1</v>
      </c>
      <c r="G113" s="10" t="str">
        <f ca="1">IFERROR(__xludf.DUMMYFUNCTION("""COMPUTED_VALUE"""),"Sugianto")</f>
        <v>Sugianto</v>
      </c>
      <c r="H113" s="10" t="str">
        <f ca="1">IFERROR(__xludf.DUMMYFUNCTION("""COMPUTED_VALUE"""),"PPL")</f>
        <v>PPL</v>
      </c>
      <c r="I113" s="10" t="str">
        <f ca="1">IFERROR(__xludf.DUMMYFUNCTION("""COMPUTED_VALUE"""),"6102171003900002")</f>
        <v>6102171003900002</v>
      </c>
      <c r="J113" s="10" t="str">
        <f ca="1">IFERROR(__xludf.DUMMYFUNCTION("""COMPUTED_VALUE"""),"PENDATAAN PRODUSEN")</f>
        <v>PENDATAAN PRODUSEN</v>
      </c>
      <c r="K113" s="10" t="str">
        <f ca="1">IFERROR(__xludf.DUMMYFUNCTION("""COMPUTED_VALUE"""),"SHPED24-LAPANGAN-FEBRUARI-PPL-PENDATAAN PRODUSEN")</f>
        <v>SHPED24-LAPANGAN-FEBRUARI-PPL-PENDATAAN PRODUSEN</v>
      </c>
      <c r="L113" s="10" t="str">
        <f ca="1">IFERROR(__xludf.DUMMYFUNCTION("""COMPUTED_VALUE"""),"Dokumen")</f>
        <v>Dokumen</v>
      </c>
      <c r="M113" s="66">
        <f ca="1">IFERROR(__xludf.DUMMYFUNCTION("""COMPUTED_VALUE"""),55000)</f>
        <v>55000</v>
      </c>
      <c r="N113" s="10">
        <f ca="1">IFERROR(__xludf.DUMMYFUNCTION("""COMPUTED_VALUE"""),2)</f>
        <v>2</v>
      </c>
      <c r="O113" s="10">
        <f ca="1">IFERROR(__xludf.DUMMYFUNCTION("""COMPUTED_VALUE"""),110000)</f>
        <v>110000</v>
      </c>
      <c r="P113" s="10"/>
      <c r="Q113" s="67">
        <f ca="1">IFERROR(__xludf.DUMMYFUNCTION("""COMPUTED_VALUE"""),45342)</f>
        <v>45342</v>
      </c>
    </row>
    <row r="114" spans="1:17" ht="12.5">
      <c r="A114" s="11">
        <f t="array" aca="1" ref="A114" ca="1">INDEX('Database Mitra'!$R$2:$R1001,MATCH(C114,'Database Mitra'!$B$2:$B1001,0))</f>
        <v>34895</v>
      </c>
      <c r="B114" s="10" t="e">
        <f t="shared" ca="1" si="0"/>
        <v>#NAME?</v>
      </c>
      <c r="C114" s="83">
        <f ca="1">IFERROR(__xludf.DUMMYFUNCTION("""COMPUTED_VALUE"""),610422020016)</f>
        <v>610422020016</v>
      </c>
      <c r="D114" s="10" t="str">
        <f ca="1">IFERROR(__xludf.DUMMYFUNCTION("""COMPUTED_VALUE"""),"SHPED24-LAPANGAN-FEBRUARI")</f>
        <v>SHPED24-LAPANGAN-FEBRUARI</v>
      </c>
      <c r="E114" s="10"/>
      <c r="F114" s="10">
        <f ca="1">IFERROR(__xludf.DUMMYFUNCTION("""COMPUTED_VALUE"""),1)</f>
        <v>1</v>
      </c>
      <c r="G114" s="10" t="str">
        <f ca="1">IFERROR(__xludf.DUMMYFUNCTION("""COMPUTED_VALUE"""),"Abdul Aziz")</f>
        <v>Abdul Aziz</v>
      </c>
      <c r="H114" s="10" t="str">
        <f ca="1">IFERROR(__xludf.DUMMYFUNCTION("""COMPUTED_VALUE"""),"PPL")</f>
        <v>PPL</v>
      </c>
      <c r="I114" s="10" t="str">
        <f ca="1">IFERROR(__xludf.DUMMYFUNCTION("""COMPUTED_VALUE"""),"6102061507950006")</f>
        <v>6102061507950006</v>
      </c>
      <c r="J114" s="10" t="str">
        <f ca="1">IFERROR(__xludf.DUMMYFUNCTION("""COMPUTED_VALUE"""),"PENDATAAN PRODUSEN")</f>
        <v>PENDATAAN PRODUSEN</v>
      </c>
      <c r="K114" s="10" t="str">
        <f ca="1">IFERROR(__xludf.DUMMYFUNCTION("""COMPUTED_VALUE"""),"SHPED24-LAPANGAN-FEBRUARI-PPL-PENDATAAN PRODUSEN")</f>
        <v>SHPED24-LAPANGAN-FEBRUARI-PPL-PENDATAAN PRODUSEN</v>
      </c>
      <c r="L114" s="10" t="str">
        <f ca="1">IFERROR(__xludf.DUMMYFUNCTION("""COMPUTED_VALUE"""),"Dokumen")</f>
        <v>Dokumen</v>
      </c>
      <c r="M114" s="66">
        <f ca="1">IFERROR(__xludf.DUMMYFUNCTION("""COMPUTED_VALUE"""),55000)</f>
        <v>55000</v>
      </c>
      <c r="N114" s="10">
        <f ca="1">IFERROR(__xludf.DUMMYFUNCTION("""COMPUTED_VALUE"""),3)</f>
        <v>3</v>
      </c>
      <c r="O114" s="10">
        <f ca="1">IFERROR(__xludf.DUMMYFUNCTION("""COMPUTED_VALUE"""),165000)</f>
        <v>165000</v>
      </c>
      <c r="P114" s="10"/>
      <c r="Q114" s="67">
        <f ca="1">IFERROR(__xludf.DUMMYFUNCTION("""COMPUTED_VALUE"""),45342)</f>
        <v>45342</v>
      </c>
    </row>
    <row r="115" spans="1:17" ht="12.5">
      <c r="A115" s="82">
        <f t="array" aca="1" ref="A115" ca="1">INDEX('Database Mitra'!$R$2:$R1001,MATCH(C115,'Database Mitra'!$B$2:$B1001,0))</f>
        <v>37531</v>
      </c>
      <c r="B115" s="10" t="e">
        <f t="shared" ca="1" si="0"/>
        <v>#NAME?</v>
      </c>
      <c r="C115" s="83">
        <f ca="1">IFERROR(__xludf.DUMMYFUNCTION("""COMPUTED_VALUE"""),610422100016)</f>
        <v>610422100016</v>
      </c>
      <c r="D115" s="10" t="str">
        <f ca="1">IFERROR(__xludf.DUMMYFUNCTION("""COMPUTED_VALUE"""),"SHPED24-LAPANGAN-FEBRUARI")</f>
        <v>SHPED24-LAPANGAN-FEBRUARI</v>
      </c>
      <c r="E115" s="10"/>
      <c r="F115" s="10">
        <f ca="1">IFERROR(__xludf.DUMMYFUNCTION("""COMPUTED_VALUE"""),1)</f>
        <v>1</v>
      </c>
      <c r="G115" s="10" t="str">
        <f ca="1">IFERROR(__xludf.DUMMYFUNCTION("""COMPUTED_VALUE"""),"Amalia Faisya")</f>
        <v>Amalia Faisya</v>
      </c>
      <c r="H115" s="10" t="str">
        <f ca="1">IFERROR(__xludf.DUMMYFUNCTION("""COMPUTED_VALUE"""),"PPL")</f>
        <v>PPL</v>
      </c>
      <c r="I115" s="10" t="str">
        <f ca="1">IFERROR(__xludf.DUMMYFUNCTION("""COMPUTED_VALUE"""),"6102124210010005")</f>
        <v>6102124210010005</v>
      </c>
      <c r="J115" s="10" t="str">
        <f ca="1">IFERROR(__xludf.DUMMYFUNCTION("""COMPUTED_VALUE"""),"PENDATAAN PRODUSEN")</f>
        <v>PENDATAAN PRODUSEN</v>
      </c>
      <c r="K115" s="10" t="str">
        <f ca="1">IFERROR(__xludf.DUMMYFUNCTION("""COMPUTED_VALUE"""),"SHPED24-LAPANGAN-FEBRUARI-PPL-PENDATAAN PRODUSEN")</f>
        <v>SHPED24-LAPANGAN-FEBRUARI-PPL-PENDATAAN PRODUSEN</v>
      </c>
      <c r="L115" s="10" t="str">
        <f ca="1">IFERROR(__xludf.DUMMYFUNCTION("""COMPUTED_VALUE"""),"Dokumen")</f>
        <v>Dokumen</v>
      </c>
      <c r="M115" s="66">
        <f ca="1">IFERROR(__xludf.DUMMYFUNCTION("""COMPUTED_VALUE"""),55000)</f>
        <v>55000</v>
      </c>
      <c r="N115" s="10">
        <f ca="1">IFERROR(__xludf.DUMMYFUNCTION("""COMPUTED_VALUE"""),1)</f>
        <v>1</v>
      </c>
      <c r="O115" s="10">
        <f ca="1">IFERROR(__xludf.DUMMYFUNCTION("""COMPUTED_VALUE"""),55000)</f>
        <v>55000</v>
      </c>
      <c r="P115" s="10"/>
      <c r="Q115" s="67">
        <f ca="1">IFERROR(__xludf.DUMMYFUNCTION("""COMPUTED_VALUE"""),45342)</f>
        <v>45342</v>
      </c>
    </row>
    <row r="116" spans="1:17" ht="12.5">
      <c r="A116" s="11">
        <f t="array" aca="1" ref="A116" ca="1">INDEX('Database Mitra'!$R$2:$R1001,MATCH(C116,'Database Mitra'!$B$2:$B1001,0))</f>
        <v>29305</v>
      </c>
      <c r="B116" s="10" t="e">
        <f t="shared" ca="1" si="0"/>
        <v>#NAME?</v>
      </c>
      <c r="C116" s="83">
        <f ca="1">IFERROR(__xludf.DUMMYFUNCTION("""COMPUTED_VALUE"""),610422020048)</f>
        <v>610422020048</v>
      </c>
      <c r="D116" s="10" t="str">
        <f ca="1">IFERROR(__xludf.DUMMYFUNCTION("""COMPUTED_VALUE"""),"SHPED24-LAPANGAN-FEBRUARI")</f>
        <v>SHPED24-LAPANGAN-FEBRUARI</v>
      </c>
      <c r="E116" s="10"/>
      <c r="F116" s="10">
        <f ca="1">IFERROR(__xludf.DUMMYFUNCTION("""COMPUTED_VALUE"""),1)</f>
        <v>1</v>
      </c>
      <c r="G116" s="10" t="str">
        <f ca="1">IFERROR(__xludf.DUMMYFUNCTION("""COMPUTED_VALUE"""),"Herri Gustaman")</f>
        <v>Herri Gustaman</v>
      </c>
      <c r="H116" s="10" t="str">
        <f ca="1">IFERROR(__xludf.DUMMYFUNCTION("""COMPUTED_VALUE"""),"PPL")</f>
        <v>PPL</v>
      </c>
      <c r="I116" s="10" t="str">
        <f ca="1">IFERROR(__xludf.DUMMYFUNCTION("""COMPUTED_VALUE"""),"6102072503800001")</f>
        <v>6102072503800001</v>
      </c>
      <c r="J116" s="10" t="str">
        <f ca="1">IFERROR(__xludf.DUMMYFUNCTION("""COMPUTED_VALUE"""),"PENDATAAN PRODUSEN")</f>
        <v>PENDATAAN PRODUSEN</v>
      </c>
      <c r="K116" s="10" t="str">
        <f ca="1">IFERROR(__xludf.DUMMYFUNCTION("""COMPUTED_VALUE"""),"SHPED24-LAPANGAN-FEBRUARI-PPL-PENDATAAN PRODUSEN")</f>
        <v>SHPED24-LAPANGAN-FEBRUARI-PPL-PENDATAAN PRODUSEN</v>
      </c>
      <c r="L116" s="10" t="str">
        <f ca="1">IFERROR(__xludf.DUMMYFUNCTION("""COMPUTED_VALUE"""),"Dokumen")</f>
        <v>Dokumen</v>
      </c>
      <c r="M116" s="66">
        <f ca="1">IFERROR(__xludf.DUMMYFUNCTION("""COMPUTED_VALUE"""),55000)</f>
        <v>55000</v>
      </c>
      <c r="N116" s="10">
        <f ca="1">IFERROR(__xludf.DUMMYFUNCTION("""COMPUTED_VALUE"""),3)</f>
        <v>3</v>
      </c>
      <c r="O116" s="10">
        <f ca="1">IFERROR(__xludf.DUMMYFUNCTION("""COMPUTED_VALUE"""),165000)</f>
        <v>165000</v>
      </c>
      <c r="P116" s="10"/>
      <c r="Q116" s="67">
        <f ca="1">IFERROR(__xludf.DUMMYFUNCTION("""COMPUTED_VALUE"""),45342)</f>
        <v>45342</v>
      </c>
    </row>
    <row r="117" spans="1:17" ht="12.5">
      <c r="A117" s="82">
        <f t="array" aca="1" ref="A117" ca="1">INDEX('Database Mitra'!$R$2:$R1001,MATCH(C117,'Database Mitra'!$B$2:$B1001,0))</f>
        <v>31964</v>
      </c>
      <c r="B117" s="10" t="e">
        <f t="shared" ca="1" si="0"/>
        <v>#NAME?</v>
      </c>
      <c r="C117" s="83">
        <f ca="1">IFERROR(__xludf.DUMMYFUNCTION("""COMPUTED_VALUE"""),610422040029)</f>
        <v>610422040029</v>
      </c>
      <c r="D117" s="10" t="str">
        <f ca="1">IFERROR(__xludf.DUMMYFUNCTION("""COMPUTED_VALUE"""),"SHPED24-LAPANGAN-FEBRUARI")</f>
        <v>SHPED24-LAPANGAN-FEBRUARI</v>
      </c>
      <c r="E117" s="10"/>
      <c r="F117" s="10">
        <f ca="1">IFERROR(__xludf.DUMMYFUNCTION("""COMPUTED_VALUE"""),1)</f>
        <v>1</v>
      </c>
      <c r="G117" s="10" t="str">
        <f ca="1">IFERROR(__xludf.DUMMYFUNCTION("""COMPUTED_VALUE"""),"Zaini")</f>
        <v>Zaini</v>
      </c>
      <c r="H117" s="10" t="str">
        <f ca="1">IFERROR(__xludf.DUMMYFUNCTION("""COMPUTED_VALUE"""),"PPL")</f>
        <v>PPL</v>
      </c>
      <c r="I117" s="10" t="str">
        <f ca="1">IFERROR(__xludf.DUMMYFUNCTION("""COMPUTED_VALUE"""),"6102010607870002")</f>
        <v>6102010607870002</v>
      </c>
      <c r="J117" s="10" t="str">
        <f ca="1">IFERROR(__xludf.DUMMYFUNCTION("""COMPUTED_VALUE"""),"PENDATAAN PRODUSEN")</f>
        <v>PENDATAAN PRODUSEN</v>
      </c>
      <c r="K117" s="10" t="str">
        <f ca="1">IFERROR(__xludf.DUMMYFUNCTION("""COMPUTED_VALUE"""),"SHPED24-LAPANGAN-FEBRUARI-PPL-PENDATAAN PRODUSEN")</f>
        <v>SHPED24-LAPANGAN-FEBRUARI-PPL-PENDATAAN PRODUSEN</v>
      </c>
      <c r="L117" s="10" t="str">
        <f ca="1">IFERROR(__xludf.DUMMYFUNCTION("""COMPUTED_VALUE"""),"Dokumen")</f>
        <v>Dokumen</v>
      </c>
      <c r="M117" s="66">
        <f ca="1">IFERROR(__xludf.DUMMYFUNCTION("""COMPUTED_VALUE"""),55000)</f>
        <v>55000</v>
      </c>
      <c r="N117" s="10">
        <f ca="1">IFERROR(__xludf.DUMMYFUNCTION("""COMPUTED_VALUE"""),4)</f>
        <v>4</v>
      </c>
      <c r="O117" s="10">
        <f ca="1">IFERROR(__xludf.DUMMYFUNCTION("""COMPUTED_VALUE"""),220000)</f>
        <v>220000</v>
      </c>
      <c r="P117" s="10"/>
      <c r="Q117" s="67">
        <f ca="1">IFERROR(__xludf.DUMMYFUNCTION("""COMPUTED_VALUE"""),45342)</f>
        <v>45342</v>
      </c>
    </row>
    <row r="118" spans="1:17" ht="12.5">
      <c r="A118" s="82">
        <f t="array" aca="1" ref="A118" ca="1">INDEX('Database Mitra'!$R$2:$R1001,MATCH(C118,'Database Mitra'!$B$2:$B1001,0))</f>
        <v>30692</v>
      </c>
      <c r="B118" s="10" t="e">
        <f t="shared" ca="1" si="0"/>
        <v>#NAME?</v>
      </c>
      <c r="C118" s="83">
        <f ca="1">IFERROR(__xludf.DUMMYFUNCTION("""COMPUTED_VALUE"""),610422050001)</f>
        <v>610422050001</v>
      </c>
      <c r="D118" s="10" t="str">
        <f ca="1">IFERROR(__xludf.DUMMYFUNCTION("""COMPUTED_VALUE"""),"SHPED24-LAPANGAN-FEBRUARI")</f>
        <v>SHPED24-LAPANGAN-FEBRUARI</v>
      </c>
      <c r="E118" s="10"/>
      <c r="F118" s="10">
        <f ca="1">IFERROR(__xludf.DUMMYFUNCTION("""COMPUTED_VALUE"""),1)</f>
        <v>1</v>
      </c>
      <c r="G118" s="10" t="str">
        <f ca="1">IFERROR(__xludf.DUMMYFUNCTION("""COMPUTED_VALUE"""),"Evi Juniarty")</f>
        <v>Evi Juniarty</v>
      </c>
      <c r="H118" s="10" t="str">
        <f ca="1">IFERROR(__xludf.DUMMYFUNCTION("""COMPUTED_VALUE"""),"PPL")</f>
        <v>PPL</v>
      </c>
      <c r="I118" s="10" t="str">
        <f ca="1">IFERROR(__xludf.DUMMYFUNCTION("""COMPUTED_VALUE"""),"6102165101840001")</f>
        <v>6102165101840001</v>
      </c>
      <c r="J118" s="10" t="str">
        <f ca="1">IFERROR(__xludf.DUMMYFUNCTION("""COMPUTED_VALUE"""),"PENDATAAN PRODUSEN")</f>
        <v>PENDATAAN PRODUSEN</v>
      </c>
      <c r="K118" s="10" t="str">
        <f ca="1">IFERROR(__xludf.DUMMYFUNCTION("""COMPUTED_VALUE"""),"SHPED24-LAPANGAN-FEBRUARI-PPL-PENDATAAN PRODUSEN")</f>
        <v>SHPED24-LAPANGAN-FEBRUARI-PPL-PENDATAAN PRODUSEN</v>
      </c>
      <c r="L118" s="10" t="str">
        <f ca="1">IFERROR(__xludf.DUMMYFUNCTION("""COMPUTED_VALUE"""),"Dokumen")</f>
        <v>Dokumen</v>
      </c>
      <c r="M118" s="66">
        <f ca="1">IFERROR(__xludf.DUMMYFUNCTION("""COMPUTED_VALUE"""),55000)</f>
        <v>55000</v>
      </c>
      <c r="N118" s="10">
        <f ca="1">IFERROR(__xludf.DUMMYFUNCTION("""COMPUTED_VALUE"""),1)</f>
        <v>1</v>
      </c>
      <c r="O118" s="10">
        <f ca="1">IFERROR(__xludf.DUMMYFUNCTION("""COMPUTED_VALUE"""),55000)</f>
        <v>55000</v>
      </c>
      <c r="P118" s="10"/>
      <c r="Q118" s="67">
        <f ca="1">IFERROR(__xludf.DUMMYFUNCTION("""COMPUTED_VALUE"""),45342)</f>
        <v>45342</v>
      </c>
    </row>
    <row r="119" spans="1:17" ht="12.5">
      <c r="A119" s="82">
        <f t="array" aca="1" ref="A119" ca="1">INDEX('Database Mitra'!$R$2:$R1001,MATCH(C119,'Database Mitra'!$B$2:$B1001,0))</f>
        <v>29068</v>
      </c>
      <c r="B119" s="10" t="e">
        <f t="shared" ca="1" si="0"/>
        <v>#NAME?</v>
      </c>
      <c r="C119" s="83">
        <f ca="1">IFERROR(__xludf.DUMMYFUNCTION("""COMPUTED_VALUE"""),610422100124)</f>
        <v>610422100124</v>
      </c>
      <c r="D119" s="10" t="str">
        <f ca="1">IFERROR(__xludf.DUMMYFUNCTION("""COMPUTED_VALUE"""),"HPBG24-LAPANGAN-FEBRUARI")</f>
        <v>HPBG24-LAPANGAN-FEBRUARI</v>
      </c>
      <c r="E119" s="10"/>
      <c r="F119" s="10">
        <f ca="1">IFERROR(__xludf.DUMMYFUNCTION("""COMPUTED_VALUE"""),1)</f>
        <v>1</v>
      </c>
      <c r="G119" s="10" t="str">
        <f ca="1">IFERROR(__xludf.DUMMYFUNCTION("""COMPUTED_VALUE"""),"Prabowo")</f>
        <v>Prabowo</v>
      </c>
      <c r="H119" s="10" t="str">
        <f ca="1">IFERROR(__xludf.DUMMYFUNCTION("""COMPUTED_VALUE"""),"PPL")</f>
        <v>PPL</v>
      </c>
      <c r="I119" s="10" t="str">
        <f ca="1">IFERROR(__xludf.DUMMYFUNCTION("""COMPUTED_VALUE"""),"6171010108790015")</f>
        <v>6171010108790015</v>
      </c>
      <c r="J119" s="10" t="str">
        <f ca="1">IFERROR(__xludf.DUMMYFUNCTION("""COMPUTED_VALUE"""),"PENDATAAN")</f>
        <v>PENDATAAN</v>
      </c>
      <c r="K119" s="10" t="str">
        <f ca="1">IFERROR(__xludf.DUMMYFUNCTION("""COMPUTED_VALUE"""),"HPBG24-LAPANGAN-FEBRUARI-PPL-PENDATAAN")</f>
        <v>HPBG24-LAPANGAN-FEBRUARI-PPL-PENDATAAN</v>
      </c>
      <c r="L119" s="10" t="str">
        <f ca="1">IFERROR(__xludf.DUMMYFUNCTION("""COMPUTED_VALUE"""),"Dokumen")</f>
        <v>Dokumen</v>
      </c>
      <c r="M119" s="66">
        <f ca="1">IFERROR(__xludf.DUMMYFUNCTION("""COMPUTED_VALUE"""),55000)</f>
        <v>55000</v>
      </c>
      <c r="N119" s="10">
        <f ca="1">IFERROR(__xludf.DUMMYFUNCTION("""COMPUTED_VALUE"""),2)</f>
        <v>2</v>
      </c>
      <c r="O119" s="10">
        <f ca="1">IFERROR(__xludf.DUMMYFUNCTION("""COMPUTED_VALUE"""),110000)</f>
        <v>110000</v>
      </c>
      <c r="P119" s="10"/>
      <c r="Q119" s="67">
        <f ca="1">IFERROR(__xludf.DUMMYFUNCTION("""COMPUTED_VALUE"""),45342)</f>
        <v>45342</v>
      </c>
    </row>
    <row r="120" spans="1:17" ht="12.5">
      <c r="A120" s="82">
        <f t="array" aca="1" ref="A120" ca="1">INDEX('Database Mitra'!$R$2:$R1001,MATCH(C120,'Database Mitra'!$B$2:$B1001,0))</f>
        <v>32942</v>
      </c>
      <c r="B120" s="10" t="e">
        <f t="shared" ca="1" si="0"/>
        <v>#NAME?</v>
      </c>
      <c r="C120" s="83">
        <f ca="1">IFERROR(__xludf.DUMMYFUNCTION("""COMPUTED_VALUE"""),610422100244)</f>
        <v>610422100244</v>
      </c>
      <c r="D120" s="10" t="str">
        <f ca="1">IFERROR(__xludf.DUMMYFUNCTION("""COMPUTED_VALUE"""),"HPBG24-LAPANGAN-FEBRUARI")</f>
        <v>HPBG24-LAPANGAN-FEBRUARI</v>
      </c>
      <c r="E120" s="10"/>
      <c r="F120" s="10">
        <f ca="1">IFERROR(__xludf.DUMMYFUNCTION("""COMPUTED_VALUE"""),1)</f>
        <v>1</v>
      </c>
      <c r="G120" s="10" t="str">
        <f ca="1">IFERROR(__xludf.DUMMYFUNCTION("""COMPUTED_VALUE"""),"Sugianto")</f>
        <v>Sugianto</v>
      </c>
      <c r="H120" s="10" t="str">
        <f ca="1">IFERROR(__xludf.DUMMYFUNCTION("""COMPUTED_VALUE"""),"PPL")</f>
        <v>PPL</v>
      </c>
      <c r="I120" s="10" t="str">
        <f ca="1">IFERROR(__xludf.DUMMYFUNCTION("""COMPUTED_VALUE"""),"6102171003900002")</f>
        <v>6102171003900002</v>
      </c>
      <c r="J120" s="10" t="str">
        <f ca="1">IFERROR(__xludf.DUMMYFUNCTION("""COMPUTED_VALUE"""),"PENDATAAN")</f>
        <v>PENDATAAN</v>
      </c>
      <c r="K120" s="10" t="str">
        <f ca="1">IFERROR(__xludf.DUMMYFUNCTION("""COMPUTED_VALUE"""),"HPBG24-LAPANGAN-FEBRUARI-PPL-PENDATAAN")</f>
        <v>HPBG24-LAPANGAN-FEBRUARI-PPL-PENDATAAN</v>
      </c>
      <c r="L120" s="10" t="str">
        <f ca="1">IFERROR(__xludf.DUMMYFUNCTION("""COMPUTED_VALUE"""),"Dokumen")</f>
        <v>Dokumen</v>
      </c>
      <c r="M120" s="66">
        <f ca="1">IFERROR(__xludf.DUMMYFUNCTION("""COMPUTED_VALUE"""),55000)</f>
        <v>55000</v>
      </c>
      <c r="N120" s="10">
        <f ca="1">IFERROR(__xludf.DUMMYFUNCTION("""COMPUTED_VALUE"""),2)</f>
        <v>2</v>
      </c>
      <c r="O120" s="10">
        <f ca="1">IFERROR(__xludf.DUMMYFUNCTION("""COMPUTED_VALUE"""),110000)</f>
        <v>110000</v>
      </c>
      <c r="P120" s="10"/>
      <c r="Q120" s="67">
        <f ca="1">IFERROR(__xludf.DUMMYFUNCTION("""COMPUTED_VALUE"""),45342)</f>
        <v>45342</v>
      </c>
    </row>
    <row r="121" spans="1:17" ht="12.5">
      <c r="A121" s="82">
        <f t="array" aca="1" ref="A121" ca="1">INDEX('Database Mitra'!$R$2:$R1001,MATCH(C121,'Database Mitra'!$B$2:$B1001,0))</f>
        <v>35862</v>
      </c>
      <c r="B121" s="10" t="e">
        <f t="shared" ca="1" si="0"/>
        <v>#NAME?</v>
      </c>
      <c r="C121" s="83">
        <f ca="1">IFERROR(__xludf.DUMMYFUNCTION("""COMPUTED_VALUE"""),610422100165)</f>
        <v>610422100165</v>
      </c>
      <c r="D121" s="10" t="str">
        <f ca="1">IFERROR(__xludf.DUMMYFUNCTION("""COMPUTED_VALUE"""),"HPBG24-LAPANGAN-FEBRUARI")</f>
        <v>HPBG24-LAPANGAN-FEBRUARI</v>
      </c>
      <c r="E121" s="10"/>
      <c r="F121" s="10">
        <f ca="1">IFERROR(__xludf.DUMMYFUNCTION("""COMPUTED_VALUE"""),1)</f>
        <v>1</v>
      </c>
      <c r="G121" s="10" t="str">
        <f ca="1">IFERROR(__xludf.DUMMYFUNCTION("""COMPUTED_VALUE"""),"Yanti")</f>
        <v>Yanti</v>
      </c>
      <c r="H121" s="10" t="str">
        <f ca="1">IFERROR(__xludf.DUMMYFUNCTION("""COMPUTED_VALUE"""),"PPL")</f>
        <v>PPL</v>
      </c>
      <c r="I121" s="10" t="str">
        <f ca="1">IFERROR(__xludf.DUMMYFUNCTION("""COMPUTED_VALUE"""),"6102074803980002")</f>
        <v>6102074803980002</v>
      </c>
      <c r="J121" s="10" t="str">
        <f ca="1">IFERROR(__xludf.DUMMYFUNCTION("""COMPUTED_VALUE"""),"PENDATAAN")</f>
        <v>PENDATAAN</v>
      </c>
      <c r="K121" s="10" t="str">
        <f ca="1">IFERROR(__xludf.DUMMYFUNCTION("""COMPUTED_VALUE"""),"HPBG24-LAPANGAN-FEBRUARI-PPL-PENDATAAN")</f>
        <v>HPBG24-LAPANGAN-FEBRUARI-PPL-PENDATAAN</v>
      </c>
      <c r="L121" s="10" t="str">
        <f ca="1">IFERROR(__xludf.DUMMYFUNCTION("""COMPUTED_VALUE"""),"Dokumen")</f>
        <v>Dokumen</v>
      </c>
      <c r="M121" s="66">
        <f ca="1">IFERROR(__xludf.DUMMYFUNCTION("""COMPUTED_VALUE"""),55000)</f>
        <v>55000</v>
      </c>
      <c r="N121" s="10">
        <f ca="1">IFERROR(__xludf.DUMMYFUNCTION("""COMPUTED_VALUE"""),2)</f>
        <v>2</v>
      </c>
      <c r="O121" s="10">
        <f ca="1">IFERROR(__xludf.DUMMYFUNCTION("""COMPUTED_VALUE"""),110000)</f>
        <v>110000</v>
      </c>
      <c r="P121" s="10"/>
      <c r="Q121" s="67">
        <f ca="1">IFERROR(__xludf.DUMMYFUNCTION("""COMPUTED_VALUE"""),45342)</f>
        <v>45342</v>
      </c>
    </row>
    <row r="122" spans="1:17" ht="12.5">
      <c r="A122" s="82">
        <f t="array" aca="1" ref="A122" ca="1">INDEX('Database Mitra'!$R$2:$R1001,MATCH(C122,'Database Mitra'!$B$2:$B1001,0))</f>
        <v>35862</v>
      </c>
      <c r="B122" s="10" t="e">
        <f t="shared" ca="1" si="0"/>
        <v>#NAME?</v>
      </c>
      <c r="C122" s="83">
        <f ca="1">IFERROR(__xludf.DUMMYFUNCTION("""COMPUTED_VALUE"""),610422100165)</f>
        <v>610422100165</v>
      </c>
      <c r="D122" s="10" t="str">
        <f ca="1">IFERROR(__xludf.DUMMYFUNCTION("""COMPUTED_VALUE"""),"HPJ24-LAPANGAN-FEBRUARI")</f>
        <v>HPJ24-LAPANGAN-FEBRUARI</v>
      </c>
      <c r="E122" s="10"/>
      <c r="F122" s="10">
        <f ca="1">IFERROR(__xludf.DUMMYFUNCTION("""COMPUTED_VALUE"""),1)</f>
        <v>1</v>
      </c>
      <c r="G122" s="10" t="str">
        <f ca="1">IFERROR(__xludf.DUMMYFUNCTION("""COMPUTED_VALUE"""),"Yanti")</f>
        <v>Yanti</v>
      </c>
      <c r="H122" s="10" t="str">
        <f ca="1">IFERROR(__xludf.DUMMYFUNCTION("""COMPUTED_VALUE"""),"PPL")</f>
        <v>PPL</v>
      </c>
      <c r="I122" s="10" t="str">
        <f ca="1">IFERROR(__xludf.DUMMYFUNCTION("""COMPUTED_VALUE"""),"6102074803980002")</f>
        <v>6102074803980002</v>
      </c>
      <c r="J122" s="10" t="str">
        <f ca="1">IFERROR(__xludf.DUMMYFUNCTION("""COMPUTED_VALUE"""),"PENDATAAN")</f>
        <v>PENDATAAN</v>
      </c>
      <c r="K122" s="10" t="str">
        <f ca="1">IFERROR(__xludf.DUMMYFUNCTION("""COMPUTED_VALUE"""),"HPJ24-LAPANGAN-FEBRUARI-PPL-PENDATAAN")</f>
        <v>HPJ24-LAPANGAN-FEBRUARI-PPL-PENDATAAN</v>
      </c>
      <c r="L122" s="10" t="str">
        <f ca="1">IFERROR(__xludf.DUMMYFUNCTION("""COMPUTED_VALUE"""),"Dokumen")</f>
        <v>Dokumen</v>
      </c>
      <c r="M122" s="66">
        <f ca="1">IFERROR(__xludf.DUMMYFUNCTION("""COMPUTED_VALUE"""),50000)</f>
        <v>50000</v>
      </c>
      <c r="N122" s="10">
        <f ca="1">IFERROR(__xludf.DUMMYFUNCTION("""COMPUTED_VALUE"""),1)</f>
        <v>1</v>
      </c>
      <c r="O122" s="10">
        <f ca="1">IFERROR(__xludf.DUMMYFUNCTION("""COMPUTED_VALUE"""),50000)</f>
        <v>50000</v>
      </c>
      <c r="P122" s="10"/>
      <c r="Q122" s="67">
        <f ca="1">IFERROR(__xludf.DUMMYFUNCTION("""COMPUTED_VALUE"""),45342)</f>
        <v>45342</v>
      </c>
    </row>
    <row r="123" spans="1:17" ht="12.5">
      <c r="A123" s="82">
        <f t="array" aca="1" ref="A123" ca="1">INDEX('Database Mitra'!$R$2:$R1001,MATCH(C123,'Database Mitra'!$B$2:$B1001,0))</f>
        <v>31964</v>
      </c>
      <c r="B123" s="10" t="e">
        <f t="shared" ca="1" si="0"/>
        <v>#NAME?</v>
      </c>
      <c r="C123" s="83">
        <f ca="1">IFERROR(__xludf.DUMMYFUNCTION("""COMPUTED_VALUE"""),610422040029)</f>
        <v>610422040029</v>
      </c>
      <c r="D123" s="10" t="str">
        <f ca="1">IFERROR(__xludf.DUMMYFUNCTION("""COMPUTED_VALUE"""),"VHTS24-LAPANGAN-FEBRUARI")</f>
        <v>VHTS24-LAPANGAN-FEBRUARI</v>
      </c>
      <c r="E123" s="10"/>
      <c r="F123" s="10">
        <f ca="1">IFERROR(__xludf.DUMMYFUNCTION("""COMPUTED_VALUE"""),1)</f>
        <v>1</v>
      </c>
      <c r="G123" s="10" t="str">
        <f ca="1">IFERROR(__xludf.DUMMYFUNCTION("""COMPUTED_VALUE"""),"Zaini")</f>
        <v>Zaini</v>
      </c>
      <c r="H123" s="10" t="str">
        <f ca="1">IFERROR(__xludf.DUMMYFUNCTION("""COMPUTED_VALUE"""),"PPL")</f>
        <v>PPL</v>
      </c>
      <c r="I123" s="10" t="str">
        <f ca="1">IFERROR(__xludf.DUMMYFUNCTION("""COMPUTED_VALUE"""),"6102010607870002")</f>
        <v>6102010607870002</v>
      </c>
      <c r="J123" s="10" t="str">
        <f ca="1">IFERROR(__xludf.DUMMYFUNCTION("""COMPUTED_VALUE"""),"PENDATAAN")</f>
        <v>PENDATAAN</v>
      </c>
      <c r="K123" s="10" t="str">
        <f ca="1">IFERROR(__xludf.DUMMYFUNCTION("""COMPUTED_VALUE"""),"VHTS24-LAPANGAN-FEBRUARI-PPL-PENDATAAN")</f>
        <v>VHTS24-LAPANGAN-FEBRUARI-PPL-PENDATAAN</v>
      </c>
      <c r="L123" s="10" t="str">
        <f ca="1">IFERROR(__xludf.DUMMYFUNCTION("""COMPUTED_VALUE"""),"Dokumen")</f>
        <v>Dokumen</v>
      </c>
      <c r="M123" s="66">
        <f ca="1">IFERROR(__xludf.DUMMYFUNCTION("""COMPUTED_VALUE"""),55000)</f>
        <v>55000</v>
      </c>
      <c r="N123" s="10">
        <f ca="1">IFERROR(__xludf.DUMMYFUNCTION("""COMPUTED_VALUE"""),3)</f>
        <v>3</v>
      </c>
      <c r="O123" s="10">
        <f ca="1">IFERROR(__xludf.DUMMYFUNCTION("""COMPUTED_VALUE"""),165000)</f>
        <v>165000</v>
      </c>
      <c r="P123" s="10"/>
      <c r="Q123" s="67">
        <f ca="1">IFERROR(__xludf.DUMMYFUNCTION("""COMPUTED_VALUE"""),45342)</f>
        <v>45342</v>
      </c>
    </row>
    <row r="124" spans="1:17" ht="12.5">
      <c r="A124" s="82">
        <f t="array" aca="1" ref="A124" ca="1">INDEX('Database Mitra'!$R$2:$R1001,MATCH(C124,'Database Mitra'!$B$2:$B1001,0))</f>
        <v>35862</v>
      </c>
      <c r="B124" s="10" t="e">
        <f t="shared" ca="1" si="0"/>
        <v>#NAME?</v>
      </c>
      <c r="C124" s="83">
        <f ca="1">IFERROR(__xludf.DUMMYFUNCTION("""COMPUTED_VALUE"""),610422100165)</f>
        <v>610422100165</v>
      </c>
      <c r="D124" s="10" t="str">
        <f ca="1">IFERROR(__xludf.DUMMYFUNCTION("""COMPUTED_VALUE"""),"VHTS24-LAPANGAN-FEBRUARI")</f>
        <v>VHTS24-LAPANGAN-FEBRUARI</v>
      </c>
      <c r="E124" s="10"/>
      <c r="F124" s="10">
        <f ca="1">IFERROR(__xludf.DUMMYFUNCTION("""COMPUTED_VALUE"""),1)</f>
        <v>1</v>
      </c>
      <c r="G124" s="10" t="str">
        <f ca="1">IFERROR(__xludf.DUMMYFUNCTION("""COMPUTED_VALUE"""),"Yanti")</f>
        <v>Yanti</v>
      </c>
      <c r="H124" s="10" t="str">
        <f ca="1">IFERROR(__xludf.DUMMYFUNCTION("""COMPUTED_VALUE"""),"PPL")</f>
        <v>PPL</v>
      </c>
      <c r="I124" s="10" t="str">
        <f ca="1">IFERROR(__xludf.DUMMYFUNCTION("""COMPUTED_VALUE"""),"6102074803980002")</f>
        <v>6102074803980002</v>
      </c>
      <c r="J124" s="10" t="str">
        <f ca="1">IFERROR(__xludf.DUMMYFUNCTION("""COMPUTED_VALUE"""),"PENDATAAN")</f>
        <v>PENDATAAN</v>
      </c>
      <c r="K124" s="10" t="str">
        <f ca="1">IFERROR(__xludf.DUMMYFUNCTION("""COMPUTED_VALUE"""),"VHTS24-LAPANGAN-FEBRUARI-PPL-PENDATAAN")</f>
        <v>VHTS24-LAPANGAN-FEBRUARI-PPL-PENDATAAN</v>
      </c>
      <c r="L124" s="10" t="str">
        <f ca="1">IFERROR(__xludf.DUMMYFUNCTION("""COMPUTED_VALUE"""),"Dokumen")</f>
        <v>Dokumen</v>
      </c>
      <c r="M124" s="66">
        <f ca="1">IFERROR(__xludf.DUMMYFUNCTION("""COMPUTED_VALUE"""),55000)</f>
        <v>55000</v>
      </c>
      <c r="N124" s="10">
        <f ca="1">IFERROR(__xludf.DUMMYFUNCTION("""COMPUTED_VALUE"""),3)</f>
        <v>3</v>
      </c>
      <c r="O124" s="10">
        <f ca="1">IFERROR(__xludf.DUMMYFUNCTION("""COMPUTED_VALUE"""),165000)</f>
        <v>165000</v>
      </c>
      <c r="P124" s="10"/>
      <c r="Q124" s="67">
        <f ca="1">IFERROR(__xludf.DUMMYFUNCTION("""COMPUTED_VALUE"""),45342)</f>
        <v>45342</v>
      </c>
    </row>
    <row r="125" spans="1:17" ht="12.5">
      <c r="A125" s="82">
        <f t="array" aca="1" ref="A125" ca="1">INDEX('Database Mitra'!$R$2:$R1001,MATCH(C125,'Database Mitra'!$B$2:$B1001,0))</f>
        <v>30692</v>
      </c>
      <c r="B125" s="10" t="e">
        <f t="shared" ca="1" si="0"/>
        <v>#NAME?</v>
      </c>
      <c r="C125" s="83">
        <f ca="1">IFERROR(__xludf.DUMMYFUNCTION("""COMPUTED_VALUE"""),610422050001)</f>
        <v>610422050001</v>
      </c>
      <c r="D125" s="10" t="str">
        <f ca="1">IFERROR(__xludf.DUMMYFUNCTION("""COMPUTED_VALUE"""),"VHTS24-LAPANGAN-FEBRUARI")</f>
        <v>VHTS24-LAPANGAN-FEBRUARI</v>
      </c>
      <c r="E125" s="10"/>
      <c r="F125" s="10">
        <f ca="1">IFERROR(__xludf.DUMMYFUNCTION("""COMPUTED_VALUE"""),1)</f>
        <v>1</v>
      </c>
      <c r="G125" s="10" t="str">
        <f ca="1">IFERROR(__xludf.DUMMYFUNCTION("""COMPUTED_VALUE"""),"Evi Juniarty")</f>
        <v>Evi Juniarty</v>
      </c>
      <c r="H125" s="10" t="str">
        <f ca="1">IFERROR(__xludf.DUMMYFUNCTION("""COMPUTED_VALUE"""),"PPL")</f>
        <v>PPL</v>
      </c>
      <c r="I125" s="10" t="str">
        <f ca="1">IFERROR(__xludf.DUMMYFUNCTION("""COMPUTED_VALUE"""),"6102165101840001")</f>
        <v>6102165101840001</v>
      </c>
      <c r="J125" s="10" t="str">
        <f ca="1">IFERROR(__xludf.DUMMYFUNCTION("""COMPUTED_VALUE"""),"PENDATAAN")</f>
        <v>PENDATAAN</v>
      </c>
      <c r="K125" s="10" t="str">
        <f ca="1">IFERROR(__xludf.DUMMYFUNCTION("""COMPUTED_VALUE"""),"VHTS24-LAPANGAN-FEBRUARI-PPL-PENDATAAN")</f>
        <v>VHTS24-LAPANGAN-FEBRUARI-PPL-PENDATAAN</v>
      </c>
      <c r="L125" s="10" t="str">
        <f ca="1">IFERROR(__xludf.DUMMYFUNCTION("""COMPUTED_VALUE"""),"Dokumen")</f>
        <v>Dokumen</v>
      </c>
      <c r="M125" s="66">
        <f ca="1">IFERROR(__xludf.DUMMYFUNCTION("""COMPUTED_VALUE"""),55000)</f>
        <v>55000</v>
      </c>
      <c r="N125" s="10">
        <f ca="1">IFERROR(__xludf.DUMMYFUNCTION("""COMPUTED_VALUE"""),3)</f>
        <v>3</v>
      </c>
      <c r="O125" s="10">
        <f ca="1">IFERROR(__xludf.DUMMYFUNCTION("""COMPUTED_VALUE"""),165000)</f>
        <v>165000</v>
      </c>
      <c r="P125" s="10"/>
      <c r="Q125" s="67">
        <f ca="1">IFERROR(__xludf.DUMMYFUNCTION("""COMPUTED_VALUE"""),45342)</f>
        <v>45342</v>
      </c>
    </row>
    <row r="126" spans="1:17" ht="12.5">
      <c r="A126" s="82">
        <f t="array" aca="1" ref="A126" ca="1">INDEX('Database Mitra'!$R$2:$R1001,MATCH(C126,'Database Mitra'!$B$2:$B1001,0))</f>
        <v>27798</v>
      </c>
      <c r="B126" s="10" t="e">
        <f t="shared" ca="1" si="0"/>
        <v>#NAME?</v>
      </c>
      <c r="C126" s="83">
        <f ca="1">IFERROR(__xludf.DUMMYFUNCTION("""COMPUTED_VALUE"""),610422040056)</f>
        <v>610422040056</v>
      </c>
      <c r="D126" s="10" t="str">
        <f ca="1">IFERROR(__xludf.DUMMYFUNCTION("""COMPUTED_VALUE"""),"VHTS24-LAPANGAN-FEBRUARI")</f>
        <v>VHTS24-LAPANGAN-FEBRUARI</v>
      </c>
      <c r="E126" s="10"/>
      <c r="F126" s="10">
        <f ca="1">IFERROR(__xludf.DUMMYFUNCTION("""COMPUTED_VALUE"""),1)</f>
        <v>1</v>
      </c>
      <c r="G126" s="10" t="str">
        <f ca="1">IFERROR(__xludf.DUMMYFUNCTION("""COMPUTED_VALUE"""),"Wandi Syafari")</f>
        <v>Wandi Syafari</v>
      </c>
      <c r="H126" s="10" t="str">
        <f ca="1">IFERROR(__xludf.DUMMYFUNCTION("""COMPUTED_VALUE"""),"PPL")</f>
        <v>PPL</v>
      </c>
      <c r="I126" s="10" t="str">
        <f ca="1">IFERROR(__xludf.DUMMYFUNCTION("""COMPUTED_VALUE"""),"6102010802760001")</f>
        <v>6102010802760001</v>
      </c>
      <c r="J126" s="10" t="str">
        <f ca="1">IFERROR(__xludf.DUMMYFUNCTION("""COMPUTED_VALUE"""),"PENDATAAN")</f>
        <v>PENDATAAN</v>
      </c>
      <c r="K126" s="10" t="str">
        <f ca="1">IFERROR(__xludf.DUMMYFUNCTION("""COMPUTED_VALUE"""),"VHTS24-LAPANGAN-FEBRUARI-PPL-PENDATAAN")</f>
        <v>VHTS24-LAPANGAN-FEBRUARI-PPL-PENDATAAN</v>
      </c>
      <c r="L126" s="10" t="str">
        <f ca="1">IFERROR(__xludf.DUMMYFUNCTION("""COMPUTED_VALUE"""),"Dokumen")</f>
        <v>Dokumen</v>
      </c>
      <c r="M126" s="66">
        <f ca="1">IFERROR(__xludf.DUMMYFUNCTION("""COMPUTED_VALUE"""),55000)</f>
        <v>55000</v>
      </c>
      <c r="N126" s="10">
        <f ca="1">IFERROR(__xludf.DUMMYFUNCTION("""COMPUTED_VALUE"""),2)</f>
        <v>2</v>
      </c>
      <c r="O126" s="10">
        <f ca="1">IFERROR(__xludf.DUMMYFUNCTION("""COMPUTED_VALUE"""),110000)</f>
        <v>110000</v>
      </c>
      <c r="P126" s="10"/>
      <c r="Q126" s="67">
        <f ca="1">IFERROR(__xludf.DUMMYFUNCTION("""COMPUTED_VALUE"""),45342)</f>
        <v>45342</v>
      </c>
    </row>
    <row r="127" spans="1:17" ht="12.5">
      <c r="A127" s="82">
        <f t="array" aca="1" ref="A127" ca="1">INDEX('Database Mitra'!$R$2:$R1001,MATCH(C127,'Database Mitra'!$B$2:$B1001,0))</f>
        <v>34191</v>
      </c>
      <c r="B127" s="10" t="e">
        <f t="shared" ca="1" si="0"/>
        <v>#NAME?</v>
      </c>
      <c r="C127" s="83">
        <f ca="1">IFERROR(__xludf.DUMMYFUNCTION("""COMPUTED_VALUE"""),610423040004)</f>
        <v>610423040004</v>
      </c>
      <c r="D127" s="10" t="str">
        <f ca="1">IFERROR(__xludf.DUMMYFUNCTION("""COMPUTED_VALUE"""),"SERUTI24-LAPANGAN-TRI1")</f>
        <v>SERUTI24-LAPANGAN-TRI1</v>
      </c>
      <c r="E127" s="10"/>
      <c r="F127" s="10">
        <f ca="1">IFERROR(__xludf.DUMMYFUNCTION("""COMPUTED_VALUE"""),1)</f>
        <v>1</v>
      </c>
      <c r="G127" s="10" t="str">
        <f ca="1">IFERROR(__xludf.DUMMYFUNCTION("""COMPUTED_VALUE"""),"Ayu Agustin")</f>
        <v>Ayu Agustin</v>
      </c>
      <c r="H127" s="10" t="str">
        <f ca="1">IFERROR(__xludf.DUMMYFUNCTION("""COMPUTED_VALUE"""),"PPL")</f>
        <v>PPL</v>
      </c>
      <c r="I127" s="10" t="str">
        <f ca="1">IFERROR(__xludf.DUMMYFUNCTION("""COMPUTED_VALUE"""),"6111025008930002")</f>
        <v>6111025008930002</v>
      </c>
      <c r="J127" s="10" t="str">
        <f ca="1">IFERROR(__xludf.DUMMYFUNCTION("""COMPUTED_VALUE"""),"PENDATAAN")</f>
        <v>PENDATAAN</v>
      </c>
      <c r="K127" s="10" t="str">
        <f ca="1">IFERROR(__xludf.DUMMYFUNCTION("""COMPUTED_VALUE"""),"SERUTI24-LAPANGAN-TRI1-PPL-PENDATAAN")</f>
        <v>SERUTI24-LAPANGAN-TRI1-PPL-PENDATAAN</v>
      </c>
      <c r="L127" s="10" t="str">
        <f ca="1">IFERROR(__xludf.DUMMYFUNCTION("""COMPUTED_VALUE"""),"Dokumen")</f>
        <v>Dokumen</v>
      </c>
      <c r="M127" s="66">
        <f ca="1">IFERROR(__xludf.DUMMYFUNCTION("""COMPUTED_VALUE"""),60000)</f>
        <v>60000</v>
      </c>
      <c r="N127" s="10">
        <f ca="1">IFERROR(__xludf.DUMMYFUNCTION("""COMPUTED_VALUE"""),10)</f>
        <v>10</v>
      </c>
      <c r="O127" s="10">
        <f ca="1">IFERROR(__xludf.DUMMYFUNCTION("""COMPUTED_VALUE"""),600000)</f>
        <v>600000</v>
      </c>
      <c r="P127" s="10"/>
      <c r="Q127" s="67">
        <f ca="1">IFERROR(__xludf.DUMMYFUNCTION("""COMPUTED_VALUE"""),45350)</f>
        <v>45350</v>
      </c>
    </row>
    <row r="128" spans="1:17" ht="12.5">
      <c r="A128" s="82">
        <f t="array" aca="1" ref="A128" ca="1">INDEX('Database Mitra'!$R$2:$R1001,MATCH(C128,'Database Mitra'!$B$2:$B1001,0))</f>
        <v>36460</v>
      </c>
      <c r="B128" s="10" t="e">
        <f t="shared" ca="1" si="0"/>
        <v>#NAME?</v>
      </c>
      <c r="C128" s="83">
        <f ca="1">IFERROR(__xludf.DUMMYFUNCTION("""COMPUTED_VALUE"""),610422100144)</f>
        <v>610422100144</v>
      </c>
      <c r="D128" s="10" t="str">
        <f ca="1">IFERROR(__xludf.DUMMYFUNCTION("""COMPUTED_VALUE"""),"SERUTI24-LAPANGAN-TRI1")</f>
        <v>SERUTI24-LAPANGAN-TRI1</v>
      </c>
      <c r="E128" s="10"/>
      <c r="F128" s="10">
        <f ca="1">IFERROR(__xludf.DUMMYFUNCTION("""COMPUTED_VALUE"""),1)</f>
        <v>1</v>
      </c>
      <c r="G128" s="10" t="str">
        <f ca="1">IFERROR(__xludf.DUMMYFUNCTION("""COMPUTED_VALUE"""),"Irfan Faozi Sunaryo")</f>
        <v>Irfan Faozi Sunaryo</v>
      </c>
      <c r="H128" s="10" t="str">
        <f ca="1">IFERROR(__xludf.DUMMYFUNCTION("""COMPUTED_VALUE"""),"PPL")</f>
        <v>PPL</v>
      </c>
      <c r="I128" s="10" t="str">
        <f ca="1">IFERROR(__xludf.DUMMYFUNCTION("""COMPUTED_VALUE"""),"6102122710990001")</f>
        <v>6102122710990001</v>
      </c>
      <c r="J128" s="10" t="str">
        <f ca="1">IFERROR(__xludf.DUMMYFUNCTION("""COMPUTED_VALUE"""),"PENDATAAN")</f>
        <v>PENDATAAN</v>
      </c>
      <c r="K128" s="10" t="str">
        <f ca="1">IFERROR(__xludf.DUMMYFUNCTION("""COMPUTED_VALUE"""),"SERUTI24-LAPANGAN-TRI1-PPL-PENDATAAN")</f>
        <v>SERUTI24-LAPANGAN-TRI1-PPL-PENDATAAN</v>
      </c>
      <c r="L128" s="10" t="str">
        <f ca="1">IFERROR(__xludf.DUMMYFUNCTION("""COMPUTED_VALUE"""),"Dokumen")</f>
        <v>Dokumen</v>
      </c>
      <c r="M128" s="66">
        <f ca="1">IFERROR(__xludf.DUMMYFUNCTION("""COMPUTED_VALUE"""),60000)</f>
        <v>60000</v>
      </c>
      <c r="N128" s="10">
        <f ca="1">IFERROR(__xludf.DUMMYFUNCTION("""COMPUTED_VALUE"""),10)</f>
        <v>10</v>
      </c>
      <c r="O128" s="10">
        <f ca="1">IFERROR(__xludf.DUMMYFUNCTION("""COMPUTED_VALUE"""),600000)</f>
        <v>600000</v>
      </c>
      <c r="P128" s="10"/>
      <c r="Q128" s="67">
        <f ca="1">IFERROR(__xludf.DUMMYFUNCTION("""COMPUTED_VALUE"""),45350)</f>
        <v>45350</v>
      </c>
    </row>
    <row r="129" spans="1:17" ht="12.5">
      <c r="A129" s="82">
        <f t="array" aca="1" ref="A129" ca="1">INDEX('Database Mitra'!$R$2:$R1001,MATCH(C129,'Database Mitra'!$B$2:$B1001,0))</f>
        <v>32184</v>
      </c>
      <c r="B129" s="10" t="e">
        <f t="shared" ca="1" si="0"/>
        <v>#NAME?</v>
      </c>
      <c r="C129" s="83">
        <f ca="1">IFERROR(__xludf.DUMMYFUNCTION("""COMPUTED_VALUE"""),610422020032)</f>
        <v>610422020032</v>
      </c>
      <c r="D129" s="10" t="str">
        <f ca="1">IFERROR(__xludf.DUMMYFUNCTION("""COMPUTED_VALUE"""),"SERUTI24-LAPANGAN-TRI1")</f>
        <v>SERUTI24-LAPANGAN-TRI1</v>
      </c>
      <c r="E129" s="10"/>
      <c r="F129" s="10">
        <f ca="1">IFERROR(__xludf.DUMMYFUNCTION("""COMPUTED_VALUE"""),1)</f>
        <v>1</v>
      </c>
      <c r="G129" s="10" t="str">
        <f ca="1">IFERROR(__xludf.DUMMYFUNCTION("""COMPUTED_VALUE"""),"Lilis Suryani")</f>
        <v>Lilis Suryani</v>
      </c>
      <c r="H129" s="10" t="str">
        <f ca="1">IFERROR(__xludf.DUMMYFUNCTION("""COMPUTED_VALUE"""),"PPL")</f>
        <v>PPL</v>
      </c>
      <c r="I129" s="10" t="str">
        <f ca="1">IFERROR(__xludf.DUMMYFUNCTION("""COMPUTED_VALUE"""),"6102185102880001")</f>
        <v>6102185102880001</v>
      </c>
      <c r="J129" s="10" t="str">
        <f ca="1">IFERROR(__xludf.DUMMYFUNCTION("""COMPUTED_VALUE"""),"PENDATAAN")</f>
        <v>PENDATAAN</v>
      </c>
      <c r="K129" s="10" t="str">
        <f ca="1">IFERROR(__xludf.DUMMYFUNCTION("""COMPUTED_VALUE"""),"SERUTI24-LAPANGAN-TRI1-PPL-PENDATAAN")</f>
        <v>SERUTI24-LAPANGAN-TRI1-PPL-PENDATAAN</v>
      </c>
      <c r="L129" s="10" t="str">
        <f ca="1">IFERROR(__xludf.DUMMYFUNCTION("""COMPUTED_VALUE"""),"Dokumen")</f>
        <v>Dokumen</v>
      </c>
      <c r="M129" s="66">
        <f ca="1">IFERROR(__xludf.DUMMYFUNCTION("""COMPUTED_VALUE"""),60000)</f>
        <v>60000</v>
      </c>
      <c r="N129" s="10">
        <f ca="1">IFERROR(__xludf.DUMMYFUNCTION("""COMPUTED_VALUE"""),10)</f>
        <v>10</v>
      </c>
      <c r="O129" s="10">
        <f ca="1">IFERROR(__xludf.DUMMYFUNCTION("""COMPUTED_VALUE"""),600000)</f>
        <v>600000</v>
      </c>
      <c r="P129" s="10"/>
      <c r="Q129" s="67">
        <f ca="1">IFERROR(__xludf.DUMMYFUNCTION("""COMPUTED_VALUE"""),45350)</f>
        <v>45350</v>
      </c>
    </row>
    <row r="130" spans="1:17" ht="12.5">
      <c r="A130" s="82">
        <f t="array" aca="1" ref="A130" ca="1">INDEX('Database Mitra'!$R$2:$R1001,MATCH(C130,'Database Mitra'!$B$2:$B1001,0))</f>
        <v>31275</v>
      </c>
      <c r="B130" s="10" t="e">
        <f t="shared" ca="1" si="0"/>
        <v>#NAME?</v>
      </c>
      <c r="C130" s="83">
        <f ca="1">IFERROR(__xludf.DUMMYFUNCTION("""COMPUTED_VALUE"""),610422100085)</f>
        <v>610422100085</v>
      </c>
      <c r="D130" s="10" t="str">
        <f ca="1">IFERROR(__xludf.DUMMYFUNCTION("""COMPUTED_VALUE"""),"SERUTI24-LAPANGAN-TRI1")</f>
        <v>SERUTI24-LAPANGAN-TRI1</v>
      </c>
      <c r="E130" s="10"/>
      <c r="F130" s="10">
        <f ca="1">IFERROR(__xludf.DUMMYFUNCTION("""COMPUTED_VALUE"""),1)</f>
        <v>1</v>
      </c>
      <c r="G130" s="10" t="str">
        <f ca="1">IFERROR(__xludf.DUMMYFUNCTION("""COMPUTED_VALUE"""),"Lina Agustin Widya Siwi")</f>
        <v>Lina Agustin Widya Siwi</v>
      </c>
      <c r="H130" s="10" t="str">
        <f ca="1">IFERROR(__xludf.DUMMYFUNCTION("""COMPUTED_VALUE"""),"PPL")</f>
        <v>PPL</v>
      </c>
      <c r="I130" s="10" t="str">
        <f ca="1">IFERROR(__xludf.DUMMYFUNCTION("""COMPUTED_VALUE"""),"3301225608850001")</f>
        <v>3301225608850001</v>
      </c>
      <c r="J130" s="10" t="str">
        <f ca="1">IFERROR(__xludf.DUMMYFUNCTION("""COMPUTED_VALUE"""),"PENDATAAN")</f>
        <v>PENDATAAN</v>
      </c>
      <c r="K130" s="10" t="str">
        <f ca="1">IFERROR(__xludf.DUMMYFUNCTION("""COMPUTED_VALUE"""),"SERUTI24-LAPANGAN-TRI1-PPL-PENDATAAN")</f>
        <v>SERUTI24-LAPANGAN-TRI1-PPL-PENDATAAN</v>
      </c>
      <c r="L130" s="10" t="str">
        <f ca="1">IFERROR(__xludf.DUMMYFUNCTION("""COMPUTED_VALUE"""),"Dokumen")</f>
        <v>Dokumen</v>
      </c>
      <c r="M130" s="66">
        <f ca="1">IFERROR(__xludf.DUMMYFUNCTION("""COMPUTED_VALUE"""),60000)</f>
        <v>60000</v>
      </c>
      <c r="N130" s="10">
        <f ca="1">IFERROR(__xludf.DUMMYFUNCTION("""COMPUTED_VALUE"""),10)</f>
        <v>10</v>
      </c>
      <c r="O130" s="10">
        <f ca="1">IFERROR(__xludf.DUMMYFUNCTION("""COMPUTED_VALUE"""),600000)</f>
        <v>600000</v>
      </c>
      <c r="P130" s="10"/>
      <c r="Q130" s="67">
        <f ca="1">IFERROR(__xludf.DUMMYFUNCTION("""COMPUTED_VALUE"""),45350)</f>
        <v>45350</v>
      </c>
    </row>
    <row r="131" spans="1:17" ht="12.5">
      <c r="A131" s="82">
        <f t="array" aca="1" ref="A131" ca="1">INDEX('Database Mitra'!$R$2:$R1001,MATCH(C131,'Database Mitra'!$B$2:$B1001,0))</f>
        <v>36546</v>
      </c>
      <c r="B131" s="10" t="e">
        <f t="shared" ca="1" si="0"/>
        <v>#NAME?</v>
      </c>
      <c r="C131" s="83">
        <f ca="1">IFERROR(__xludf.DUMMYFUNCTION("""COMPUTED_VALUE"""),610423040013)</f>
        <v>610423040013</v>
      </c>
      <c r="D131" s="10" t="str">
        <f ca="1">IFERROR(__xludf.DUMMYFUNCTION("""COMPUTED_VALUE"""),"SERUTI24-LAPANGAN-TRI1")</f>
        <v>SERUTI24-LAPANGAN-TRI1</v>
      </c>
      <c r="E131" s="10"/>
      <c r="F131" s="10">
        <f ca="1">IFERROR(__xludf.DUMMYFUNCTION("""COMPUTED_VALUE"""),1)</f>
        <v>1</v>
      </c>
      <c r="G131" s="10" t="str">
        <f ca="1">IFERROR(__xludf.DUMMYFUNCTION("""COMPUTED_VALUE"""),"Lulu Gesti Gunawati")</f>
        <v>Lulu Gesti Gunawati</v>
      </c>
      <c r="H131" s="10" t="str">
        <f ca="1">IFERROR(__xludf.DUMMYFUNCTION("""COMPUTED_VALUE"""),"PPL")</f>
        <v>PPL</v>
      </c>
      <c r="I131" s="10" t="str">
        <f ca="1">IFERROR(__xludf.DUMMYFUNCTION("""COMPUTED_VALUE"""),"3314066101000001")</f>
        <v>3314066101000001</v>
      </c>
      <c r="J131" s="10" t="str">
        <f ca="1">IFERROR(__xludf.DUMMYFUNCTION("""COMPUTED_VALUE"""),"PENDATAAN")</f>
        <v>PENDATAAN</v>
      </c>
      <c r="K131" s="10" t="str">
        <f ca="1">IFERROR(__xludf.DUMMYFUNCTION("""COMPUTED_VALUE"""),"SERUTI24-LAPANGAN-TRI1-PPL-PENDATAAN")</f>
        <v>SERUTI24-LAPANGAN-TRI1-PPL-PENDATAAN</v>
      </c>
      <c r="L131" s="10" t="str">
        <f ca="1">IFERROR(__xludf.DUMMYFUNCTION("""COMPUTED_VALUE"""),"Dokumen")</f>
        <v>Dokumen</v>
      </c>
      <c r="M131" s="66">
        <f ca="1">IFERROR(__xludf.DUMMYFUNCTION("""COMPUTED_VALUE"""),60000)</f>
        <v>60000</v>
      </c>
      <c r="N131" s="10">
        <f ca="1">IFERROR(__xludf.DUMMYFUNCTION("""COMPUTED_VALUE"""),10)</f>
        <v>10</v>
      </c>
      <c r="O131" s="10">
        <f ca="1">IFERROR(__xludf.DUMMYFUNCTION("""COMPUTED_VALUE"""),600000)</f>
        <v>600000</v>
      </c>
      <c r="P131" s="10"/>
      <c r="Q131" s="67">
        <f ca="1">IFERROR(__xludf.DUMMYFUNCTION("""COMPUTED_VALUE"""),45350)</f>
        <v>45350</v>
      </c>
    </row>
    <row r="132" spans="1:17" ht="12.5">
      <c r="A132" s="82">
        <f t="array" aca="1" ref="A132" ca="1">INDEX('Database Mitra'!$R$2:$R1001,MATCH(C132,'Database Mitra'!$B$2:$B1001,0))</f>
        <v>32027</v>
      </c>
      <c r="B132" s="10" t="e">
        <f t="shared" ca="1" si="0"/>
        <v>#NAME?</v>
      </c>
      <c r="C132" s="83">
        <f ca="1">IFERROR(__xludf.DUMMYFUNCTION("""COMPUTED_VALUE"""),610422100137)</f>
        <v>610422100137</v>
      </c>
      <c r="D132" s="10" t="str">
        <f ca="1">IFERROR(__xludf.DUMMYFUNCTION("""COMPUTED_VALUE"""),"SERUTI24-LAPANGAN-TRI1")</f>
        <v>SERUTI24-LAPANGAN-TRI1</v>
      </c>
      <c r="E132" s="10"/>
      <c r="F132" s="10">
        <f ca="1">IFERROR(__xludf.DUMMYFUNCTION("""COMPUTED_VALUE"""),1)</f>
        <v>1</v>
      </c>
      <c r="G132" s="10" t="str">
        <f ca="1">IFERROR(__xludf.DUMMYFUNCTION("""COMPUTED_VALUE"""),"Masturi")</f>
        <v>Masturi</v>
      </c>
      <c r="H132" s="10" t="str">
        <f ca="1">IFERROR(__xludf.DUMMYFUNCTION("""COMPUTED_VALUE"""),"PPL")</f>
        <v>PPL</v>
      </c>
      <c r="I132" s="10" t="str">
        <f ca="1">IFERROR(__xludf.DUMMYFUNCTION("""COMPUTED_VALUE"""),"6102060709870002")</f>
        <v>6102060709870002</v>
      </c>
      <c r="J132" s="10" t="str">
        <f ca="1">IFERROR(__xludf.DUMMYFUNCTION("""COMPUTED_VALUE"""),"PENDATAAN")</f>
        <v>PENDATAAN</v>
      </c>
      <c r="K132" s="10" t="str">
        <f ca="1">IFERROR(__xludf.DUMMYFUNCTION("""COMPUTED_VALUE"""),"SERUTI24-LAPANGAN-TRI1-PPL-PENDATAAN")</f>
        <v>SERUTI24-LAPANGAN-TRI1-PPL-PENDATAAN</v>
      </c>
      <c r="L132" s="10" t="str">
        <f ca="1">IFERROR(__xludf.DUMMYFUNCTION("""COMPUTED_VALUE"""),"Dokumen")</f>
        <v>Dokumen</v>
      </c>
      <c r="M132" s="66">
        <f ca="1">IFERROR(__xludf.DUMMYFUNCTION("""COMPUTED_VALUE"""),60000)</f>
        <v>60000</v>
      </c>
      <c r="N132" s="10">
        <f ca="1">IFERROR(__xludf.DUMMYFUNCTION("""COMPUTED_VALUE"""),10)</f>
        <v>10</v>
      </c>
      <c r="O132" s="10">
        <f ca="1">IFERROR(__xludf.DUMMYFUNCTION("""COMPUTED_VALUE"""),600000)</f>
        <v>600000</v>
      </c>
      <c r="P132" s="10"/>
      <c r="Q132" s="67">
        <f ca="1">IFERROR(__xludf.DUMMYFUNCTION("""COMPUTED_VALUE"""),45350)</f>
        <v>45350</v>
      </c>
    </row>
    <row r="133" spans="1:17" ht="12.5">
      <c r="A133" s="82">
        <f t="array" aca="1" ref="A133" ca="1">INDEX('Database Mitra'!$R$2:$R1001,MATCH(C133,'Database Mitra'!$B$2:$B1001,0))</f>
        <v>35555</v>
      </c>
      <c r="B133" s="10" t="e">
        <f t="shared" ca="1" si="0"/>
        <v>#NAME?</v>
      </c>
      <c r="C133" s="83">
        <f ca="1">IFERROR(__xludf.DUMMYFUNCTION("""COMPUTED_VALUE"""),610422100256)</f>
        <v>610422100256</v>
      </c>
      <c r="D133" s="10" t="str">
        <f ca="1">IFERROR(__xludf.DUMMYFUNCTION("""COMPUTED_VALUE"""),"SERUTI24-LAPANGAN-TRI1")</f>
        <v>SERUTI24-LAPANGAN-TRI1</v>
      </c>
      <c r="E133" s="10"/>
      <c r="F133" s="10">
        <f ca="1">IFERROR(__xludf.DUMMYFUNCTION("""COMPUTED_VALUE"""),1)</f>
        <v>1</v>
      </c>
      <c r="G133" s="10" t="str">
        <f ca="1">IFERROR(__xludf.DUMMYFUNCTION("""COMPUTED_VALUE"""),"Meta")</f>
        <v>Meta</v>
      </c>
      <c r="H133" s="10" t="str">
        <f ca="1">IFERROR(__xludf.DUMMYFUNCTION("""COMPUTED_VALUE"""),"PPL")</f>
        <v>PPL</v>
      </c>
      <c r="I133" s="10" t="str">
        <f ca="1">IFERROR(__xludf.DUMMYFUNCTION("""COMPUTED_VALUE"""),"6102174505970001")</f>
        <v>6102174505970001</v>
      </c>
      <c r="J133" s="10" t="str">
        <f ca="1">IFERROR(__xludf.DUMMYFUNCTION("""COMPUTED_VALUE"""),"PENDATAAN")</f>
        <v>PENDATAAN</v>
      </c>
      <c r="K133" s="10" t="str">
        <f ca="1">IFERROR(__xludf.DUMMYFUNCTION("""COMPUTED_VALUE"""),"SERUTI24-LAPANGAN-TRI1-PPL-PENDATAAN")</f>
        <v>SERUTI24-LAPANGAN-TRI1-PPL-PENDATAAN</v>
      </c>
      <c r="L133" s="10" t="str">
        <f ca="1">IFERROR(__xludf.DUMMYFUNCTION("""COMPUTED_VALUE"""),"Dokumen")</f>
        <v>Dokumen</v>
      </c>
      <c r="M133" s="66">
        <f ca="1">IFERROR(__xludf.DUMMYFUNCTION("""COMPUTED_VALUE"""),60000)</f>
        <v>60000</v>
      </c>
      <c r="N133" s="10">
        <f ca="1">IFERROR(__xludf.DUMMYFUNCTION("""COMPUTED_VALUE"""),10)</f>
        <v>10</v>
      </c>
      <c r="O133" s="10">
        <f ca="1">IFERROR(__xludf.DUMMYFUNCTION("""COMPUTED_VALUE"""),600000)</f>
        <v>600000</v>
      </c>
      <c r="P133" s="10"/>
      <c r="Q133" s="67">
        <f ca="1">IFERROR(__xludf.DUMMYFUNCTION("""COMPUTED_VALUE"""),45350)</f>
        <v>45350</v>
      </c>
    </row>
    <row r="134" spans="1:17" ht="12.5">
      <c r="A134" s="82">
        <f t="array" aca="1" ref="A134" ca="1">INDEX('Database Mitra'!$R$2:$R1001,MATCH(C134,'Database Mitra'!$B$2:$B1001,0))</f>
        <v>36330</v>
      </c>
      <c r="B134" s="10" t="e">
        <f t="shared" ca="1" si="0"/>
        <v>#NAME?</v>
      </c>
      <c r="C134" s="83">
        <f ca="1">IFERROR(__xludf.DUMMYFUNCTION("""COMPUTED_VALUE"""),610422040050)</f>
        <v>610422040050</v>
      </c>
      <c r="D134" s="10" t="str">
        <f ca="1">IFERROR(__xludf.DUMMYFUNCTION("""COMPUTED_VALUE"""),"SERUTI24-LAPANGAN-TRI1")</f>
        <v>SERUTI24-LAPANGAN-TRI1</v>
      </c>
      <c r="E134" s="10"/>
      <c r="F134" s="10">
        <f ca="1">IFERROR(__xludf.DUMMYFUNCTION("""COMPUTED_VALUE"""),1)</f>
        <v>1</v>
      </c>
      <c r="G134" s="10" t="str">
        <f ca="1">IFERROR(__xludf.DUMMYFUNCTION("""COMPUTED_VALUE"""),"Novita Sari")</f>
        <v>Novita Sari</v>
      </c>
      <c r="H134" s="10" t="str">
        <f ca="1">IFERROR(__xludf.DUMMYFUNCTION("""COMPUTED_VALUE"""),"PPL")</f>
        <v>PPL</v>
      </c>
      <c r="I134" s="10" t="str">
        <f ca="1">IFERROR(__xludf.DUMMYFUNCTION("""COMPUTED_VALUE"""),"6102085906990001")</f>
        <v>6102085906990001</v>
      </c>
      <c r="J134" s="10" t="str">
        <f ca="1">IFERROR(__xludf.DUMMYFUNCTION("""COMPUTED_VALUE"""),"PENDATAAN")</f>
        <v>PENDATAAN</v>
      </c>
      <c r="K134" s="10" t="str">
        <f ca="1">IFERROR(__xludf.DUMMYFUNCTION("""COMPUTED_VALUE"""),"SERUTI24-LAPANGAN-TRI1-PPL-PENDATAAN")</f>
        <v>SERUTI24-LAPANGAN-TRI1-PPL-PENDATAAN</v>
      </c>
      <c r="L134" s="10" t="str">
        <f ca="1">IFERROR(__xludf.DUMMYFUNCTION("""COMPUTED_VALUE"""),"Dokumen")</f>
        <v>Dokumen</v>
      </c>
      <c r="M134" s="66">
        <f ca="1">IFERROR(__xludf.DUMMYFUNCTION("""COMPUTED_VALUE"""),60000)</f>
        <v>60000</v>
      </c>
      <c r="N134" s="10">
        <f ca="1">IFERROR(__xludf.DUMMYFUNCTION("""COMPUTED_VALUE"""),10)</f>
        <v>10</v>
      </c>
      <c r="O134" s="10">
        <f ca="1">IFERROR(__xludf.DUMMYFUNCTION("""COMPUTED_VALUE"""),600000)</f>
        <v>600000</v>
      </c>
      <c r="P134" s="10"/>
      <c r="Q134" s="67">
        <f ca="1">IFERROR(__xludf.DUMMYFUNCTION("""COMPUTED_VALUE"""),45350)</f>
        <v>45350</v>
      </c>
    </row>
    <row r="135" spans="1:17" ht="12.5">
      <c r="A135" s="82">
        <f t="array" aca="1" ref="A135" ca="1">INDEX('Database Mitra'!$R$2:$R1001,MATCH(C135,'Database Mitra'!$B$2:$B1001,0))</f>
        <v>35544</v>
      </c>
      <c r="B135" s="10" t="e">
        <f t="shared" ca="1" si="0"/>
        <v>#NAME?</v>
      </c>
      <c r="C135" s="83">
        <f ca="1">IFERROR(__xludf.DUMMYFUNCTION("""COMPUTED_VALUE"""),610422040035)</f>
        <v>610422040035</v>
      </c>
      <c r="D135" s="10" t="str">
        <f ca="1">IFERROR(__xludf.DUMMYFUNCTION("""COMPUTED_VALUE"""),"SERUTI24-LAPANGAN-TRI1")</f>
        <v>SERUTI24-LAPANGAN-TRI1</v>
      </c>
      <c r="E135" s="10"/>
      <c r="F135" s="10">
        <f ca="1">IFERROR(__xludf.DUMMYFUNCTION("""COMPUTED_VALUE"""),1)</f>
        <v>1</v>
      </c>
      <c r="G135" s="10" t="str">
        <f ca="1">IFERROR(__xludf.DUMMYFUNCTION("""COMPUTED_VALUE"""),"Rahmayani")</f>
        <v>Rahmayani</v>
      </c>
      <c r="H135" s="10" t="str">
        <f ca="1">IFERROR(__xludf.DUMMYFUNCTION("""COMPUTED_VALUE"""),"PPL")</f>
        <v>PPL</v>
      </c>
      <c r="I135" s="10" t="str">
        <f ca="1">IFERROR(__xludf.DUMMYFUNCTION("""COMPUTED_VALUE"""),"6102186404970003")</f>
        <v>6102186404970003</v>
      </c>
      <c r="J135" s="10" t="str">
        <f ca="1">IFERROR(__xludf.DUMMYFUNCTION("""COMPUTED_VALUE"""),"PENDATAAN")</f>
        <v>PENDATAAN</v>
      </c>
      <c r="K135" s="10" t="str">
        <f ca="1">IFERROR(__xludf.DUMMYFUNCTION("""COMPUTED_VALUE"""),"SERUTI24-LAPANGAN-TRI1-PPL-PENDATAAN")</f>
        <v>SERUTI24-LAPANGAN-TRI1-PPL-PENDATAAN</v>
      </c>
      <c r="L135" s="10" t="str">
        <f ca="1">IFERROR(__xludf.DUMMYFUNCTION("""COMPUTED_VALUE"""),"Dokumen")</f>
        <v>Dokumen</v>
      </c>
      <c r="M135" s="66">
        <f ca="1">IFERROR(__xludf.DUMMYFUNCTION("""COMPUTED_VALUE"""),60000)</f>
        <v>60000</v>
      </c>
      <c r="N135" s="10">
        <f ca="1">IFERROR(__xludf.DUMMYFUNCTION("""COMPUTED_VALUE"""),10)</f>
        <v>10</v>
      </c>
      <c r="O135" s="10">
        <f ca="1">IFERROR(__xludf.DUMMYFUNCTION("""COMPUTED_VALUE"""),600000)</f>
        <v>600000</v>
      </c>
      <c r="P135" s="10"/>
      <c r="Q135" s="67">
        <f ca="1">IFERROR(__xludf.DUMMYFUNCTION("""COMPUTED_VALUE"""),45350)</f>
        <v>45350</v>
      </c>
    </row>
    <row r="136" spans="1:17" ht="12.5">
      <c r="A136" s="11">
        <f t="array" aca="1" ref="A136" ca="1">INDEX('Database Mitra'!$R$2:$R1001,MATCH(C136,'Database Mitra'!$B$2:$B1001,0))</f>
        <v>31777</v>
      </c>
      <c r="B136" s="10" t="e">
        <f t="shared" ca="1" si="0"/>
        <v>#NAME?</v>
      </c>
      <c r="C136" s="83">
        <f ca="1">IFERROR(__xludf.DUMMYFUNCTION("""COMPUTED_VALUE"""),610422040061)</f>
        <v>610422040061</v>
      </c>
      <c r="D136" s="10" t="str">
        <f ca="1">IFERROR(__xludf.DUMMYFUNCTION("""COMPUTED_VALUE"""),"SERUTI24-LAPANGAN-TRI1")</f>
        <v>SERUTI24-LAPANGAN-TRI1</v>
      </c>
      <c r="E136" s="10"/>
      <c r="F136" s="10">
        <f ca="1">IFERROR(__xludf.DUMMYFUNCTION("""COMPUTED_VALUE"""),1)</f>
        <v>1</v>
      </c>
      <c r="G136" s="10" t="str">
        <f ca="1">IFERROR(__xludf.DUMMYFUNCTION("""COMPUTED_VALUE"""),"Sabani")</f>
        <v>Sabani</v>
      </c>
      <c r="H136" s="10" t="str">
        <f ca="1">IFERROR(__xludf.DUMMYFUNCTION("""COMPUTED_VALUE"""),"PPL")</f>
        <v>PPL</v>
      </c>
      <c r="I136" s="10" t="str">
        <f ca="1">IFERROR(__xludf.DUMMYFUNCTION("""COMPUTED_VALUE"""),"6102153112860003")</f>
        <v>6102153112860003</v>
      </c>
      <c r="J136" s="10" t="str">
        <f ca="1">IFERROR(__xludf.DUMMYFUNCTION("""COMPUTED_VALUE"""),"PENDATAAN")</f>
        <v>PENDATAAN</v>
      </c>
      <c r="K136" s="10" t="str">
        <f ca="1">IFERROR(__xludf.DUMMYFUNCTION("""COMPUTED_VALUE"""),"SERUTI24-LAPANGAN-TRI1-PPL-PENDATAAN")</f>
        <v>SERUTI24-LAPANGAN-TRI1-PPL-PENDATAAN</v>
      </c>
      <c r="L136" s="10" t="str">
        <f ca="1">IFERROR(__xludf.DUMMYFUNCTION("""COMPUTED_VALUE"""),"Dokumen")</f>
        <v>Dokumen</v>
      </c>
      <c r="M136" s="66">
        <f ca="1">IFERROR(__xludf.DUMMYFUNCTION("""COMPUTED_VALUE"""),60000)</f>
        <v>60000</v>
      </c>
      <c r="N136" s="10">
        <f ca="1">IFERROR(__xludf.DUMMYFUNCTION("""COMPUTED_VALUE"""),10)</f>
        <v>10</v>
      </c>
      <c r="O136" s="10">
        <f ca="1">IFERROR(__xludf.DUMMYFUNCTION("""COMPUTED_VALUE"""),600000)</f>
        <v>600000</v>
      </c>
      <c r="P136" s="10"/>
      <c r="Q136" s="67">
        <f ca="1">IFERROR(__xludf.DUMMYFUNCTION("""COMPUTED_VALUE"""),45350)</f>
        <v>45350</v>
      </c>
    </row>
    <row r="137" spans="1:17" ht="12.5">
      <c r="A137" s="82">
        <f t="array" aca="1" ref="A137" ca="1">INDEX('Database Mitra'!$R$2:$R1001,MATCH(C137,'Database Mitra'!$B$2:$B1001,0))</f>
        <v>36997</v>
      </c>
      <c r="B137" s="10" t="e">
        <f t="shared" ca="1" si="0"/>
        <v>#NAME?</v>
      </c>
      <c r="C137" s="83">
        <f ca="1">IFERROR(__xludf.DUMMYFUNCTION("""COMPUTED_VALUE"""),610422040053)</f>
        <v>610422040053</v>
      </c>
      <c r="D137" s="10" t="str">
        <f ca="1">IFERROR(__xludf.DUMMYFUNCTION("""COMPUTED_VALUE"""),"SERUTI24-LAPANGAN-TRI1")</f>
        <v>SERUTI24-LAPANGAN-TRI1</v>
      </c>
      <c r="E137" s="10"/>
      <c r="F137" s="10">
        <f ca="1">IFERROR(__xludf.DUMMYFUNCTION("""COMPUTED_VALUE"""),1)</f>
        <v>1</v>
      </c>
      <c r="G137" s="10" t="str">
        <f ca="1">IFERROR(__xludf.DUMMYFUNCTION("""COMPUTED_VALUE"""),"Veti Ningsi")</f>
        <v>Veti Ningsi</v>
      </c>
      <c r="H137" s="10" t="str">
        <f ca="1">IFERROR(__xludf.DUMMYFUNCTION("""COMPUTED_VALUE"""),"PPL")</f>
        <v>PPL</v>
      </c>
      <c r="I137" s="10" t="str">
        <f ca="1">IFERROR(__xludf.DUMMYFUNCTION("""COMPUTED_VALUE"""),"6102125604010002")</f>
        <v>6102125604010002</v>
      </c>
      <c r="J137" s="10" t="str">
        <f ca="1">IFERROR(__xludf.DUMMYFUNCTION("""COMPUTED_VALUE"""),"PENDATAAN")</f>
        <v>PENDATAAN</v>
      </c>
      <c r="K137" s="10" t="str">
        <f ca="1">IFERROR(__xludf.DUMMYFUNCTION("""COMPUTED_VALUE"""),"SERUTI24-LAPANGAN-TRI1-PPL-PENDATAAN")</f>
        <v>SERUTI24-LAPANGAN-TRI1-PPL-PENDATAAN</v>
      </c>
      <c r="L137" s="10" t="str">
        <f ca="1">IFERROR(__xludf.DUMMYFUNCTION("""COMPUTED_VALUE"""),"Dokumen")</f>
        <v>Dokumen</v>
      </c>
      <c r="M137" s="66">
        <f ca="1">IFERROR(__xludf.DUMMYFUNCTION("""COMPUTED_VALUE"""),60000)</f>
        <v>60000</v>
      </c>
      <c r="N137" s="10">
        <f ca="1">IFERROR(__xludf.DUMMYFUNCTION("""COMPUTED_VALUE"""),10)</f>
        <v>10</v>
      </c>
      <c r="O137" s="10">
        <f ca="1">IFERROR(__xludf.DUMMYFUNCTION("""COMPUTED_VALUE"""),600000)</f>
        <v>600000</v>
      </c>
      <c r="P137" s="10"/>
      <c r="Q137" s="67">
        <f ca="1">IFERROR(__xludf.DUMMYFUNCTION("""COMPUTED_VALUE"""),45350)</f>
        <v>45350</v>
      </c>
    </row>
    <row r="138" spans="1:17" ht="12.5">
      <c r="A138" s="82">
        <f t="array" aca="1" ref="A138" ca="1">INDEX('Database Mitra'!$R$2:$R1001,MATCH(C138,'Database Mitra'!$B$2:$B1001,0))</f>
        <v>35978</v>
      </c>
      <c r="B138" s="10" t="e">
        <f t="shared" ca="1" si="0"/>
        <v>#NAME?</v>
      </c>
      <c r="C138" s="83">
        <f ca="1">IFERROR(__xludf.DUMMYFUNCTION("""COMPUTED_VALUE"""),610422100055)</f>
        <v>610422100055</v>
      </c>
      <c r="D138" s="10" t="str">
        <f ca="1">IFERROR(__xludf.DUMMYFUNCTION("""COMPUTED_VALUE"""),"SERUTI24-LAPANGAN-TRI1")</f>
        <v>SERUTI24-LAPANGAN-TRI1</v>
      </c>
      <c r="E138" s="10"/>
      <c r="F138" s="10">
        <f ca="1">IFERROR(__xludf.DUMMYFUNCTION("""COMPUTED_VALUE"""),1)</f>
        <v>1</v>
      </c>
      <c r="G138" s="10" t="str">
        <f ca="1">IFERROR(__xludf.DUMMYFUNCTION("""COMPUTED_VALUE"""),"Vika Rizkiani")</f>
        <v>Vika Rizkiani</v>
      </c>
      <c r="H138" s="10" t="str">
        <f ca="1">IFERROR(__xludf.DUMMYFUNCTION("""COMPUTED_VALUE"""),"PPL")</f>
        <v>PPL</v>
      </c>
      <c r="I138" s="10" t="str">
        <f ca="1">IFERROR(__xludf.DUMMYFUNCTION("""COMPUTED_VALUE"""),"6102084207980006")</f>
        <v>6102084207980006</v>
      </c>
      <c r="J138" s="10" t="str">
        <f ca="1">IFERROR(__xludf.DUMMYFUNCTION("""COMPUTED_VALUE"""),"PENDATAAN")</f>
        <v>PENDATAAN</v>
      </c>
      <c r="K138" s="10" t="str">
        <f ca="1">IFERROR(__xludf.DUMMYFUNCTION("""COMPUTED_VALUE"""),"SERUTI24-LAPANGAN-TRI1-PPL-PENDATAAN")</f>
        <v>SERUTI24-LAPANGAN-TRI1-PPL-PENDATAAN</v>
      </c>
      <c r="L138" s="10" t="str">
        <f ca="1">IFERROR(__xludf.DUMMYFUNCTION("""COMPUTED_VALUE"""),"Dokumen")</f>
        <v>Dokumen</v>
      </c>
      <c r="M138" s="66">
        <f ca="1">IFERROR(__xludf.DUMMYFUNCTION("""COMPUTED_VALUE"""),60000)</f>
        <v>60000</v>
      </c>
      <c r="N138" s="10">
        <f ca="1">IFERROR(__xludf.DUMMYFUNCTION("""COMPUTED_VALUE"""),10)</f>
        <v>10</v>
      </c>
      <c r="O138" s="10">
        <f ca="1">IFERROR(__xludf.DUMMYFUNCTION("""COMPUTED_VALUE"""),600000)</f>
        <v>600000</v>
      </c>
      <c r="P138" s="10"/>
      <c r="Q138" s="67">
        <f ca="1">IFERROR(__xludf.DUMMYFUNCTION("""COMPUTED_VALUE"""),45350)</f>
        <v>45350</v>
      </c>
    </row>
    <row r="139" spans="1:17" ht="12.5">
      <c r="A139" s="11">
        <f t="array" aca="1" ref="A139" ca="1">INDEX('Database Mitra'!$R$2:$R1001,MATCH(C139,'Database Mitra'!$B$2:$B1001,0))</f>
        <v>36522</v>
      </c>
      <c r="B139" s="10" t="e">
        <f t="shared" ca="1" si="0"/>
        <v>#NAME?</v>
      </c>
      <c r="C139" s="83">
        <f ca="1">IFERROR(__xludf.DUMMYFUNCTION("""COMPUTED_VALUE"""),610422100139)</f>
        <v>610422100139</v>
      </c>
      <c r="D139" s="10" t="str">
        <f ca="1">IFERROR(__xludf.DUMMYFUNCTION("""COMPUTED_VALUE"""),"SERUTI24-LAPANGAN-TRI1")</f>
        <v>SERUTI24-LAPANGAN-TRI1</v>
      </c>
      <c r="E139" s="10"/>
      <c r="F139" s="10">
        <f ca="1">IFERROR(__xludf.DUMMYFUNCTION("""COMPUTED_VALUE"""),1)</f>
        <v>1</v>
      </c>
      <c r="G139" s="10" t="str">
        <f ca="1">IFERROR(__xludf.DUMMYFUNCTION("""COMPUTED_VALUE"""),"Winda Dwi Ananda")</f>
        <v>Winda Dwi Ananda</v>
      </c>
      <c r="H139" s="10" t="str">
        <f ca="1">IFERROR(__xludf.DUMMYFUNCTION("""COMPUTED_VALUE"""),"PPL")</f>
        <v>PPL</v>
      </c>
      <c r="I139" s="10" t="str">
        <f ca="1">IFERROR(__xludf.DUMMYFUNCTION("""COMPUTED_VALUE"""),"6102016812990001")</f>
        <v>6102016812990001</v>
      </c>
      <c r="J139" s="10" t="str">
        <f ca="1">IFERROR(__xludf.DUMMYFUNCTION("""COMPUTED_VALUE"""),"PENDATAAN")</f>
        <v>PENDATAAN</v>
      </c>
      <c r="K139" s="10" t="str">
        <f ca="1">IFERROR(__xludf.DUMMYFUNCTION("""COMPUTED_VALUE"""),"SERUTI24-LAPANGAN-TRI1-PPL-PENDATAAN")</f>
        <v>SERUTI24-LAPANGAN-TRI1-PPL-PENDATAAN</v>
      </c>
      <c r="L139" s="10" t="str">
        <f ca="1">IFERROR(__xludf.DUMMYFUNCTION("""COMPUTED_VALUE"""),"Dokumen")</f>
        <v>Dokumen</v>
      </c>
      <c r="M139" s="66">
        <f ca="1">IFERROR(__xludf.DUMMYFUNCTION("""COMPUTED_VALUE"""),60000)</f>
        <v>60000</v>
      </c>
      <c r="N139" s="10">
        <f ca="1">IFERROR(__xludf.DUMMYFUNCTION("""COMPUTED_VALUE"""),10)</f>
        <v>10</v>
      </c>
      <c r="O139" s="10">
        <f ca="1">IFERROR(__xludf.DUMMYFUNCTION("""COMPUTED_VALUE"""),600000)</f>
        <v>600000</v>
      </c>
      <c r="P139" s="10"/>
      <c r="Q139" s="67">
        <f ca="1">IFERROR(__xludf.DUMMYFUNCTION("""COMPUTED_VALUE"""),45350)</f>
        <v>45350</v>
      </c>
    </row>
    <row r="140" spans="1:17" ht="12.5">
      <c r="A140" s="82">
        <f t="array" aca="1" ref="A140" ca="1">INDEX('Database Mitra'!$R$2:$R1001,MATCH(C140,'Database Mitra'!$B$2:$B1001,0))</f>
        <v>28920</v>
      </c>
      <c r="B140" s="10" t="e">
        <f t="shared" ca="1" si="0"/>
        <v>#NAME?</v>
      </c>
      <c r="C140" s="83">
        <f ca="1">IFERROR(__xludf.DUMMYFUNCTION("""COMPUTED_VALUE"""),610422040052)</f>
        <v>610422040052</v>
      </c>
      <c r="D140" s="10" t="str">
        <f ca="1">IFERROR(__xludf.DUMMYFUNCTION("""COMPUTED_VALUE"""),"SERUTI24-LAPANGAN-TRI1")</f>
        <v>SERUTI24-LAPANGAN-TRI1</v>
      </c>
      <c r="E140" s="10"/>
      <c r="F140" s="10">
        <f ca="1">IFERROR(__xludf.DUMMYFUNCTION("""COMPUTED_VALUE"""),1)</f>
        <v>1</v>
      </c>
      <c r="G140" s="10" t="str">
        <f ca="1">IFERROR(__xludf.DUMMYFUNCTION("""COMPUTED_VALUE"""),"Yusimianto")</f>
        <v>Yusimianto</v>
      </c>
      <c r="H140" s="10" t="str">
        <f ca="1">IFERROR(__xludf.DUMMYFUNCTION("""COMPUTED_VALUE"""),"PPL")</f>
        <v>PPL</v>
      </c>
      <c r="I140" s="10" t="str">
        <f ca="1">IFERROR(__xludf.DUMMYFUNCTION("""COMPUTED_VALUE"""),"6102160603790001")</f>
        <v>6102160603790001</v>
      </c>
      <c r="J140" s="10" t="str">
        <f ca="1">IFERROR(__xludf.DUMMYFUNCTION("""COMPUTED_VALUE"""),"PENDATAAN")</f>
        <v>PENDATAAN</v>
      </c>
      <c r="K140" s="10" t="str">
        <f ca="1">IFERROR(__xludf.DUMMYFUNCTION("""COMPUTED_VALUE"""),"SERUTI24-LAPANGAN-TRI1-PPL-PENDATAAN")</f>
        <v>SERUTI24-LAPANGAN-TRI1-PPL-PENDATAAN</v>
      </c>
      <c r="L140" s="10" t="str">
        <f ca="1">IFERROR(__xludf.DUMMYFUNCTION("""COMPUTED_VALUE"""),"Dokumen")</f>
        <v>Dokumen</v>
      </c>
      <c r="M140" s="66">
        <f ca="1">IFERROR(__xludf.DUMMYFUNCTION("""COMPUTED_VALUE"""),60000)</f>
        <v>60000</v>
      </c>
      <c r="N140" s="10">
        <f ca="1">IFERROR(__xludf.DUMMYFUNCTION("""COMPUTED_VALUE"""),10)</f>
        <v>10</v>
      </c>
      <c r="O140" s="10">
        <f ca="1">IFERROR(__xludf.DUMMYFUNCTION("""COMPUTED_VALUE"""),600000)</f>
        <v>600000</v>
      </c>
      <c r="P140" s="10"/>
      <c r="Q140" s="67">
        <f ca="1">IFERROR(__xludf.DUMMYFUNCTION("""COMPUTED_VALUE"""),45350)</f>
        <v>45350</v>
      </c>
    </row>
    <row r="141" spans="1:17" ht="12.5">
      <c r="A141" s="11">
        <f t="array" aca="1" ref="A141" ca="1">INDEX('Database Mitra'!$R$2:$R1001,MATCH(C141,'Database Mitra'!$B$2:$B1001,0))</f>
        <v>34895</v>
      </c>
      <c r="B141" s="10" t="e">
        <f t="shared" ca="1" si="0"/>
        <v>#NAME?</v>
      </c>
      <c r="C141" s="83">
        <f ca="1">IFERROR(__xludf.DUMMYFUNCTION("""COMPUTED_VALUE"""),610422020016)</f>
        <v>610422020016</v>
      </c>
      <c r="D141" s="10" t="str">
        <f ca="1">IFERROR(__xludf.DUMMYFUNCTION("""COMPUTED_VALUE"""),"KSA24-LAPANGAN-FEBRUARI")</f>
        <v>KSA24-LAPANGAN-FEBRUARI</v>
      </c>
      <c r="E141" s="10"/>
      <c r="F141" s="10">
        <f ca="1">IFERROR(__xludf.DUMMYFUNCTION("""COMPUTED_VALUE"""),1)</f>
        <v>1</v>
      </c>
      <c r="G141" s="10" t="str">
        <f ca="1">IFERROR(__xludf.DUMMYFUNCTION("""COMPUTED_VALUE"""),"Abdul Aziz")</f>
        <v>Abdul Aziz</v>
      </c>
      <c r="H141" s="10" t="str">
        <f ca="1">IFERROR(__xludf.DUMMYFUNCTION("""COMPUTED_VALUE"""),"PPL")</f>
        <v>PPL</v>
      </c>
      <c r="I141" s="10" t="str">
        <f ca="1">IFERROR(__xludf.DUMMYFUNCTION("""COMPUTED_VALUE"""),"6102061507950006")</f>
        <v>6102061507950006</v>
      </c>
      <c r="J141" s="10" t="str">
        <f ca="1">IFERROR(__xludf.DUMMYFUNCTION("""COMPUTED_VALUE"""),"KSA PADI")</f>
        <v>KSA PADI</v>
      </c>
      <c r="K141" s="10" t="str">
        <f ca="1">IFERROR(__xludf.DUMMYFUNCTION("""COMPUTED_VALUE"""),"KSA24-LAPANGAN-FEBRUARI-PPL-KSA PADI")</f>
        <v>KSA24-LAPANGAN-FEBRUARI-PPL-KSA PADI</v>
      </c>
      <c r="L141" s="10" t="str">
        <f ca="1">IFERROR(__xludf.DUMMYFUNCTION("""COMPUTED_VALUE"""),"Segmen")</f>
        <v>Segmen</v>
      </c>
      <c r="M141" s="66">
        <f ca="1">IFERROR(__xludf.DUMMYFUNCTION("""COMPUTED_VALUE"""),116000)</f>
        <v>116000</v>
      </c>
      <c r="N141" s="10">
        <f ca="1">IFERROR(__xludf.DUMMYFUNCTION("""COMPUTED_VALUE"""),3)</f>
        <v>3</v>
      </c>
      <c r="O141" s="10">
        <f ca="1">IFERROR(__xludf.DUMMYFUNCTION("""COMPUTED_VALUE"""),348000)</f>
        <v>348000</v>
      </c>
      <c r="P141" s="10"/>
      <c r="Q141" s="67">
        <f ca="1">IFERROR(__xludf.DUMMYFUNCTION("""COMPUTED_VALUE"""),45351)</f>
        <v>45351</v>
      </c>
    </row>
    <row r="142" spans="1:17" ht="12.5">
      <c r="A142" s="82">
        <f t="array" aca="1" ref="A142" ca="1">INDEX('Database Mitra'!$R$2:$R1001,MATCH(C142,'Database Mitra'!$B$2:$B1001,0))</f>
        <v>36043</v>
      </c>
      <c r="B142" s="10" t="e">
        <f t="shared" ca="1" si="0"/>
        <v>#NAME?</v>
      </c>
      <c r="C142" s="83">
        <f ca="1">IFERROR(__xludf.DUMMYFUNCTION("""COMPUTED_VALUE"""),610422040012)</f>
        <v>610422040012</v>
      </c>
      <c r="D142" s="10" t="str">
        <f ca="1">IFERROR(__xludf.DUMMYFUNCTION("""COMPUTED_VALUE"""),"KSA24-LAPANGAN-FEBRUARI")</f>
        <v>KSA24-LAPANGAN-FEBRUARI</v>
      </c>
      <c r="E142" s="10"/>
      <c r="F142" s="10">
        <f ca="1">IFERROR(__xludf.DUMMYFUNCTION("""COMPUTED_VALUE"""),1)</f>
        <v>1</v>
      </c>
      <c r="G142" s="10" t="str">
        <f ca="1">IFERROR(__xludf.DUMMYFUNCTION("""COMPUTED_VALUE"""),"Misdi")</f>
        <v>Misdi</v>
      </c>
      <c r="H142" s="10" t="str">
        <f ca="1">IFERROR(__xludf.DUMMYFUNCTION("""COMPUTED_VALUE"""),"PPL")</f>
        <v>PPL</v>
      </c>
      <c r="I142" s="10" t="str">
        <f ca="1">IFERROR(__xludf.DUMMYFUNCTION("""COMPUTED_VALUE"""),"6102070706940001")</f>
        <v>6102070706940001</v>
      </c>
      <c r="J142" s="10" t="str">
        <f ca="1">IFERROR(__xludf.DUMMYFUNCTION("""COMPUTED_VALUE"""),"KSA PADI")</f>
        <v>KSA PADI</v>
      </c>
      <c r="K142" s="10" t="str">
        <f ca="1">IFERROR(__xludf.DUMMYFUNCTION("""COMPUTED_VALUE"""),"KSA24-LAPANGAN-FEBRUARI-PPL-KSA PADI")</f>
        <v>KSA24-LAPANGAN-FEBRUARI-PPL-KSA PADI</v>
      </c>
      <c r="L142" s="10" t="str">
        <f ca="1">IFERROR(__xludf.DUMMYFUNCTION("""COMPUTED_VALUE"""),"Segmen")</f>
        <v>Segmen</v>
      </c>
      <c r="M142" s="66">
        <f ca="1">IFERROR(__xludf.DUMMYFUNCTION("""COMPUTED_VALUE"""),116000)</f>
        <v>116000</v>
      </c>
      <c r="N142" s="10">
        <f ca="1">IFERROR(__xludf.DUMMYFUNCTION("""COMPUTED_VALUE"""),3)</f>
        <v>3</v>
      </c>
      <c r="O142" s="10">
        <f ca="1">IFERROR(__xludf.DUMMYFUNCTION("""COMPUTED_VALUE"""),348000)</f>
        <v>348000</v>
      </c>
      <c r="P142" s="10"/>
      <c r="Q142" s="67">
        <f ca="1">IFERROR(__xludf.DUMMYFUNCTION("""COMPUTED_VALUE"""),45351)</f>
        <v>45351</v>
      </c>
    </row>
    <row r="143" spans="1:17" ht="12.5">
      <c r="A143" s="82">
        <f t="array" aca="1" ref="A143" ca="1">INDEX('Database Mitra'!$R$2:$R1001,MATCH(C143,'Database Mitra'!$B$2:$B1001,0))</f>
        <v>28816</v>
      </c>
      <c r="B143" s="10" t="e">
        <f t="shared" ca="1" si="0"/>
        <v>#NAME?</v>
      </c>
      <c r="C143" s="83">
        <f ca="1">IFERROR(__xludf.DUMMYFUNCTION("""COMPUTED_VALUE"""),610422040059)</f>
        <v>610422040059</v>
      </c>
      <c r="D143" s="10" t="str">
        <f ca="1">IFERROR(__xludf.DUMMYFUNCTION("""COMPUTED_VALUE"""),"KSA24-LAPANGAN-FEBRUARI")</f>
        <v>KSA24-LAPANGAN-FEBRUARI</v>
      </c>
      <c r="E143" s="10"/>
      <c r="F143" s="10">
        <f ca="1">IFERROR(__xludf.DUMMYFUNCTION("""COMPUTED_VALUE"""),1)</f>
        <v>1</v>
      </c>
      <c r="G143" s="10" t="str">
        <f ca="1">IFERROR(__xludf.DUMMYFUNCTION("""COMPUTED_VALUE"""),"Abang Handri")</f>
        <v>Abang Handri</v>
      </c>
      <c r="H143" s="10" t="str">
        <f ca="1">IFERROR(__xludf.DUMMYFUNCTION("""COMPUTED_VALUE"""),"PPL")</f>
        <v>PPL</v>
      </c>
      <c r="I143" s="10" t="str">
        <f ca="1">IFERROR(__xludf.DUMMYFUNCTION("""COMPUTED_VALUE"""),"6102072211780002")</f>
        <v>6102072211780002</v>
      </c>
      <c r="J143" s="10" t="str">
        <f ca="1">IFERROR(__xludf.DUMMYFUNCTION("""COMPUTED_VALUE"""),"KSA PADI")</f>
        <v>KSA PADI</v>
      </c>
      <c r="K143" s="10" t="str">
        <f ca="1">IFERROR(__xludf.DUMMYFUNCTION("""COMPUTED_VALUE"""),"KSA24-LAPANGAN-FEBRUARI-PPL-KSA PADI")</f>
        <v>KSA24-LAPANGAN-FEBRUARI-PPL-KSA PADI</v>
      </c>
      <c r="L143" s="10" t="str">
        <f ca="1">IFERROR(__xludf.DUMMYFUNCTION("""COMPUTED_VALUE"""),"Segmen")</f>
        <v>Segmen</v>
      </c>
      <c r="M143" s="66">
        <f ca="1">IFERROR(__xludf.DUMMYFUNCTION("""COMPUTED_VALUE"""),116000)</f>
        <v>116000</v>
      </c>
      <c r="N143" s="10">
        <f ca="1">IFERROR(__xludf.DUMMYFUNCTION("""COMPUTED_VALUE"""),4)</f>
        <v>4</v>
      </c>
      <c r="O143" s="10">
        <f ca="1">IFERROR(__xludf.DUMMYFUNCTION("""COMPUTED_VALUE"""),464000)</f>
        <v>464000</v>
      </c>
      <c r="P143" s="10"/>
      <c r="Q143" s="67">
        <f ca="1">IFERROR(__xludf.DUMMYFUNCTION("""COMPUTED_VALUE"""),45351)</f>
        <v>45351</v>
      </c>
    </row>
    <row r="144" spans="1:17" ht="12.5">
      <c r="A144" s="11">
        <f t="array" aca="1" ref="A144" ca="1">INDEX('Database Mitra'!$R$2:$R1001,MATCH(C144,'Database Mitra'!$B$2:$B1001,0))</f>
        <v>31777</v>
      </c>
      <c r="B144" s="10" t="e">
        <f t="shared" ca="1" si="0"/>
        <v>#NAME?</v>
      </c>
      <c r="C144" s="83">
        <f ca="1">IFERROR(__xludf.DUMMYFUNCTION("""COMPUTED_VALUE"""),610422040061)</f>
        <v>610422040061</v>
      </c>
      <c r="D144" s="10" t="str">
        <f ca="1">IFERROR(__xludf.DUMMYFUNCTION("""COMPUTED_VALUE"""),"KSA24-LAPANGAN-FEBRUARI")</f>
        <v>KSA24-LAPANGAN-FEBRUARI</v>
      </c>
      <c r="E144" s="10"/>
      <c r="F144" s="10">
        <f ca="1">IFERROR(__xludf.DUMMYFUNCTION("""COMPUTED_VALUE"""),1)</f>
        <v>1</v>
      </c>
      <c r="G144" s="10" t="str">
        <f ca="1">IFERROR(__xludf.DUMMYFUNCTION("""COMPUTED_VALUE"""),"Sabani")</f>
        <v>Sabani</v>
      </c>
      <c r="H144" s="10" t="str">
        <f ca="1">IFERROR(__xludf.DUMMYFUNCTION("""COMPUTED_VALUE"""),"PPL")</f>
        <v>PPL</v>
      </c>
      <c r="I144" s="10" t="str">
        <f ca="1">IFERROR(__xludf.DUMMYFUNCTION("""COMPUTED_VALUE"""),"6102153112860003")</f>
        <v>6102153112860003</v>
      </c>
      <c r="J144" s="10" t="str">
        <f ca="1">IFERROR(__xludf.DUMMYFUNCTION("""COMPUTED_VALUE"""),"KSA PADI")</f>
        <v>KSA PADI</v>
      </c>
      <c r="K144" s="10" t="str">
        <f ca="1">IFERROR(__xludf.DUMMYFUNCTION("""COMPUTED_VALUE"""),"KSA24-LAPANGAN-FEBRUARI-PPL-KSA PADI")</f>
        <v>KSA24-LAPANGAN-FEBRUARI-PPL-KSA PADI</v>
      </c>
      <c r="L144" s="10" t="str">
        <f ca="1">IFERROR(__xludf.DUMMYFUNCTION("""COMPUTED_VALUE"""),"Segmen")</f>
        <v>Segmen</v>
      </c>
      <c r="M144" s="66">
        <f ca="1">IFERROR(__xludf.DUMMYFUNCTION("""COMPUTED_VALUE"""),116000)</f>
        <v>116000</v>
      </c>
      <c r="N144" s="10">
        <f ca="1">IFERROR(__xludf.DUMMYFUNCTION("""COMPUTED_VALUE"""),3)</f>
        <v>3</v>
      </c>
      <c r="O144" s="10">
        <f ca="1">IFERROR(__xludf.DUMMYFUNCTION("""COMPUTED_VALUE"""),348000)</f>
        <v>348000</v>
      </c>
      <c r="P144" s="10"/>
      <c r="Q144" s="67">
        <f ca="1">IFERROR(__xludf.DUMMYFUNCTION("""COMPUTED_VALUE"""),45351)</f>
        <v>45351</v>
      </c>
    </row>
    <row r="145" spans="1:17" ht="12.5">
      <c r="A145" s="82">
        <f t="array" aca="1" ref="A145" ca="1">INDEX('Database Mitra'!$R$2:$R1001,MATCH(C145,'Database Mitra'!$B$2:$B1001,0))</f>
        <v>31602</v>
      </c>
      <c r="B145" s="10" t="e">
        <f t="shared" ca="1" si="0"/>
        <v>#NAME?</v>
      </c>
      <c r="C145" s="83">
        <f ca="1">IFERROR(__xludf.DUMMYFUNCTION("""COMPUTED_VALUE"""),610422100131)</f>
        <v>610422100131</v>
      </c>
      <c r="D145" s="10" t="str">
        <f ca="1">IFERROR(__xludf.DUMMYFUNCTION("""COMPUTED_VALUE"""),"KSA24-LAPANGAN-FEBRUARI")</f>
        <v>KSA24-LAPANGAN-FEBRUARI</v>
      </c>
      <c r="E145" s="10"/>
      <c r="F145" s="10">
        <f ca="1">IFERROR(__xludf.DUMMYFUNCTION("""COMPUTED_VALUE"""),1)</f>
        <v>1</v>
      </c>
      <c r="G145" s="10" t="str">
        <f ca="1">IFERROR(__xludf.DUMMYFUNCTION("""COMPUTED_VALUE"""),"Syamsul")</f>
        <v>Syamsul</v>
      </c>
      <c r="H145" s="10" t="str">
        <f ca="1">IFERROR(__xludf.DUMMYFUNCTION("""COMPUTED_VALUE"""),"PPL")</f>
        <v>PPL</v>
      </c>
      <c r="I145" s="10" t="str">
        <f ca="1">IFERROR(__xludf.DUMMYFUNCTION("""COMPUTED_VALUE"""),"6102150907860003")</f>
        <v>6102150907860003</v>
      </c>
      <c r="J145" s="10" t="str">
        <f ca="1">IFERROR(__xludf.DUMMYFUNCTION("""COMPUTED_VALUE"""),"KSA PADI")</f>
        <v>KSA PADI</v>
      </c>
      <c r="K145" s="10" t="str">
        <f ca="1">IFERROR(__xludf.DUMMYFUNCTION("""COMPUTED_VALUE"""),"KSA24-LAPANGAN-FEBRUARI-PPL-KSA PADI")</f>
        <v>KSA24-LAPANGAN-FEBRUARI-PPL-KSA PADI</v>
      </c>
      <c r="L145" s="10" t="str">
        <f ca="1">IFERROR(__xludf.DUMMYFUNCTION("""COMPUTED_VALUE"""),"Segmen")</f>
        <v>Segmen</v>
      </c>
      <c r="M145" s="66">
        <f ca="1">IFERROR(__xludf.DUMMYFUNCTION("""COMPUTED_VALUE"""),116000)</f>
        <v>116000</v>
      </c>
      <c r="N145" s="10">
        <f ca="1">IFERROR(__xludf.DUMMYFUNCTION("""COMPUTED_VALUE"""),3)</f>
        <v>3</v>
      </c>
      <c r="O145" s="10">
        <f ca="1">IFERROR(__xludf.DUMMYFUNCTION("""COMPUTED_VALUE"""),348000)</f>
        <v>348000</v>
      </c>
      <c r="P145" s="10"/>
      <c r="Q145" s="67">
        <f ca="1">IFERROR(__xludf.DUMMYFUNCTION("""COMPUTED_VALUE"""),45351)</f>
        <v>45351</v>
      </c>
    </row>
    <row r="146" spans="1:17" ht="12.5">
      <c r="A146" s="82">
        <f t="array" aca="1" ref="A146" ca="1">INDEX('Database Mitra'!$R$2:$R1001,MATCH(C146,'Database Mitra'!$B$2:$B1001,0))</f>
        <v>32942</v>
      </c>
      <c r="B146" s="10" t="e">
        <f t="shared" ca="1" si="0"/>
        <v>#NAME?</v>
      </c>
      <c r="C146" s="83">
        <f ca="1">IFERROR(__xludf.DUMMYFUNCTION("""COMPUTED_VALUE"""),610422100244)</f>
        <v>610422100244</v>
      </c>
      <c r="D146" s="10" t="str">
        <f ca="1">IFERROR(__xludf.DUMMYFUNCTION("""COMPUTED_VALUE"""),"KSA24-LAPANGAN-FEBRUARI")</f>
        <v>KSA24-LAPANGAN-FEBRUARI</v>
      </c>
      <c r="E146" s="10"/>
      <c r="F146" s="10">
        <f ca="1">IFERROR(__xludf.DUMMYFUNCTION("""COMPUTED_VALUE"""),1)</f>
        <v>1</v>
      </c>
      <c r="G146" s="10" t="str">
        <f ca="1">IFERROR(__xludf.DUMMYFUNCTION("""COMPUTED_VALUE"""),"Sugianto")</f>
        <v>Sugianto</v>
      </c>
      <c r="H146" s="10" t="str">
        <f ca="1">IFERROR(__xludf.DUMMYFUNCTION("""COMPUTED_VALUE"""),"PPL")</f>
        <v>PPL</v>
      </c>
      <c r="I146" s="10" t="str">
        <f ca="1">IFERROR(__xludf.DUMMYFUNCTION("""COMPUTED_VALUE"""),"6102171003900002")</f>
        <v>6102171003900002</v>
      </c>
      <c r="J146" s="10" t="str">
        <f ca="1">IFERROR(__xludf.DUMMYFUNCTION("""COMPUTED_VALUE"""),"KSA PADI")</f>
        <v>KSA PADI</v>
      </c>
      <c r="K146" s="10" t="str">
        <f ca="1">IFERROR(__xludf.DUMMYFUNCTION("""COMPUTED_VALUE"""),"KSA24-LAPANGAN-FEBRUARI-PPL-KSA PADI")</f>
        <v>KSA24-LAPANGAN-FEBRUARI-PPL-KSA PADI</v>
      </c>
      <c r="L146" s="10" t="str">
        <f ca="1">IFERROR(__xludf.DUMMYFUNCTION("""COMPUTED_VALUE"""),"Segmen")</f>
        <v>Segmen</v>
      </c>
      <c r="M146" s="66">
        <f ca="1">IFERROR(__xludf.DUMMYFUNCTION("""COMPUTED_VALUE"""),116000)</f>
        <v>116000</v>
      </c>
      <c r="N146" s="10">
        <f ca="1">IFERROR(__xludf.DUMMYFUNCTION("""COMPUTED_VALUE"""),3)</f>
        <v>3</v>
      </c>
      <c r="O146" s="10">
        <f ca="1">IFERROR(__xludf.DUMMYFUNCTION("""COMPUTED_VALUE"""),348000)</f>
        <v>348000</v>
      </c>
      <c r="P146" s="10"/>
      <c r="Q146" s="67">
        <f ca="1">IFERROR(__xludf.DUMMYFUNCTION("""COMPUTED_VALUE"""),45351)</f>
        <v>45351</v>
      </c>
    </row>
    <row r="147" spans="1:17" ht="12.5">
      <c r="A147" s="11">
        <f t="array" aca="1" ref="A147" ca="1">INDEX('Database Mitra'!$R$2:$R1001,MATCH(C147,'Database Mitra'!$B$2:$B1001,0))</f>
        <v>32481</v>
      </c>
      <c r="B147" s="10" t="e">
        <f t="shared" ca="1" si="0"/>
        <v>#NAME?</v>
      </c>
      <c r="C147" s="83">
        <f ca="1">IFERROR(__xludf.DUMMYFUNCTION("""COMPUTED_VALUE"""),610422100176)</f>
        <v>610422100176</v>
      </c>
      <c r="D147" s="10" t="str">
        <f ca="1">IFERROR(__xludf.DUMMYFUNCTION("""COMPUTED_VALUE"""),"KSA24-LAPANGAN-FEBRUARI")</f>
        <v>KSA24-LAPANGAN-FEBRUARI</v>
      </c>
      <c r="E147" s="10"/>
      <c r="F147" s="10">
        <f ca="1">IFERROR(__xludf.DUMMYFUNCTION("""COMPUTED_VALUE"""),1)</f>
        <v>1</v>
      </c>
      <c r="G147" s="10" t="str">
        <f ca="1">IFERROR(__xludf.DUMMYFUNCTION("""COMPUTED_VALUE"""),"Feri Firdaus")</f>
        <v>Feri Firdaus</v>
      </c>
      <c r="H147" s="10" t="str">
        <f ca="1">IFERROR(__xludf.DUMMYFUNCTION("""COMPUTED_VALUE"""),"PPL")</f>
        <v>PPL</v>
      </c>
      <c r="I147" s="10" t="str">
        <f ca="1">IFERROR(__xludf.DUMMYFUNCTION("""COMPUTED_VALUE"""),"6102150412880001")</f>
        <v>6102150412880001</v>
      </c>
      <c r="J147" s="10" t="str">
        <f ca="1">IFERROR(__xludf.DUMMYFUNCTION("""COMPUTED_VALUE"""),"KSA PADI")</f>
        <v>KSA PADI</v>
      </c>
      <c r="K147" s="10" t="str">
        <f ca="1">IFERROR(__xludf.DUMMYFUNCTION("""COMPUTED_VALUE"""),"KSA24-LAPANGAN-FEBRUARI-PPL-KSA PADI")</f>
        <v>KSA24-LAPANGAN-FEBRUARI-PPL-KSA PADI</v>
      </c>
      <c r="L147" s="10" t="str">
        <f ca="1">IFERROR(__xludf.DUMMYFUNCTION("""COMPUTED_VALUE"""),"Segmen")</f>
        <v>Segmen</v>
      </c>
      <c r="M147" s="66">
        <f ca="1">IFERROR(__xludf.DUMMYFUNCTION("""COMPUTED_VALUE"""),116000)</f>
        <v>116000</v>
      </c>
      <c r="N147" s="10">
        <f ca="1">IFERROR(__xludf.DUMMYFUNCTION("""COMPUTED_VALUE"""),3)</f>
        <v>3</v>
      </c>
      <c r="O147" s="10">
        <f ca="1">IFERROR(__xludf.DUMMYFUNCTION("""COMPUTED_VALUE"""),348000)</f>
        <v>348000</v>
      </c>
      <c r="P147" s="10"/>
      <c r="Q147" s="67">
        <f ca="1">IFERROR(__xludf.DUMMYFUNCTION("""COMPUTED_VALUE"""),45351)</f>
        <v>45351</v>
      </c>
    </row>
    <row r="148" spans="1:17" ht="12.5">
      <c r="A148" s="82">
        <f t="array" aca="1" ref="A148" ca="1">INDEX('Database Mitra'!$R$2:$R1001,MATCH(C148,'Database Mitra'!$B$2:$B1001,0))</f>
        <v>29171</v>
      </c>
      <c r="B148" s="10" t="e">
        <f t="shared" ca="1" si="0"/>
        <v>#NAME?</v>
      </c>
      <c r="C148" s="83">
        <f ca="1">IFERROR(__xludf.DUMMYFUNCTION("""COMPUTED_VALUE"""),610423110183)</f>
        <v>610423110183</v>
      </c>
      <c r="D148" s="10" t="str">
        <f ca="1">IFERROR(__xludf.DUMMYFUNCTION("""COMPUTED_VALUE"""),"KSA24-LAPANGAN-FEBRUARI")</f>
        <v>KSA24-LAPANGAN-FEBRUARI</v>
      </c>
      <c r="E148" s="10"/>
      <c r="F148" s="10">
        <f ca="1">IFERROR(__xludf.DUMMYFUNCTION("""COMPUTED_VALUE"""),1)</f>
        <v>1</v>
      </c>
      <c r="G148" s="10" t="str">
        <f ca="1">IFERROR(__xludf.DUMMYFUNCTION("""COMPUTED_VALUE"""),"Azhar")</f>
        <v>Azhar</v>
      </c>
      <c r="H148" s="10" t="str">
        <f ca="1">IFERROR(__xludf.DUMMYFUNCTION("""COMPUTED_VALUE"""),"PPL")</f>
        <v>PPL</v>
      </c>
      <c r="I148" s="10" t="str">
        <f ca="1">IFERROR(__xludf.DUMMYFUNCTION("""COMPUTED_VALUE"""),"6102081211790004")</f>
        <v>6102081211790004</v>
      </c>
      <c r="J148" s="10" t="str">
        <f ca="1">IFERROR(__xludf.DUMMYFUNCTION("""COMPUTED_VALUE"""),"KSA PADI")</f>
        <v>KSA PADI</v>
      </c>
      <c r="K148" s="10" t="str">
        <f ca="1">IFERROR(__xludf.DUMMYFUNCTION("""COMPUTED_VALUE"""),"KSA24-LAPANGAN-FEBRUARI-PPL-KSA PADI")</f>
        <v>KSA24-LAPANGAN-FEBRUARI-PPL-KSA PADI</v>
      </c>
      <c r="L148" s="10" t="str">
        <f ca="1">IFERROR(__xludf.DUMMYFUNCTION("""COMPUTED_VALUE"""),"Segmen")</f>
        <v>Segmen</v>
      </c>
      <c r="M148" s="66">
        <f ca="1">IFERROR(__xludf.DUMMYFUNCTION("""COMPUTED_VALUE"""),116000)</f>
        <v>116000</v>
      </c>
      <c r="N148" s="10">
        <f ca="1">IFERROR(__xludf.DUMMYFUNCTION("""COMPUTED_VALUE"""),6)</f>
        <v>6</v>
      </c>
      <c r="O148" s="10">
        <f ca="1">IFERROR(__xludf.DUMMYFUNCTION("""COMPUTED_VALUE"""),696000)</f>
        <v>696000</v>
      </c>
      <c r="P148" s="10"/>
      <c r="Q148" s="67">
        <f ca="1">IFERROR(__xludf.DUMMYFUNCTION("""COMPUTED_VALUE"""),45351)</f>
        <v>45351</v>
      </c>
    </row>
    <row r="149" spans="1:17" ht="12.5">
      <c r="A149" s="82">
        <f t="array" aca="1" ref="A149" ca="1">INDEX('Database Mitra'!$R$2:$R1001,MATCH(C149,'Database Mitra'!$B$2:$B1001,0))</f>
        <v>32409</v>
      </c>
      <c r="B149" s="10" t="e">
        <f t="shared" ca="1" si="0"/>
        <v>#NAME?</v>
      </c>
      <c r="C149" s="83">
        <f ca="1">IFERROR(__xludf.DUMMYFUNCTION("""COMPUTED_VALUE"""),610423040018)</f>
        <v>610423040018</v>
      </c>
      <c r="D149" s="10" t="str">
        <f ca="1">IFERROR(__xludf.DUMMYFUNCTION("""COMPUTED_VALUE"""),"KSA24-LAPANGAN-FEBRUARI")</f>
        <v>KSA24-LAPANGAN-FEBRUARI</v>
      </c>
      <c r="E149" s="10"/>
      <c r="F149" s="10">
        <f ca="1">IFERROR(__xludf.DUMMYFUNCTION("""COMPUTED_VALUE"""),1)</f>
        <v>1</v>
      </c>
      <c r="G149" s="10" t="str">
        <f ca="1">IFERROR(__xludf.DUMMYFUNCTION("""COMPUTED_VALUE"""),"Handoko Tuah Sabarman Sipayung")</f>
        <v>Handoko Tuah Sabarman Sipayung</v>
      </c>
      <c r="H149" s="10" t="str">
        <f ca="1">IFERROR(__xludf.DUMMYFUNCTION("""COMPUTED_VALUE"""),"PPL")</f>
        <v>PPL</v>
      </c>
      <c r="I149" s="10" t="str">
        <f ca="1">IFERROR(__xludf.DUMMYFUNCTION("""COMPUTED_VALUE"""),"1212092309880001")</f>
        <v>1212092309880001</v>
      </c>
      <c r="J149" s="10" t="str">
        <f ca="1">IFERROR(__xludf.DUMMYFUNCTION("""COMPUTED_VALUE"""),"KSA PADI")</f>
        <v>KSA PADI</v>
      </c>
      <c r="K149" s="10" t="str">
        <f ca="1">IFERROR(__xludf.DUMMYFUNCTION("""COMPUTED_VALUE"""),"KSA24-LAPANGAN-FEBRUARI-PPL-KSA PADI")</f>
        <v>KSA24-LAPANGAN-FEBRUARI-PPL-KSA PADI</v>
      </c>
      <c r="L149" s="10" t="str">
        <f ca="1">IFERROR(__xludf.DUMMYFUNCTION("""COMPUTED_VALUE"""),"Segmen")</f>
        <v>Segmen</v>
      </c>
      <c r="M149" s="66">
        <f ca="1">IFERROR(__xludf.DUMMYFUNCTION("""COMPUTED_VALUE"""),116000)</f>
        <v>116000</v>
      </c>
      <c r="N149" s="10">
        <f ca="1">IFERROR(__xludf.DUMMYFUNCTION("""COMPUTED_VALUE"""),4)</f>
        <v>4</v>
      </c>
      <c r="O149" s="10">
        <f ca="1">IFERROR(__xludf.DUMMYFUNCTION("""COMPUTED_VALUE"""),464000)</f>
        <v>464000</v>
      </c>
      <c r="P149" s="10"/>
      <c r="Q149" s="67">
        <f ca="1">IFERROR(__xludf.DUMMYFUNCTION("""COMPUTED_VALUE"""),45351)</f>
        <v>45351</v>
      </c>
    </row>
    <row r="150" spans="1:17" ht="12.5">
      <c r="A150" s="82">
        <f t="array" aca="1" ref="A150" ca="1">INDEX('Database Mitra'!$R$2:$R1001,MATCH(C150,'Database Mitra'!$B$2:$B1001,0))</f>
        <v>28816</v>
      </c>
      <c r="B150" s="10" t="e">
        <f t="shared" ca="1" si="0"/>
        <v>#NAME?</v>
      </c>
      <c r="C150" s="83">
        <f ca="1">IFERROR(__xludf.DUMMYFUNCTION("""COMPUTED_VALUE"""),610422040059)</f>
        <v>610422040059</v>
      </c>
      <c r="D150" s="10" t="str">
        <f ca="1">IFERROR(__xludf.DUMMYFUNCTION("""COMPUTED_VALUE"""),"KSA24-LAPANGAN-FEBRUARI")</f>
        <v>KSA24-LAPANGAN-FEBRUARI</v>
      </c>
      <c r="E150" s="10"/>
      <c r="F150" s="10">
        <f ca="1">IFERROR(__xludf.DUMMYFUNCTION("""COMPUTED_VALUE"""),1)</f>
        <v>1</v>
      </c>
      <c r="G150" s="10" t="str">
        <f ca="1">IFERROR(__xludf.DUMMYFUNCTION("""COMPUTED_VALUE"""),"Abang Handri")</f>
        <v>Abang Handri</v>
      </c>
      <c r="H150" s="10" t="str">
        <f ca="1">IFERROR(__xludf.DUMMYFUNCTION("""COMPUTED_VALUE"""),"PPL")</f>
        <v>PPL</v>
      </c>
      <c r="I150" s="10" t="str">
        <f ca="1">IFERROR(__xludf.DUMMYFUNCTION("""COMPUTED_VALUE"""),"6102072211780002")</f>
        <v>6102072211780002</v>
      </c>
      <c r="J150" s="10" t="str">
        <f ca="1">IFERROR(__xludf.DUMMYFUNCTION("""COMPUTED_VALUE"""),"KSA JAGUNG")</f>
        <v>KSA JAGUNG</v>
      </c>
      <c r="K150" s="10" t="str">
        <f ca="1">IFERROR(__xludf.DUMMYFUNCTION("""COMPUTED_VALUE"""),"KSA24-LAPANGAN-FEBRUARI-PPL-KSA JAGUNG")</f>
        <v>KSA24-LAPANGAN-FEBRUARI-PPL-KSA JAGUNG</v>
      </c>
      <c r="L150" s="10" t="str">
        <f ca="1">IFERROR(__xludf.DUMMYFUNCTION("""COMPUTED_VALUE"""),"Segmen")</f>
        <v>Segmen</v>
      </c>
      <c r="M150" s="66">
        <f ca="1">IFERROR(__xludf.DUMMYFUNCTION("""COMPUTED_VALUE"""),59000)</f>
        <v>59000</v>
      </c>
      <c r="N150" s="10">
        <f ca="1">IFERROR(__xludf.DUMMYFUNCTION("""COMPUTED_VALUE"""),6)</f>
        <v>6</v>
      </c>
      <c r="O150" s="10">
        <f ca="1">IFERROR(__xludf.DUMMYFUNCTION("""COMPUTED_VALUE"""),354000)</f>
        <v>354000</v>
      </c>
      <c r="P150" s="10"/>
      <c r="Q150" s="67">
        <f ca="1">IFERROR(__xludf.DUMMYFUNCTION("""COMPUTED_VALUE"""),45351)</f>
        <v>45351</v>
      </c>
    </row>
    <row r="151" spans="1:17" ht="12.5">
      <c r="A151" s="11">
        <f t="array" aca="1" ref="A151" ca="1">INDEX('Database Mitra'!$R$2:$R1001,MATCH(C151,'Database Mitra'!$B$2:$B1001,0))</f>
        <v>29305</v>
      </c>
      <c r="B151" s="10" t="e">
        <f t="shared" ca="1" si="0"/>
        <v>#NAME?</v>
      </c>
      <c r="C151" s="83">
        <f ca="1">IFERROR(__xludf.DUMMYFUNCTION("""COMPUTED_VALUE"""),610422020048)</f>
        <v>610422020048</v>
      </c>
      <c r="D151" s="10" t="str">
        <f ca="1">IFERROR(__xludf.DUMMYFUNCTION("""COMPUTED_VALUE"""),"KSA24-LAPANGAN-FEBRUARI")</f>
        <v>KSA24-LAPANGAN-FEBRUARI</v>
      </c>
      <c r="E151" s="10"/>
      <c r="F151" s="10">
        <f ca="1">IFERROR(__xludf.DUMMYFUNCTION("""COMPUTED_VALUE"""),1)</f>
        <v>1</v>
      </c>
      <c r="G151" s="10" t="str">
        <f ca="1">IFERROR(__xludf.DUMMYFUNCTION("""COMPUTED_VALUE"""),"Herri Gustaman")</f>
        <v>Herri Gustaman</v>
      </c>
      <c r="H151" s="10" t="str">
        <f ca="1">IFERROR(__xludf.DUMMYFUNCTION("""COMPUTED_VALUE"""),"PPL")</f>
        <v>PPL</v>
      </c>
      <c r="I151" s="10" t="str">
        <f ca="1">IFERROR(__xludf.DUMMYFUNCTION("""COMPUTED_VALUE"""),"6102072503800001")</f>
        <v>6102072503800001</v>
      </c>
      <c r="J151" s="10" t="str">
        <f ca="1">IFERROR(__xludf.DUMMYFUNCTION("""COMPUTED_VALUE"""),"KSA JAGUNG")</f>
        <v>KSA JAGUNG</v>
      </c>
      <c r="K151" s="10" t="str">
        <f ca="1">IFERROR(__xludf.DUMMYFUNCTION("""COMPUTED_VALUE"""),"KSA24-LAPANGAN-FEBRUARI-PPL-KSA JAGUNG")</f>
        <v>KSA24-LAPANGAN-FEBRUARI-PPL-KSA JAGUNG</v>
      </c>
      <c r="L151" s="10" t="str">
        <f ca="1">IFERROR(__xludf.DUMMYFUNCTION("""COMPUTED_VALUE"""),"Segmen")</f>
        <v>Segmen</v>
      </c>
      <c r="M151" s="66">
        <f ca="1">IFERROR(__xludf.DUMMYFUNCTION("""COMPUTED_VALUE"""),59000)</f>
        <v>59000</v>
      </c>
      <c r="N151" s="10">
        <f ca="1">IFERROR(__xludf.DUMMYFUNCTION("""COMPUTED_VALUE"""),6)</f>
        <v>6</v>
      </c>
      <c r="O151" s="10">
        <f ca="1">IFERROR(__xludf.DUMMYFUNCTION("""COMPUTED_VALUE"""),354000)</f>
        <v>354000</v>
      </c>
      <c r="P151" s="10"/>
      <c r="Q151" s="67">
        <f ca="1">IFERROR(__xludf.DUMMYFUNCTION("""COMPUTED_VALUE"""),45351)</f>
        <v>45351</v>
      </c>
    </row>
    <row r="152" spans="1:17" ht="12.5">
      <c r="A152" s="82">
        <f t="array" aca="1" ref="A152" ca="1">INDEX('Database Mitra'!$R$2:$R1001,MATCH(C152,'Database Mitra'!$B$2:$B1001,0))</f>
        <v>34541</v>
      </c>
      <c r="B152" s="10" t="e">
        <f t="shared" ca="1" si="0"/>
        <v>#NAME?</v>
      </c>
      <c r="C152" s="83">
        <f ca="1">IFERROR(__xludf.DUMMYFUNCTION("""COMPUTED_VALUE"""),610422040058)</f>
        <v>610422040058</v>
      </c>
      <c r="D152" s="10" t="str">
        <f ca="1">IFERROR(__xludf.DUMMYFUNCTION("""COMPUTED_VALUE"""),"KSA24-LAPANGAN-FEBRUARI")</f>
        <v>KSA24-LAPANGAN-FEBRUARI</v>
      </c>
      <c r="E152" s="10"/>
      <c r="F152" s="10">
        <f ca="1">IFERROR(__xludf.DUMMYFUNCTION("""COMPUTED_VALUE"""),1)</f>
        <v>1</v>
      </c>
      <c r="G152" s="10" t="str">
        <f ca="1">IFERROR(__xludf.DUMMYFUNCTION("""COMPUTED_VALUE"""),"Jamaluddin, Sp")</f>
        <v>Jamaluddin, Sp</v>
      </c>
      <c r="H152" s="10" t="str">
        <f ca="1">IFERROR(__xludf.DUMMYFUNCTION("""COMPUTED_VALUE"""),"PPL")</f>
        <v>PPL</v>
      </c>
      <c r="I152" s="10" t="str">
        <f ca="1">IFERROR(__xludf.DUMMYFUNCTION("""COMPUTED_VALUE"""),"6102152607940002")</f>
        <v>6102152607940002</v>
      </c>
      <c r="J152" s="10" t="str">
        <f ca="1">IFERROR(__xludf.DUMMYFUNCTION("""COMPUTED_VALUE"""),"KSA JAGUNG")</f>
        <v>KSA JAGUNG</v>
      </c>
      <c r="K152" s="10" t="str">
        <f ca="1">IFERROR(__xludf.DUMMYFUNCTION("""COMPUTED_VALUE"""),"KSA24-LAPANGAN-FEBRUARI-PPL-KSA JAGUNG")</f>
        <v>KSA24-LAPANGAN-FEBRUARI-PPL-KSA JAGUNG</v>
      </c>
      <c r="L152" s="10" t="str">
        <f ca="1">IFERROR(__xludf.DUMMYFUNCTION("""COMPUTED_VALUE"""),"Segmen")</f>
        <v>Segmen</v>
      </c>
      <c r="M152" s="66">
        <f ca="1">IFERROR(__xludf.DUMMYFUNCTION("""COMPUTED_VALUE"""),59000)</f>
        <v>59000</v>
      </c>
      <c r="N152" s="10">
        <f ca="1">IFERROR(__xludf.DUMMYFUNCTION("""COMPUTED_VALUE"""),10)</f>
        <v>10</v>
      </c>
      <c r="O152" s="10">
        <f ca="1">IFERROR(__xludf.DUMMYFUNCTION("""COMPUTED_VALUE"""),590000)</f>
        <v>590000</v>
      </c>
      <c r="P152" s="10"/>
      <c r="Q152" s="67">
        <f ca="1">IFERROR(__xludf.DUMMYFUNCTION("""COMPUTED_VALUE"""),45351)</f>
        <v>45351</v>
      </c>
    </row>
    <row r="153" spans="1:17" ht="12.5">
      <c r="A153" s="82">
        <f t="array" aca="1" ref="A153" ca="1">INDEX('Database Mitra'!$R$2:$R1001,MATCH(C153,'Database Mitra'!$B$2:$B1001,0))</f>
        <v>29171</v>
      </c>
      <c r="B153" s="10" t="e">
        <f t="shared" ca="1" si="0"/>
        <v>#NAME?</v>
      </c>
      <c r="C153" s="83">
        <f ca="1">IFERROR(__xludf.DUMMYFUNCTION("""COMPUTED_VALUE"""),610423110183)</f>
        <v>610423110183</v>
      </c>
      <c r="D153" s="10" t="str">
        <f ca="1">IFERROR(__xludf.DUMMYFUNCTION("""COMPUTED_VALUE"""),"KSA24-LAPANGAN-FEBRUARI")</f>
        <v>KSA24-LAPANGAN-FEBRUARI</v>
      </c>
      <c r="E153" s="10"/>
      <c r="F153" s="10">
        <f ca="1">IFERROR(__xludf.DUMMYFUNCTION("""COMPUTED_VALUE"""),1)</f>
        <v>1</v>
      </c>
      <c r="G153" s="10" t="str">
        <f ca="1">IFERROR(__xludf.DUMMYFUNCTION("""COMPUTED_VALUE"""),"Azhar")</f>
        <v>Azhar</v>
      </c>
      <c r="H153" s="10" t="str">
        <f ca="1">IFERROR(__xludf.DUMMYFUNCTION("""COMPUTED_VALUE"""),"PPL")</f>
        <v>PPL</v>
      </c>
      <c r="I153" s="10" t="str">
        <f ca="1">IFERROR(__xludf.DUMMYFUNCTION("""COMPUTED_VALUE"""),"6102081211790004")</f>
        <v>6102081211790004</v>
      </c>
      <c r="J153" s="10" t="str">
        <f ca="1">IFERROR(__xludf.DUMMYFUNCTION("""COMPUTED_VALUE"""),"KSA JAGUNG")</f>
        <v>KSA JAGUNG</v>
      </c>
      <c r="K153" s="10" t="str">
        <f ca="1">IFERROR(__xludf.DUMMYFUNCTION("""COMPUTED_VALUE"""),"KSA24-LAPANGAN-FEBRUARI-PPL-KSA JAGUNG")</f>
        <v>KSA24-LAPANGAN-FEBRUARI-PPL-KSA JAGUNG</v>
      </c>
      <c r="L153" s="10" t="str">
        <f ca="1">IFERROR(__xludf.DUMMYFUNCTION("""COMPUTED_VALUE"""),"Segmen")</f>
        <v>Segmen</v>
      </c>
      <c r="M153" s="66">
        <f ca="1">IFERROR(__xludf.DUMMYFUNCTION("""COMPUTED_VALUE"""),59000)</f>
        <v>59000</v>
      </c>
      <c r="N153" s="10">
        <f ca="1">IFERROR(__xludf.DUMMYFUNCTION("""COMPUTED_VALUE"""),6)</f>
        <v>6</v>
      </c>
      <c r="O153" s="10">
        <f ca="1">IFERROR(__xludf.DUMMYFUNCTION("""COMPUTED_VALUE"""),354000)</f>
        <v>354000</v>
      </c>
      <c r="P153" s="10"/>
      <c r="Q153" s="67">
        <f ca="1">IFERROR(__xludf.DUMMYFUNCTION("""COMPUTED_VALUE"""),45351)</f>
        <v>45351</v>
      </c>
    </row>
    <row r="154" spans="1:17" ht="12.5">
      <c r="A154" s="82">
        <f t="array" aca="1" ref="A154" ca="1">INDEX('Database Mitra'!$R$2:$R1001,MATCH(C154,'Database Mitra'!$B$2:$B1001,0))</f>
        <v>32942</v>
      </c>
      <c r="B154" s="10" t="e">
        <f t="shared" ca="1" si="0"/>
        <v>#NAME?</v>
      </c>
      <c r="C154" s="83">
        <f ca="1">IFERROR(__xludf.DUMMYFUNCTION("""COMPUTED_VALUE"""),610422100244)</f>
        <v>610422100244</v>
      </c>
      <c r="D154" s="10" t="str">
        <f ca="1">IFERROR(__xludf.DUMMYFUNCTION("""COMPUTED_VALUE"""),"KSA24-LAPANGAN-FEBRUARI")</f>
        <v>KSA24-LAPANGAN-FEBRUARI</v>
      </c>
      <c r="E154" s="10"/>
      <c r="F154" s="10">
        <f ca="1">IFERROR(__xludf.DUMMYFUNCTION("""COMPUTED_VALUE"""),1)</f>
        <v>1</v>
      </c>
      <c r="G154" s="10" t="str">
        <f ca="1">IFERROR(__xludf.DUMMYFUNCTION("""COMPUTED_VALUE"""),"Sugianto")</f>
        <v>Sugianto</v>
      </c>
      <c r="H154" s="10" t="str">
        <f ca="1">IFERROR(__xludf.DUMMYFUNCTION("""COMPUTED_VALUE"""),"PPL")</f>
        <v>PPL</v>
      </c>
      <c r="I154" s="10" t="str">
        <f ca="1">IFERROR(__xludf.DUMMYFUNCTION("""COMPUTED_VALUE"""),"6102171003900002")</f>
        <v>6102171003900002</v>
      </c>
      <c r="J154" s="10" t="str">
        <f ca="1">IFERROR(__xludf.DUMMYFUNCTION("""COMPUTED_VALUE"""),"KSA JAGUNG")</f>
        <v>KSA JAGUNG</v>
      </c>
      <c r="K154" s="10" t="str">
        <f ca="1">IFERROR(__xludf.DUMMYFUNCTION("""COMPUTED_VALUE"""),"KSA24-LAPANGAN-FEBRUARI-PPL-KSA JAGUNG")</f>
        <v>KSA24-LAPANGAN-FEBRUARI-PPL-KSA JAGUNG</v>
      </c>
      <c r="L154" s="10" t="str">
        <f ca="1">IFERROR(__xludf.DUMMYFUNCTION("""COMPUTED_VALUE"""),"Segmen")</f>
        <v>Segmen</v>
      </c>
      <c r="M154" s="66">
        <f ca="1">IFERROR(__xludf.DUMMYFUNCTION("""COMPUTED_VALUE"""),59000)</f>
        <v>59000</v>
      </c>
      <c r="N154" s="10">
        <f ca="1">IFERROR(__xludf.DUMMYFUNCTION("""COMPUTED_VALUE"""),8)</f>
        <v>8</v>
      </c>
      <c r="O154" s="10">
        <f ca="1">IFERROR(__xludf.DUMMYFUNCTION("""COMPUTED_VALUE"""),472000)</f>
        <v>472000</v>
      </c>
      <c r="P154" s="10"/>
      <c r="Q154" s="67">
        <f ca="1">IFERROR(__xludf.DUMMYFUNCTION("""COMPUTED_VALUE"""),45351)</f>
        <v>45351</v>
      </c>
    </row>
    <row r="155" spans="1:17" ht="12.5">
      <c r="A155" s="82">
        <f t="array" aca="1" ref="A155" ca="1">INDEX('Database Mitra'!$R$2:$R1001,MATCH(C155,'Database Mitra'!$B$2:$B1001,0))</f>
        <v>29441</v>
      </c>
      <c r="B155" s="10" t="e">
        <f t="shared" ca="1" si="0"/>
        <v>#NAME?</v>
      </c>
      <c r="C155" s="83">
        <f ca="1">IFERROR(__xludf.DUMMYFUNCTION("""COMPUTED_VALUE"""),610422030001)</f>
        <v>610422030001</v>
      </c>
      <c r="D155" s="10" t="str">
        <f ca="1">IFERROR(__xludf.DUMMYFUNCTION("""COMPUTED_VALUE"""),"SAKERNAS24-LAPANGAN-SEMESTER1")</f>
        <v>SAKERNAS24-LAPANGAN-SEMESTER1</v>
      </c>
      <c r="E155" s="10"/>
      <c r="F155" s="10">
        <f ca="1">IFERROR(__xludf.DUMMYFUNCTION("""COMPUTED_VALUE"""),1)</f>
        <v>1</v>
      </c>
      <c r="G155" s="10" t="str">
        <f ca="1">IFERROR(__xludf.DUMMYFUNCTION("""COMPUTED_VALUE"""),"Pitra,Sp")</f>
        <v>Pitra,Sp</v>
      </c>
      <c r="H155" s="10" t="str">
        <f ca="1">IFERROR(__xludf.DUMMYFUNCTION("""COMPUTED_VALUE"""),"PML")</f>
        <v>PML</v>
      </c>
      <c r="I155" s="10" t="str">
        <f ca="1">IFERROR(__xludf.DUMMYFUNCTION("""COMPUTED_VALUE"""),"6102010808800006")</f>
        <v>6102010808800006</v>
      </c>
      <c r="J155" s="10" t="str">
        <f ca="1">IFERROR(__xludf.DUMMYFUNCTION("""COMPUTED_VALUE"""),"PENDATAAN")</f>
        <v>PENDATAAN</v>
      </c>
      <c r="K155" s="10" t="str">
        <f ca="1">IFERROR(__xludf.DUMMYFUNCTION("""COMPUTED_VALUE"""),"SAKERNAS24-LAPANGAN-SEMESTER1-PML-PENDATAAN")</f>
        <v>SAKERNAS24-LAPANGAN-SEMESTER1-PML-PENDATAAN</v>
      </c>
      <c r="L155" s="10" t="str">
        <f ca="1">IFERROR(__xludf.DUMMYFUNCTION("""COMPUTED_VALUE"""),"Dokumen")</f>
        <v>Dokumen</v>
      </c>
      <c r="M155" s="66">
        <f ca="1">IFERROR(__xludf.DUMMYFUNCTION("""COMPUTED_VALUE"""),23000)</f>
        <v>23000</v>
      </c>
      <c r="N155" s="10">
        <f ca="1">IFERROR(__xludf.DUMMYFUNCTION("""COMPUTED_VALUE"""),40)</f>
        <v>40</v>
      </c>
      <c r="O155" s="10">
        <f ca="1">IFERROR(__xludf.DUMMYFUNCTION("""COMPUTED_VALUE"""),920000)</f>
        <v>920000</v>
      </c>
      <c r="P155" s="10"/>
      <c r="Q155" s="67">
        <f ca="1">IFERROR(__xludf.DUMMYFUNCTION("""COMPUTED_VALUE"""),45359)</f>
        <v>45359</v>
      </c>
    </row>
    <row r="156" spans="1:17" ht="12.5">
      <c r="A156" s="82">
        <f t="array" aca="1" ref="A156" ca="1">INDEX('Database Mitra'!$R$2:$R1001,MATCH(C156,'Database Mitra'!$B$2:$B1001,0))</f>
        <v>27798</v>
      </c>
      <c r="B156" s="10" t="e">
        <f t="shared" ca="1" si="0"/>
        <v>#NAME?</v>
      </c>
      <c r="C156" s="83">
        <f ca="1">IFERROR(__xludf.DUMMYFUNCTION("""COMPUTED_VALUE"""),610422040056)</f>
        <v>610422040056</v>
      </c>
      <c r="D156" s="10" t="str">
        <f ca="1">IFERROR(__xludf.DUMMYFUNCTION("""COMPUTED_VALUE"""),"SAKERNAS24-LAPANGAN-SEMESTER1")</f>
        <v>SAKERNAS24-LAPANGAN-SEMESTER1</v>
      </c>
      <c r="E156" s="10"/>
      <c r="F156" s="10">
        <f ca="1">IFERROR(__xludf.DUMMYFUNCTION("""COMPUTED_VALUE"""),1)</f>
        <v>1</v>
      </c>
      <c r="G156" s="10" t="str">
        <f ca="1">IFERROR(__xludf.DUMMYFUNCTION("""COMPUTED_VALUE"""),"Wandi Syafari")</f>
        <v>Wandi Syafari</v>
      </c>
      <c r="H156" s="10" t="str">
        <f ca="1">IFERROR(__xludf.DUMMYFUNCTION("""COMPUTED_VALUE"""),"PML")</f>
        <v>PML</v>
      </c>
      <c r="I156" s="10" t="str">
        <f ca="1">IFERROR(__xludf.DUMMYFUNCTION("""COMPUTED_VALUE"""),"6102010802760001")</f>
        <v>6102010802760001</v>
      </c>
      <c r="J156" s="10" t="str">
        <f ca="1">IFERROR(__xludf.DUMMYFUNCTION("""COMPUTED_VALUE"""),"PENDATAAN")</f>
        <v>PENDATAAN</v>
      </c>
      <c r="K156" s="10" t="str">
        <f ca="1">IFERROR(__xludf.DUMMYFUNCTION("""COMPUTED_VALUE"""),"SAKERNAS24-LAPANGAN-SEMESTER1-PML-PENDATAAN")</f>
        <v>SAKERNAS24-LAPANGAN-SEMESTER1-PML-PENDATAAN</v>
      </c>
      <c r="L156" s="10" t="str">
        <f ca="1">IFERROR(__xludf.DUMMYFUNCTION("""COMPUTED_VALUE"""),"Dokumen")</f>
        <v>Dokumen</v>
      </c>
      <c r="M156" s="66">
        <f ca="1">IFERROR(__xludf.DUMMYFUNCTION("""COMPUTED_VALUE"""),23000)</f>
        <v>23000</v>
      </c>
      <c r="N156" s="10">
        <f ca="1">IFERROR(__xludf.DUMMYFUNCTION("""COMPUTED_VALUE"""),60)</f>
        <v>60</v>
      </c>
      <c r="O156" s="10">
        <f ca="1">IFERROR(__xludf.DUMMYFUNCTION("""COMPUTED_VALUE"""),1380000)</f>
        <v>1380000</v>
      </c>
      <c r="P156" s="10"/>
      <c r="Q156" s="67">
        <f ca="1">IFERROR(__xludf.DUMMYFUNCTION("""COMPUTED_VALUE"""),45359)</f>
        <v>45359</v>
      </c>
    </row>
    <row r="157" spans="1:17" ht="12.5">
      <c r="A157" s="11">
        <f t="array" aca="1" ref="A157" ca="1">INDEX('Database Mitra'!$R$2:$R1001,MATCH(C157,'Database Mitra'!$B$2:$B1001,0))</f>
        <v>35043</v>
      </c>
      <c r="B157" s="10" t="e">
        <f t="shared" ca="1" si="0"/>
        <v>#NAME?</v>
      </c>
      <c r="C157" s="83">
        <f ca="1">IFERROR(__xludf.DUMMYFUNCTION("""COMPUTED_VALUE"""),610423030006)</f>
        <v>610423030006</v>
      </c>
      <c r="D157" s="10" t="str">
        <f ca="1">IFERROR(__xludf.DUMMYFUNCTION("""COMPUTED_VALUE"""),"SAKERNAS24-LAPANGAN-SEMESTER1")</f>
        <v>SAKERNAS24-LAPANGAN-SEMESTER1</v>
      </c>
      <c r="E157" s="10"/>
      <c r="F157" s="10">
        <f ca="1">IFERROR(__xludf.DUMMYFUNCTION("""COMPUTED_VALUE"""),1)</f>
        <v>1</v>
      </c>
      <c r="G157" s="10" t="str">
        <f ca="1">IFERROR(__xludf.DUMMYFUNCTION("""COMPUTED_VALUE"""),"Desta Dara Ayu Lestari, S.Pd")</f>
        <v>Desta Dara Ayu Lestari, S.Pd</v>
      </c>
      <c r="H157" s="10" t="str">
        <f ca="1">IFERROR(__xludf.DUMMYFUNCTION("""COMPUTED_VALUE"""),"PML")</f>
        <v>PML</v>
      </c>
      <c r="I157" s="10" t="str">
        <f ca="1">IFERROR(__xludf.DUMMYFUNCTION("""COMPUTED_VALUE"""),"6102065012950003")</f>
        <v>6102065012950003</v>
      </c>
      <c r="J157" s="10" t="str">
        <f ca="1">IFERROR(__xludf.DUMMYFUNCTION("""COMPUTED_VALUE"""),"PENDATAAN")</f>
        <v>PENDATAAN</v>
      </c>
      <c r="K157" s="10" t="str">
        <f ca="1">IFERROR(__xludf.DUMMYFUNCTION("""COMPUTED_VALUE"""),"SAKERNAS24-LAPANGAN-SEMESTER1-PML-PENDATAAN")</f>
        <v>SAKERNAS24-LAPANGAN-SEMESTER1-PML-PENDATAAN</v>
      </c>
      <c r="L157" s="10" t="str">
        <f ca="1">IFERROR(__xludf.DUMMYFUNCTION("""COMPUTED_VALUE"""),"Dokumen")</f>
        <v>Dokumen</v>
      </c>
      <c r="M157" s="66">
        <f ca="1">IFERROR(__xludf.DUMMYFUNCTION("""COMPUTED_VALUE"""),23000)</f>
        <v>23000</v>
      </c>
      <c r="N157" s="10">
        <f ca="1">IFERROR(__xludf.DUMMYFUNCTION("""COMPUTED_VALUE"""),40)</f>
        <v>40</v>
      </c>
      <c r="O157" s="10">
        <f ca="1">IFERROR(__xludf.DUMMYFUNCTION("""COMPUTED_VALUE"""),920000)</f>
        <v>920000</v>
      </c>
      <c r="P157" s="10"/>
      <c r="Q157" s="67">
        <f ca="1">IFERROR(__xludf.DUMMYFUNCTION("""COMPUTED_VALUE"""),45359)</f>
        <v>45359</v>
      </c>
    </row>
    <row r="158" spans="1:17" ht="12.5">
      <c r="A158" s="11">
        <f t="array" aca="1" ref="A158" ca="1">INDEX('Database Mitra'!$R$2:$R1001,MATCH(C158,'Database Mitra'!$B$2:$B1001,0))</f>
        <v>36096</v>
      </c>
      <c r="B158" s="10" t="e">
        <f t="shared" ca="1" si="0"/>
        <v>#NAME?</v>
      </c>
      <c r="C158" s="83">
        <f ca="1">IFERROR(__xludf.DUMMYFUNCTION("""COMPUTED_VALUE"""),610423090001)</f>
        <v>610423090001</v>
      </c>
      <c r="D158" s="10" t="str">
        <f ca="1">IFERROR(__xludf.DUMMYFUNCTION("""COMPUTED_VALUE"""),"SAKERNAS24-LAPANGAN-SEMESTER1")</f>
        <v>SAKERNAS24-LAPANGAN-SEMESTER1</v>
      </c>
      <c r="E158" s="10"/>
      <c r="F158" s="10">
        <f ca="1">IFERROR(__xludf.DUMMYFUNCTION("""COMPUTED_VALUE"""),1)</f>
        <v>1</v>
      </c>
      <c r="G158" s="10" t="str">
        <f ca="1">IFERROR(__xludf.DUMMYFUNCTION("""COMPUTED_VALUE"""),"Utami Angraini")</f>
        <v>Utami Angraini</v>
      </c>
      <c r="H158" s="10" t="str">
        <f ca="1">IFERROR(__xludf.DUMMYFUNCTION("""COMPUTED_VALUE"""),"PPL")</f>
        <v>PPL</v>
      </c>
      <c r="I158" s="10" t="str">
        <f ca="1">IFERROR(__xludf.DUMMYFUNCTION("""COMPUTED_VALUE"""),"6102086810980002")</f>
        <v>6102086810980002</v>
      </c>
      <c r="J158" s="10" t="str">
        <f ca="1">IFERROR(__xludf.DUMMYFUNCTION("""COMPUTED_VALUE"""),"PENDATAAN")</f>
        <v>PENDATAAN</v>
      </c>
      <c r="K158" s="10" t="str">
        <f ca="1">IFERROR(__xludf.DUMMYFUNCTION("""COMPUTED_VALUE"""),"SAKERNAS24-LAPANGAN-SEMESTER1-PPL-PENDATAAN")</f>
        <v>SAKERNAS24-LAPANGAN-SEMESTER1-PPL-PENDATAAN</v>
      </c>
      <c r="L158" s="10" t="str">
        <f ca="1">IFERROR(__xludf.DUMMYFUNCTION("""COMPUTED_VALUE"""),"Rumah Tangga")</f>
        <v>Rumah Tangga</v>
      </c>
      <c r="M158" s="66">
        <f ca="1">IFERROR(__xludf.DUMMYFUNCTION("""COMPUTED_VALUE"""),66000)</f>
        <v>66000</v>
      </c>
      <c r="N158" s="10">
        <f ca="1">IFERROR(__xludf.DUMMYFUNCTION("""COMPUTED_VALUE"""),20)</f>
        <v>20</v>
      </c>
      <c r="O158" s="10">
        <f ca="1">IFERROR(__xludf.DUMMYFUNCTION("""COMPUTED_VALUE"""),1320000)</f>
        <v>1320000</v>
      </c>
      <c r="P158" s="10"/>
      <c r="Q158" s="67">
        <f ca="1">IFERROR(__xludf.DUMMYFUNCTION("""COMPUTED_VALUE"""),45359)</f>
        <v>45359</v>
      </c>
    </row>
    <row r="159" spans="1:17" ht="12.5">
      <c r="A159" s="82">
        <f t="array" aca="1" ref="A159" ca="1">INDEX('Database Mitra'!$R$2:$R1001,MATCH(C159,'Database Mitra'!$B$2:$B1001,0))</f>
        <v>28816</v>
      </c>
      <c r="B159" s="10" t="e">
        <f t="shared" ca="1" si="0"/>
        <v>#NAME?</v>
      </c>
      <c r="C159" s="83">
        <f ca="1">IFERROR(__xludf.DUMMYFUNCTION("""COMPUTED_VALUE"""),610422040059)</f>
        <v>610422040059</v>
      </c>
      <c r="D159" s="10" t="str">
        <f ca="1">IFERROR(__xludf.DUMMYFUNCTION("""COMPUTED_VALUE"""),"SAKERNAS24-LAPANGAN-SEMESTER1")</f>
        <v>SAKERNAS24-LAPANGAN-SEMESTER1</v>
      </c>
      <c r="E159" s="10"/>
      <c r="F159" s="10">
        <f ca="1">IFERROR(__xludf.DUMMYFUNCTION("""COMPUTED_VALUE"""),1)</f>
        <v>1</v>
      </c>
      <c r="G159" s="10" t="str">
        <f ca="1">IFERROR(__xludf.DUMMYFUNCTION("""COMPUTED_VALUE"""),"Abang Handri")</f>
        <v>Abang Handri</v>
      </c>
      <c r="H159" s="10" t="str">
        <f ca="1">IFERROR(__xludf.DUMMYFUNCTION("""COMPUTED_VALUE"""),"PPL")</f>
        <v>PPL</v>
      </c>
      <c r="I159" s="10" t="str">
        <f ca="1">IFERROR(__xludf.DUMMYFUNCTION("""COMPUTED_VALUE"""),"6102072211780002")</f>
        <v>6102072211780002</v>
      </c>
      <c r="J159" s="10" t="str">
        <f ca="1">IFERROR(__xludf.DUMMYFUNCTION("""COMPUTED_VALUE"""),"PENDATAAN")</f>
        <v>PENDATAAN</v>
      </c>
      <c r="K159" s="10" t="str">
        <f ca="1">IFERROR(__xludf.DUMMYFUNCTION("""COMPUTED_VALUE"""),"SAKERNAS24-LAPANGAN-SEMESTER1-PPL-PENDATAAN")</f>
        <v>SAKERNAS24-LAPANGAN-SEMESTER1-PPL-PENDATAAN</v>
      </c>
      <c r="L159" s="10" t="str">
        <f ca="1">IFERROR(__xludf.DUMMYFUNCTION("""COMPUTED_VALUE"""),"Rumah Tangga")</f>
        <v>Rumah Tangga</v>
      </c>
      <c r="M159" s="66">
        <f ca="1">IFERROR(__xludf.DUMMYFUNCTION("""COMPUTED_VALUE"""),66000)</f>
        <v>66000</v>
      </c>
      <c r="N159" s="10">
        <f ca="1">IFERROR(__xludf.DUMMYFUNCTION("""COMPUTED_VALUE"""),20)</f>
        <v>20</v>
      </c>
      <c r="O159" s="10">
        <f ca="1">IFERROR(__xludf.DUMMYFUNCTION("""COMPUTED_VALUE"""),1320000)</f>
        <v>1320000</v>
      </c>
      <c r="P159" s="10"/>
      <c r="Q159" s="67">
        <f ca="1">IFERROR(__xludf.DUMMYFUNCTION("""COMPUTED_VALUE"""),45359)</f>
        <v>45359</v>
      </c>
    </row>
    <row r="160" spans="1:17" ht="12.5">
      <c r="A160" s="11">
        <f t="array" aca="1" ref="A160" ca="1">INDEX('Database Mitra'!$R$2:$R1001,MATCH(C160,'Database Mitra'!$B$2:$B1001,0))</f>
        <v>32461</v>
      </c>
      <c r="B160" s="10" t="e">
        <f t="shared" ca="1" si="0"/>
        <v>#NAME?</v>
      </c>
      <c r="C160" s="83">
        <f ca="1">IFERROR(__xludf.DUMMYFUNCTION("""COMPUTED_VALUE"""),610422100008)</f>
        <v>610422100008</v>
      </c>
      <c r="D160" s="10" t="str">
        <f ca="1">IFERROR(__xludf.DUMMYFUNCTION("""COMPUTED_VALUE"""),"SAKERNAS24-LAPANGAN-SEMESTER1")</f>
        <v>SAKERNAS24-LAPANGAN-SEMESTER1</v>
      </c>
      <c r="E160" s="10"/>
      <c r="F160" s="10">
        <f ca="1">IFERROR(__xludf.DUMMYFUNCTION("""COMPUTED_VALUE"""),1)</f>
        <v>1</v>
      </c>
      <c r="G160" s="10" t="str">
        <f ca="1">IFERROR(__xludf.DUMMYFUNCTION("""COMPUTED_VALUE"""),"Novi Sri Wulandari")</f>
        <v>Novi Sri Wulandari</v>
      </c>
      <c r="H160" s="10" t="str">
        <f ca="1">IFERROR(__xludf.DUMMYFUNCTION("""COMPUTED_VALUE"""),"PPL")</f>
        <v>PPL</v>
      </c>
      <c r="I160" s="10" t="str">
        <f ca="1">IFERROR(__xludf.DUMMYFUNCTION("""COMPUTED_VALUE"""),"6171055411880008")</f>
        <v>6171055411880008</v>
      </c>
      <c r="J160" s="10" t="str">
        <f ca="1">IFERROR(__xludf.DUMMYFUNCTION("""COMPUTED_VALUE"""),"PENDATAAN")</f>
        <v>PENDATAAN</v>
      </c>
      <c r="K160" s="10" t="str">
        <f ca="1">IFERROR(__xludf.DUMMYFUNCTION("""COMPUTED_VALUE"""),"SAKERNAS24-LAPANGAN-SEMESTER1-PPL-PENDATAAN")</f>
        <v>SAKERNAS24-LAPANGAN-SEMESTER1-PPL-PENDATAAN</v>
      </c>
      <c r="L160" s="10" t="str">
        <f ca="1">IFERROR(__xludf.DUMMYFUNCTION("""COMPUTED_VALUE"""),"Rumah Tangga")</f>
        <v>Rumah Tangga</v>
      </c>
      <c r="M160" s="66">
        <f ca="1">IFERROR(__xludf.DUMMYFUNCTION("""COMPUTED_VALUE"""),66000)</f>
        <v>66000</v>
      </c>
      <c r="N160" s="10">
        <f ca="1">IFERROR(__xludf.DUMMYFUNCTION("""COMPUTED_VALUE"""),20)</f>
        <v>20</v>
      </c>
      <c r="O160" s="10">
        <f ca="1">IFERROR(__xludf.DUMMYFUNCTION("""COMPUTED_VALUE"""),1320000)</f>
        <v>1320000</v>
      </c>
      <c r="P160" s="10"/>
      <c r="Q160" s="67">
        <f ca="1">IFERROR(__xludf.DUMMYFUNCTION("""COMPUTED_VALUE"""),45359)</f>
        <v>45359</v>
      </c>
    </row>
    <row r="161" spans="1:17" ht="12.5">
      <c r="A161" s="82">
        <f t="array" aca="1" ref="A161" ca="1">INDEX('Database Mitra'!$R$2:$R1001,MATCH(C161,'Database Mitra'!$B$2:$B1001,0))</f>
        <v>36876</v>
      </c>
      <c r="B161" s="10" t="e">
        <f t="shared" ca="1" si="0"/>
        <v>#NAME?</v>
      </c>
      <c r="C161" s="83">
        <f ca="1">IFERROR(__xludf.DUMMYFUNCTION("""COMPUTED_VALUE"""),610422100043)</f>
        <v>610422100043</v>
      </c>
      <c r="D161" s="10" t="str">
        <f ca="1">IFERROR(__xludf.DUMMYFUNCTION("""COMPUTED_VALUE"""),"SAKERNAS24-LAPANGAN-SEMESTER1")</f>
        <v>SAKERNAS24-LAPANGAN-SEMESTER1</v>
      </c>
      <c r="E161" s="10"/>
      <c r="F161" s="10">
        <f ca="1">IFERROR(__xludf.DUMMYFUNCTION("""COMPUTED_VALUE"""),1)</f>
        <v>1</v>
      </c>
      <c r="G161" s="10" t="str">
        <f ca="1">IFERROR(__xludf.DUMMYFUNCTION("""COMPUTED_VALUE"""),"Eligia Giok")</f>
        <v>Eligia Giok</v>
      </c>
      <c r="H161" s="10" t="str">
        <f ca="1">IFERROR(__xludf.DUMMYFUNCTION("""COMPUTED_VALUE"""),"PPL")</f>
        <v>PPL</v>
      </c>
      <c r="I161" s="10" t="str">
        <f ca="1">IFERROR(__xludf.DUMMYFUNCTION("""COMPUTED_VALUE"""),"6102165612000001")</f>
        <v>6102165612000001</v>
      </c>
      <c r="J161" s="10" t="str">
        <f ca="1">IFERROR(__xludf.DUMMYFUNCTION("""COMPUTED_VALUE"""),"PENDATAAN")</f>
        <v>PENDATAAN</v>
      </c>
      <c r="K161" s="10" t="str">
        <f ca="1">IFERROR(__xludf.DUMMYFUNCTION("""COMPUTED_VALUE"""),"SAKERNAS24-LAPANGAN-SEMESTER1-PPL-PENDATAAN")</f>
        <v>SAKERNAS24-LAPANGAN-SEMESTER1-PPL-PENDATAAN</v>
      </c>
      <c r="L161" s="10" t="str">
        <f ca="1">IFERROR(__xludf.DUMMYFUNCTION("""COMPUTED_VALUE"""),"Rumah Tangga")</f>
        <v>Rumah Tangga</v>
      </c>
      <c r="M161" s="66">
        <f ca="1">IFERROR(__xludf.DUMMYFUNCTION("""COMPUTED_VALUE"""),66000)</f>
        <v>66000</v>
      </c>
      <c r="N161" s="10">
        <f ca="1">IFERROR(__xludf.DUMMYFUNCTION("""COMPUTED_VALUE"""),20)</f>
        <v>20</v>
      </c>
      <c r="O161" s="10">
        <f ca="1">IFERROR(__xludf.DUMMYFUNCTION("""COMPUTED_VALUE"""),1320000)</f>
        <v>1320000</v>
      </c>
      <c r="P161" s="10"/>
      <c r="Q161" s="67">
        <f ca="1">IFERROR(__xludf.DUMMYFUNCTION("""COMPUTED_VALUE"""),45359)</f>
        <v>45359</v>
      </c>
    </row>
    <row r="162" spans="1:17" ht="12.5">
      <c r="A162" s="82">
        <f t="array" aca="1" ref="A162" ca="1">INDEX('Database Mitra'!$R$2:$R1001,MATCH(C162,'Database Mitra'!$B$2:$B1001,0))</f>
        <v>34295</v>
      </c>
      <c r="B162" s="10" t="e">
        <f t="shared" ca="1" si="0"/>
        <v>#NAME?</v>
      </c>
      <c r="C162" s="83">
        <f ca="1">IFERROR(__xludf.DUMMYFUNCTION("""COMPUTED_VALUE"""),610422100086)</f>
        <v>610422100086</v>
      </c>
      <c r="D162" s="10" t="str">
        <f ca="1">IFERROR(__xludf.DUMMYFUNCTION("""COMPUTED_VALUE"""),"SAKERNAS24-LAPANGAN-SEMESTER1")</f>
        <v>SAKERNAS24-LAPANGAN-SEMESTER1</v>
      </c>
      <c r="E162" s="10"/>
      <c r="F162" s="10">
        <f ca="1">IFERROR(__xludf.DUMMYFUNCTION("""COMPUTED_VALUE"""),1)</f>
        <v>1</v>
      </c>
      <c r="G162" s="10" t="str">
        <f ca="1">IFERROR(__xludf.DUMMYFUNCTION("""COMPUTED_VALUE"""),"Imamul Akhyar")</f>
        <v>Imamul Akhyar</v>
      </c>
      <c r="H162" s="10" t="str">
        <f ca="1">IFERROR(__xludf.DUMMYFUNCTION("""COMPUTED_VALUE"""),"PPL")</f>
        <v>PPL</v>
      </c>
      <c r="I162" s="10" t="str">
        <f ca="1">IFERROR(__xludf.DUMMYFUNCTION("""COMPUTED_VALUE"""),"6102012211930002")</f>
        <v>6102012211930002</v>
      </c>
      <c r="J162" s="10" t="str">
        <f ca="1">IFERROR(__xludf.DUMMYFUNCTION("""COMPUTED_VALUE"""),"PENDATAAN")</f>
        <v>PENDATAAN</v>
      </c>
      <c r="K162" s="10" t="str">
        <f ca="1">IFERROR(__xludf.DUMMYFUNCTION("""COMPUTED_VALUE"""),"SAKERNAS24-LAPANGAN-SEMESTER1-PPL-PENDATAAN")</f>
        <v>SAKERNAS24-LAPANGAN-SEMESTER1-PPL-PENDATAAN</v>
      </c>
      <c r="L162" s="10" t="str">
        <f ca="1">IFERROR(__xludf.DUMMYFUNCTION("""COMPUTED_VALUE"""),"Rumah Tangga")</f>
        <v>Rumah Tangga</v>
      </c>
      <c r="M162" s="66">
        <f ca="1">IFERROR(__xludf.DUMMYFUNCTION("""COMPUTED_VALUE"""),66000)</f>
        <v>66000</v>
      </c>
      <c r="N162" s="10">
        <f ca="1">IFERROR(__xludf.DUMMYFUNCTION("""COMPUTED_VALUE"""),20)</f>
        <v>20</v>
      </c>
      <c r="O162" s="10">
        <f ca="1">IFERROR(__xludf.DUMMYFUNCTION("""COMPUTED_VALUE"""),1320000)</f>
        <v>1320000</v>
      </c>
      <c r="P162" s="10"/>
      <c r="Q162" s="67">
        <f ca="1">IFERROR(__xludf.DUMMYFUNCTION("""COMPUTED_VALUE"""),45359)</f>
        <v>45359</v>
      </c>
    </row>
    <row r="163" spans="1:17" ht="12.5">
      <c r="A163" s="11">
        <f t="array" aca="1" ref="A163" ca="1">INDEX('Database Mitra'!$R$2:$R1001,MATCH(C163,'Database Mitra'!$B$2:$B1001,0))</f>
        <v>37335</v>
      </c>
      <c r="B163" s="10" t="e">
        <f t="shared" ca="1" si="0"/>
        <v>#NAME?</v>
      </c>
      <c r="C163" s="83">
        <f ca="1">IFERROR(__xludf.DUMMYFUNCTION("""COMPUTED_VALUE"""),610422100111)</f>
        <v>610422100111</v>
      </c>
      <c r="D163" s="10" t="str">
        <f ca="1">IFERROR(__xludf.DUMMYFUNCTION("""COMPUTED_VALUE"""),"SAKERNAS24-LAPANGAN-SEMESTER1")</f>
        <v>SAKERNAS24-LAPANGAN-SEMESTER1</v>
      </c>
      <c r="E163" s="10"/>
      <c r="F163" s="10">
        <f ca="1">IFERROR(__xludf.DUMMYFUNCTION("""COMPUTED_VALUE"""),1)</f>
        <v>1</v>
      </c>
      <c r="G163" s="10" t="str">
        <f ca="1">IFERROR(__xludf.DUMMYFUNCTION("""COMPUTED_VALUE"""),"Cici Purnamasari")</f>
        <v>Cici Purnamasari</v>
      </c>
      <c r="H163" s="10" t="str">
        <f ca="1">IFERROR(__xludf.DUMMYFUNCTION("""COMPUTED_VALUE"""),"PPL")</f>
        <v>PPL</v>
      </c>
      <c r="I163" s="10" t="str">
        <f ca="1">IFERROR(__xludf.DUMMYFUNCTION("""COMPUTED_VALUE"""),"6102074203010007")</f>
        <v>6102074203010007</v>
      </c>
      <c r="J163" s="10" t="str">
        <f ca="1">IFERROR(__xludf.DUMMYFUNCTION("""COMPUTED_VALUE"""),"PENDATAAN")</f>
        <v>PENDATAAN</v>
      </c>
      <c r="K163" s="10" t="str">
        <f ca="1">IFERROR(__xludf.DUMMYFUNCTION("""COMPUTED_VALUE"""),"SAKERNAS24-LAPANGAN-SEMESTER1-PPL-PENDATAAN")</f>
        <v>SAKERNAS24-LAPANGAN-SEMESTER1-PPL-PENDATAAN</v>
      </c>
      <c r="L163" s="10" t="str">
        <f ca="1">IFERROR(__xludf.DUMMYFUNCTION("""COMPUTED_VALUE"""),"Rumah Tangga")</f>
        <v>Rumah Tangga</v>
      </c>
      <c r="M163" s="66">
        <f ca="1">IFERROR(__xludf.DUMMYFUNCTION("""COMPUTED_VALUE"""),66000)</f>
        <v>66000</v>
      </c>
      <c r="N163" s="10">
        <f ca="1">IFERROR(__xludf.DUMMYFUNCTION("""COMPUTED_VALUE"""),20)</f>
        <v>20</v>
      </c>
      <c r="O163" s="10">
        <f ca="1">IFERROR(__xludf.DUMMYFUNCTION("""COMPUTED_VALUE"""),1320000)</f>
        <v>1320000</v>
      </c>
      <c r="P163" s="10"/>
      <c r="Q163" s="67">
        <f ca="1">IFERROR(__xludf.DUMMYFUNCTION("""COMPUTED_VALUE"""),45359)</f>
        <v>45359</v>
      </c>
    </row>
    <row r="164" spans="1:17" ht="12.5">
      <c r="A164" s="82">
        <f t="array" aca="1" ref="A164" ca="1">INDEX('Database Mitra'!$R$2:$R1001,MATCH(C164,'Database Mitra'!$B$2:$B1001,0))</f>
        <v>36001</v>
      </c>
      <c r="B164" s="10" t="e">
        <f t="shared" ca="1" si="0"/>
        <v>#NAME?</v>
      </c>
      <c r="C164" s="83">
        <f ca="1">IFERROR(__xludf.DUMMYFUNCTION("""COMPUTED_VALUE"""),610422100175)</f>
        <v>610422100175</v>
      </c>
      <c r="D164" s="10" t="str">
        <f ca="1">IFERROR(__xludf.DUMMYFUNCTION("""COMPUTED_VALUE"""),"SAKERNAS24-LAPANGAN-SEMESTER1")</f>
        <v>SAKERNAS24-LAPANGAN-SEMESTER1</v>
      </c>
      <c r="E164" s="10"/>
      <c r="F164" s="10">
        <f ca="1">IFERROR(__xludf.DUMMYFUNCTION("""COMPUTED_VALUE"""),1)</f>
        <v>1</v>
      </c>
      <c r="G164" s="10" t="str">
        <f ca="1">IFERROR(__xludf.DUMMYFUNCTION("""COMPUTED_VALUE"""),"Rara Shati")</f>
        <v>Rara Shati</v>
      </c>
      <c r="H164" s="10" t="str">
        <f ca="1">IFERROR(__xludf.DUMMYFUNCTION("""COMPUTED_VALUE"""),"PPL")</f>
        <v>PPL</v>
      </c>
      <c r="I164" s="10" t="str">
        <f ca="1">IFERROR(__xludf.DUMMYFUNCTION("""COMPUTED_VALUE"""),"6102066507980001")</f>
        <v>6102066507980001</v>
      </c>
      <c r="J164" s="10" t="str">
        <f ca="1">IFERROR(__xludf.DUMMYFUNCTION("""COMPUTED_VALUE"""),"PENDATAAN")</f>
        <v>PENDATAAN</v>
      </c>
      <c r="K164" s="10" t="str">
        <f ca="1">IFERROR(__xludf.DUMMYFUNCTION("""COMPUTED_VALUE"""),"SAKERNAS24-LAPANGAN-SEMESTER1-PPL-PENDATAAN")</f>
        <v>SAKERNAS24-LAPANGAN-SEMESTER1-PPL-PENDATAAN</v>
      </c>
      <c r="L164" s="10" t="str">
        <f ca="1">IFERROR(__xludf.DUMMYFUNCTION("""COMPUTED_VALUE"""),"Rumah Tangga")</f>
        <v>Rumah Tangga</v>
      </c>
      <c r="M164" s="66">
        <f ca="1">IFERROR(__xludf.DUMMYFUNCTION("""COMPUTED_VALUE"""),66000)</f>
        <v>66000</v>
      </c>
      <c r="N164" s="10">
        <f ca="1">IFERROR(__xludf.DUMMYFUNCTION("""COMPUTED_VALUE"""),20)</f>
        <v>20</v>
      </c>
      <c r="O164" s="10">
        <f ca="1">IFERROR(__xludf.DUMMYFUNCTION("""COMPUTED_VALUE"""),1320000)</f>
        <v>1320000</v>
      </c>
      <c r="P164" s="10"/>
      <c r="Q164" s="67">
        <f ca="1">IFERROR(__xludf.DUMMYFUNCTION("""COMPUTED_VALUE"""),45359)</f>
        <v>45359</v>
      </c>
    </row>
    <row r="165" spans="1:17" ht="12.5">
      <c r="A165" s="11">
        <f t="array" aca="1" ref="A165" ca="1">INDEX('Database Mitra'!$R$2:$R1001,MATCH(C165,'Database Mitra'!$B$2:$B1001,0))</f>
        <v>35744</v>
      </c>
      <c r="B165" s="10" t="e">
        <f t="shared" ca="1" si="0"/>
        <v>#NAME?</v>
      </c>
      <c r="C165" s="83">
        <f ca="1">IFERROR(__xludf.DUMMYFUNCTION("""COMPUTED_VALUE"""),610422020006)</f>
        <v>610422020006</v>
      </c>
      <c r="D165" s="10" t="str">
        <f ca="1">IFERROR(__xludf.DUMMYFUNCTION("""COMPUTED_VALUE"""),"SERUTI24-PENGOLAHAN-TRI1")</f>
        <v>SERUTI24-PENGOLAHAN-TRI1</v>
      </c>
      <c r="E165" s="10"/>
      <c r="F165" s="10">
        <f ca="1">IFERROR(__xludf.DUMMYFUNCTION("""COMPUTED_VALUE"""),1)</f>
        <v>1</v>
      </c>
      <c r="G165" s="10" t="str">
        <f ca="1">IFERROR(__xludf.DUMMYFUNCTION("""COMPUTED_VALUE"""),"Nasrullah")</f>
        <v>Nasrullah</v>
      </c>
      <c r="H165" s="10" t="str">
        <f ca="1">IFERROR(__xludf.DUMMYFUNCTION("""COMPUTED_VALUE"""),"PETUGAS ENTRI")</f>
        <v>PETUGAS ENTRI</v>
      </c>
      <c r="I165" s="10" t="str">
        <f ca="1">IFERROR(__xludf.DUMMYFUNCTION("""COMPUTED_VALUE"""),"6102011011970003")</f>
        <v>6102011011970003</v>
      </c>
      <c r="J165" s="10" t="str">
        <f ca="1">IFERROR(__xludf.DUMMYFUNCTION("""COMPUTED_VALUE"""),"PENGOLAHAN")</f>
        <v>PENGOLAHAN</v>
      </c>
      <c r="K165" s="10" t="str">
        <f ca="1">IFERROR(__xludf.DUMMYFUNCTION("""COMPUTED_VALUE"""),"SERUTI24-PENGOLAHAN-TRI1-PETUGAS ENTRI-PENGOLAHAN")</f>
        <v>SERUTI24-PENGOLAHAN-TRI1-PETUGAS ENTRI-PENGOLAHAN</v>
      </c>
      <c r="L165" s="10" t="str">
        <f ca="1">IFERROR(__xludf.DUMMYFUNCTION("""COMPUTED_VALUE"""),"Dokumen")</f>
        <v>Dokumen</v>
      </c>
      <c r="M165" s="66">
        <f ca="1">IFERROR(__xludf.DUMMYFUNCTION("""COMPUTED_VALUE"""),12000)</f>
        <v>12000</v>
      </c>
      <c r="N165" s="10">
        <f ca="1">IFERROR(__xludf.DUMMYFUNCTION("""COMPUTED_VALUE"""),13)</f>
        <v>13</v>
      </c>
      <c r="O165" s="10">
        <f ca="1">IFERROR(__xludf.DUMMYFUNCTION("""COMPUTED_VALUE"""),156000)</f>
        <v>156000</v>
      </c>
      <c r="P165" s="10"/>
      <c r="Q165" s="67">
        <f ca="1">IFERROR(__xludf.DUMMYFUNCTION("""COMPUTED_VALUE"""),45366)</f>
        <v>45366</v>
      </c>
    </row>
    <row r="166" spans="1:17" ht="12.5">
      <c r="A166" s="82">
        <f t="array" aca="1" ref="A166" ca="1">INDEX('Database Mitra'!$R$2:$R1001,MATCH(C166,'Database Mitra'!$B$2:$B1001,0))</f>
        <v>34381</v>
      </c>
      <c r="B166" s="10" t="e">
        <f t="shared" ca="1" si="0"/>
        <v>#NAME?</v>
      </c>
      <c r="C166" s="83">
        <f ca="1">IFERROR(__xludf.DUMMYFUNCTION("""COMPUTED_VALUE"""),610423110150)</f>
        <v>610423110150</v>
      </c>
      <c r="D166" s="10" t="str">
        <f ca="1">IFERROR(__xludf.DUMMYFUNCTION("""COMPUTED_VALUE"""),"SERUTI24-PENGOLAHAN-TRI1")</f>
        <v>SERUTI24-PENGOLAHAN-TRI1</v>
      </c>
      <c r="E166" s="10"/>
      <c r="F166" s="10">
        <f ca="1">IFERROR(__xludf.DUMMYFUNCTION("""COMPUTED_VALUE"""),1)</f>
        <v>1</v>
      </c>
      <c r="G166" s="10" t="str">
        <f ca="1">IFERROR(__xludf.DUMMYFUNCTION("""COMPUTED_VALUE"""),"Risa Yolani")</f>
        <v>Risa Yolani</v>
      </c>
      <c r="H166" s="10" t="str">
        <f ca="1">IFERROR(__xludf.DUMMYFUNCTION("""COMPUTED_VALUE"""),"PETUGAS ENTRI")</f>
        <v>PETUGAS ENTRI</v>
      </c>
      <c r="I166" s="10" t="str">
        <f ca="1">IFERROR(__xludf.DUMMYFUNCTION("""COMPUTED_VALUE"""),"6102015802940002")</f>
        <v>6102015802940002</v>
      </c>
      <c r="J166" s="10" t="str">
        <f ca="1">IFERROR(__xludf.DUMMYFUNCTION("""COMPUTED_VALUE"""),"PENGOLAHAN")</f>
        <v>PENGOLAHAN</v>
      </c>
      <c r="K166" s="10" t="str">
        <f ca="1">IFERROR(__xludf.DUMMYFUNCTION("""COMPUTED_VALUE"""),"SERUTI24-PENGOLAHAN-TRI1-PETUGAS ENTRI-PENGOLAHAN")</f>
        <v>SERUTI24-PENGOLAHAN-TRI1-PETUGAS ENTRI-PENGOLAHAN</v>
      </c>
      <c r="L166" s="10" t="str">
        <f ca="1">IFERROR(__xludf.DUMMYFUNCTION("""COMPUTED_VALUE"""),"Dokumen")</f>
        <v>Dokumen</v>
      </c>
      <c r="M166" s="66">
        <f ca="1">IFERROR(__xludf.DUMMYFUNCTION("""COMPUTED_VALUE"""),12000)</f>
        <v>12000</v>
      </c>
      <c r="N166" s="10">
        <f ca="1">IFERROR(__xludf.DUMMYFUNCTION("""COMPUTED_VALUE"""),12)</f>
        <v>12</v>
      </c>
      <c r="O166" s="10">
        <f ca="1">IFERROR(__xludf.DUMMYFUNCTION("""COMPUTED_VALUE"""),144000)</f>
        <v>144000</v>
      </c>
      <c r="P166" s="10"/>
      <c r="Q166" s="67">
        <f ca="1">IFERROR(__xludf.DUMMYFUNCTION("""COMPUTED_VALUE"""),45366)</f>
        <v>45366</v>
      </c>
    </row>
    <row r="167" spans="1:17" ht="12.5">
      <c r="A167" s="82">
        <f t="array" aca="1" ref="A167" ca="1">INDEX('Database Mitra'!$R$2:$R1001,MATCH(C167,'Database Mitra'!$B$2:$B1001,0))</f>
        <v>36665</v>
      </c>
      <c r="B167" s="10" t="e">
        <f t="shared" ca="1" si="0"/>
        <v>#NAME?</v>
      </c>
      <c r="C167" s="83">
        <f ca="1">IFERROR(__xludf.DUMMYFUNCTION("""COMPUTED_VALUE"""),610423110129)</f>
        <v>610423110129</v>
      </c>
      <c r="D167" s="10" t="str">
        <f ca="1">IFERROR(__xludf.DUMMYFUNCTION("""COMPUTED_VALUE"""),"SERUTI24-PENGOLAHAN-TRI1")</f>
        <v>SERUTI24-PENGOLAHAN-TRI1</v>
      </c>
      <c r="E167" s="10"/>
      <c r="F167" s="10">
        <f ca="1">IFERROR(__xludf.DUMMYFUNCTION("""COMPUTED_VALUE"""),1)</f>
        <v>1</v>
      </c>
      <c r="G167" s="10" t="str">
        <f ca="1">IFERROR(__xludf.DUMMYFUNCTION("""COMPUTED_VALUE"""),"Athalia Meifira")</f>
        <v>Athalia Meifira</v>
      </c>
      <c r="H167" s="10" t="str">
        <f ca="1">IFERROR(__xludf.DUMMYFUNCTION("""COMPUTED_VALUE"""),"PETUGAS ENTRI")</f>
        <v>PETUGAS ENTRI</v>
      </c>
      <c r="I167" s="10" t="str">
        <f ca="1">IFERROR(__xludf.DUMMYFUNCTION("""COMPUTED_VALUE"""),"6102015905000001")</f>
        <v>6102015905000001</v>
      </c>
      <c r="J167" s="10" t="str">
        <f ca="1">IFERROR(__xludf.DUMMYFUNCTION("""COMPUTED_VALUE"""),"PENGOLAHAN")</f>
        <v>PENGOLAHAN</v>
      </c>
      <c r="K167" s="10" t="str">
        <f ca="1">IFERROR(__xludf.DUMMYFUNCTION("""COMPUTED_VALUE"""),"SERUTI24-PENGOLAHAN-TRI1-PETUGAS ENTRI-PENGOLAHAN")</f>
        <v>SERUTI24-PENGOLAHAN-TRI1-PETUGAS ENTRI-PENGOLAHAN</v>
      </c>
      <c r="L167" s="10" t="str">
        <f ca="1">IFERROR(__xludf.DUMMYFUNCTION("""COMPUTED_VALUE"""),"Dokumen")</f>
        <v>Dokumen</v>
      </c>
      <c r="M167" s="66">
        <f ca="1">IFERROR(__xludf.DUMMYFUNCTION("""COMPUTED_VALUE"""),12000)</f>
        <v>12000</v>
      </c>
      <c r="N167" s="10">
        <f ca="1">IFERROR(__xludf.DUMMYFUNCTION("""COMPUTED_VALUE"""),12)</f>
        <v>12</v>
      </c>
      <c r="O167" s="10">
        <f ca="1">IFERROR(__xludf.DUMMYFUNCTION("""COMPUTED_VALUE"""),144000)</f>
        <v>144000</v>
      </c>
      <c r="P167" s="10"/>
      <c r="Q167" s="67">
        <f ca="1">IFERROR(__xludf.DUMMYFUNCTION("""COMPUTED_VALUE"""),45366)</f>
        <v>45366</v>
      </c>
    </row>
    <row r="168" spans="1:17" ht="12.5">
      <c r="A168" s="11">
        <f t="array" aca="1" ref="A168" ca="1">INDEX('Database Mitra'!$R$2:$R1001,MATCH(C168,'Database Mitra'!$B$2:$B1001,0))</f>
        <v>35714</v>
      </c>
      <c r="B168" s="10" t="e">
        <f t="shared" ca="1" si="0"/>
        <v>#NAME?</v>
      </c>
      <c r="C168" s="83">
        <f ca="1">IFERROR(__xludf.DUMMYFUNCTION("""COMPUTED_VALUE"""),610422020029)</f>
        <v>610422020029</v>
      </c>
      <c r="D168" s="10" t="str">
        <f ca="1">IFERROR(__xludf.DUMMYFUNCTION("""COMPUTED_VALUE"""),"SUSENAS24-LAPANGAN-SEMESTER1")</f>
        <v>SUSENAS24-LAPANGAN-SEMESTER1</v>
      </c>
      <c r="E168" s="10"/>
      <c r="F168" s="10">
        <f ca="1">IFERROR(__xludf.DUMMYFUNCTION("""COMPUTED_VALUE"""),1)</f>
        <v>1</v>
      </c>
      <c r="G168" s="10" t="str">
        <f ca="1">IFERROR(__xludf.DUMMYFUNCTION("""COMPUTED_VALUE"""),"Kurniadi")</f>
        <v>Kurniadi</v>
      </c>
      <c r="H168" s="10" t="str">
        <f ca="1">IFERROR(__xludf.DUMMYFUNCTION("""COMPUTED_VALUE"""),"PML")</f>
        <v>PML</v>
      </c>
      <c r="I168" s="10" t="str">
        <f ca="1">IFERROR(__xludf.DUMMYFUNCTION("""COMPUTED_VALUE"""),"6102011110970002")</f>
        <v>6102011110970002</v>
      </c>
      <c r="J168" s="10" t="str">
        <f ca="1">IFERROR(__xludf.DUMMYFUNCTION("""COMPUTED_VALUE"""),"PENDATAAN")</f>
        <v>PENDATAAN</v>
      </c>
      <c r="K168" s="10" t="str">
        <f ca="1">IFERROR(__xludf.DUMMYFUNCTION("""COMPUTED_VALUE"""),"SUSENAS24-LAPANGAN-SEMESTER1-PML-PENDATAAN")</f>
        <v>SUSENAS24-LAPANGAN-SEMESTER1-PML-PENDATAAN</v>
      </c>
      <c r="L168" s="10" t="str">
        <f ca="1">IFERROR(__xludf.DUMMYFUNCTION("""COMPUTED_VALUE"""),"Rumah Tangga")</f>
        <v>Rumah Tangga</v>
      </c>
      <c r="M168" s="66">
        <f ca="1">IFERROR(__xludf.DUMMYFUNCTION("""COMPUTED_VALUE"""),62000)</f>
        <v>62000</v>
      </c>
      <c r="N168" s="10">
        <f ca="1">IFERROR(__xludf.DUMMYFUNCTION("""COMPUTED_VALUE"""),40)</f>
        <v>40</v>
      </c>
      <c r="O168" s="10">
        <f ca="1">IFERROR(__xludf.DUMMYFUNCTION("""COMPUTED_VALUE"""),2480000)</f>
        <v>2480000</v>
      </c>
      <c r="P168" s="70"/>
      <c r="Q168" s="67">
        <f ca="1">IFERROR(__xludf.DUMMYFUNCTION("""COMPUTED_VALUE"""),45367)</f>
        <v>45367</v>
      </c>
    </row>
    <row r="169" spans="1:17" ht="12.5">
      <c r="A169" s="11">
        <f t="array" aca="1" ref="A169" ca="1">INDEX('Database Mitra'!$R$2:$R1001,MATCH(C169,'Database Mitra'!$B$2:$B1001,0))</f>
        <v>34895</v>
      </c>
      <c r="B169" s="10" t="e">
        <f t="shared" ca="1" si="0"/>
        <v>#NAME?</v>
      </c>
      <c r="C169" s="83">
        <f ca="1">IFERROR(__xludf.DUMMYFUNCTION("""COMPUTED_VALUE"""),610422020016)</f>
        <v>610422020016</v>
      </c>
      <c r="D169" s="10" t="str">
        <f ca="1">IFERROR(__xludf.DUMMYFUNCTION("""COMPUTED_VALUE"""),"SUSENAS24-LAPANGAN-SEMESTER1")</f>
        <v>SUSENAS24-LAPANGAN-SEMESTER1</v>
      </c>
      <c r="E169" s="10"/>
      <c r="F169" s="10">
        <f ca="1">IFERROR(__xludf.DUMMYFUNCTION("""COMPUTED_VALUE"""),1)</f>
        <v>1</v>
      </c>
      <c r="G169" s="10" t="str">
        <f ca="1">IFERROR(__xludf.DUMMYFUNCTION("""COMPUTED_VALUE"""),"Abdul Aziz")</f>
        <v>Abdul Aziz</v>
      </c>
      <c r="H169" s="10" t="str">
        <f ca="1">IFERROR(__xludf.DUMMYFUNCTION("""COMPUTED_VALUE"""),"PML")</f>
        <v>PML</v>
      </c>
      <c r="I169" s="10" t="str">
        <f ca="1">IFERROR(__xludf.DUMMYFUNCTION("""COMPUTED_VALUE"""),"6102061507950006")</f>
        <v>6102061507950006</v>
      </c>
      <c r="J169" s="10" t="str">
        <f ca="1">IFERROR(__xludf.DUMMYFUNCTION("""COMPUTED_VALUE"""),"PENDATAAN")</f>
        <v>PENDATAAN</v>
      </c>
      <c r="K169" s="10" t="str">
        <f ca="1">IFERROR(__xludf.DUMMYFUNCTION("""COMPUTED_VALUE"""),"SUSENAS24-LAPANGAN-SEMESTER1-PML-PENDATAAN")</f>
        <v>SUSENAS24-LAPANGAN-SEMESTER1-PML-PENDATAAN</v>
      </c>
      <c r="L169" s="10" t="str">
        <f ca="1">IFERROR(__xludf.DUMMYFUNCTION("""COMPUTED_VALUE"""),"Rumah Tangga")</f>
        <v>Rumah Tangga</v>
      </c>
      <c r="M169" s="66">
        <f ca="1">IFERROR(__xludf.DUMMYFUNCTION("""COMPUTED_VALUE"""),62000)</f>
        <v>62000</v>
      </c>
      <c r="N169" s="10">
        <f ca="1">IFERROR(__xludf.DUMMYFUNCTION("""COMPUTED_VALUE"""),40)</f>
        <v>40</v>
      </c>
      <c r="O169" s="10">
        <f ca="1">IFERROR(__xludf.DUMMYFUNCTION("""COMPUTED_VALUE"""),2480000)</f>
        <v>2480000</v>
      </c>
      <c r="P169" s="70"/>
      <c r="Q169" s="67">
        <f ca="1">IFERROR(__xludf.DUMMYFUNCTION("""COMPUTED_VALUE"""),45367)</f>
        <v>45367</v>
      </c>
    </row>
    <row r="170" spans="1:17" ht="12.5">
      <c r="A170" s="82">
        <f t="array" aca="1" ref="A170" ca="1">INDEX('Database Mitra'!$R$2:$R1001,MATCH(C170,'Database Mitra'!$B$2:$B1001,0))</f>
        <v>37115</v>
      </c>
      <c r="B170" s="10" t="e">
        <f t="shared" ca="1" si="0"/>
        <v>#NAME?</v>
      </c>
      <c r="C170" s="83">
        <f ca="1">IFERROR(__xludf.DUMMYFUNCTION("""COMPUTED_VALUE"""),610422040031)</f>
        <v>610422040031</v>
      </c>
      <c r="D170" s="10" t="str">
        <f ca="1">IFERROR(__xludf.DUMMYFUNCTION("""COMPUTED_VALUE"""),"SUSENAS24-LAPANGAN-SEMESTER1")</f>
        <v>SUSENAS24-LAPANGAN-SEMESTER1</v>
      </c>
      <c r="E170" s="10"/>
      <c r="F170" s="10">
        <f ca="1">IFERROR(__xludf.DUMMYFUNCTION("""COMPUTED_VALUE"""),1)</f>
        <v>1</v>
      </c>
      <c r="G170" s="10" t="str">
        <f ca="1">IFERROR(__xludf.DUMMYFUNCTION("""COMPUTED_VALUE"""),"Imam Fajri Muslim")</f>
        <v>Imam Fajri Muslim</v>
      </c>
      <c r="H170" s="10" t="str">
        <f ca="1">IFERROR(__xludf.DUMMYFUNCTION("""COMPUTED_VALUE"""),"PML")</f>
        <v>PML</v>
      </c>
      <c r="I170" s="10" t="str">
        <f ca="1">IFERROR(__xludf.DUMMYFUNCTION("""COMPUTED_VALUE"""),"6102161208010001")</f>
        <v>6102161208010001</v>
      </c>
      <c r="J170" s="10" t="str">
        <f ca="1">IFERROR(__xludf.DUMMYFUNCTION("""COMPUTED_VALUE"""),"PENDATAAN")</f>
        <v>PENDATAAN</v>
      </c>
      <c r="K170" s="10" t="str">
        <f ca="1">IFERROR(__xludf.DUMMYFUNCTION("""COMPUTED_VALUE"""),"SUSENAS24-LAPANGAN-SEMESTER1-PML-PENDATAAN")</f>
        <v>SUSENAS24-LAPANGAN-SEMESTER1-PML-PENDATAAN</v>
      </c>
      <c r="L170" s="10" t="str">
        <f ca="1">IFERROR(__xludf.DUMMYFUNCTION("""COMPUTED_VALUE"""),"Rumah Tangga")</f>
        <v>Rumah Tangga</v>
      </c>
      <c r="M170" s="66">
        <f ca="1">IFERROR(__xludf.DUMMYFUNCTION("""COMPUTED_VALUE"""),62000)</f>
        <v>62000</v>
      </c>
      <c r="N170" s="10">
        <f ca="1">IFERROR(__xludf.DUMMYFUNCTION("""COMPUTED_VALUE"""),40)</f>
        <v>40</v>
      </c>
      <c r="O170" s="10">
        <f ca="1">IFERROR(__xludf.DUMMYFUNCTION("""COMPUTED_VALUE"""),2480000)</f>
        <v>2480000</v>
      </c>
      <c r="P170" s="70"/>
      <c r="Q170" s="67">
        <f ca="1">IFERROR(__xludf.DUMMYFUNCTION("""COMPUTED_VALUE"""),45367)</f>
        <v>45367</v>
      </c>
    </row>
    <row r="171" spans="1:17" ht="12.5">
      <c r="A171" s="11">
        <f t="array" aca="1" ref="A171" ca="1">INDEX('Database Mitra'!$R$2:$R1001,MATCH(C171,'Database Mitra'!$B$2:$B1001,0))</f>
        <v>36888</v>
      </c>
      <c r="B171" s="10" t="e">
        <f t="shared" ca="1" si="0"/>
        <v>#NAME?</v>
      </c>
      <c r="C171" s="83">
        <f ca="1">IFERROR(__xludf.DUMMYFUNCTION("""COMPUTED_VALUE"""),610422040005)</f>
        <v>610422040005</v>
      </c>
      <c r="D171" s="10" t="str">
        <f ca="1">IFERROR(__xludf.DUMMYFUNCTION("""COMPUTED_VALUE"""),"SUSENAS24-LAPANGAN-SEMESTER1")</f>
        <v>SUSENAS24-LAPANGAN-SEMESTER1</v>
      </c>
      <c r="E171" s="10"/>
      <c r="F171" s="10">
        <f ca="1">IFERROR(__xludf.DUMMYFUNCTION("""COMPUTED_VALUE"""),1)</f>
        <v>1</v>
      </c>
      <c r="G171" s="10" t="str">
        <f ca="1">IFERROR(__xludf.DUMMYFUNCTION("""COMPUTED_VALUE"""),"Nanda Ariska")</f>
        <v>Nanda Ariska</v>
      </c>
      <c r="H171" s="10" t="str">
        <f ca="1">IFERROR(__xludf.DUMMYFUNCTION("""COMPUTED_VALUE"""),"PML")</f>
        <v>PML</v>
      </c>
      <c r="I171" s="10" t="str">
        <f ca="1">IFERROR(__xludf.DUMMYFUNCTION("""COMPUTED_VALUE"""),"6102186812000004")</f>
        <v>6102186812000004</v>
      </c>
      <c r="J171" s="10" t="str">
        <f ca="1">IFERROR(__xludf.DUMMYFUNCTION("""COMPUTED_VALUE"""),"PENDATAAN")</f>
        <v>PENDATAAN</v>
      </c>
      <c r="K171" s="10" t="str">
        <f ca="1">IFERROR(__xludf.DUMMYFUNCTION("""COMPUTED_VALUE"""),"SUSENAS24-LAPANGAN-SEMESTER1-PML-PENDATAAN")</f>
        <v>SUSENAS24-LAPANGAN-SEMESTER1-PML-PENDATAAN</v>
      </c>
      <c r="L171" s="10" t="str">
        <f ca="1">IFERROR(__xludf.DUMMYFUNCTION("""COMPUTED_VALUE"""),"Rumah Tangga")</f>
        <v>Rumah Tangga</v>
      </c>
      <c r="M171" s="66">
        <f ca="1">IFERROR(__xludf.DUMMYFUNCTION("""COMPUTED_VALUE"""),62000)</f>
        <v>62000</v>
      </c>
      <c r="N171" s="10">
        <f ca="1">IFERROR(__xludf.DUMMYFUNCTION("""COMPUTED_VALUE"""),40)</f>
        <v>40</v>
      </c>
      <c r="O171" s="10">
        <f ca="1">IFERROR(__xludf.DUMMYFUNCTION("""COMPUTED_VALUE"""),2480000)</f>
        <v>2480000</v>
      </c>
      <c r="P171" s="70"/>
      <c r="Q171" s="67">
        <f ca="1">IFERROR(__xludf.DUMMYFUNCTION("""COMPUTED_VALUE"""),45367)</f>
        <v>45367</v>
      </c>
    </row>
    <row r="172" spans="1:17" ht="12.5">
      <c r="A172" s="82">
        <f t="array" aca="1" ref="A172" ca="1">INDEX('Database Mitra'!$R$2:$R1001,MATCH(C172,'Database Mitra'!$B$2:$B1001,0))</f>
        <v>27566</v>
      </c>
      <c r="B172" s="10" t="e">
        <f t="shared" ca="1" si="0"/>
        <v>#NAME?</v>
      </c>
      <c r="C172" s="83">
        <f ca="1">IFERROR(__xludf.DUMMYFUNCTION("""COMPUTED_VALUE"""),610422040038)</f>
        <v>610422040038</v>
      </c>
      <c r="D172" s="10" t="str">
        <f ca="1">IFERROR(__xludf.DUMMYFUNCTION("""COMPUTED_VALUE"""),"SUSENAS24-LAPANGAN-SEMESTER1")</f>
        <v>SUSENAS24-LAPANGAN-SEMESTER1</v>
      </c>
      <c r="E172" s="10"/>
      <c r="F172" s="10">
        <f ca="1">IFERROR(__xludf.DUMMYFUNCTION("""COMPUTED_VALUE"""),1)</f>
        <v>1</v>
      </c>
      <c r="G172" s="10" t="str">
        <f ca="1">IFERROR(__xludf.DUMMYFUNCTION("""COMPUTED_VALUE"""),"Yuyun Antoni, S.E.")</f>
        <v>Yuyun Antoni, S.E.</v>
      </c>
      <c r="H172" s="10" t="str">
        <f ca="1">IFERROR(__xludf.DUMMYFUNCTION("""COMPUTED_VALUE"""),"PML")</f>
        <v>PML</v>
      </c>
      <c r="I172" s="10" t="str">
        <f ca="1">IFERROR(__xludf.DUMMYFUNCTION("""COMPUTED_VALUE"""),"6102122106750003")</f>
        <v>6102122106750003</v>
      </c>
      <c r="J172" s="10" t="str">
        <f ca="1">IFERROR(__xludf.DUMMYFUNCTION("""COMPUTED_VALUE"""),"PENDATAAN")</f>
        <v>PENDATAAN</v>
      </c>
      <c r="K172" s="10" t="str">
        <f ca="1">IFERROR(__xludf.DUMMYFUNCTION("""COMPUTED_VALUE"""),"SUSENAS24-LAPANGAN-SEMESTER1-PML-PENDATAAN")</f>
        <v>SUSENAS24-LAPANGAN-SEMESTER1-PML-PENDATAAN</v>
      </c>
      <c r="L172" s="10" t="str">
        <f ca="1">IFERROR(__xludf.DUMMYFUNCTION("""COMPUTED_VALUE"""),"Rumah Tangga")</f>
        <v>Rumah Tangga</v>
      </c>
      <c r="M172" s="66">
        <f ca="1">IFERROR(__xludf.DUMMYFUNCTION("""COMPUTED_VALUE"""),62000)</f>
        <v>62000</v>
      </c>
      <c r="N172" s="10">
        <f ca="1">IFERROR(__xludf.DUMMYFUNCTION("""COMPUTED_VALUE"""),40)</f>
        <v>40</v>
      </c>
      <c r="O172" s="10">
        <f ca="1">IFERROR(__xludf.DUMMYFUNCTION("""COMPUTED_VALUE"""),2480000)</f>
        <v>2480000</v>
      </c>
      <c r="P172" s="70"/>
      <c r="Q172" s="67">
        <f ca="1">IFERROR(__xludf.DUMMYFUNCTION("""COMPUTED_VALUE"""),45367)</f>
        <v>45367</v>
      </c>
    </row>
    <row r="173" spans="1:17" ht="12.5">
      <c r="A173" s="82">
        <f t="array" aca="1" ref="A173" ca="1">INDEX('Database Mitra'!$R$2:$R1001,MATCH(C173,'Database Mitra'!$B$2:$B1001,0))</f>
        <v>35038</v>
      </c>
      <c r="B173" s="10" t="e">
        <f t="shared" ca="1" si="0"/>
        <v>#NAME?</v>
      </c>
      <c r="C173" s="83">
        <f ca="1">IFERROR(__xludf.DUMMYFUNCTION("""COMPUTED_VALUE"""),610422040030)</f>
        <v>610422040030</v>
      </c>
      <c r="D173" s="10" t="str">
        <f ca="1">IFERROR(__xludf.DUMMYFUNCTION("""COMPUTED_VALUE"""),"SUSENAS24-LAPANGAN-SEMESTER1")</f>
        <v>SUSENAS24-LAPANGAN-SEMESTER1</v>
      </c>
      <c r="E173" s="10"/>
      <c r="F173" s="10">
        <f ca="1">IFERROR(__xludf.DUMMYFUNCTION("""COMPUTED_VALUE"""),1)</f>
        <v>1</v>
      </c>
      <c r="G173" s="10" t="str">
        <f ca="1">IFERROR(__xludf.DUMMYFUNCTION("""COMPUTED_VALUE"""),"Syarifah Desti Pratiwi")</f>
        <v>Syarifah Desti Pratiwi</v>
      </c>
      <c r="H173" s="10" t="str">
        <f ca="1">IFERROR(__xludf.DUMMYFUNCTION("""COMPUTED_VALUE"""),"PML")</f>
        <v>PML</v>
      </c>
      <c r="I173" s="10" t="str">
        <f ca="1">IFERROR(__xludf.DUMMYFUNCTION("""COMPUTED_VALUE"""),"6102084512950002")</f>
        <v>6102084512950002</v>
      </c>
      <c r="J173" s="10" t="str">
        <f ca="1">IFERROR(__xludf.DUMMYFUNCTION("""COMPUTED_VALUE"""),"PENDATAAN")</f>
        <v>PENDATAAN</v>
      </c>
      <c r="K173" s="10" t="str">
        <f ca="1">IFERROR(__xludf.DUMMYFUNCTION("""COMPUTED_VALUE"""),"SUSENAS24-LAPANGAN-SEMESTER1-PML-PENDATAAN")</f>
        <v>SUSENAS24-LAPANGAN-SEMESTER1-PML-PENDATAAN</v>
      </c>
      <c r="L173" s="10" t="str">
        <f ca="1">IFERROR(__xludf.DUMMYFUNCTION("""COMPUTED_VALUE"""),"Rumah Tangga")</f>
        <v>Rumah Tangga</v>
      </c>
      <c r="M173" s="66">
        <f ca="1">IFERROR(__xludf.DUMMYFUNCTION("""COMPUTED_VALUE"""),62000)</f>
        <v>62000</v>
      </c>
      <c r="N173" s="10">
        <f ca="1">IFERROR(__xludf.DUMMYFUNCTION("""COMPUTED_VALUE"""),40)</f>
        <v>40</v>
      </c>
      <c r="O173" s="10">
        <f ca="1">IFERROR(__xludf.DUMMYFUNCTION("""COMPUTED_VALUE"""),2480000)</f>
        <v>2480000</v>
      </c>
      <c r="P173" s="70"/>
      <c r="Q173" s="67">
        <f ca="1">IFERROR(__xludf.DUMMYFUNCTION("""COMPUTED_VALUE"""),45367)</f>
        <v>45367</v>
      </c>
    </row>
    <row r="174" spans="1:17" ht="12.5">
      <c r="A174" s="82">
        <f t="array" aca="1" ref="A174" ca="1">INDEX('Database Mitra'!$R$2:$R1001,MATCH(C174,'Database Mitra'!$B$2:$B1001,0))</f>
        <v>29359</v>
      </c>
      <c r="B174" s="10" t="e">
        <f t="shared" ca="1" si="0"/>
        <v>#NAME?</v>
      </c>
      <c r="C174" s="83">
        <f ca="1">IFERROR(__xludf.DUMMYFUNCTION("""COMPUTED_VALUE"""),610422040062)</f>
        <v>610422040062</v>
      </c>
      <c r="D174" s="10" t="str">
        <f ca="1">IFERROR(__xludf.DUMMYFUNCTION("""COMPUTED_VALUE"""),"SUSENAS24-LAPANGAN-SEMESTER1")</f>
        <v>SUSENAS24-LAPANGAN-SEMESTER1</v>
      </c>
      <c r="E174" s="10"/>
      <c r="F174" s="10">
        <f ca="1">IFERROR(__xludf.DUMMYFUNCTION("""COMPUTED_VALUE"""),1)</f>
        <v>1</v>
      </c>
      <c r="G174" s="10" t="str">
        <f ca="1">IFERROR(__xludf.DUMMYFUNCTION("""COMPUTED_VALUE"""),"Yudi Wahyudi")</f>
        <v>Yudi Wahyudi</v>
      </c>
      <c r="H174" s="10" t="str">
        <f ca="1">IFERROR(__xludf.DUMMYFUNCTION("""COMPUTED_VALUE"""),"PML")</f>
        <v>PML</v>
      </c>
      <c r="I174" s="10" t="str">
        <f ca="1">IFERROR(__xludf.DUMMYFUNCTION("""COMPUTED_VALUE"""),"6108011805800004")</f>
        <v>6108011805800004</v>
      </c>
      <c r="J174" s="10" t="str">
        <f ca="1">IFERROR(__xludf.DUMMYFUNCTION("""COMPUTED_VALUE"""),"PENDATAAN")</f>
        <v>PENDATAAN</v>
      </c>
      <c r="K174" s="10" t="str">
        <f ca="1">IFERROR(__xludf.DUMMYFUNCTION("""COMPUTED_VALUE"""),"SUSENAS24-LAPANGAN-SEMESTER1-PML-PENDATAAN")</f>
        <v>SUSENAS24-LAPANGAN-SEMESTER1-PML-PENDATAAN</v>
      </c>
      <c r="L174" s="10" t="str">
        <f ca="1">IFERROR(__xludf.DUMMYFUNCTION("""COMPUTED_VALUE"""),"Rumah Tangga")</f>
        <v>Rumah Tangga</v>
      </c>
      <c r="M174" s="66">
        <f ca="1">IFERROR(__xludf.DUMMYFUNCTION("""COMPUTED_VALUE"""),62000)</f>
        <v>62000</v>
      </c>
      <c r="N174" s="10">
        <f ca="1">IFERROR(__xludf.DUMMYFUNCTION("""COMPUTED_VALUE"""),40)</f>
        <v>40</v>
      </c>
      <c r="O174" s="10">
        <f ca="1">IFERROR(__xludf.DUMMYFUNCTION("""COMPUTED_VALUE"""),2480000)</f>
        <v>2480000</v>
      </c>
      <c r="P174" s="70"/>
      <c r="Q174" s="67">
        <f ca="1">IFERROR(__xludf.DUMMYFUNCTION("""COMPUTED_VALUE"""),45367)</f>
        <v>45367</v>
      </c>
    </row>
    <row r="175" spans="1:17" ht="12.5">
      <c r="A175" s="82">
        <f t="array" aca="1" ref="A175" ca="1">INDEX('Database Mitra'!$R$2:$R1001,MATCH(C175,'Database Mitra'!$B$2:$B1001,0))</f>
        <v>36436</v>
      </c>
      <c r="B175" s="10" t="e">
        <f t="shared" ca="1" si="0"/>
        <v>#NAME?</v>
      </c>
      <c r="C175" s="83">
        <f ca="1">IFERROR(__xludf.DUMMYFUNCTION("""COMPUTED_VALUE"""),610422100274)</f>
        <v>610422100274</v>
      </c>
      <c r="D175" s="10" t="str">
        <f ca="1">IFERROR(__xludf.DUMMYFUNCTION("""COMPUTED_VALUE"""),"SUSENAS24-LAPANGAN-SEMESTER1")</f>
        <v>SUSENAS24-LAPANGAN-SEMESTER1</v>
      </c>
      <c r="E175" s="10"/>
      <c r="F175" s="10">
        <f ca="1">IFERROR(__xludf.DUMMYFUNCTION("""COMPUTED_VALUE"""),1)</f>
        <v>1</v>
      </c>
      <c r="G175" s="10" t="str">
        <f ca="1">IFERROR(__xludf.DUMMYFUNCTION("""COMPUTED_VALUE"""),"Anisatunnabilah")</f>
        <v>Anisatunnabilah</v>
      </c>
      <c r="H175" s="10" t="str">
        <f ca="1">IFERROR(__xludf.DUMMYFUNCTION("""COMPUTED_VALUE"""),"PML")</f>
        <v>PML</v>
      </c>
      <c r="I175" s="10" t="str">
        <f ca="1">IFERROR(__xludf.DUMMYFUNCTION("""COMPUTED_VALUE"""),"6102184310990001")</f>
        <v>6102184310990001</v>
      </c>
      <c r="J175" s="10" t="str">
        <f ca="1">IFERROR(__xludf.DUMMYFUNCTION("""COMPUTED_VALUE"""),"PENDATAAN")</f>
        <v>PENDATAAN</v>
      </c>
      <c r="K175" s="10" t="str">
        <f ca="1">IFERROR(__xludf.DUMMYFUNCTION("""COMPUTED_VALUE"""),"SUSENAS24-LAPANGAN-SEMESTER1-PML-PENDATAAN")</f>
        <v>SUSENAS24-LAPANGAN-SEMESTER1-PML-PENDATAAN</v>
      </c>
      <c r="L175" s="10" t="str">
        <f ca="1">IFERROR(__xludf.DUMMYFUNCTION("""COMPUTED_VALUE"""),"Rumah Tangga")</f>
        <v>Rumah Tangga</v>
      </c>
      <c r="M175" s="66">
        <f ca="1">IFERROR(__xludf.DUMMYFUNCTION("""COMPUTED_VALUE"""),62000)</f>
        <v>62000</v>
      </c>
      <c r="N175" s="10">
        <f ca="1">IFERROR(__xludf.DUMMYFUNCTION("""COMPUTED_VALUE"""),40)</f>
        <v>40</v>
      </c>
      <c r="O175" s="10">
        <f ca="1">IFERROR(__xludf.DUMMYFUNCTION("""COMPUTED_VALUE"""),2480000)</f>
        <v>2480000</v>
      </c>
      <c r="P175" s="70"/>
      <c r="Q175" s="67">
        <f ca="1">IFERROR(__xludf.DUMMYFUNCTION("""COMPUTED_VALUE"""),45367)</f>
        <v>45367</v>
      </c>
    </row>
    <row r="176" spans="1:17" ht="12.5">
      <c r="A176" s="82">
        <f t="array" aca="1" ref="A176" ca="1">INDEX('Database Mitra'!$R$2:$R1001,MATCH(C176,'Database Mitra'!$B$2:$B1001,0))</f>
        <v>36154</v>
      </c>
      <c r="B176" s="10" t="e">
        <f t="shared" ca="1" si="0"/>
        <v>#NAME?</v>
      </c>
      <c r="C176" s="83">
        <f ca="1">IFERROR(__xludf.DUMMYFUNCTION("""COMPUTED_VALUE"""),610422100108)</f>
        <v>610422100108</v>
      </c>
      <c r="D176" s="10" t="str">
        <f ca="1">IFERROR(__xludf.DUMMYFUNCTION("""COMPUTED_VALUE"""),"SUSENAS24-LAPANGAN-SEMESTER1")</f>
        <v>SUSENAS24-LAPANGAN-SEMESTER1</v>
      </c>
      <c r="E176" s="10"/>
      <c r="F176" s="10">
        <f ca="1">IFERROR(__xludf.DUMMYFUNCTION("""COMPUTED_VALUE"""),1)</f>
        <v>1</v>
      </c>
      <c r="G176" s="10" t="str">
        <f ca="1">IFERROR(__xludf.DUMMYFUNCTION("""COMPUTED_VALUE"""),"Ermi Tiyarni")</f>
        <v>Ermi Tiyarni</v>
      </c>
      <c r="H176" s="10" t="str">
        <f ca="1">IFERROR(__xludf.DUMMYFUNCTION("""COMPUTED_VALUE"""),"PML")</f>
        <v>PML</v>
      </c>
      <c r="I176" s="10" t="str">
        <f ca="1">IFERROR(__xludf.DUMMYFUNCTION("""COMPUTED_VALUE"""),"6102016512980004")</f>
        <v>6102016512980004</v>
      </c>
      <c r="J176" s="10" t="str">
        <f ca="1">IFERROR(__xludf.DUMMYFUNCTION("""COMPUTED_VALUE"""),"PENDATAAN")</f>
        <v>PENDATAAN</v>
      </c>
      <c r="K176" s="10" t="str">
        <f ca="1">IFERROR(__xludf.DUMMYFUNCTION("""COMPUTED_VALUE"""),"SUSENAS24-LAPANGAN-SEMESTER1-PML-PENDATAAN")</f>
        <v>SUSENAS24-LAPANGAN-SEMESTER1-PML-PENDATAAN</v>
      </c>
      <c r="L176" s="10" t="str">
        <f ca="1">IFERROR(__xludf.DUMMYFUNCTION("""COMPUTED_VALUE"""),"Rumah Tangga")</f>
        <v>Rumah Tangga</v>
      </c>
      <c r="M176" s="66">
        <f ca="1">IFERROR(__xludf.DUMMYFUNCTION("""COMPUTED_VALUE"""),62000)</f>
        <v>62000</v>
      </c>
      <c r="N176" s="10">
        <f ca="1">IFERROR(__xludf.DUMMYFUNCTION("""COMPUTED_VALUE"""),40)</f>
        <v>40</v>
      </c>
      <c r="O176" s="10">
        <f ca="1">IFERROR(__xludf.DUMMYFUNCTION("""COMPUTED_VALUE"""),2480000)</f>
        <v>2480000</v>
      </c>
      <c r="P176" s="70"/>
      <c r="Q176" s="67">
        <f ca="1">IFERROR(__xludf.DUMMYFUNCTION("""COMPUTED_VALUE"""),45367)</f>
        <v>45367</v>
      </c>
    </row>
    <row r="177" spans="1:17" ht="12.5">
      <c r="A177" s="82">
        <f t="array" aca="1" ref="A177" ca="1">INDEX('Database Mitra'!$R$2:$R1001,MATCH(C177,'Database Mitra'!$B$2:$B1001,0))</f>
        <v>37161</v>
      </c>
      <c r="B177" s="10" t="e">
        <f t="shared" ca="1" si="0"/>
        <v>#NAME?</v>
      </c>
      <c r="C177" s="83">
        <f ca="1">IFERROR(__xludf.DUMMYFUNCTION("""COMPUTED_VALUE"""),610423040016)</f>
        <v>610423040016</v>
      </c>
      <c r="D177" s="10" t="str">
        <f ca="1">IFERROR(__xludf.DUMMYFUNCTION("""COMPUTED_VALUE"""),"SUSENAS24-LAPANGAN-SEMESTER1")</f>
        <v>SUSENAS24-LAPANGAN-SEMESTER1</v>
      </c>
      <c r="E177" s="10"/>
      <c r="F177" s="10">
        <f ca="1">IFERROR(__xludf.DUMMYFUNCTION("""COMPUTED_VALUE"""),1)</f>
        <v>1</v>
      </c>
      <c r="G177" s="10" t="str">
        <f ca="1">IFERROR(__xludf.DUMMYFUNCTION("""COMPUTED_VALUE"""),"Fairuztia Atiqah Putri")</f>
        <v>Fairuztia Atiqah Putri</v>
      </c>
      <c r="H177" s="10" t="str">
        <f ca="1">IFERROR(__xludf.DUMMYFUNCTION("""COMPUTED_VALUE"""),"PML")</f>
        <v>PML</v>
      </c>
      <c r="I177" s="10" t="str">
        <f ca="1">IFERROR(__xludf.DUMMYFUNCTION("""COMPUTED_VALUE"""),"6102016709010003")</f>
        <v>6102016709010003</v>
      </c>
      <c r="J177" s="10" t="str">
        <f ca="1">IFERROR(__xludf.DUMMYFUNCTION("""COMPUTED_VALUE"""),"PENDATAAN")</f>
        <v>PENDATAAN</v>
      </c>
      <c r="K177" s="10" t="str">
        <f ca="1">IFERROR(__xludf.DUMMYFUNCTION("""COMPUTED_VALUE"""),"SUSENAS24-LAPANGAN-SEMESTER1-PML-PENDATAAN")</f>
        <v>SUSENAS24-LAPANGAN-SEMESTER1-PML-PENDATAAN</v>
      </c>
      <c r="L177" s="10" t="str">
        <f ca="1">IFERROR(__xludf.DUMMYFUNCTION("""COMPUTED_VALUE"""),"Rumah Tangga")</f>
        <v>Rumah Tangga</v>
      </c>
      <c r="M177" s="66">
        <f ca="1">IFERROR(__xludf.DUMMYFUNCTION("""COMPUTED_VALUE"""),62000)</f>
        <v>62000</v>
      </c>
      <c r="N177" s="10">
        <f ca="1">IFERROR(__xludf.DUMMYFUNCTION("""COMPUTED_VALUE"""),40)</f>
        <v>40</v>
      </c>
      <c r="O177" s="10">
        <f ca="1">IFERROR(__xludf.DUMMYFUNCTION("""COMPUTED_VALUE"""),2480000)</f>
        <v>2480000</v>
      </c>
      <c r="P177" s="70"/>
      <c r="Q177" s="67">
        <f ca="1">IFERROR(__xludf.DUMMYFUNCTION("""COMPUTED_VALUE"""),45367)</f>
        <v>45367</v>
      </c>
    </row>
    <row r="178" spans="1:17" ht="12.5">
      <c r="A178" s="11">
        <f t="array" aca="1" ref="A178" ca="1">INDEX('Database Mitra'!$R$2:$R1001,MATCH(C178,'Database Mitra'!$B$2:$B1001,0))</f>
        <v>35721</v>
      </c>
      <c r="B178" s="10" t="e">
        <f t="shared" ca="1" si="0"/>
        <v>#NAME?</v>
      </c>
      <c r="C178" s="83">
        <f ca="1">IFERROR(__xludf.DUMMYFUNCTION("""COMPUTED_VALUE"""),610422100032)</f>
        <v>610422100032</v>
      </c>
      <c r="D178" s="10" t="str">
        <f ca="1">IFERROR(__xludf.DUMMYFUNCTION("""COMPUTED_VALUE"""),"SUSENAS24-LAPANGAN-SEMESTER1")</f>
        <v>SUSENAS24-LAPANGAN-SEMESTER1</v>
      </c>
      <c r="E178" s="10"/>
      <c r="F178" s="10">
        <f ca="1">IFERROR(__xludf.DUMMYFUNCTION("""COMPUTED_VALUE"""),1)</f>
        <v>1</v>
      </c>
      <c r="G178" s="10" t="str">
        <f ca="1">IFERROR(__xludf.DUMMYFUNCTION("""COMPUTED_VALUE"""),"Muhammad Rizki Pratomo")</f>
        <v>Muhammad Rizki Pratomo</v>
      </c>
      <c r="H178" s="10" t="str">
        <f ca="1">IFERROR(__xludf.DUMMYFUNCTION("""COMPUTED_VALUE"""),"PML")</f>
        <v>PML</v>
      </c>
      <c r="I178" s="10" t="str">
        <f ca="1">IFERROR(__xludf.DUMMYFUNCTION("""COMPUTED_VALUE"""),"6102011810970004")</f>
        <v>6102011810970004</v>
      </c>
      <c r="J178" s="10" t="str">
        <f ca="1">IFERROR(__xludf.DUMMYFUNCTION("""COMPUTED_VALUE"""),"PENDATAAN")</f>
        <v>PENDATAAN</v>
      </c>
      <c r="K178" s="10" t="str">
        <f ca="1">IFERROR(__xludf.DUMMYFUNCTION("""COMPUTED_VALUE"""),"SUSENAS24-LAPANGAN-SEMESTER1-PML-PENDATAAN")</f>
        <v>SUSENAS24-LAPANGAN-SEMESTER1-PML-PENDATAAN</v>
      </c>
      <c r="L178" s="10" t="str">
        <f ca="1">IFERROR(__xludf.DUMMYFUNCTION("""COMPUTED_VALUE"""),"Rumah Tangga")</f>
        <v>Rumah Tangga</v>
      </c>
      <c r="M178" s="66">
        <f ca="1">IFERROR(__xludf.DUMMYFUNCTION("""COMPUTED_VALUE"""),62000)</f>
        <v>62000</v>
      </c>
      <c r="N178" s="10">
        <f ca="1">IFERROR(__xludf.DUMMYFUNCTION("""COMPUTED_VALUE"""),40)</f>
        <v>40</v>
      </c>
      <c r="O178" s="10">
        <f ca="1">IFERROR(__xludf.DUMMYFUNCTION("""COMPUTED_VALUE"""),2480000)</f>
        <v>2480000</v>
      </c>
      <c r="P178" s="70"/>
      <c r="Q178" s="67">
        <f ca="1">IFERROR(__xludf.DUMMYFUNCTION("""COMPUTED_VALUE"""),45367)</f>
        <v>45367</v>
      </c>
    </row>
    <row r="179" spans="1:17" ht="12.5">
      <c r="A179" s="82">
        <f t="array" aca="1" ref="A179" ca="1">INDEX('Database Mitra'!$R$2:$R1001,MATCH(C179,'Database Mitra'!$B$2:$B1001,0))</f>
        <v>32942</v>
      </c>
      <c r="B179" s="10" t="e">
        <f t="shared" ca="1" si="0"/>
        <v>#NAME?</v>
      </c>
      <c r="C179" s="83">
        <f ca="1">IFERROR(__xludf.DUMMYFUNCTION("""COMPUTED_VALUE"""),610422100244)</f>
        <v>610422100244</v>
      </c>
      <c r="D179" s="10" t="str">
        <f ca="1">IFERROR(__xludf.DUMMYFUNCTION("""COMPUTED_VALUE"""),"SUSENAS24-LAPANGAN-SEMESTER1")</f>
        <v>SUSENAS24-LAPANGAN-SEMESTER1</v>
      </c>
      <c r="E179" s="10"/>
      <c r="F179" s="10">
        <f ca="1">IFERROR(__xludf.DUMMYFUNCTION("""COMPUTED_VALUE"""),1)</f>
        <v>1</v>
      </c>
      <c r="G179" s="10" t="str">
        <f ca="1">IFERROR(__xludf.DUMMYFUNCTION("""COMPUTED_VALUE"""),"Sugianto")</f>
        <v>Sugianto</v>
      </c>
      <c r="H179" s="10" t="str">
        <f ca="1">IFERROR(__xludf.DUMMYFUNCTION("""COMPUTED_VALUE"""),"PML")</f>
        <v>PML</v>
      </c>
      <c r="I179" s="10" t="str">
        <f ca="1">IFERROR(__xludf.DUMMYFUNCTION("""COMPUTED_VALUE"""),"6102171003900002")</f>
        <v>6102171003900002</v>
      </c>
      <c r="J179" s="10" t="str">
        <f ca="1">IFERROR(__xludf.DUMMYFUNCTION("""COMPUTED_VALUE"""),"PENDATAAN")</f>
        <v>PENDATAAN</v>
      </c>
      <c r="K179" s="10" t="str">
        <f ca="1">IFERROR(__xludf.DUMMYFUNCTION("""COMPUTED_VALUE"""),"SUSENAS24-LAPANGAN-SEMESTER1-PML-PENDATAAN")</f>
        <v>SUSENAS24-LAPANGAN-SEMESTER1-PML-PENDATAAN</v>
      </c>
      <c r="L179" s="10" t="str">
        <f ca="1">IFERROR(__xludf.DUMMYFUNCTION("""COMPUTED_VALUE"""),"Rumah Tangga")</f>
        <v>Rumah Tangga</v>
      </c>
      <c r="M179" s="66">
        <f ca="1">IFERROR(__xludf.DUMMYFUNCTION("""COMPUTED_VALUE"""),62000)</f>
        <v>62000</v>
      </c>
      <c r="N179" s="10">
        <f ca="1">IFERROR(__xludf.DUMMYFUNCTION("""COMPUTED_VALUE"""),40)</f>
        <v>40</v>
      </c>
      <c r="O179" s="10">
        <f ca="1">IFERROR(__xludf.DUMMYFUNCTION("""COMPUTED_VALUE"""),2480000)</f>
        <v>2480000</v>
      </c>
      <c r="P179" s="70"/>
      <c r="Q179" s="67">
        <f ca="1">IFERROR(__xludf.DUMMYFUNCTION("""COMPUTED_VALUE"""),45367)</f>
        <v>45367</v>
      </c>
    </row>
    <row r="180" spans="1:17" ht="12.5">
      <c r="A180" s="82">
        <f t="array" aca="1" ref="A180" ca="1">INDEX('Database Mitra'!$R$2:$R1001,MATCH(C180,'Database Mitra'!$B$2:$B1001,0))</f>
        <v>35555</v>
      </c>
      <c r="B180" s="10" t="e">
        <f t="shared" ca="1" si="0"/>
        <v>#NAME?</v>
      </c>
      <c r="C180" s="83">
        <f ca="1">IFERROR(__xludf.DUMMYFUNCTION("""COMPUTED_VALUE"""),610422100256)</f>
        <v>610422100256</v>
      </c>
      <c r="D180" s="10" t="str">
        <f ca="1">IFERROR(__xludf.DUMMYFUNCTION("""COMPUTED_VALUE"""),"SUSENAS24-LAPANGAN-SEMESTER1")</f>
        <v>SUSENAS24-LAPANGAN-SEMESTER1</v>
      </c>
      <c r="E180" s="10"/>
      <c r="F180" s="10">
        <f ca="1">IFERROR(__xludf.DUMMYFUNCTION("""COMPUTED_VALUE"""),1)</f>
        <v>1</v>
      </c>
      <c r="G180" s="10" t="str">
        <f ca="1">IFERROR(__xludf.DUMMYFUNCTION("""COMPUTED_VALUE"""),"Meta")</f>
        <v>Meta</v>
      </c>
      <c r="H180" s="10" t="str">
        <f ca="1">IFERROR(__xludf.DUMMYFUNCTION("""COMPUTED_VALUE"""),"PPL")</f>
        <v>PPL</v>
      </c>
      <c r="I180" s="10" t="str">
        <f ca="1">IFERROR(__xludf.DUMMYFUNCTION("""COMPUTED_VALUE"""),"6102174505970001")</f>
        <v>6102174505970001</v>
      </c>
      <c r="J180" s="10" t="str">
        <f ca="1">IFERROR(__xludf.DUMMYFUNCTION("""COMPUTED_VALUE"""),"PENDATAAN")</f>
        <v>PENDATAAN</v>
      </c>
      <c r="K180" s="10" t="str">
        <f ca="1">IFERROR(__xludf.DUMMYFUNCTION("""COMPUTED_VALUE"""),"SUSENAS24-LAPANGAN-SEMESTER1-PPL-PENDATAAN")</f>
        <v>SUSENAS24-LAPANGAN-SEMESTER1-PPL-PENDATAAN</v>
      </c>
      <c r="L180" s="10" t="str">
        <f ca="1">IFERROR(__xludf.DUMMYFUNCTION("""COMPUTED_VALUE"""),"Rumah Tangga")</f>
        <v>Rumah Tangga</v>
      </c>
      <c r="M180" s="66">
        <f ca="1">IFERROR(__xludf.DUMMYFUNCTION("""COMPUTED_VALUE"""),119000)</f>
        <v>119000</v>
      </c>
      <c r="N180" s="10">
        <f ca="1">IFERROR(__xludf.DUMMYFUNCTION("""COMPUTED_VALUE"""),10)</f>
        <v>10</v>
      </c>
      <c r="O180" s="10">
        <f ca="1">IFERROR(__xludf.DUMMYFUNCTION("""COMPUTED_VALUE"""),1190000)</f>
        <v>1190000</v>
      </c>
      <c r="P180" s="70"/>
      <c r="Q180" s="67">
        <f ca="1">IFERROR(__xludf.DUMMYFUNCTION("""COMPUTED_VALUE"""),45367)</f>
        <v>45367</v>
      </c>
    </row>
    <row r="181" spans="1:17" ht="12.5">
      <c r="A181" s="82">
        <f t="array" aca="1" ref="A181" ca="1">INDEX('Database Mitra'!$R$2:$R1001,MATCH(C181,'Database Mitra'!$B$2:$B1001,0))</f>
        <v>35978</v>
      </c>
      <c r="B181" s="10" t="e">
        <f t="shared" ca="1" si="0"/>
        <v>#NAME?</v>
      </c>
      <c r="C181" s="83">
        <f ca="1">IFERROR(__xludf.DUMMYFUNCTION("""COMPUTED_VALUE"""),610422100055)</f>
        <v>610422100055</v>
      </c>
      <c r="D181" s="10" t="str">
        <f ca="1">IFERROR(__xludf.DUMMYFUNCTION("""COMPUTED_VALUE"""),"SUSENAS24-LAPANGAN-SEMESTER1")</f>
        <v>SUSENAS24-LAPANGAN-SEMESTER1</v>
      </c>
      <c r="E181" s="10"/>
      <c r="F181" s="10">
        <f ca="1">IFERROR(__xludf.DUMMYFUNCTION("""COMPUTED_VALUE"""),1)</f>
        <v>1</v>
      </c>
      <c r="G181" s="10" t="str">
        <f ca="1">IFERROR(__xludf.DUMMYFUNCTION("""COMPUTED_VALUE"""),"Vika Rizkiani")</f>
        <v>Vika Rizkiani</v>
      </c>
      <c r="H181" s="10" t="str">
        <f ca="1">IFERROR(__xludf.DUMMYFUNCTION("""COMPUTED_VALUE"""),"PPL")</f>
        <v>PPL</v>
      </c>
      <c r="I181" s="10" t="str">
        <f ca="1">IFERROR(__xludf.DUMMYFUNCTION("""COMPUTED_VALUE"""),"6102084207980006")</f>
        <v>6102084207980006</v>
      </c>
      <c r="J181" s="10" t="str">
        <f ca="1">IFERROR(__xludf.DUMMYFUNCTION("""COMPUTED_VALUE"""),"PENDATAAN")</f>
        <v>PENDATAAN</v>
      </c>
      <c r="K181" s="10" t="str">
        <f ca="1">IFERROR(__xludf.DUMMYFUNCTION("""COMPUTED_VALUE"""),"SUSENAS24-LAPANGAN-SEMESTER1-PPL-PENDATAAN")</f>
        <v>SUSENAS24-LAPANGAN-SEMESTER1-PPL-PENDATAAN</v>
      </c>
      <c r="L181" s="10" t="str">
        <f ca="1">IFERROR(__xludf.DUMMYFUNCTION("""COMPUTED_VALUE"""),"Rumah Tangga")</f>
        <v>Rumah Tangga</v>
      </c>
      <c r="M181" s="66">
        <f ca="1">IFERROR(__xludf.DUMMYFUNCTION("""COMPUTED_VALUE"""),119000)</f>
        <v>119000</v>
      </c>
      <c r="N181" s="10">
        <f ca="1">IFERROR(__xludf.DUMMYFUNCTION("""COMPUTED_VALUE"""),10)</f>
        <v>10</v>
      </c>
      <c r="O181" s="10">
        <f ca="1">IFERROR(__xludf.DUMMYFUNCTION("""COMPUTED_VALUE"""),1190000)</f>
        <v>1190000</v>
      </c>
      <c r="P181" s="70"/>
      <c r="Q181" s="67">
        <f ca="1">IFERROR(__xludf.DUMMYFUNCTION("""COMPUTED_VALUE"""),45367)</f>
        <v>45367</v>
      </c>
    </row>
    <row r="182" spans="1:17" ht="12.5">
      <c r="A182" s="82">
        <f t="array" aca="1" ref="A182" ca="1">INDEX('Database Mitra'!$R$2:$R1001,MATCH(C182,'Database Mitra'!$B$2:$B1001,0))</f>
        <v>35501</v>
      </c>
      <c r="B182" s="10" t="e">
        <f t="shared" ca="1" si="0"/>
        <v>#NAME?</v>
      </c>
      <c r="C182" s="83">
        <f ca="1">IFERROR(__xludf.DUMMYFUNCTION("""COMPUTED_VALUE"""),610422020008)</f>
        <v>610422020008</v>
      </c>
      <c r="D182" s="10" t="str">
        <f ca="1">IFERROR(__xludf.DUMMYFUNCTION("""COMPUTED_VALUE"""),"SUSENAS24-LAPANGAN-SEMESTER1")</f>
        <v>SUSENAS24-LAPANGAN-SEMESTER1</v>
      </c>
      <c r="E182" s="10"/>
      <c r="F182" s="10">
        <f ca="1">IFERROR(__xludf.DUMMYFUNCTION("""COMPUTED_VALUE"""),1)</f>
        <v>1</v>
      </c>
      <c r="G182" s="10" t="str">
        <f ca="1">IFERROR(__xludf.DUMMYFUNCTION("""COMPUTED_VALUE"""),"Ilfi Nur Diana")</f>
        <v>Ilfi Nur Diana</v>
      </c>
      <c r="H182" s="10" t="str">
        <f ca="1">IFERROR(__xludf.DUMMYFUNCTION("""COMPUTED_VALUE"""),"PPL")</f>
        <v>PPL</v>
      </c>
      <c r="I182" s="10" t="str">
        <f ca="1">IFERROR(__xludf.DUMMYFUNCTION("""COMPUTED_VALUE"""),"6102125203970003")</f>
        <v>6102125203970003</v>
      </c>
      <c r="J182" s="10" t="str">
        <f ca="1">IFERROR(__xludf.DUMMYFUNCTION("""COMPUTED_VALUE"""),"PENDATAAN")</f>
        <v>PENDATAAN</v>
      </c>
      <c r="K182" s="10" t="str">
        <f ca="1">IFERROR(__xludf.DUMMYFUNCTION("""COMPUTED_VALUE"""),"SUSENAS24-LAPANGAN-SEMESTER1-PPL-PENDATAAN")</f>
        <v>SUSENAS24-LAPANGAN-SEMESTER1-PPL-PENDATAAN</v>
      </c>
      <c r="L182" s="10" t="str">
        <f ca="1">IFERROR(__xludf.DUMMYFUNCTION("""COMPUTED_VALUE"""),"Rumah Tangga")</f>
        <v>Rumah Tangga</v>
      </c>
      <c r="M182" s="66">
        <f ca="1">IFERROR(__xludf.DUMMYFUNCTION("""COMPUTED_VALUE"""),119000)</f>
        <v>119000</v>
      </c>
      <c r="N182" s="10">
        <f ca="1">IFERROR(__xludf.DUMMYFUNCTION("""COMPUTED_VALUE"""),20)</f>
        <v>20</v>
      </c>
      <c r="O182" s="10">
        <f ca="1">IFERROR(__xludf.DUMMYFUNCTION("""COMPUTED_VALUE"""),2380000)</f>
        <v>2380000</v>
      </c>
      <c r="P182" s="70"/>
      <c r="Q182" s="67">
        <f ca="1">IFERROR(__xludf.DUMMYFUNCTION("""COMPUTED_VALUE"""),45367)</f>
        <v>45367</v>
      </c>
    </row>
    <row r="183" spans="1:17" ht="12.5">
      <c r="A183" s="11">
        <f t="array" aca="1" ref="A183" ca="1">INDEX('Database Mitra'!$R$2:$R1001,MATCH(C183,'Database Mitra'!$B$2:$B1001,0))</f>
        <v>33318</v>
      </c>
      <c r="B183" s="10" t="e">
        <f t="shared" ca="1" si="0"/>
        <v>#NAME?</v>
      </c>
      <c r="C183" s="83">
        <f ca="1">IFERROR(__xludf.DUMMYFUNCTION("""COMPUTED_VALUE"""),610423040014)</f>
        <v>610423040014</v>
      </c>
      <c r="D183" s="10" t="str">
        <f ca="1">IFERROR(__xludf.DUMMYFUNCTION("""COMPUTED_VALUE"""),"SUSENAS24-LAPANGAN-SEMESTER1")</f>
        <v>SUSENAS24-LAPANGAN-SEMESTER1</v>
      </c>
      <c r="E183" s="10"/>
      <c r="F183" s="10">
        <f ca="1">IFERROR(__xludf.DUMMYFUNCTION("""COMPUTED_VALUE"""),1)</f>
        <v>1</v>
      </c>
      <c r="G183" s="10" t="str">
        <f ca="1">IFERROR(__xludf.DUMMYFUNCTION("""COMPUTED_VALUE"""),"Fransiska Romana")</f>
        <v>Fransiska Romana</v>
      </c>
      <c r="H183" s="10" t="str">
        <f ca="1">IFERROR(__xludf.DUMMYFUNCTION("""COMPUTED_VALUE"""),"PPL")</f>
        <v>PPL</v>
      </c>
      <c r="I183" s="10" t="str">
        <f ca="1">IFERROR(__xludf.DUMMYFUNCTION("""COMPUTED_VALUE"""),"6107036103910001")</f>
        <v>6107036103910001</v>
      </c>
      <c r="J183" s="10" t="str">
        <f ca="1">IFERROR(__xludf.DUMMYFUNCTION("""COMPUTED_VALUE"""),"PENDATAAN")</f>
        <v>PENDATAAN</v>
      </c>
      <c r="K183" s="10" t="str">
        <f ca="1">IFERROR(__xludf.DUMMYFUNCTION("""COMPUTED_VALUE"""),"SUSENAS24-LAPANGAN-SEMESTER1-PPL-PENDATAAN")</f>
        <v>SUSENAS24-LAPANGAN-SEMESTER1-PPL-PENDATAAN</v>
      </c>
      <c r="L183" s="10" t="str">
        <f ca="1">IFERROR(__xludf.DUMMYFUNCTION("""COMPUTED_VALUE"""),"Rumah Tangga")</f>
        <v>Rumah Tangga</v>
      </c>
      <c r="M183" s="66">
        <f ca="1">IFERROR(__xludf.DUMMYFUNCTION("""COMPUTED_VALUE"""),119000)</f>
        <v>119000</v>
      </c>
      <c r="N183" s="10">
        <f ca="1">IFERROR(__xludf.DUMMYFUNCTION("""COMPUTED_VALUE"""),20)</f>
        <v>20</v>
      </c>
      <c r="O183" s="10">
        <f ca="1">IFERROR(__xludf.DUMMYFUNCTION("""COMPUTED_VALUE"""),2380000)</f>
        <v>2380000</v>
      </c>
      <c r="P183" s="70"/>
      <c r="Q183" s="67">
        <f ca="1">IFERROR(__xludf.DUMMYFUNCTION("""COMPUTED_VALUE"""),45367)</f>
        <v>45367</v>
      </c>
    </row>
    <row r="184" spans="1:17" ht="12.5">
      <c r="A184" s="82">
        <f t="array" aca="1" ref="A184" ca="1">INDEX('Database Mitra'!$R$2:$R1001,MATCH(C184,'Database Mitra'!$B$2:$B1001,0))</f>
        <v>35815</v>
      </c>
      <c r="B184" s="10" t="e">
        <f t="shared" ca="1" si="0"/>
        <v>#NAME?</v>
      </c>
      <c r="C184" s="83">
        <f ca="1">IFERROR(__xludf.DUMMYFUNCTION("""COMPUTED_VALUE"""),610423040022)</f>
        <v>610423040022</v>
      </c>
      <c r="D184" s="10" t="str">
        <f ca="1">IFERROR(__xludf.DUMMYFUNCTION("""COMPUTED_VALUE"""),"SUSENAS24-LAPANGAN-SEMESTER1")</f>
        <v>SUSENAS24-LAPANGAN-SEMESTER1</v>
      </c>
      <c r="E184" s="10"/>
      <c r="F184" s="10">
        <f ca="1">IFERROR(__xludf.DUMMYFUNCTION("""COMPUTED_VALUE"""),1)</f>
        <v>1</v>
      </c>
      <c r="G184" s="10" t="str">
        <f ca="1">IFERROR(__xludf.DUMMYFUNCTION("""COMPUTED_VALUE"""),"Alip Susanto")</f>
        <v>Alip Susanto</v>
      </c>
      <c r="H184" s="10" t="str">
        <f ca="1">IFERROR(__xludf.DUMMYFUNCTION("""COMPUTED_VALUE"""),"PPL")</f>
        <v>PPL</v>
      </c>
      <c r="I184" s="10" t="str">
        <f ca="1">IFERROR(__xludf.DUMMYFUNCTION("""COMPUTED_VALUE"""),"6102172001980001")</f>
        <v>6102172001980001</v>
      </c>
      <c r="J184" s="10" t="str">
        <f ca="1">IFERROR(__xludf.DUMMYFUNCTION("""COMPUTED_VALUE"""),"PENDATAAN")</f>
        <v>PENDATAAN</v>
      </c>
      <c r="K184" s="10" t="str">
        <f ca="1">IFERROR(__xludf.DUMMYFUNCTION("""COMPUTED_VALUE"""),"SUSENAS24-LAPANGAN-SEMESTER1-PPL-PENDATAAN")</f>
        <v>SUSENAS24-LAPANGAN-SEMESTER1-PPL-PENDATAAN</v>
      </c>
      <c r="L184" s="10" t="str">
        <f ca="1">IFERROR(__xludf.DUMMYFUNCTION("""COMPUTED_VALUE"""),"Rumah Tangga")</f>
        <v>Rumah Tangga</v>
      </c>
      <c r="M184" s="66">
        <f ca="1">IFERROR(__xludf.DUMMYFUNCTION("""COMPUTED_VALUE"""),119000)</f>
        <v>119000</v>
      </c>
      <c r="N184" s="10">
        <f ca="1">IFERROR(__xludf.DUMMYFUNCTION("""COMPUTED_VALUE"""),20)</f>
        <v>20</v>
      </c>
      <c r="O184" s="10">
        <f ca="1">IFERROR(__xludf.DUMMYFUNCTION("""COMPUTED_VALUE"""),2380000)</f>
        <v>2380000</v>
      </c>
      <c r="P184" s="70"/>
      <c r="Q184" s="67">
        <f ca="1">IFERROR(__xludf.DUMMYFUNCTION("""COMPUTED_VALUE"""),45367)</f>
        <v>45367</v>
      </c>
    </row>
    <row r="185" spans="1:17" ht="12.5">
      <c r="A185" s="82">
        <f t="array" aca="1" ref="A185" ca="1">INDEX('Database Mitra'!$R$2:$R1001,MATCH(C185,'Database Mitra'!$B$2:$B1001,0))</f>
        <v>36711</v>
      </c>
      <c r="B185" s="10" t="e">
        <f t="shared" ca="1" si="0"/>
        <v>#NAME?</v>
      </c>
      <c r="C185" s="83">
        <f ca="1">IFERROR(__xludf.DUMMYFUNCTION("""COMPUTED_VALUE"""),610423030004)</f>
        <v>610423030004</v>
      </c>
      <c r="D185" s="10" t="str">
        <f ca="1">IFERROR(__xludf.DUMMYFUNCTION("""COMPUTED_VALUE"""),"SUSENAS24-LAPANGAN-SEMESTER1")</f>
        <v>SUSENAS24-LAPANGAN-SEMESTER1</v>
      </c>
      <c r="E185" s="10"/>
      <c r="F185" s="10">
        <f ca="1">IFERROR(__xludf.DUMMYFUNCTION("""COMPUTED_VALUE"""),1)</f>
        <v>1</v>
      </c>
      <c r="G185" s="10" t="str">
        <f ca="1">IFERROR(__xludf.DUMMYFUNCTION("""COMPUTED_VALUE"""),"Laras Nanda Julita")</f>
        <v>Laras Nanda Julita</v>
      </c>
      <c r="H185" s="10" t="str">
        <f ca="1">IFERROR(__xludf.DUMMYFUNCTION("""COMPUTED_VALUE"""),"PPL")</f>
        <v>PPL</v>
      </c>
      <c r="I185" s="10" t="str">
        <f ca="1">IFERROR(__xludf.DUMMYFUNCTION("""COMPUTED_VALUE"""),"6102074407000003")</f>
        <v>6102074407000003</v>
      </c>
      <c r="J185" s="10" t="str">
        <f ca="1">IFERROR(__xludf.DUMMYFUNCTION("""COMPUTED_VALUE"""),"PENDATAAN")</f>
        <v>PENDATAAN</v>
      </c>
      <c r="K185" s="10" t="str">
        <f ca="1">IFERROR(__xludf.DUMMYFUNCTION("""COMPUTED_VALUE"""),"SUSENAS24-LAPANGAN-SEMESTER1-PPL-PENDATAAN")</f>
        <v>SUSENAS24-LAPANGAN-SEMESTER1-PPL-PENDATAAN</v>
      </c>
      <c r="L185" s="10" t="str">
        <f ca="1">IFERROR(__xludf.DUMMYFUNCTION("""COMPUTED_VALUE"""),"Rumah Tangga")</f>
        <v>Rumah Tangga</v>
      </c>
      <c r="M185" s="66">
        <f ca="1">IFERROR(__xludf.DUMMYFUNCTION("""COMPUTED_VALUE"""),119000)</f>
        <v>119000</v>
      </c>
      <c r="N185" s="10">
        <f ca="1">IFERROR(__xludf.DUMMYFUNCTION("""COMPUTED_VALUE"""),20)</f>
        <v>20</v>
      </c>
      <c r="O185" s="10">
        <f ca="1">IFERROR(__xludf.DUMMYFUNCTION("""COMPUTED_VALUE"""),2380000)</f>
        <v>2380000</v>
      </c>
      <c r="P185" s="70"/>
      <c r="Q185" s="67">
        <f ca="1">IFERROR(__xludf.DUMMYFUNCTION("""COMPUTED_VALUE"""),45367)</f>
        <v>45367</v>
      </c>
    </row>
    <row r="186" spans="1:17" ht="12.5">
      <c r="A186" s="82">
        <f t="array" aca="1" ref="A186" ca="1">INDEX('Database Mitra'!$R$2:$R1001,MATCH(C186,'Database Mitra'!$B$2:$B1001,0))</f>
        <v>34191</v>
      </c>
      <c r="B186" s="10" t="e">
        <f t="shared" ca="1" si="0"/>
        <v>#NAME?</v>
      </c>
      <c r="C186" s="83">
        <f ca="1">IFERROR(__xludf.DUMMYFUNCTION("""COMPUTED_VALUE"""),610423040004)</f>
        <v>610423040004</v>
      </c>
      <c r="D186" s="10" t="str">
        <f ca="1">IFERROR(__xludf.DUMMYFUNCTION("""COMPUTED_VALUE"""),"SUSENAS24-LAPANGAN-SEMESTER1")</f>
        <v>SUSENAS24-LAPANGAN-SEMESTER1</v>
      </c>
      <c r="E186" s="10"/>
      <c r="F186" s="10">
        <f ca="1">IFERROR(__xludf.DUMMYFUNCTION("""COMPUTED_VALUE"""),1)</f>
        <v>1</v>
      </c>
      <c r="G186" s="10" t="str">
        <f ca="1">IFERROR(__xludf.DUMMYFUNCTION("""COMPUTED_VALUE"""),"Ayu Agustin")</f>
        <v>Ayu Agustin</v>
      </c>
      <c r="H186" s="10" t="str">
        <f ca="1">IFERROR(__xludf.DUMMYFUNCTION("""COMPUTED_VALUE"""),"PPL")</f>
        <v>PPL</v>
      </c>
      <c r="I186" s="10" t="str">
        <f ca="1">IFERROR(__xludf.DUMMYFUNCTION("""COMPUTED_VALUE"""),"6111025008930002")</f>
        <v>6111025008930002</v>
      </c>
      <c r="J186" s="10" t="str">
        <f ca="1">IFERROR(__xludf.DUMMYFUNCTION("""COMPUTED_VALUE"""),"PENDATAAN")</f>
        <v>PENDATAAN</v>
      </c>
      <c r="K186" s="10" t="str">
        <f ca="1">IFERROR(__xludf.DUMMYFUNCTION("""COMPUTED_VALUE"""),"SUSENAS24-LAPANGAN-SEMESTER1-PPL-PENDATAAN")</f>
        <v>SUSENAS24-LAPANGAN-SEMESTER1-PPL-PENDATAAN</v>
      </c>
      <c r="L186" s="10" t="str">
        <f ca="1">IFERROR(__xludf.DUMMYFUNCTION("""COMPUTED_VALUE"""),"Rumah Tangga")</f>
        <v>Rumah Tangga</v>
      </c>
      <c r="M186" s="66">
        <f ca="1">IFERROR(__xludf.DUMMYFUNCTION("""COMPUTED_VALUE"""),119000)</f>
        <v>119000</v>
      </c>
      <c r="N186" s="10">
        <f ca="1">IFERROR(__xludf.DUMMYFUNCTION("""COMPUTED_VALUE"""),10)</f>
        <v>10</v>
      </c>
      <c r="O186" s="10">
        <f ca="1">IFERROR(__xludf.DUMMYFUNCTION("""COMPUTED_VALUE"""),1190000)</f>
        <v>1190000</v>
      </c>
      <c r="P186" s="70"/>
      <c r="Q186" s="67">
        <f ca="1">IFERROR(__xludf.DUMMYFUNCTION("""COMPUTED_VALUE"""),45367)</f>
        <v>45367</v>
      </c>
    </row>
    <row r="187" spans="1:17" ht="12.5">
      <c r="A187" s="82">
        <f t="array" aca="1" ref="A187" ca="1">INDEX('Database Mitra'!$R$2:$R1001,MATCH(C187,'Database Mitra'!$B$2:$B1001,0))</f>
        <v>36663</v>
      </c>
      <c r="B187" s="10" t="e">
        <f t="shared" ca="1" si="0"/>
        <v>#NAME?</v>
      </c>
      <c r="C187" s="83">
        <f ca="1">IFERROR(__xludf.DUMMYFUNCTION("""COMPUTED_VALUE"""),610423040006)</f>
        <v>610423040006</v>
      </c>
      <c r="D187" s="10" t="str">
        <f ca="1">IFERROR(__xludf.DUMMYFUNCTION("""COMPUTED_VALUE"""),"SUSENAS24-LAPANGAN-SEMESTER1")</f>
        <v>SUSENAS24-LAPANGAN-SEMESTER1</v>
      </c>
      <c r="E187" s="10"/>
      <c r="F187" s="10">
        <f ca="1">IFERROR(__xludf.DUMMYFUNCTION("""COMPUTED_VALUE"""),1)</f>
        <v>1</v>
      </c>
      <c r="G187" s="10" t="str">
        <f ca="1">IFERROR(__xludf.DUMMYFUNCTION("""COMPUTED_VALUE"""),"Mitasya Fitri Nainggolan")</f>
        <v>Mitasya Fitri Nainggolan</v>
      </c>
      <c r="H187" s="10" t="str">
        <f ca="1">IFERROR(__xludf.DUMMYFUNCTION("""COMPUTED_VALUE"""),"PPL")</f>
        <v>PPL</v>
      </c>
      <c r="I187" s="10" t="str">
        <f ca="1">IFERROR(__xludf.DUMMYFUNCTION("""COMPUTED_VALUE"""),"6102185705000003")</f>
        <v>6102185705000003</v>
      </c>
      <c r="J187" s="10" t="str">
        <f ca="1">IFERROR(__xludf.DUMMYFUNCTION("""COMPUTED_VALUE"""),"PENDATAAN")</f>
        <v>PENDATAAN</v>
      </c>
      <c r="K187" s="10" t="str">
        <f ca="1">IFERROR(__xludf.DUMMYFUNCTION("""COMPUTED_VALUE"""),"SUSENAS24-LAPANGAN-SEMESTER1-PPL-PENDATAAN")</f>
        <v>SUSENAS24-LAPANGAN-SEMESTER1-PPL-PENDATAAN</v>
      </c>
      <c r="L187" s="10" t="str">
        <f ca="1">IFERROR(__xludf.DUMMYFUNCTION("""COMPUTED_VALUE"""),"Rumah Tangga")</f>
        <v>Rumah Tangga</v>
      </c>
      <c r="M187" s="66">
        <f ca="1">IFERROR(__xludf.DUMMYFUNCTION("""COMPUTED_VALUE"""),119000)</f>
        <v>119000</v>
      </c>
      <c r="N187" s="10">
        <f ca="1">IFERROR(__xludf.DUMMYFUNCTION("""COMPUTED_VALUE"""),20)</f>
        <v>20</v>
      </c>
      <c r="O187" s="10">
        <f ca="1">IFERROR(__xludf.DUMMYFUNCTION("""COMPUTED_VALUE"""),2380000)</f>
        <v>2380000</v>
      </c>
      <c r="P187" s="70"/>
      <c r="Q187" s="67">
        <f ca="1">IFERROR(__xludf.DUMMYFUNCTION("""COMPUTED_VALUE"""),45367)</f>
        <v>45367</v>
      </c>
    </row>
    <row r="188" spans="1:17" ht="12.5">
      <c r="A188" s="82">
        <f t="array" aca="1" ref="A188" ca="1">INDEX('Database Mitra'!$R$2:$R1001,MATCH(C188,'Database Mitra'!$B$2:$B1001,0))</f>
        <v>36546</v>
      </c>
      <c r="B188" s="10" t="e">
        <f t="shared" ca="1" si="0"/>
        <v>#NAME?</v>
      </c>
      <c r="C188" s="83">
        <f ca="1">IFERROR(__xludf.DUMMYFUNCTION("""COMPUTED_VALUE"""),610423040013)</f>
        <v>610423040013</v>
      </c>
      <c r="D188" s="10" t="str">
        <f ca="1">IFERROR(__xludf.DUMMYFUNCTION("""COMPUTED_VALUE"""),"SUSENAS24-LAPANGAN-SEMESTER1")</f>
        <v>SUSENAS24-LAPANGAN-SEMESTER1</v>
      </c>
      <c r="E188" s="10"/>
      <c r="F188" s="10">
        <f ca="1">IFERROR(__xludf.DUMMYFUNCTION("""COMPUTED_VALUE"""),1)</f>
        <v>1</v>
      </c>
      <c r="G188" s="10" t="str">
        <f ca="1">IFERROR(__xludf.DUMMYFUNCTION("""COMPUTED_VALUE"""),"Lulu Gesti Gunawati")</f>
        <v>Lulu Gesti Gunawati</v>
      </c>
      <c r="H188" s="10" t="str">
        <f ca="1">IFERROR(__xludf.DUMMYFUNCTION("""COMPUTED_VALUE"""),"PPL")</f>
        <v>PPL</v>
      </c>
      <c r="I188" s="10" t="str">
        <f ca="1">IFERROR(__xludf.DUMMYFUNCTION("""COMPUTED_VALUE"""),"3314066101000001")</f>
        <v>3314066101000001</v>
      </c>
      <c r="J188" s="10" t="str">
        <f ca="1">IFERROR(__xludf.DUMMYFUNCTION("""COMPUTED_VALUE"""),"PENDATAAN")</f>
        <v>PENDATAAN</v>
      </c>
      <c r="K188" s="10" t="str">
        <f ca="1">IFERROR(__xludf.DUMMYFUNCTION("""COMPUTED_VALUE"""),"SUSENAS24-LAPANGAN-SEMESTER1-PPL-PENDATAAN")</f>
        <v>SUSENAS24-LAPANGAN-SEMESTER1-PPL-PENDATAAN</v>
      </c>
      <c r="L188" s="10" t="str">
        <f ca="1">IFERROR(__xludf.DUMMYFUNCTION("""COMPUTED_VALUE"""),"Rumah Tangga")</f>
        <v>Rumah Tangga</v>
      </c>
      <c r="M188" s="66">
        <f ca="1">IFERROR(__xludf.DUMMYFUNCTION("""COMPUTED_VALUE"""),119000)</f>
        <v>119000</v>
      </c>
      <c r="N188" s="10">
        <f ca="1">IFERROR(__xludf.DUMMYFUNCTION("""COMPUTED_VALUE"""),10)</f>
        <v>10</v>
      </c>
      <c r="O188" s="10">
        <f ca="1">IFERROR(__xludf.DUMMYFUNCTION("""COMPUTED_VALUE"""),1190000)</f>
        <v>1190000</v>
      </c>
      <c r="P188" s="70"/>
      <c r="Q188" s="67">
        <f ca="1">IFERROR(__xludf.DUMMYFUNCTION("""COMPUTED_VALUE"""),45367)</f>
        <v>45367</v>
      </c>
    </row>
    <row r="189" spans="1:17" ht="12.5">
      <c r="A189" s="82">
        <f t="array" aca="1" ref="A189" ca="1">INDEX('Database Mitra'!$R$2:$R1001,MATCH(C189,'Database Mitra'!$B$2:$B1001,0))</f>
        <v>30991</v>
      </c>
      <c r="B189" s="10" t="e">
        <f t="shared" ca="1" si="0"/>
        <v>#NAME?</v>
      </c>
      <c r="C189" s="83">
        <f ca="1">IFERROR(__xludf.DUMMYFUNCTION("""COMPUTED_VALUE"""),610423090019)</f>
        <v>610423090019</v>
      </c>
      <c r="D189" s="10" t="str">
        <f ca="1">IFERROR(__xludf.DUMMYFUNCTION("""COMPUTED_VALUE"""),"SUSENAS24-LAPANGAN-SEMESTER1")</f>
        <v>SUSENAS24-LAPANGAN-SEMESTER1</v>
      </c>
      <c r="E189" s="10"/>
      <c r="F189" s="10">
        <f ca="1">IFERROR(__xludf.DUMMYFUNCTION("""COMPUTED_VALUE"""),1)</f>
        <v>1</v>
      </c>
      <c r="G189" s="10" t="str">
        <f ca="1">IFERROR(__xludf.DUMMYFUNCTION("""COMPUTED_VALUE"""),"Nurul Huda")</f>
        <v>Nurul Huda</v>
      </c>
      <c r="H189" s="10" t="str">
        <f ca="1">IFERROR(__xludf.DUMMYFUNCTION("""COMPUTED_VALUE"""),"PPL")</f>
        <v>PPL</v>
      </c>
      <c r="I189" s="10" t="str">
        <f ca="1">IFERROR(__xludf.DUMMYFUNCTION("""COMPUTED_VALUE"""),"6102014511840003")</f>
        <v>6102014511840003</v>
      </c>
      <c r="J189" s="10" t="str">
        <f ca="1">IFERROR(__xludf.DUMMYFUNCTION("""COMPUTED_VALUE"""),"PENDATAAN")</f>
        <v>PENDATAAN</v>
      </c>
      <c r="K189" s="10" t="str">
        <f ca="1">IFERROR(__xludf.DUMMYFUNCTION("""COMPUTED_VALUE"""),"SUSENAS24-LAPANGAN-SEMESTER1-PPL-PENDATAAN")</f>
        <v>SUSENAS24-LAPANGAN-SEMESTER1-PPL-PENDATAAN</v>
      </c>
      <c r="L189" s="10" t="str">
        <f ca="1">IFERROR(__xludf.DUMMYFUNCTION("""COMPUTED_VALUE"""),"Rumah Tangga")</f>
        <v>Rumah Tangga</v>
      </c>
      <c r="M189" s="66">
        <f ca="1">IFERROR(__xludf.DUMMYFUNCTION("""COMPUTED_VALUE"""),119000)</f>
        <v>119000</v>
      </c>
      <c r="N189" s="10">
        <f ca="1">IFERROR(__xludf.DUMMYFUNCTION("""COMPUTED_VALUE"""),20)</f>
        <v>20</v>
      </c>
      <c r="O189" s="10">
        <f ca="1">IFERROR(__xludf.DUMMYFUNCTION("""COMPUTED_VALUE"""),2380000)</f>
        <v>2380000</v>
      </c>
      <c r="P189" s="70"/>
      <c r="Q189" s="67">
        <f ca="1">IFERROR(__xludf.DUMMYFUNCTION("""COMPUTED_VALUE"""),45367)</f>
        <v>45367</v>
      </c>
    </row>
    <row r="190" spans="1:17" ht="12.5">
      <c r="A190" s="82">
        <f t="array" aca="1" ref="A190" ca="1">INDEX('Database Mitra'!$R$2:$R1001,MATCH(C190,'Database Mitra'!$B$2:$B1001,0))</f>
        <v>35862</v>
      </c>
      <c r="B190" s="10" t="e">
        <f t="shared" ca="1" si="0"/>
        <v>#NAME?</v>
      </c>
      <c r="C190" s="83">
        <f ca="1">IFERROR(__xludf.DUMMYFUNCTION("""COMPUTED_VALUE"""),610422100165)</f>
        <v>610422100165</v>
      </c>
      <c r="D190" s="10" t="str">
        <f ca="1">IFERROR(__xludf.DUMMYFUNCTION("""COMPUTED_VALUE"""),"SUSENAS24-LAPANGAN-SEMESTER1")</f>
        <v>SUSENAS24-LAPANGAN-SEMESTER1</v>
      </c>
      <c r="E190" s="10"/>
      <c r="F190" s="10">
        <f ca="1">IFERROR(__xludf.DUMMYFUNCTION("""COMPUTED_VALUE"""),1)</f>
        <v>1</v>
      </c>
      <c r="G190" s="10" t="str">
        <f ca="1">IFERROR(__xludf.DUMMYFUNCTION("""COMPUTED_VALUE"""),"Yanti")</f>
        <v>Yanti</v>
      </c>
      <c r="H190" s="10" t="str">
        <f ca="1">IFERROR(__xludf.DUMMYFUNCTION("""COMPUTED_VALUE"""),"PPL")</f>
        <v>PPL</v>
      </c>
      <c r="I190" s="10" t="str">
        <f ca="1">IFERROR(__xludf.DUMMYFUNCTION("""COMPUTED_VALUE"""),"6102074803980002")</f>
        <v>6102074803980002</v>
      </c>
      <c r="J190" s="10" t="str">
        <f ca="1">IFERROR(__xludf.DUMMYFUNCTION("""COMPUTED_VALUE"""),"PENDATAAN")</f>
        <v>PENDATAAN</v>
      </c>
      <c r="K190" s="10" t="str">
        <f ca="1">IFERROR(__xludf.DUMMYFUNCTION("""COMPUTED_VALUE"""),"SUSENAS24-LAPANGAN-SEMESTER1-PPL-PENDATAAN")</f>
        <v>SUSENAS24-LAPANGAN-SEMESTER1-PPL-PENDATAAN</v>
      </c>
      <c r="L190" s="10" t="str">
        <f ca="1">IFERROR(__xludf.DUMMYFUNCTION("""COMPUTED_VALUE"""),"Rumah Tangga")</f>
        <v>Rumah Tangga</v>
      </c>
      <c r="M190" s="66">
        <f ca="1">IFERROR(__xludf.DUMMYFUNCTION("""COMPUTED_VALUE"""),119000)</f>
        <v>119000</v>
      </c>
      <c r="N190" s="10">
        <f ca="1">IFERROR(__xludf.DUMMYFUNCTION("""COMPUTED_VALUE"""),20)</f>
        <v>20</v>
      </c>
      <c r="O190" s="10">
        <f ca="1">IFERROR(__xludf.DUMMYFUNCTION("""COMPUTED_VALUE"""),2380000)</f>
        <v>2380000</v>
      </c>
      <c r="P190" s="70"/>
      <c r="Q190" s="67">
        <f ca="1">IFERROR(__xludf.DUMMYFUNCTION("""COMPUTED_VALUE"""),45367)</f>
        <v>45367</v>
      </c>
    </row>
    <row r="191" spans="1:17" ht="12.5">
      <c r="A191" s="11">
        <f t="array" aca="1" ref="A191" ca="1">INDEX('Database Mitra'!$R$2:$R1001,MATCH(C191,'Database Mitra'!$B$2:$B1001,0))</f>
        <v>36522</v>
      </c>
      <c r="B191" s="10" t="e">
        <f t="shared" ca="1" si="0"/>
        <v>#NAME?</v>
      </c>
      <c r="C191" s="83">
        <f ca="1">IFERROR(__xludf.DUMMYFUNCTION("""COMPUTED_VALUE"""),610422100139)</f>
        <v>610422100139</v>
      </c>
      <c r="D191" s="10" t="str">
        <f ca="1">IFERROR(__xludf.DUMMYFUNCTION("""COMPUTED_VALUE"""),"SUSENAS24-LAPANGAN-SEMESTER1")</f>
        <v>SUSENAS24-LAPANGAN-SEMESTER1</v>
      </c>
      <c r="E191" s="10"/>
      <c r="F191" s="10">
        <f ca="1">IFERROR(__xludf.DUMMYFUNCTION("""COMPUTED_VALUE"""),1)</f>
        <v>1</v>
      </c>
      <c r="G191" s="10" t="str">
        <f ca="1">IFERROR(__xludf.DUMMYFUNCTION("""COMPUTED_VALUE"""),"Winda Dwi Ananda")</f>
        <v>Winda Dwi Ananda</v>
      </c>
      <c r="H191" s="10" t="str">
        <f ca="1">IFERROR(__xludf.DUMMYFUNCTION("""COMPUTED_VALUE"""),"PPL")</f>
        <v>PPL</v>
      </c>
      <c r="I191" s="10" t="str">
        <f ca="1">IFERROR(__xludf.DUMMYFUNCTION("""COMPUTED_VALUE"""),"6102016812990001")</f>
        <v>6102016812990001</v>
      </c>
      <c r="J191" s="10" t="str">
        <f ca="1">IFERROR(__xludf.DUMMYFUNCTION("""COMPUTED_VALUE"""),"PENDATAAN")</f>
        <v>PENDATAAN</v>
      </c>
      <c r="K191" s="10" t="str">
        <f ca="1">IFERROR(__xludf.DUMMYFUNCTION("""COMPUTED_VALUE"""),"SUSENAS24-LAPANGAN-SEMESTER1-PPL-PENDATAAN")</f>
        <v>SUSENAS24-LAPANGAN-SEMESTER1-PPL-PENDATAAN</v>
      </c>
      <c r="L191" s="10" t="str">
        <f ca="1">IFERROR(__xludf.DUMMYFUNCTION("""COMPUTED_VALUE"""),"Rumah Tangga")</f>
        <v>Rumah Tangga</v>
      </c>
      <c r="M191" s="66">
        <f ca="1">IFERROR(__xludf.DUMMYFUNCTION("""COMPUTED_VALUE"""),119000)</f>
        <v>119000</v>
      </c>
      <c r="N191" s="10">
        <f ca="1">IFERROR(__xludf.DUMMYFUNCTION("""COMPUTED_VALUE"""),10)</f>
        <v>10</v>
      </c>
      <c r="O191" s="10">
        <f ca="1">IFERROR(__xludf.DUMMYFUNCTION("""COMPUTED_VALUE"""),1190000)</f>
        <v>1190000</v>
      </c>
      <c r="P191" s="70"/>
      <c r="Q191" s="67">
        <f ca="1">IFERROR(__xludf.DUMMYFUNCTION("""COMPUTED_VALUE"""),45367)</f>
        <v>45367</v>
      </c>
    </row>
    <row r="192" spans="1:17" ht="12.5">
      <c r="A192" s="82">
        <f t="array" aca="1" ref="A192" ca="1">INDEX('Database Mitra'!$R$2:$R1001,MATCH(C192,'Database Mitra'!$B$2:$B1001,0))</f>
        <v>32027</v>
      </c>
      <c r="B192" s="10" t="e">
        <f t="shared" ca="1" si="0"/>
        <v>#NAME?</v>
      </c>
      <c r="C192" s="83">
        <f ca="1">IFERROR(__xludf.DUMMYFUNCTION("""COMPUTED_VALUE"""),610422100137)</f>
        <v>610422100137</v>
      </c>
      <c r="D192" s="10" t="str">
        <f ca="1">IFERROR(__xludf.DUMMYFUNCTION("""COMPUTED_VALUE"""),"SUSENAS24-LAPANGAN-SEMESTER1")</f>
        <v>SUSENAS24-LAPANGAN-SEMESTER1</v>
      </c>
      <c r="E192" s="10"/>
      <c r="F192" s="10">
        <f ca="1">IFERROR(__xludf.DUMMYFUNCTION("""COMPUTED_VALUE"""),1)</f>
        <v>1</v>
      </c>
      <c r="G192" s="10" t="str">
        <f ca="1">IFERROR(__xludf.DUMMYFUNCTION("""COMPUTED_VALUE"""),"Masturi")</f>
        <v>Masturi</v>
      </c>
      <c r="H192" s="10" t="str">
        <f ca="1">IFERROR(__xludf.DUMMYFUNCTION("""COMPUTED_VALUE"""),"PPL")</f>
        <v>PPL</v>
      </c>
      <c r="I192" s="10" t="str">
        <f ca="1">IFERROR(__xludf.DUMMYFUNCTION("""COMPUTED_VALUE"""),"6102060709870002")</f>
        <v>6102060709870002</v>
      </c>
      <c r="J192" s="10" t="str">
        <f ca="1">IFERROR(__xludf.DUMMYFUNCTION("""COMPUTED_VALUE"""),"PENDATAAN")</f>
        <v>PENDATAAN</v>
      </c>
      <c r="K192" s="10" t="str">
        <f ca="1">IFERROR(__xludf.DUMMYFUNCTION("""COMPUTED_VALUE"""),"SUSENAS24-LAPANGAN-SEMESTER1-PPL-PENDATAAN")</f>
        <v>SUSENAS24-LAPANGAN-SEMESTER1-PPL-PENDATAAN</v>
      </c>
      <c r="L192" s="10" t="str">
        <f ca="1">IFERROR(__xludf.DUMMYFUNCTION("""COMPUTED_VALUE"""),"Rumah Tangga")</f>
        <v>Rumah Tangga</v>
      </c>
      <c r="M192" s="66">
        <f ca="1">IFERROR(__xludf.DUMMYFUNCTION("""COMPUTED_VALUE"""),119000)</f>
        <v>119000</v>
      </c>
      <c r="N192" s="10">
        <f ca="1">IFERROR(__xludf.DUMMYFUNCTION("""COMPUTED_VALUE"""),10)</f>
        <v>10</v>
      </c>
      <c r="O192" s="10">
        <f ca="1">IFERROR(__xludf.DUMMYFUNCTION("""COMPUTED_VALUE"""),1190000)</f>
        <v>1190000</v>
      </c>
      <c r="P192" s="70"/>
      <c r="Q192" s="67">
        <f ca="1">IFERROR(__xludf.DUMMYFUNCTION("""COMPUTED_VALUE"""),45367)</f>
        <v>45367</v>
      </c>
    </row>
    <row r="193" spans="1:17" ht="12.5">
      <c r="A193" s="82">
        <f t="array" aca="1" ref="A193" ca="1">INDEX('Database Mitra'!$R$2:$R1001,MATCH(C193,'Database Mitra'!$B$2:$B1001,0))</f>
        <v>36460</v>
      </c>
      <c r="B193" s="10" t="e">
        <f t="shared" ca="1" si="0"/>
        <v>#NAME?</v>
      </c>
      <c r="C193" s="83">
        <f ca="1">IFERROR(__xludf.DUMMYFUNCTION("""COMPUTED_VALUE"""),610422100144)</f>
        <v>610422100144</v>
      </c>
      <c r="D193" s="10" t="str">
        <f ca="1">IFERROR(__xludf.DUMMYFUNCTION("""COMPUTED_VALUE"""),"SUSENAS24-LAPANGAN-SEMESTER1")</f>
        <v>SUSENAS24-LAPANGAN-SEMESTER1</v>
      </c>
      <c r="E193" s="10"/>
      <c r="F193" s="10">
        <f ca="1">IFERROR(__xludf.DUMMYFUNCTION("""COMPUTED_VALUE"""),1)</f>
        <v>1</v>
      </c>
      <c r="G193" s="10" t="str">
        <f ca="1">IFERROR(__xludf.DUMMYFUNCTION("""COMPUTED_VALUE"""),"Irfan Faozi Sunaryo")</f>
        <v>Irfan Faozi Sunaryo</v>
      </c>
      <c r="H193" s="10" t="str">
        <f ca="1">IFERROR(__xludf.DUMMYFUNCTION("""COMPUTED_VALUE"""),"PPL")</f>
        <v>PPL</v>
      </c>
      <c r="I193" s="10" t="str">
        <f ca="1">IFERROR(__xludf.DUMMYFUNCTION("""COMPUTED_VALUE"""),"6102122710990001")</f>
        <v>6102122710990001</v>
      </c>
      <c r="J193" s="10" t="str">
        <f ca="1">IFERROR(__xludf.DUMMYFUNCTION("""COMPUTED_VALUE"""),"PENDATAAN")</f>
        <v>PENDATAAN</v>
      </c>
      <c r="K193" s="10" t="str">
        <f ca="1">IFERROR(__xludf.DUMMYFUNCTION("""COMPUTED_VALUE"""),"SUSENAS24-LAPANGAN-SEMESTER1-PPL-PENDATAAN")</f>
        <v>SUSENAS24-LAPANGAN-SEMESTER1-PPL-PENDATAAN</v>
      </c>
      <c r="L193" s="10" t="str">
        <f ca="1">IFERROR(__xludf.DUMMYFUNCTION("""COMPUTED_VALUE"""),"Rumah Tangga")</f>
        <v>Rumah Tangga</v>
      </c>
      <c r="M193" s="66">
        <f ca="1">IFERROR(__xludf.DUMMYFUNCTION("""COMPUTED_VALUE"""),119000)</f>
        <v>119000</v>
      </c>
      <c r="N193" s="10">
        <f ca="1">IFERROR(__xludf.DUMMYFUNCTION("""COMPUTED_VALUE"""),10)</f>
        <v>10</v>
      </c>
      <c r="O193" s="10">
        <f ca="1">IFERROR(__xludf.DUMMYFUNCTION("""COMPUTED_VALUE"""),1190000)</f>
        <v>1190000</v>
      </c>
      <c r="P193" s="70"/>
      <c r="Q193" s="67">
        <f ca="1">IFERROR(__xludf.DUMMYFUNCTION("""COMPUTED_VALUE"""),45367)</f>
        <v>45367</v>
      </c>
    </row>
    <row r="194" spans="1:17" ht="12.5">
      <c r="A194" s="82">
        <f t="array" aca="1" ref="A194" ca="1">INDEX('Database Mitra'!$R$2:$R1001,MATCH(C194,'Database Mitra'!$B$2:$B1001,0))</f>
        <v>37002</v>
      </c>
      <c r="B194" s="10" t="e">
        <f t="shared" ca="1" si="0"/>
        <v>#NAME?</v>
      </c>
      <c r="C194" s="83">
        <f ca="1">IFERROR(__xludf.DUMMYFUNCTION("""COMPUTED_VALUE"""),610422100236)</f>
        <v>610422100236</v>
      </c>
      <c r="D194" s="10" t="str">
        <f ca="1">IFERROR(__xludf.DUMMYFUNCTION("""COMPUTED_VALUE"""),"SUSENAS24-LAPANGAN-SEMESTER1")</f>
        <v>SUSENAS24-LAPANGAN-SEMESTER1</v>
      </c>
      <c r="E194" s="10"/>
      <c r="F194" s="10">
        <f ca="1">IFERROR(__xludf.DUMMYFUNCTION("""COMPUTED_VALUE"""),1)</f>
        <v>1</v>
      </c>
      <c r="G194" s="10" t="str">
        <f ca="1">IFERROR(__xludf.DUMMYFUNCTION("""COMPUTED_VALUE"""),"Tesa")</f>
        <v>Tesa</v>
      </c>
      <c r="H194" s="10" t="str">
        <f ca="1">IFERROR(__xludf.DUMMYFUNCTION("""COMPUTED_VALUE"""),"PPL")</f>
        <v>PPL</v>
      </c>
      <c r="I194" s="10" t="str">
        <f ca="1">IFERROR(__xludf.DUMMYFUNCTION("""COMPUTED_VALUE"""),"6102174604010003")</f>
        <v>6102174604010003</v>
      </c>
      <c r="J194" s="10" t="str">
        <f ca="1">IFERROR(__xludf.DUMMYFUNCTION("""COMPUTED_VALUE"""),"PENDATAAN")</f>
        <v>PENDATAAN</v>
      </c>
      <c r="K194" s="10" t="str">
        <f ca="1">IFERROR(__xludf.DUMMYFUNCTION("""COMPUTED_VALUE"""),"SUSENAS24-LAPANGAN-SEMESTER1-PPL-PENDATAAN")</f>
        <v>SUSENAS24-LAPANGAN-SEMESTER1-PPL-PENDATAAN</v>
      </c>
      <c r="L194" s="10" t="str">
        <f ca="1">IFERROR(__xludf.DUMMYFUNCTION("""COMPUTED_VALUE"""),"Rumah Tangga")</f>
        <v>Rumah Tangga</v>
      </c>
      <c r="M194" s="66">
        <f ca="1">IFERROR(__xludf.DUMMYFUNCTION("""COMPUTED_VALUE"""),119000)</f>
        <v>119000</v>
      </c>
      <c r="N194" s="10">
        <f ca="1">IFERROR(__xludf.DUMMYFUNCTION("""COMPUTED_VALUE"""),20)</f>
        <v>20</v>
      </c>
      <c r="O194" s="10">
        <f ca="1">IFERROR(__xludf.DUMMYFUNCTION("""COMPUTED_VALUE"""),2380000)</f>
        <v>2380000</v>
      </c>
      <c r="P194" s="70"/>
      <c r="Q194" s="67">
        <f ca="1">IFERROR(__xludf.DUMMYFUNCTION("""COMPUTED_VALUE"""),45367)</f>
        <v>45367</v>
      </c>
    </row>
    <row r="195" spans="1:17" ht="12.5">
      <c r="A195" s="82">
        <f t="array" aca="1" ref="A195" ca="1">INDEX('Database Mitra'!$R$2:$R1001,MATCH(C195,'Database Mitra'!$B$2:$B1001,0))</f>
        <v>37531</v>
      </c>
      <c r="B195" s="10" t="e">
        <f t="shared" ca="1" si="0"/>
        <v>#NAME?</v>
      </c>
      <c r="C195" s="83">
        <f ca="1">IFERROR(__xludf.DUMMYFUNCTION("""COMPUTED_VALUE"""),610422100016)</f>
        <v>610422100016</v>
      </c>
      <c r="D195" s="10" t="str">
        <f ca="1">IFERROR(__xludf.DUMMYFUNCTION("""COMPUTED_VALUE"""),"SUSENAS24-LAPANGAN-SEMESTER1")</f>
        <v>SUSENAS24-LAPANGAN-SEMESTER1</v>
      </c>
      <c r="E195" s="10"/>
      <c r="F195" s="10">
        <f ca="1">IFERROR(__xludf.DUMMYFUNCTION("""COMPUTED_VALUE"""),1)</f>
        <v>1</v>
      </c>
      <c r="G195" s="10" t="str">
        <f ca="1">IFERROR(__xludf.DUMMYFUNCTION("""COMPUTED_VALUE"""),"Amalia Faisya")</f>
        <v>Amalia Faisya</v>
      </c>
      <c r="H195" s="10" t="str">
        <f ca="1">IFERROR(__xludf.DUMMYFUNCTION("""COMPUTED_VALUE"""),"PPL")</f>
        <v>PPL</v>
      </c>
      <c r="I195" s="10" t="str">
        <f ca="1">IFERROR(__xludf.DUMMYFUNCTION("""COMPUTED_VALUE"""),"6102124210010005")</f>
        <v>6102124210010005</v>
      </c>
      <c r="J195" s="10" t="str">
        <f ca="1">IFERROR(__xludf.DUMMYFUNCTION("""COMPUTED_VALUE"""),"PENDATAAN")</f>
        <v>PENDATAAN</v>
      </c>
      <c r="K195" s="10" t="str">
        <f ca="1">IFERROR(__xludf.DUMMYFUNCTION("""COMPUTED_VALUE"""),"SUSENAS24-LAPANGAN-SEMESTER1-PPL-PENDATAAN")</f>
        <v>SUSENAS24-LAPANGAN-SEMESTER1-PPL-PENDATAAN</v>
      </c>
      <c r="L195" s="10" t="str">
        <f ca="1">IFERROR(__xludf.DUMMYFUNCTION("""COMPUTED_VALUE"""),"Rumah Tangga")</f>
        <v>Rumah Tangga</v>
      </c>
      <c r="M195" s="66">
        <f ca="1">IFERROR(__xludf.DUMMYFUNCTION("""COMPUTED_VALUE"""),119000)</f>
        <v>119000</v>
      </c>
      <c r="N195" s="10">
        <f ca="1">IFERROR(__xludf.DUMMYFUNCTION("""COMPUTED_VALUE"""),20)</f>
        <v>20</v>
      </c>
      <c r="O195" s="10">
        <f ca="1">IFERROR(__xludf.DUMMYFUNCTION("""COMPUTED_VALUE"""),2380000)</f>
        <v>2380000</v>
      </c>
      <c r="P195" s="70"/>
      <c r="Q195" s="67">
        <f ca="1">IFERROR(__xludf.DUMMYFUNCTION("""COMPUTED_VALUE"""),45367)</f>
        <v>45367</v>
      </c>
    </row>
    <row r="196" spans="1:17" ht="12.5">
      <c r="A196" s="82">
        <f t="array" aca="1" ref="A196" ca="1">INDEX('Database Mitra'!$R$2:$R1001,MATCH(C196,'Database Mitra'!$B$2:$B1001,0))</f>
        <v>32158</v>
      </c>
      <c r="B196" s="10" t="e">
        <f t="shared" ca="1" si="0"/>
        <v>#NAME?</v>
      </c>
      <c r="C196" s="83">
        <f ca="1">IFERROR(__xludf.DUMMYFUNCTION("""COMPUTED_VALUE"""),610422100101)</f>
        <v>610422100101</v>
      </c>
      <c r="D196" s="10" t="str">
        <f ca="1">IFERROR(__xludf.DUMMYFUNCTION("""COMPUTED_VALUE"""),"SUSENAS24-LAPANGAN-SEMESTER1")</f>
        <v>SUSENAS24-LAPANGAN-SEMESTER1</v>
      </c>
      <c r="E196" s="10"/>
      <c r="F196" s="10">
        <f ca="1">IFERROR(__xludf.DUMMYFUNCTION("""COMPUTED_VALUE"""),1)</f>
        <v>1</v>
      </c>
      <c r="G196" s="10" t="str">
        <f ca="1">IFERROR(__xludf.DUMMYFUNCTION("""COMPUTED_VALUE"""),"Sukmawati,S.Si")</f>
        <v>Sukmawati,S.Si</v>
      </c>
      <c r="H196" s="10" t="str">
        <f ca="1">IFERROR(__xludf.DUMMYFUNCTION("""COMPUTED_VALUE"""),"PPL")</f>
        <v>PPL</v>
      </c>
      <c r="I196" s="10" t="str">
        <f ca="1">IFERROR(__xludf.DUMMYFUNCTION("""COMPUTED_VALUE"""),"3402135601880001")</f>
        <v>3402135601880001</v>
      </c>
      <c r="J196" s="10" t="str">
        <f ca="1">IFERROR(__xludf.DUMMYFUNCTION("""COMPUTED_VALUE"""),"PENDATAAN")</f>
        <v>PENDATAAN</v>
      </c>
      <c r="K196" s="10" t="str">
        <f ca="1">IFERROR(__xludf.DUMMYFUNCTION("""COMPUTED_VALUE"""),"SUSENAS24-LAPANGAN-SEMESTER1-PPL-PENDATAAN")</f>
        <v>SUSENAS24-LAPANGAN-SEMESTER1-PPL-PENDATAAN</v>
      </c>
      <c r="L196" s="10" t="str">
        <f ca="1">IFERROR(__xludf.DUMMYFUNCTION("""COMPUTED_VALUE"""),"Rumah Tangga")</f>
        <v>Rumah Tangga</v>
      </c>
      <c r="M196" s="66">
        <f ca="1">IFERROR(__xludf.DUMMYFUNCTION("""COMPUTED_VALUE"""),119000)</f>
        <v>119000</v>
      </c>
      <c r="N196" s="10">
        <f ca="1">IFERROR(__xludf.DUMMYFUNCTION("""COMPUTED_VALUE"""),20)</f>
        <v>20</v>
      </c>
      <c r="O196" s="10">
        <f ca="1">IFERROR(__xludf.DUMMYFUNCTION("""COMPUTED_VALUE"""),2380000)</f>
        <v>2380000</v>
      </c>
      <c r="P196" s="70"/>
      <c r="Q196" s="67">
        <f ca="1">IFERROR(__xludf.DUMMYFUNCTION("""COMPUTED_VALUE"""),45367)</f>
        <v>45367</v>
      </c>
    </row>
    <row r="197" spans="1:17" ht="12.5">
      <c r="A197" s="11">
        <f t="array" aca="1" ref="A197" ca="1">INDEX('Database Mitra'!$R$2:$R1001,MATCH(C197,'Database Mitra'!$B$2:$B1001,0))</f>
        <v>34637</v>
      </c>
      <c r="B197" s="10" t="e">
        <f t="shared" ca="1" si="0"/>
        <v>#NAME?</v>
      </c>
      <c r="C197" s="83">
        <f ca="1">IFERROR(__xludf.DUMMYFUNCTION("""COMPUTED_VALUE"""),610422100147)</f>
        <v>610422100147</v>
      </c>
      <c r="D197" s="10" t="str">
        <f ca="1">IFERROR(__xludf.DUMMYFUNCTION("""COMPUTED_VALUE"""),"SUSENAS24-LAPANGAN-SEMESTER1")</f>
        <v>SUSENAS24-LAPANGAN-SEMESTER1</v>
      </c>
      <c r="E197" s="10"/>
      <c r="F197" s="10">
        <f ca="1">IFERROR(__xludf.DUMMYFUNCTION("""COMPUTED_VALUE"""),1)</f>
        <v>1</v>
      </c>
      <c r="G197" s="10" t="str">
        <f ca="1">IFERROR(__xludf.DUMMYFUNCTION("""COMPUTED_VALUE"""),"Bella")</f>
        <v>Bella</v>
      </c>
      <c r="H197" s="10" t="str">
        <f ca="1">IFERROR(__xludf.DUMMYFUNCTION("""COMPUTED_VALUE"""),"PPL")</f>
        <v>PPL</v>
      </c>
      <c r="I197" s="10" t="str">
        <f ca="1">IFERROR(__xludf.DUMMYFUNCTION("""COMPUTED_VALUE"""),"6102067009940001")</f>
        <v>6102067009940001</v>
      </c>
      <c r="J197" s="10" t="str">
        <f ca="1">IFERROR(__xludf.DUMMYFUNCTION("""COMPUTED_VALUE"""),"PENDATAAN")</f>
        <v>PENDATAAN</v>
      </c>
      <c r="K197" s="10" t="str">
        <f ca="1">IFERROR(__xludf.DUMMYFUNCTION("""COMPUTED_VALUE"""),"SUSENAS24-LAPANGAN-SEMESTER1-PPL-PENDATAAN")</f>
        <v>SUSENAS24-LAPANGAN-SEMESTER1-PPL-PENDATAAN</v>
      </c>
      <c r="L197" s="10" t="str">
        <f ca="1">IFERROR(__xludf.DUMMYFUNCTION("""COMPUTED_VALUE"""),"Rumah Tangga")</f>
        <v>Rumah Tangga</v>
      </c>
      <c r="M197" s="66">
        <f ca="1">IFERROR(__xludf.DUMMYFUNCTION("""COMPUTED_VALUE"""),119000)</f>
        <v>119000</v>
      </c>
      <c r="N197" s="10">
        <f ca="1">IFERROR(__xludf.DUMMYFUNCTION("""COMPUTED_VALUE"""),20)</f>
        <v>20</v>
      </c>
      <c r="O197" s="10">
        <f ca="1">IFERROR(__xludf.DUMMYFUNCTION("""COMPUTED_VALUE"""),2380000)</f>
        <v>2380000</v>
      </c>
      <c r="P197" s="70"/>
      <c r="Q197" s="67">
        <f ca="1">IFERROR(__xludf.DUMMYFUNCTION("""COMPUTED_VALUE"""),45367)</f>
        <v>45367</v>
      </c>
    </row>
    <row r="198" spans="1:17" ht="12.5">
      <c r="A198" s="82">
        <f t="array" aca="1" ref="A198" ca="1">INDEX('Database Mitra'!$R$2:$R1001,MATCH(C198,'Database Mitra'!$B$2:$B1001,0))</f>
        <v>31775</v>
      </c>
      <c r="B198" s="10" t="e">
        <f t="shared" ca="1" si="0"/>
        <v>#NAME?</v>
      </c>
      <c r="C198" s="83">
        <f ca="1">IFERROR(__xludf.DUMMYFUNCTION("""COMPUTED_VALUE"""),610422050008)</f>
        <v>610422050008</v>
      </c>
      <c r="D198" s="10" t="str">
        <f ca="1">IFERROR(__xludf.DUMMYFUNCTION("""COMPUTED_VALUE"""),"SUSENAS24-LAPANGAN-SEMESTER1")</f>
        <v>SUSENAS24-LAPANGAN-SEMESTER1</v>
      </c>
      <c r="E198" s="10"/>
      <c r="F198" s="10">
        <f ca="1">IFERROR(__xludf.DUMMYFUNCTION("""COMPUTED_VALUE"""),1)</f>
        <v>1</v>
      </c>
      <c r="G198" s="10" t="str">
        <f ca="1">IFERROR(__xludf.DUMMYFUNCTION("""COMPUTED_VALUE"""),"Desi Natalia")</f>
        <v>Desi Natalia</v>
      </c>
      <c r="H198" s="10" t="str">
        <f ca="1">IFERROR(__xludf.DUMMYFUNCTION("""COMPUTED_VALUE"""),"PPL")</f>
        <v>PPL</v>
      </c>
      <c r="I198" s="10" t="str">
        <f ca="1">IFERROR(__xludf.DUMMYFUNCTION("""COMPUTED_VALUE"""),"6102066912860001")</f>
        <v>6102066912860001</v>
      </c>
      <c r="J198" s="10" t="str">
        <f ca="1">IFERROR(__xludf.DUMMYFUNCTION("""COMPUTED_VALUE"""),"PENDATAAN")</f>
        <v>PENDATAAN</v>
      </c>
      <c r="K198" s="10" t="str">
        <f ca="1">IFERROR(__xludf.DUMMYFUNCTION("""COMPUTED_VALUE"""),"SUSENAS24-LAPANGAN-SEMESTER1-PPL-PENDATAAN")</f>
        <v>SUSENAS24-LAPANGAN-SEMESTER1-PPL-PENDATAAN</v>
      </c>
      <c r="L198" s="10" t="str">
        <f ca="1">IFERROR(__xludf.DUMMYFUNCTION("""COMPUTED_VALUE"""),"Rumah Tangga")</f>
        <v>Rumah Tangga</v>
      </c>
      <c r="M198" s="66">
        <f ca="1">IFERROR(__xludf.DUMMYFUNCTION("""COMPUTED_VALUE"""),119000)</f>
        <v>119000</v>
      </c>
      <c r="N198" s="10">
        <f ca="1">IFERROR(__xludf.DUMMYFUNCTION("""COMPUTED_VALUE"""),20)</f>
        <v>20</v>
      </c>
      <c r="O198" s="10">
        <f ca="1">IFERROR(__xludf.DUMMYFUNCTION("""COMPUTED_VALUE"""),2380000)</f>
        <v>2380000</v>
      </c>
      <c r="P198" s="70"/>
      <c r="Q198" s="67">
        <f ca="1">IFERROR(__xludf.DUMMYFUNCTION("""COMPUTED_VALUE"""),45367)</f>
        <v>45367</v>
      </c>
    </row>
    <row r="199" spans="1:17" ht="12.5">
      <c r="A199" s="82">
        <f t="array" aca="1" ref="A199" ca="1">INDEX('Database Mitra'!$R$2:$R1001,MATCH(C199,'Database Mitra'!$B$2:$B1001,0))</f>
        <v>31275</v>
      </c>
      <c r="B199" s="10" t="e">
        <f t="shared" ca="1" si="0"/>
        <v>#NAME?</v>
      </c>
      <c r="C199" s="83">
        <f ca="1">IFERROR(__xludf.DUMMYFUNCTION("""COMPUTED_VALUE"""),610422100085)</f>
        <v>610422100085</v>
      </c>
      <c r="D199" s="10" t="str">
        <f ca="1">IFERROR(__xludf.DUMMYFUNCTION("""COMPUTED_VALUE"""),"SUSENAS24-LAPANGAN-SEMESTER1")</f>
        <v>SUSENAS24-LAPANGAN-SEMESTER1</v>
      </c>
      <c r="E199" s="10"/>
      <c r="F199" s="10">
        <f ca="1">IFERROR(__xludf.DUMMYFUNCTION("""COMPUTED_VALUE"""),1)</f>
        <v>1</v>
      </c>
      <c r="G199" s="10" t="str">
        <f ca="1">IFERROR(__xludf.DUMMYFUNCTION("""COMPUTED_VALUE"""),"Lina Agustin Widya Siwi")</f>
        <v>Lina Agustin Widya Siwi</v>
      </c>
      <c r="H199" s="10" t="str">
        <f ca="1">IFERROR(__xludf.DUMMYFUNCTION("""COMPUTED_VALUE"""),"PPL")</f>
        <v>PPL</v>
      </c>
      <c r="I199" s="10" t="str">
        <f ca="1">IFERROR(__xludf.DUMMYFUNCTION("""COMPUTED_VALUE"""),"3301225608850001")</f>
        <v>3301225608850001</v>
      </c>
      <c r="J199" s="10" t="str">
        <f ca="1">IFERROR(__xludf.DUMMYFUNCTION("""COMPUTED_VALUE"""),"PENDATAAN")</f>
        <v>PENDATAAN</v>
      </c>
      <c r="K199" s="10" t="str">
        <f ca="1">IFERROR(__xludf.DUMMYFUNCTION("""COMPUTED_VALUE"""),"SUSENAS24-LAPANGAN-SEMESTER1-PPL-PENDATAAN")</f>
        <v>SUSENAS24-LAPANGAN-SEMESTER1-PPL-PENDATAAN</v>
      </c>
      <c r="L199" s="10" t="str">
        <f ca="1">IFERROR(__xludf.DUMMYFUNCTION("""COMPUTED_VALUE"""),"Rumah Tangga")</f>
        <v>Rumah Tangga</v>
      </c>
      <c r="M199" s="66">
        <f ca="1">IFERROR(__xludf.DUMMYFUNCTION("""COMPUTED_VALUE"""),119000)</f>
        <v>119000</v>
      </c>
      <c r="N199" s="10">
        <f ca="1">IFERROR(__xludf.DUMMYFUNCTION("""COMPUTED_VALUE"""),10)</f>
        <v>10</v>
      </c>
      <c r="O199" s="10">
        <f ca="1">IFERROR(__xludf.DUMMYFUNCTION("""COMPUTED_VALUE"""),1190000)</f>
        <v>1190000</v>
      </c>
      <c r="P199" s="70"/>
      <c r="Q199" s="67">
        <f ca="1">IFERROR(__xludf.DUMMYFUNCTION("""COMPUTED_VALUE"""),45367)</f>
        <v>45367</v>
      </c>
    </row>
    <row r="200" spans="1:17" ht="12.5">
      <c r="A200" s="82">
        <f t="array" aca="1" ref="A200" ca="1">INDEX('Database Mitra'!$R$2:$R1001,MATCH(C200,'Database Mitra'!$B$2:$B1001,0))</f>
        <v>34977</v>
      </c>
      <c r="B200" s="10" t="e">
        <f t="shared" ca="1" si="0"/>
        <v>#NAME?</v>
      </c>
      <c r="C200" s="83">
        <f ca="1">IFERROR(__xludf.DUMMYFUNCTION("""COMPUTED_VALUE"""),610422060001)</f>
        <v>610422060001</v>
      </c>
      <c r="D200" s="10" t="str">
        <f ca="1">IFERROR(__xludf.DUMMYFUNCTION("""COMPUTED_VALUE"""),"SUSENAS24-LAPANGAN-SEMESTER1")</f>
        <v>SUSENAS24-LAPANGAN-SEMESTER1</v>
      </c>
      <c r="E200" s="10"/>
      <c r="F200" s="10">
        <f ca="1">IFERROR(__xludf.DUMMYFUNCTION("""COMPUTED_VALUE"""),1)</f>
        <v>1</v>
      </c>
      <c r="G200" s="10" t="str">
        <f ca="1">IFERROR(__xludf.DUMMYFUNCTION("""COMPUTED_VALUE"""),"Elman")</f>
        <v>Elman</v>
      </c>
      <c r="H200" s="10" t="str">
        <f ca="1">IFERROR(__xludf.DUMMYFUNCTION("""COMPUTED_VALUE"""),"PPL")</f>
        <v>PPL</v>
      </c>
      <c r="I200" s="10" t="str">
        <f ca="1">IFERROR(__xludf.DUMMYFUNCTION("""COMPUTED_VALUE"""),"6102120510950002")</f>
        <v>6102120510950002</v>
      </c>
      <c r="J200" s="10" t="str">
        <f ca="1">IFERROR(__xludf.DUMMYFUNCTION("""COMPUTED_VALUE"""),"PENDATAAN")</f>
        <v>PENDATAAN</v>
      </c>
      <c r="K200" s="10" t="str">
        <f ca="1">IFERROR(__xludf.DUMMYFUNCTION("""COMPUTED_VALUE"""),"SUSENAS24-LAPANGAN-SEMESTER1-PPL-PENDATAAN")</f>
        <v>SUSENAS24-LAPANGAN-SEMESTER1-PPL-PENDATAAN</v>
      </c>
      <c r="L200" s="10" t="str">
        <f ca="1">IFERROR(__xludf.DUMMYFUNCTION("""COMPUTED_VALUE"""),"Rumah Tangga")</f>
        <v>Rumah Tangga</v>
      </c>
      <c r="M200" s="66">
        <f ca="1">IFERROR(__xludf.DUMMYFUNCTION("""COMPUTED_VALUE"""),119000)</f>
        <v>119000</v>
      </c>
      <c r="N200" s="10">
        <f ca="1">IFERROR(__xludf.DUMMYFUNCTION("""COMPUTED_VALUE"""),20)</f>
        <v>20</v>
      </c>
      <c r="O200" s="10">
        <f ca="1">IFERROR(__xludf.DUMMYFUNCTION("""COMPUTED_VALUE"""),2380000)</f>
        <v>2380000</v>
      </c>
      <c r="P200" s="70"/>
      <c r="Q200" s="67">
        <f ca="1">IFERROR(__xludf.DUMMYFUNCTION("""COMPUTED_VALUE"""),45367)</f>
        <v>45367</v>
      </c>
    </row>
    <row r="201" spans="1:17" ht="12.5">
      <c r="A201" s="82">
        <f t="array" aca="1" ref="A201" ca="1">INDEX('Database Mitra'!$R$2:$R1001,MATCH(C201,'Database Mitra'!$B$2:$B1001,0))</f>
        <v>30507</v>
      </c>
      <c r="B201" s="10" t="e">
        <f t="shared" ca="1" si="0"/>
        <v>#NAME?</v>
      </c>
      <c r="C201" s="83">
        <f ca="1">IFERROR(__xludf.DUMMYFUNCTION("""COMPUTED_VALUE"""),610422100001)</f>
        <v>610422100001</v>
      </c>
      <c r="D201" s="10" t="str">
        <f ca="1">IFERROR(__xludf.DUMMYFUNCTION("""COMPUTED_VALUE"""),"SUSENAS24-LAPANGAN-SEMESTER1")</f>
        <v>SUSENAS24-LAPANGAN-SEMESTER1</v>
      </c>
      <c r="E201" s="10"/>
      <c r="F201" s="10">
        <f ca="1">IFERROR(__xludf.DUMMYFUNCTION("""COMPUTED_VALUE"""),1)</f>
        <v>1</v>
      </c>
      <c r="G201" s="10" t="str">
        <f ca="1">IFERROR(__xludf.DUMMYFUNCTION("""COMPUTED_VALUE"""),"Fatmawati,S.Hut")</f>
        <v>Fatmawati,S.Hut</v>
      </c>
      <c r="H201" s="10" t="str">
        <f ca="1">IFERROR(__xludf.DUMMYFUNCTION("""COMPUTED_VALUE"""),"PPL")</f>
        <v>PPL</v>
      </c>
      <c r="I201" s="10" t="str">
        <f ca="1">IFERROR(__xludf.DUMMYFUNCTION("""COMPUTED_VALUE"""),"6102075007830003")</f>
        <v>6102075007830003</v>
      </c>
      <c r="J201" s="10" t="str">
        <f ca="1">IFERROR(__xludf.DUMMYFUNCTION("""COMPUTED_VALUE"""),"PENDATAAN")</f>
        <v>PENDATAAN</v>
      </c>
      <c r="K201" s="10" t="str">
        <f ca="1">IFERROR(__xludf.DUMMYFUNCTION("""COMPUTED_VALUE"""),"SUSENAS24-LAPANGAN-SEMESTER1-PPL-PENDATAAN")</f>
        <v>SUSENAS24-LAPANGAN-SEMESTER1-PPL-PENDATAAN</v>
      </c>
      <c r="L201" s="10" t="str">
        <f ca="1">IFERROR(__xludf.DUMMYFUNCTION("""COMPUTED_VALUE"""),"Rumah Tangga")</f>
        <v>Rumah Tangga</v>
      </c>
      <c r="M201" s="66">
        <f ca="1">IFERROR(__xludf.DUMMYFUNCTION("""COMPUTED_VALUE"""),119000)</f>
        <v>119000</v>
      </c>
      <c r="N201" s="10">
        <f ca="1">IFERROR(__xludf.DUMMYFUNCTION("""COMPUTED_VALUE"""),20)</f>
        <v>20</v>
      </c>
      <c r="O201" s="10">
        <f ca="1">IFERROR(__xludf.DUMMYFUNCTION("""COMPUTED_VALUE"""),2380000)</f>
        <v>2380000</v>
      </c>
      <c r="P201" s="70"/>
      <c r="Q201" s="67">
        <f ca="1">IFERROR(__xludf.DUMMYFUNCTION("""COMPUTED_VALUE"""),45367)</f>
        <v>45367</v>
      </c>
    </row>
    <row r="202" spans="1:17" ht="12.5">
      <c r="A202" s="82">
        <f t="array" aca="1" ref="A202" ca="1">INDEX('Database Mitra'!$R$2:$R1001,MATCH(C202,'Database Mitra'!$B$2:$B1001,0))</f>
        <v>32849</v>
      </c>
      <c r="B202" s="10" t="e">
        <f t="shared" ca="1" si="0"/>
        <v>#NAME?</v>
      </c>
      <c r="C202" s="83">
        <f ca="1">IFERROR(__xludf.DUMMYFUNCTION("""COMPUTED_VALUE"""),610422040034)</f>
        <v>610422040034</v>
      </c>
      <c r="D202" s="10" t="str">
        <f ca="1">IFERROR(__xludf.DUMMYFUNCTION("""COMPUTED_VALUE"""),"SUSENAS24-LAPANGAN-SEMESTER1")</f>
        <v>SUSENAS24-LAPANGAN-SEMESTER1</v>
      </c>
      <c r="E202" s="10"/>
      <c r="F202" s="10">
        <f ca="1">IFERROR(__xludf.DUMMYFUNCTION("""COMPUTED_VALUE"""),1)</f>
        <v>1</v>
      </c>
      <c r="G202" s="10" t="str">
        <f ca="1">IFERROR(__xludf.DUMMYFUNCTION("""COMPUTED_VALUE"""),"Nelly Nalita")</f>
        <v>Nelly Nalita</v>
      </c>
      <c r="H202" s="10" t="str">
        <f ca="1">IFERROR(__xludf.DUMMYFUNCTION("""COMPUTED_VALUE"""),"PPL")</f>
        <v>PPL</v>
      </c>
      <c r="I202" s="10" t="str">
        <f ca="1">IFERROR(__xludf.DUMMYFUNCTION("""COMPUTED_VALUE"""),"6102014712890004")</f>
        <v>6102014712890004</v>
      </c>
      <c r="J202" s="10" t="str">
        <f ca="1">IFERROR(__xludf.DUMMYFUNCTION("""COMPUTED_VALUE"""),"PENDATAAN")</f>
        <v>PENDATAAN</v>
      </c>
      <c r="K202" s="10" t="str">
        <f ca="1">IFERROR(__xludf.DUMMYFUNCTION("""COMPUTED_VALUE"""),"SUSENAS24-LAPANGAN-SEMESTER1-PPL-PENDATAAN")</f>
        <v>SUSENAS24-LAPANGAN-SEMESTER1-PPL-PENDATAAN</v>
      </c>
      <c r="L202" s="10" t="str">
        <f ca="1">IFERROR(__xludf.DUMMYFUNCTION("""COMPUTED_VALUE"""),"Rumah Tangga")</f>
        <v>Rumah Tangga</v>
      </c>
      <c r="M202" s="66">
        <f ca="1">IFERROR(__xludf.DUMMYFUNCTION("""COMPUTED_VALUE"""),119000)</f>
        <v>119000</v>
      </c>
      <c r="N202" s="10">
        <f ca="1">IFERROR(__xludf.DUMMYFUNCTION("""COMPUTED_VALUE"""),20)</f>
        <v>20</v>
      </c>
      <c r="O202" s="10">
        <f ca="1">IFERROR(__xludf.DUMMYFUNCTION("""COMPUTED_VALUE"""),2380000)</f>
        <v>2380000</v>
      </c>
      <c r="P202" s="70"/>
      <c r="Q202" s="67">
        <f ca="1">IFERROR(__xludf.DUMMYFUNCTION("""COMPUTED_VALUE"""),45367)</f>
        <v>45367</v>
      </c>
    </row>
    <row r="203" spans="1:17" ht="12.5">
      <c r="A203" s="82">
        <f t="array" aca="1" ref="A203" ca="1">INDEX('Database Mitra'!$R$2:$R1001,MATCH(C203,'Database Mitra'!$B$2:$B1001,0))</f>
        <v>34541</v>
      </c>
      <c r="B203" s="10" t="e">
        <f t="shared" ca="1" si="0"/>
        <v>#NAME?</v>
      </c>
      <c r="C203" s="83">
        <f ca="1">IFERROR(__xludf.DUMMYFUNCTION("""COMPUTED_VALUE"""),610422040058)</f>
        <v>610422040058</v>
      </c>
      <c r="D203" s="10" t="str">
        <f ca="1">IFERROR(__xludf.DUMMYFUNCTION("""COMPUTED_VALUE"""),"SUSENAS24-LAPANGAN-SEMESTER1")</f>
        <v>SUSENAS24-LAPANGAN-SEMESTER1</v>
      </c>
      <c r="E203" s="10"/>
      <c r="F203" s="10">
        <f ca="1">IFERROR(__xludf.DUMMYFUNCTION("""COMPUTED_VALUE"""),1)</f>
        <v>1</v>
      </c>
      <c r="G203" s="10" t="str">
        <f ca="1">IFERROR(__xludf.DUMMYFUNCTION("""COMPUTED_VALUE"""),"Jamaluddin, Sp")</f>
        <v>Jamaluddin, Sp</v>
      </c>
      <c r="H203" s="10" t="str">
        <f ca="1">IFERROR(__xludf.DUMMYFUNCTION("""COMPUTED_VALUE"""),"PPL")</f>
        <v>PPL</v>
      </c>
      <c r="I203" s="10" t="str">
        <f ca="1">IFERROR(__xludf.DUMMYFUNCTION("""COMPUTED_VALUE"""),"6102152607940002")</f>
        <v>6102152607940002</v>
      </c>
      <c r="J203" s="10" t="str">
        <f ca="1">IFERROR(__xludf.DUMMYFUNCTION("""COMPUTED_VALUE"""),"PENDATAAN")</f>
        <v>PENDATAAN</v>
      </c>
      <c r="K203" s="10" t="str">
        <f ca="1">IFERROR(__xludf.DUMMYFUNCTION("""COMPUTED_VALUE"""),"SUSENAS24-LAPANGAN-SEMESTER1-PPL-PENDATAAN")</f>
        <v>SUSENAS24-LAPANGAN-SEMESTER1-PPL-PENDATAAN</v>
      </c>
      <c r="L203" s="10" t="str">
        <f ca="1">IFERROR(__xludf.DUMMYFUNCTION("""COMPUTED_VALUE"""),"Rumah Tangga")</f>
        <v>Rumah Tangga</v>
      </c>
      <c r="M203" s="66">
        <f ca="1">IFERROR(__xludf.DUMMYFUNCTION("""COMPUTED_VALUE"""),119000)</f>
        <v>119000</v>
      </c>
      <c r="N203" s="10">
        <f ca="1">IFERROR(__xludf.DUMMYFUNCTION("""COMPUTED_VALUE"""),20)</f>
        <v>20</v>
      </c>
      <c r="O203" s="10">
        <f ca="1">IFERROR(__xludf.DUMMYFUNCTION("""COMPUTED_VALUE"""),2380000)</f>
        <v>2380000</v>
      </c>
      <c r="P203" s="70"/>
      <c r="Q203" s="67">
        <f ca="1">IFERROR(__xludf.DUMMYFUNCTION("""COMPUTED_VALUE"""),45367)</f>
        <v>45367</v>
      </c>
    </row>
    <row r="204" spans="1:17" ht="12.5">
      <c r="A204" s="82">
        <f t="array" aca="1" ref="A204" ca="1">INDEX('Database Mitra'!$R$2:$R1001,MATCH(C204,'Database Mitra'!$B$2:$B1001,0))</f>
        <v>28920</v>
      </c>
      <c r="B204" s="10" t="e">
        <f t="shared" ca="1" si="0"/>
        <v>#NAME?</v>
      </c>
      <c r="C204" s="83">
        <f ca="1">IFERROR(__xludf.DUMMYFUNCTION("""COMPUTED_VALUE"""),610422040052)</f>
        <v>610422040052</v>
      </c>
      <c r="D204" s="10" t="str">
        <f ca="1">IFERROR(__xludf.DUMMYFUNCTION("""COMPUTED_VALUE"""),"SUSENAS24-LAPANGAN-SEMESTER1")</f>
        <v>SUSENAS24-LAPANGAN-SEMESTER1</v>
      </c>
      <c r="E204" s="10"/>
      <c r="F204" s="10">
        <f ca="1">IFERROR(__xludf.DUMMYFUNCTION("""COMPUTED_VALUE"""),1)</f>
        <v>1</v>
      </c>
      <c r="G204" s="10" t="str">
        <f ca="1">IFERROR(__xludf.DUMMYFUNCTION("""COMPUTED_VALUE"""),"Yusimianto")</f>
        <v>Yusimianto</v>
      </c>
      <c r="H204" s="10" t="str">
        <f ca="1">IFERROR(__xludf.DUMMYFUNCTION("""COMPUTED_VALUE"""),"PPL")</f>
        <v>PPL</v>
      </c>
      <c r="I204" s="10" t="str">
        <f ca="1">IFERROR(__xludf.DUMMYFUNCTION("""COMPUTED_VALUE"""),"6102160603790001")</f>
        <v>6102160603790001</v>
      </c>
      <c r="J204" s="10" t="str">
        <f ca="1">IFERROR(__xludf.DUMMYFUNCTION("""COMPUTED_VALUE"""),"PENDATAAN")</f>
        <v>PENDATAAN</v>
      </c>
      <c r="K204" s="10" t="str">
        <f ca="1">IFERROR(__xludf.DUMMYFUNCTION("""COMPUTED_VALUE"""),"SUSENAS24-LAPANGAN-SEMESTER1-PPL-PENDATAAN")</f>
        <v>SUSENAS24-LAPANGAN-SEMESTER1-PPL-PENDATAAN</v>
      </c>
      <c r="L204" s="10" t="str">
        <f ca="1">IFERROR(__xludf.DUMMYFUNCTION("""COMPUTED_VALUE"""),"Rumah Tangga")</f>
        <v>Rumah Tangga</v>
      </c>
      <c r="M204" s="66">
        <f ca="1">IFERROR(__xludf.DUMMYFUNCTION("""COMPUTED_VALUE"""),119000)</f>
        <v>119000</v>
      </c>
      <c r="N204" s="10">
        <f ca="1">IFERROR(__xludf.DUMMYFUNCTION("""COMPUTED_VALUE"""),10)</f>
        <v>10</v>
      </c>
      <c r="O204" s="10">
        <f ca="1">IFERROR(__xludf.DUMMYFUNCTION("""COMPUTED_VALUE"""),1190000)</f>
        <v>1190000</v>
      </c>
      <c r="P204" s="70"/>
      <c r="Q204" s="67">
        <f ca="1">IFERROR(__xludf.DUMMYFUNCTION("""COMPUTED_VALUE"""),45367)</f>
        <v>45367</v>
      </c>
    </row>
    <row r="205" spans="1:17" ht="12.5">
      <c r="A205" s="11">
        <f t="array" aca="1" ref="A205" ca="1">INDEX('Database Mitra'!$R$2:$R1001,MATCH(C205,'Database Mitra'!$B$2:$B1001,0))</f>
        <v>31777</v>
      </c>
      <c r="B205" s="10" t="e">
        <f t="shared" ca="1" si="0"/>
        <v>#NAME?</v>
      </c>
      <c r="C205" s="83">
        <f ca="1">IFERROR(__xludf.DUMMYFUNCTION("""COMPUTED_VALUE"""),610422040061)</f>
        <v>610422040061</v>
      </c>
      <c r="D205" s="10" t="str">
        <f ca="1">IFERROR(__xludf.DUMMYFUNCTION("""COMPUTED_VALUE"""),"SUSENAS24-LAPANGAN-SEMESTER1")</f>
        <v>SUSENAS24-LAPANGAN-SEMESTER1</v>
      </c>
      <c r="E205" s="10"/>
      <c r="F205" s="10">
        <f ca="1">IFERROR(__xludf.DUMMYFUNCTION("""COMPUTED_VALUE"""),1)</f>
        <v>1</v>
      </c>
      <c r="G205" s="10" t="str">
        <f ca="1">IFERROR(__xludf.DUMMYFUNCTION("""COMPUTED_VALUE"""),"Sabani")</f>
        <v>Sabani</v>
      </c>
      <c r="H205" s="10" t="str">
        <f ca="1">IFERROR(__xludf.DUMMYFUNCTION("""COMPUTED_VALUE"""),"PPL")</f>
        <v>PPL</v>
      </c>
      <c r="I205" s="10" t="str">
        <f ca="1">IFERROR(__xludf.DUMMYFUNCTION("""COMPUTED_VALUE"""),"6102153112860003")</f>
        <v>6102153112860003</v>
      </c>
      <c r="J205" s="10" t="str">
        <f ca="1">IFERROR(__xludf.DUMMYFUNCTION("""COMPUTED_VALUE"""),"PENDATAAN")</f>
        <v>PENDATAAN</v>
      </c>
      <c r="K205" s="10" t="str">
        <f ca="1">IFERROR(__xludf.DUMMYFUNCTION("""COMPUTED_VALUE"""),"SUSENAS24-LAPANGAN-SEMESTER1-PPL-PENDATAAN")</f>
        <v>SUSENAS24-LAPANGAN-SEMESTER1-PPL-PENDATAAN</v>
      </c>
      <c r="L205" s="10" t="str">
        <f ca="1">IFERROR(__xludf.DUMMYFUNCTION("""COMPUTED_VALUE"""),"Rumah Tangga")</f>
        <v>Rumah Tangga</v>
      </c>
      <c r="M205" s="66">
        <f ca="1">IFERROR(__xludf.DUMMYFUNCTION("""COMPUTED_VALUE"""),119000)</f>
        <v>119000</v>
      </c>
      <c r="N205" s="10">
        <f ca="1">IFERROR(__xludf.DUMMYFUNCTION("""COMPUTED_VALUE"""),10)</f>
        <v>10</v>
      </c>
      <c r="O205" s="10">
        <f ca="1">IFERROR(__xludf.DUMMYFUNCTION("""COMPUTED_VALUE"""),1190000)</f>
        <v>1190000</v>
      </c>
      <c r="P205" s="70"/>
      <c r="Q205" s="67">
        <f ca="1">IFERROR(__xludf.DUMMYFUNCTION("""COMPUTED_VALUE"""),45367)</f>
        <v>45367</v>
      </c>
    </row>
    <row r="206" spans="1:17" ht="12.5">
      <c r="A206" s="82">
        <f t="array" aca="1" ref="A206" ca="1">INDEX('Database Mitra'!$R$2:$R1001,MATCH(C206,'Database Mitra'!$B$2:$B1001,0))</f>
        <v>37343</v>
      </c>
      <c r="B206" s="10" t="e">
        <f t="shared" ca="1" si="0"/>
        <v>#NAME?</v>
      </c>
      <c r="C206" s="83">
        <f ca="1">IFERROR(__xludf.DUMMYFUNCTION("""COMPUTED_VALUE"""),610422040006)</f>
        <v>610422040006</v>
      </c>
      <c r="D206" s="10" t="str">
        <f ca="1">IFERROR(__xludf.DUMMYFUNCTION("""COMPUTED_VALUE"""),"SUSENAS24-LAPANGAN-SEMESTER1")</f>
        <v>SUSENAS24-LAPANGAN-SEMESTER1</v>
      </c>
      <c r="E206" s="10"/>
      <c r="F206" s="10">
        <f ca="1">IFERROR(__xludf.DUMMYFUNCTION("""COMPUTED_VALUE"""),1)</f>
        <v>1</v>
      </c>
      <c r="G206" s="10" t="str">
        <f ca="1">IFERROR(__xludf.DUMMYFUNCTION("""COMPUTED_VALUE"""),"Ridha Nur Mitha")</f>
        <v>Ridha Nur Mitha</v>
      </c>
      <c r="H206" s="10" t="str">
        <f ca="1">IFERROR(__xludf.DUMMYFUNCTION("""COMPUTED_VALUE"""),"PPL")</f>
        <v>PPL</v>
      </c>
      <c r="I206" s="10" t="str">
        <f ca="1">IFERROR(__xludf.DUMMYFUNCTION("""COMPUTED_VALUE"""),"6102186803020002")</f>
        <v>6102186803020002</v>
      </c>
      <c r="J206" s="10" t="str">
        <f ca="1">IFERROR(__xludf.DUMMYFUNCTION("""COMPUTED_VALUE"""),"PENDATAAN")</f>
        <v>PENDATAAN</v>
      </c>
      <c r="K206" s="10" t="str">
        <f ca="1">IFERROR(__xludf.DUMMYFUNCTION("""COMPUTED_VALUE"""),"SUSENAS24-LAPANGAN-SEMESTER1-PPL-PENDATAAN")</f>
        <v>SUSENAS24-LAPANGAN-SEMESTER1-PPL-PENDATAAN</v>
      </c>
      <c r="L206" s="10" t="str">
        <f ca="1">IFERROR(__xludf.DUMMYFUNCTION("""COMPUTED_VALUE"""),"Rumah Tangga")</f>
        <v>Rumah Tangga</v>
      </c>
      <c r="M206" s="66">
        <f ca="1">IFERROR(__xludf.DUMMYFUNCTION("""COMPUTED_VALUE"""),119000)</f>
        <v>119000</v>
      </c>
      <c r="N206" s="10">
        <f ca="1">IFERROR(__xludf.DUMMYFUNCTION("""COMPUTED_VALUE"""),20)</f>
        <v>20</v>
      </c>
      <c r="O206" s="10">
        <f ca="1">IFERROR(__xludf.DUMMYFUNCTION("""COMPUTED_VALUE"""),2380000)</f>
        <v>2380000</v>
      </c>
      <c r="P206" s="70"/>
      <c r="Q206" s="67">
        <f ca="1">IFERROR(__xludf.DUMMYFUNCTION("""COMPUTED_VALUE"""),45367)</f>
        <v>45367</v>
      </c>
    </row>
    <row r="207" spans="1:17" ht="12.5">
      <c r="A207" s="11">
        <f t="array" aca="1" ref="A207" ca="1">INDEX('Database Mitra'!$R$2:$R1001,MATCH(C207,'Database Mitra'!$B$2:$B1001,0))</f>
        <v>34792</v>
      </c>
      <c r="B207" s="10" t="e">
        <f t="shared" ca="1" si="0"/>
        <v>#NAME?</v>
      </c>
      <c r="C207" s="83">
        <f ca="1">IFERROR(__xludf.DUMMYFUNCTION("""COMPUTED_VALUE"""),610422040028)</f>
        <v>610422040028</v>
      </c>
      <c r="D207" s="10" t="str">
        <f ca="1">IFERROR(__xludf.DUMMYFUNCTION("""COMPUTED_VALUE"""),"SUSENAS24-LAPANGAN-SEMESTER1")</f>
        <v>SUSENAS24-LAPANGAN-SEMESTER1</v>
      </c>
      <c r="E207" s="10"/>
      <c r="F207" s="10">
        <f ca="1">IFERROR(__xludf.DUMMYFUNCTION("""COMPUTED_VALUE"""),1)</f>
        <v>1</v>
      </c>
      <c r="G207" s="10" t="str">
        <f ca="1">IFERROR(__xludf.DUMMYFUNCTION("""COMPUTED_VALUE"""),"Hafizh")</f>
        <v>Hafizh</v>
      </c>
      <c r="H207" s="10" t="str">
        <f ca="1">IFERROR(__xludf.DUMMYFUNCTION("""COMPUTED_VALUE"""),"PPL")</f>
        <v>PPL</v>
      </c>
      <c r="I207" s="10" t="str">
        <f ca="1">IFERROR(__xludf.DUMMYFUNCTION("""COMPUTED_VALUE"""),"6102184304950003")</f>
        <v>6102184304950003</v>
      </c>
      <c r="J207" s="10" t="str">
        <f ca="1">IFERROR(__xludf.DUMMYFUNCTION("""COMPUTED_VALUE"""),"PENDATAAN")</f>
        <v>PENDATAAN</v>
      </c>
      <c r="K207" s="10" t="str">
        <f ca="1">IFERROR(__xludf.DUMMYFUNCTION("""COMPUTED_VALUE"""),"SUSENAS24-LAPANGAN-SEMESTER1-PPL-PENDATAAN")</f>
        <v>SUSENAS24-LAPANGAN-SEMESTER1-PPL-PENDATAAN</v>
      </c>
      <c r="L207" s="10" t="str">
        <f ca="1">IFERROR(__xludf.DUMMYFUNCTION("""COMPUTED_VALUE"""),"Rumah Tangga")</f>
        <v>Rumah Tangga</v>
      </c>
      <c r="M207" s="66">
        <f ca="1">IFERROR(__xludf.DUMMYFUNCTION("""COMPUTED_VALUE"""),119000)</f>
        <v>119000</v>
      </c>
      <c r="N207" s="10">
        <f ca="1">IFERROR(__xludf.DUMMYFUNCTION("""COMPUTED_VALUE"""),20)</f>
        <v>20</v>
      </c>
      <c r="O207" s="10">
        <f ca="1">IFERROR(__xludf.DUMMYFUNCTION("""COMPUTED_VALUE"""),2380000)</f>
        <v>2380000</v>
      </c>
      <c r="P207" s="70"/>
      <c r="Q207" s="67">
        <f ca="1">IFERROR(__xludf.DUMMYFUNCTION("""COMPUTED_VALUE"""),45367)</f>
        <v>45367</v>
      </c>
    </row>
    <row r="208" spans="1:17" ht="12.5">
      <c r="A208" s="82">
        <f t="array" aca="1" ref="A208" ca="1">INDEX('Database Mitra'!$R$2:$R1001,MATCH(C208,'Database Mitra'!$B$2:$B1001,0))</f>
        <v>35544</v>
      </c>
      <c r="B208" s="10" t="e">
        <f t="shared" ca="1" si="0"/>
        <v>#NAME?</v>
      </c>
      <c r="C208" s="83">
        <f ca="1">IFERROR(__xludf.DUMMYFUNCTION("""COMPUTED_VALUE"""),610422040035)</f>
        <v>610422040035</v>
      </c>
      <c r="D208" s="10" t="str">
        <f ca="1">IFERROR(__xludf.DUMMYFUNCTION("""COMPUTED_VALUE"""),"SUSENAS24-LAPANGAN-SEMESTER1")</f>
        <v>SUSENAS24-LAPANGAN-SEMESTER1</v>
      </c>
      <c r="E208" s="10"/>
      <c r="F208" s="10">
        <f ca="1">IFERROR(__xludf.DUMMYFUNCTION("""COMPUTED_VALUE"""),1)</f>
        <v>1</v>
      </c>
      <c r="G208" s="10" t="str">
        <f ca="1">IFERROR(__xludf.DUMMYFUNCTION("""COMPUTED_VALUE"""),"Rahmayani")</f>
        <v>Rahmayani</v>
      </c>
      <c r="H208" s="10" t="str">
        <f ca="1">IFERROR(__xludf.DUMMYFUNCTION("""COMPUTED_VALUE"""),"PPL")</f>
        <v>PPL</v>
      </c>
      <c r="I208" s="10" t="str">
        <f ca="1">IFERROR(__xludf.DUMMYFUNCTION("""COMPUTED_VALUE"""),"6102186404970003")</f>
        <v>6102186404970003</v>
      </c>
      <c r="J208" s="10" t="str">
        <f ca="1">IFERROR(__xludf.DUMMYFUNCTION("""COMPUTED_VALUE"""),"PENDATAAN")</f>
        <v>PENDATAAN</v>
      </c>
      <c r="K208" s="10" t="str">
        <f ca="1">IFERROR(__xludf.DUMMYFUNCTION("""COMPUTED_VALUE"""),"SUSENAS24-LAPANGAN-SEMESTER1-PPL-PENDATAAN")</f>
        <v>SUSENAS24-LAPANGAN-SEMESTER1-PPL-PENDATAAN</v>
      </c>
      <c r="L208" s="10" t="str">
        <f ca="1">IFERROR(__xludf.DUMMYFUNCTION("""COMPUTED_VALUE"""),"Rumah Tangga")</f>
        <v>Rumah Tangga</v>
      </c>
      <c r="M208" s="66">
        <f ca="1">IFERROR(__xludf.DUMMYFUNCTION("""COMPUTED_VALUE"""),119000)</f>
        <v>119000</v>
      </c>
      <c r="N208" s="10">
        <f ca="1">IFERROR(__xludf.DUMMYFUNCTION("""COMPUTED_VALUE"""),10)</f>
        <v>10</v>
      </c>
      <c r="O208" s="10">
        <f ca="1">IFERROR(__xludf.DUMMYFUNCTION("""COMPUTED_VALUE"""),1190000)</f>
        <v>1190000</v>
      </c>
      <c r="P208" s="70"/>
      <c r="Q208" s="67">
        <f ca="1">IFERROR(__xludf.DUMMYFUNCTION("""COMPUTED_VALUE"""),45367)</f>
        <v>45367</v>
      </c>
    </row>
    <row r="209" spans="1:17" ht="12.5">
      <c r="A209" s="82">
        <f t="array" aca="1" ref="A209" ca="1">INDEX('Database Mitra'!$R$2:$R1001,MATCH(C209,'Database Mitra'!$B$2:$B1001,0))</f>
        <v>30866</v>
      </c>
      <c r="B209" s="10" t="e">
        <f t="shared" ca="1" si="0"/>
        <v>#NAME?</v>
      </c>
      <c r="C209" s="83">
        <f ca="1">IFERROR(__xludf.DUMMYFUNCTION("""COMPUTED_VALUE"""),610422040049)</f>
        <v>610422040049</v>
      </c>
      <c r="D209" s="10" t="str">
        <f ca="1">IFERROR(__xludf.DUMMYFUNCTION("""COMPUTED_VALUE"""),"SUSENAS24-LAPANGAN-SEMESTER1")</f>
        <v>SUSENAS24-LAPANGAN-SEMESTER1</v>
      </c>
      <c r="E209" s="10"/>
      <c r="F209" s="10">
        <f ca="1">IFERROR(__xludf.DUMMYFUNCTION("""COMPUTED_VALUE"""),1)</f>
        <v>1</v>
      </c>
      <c r="G209" s="10" t="str">
        <f ca="1">IFERROR(__xludf.DUMMYFUNCTION("""COMPUTED_VALUE"""),"Sulis Tri Handayani")</f>
        <v>Sulis Tri Handayani</v>
      </c>
      <c r="H209" s="10" t="str">
        <f ca="1">IFERROR(__xludf.DUMMYFUNCTION("""COMPUTED_VALUE"""),"PPL")</f>
        <v>PPL</v>
      </c>
      <c r="I209" s="10" t="str">
        <f ca="1">IFERROR(__xludf.DUMMYFUNCTION("""COMPUTED_VALUE"""),"6102074307840004")</f>
        <v>6102074307840004</v>
      </c>
      <c r="J209" s="10" t="str">
        <f ca="1">IFERROR(__xludf.DUMMYFUNCTION("""COMPUTED_VALUE"""),"PENDATAAN")</f>
        <v>PENDATAAN</v>
      </c>
      <c r="K209" s="10" t="str">
        <f ca="1">IFERROR(__xludf.DUMMYFUNCTION("""COMPUTED_VALUE"""),"SUSENAS24-LAPANGAN-SEMESTER1-PPL-PENDATAAN")</f>
        <v>SUSENAS24-LAPANGAN-SEMESTER1-PPL-PENDATAAN</v>
      </c>
      <c r="L209" s="10" t="str">
        <f ca="1">IFERROR(__xludf.DUMMYFUNCTION("""COMPUTED_VALUE"""),"Rumah Tangga")</f>
        <v>Rumah Tangga</v>
      </c>
      <c r="M209" s="66">
        <f ca="1">IFERROR(__xludf.DUMMYFUNCTION("""COMPUTED_VALUE"""),119000)</f>
        <v>119000</v>
      </c>
      <c r="N209" s="10">
        <f ca="1">IFERROR(__xludf.DUMMYFUNCTION("""COMPUTED_VALUE"""),20)</f>
        <v>20</v>
      </c>
      <c r="O209" s="10">
        <f ca="1">IFERROR(__xludf.DUMMYFUNCTION("""COMPUTED_VALUE"""),2380000)</f>
        <v>2380000</v>
      </c>
      <c r="P209" s="70"/>
      <c r="Q209" s="67">
        <f ca="1">IFERROR(__xludf.DUMMYFUNCTION("""COMPUTED_VALUE"""),45367)</f>
        <v>45367</v>
      </c>
    </row>
    <row r="210" spans="1:17" ht="12.5">
      <c r="A210" s="82">
        <f t="array" aca="1" ref="A210" ca="1">INDEX('Database Mitra'!$R$2:$R1001,MATCH(C210,'Database Mitra'!$B$2:$B1001,0))</f>
        <v>35166</v>
      </c>
      <c r="B210" s="10" t="e">
        <f t="shared" ca="1" si="0"/>
        <v>#NAME?</v>
      </c>
      <c r="C210" s="83">
        <f ca="1">IFERROR(__xludf.DUMMYFUNCTION("""COMPUTED_VALUE"""),610422040033)</f>
        <v>610422040033</v>
      </c>
      <c r="D210" s="10" t="str">
        <f ca="1">IFERROR(__xludf.DUMMYFUNCTION("""COMPUTED_VALUE"""),"SUSENAS24-LAPANGAN-SEMESTER1")</f>
        <v>SUSENAS24-LAPANGAN-SEMESTER1</v>
      </c>
      <c r="E210" s="10"/>
      <c r="F210" s="10">
        <f ca="1">IFERROR(__xludf.DUMMYFUNCTION("""COMPUTED_VALUE"""),1)</f>
        <v>1</v>
      </c>
      <c r="G210" s="10" t="str">
        <f ca="1">IFERROR(__xludf.DUMMYFUNCTION("""COMPUTED_VALUE"""),"Nurlian")</f>
        <v>Nurlian</v>
      </c>
      <c r="H210" s="10" t="str">
        <f ca="1">IFERROR(__xludf.DUMMYFUNCTION("""COMPUTED_VALUE"""),"PPL")</f>
        <v>PPL</v>
      </c>
      <c r="I210" s="10" t="str">
        <f ca="1">IFERROR(__xludf.DUMMYFUNCTION("""COMPUTED_VALUE"""),"6102085104960002")</f>
        <v>6102085104960002</v>
      </c>
      <c r="J210" s="10" t="str">
        <f ca="1">IFERROR(__xludf.DUMMYFUNCTION("""COMPUTED_VALUE"""),"PENDATAAN")</f>
        <v>PENDATAAN</v>
      </c>
      <c r="K210" s="10" t="str">
        <f ca="1">IFERROR(__xludf.DUMMYFUNCTION("""COMPUTED_VALUE"""),"SUSENAS24-LAPANGAN-SEMESTER1-PPL-PENDATAAN")</f>
        <v>SUSENAS24-LAPANGAN-SEMESTER1-PPL-PENDATAAN</v>
      </c>
      <c r="L210" s="10" t="str">
        <f ca="1">IFERROR(__xludf.DUMMYFUNCTION("""COMPUTED_VALUE"""),"Rumah Tangga")</f>
        <v>Rumah Tangga</v>
      </c>
      <c r="M210" s="66">
        <f ca="1">IFERROR(__xludf.DUMMYFUNCTION("""COMPUTED_VALUE"""),119000)</f>
        <v>119000</v>
      </c>
      <c r="N210" s="10">
        <f ca="1">IFERROR(__xludf.DUMMYFUNCTION("""COMPUTED_VALUE"""),20)</f>
        <v>20</v>
      </c>
      <c r="O210" s="10">
        <f ca="1">IFERROR(__xludf.DUMMYFUNCTION("""COMPUTED_VALUE"""),2380000)</f>
        <v>2380000</v>
      </c>
      <c r="P210" s="70"/>
      <c r="Q210" s="67">
        <f ca="1">IFERROR(__xludf.DUMMYFUNCTION("""COMPUTED_VALUE"""),45367)</f>
        <v>45367</v>
      </c>
    </row>
    <row r="211" spans="1:17" ht="12.5">
      <c r="A211" s="82">
        <f t="array" aca="1" ref="A211" ca="1">INDEX('Database Mitra'!$R$2:$R1001,MATCH(C211,'Database Mitra'!$B$2:$B1001,0))</f>
        <v>36330</v>
      </c>
      <c r="B211" s="10" t="e">
        <f t="shared" ca="1" si="0"/>
        <v>#NAME?</v>
      </c>
      <c r="C211" s="83">
        <f ca="1">IFERROR(__xludf.DUMMYFUNCTION("""COMPUTED_VALUE"""),610422040050)</f>
        <v>610422040050</v>
      </c>
      <c r="D211" s="10" t="str">
        <f ca="1">IFERROR(__xludf.DUMMYFUNCTION("""COMPUTED_VALUE"""),"SUSENAS24-LAPANGAN-SEMESTER1")</f>
        <v>SUSENAS24-LAPANGAN-SEMESTER1</v>
      </c>
      <c r="E211" s="10"/>
      <c r="F211" s="10">
        <f ca="1">IFERROR(__xludf.DUMMYFUNCTION("""COMPUTED_VALUE"""),1)</f>
        <v>1</v>
      </c>
      <c r="G211" s="10" t="str">
        <f ca="1">IFERROR(__xludf.DUMMYFUNCTION("""COMPUTED_VALUE"""),"Novita Sari")</f>
        <v>Novita Sari</v>
      </c>
      <c r="H211" s="10" t="str">
        <f ca="1">IFERROR(__xludf.DUMMYFUNCTION("""COMPUTED_VALUE"""),"PPL")</f>
        <v>PPL</v>
      </c>
      <c r="I211" s="10" t="str">
        <f ca="1">IFERROR(__xludf.DUMMYFUNCTION("""COMPUTED_VALUE"""),"6102085906990001")</f>
        <v>6102085906990001</v>
      </c>
      <c r="J211" s="10" t="str">
        <f ca="1">IFERROR(__xludf.DUMMYFUNCTION("""COMPUTED_VALUE"""),"PENDATAAN")</f>
        <v>PENDATAAN</v>
      </c>
      <c r="K211" s="10" t="str">
        <f ca="1">IFERROR(__xludf.DUMMYFUNCTION("""COMPUTED_VALUE"""),"SUSENAS24-LAPANGAN-SEMESTER1-PPL-PENDATAAN")</f>
        <v>SUSENAS24-LAPANGAN-SEMESTER1-PPL-PENDATAAN</v>
      </c>
      <c r="L211" s="10" t="str">
        <f ca="1">IFERROR(__xludf.DUMMYFUNCTION("""COMPUTED_VALUE"""),"Rumah Tangga")</f>
        <v>Rumah Tangga</v>
      </c>
      <c r="M211" s="66">
        <f ca="1">IFERROR(__xludf.DUMMYFUNCTION("""COMPUTED_VALUE"""),119000)</f>
        <v>119000</v>
      </c>
      <c r="N211" s="10">
        <f ca="1">IFERROR(__xludf.DUMMYFUNCTION("""COMPUTED_VALUE"""),10)</f>
        <v>10</v>
      </c>
      <c r="O211" s="10">
        <f ca="1">IFERROR(__xludf.DUMMYFUNCTION("""COMPUTED_VALUE"""),1190000)</f>
        <v>1190000</v>
      </c>
      <c r="P211" s="70"/>
      <c r="Q211" s="67">
        <f ca="1">IFERROR(__xludf.DUMMYFUNCTION("""COMPUTED_VALUE"""),45367)</f>
        <v>45367</v>
      </c>
    </row>
    <row r="212" spans="1:17" ht="12.5">
      <c r="A212" s="82">
        <f t="array" aca="1" ref="A212" ca="1">INDEX('Database Mitra'!$R$2:$R1001,MATCH(C212,'Database Mitra'!$B$2:$B1001,0))</f>
        <v>31773</v>
      </c>
      <c r="B212" s="10" t="e">
        <f t="shared" ca="1" si="0"/>
        <v>#NAME?</v>
      </c>
      <c r="C212" s="83">
        <f ca="1">IFERROR(__xludf.DUMMYFUNCTION("""COMPUTED_VALUE"""),610422030002)</f>
        <v>610422030002</v>
      </c>
      <c r="D212" s="10" t="str">
        <f ca="1">IFERROR(__xludf.DUMMYFUNCTION("""COMPUTED_VALUE"""),"SUSENAS24-LAPANGAN-SEMESTER1")</f>
        <v>SUSENAS24-LAPANGAN-SEMESTER1</v>
      </c>
      <c r="E212" s="10"/>
      <c r="F212" s="10">
        <f ca="1">IFERROR(__xludf.DUMMYFUNCTION("""COMPUTED_VALUE"""),1)</f>
        <v>1</v>
      </c>
      <c r="G212" s="10" t="str">
        <f ca="1">IFERROR(__xludf.DUMMYFUNCTION("""COMPUTED_VALUE"""),"Deti Erni Widiastuti")</f>
        <v>Deti Erni Widiastuti</v>
      </c>
      <c r="H212" s="10" t="str">
        <f ca="1">IFERROR(__xludf.DUMMYFUNCTION("""COMPUTED_VALUE"""),"PPL")</f>
        <v>PPL</v>
      </c>
      <c r="I212" s="10" t="str">
        <f ca="1">IFERROR(__xludf.DUMMYFUNCTION("""COMPUTED_VALUE"""),"6102016712860001")</f>
        <v>6102016712860001</v>
      </c>
      <c r="J212" s="10" t="str">
        <f ca="1">IFERROR(__xludf.DUMMYFUNCTION("""COMPUTED_VALUE"""),"PENDATAAN")</f>
        <v>PENDATAAN</v>
      </c>
      <c r="K212" s="10" t="str">
        <f ca="1">IFERROR(__xludf.DUMMYFUNCTION("""COMPUTED_VALUE"""),"SUSENAS24-LAPANGAN-SEMESTER1-PPL-PENDATAAN")</f>
        <v>SUSENAS24-LAPANGAN-SEMESTER1-PPL-PENDATAAN</v>
      </c>
      <c r="L212" s="10" t="str">
        <f ca="1">IFERROR(__xludf.DUMMYFUNCTION("""COMPUTED_VALUE"""),"Rumah Tangga")</f>
        <v>Rumah Tangga</v>
      </c>
      <c r="M212" s="66">
        <f ca="1">IFERROR(__xludf.DUMMYFUNCTION("""COMPUTED_VALUE"""),119000)</f>
        <v>119000</v>
      </c>
      <c r="N212" s="10">
        <f ca="1">IFERROR(__xludf.DUMMYFUNCTION("""COMPUTED_VALUE"""),20)</f>
        <v>20</v>
      </c>
      <c r="O212" s="10">
        <f ca="1">IFERROR(__xludf.DUMMYFUNCTION("""COMPUTED_VALUE"""),2380000)</f>
        <v>2380000</v>
      </c>
      <c r="P212" s="70"/>
      <c r="Q212" s="67">
        <f ca="1">IFERROR(__xludf.DUMMYFUNCTION("""COMPUTED_VALUE"""),45367)</f>
        <v>45367</v>
      </c>
    </row>
    <row r="213" spans="1:17" ht="12.5">
      <c r="A213" s="82">
        <f t="array" aca="1" ref="A213" ca="1">INDEX('Database Mitra'!$R$2:$R1001,MATCH(C213,'Database Mitra'!$B$2:$B1001,0))</f>
        <v>31964</v>
      </c>
      <c r="B213" s="10" t="e">
        <f t="shared" ca="1" si="0"/>
        <v>#NAME?</v>
      </c>
      <c r="C213" s="83">
        <f ca="1">IFERROR(__xludf.DUMMYFUNCTION("""COMPUTED_VALUE"""),610422040029)</f>
        <v>610422040029</v>
      </c>
      <c r="D213" s="10" t="str">
        <f ca="1">IFERROR(__xludf.DUMMYFUNCTION("""COMPUTED_VALUE"""),"SUSENAS24-LAPANGAN-SEMESTER1")</f>
        <v>SUSENAS24-LAPANGAN-SEMESTER1</v>
      </c>
      <c r="E213" s="10"/>
      <c r="F213" s="10">
        <f ca="1">IFERROR(__xludf.DUMMYFUNCTION("""COMPUTED_VALUE"""),1)</f>
        <v>1</v>
      </c>
      <c r="G213" s="10" t="str">
        <f ca="1">IFERROR(__xludf.DUMMYFUNCTION("""COMPUTED_VALUE"""),"Zaini")</f>
        <v>Zaini</v>
      </c>
      <c r="H213" s="10" t="str">
        <f ca="1">IFERROR(__xludf.DUMMYFUNCTION("""COMPUTED_VALUE"""),"PPL")</f>
        <v>PPL</v>
      </c>
      <c r="I213" s="10" t="str">
        <f ca="1">IFERROR(__xludf.DUMMYFUNCTION("""COMPUTED_VALUE"""),"6102010607870002")</f>
        <v>6102010607870002</v>
      </c>
      <c r="J213" s="10" t="str">
        <f ca="1">IFERROR(__xludf.DUMMYFUNCTION("""COMPUTED_VALUE"""),"PENDATAAN")</f>
        <v>PENDATAAN</v>
      </c>
      <c r="K213" s="10" t="str">
        <f ca="1">IFERROR(__xludf.DUMMYFUNCTION("""COMPUTED_VALUE"""),"SUSENAS24-LAPANGAN-SEMESTER1-PPL-PENDATAAN")</f>
        <v>SUSENAS24-LAPANGAN-SEMESTER1-PPL-PENDATAAN</v>
      </c>
      <c r="L213" s="10" t="str">
        <f ca="1">IFERROR(__xludf.DUMMYFUNCTION("""COMPUTED_VALUE"""),"Rumah Tangga")</f>
        <v>Rumah Tangga</v>
      </c>
      <c r="M213" s="66">
        <f ca="1">IFERROR(__xludf.DUMMYFUNCTION("""COMPUTED_VALUE"""),119000)</f>
        <v>119000</v>
      </c>
      <c r="N213" s="10">
        <f ca="1">IFERROR(__xludf.DUMMYFUNCTION("""COMPUTED_VALUE"""),20)</f>
        <v>20</v>
      </c>
      <c r="O213" s="10">
        <f ca="1">IFERROR(__xludf.DUMMYFUNCTION("""COMPUTED_VALUE"""),2380000)</f>
        <v>2380000</v>
      </c>
      <c r="P213" s="70"/>
      <c r="Q213" s="67">
        <f ca="1">IFERROR(__xludf.DUMMYFUNCTION("""COMPUTED_VALUE"""),45367)</f>
        <v>45367</v>
      </c>
    </row>
    <row r="214" spans="1:17" ht="12.5">
      <c r="A214" s="82">
        <f t="array" aca="1" ref="A214" ca="1">INDEX('Database Mitra'!$R$2:$R1001,MATCH(C214,'Database Mitra'!$B$2:$B1001,0))</f>
        <v>36997</v>
      </c>
      <c r="B214" s="10" t="e">
        <f t="shared" ca="1" si="0"/>
        <v>#NAME?</v>
      </c>
      <c r="C214" s="83">
        <f ca="1">IFERROR(__xludf.DUMMYFUNCTION("""COMPUTED_VALUE"""),610422040053)</f>
        <v>610422040053</v>
      </c>
      <c r="D214" s="10" t="str">
        <f ca="1">IFERROR(__xludf.DUMMYFUNCTION("""COMPUTED_VALUE"""),"SUSENAS24-LAPANGAN-SEMESTER1")</f>
        <v>SUSENAS24-LAPANGAN-SEMESTER1</v>
      </c>
      <c r="E214" s="10"/>
      <c r="F214" s="10">
        <f ca="1">IFERROR(__xludf.DUMMYFUNCTION("""COMPUTED_VALUE"""),1)</f>
        <v>1</v>
      </c>
      <c r="G214" s="10" t="str">
        <f ca="1">IFERROR(__xludf.DUMMYFUNCTION("""COMPUTED_VALUE"""),"Veti Ningsi")</f>
        <v>Veti Ningsi</v>
      </c>
      <c r="H214" s="10" t="str">
        <f ca="1">IFERROR(__xludf.DUMMYFUNCTION("""COMPUTED_VALUE"""),"PPL")</f>
        <v>PPL</v>
      </c>
      <c r="I214" s="10" t="str">
        <f ca="1">IFERROR(__xludf.DUMMYFUNCTION("""COMPUTED_VALUE"""),"6102125604010002")</f>
        <v>6102125604010002</v>
      </c>
      <c r="J214" s="10" t="str">
        <f ca="1">IFERROR(__xludf.DUMMYFUNCTION("""COMPUTED_VALUE"""),"PENDATAAN")</f>
        <v>PENDATAAN</v>
      </c>
      <c r="K214" s="10" t="str">
        <f ca="1">IFERROR(__xludf.DUMMYFUNCTION("""COMPUTED_VALUE"""),"SUSENAS24-LAPANGAN-SEMESTER1-PPL-PENDATAAN")</f>
        <v>SUSENAS24-LAPANGAN-SEMESTER1-PPL-PENDATAAN</v>
      </c>
      <c r="L214" s="10" t="str">
        <f ca="1">IFERROR(__xludf.DUMMYFUNCTION("""COMPUTED_VALUE"""),"Rumah Tangga")</f>
        <v>Rumah Tangga</v>
      </c>
      <c r="M214" s="66">
        <f ca="1">IFERROR(__xludf.DUMMYFUNCTION("""COMPUTED_VALUE"""),119000)</f>
        <v>119000</v>
      </c>
      <c r="N214" s="10">
        <f ca="1">IFERROR(__xludf.DUMMYFUNCTION("""COMPUTED_VALUE"""),10)</f>
        <v>10</v>
      </c>
      <c r="O214" s="10">
        <f ca="1">IFERROR(__xludf.DUMMYFUNCTION("""COMPUTED_VALUE"""),1190000)</f>
        <v>1190000</v>
      </c>
      <c r="P214" s="70"/>
      <c r="Q214" s="67">
        <f ca="1">IFERROR(__xludf.DUMMYFUNCTION("""COMPUTED_VALUE"""),45367)</f>
        <v>45367</v>
      </c>
    </row>
    <row r="215" spans="1:17" ht="12.5">
      <c r="A215" s="11">
        <f t="array" aca="1" ref="A215" ca="1">INDEX('Database Mitra'!$R$2:$R1001,MATCH(C215,'Database Mitra'!$B$2:$B1001,0))</f>
        <v>32832</v>
      </c>
      <c r="B215" s="10" t="e">
        <f t="shared" ca="1" si="0"/>
        <v>#NAME?</v>
      </c>
      <c r="C215" s="83">
        <f ca="1">IFERROR(__xludf.DUMMYFUNCTION("""COMPUTED_VALUE"""),610422040013)</f>
        <v>610422040013</v>
      </c>
      <c r="D215" s="10" t="str">
        <f ca="1">IFERROR(__xludf.DUMMYFUNCTION("""COMPUTED_VALUE"""),"SUSENAS24-LAPANGAN-SEMESTER1")</f>
        <v>SUSENAS24-LAPANGAN-SEMESTER1</v>
      </c>
      <c r="E215" s="10"/>
      <c r="F215" s="10">
        <f ca="1">IFERROR(__xludf.DUMMYFUNCTION("""COMPUTED_VALUE"""),1)</f>
        <v>1</v>
      </c>
      <c r="G215" s="10" t="str">
        <f ca="1">IFERROR(__xludf.DUMMYFUNCTION("""COMPUTED_VALUE"""),"Yusra, Se")</f>
        <v>Yusra, Se</v>
      </c>
      <c r="H215" s="10" t="str">
        <f ca="1">IFERROR(__xludf.DUMMYFUNCTION("""COMPUTED_VALUE"""),"PPL")</f>
        <v>PPL</v>
      </c>
      <c r="I215" s="10" t="str">
        <f ca="1">IFERROR(__xludf.DUMMYFUNCTION("""COMPUTED_VALUE"""),"6102152011890001")</f>
        <v>6102152011890001</v>
      </c>
      <c r="J215" s="10" t="str">
        <f ca="1">IFERROR(__xludf.DUMMYFUNCTION("""COMPUTED_VALUE"""),"PENDATAAN")</f>
        <v>PENDATAAN</v>
      </c>
      <c r="K215" s="10" t="str">
        <f ca="1">IFERROR(__xludf.DUMMYFUNCTION("""COMPUTED_VALUE"""),"SUSENAS24-LAPANGAN-SEMESTER1-PPL-PENDATAAN")</f>
        <v>SUSENAS24-LAPANGAN-SEMESTER1-PPL-PENDATAAN</v>
      </c>
      <c r="L215" s="10" t="str">
        <f ca="1">IFERROR(__xludf.DUMMYFUNCTION("""COMPUTED_VALUE"""),"Rumah Tangga")</f>
        <v>Rumah Tangga</v>
      </c>
      <c r="M215" s="66">
        <f ca="1">IFERROR(__xludf.DUMMYFUNCTION("""COMPUTED_VALUE"""),119000)</f>
        <v>119000</v>
      </c>
      <c r="N215" s="10">
        <f ca="1">IFERROR(__xludf.DUMMYFUNCTION("""COMPUTED_VALUE"""),20)</f>
        <v>20</v>
      </c>
      <c r="O215" s="10">
        <f ca="1">IFERROR(__xludf.DUMMYFUNCTION("""COMPUTED_VALUE"""),2380000)</f>
        <v>2380000</v>
      </c>
      <c r="P215" s="70"/>
      <c r="Q215" s="67">
        <f ca="1">IFERROR(__xludf.DUMMYFUNCTION("""COMPUTED_VALUE"""),45367)</f>
        <v>45367</v>
      </c>
    </row>
    <row r="216" spans="1:17" ht="12.5">
      <c r="A216" s="82">
        <f t="array" aca="1" ref="A216" ca="1">INDEX('Database Mitra'!$R$2:$R1001,MATCH(C216,'Database Mitra'!$B$2:$B1001,0))</f>
        <v>32184</v>
      </c>
      <c r="B216" s="10" t="e">
        <f t="shared" ca="1" si="0"/>
        <v>#NAME?</v>
      </c>
      <c r="C216" s="83">
        <f ca="1">IFERROR(__xludf.DUMMYFUNCTION("""COMPUTED_VALUE"""),610422020032)</f>
        <v>610422020032</v>
      </c>
      <c r="D216" s="10" t="str">
        <f ca="1">IFERROR(__xludf.DUMMYFUNCTION("""COMPUTED_VALUE"""),"SUSENAS24-LAPANGAN-SEMESTER1")</f>
        <v>SUSENAS24-LAPANGAN-SEMESTER1</v>
      </c>
      <c r="E216" s="10"/>
      <c r="F216" s="10">
        <f ca="1">IFERROR(__xludf.DUMMYFUNCTION("""COMPUTED_VALUE"""),1)</f>
        <v>1</v>
      </c>
      <c r="G216" s="10" t="str">
        <f ca="1">IFERROR(__xludf.DUMMYFUNCTION("""COMPUTED_VALUE"""),"Lilis Suryani")</f>
        <v>Lilis Suryani</v>
      </c>
      <c r="H216" s="10" t="str">
        <f ca="1">IFERROR(__xludf.DUMMYFUNCTION("""COMPUTED_VALUE"""),"PPL")</f>
        <v>PPL</v>
      </c>
      <c r="I216" s="10" t="str">
        <f ca="1">IFERROR(__xludf.DUMMYFUNCTION("""COMPUTED_VALUE"""),"6102185102880001")</f>
        <v>6102185102880001</v>
      </c>
      <c r="J216" s="10" t="str">
        <f ca="1">IFERROR(__xludf.DUMMYFUNCTION("""COMPUTED_VALUE"""),"PENDATAAN")</f>
        <v>PENDATAAN</v>
      </c>
      <c r="K216" s="10" t="str">
        <f ca="1">IFERROR(__xludf.DUMMYFUNCTION("""COMPUTED_VALUE"""),"SUSENAS24-LAPANGAN-SEMESTER1-PPL-PENDATAAN")</f>
        <v>SUSENAS24-LAPANGAN-SEMESTER1-PPL-PENDATAAN</v>
      </c>
      <c r="L216" s="10" t="str">
        <f ca="1">IFERROR(__xludf.DUMMYFUNCTION("""COMPUTED_VALUE"""),"Rumah Tangga")</f>
        <v>Rumah Tangga</v>
      </c>
      <c r="M216" s="66">
        <f ca="1">IFERROR(__xludf.DUMMYFUNCTION("""COMPUTED_VALUE"""),119000)</f>
        <v>119000</v>
      </c>
      <c r="N216" s="10">
        <f ca="1">IFERROR(__xludf.DUMMYFUNCTION("""COMPUTED_VALUE"""),10)</f>
        <v>10</v>
      </c>
      <c r="O216" s="10">
        <f ca="1">IFERROR(__xludf.DUMMYFUNCTION("""COMPUTED_VALUE"""),1190000)</f>
        <v>1190000</v>
      </c>
      <c r="P216" s="70"/>
      <c r="Q216" s="67">
        <f ca="1">IFERROR(__xludf.DUMMYFUNCTION("""COMPUTED_VALUE"""),45367)</f>
        <v>45367</v>
      </c>
    </row>
    <row r="217" spans="1:17" ht="12.5">
      <c r="A217" s="82">
        <f t="array" aca="1" ref="A217" ca="1">INDEX('Database Mitra'!$R$2:$R1001,MATCH(C217,'Database Mitra'!$B$2:$B1001,0))</f>
        <v>34232</v>
      </c>
      <c r="B217" s="10" t="e">
        <f t="shared" ca="1" si="0"/>
        <v>#NAME?</v>
      </c>
      <c r="C217" s="83">
        <f ca="1">IFERROR(__xludf.DUMMYFUNCTION("""COMPUTED_VALUE"""),610422020045)</f>
        <v>610422020045</v>
      </c>
      <c r="D217" s="10" t="str">
        <f ca="1">IFERROR(__xludf.DUMMYFUNCTION("""COMPUTED_VALUE"""),"SUSENAS24-LAPANGAN-SEMESTER1")</f>
        <v>SUSENAS24-LAPANGAN-SEMESTER1</v>
      </c>
      <c r="E217" s="10"/>
      <c r="F217" s="10">
        <f ca="1">IFERROR(__xludf.DUMMYFUNCTION("""COMPUTED_VALUE"""),1)</f>
        <v>1</v>
      </c>
      <c r="G217" s="10" t="str">
        <f ca="1">IFERROR(__xludf.DUMMYFUNCTION("""COMPUTED_VALUE"""),"Herdinatara Febria")</f>
        <v>Herdinatara Febria</v>
      </c>
      <c r="H217" s="10" t="str">
        <f ca="1">IFERROR(__xludf.DUMMYFUNCTION("""COMPUTED_VALUE"""),"PPL")</f>
        <v>PPL</v>
      </c>
      <c r="I217" s="10" t="str">
        <f ca="1">IFERROR(__xludf.DUMMYFUNCTION("""COMPUTED_VALUE"""),"6107086009930002")</f>
        <v>6107086009930002</v>
      </c>
      <c r="J217" s="10" t="str">
        <f ca="1">IFERROR(__xludf.DUMMYFUNCTION("""COMPUTED_VALUE"""),"PENDATAAN")</f>
        <v>PENDATAAN</v>
      </c>
      <c r="K217" s="10" t="str">
        <f ca="1">IFERROR(__xludf.DUMMYFUNCTION("""COMPUTED_VALUE"""),"SUSENAS24-LAPANGAN-SEMESTER1-PPL-PENDATAAN")</f>
        <v>SUSENAS24-LAPANGAN-SEMESTER1-PPL-PENDATAAN</v>
      </c>
      <c r="L217" s="10" t="str">
        <f ca="1">IFERROR(__xludf.DUMMYFUNCTION("""COMPUTED_VALUE"""),"Rumah Tangga")</f>
        <v>Rumah Tangga</v>
      </c>
      <c r="M217" s="66">
        <f ca="1">IFERROR(__xludf.DUMMYFUNCTION("""COMPUTED_VALUE"""),119000)</f>
        <v>119000</v>
      </c>
      <c r="N217" s="10">
        <f ca="1">IFERROR(__xludf.DUMMYFUNCTION("""COMPUTED_VALUE"""),20)</f>
        <v>20</v>
      </c>
      <c r="O217" s="10">
        <f ca="1">IFERROR(__xludf.DUMMYFUNCTION("""COMPUTED_VALUE"""),2380000)</f>
        <v>2380000</v>
      </c>
      <c r="P217" s="70"/>
      <c r="Q217" s="67">
        <f ca="1">IFERROR(__xludf.DUMMYFUNCTION("""COMPUTED_VALUE"""),45367)</f>
        <v>45367</v>
      </c>
    </row>
    <row r="218" spans="1:17" ht="12.5">
      <c r="A218" s="82">
        <f t="array" aca="1" ref="A218" ca="1">INDEX('Database Mitra'!$R$2:$R1001,MATCH(C218,'Database Mitra'!$B$2:$B1001,0))</f>
        <v>31773</v>
      </c>
      <c r="B218" s="10" t="e">
        <f t="shared" ca="1" si="0"/>
        <v>#NAME?</v>
      </c>
      <c r="C218" s="83">
        <f ca="1">IFERROR(__xludf.DUMMYFUNCTION("""COMPUTED_VALUE"""),610422030002)</f>
        <v>610422030002</v>
      </c>
      <c r="D218" s="10" t="str">
        <f ca="1">IFERROR(__xludf.DUMMYFUNCTION("""COMPUTED_VALUE"""),"SHPB24-LAPANGAN-MARET")</f>
        <v>SHPB24-LAPANGAN-MARET</v>
      </c>
      <c r="E218" s="10"/>
      <c r="F218" s="10">
        <f ca="1">IFERROR(__xludf.DUMMYFUNCTION("""COMPUTED_VALUE"""),1)</f>
        <v>1</v>
      </c>
      <c r="G218" s="10" t="str">
        <f ca="1">IFERROR(__xludf.DUMMYFUNCTION("""COMPUTED_VALUE"""),"Deti Erni Widiastuti")</f>
        <v>Deti Erni Widiastuti</v>
      </c>
      <c r="H218" s="10" t="str">
        <f ca="1">IFERROR(__xludf.DUMMYFUNCTION("""COMPUTED_VALUE"""),"PPL")</f>
        <v>PPL</v>
      </c>
      <c r="I218" s="10" t="str">
        <f ca="1">IFERROR(__xludf.DUMMYFUNCTION("""COMPUTED_VALUE"""),"6102016712860001")</f>
        <v>6102016712860001</v>
      </c>
      <c r="J218" s="10" t="str">
        <f ca="1">IFERROR(__xludf.DUMMYFUNCTION("""COMPUTED_VALUE"""),"PENDATAAN")</f>
        <v>PENDATAAN</v>
      </c>
      <c r="K218" s="10" t="str">
        <f ca="1">IFERROR(__xludf.DUMMYFUNCTION("""COMPUTED_VALUE"""),"SHPB24-LAPANGAN-MARET-PPL-PENDATAAN")</f>
        <v>SHPB24-LAPANGAN-MARET-PPL-PENDATAAN</v>
      </c>
      <c r="L218" s="10" t="str">
        <f ca="1">IFERROR(__xludf.DUMMYFUNCTION("""COMPUTED_VALUE"""),"Dokumen")</f>
        <v>Dokumen</v>
      </c>
      <c r="M218" s="66">
        <f ca="1">IFERROR(__xludf.DUMMYFUNCTION("""COMPUTED_VALUE"""),50000)</f>
        <v>50000</v>
      </c>
      <c r="N218" s="10">
        <f ca="1">IFERROR(__xludf.DUMMYFUNCTION("""COMPUTED_VALUE"""),15)</f>
        <v>15</v>
      </c>
      <c r="O218" s="10">
        <f ca="1">IFERROR(__xludf.DUMMYFUNCTION("""COMPUTED_VALUE"""),750000)</f>
        <v>750000</v>
      </c>
      <c r="P218" s="10"/>
      <c r="Q218" s="67">
        <f ca="1">IFERROR(__xludf.DUMMYFUNCTION("""COMPUTED_VALUE"""),45371)</f>
        <v>45371</v>
      </c>
    </row>
    <row r="219" spans="1:17" ht="12.5">
      <c r="A219" s="82">
        <f t="array" aca="1" ref="A219" ca="1">INDEX('Database Mitra'!$R$2:$R1001,MATCH(C219,'Database Mitra'!$B$2:$B1001,0))</f>
        <v>32942</v>
      </c>
      <c r="B219" s="10" t="e">
        <f t="shared" ca="1" si="0"/>
        <v>#NAME?</v>
      </c>
      <c r="C219" s="83">
        <f ca="1">IFERROR(__xludf.DUMMYFUNCTION("""COMPUTED_VALUE"""),610422100244)</f>
        <v>610422100244</v>
      </c>
      <c r="D219" s="10" t="str">
        <f ca="1">IFERROR(__xludf.DUMMYFUNCTION("""COMPUTED_VALUE"""),"HPG24-LAPANGAN-MARET")</f>
        <v>HPG24-LAPANGAN-MARET</v>
      </c>
      <c r="E219" s="10"/>
      <c r="F219" s="10">
        <f ca="1">IFERROR(__xludf.DUMMYFUNCTION("""COMPUTED_VALUE"""),1)</f>
        <v>1</v>
      </c>
      <c r="G219" s="10" t="str">
        <f ca="1">IFERROR(__xludf.DUMMYFUNCTION("""COMPUTED_VALUE"""),"Sugianto")</f>
        <v>Sugianto</v>
      </c>
      <c r="H219" s="10" t="str">
        <f ca="1">IFERROR(__xludf.DUMMYFUNCTION("""COMPUTED_VALUE"""),"PPL")</f>
        <v>PPL</v>
      </c>
      <c r="I219" s="10" t="str">
        <f ca="1">IFERROR(__xludf.DUMMYFUNCTION("""COMPUTED_VALUE"""),"6102171003900002")</f>
        <v>6102171003900002</v>
      </c>
      <c r="J219" s="10" t="str">
        <f ca="1">IFERROR(__xludf.DUMMYFUNCTION("""COMPUTED_VALUE"""),"PENDATAAN")</f>
        <v>PENDATAAN</v>
      </c>
      <c r="K219" s="10" t="str">
        <f ca="1">IFERROR(__xludf.DUMMYFUNCTION("""COMPUTED_VALUE"""),"HPG24-LAPANGAN-MARET-PPL-PENDATAAN")</f>
        <v>HPG24-LAPANGAN-MARET-PPL-PENDATAAN</v>
      </c>
      <c r="L219" s="10" t="str">
        <f ca="1">IFERROR(__xludf.DUMMYFUNCTION("""COMPUTED_VALUE"""),"Dokumen")</f>
        <v>Dokumen</v>
      </c>
      <c r="M219" s="66">
        <f ca="1">IFERROR(__xludf.DUMMYFUNCTION("""COMPUTED_VALUE"""),50000)</f>
        <v>50000</v>
      </c>
      <c r="N219" s="10">
        <f ca="1">IFERROR(__xludf.DUMMYFUNCTION("""COMPUTED_VALUE"""),1)</f>
        <v>1</v>
      </c>
      <c r="O219" s="10">
        <f ca="1">IFERROR(__xludf.DUMMYFUNCTION("""COMPUTED_VALUE"""),50000)</f>
        <v>50000</v>
      </c>
      <c r="P219" s="10"/>
      <c r="Q219" s="67">
        <f ca="1">IFERROR(__xludf.DUMMYFUNCTION("""COMPUTED_VALUE"""),45371)</f>
        <v>45371</v>
      </c>
    </row>
    <row r="220" spans="1:17" ht="12.5">
      <c r="A220" s="82">
        <f t="array" aca="1" ref="A220" ca="1">INDEX('Database Mitra'!$R$2:$R1001,MATCH(C220,'Database Mitra'!$B$2:$B1001,0))</f>
        <v>29068</v>
      </c>
      <c r="B220" s="10" t="e">
        <f t="shared" ca="1" si="0"/>
        <v>#NAME?</v>
      </c>
      <c r="C220" s="83">
        <f ca="1">IFERROR(__xludf.DUMMYFUNCTION("""COMPUTED_VALUE"""),610422100124)</f>
        <v>610422100124</v>
      </c>
      <c r="D220" s="10" t="str">
        <f ca="1">IFERROR(__xludf.DUMMYFUNCTION("""COMPUTED_VALUE"""),"HPG24-LAPANGAN-MARET")</f>
        <v>HPG24-LAPANGAN-MARET</v>
      </c>
      <c r="E220" s="10"/>
      <c r="F220" s="10">
        <f ca="1">IFERROR(__xludf.DUMMYFUNCTION("""COMPUTED_VALUE"""),1)</f>
        <v>1</v>
      </c>
      <c r="G220" s="10" t="str">
        <f ca="1">IFERROR(__xludf.DUMMYFUNCTION("""COMPUTED_VALUE"""),"Prabowo")</f>
        <v>Prabowo</v>
      </c>
      <c r="H220" s="10" t="str">
        <f ca="1">IFERROR(__xludf.DUMMYFUNCTION("""COMPUTED_VALUE"""),"PPL")</f>
        <v>PPL</v>
      </c>
      <c r="I220" s="10" t="str">
        <f ca="1">IFERROR(__xludf.DUMMYFUNCTION("""COMPUTED_VALUE"""),"6171010108790015")</f>
        <v>6171010108790015</v>
      </c>
      <c r="J220" s="10" t="str">
        <f ca="1">IFERROR(__xludf.DUMMYFUNCTION("""COMPUTED_VALUE"""),"PENDATAAN")</f>
        <v>PENDATAAN</v>
      </c>
      <c r="K220" s="10" t="str">
        <f ca="1">IFERROR(__xludf.DUMMYFUNCTION("""COMPUTED_VALUE"""),"HPG24-LAPANGAN-MARET-PPL-PENDATAAN")</f>
        <v>HPG24-LAPANGAN-MARET-PPL-PENDATAAN</v>
      </c>
      <c r="L220" s="10" t="str">
        <f ca="1">IFERROR(__xludf.DUMMYFUNCTION("""COMPUTED_VALUE"""),"Dokumen")</f>
        <v>Dokumen</v>
      </c>
      <c r="M220" s="66">
        <f ca="1">IFERROR(__xludf.DUMMYFUNCTION("""COMPUTED_VALUE"""),50000)</f>
        <v>50000</v>
      </c>
      <c r="N220" s="10">
        <f ca="1">IFERROR(__xludf.DUMMYFUNCTION("""COMPUTED_VALUE"""),1)</f>
        <v>1</v>
      </c>
      <c r="O220" s="10">
        <f ca="1">IFERROR(__xludf.DUMMYFUNCTION("""COMPUTED_VALUE"""),50000)</f>
        <v>50000</v>
      </c>
      <c r="P220" s="10"/>
      <c r="Q220" s="67">
        <f ca="1">IFERROR(__xludf.DUMMYFUNCTION("""COMPUTED_VALUE"""),45371)</f>
        <v>45371</v>
      </c>
    </row>
    <row r="221" spans="1:17" ht="12.5">
      <c r="A221" s="82">
        <f t="array" aca="1" ref="A221" ca="1">INDEX('Database Mitra'!$R$2:$R1001,MATCH(C221,'Database Mitra'!$B$2:$B1001,0))</f>
        <v>37531</v>
      </c>
      <c r="B221" s="10" t="e">
        <f t="shared" ca="1" si="0"/>
        <v>#NAME?</v>
      </c>
      <c r="C221" s="83">
        <f ca="1">IFERROR(__xludf.DUMMYFUNCTION("""COMPUTED_VALUE"""),610422100016)</f>
        <v>610422100016</v>
      </c>
      <c r="D221" s="10" t="str">
        <f ca="1">IFERROR(__xludf.DUMMYFUNCTION("""COMPUTED_VALUE"""),"SHPED24-LAPANGAN-MARET")</f>
        <v>SHPED24-LAPANGAN-MARET</v>
      </c>
      <c r="E221" s="10"/>
      <c r="F221" s="10">
        <f ca="1">IFERROR(__xludf.DUMMYFUNCTION("""COMPUTED_VALUE"""),1)</f>
        <v>1</v>
      </c>
      <c r="G221" s="10" t="str">
        <f ca="1">IFERROR(__xludf.DUMMYFUNCTION("""COMPUTED_VALUE"""),"Amalia Faisya")</f>
        <v>Amalia Faisya</v>
      </c>
      <c r="H221" s="10" t="str">
        <f ca="1">IFERROR(__xludf.DUMMYFUNCTION("""COMPUTED_VALUE"""),"PPL")</f>
        <v>PPL</v>
      </c>
      <c r="I221" s="10" t="str">
        <f ca="1">IFERROR(__xludf.DUMMYFUNCTION("""COMPUTED_VALUE"""),"6102124210010005")</f>
        <v>6102124210010005</v>
      </c>
      <c r="J221" s="10" t="str">
        <f ca="1">IFERROR(__xludf.DUMMYFUNCTION("""COMPUTED_VALUE"""),"PENDATAAN KONSUMEN")</f>
        <v>PENDATAAN KONSUMEN</v>
      </c>
      <c r="K221" s="10" t="str">
        <f ca="1">IFERROR(__xludf.DUMMYFUNCTION("""COMPUTED_VALUE"""),"SHPED24-LAPANGAN-MARET-PPL-PENDATAAN KONSUMEN")</f>
        <v>SHPED24-LAPANGAN-MARET-PPL-PENDATAAN KONSUMEN</v>
      </c>
      <c r="L221" s="10" t="str">
        <f ca="1">IFERROR(__xludf.DUMMYFUNCTION("""COMPUTED_VALUE"""),"Dokumen")</f>
        <v>Dokumen</v>
      </c>
      <c r="M221" s="66">
        <f ca="1">IFERROR(__xludf.DUMMYFUNCTION("""COMPUTED_VALUE"""),65000)</f>
        <v>65000</v>
      </c>
      <c r="N221" s="10">
        <f ca="1">IFERROR(__xludf.DUMMYFUNCTION("""COMPUTED_VALUE"""),3)</f>
        <v>3</v>
      </c>
      <c r="O221" s="10">
        <f ca="1">IFERROR(__xludf.DUMMYFUNCTION("""COMPUTED_VALUE"""),195000)</f>
        <v>195000</v>
      </c>
      <c r="P221" s="10"/>
      <c r="Q221" s="67">
        <f ca="1">IFERROR(__xludf.DUMMYFUNCTION("""COMPUTED_VALUE"""),45371)</f>
        <v>45371</v>
      </c>
    </row>
    <row r="222" spans="1:17" ht="12.5">
      <c r="A222" s="82">
        <f t="array" aca="1" ref="A222" ca="1">INDEX('Database Mitra'!$R$2:$R1001,MATCH(C222,'Database Mitra'!$B$2:$B1001,0))</f>
        <v>30692</v>
      </c>
      <c r="B222" s="10" t="e">
        <f t="shared" ca="1" si="0"/>
        <v>#NAME?</v>
      </c>
      <c r="C222" s="83">
        <f ca="1">IFERROR(__xludf.DUMMYFUNCTION("""COMPUTED_VALUE"""),610422050001)</f>
        <v>610422050001</v>
      </c>
      <c r="D222" s="10" t="str">
        <f ca="1">IFERROR(__xludf.DUMMYFUNCTION("""COMPUTED_VALUE"""),"SHPED24-LAPANGAN-MARET")</f>
        <v>SHPED24-LAPANGAN-MARET</v>
      </c>
      <c r="E222" s="10"/>
      <c r="F222" s="10">
        <f ca="1">IFERROR(__xludf.DUMMYFUNCTION("""COMPUTED_VALUE"""),1)</f>
        <v>1</v>
      </c>
      <c r="G222" s="10" t="str">
        <f ca="1">IFERROR(__xludf.DUMMYFUNCTION("""COMPUTED_VALUE"""),"Evi Juniarty")</f>
        <v>Evi Juniarty</v>
      </c>
      <c r="H222" s="10" t="str">
        <f ca="1">IFERROR(__xludf.DUMMYFUNCTION("""COMPUTED_VALUE"""),"PPL")</f>
        <v>PPL</v>
      </c>
      <c r="I222" s="10" t="str">
        <f ca="1">IFERROR(__xludf.DUMMYFUNCTION("""COMPUTED_VALUE"""),"6102165101840001")</f>
        <v>6102165101840001</v>
      </c>
      <c r="J222" s="10" t="str">
        <f ca="1">IFERROR(__xludf.DUMMYFUNCTION("""COMPUTED_VALUE"""),"PENDATAAN KONSUMEN")</f>
        <v>PENDATAAN KONSUMEN</v>
      </c>
      <c r="K222" s="10" t="str">
        <f ca="1">IFERROR(__xludf.DUMMYFUNCTION("""COMPUTED_VALUE"""),"SHPED24-LAPANGAN-MARET-PPL-PENDATAAN KONSUMEN")</f>
        <v>SHPED24-LAPANGAN-MARET-PPL-PENDATAAN KONSUMEN</v>
      </c>
      <c r="L222" s="10" t="str">
        <f ca="1">IFERROR(__xludf.DUMMYFUNCTION("""COMPUTED_VALUE"""),"Dokumen")</f>
        <v>Dokumen</v>
      </c>
      <c r="M222" s="66">
        <f ca="1">IFERROR(__xludf.DUMMYFUNCTION("""COMPUTED_VALUE"""),65000)</f>
        <v>65000</v>
      </c>
      <c r="N222" s="10">
        <f ca="1">IFERROR(__xludf.DUMMYFUNCTION("""COMPUTED_VALUE"""),3)</f>
        <v>3</v>
      </c>
      <c r="O222" s="10">
        <f ca="1">IFERROR(__xludf.DUMMYFUNCTION("""COMPUTED_VALUE"""),195000)</f>
        <v>195000</v>
      </c>
      <c r="P222" s="10"/>
      <c r="Q222" s="67">
        <f ca="1">IFERROR(__xludf.DUMMYFUNCTION("""COMPUTED_VALUE"""),45371)</f>
        <v>45371</v>
      </c>
    </row>
    <row r="223" spans="1:17" ht="12.5">
      <c r="A223" s="82">
        <f t="array" aca="1" ref="A223" ca="1">INDEX('Database Mitra'!$R$2:$R1001,MATCH(C223,'Database Mitra'!$B$2:$B1001,0))</f>
        <v>35038</v>
      </c>
      <c r="B223" s="10" t="e">
        <f t="shared" ca="1" si="0"/>
        <v>#NAME?</v>
      </c>
      <c r="C223" s="83">
        <f ca="1">IFERROR(__xludf.DUMMYFUNCTION("""COMPUTED_VALUE"""),610422040030)</f>
        <v>610422040030</v>
      </c>
      <c r="D223" s="10" t="str">
        <f ca="1">IFERROR(__xludf.DUMMYFUNCTION("""COMPUTED_VALUE"""),"SHPED24-LAPANGAN-MARET")</f>
        <v>SHPED24-LAPANGAN-MARET</v>
      </c>
      <c r="E223" s="10"/>
      <c r="F223" s="10">
        <f ca="1">IFERROR(__xludf.DUMMYFUNCTION("""COMPUTED_VALUE"""),1)</f>
        <v>1</v>
      </c>
      <c r="G223" s="10" t="str">
        <f ca="1">IFERROR(__xludf.DUMMYFUNCTION("""COMPUTED_VALUE"""),"Syarifah Desti Pratiwi")</f>
        <v>Syarifah Desti Pratiwi</v>
      </c>
      <c r="H223" s="10" t="str">
        <f ca="1">IFERROR(__xludf.DUMMYFUNCTION("""COMPUTED_VALUE"""),"PPL")</f>
        <v>PPL</v>
      </c>
      <c r="I223" s="10" t="str">
        <f ca="1">IFERROR(__xludf.DUMMYFUNCTION("""COMPUTED_VALUE"""),"6102084512950002")</f>
        <v>6102084512950002</v>
      </c>
      <c r="J223" s="10" t="str">
        <f ca="1">IFERROR(__xludf.DUMMYFUNCTION("""COMPUTED_VALUE"""),"PENDATAAN PRODUSEN")</f>
        <v>PENDATAAN PRODUSEN</v>
      </c>
      <c r="K223" s="10" t="str">
        <f ca="1">IFERROR(__xludf.DUMMYFUNCTION("""COMPUTED_VALUE"""),"SHPED24-LAPANGAN-MARET-PPL-PENDATAAN PRODUSEN")</f>
        <v>SHPED24-LAPANGAN-MARET-PPL-PENDATAAN PRODUSEN</v>
      </c>
      <c r="L223" s="10" t="str">
        <f ca="1">IFERROR(__xludf.DUMMYFUNCTION("""COMPUTED_VALUE"""),"Dokumen")</f>
        <v>Dokumen</v>
      </c>
      <c r="M223" s="66">
        <f ca="1">IFERROR(__xludf.DUMMYFUNCTION("""COMPUTED_VALUE"""),55000)</f>
        <v>55000</v>
      </c>
      <c r="N223" s="10">
        <f ca="1">IFERROR(__xludf.DUMMYFUNCTION("""COMPUTED_VALUE"""),1)</f>
        <v>1</v>
      </c>
      <c r="O223" s="10">
        <f ca="1">IFERROR(__xludf.DUMMYFUNCTION("""COMPUTED_VALUE"""),55000)</f>
        <v>55000</v>
      </c>
      <c r="P223" s="10"/>
      <c r="Q223" s="67">
        <f ca="1">IFERROR(__xludf.DUMMYFUNCTION("""COMPUTED_VALUE"""),45371)</f>
        <v>45371</v>
      </c>
    </row>
    <row r="224" spans="1:17" ht="12.5">
      <c r="A224" s="82">
        <f t="array" aca="1" ref="A224" ca="1">INDEX('Database Mitra'!$R$2:$R1001,MATCH(C224,'Database Mitra'!$B$2:$B1001,0))</f>
        <v>29068</v>
      </c>
      <c r="B224" s="10" t="e">
        <f t="shared" ca="1" si="0"/>
        <v>#NAME?</v>
      </c>
      <c r="C224" s="83">
        <f ca="1">IFERROR(__xludf.DUMMYFUNCTION("""COMPUTED_VALUE"""),610422100124)</f>
        <v>610422100124</v>
      </c>
      <c r="D224" s="10" t="str">
        <f ca="1">IFERROR(__xludf.DUMMYFUNCTION("""COMPUTED_VALUE"""),"SHPED24-LAPANGAN-MARET")</f>
        <v>SHPED24-LAPANGAN-MARET</v>
      </c>
      <c r="E224" s="10"/>
      <c r="F224" s="10">
        <f ca="1">IFERROR(__xludf.DUMMYFUNCTION("""COMPUTED_VALUE"""),1)</f>
        <v>1</v>
      </c>
      <c r="G224" s="10" t="str">
        <f ca="1">IFERROR(__xludf.DUMMYFUNCTION("""COMPUTED_VALUE"""),"Prabowo")</f>
        <v>Prabowo</v>
      </c>
      <c r="H224" s="10" t="str">
        <f ca="1">IFERROR(__xludf.DUMMYFUNCTION("""COMPUTED_VALUE"""),"PPL")</f>
        <v>PPL</v>
      </c>
      <c r="I224" s="10" t="str">
        <f ca="1">IFERROR(__xludf.DUMMYFUNCTION("""COMPUTED_VALUE"""),"6171010108790015")</f>
        <v>6171010108790015</v>
      </c>
      <c r="J224" s="10" t="str">
        <f ca="1">IFERROR(__xludf.DUMMYFUNCTION("""COMPUTED_VALUE"""),"PENDATAAN PRODUSEN")</f>
        <v>PENDATAAN PRODUSEN</v>
      </c>
      <c r="K224" s="10" t="str">
        <f ca="1">IFERROR(__xludf.DUMMYFUNCTION("""COMPUTED_VALUE"""),"SHPED24-LAPANGAN-MARET-PPL-PENDATAAN PRODUSEN")</f>
        <v>SHPED24-LAPANGAN-MARET-PPL-PENDATAAN PRODUSEN</v>
      </c>
      <c r="L224" s="10" t="str">
        <f ca="1">IFERROR(__xludf.DUMMYFUNCTION("""COMPUTED_VALUE"""),"Dokumen")</f>
        <v>Dokumen</v>
      </c>
      <c r="M224" s="66">
        <f ca="1">IFERROR(__xludf.DUMMYFUNCTION("""COMPUTED_VALUE"""),55000)</f>
        <v>55000</v>
      </c>
      <c r="N224" s="10">
        <f ca="1">IFERROR(__xludf.DUMMYFUNCTION("""COMPUTED_VALUE"""),3)</f>
        <v>3</v>
      </c>
      <c r="O224" s="10">
        <f ca="1">IFERROR(__xludf.DUMMYFUNCTION("""COMPUTED_VALUE"""),165000)</f>
        <v>165000</v>
      </c>
      <c r="P224" s="10"/>
      <c r="Q224" s="67">
        <f ca="1">IFERROR(__xludf.DUMMYFUNCTION("""COMPUTED_VALUE"""),45371)</f>
        <v>45371</v>
      </c>
    </row>
    <row r="225" spans="1:17" ht="12.5">
      <c r="A225" s="82">
        <f t="array" aca="1" ref="A225" ca="1">INDEX('Database Mitra'!$R$2:$R1001,MATCH(C225,'Database Mitra'!$B$2:$B1001,0))</f>
        <v>32942</v>
      </c>
      <c r="B225" s="10" t="e">
        <f t="shared" ca="1" si="0"/>
        <v>#NAME?</v>
      </c>
      <c r="C225" s="83">
        <f ca="1">IFERROR(__xludf.DUMMYFUNCTION("""COMPUTED_VALUE"""),610422100244)</f>
        <v>610422100244</v>
      </c>
      <c r="D225" s="10" t="str">
        <f ca="1">IFERROR(__xludf.DUMMYFUNCTION("""COMPUTED_VALUE"""),"SHPED24-LAPANGAN-MARET")</f>
        <v>SHPED24-LAPANGAN-MARET</v>
      </c>
      <c r="E225" s="10"/>
      <c r="F225" s="10">
        <f ca="1">IFERROR(__xludf.DUMMYFUNCTION("""COMPUTED_VALUE"""),1)</f>
        <v>1</v>
      </c>
      <c r="G225" s="10" t="str">
        <f ca="1">IFERROR(__xludf.DUMMYFUNCTION("""COMPUTED_VALUE"""),"Sugianto")</f>
        <v>Sugianto</v>
      </c>
      <c r="H225" s="10" t="str">
        <f ca="1">IFERROR(__xludf.DUMMYFUNCTION("""COMPUTED_VALUE"""),"PPL")</f>
        <v>PPL</v>
      </c>
      <c r="I225" s="10" t="str">
        <f ca="1">IFERROR(__xludf.DUMMYFUNCTION("""COMPUTED_VALUE"""),"6102171003900002")</f>
        <v>6102171003900002</v>
      </c>
      <c r="J225" s="10" t="str">
        <f ca="1">IFERROR(__xludf.DUMMYFUNCTION("""COMPUTED_VALUE"""),"PENDATAAN PRODUSEN")</f>
        <v>PENDATAAN PRODUSEN</v>
      </c>
      <c r="K225" s="10" t="str">
        <f ca="1">IFERROR(__xludf.DUMMYFUNCTION("""COMPUTED_VALUE"""),"SHPED24-LAPANGAN-MARET-PPL-PENDATAAN PRODUSEN")</f>
        <v>SHPED24-LAPANGAN-MARET-PPL-PENDATAAN PRODUSEN</v>
      </c>
      <c r="L225" s="10" t="str">
        <f ca="1">IFERROR(__xludf.DUMMYFUNCTION("""COMPUTED_VALUE"""),"Dokumen")</f>
        <v>Dokumen</v>
      </c>
      <c r="M225" s="66">
        <f ca="1">IFERROR(__xludf.DUMMYFUNCTION("""COMPUTED_VALUE"""),55000)</f>
        <v>55000</v>
      </c>
      <c r="N225" s="10">
        <f ca="1">IFERROR(__xludf.DUMMYFUNCTION("""COMPUTED_VALUE"""),2)</f>
        <v>2</v>
      </c>
      <c r="O225" s="10">
        <f ca="1">IFERROR(__xludf.DUMMYFUNCTION("""COMPUTED_VALUE"""),110000)</f>
        <v>110000</v>
      </c>
      <c r="P225" s="10"/>
      <c r="Q225" s="67">
        <f ca="1">IFERROR(__xludf.DUMMYFUNCTION("""COMPUTED_VALUE"""),45371)</f>
        <v>45371</v>
      </c>
    </row>
    <row r="226" spans="1:17" ht="12.5">
      <c r="A226" s="11">
        <f t="array" aca="1" ref="A226" ca="1">INDEX('Database Mitra'!$R$2:$R1001,MATCH(C226,'Database Mitra'!$B$2:$B1001,0))</f>
        <v>34895</v>
      </c>
      <c r="B226" s="10" t="e">
        <f t="shared" ca="1" si="0"/>
        <v>#NAME?</v>
      </c>
      <c r="C226" s="83">
        <f ca="1">IFERROR(__xludf.DUMMYFUNCTION("""COMPUTED_VALUE"""),610422020016)</f>
        <v>610422020016</v>
      </c>
      <c r="D226" s="10" t="str">
        <f ca="1">IFERROR(__xludf.DUMMYFUNCTION("""COMPUTED_VALUE"""),"SHPED24-LAPANGAN-MARET")</f>
        <v>SHPED24-LAPANGAN-MARET</v>
      </c>
      <c r="E226" s="10"/>
      <c r="F226" s="10">
        <f ca="1">IFERROR(__xludf.DUMMYFUNCTION("""COMPUTED_VALUE"""),1)</f>
        <v>1</v>
      </c>
      <c r="G226" s="10" t="str">
        <f ca="1">IFERROR(__xludf.DUMMYFUNCTION("""COMPUTED_VALUE"""),"Abdul Aziz")</f>
        <v>Abdul Aziz</v>
      </c>
      <c r="H226" s="10" t="str">
        <f ca="1">IFERROR(__xludf.DUMMYFUNCTION("""COMPUTED_VALUE"""),"PPL")</f>
        <v>PPL</v>
      </c>
      <c r="I226" s="10" t="str">
        <f ca="1">IFERROR(__xludf.DUMMYFUNCTION("""COMPUTED_VALUE"""),"6102061507950006")</f>
        <v>6102061507950006</v>
      </c>
      <c r="J226" s="10" t="str">
        <f ca="1">IFERROR(__xludf.DUMMYFUNCTION("""COMPUTED_VALUE"""),"PENDATAAN PRODUSEN")</f>
        <v>PENDATAAN PRODUSEN</v>
      </c>
      <c r="K226" s="10" t="str">
        <f ca="1">IFERROR(__xludf.DUMMYFUNCTION("""COMPUTED_VALUE"""),"SHPED24-LAPANGAN-MARET-PPL-PENDATAAN PRODUSEN")</f>
        <v>SHPED24-LAPANGAN-MARET-PPL-PENDATAAN PRODUSEN</v>
      </c>
      <c r="L226" s="10" t="str">
        <f ca="1">IFERROR(__xludf.DUMMYFUNCTION("""COMPUTED_VALUE"""),"Dokumen")</f>
        <v>Dokumen</v>
      </c>
      <c r="M226" s="66">
        <f ca="1">IFERROR(__xludf.DUMMYFUNCTION("""COMPUTED_VALUE"""),55000)</f>
        <v>55000</v>
      </c>
      <c r="N226" s="10">
        <f ca="1">IFERROR(__xludf.DUMMYFUNCTION("""COMPUTED_VALUE"""),3)</f>
        <v>3</v>
      </c>
      <c r="O226" s="10">
        <f ca="1">IFERROR(__xludf.DUMMYFUNCTION("""COMPUTED_VALUE"""),165000)</f>
        <v>165000</v>
      </c>
      <c r="P226" s="10"/>
      <c r="Q226" s="67">
        <f ca="1">IFERROR(__xludf.DUMMYFUNCTION("""COMPUTED_VALUE"""),45371)</f>
        <v>45371</v>
      </c>
    </row>
    <row r="227" spans="1:17" ht="12.5">
      <c r="A227" s="82">
        <f t="array" aca="1" ref="A227" ca="1">INDEX('Database Mitra'!$R$2:$R1001,MATCH(C227,'Database Mitra'!$B$2:$B1001,0))</f>
        <v>37531</v>
      </c>
      <c r="B227" s="10" t="e">
        <f t="shared" ca="1" si="0"/>
        <v>#NAME?</v>
      </c>
      <c r="C227" s="83">
        <f ca="1">IFERROR(__xludf.DUMMYFUNCTION("""COMPUTED_VALUE"""),610422100016)</f>
        <v>610422100016</v>
      </c>
      <c r="D227" s="10" t="str">
        <f ca="1">IFERROR(__xludf.DUMMYFUNCTION("""COMPUTED_VALUE"""),"SHPED24-LAPANGAN-MARET")</f>
        <v>SHPED24-LAPANGAN-MARET</v>
      </c>
      <c r="E227" s="10"/>
      <c r="F227" s="10">
        <f ca="1">IFERROR(__xludf.DUMMYFUNCTION("""COMPUTED_VALUE"""),1)</f>
        <v>1</v>
      </c>
      <c r="G227" s="10" t="str">
        <f ca="1">IFERROR(__xludf.DUMMYFUNCTION("""COMPUTED_VALUE"""),"Amalia Faisya")</f>
        <v>Amalia Faisya</v>
      </c>
      <c r="H227" s="10" t="str">
        <f ca="1">IFERROR(__xludf.DUMMYFUNCTION("""COMPUTED_VALUE"""),"PPL")</f>
        <v>PPL</v>
      </c>
      <c r="I227" s="10" t="str">
        <f ca="1">IFERROR(__xludf.DUMMYFUNCTION("""COMPUTED_VALUE"""),"6102124210010005")</f>
        <v>6102124210010005</v>
      </c>
      <c r="J227" s="10" t="str">
        <f ca="1">IFERROR(__xludf.DUMMYFUNCTION("""COMPUTED_VALUE"""),"PENDATAAN PRODUSEN")</f>
        <v>PENDATAAN PRODUSEN</v>
      </c>
      <c r="K227" s="10" t="str">
        <f ca="1">IFERROR(__xludf.DUMMYFUNCTION("""COMPUTED_VALUE"""),"SHPED24-LAPANGAN-MARET-PPL-PENDATAAN PRODUSEN")</f>
        <v>SHPED24-LAPANGAN-MARET-PPL-PENDATAAN PRODUSEN</v>
      </c>
      <c r="L227" s="10" t="str">
        <f ca="1">IFERROR(__xludf.DUMMYFUNCTION("""COMPUTED_VALUE"""),"Dokumen")</f>
        <v>Dokumen</v>
      </c>
      <c r="M227" s="66">
        <f ca="1">IFERROR(__xludf.DUMMYFUNCTION("""COMPUTED_VALUE"""),55000)</f>
        <v>55000</v>
      </c>
      <c r="N227" s="10">
        <f ca="1">IFERROR(__xludf.DUMMYFUNCTION("""COMPUTED_VALUE"""),1)</f>
        <v>1</v>
      </c>
      <c r="O227" s="10">
        <f ca="1">IFERROR(__xludf.DUMMYFUNCTION("""COMPUTED_VALUE"""),55000)</f>
        <v>55000</v>
      </c>
      <c r="P227" s="10"/>
      <c r="Q227" s="67">
        <f ca="1">IFERROR(__xludf.DUMMYFUNCTION("""COMPUTED_VALUE"""),45371)</f>
        <v>45371</v>
      </c>
    </row>
    <row r="228" spans="1:17" ht="12.5">
      <c r="A228" s="11">
        <f t="array" aca="1" ref="A228" ca="1">INDEX('Database Mitra'!$R$2:$R1001,MATCH(C228,'Database Mitra'!$B$2:$B1001,0))</f>
        <v>29305</v>
      </c>
      <c r="B228" s="10" t="e">
        <f t="shared" ca="1" si="0"/>
        <v>#NAME?</v>
      </c>
      <c r="C228" s="83">
        <f ca="1">IFERROR(__xludf.DUMMYFUNCTION("""COMPUTED_VALUE"""),610422020048)</f>
        <v>610422020048</v>
      </c>
      <c r="D228" s="10" t="str">
        <f ca="1">IFERROR(__xludf.DUMMYFUNCTION("""COMPUTED_VALUE"""),"SHPED24-LAPANGAN-MARET")</f>
        <v>SHPED24-LAPANGAN-MARET</v>
      </c>
      <c r="E228" s="10"/>
      <c r="F228" s="10">
        <f ca="1">IFERROR(__xludf.DUMMYFUNCTION("""COMPUTED_VALUE"""),1)</f>
        <v>1</v>
      </c>
      <c r="G228" s="10" t="str">
        <f ca="1">IFERROR(__xludf.DUMMYFUNCTION("""COMPUTED_VALUE"""),"Herri Gustaman")</f>
        <v>Herri Gustaman</v>
      </c>
      <c r="H228" s="10" t="str">
        <f ca="1">IFERROR(__xludf.DUMMYFUNCTION("""COMPUTED_VALUE"""),"PPL")</f>
        <v>PPL</v>
      </c>
      <c r="I228" s="10" t="str">
        <f ca="1">IFERROR(__xludf.DUMMYFUNCTION("""COMPUTED_VALUE"""),"6102072503800001")</f>
        <v>6102072503800001</v>
      </c>
      <c r="J228" s="10" t="str">
        <f ca="1">IFERROR(__xludf.DUMMYFUNCTION("""COMPUTED_VALUE"""),"PENDATAAN PRODUSEN")</f>
        <v>PENDATAAN PRODUSEN</v>
      </c>
      <c r="K228" s="10" t="str">
        <f ca="1">IFERROR(__xludf.DUMMYFUNCTION("""COMPUTED_VALUE"""),"SHPED24-LAPANGAN-MARET-PPL-PENDATAAN PRODUSEN")</f>
        <v>SHPED24-LAPANGAN-MARET-PPL-PENDATAAN PRODUSEN</v>
      </c>
      <c r="L228" s="10" t="str">
        <f ca="1">IFERROR(__xludf.DUMMYFUNCTION("""COMPUTED_VALUE"""),"Dokumen")</f>
        <v>Dokumen</v>
      </c>
      <c r="M228" s="66">
        <f ca="1">IFERROR(__xludf.DUMMYFUNCTION("""COMPUTED_VALUE"""),55000)</f>
        <v>55000</v>
      </c>
      <c r="N228" s="10">
        <f ca="1">IFERROR(__xludf.DUMMYFUNCTION("""COMPUTED_VALUE"""),3)</f>
        <v>3</v>
      </c>
      <c r="O228" s="10">
        <f ca="1">IFERROR(__xludf.DUMMYFUNCTION("""COMPUTED_VALUE"""),165000)</f>
        <v>165000</v>
      </c>
      <c r="P228" s="10"/>
      <c r="Q228" s="67">
        <f ca="1">IFERROR(__xludf.DUMMYFUNCTION("""COMPUTED_VALUE"""),45371)</f>
        <v>45371</v>
      </c>
    </row>
    <row r="229" spans="1:17" ht="12.5">
      <c r="A229" s="82">
        <f t="array" aca="1" ref="A229" ca="1">INDEX('Database Mitra'!$R$2:$R1001,MATCH(C229,'Database Mitra'!$B$2:$B1001,0))</f>
        <v>31964</v>
      </c>
      <c r="B229" s="10" t="e">
        <f t="shared" ca="1" si="0"/>
        <v>#NAME?</v>
      </c>
      <c r="C229" s="83">
        <f ca="1">IFERROR(__xludf.DUMMYFUNCTION("""COMPUTED_VALUE"""),610422040029)</f>
        <v>610422040029</v>
      </c>
      <c r="D229" s="10" t="str">
        <f ca="1">IFERROR(__xludf.DUMMYFUNCTION("""COMPUTED_VALUE"""),"SHPED24-LAPANGAN-MARET")</f>
        <v>SHPED24-LAPANGAN-MARET</v>
      </c>
      <c r="E229" s="10"/>
      <c r="F229" s="10">
        <f ca="1">IFERROR(__xludf.DUMMYFUNCTION("""COMPUTED_VALUE"""),1)</f>
        <v>1</v>
      </c>
      <c r="G229" s="10" t="str">
        <f ca="1">IFERROR(__xludf.DUMMYFUNCTION("""COMPUTED_VALUE"""),"Zaini")</f>
        <v>Zaini</v>
      </c>
      <c r="H229" s="10" t="str">
        <f ca="1">IFERROR(__xludf.DUMMYFUNCTION("""COMPUTED_VALUE"""),"PPL")</f>
        <v>PPL</v>
      </c>
      <c r="I229" s="10" t="str">
        <f ca="1">IFERROR(__xludf.DUMMYFUNCTION("""COMPUTED_VALUE"""),"6102010607870002")</f>
        <v>6102010607870002</v>
      </c>
      <c r="J229" s="10" t="str">
        <f ca="1">IFERROR(__xludf.DUMMYFUNCTION("""COMPUTED_VALUE"""),"PENDATAAN PRODUSEN")</f>
        <v>PENDATAAN PRODUSEN</v>
      </c>
      <c r="K229" s="10" t="str">
        <f ca="1">IFERROR(__xludf.DUMMYFUNCTION("""COMPUTED_VALUE"""),"SHPED24-LAPANGAN-MARET-PPL-PENDATAAN PRODUSEN")</f>
        <v>SHPED24-LAPANGAN-MARET-PPL-PENDATAAN PRODUSEN</v>
      </c>
      <c r="L229" s="10" t="str">
        <f ca="1">IFERROR(__xludf.DUMMYFUNCTION("""COMPUTED_VALUE"""),"Dokumen")</f>
        <v>Dokumen</v>
      </c>
      <c r="M229" s="66">
        <f ca="1">IFERROR(__xludf.DUMMYFUNCTION("""COMPUTED_VALUE"""),55000)</f>
        <v>55000</v>
      </c>
      <c r="N229" s="10">
        <f ca="1">IFERROR(__xludf.DUMMYFUNCTION("""COMPUTED_VALUE"""),4)</f>
        <v>4</v>
      </c>
      <c r="O229" s="10">
        <f ca="1">IFERROR(__xludf.DUMMYFUNCTION("""COMPUTED_VALUE"""),220000)</f>
        <v>220000</v>
      </c>
      <c r="P229" s="10"/>
      <c r="Q229" s="67">
        <f ca="1">IFERROR(__xludf.DUMMYFUNCTION("""COMPUTED_VALUE"""),45371)</f>
        <v>45371</v>
      </c>
    </row>
    <row r="230" spans="1:17" ht="12.5">
      <c r="A230" s="82">
        <f t="array" aca="1" ref="A230" ca="1">INDEX('Database Mitra'!$R$2:$R1001,MATCH(C230,'Database Mitra'!$B$2:$B1001,0))</f>
        <v>30692</v>
      </c>
      <c r="B230" s="10" t="e">
        <f t="shared" ca="1" si="0"/>
        <v>#NAME?</v>
      </c>
      <c r="C230" s="83">
        <f ca="1">IFERROR(__xludf.DUMMYFUNCTION("""COMPUTED_VALUE"""),610422050001)</f>
        <v>610422050001</v>
      </c>
      <c r="D230" s="10" t="str">
        <f ca="1">IFERROR(__xludf.DUMMYFUNCTION("""COMPUTED_VALUE"""),"SHPED24-LAPANGAN-MARET")</f>
        <v>SHPED24-LAPANGAN-MARET</v>
      </c>
      <c r="E230" s="10"/>
      <c r="F230" s="10">
        <f ca="1">IFERROR(__xludf.DUMMYFUNCTION("""COMPUTED_VALUE"""),1)</f>
        <v>1</v>
      </c>
      <c r="G230" s="10" t="str">
        <f ca="1">IFERROR(__xludf.DUMMYFUNCTION("""COMPUTED_VALUE"""),"Evi Juniarty")</f>
        <v>Evi Juniarty</v>
      </c>
      <c r="H230" s="10" t="str">
        <f ca="1">IFERROR(__xludf.DUMMYFUNCTION("""COMPUTED_VALUE"""),"PPL")</f>
        <v>PPL</v>
      </c>
      <c r="I230" s="10" t="str">
        <f ca="1">IFERROR(__xludf.DUMMYFUNCTION("""COMPUTED_VALUE"""),"6102165101840001")</f>
        <v>6102165101840001</v>
      </c>
      <c r="J230" s="10" t="str">
        <f ca="1">IFERROR(__xludf.DUMMYFUNCTION("""COMPUTED_VALUE"""),"PENDATAAN PRODUSEN")</f>
        <v>PENDATAAN PRODUSEN</v>
      </c>
      <c r="K230" s="10" t="str">
        <f ca="1">IFERROR(__xludf.DUMMYFUNCTION("""COMPUTED_VALUE"""),"SHPED24-LAPANGAN-MARET-PPL-PENDATAAN PRODUSEN")</f>
        <v>SHPED24-LAPANGAN-MARET-PPL-PENDATAAN PRODUSEN</v>
      </c>
      <c r="L230" s="10" t="str">
        <f ca="1">IFERROR(__xludf.DUMMYFUNCTION("""COMPUTED_VALUE"""),"Dokumen")</f>
        <v>Dokumen</v>
      </c>
      <c r="M230" s="66">
        <f ca="1">IFERROR(__xludf.DUMMYFUNCTION("""COMPUTED_VALUE"""),55000)</f>
        <v>55000</v>
      </c>
      <c r="N230" s="10">
        <f ca="1">IFERROR(__xludf.DUMMYFUNCTION("""COMPUTED_VALUE"""),1)</f>
        <v>1</v>
      </c>
      <c r="O230" s="10">
        <f ca="1">IFERROR(__xludf.DUMMYFUNCTION("""COMPUTED_VALUE"""),55000)</f>
        <v>55000</v>
      </c>
      <c r="P230" s="10"/>
      <c r="Q230" s="67">
        <f ca="1">IFERROR(__xludf.DUMMYFUNCTION("""COMPUTED_VALUE"""),45371)</f>
        <v>45371</v>
      </c>
    </row>
    <row r="231" spans="1:17" ht="12.5">
      <c r="A231" s="82">
        <f t="array" aca="1" ref="A231" ca="1">INDEX('Database Mitra'!$R$2:$R1001,MATCH(C231,'Database Mitra'!$B$2:$B1001,0))</f>
        <v>29068</v>
      </c>
      <c r="B231" s="10" t="e">
        <f t="shared" ca="1" si="0"/>
        <v>#NAME?</v>
      </c>
      <c r="C231" s="83">
        <f ca="1">IFERROR(__xludf.DUMMYFUNCTION("""COMPUTED_VALUE"""),610422100124)</f>
        <v>610422100124</v>
      </c>
      <c r="D231" s="10" t="str">
        <f ca="1">IFERROR(__xludf.DUMMYFUNCTION("""COMPUTED_VALUE"""),"HPBG24-LAPANGAN-MARET")</f>
        <v>HPBG24-LAPANGAN-MARET</v>
      </c>
      <c r="E231" s="10"/>
      <c r="F231" s="10">
        <f ca="1">IFERROR(__xludf.DUMMYFUNCTION("""COMPUTED_VALUE"""),1)</f>
        <v>1</v>
      </c>
      <c r="G231" s="10" t="str">
        <f ca="1">IFERROR(__xludf.DUMMYFUNCTION("""COMPUTED_VALUE"""),"Prabowo")</f>
        <v>Prabowo</v>
      </c>
      <c r="H231" s="10" t="str">
        <f ca="1">IFERROR(__xludf.DUMMYFUNCTION("""COMPUTED_VALUE"""),"PPL")</f>
        <v>PPL</v>
      </c>
      <c r="I231" s="10" t="str">
        <f ca="1">IFERROR(__xludf.DUMMYFUNCTION("""COMPUTED_VALUE"""),"6171010108790015")</f>
        <v>6171010108790015</v>
      </c>
      <c r="J231" s="10" t="str">
        <f ca="1">IFERROR(__xludf.DUMMYFUNCTION("""COMPUTED_VALUE"""),"PENDATAAN")</f>
        <v>PENDATAAN</v>
      </c>
      <c r="K231" s="10" t="str">
        <f ca="1">IFERROR(__xludf.DUMMYFUNCTION("""COMPUTED_VALUE"""),"HPBG24-LAPANGAN-MARET-PPL-PENDATAAN")</f>
        <v>HPBG24-LAPANGAN-MARET-PPL-PENDATAAN</v>
      </c>
      <c r="L231" s="10" t="str">
        <f ca="1">IFERROR(__xludf.DUMMYFUNCTION("""COMPUTED_VALUE"""),"Dokumen")</f>
        <v>Dokumen</v>
      </c>
      <c r="M231" s="66">
        <f ca="1">IFERROR(__xludf.DUMMYFUNCTION("""COMPUTED_VALUE"""),55000)</f>
        <v>55000</v>
      </c>
      <c r="N231" s="10">
        <f ca="1">IFERROR(__xludf.DUMMYFUNCTION("""COMPUTED_VALUE"""),2)</f>
        <v>2</v>
      </c>
      <c r="O231" s="10">
        <f ca="1">IFERROR(__xludf.DUMMYFUNCTION("""COMPUTED_VALUE"""),110000)</f>
        <v>110000</v>
      </c>
      <c r="P231" s="10"/>
      <c r="Q231" s="67">
        <f ca="1">IFERROR(__xludf.DUMMYFUNCTION("""COMPUTED_VALUE"""),45371)</f>
        <v>45371</v>
      </c>
    </row>
    <row r="232" spans="1:17" ht="12.5">
      <c r="A232" s="82">
        <f t="array" aca="1" ref="A232" ca="1">INDEX('Database Mitra'!$R$2:$R1001,MATCH(C232,'Database Mitra'!$B$2:$B1001,0))</f>
        <v>32942</v>
      </c>
      <c r="B232" s="10" t="e">
        <f t="shared" ca="1" si="0"/>
        <v>#NAME?</v>
      </c>
      <c r="C232" s="83">
        <f ca="1">IFERROR(__xludf.DUMMYFUNCTION("""COMPUTED_VALUE"""),610422100244)</f>
        <v>610422100244</v>
      </c>
      <c r="D232" s="10" t="str">
        <f ca="1">IFERROR(__xludf.DUMMYFUNCTION("""COMPUTED_VALUE"""),"HPBG24-LAPANGAN-MARET")</f>
        <v>HPBG24-LAPANGAN-MARET</v>
      </c>
      <c r="E232" s="10"/>
      <c r="F232" s="10">
        <f ca="1">IFERROR(__xludf.DUMMYFUNCTION("""COMPUTED_VALUE"""),1)</f>
        <v>1</v>
      </c>
      <c r="G232" s="10" t="str">
        <f ca="1">IFERROR(__xludf.DUMMYFUNCTION("""COMPUTED_VALUE"""),"Sugianto")</f>
        <v>Sugianto</v>
      </c>
      <c r="H232" s="10" t="str">
        <f ca="1">IFERROR(__xludf.DUMMYFUNCTION("""COMPUTED_VALUE"""),"PPL")</f>
        <v>PPL</v>
      </c>
      <c r="I232" s="10" t="str">
        <f ca="1">IFERROR(__xludf.DUMMYFUNCTION("""COMPUTED_VALUE"""),"6102171003900002")</f>
        <v>6102171003900002</v>
      </c>
      <c r="J232" s="10" t="str">
        <f ca="1">IFERROR(__xludf.DUMMYFUNCTION("""COMPUTED_VALUE"""),"PENDATAAN")</f>
        <v>PENDATAAN</v>
      </c>
      <c r="K232" s="10" t="str">
        <f ca="1">IFERROR(__xludf.DUMMYFUNCTION("""COMPUTED_VALUE"""),"HPBG24-LAPANGAN-MARET-PPL-PENDATAAN")</f>
        <v>HPBG24-LAPANGAN-MARET-PPL-PENDATAAN</v>
      </c>
      <c r="L232" s="10" t="str">
        <f ca="1">IFERROR(__xludf.DUMMYFUNCTION("""COMPUTED_VALUE"""),"Dokumen")</f>
        <v>Dokumen</v>
      </c>
      <c r="M232" s="66">
        <f ca="1">IFERROR(__xludf.DUMMYFUNCTION("""COMPUTED_VALUE"""),55000)</f>
        <v>55000</v>
      </c>
      <c r="N232" s="10">
        <f ca="1">IFERROR(__xludf.DUMMYFUNCTION("""COMPUTED_VALUE"""),2)</f>
        <v>2</v>
      </c>
      <c r="O232" s="10">
        <f ca="1">IFERROR(__xludf.DUMMYFUNCTION("""COMPUTED_VALUE"""),110000)</f>
        <v>110000</v>
      </c>
      <c r="P232" s="10"/>
      <c r="Q232" s="67">
        <f ca="1">IFERROR(__xludf.DUMMYFUNCTION("""COMPUTED_VALUE"""),45371)</f>
        <v>45371</v>
      </c>
    </row>
    <row r="233" spans="1:17" ht="12.5">
      <c r="A233" s="82">
        <f t="array" aca="1" ref="A233" ca="1">INDEX('Database Mitra'!$R$2:$R1001,MATCH(C233,'Database Mitra'!$B$2:$B1001,0))</f>
        <v>35862</v>
      </c>
      <c r="B233" s="10" t="e">
        <f t="shared" ca="1" si="0"/>
        <v>#NAME?</v>
      </c>
      <c r="C233" s="83">
        <f ca="1">IFERROR(__xludf.DUMMYFUNCTION("""COMPUTED_VALUE"""),610422100165)</f>
        <v>610422100165</v>
      </c>
      <c r="D233" s="10" t="str">
        <f ca="1">IFERROR(__xludf.DUMMYFUNCTION("""COMPUTED_VALUE"""),"HPBG24-LAPANGAN-MARET")</f>
        <v>HPBG24-LAPANGAN-MARET</v>
      </c>
      <c r="E233" s="10"/>
      <c r="F233" s="10">
        <f ca="1">IFERROR(__xludf.DUMMYFUNCTION("""COMPUTED_VALUE"""),1)</f>
        <v>1</v>
      </c>
      <c r="G233" s="10" t="str">
        <f ca="1">IFERROR(__xludf.DUMMYFUNCTION("""COMPUTED_VALUE"""),"Yanti")</f>
        <v>Yanti</v>
      </c>
      <c r="H233" s="10" t="str">
        <f ca="1">IFERROR(__xludf.DUMMYFUNCTION("""COMPUTED_VALUE"""),"PPL")</f>
        <v>PPL</v>
      </c>
      <c r="I233" s="10" t="str">
        <f ca="1">IFERROR(__xludf.DUMMYFUNCTION("""COMPUTED_VALUE"""),"6102074803980002")</f>
        <v>6102074803980002</v>
      </c>
      <c r="J233" s="10" t="str">
        <f ca="1">IFERROR(__xludf.DUMMYFUNCTION("""COMPUTED_VALUE"""),"PENDATAAN")</f>
        <v>PENDATAAN</v>
      </c>
      <c r="K233" s="10" t="str">
        <f ca="1">IFERROR(__xludf.DUMMYFUNCTION("""COMPUTED_VALUE"""),"HPBG24-LAPANGAN-MARET-PPL-PENDATAAN")</f>
        <v>HPBG24-LAPANGAN-MARET-PPL-PENDATAAN</v>
      </c>
      <c r="L233" s="10" t="str">
        <f ca="1">IFERROR(__xludf.DUMMYFUNCTION("""COMPUTED_VALUE"""),"Dokumen")</f>
        <v>Dokumen</v>
      </c>
      <c r="M233" s="66">
        <f ca="1">IFERROR(__xludf.DUMMYFUNCTION("""COMPUTED_VALUE"""),55000)</f>
        <v>55000</v>
      </c>
      <c r="N233" s="10">
        <f ca="1">IFERROR(__xludf.DUMMYFUNCTION("""COMPUTED_VALUE"""),2)</f>
        <v>2</v>
      </c>
      <c r="O233" s="10">
        <f ca="1">IFERROR(__xludf.DUMMYFUNCTION("""COMPUTED_VALUE"""),110000)</f>
        <v>110000</v>
      </c>
      <c r="P233" s="10"/>
      <c r="Q233" s="67">
        <f ca="1">IFERROR(__xludf.DUMMYFUNCTION("""COMPUTED_VALUE"""),45371)</f>
        <v>45371</v>
      </c>
    </row>
    <row r="234" spans="1:17" ht="12.5">
      <c r="A234" s="82">
        <f t="array" aca="1" ref="A234" ca="1">INDEX('Database Mitra'!$R$2:$R1001,MATCH(C234,'Database Mitra'!$B$2:$B1001,0))</f>
        <v>35862</v>
      </c>
      <c r="B234" s="10" t="e">
        <f t="shared" ca="1" si="0"/>
        <v>#NAME?</v>
      </c>
      <c r="C234" s="83">
        <f ca="1">IFERROR(__xludf.DUMMYFUNCTION("""COMPUTED_VALUE"""),610422100165)</f>
        <v>610422100165</v>
      </c>
      <c r="D234" s="10" t="str">
        <f ca="1">IFERROR(__xludf.DUMMYFUNCTION("""COMPUTED_VALUE"""),"HPJ24-LAPANGAN-MARET")</f>
        <v>HPJ24-LAPANGAN-MARET</v>
      </c>
      <c r="E234" s="10"/>
      <c r="F234" s="10">
        <f ca="1">IFERROR(__xludf.DUMMYFUNCTION("""COMPUTED_VALUE"""),1)</f>
        <v>1</v>
      </c>
      <c r="G234" s="10" t="str">
        <f ca="1">IFERROR(__xludf.DUMMYFUNCTION("""COMPUTED_VALUE"""),"Yanti")</f>
        <v>Yanti</v>
      </c>
      <c r="H234" s="10" t="str">
        <f ca="1">IFERROR(__xludf.DUMMYFUNCTION("""COMPUTED_VALUE"""),"PPL")</f>
        <v>PPL</v>
      </c>
      <c r="I234" s="10" t="str">
        <f ca="1">IFERROR(__xludf.DUMMYFUNCTION("""COMPUTED_VALUE"""),"6102074803980002")</f>
        <v>6102074803980002</v>
      </c>
      <c r="J234" s="10" t="str">
        <f ca="1">IFERROR(__xludf.DUMMYFUNCTION("""COMPUTED_VALUE"""),"PENDATAAN")</f>
        <v>PENDATAAN</v>
      </c>
      <c r="K234" s="10" t="str">
        <f ca="1">IFERROR(__xludf.DUMMYFUNCTION("""COMPUTED_VALUE"""),"HPJ24-LAPANGAN-MARET-PPL-PENDATAAN")</f>
        <v>HPJ24-LAPANGAN-MARET-PPL-PENDATAAN</v>
      </c>
      <c r="L234" s="10" t="str">
        <f ca="1">IFERROR(__xludf.DUMMYFUNCTION("""COMPUTED_VALUE"""),"Dokumen")</f>
        <v>Dokumen</v>
      </c>
      <c r="M234" s="66">
        <f ca="1">IFERROR(__xludf.DUMMYFUNCTION("""COMPUTED_VALUE"""),50000)</f>
        <v>50000</v>
      </c>
      <c r="N234" s="10">
        <f ca="1">IFERROR(__xludf.DUMMYFUNCTION("""COMPUTED_VALUE"""),1)</f>
        <v>1</v>
      </c>
      <c r="O234" s="10">
        <f ca="1">IFERROR(__xludf.DUMMYFUNCTION("""COMPUTED_VALUE"""),50000)</f>
        <v>50000</v>
      </c>
      <c r="P234" s="10"/>
      <c r="Q234" s="67">
        <f ca="1">IFERROR(__xludf.DUMMYFUNCTION("""COMPUTED_VALUE"""),45371)</f>
        <v>45371</v>
      </c>
    </row>
    <row r="235" spans="1:17" ht="12.5">
      <c r="A235" s="82">
        <f t="array" aca="1" ref="A235" ca="1">INDEX('Database Mitra'!$R$2:$R1001,MATCH(C235,'Database Mitra'!$B$2:$B1001,0))</f>
        <v>31964</v>
      </c>
      <c r="B235" s="10" t="e">
        <f t="shared" ca="1" si="0"/>
        <v>#NAME?</v>
      </c>
      <c r="C235" s="83">
        <f ca="1">IFERROR(__xludf.DUMMYFUNCTION("""COMPUTED_VALUE"""),610422040029)</f>
        <v>610422040029</v>
      </c>
      <c r="D235" s="10" t="str">
        <f ca="1">IFERROR(__xludf.DUMMYFUNCTION("""COMPUTED_VALUE"""),"VHTS24-LAPANGAN-MARET")</f>
        <v>VHTS24-LAPANGAN-MARET</v>
      </c>
      <c r="E235" s="10"/>
      <c r="F235" s="10">
        <f ca="1">IFERROR(__xludf.DUMMYFUNCTION("""COMPUTED_VALUE"""),1)</f>
        <v>1</v>
      </c>
      <c r="G235" s="10" t="str">
        <f ca="1">IFERROR(__xludf.DUMMYFUNCTION("""COMPUTED_VALUE"""),"Zaini")</f>
        <v>Zaini</v>
      </c>
      <c r="H235" s="10" t="str">
        <f ca="1">IFERROR(__xludf.DUMMYFUNCTION("""COMPUTED_VALUE"""),"PPL")</f>
        <v>PPL</v>
      </c>
      <c r="I235" s="10" t="str">
        <f ca="1">IFERROR(__xludf.DUMMYFUNCTION("""COMPUTED_VALUE"""),"6102010607870002")</f>
        <v>6102010607870002</v>
      </c>
      <c r="J235" s="10" t="str">
        <f ca="1">IFERROR(__xludf.DUMMYFUNCTION("""COMPUTED_VALUE"""),"PENDATAAN")</f>
        <v>PENDATAAN</v>
      </c>
      <c r="K235" s="10" t="str">
        <f ca="1">IFERROR(__xludf.DUMMYFUNCTION("""COMPUTED_VALUE"""),"VHTS24-LAPANGAN-MARET-PPL-PENDATAAN")</f>
        <v>VHTS24-LAPANGAN-MARET-PPL-PENDATAAN</v>
      </c>
      <c r="L235" s="10" t="str">
        <f ca="1">IFERROR(__xludf.DUMMYFUNCTION("""COMPUTED_VALUE"""),"Dokumen")</f>
        <v>Dokumen</v>
      </c>
      <c r="M235" s="66">
        <f ca="1">IFERROR(__xludf.DUMMYFUNCTION("""COMPUTED_VALUE"""),55000)</f>
        <v>55000</v>
      </c>
      <c r="N235" s="10">
        <f ca="1">IFERROR(__xludf.DUMMYFUNCTION("""COMPUTED_VALUE"""),3)</f>
        <v>3</v>
      </c>
      <c r="O235" s="10">
        <f ca="1">IFERROR(__xludf.DUMMYFUNCTION("""COMPUTED_VALUE"""),165000)</f>
        <v>165000</v>
      </c>
      <c r="P235" s="10"/>
      <c r="Q235" s="67">
        <f ca="1">IFERROR(__xludf.DUMMYFUNCTION("""COMPUTED_VALUE"""),45371)</f>
        <v>45371</v>
      </c>
    </row>
    <row r="236" spans="1:17" ht="12.5">
      <c r="A236" s="82">
        <f t="array" aca="1" ref="A236" ca="1">INDEX('Database Mitra'!$R$2:$R1001,MATCH(C236,'Database Mitra'!$B$2:$B1001,0))</f>
        <v>35862</v>
      </c>
      <c r="B236" s="10" t="e">
        <f t="shared" ca="1" si="0"/>
        <v>#NAME?</v>
      </c>
      <c r="C236" s="83">
        <f ca="1">IFERROR(__xludf.DUMMYFUNCTION("""COMPUTED_VALUE"""),610422100165)</f>
        <v>610422100165</v>
      </c>
      <c r="D236" s="10" t="str">
        <f ca="1">IFERROR(__xludf.DUMMYFUNCTION("""COMPUTED_VALUE"""),"VHTS24-LAPANGAN-MARET")</f>
        <v>VHTS24-LAPANGAN-MARET</v>
      </c>
      <c r="E236" s="10"/>
      <c r="F236" s="10">
        <f ca="1">IFERROR(__xludf.DUMMYFUNCTION("""COMPUTED_VALUE"""),1)</f>
        <v>1</v>
      </c>
      <c r="G236" s="10" t="str">
        <f ca="1">IFERROR(__xludf.DUMMYFUNCTION("""COMPUTED_VALUE"""),"Yanti")</f>
        <v>Yanti</v>
      </c>
      <c r="H236" s="10" t="str">
        <f ca="1">IFERROR(__xludf.DUMMYFUNCTION("""COMPUTED_VALUE"""),"PPL")</f>
        <v>PPL</v>
      </c>
      <c r="I236" s="10" t="str">
        <f ca="1">IFERROR(__xludf.DUMMYFUNCTION("""COMPUTED_VALUE"""),"6102074803980002")</f>
        <v>6102074803980002</v>
      </c>
      <c r="J236" s="10" t="str">
        <f ca="1">IFERROR(__xludf.DUMMYFUNCTION("""COMPUTED_VALUE"""),"PENDATAAN")</f>
        <v>PENDATAAN</v>
      </c>
      <c r="K236" s="10" t="str">
        <f ca="1">IFERROR(__xludf.DUMMYFUNCTION("""COMPUTED_VALUE"""),"VHTS24-LAPANGAN-MARET-PPL-PENDATAAN")</f>
        <v>VHTS24-LAPANGAN-MARET-PPL-PENDATAAN</v>
      </c>
      <c r="L236" s="10" t="str">
        <f ca="1">IFERROR(__xludf.DUMMYFUNCTION("""COMPUTED_VALUE"""),"Dokumen")</f>
        <v>Dokumen</v>
      </c>
      <c r="M236" s="66">
        <f ca="1">IFERROR(__xludf.DUMMYFUNCTION("""COMPUTED_VALUE"""),55000)</f>
        <v>55000</v>
      </c>
      <c r="N236" s="10">
        <f ca="1">IFERROR(__xludf.DUMMYFUNCTION("""COMPUTED_VALUE"""),3)</f>
        <v>3</v>
      </c>
      <c r="O236" s="10">
        <f ca="1">IFERROR(__xludf.DUMMYFUNCTION("""COMPUTED_VALUE"""),165000)</f>
        <v>165000</v>
      </c>
      <c r="P236" s="10"/>
      <c r="Q236" s="67">
        <f ca="1">IFERROR(__xludf.DUMMYFUNCTION("""COMPUTED_VALUE"""),45371)</f>
        <v>45371</v>
      </c>
    </row>
    <row r="237" spans="1:17" ht="12.5">
      <c r="A237" s="82">
        <f t="array" aca="1" ref="A237" ca="1">INDEX('Database Mitra'!$R$2:$R1001,MATCH(C237,'Database Mitra'!$B$2:$B1001,0))</f>
        <v>30692</v>
      </c>
      <c r="B237" s="10" t="e">
        <f t="shared" ca="1" si="0"/>
        <v>#NAME?</v>
      </c>
      <c r="C237" s="83">
        <f ca="1">IFERROR(__xludf.DUMMYFUNCTION("""COMPUTED_VALUE"""),610422050001)</f>
        <v>610422050001</v>
      </c>
      <c r="D237" s="10" t="str">
        <f ca="1">IFERROR(__xludf.DUMMYFUNCTION("""COMPUTED_VALUE"""),"VHTS24-LAPANGAN-MARET")</f>
        <v>VHTS24-LAPANGAN-MARET</v>
      </c>
      <c r="E237" s="10"/>
      <c r="F237" s="10">
        <f ca="1">IFERROR(__xludf.DUMMYFUNCTION("""COMPUTED_VALUE"""),1)</f>
        <v>1</v>
      </c>
      <c r="G237" s="10" t="str">
        <f ca="1">IFERROR(__xludf.DUMMYFUNCTION("""COMPUTED_VALUE"""),"Evi Juniarty")</f>
        <v>Evi Juniarty</v>
      </c>
      <c r="H237" s="10" t="str">
        <f ca="1">IFERROR(__xludf.DUMMYFUNCTION("""COMPUTED_VALUE"""),"PPL")</f>
        <v>PPL</v>
      </c>
      <c r="I237" s="10" t="str">
        <f ca="1">IFERROR(__xludf.DUMMYFUNCTION("""COMPUTED_VALUE"""),"6102165101840001")</f>
        <v>6102165101840001</v>
      </c>
      <c r="J237" s="10" t="str">
        <f ca="1">IFERROR(__xludf.DUMMYFUNCTION("""COMPUTED_VALUE"""),"PENDATAAN")</f>
        <v>PENDATAAN</v>
      </c>
      <c r="K237" s="10" t="str">
        <f ca="1">IFERROR(__xludf.DUMMYFUNCTION("""COMPUTED_VALUE"""),"VHTS24-LAPANGAN-MARET-PPL-PENDATAAN")</f>
        <v>VHTS24-LAPANGAN-MARET-PPL-PENDATAAN</v>
      </c>
      <c r="L237" s="10" t="str">
        <f ca="1">IFERROR(__xludf.DUMMYFUNCTION("""COMPUTED_VALUE"""),"Dokumen")</f>
        <v>Dokumen</v>
      </c>
      <c r="M237" s="66">
        <f ca="1">IFERROR(__xludf.DUMMYFUNCTION("""COMPUTED_VALUE"""),55000)</f>
        <v>55000</v>
      </c>
      <c r="N237" s="10">
        <f ca="1">IFERROR(__xludf.DUMMYFUNCTION("""COMPUTED_VALUE"""),3)</f>
        <v>3</v>
      </c>
      <c r="O237" s="10">
        <f ca="1">IFERROR(__xludf.DUMMYFUNCTION("""COMPUTED_VALUE"""),165000)</f>
        <v>165000</v>
      </c>
      <c r="P237" s="10"/>
      <c r="Q237" s="67">
        <f ca="1">IFERROR(__xludf.DUMMYFUNCTION("""COMPUTED_VALUE"""),45371)</f>
        <v>45371</v>
      </c>
    </row>
    <row r="238" spans="1:17" ht="12.5">
      <c r="A238" s="82">
        <f t="array" aca="1" ref="A238" ca="1">INDEX('Database Mitra'!$R$2:$R1001,MATCH(C238,'Database Mitra'!$B$2:$B1001,0))</f>
        <v>27798</v>
      </c>
      <c r="B238" s="10" t="e">
        <f t="shared" ca="1" si="0"/>
        <v>#NAME?</v>
      </c>
      <c r="C238" s="83">
        <f ca="1">IFERROR(__xludf.DUMMYFUNCTION("""COMPUTED_VALUE"""),610422040056)</f>
        <v>610422040056</v>
      </c>
      <c r="D238" s="10" t="str">
        <f ca="1">IFERROR(__xludf.DUMMYFUNCTION("""COMPUTED_VALUE"""),"VHTS24-LAPANGAN-MARET")</f>
        <v>VHTS24-LAPANGAN-MARET</v>
      </c>
      <c r="E238" s="10"/>
      <c r="F238" s="10">
        <f ca="1">IFERROR(__xludf.DUMMYFUNCTION("""COMPUTED_VALUE"""),1)</f>
        <v>1</v>
      </c>
      <c r="G238" s="10" t="str">
        <f ca="1">IFERROR(__xludf.DUMMYFUNCTION("""COMPUTED_VALUE"""),"Wandi Syafari")</f>
        <v>Wandi Syafari</v>
      </c>
      <c r="H238" s="10" t="str">
        <f ca="1">IFERROR(__xludf.DUMMYFUNCTION("""COMPUTED_VALUE"""),"PPL")</f>
        <v>PPL</v>
      </c>
      <c r="I238" s="10" t="str">
        <f ca="1">IFERROR(__xludf.DUMMYFUNCTION("""COMPUTED_VALUE"""),"6102010802760001")</f>
        <v>6102010802760001</v>
      </c>
      <c r="J238" s="10" t="str">
        <f ca="1">IFERROR(__xludf.DUMMYFUNCTION("""COMPUTED_VALUE"""),"PENDATAAN")</f>
        <v>PENDATAAN</v>
      </c>
      <c r="K238" s="10" t="str">
        <f ca="1">IFERROR(__xludf.DUMMYFUNCTION("""COMPUTED_VALUE"""),"VHTS24-LAPANGAN-MARET-PPL-PENDATAAN")</f>
        <v>VHTS24-LAPANGAN-MARET-PPL-PENDATAAN</v>
      </c>
      <c r="L238" s="10" t="str">
        <f ca="1">IFERROR(__xludf.DUMMYFUNCTION("""COMPUTED_VALUE"""),"Dokumen")</f>
        <v>Dokumen</v>
      </c>
      <c r="M238" s="66">
        <f ca="1">IFERROR(__xludf.DUMMYFUNCTION("""COMPUTED_VALUE"""),55000)</f>
        <v>55000</v>
      </c>
      <c r="N238" s="10">
        <f ca="1">IFERROR(__xludf.DUMMYFUNCTION("""COMPUTED_VALUE"""),2)</f>
        <v>2</v>
      </c>
      <c r="O238" s="10">
        <f ca="1">IFERROR(__xludf.DUMMYFUNCTION("""COMPUTED_VALUE"""),110000)</f>
        <v>110000</v>
      </c>
      <c r="P238" s="10"/>
      <c r="Q238" s="67">
        <f ca="1">IFERROR(__xludf.DUMMYFUNCTION("""COMPUTED_VALUE"""),45371)</f>
        <v>45371</v>
      </c>
    </row>
    <row r="239" spans="1:17" ht="12.5">
      <c r="A239" s="82">
        <f t="array" aca="1" ref="A239" ca="1">INDEX('Database Mitra'!$R$2:$R1001,MATCH(C239,'Database Mitra'!$B$2:$B1001,0))</f>
        <v>35962</v>
      </c>
      <c r="B239" s="10" t="e">
        <f t="shared" ca="1" si="0"/>
        <v>#NAME?</v>
      </c>
      <c r="C239" s="83">
        <f ca="1">IFERROR(__xludf.DUMMYFUNCTION("""COMPUTED_VALUE"""),610422100129)</f>
        <v>610422100129</v>
      </c>
      <c r="D239" s="10" t="str">
        <f ca="1">IFERROR(__xludf.DUMMYFUNCTION("""COMPUTED_VALUE"""),"SKTH24-LAPANGAN-TAHUNAN")</f>
        <v>SKTH24-LAPANGAN-TAHUNAN</v>
      </c>
      <c r="E239" s="10"/>
      <c r="F239" s="10">
        <f ca="1">IFERROR(__xludf.DUMMYFUNCTION("""COMPUTED_VALUE"""),1)</f>
        <v>1</v>
      </c>
      <c r="G239" s="10" t="str">
        <f ca="1">IFERROR(__xludf.DUMMYFUNCTION("""COMPUTED_VALUE"""),"Andre")</f>
        <v>Andre</v>
      </c>
      <c r="H239" s="10" t="str">
        <f ca="1">IFERROR(__xludf.DUMMYFUNCTION("""COMPUTED_VALUE"""),"PPL")</f>
        <v>PPL</v>
      </c>
      <c r="I239" s="10" t="str">
        <f ca="1">IFERROR(__xludf.DUMMYFUNCTION("""COMPUTED_VALUE"""),"6102121606980001")</f>
        <v>6102121606980001</v>
      </c>
      <c r="J239" s="10" t="str">
        <f ca="1">IFERROR(__xludf.DUMMYFUNCTION("""COMPUTED_VALUE"""),"PENDATAAN")</f>
        <v>PENDATAAN</v>
      </c>
      <c r="K239" s="10" t="str">
        <f ca="1">IFERROR(__xludf.DUMMYFUNCTION("""COMPUTED_VALUE"""),"SKTH24-LAPANGAN-TAHUNAN-PPL-PENDATAAN")</f>
        <v>SKTH24-LAPANGAN-TAHUNAN-PPL-PENDATAAN</v>
      </c>
      <c r="L239" s="10" t="str">
        <f ca="1">IFERROR(__xludf.DUMMYFUNCTION("""COMPUTED_VALUE"""),"Dokumen")</f>
        <v>Dokumen</v>
      </c>
      <c r="M239" s="66">
        <f ca="1">IFERROR(__xludf.DUMMYFUNCTION("""COMPUTED_VALUE"""),73000)</f>
        <v>73000</v>
      </c>
      <c r="N239" s="10">
        <f ca="1">IFERROR(__xludf.DUMMYFUNCTION("""COMPUTED_VALUE"""),15)</f>
        <v>15</v>
      </c>
      <c r="O239" s="10">
        <f ca="1">IFERROR(__xludf.DUMMYFUNCTION("""COMPUTED_VALUE"""),1095000)</f>
        <v>1095000</v>
      </c>
      <c r="P239" s="70"/>
      <c r="Q239" s="67">
        <f ca="1">IFERROR(__xludf.DUMMYFUNCTION("""COMPUTED_VALUE"""),45371)</f>
        <v>45371</v>
      </c>
    </row>
    <row r="240" spans="1:17" ht="12.5">
      <c r="A240" s="11">
        <f t="array" aca="1" ref="A240" ca="1">INDEX('Database Mitra'!$R$2:$R1001,MATCH(C240,'Database Mitra'!$B$2:$B1001,0))</f>
        <v>35744</v>
      </c>
      <c r="B240" s="10" t="e">
        <f t="shared" ca="1" si="0"/>
        <v>#NAME?</v>
      </c>
      <c r="C240" s="83">
        <f ca="1">IFERROR(__xludf.DUMMYFUNCTION("""COMPUTED_VALUE"""),610422020006)</f>
        <v>610422020006</v>
      </c>
      <c r="D240" s="10" t="str">
        <f ca="1">IFERROR(__xludf.DUMMYFUNCTION("""COMPUTED_VALUE"""),"SUSENAS24-LAPANGAN-SEMESTER1")</f>
        <v>SUSENAS24-LAPANGAN-SEMESTER1</v>
      </c>
      <c r="E240" s="10"/>
      <c r="F240" s="10">
        <f ca="1">IFERROR(__xludf.DUMMYFUNCTION("""COMPUTED_VALUE"""),1)</f>
        <v>1</v>
      </c>
      <c r="G240" s="10" t="str">
        <f ca="1">IFERROR(__xludf.DUMMYFUNCTION("""COMPUTED_VALUE"""),"Nasrullah")</f>
        <v>Nasrullah</v>
      </c>
      <c r="H240" s="10" t="str">
        <f ca="1">IFERROR(__xludf.DUMMYFUNCTION("""COMPUTED_VALUE"""),"PETUGAS ENTRI")</f>
        <v>PETUGAS ENTRI</v>
      </c>
      <c r="I240" s="10" t="str">
        <f ca="1">IFERROR(__xludf.DUMMYFUNCTION("""COMPUTED_VALUE"""),"6102011011970003")</f>
        <v>6102011011970003</v>
      </c>
      <c r="J240" s="10" t="str">
        <f ca="1">IFERROR(__xludf.DUMMYFUNCTION("""COMPUTED_VALUE"""),"PENGOLAHAN PENDATAAN")</f>
        <v>PENGOLAHAN PENDATAAN</v>
      </c>
      <c r="K240" s="10" t="str">
        <f ca="1">IFERROR(__xludf.DUMMYFUNCTION("""COMPUTED_VALUE"""),"SUSENAS24-LAPANGAN-SEMESTER1-PETUGAS ENTRI-PENGOLAHAN PENDATAAN")</f>
        <v>SUSENAS24-LAPANGAN-SEMESTER1-PETUGAS ENTRI-PENGOLAHAN PENDATAAN</v>
      </c>
      <c r="L240" s="10" t="str">
        <f ca="1">IFERROR(__xludf.DUMMYFUNCTION("""COMPUTED_VALUE"""),"Rumah Tangga")</f>
        <v>Rumah Tangga</v>
      </c>
      <c r="M240" s="66">
        <f ca="1">IFERROR(__xludf.DUMMYFUNCTION("""COMPUTED_VALUE"""),27500)</f>
        <v>27500</v>
      </c>
      <c r="N240" s="10">
        <f ca="1">IFERROR(__xludf.DUMMYFUNCTION("""COMPUTED_VALUE"""),63)</f>
        <v>63</v>
      </c>
      <c r="O240" s="10">
        <f ca="1">IFERROR(__xludf.DUMMYFUNCTION("""COMPUTED_VALUE"""),1732500)</f>
        <v>1732500</v>
      </c>
      <c r="P240" s="70"/>
      <c r="Q240" s="67">
        <f ca="1">IFERROR(__xludf.DUMMYFUNCTION("""COMPUTED_VALUE"""),45373)</f>
        <v>45373</v>
      </c>
    </row>
    <row r="241" spans="1:17" ht="12.5">
      <c r="A241" s="82">
        <f t="array" aca="1" ref="A241" ca="1">INDEX('Database Mitra'!$R$2:$R1001,MATCH(C241,'Database Mitra'!$B$2:$B1001,0))</f>
        <v>36391</v>
      </c>
      <c r="B241" s="10" t="e">
        <f t="shared" ca="1" si="0"/>
        <v>#NAME?</v>
      </c>
      <c r="C241" s="83">
        <f ca="1">IFERROR(__xludf.DUMMYFUNCTION("""COMPUTED_VALUE"""),617122110049)</f>
        <v>617122110049</v>
      </c>
      <c r="D241" s="10" t="str">
        <f ca="1">IFERROR(__xludf.DUMMYFUNCTION("""COMPUTED_VALUE"""),"SUSENAS24-LAPANGAN-SEMESTER1")</f>
        <v>SUSENAS24-LAPANGAN-SEMESTER1</v>
      </c>
      <c r="E241" s="10"/>
      <c r="F241" s="10">
        <f ca="1">IFERROR(__xludf.DUMMYFUNCTION("""COMPUTED_VALUE"""),1)</f>
        <v>1</v>
      </c>
      <c r="G241" s="10" t="str">
        <f ca="1">IFERROR(__xludf.DUMMYFUNCTION("""COMPUTED_VALUE"""),"Muhammad Deny Hafizzul Muttaqin")</f>
        <v>Muhammad Deny Hafizzul Muttaqin</v>
      </c>
      <c r="H241" s="10" t="str">
        <f ca="1">IFERROR(__xludf.DUMMYFUNCTION("""COMPUTED_VALUE"""),"PETUGAS ENTRI")</f>
        <v>PETUGAS ENTRI</v>
      </c>
      <c r="I241" s="10" t="str">
        <f ca="1">IFERROR(__xludf.DUMMYFUNCTION("""COMPUTED_VALUE"""),"6102181908990001")</f>
        <v>6102181908990001</v>
      </c>
      <c r="J241" s="10" t="str">
        <f ca="1">IFERROR(__xludf.DUMMYFUNCTION("""COMPUTED_VALUE"""),"PENGOLAHAN PENDATAAN")</f>
        <v>PENGOLAHAN PENDATAAN</v>
      </c>
      <c r="K241" s="10" t="str">
        <f ca="1">IFERROR(__xludf.DUMMYFUNCTION("""COMPUTED_VALUE"""),"SUSENAS24-LAPANGAN-SEMESTER1-PETUGAS ENTRI-PENGOLAHAN PENDATAAN")</f>
        <v>SUSENAS24-LAPANGAN-SEMESTER1-PETUGAS ENTRI-PENGOLAHAN PENDATAAN</v>
      </c>
      <c r="L241" s="10" t="str">
        <f ca="1">IFERROR(__xludf.DUMMYFUNCTION("""COMPUTED_VALUE"""),"Rumah Tangga")</f>
        <v>Rumah Tangga</v>
      </c>
      <c r="M241" s="66">
        <f ca="1">IFERROR(__xludf.DUMMYFUNCTION("""COMPUTED_VALUE"""),27500)</f>
        <v>27500</v>
      </c>
      <c r="N241" s="10">
        <f ca="1">IFERROR(__xludf.DUMMYFUNCTION("""COMPUTED_VALUE"""),64)</f>
        <v>64</v>
      </c>
      <c r="O241" s="10">
        <f ca="1">IFERROR(__xludf.DUMMYFUNCTION("""COMPUTED_VALUE"""),1760000)</f>
        <v>1760000</v>
      </c>
      <c r="P241" s="70"/>
      <c r="Q241" s="67">
        <f ca="1">IFERROR(__xludf.DUMMYFUNCTION("""COMPUTED_VALUE"""),45373)</f>
        <v>45373</v>
      </c>
    </row>
    <row r="242" spans="1:17" ht="12.5">
      <c r="A242" s="11">
        <f t="array" aca="1" ref="A242" ca="1">INDEX('Database Mitra'!$R$2:$R1001,MATCH(C242,'Database Mitra'!$B$2:$B1001,0))</f>
        <v>36455</v>
      </c>
      <c r="B242" s="10" t="e">
        <f t="shared" ca="1" si="0"/>
        <v>#NAME?</v>
      </c>
      <c r="C242" s="83">
        <f ca="1">IFERROR(__xludf.DUMMYFUNCTION("""COMPUTED_VALUE"""),610422100010)</f>
        <v>610422100010</v>
      </c>
      <c r="D242" s="10" t="str">
        <f ca="1">IFERROR(__xludf.DUMMYFUNCTION("""COMPUTED_VALUE"""),"SUSENAS24-LAPANGAN-SEMESTER1")</f>
        <v>SUSENAS24-LAPANGAN-SEMESTER1</v>
      </c>
      <c r="E242" s="10"/>
      <c r="F242" s="10">
        <f ca="1">IFERROR(__xludf.DUMMYFUNCTION("""COMPUTED_VALUE"""),1)</f>
        <v>1</v>
      </c>
      <c r="G242" s="10" t="str">
        <f ca="1">IFERROR(__xludf.DUMMYFUNCTION("""COMPUTED_VALUE"""),"Muhammad Rendi Fakhrian")</f>
        <v>Muhammad Rendi Fakhrian</v>
      </c>
      <c r="H242" s="10" t="str">
        <f ca="1">IFERROR(__xludf.DUMMYFUNCTION("""COMPUTED_VALUE"""),"PETUGAS ENTRI")</f>
        <v>PETUGAS ENTRI</v>
      </c>
      <c r="I242" s="10" t="str">
        <f ca="1">IFERROR(__xludf.DUMMYFUNCTION("""COMPUTED_VALUE"""),"6102012210990001")</f>
        <v>6102012210990001</v>
      </c>
      <c r="J242" s="10" t="str">
        <f ca="1">IFERROR(__xludf.DUMMYFUNCTION("""COMPUTED_VALUE"""),"PENGOLAHAN PENDATAAN")</f>
        <v>PENGOLAHAN PENDATAAN</v>
      </c>
      <c r="K242" s="10" t="str">
        <f ca="1">IFERROR(__xludf.DUMMYFUNCTION("""COMPUTED_VALUE"""),"SUSENAS24-LAPANGAN-SEMESTER1-PETUGAS ENTRI-PENGOLAHAN PENDATAAN")</f>
        <v>SUSENAS24-LAPANGAN-SEMESTER1-PETUGAS ENTRI-PENGOLAHAN PENDATAAN</v>
      </c>
      <c r="L242" s="10" t="str">
        <f ca="1">IFERROR(__xludf.DUMMYFUNCTION("""COMPUTED_VALUE"""),"Rumah Tangga")</f>
        <v>Rumah Tangga</v>
      </c>
      <c r="M242" s="66">
        <f ca="1">IFERROR(__xludf.DUMMYFUNCTION("""COMPUTED_VALUE"""),27500)</f>
        <v>27500</v>
      </c>
      <c r="N242" s="10">
        <f ca="1">IFERROR(__xludf.DUMMYFUNCTION("""COMPUTED_VALUE"""),58)</f>
        <v>58</v>
      </c>
      <c r="O242" s="10">
        <f ca="1">IFERROR(__xludf.DUMMYFUNCTION("""COMPUTED_VALUE"""),1595000)</f>
        <v>1595000</v>
      </c>
      <c r="P242" s="70"/>
      <c r="Q242" s="67">
        <f ca="1">IFERROR(__xludf.DUMMYFUNCTION("""COMPUTED_VALUE"""),45373)</f>
        <v>45373</v>
      </c>
    </row>
    <row r="243" spans="1:17" ht="12.5">
      <c r="A243" s="82">
        <f t="array" aca="1" ref="A243" ca="1">INDEX('Database Mitra'!$R$2:$R1001,MATCH(C243,'Database Mitra'!$B$2:$B1001,0))</f>
        <v>35839</v>
      </c>
      <c r="B243" s="10" t="e">
        <f t="shared" ca="1" si="0"/>
        <v>#NAME?</v>
      </c>
      <c r="C243" s="83">
        <f ca="1">IFERROR(__xludf.DUMMYFUNCTION("""COMPUTED_VALUE"""),610422100177)</f>
        <v>610422100177</v>
      </c>
      <c r="D243" s="10" t="str">
        <f ca="1">IFERROR(__xludf.DUMMYFUNCTION("""COMPUTED_VALUE"""),"SUSENAS24-LAPANGAN-SEMESTER1")</f>
        <v>SUSENAS24-LAPANGAN-SEMESTER1</v>
      </c>
      <c r="E243" s="10"/>
      <c r="F243" s="10">
        <f ca="1">IFERROR(__xludf.DUMMYFUNCTION("""COMPUTED_VALUE"""),1)</f>
        <v>1</v>
      </c>
      <c r="G243" s="10" t="str">
        <f ca="1">IFERROR(__xludf.DUMMYFUNCTION("""COMPUTED_VALUE"""),"Amirah")</f>
        <v>Amirah</v>
      </c>
      <c r="H243" s="10" t="str">
        <f ca="1">IFERROR(__xludf.DUMMYFUNCTION("""COMPUTED_VALUE"""),"PETUGAS ENTRI")</f>
        <v>PETUGAS ENTRI</v>
      </c>
      <c r="I243" s="10" t="str">
        <f ca="1">IFERROR(__xludf.DUMMYFUNCTION("""COMPUTED_VALUE"""),"6102015302980003")</f>
        <v>6102015302980003</v>
      </c>
      <c r="J243" s="10" t="str">
        <f ca="1">IFERROR(__xludf.DUMMYFUNCTION("""COMPUTED_VALUE"""),"PENGOLAHAN PENDATAAN")</f>
        <v>PENGOLAHAN PENDATAAN</v>
      </c>
      <c r="K243" s="10" t="str">
        <f ca="1">IFERROR(__xludf.DUMMYFUNCTION("""COMPUTED_VALUE"""),"SUSENAS24-LAPANGAN-SEMESTER1-PETUGAS ENTRI-PENGOLAHAN PENDATAAN")</f>
        <v>SUSENAS24-LAPANGAN-SEMESTER1-PETUGAS ENTRI-PENGOLAHAN PENDATAAN</v>
      </c>
      <c r="L243" s="10" t="str">
        <f ca="1">IFERROR(__xludf.DUMMYFUNCTION("""COMPUTED_VALUE"""),"Rumah Tangga")</f>
        <v>Rumah Tangga</v>
      </c>
      <c r="M243" s="66">
        <f ca="1">IFERROR(__xludf.DUMMYFUNCTION("""COMPUTED_VALUE"""),27500)</f>
        <v>27500</v>
      </c>
      <c r="N243" s="10">
        <f ca="1">IFERROR(__xludf.DUMMYFUNCTION("""COMPUTED_VALUE"""),64)</f>
        <v>64</v>
      </c>
      <c r="O243" s="10">
        <f ca="1">IFERROR(__xludf.DUMMYFUNCTION("""COMPUTED_VALUE"""),1760000)</f>
        <v>1760000</v>
      </c>
      <c r="P243" s="70"/>
      <c r="Q243" s="67">
        <f ca="1">IFERROR(__xludf.DUMMYFUNCTION("""COMPUTED_VALUE"""),45373)</f>
        <v>45373</v>
      </c>
    </row>
    <row r="244" spans="1:17" ht="12.5">
      <c r="A244" s="82">
        <f t="array" aca="1" ref="A244" ca="1">INDEX('Database Mitra'!$R$2:$R1001,MATCH(C244,'Database Mitra'!$B$2:$B1001,0))</f>
        <v>35601</v>
      </c>
      <c r="B244" s="10" t="e">
        <f t="shared" ca="1" si="0"/>
        <v>#NAME?</v>
      </c>
      <c r="C244" s="83">
        <f ca="1">IFERROR(__xludf.DUMMYFUNCTION("""COMPUTED_VALUE"""),610422100083)</f>
        <v>610422100083</v>
      </c>
      <c r="D244" s="10" t="str">
        <f ca="1">IFERROR(__xludf.DUMMYFUNCTION("""COMPUTED_VALUE"""),"SUSENAS24-LAPANGAN-SEMESTER1")</f>
        <v>SUSENAS24-LAPANGAN-SEMESTER1</v>
      </c>
      <c r="E244" s="10"/>
      <c r="F244" s="10">
        <f ca="1">IFERROR(__xludf.DUMMYFUNCTION("""COMPUTED_VALUE"""),1)</f>
        <v>1</v>
      </c>
      <c r="G244" s="10" t="str">
        <f ca="1">IFERROR(__xludf.DUMMYFUNCTION("""COMPUTED_VALUE"""),"Ilham Subagio")</f>
        <v>Ilham Subagio</v>
      </c>
      <c r="H244" s="10" t="str">
        <f ca="1">IFERROR(__xludf.DUMMYFUNCTION("""COMPUTED_VALUE"""),"PETUGAS ENTRI")</f>
        <v>PETUGAS ENTRI</v>
      </c>
      <c r="I244" s="10" t="str">
        <f ca="1">IFERROR(__xludf.DUMMYFUNCTION("""COMPUTED_VALUE"""),"6102012006970002")</f>
        <v>6102012006970002</v>
      </c>
      <c r="J244" s="10" t="str">
        <f ca="1">IFERROR(__xludf.DUMMYFUNCTION("""COMPUTED_VALUE"""),"PENGOLAHAN PENDATAAN")</f>
        <v>PENGOLAHAN PENDATAAN</v>
      </c>
      <c r="K244" s="10" t="str">
        <f ca="1">IFERROR(__xludf.DUMMYFUNCTION("""COMPUTED_VALUE"""),"SUSENAS24-LAPANGAN-SEMESTER1-PETUGAS ENTRI-PENGOLAHAN PENDATAAN")</f>
        <v>SUSENAS24-LAPANGAN-SEMESTER1-PETUGAS ENTRI-PENGOLAHAN PENDATAAN</v>
      </c>
      <c r="L244" s="10" t="str">
        <f ca="1">IFERROR(__xludf.DUMMYFUNCTION("""COMPUTED_VALUE"""),"Rumah Tangga")</f>
        <v>Rumah Tangga</v>
      </c>
      <c r="M244" s="66">
        <f ca="1">IFERROR(__xludf.DUMMYFUNCTION("""COMPUTED_VALUE"""),27500)</f>
        <v>27500</v>
      </c>
      <c r="N244" s="10">
        <f ca="1">IFERROR(__xludf.DUMMYFUNCTION("""COMPUTED_VALUE"""),62)</f>
        <v>62</v>
      </c>
      <c r="O244" s="10">
        <f ca="1">IFERROR(__xludf.DUMMYFUNCTION("""COMPUTED_VALUE"""),1705000)</f>
        <v>1705000</v>
      </c>
      <c r="P244" s="70"/>
      <c r="Q244" s="67">
        <f ca="1">IFERROR(__xludf.DUMMYFUNCTION("""COMPUTED_VALUE"""),45373)</f>
        <v>45373</v>
      </c>
    </row>
    <row r="245" spans="1:17" ht="12.5">
      <c r="A245" s="82">
        <f t="array" aca="1" ref="A245" ca="1">INDEX('Database Mitra'!$R$2:$R1001,MATCH(C245,'Database Mitra'!$B$2:$B1001,0))</f>
        <v>38242</v>
      </c>
      <c r="B245" s="10" t="e">
        <f t="shared" ca="1" si="0"/>
        <v>#NAME?</v>
      </c>
      <c r="C245" s="83">
        <f ca="1">IFERROR(__xludf.DUMMYFUNCTION("""COMPUTED_VALUE"""),610422110006)</f>
        <v>610422110006</v>
      </c>
      <c r="D245" s="10" t="str">
        <f ca="1">IFERROR(__xludf.DUMMYFUNCTION("""COMPUTED_VALUE"""),"SUSENAS24-LAPANGAN-SEMESTER1")</f>
        <v>SUSENAS24-LAPANGAN-SEMESTER1</v>
      </c>
      <c r="E245" s="10"/>
      <c r="F245" s="10">
        <f ca="1">IFERROR(__xludf.DUMMYFUNCTION("""COMPUTED_VALUE"""),1)</f>
        <v>1</v>
      </c>
      <c r="G245" s="10" t="str">
        <f ca="1">IFERROR(__xludf.DUMMYFUNCTION("""COMPUTED_VALUE"""),"Muhammad Habibie")</f>
        <v>Muhammad Habibie</v>
      </c>
      <c r="H245" s="10" t="str">
        <f ca="1">IFERROR(__xludf.DUMMYFUNCTION("""COMPUTED_VALUE"""),"PETUGAS ENTRI")</f>
        <v>PETUGAS ENTRI</v>
      </c>
      <c r="I245" s="10" t="str">
        <f ca="1">IFERROR(__xludf.DUMMYFUNCTION("""COMPUTED_VALUE"""),"6102161209040001")</f>
        <v>6102161209040001</v>
      </c>
      <c r="J245" s="10" t="str">
        <f ca="1">IFERROR(__xludf.DUMMYFUNCTION("""COMPUTED_VALUE"""),"PENGOLAHAN PENDATAAN")</f>
        <v>PENGOLAHAN PENDATAAN</v>
      </c>
      <c r="K245" s="10" t="str">
        <f ca="1">IFERROR(__xludf.DUMMYFUNCTION("""COMPUTED_VALUE"""),"SUSENAS24-LAPANGAN-SEMESTER1-PETUGAS ENTRI-PENGOLAHAN PENDATAAN")</f>
        <v>SUSENAS24-LAPANGAN-SEMESTER1-PETUGAS ENTRI-PENGOLAHAN PENDATAAN</v>
      </c>
      <c r="L245" s="10" t="str">
        <f ca="1">IFERROR(__xludf.DUMMYFUNCTION("""COMPUTED_VALUE"""),"Rumah Tangga")</f>
        <v>Rumah Tangga</v>
      </c>
      <c r="M245" s="66">
        <f ca="1">IFERROR(__xludf.DUMMYFUNCTION("""COMPUTED_VALUE"""),27500)</f>
        <v>27500</v>
      </c>
      <c r="N245" s="10">
        <f ca="1">IFERROR(__xludf.DUMMYFUNCTION("""COMPUTED_VALUE"""),60)</f>
        <v>60</v>
      </c>
      <c r="O245" s="10">
        <f ca="1">IFERROR(__xludf.DUMMYFUNCTION("""COMPUTED_VALUE"""),1650000)</f>
        <v>1650000</v>
      </c>
      <c r="P245" s="70"/>
      <c r="Q245" s="67">
        <f ca="1">IFERROR(__xludf.DUMMYFUNCTION("""COMPUTED_VALUE"""),45373)</f>
        <v>45373</v>
      </c>
    </row>
    <row r="246" spans="1:17" ht="12.5">
      <c r="A246" s="82">
        <f t="array" aca="1" ref="A246" ca="1">INDEX('Database Mitra'!$R$2:$R1001,MATCH(C246,'Database Mitra'!$B$2:$B1001,0))</f>
        <v>34855</v>
      </c>
      <c r="B246" s="10" t="e">
        <f t="shared" ca="1" si="0"/>
        <v>#NAME?</v>
      </c>
      <c r="C246" s="83">
        <f ca="1">IFERROR(__xludf.DUMMYFUNCTION("""COMPUTED_VALUE"""),610422110005)</f>
        <v>610422110005</v>
      </c>
      <c r="D246" s="10" t="str">
        <f ca="1">IFERROR(__xludf.DUMMYFUNCTION("""COMPUTED_VALUE"""),"SUSENAS24-LAPANGAN-SEMESTER1")</f>
        <v>SUSENAS24-LAPANGAN-SEMESTER1</v>
      </c>
      <c r="E246" s="10"/>
      <c r="F246" s="10">
        <f ca="1">IFERROR(__xludf.DUMMYFUNCTION("""COMPUTED_VALUE"""),1)</f>
        <v>1</v>
      </c>
      <c r="G246" s="10" t="str">
        <f ca="1">IFERROR(__xludf.DUMMYFUNCTION("""COMPUTED_VALUE"""),"Indra")</f>
        <v>Indra</v>
      </c>
      <c r="H246" s="10" t="str">
        <f ca="1">IFERROR(__xludf.DUMMYFUNCTION("""COMPUTED_VALUE"""),"PETUGAS ENTRI")</f>
        <v>PETUGAS ENTRI</v>
      </c>
      <c r="I246" s="10" t="str">
        <f ca="1">IFERROR(__xludf.DUMMYFUNCTION("""COMPUTED_VALUE"""),"6102010506950003")</f>
        <v>6102010506950003</v>
      </c>
      <c r="J246" s="10" t="str">
        <f ca="1">IFERROR(__xludf.DUMMYFUNCTION("""COMPUTED_VALUE"""),"PENGOLAHAN PENDATAAN")</f>
        <v>PENGOLAHAN PENDATAAN</v>
      </c>
      <c r="K246" s="10" t="str">
        <f ca="1">IFERROR(__xludf.DUMMYFUNCTION("""COMPUTED_VALUE"""),"SUSENAS24-LAPANGAN-SEMESTER1-PETUGAS ENTRI-PENGOLAHAN PENDATAAN")</f>
        <v>SUSENAS24-LAPANGAN-SEMESTER1-PETUGAS ENTRI-PENGOLAHAN PENDATAAN</v>
      </c>
      <c r="L246" s="10" t="str">
        <f ca="1">IFERROR(__xludf.DUMMYFUNCTION("""COMPUTED_VALUE"""),"Rumah Tangga")</f>
        <v>Rumah Tangga</v>
      </c>
      <c r="M246" s="66">
        <f ca="1">IFERROR(__xludf.DUMMYFUNCTION("""COMPUTED_VALUE"""),27500)</f>
        <v>27500</v>
      </c>
      <c r="N246" s="10">
        <f ca="1">IFERROR(__xludf.DUMMYFUNCTION("""COMPUTED_VALUE"""),71)</f>
        <v>71</v>
      </c>
      <c r="O246" s="10">
        <f ca="1">IFERROR(__xludf.DUMMYFUNCTION("""COMPUTED_VALUE"""),1952500)</f>
        <v>1952500</v>
      </c>
      <c r="P246" s="70"/>
      <c r="Q246" s="67">
        <f ca="1">IFERROR(__xludf.DUMMYFUNCTION("""COMPUTED_VALUE"""),45373)</f>
        <v>45373</v>
      </c>
    </row>
    <row r="247" spans="1:17" ht="12.5">
      <c r="A247" s="82">
        <f t="array" aca="1" ref="A247" ca="1">INDEX('Database Mitra'!$R$2:$R1001,MATCH(C247,'Database Mitra'!$B$2:$B1001,0))</f>
        <v>36245</v>
      </c>
      <c r="B247" s="10" t="e">
        <f t="shared" ca="1" si="0"/>
        <v>#NAME?</v>
      </c>
      <c r="C247" s="83">
        <f ca="1">IFERROR(__xludf.DUMMYFUNCTION("""COMPUTED_VALUE"""),610423090021)</f>
        <v>610423090021</v>
      </c>
      <c r="D247" s="10" t="str">
        <f ca="1">IFERROR(__xludf.DUMMYFUNCTION("""COMPUTED_VALUE"""),"SUSENAS24-LAPANGAN-SEMESTER1")</f>
        <v>SUSENAS24-LAPANGAN-SEMESTER1</v>
      </c>
      <c r="E247" s="10"/>
      <c r="F247" s="10">
        <f ca="1">IFERROR(__xludf.DUMMYFUNCTION("""COMPUTED_VALUE"""),1)</f>
        <v>1</v>
      </c>
      <c r="G247" s="10" t="str">
        <f ca="1">IFERROR(__xludf.DUMMYFUNCTION("""COMPUTED_VALUE"""),"Thama Riewanty Oesman")</f>
        <v>Thama Riewanty Oesman</v>
      </c>
      <c r="H247" s="10" t="str">
        <f ca="1">IFERROR(__xludf.DUMMYFUNCTION("""COMPUTED_VALUE"""),"PETUGAS ENTRI")</f>
        <v>PETUGAS ENTRI</v>
      </c>
      <c r="I247" s="10" t="str">
        <f ca="1">IFERROR(__xludf.DUMMYFUNCTION("""COMPUTED_VALUE"""),"6102016603990004")</f>
        <v>6102016603990004</v>
      </c>
      <c r="J247" s="10" t="str">
        <f ca="1">IFERROR(__xludf.DUMMYFUNCTION("""COMPUTED_VALUE"""),"PENGOLAHAN PENDATAAN")</f>
        <v>PENGOLAHAN PENDATAAN</v>
      </c>
      <c r="K247" s="10" t="str">
        <f ca="1">IFERROR(__xludf.DUMMYFUNCTION("""COMPUTED_VALUE"""),"SUSENAS24-LAPANGAN-SEMESTER1-PETUGAS ENTRI-PENGOLAHAN PENDATAAN")</f>
        <v>SUSENAS24-LAPANGAN-SEMESTER1-PETUGAS ENTRI-PENGOLAHAN PENDATAAN</v>
      </c>
      <c r="L247" s="10" t="str">
        <f ca="1">IFERROR(__xludf.DUMMYFUNCTION("""COMPUTED_VALUE"""),"Rumah Tangga")</f>
        <v>Rumah Tangga</v>
      </c>
      <c r="M247" s="66">
        <f ca="1">IFERROR(__xludf.DUMMYFUNCTION("""COMPUTED_VALUE"""),27500)</f>
        <v>27500</v>
      </c>
      <c r="N247" s="10">
        <f ca="1">IFERROR(__xludf.DUMMYFUNCTION("""COMPUTED_VALUE"""),58)</f>
        <v>58</v>
      </c>
      <c r="O247" s="10">
        <f ca="1">IFERROR(__xludf.DUMMYFUNCTION("""COMPUTED_VALUE"""),1595000)</f>
        <v>1595000</v>
      </c>
      <c r="P247" s="70"/>
      <c r="Q247" s="67">
        <f ca="1">IFERROR(__xludf.DUMMYFUNCTION("""COMPUTED_VALUE"""),45373)</f>
        <v>45373</v>
      </c>
    </row>
    <row r="248" spans="1:17" ht="12.5">
      <c r="A248" s="82">
        <f t="array" aca="1" ref="A248" ca="1">INDEX('Database Mitra'!$R$2:$R1001,MATCH(C248,'Database Mitra'!$B$2:$B1001,0))</f>
        <v>34381</v>
      </c>
      <c r="B248" s="10" t="e">
        <f t="shared" ca="1" si="0"/>
        <v>#NAME?</v>
      </c>
      <c r="C248" s="83">
        <f ca="1">IFERROR(__xludf.DUMMYFUNCTION("""COMPUTED_VALUE"""),610423110150)</f>
        <v>610423110150</v>
      </c>
      <c r="D248" s="10" t="str">
        <f ca="1">IFERROR(__xludf.DUMMYFUNCTION("""COMPUTED_VALUE"""),"SUSENAS24-LAPANGAN-SEMESTER1")</f>
        <v>SUSENAS24-LAPANGAN-SEMESTER1</v>
      </c>
      <c r="E248" s="10"/>
      <c r="F248" s="10">
        <f ca="1">IFERROR(__xludf.DUMMYFUNCTION("""COMPUTED_VALUE"""),1)</f>
        <v>1</v>
      </c>
      <c r="G248" s="10" t="str">
        <f ca="1">IFERROR(__xludf.DUMMYFUNCTION("""COMPUTED_VALUE"""),"Risa Yolani")</f>
        <v>Risa Yolani</v>
      </c>
      <c r="H248" s="10" t="str">
        <f ca="1">IFERROR(__xludf.DUMMYFUNCTION("""COMPUTED_VALUE"""),"PETUGAS ENTRI")</f>
        <v>PETUGAS ENTRI</v>
      </c>
      <c r="I248" s="10" t="str">
        <f ca="1">IFERROR(__xludf.DUMMYFUNCTION("""COMPUTED_VALUE"""),"6102015802940002")</f>
        <v>6102015802940002</v>
      </c>
      <c r="J248" s="10" t="str">
        <f ca="1">IFERROR(__xludf.DUMMYFUNCTION("""COMPUTED_VALUE"""),"PENGOLAHAN PENDATAAN")</f>
        <v>PENGOLAHAN PENDATAAN</v>
      </c>
      <c r="K248" s="10" t="str">
        <f ca="1">IFERROR(__xludf.DUMMYFUNCTION("""COMPUTED_VALUE"""),"SUSENAS24-LAPANGAN-SEMESTER1-PETUGAS ENTRI-PENGOLAHAN PENDATAAN")</f>
        <v>SUSENAS24-LAPANGAN-SEMESTER1-PETUGAS ENTRI-PENGOLAHAN PENDATAAN</v>
      </c>
      <c r="L248" s="10" t="str">
        <f ca="1">IFERROR(__xludf.DUMMYFUNCTION("""COMPUTED_VALUE"""),"Rumah Tangga")</f>
        <v>Rumah Tangga</v>
      </c>
      <c r="M248" s="66">
        <f ca="1">IFERROR(__xludf.DUMMYFUNCTION("""COMPUTED_VALUE"""),27500)</f>
        <v>27500</v>
      </c>
      <c r="N248" s="10">
        <f ca="1">IFERROR(__xludf.DUMMYFUNCTION("""COMPUTED_VALUE"""),58)</f>
        <v>58</v>
      </c>
      <c r="O248" s="10">
        <f ca="1">IFERROR(__xludf.DUMMYFUNCTION("""COMPUTED_VALUE"""),1595000)</f>
        <v>1595000</v>
      </c>
      <c r="P248" s="70"/>
      <c r="Q248" s="67">
        <f ca="1">IFERROR(__xludf.DUMMYFUNCTION("""COMPUTED_VALUE"""),45373)</f>
        <v>45373</v>
      </c>
    </row>
    <row r="249" spans="1:17" ht="12.5">
      <c r="A249" s="82">
        <f t="array" aca="1" ref="A249" ca="1">INDEX('Database Mitra'!$R$2:$R1001,MATCH(C249,'Database Mitra'!$B$2:$B1001,0))</f>
        <v>36665</v>
      </c>
      <c r="B249" s="10" t="e">
        <f t="shared" ca="1" si="0"/>
        <v>#NAME?</v>
      </c>
      <c r="C249" s="83">
        <f ca="1">IFERROR(__xludf.DUMMYFUNCTION("""COMPUTED_VALUE"""),610423110129)</f>
        <v>610423110129</v>
      </c>
      <c r="D249" s="10" t="str">
        <f ca="1">IFERROR(__xludf.DUMMYFUNCTION("""COMPUTED_VALUE"""),"SUSENAS24-LAPANGAN-SEMESTER1")</f>
        <v>SUSENAS24-LAPANGAN-SEMESTER1</v>
      </c>
      <c r="E249" s="10"/>
      <c r="F249" s="10">
        <f ca="1">IFERROR(__xludf.DUMMYFUNCTION("""COMPUTED_VALUE"""),1)</f>
        <v>1</v>
      </c>
      <c r="G249" s="10" t="str">
        <f ca="1">IFERROR(__xludf.DUMMYFUNCTION("""COMPUTED_VALUE"""),"Athalia Meifira")</f>
        <v>Athalia Meifira</v>
      </c>
      <c r="H249" s="10" t="str">
        <f ca="1">IFERROR(__xludf.DUMMYFUNCTION("""COMPUTED_VALUE"""),"PETUGAS ENTRI")</f>
        <v>PETUGAS ENTRI</v>
      </c>
      <c r="I249" s="10" t="str">
        <f ca="1">IFERROR(__xludf.DUMMYFUNCTION("""COMPUTED_VALUE"""),"6102015905000001")</f>
        <v>6102015905000001</v>
      </c>
      <c r="J249" s="10" t="str">
        <f ca="1">IFERROR(__xludf.DUMMYFUNCTION("""COMPUTED_VALUE"""),"PENGOLAHAN PENDATAAN")</f>
        <v>PENGOLAHAN PENDATAAN</v>
      </c>
      <c r="K249" s="10" t="str">
        <f ca="1">IFERROR(__xludf.DUMMYFUNCTION("""COMPUTED_VALUE"""),"SUSENAS24-LAPANGAN-SEMESTER1-PETUGAS ENTRI-PENGOLAHAN PENDATAAN")</f>
        <v>SUSENAS24-LAPANGAN-SEMESTER1-PETUGAS ENTRI-PENGOLAHAN PENDATAAN</v>
      </c>
      <c r="L249" s="10" t="str">
        <f ca="1">IFERROR(__xludf.DUMMYFUNCTION("""COMPUTED_VALUE"""),"Rumah Tangga")</f>
        <v>Rumah Tangga</v>
      </c>
      <c r="M249" s="66">
        <f ca="1">IFERROR(__xludf.DUMMYFUNCTION("""COMPUTED_VALUE"""),27500)</f>
        <v>27500</v>
      </c>
      <c r="N249" s="10">
        <f ca="1">IFERROR(__xludf.DUMMYFUNCTION("""COMPUTED_VALUE"""),62)</f>
        <v>62</v>
      </c>
      <c r="O249" s="10">
        <f ca="1">IFERROR(__xludf.DUMMYFUNCTION("""COMPUTED_VALUE"""),1705000)</f>
        <v>1705000</v>
      </c>
      <c r="P249" s="70"/>
      <c r="Q249" s="67">
        <f ca="1">IFERROR(__xludf.DUMMYFUNCTION("""COMPUTED_VALUE"""),45373)</f>
        <v>45373</v>
      </c>
    </row>
    <row r="250" spans="1:17" ht="12.5">
      <c r="A250" s="11">
        <f t="array" aca="1" ref="A250" ca="1">INDEX('Database Mitra'!$R$2:$R1001,MATCH(C250,'Database Mitra'!$B$2:$B1001,0))</f>
        <v>34895</v>
      </c>
      <c r="B250" s="10" t="e">
        <f t="shared" ca="1" si="0"/>
        <v>#NAME?</v>
      </c>
      <c r="C250" s="83">
        <f ca="1">IFERROR(__xludf.DUMMYFUNCTION("""COMPUTED_VALUE"""),610422020016)</f>
        <v>610422020016</v>
      </c>
      <c r="D250" s="10" t="str">
        <f ca="1">IFERROR(__xludf.DUMMYFUNCTION("""COMPUTED_VALUE"""),"KSA24-LAPANGAN-MARET")</f>
        <v>KSA24-LAPANGAN-MARET</v>
      </c>
      <c r="E250" s="10"/>
      <c r="F250" s="10">
        <f ca="1">IFERROR(__xludf.DUMMYFUNCTION("""COMPUTED_VALUE"""),1)</f>
        <v>1</v>
      </c>
      <c r="G250" s="10" t="str">
        <f ca="1">IFERROR(__xludf.DUMMYFUNCTION("""COMPUTED_VALUE"""),"Abdul Aziz")</f>
        <v>Abdul Aziz</v>
      </c>
      <c r="H250" s="10" t="str">
        <f ca="1">IFERROR(__xludf.DUMMYFUNCTION("""COMPUTED_VALUE"""),"PPL")</f>
        <v>PPL</v>
      </c>
      <c r="I250" s="10" t="str">
        <f ca="1">IFERROR(__xludf.DUMMYFUNCTION("""COMPUTED_VALUE"""),"6102061507950006")</f>
        <v>6102061507950006</v>
      </c>
      <c r="J250" s="10" t="str">
        <f ca="1">IFERROR(__xludf.DUMMYFUNCTION("""COMPUTED_VALUE"""),"KSA PADI")</f>
        <v>KSA PADI</v>
      </c>
      <c r="K250" s="10" t="str">
        <f ca="1">IFERROR(__xludf.DUMMYFUNCTION("""COMPUTED_VALUE"""),"KSA24-LAPANGAN-MARET-PPL-KSA PADI")</f>
        <v>KSA24-LAPANGAN-MARET-PPL-KSA PADI</v>
      </c>
      <c r="L250" s="10" t="str">
        <f ca="1">IFERROR(__xludf.DUMMYFUNCTION("""COMPUTED_VALUE"""),"Segmen")</f>
        <v>Segmen</v>
      </c>
      <c r="M250" s="66">
        <f ca="1">IFERROR(__xludf.DUMMYFUNCTION("""COMPUTED_VALUE"""),116000)</f>
        <v>116000</v>
      </c>
      <c r="N250" s="10">
        <f ca="1">IFERROR(__xludf.DUMMYFUNCTION("""COMPUTED_VALUE"""),3)</f>
        <v>3</v>
      </c>
      <c r="O250" s="10">
        <f ca="1">IFERROR(__xludf.DUMMYFUNCTION("""COMPUTED_VALUE"""),348000)</f>
        <v>348000</v>
      </c>
      <c r="P250" s="10"/>
      <c r="Q250" s="67">
        <f ca="1">IFERROR(__xludf.DUMMYFUNCTION("""COMPUTED_VALUE"""),45382)</f>
        <v>45382</v>
      </c>
    </row>
    <row r="251" spans="1:17" ht="12.5">
      <c r="A251" s="82">
        <f t="array" aca="1" ref="A251" ca="1">INDEX('Database Mitra'!$R$2:$R1001,MATCH(C251,'Database Mitra'!$B$2:$B1001,0))</f>
        <v>36043</v>
      </c>
      <c r="B251" s="10" t="e">
        <f t="shared" ca="1" si="0"/>
        <v>#NAME?</v>
      </c>
      <c r="C251" s="83">
        <f ca="1">IFERROR(__xludf.DUMMYFUNCTION("""COMPUTED_VALUE"""),610422040012)</f>
        <v>610422040012</v>
      </c>
      <c r="D251" s="10" t="str">
        <f ca="1">IFERROR(__xludf.DUMMYFUNCTION("""COMPUTED_VALUE"""),"KSA24-LAPANGAN-MARET")</f>
        <v>KSA24-LAPANGAN-MARET</v>
      </c>
      <c r="E251" s="10"/>
      <c r="F251" s="10">
        <f ca="1">IFERROR(__xludf.DUMMYFUNCTION("""COMPUTED_VALUE"""),1)</f>
        <v>1</v>
      </c>
      <c r="G251" s="10" t="str">
        <f ca="1">IFERROR(__xludf.DUMMYFUNCTION("""COMPUTED_VALUE"""),"Misdi")</f>
        <v>Misdi</v>
      </c>
      <c r="H251" s="10" t="str">
        <f ca="1">IFERROR(__xludf.DUMMYFUNCTION("""COMPUTED_VALUE"""),"PPL")</f>
        <v>PPL</v>
      </c>
      <c r="I251" s="10" t="str">
        <f ca="1">IFERROR(__xludf.DUMMYFUNCTION("""COMPUTED_VALUE"""),"6102070706940001")</f>
        <v>6102070706940001</v>
      </c>
      <c r="J251" s="10" t="str">
        <f ca="1">IFERROR(__xludf.DUMMYFUNCTION("""COMPUTED_VALUE"""),"KSA PADI")</f>
        <v>KSA PADI</v>
      </c>
      <c r="K251" s="10" t="str">
        <f ca="1">IFERROR(__xludf.DUMMYFUNCTION("""COMPUTED_VALUE"""),"KSA24-LAPANGAN-MARET-PPL-KSA PADI")</f>
        <v>KSA24-LAPANGAN-MARET-PPL-KSA PADI</v>
      </c>
      <c r="L251" s="10" t="str">
        <f ca="1">IFERROR(__xludf.DUMMYFUNCTION("""COMPUTED_VALUE"""),"Segmen")</f>
        <v>Segmen</v>
      </c>
      <c r="M251" s="66">
        <f ca="1">IFERROR(__xludf.DUMMYFUNCTION("""COMPUTED_VALUE"""),116000)</f>
        <v>116000</v>
      </c>
      <c r="N251" s="10">
        <f ca="1">IFERROR(__xludf.DUMMYFUNCTION("""COMPUTED_VALUE"""),3)</f>
        <v>3</v>
      </c>
      <c r="O251" s="10">
        <f ca="1">IFERROR(__xludf.DUMMYFUNCTION("""COMPUTED_VALUE"""),348000)</f>
        <v>348000</v>
      </c>
      <c r="P251" s="10"/>
      <c r="Q251" s="67">
        <f ca="1">IFERROR(__xludf.DUMMYFUNCTION("""COMPUTED_VALUE"""),45382)</f>
        <v>45382</v>
      </c>
    </row>
    <row r="252" spans="1:17" ht="12.5">
      <c r="A252" s="82">
        <f t="array" aca="1" ref="A252" ca="1">INDEX('Database Mitra'!$R$2:$R1001,MATCH(C252,'Database Mitra'!$B$2:$B1001,0))</f>
        <v>28816</v>
      </c>
      <c r="B252" s="10" t="e">
        <f t="shared" ca="1" si="0"/>
        <v>#NAME?</v>
      </c>
      <c r="C252" s="83">
        <f ca="1">IFERROR(__xludf.DUMMYFUNCTION("""COMPUTED_VALUE"""),610422040059)</f>
        <v>610422040059</v>
      </c>
      <c r="D252" s="10" t="str">
        <f ca="1">IFERROR(__xludf.DUMMYFUNCTION("""COMPUTED_VALUE"""),"KSA24-LAPANGAN-MARET")</f>
        <v>KSA24-LAPANGAN-MARET</v>
      </c>
      <c r="E252" s="10"/>
      <c r="F252" s="10">
        <f ca="1">IFERROR(__xludf.DUMMYFUNCTION("""COMPUTED_VALUE"""),1)</f>
        <v>1</v>
      </c>
      <c r="G252" s="10" t="str">
        <f ca="1">IFERROR(__xludf.DUMMYFUNCTION("""COMPUTED_VALUE"""),"Abang Handri")</f>
        <v>Abang Handri</v>
      </c>
      <c r="H252" s="10" t="str">
        <f ca="1">IFERROR(__xludf.DUMMYFUNCTION("""COMPUTED_VALUE"""),"PPL")</f>
        <v>PPL</v>
      </c>
      <c r="I252" s="10" t="str">
        <f ca="1">IFERROR(__xludf.DUMMYFUNCTION("""COMPUTED_VALUE"""),"6102072211780002")</f>
        <v>6102072211780002</v>
      </c>
      <c r="J252" s="10" t="str">
        <f ca="1">IFERROR(__xludf.DUMMYFUNCTION("""COMPUTED_VALUE"""),"KSA PADI")</f>
        <v>KSA PADI</v>
      </c>
      <c r="K252" s="10" t="str">
        <f ca="1">IFERROR(__xludf.DUMMYFUNCTION("""COMPUTED_VALUE"""),"KSA24-LAPANGAN-MARET-PPL-KSA PADI")</f>
        <v>KSA24-LAPANGAN-MARET-PPL-KSA PADI</v>
      </c>
      <c r="L252" s="10" t="str">
        <f ca="1">IFERROR(__xludf.DUMMYFUNCTION("""COMPUTED_VALUE"""),"Segmen")</f>
        <v>Segmen</v>
      </c>
      <c r="M252" s="66">
        <f ca="1">IFERROR(__xludf.DUMMYFUNCTION("""COMPUTED_VALUE"""),116000)</f>
        <v>116000</v>
      </c>
      <c r="N252" s="10">
        <f ca="1">IFERROR(__xludf.DUMMYFUNCTION("""COMPUTED_VALUE"""),4)</f>
        <v>4</v>
      </c>
      <c r="O252" s="10">
        <f ca="1">IFERROR(__xludf.DUMMYFUNCTION("""COMPUTED_VALUE"""),464000)</f>
        <v>464000</v>
      </c>
      <c r="P252" s="10"/>
      <c r="Q252" s="67">
        <f ca="1">IFERROR(__xludf.DUMMYFUNCTION("""COMPUTED_VALUE"""),45382)</f>
        <v>45382</v>
      </c>
    </row>
    <row r="253" spans="1:17" ht="12.5">
      <c r="A253" s="11">
        <f t="array" aca="1" ref="A253" ca="1">INDEX('Database Mitra'!$R$2:$R1001,MATCH(C253,'Database Mitra'!$B$2:$B1001,0))</f>
        <v>31777</v>
      </c>
      <c r="B253" s="10" t="e">
        <f t="shared" ca="1" si="0"/>
        <v>#NAME?</v>
      </c>
      <c r="C253" s="83">
        <f ca="1">IFERROR(__xludf.DUMMYFUNCTION("""COMPUTED_VALUE"""),610422040061)</f>
        <v>610422040061</v>
      </c>
      <c r="D253" s="10" t="str">
        <f ca="1">IFERROR(__xludf.DUMMYFUNCTION("""COMPUTED_VALUE"""),"KSA24-LAPANGAN-MARET")</f>
        <v>KSA24-LAPANGAN-MARET</v>
      </c>
      <c r="E253" s="10"/>
      <c r="F253" s="10">
        <f ca="1">IFERROR(__xludf.DUMMYFUNCTION("""COMPUTED_VALUE"""),1)</f>
        <v>1</v>
      </c>
      <c r="G253" s="10" t="str">
        <f ca="1">IFERROR(__xludf.DUMMYFUNCTION("""COMPUTED_VALUE"""),"Sabani")</f>
        <v>Sabani</v>
      </c>
      <c r="H253" s="10" t="str">
        <f ca="1">IFERROR(__xludf.DUMMYFUNCTION("""COMPUTED_VALUE"""),"PPL")</f>
        <v>PPL</v>
      </c>
      <c r="I253" s="10" t="str">
        <f ca="1">IFERROR(__xludf.DUMMYFUNCTION("""COMPUTED_VALUE"""),"6102153112860003")</f>
        <v>6102153112860003</v>
      </c>
      <c r="J253" s="10" t="str">
        <f ca="1">IFERROR(__xludf.DUMMYFUNCTION("""COMPUTED_VALUE"""),"KSA PADI")</f>
        <v>KSA PADI</v>
      </c>
      <c r="K253" s="10" t="str">
        <f ca="1">IFERROR(__xludf.DUMMYFUNCTION("""COMPUTED_VALUE"""),"KSA24-LAPANGAN-MARET-PPL-KSA PADI")</f>
        <v>KSA24-LAPANGAN-MARET-PPL-KSA PADI</v>
      </c>
      <c r="L253" s="10" t="str">
        <f ca="1">IFERROR(__xludf.DUMMYFUNCTION("""COMPUTED_VALUE"""),"Segmen")</f>
        <v>Segmen</v>
      </c>
      <c r="M253" s="66">
        <f ca="1">IFERROR(__xludf.DUMMYFUNCTION("""COMPUTED_VALUE"""),116000)</f>
        <v>116000</v>
      </c>
      <c r="N253" s="10">
        <f ca="1">IFERROR(__xludf.DUMMYFUNCTION("""COMPUTED_VALUE"""),3)</f>
        <v>3</v>
      </c>
      <c r="O253" s="10">
        <f ca="1">IFERROR(__xludf.DUMMYFUNCTION("""COMPUTED_VALUE"""),348000)</f>
        <v>348000</v>
      </c>
      <c r="P253" s="10"/>
      <c r="Q253" s="67">
        <f ca="1">IFERROR(__xludf.DUMMYFUNCTION("""COMPUTED_VALUE"""),45382)</f>
        <v>45382</v>
      </c>
    </row>
    <row r="254" spans="1:17" ht="12.5">
      <c r="A254" s="82">
        <f t="array" aca="1" ref="A254" ca="1">INDEX('Database Mitra'!$R$2:$R1001,MATCH(C254,'Database Mitra'!$B$2:$B1001,0))</f>
        <v>31602</v>
      </c>
      <c r="B254" s="10" t="e">
        <f t="shared" ca="1" si="0"/>
        <v>#NAME?</v>
      </c>
      <c r="C254" s="83">
        <f ca="1">IFERROR(__xludf.DUMMYFUNCTION("""COMPUTED_VALUE"""),610422100131)</f>
        <v>610422100131</v>
      </c>
      <c r="D254" s="10" t="str">
        <f ca="1">IFERROR(__xludf.DUMMYFUNCTION("""COMPUTED_VALUE"""),"KSA24-LAPANGAN-MARET")</f>
        <v>KSA24-LAPANGAN-MARET</v>
      </c>
      <c r="E254" s="10"/>
      <c r="F254" s="10">
        <f ca="1">IFERROR(__xludf.DUMMYFUNCTION("""COMPUTED_VALUE"""),1)</f>
        <v>1</v>
      </c>
      <c r="G254" s="10" t="str">
        <f ca="1">IFERROR(__xludf.DUMMYFUNCTION("""COMPUTED_VALUE"""),"Syamsul")</f>
        <v>Syamsul</v>
      </c>
      <c r="H254" s="10" t="str">
        <f ca="1">IFERROR(__xludf.DUMMYFUNCTION("""COMPUTED_VALUE"""),"PPL")</f>
        <v>PPL</v>
      </c>
      <c r="I254" s="10" t="str">
        <f ca="1">IFERROR(__xludf.DUMMYFUNCTION("""COMPUTED_VALUE"""),"6102150907860003")</f>
        <v>6102150907860003</v>
      </c>
      <c r="J254" s="10" t="str">
        <f ca="1">IFERROR(__xludf.DUMMYFUNCTION("""COMPUTED_VALUE"""),"KSA PADI")</f>
        <v>KSA PADI</v>
      </c>
      <c r="K254" s="10" t="str">
        <f ca="1">IFERROR(__xludf.DUMMYFUNCTION("""COMPUTED_VALUE"""),"KSA24-LAPANGAN-MARET-PPL-KSA PADI")</f>
        <v>KSA24-LAPANGAN-MARET-PPL-KSA PADI</v>
      </c>
      <c r="L254" s="10" t="str">
        <f ca="1">IFERROR(__xludf.DUMMYFUNCTION("""COMPUTED_VALUE"""),"Segmen")</f>
        <v>Segmen</v>
      </c>
      <c r="M254" s="66">
        <f ca="1">IFERROR(__xludf.DUMMYFUNCTION("""COMPUTED_VALUE"""),116000)</f>
        <v>116000</v>
      </c>
      <c r="N254" s="10">
        <f ca="1">IFERROR(__xludf.DUMMYFUNCTION("""COMPUTED_VALUE"""),3)</f>
        <v>3</v>
      </c>
      <c r="O254" s="10">
        <f ca="1">IFERROR(__xludf.DUMMYFUNCTION("""COMPUTED_VALUE"""),348000)</f>
        <v>348000</v>
      </c>
      <c r="P254" s="10"/>
      <c r="Q254" s="67">
        <f ca="1">IFERROR(__xludf.DUMMYFUNCTION("""COMPUTED_VALUE"""),45382)</f>
        <v>45382</v>
      </c>
    </row>
    <row r="255" spans="1:17" ht="12.5">
      <c r="A255" s="82">
        <f t="array" aca="1" ref="A255" ca="1">INDEX('Database Mitra'!$R$2:$R1001,MATCH(C255,'Database Mitra'!$B$2:$B1001,0))</f>
        <v>32942</v>
      </c>
      <c r="B255" s="10" t="e">
        <f t="shared" ca="1" si="0"/>
        <v>#NAME?</v>
      </c>
      <c r="C255" s="83">
        <f ca="1">IFERROR(__xludf.DUMMYFUNCTION("""COMPUTED_VALUE"""),610422100244)</f>
        <v>610422100244</v>
      </c>
      <c r="D255" s="10" t="str">
        <f ca="1">IFERROR(__xludf.DUMMYFUNCTION("""COMPUTED_VALUE"""),"KSA24-LAPANGAN-MARET")</f>
        <v>KSA24-LAPANGAN-MARET</v>
      </c>
      <c r="E255" s="10"/>
      <c r="F255" s="10">
        <f ca="1">IFERROR(__xludf.DUMMYFUNCTION("""COMPUTED_VALUE"""),1)</f>
        <v>1</v>
      </c>
      <c r="G255" s="10" t="str">
        <f ca="1">IFERROR(__xludf.DUMMYFUNCTION("""COMPUTED_VALUE"""),"Sugianto")</f>
        <v>Sugianto</v>
      </c>
      <c r="H255" s="10" t="str">
        <f ca="1">IFERROR(__xludf.DUMMYFUNCTION("""COMPUTED_VALUE"""),"PPL")</f>
        <v>PPL</v>
      </c>
      <c r="I255" s="10" t="str">
        <f ca="1">IFERROR(__xludf.DUMMYFUNCTION("""COMPUTED_VALUE"""),"6102171003900002")</f>
        <v>6102171003900002</v>
      </c>
      <c r="J255" s="10" t="str">
        <f ca="1">IFERROR(__xludf.DUMMYFUNCTION("""COMPUTED_VALUE"""),"KSA PADI")</f>
        <v>KSA PADI</v>
      </c>
      <c r="K255" s="10" t="str">
        <f ca="1">IFERROR(__xludf.DUMMYFUNCTION("""COMPUTED_VALUE"""),"KSA24-LAPANGAN-MARET-PPL-KSA PADI")</f>
        <v>KSA24-LAPANGAN-MARET-PPL-KSA PADI</v>
      </c>
      <c r="L255" s="10" t="str">
        <f ca="1">IFERROR(__xludf.DUMMYFUNCTION("""COMPUTED_VALUE"""),"Segmen")</f>
        <v>Segmen</v>
      </c>
      <c r="M255" s="66">
        <f ca="1">IFERROR(__xludf.DUMMYFUNCTION("""COMPUTED_VALUE"""),116000)</f>
        <v>116000</v>
      </c>
      <c r="N255" s="10">
        <f ca="1">IFERROR(__xludf.DUMMYFUNCTION("""COMPUTED_VALUE"""),3)</f>
        <v>3</v>
      </c>
      <c r="O255" s="10">
        <f ca="1">IFERROR(__xludf.DUMMYFUNCTION("""COMPUTED_VALUE"""),348000)</f>
        <v>348000</v>
      </c>
      <c r="P255" s="10"/>
      <c r="Q255" s="67">
        <f ca="1">IFERROR(__xludf.DUMMYFUNCTION("""COMPUTED_VALUE"""),45382)</f>
        <v>45382</v>
      </c>
    </row>
    <row r="256" spans="1:17" ht="12.5">
      <c r="A256" s="11">
        <f t="array" aca="1" ref="A256" ca="1">INDEX('Database Mitra'!$R$2:$R1001,MATCH(C256,'Database Mitra'!$B$2:$B1001,0))</f>
        <v>32481</v>
      </c>
      <c r="B256" s="10" t="e">
        <f t="shared" ca="1" si="0"/>
        <v>#NAME?</v>
      </c>
      <c r="C256" s="83">
        <f ca="1">IFERROR(__xludf.DUMMYFUNCTION("""COMPUTED_VALUE"""),610422100176)</f>
        <v>610422100176</v>
      </c>
      <c r="D256" s="10" t="str">
        <f ca="1">IFERROR(__xludf.DUMMYFUNCTION("""COMPUTED_VALUE"""),"KSA24-LAPANGAN-MARET")</f>
        <v>KSA24-LAPANGAN-MARET</v>
      </c>
      <c r="E256" s="10"/>
      <c r="F256" s="10">
        <f ca="1">IFERROR(__xludf.DUMMYFUNCTION("""COMPUTED_VALUE"""),1)</f>
        <v>1</v>
      </c>
      <c r="G256" s="10" t="str">
        <f ca="1">IFERROR(__xludf.DUMMYFUNCTION("""COMPUTED_VALUE"""),"Feri Firdaus")</f>
        <v>Feri Firdaus</v>
      </c>
      <c r="H256" s="10" t="str">
        <f ca="1">IFERROR(__xludf.DUMMYFUNCTION("""COMPUTED_VALUE"""),"PPL")</f>
        <v>PPL</v>
      </c>
      <c r="I256" s="10" t="str">
        <f ca="1">IFERROR(__xludf.DUMMYFUNCTION("""COMPUTED_VALUE"""),"6102150412880001")</f>
        <v>6102150412880001</v>
      </c>
      <c r="J256" s="10" t="str">
        <f ca="1">IFERROR(__xludf.DUMMYFUNCTION("""COMPUTED_VALUE"""),"KSA PADI")</f>
        <v>KSA PADI</v>
      </c>
      <c r="K256" s="10" t="str">
        <f ca="1">IFERROR(__xludf.DUMMYFUNCTION("""COMPUTED_VALUE"""),"KSA24-LAPANGAN-MARET-PPL-KSA PADI")</f>
        <v>KSA24-LAPANGAN-MARET-PPL-KSA PADI</v>
      </c>
      <c r="L256" s="10" t="str">
        <f ca="1">IFERROR(__xludf.DUMMYFUNCTION("""COMPUTED_VALUE"""),"Segmen")</f>
        <v>Segmen</v>
      </c>
      <c r="M256" s="66">
        <f ca="1">IFERROR(__xludf.DUMMYFUNCTION("""COMPUTED_VALUE"""),116000)</f>
        <v>116000</v>
      </c>
      <c r="N256" s="10">
        <f ca="1">IFERROR(__xludf.DUMMYFUNCTION("""COMPUTED_VALUE"""),3)</f>
        <v>3</v>
      </c>
      <c r="O256" s="10">
        <f ca="1">IFERROR(__xludf.DUMMYFUNCTION("""COMPUTED_VALUE"""),348000)</f>
        <v>348000</v>
      </c>
      <c r="P256" s="10"/>
      <c r="Q256" s="67">
        <f ca="1">IFERROR(__xludf.DUMMYFUNCTION("""COMPUTED_VALUE"""),45382)</f>
        <v>45382</v>
      </c>
    </row>
    <row r="257" spans="1:17" ht="12.5">
      <c r="A257" s="82">
        <f t="array" aca="1" ref="A257" ca="1">INDEX('Database Mitra'!$R$2:$R1001,MATCH(C257,'Database Mitra'!$B$2:$B1001,0))</f>
        <v>29171</v>
      </c>
      <c r="B257" s="10" t="e">
        <f t="shared" ca="1" si="0"/>
        <v>#NAME?</v>
      </c>
      <c r="C257" s="83">
        <f ca="1">IFERROR(__xludf.DUMMYFUNCTION("""COMPUTED_VALUE"""),610423110183)</f>
        <v>610423110183</v>
      </c>
      <c r="D257" s="10" t="str">
        <f ca="1">IFERROR(__xludf.DUMMYFUNCTION("""COMPUTED_VALUE"""),"KSA24-LAPANGAN-MARET")</f>
        <v>KSA24-LAPANGAN-MARET</v>
      </c>
      <c r="E257" s="10"/>
      <c r="F257" s="10">
        <f ca="1">IFERROR(__xludf.DUMMYFUNCTION("""COMPUTED_VALUE"""),1)</f>
        <v>1</v>
      </c>
      <c r="G257" s="10" t="str">
        <f ca="1">IFERROR(__xludf.DUMMYFUNCTION("""COMPUTED_VALUE"""),"Azhar")</f>
        <v>Azhar</v>
      </c>
      <c r="H257" s="10" t="str">
        <f ca="1">IFERROR(__xludf.DUMMYFUNCTION("""COMPUTED_VALUE"""),"PPL")</f>
        <v>PPL</v>
      </c>
      <c r="I257" s="10" t="str">
        <f ca="1">IFERROR(__xludf.DUMMYFUNCTION("""COMPUTED_VALUE"""),"6102081211790004")</f>
        <v>6102081211790004</v>
      </c>
      <c r="J257" s="10" t="str">
        <f ca="1">IFERROR(__xludf.DUMMYFUNCTION("""COMPUTED_VALUE"""),"KSA PADI")</f>
        <v>KSA PADI</v>
      </c>
      <c r="K257" s="10" t="str">
        <f ca="1">IFERROR(__xludf.DUMMYFUNCTION("""COMPUTED_VALUE"""),"KSA24-LAPANGAN-MARET-PPL-KSA PADI")</f>
        <v>KSA24-LAPANGAN-MARET-PPL-KSA PADI</v>
      </c>
      <c r="L257" s="10" t="str">
        <f ca="1">IFERROR(__xludf.DUMMYFUNCTION("""COMPUTED_VALUE"""),"Segmen")</f>
        <v>Segmen</v>
      </c>
      <c r="M257" s="66">
        <f ca="1">IFERROR(__xludf.DUMMYFUNCTION("""COMPUTED_VALUE"""),116000)</f>
        <v>116000</v>
      </c>
      <c r="N257" s="10">
        <f ca="1">IFERROR(__xludf.DUMMYFUNCTION("""COMPUTED_VALUE"""),6)</f>
        <v>6</v>
      </c>
      <c r="O257" s="10">
        <f ca="1">IFERROR(__xludf.DUMMYFUNCTION("""COMPUTED_VALUE"""),696000)</f>
        <v>696000</v>
      </c>
      <c r="P257" s="10"/>
      <c r="Q257" s="67">
        <f ca="1">IFERROR(__xludf.DUMMYFUNCTION("""COMPUTED_VALUE"""),45382)</f>
        <v>45382</v>
      </c>
    </row>
    <row r="258" spans="1:17" ht="12.5">
      <c r="A258" s="82">
        <f t="array" aca="1" ref="A258" ca="1">INDEX('Database Mitra'!$R$2:$R1001,MATCH(C258,'Database Mitra'!$B$2:$B1001,0))</f>
        <v>32409</v>
      </c>
      <c r="B258" s="10" t="e">
        <f t="shared" ca="1" si="0"/>
        <v>#NAME?</v>
      </c>
      <c r="C258" s="83">
        <f ca="1">IFERROR(__xludf.DUMMYFUNCTION("""COMPUTED_VALUE"""),610423040018)</f>
        <v>610423040018</v>
      </c>
      <c r="D258" s="10" t="str">
        <f ca="1">IFERROR(__xludf.DUMMYFUNCTION("""COMPUTED_VALUE"""),"KSA24-LAPANGAN-MARET")</f>
        <v>KSA24-LAPANGAN-MARET</v>
      </c>
      <c r="E258" s="10"/>
      <c r="F258" s="10">
        <f ca="1">IFERROR(__xludf.DUMMYFUNCTION("""COMPUTED_VALUE"""),1)</f>
        <v>1</v>
      </c>
      <c r="G258" s="10" t="str">
        <f ca="1">IFERROR(__xludf.DUMMYFUNCTION("""COMPUTED_VALUE"""),"Handoko Tuah Sabarman Sipayung")</f>
        <v>Handoko Tuah Sabarman Sipayung</v>
      </c>
      <c r="H258" s="10" t="str">
        <f ca="1">IFERROR(__xludf.DUMMYFUNCTION("""COMPUTED_VALUE"""),"PPL")</f>
        <v>PPL</v>
      </c>
      <c r="I258" s="10" t="str">
        <f ca="1">IFERROR(__xludf.DUMMYFUNCTION("""COMPUTED_VALUE"""),"1212092309880001")</f>
        <v>1212092309880001</v>
      </c>
      <c r="J258" s="10" t="str">
        <f ca="1">IFERROR(__xludf.DUMMYFUNCTION("""COMPUTED_VALUE"""),"KSA PADI")</f>
        <v>KSA PADI</v>
      </c>
      <c r="K258" s="10" t="str">
        <f ca="1">IFERROR(__xludf.DUMMYFUNCTION("""COMPUTED_VALUE"""),"KSA24-LAPANGAN-MARET-PPL-KSA PADI")</f>
        <v>KSA24-LAPANGAN-MARET-PPL-KSA PADI</v>
      </c>
      <c r="L258" s="10" t="str">
        <f ca="1">IFERROR(__xludf.DUMMYFUNCTION("""COMPUTED_VALUE"""),"Segmen")</f>
        <v>Segmen</v>
      </c>
      <c r="M258" s="66">
        <f ca="1">IFERROR(__xludf.DUMMYFUNCTION("""COMPUTED_VALUE"""),116000)</f>
        <v>116000</v>
      </c>
      <c r="N258" s="10">
        <f ca="1">IFERROR(__xludf.DUMMYFUNCTION("""COMPUTED_VALUE"""),4)</f>
        <v>4</v>
      </c>
      <c r="O258" s="10">
        <f ca="1">IFERROR(__xludf.DUMMYFUNCTION("""COMPUTED_VALUE"""),464000)</f>
        <v>464000</v>
      </c>
      <c r="P258" s="10"/>
      <c r="Q258" s="67">
        <f ca="1">IFERROR(__xludf.DUMMYFUNCTION("""COMPUTED_VALUE"""),45382)</f>
        <v>45382</v>
      </c>
    </row>
    <row r="259" spans="1:17" ht="12.5">
      <c r="A259" s="82">
        <f t="array" aca="1" ref="A259" ca="1">INDEX('Database Mitra'!$R$2:$R1001,MATCH(C259,'Database Mitra'!$B$2:$B1001,0))</f>
        <v>28816</v>
      </c>
      <c r="B259" s="10" t="e">
        <f t="shared" ca="1" si="0"/>
        <v>#NAME?</v>
      </c>
      <c r="C259" s="83">
        <f ca="1">IFERROR(__xludf.DUMMYFUNCTION("""COMPUTED_VALUE"""),610422040059)</f>
        <v>610422040059</v>
      </c>
      <c r="D259" s="10" t="str">
        <f ca="1">IFERROR(__xludf.DUMMYFUNCTION("""COMPUTED_VALUE"""),"KSA24-LAPANGAN-MARET")</f>
        <v>KSA24-LAPANGAN-MARET</v>
      </c>
      <c r="E259" s="10"/>
      <c r="F259" s="10">
        <f ca="1">IFERROR(__xludf.DUMMYFUNCTION("""COMPUTED_VALUE"""),1)</f>
        <v>1</v>
      </c>
      <c r="G259" s="10" t="str">
        <f ca="1">IFERROR(__xludf.DUMMYFUNCTION("""COMPUTED_VALUE"""),"Abang Handri")</f>
        <v>Abang Handri</v>
      </c>
      <c r="H259" s="10" t="str">
        <f ca="1">IFERROR(__xludf.DUMMYFUNCTION("""COMPUTED_VALUE"""),"PPL")</f>
        <v>PPL</v>
      </c>
      <c r="I259" s="10" t="str">
        <f ca="1">IFERROR(__xludf.DUMMYFUNCTION("""COMPUTED_VALUE"""),"6102072211780002")</f>
        <v>6102072211780002</v>
      </c>
      <c r="J259" s="10" t="str">
        <f ca="1">IFERROR(__xludf.DUMMYFUNCTION("""COMPUTED_VALUE"""),"KSA JAGUNG")</f>
        <v>KSA JAGUNG</v>
      </c>
      <c r="K259" s="10" t="str">
        <f ca="1">IFERROR(__xludf.DUMMYFUNCTION("""COMPUTED_VALUE"""),"KSA24-LAPANGAN-MARET-PPL-KSA JAGUNG")</f>
        <v>KSA24-LAPANGAN-MARET-PPL-KSA JAGUNG</v>
      </c>
      <c r="L259" s="10" t="str">
        <f ca="1">IFERROR(__xludf.DUMMYFUNCTION("""COMPUTED_VALUE"""),"Segmen")</f>
        <v>Segmen</v>
      </c>
      <c r="M259" s="66">
        <f ca="1">IFERROR(__xludf.DUMMYFUNCTION("""COMPUTED_VALUE"""),59000)</f>
        <v>59000</v>
      </c>
      <c r="N259" s="10">
        <f ca="1">IFERROR(__xludf.DUMMYFUNCTION("""COMPUTED_VALUE"""),6)</f>
        <v>6</v>
      </c>
      <c r="O259" s="10">
        <f ca="1">IFERROR(__xludf.DUMMYFUNCTION("""COMPUTED_VALUE"""),354000)</f>
        <v>354000</v>
      </c>
      <c r="P259" s="10"/>
      <c r="Q259" s="67">
        <f ca="1">IFERROR(__xludf.DUMMYFUNCTION("""COMPUTED_VALUE"""),45382)</f>
        <v>45382</v>
      </c>
    </row>
    <row r="260" spans="1:17" ht="12.5">
      <c r="A260" s="11">
        <f t="array" aca="1" ref="A260" ca="1">INDEX('Database Mitra'!$R$2:$R1001,MATCH(C260,'Database Mitra'!$B$2:$B1001,0))</f>
        <v>29305</v>
      </c>
      <c r="B260" s="10" t="e">
        <f t="shared" ca="1" si="0"/>
        <v>#NAME?</v>
      </c>
      <c r="C260" s="83">
        <f ca="1">IFERROR(__xludf.DUMMYFUNCTION("""COMPUTED_VALUE"""),610422020048)</f>
        <v>610422020048</v>
      </c>
      <c r="D260" s="10" t="str">
        <f ca="1">IFERROR(__xludf.DUMMYFUNCTION("""COMPUTED_VALUE"""),"KSA24-LAPANGAN-MARET")</f>
        <v>KSA24-LAPANGAN-MARET</v>
      </c>
      <c r="E260" s="10"/>
      <c r="F260" s="10">
        <f ca="1">IFERROR(__xludf.DUMMYFUNCTION("""COMPUTED_VALUE"""),1)</f>
        <v>1</v>
      </c>
      <c r="G260" s="10" t="str">
        <f ca="1">IFERROR(__xludf.DUMMYFUNCTION("""COMPUTED_VALUE"""),"Herri Gustaman")</f>
        <v>Herri Gustaman</v>
      </c>
      <c r="H260" s="10" t="str">
        <f ca="1">IFERROR(__xludf.DUMMYFUNCTION("""COMPUTED_VALUE"""),"PPL")</f>
        <v>PPL</v>
      </c>
      <c r="I260" s="10" t="str">
        <f ca="1">IFERROR(__xludf.DUMMYFUNCTION("""COMPUTED_VALUE"""),"6102072503800001")</f>
        <v>6102072503800001</v>
      </c>
      <c r="J260" s="10" t="str">
        <f ca="1">IFERROR(__xludf.DUMMYFUNCTION("""COMPUTED_VALUE"""),"KSA JAGUNG")</f>
        <v>KSA JAGUNG</v>
      </c>
      <c r="K260" s="10" t="str">
        <f ca="1">IFERROR(__xludf.DUMMYFUNCTION("""COMPUTED_VALUE"""),"KSA24-LAPANGAN-MARET-PPL-KSA JAGUNG")</f>
        <v>KSA24-LAPANGAN-MARET-PPL-KSA JAGUNG</v>
      </c>
      <c r="L260" s="10" t="str">
        <f ca="1">IFERROR(__xludf.DUMMYFUNCTION("""COMPUTED_VALUE"""),"Segmen")</f>
        <v>Segmen</v>
      </c>
      <c r="M260" s="66">
        <f ca="1">IFERROR(__xludf.DUMMYFUNCTION("""COMPUTED_VALUE"""),59000)</f>
        <v>59000</v>
      </c>
      <c r="N260" s="10">
        <f ca="1">IFERROR(__xludf.DUMMYFUNCTION("""COMPUTED_VALUE"""),6)</f>
        <v>6</v>
      </c>
      <c r="O260" s="10">
        <f ca="1">IFERROR(__xludf.DUMMYFUNCTION("""COMPUTED_VALUE"""),354000)</f>
        <v>354000</v>
      </c>
      <c r="P260" s="10"/>
      <c r="Q260" s="67">
        <f ca="1">IFERROR(__xludf.DUMMYFUNCTION("""COMPUTED_VALUE"""),45382)</f>
        <v>45382</v>
      </c>
    </row>
    <row r="261" spans="1:17" ht="12.5">
      <c r="A261" s="82">
        <f t="array" aca="1" ref="A261" ca="1">INDEX('Database Mitra'!$R$2:$R1001,MATCH(C261,'Database Mitra'!$B$2:$B1001,0))</f>
        <v>34541</v>
      </c>
      <c r="B261" s="10" t="e">
        <f t="shared" ca="1" si="0"/>
        <v>#NAME?</v>
      </c>
      <c r="C261" s="83">
        <f ca="1">IFERROR(__xludf.DUMMYFUNCTION("""COMPUTED_VALUE"""),610422040058)</f>
        <v>610422040058</v>
      </c>
      <c r="D261" s="10" t="str">
        <f ca="1">IFERROR(__xludf.DUMMYFUNCTION("""COMPUTED_VALUE"""),"KSA24-LAPANGAN-MARET")</f>
        <v>KSA24-LAPANGAN-MARET</v>
      </c>
      <c r="E261" s="10"/>
      <c r="F261" s="10">
        <f ca="1">IFERROR(__xludf.DUMMYFUNCTION("""COMPUTED_VALUE"""),1)</f>
        <v>1</v>
      </c>
      <c r="G261" s="10" t="str">
        <f ca="1">IFERROR(__xludf.DUMMYFUNCTION("""COMPUTED_VALUE"""),"Jamaluddin, Sp")</f>
        <v>Jamaluddin, Sp</v>
      </c>
      <c r="H261" s="10" t="str">
        <f ca="1">IFERROR(__xludf.DUMMYFUNCTION("""COMPUTED_VALUE"""),"PPL")</f>
        <v>PPL</v>
      </c>
      <c r="I261" s="10" t="str">
        <f ca="1">IFERROR(__xludf.DUMMYFUNCTION("""COMPUTED_VALUE"""),"6102152607940002")</f>
        <v>6102152607940002</v>
      </c>
      <c r="J261" s="10" t="str">
        <f ca="1">IFERROR(__xludf.DUMMYFUNCTION("""COMPUTED_VALUE"""),"KSA JAGUNG")</f>
        <v>KSA JAGUNG</v>
      </c>
      <c r="K261" s="10" t="str">
        <f ca="1">IFERROR(__xludf.DUMMYFUNCTION("""COMPUTED_VALUE"""),"KSA24-LAPANGAN-MARET-PPL-KSA JAGUNG")</f>
        <v>KSA24-LAPANGAN-MARET-PPL-KSA JAGUNG</v>
      </c>
      <c r="L261" s="10" t="str">
        <f ca="1">IFERROR(__xludf.DUMMYFUNCTION("""COMPUTED_VALUE"""),"Segmen")</f>
        <v>Segmen</v>
      </c>
      <c r="M261" s="66">
        <f ca="1">IFERROR(__xludf.DUMMYFUNCTION("""COMPUTED_VALUE"""),59000)</f>
        <v>59000</v>
      </c>
      <c r="N261" s="10">
        <f ca="1">IFERROR(__xludf.DUMMYFUNCTION("""COMPUTED_VALUE"""),10)</f>
        <v>10</v>
      </c>
      <c r="O261" s="10">
        <f ca="1">IFERROR(__xludf.DUMMYFUNCTION("""COMPUTED_VALUE"""),590000)</f>
        <v>590000</v>
      </c>
      <c r="P261" s="10"/>
      <c r="Q261" s="67">
        <f ca="1">IFERROR(__xludf.DUMMYFUNCTION("""COMPUTED_VALUE"""),45382)</f>
        <v>45382</v>
      </c>
    </row>
    <row r="262" spans="1:17" ht="12.5">
      <c r="A262" s="82">
        <f t="array" aca="1" ref="A262" ca="1">INDEX('Database Mitra'!$R$2:$R1001,MATCH(C262,'Database Mitra'!$B$2:$B1001,0))</f>
        <v>29171</v>
      </c>
      <c r="B262" s="10" t="e">
        <f t="shared" ca="1" si="0"/>
        <v>#NAME?</v>
      </c>
      <c r="C262" s="83">
        <f ca="1">IFERROR(__xludf.DUMMYFUNCTION("""COMPUTED_VALUE"""),610423110183)</f>
        <v>610423110183</v>
      </c>
      <c r="D262" s="10" t="str">
        <f ca="1">IFERROR(__xludf.DUMMYFUNCTION("""COMPUTED_VALUE"""),"KSA24-LAPANGAN-MARET")</f>
        <v>KSA24-LAPANGAN-MARET</v>
      </c>
      <c r="E262" s="10"/>
      <c r="F262" s="10">
        <f ca="1">IFERROR(__xludf.DUMMYFUNCTION("""COMPUTED_VALUE"""),1)</f>
        <v>1</v>
      </c>
      <c r="G262" s="10" t="str">
        <f ca="1">IFERROR(__xludf.DUMMYFUNCTION("""COMPUTED_VALUE"""),"Azhar")</f>
        <v>Azhar</v>
      </c>
      <c r="H262" s="10" t="str">
        <f ca="1">IFERROR(__xludf.DUMMYFUNCTION("""COMPUTED_VALUE"""),"PPL")</f>
        <v>PPL</v>
      </c>
      <c r="I262" s="10" t="str">
        <f ca="1">IFERROR(__xludf.DUMMYFUNCTION("""COMPUTED_VALUE"""),"6102081211790004")</f>
        <v>6102081211790004</v>
      </c>
      <c r="J262" s="10" t="str">
        <f ca="1">IFERROR(__xludf.DUMMYFUNCTION("""COMPUTED_VALUE"""),"KSA JAGUNG")</f>
        <v>KSA JAGUNG</v>
      </c>
      <c r="K262" s="10" t="str">
        <f ca="1">IFERROR(__xludf.DUMMYFUNCTION("""COMPUTED_VALUE"""),"KSA24-LAPANGAN-MARET-PPL-KSA JAGUNG")</f>
        <v>KSA24-LAPANGAN-MARET-PPL-KSA JAGUNG</v>
      </c>
      <c r="L262" s="10" t="str">
        <f ca="1">IFERROR(__xludf.DUMMYFUNCTION("""COMPUTED_VALUE"""),"Segmen")</f>
        <v>Segmen</v>
      </c>
      <c r="M262" s="66">
        <f ca="1">IFERROR(__xludf.DUMMYFUNCTION("""COMPUTED_VALUE"""),59000)</f>
        <v>59000</v>
      </c>
      <c r="N262" s="10">
        <f ca="1">IFERROR(__xludf.DUMMYFUNCTION("""COMPUTED_VALUE"""),6)</f>
        <v>6</v>
      </c>
      <c r="O262" s="10">
        <f ca="1">IFERROR(__xludf.DUMMYFUNCTION("""COMPUTED_VALUE"""),354000)</f>
        <v>354000</v>
      </c>
      <c r="P262" s="10"/>
      <c r="Q262" s="67">
        <f ca="1">IFERROR(__xludf.DUMMYFUNCTION("""COMPUTED_VALUE"""),45382)</f>
        <v>45382</v>
      </c>
    </row>
    <row r="263" spans="1:17" ht="12.5">
      <c r="A263" s="82">
        <f t="array" aca="1" ref="A263" ca="1">INDEX('Database Mitra'!$R$2:$R1001,MATCH(C263,'Database Mitra'!$B$2:$B1001,0))</f>
        <v>32942</v>
      </c>
      <c r="B263" s="10" t="e">
        <f t="shared" ca="1" si="0"/>
        <v>#NAME?</v>
      </c>
      <c r="C263" s="83">
        <f ca="1">IFERROR(__xludf.DUMMYFUNCTION("""COMPUTED_VALUE"""),610422100244)</f>
        <v>610422100244</v>
      </c>
      <c r="D263" s="10" t="str">
        <f ca="1">IFERROR(__xludf.DUMMYFUNCTION("""COMPUTED_VALUE"""),"KSA24-LAPANGAN-MARET")</f>
        <v>KSA24-LAPANGAN-MARET</v>
      </c>
      <c r="E263" s="10"/>
      <c r="F263" s="10">
        <f ca="1">IFERROR(__xludf.DUMMYFUNCTION("""COMPUTED_VALUE"""),1)</f>
        <v>1</v>
      </c>
      <c r="G263" s="10" t="str">
        <f ca="1">IFERROR(__xludf.DUMMYFUNCTION("""COMPUTED_VALUE"""),"Sugianto")</f>
        <v>Sugianto</v>
      </c>
      <c r="H263" s="10" t="str">
        <f ca="1">IFERROR(__xludf.DUMMYFUNCTION("""COMPUTED_VALUE"""),"PPL")</f>
        <v>PPL</v>
      </c>
      <c r="I263" s="10" t="str">
        <f ca="1">IFERROR(__xludf.DUMMYFUNCTION("""COMPUTED_VALUE"""),"6102171003900002")</f>
        <v>6102171003900002</v>
      </c>
      <c r="J263" s="10" t="str">
        <f ca="1">IFERROR(__xludf.DUMMYFUNCTION("""COMPUTED_VALUE"""),"KSA JAGUNG")</f>
        <v>KSA JAGUNG</v>
      </c>
      <c r="K263" s="10" t="str">
        <f ca="1">IFERROR(__xludf.DUMMYFUNCTION("""COMPUTED_VALUE"""),"KSA24-LAPANGAN-MARET-PPL-KSA JAGUNG")</f>
        <v>KSA24-LAPANGAN-MARET-PPL-KSA JAGUNG</v>
      </c>
      <c r="L263" s="10" t="str">
        <f ca="1">IFERROR(__xludf.DUMMYFUNCTION("""COMPUTED_VALUE"""),"Segmen")</f>
        <v>Segmen</v>
      </c>
      <c r="M263" s="66">
        <f ca="1">IFERROR(__xludf.DUMMYFUNCTION("""COMPUTED_VALUE"""),59000)</f>
        <v>59000</v>
      </c>
      <c r="N263" s="10">
        <f ca="1">IFERROR(__xludf.DUMMYFUNCTION("""COMPUTED_VALUE"""),8)</f>
        <v>8</v>
      </c>
      <c r="O263" s="10">
        <f ca="1">IFERROR(__xludf.DUMMYFUNCTION("""COMPUTED_VALUE"""),472000)</f>
        <v>472000</v>
      </c>
      <c r="P263" s="10"/>
      <c r="Q263" s="67">
        <f ca="1">IFERROR(__xludf.DUMMYFUNCTION("""COMPUTED_VALUE"""),45382)</f>
        <v>45382</v>
      </c>
    </row>
    <row r="264" spans="1:17" ht="12.5">
      <c r="A264" s="82">
        <f t="array" aca="1" ref="A264" ca="1">INDEX('Database Mitra'!$R$2:$R1001,MATCH(C264,'Database Mitra'!$B$2:$B1001,0))</f>
        <v>35962</v>
      </c>
      <c r="B264" s="10" t="e">
        <f t="shared" ca="1" si="0"/>
        <v>#NAME?</v>
      </c>
      <c r="C264" s="83">
        <f ca="1">IFERROR(__xludf.DUMMYFUNCTION("""COMPUTED_VALUE"""),610422100129)</f>
        <v>610422100129</v>
      </c>
      <c r="D264" s="10" t="str">
        <f ca="1">IFERROR(__xludf.DUMMYFUNCTION("""COMPUTED_VALUE"""),"SKTR24-LAPANGAN-TRI1")</f>
        <v>SKTR24-LAPANGAN-TRI1</v>
      </c>
      <c r="E264" s="10"/>
      <c r="F264" s="10">
        <f ca="1">IFERROR(__xludf.DUMMYFUNCTION("""COMPUTED_VALUE"""),1)</f>
        <v>1</v>
      </c>
      <c r="G264" s="10" t="str">
        <f ca="1">IFERROR(__xludf.DUMMYFUNCTION("""COMPUTED_VALUE"""),"Andre")</f>
        <v>Andre</v>
      </c>
      <c r="H264" s="10" t="str">
        <f ca="1">IFERROR(__xludf.DUMMYFUNCTION("""COMPUTED_VALUE"""),"PPL")</f>
        <v>PPL</v>
      </c>
      <c r="I264" s="10" t="str">
        <f ca="1">IFERROR(__xludf.DUMMYFUNCTION("""COMPUTED_VALUE"""),"6102121606980001")</f>
        <v>6102121606980001</v>
      </c>
      <c r="J264" s="10" t="str">
        <f ca="1">IFERROR(__xludf.DUMMYFUNCTION("""COMPUTED_VALUE"""),"PENDATAAN")</f>
        <v>PENDATAAN</v>
      </c>
      <c r="K264" s="10" t="str">
        <f ca="1">IFERROR(__xludf.DUMMYFUNCTION("""COMPUTED_VALUE"""),"SKTR24-LAPANGAN-TRI1-PPL-PENDATAAN")</f>
        <v>SKTR24-LAPANGAN-TRI1-PPL-PENDATAAN</v>
      </c>
      <c r="L264" s="10" t="str">
        <f ca="1">IFERROR(__xludf.DUMMYFUNCTION("""COMPUTED_VALUE"""),"Dokumen")</f>
        <v>Dokumen</v>
      </c>
      <c r="M264" s="66">
        <f ca="1">IFERROR(__xludf.DUMMYFUNCTION("""COMPUTED_VALUE"""),60000)</f>
        <v>60000</v>
      </c>
      <c r="N264" s="10">
        <f ca="1">IFERROR(__xludf.DUMMYFUNCTION("""COMPUTED_VALUE"""),3)</f>
        <v>3</v>
      </c>
      <c r="O264" s="10">
        <f ca="1">IFERROR(__xludf.DUMMYFUNCTION("""COMPUTED_VALUE"""),180000)</f>
        <v>180000</v>
      </c>
      <c r="P264" s="70"/>
      <c r="Q264" s="67">
        <f ca="1">IFERROR(__xludf.DUMMYFUNCTION("""COMPUTED_VALUE"""),45383)</f>
        <v>45383</v>
      </c>
    </row>
    <row r="265" spans="1:17" ht="12.5">
      <c r="A265" s="82">
        <f t="array" aca="1" ref="A265" ca="1">INDEX('Database Mitra'!$R$2:$R1001,MATCH(C265,'Database Mitra'!$B$2:$B1001,0))</f>
        <v>31773</v>
      </c>
      <c r="B265" s="10" t="e">
        <f t="shared" ca="1" si="0"/>
        <v>#NAME?</v>
      </c>
      <c r="C265" s="83">
        <f ca="1">IFERROR(__xludf.DUMMYFUNCTION("""COMPUTED_VALUE"""),610422030002)</f>
        <v>610422030002</v>
      </c>
      <c r="D265" s="10" t="str">
        <f ca="1">IFERROR(__xludf.DUMMYFUNCTION("""COMPUTED_VALUE"""),"SHPB24-LAPANGAN-APRIL")</f>
        <v>SHPB24-LAPANGAN-APRIL</v>
      </c>
      <c r="E265" s="10"/>
      <c r="F265" s="10">
        <f ca="1">IFERROR(__xludf.DUMMYFUNCTION("""COMPUTED_VALUE"""),1)</f>
        <v>1</v>
      </c>
      <c r="G265" s="10" t="str">
        <f ca="1">IFERROR(__xludf.DUMMYFUNCTION("""COMPUTED_VALUE"""),"Deti Erni Widiastuti")</f>
        <v>Deti Erni Widiastuti</v>
      </c>
      <c r="H265" s="10" t="str">
        <f ca="1">IFERROR(__xludf.DUMMYFUNCTION("""COMPUTED_VALUE"""),"PPL")</f>
        <v>PPL</v>
      </c>
      <c r="I265" s="10" t="str">
        <f ca="1">IFERROR(__xludf.DUMMYFUNCTION("""COMPUTED_VALUE"""),"6102016712860001")</f>
        <v>6102016712860001</v>
      </c>
      <c r="J265" s="10" t="str">
        <f ca="1">IFERROR(__xludf.DUMMYFUNCTION("""COMPUTED_VALUE"""),"PENDATAAN")</f>
        <v>PENDATAAN</v>
      </c>
      <c r="K265" s="10" t="str">
        <f ca="1">IFERROR(__xludf.DUMMYFUNCTION("""COMPUTED_VALUE"""),"SHPB24-LAPANGAN-APRIL-PPL-PENDATAAN")</f>
        <v>SHPB24-LAPANGAN-APRIL-PPL-PENDATAAN</v>
      </c>
      <c r="L265" s="10" t="str">
        <f ca="1">IFERROR(__xludf.DUMMYFUNCTION("""COMPUTED_VALUE"""),"Dokumen")</f>
        <v>Dokumen</v>
      </c>
      <c r="M265" s="66">
        <f ca="1">IFERROR(__xludf.DUMMYFUNCTION("""COMPUTED_VALUE"""),50000)</f>
        <v>50000</v>
      </c>
      <c r="N265" s="10">
        <f ca="1">IFERROR(__xludf.DUMMYFUNCTION("""COMPUTED_VALUE"""),15)</f>
        <v>15</v>
      </c>
      <c r="O265" s="10">
        <f ca="1">IFERROR(__xludf.DUMMYFUNCTION("""COMPUTED_VALUE"""),750000)</f>
        <v>750000</v>
      </c>
      <c r="P265" s="10"/>
      <c r="Q265" s="67">
        <f ca="1">IFERROR(__xludf.DUMMYFUNCTION("""COMPUTED_VALUE"""),45402)</f>
        <v>45402</v>
      </c>
    </row>
    <row r="266" spans="1:17" ht="12.5">
      <c r="A266" s="82">
        <f t="array" aca="1" ref="A266" ca="1">INDEX('Database Mitra'!$R$2:$R1001,MATCH(C266,'Database Mitra'!$B$2:$B1001,0))</f>
        <v>32942</v>
      </c>
      <c r="B266" s="10" t="e">
        <f t="shared" ca="1" si="0"/>
        <v>#NAME?</v>
      </c>
      <c r="C266" s="83">
        <f ca="1">IFERROR(__xludf.DUMMYFUNCTION("""COMPUTED_VALUE"""),610422100244)</f>
        <v>610422100244</v>
      </c>
      <c r="D266" s="10" t="str">
        <f ca="1">IFERROR(__xludf.DUMMYFUNCTION("""COMPUTED_VALUE"""),"HPG24-LAPANGAN-APRIL")</f>
        <v>HPG24-LAPANGAN-APRIL</v>
      </c>
      <c r="E266" s="10"/>
      <c r="F266" s="10">
        <f ca="1">IFERROR(__xludf.DUMMYFUNCTION("""COMPUTED_VALUE"""),1)</f>
        <v>1</v>
      </c>
      <c r="G266" s="10" t="str">
        <f ca="1">IFERROR(__xludf.DUMMYFUNCTION("""COMPUTED_VALUE"""),"Sugianto")</f>
        <v>Sugianto</v>
      </c>
      <c r="H266" s="10" t="str">
        <f ca="1">IFERROR(__xludf.DUMMYFUNCTION("""COMPUTED_VALUE"""),"PPL")</f>
        <v>PPL</v>
      </c>
      <c r="I266" s="10" t="str">
        <f ca="1">IFERROR(__xludf.DUMMYFUNCTION("""COMPUTED_VALUE"""),"6102171003900002")</f>
        <v>6102171003900002</v>
      </c>
      <c r="J266" s="10" t="str">
        <f ca="1">IFERROR(__xludf.DUMMYFUNCTION("""COMPUTED_VALUE"""),"PENDATAAN")</f>
        <v>PENDATAAN</v>
      </c>
      <c r="K266" s="10" t="str">
        <f ca="1">IFERROR(__xludf.DUMMYFUNCTION("""COMPUTED_VALUE"""),"HPG24-LAPANGAN-APRIL-PPL-PENDATAAN")</f>
        <v>HPG24-LAPANGAN-APRIL-PPL-PENDATAAN</v>
      </c>
      <c r="L266" s="10" t="str">
        <f ca="1">IFERROR(__xludf.DUMMYFUNCTION("""COMPUTED_VALUE"""),"Dokumen")</f>
        <v>Dokumen</v>
      </c>
      <c r="M266" s="66">
        <f ca="1">IFERROR(__xludf.DUMMYFUNCTION("""COMPUTED_VALUE"""),50000)</f>
        <v>50000</v>
      </c>
      <c r="N266" s="10">
        <f ca="1">IFERROR(__xludf.DUMMYFUNCTION("""COMPUTED_VALUE"""),1)</f>
        <v>1</v>
      </c>
      <c r="O266" s="10">
        <f ca="1">IFERROR(__xludf.DUMMYFUNCTION("""COMPUTED_VALUE"""),50000)</f>
        <v>50000</v>
      </c>
      <c r="P266" s="10"/>
      <c r="Q266" s="67">
        <f ca="1">IFERROR(__xludf.DUMMYFUNCTION("""COMPUTED_VALUE"""),45402)</f>
        <v>45402</v>
      </c>
    </row>
    <row r="267" spans="1:17" ht="12.5">
      <c r="A267" s="82">
        <f t="array" aca="1" ref="A267" ca="1">INDEX('Database Mitra'!$R$2:$R1001,MATCH(C267,'Database Mitra'!$B$2:$B1001,0))</f>
        <v>29068</v>
      </c>
      <c r="B267" s="10" t="e">
        <f t="shared" ca="1" si="0"/>
        <v>#NAME?</v>
      </c>
      <c r="C267" s="83">
        <f ca="1">IFERROR(__xludf.DUMMYFUNCTION("""COMPUTED_VALUE"""),610422100124)</f>
        <v>610422100124</v>
      </c>
      <c r="D267" s="10" t="str">
        <f ca="1">IFERROR(__xludf.DUMMYFUNCTION("""COMPUTED_VALUE"""),"HPG24-LAPANGAN-APRIL")</f>
        <v>HPG24-LAPANGAN-APRIL</v>
      </c>
      <c r="E267" s="10"/>
      <c r="F267" s="10">
        <f ca="1">IFERROR(__xludf.DUMMYFUNCTION("""COMPUTED_VALUE"""),1)</f>
        <v>1</v>
      </c>
      <c r="G267" s="10" t="str">
        <f ca="1">IFERROR(__xludf.DUMMYFUNCTION("""COMPUTED_VALUE"""),"Prabowo")</f>
        <v>Prabowo</v>
      </c>
      <c r="H267" s="10" t="str">
        <f ca="1">IFERROR(__xludf.DUMMYFUNCTION("""COMPUTED_VALUE"""),"PPL")</f>
        <v>PPL</v>
      </c>
      <c r="I267" s="10" t="str">
        <f ca="1">IFERROR(__xludf.DUMMYFUNCTION("""COMPUTED_VALUE"""),"6171010108790015")</f>
        <v>6171010108790015</v>
      </c>
      <c r="J267" s="10" t="str">
        <f ca="1">IFERROR(__xludf.DUMMYFUNCTION("""COMPUTED_VALUE"""),"PENDATAAN")</f>
        <v>PENDATAAN</v>
      </c>
      <c r="K267" s="10" t="str">
        <f ca="1">IFERROR(__xludf.DUMMYFUNCTION("""COMPUTED_VALUE"""),"HPG24-LAPANGAN-APRIL-PPL-PENDATAAN")</f>
        <v>HPG24-LAPANGAN-APRIL-PPL-PENDATAAN</v>
      </c>
      <c r="L267" s="10" t="str">
        <f ca="1">IFERROR(__xludf.DUMMYFUNCTION("""COMPUTED_VALUE"""),"Dokumen")</f>
        <v>Dokumen</v>
      </c>
      <c r="M267" s="66">
        <f ca="1">IFERROR(__xludf.DUMMYFUNCTION("""COMPUTED_VALUE"""),50000)</f>
        <v>50000</v>
      </c>
      <c r="N267" s="10">
        <f ca="1">IFERROR(__xludf.DUMMYFUNCTION("""COMPUTED_VALUE"""),1)</f>
        <v>1</v>
      </c>
      <c r="O267" s="10">
        <f ca="1">IFERROR(__xludf.DUMMYFUNCTION("""COMPUTED_VALUE"""),50000)</f>
        <v>50000</v>
      </c>
      <c r="P267" s="10"/>
      <c r="Q267" s="67">
        <f ca="1">IFERROR(__xludf.DUMMYFUNCTION("""COMPUTED_VALUE"""),45402)</f>
        <v>45402</v>
      </c>
    </row>
    <row r="268" spans="1:17" ht="12.5">
      <c r="A268" s="82">
        <f t="array" aca="1" ref="A268" ca="1">INDEX('Database Mitra'!$R$2:$R1001,MATCH(C268,'Database Mitra'!$B$2:$B1001,0))</f>
        <v>31964</v>
      </c>
      <c r="B268" s="10" t="e">
        <f t="shared" ca="1" si="0"/>
        <v>#NAME?</v>
      </c>
      <c r="C268" s="83">
        <f ca="1">IFERROR(__xludf.DUMMYFUNCTION("""COMPUTED_VALUE"""),610422040029)</f>
        <v>610422040029</v>
      </c>
      <c r="D268" s="10" t="str">
        <f ca="1">IFERROR(__xludf.DUMMYFUNCTION("""COMPUTED_VALUE"""),"SHKK24-LAPANGAN-APRIL")</f>
        <v>SHKK24-LAPANGAN-APRIL</v>
      </c>
      <c r="E268" s="10"/>
      <c r="F268" s="10">
        <f ca="1">IFERROR(__xludf.DUMMYFUNCTION("""COMPUTED_VALUE"""),1)</f>
        <v>1</v>
      </c>
      <c r="G268" s="10" t="str">
        <f ca="1">IFERROR(__xludf.DUMMYFUNCTION("""COMPUTED_VALUE"""),"Zaini")</f>
        <v>Zaini</v>
      </c>
      <c r="H268" s="10" t="str">
        <f ca="1">IFERROR(__xludf.DUMMYFUNCTION("""COMPUTED_VALUE"""),"PPL")</f>
        <v>PPL</v>
      </c>
      <c r="I268" s="10" t="str">
        <f ca="1">IFERROR(__xludf.DUMMYFUNCTION("""COMPUTED_VALUE"""),"6102010607870002")</f>
        <v>6102010607870002</v>
      </c>
      <c r="J268" s="10" t="str">
        <f ca="1">IFERROR(__xludf.DUMMYFUNCTION("""COMPUTED_VALUE"""),"PENDATAAN")</f>
        <v>PENDATAAN</v>
      </c>
      <c r="K268" s="10" t="str">
        <f ca="1">IFERROR(__xludf.DUMMYFUNCTION("""COMPUTED_VALUE"""),"SHKK24-LAPANGAN-APRIL-PPL-PENDATAAN")</f>
        <v>SHKK24-LAPANGAN-APRIL-PPL-PENDATAAN</v>
      </c>
      <c r="L268" s="10" t="str">
        <f ca="1">IFERROR(__xludf.DUMMYFUNCTION("""COMPUTED_VALUE"""),"Dokumen")</f>
        <v>Dokumen</v>
      </c>
      <c r="M268" s="66">
        <f ca="1">IFERROR(__xludf.DUMMYFUNCTION("""COMPUTED_VALUE"""),60000)</f>
        <v>60000</v>
      </c>
      <c r="N268" s="10">
        <f ca="1">IFERROR(__xludf.DUMMYFUNCTION("""COMPUTED_VALUE"""),16)</f>
        <v>16</v>
      </c>
      <c r="O268" s="10">
        <f ca="1">IFERROR(__xludf.DUMMYFUNCTION("""COMPUTED_VALUE"""),960000)</f>
        <v>960000</v>
      </c>
      <c r="P268" s="10"/>
      <c r="Q268" s="67">
        <f ca="1">IFERROR(__xludf.DUMMYFUNCTION("""COMPUTED_VALUE"""),45402)</f>
        <v>45402</v>
      </c>
    </row>
    <row r="269" spans="1:17" ht="12.5">
      <c r="A269" s="11">
        <f t="array" aca="1" ref="A269" ca="1">INDEX('Database Mitra'!$R$2:$R1001,MATCH(C269,'Database Mitra'!$B$2:$B1001,0))</f>
        <v>29305</v>
      </c>
      <c r="B269" s="10" t="e">
        <f t="shared" ca="1" si="0"/>
        <v>#NAME?</v>
      </c>
      <c r="C269" s="83">
        <f ca="1">IFERROR(__xludf.DUMMYFUNCTION("""COMPUTED_VALUE"""),610422020048)</f>
        <v>610422020048</v>
      </c>
      <c r="D269" s="10" t="str">
        <f ca="1">IFERROR(__xludf.DUMMYFUNCTION("""COMPUTED_VALUE"""),"SHKK24-LAPANGAN-APRIL")</f>
        <v>SHKK24-LAPANGAN-APRIL</v>
      </c>
      <c r="E269" s="10"/>
      <c r="F269" s="10">
        <f ca="1">IFERROR(__xludf.DUMMYFUNCTION("""COMPUTED_VALUE"""),1)</f>
        <v>1</v>
      </c>
      <c r="G269" s="10" t="str">
        <f ca="1">IFERROR(__xludf.DUMMYFUNCTION("""COMPUTED_VALUE"""),"Herri Gustaman")</f>
        <v>Herri Gustaman</v>
      </c>
      <c r="H269" s="10" t="str">
        <f ca="1">IFERROR(__xludf.DUMMYFUNCTION("""COMPUTED_VALUE"""),"PPL")</f>
        <v>PPL</v>
      </c>
      <c r="I269" s="10" t="str">
        <f ca="1">IFERROR(__xludf.DUMMYFUNCTION("""COMPUTED_VALUE"""),"6102072503800001")</f>
        <v>6102072503800001</v>
      </c>
      <c r="J269" s="10" t="str">
        <f ca="1">IFERROR(__xludf.DUMMYFUNCTION("""COMPUTED_VALUE"""),"PENDATAAN")</f>
        <v>PENDATAAN</v>
      </c>
      <c r="K269" s="10" t="str">
        <f ca="1">IFERROR(__xludf.DUMMYFUNCTION("""COMPUTED_VALUE"""),"SHKK24-LAPANGAN-APRIL-PPL-PENDATAAN")</f>
        <v>SHKK24-LAPANGAN-APRIL-PPL-PENDATAAN</v>
      </c>
      <c r="L269" s="10" t="str">
        <f ca="1">IFERROR(__xludf.DUMMYFUNCTION("""COMPUTED_VALUE"""),"Dokumen")</f>
        <v>Dokumen</v>
      </c>
      <c r="M269" s="66">
        <f ca="1">IFERROR(__xludf.DUMMYFUNCTION("""COMPUTED_VALUE"""),60000)</f>
        <v>60000</v>
      </c>
      <c r="N269" s="10">
        <f ca="1">IFERROR(__xludf.DUMMYFUNCTION("""COMPUTED_VALUE"""),10)</f>
        <v>10</v>
      </c>
      <c r="O269" s="10">
        <f ca="1">IFERROR(__xludf.DUMMYFUNCTION("""COMPUTED_VALUE"""),600000)</f>
        <v>600000</v>
      </c>
      <c r="P269" s="10"/>
      <c r="Q269" s="67">
        <f ca="1">IFERROR(__xludf.DUMMYFUNCTION("""COMPUTED_VALUE"""),45402)</f>
        <v>45402</v>
      </c>
    </row>
    <row r="270" spans="1:17" ht="12.5">
      <c r="A270" s="82">
        <f t="array" aca="1" ref="A270" ca="1">INDEX('Database Mitra'!$R$2:$R1001,MATCH(C270,'Database Mitra'!$B$2:$B1001,0))</f>
        <v>35862</v>
      </c>
      <c r="B270" s="10" t="e">
        <f t="shared" ca="1" si="0"/>
        <v>#NAME?</v>
      </c>
      <c r="C270" s="83">
        <f ca="1">IFERROR(__xludf.DUMMYFUNCTION("""COMPUTED_VALUE"""),610422100165)</f>
        <v>610422100165</v>
      </c>
      <c r="D270" s="10" t="str">
        <f ca="1">IFERROR(__xludf.DUMMYFUNCTION("""COMPUTED_VALUE"""),"SHKK24-LAPANGAN-APRIL")</f>
        <v>SHKK24-LAPANGAN-APRIL</v>
      </c>
      <c r="E270" s="10"/>
      <c r="F270" s="10">
        <f ca="1">IFERROR(__xludf.DUMMYFUNCTION("""COMPUTED_VALUE"""),1)</f>
        <v>1</v>
      </c>
      <c r="G270" s="10" t="str">
        <f ca="1">IFERROR(__xludf.DUMMYFUNCTION("""COMPUTED_VALUE"""),"Yanti")</f>
        <v>Yanti</v>
      </c>
      <c r="H270" s="10" t="str">
        <f ca="1">IFERROR(__xludf.DUMMYFUNCTION("""COMPUTED_VALUE"""),"PPL")</f>
        <v>PPL</v>
      </c>
      <c r="I270" s="10" t="str">
        <f ca="1">IFERROR(__xludf.DUMMYFUNCTION("""COMPUTED_VALUE"""),"6102074803980002")</f>
        <v>6102074803980002</v>
      </c>
      <c r="J270" s="10" t="str">
        <f ca="1">IFERROR(__xludf.DUMMYFUNCTION("""COMPUTED_VALUE"""),"PENDATAAN")</f>
        <v>PENDATAAN</v>
      </c>
      <c r="K270" s="10" t="str">
        <f ca="1">IFERROR(__xludf.DUMMYFUNCTION("""COMPUTED_VALUE"""),"SHKK24-LAPANGAN-APRIL-PPL-PENDATAAN")</f>
        <v>SHKK24-LAPANGAN-APRIL-PPL-PENDATAAN</v>
      </c>
      <c r="L270" s="10" t="str">
        <f ca="1">IFERROR(__xludf.DUMMYFUNCTION("""COMPUTED_VALUE"""),"Dokumen")</f>
        <v>Dokumen</v>
      </c>
      <c r="M270" s="66">
        <f ca="1">IFERROR(__xludf.DUMMYFUNCTION("""COMPUTED_VALUE"""),60000)</f>
        <v>60000</v>
      </c>
      <c r="N270" s="10">
        <f ca="1">IFERROR(__xludf.DUMMYFUNCTION("""COMPUTED_VALUE"""),6)</f>
        <v>6</v>
      </c>
      <c r="O270" s="10">
        <f ca="1">IFERROR(__xludf.DUMMYFUNCTION("""COMPUTED_VALUE"""),360000)</f>
        <v>360000</v>
      </c>
      <c r="P270" s="10"/>
      <c r="Q270" s="67">
        <f ca="1">IFERROR(__xludf.DUMMYFUNCTION("""COMPUTED_VALUE"""),45402)</f>
        <v>45402</v>
      </c>
    </row>
    <row r="271" spans="1:17" ht="12.5">
      <c r="A271" s="82">
        <f t="array" aca="1" ref="A271" ca="1">INDEX('Database Mitra'!$R$2:$R1001,MATCH(C271,'Database Mitra'!$B$2:$B1001,0))</f>
        <v>29177</v>
      </c>
      <c r="B271" s="10" t="e">
        <f t="shared" ca="1" si="0"/>
        <v>#NAME?</v>
      </c>
      <c r="C271" s="83">
        <f ca="1">IFERROR(__xludf.DUMMYFUNCTION("""COMPUTED_VALUE"""),610422020052)</f>
        <v>610422020052</v>
      </c>
      <c r="D271" s="10" t="str">
        <f ca="1">IFERROR(__xludf.DUMMYFUNCTION("""COMPUTED_VALUE"""),"SHKK24-LAPANGAN-APRIL")</f>
        <v>SHKK24-LAPANGAN-APRIL</v>
      </c>
      <c r="E271" s="10"/>
      <c r="F271" s="10">
        <f ca="1">IFERROR(__xludf.DUMMYFUNCTION("""COMPUTED_VALUE"""),1)</f>
        <v>1</v>
      </c>
      <c r="G271" s="10" t="str">
        <f ca="1">IFERROR(__xludf.DUMMYFUNCTION("""COMPUTED_VALUE"""),"Agus Supriyanto")</f>
        <v>Agus Supriyanto</v>
      </c>
      <c r="H271" s="10" t="str">
        <f ca="1">IFERROR(__xludf.DUMMYFUNCTION("""COMPUTED_VALUE"""),"PPL")</f>
        <v>PPL</v>
      </c>
      <c r="I271" s="10" t="str">
        <f ca="1">IFERROR(__xludf.DUMMYFUNCTION("""COMPUTED_VALUE"""),"6102071811790001")</f>
        <v>6102071811790001</v>
      </c>
      <c r="J271" s="10" t="str">
        <f ca="1">IFERROR(__xludf.DUMMYFUNCTION("""COMPUTED_VALUE"""),"PENDATAAN")</f>
        <v>PENDATAAN</v>
      </c>
      <c r="K271" s="10" t="str">
        <f ca="1">IFERROR(__xludf.DUMMYFUNCTION("""COMPUTED_VALUE"""),"SHKK24-LAPANGAN-APRIL-PPL-PENDATAAN")</f>
        <v>SHKK24-LAPANGAN-APRIL-PPL-PENDATAAN</v>
      </c>
      <c r="L271" s="10" t="str">
        <f ca="1">IFERROR(__xludf.DUMMYFUNCTION("""COMPUTED_VALUE"""),"Dokumen")</f>
        <v>Dokumen</v>
      </c>
      <c r="M271" s="66">
        <f ca="1">IFERROR(__xludf.DUMMYFUNCTION("""COMPUTED_VALUE"""),60000)</f>
        <v>60000</v>
      </c>
      <c r="N271" s="10">
        <f ca="1">IFERROR(__xludf.DUMMYFUNCTION("""COMPUTED_VALUE"""),7)</f>
        <v>7</v>
      </c>
      <c r="O271" s="10">
        <f ca="1">IFERROR(__xludf.DUMMYFUNCTION("""COMPUTED_VALUE"""),420000)</f>
        <v>420000</v>
      </c>
      <c r="P271" s="10"/>
      <c r="Q271" s="67">
        <f ca="1">IFERROR(__xludf.DUMMYFUNCTION("""COMPUTED_VALUE"""),45402)</f>
        <v>45402</v>
      </c>
    </row>
    <row r="272" spans="1:17" ht="12.5">
      <c r="A272" s="82">
        <f t="array" aca="1" ref="A272" ca="1">INDEX('Database Mitra'!$R$2:$R1001,MATCH(C272,'Database Mitra'!$B$2:$B1001,0))</f>
        <v>37531</v>
      </c>
      <c r="B272" s="10" t="e">
        <f t="shared" ca="1" si="0"/>
        <v>#NAME?</v>
      </c>
      <c r="C272" s="83">
        <f ca="1">IFERROR(__xludf.DUMMYFUNCTION("""COMPUTED_VALUE"""),610422100016)</f>
        <v>610422100016</v>
      </c>
      <c r="D272" s="10" t="str">
        <f ca="1">IFERROR(__xludf.DUMMYFUNCTION("""COMPUTED_VALUE"""),"SHPED24-LAPANGAN-APRIL")</f>
        <v>SHPED24-LAPANGAN-APRIL</v>
      </c>
      <c r="E272" s="10"/>
      <c r="F272" s="10">
        <f ca="1">IFERROR(__xludf.DUMMYFUNCTION("""COMPUTED_VALUE"""),1)</f>
        <v>1</v>
      </c>
      <c r="G272" s="10" t="str">
        <f ca="1">IFERROR(__xludf.DUMMYFUNCTION("""COMPUTED_VALUE"""),"Amalia Faisya")</f>
        <v>Amalia Faisya</v>
      </c>
      <c r="H272" s="10" t="str">
        <f ca="1">IFERROR(__xludf.DUMMYFUNCTION("""COMPUTED_VALUE"""),"PPL")</f>
        <v>PPL</v>
      </c>
      <c r="I272" s="10" t="str">
        <f ca="1">IFERROR(__xludf.DUMMYFUNCTION("""COMPUTED_VALUE"""),"6102124210010005")</f>
        <v>6102124210010005</v>
      </c>
      <c r="J272" s="10" t="str">
        <f ca="1">IFERROR(__xludf.DUMMYFUNCTION("""COMPUTED_VALUE"""),"PENDATAAN KONSUMEN")</f>
        <v>PENDATAAN KONSUMEN</v>
      </c>
      <c r="K272" s="10" t="str">
        <f ca="1">IFERROR(__xludf.DUMMYFUNCTION("""COMPUTED_VALUE"""),"SHPED24-LAPANGAN-APRIL-PPL-PENDATAAN KONSUMEN")</f>
        <v>SHPED24-LAPANGAN-APRIL-PPL-PENDATAAN KONSUMEN</v>
      </c>
      <c r="L272" s="10" t="str">
        <f ca="1">IFERROR(__xludf.DUMMYFUNCTION("""COMPUTED_VALUE"""),"Dokumen")</f>
        <v>Dokumen</v>
      </c>
      <c r="M272" s="66">
        <f ca="1">IFERROR(__xludf.DUMMYFUNCTION("""COMPUTED_VALUE"""),65000)</f>
        <v>65000</v>
      </c>
      <c r="N272" s="10">
        <f ca="1">IFERROR(__xludf.DUMMYFUNCTION("""COMPUTED_VALUE"""),3)</f>
        <v>3</v>
      </c>
      <c r="O272" s="10">
        <f ca="1">IFERROR(__xludf.DUMMYFUNCTION("""COMPUTED_VALUE"""),195000)</f>
        <v>195000</v>
      </c>
      <c r="P272" s="10"/>
      <c r="Q272" s="67">
        <f ca="1">IFERROR(__xludf.DUMMYFUNCTION("""COMPUTED_VALUE"""),45402)</f>
        <v>45402</v>
      </c>
    </row>
    <row r="273" spans="1:17" ht="12.5">
      <c r="A273" s="82">
        <f t="array" aca="1" ref="A273" ca="1">INDEX('Database Mitra'!$R$2:$R1001,MATCH(C273,'Database Mitra'!$B$2:$B1001,0))</f>
        <v>30692</v>
      </c>
      <c r="B273" s="10" t="e">
        <f t="shared" ca="1" si="0"/>
        <v>#NAME?</v>
      </c>
      <c r="C273" s="83">
        <f ca="1">IFERROR(__xludf.DUMMYFUNCTION("""COMPUTED_VALUE"""),610422050001)</f>
        <v>610422050001</v>
      </c>
      <c r="D273" s="10" t="str">
        <f ca="1">IFERROR(__xludf.DUMMYFUNCTION("""COMPUTED_VALUE"""),"SHPED24-LAPANGAN-APRIL")</f>
        <v>SHPED24-LAPANGAN-APRIL</v>
      </c>
      <c r="E273" s="10"/>
      <c r="F273" s="10">
        <f ca="1">IFERROR(__xludf.DUMMYFUNCTION("""COMPUTED_VALUE"""),1)</f>
        <v>1</v>
      </c>
      <c r="G273" s="10" t="str">
        <f ca="1">IFERROR(__xludf.DUMMYFUNCTION("""COMPUTED_VALUE"""),"Evi Juniarty")</f>
        <v>Evi Juniarty</v>
      </c>
      <c r="H273" s="10" t="str">
        <f ca="1">IFERROR(__xludf.DUMMYFUNCTION("""COMPUTED_VALUE"""),"PPL")</f>
        <v>PPL</v>
      </c>
      <c r="I273" s="10" t="str">
        <f ca="1">IFERROR(__xludf.DUMMYFUNCTION("""COMPUTED_VALUE"""),"6102165101840001")</f>
        <v>6102165101840001</v>
      </c>
      <c r="J273" s="10" t="str">
        <f ca="1">IFERROR(__xludf.DUMMYFUNCTION("""COMPUTED_VALUE"""),"PENDATAAN KONSUMEN")</f>
        <v>PENDATAAN KONSUMEN</v>
      </c>
      <c r="K273" s="10" t="str">
        <f ca="1">IFERROR(__xludf.DUMMYFUNCTION("""COMPUTED_VALUE"""),"SHPED24-LAPANGAN-APRIL-PPL-PENDATAAN KONSUMEN")</f>
        <v>SHPED24-LAPANGAN-APRIL-PPL-PENDATAAN KONSUMEN</v>
      </c>
      <c r="L273" s="10" t="str">
        <f ca="1">IFERROR(__xludf.DUMMYFUNCTION("""COMPUTED_VALUE"""),"Dokumen")</f>
        <v>Dokumen</v>
      </c>
      <c r="M273" s="66">
        <f ca="1">IFERROR(__xludf.DUMMYFUNCTION("""COMPUTED_VALUE"""),65000)</f>
        <v>65000</v>
      </c>
      <c r="N273" s="10">
        <f ca="1">IFERROR(__xludf.DUMMYFUNCTION("""COMPUTED_VALUE"""),3)</f>
        <v>3</v>
      </c>
      <c r="O273" s="10">
        <f ca="1">IFERROR(__xludf.DUMMYFUNCTION("""COMPUTED_VALUE"""),195000)</f>
        <v>195000</v>
      </c>
      <c r="P273" s="10"/>
      <c r="Q273" s="67">
        <f ca="1">IFERROR(__xludf.DUMMYFUNCTION("""COMPUTED_VALUE"""),45402)</f>
        <v>45402</v>
      </c>
    </row>
    <row r="274" spans="1:17" ht="12.5">
      <c r="A274" s="82">
        <f t="array" aca="1" ref="A274" ca="1">INDEX('Database Mitra'!$R$2:$R1001,MATCH(C274,'Database Mitra'!$B$2:$B1001,0))</f>
        <v>35038</v>
      </c>
      <c r="B274" s="10" t="e">
        <f t="shared" ca="1" si="0"/>
        <v>#NAME?</v>
      </c>
      <c r="C274" s="83">
        <f ca="1">IFERROR(__xludf.DUMMYFUNCTION("""COMPUTED_VALUE"""),610422040030)</f>
        <v>610422040030</v>
      </c>
      <c r="D274" s="10" t="str">
        <f ca="1">IFERROR(__xludf.DUMMYFUNCTION("""COMPUTED_VALUE"""),"SHPED24-LAPANGAN-APRIL")</f>
        <v>SHPED24-LAPANGAN-APRIL</v>
      </c>
      <c r="E274" s="10"/>
      <c r="F274" s="10">
        <f ca="1">IFERROR(__xludf.DUMMYFUNCTION("""COMPUTED_VALUE"""),1)</f>
        <v>1</v>
      </c>
      <c r="G274" s="10" t="str">
        <f ca="1">IFERROR(__xludf.DUMMYFUNCTION("""COMPUTED_VALUE"""),"Syarifah Desti Pratiwi")</f>
        <v>Syarifah Desti Pratiwi</v>
      </c>
      <c r="H274" s="10" t="str">
        <f ca="1">IFERROR(__xludf.DUMMYFUNCTION("""COMPUTED_VALUE"""),"PPL")</f>
        <v>PPL</v>
      </c>
      <c r="I274" s="10" t="str">
        <f ca="1">IFERROR(__xludf.DUMMYFUNCTION("""COMPUTED_VALUE"""),"6102084512950002")</f>
        <v>6102084512950002</v>
      </c>
      <c r="J274" s="10" t="str">
        <f ca="1">IFERROR(__xludf.DUMMYFUNCTION("""COMPUTED_VALUE"""),"PENDATAAN PRODUSEN")</f>
        <v>PENDATAAN PRODUSEN</v>
      </c>
      <c r="K274" s="10" t="str">
        <f ca="1">IFERROR(__xludf.DUMMYFUNCTION("""COMPUTED_VALUE"""),"SHPED24-LAPANGAN-APRIL-PPL-PENDATAAN PRODUSEN")</f>
        <v>SHPED24-LAPANGAN-APRIL-PPL-PENDATAAN PRODUSEN</v>
      </c>
      <c r="L274" s="10" t="str">
        <f ca="1">IFERROR(__xludf.DUMMYFUNCTION("""COMPUTED_VALUE"""),"Dokumen")</f>
        <v>Dokumen</v>
      </c>
      <c r="M274" s="66">
        <f ca="1">IFERROR(__xludf.DUMMYFUNCTION("""COMPUTED_VALUE"""),55000)</f>
        <v>55000</v>
      </c>
      <c r="N274" s="10">
        <f ca="1">IFERROR(__xludf.DUMMYFUNCTION("""COMPUTED_VALUE"""),1)</f>
        <v>1</v>
      </c>
      <c r="O274" s="10">
        <f ca="1">IFERROR(__xludf.DUMMYFUNCTION("""COMPUTED_VALUE"""),55000)</f>
        <v>55000</v>
      </c>
      <c r="P274" s="10"/>
      <c r="Q274" s="67">
        <f ca="1">IFERROR(__xludf.DUMMYFUNCTION("""COMPUTED_VALUE"""),45402)</f>
        <v>45402</v>
      </c>
    </row>
    <row r="275" spans="1:17" ht="12.5">
      <c r="A275" s="82">
        <f t="array" aca="1" ref="A275" ca="1">INDEX('Database Mitra'!$R$2:$R1001,MATCH(C275,'Database Mitra'!$B$2:$B1001,0))</f>
        <v>29068</v>
      </c>
      <c r="B275" s="10" t="e">
        <f t="shared" ca="1" si="0"/>
        <v>#NAME?</v>
      </c>
      <c r="C275" s="83">
        <f ca="1">IFERROR(__xludf.DUMMYFUNCTION("""COMPUTED_VALUE"""),610422100124)</f>
        <v>610422100124</v>
      </c>
      <c r="D275" s="10" t="str">
        <f ca="1">IFERROR(__xludf.DUMMYFUNCTION("""COMPUTED_VALUE"""),"SHPED24-LAPANGAN-APRIL")</f>
        <v>SHPED24-LAPANGAN-APRIL</v>
      </c>
      <c r="E275" s="10"/>
      <c r="F275" s="10">
        <f ca="1">IFERROR(__xludf.DUMMYFUNCTION("""COMPUTED_VALUE"""),1)</f>
        <v>1</v>
      </c>
      <c r="G275" s="10" t="str">
        <f ca="1">IFERROR(__xludf.DUMMYFUNCTION("""COMPUTED_VALUE"""),"Prabowo")</f>
        <v>Prabowo</v>
      </c>
      <c r="H275" s="10" t="str">
        <f ca="1">IFERROR(__xludf.DUMMYFUNCTION("""COMPUTED_VALUE"""),"PPL")</f>
        <v>PPL</v>
      </c>
      <c r="I275" s="10" t="str">
        <f ca="1">IFERROR(__xludf.DUMMYFUNCTION("""COMPUTED_VALUE"""),"6171010108790015")</f>
        <v>6171010108790015</v>
      </c>
      <c r="J275" s="10" t="str">
        <f ca="1">IFERROR(__xludf.DUMMYFUNCTION("""COMPUTED_VALUE"""),"PENDATAAN PRODUSEN")</f>
        <v>PENDATAAN PRODUSEN</v>
      </c>
      <c r="K275" s="10" t="str">
        <f ca="1">IFERROR(__xludf.DUMMYFUNCTION("""COMPUTED_VALUE"""),"SHPED24-LAPANGAN-APRIL-PPL-PENDATAAN PRODUSEN")</f>
        <v>SHPED24-LAPANGAN-APRIL-PPL-PENDATAAN PRODUSEN</v>
      </c>
      <c r="L275" s="10" t="str">
        <f ca="1">IFERROR(__xludf.DUMMYFUNCTION("""COMPUTED_VALUE"""),"Dokumen")</f>
        <v>Dokumen</v>
      </c>
      <c r="M275" s="66">
        <f ca="1">IFERROR(__xludf.DUMMYFUNCTION("""COMPUTED_VALUE"""),55000)</f>
        <v>55000</v>
      </c>
      <c r="N275" s="10">
        <f ca="1">IFERROR(__xludf.DUMMYFUNCTION("""COMPUTED_VALUE"""),3)</f>
        <v>3</v>
      </c>
      <c r="O275" s="10">
        <f ca="1">IFERROR(__xludf.DUMMYFUNCTION("""COMPUTED_VALUE"""),165000)</f>
        <v>165000</v>
      </c>
      <c r="P275" s="10"/>
      <c r="Q275" s="67">
        <f ca="1">IFERROR(__xludf.DUMMYFUNCTION("""COMPUTED_VALUE"""),45402)</f>
        <v>45402</v>
      </c>
    </row>
    <row r="276" spans="1:17" ht="12.5">
      <c r="A276" s="82">
        <f t="array" aca="1" ref="A276" ca="1">INDEX('Database Mitra'!$R$2:$R1001,MATCH(C276,'Database Mitra'!$B$2:$B1001,0))</f>
        <v>32942</v>
      </c>
      <c r="B276" s="10" t="e">
        <f t="shared" ca="1" si="0"/>
        <v>#NAME?</v>
      </c>
      <c r="C276" s="83">
        <f ca="1">IFERROR(__xludf.DUMMYFUNCTION("""COMPUTED_VALUE"""),610422100244)</f>
        <v>610422100244</v>
      </c>
      <c r="D276" s="10" t="str">
        <f ca="1">IFERROR(__xludf.DUMMYFUNCTION("""COMPUTED_VALUE"""),"SHPED24-LAPANGAN-APRIL")</f>
        <v>SHPED24-LAPANGAN-APRIL</v>
      </c>
      <c r="E276" s="10"/>
      <c r="F276" s="10">
        <f ca="1">IFERROR(__xludf.DUMMYFUNCTION("""COMPUTED_VALUE"""),1)</f>
        <v>1</v>
      </c>
      <c r="G276" s="10" t="str">
        <f ca="1">IFERROR(__xludf.DUMMYFUNCTION("""COMPUTED_VALUE"""),"Sugianto")</f>
        <v>Sugianto</v>
      </c>
      <c r="H276" s="10" t="str">
        <f ca="1">IFERROR(__xludf.DUMMYFUNCTION("""COMPUTED_VALUE"""),"PPL")</f>
        <v>PPL</v>
      </c>
      <c r="I276" s="10" t="str">
        <f ca="1">IFERROR(__xludf.DUMMYFUNCTION("""COMPUTED_VALUE"""),"6102171003900002")</f>
        <v>6102171003900002</v>
      </c>
      <c r="J276" s="10" t="str">
        <f ca="1">IFERROR(__xludf.DUMMYFUNCTION("""COMPUTED_VALUE"""),"PENDATAAN PRODUSEN")</f>
        <v>PENDATAAN PRODUSEN</v>
      </c>
      <c r="K276" s="10" t="str">
        <f ca="1">IFERROR(__xludf.DUMMYFUNCTION("""COMPUTED_VALUE"""),"SHPED24-LAPANGAN-APRIL-PPL-PENDATAAN PRODUSEN")</f>
        <v>SHPED24-LAPANGAN-APRIL-PPL-PENDATAAN PRODUSEN</v>
      </c>
      <c r="L276" s="10" t="str">
        <f ca="1">IFERROR(__xludf.DUMMYFUNCTION("""COMPUTED_VALUE"""),"Dokumen")</f>
        <v>Dokumen</v>
      </c>
      <c r="M276" s="66">
        <f ca="1">IFERROR(__xludf.DUMMYFUNCTION("""COMPUTED_VALUE"""),55000)</f>
        <v>55000</v>
      </c>
      <c r="N276" s="10">
        <f ca="1">IFERROR(__xludf.DUMMYFUNCTION("""COMPUTED_VALUE"""),2)</f>
        <v>2</v>
      </c>
      <c r="O276" s="10">
        <f ca="1">IFERROR(__xludf.DUMMYFUNCTION("""COMPUTED_VALUE"""),110000)</f>
        <v>110000</v>
      </c>
      <c r="P276" s="10"/>
      <c r="Q276" s="67">
        <f ca="1">IFERROR(__xludf.DUMMYFUNCTION("""COMPUTED_VALUE"""),45402)</f>
        <v>45402</v>
      </c>
    </row>
    <row r="277" spans="1:17" ht="12.5">
      <c r="A277" s="11">
        <f t="array" aca="1" ref="A277" ca="1">INDEX('Database Mitra'!$R$2:$R1001,MATCH(C277,'Database Mitra'!$B$2:$B1001,0))</f>
        <v>34895</v>
      </c>
      <c r="B277" s="10" t="e">
        <f t="shared" ca="1" si="0"/>
        <v>#NAME?</v>
      </c>
      <c r="C277" s="83">
        <f ca="1">IFERROR(__xludf.DUMMYFUNCTION("""COMPUTED_VALUE"""),610422020016)</f>
        <v>610422020016</v>
      </c>
      <c r="D277" s="10" t="str">
        <f ca="1">IFERROR(__xludf.DUMMYFUNCTION("""COMPUTED_VALUE"""),"SHPED24-LAPANGAN-APRIL")</f>
        <v>SHPED24-LAPANGAN-APRIL</v>
      </c>
      <c r="E277" s="10"/>
      <c r="F277" s="10">
        <f ca="1">IFERROR(__xludf.DUMMYFUNCTION("""COMPUTED_VALUE"""),1)</f>
        <v>1</v>
      </c>
      <c r="G277" s="10" t="str">
        <f ca="1">IFERROR(__xludf.DUMMYFUNCTION("""COMPUTED_VALUE"""),"Abdul Aziz")</f>
        <v>Abdul Aziz</v>
      </c>
      <c r="H277" s="10" t="str">
        <f ca="1">IFERROR(__xludf.DUMMYFUNCTION("""COMPUTED_VALUE"""),"PPL")</f>
        <v>PPL</v>
      </c>
      <c r="I277" s="10" t="str">
        <f ca="1">IFERROR(__xludf.DUMMYFUNCTION("""COMPUTED_VALUE"""),"6102061507950006")</f>
        <v>6102061507950006</v>
      </c>
      <c r="J277" s="10" t="str">
        <f ca="1">IFERROR(__xludf.DUMMYFUNCTION("""COMPUTED_VALUE"""),"PENDATAAN PRODUSEN")</f>
        <v>PENDATAAN PRODUSEN</v>
      </c>
      <c r="K277" s="10" t="str">
        <f ca="1">IFERROR(__xludf.DUMMYFUNCTION("""COMPUTED_VALUE"""),"SHPED24-LAPANGAN-APRIL-PPL-PENDATAAN PRODUSEN")</f>
        <v>SHPED24-LAPANGAN-APRIL-PPL-PENDATAAN PRODUSEN</v>
      </c>
      <c r="L277" s="10" t="str">
        <f ca="1">IFERROR(__xludf.DUMMYFUNCTION("""COMPUTED_VALUE"""),"Dokumen")</f>
        <v>Dokumen</v>
      </c>
      <c r="M277" s="66">
        <f ca="1">IFERROR(__xludf.DUMMYFUNCTION("""COMPUTED_VALUE"""),55000)</f>
        <v>55000</v>
      </c>
      <c r="N277" s="10">
        <f ca="1">IFERROR(__xludf.DUMMYFUNCTION("""COMPUTED_VALUE"""),3)</f>
        <v>3</v>
      </c>
      <c r="O277" s="10">
        <f ca="1">IFERROR(__xludf.DUMMYFUNCTION("""COMPUTED_VALUE"""),165000)</f>
        <v>165000</v>
      </c>
      <c r="P277" s="10"/>
      <c r="Q277" s="67">
        <f ca="1">IFERROR(__xludf.DUMMYFUNCTION("""COMPUTED_VALUE"""),45402)</f>
        <v>45402</v>
      </c>
    </row>
    <row r="278" spans="1:17" ht="12.5">
      <c r="A278" s="82">
        <f t="array" aca="1" ref="A278" ca="1">INDEX('Database Mitra'!$R$2:$R1001,MATCH(C278,'Database Mitra'!$B$2:$B1001,0))</f>
        <v>37531</v>
      </c>
      <c r="B278" s="10" t="e">
        <f t="shared" ca="1" si="0"/>
        <v>#NAME?</v>
      </c>
      <c r="C278" s="83">
        <f ca="1">IFERROR(__xludf.DUMMYFUNCTION("""COMPUTED_VALUE"""),610422100016)</f>
        <v>610422100016</v>
      </c>
      <c r="D278" s="10" t="str">
        <f ca="1">IFERROR(__xludf.DUMMYFUNCTION("""COMPUTED_VALUE"""),"SHPED24-LAPANGAN-APRIL")</f>
        <v>SHPED24-LAPANGAN-APRIL</v>
      </c>
      <c r="E278" s="10"/>
      <c r="F278" s="10">
        <f ca="1">IFERROR(__xludf.DUMMYFUNCTION("""COMPUTED_VALUE"""),1)</f>
        <v>1</v>
      </c>
      <c r="G278" s="10" t="str">
        <f ca="1">IFERROR(__xludf.DUMMYFUNCTION("""COMPUTED_VALUE"""),"Amalia Faisya")</f>
        <v>Amalia Faisya</v>
      </c>
      <c r="H278" s="10" t="str">
        <f ca="1">IFERROR(__xludf.DUMMYFUNCTION("""COMPUTED_VALUE"""),"PPL")</f>
        <v>PPL</v>
      </c>
      <c r="I278" s="10" t="str">
        <f ca="1">IFERROR(__xludf.DUMMYFUNCTION("""COMPUTED_VALUE"""),"6102124210010005")</f>
        <v>6102124210010005</v>
      </c>
      <c r="J278" s="10" t="str">
        <f ca="1">IFERROR(__xludf.DUMMYFUNCTION("""COMPUTED_VALUE"""),"PENDATAAN PRODUSEN")</f>
        <v>PENDATAAN PRODUSEN</v>
      </c>
      <c r="K278" s="10" t="str">
        <f ca="1">IFERROR(__xludf.DUMMYFUNCTION("""COMPUTED_VALUE"""),"SHPED24-LAPANGAN-APRIL-PPL-PENDATAAN PRODUSEN")</f>
        <v>SHPED24-LAPANGAN-APRIL-PPL-PENDATAAN PRODUSEN</v>
      </c>
      <c r="L278" s="10" t="str">
        <f ca="1">IFERROR(__xludf.DUMMYFUNCTION("""COMPUTED_VALUE"""),"Dokumen")</f>
        <v>Dokumen</v>
      </c>
      <c r="M278" s="66">
        <f ca="1">IFERROR(__xludf.DUMMYFUNCTION("""COMPUTED_VALUE"""),55000)</f>
        <v>55000</v>
      </c>
      <c r="N278" s="10">
        <f ca="1">IFERROR(__xludf.DUMMYFUNCTION("""COMPUTED_VALUE"""),1)</f>
        <v>1</v>
      </c>
      <c r="O278" s="10">
        <f ca="1">IFERROR(__xludf.DUMMYFUNCTION("""COMPUTED_VALUE"""),55000)</f>
        <v>55000</v>
      </c>
      <c r="P278" s="10"/>
      <c r="Q278" s="67">
        <f ca="1">IFERROR(__xludf.DUMMYFUNCTION("""COMPUTED_VALUE"""),45402)</f>
        <v>45402</v>
      </c>
    </row>
    <row r="279" spans="1:17" ht="12.5">
      <c r="A279" s="11">
        <f t="array" aca="1" ref="A279" ca="1">INDEX('Database Mitra'!$R$2:$R1001,MATCH(C279,'Database Mitra'!$B$2:$B1001,0))</f>
        <v>29305</v>
      </c>
      <c r="B279" s="10" t="e">
        <f t="shared" ca="1" si="0"/>
        <v>#NAME?</v>
      </c>
      <c r="C279" s="83">
        <f ca="1">IFERROR(__xludf.DUMMYFUNCTION("""COMPUTED_VALUE"""),610422020048)</f>
        <v>610422020048</v>
      </c>
      <c r="D279" s="10" t="str">
        <f ca="1">IFERROR(__xludf.DUMMYFUNCTION("""COMPUTED_VALUE"""),"SHPED24-LAPANGAN-APRIL")</f>
        <v>SHPED24-LAPANGAN-APRIL</v>
      </c>
      <c r="E279" s="10"/>
      <c r="F279" s="10">
        <f ca="1">IFERROR(__xludf.DUMMYFUNCTION("""COMPUTED_VALUE"""),1)</f>
        <v>1</v>
      </c>
      <c r="G279" s="10" t="str">
        <f ca="1">IFERROR(__xludf.DUMMYFUNCTION("""COMPUTED_VALUE"""),"Herri Gustaman")</f>
        <v>Herri Gustaman</v>
      </c>
      <c r="H279" s="10" t="str">
        <f ca="1">IFERROR(__xludf.DUMMYFUNCTION("""COMPUTED_VALUE"""),"PPL")</f>
        <v>PPL</v>
      </c>
      <c r="I279" s="10" t="str">
        <f ca="1">IFERROR(__xludf.DUMMYFUNCTION("""COMPUTED_VALUE"""),"6102072503800001")</f>
        <v>6102072503800001</v>
      </c>
      <c r="J279" s="10" t="str">
        <f ca="1">IFERROR(__xludf.DUMMYFUNCTION("""COMPUTED_VALUE"""),"PENDATAAN PRODUSEN")</f>
        <v>PENDATAAN PRODUSEN</v>
      </c>
      <c r="K279" s="10" t="str">
        <f ca="1">IFERROR(__xludf.DUMMYFUNCTION("""COMPUTED_VALUE"""),"SHPED24-LAPANGAN-APRIL-PPL-PENDATAAN PRODUSEN")</f>
        <v>SHPED24-LAPANGAN-APRIL-PPL-PENDATAAN PRODUSEN</v>
      </c>
      <c r="L279" s="10" t="str">
        <f ca="1">IFERROR(__xludf.DUMMYFUNCTION("""COMPUTED_VALUE"""),"Dokumen")</f>
        <v>Dokumen</v>
      </c>
      <c r="M279" s="66">
        <f ca="1">IFERROR(__xludf.DUMMYFUNCTION("""COMPUTED_VALUE"""),55000)</f>
        <v>55000</v>
      </c>
      <c r="N279" s="10">
        <f ca="1">IFERROR(__xludf.DUMMYFUNCTION("""COMPUTED_VALUE"""),3)</f>
        <v>3</v>
      </c>
      <c r="O279" s="10">
        <f ca="1">IFERROR(__xludf.DUMMYFUNCTION("""COMPUTED_VALUE"""),165000)</f>
        <v>165000</v>
      </c>
      <c r="P279" s="10"/>
      <c r="Q279" s="67">
        <f ca="1">IFERROR(__xludf.DUMMYFUNCTION("""COMPUTED_VALUE"""),45402)</f>
        <v>45402</v>
      </c>
    </row>
    <row r="280" spans="1:17" ht="12.5">
      <c r="A280" s="82">
        <f t="array" aca="1" ref="A280" ca="1">INDEX('Database Mitra'!$R$2:$R1001,MATCH(C280,'Database Mitra'!$B$2:$B1001,0))</f>
        <v>31964</v>
      </c>
      <c r="B280" s="10" t="e">
        <f t="shared" ca="1" si="0"/>
        <v>#NAME?</v>
      </c>
      <c r="C280" s="83">
        <f ca="1">IFERROR(__xludf.DUMMYFUNCTION("""COMPUTED_VALUE"""),610422040029)</f>
        <v>610422040029</v>
      </c>
      <c r="D280" s="10" t="str">
        <f ca="1">IFERROR(__xludf.DUMMYFUNCTION("""COMPUTED_VALUE"""),"SHPED24-LAPANGAN-APRIL")</f>
        <v>SHPED24-LAPANGAN-APRIL</v>
      </c>
      <c r="E280" s="10"/>
      <c r="F280" s="10">
        <f ca="1">IFERROR(__xludf.DUMMYFUNCTION("""COMPUTED_VALUE"""),1)</f>
        <v>1</v>
      </c>
      <c r="G280" s="10" t="str">
        <f ca="1">IFERROR(__xludf.DUMMYFUNCTION("""COMPUTED_VALUE"""),"Zaini")</f>
        <v>Zaini</v>
      </c>
      <c r="H280" s="10" t="str">
        <f ca="1">IFERROR(__xludf.DUMMYFUNCTION("""COMPUTED_VALUE"""),"PPL")</f>
        <v>PPL</v>
      </c>
      <c r="I280" s="10" t="str">
        <f ca="1">IFERROR(__xludf.DUMMYFUNCTION("""COMPUTED_VALUE"""),"6102010607870002")</f>
        <v>6102010607870002</v>
      </c>
      <c r="J280" s="10" t="str">
        <f ca="1">IFERROR(__xludf.DUMMYFUNCTION("""COMPUTED_VALUE"""),"PENDATAAN PRODUSEN")</f>
        <v>PENDATAAN PRODUSEN</v>
      </c>
      <c r="K280" s="10" t="str">
        <f ca="1">IFERROR(__xludf.DUMMYFUNCTION("""COMPUTED_VALUE"""),"SHPED24-LAPANGAN-APRIL-PPL-PENDATAAN PRODUSEN")</f>
        <v>SHPED24-LAPANGAN-APRIL-PPL-PENDATAAN PRODUSEN</v>
      </c>
      <c r="L280" s="10" t="str">
        <f ca="1">IFERROR(__xludf.DUMMYFUNCTION("""COMPUTED_VALUE"""),"Dokumen")</f>
        <v>Dokumen</v>
      </c>
      <c r="M280" s="66">
        <f ca="1">IFERROR(__xludf.DUMMYFUNCTION("""COMPUTED_VALUE"""),55000)</f>
        <v>55000</v>
      </c>
      <c r="N280" s="10">
        <f ca="1">IFERROR(__xludf.DUMMYFUNCTION("""COMPUTED_VALUE"""),4)</f>
        <v>4</v>
      </c>
      <c r="O280" s="10">
        <f ca="1">IFERROR(__xludf.DUMMYFUNCTION("""COMPUTED_VALUE"""),220000)</f>
        <v>220000</v>
      </c>
      <c r="P280" s="10"/>
      <c r="Q280" s="67">
        <f ca="1">IFERROR(__xludf.DUMMYFUNCTION("""COMPUTED_VALUE"""),45402)</f>
        <v>45402</v>
      </c>
    </row>
    <row r="281" spans="1:17" ht="12.5">
      <c r="A281" s="82">
        <f t="array" aca="1" ref="A281" ca="1">INDEX('Database Mitra'!$R$2:$R1001,MATCH(C281,'Database Mitra'!$B$2:$B1001,0))</f>
        <v>30692</v>
      </c>
      <c r="B281" s="10" t="e">
        <f t="shared" ca="1" si="0"/>
        <v>#NAME?</v>
      </c>
      <c r="C281" s="83">
        <f ca="1">IFERROR(__xludf.DUMMYFUNCTION("""COMPUTED_VALUE"""),610422050001)</f>
        <v>610422050001</v>
      </c>
      <c r="D281" s="10" t="str">
        <f ca="1">IFERROR(__xludf.DUMMYFUNCTION("""COMPUTED_VALUE"""),"SHPED24-LAPANGAN-APRIL")</f>
        <v>SHPED24-LAPANGAN-APRIL</v>
      </c>
      <c r="E281" s="10"/>
      <c r="F281" s="10">
        <f ca="1">IFERROR(__xludf.DUMMYFUNCTION("""COMPUTED_VALUE"""),1)</f>
        <v>1</v>
      </c>
      <c r="G281" s="10" t="str">
        <f ca="1">IFERROR(__xludf.DUMMYFUNCTION("""COMPUTED_VALUE"""),"Evi Juniarty")</f>
        <v>Evi Juniarty</v>
      </c>
      <c r="H281" s="10" t="str">
        <f ca="1">IFERROR(__xludf.DUMMYFUNCTION("""COMPUTED_VALUE"""),"PPL")</f>
        <v>PPL</v>
      </c>
      <c r="I281" s="10" t="str">
        <f ca="1">IFERROR(__xludf.DUMMYFUNCTION("""COMPUTED_VALUE"""),"6102165101840001")</f>
        <v>6102165101840001</v>
      </c>
      <c r="J281" s="10" t="str">
        <f ca="1">IFERROR(__xludf.DUMMYFUNCTION("""COMPUTED_VALUE"""),"PENDATAAN PRODUSEN")</f>
        <v>PENDATAAN PRODUSEN</v>
      </c>
      <c r="K281" s="10" t="str">
        <f ca="1">IFERROR(__xludf.DUMMYFUNCTION("""COMPUTED_VALUE"""),"SHPED24-LAPANGAN-APRIL-PPL-PENDATAAN PRODUSEN")</f>
        <v>SHPED24-LAPANGAN-APRIL-PPL-PENDATAAN PRODUSEN</v>
      </c>
      <c r="L281" s="10" t="str">
        <f ca="1">IFERROR(__xludf.DUMMYFUNCTION("""COMPUTED_VALUE"""),"Dokumen")</f>
        <v>Dokumen</v>
      </c>
      <c r="M281" s="66">
        <f ca="1">IFERROR(__xludf.DUMMYFUNCTION("""COMPUTED_VALUE"""),55000)</f>
        <v>55000</v>
      </c>
      <c r="N281" s="10">
        <f ca="1">IFERROR(__xludf.DUMMYFUNCTION("""COMPUTED_VALUE"""),1)</f>
        <v>1</v>
      </c>
      <c r="O281" s="10">
        <f ca="1">IFERROR(__xludf.DUMMYFUNCTION("""COMPUTED_VALUE"""),55000)</f>
        <v>55000</v>
      </c>
      <c r="P281" s="10"/>
      <c r="Q281" s="67">
        <f ca="1">IFERROR(__xludf.DUMMYFUNCTION("""COMPUTED_VALUE"""),45402)</f>
        <v>45402</v>
      </c>
    </row>
    <row r="282" spans="1:17" ht="12.5">
      <c r="A282" s="82">
        <f t="array" aca="1" ref="A282" ca="1">INDEX('Database Mitra'!$R$2:$R1001,MATCH(C282,'Database Mitra'!$B$2:$B1001,0))</f>
        <v>29068</v>
      </c>
      <c r="B282" s="10" t="e">
        <f t="shared" ca="1" si="0"/>
        <v>#NAME?</v>
      </c>
      <c r="C282" s="83">
        <f ca="1">IFERROR(__xludf.DUMMYFUNCTION("""COMPUTED_VALUE"""),610422100124)</f>
        <v>610422100124</v>
      </c>
      <c r="D282" s="10" t="str">
        <f ca="1">IFERROR(__xludf.DUMMYFUNCTION("""COMPUTED_VALUE"""),"HPBG24-LAPANGAN-APRIL")</f>
        <v>HPBG24-LAPANGAN-APRIL</v>
      </c>
      <c r="E282" s="10"/>
      <c r="F282" s="10">
        <f ca="1">IFERROR(__xludf.DUMMYFUNCTION("""COMPUTED_VALUE"""),1)</f>
        <v>1</v>
      </c>
      <c r="G282" s="10" t="str">
        <f ca="1">IFERROR(__xludf.DUMMYFUNCTION("""COMPUTED_VALUE"""),"Prabowo")</f>
        <v>Prabowo</v>
      </c>
      <c r="H282" s="10" t="str">
        <f ca="1">IFERROR(__xludf.DUMMYFUNCTION("""COMPUTED_VALUE"""),"PPL")</f>
        <v>PPL</v>
      </c>
      <c r="I282" s="10" t="str">
        <f ca="1">IFERROR(__xludf.DUMMYFUNCTION("""COMPUTED_VALUE"""),"6171010108790015")</f>
        <v>6171010108790015</v>
      </c>
      <c r="J282" s="10" t="str">
        <f ca="1">IFERROR(__xludf.DUMMYFUNCTION("""COMPUTED_VALUE"""),"PENDATAAN")</f>
        <v>PENDATAAN</v>
      </c>
      <c r="K282" s="10" t="str">
        <f ca="1">IFERROR(__xludf.DUMMYFUNCTION("""COMPUTED_VALUE"""),"HPBG24-LAPANGAN-APRIL-PPL-PENDATAAN")</f>
        <v>HPBG24-LAPANGAN-APRIL-PPL-PENDATAAN</v>
      </c>
      <c r="L282" s="10" t="str">
        <f ca="1">IFERROR(__xludf.DUMMYFUNCTION("""COMPUTED_VALUE"""),"Dokumen")</f>
        <v>Dokumen</v>
      </c>
      <c r="M282" s="66">
        <f ca="1">IFERROR(__xludf.DUMMYFUNCTION("""COMPUTED_VALUE"""),55000)</f>
        <v>55000</v>
      </c>
      <c r="N282" s="10">
        <f ca="1">IFERROR(__xludf.DUMMYFUNCTION("""COMPUTED_VALUE"""),2)</f>
        <v>2</v>
      </c>
      <c r="O282" s="10">
        <f ca="1">IFERROR(__xludf.DUMMYFUNCTION("""COMPUTED_VALUE"""),110000)</f>
        <v>110000</v>
      </c>
      <c r="P282" s="10"/>
      <c r="Q282" s="67">
        <f ca="1">IFERROR(__xludf.DUMMYFUNCTION("""COMPUTED_VALUE"""),45402)</f>
        <v>45402</v>
      </c>
    </row>
    <row r="283" spans="1:17" ht="12.5">
      <c r="A283" s="82">
        <f t="array" aca="1" ref="A283" ca="1">INDEX('Database Mitra'!$R$2:$R1001,MATCH(C283,'Database Mitra'!$B$2:$B1001,0))</f>
        <v>32942</v>
      </c>
      <c r="B283" s="10" t="e">
        <f t="shared" ca="1" si="0"/>
        <v>#NAME?</v>
      </c>
      <c r="C283" s="83">
        <f ca="1">IFERROR(__xludf.DUMMYFUNCTION("""COMPUTED_VALUE"""),610422100244)</f>
        <v>610422100244</v>
      </c>
      <c r="D283" s="10" t="str">
        <f ca="1">IFERROR(__xludf.DUMMYFUNCTION("""COMPUTED_VALUE"""),"HPBG24-LAPANGAN-APRIL")</f>
        <v>HPBG24-LAPANGAN-APRIL</v>
      </c>
      <c r="E283" s="10"/>
      <c r="F283" s="10">
        <f ca="1">IFERROR(__xludf.DUMMYFUNCTION("""COMPUTED_VALUE"""),1)</f>
        <v>1</v>
      </c>
      <c r="G283" s="10" t="str">
        <f ca="1">IFERROR(__xludf.DUMMYFUNCTION("""COMPUTED_VALUE"""),"Sugianto")</f>
        <v>Sugianto</v>
      </c>
      <c r="H283" s="10" t="str">
        <f ca="1">IFERROR(__xludf.DUMMYFUNCTION("""COMPUTED_VALUE"""),"PPL")</f>
        <v>PPL</v>
      </c>
      <c r="I283" s="10" t="str">
        <f ca="1">IFERROR(__xludf.DUMMYFUNCTION("""COMPUTED_VALUE"""),"6102171003900002")</f>
        <v>6102171003900002</v>
      </c>
      <c r="J283" s="10" t="str">
        <f ca="1">IFERROR(__xludf.DUMMYFUNCTION("""COMPUTED_VALUE"""),"PENDATAAN")</f>
        <v>PENDATAAN</v>
      </c>
      <c r="K283" s="10" t="str">
        <f ca="1">IFERROR(__xludf.DUMMYFUNCTION("""COMPUTED_VALUE"""),"HPBG24-LAPANGAN-APRIL-PPL-PENDATAAN")</f>
        <v>HPBG24-LAPANGAN-APRIL-PPL-PENDATAAN</v>
      </c>
      <c r="L283" s="10" t="str">
        <f ca="1">IFERROR(__xludf.DUMMYFUNCTION("""COMPUTED_VALUE"""),"Dokumen")</f>
        <v>Dokumen</v>
      </c>
      <c r="M283" s="66">
        <f ca="1">IFERROR(__xludf.DUMMYFUNCTION("""COMPUTED_VALUE"""),55000)</f>
        <v>55000</v>
      </c>
      <c r="N283" s="10">
        <f ca="1">IFERROR(__xludf.DUMMYFUNCTION("""COMPUTED_VALUE"""),2)</f>
        <v>2</v>
      </c>
      <c r="O283" s="10">
        <f ca="1">IFERROR(__xludf.DUMMYFUNCTION("""COMPUTED_VALUE"""),110000)</f>
        <v>110000</v>
      </c>
      <c r="P283" s="10"/>
      <c r="Q283" s="67">
        <f ca="1">IFERROR(__xludf.DUMMYFUNCTION("""COMPUTED_VALUE"""),45402)</f>
        <v>45402</v>
      </c>
    </row>
    <row r="284" spans="1:17" ht="12.5">
      <c r="A284" s="82">
        <f t="array" aca="1" ref="A284" ca="1">INDEX('Database Mitra'!$R$2:$R1001,MATCH(C284,'Database Mitra'!$B$2:$B1001,0))</f>
        <v>35862</v>
      </c>
      <c r="B284" s="10" t="e">
        <f t="shared" ca="1" si="0"/>
        <v>#NAME?</v>
      </c>
      <c r="C284" s="83">
        <f ca="1">IFERROR(__xludf.DUMMYFUNCTION("""COMPUTED_VALUE"""),610422100165)</f>
        <v>610422100165</v>
      </c>
      <c r="D284" s="10" t="str">
        <f ca="1">IFERROR(__xludf.DUMMYFUNCTION("""COMPUTED_VALUE"""),"HPBG24-LAPANGAN-APRIL")</f>
        <v>HPBG24-LAPANGAN-APRIL</v>
      </c>
      <c r="E284" s="10"/>
      <c r="F284" s="10">
        <f ca="1">IFERROR(__xludf.DUMMYFUNCTION("""COMPUTED_VALUE"""),1)</f>
        <v>1</v>
      </c>
      <c r="G284" s="10" t="str">
        <f ca="1">IFERROR(__xludf.DUMMYFUNCTION("""COMPUTED_VALUE"""),"Yanti")</f>
        <v>Yanti</v>
      </c>
      <c r="H284" s="10" t="str">
        <f ca="1">IFERROR(__xludf.DUMMYFUNCTION("""COMPUTED_VALUE"""),"PPL")</f>
        <v>PPL</v>
      </c>
      <c r="I284" s="10" t="str">
        <f ca="1">IFERROR(__xludf.DUMMYFUNCTION("""COMPUTED_VALUE"""),"6102074803980002")</f>
        <v>6102074803980002</v>
      </c>
      <c r="J284" s="10" t="str">
        <f ca="1">IFERROR(__xludf.DUMMYFUNCTION("""COMPUTED_VALUE"""),"PENDATAAN")</f>
        <v>PENDATAAN</v>
      </c>
      <c r="K284" s="10" t="str">
        <f ca="1">IFERROR(__xludf.DUMMYFUNCTION("""COMPUTED_VALUE"""),"HPBG24-LAPANGAN-APRIL-PPL-PENDATAAN")</f>
        <v>HPBG24-LAPANGAN-APRIL-PPL-PENDATAAN</v>
      </c>
      <c r="L284" s="10" t="str">
        <f ca="1">IFERROR(__xludf.DUMMYFUNCTION("""COMPUTED_VALUE"""),"Dokumen")</f>
        <v>Dokumen</v>
      </c>
      <c r="M284" s="66">
        <f ca="1">IFERROR(__xludf.DUMMYFUNCTION("""COMPUTED_VALUE"""),55000)</f>
        <v>55000</v>
      </c>
      <c r="N284" s="10">
        <f ca="1">IFERROR(__xludf.DUMMYFUNCTION("""COMPUTED_VALUE"""),2)</f>
        <v>2</v>
      </c>
      <c r="O284" s="10">
        <f ca="1">IFERROR(__xludf.DUMMYFUNCTION("""COMPUTED_VALUE"""),110000)</f>
        <v>110000</v>
      </c>
      <c r="P284" s="10"/>
      <c r="Q284" s="67">
        <f ca="1">IFERROR(__xludf.DUMMYFUNCTION("""COMPUTED_VALUE"""),45402)</f>
        <v>45402</v>
      </c>
    </row>
    <row r="285" spans="1:17" ht="12.5">
      <c r="A285" s="82">
        <f t="array" aca="1" ref="A285" ca="1">INDEX('Database Mitra'!$R$2:$R1001,MATCH(C285,'Database Mitra'!$B$2:$B1001,0))</f>
        <v>35862</v>
      </c>
      <c r="B285" s="10" t="e">
        <f t="shared" ca="1" si="0"/>
        <v>#NAME?</v>
      </c>
      <c r="C285" s="83">
        <f ca="1">IFERROR(__xludf.DUMMYFUNCTION("""COMPUTED_VALUE"""),610422100165)</f>
        <v>610422100165</v>
      </c>
      <c r="D285" s="10" t="str">
        <f ca="1">IFERROR(__xludf.DUMMYFUNCTION("""COMPUTED_VALUE"""),"HPJ24-LAPANGAN-APRIL")</f>
        <v>HPJ24-LAPANGAN-APRIL</v>
      </c>
      <c r="E285" s="10"/>
      <c r="F285" s="10">
        <f ca="1">IFERROR(__xludf.DUMMYFUNCTION("""COMPUTED_VALUE"""),1)</f>
        <v>1</v>
      </c>
      <c r="G285" s="10" t="str">
        <f ca="1">IFERROR(__xludf.DUMMYFUNCTION("""COMPUTED_VALUE"""),"Yanti")</f>
        <v>Yanti</v>
      </c>
      <c r="H285" s="10" t="str">
        <f ca="1">IFERROR(__xludf.DUMMYFUNCTION("""COMPUTED_VALUE"""),"PPL")</f>
        <v>PPL</v>
      </c>
      <c r="I285" s="10" t="str">
        <f ca="1">IFERROR(__xludf.DUMMYFUNCTION("""COMPUTED_VALUE"""),"6102074803980002")</f>
        <v>6102074803980002</v>
      </c>
      <c r="J285" s="10" t="str">
        <f ca="1">IFERROR(__xludf.DUMMYFUNCTION("""COMPUTED_VALUE"""),"PENDATAAN")</f>
        <v>PENDATAAN</v>
      </c>
      <c r="K285" s="10" t="str">
        <f ca="1">IFERROR(__xludf.DUMMYFUNCTION("""COMPUTED_VALUE"""),"HPJ24-LAPANGAN-APRIL-PPL-PENDATAAN")</f>
        <v>HPJ24-LAPANGAN-APRIL-PPL-PENDATAAN</v>
      </c>
      <c r="L285" s="10" t="str">
        <f ca="1">IFERROR(__xludf.DUMMYFUNCTION("""COMPUTED_VALUE"""),"Dokumen")</f>
        <v>Dokumen</v>
      </c>
      <c r="M285" s="66">
        <f ca="1">IFERROR(__xludf.DUMMYFUNCTION("""COMPUTED_VALUE"""),50000)</f>
        <v>50000</v>
      </c>
      <c r="N285" s="10">
        <f ca="1">IFERROR(__xludf.DUMMYFUNCTION("""COMPUTED_VALUE"""),1)</f>
        <v>1</v>
      </c>
      <c r="O285" s="10">
        <f ca="1">IFERROR(__xludf.DUMMYFUNCTION("""COMPUTED_VALUE"""),50000)</f>
        <v>50000</v>
      </c>
      <c r="P285" s="10"/>
      <c r="Q285" s="67">
        <f ca="1">IFERROR(__xludf.DUMMYFUNCTION("""COMPUTED_VALUE"""),45402)</f>
        <v>45402</v>
      </c>
    </row>
    <row r="286" spans="1:17" ht="12.5">
      <c r="A286" s="82">
        <f t="array" aca="1" ref="A286" ca="1">INDEX('Database Mitra'!$R$2:$R1001,MATCH(C286,'Database Mitra'!$B$2:$B1001,0))</f>
        <v>31964</v>
      </c>
      <c r="B286" s="10" t="e">
        <f t="shared" ca="1" si="0"/>
        <v>#NAME?</v>
      </c>
      <c r="C286" s="83">
        <f ca="1">IFERROR(__xludf.DUMMYFUNCTION("""COMPUTED_VALUE"""),610422040029)</f>
        <v>610422040029</v>
      </c>
      <c r="D286" s="10" t="str">
        <f ca="1">IFERROR(__xludf.DUMMYFUNCTION("""COMPUTED_VALUE"""),"VHTS24-LAPANGAN-APRIL")</f>
        <v>VHTS24-LAPANGAN-APRIL</v>
      </c>
      <c r="E286" s="10"/>
      <c r="F286" s="10">
        <f ca="1">IFERROR(__xludf.DUMMYFUNCTION("""COMPUTED_VALUE"""),1)</f>
        <v>1</v>
      </c>
      <c r="G286" s="10" t="str">
        <f ca="1">IFERROR(__xludf.DUMMYFUNCTION("""COMPUTED_VALUE"""),"Zaini")</f>
        <v>Zaini</v>
      </c>
      <c r="H286" s="10" t="str">
        <f ca="1">IFERROR(__xludf.DUMMYFUNCTION("""COMPUTED_VALUE"""),"PPL")</f>
        <v>PPL</v>
      </c>
      <c r="I286" s="10" t="str">
        <f ca="1">IFERROR(__xludf.DUMMYFUNCTION("""COMPUTED_VALUE"""),"6102010607870002")</f>
        <v>6102010607870002</v>
      </c>
      <c r="J286" s="10" t="str">
        <f ca="1">IFERROR(__xludf.DUMMYFUNCTION("""COMPUTED_VALUE"""),"PENDATAAN")</f>
        <v>PENDATAAN</v>
      </c>
      <c r="K286" s="10" t="str">
        <f ca="1">IFERROR(__xludf.DUMMYFUNCTION("""COMPUTED_VALUE"""),"VHTS24-LAPANGAN-APRIL-PPL-PENDATAAN")</f>
        <v>VHTS24-LAPANGAN-APRIL-PPL-PENDATAAN</v>
      </c>
      <c r="L286" s="10" t="str">
        <f ca="1">IFERROR(__xludf.DUMMYFUNCTION("""COMPUTED_VALUE"""),"Dokumen")</f>
        <v>Dokumen</v>
      </c>
      <c r="M286" s="66">
        <f ca="1">IFERROR(__xludf.DUMMYFUNCTION("""COMPUTED_VALUE"""),55000)</f>
        <v>55000</v>
      </c>
      <c r="N286" s="10">
        <f ca="1">IFERROR(__xludf.DUMMYFUNCTION("""COMPUTED_VALUE"""),3)</f>
        <v>3</v>
      </c>
      <c r="O286" s="10">
        <f ca="1">IFERROR(__xludf.DUMMYFUNCTION("""COMPUTED_VALUE"""),165000)</f>
        <v>165000</v>
      </c>
      <c r="P286" s="10"/>
      <c r="Q286" s="67">
        <f ca="1">IFERROR(__xludf.DUMMYFUNCTION("""COMPUTED_VALUE"""),45402)</f>
        <v>45402</v>
      </c>
    </row>
    <row r="287" spans="1:17" ht="12.5">
      <c r="A287" s="82">
        <f t="array" aca="1" ref="A287" ca="1">INDEX('Database Mitra'!$R$2:$R1001,MATCH(C287,'Database Mitra'!$B$2:$B1001,0))</f>
        <v>35862</v>
      </c>
      <c r="B287" s="10" t="e">
        <f t="shared" ca="1" si="0"/>
        <v>#NAME?</v>
      </c>
      <c r="C287" s="83">
        <f ca="1">IFERROR(__xludf.DUMMYFUNCTION("""COMPUTED_VALUE"""),610422100165)</f>
        <v>610422100165</v>
      </c>
      <c r="D287" s="10" t="str">
        <f ca="1">IFERROR(__xludf.DUMMYFUNCTION("""COMPUTED_VALUE"""),"VHTS24-LAPANGAN-APRIL")</f>
        <v>VHTS24-LAPANGAN-APRIL</v>
      </c>
      <c r="E287" s="10"/>
      <c r="F287" s="10">
        <f ca="1">IFERROR(__xludf.DUMMYFUNCTION("""COMPUTED_VALUE"""),1)</f>
        <v>1</v>
      </c>
      <c r="G287" s="10" t="str">
        <f ca="1">IFERROR(__xludf.DUMMYFUNCTION("""COMPUTED_VALUE"""),"Yanti")</f>
        <v>Yanti</v>
      </c>
      <c r="H287" s="10" t="str">
        <f ca="1">IFERROR(__xludf.DUMMYFUNCTION("""COMPUTED_VALUE"""),"PPL")</f>
        <v>PPL</v>
      </c>
      <c r="I287" s="10" t="str">
        <f ca="1">IFERROR(__xludf.DUMMYFUNCTION("""COMPUTED_VALUE"""),"6102074803980002")</f>
        <v>6102074803980002</v>
      </c>
      <c r="J287" s="10" t="str">
        <f ca="1">IFERROR(__xludf.DUMMYFUNCTION("""COMPUTED_VALUE"""),"PENDATAAN")</f>
        <v>PENDATAAN</v>
      </c>
      <c r="K287" s="10" t="str">
        <f ca="1">IFERROR(__xludf.DUMMYFUNCTION("""COMPUTED_VALUE"""),"VHTS24-LAPANGAN-APRIL-PPL-PENDATAAN")</f>
        <v>VHTS24-LAPANGAN-APRIL-PPL-PENDATAAN</v>
      </c>
      <c r="L287" s="10" t="str">
        <f ca="1">IFERROR(__xludf.DUMMYFUNCTION("""COMPUTED_VALUE"""),"Dokumen")</f>
        <v>Dokumen</v>
      </c>
      <c r="M287" s="66">
        <f ca="1">IFERROR(__xludf.DUMMYFUNCTION("""COMPUTED_VALUE"""),55000)</f>
        <v>55000</v>
      </c>
      <c r="N287" s="10">
        <f ca="1">IFERROR(__xludf.DUMMYFUNCTION("""COMPUTED_VALUE"""),3)</f>
        <v>3</v>
      </c>
      <c r="O287" s="10">
        <f ca="1">IFERROR(__xludf.DUMMYFUNCTION("""COMPUTED_VALUE"""),165000)</f>
        <v>165000</v>
      </c>
      <c r="P287" s="10"/>
      <c r="Q287" s="67">
        <f ca="1">IFERROR(__xludf.DUMMYFUNCTION("""COMPUTED_VALUE"""),45402)</f>
        <v>45402</v>
      </c>
    </row>
    <row r="288" spans="1:17" ht="12.5">
      <c r="A288" s="82">
        <f t="array" aca="1" ref="A288" ca="1">INDEX('Database Mitra'!$R$2:$R1001,MATCH(C288,'Database Mitra'!$B$2:$B1001,0))</f>
        <v>30692</v>
      </c>
      <c r="B288" s="10" t="e">
        <f t="shared" ca="1" si="0"/>
        <v>#NAME?</v>
      </c>
      <c r="C288" s="83">
        <f ca="1">IFERROR(__xludf.DUMMYFUNCTION("""COMPUTED_VALUE"""),610422050001)</f>
        <v>610422050001</v>
      </c>
      <c r="D288" s="10" t="str">
        <f ca="1">IFERROR(__xludf.DUMMYFUNCTION("""COMPUTED_VALUE"""),"VHTS24-LAPANGAN-APRIL")</f>
        <v>VHTS24-LAPANGAN-APRIL</v>
      </c>
      <c r="E288" s="10"/>
      <c r="F288" s="10">
        <f ca="1">IFERROR(__xludf.DUMMYFUNCTION("""COMPUTED_VALUE"""),1)</f>
        <v>1</v>
      </c>
      <c r="G288" s="10" t="str">
        <f ca="1">IFERROR(__xludf.DUMMYFUNCTION("""COMPUTED_VALUE"""),"Evi Juniarty")</f>
        <v>Evi Juniarty</v>
      </c>
      <c r="H288" s="10" t="str">
        <f ca="1">IFERROR(__xludf.DUMMYFUNCTION("""COMPUTED_VALUE"""),"PPL")</f>
        <v>PPL</v>
      </c>
      <c r="I288" s="10" t="str">
        <f ca="1">IFERROR(__xludf.DUMMYFUNCTION("""COMPUTED_VALUE"""),"6102165101840001")</f>
        <v>6102165101840001</v>
      </c>
      <c r="J288" s="10" t="str">
        <f ca="1">IFERROR(__xludf.DUMMYFUNCTION("""COMPUTED_VALUE"""),"PENDATAAN")</f>
        <v>PENDATAAN</v>
      </c>
      <c r="K288" s="10" t="str">
        <f ca="1">IFERROR(__xludf.DUMMYFUNCTION("""COMPUTED_VALUE"""),"VHTS24-LAPANGAN-APRIL-PPL-PENDATAAN")</f>
        <v>VHTS24-LAPANGAN-APRIL-PPL-PENDATAAN</v>
      </c>
      <c r="L288" s="10" t="str">
        <f ca="1">IFERROR(__xludf.DUMMYFUNCTION("""COMPUTED_VALUE"""),"Dokumen")</f>
        <v>Dokumen</v>
      </c>
      <c r="M288" s="66">
        <f ca="1">IFERROR(__xludf.DUMMYFUNCTION("""COMPUTED_VALUE"""),55000)</f>
        <v>55000</v>
      </c>
      <c r="N288" s="10">
        <f ca="1">IFERROR(__xludf.DUMMYFUNCTION("""COMPUTED_VALUE"""),3)</f>
        <v>3</v>
      </c>
      <c r="O288" s="10">
        <f ca="1">IFERROR(__xludf.DUMMYFUNCTION("""COMPUTED_VALUE"""),165000)</f>
        <v>165000</v>
      </c>
      <c r="P288" s="10"/>
      <c r="Q288" s="67">
        <f ca="1">IFERROR(__xludf.DUMMYFUNCTION("""COMPUTED_VALUE"""),45402)</f>
        <v>45402</v>
      </c>
    </row>
    <row r="289" spans="1:17" ht="12.5">
      <c r="A289" s="82">
        <f t="array" aca="1" ref="A289" ca="1">INDEX('Database Mitra'!$R$2:$R1001,MATCH(C289,'Database Mitra'!$B$2:$B1001,0))</f>
        <v>27798</v>
      </c>
      <c r="B289" s="10" t="e">
        <f t="shared" ca="1" si="0"/>
        <v>#NAME?</v>
      </c>
      <c r="C289" s="83">
        <f ca="1">IFERROR(__xludf.DUMMYFUNCTION("""COMPUTED_VALUE"""),610422040056)</f>
        <v>610422040056</v>
      </c>
      <c r="D289" s="10" t="str">
        <f ca="1">IFERROR(__xludf.DUMMYFUNCTION("""COMPUTED_VALUE"""),"VHTS24-LAPANGAN-APRIL")</f>
        <v>VHTS24-LAPANGAN-APRIL</v>
      </c>
      <c r="E289" s="10"/>
      <c r="F289" s="10">
        <f ca="1">IFERROR(__xludf.DUMMYFUNCTION("""COMPUTED_VALUE"""),1)</f>
        <v>1</v>
      </c>
      <c r="G289" s="10" t="str">
        <f ca="1">IFERROR(__xludf.DUMMYFUNCTION("""COMPUTED_VALUE"""),"Wandi Syafari")</f>
        <v>Wandi Syafari</v>
      </c>
      <c r="H289" s="10" t="str">
        <f ca="1">IFERROR(__xludf.DUMMYFUNCTION("""COMPUTED_VALUE"""),"PPL")</f>
        <v>PPL</v>
      </c>
      <c r="I289" s="10" t="str">
        <f ca="1">IFERROR(__xludf.DUMMYFUNCTION("""COMPUTED_VALUE"""),"6102010802760001")</f>
        <v>6102010802760001</v>
      </c>
      <c r="J289" s="10" t="str">
        <f ca="1">IFERROR(__xludf.DUMMYFUNCTION("""COMPUTED_VALUE"""),"PENDATAAN")</f>
        <v>PENDATAAN</v>
      </c>
      <c r="K289" s="10" t="str">
        <f ca="1">IFERROR(__xludf.DUMMYFUNCTION("""COMPUTED_VALUE"""),"VHTS24-LAPANGAN-APRIL-PPL-PENDATAAN")</f>
        <v>VHTS24-LAPANGAN-APRIL-PPL-PENDATAAN</v>
      </c>
      <c r="L289" s="10" t="str">
        <f ca="1">IFERROR(__xludf.DUMMYFUNCTION("""COMPUTED_VALUE"""),"Dokumen")</f>
        <v>Dokumen</v>
      </c>
      <c r="M289" s="66">
        <f ca="1">IFERROR(__xludf.DUMMYFUNCTION("""COMPUTED_VALUE"""),55000)</f>
        <v>55000</v>
      </c>
      <c r="N289" s="10">
        <f ca="1">IFERROR(__xludf.DUMMYFUNCTION("""COMPUTED_VALUE"""),2)</f>
        <v>2</v>
      </c>
      <c r="O289" s="10">
        <f ca="1">IFERROR(__xludf.DUMMYFUNCTION("""COMPUTED_VALUE"""),110000)</f>
        <v>110000</v>
      </c>
      <c r="P289" s="10"/>
      <c r="Q289" s="67">
        <f ca="1">IFERROR(__xludf.DUMMYFUNCTION("""COMPUTED_VALUE"""),45402)</f>
        <v>45402</v>
      </c>
    </row>
    <row r="290" spans="1:17" ht="12.5">
      <c r="A290" s="82">
        <f t="array" aca="1" ref="A290" ca="1">INDEX('Database Mitra'!$R$2:$R1001,MATCH(C290,'Database Mitra'!$B$2:$B1001,0))</f>
        <v>31964</v>
      </c>
      <c r="B290" s="10" t="e">
        <f t="shared" ca="1" si="0"/>
        <v>#NAME?</v>
      </c>
      <c r="C290" s="83">
        <f ca="1">IFERROR(__xludf.DUMMYFUNCTION("""COMPUTED_VALUE"""),610422040029)</f>
        <v>610422040029</v>
      </c>
      <c r="D290" s="10" t="str">
        <f ca="1">IFERROR(__xludf.DUMMYFUNCTION("""COMPUTED_VALUE"""),"SPAK24-LAPANGAN")</f>
        <v>SPAK24-LAPANGAN</v>
      </c>
      <c r="E290" s="10"/>
      <c r="F290" s="10">
        <f ca="1">IFERROR(__xludf.DUMMYFUNCTION("""COMPUTED_VALUE"""),1)</f>
        <v>1</v>
      </c>
      <c r="G290" s="10" t="str">
        <f ca="1">IFERROR(__xludf.DUMMYFUNCTION("""COMPUTED_VALUE"""),"Zaini")</f>
        <v>Zaini</v>
      </c>
      <c r="H290" s="10" t="str">
        <f ca="1">IFERROR(__xludf.DUMMYFUNCTION("""COMPUTED_VALUE"""),"PPL")</f>
        <v>PPL</v>
      </c>
      <c r="I290" s="10" t="str">
        <f ca="1">IFERROR(__xludf.DUMMYFUNCTION("""COMPUTED_VALUE"""),"6102010607870002")</f>
        <v>6102010607870002</v>
      </c>
      <c r="J290" s="10" t="str">
        <f ca="1">IFERROR(__xludf.DUMMYFUNCTION("""COMPUTED_VALUE"""),"PENDATAAN")</f>
        <v>PENDATAAN</v>
      </c>
      <c r="K290" s="10" t="str">
        <f ca="1">IFERROR(__xludf.DUMMYFUNCTION("""COMPUTED_VALUE"""),"SPAK24-LAPANGAN-PPL-PENDATAAN")</f>
        <v>SPAK24-LAPANGAN-PPL-PENDATAAN</v>
      </c>
      <c r="L290" s="10" t="str">
        <f ca="1">IFERROR(__xludf.DUMMYFUNCTION("""COMPUTED_VALUE"""),"Dokumen")</f>
        <v>Dokumen</v>
      </c>
      <c r="M290" s="66">
        <f ca="1">IFERROR(__xludf.DUMMYFUNCTION("""COMPUTED_VALUE"""),55000)</f>
        <v>55000</v>
      </c>
      <c r="N290" s="10">
        <f ca="1">IFERROR(__xludf.DUMMYFUNCTION("""COMPUTED_VALUE"""),20)</f>
        <v>20</v>
      </c>
      <c r="O290" s="10">
        <f ca="1">IFERROR(__xludf.DUMMYFUNCTION("""COMPUTED_VALUE"""),1100000)</f>
        <v>1100000</v>
      </c>
      <c r="P290" s="70"/>
      <c r="Q290" s="67">
        <f ca="1">IFERROR(__xludf.DUMMYFUNCTION("""COMPUTED_VALUE"""),45404)</f>
        <v>45404</v>
      </c>
    </row>
    <row r="291" spans="1:17" ht="12.5">
      <c r="A291" s="11">
        <f t="array" aca="1" ref="A291" ca="1">INDEX('Database Mitra'!$R$2:$R1001,MATCH(C291,'Database Mitra'!$B$2:$B1001,0))</f>
        <v>34895</v>
      </c>
      <c r="B291" s="10" t="e">
        <f t="shared" ca="1" si="0"/>
        <v>#NAME?</v>
      </c>
      <c r="C291" s="83">
        <f ca="1">IFERROR(__xludf.DUMMYFUNCTION("""COMPUTED_VALUE"""),610422020016)</f>
        <v>610422020016</v>
      </c>
      <c r="D291" s="10" t="str">
        <f ca="1">IFERROR(__xludf.DUMMYFUNCTION("""COMPUTED_VALUE"""),"KSA24-LAPANGAN-APRIL")</f>
        <v>KSA24-LAPANGAN-APRIL</v>
      </c>
      <c r="E291" s="10"/>
      <c r="F291" s="10">
        <f ca="1">IFERROR(__xludf.DUMMYFUNCTION("""COMPUTED_VALUE"""),1)</f>
        <v>1</v>
      </c>
      <c r="G291" s="10" t="str">
        <f ca="1">IFERROR(__xludf.DUMMYFUNCTION("""COMPUTED_VALUE"""),"Abdul Aziz")</f>
        <v>Abdul Aziz</v>
      </c>
      <c r="H291" s="10" t="str">
        <f ca="1">IFERROR(__xludf.DUMMYFUNCTION("""COMPUTED_VALUE"""),"PPL")</f>
        <v>PPL</v>
      </c>
      <c r="I291" s="10" t="str">
        <f ca="1">IFERROR(__xludf.DUMMYFUNCTION("""COMPUTED_VALUE"""),"6102061507950006")</f>
        <v>6102061507950006</v>
      </c>
      <c r="J291" s="10" t="str">
        <f ca="1">IFERROR(__xludf.DUMMYFUNCTION("""COMPUTED_VALUE"""),"KSA PADI")</f>
        <v>KSA PADI</v>
      </c>
      <c r="K291" s="10" t="str">
        <f ca="1">IFERROR(__xludf.DUMMYFUNCTION("""COMPUTED_VALUE"""),"KSA24-LAPANGAN-APRIL-PPL-KSA PADI")</f>
        <v>KSA24-LAPANGAN-APRIL-PPL-KSA PADI</v>
      </c>
      <c r="L291" s="10" t="str">
        <f ca="1">IFERROR(__xludf.DUMMYFUNCTION("""COMPUTED_VALUE"""),"Segmen")</f>
        <v>Segmen</v>
      </c>
      <c r="M291" s="66">
        <f ca="1">IFERROR(__xludf.DUMMYFUNCTION("""COMPUTED_VALUE"""),116000)</f>
        <v>116000</v>
      </c>
      <c r="N291" s="10">
        <f ca="1">IFERROR(__xludf.DUMMYFUNCTION("""COMPUTED_VALUE"""),3)</f>
        <v>3</v>
      </c>
      <c r="O291" s="10">
        <f ca="1">IFERROR(__xludf.DUMMYFUNCTION("""COMPUTED_VALUE"""),348000)</f>
        <v>348000</v>
      </c>
      <c r="P291" s="10"/>
      <c r="Q291" s="67">
        <f ca="1">IFERROR(__xludf.DUMMYFUNCTION("""COMPUTED_VALUE"""),45412)</f>
        <v>45412</v>
      </c>
    </row>
    <row r="292" spans="1:17" ht="12.5">
      <c r="A292" s="82">
        <f t="array" aca="1" ref="A292" ca="1">INDEX('Database Mitra'!$R$2:$R1001,MATCH(C292,'Database Mitra'!$B$2:$B1001,0))</f>
        <v>36043</v>
      </c>
      <c r="B292" s="10" t="e">
        <f t="shared" ca="1" si="0"/>
        <v>#NAME?</v>
      </c>
      <c r="C292" s="83">
        <f ca="1">IFERROR(__xludf.DUMMYFUNCTION("""COMPUTED_VALUE"""),610422040012)</f>
        <v>610422040012</v>
      </c>
      <c r="D292" s="10" t="str">
        <f ca="1">IFERROR(__xludf.DUMMYFUNCTION("""COMPUTED_VALUE"""),"KSA24-LAPANGAN-APRIL")</f>
        <v>KSA24-LAPANGAN-APRIL</v>
      </c>
      <c r="E292" s="10"/>
      <c r="F292" s="10">
        <f ca="1">IFERROR(__xludf.DUMMYFUNCTION("""COMPUTED_VALUE"""),1)</f>
        <v>1</v>
      </c>
      <c r="G292" s="10" t="str">
        <f ca="1">IFERROR(__xludf.DUMMYFUNCTION("""COMPUTED_VALUE"""),"Misdi")</f>
        <v>Misdi</v>
      </c>
      <c r="H292" s="10" t="str">
        <f ca="1">IFERROR(__xludf.DUMMYFUNCTION("""COMPUTED_VALUE"""),"PPL")</f>
        <v>PPL</v>
      </c>
      <c r="I292" s="10" t="str">
        <f ca="1">IFERROR(__xludf.DUMMYFUNCTION("""COMPUTED_VALUE"""),"6102070706940001")</f>
        <v>6102070706940001</v>
      </c>
      <c r="J292" s="10" t="str">
        <f ca="1">IFERROR(__xludf.DUMMYFUNCTION("""COMPUTED_VALUE"""),"KSA PADI")</f>
        <v>KSA PADI</v>
      </c>
      <c r="K292" s="10" t="str">
        <f ca="1">IFERROR(__xludf.DUMMYFUNCTION("""COMPUTED_VALUE"""),"KSA24-LAPANGAN-APRIL-PPL-KSA PADI")</f>
        <v>KSA24-LAPANGAN-APRIL-PPL-KSA PADI</v>
      </c>
      <c r="L292" s="10" t="str">
        <f ca="1">IFERROR(__xludf.DUMMYFUNCTION("""COMPUTED_VALUE"""),"Segmen")</f>
        <v>Segmen</v>
      </c>
      <c r="M292" s="66">
        <f ca="1">IFERROR(__xludf.DUMMYFUNCTION("""COMPUTED_VALUE"""),116000)</f>
        <v>116000</v>
      </c>
      <c r="N292" s="10">
        <f ca="1">IFERROR(__xludf.DUMMYFUNCTION("""COMPUTED_VALUE"""),3)</f>
        <v>3</v>
      </c>
      <c r="O292" s="10">
        <f ca="1">IFERROR(__xludf.DUMMYFUNCTION("""COMPUTED_VALUE"""),348000)</f>
        <v>348000</v>
      </c>
      <c r="P292" s="10"/>
      <c r="Q292" s="67">
        <f ca="1">IFERROR(__xludf.DUMMYFUNCTION("""COMPUTED_VALUE"""),45412)</f>
        <v>45412</v>
      </c>
    </row>
    <row r="293" spans="1:17" ht="12.5">
      <c r="A293" s="82">
        <f t="array" aca="1" ref="A293" ca="1">INDEX('Database Mitra'!$R$2:$R1001,MATCH(C293,'Database Mitra'!$B$2:$B1001,0))</f>
        <v>28816</v>
      </c>
      <c r="B293" s="10" t="e">
        <f t="shared" ca="1" si="0"/>
        <v>#NAME?</v>
      </c>
      <c r="C293" s="83">
        <f ca="1">IFERROR(__xludf.DUMMYFUNCTION("""COMPUTED_VALUE"""),610422040059)</f>
        <v>610422040059</v>
      </c>
      <c r="D293" s="10" t="str">
        <f ca="1">IFERROR(__xludf.DUMMYFUNCTION("""COMPUTED_VALUE"""),"KSA24-LAPANGAN-APRIL")</f>
        <v>KSA24-LAPANGAN-APRIL</v>
      </c>
      <c r="E293" s="10"/>
      <c r="F293" s="10">
        <f ca="1">IFERROR(__xludf.DUMMYFUNCTION("""COMPUTED_VALUE"""),1)</f>
        <v>1</v>
      </c>
      <c r="G293" s="10" t="str">
        <f ca="1">IFERROR(__xludf.DUMMYFUNCTION("""COMPUTED_VALUE"""),"Abang Handri")</f>
        <v>Abang Handri</v>
      </c>
      <c r="H293" s="10" t="str">
        <f ca="1">IFERROR(__xludf.DUMMYFUNCTION("""COMPUTED_VALUE"""),"PPL")</f>
        <v>PPL</v>
      </c>
      <c r="I293" s="10" t="str">
        <f ca="1">IFERROR(__xludf.DUMMYFUNCTION("""COMPUTED_VALUE"""),"6102072211780002")</f>
        <v>6102072211780002</v>
      </c>
      <c r="J293" s="10" t="str">
        <f ca="1">IFERROR(__xludf.DUMMYFUNCTION("""COMPUTED_VALUE"""),"KSA PADI")</f>
        <v>KSA PADI</v>
      </c>
      <c r="K293" s="10" t="str">
        <f ca="1">IFERROR(__xludf.DUMMYFUNCTION("""COMPUTED_VALUE"""),"KSA24-LAPANGAN-APRIL-PPL-KSA PADI")</f>
        <v>KSA24-LAPANGAN-APRIL-PPL-KSA PADI</v>
      </c>
      <c r="L293" s="10" t="str">
        <f ca="1">IFERROR(__xludf.DUMMYFUNCTION("""COMPUTED_VALUE"""),"Segmen")</f>
        <v>Segmen</v>
      </c>
      <c r="M293" s="66">
        <f ca="1">IFERROR(__xludf.DUMMYFUNCTION("""COMPUTED_VALUE"""),116000)</f>
        <v>116000</v>
      </c>
      <c r="N293" s="10">
        <f ca="1">IFERROR(__xludf.DUMMYFUNCTION("""COMPUTED_VALUE"""),4)</f>
        <v>4</v>
      </c>
      <c r="O293" s="10">
        <f ca="1">IFERROR(__xludf.DUMMYFUNCTION("""COMPUTED_VALUE"""),464000)</f>
        <v>464000</v>
      </c>
      <c r="P293" s="10"/>
      <c r="Q293" s="67">
        <f ca="1">IFERROR(__xludf.DUMMYFUNCTION("""COMPUTED_VALUE"""),45412)</f>
        <v>45412</v>
      </c>
    </row>
    <row r="294" spans="1:17" ht="12.5">
      <c r="A294" s="11">
        <f t="array" aca="1" ref="A294" ca="1">INDEX('Database Mitra'!$R$2:$R1001,MATCH(C294,'Database Mitra'!$B$2:$B1001,0))</f>
        <v>31777</v>
      </c>
      <c r="B294" s="10" t="e">
        <f t="shared" ca="1" si="0"/>
        <v>#NAME?</v>
      </c>
      <c r="C294" s="83">
        <f ca="1">IFERROR(__xludf.DUMMYFUNCTION("""COMPUTED_VALUE"""),610422040061)</f>
        <v>610422040061</v>
      </c>
      <c r="D294" s="10" t="str">
        <f ca="1">IFERROR(__xludf.DUMMYFUNCTION("""COMPUTED_VALUE"""),"KSA24-LAPANGAN-APRIL")</f>
        <v>KSA24-LAPANGAN-APRIL</v>
      </c>
      <c r="E294" s="10"/>
      <c r="F294" s="10">
        <f ca="1">IFERROR(__xludf.DUMMYFUNCTION("""COMPUTED_VALUE"""),1)</f>
        <v>1</v>
      </c>
      <c r="G294" s="10" t="str">
        <f ca="1">IFERROR(__xludf.DUMMYFUNCTION("""COMPUTED_VALUE"""),"Sabani")</f>
        <v>Sabani</v>
      </c>
      <c r="H294" s="10" t="str">
        <f ca="1">IFERROR(__xludf.DUMMYFUNCTION("""COMPUTED_VALUE"""),"PPL")</f>
        <v>PPL</v>
      </c>
      <c r="I294" s="10" t="str">
        <f ca="1">IFERROR(__xludf.DUMMYFUNCTION("""COMPUTED_VALUE"""),"6102153112860003")</f>
        <v>6102153112860003</v>
      </c>
      <c r="J294" s="10" t="str">
        <f ca="1">IFERROR(__xludf.DUMMYFUNCTION("""COMPUTED_VALUE"""),"KSA PADI")</f>
        <v>KSA PADI</v>
      </c>
      <c r="K294" s="10" t="str">
        <f ca="1">IFERROR(__xludf.DUMMYFUNCTION("""COMPUTED_VALUE"""),"KSA24-LAPANGAN-APRIL-PPL-KSA PADI")</f>
        <v>KSA24-LAPANGAN-APRIL-PPL-KSA PADI</v>
      </c>
      <c r="L294" s="10" t="str">
        <f ca="1">IFERROR(__xludf.DUMMYFUNCTION("""COMPUTED_VALUE"""),"Segmen")</f>
        <v>Segmen</v>
      </c>
      <c r="M294" s="66">
        <f ca="1">IFERROR(__xludf.DUMMYFUNCTION("""COMPUTED_VALUE"""),116000)</f>
        <v>116000</v>
      </c>
      <c r="N294" s="10">
        <f ca="1">IFERROR(__xludf.DUMMYFUNCTION("""COMPUTED_VALUE"""),3)</f>
        <v>3</v>
      </c>
      <c r="O294" s="10">
        <f ca="1">IFERROR(__xludf.DUMMYFUNCTION("""COMPUTED_VALUE"""),348000)</f>
        <v>348000</v>
      </c>
      <c r="P294" s="10"/>
      <c r="Q294" s="67">
        <f ca="1">IFERROR(__xludf.DUMMYFUNCTION("""COMPUTED_VALUE"""),45412)</f>
        <v>45412</v>
      </c>
    </row>
    <row r="295" spans="1:17" ht="12.5">
      <c r="A295" s="82">
        <f t="array" aca="1" ref="A295" ca="1">INDEX('Database Mitra'!$R$2:$R1001,MATCH(C295,'Database Mitra'!$B$2:$B1001,0))</f>
        <v>31602</v>
      </c>
      <c r="B295" s="10" t="e">
        <f t="shared" ca="1" si="0"/>
        <v>#NAME?</v>
      </c>
      <c r="C295" s="83">
        <f ca="1">IFERROR(__xludf.DUMMYFUNCTION("""COMPUTED_VALUE"""),610422100131)</f>
        <v>610422100131</v>
      </c>
      <c r="D295" s="10" t="str">
        <f ca="1">IFERROR(__xludf.DUMMYFUNCTION("""COMPUTED_VALUE"""),"KSA24-LAPANGAN-APRIL")</f>
        <v>KSA24-LAPANGAN-APRIL</v>
      </c>
      <c r="E295" s="10"/>
      <c r="F295" s="10">
        <f ca="1">IFERROR(__xludf.DUMMYFUNCTION("""COMPUTED_VALUE"""),1)</f>
        <v>1</v>
      </c>
      <c r="G295" s="10" t="str">
        <f ca="1">IFERROR(__xludf.DUMMYFUNCTION("""COMPUTED_VALUE"""),"Syamsul")</f>
        <v>Syamsul</v>
      </c>
      <c r="H295" s="10" t="str">
        <f ca="1">IFERROR(__xludf.DUMMYFUNCTION("""COMPUTED_VALUE"""),"PPL")</f>
        <v>PPL</v>
      </c>
      <c r="I295" s="10" t="str">
        <f ca="1">IFERROR(__xludf.DUMMYFUNCTION("""COMPUTED_VALUE"""),"6102150907860003")</f>
        <v>6102150907860003</v>
      </c>
      <c r="J295" s="10" t="str">
        <f ca="1">IFERROR(__xludf.DUMMYFUNCTION("""COMPUTED_VALUE"""),"KSA PADI")</f>
        <v>KSA PADI</v>
      </c>
      <c r="K295" s="10" t="str">
        <f ca="1">IFERROR(__xludf.DUMMYFUNCTION("""COMPUTED_VALUE"""),"KSA24-LAPANGAN-APRIL-PPL-KSA PADI")</f>
        <v>KSA24-LAPANGAN-APRIL-PPL-KSA PADI</v>
      </c>
      <c r="L295" s="10" t="str">
        <f ca="1">IFERROR(__xludf.DUMMYFUNCTION("""COMPUTED_VALUE"""),"Segmen")</f>
        <v>Segmen</v>
      </c>
      <c r="M295" s="66">
        <f ca="1">IFERROR(__xludf.DUMMYFUNCTION("""COMPUTED_VALUE"""),116000)</f>
        <v>116000</v>
      </c>
      <c r="N295" s="10">
        <f ca="1">IFERROR(__xludf.DUMMYFUNCTION("""COMPUTED_VALUE"""),3)</f>
        <v>3</v>
      </c>
      <c r="O295" s="10">
        <f ca="1">IFERROR(__xludf.DUMMYFUNCTION("""COMPUTED_VALUE"""),348000)</f>
        <v>348000</v>
      </c>
      <c r="P295" s="10"/>
      <c r="Q295" s="67">
        <f ca="1">IFERROR(__xludf.DUMMYFUNCTION("""COMPUTED_VALUE"""),45412)</f>
        <v>45412</v>
      </c>
    </row>
    <row r="296" spans="1:17" ht="12.5">
      <c r="A296" s="82">
        <f t="array" aca="1" ref="A296" ca="1">INDEX('Database Mitra'!$R$2:$R1001,MATCH(C296,'Database Mitra'!$B$2:$B1001,0))</f>
        <v>32942</v>
      </c>
      <c r="B296" s="10" t="e">
        <f t="shared" ca="1" si="0"/>
        <v>#NAME?</v>
      </c>
      <c r="C296" s="83">
        <f ca="1">IFERROR(__xludf.DUMMYFUNCTION("""COMPUTED_VALUE"""),610422100244)</f>
        <v>610422100244</v>
      </c>
      <c r="D296" s="10" t="str">
        <f ca="1">IFERROR(__xludf.DUMMYFUNCTION("""COMPUTED_VALUE"""),"KSA24-LAPANGAN-APRIL")</f>
        <v>KSA24-LAPANGAN-APRIL</v>
      </c>
      <c r="E296" s="10"/>
      <c r="F296" s="10">
        <f ca="1">IFERROR(__xludf.DUMMYFUNCTION("""COMPUTED_VALUE"""),1)</f>
        <v>1</v>
      </c>
      <c r="G296" s="10" t="str">
        <f ca="1">IFERROR(__xludf.DUMMYFUNCTION("""COMPUTED_VALUE"""),"Sugianto")</f>
        <v>Sugianto</v>
      </c>
      <c r="H296" s="10" t="str">
        <f ca="1">IFERROR(__xludf.DUMMYFUNCTION("""COMPUTED_VALUE"""),"PPL")</f>
        <v>PPL</v>
      </c>
      <c r="I296" s="10" t="str">
        <f ca="1">IFERROR(__xludf.DUMMYFUNCTION("""COMPUTED_VALUE"""),"6102171003900002")</f>
        <v>6102171003900002</v>
      </c>
      <c r="J296" s="10" t="str">
        <f ca="1">IFERROR(__xludf.DUMMYFUNCTION("""COMPUTED_VALUE"""),"KSA PADI")</f>
        <v>KSA PADI</v>
      </c>
      <c r="K296" s="10" t="str">
        <f ca="1">IFERROR(__xludf.DUMMYFUNCTION("""COMPUTED_VALUE"""),"KSA24-LAPANGAN-APRIL-PPL-KSA PADI")</f>
        <v>KSA24-LAPANGAN-APRIL-PPL-KSA PADI</v>
      </c>
      <c r="L296" s="10" t="str">
        <f ca="1">IFERROR(__xludf.DUMMYFUNCTION("""COMPUTED_VALUE"""),"Segmen")</f>
        <v>Segmen</v>
      </c>
      <c r="M296" s="66">
        <f ca="1">IFERROR(__xludf.DUMMYFUNCTION("""COMPUTED_VALUE"""),116000)</f>
        <v>116000</v>
      </c>
      <c r="N296" s="10">
        <f ca="1">IFERROR(__xludf.DUMMYFUNCTION("""COMPUTED_VALUE"""),3)</f>
        <v>3</v>
      </c>
      <c r="O296" s="10">
        <f ca="1">IFERROR(__xludf.DUMMYFUNCTION("""COMPUTED_VALUE"""),348000)</f>
        <v>348000</v>
      </c>
      <c r="P296" s="10"/>
      <c r="Q296" s="67">
        <f ca="1">IFERROR(__xludf.DUMMYFUNCTION("""COMPUTED_VALUE"""),45412)</f>
        <v>45412</v>
      </c>
    </row>
    <row r="297" spans="1:17" ht="12.5">
      <c r="A297" s="11">
        <f t="array" aca="1" ref="A297" ca="1">INDEX('Database Mitra'!$R$2:$R1001,MATCH(C297,'Database Mitra'!$B$2:$B1001,0))</f>
        <v>32481</v>
      </c>
      <c r="B297" s="10" t="e">
        <f t="shared" ca="1" si="0"/>
        <v>#NAME?</v>
      </c>
      <c r="C297" s="83">
        <f ca="1">IFERROR(__xludf.DUMMYFUNCTION("""COMPUTED_VALUE"""),610422100176)</f>
        <v>610422100176</v>
      </c>
      <c r="D297" s="10" t="str">
        <f ca="1">IFERROR(__xludf.DUMMYFUNCTION("""COMPUTED_VALUE"""),"KSA24-LAPANGAN-APRIL")</f>
        <v>KSA24-LAPANGAN-APRIL</v>
      </c>
      <c r="E297" s="10"/>
      <c r="F297" s="10">
        <f ca="1">IFERROR(__xludf.DUMMYFUNCTION("""COMPUTED_VALUE"""),1)</f>
        <v>1</v>
      </c>
      <c r="G297" s="10" t="str">
        <f ca="1">IFERROR(__xludf.DUMMYFUNCTION("""COMPUTED_VALUE"""),"Feri Firdaus")</f>
        <v>Feri Firdaus</v>
      </c>
      <c r="H297" s="10" t="str">
        <f ca="1">IFERROR(__xludf.DUMMYFUNCTION("""COMPUTED_VALUE"""),"PPL")</f>
        <v>PPL</v>
      </c>
      <c r="I297" s="10" t="str">
        <f ca="1">IFERROR(__xludf.DUMMYFUNCTION("""COMPUTED_VALUE"""),"6102150412880001")</f>
        <v>6102150412880001</v>
      </c>
      <c r="J297" s="10" t="str">
        <f ca="1">IFERROR(__xludf.DUMMYFUNCTION("""COMPUTED_VALUE"""),"KSA PADI")</f>
        <v>KSA PADI</v>
      </c>
      <c r="K297" s="10" t="str">
        <f ca="1">IFERROR(__xludf.DUMMYFUNCTION("""COMPUTED_VALUE"""),"KSA24-LAPANGAN-APRIL-PPL-KSA PADI")</f>
        <v>KSA24-LAPANGAN-APRIL-PPL-KSA PADI</v>
      </c>
      <c r="L297" s="10" t="str">
        <f ca="1">IFERROR(__xludf.DUMMYFUNCTION("""COMPUTED_VALUE"""),"Segmen")</f>
        <v>Segmen</v>
      </c>
      <c r="M297" s="66">
        <f ca="1">IFERROR(__xludf.DUMMYFUNCTION("""COMPUTED_VALUE"""),116000)</f>
        <v>116000</v>
      </c>
      <c r="N297" s="10">
        <f ca="1">IFERROR(__xludf.DUMMYFUNCTION("""COMPUTED_VALUE"""),3)</f>
        <v>3</v>
      </c>
      <c r="O297" s="10">
        <f ca="1">IFERROR(__xludf.DUMMYFUNCTION("""COMPUTED_VALUE"""),348000)</f>
        <v>348000</v>
      </c>
      <c r="P297" s="10"/>
      <c r="Q297" s="67">
        <f ca="1">IFERROR(__xludf.DUMMYFUNCTION("""COMPUTED_VALUE"""),45412)</f>
        <v>45412</v>
      </c>
    </row>
    <row r="298" spans="1:17" ht="12.5">
      <c r="A298" s="82">
        <f t="array" aca="1" ref="A298" ca="1">INDEX('Database Mitra'!$R$2:$R1001,MATCH(C298,'Database Mitra'!$B$2:$B1001,0))</f>
        <v>29171</v>
      </c>
      <c r="B298" s="10" t="e">
        <f t="shared" ca="1" si="0"/>
        <v>#NAME?</v>
      </c>
      <c r="C298" s="83">
        <f ca="1">IFERROR(__xludf.DUMMYFUNCTION("""COMPUTED_VALUE"""),610423110183)</f>
        <v>610423110183</v>
      </c>
      <c r="D298" s="10" t="str">
        <f ca="1">IFERROR(__xludf.DUMMYFUNCTION("""COMPUTED_VALUE"""),"KSA24-LAPANGAN-APRIL")</f>
        <v>KSA24-LAPANGAN-APRIL</v>
      </c>
      <c r="E298" s="10"/>
      <c r="F298" s="10">
        <f ca="1">IFERROR(__xludf.DUMMYFUNCTION("""COMPUTED_VALUE"""),1)</f>
        <v>1</v>
      </c>
      <c r="G298" s="10" t="str">
        <f ca="1">IFERROR(__xludf.DUMMYFUNCTION("""COMPUTED_VALUE"""),"Azhar")</f>
        <v>Azhar</v>
      </c>
      <c r="H298" s="10" t="str">
        <f ca="1">IFERROR(__xludf.DUMMYFUNCTION("""COMPUTED_VALUE"""),"PPL")</f>
        <v>PPL</v>
      </c>
      <c r="I298" s="10" t="str">
        <f ca="1">IFERROR(__xludf.DUMMYFUNCTION("""COMPUTED_VALUE"""),"6102081211790004")</f>
        <v>6102081211790004</v>
      </c>
      <c r="J298" s="10" t="str">
        <f ca="1">IFERROR(__xludf.DUMMYFUNCTION("""COMPUTED_VALUE"""),"KSA PADI")</f>
        <v>KSA PADI</v>
      </c>
      <c r="K298" s="10" t="str">
        <f ca="1">IFERROR(__xludf.DUMMYFUNCTION("""COMPUTED_VALUE"""),"KSA24-LAPANGAN-APRIL-PPL-KSA PADI")</f>
        <v>KSA24-LAPANGAN-APRIL-PPL-KSA PADI</v>
      </c>
      <c r="L298" s="10" t="str">
        <f ca="1">IFERROR(__xludf.DUMMYFUNCTION("""COMPUTED_VALUE"""),"Segmen")</f>
        <v>Segmen</v>
      </c>
      <c r="M298" s="66">
        <f ca="1">IFERROR(__xludf.DUMMYFUNCTION("""COMPUTED_VALUE"""),116000)</f>
        <v>116000</v>
      </c>
      <c r="N298" s="10">
        <f ca="1">IFERROR(__xludf.DUMMYFUNCTION("""COMPUTED_VALUE"""),6)</f>
        <v>6</v>
      </c>
      <c r="O298" s="10">
        <f ca="1">IFERROR(__xludf.DUMMYFUNCTION("""COMPUTED_VALUE"""),696000)</f>
        <v>696000</v>
      </c>
      <c r="P298" s="10"/>
      <c r="Q298" s="67">
        <f ca="1">IFERROR(__xludf.DUMMYFUNCTION("""COMPUTED_VALUE"""),45412)</f>
        <v>45412</v>
      </c>
    </row>
    <row r="299" spans="1:17" ht="12.5">
      <c r="A299" s="82">
        <f t="array" aca="1" ref="A299" ca="1">INDEX('Database Mitra'!$R$2:$R1001,MATCH(C299,'Database Mitra'!$B$2:$B1001,0))</f>
        <v>32409</v>
      </c>
      <c r="B299" s="10" t="e">
        <f t="shared" ca="1" si="0"/>
        <v>#NAME?</v>
      </c>
      <c r="C299" s="83">
        <f ca="1">IFERROR(__xludf.DUMMYFUNCTION("""COMPUTED_VALUE"""),610423040018)</f>
        <v>610423040018</v>
      </c>
      <c r="D299" s="10" t="str">
        <f ca="1">IFERROR(__xludf.DUMMYFUNCTION("""COMPUTED_VALUE"""),"KSA24-LAPANGAN-APRIL")</f>
        <v>KSA24-LAPANGAN-APRIL</v>
      </c>
      <c r="E299" s="10"/>
      <c r="F299" s="10">
        <f ca="1">IFERROR(__xludf.DUMMYFUNCTION("""COMPUTED_VALUE"""),1)</f>
        <v>1</v>
      </c>
      <c r="G299" s="10" t="str">
        <f ca="1">IFERROR(__xludf.DUMMYFUNCTION("""COMPUTED_VALUE"""),"Handoko Tuah Sabarman Sipayung")</f>
        <v>Handoko Tuah Sabarman Sipayung</v>
      </c>
      <c r="H299" s="10" t="str">
        <f ca="1">IFERROR(__xludf.DUMMYFUNCTION("""COMPUTED_VALUE"""),"PPL")</f>
        <v>PPL</v>
      </c>
      <c r="I299" s="10" t="str">
        <f ca="1">IFERROR(__xludf.DUMMYFUNCTION("""COMPUTED_VALUE"""),"1212092309880001")</f>
        <v>1212092309880001</v>
      </c>
      <c r="J299" s="10" t="str">
        <f ca="1">IFERROR(__xludf.DUMMYFUNCTION("""COMPUTED_VALUE"""),"KSA PADI")</f>
        <v>KSA PADI</v>
      </c>
      <c r="K299" s="10" t="str">
        <f ca="1">IFERROR(__xludf.DUMMYFUNCTION("""COMPUTED_VALUE"""),"KSA24-LAPANGAN-APRIL-PPL-KSA PADI")</f>
        <v>KSA24-LAPANGAN-APRIL-PPL-KSA PADI</v>
      </c>
      <c r="L299" s="10" t="str">
        <f ca="1">IFERROR(__xludf.DUMMYFUNCTION("""COMPUTED_VALUE"""),"Segmen")</f>
        <v>Segmen</v>
      </c>
      <c r="M299" s="66">
        <f ca="1">IFERROR(__xludf.DUMMYFUNCTION("""COMPUTED_VALUE"""),116000)</f>
        <v>116000</v>
      </c>
      <c r="N299" s="10">
        <f ca="1">IFERROR(__xludf.DUMMYFUNCTION("""COMPUTED_VALUE"""),4)</f>
        <v>4</v>
      </c>
      <c r="O299" s="10">
        <f ca="1">IFERROR(__xludf.DUMMYFUNCTION("""COMPUTED_VALUE"""),464000)</f>
        <v>464000</v>
      </c>
      <c r="P299" s="10"/>
      <c r="Q299" s="67">
        <f ca="1">IFERROR(__xludf.DUMMYFUNCTION("""COMPUTED_VALUE"""),45412)</f>
        <v>45412</v>
      </c>
    </row>
    <row r="300" spans="1:17" ht="12.5">
      <c r="A300" s="82">
        <f t="array" aca="1" ref="A300" ca="1">INDEX('Database Mitra'!$R$2:$R1001,MATCH(C300,'Database Mitra'!$B$2:$B1001,0))</f>
        <v>28816</v>
      </c>
      <c r="B300" s="10" t="e">
        <f t="shared" ca="1" si="0"/>
        <v>#NAME?</v>
      </c>
      <c r="C300" s="83">
        <f ca="1">IFERROR(__xludf.DUMMYFUNCTION("""COMPUTED_VALUE"""),610422040059)</f>
        <v>610422040059</v>
      </c>
      <c r="D300" s="10" t="str">
        <f ca="1">IFERROR(__xludf.DUMMYFUNCTION("""COMPUTED_VALUE"""),"KSA24-LAPANGAN-APRIL")</f>
        <v>KSA24-LAPANGAN-APRIL</v>
      </c>
      <c r="E300" s="10"/>
      <c r="F300" s="10">
        <f ca="1">IFERROR(__xludf.DUMMYFUNCTION("""COMPUTED_VALUE"""),1)</f>
        <v>1</v>
      </c>
      <c r="G300" s="10" t="str">
        <f ca="1">IFERROR(__xludf.DUMMYFUNCTION("""COMPUTED_VALUE"""),"Abang Handri")</f>
        <v>Abang Handri</v>
      </c>
      <c r="H300" s="10" t="str">
        <f ca="1">IFERROR(__xludf.DUMMYFUNCTION("""COMPUTED_VALUE"""),"PPL")</f>
        <v>PPL</v>
      </c>
      <c r="I300" s="10" t="str">
        <f ca="1">IFERROR(__xludf.DUMMYFUNCTION("""COMPUTED_VALUE"""),"6102072211780002")</f>
        <v>6102072211780002</v>
      </c>
      <c r="J300" s="10" t="str">
        <f ca="1">IFERROR(__xludf.DUMMYFUNCTION("""COMPUTED_VALUE"""),"KSA JAGUNG")</f>
        <v>KSA JAGUNG</v>
      </c>
      <c r="K300" s="10" t="str">
        <f ca="1">IFERROR(__xludf.DUMMYFUNCTION("""COMPUTED_VALUE"""),"KSA24-LAPANGAN-APRIL-PPL-KSA JAGUNG")</f>
        <v>KSA24-LAPANGAN-APRIL-PPL-KSA JAGUNG</v>
      </c>
      <c r="L300" s="10" t="str">
        <f ca="1">IFERROR(__xludf.DUMMYFUNCTION("""COMPUTED_VALUE"""),"Segmen")</f>
        <v>Segmen</v>
      </c>
      <c r="M300" s="66">
        <f ca="1">IFERROR(__xludf.DUMMYFUNCTION("""COMPUTED_VALUE"""),59000)</f>
        <v>59000</v>
      </c>
      <c r="N300" s="10">
        <f ca="1">IFERROR(__xludf.DUMMYFUNCTION("""COMPUTED_VALUE"""),6)</f>
        <v>6</v>
      </c>
      <c r="O300" s="10">
        <f ca="1">IFERROR(__xludf.DUMMYFUNCTION("""COMPUTED_VALUE"""),354000)</f>
        <v>354000</v>
      </c>
      <c r="P300" s="10"/>
      <c r="Q300" s="67">
        <f ca="1">IFERROR(__xludf.DUMMYFUNCTION("""COMPUTED_VALUE"""),45412)</f>
        <v>45412</v>
      </c>
    </row>
    <row r="301" spans="1:17" ht="12.5">
      <c r="A301" s="11">
        <f t="array" aca="1" ref="A301" ca="1">INDEX('Database Mitra'!$R$2:$R1001,MATCH(C301,'Database Mitra'!$B$2:$B1001,0))</f>
        <v>29305</v>
      </c>
      <c r="B301" s="10" t="e">
        <f t="shared" ca="1" si="0"/>
        <v>#NAME?</v>
      </c>
      <c r="C301" s="83">
        <f ca="1">IFERROR(__xludf.DUMMYFUNCTION("""COMPUTED_VALUE"""),610422020048)</f>
        <v>610422020048</v>
      </c>
      <c r="D301" s="10" t="str">
        <f ca="1">IFERROR(__xludf.DUMMYFUNCTION("""COMPUTED_VALUE"""),"KSA24-LAPANGAN-APRIL")</f>
        <v>KSA24-LAPANGAN-APRIL</v>
      </c>
      <c r="E301" s="10"/>
      <c r="F301" s="10">
        <f ca="1">IFERROR(__xludf.DUMMYFUNCTION("""COMPUTED_VALUE"""),1)</f>
        <v>1</v>
      </c>
      <c r="G301" s="10" t="str">
        <f ca="1">IFERROR(__xludf.DUMMYFUNCTION("""COMPUTED_VALUE"""),"Herri Gustaman")</f>
        <v>Herri Gustaman</v>
      </c>
      <c r="H301" s="10" t="str">
        <f ca="1">IFERROR(__xludf.DUMMYFUNCTION("""COMPUTED_VALUE"""),"PPL")</f>
        <v>PPL</v>
      </c>
      <c r="I301" s="10" t="str">
        <f ca="1">IFERROR(__xludf.DUMMYFUNCTION("""COMPUTED_VALUE"""),"6102072503800001")</f>
        <v>6102072503800001</v>
      </c>
      <c r="J301" s="10" t="str">
        <f ca="1">IFERROR(__xludf.DUMMYFUNCTION("""COMPUTED_VALUE"""),"KSA JAGUNG")</f>
        <v>KSA JAGUNG</v>
      </c>
      <c r="K301" s="10" t="str">
        <f ca="1">IFERROR(__xludf.DUMMYFUNCTION("""COMPUTED_VALUE"""),"KSA24-LAPANGAN-APRIL-PPL-KSA JAGUNG")</f>
        <v>KSA24-LAPANGAN-APRIL-PPL-KSA JAGUNG</v>
      </c>
      <c r="L301" s="10" t="str">
        <f ca="1">IFERROR(__xludf.DUMMYFUNCTION("""COMPUTED_VALUE"""),"Segmen")</f>
        <v>Segmen</v>
      </c>
      <c r="M301" s="66">
        <f ca="1">IFERROR(__xludf.DUMMYFUNCTION("""COMPUTED_VALUE"""),59000)</f>
        <v>59000</v>
      </c>
      <c r="N301" s="10">
        <f ca="1">IFERROR(__xludf.DUMMYFUNCTION("""COMPUTED_VALUE"""),6)</f>
        <v>6</v>
      </c>
      <c r="O301" s="10">
        <f ca="1">IFERROR(__xludf.DUMMYFUNCTION("""COMPUTED_VALUE"""),354000)</f>
        <v>354000</v>
      </c>
      <c r="P301" s="10"/>
      <c r="Q301" s="67">
        <f ca="1">IFERROR(__xludf.DUMMYFUNCTION("""COMPUTED_VALUE"""),45412)</f>
        <v>45412</v>
      </c>
    </row>
    <row r="302" spans="1:17" ht="12.5">
      <c r="A302" s="82">
        <f t="array" aca="1" ref="A302" ca="1">INDEX('Database Mitra'!$R$2:$R1001,MATCH(C302,'Database Mitra'!$B$2:$B1001,0))</f>
        <v>34541</v>
      </c>
      <c r="B302" s="10" t="e">
        <f t="shared" ca="1" si="0"/>
        <v>#NAME?</v>
      </c>
      <c r="C302" s="83">
        <f ca="1">IFERROR(__xludf.DUMMYFUNCTION("""COMPUTED_VALUE"""),610422040058)</f>
        <v>610422040058</v>
      </c>
      <c r="D302" s="10" t="str">
        <f ca="1">IFERROR(__xludf.DUMMYFUNCTION("""COMPUTED_VALUE"""),"KSA24-LAPANGAN-APRIL")</f>
        <v>KSA24-LAPANGAN-APRIL</v>
      </c>
      <c r="E302" s="10"/>
      <c r="F302" s="10">
        <f ca="1">IFERROR(__xludf.DUMMYFUNCTION("""COMPUTED_VALUE"""),1)</f>
        <v>1</v>
      </c>
      <c r="G302" s="10" t="str">
        <f ca="1">IFERROR(__xludf.DUMMYFUNCTION("""COMPUTED_VALUE"""),"Jamaluddin, Sp")</f>
        <v>Jamaluddin, Sp</v>
      </c>
      <c r="H302" s="10" t="str">
        <f ca="1">IFERROR(__xludf.DUMMYFUNCTION("""COMPUTED_VALUE"""),"PPL")</f>
        <v>PPL</v>
      </c>
      <c r="I302" s="10" t="str">
        <f ca="1">IFERROR(__xludf.DUMMYFUNCTION("""COMPUTED_VALUE"""),"6102152607940002")</f>
        <v>6102152607940002</v>
      </c>
      <c r="J302" s="10" t="str">
        <f ca="1">IFERROR(__xludf.DUMMYFUNCTION("""COMPUTED_VALUE"""),"KSA JAGUNG")</f>
        <v>KSA JAGUNG</v>
      </c>
      <c r="K302" s="10" t="str">
        <f ca="1">IFERROR(__xludf.DUMMYFUNCTION("""COMPUTED_VALUE"""),"KSA24-LAPANGAN-APRIL-PPL-KSA JAGUNG")</f>
        <v>KSA24-LAPANGAN-APRIL-PPL-KSA JAGUNG</v>
      </c>
      <c r="L302" s="10" t="str">
        <f ca="1">IFERROR(__xludf.DUMMYFUNCTION("""COMPUTED_VALUE"""),"Segmen")</f>
        <v>Segmen</v>
      </c>
      <c r="M302" s="66">
        <f ca="1">IFERROR(__xludf.DUMMYFUNCTION("""COMPUTED_VALUE"""),59000)</f>
        <v>59000</v>
      </c>
      <c r="N302" s="10">
        <f ca="1">IFERROR(__xludf.DUMMYFUNCTION("""COMPUTED_VALUE"""),10)</f>
        <v>10</v>
      </c>
      <c r="O302" s="10">
        <f ca="1">IFERROR(__xludf.DUMMYFUNCTION("""COMPUTED_VALUE"""),590000)</f>
        <v>590000</v>
      </c>
      <c r="P302" s="10"/>
      <c r="Q302" s="67">
        <f ca="1">IFERROR(__xludf.DUMMYFUNCTION("""COMPUTED_VALUE"""),45412)</f>
        <v>45412</v>
      </c>
    </row>
    <row r="303" spans="1:17" ht="12.5">
      <c r="A303" s="82">
        <f t="array" aca="1" ref="A303" ca="1">INDEX('Database Mitra'!$R$2:$R1001,MATCH(C303,'Database Mitra'!$B$2:$B1001,0))</f>
        <v>29171</v>
      </c>
      <c r="B303" s="10" t="e">
        <f t="shared" ca="1" si="0"/>
        <v>#NAME?</v>
      </c>
      <c r="C303" s="83">
        <f ca="1">IFERROR(__xludf.DUMMYFUNCTION("""COMPUTED_VALUE"""),610423110183)</f>
        <v>610423110183</v>
      </c>
      <c r="D303" s="10" t="str">
        <f ca="1">IFERROR(__xludf.DUMMYFUNCTION("""COMPUTED_VALUE"""),"KSA24-LAPANGAN-APRIL")</f>
        <v>KSA24-LAPANGAN-APRIL</v>
      </c>
      <c r="E303" s="10"/>
      <c r="F303" s="10">
        <f ca="1">IFERROR(__xludf.DUMMYFUNCTION("""COMPUTED_VALUE"""),1)</f>
        <v>1</v>
      </c>
      <c r="G303" s="10" t="str">
        <f ca="1">IFERROR(__xludf.DUMMYFUNCTION("""COMPUTED_VALUE"""),"Azhar")</f>
        <v>Azhar</v>
      </c>
      <c r="H303" s="10" t="str">
        <f ca="1">IFERROR(__xludf.DUMMYFUNCTION("""COMPUTED_VALUE"""),"PPL")</f>
        <v>PPL</v>
      </c>
      <c r="I303" s="10" t="str">
        <f ca="1">IFERROR(__xludf.DUMMYFUNCTION("""COMPUTED_VALUE"""),"6102081211790004")</f>
        <v>6102081211790004</v>
      </c>
      <c r="J303" s="10" t="str">
        <f ca="1">IFERROR(__xludf.DUMMYFUNCTION("""COMPUTED_VALUE"""),"KSA JAGUNG")</f>
        <v>KSA JAGUNG</v>
      </c>
      <c r="K303" s="10" t="str">
        <f ca="1">IFERROR(__xludf.DUMMYFUNCTION("""COMPUTED_VALUE"""),"KSA24-LAPANGAN-APRIL-PPL-KSA JAGUNG")</f>
        <v>KSA24-LAPANGAN-APRIL-PPL-KSA JAGUNG</v>
      </c>
      <c r="L303" s="10" t="str">
        <f ca="1">IFERROR(__xludf.DUMMYFUNCTION("""COMPUTED_VALUE"""),"Segmen")</f>
        <v>Segmen</v>
      </c>
      <c r="M303" s="66">
        <f ca="1">IFERROR(__xludf.DUMMYFUNCTION("""COMPUTED_VALUE"""),59000)</f>
        <v>59000</v>
      </c>
      <c r="N303" s="10">
        <f ca="1">IFERROR(__xludf.DUMMYFUNCTION("""COMPUTED_VALUE"""),6)</f>
        <v>6</v>
      </c>
      <c r="O303" s="10">
        <f ca="1">IFERROR(__xludf.DUMMYFUNCTION("""COMPUTED_VALUE"""),354000)</f>
        <v>354000</v>
      </c>
      <c r="P303" s="10"/>
      <c r="Q303" s="67">
        <f ca="1">IFERROR(__xludf.DUMMYFUNCTION("""COMPUTED_VALUE"""),45412)</f>
        <v>45412</v>
      </c>
    </row>
    <row r="304" spans="1:17" ht="12.5">
      <c r="A304" s="82">
        <f t="array" aca="1" ref="A304" ca="1">INDEX('Database Mitra'!$R$2:$R1001,MATCH(C304,'Database Mitra'!$B$2:$B1001,0))</f>
        <v>32942</v>
      </c>
      <c r="B304" s="10" t="e">
        <f t="shared" ca="1" si="0"/>
        <v>#NAME?</v>
      </c>
      <c r="C304" s="83">
        <f ca="1">IFERROR(__xludf.DUMMYFUNCTION("""COMPUTED_VALUE"""),610422100244)</f>
        <v>610422100244</v>
      </c>
      <c r="D304" s="10" t="str">
        <f ca="1">IFERROR(__xludf.DUMMYFUNCTION("""COMPUTED_VALUE"""),"KSA24-LAPANGAN-APRIL")</f>
        <v>KSA24-LAPANGAN-APRIL</v>
      </c>
      <c r="E304" s="10"/>
      <c r="F304" s="10">
        <f ca="1">IFERROR(__xludf.DUMMYFUNCTION("""COMPUTED_VALUE"""),1)</f>
        <v>1</v>
      </c>
      <c r="G304" s="10" t="str">
        <f ca="1">IFERROR(__xludf.DUMMYFUNCTION("""COMPUTED_VALUE"""),"Sugianto")</f>
        <v>Sugianto</v>
      </c>
      <c r="H304" s="10" t="str">
        <f ca="1">IFERROR(__xludf.DUMMYFUNCTION("""COMPUTED_VALUE"""),"PPL")</f>
        <v>PPL</v>
      </c>
      <c r="I304" s="10" t="str">
        <f ca="1">IFERROR(__xludf.DUMMYFUNCTION("""COMPUTED_VALUE"""),"6102171003900002")</f>
        <v>6102171003900002</v>
      </c>
      <c r="J304" s="10" t="str">
        <f ca="1">IFERROR(__xludf.DUMMYFUNCTION("""COMPUTED_VALUE"""),"KSA JAGUNG")</f>
        <v>KSA JAGUNG</v>
      </c>
      <c r="K304" s="10" t="str">
        <f ca="1">IFERROR(__xludf.DUMMYFUNCTION("""COMPUTED_VALUE"""),"KSA24-LAPANGAN-APRIL-PPL-KSA JAGUNG")</f>
        <v>KSA24-LAPANGAN-APRIL-PPL-KSA JAGUNG</v>
      </c>
      <c r="L304" s="10" t="str">
        <f ca="1">IFERROR(__xludf.DUMMYFUNCTION("""COMPUTED_VALUE"""),"Segmen")</f>
        <v>Segmen</v>
      </c>
      <c r="M304" s="66">
        <f ca="1">IFERROR(__xludf.DUMMYFUNCTION("""COMPUTED_VALUE"""),59000)</f>
        <v>59000</v>
      </c>
      <c r="N304" s="10">
        <f ca="1">IFERROR(__xludf.DUMMYFUNCTION("""COMPUTED_VALUE"""),8)</f>
        <v>8</v>
      </c>
      <c r="O304" s="10">
        <f ca="1">IFERROR(__xludf.DUMMYFUNCTION("""COMPUTED_VALUE"""),472000)</f>
        <v>472000</v>
      </c>
      <c r="P304" s="10"/>
      <c r="Q304" s="67">
        <f ca="1">IFERROR(__xludf.DUMMYFUNCTION("""COMPUTED_VALUE"""),45412)</f>
        <v>45412</v>
      </c>
    </row>
    <row r="305" spans="1:17" ht="12.5">
      <c r="A305" s="82">
        <f t="array" aca="1" ref="A305" ca="1">INDEX('Database Mitra'!$R$2:$R1001,MATCH(C305,'Database Mitra'!$B$2:$B1001,0))</f>
        <v>27798</v>
      </c>
      <c r="B305" s="10" t="e">
        <f t="shared" ca="1" si="0"/>
        <v>#NAME?</v>
      </c>
      <c r="C305" s="83">
        <f ca="1">IFERROR(__xludf.DUMMYFUNCTION("""COMPUTED_VALUE"""),610422040056)</f>
        <v>610422040056</v>
      </c>
      <c r="D305" s="10" t="str">
        <f ca="1">IFERROR(__xludf.DUMMYFUNCTION("""COMPUTED_VALUE"""),"SKLNPT24-LAPANGAN-TRI1")</f>
        <v>SKLNPT24-LAPANGAN-TRI1</v>
      </c>
      <c r="E305" s="10"/>
      <c r="F305" s="10">
        <f ca="1">IFERROR(__xludf.DUMMYFUNCTION("""COMPUTED_VALUE"""),1)</f>
        <v>1</v>
      </c>
      <c r="G305" s="10" t="str">
        <f ca="1">IFERROR(__xludf.DUMMYFUNCTION("""COMPUTED_VALUE"""),"Wandi Syafari")</f>
        <v>Wandi Syafari</v>
      </c>
      <c r="H305" s="10" t="str">
        <f ca="1">IFERROR(__xludf.DUMMYFUNCTION("""COMPUTED_VALUE"""),"PPL")</f>
        <v>PPL</v>
      </c>
      <c r="I305" s="10" t="str">
        <f ca="1">IFERROR(__xludf.DUMMYFUNCTION("""COMPUTED_VALUE"""),"6102010802760001")</f>
        <v>6102010802760001</v>
      </c>
      <c r="J305" s="10" t="str">
        <f ca="1">IFERROR(__xludf.DUMMYFUNCTION("""COMPUTED_VALUE"""),"PENDATAAN")</f>
        <v>PENDATAAN</v>
      </c>
      <c r="K305" s="10" t="str">
        <f ca="1">IFERROR(__xludf.DUMMYFUNCTION("""COMPUTED_VALUE"""),"SKLNPT24-LAPANGAN-TRI1-PPL-PENDATAAN")</f>
        <v>SKLNPT24-LAPANGAN-TRI1-PPL-PENDATAAN</v>
      </c>
      <c r="L305" s="10" t="str">
        <f ca="1">IFERROR(__xludf.DUMMYFUNCTION("""COMPUTED_VALUE"""),"Dokumen")</f>
        <v>Dokumen</v>
      </c>
      <c r="M305" s="66">
        <f ca="1">IFERROR(__xludf.DUMMYFUNCTION("""COMPUTED_VALUE"""),65000)</f>
        <v>65000</v>
      </c>
      <c r="N305" s="10">
        <f ca="1">IFERROR(__xludf.DUMMYFUNCTION("""COMPUTED_VALUE"""),10)</f>
        <v>10</v>
      </c>
      <c r="O305" s="10">
        <f ca="1">IFERROR(__xludf.DUMMYFUNCTION("""COMPUTED_VALUE"""),650000)</f>
        <v>650000</v>
      </c>
      <c r="P305" s="10"/>
      <c r="Q305" s="67">
        <f ca="1">IFERROR(__xludf.DUMMYFUNCTION("""COMPUTED_VALUE"""),45412)</f>
        <v>45412</v>
      </c>
    </row>
    <row r="306" spans="1:17" ht="12.5">
      <c r="A306" s="82">
        <f t="array" aca="1" ref="A306" ca="1">INDEX('Database Mitra'!$R$2:$R1001,MATCH(C306,'Database Mitra'!$B$2:$B1001,0))</f>
        <v>31964</v>
      </c>
      <c r="B306" s="10" t="e">
        <f t="shared" ca="1" si="0"/>
        <v>#NAME?</v>
      </c>
      <c r="C306" s="83">
        <f ca="1">IFERROR(__xludf.DUMMYFUNCTION("""COMPUTED_VALUE"""),610422040029)</f>
        <v>610422040029</v>
      </c>
      <c r="D306" s="10" t="str">
        <f ca="1">IFERROR(__xludf.DUMMYFUNCTION("""COMPUTED_VALUE"""),"SKTNP24-LAPANGAN-TRI1")</f>
        <v>SKTNP24-LAPANGAN-TRI1</v>
      </c>
      <c r="E306" s="10"/>
      <c r="F306" s="10">
        <f ca="1">IFERROR(__xludf.DUMMYFUNCTION("""COMPUTED_VALUE"""),1)</f>
        <v>1</v>
      </c>
      <c r="G306" s="10" t="str">
        <f ca="1">IFERROR(__xludf.DUMMYFUNCTION("""COMPUTED_VALUE"""),"Zaini")</f>
        <v>Zaini</v>
      </c>
      <c r="H306" s="10" t="str">
        <f ca="1">IFERROR(__xludf.DUMMYFUNCTION("""COMPUTED_VALUE"""),"PPL")</f>
        <v>PPL</v>
      </c>
      <c r="I306" s="10" t="str">
        <f ca="1">IFERROR(__xludf.DUMMYFUNCTION("""COMPUTED_VALUE"""),"6102010607870002")</f>
        <v>6102010607870002</v>
      </c>
      <c r="J306" s="10" t="str">
        <f ca="1">IFERROR(__xludf.DUMMYFUNCTION("""COMPUTED_VALUE"""),"PENDATAAN")</f>
        <v>PENDATAAN</v>
      </c>
      <c r="K306" s="10" t="str">
        <f ca="1">IFERROR(__xludf.DUMMYFUNCTION("""COMPUTED_VALUE"""),"SKTNP24-LAPANGAN-TRI1-PPL-PENDATAAN BARANG")</f>
        <v>SKTNP24-LAPANGAN-TRI1-PPL-PENDATAAN BARANG</v>
      </c>
      <c r="L306" s="10" t="str">
        <f ca="1">IFERROR(__xludf.DUMMYFUNCTION("""COMPUTED_VALUE"""),"Dokumen")</f>
        <v>Dokumen</v>
      </c>
      <c r="M306" s="66">
        <f ca="1">IFERROR(__xludf.DUMMYFUNCTION("""COMPUTED_VALUE"""),55000)</f>
        <v>55000</v>
      </c>
      <c r="N306" s="10">
        <f ca="1">IFERROR(__xludf.DUMMYFUNCTION("""COMPUTED_VALUE"""),1)</f>
        <v>1</v>
      </c>
      <c r="O306" s="10">
        <f ca="1">IFERROR(__xludf.DUMMYFUNCTION("""COMPUTED_VALUE"""),55000)</f>
        <v>55000</v>
      </c>
      <c r="P306" s="10"/>
      <c r="Q306" s="67">
        <f ca="1">IFERROR(__xludf.DUMMYFUNCTION("""COMPUTED_VALUE"""),45412)</f>
        <v>45412</v>
      </c>
    </row>
    <row r="307" spans="1:17" ht="12.5">
      <c r="A307" s="82">
        <f t="array" aca="1" ref="A307" ca="1">INDEX('Database Mitra'!$R$2:$R1001,MATCH(C307,'Database Mitra'!$B$2:$B1001,0))</f>
        <v>31964</v>
      </c>
      <c r="B307" s="10" t="e">
        <f t="shared" ca="1" si="0"/>
        <v>#NAME?</v>
      </c>
      <c r="C307" s="83">
        <f ca="1">IFERROR(__xludf.DUMMYFUNCTION("""COMPUTED_VALUE"""),610422040029)</f>
        <v>610422040029</v>
      </c>
      <c r="D307" s="10" t="str">
        <f ca="1">IFERROR(__xludf.DUMMYFUNCTION("""COMPUTED_VALUE"""),"SKTNP24-LAPANGAN-TRI1")</f>
        <v>SKTNP24-LAPANGAN-TRI1</v>
      </c>
      <c r="E307" s="10"/>
      <c r="F307" s="10">
        <f ca="1">IFERROR(__xludf.DUMMYFUNCTION("""COMPUTED_VALUE"""),1)</f>
        <v>1</v>
      </c>
      <c r="G307" s="10" t="str">
        <f ca="1">IFERROR(__xludf.DUMMYFUNCTION("""COMPUTED_VALUE"""),"Zaini")</f>
        <v>Zaini</v>
      </c>
      <c r="H307" s="10" t="str">
        <f ca="1">IFERROR(__xludf.DUMMYFUNCTION("""COMPUTED_VALUE"""),"PPL")</f>
        <v>PPL</v>
      </c>
      <c r="I307" s="10" t="str">
        <f ca="1">IFERROR(__xludf.DUMMYFUNCTION("""COMPUTED_VALUE"""),"6102010607870002")</f>
        <v>6102010607870002</v>
      </c>
      <c r="J307" s="10" t="str">
        <f ca="1">IFERROR(__xludf.DUMMYFUNCTION("""COMPUTED_VALUE"""),"PENDATAAN")</f>
        <v>PENDATAAN</v>
      </c>
      <c r="K307" s="10" t="str">
        <f ca="1">IFERROR(__xludf.DUMMYFUNCTION("""COMPUTED_VALUE"""),"SKTNP24-LAPANGAN-TRI1-PPL-PENDATAAN JASA")</f>
        <v>SKTNP24-LAPANGAN-TRI1-PPL-PENDATAAN JASA</v>
      </c>
      <c r="L307" s="10" t="str">
        <f ca="1">IFERROR(__xludf.DUMMYFUNCTION("""COMPUTED_VALUE"""),"Dokumen")</f>
        <v>Dokumen</v>
      </c>
      <c r="M307" s="66">
        <f ca="1">IFERROR(__xludf.DUMMYFUNCTION("""COMPUTED_VALUE"""),55000)</f>
        <v>55000</v>
      </c>
      <c r="N307" s="10">
        <f ca="1">IFERROR(__xludf.DUMMYFUNCTION("""COMPUTED_VALUE"""),2)</f>
        <v>2</v>
      </c>
      <c r="O307" s="10">
        <f ca="1">IFERROR(__xludf.DUMMYFUNCTION("""COMPUTED_VALUE"""),110000)</f>
        <v>110000</v>
      </c>
      <c r="P307" s="10"/>
      <c r="Q307" s="67">
        <f ca="1">IFERROR(__xludf.DUMMYFUNCTION("""COMPUTED_VALUE"""),45412)</f>
        <v>45412</v>
      </c>
    </row>
    <row r="308" spans="1:17" ht="12.5">
      <c r="A308" s="82">
        <f t="array" aca="1" ref="A308" ca="1">INDEX('Database Mitra'!$R$2:$R1001,MATCH(C308,'Database Mitra'!$B$2:$B1001,0))</f>
        <v>31773</v>
      </c>
      <c r="B308" s="10" t="e">
        <f t="shared" ca="1" si="0"/>
        <v>#NAME?</v>
      </c>
      <c r="C308" s="83">
        <f ca="1">IFERROR(__xludf.DUMMYFUNCTION("""COMPUTED_VALUE"""),610422030002)</f>
        <v>610422030002</v>
      </c>
      <c r="D308" s="10" t="str">
        <f ca="1">IFERROR(__xludf.DUMMYFUNCTION("""COMPUTED_VALUE"""),"SHPB24-LAPANGAN-MEI")</f>
        <v>SHPB24-LAPANGAN-MEI</v>
      </c>
      <c r="E308" s="10"/>
      <c r="F308" s="10">
        <f ca="1">IFERROR(__xludf.DUMMYFUNCTION("""COMPUTED_VALUE"""),1)</f>
        <v>1</v>
      </c>
      <c r="G308" s="10" t="str">
        <f ca="1">IFERROR(__xludf.DUMMYFUNCTION("""COMPUTED_VALUE"""),"Deti Erni Widiastuti")</f>
        <v>Deti Erni Widiastuti</v>
      </c>
      <c r="H308" s="10" t="str">
        <f ca="1">IFERROR(__xludf.DUMMYFUNCTION("""COMPUTED_VALUE"""),"PPL")</f>
        <v>PPL</v>
      </c>
      <c r="I308" s="10" t="str">
        <f ca="1">IFERROR(__xludf.DUMMYFUNCTION("""COMPUTED_VALUE"""),"6102016712860001")</f>
        <v>6102016712860001</v>
      </c>
      <c r="J308" s="10" t="str">
        <f ca="1">IFERROR(__xludf.DUMMYFUNCTION("""COMPUTED_VALUE"""),"PENDATAAN")</f>
        <v>PENDATAAN</v>
      </c>
      <c r="K308" s="10" t="str">
        <f ca="1">IFERROR(__xludf.DUMMYFUNCTION("""COMPUTED_VALUE"""),"SHPB24-LAPANGAN-MEI-PPL-PENDATAAN")</f>
        <v>SHPB24-LAPANGAN-MEI-PPL-PENDATAAN</v>
      </c>
      <c r="L308" s="10" t="str">
        <f ca="1">IFERROR(__xludf.DUMMYFUNCTION("""COMPUTED_VALUE"""),"Dokumen")</f>
        <v>Dokumen</v>
      </c>
      <c r="M308" s="66">
        <f ca="1">IFERROR(__xludf.DUMMYFUNCTION("""COMPUTED_VALUE"""),50000)</f>
        <v>50000</v>
      </c>
      <c r="N308" s="10">
        <f ca="1">IFERROR(__xludf.DUMMYFUNCTION("""COMPUTED_VALUE"""),15)</f>
        <v>15</v>
      </c>
      <c r="O308" s="10">
        <f ca="1">IFERROR(__xludf.DUMMYFUNCTION("""COMPUTED_VALUE"""),750000)</f>
        <v>750000</v>
      </c>
      <c r="P308" s="10"/>
      <c r="Q308" s="67">
        <f ca="1">IFERROR(__xludf.DUMMYFUNCTION("""COMPUTED_VALUE"""),45432)</f>
        <v>45432</v>
      </c>
    </row>
    <row r="309" spans="1:17" ht="12.5">
      <c r="A309" s="82">
        <f t="array" aca="1" ref="A309" ca="1">INDEX('Database Mitra'!$R$2:$R1001,MATCH(C309,'Database Mitra'!$B$2:$B1001,0))</f>
        <v>32942</v>
      </c>
      <c r="B309" s="10" t="e">
        <f t="shared" ca="1" si="0"/>
        <v>#NAME?</v>
      </c>
      <c r="C309" s="83">
        <f ca="1">IFERROR(__xludf.DUMMYFUNCTION("""COMPUTED_VALUE"""),610422100244)</f>
        <v>610422100244</v>
      </c>
      <c r="D309" s="10" t="str">
        <f ca="1">IFERROR(__xludf.DUMMYFUNCTION("""COMPUTED_VALUE"""),"HPG24-LAPANGAN-MEI")</f>
        <v>HPG24-LAPANGAN-MEI</v>
      </c>
      <c r="E309" s="10"/>
      <c r="F309" s="10">
        <f ca="1">IFERROR(__xludf.DUMMYFUNCTION("""COMPUTED_VALUE"""),1)</f>
        <v>1</v>
      </c>
      <c r="G309" s="10" t="str">
        <f ca="1">IFERROR(__xludf.DUMMYFUNCTION("""COMPUTED_VALUE"""),"Sugianto")</f>
        <v>Sugianto</v>
      </c>
      <c r="H309" s="10" t="str">
        <f ca="1">IFERROR(__xludf.DUMMYFUNCTION("""COMPUTED_VALUE"""),"PPL")</f>
        <v>PPL</v>
      </c>
      <c r="I309" s="10" t="str">
        <f ca="1">IFERROR(__xludf.DUMMYFUNCTION("""COMPUTED_VALUE"""),"6102171003900002")</f>
        <v>6102171003900002</v>
      </c>
      <c r="J309" s="10" t="str">
        <f ca="1">IFERROR(__xludf.DUMMYFUNCTION("""COMPUTED_VALUE"""),"PENDATAAN")</f>
        <v>PENDATAAN</v>
      </c>
      <c r="K309" s="10" t="str">
        <f ca="1">IFERROR(__xludf.DUMMYFUNCTION("""COMPUTED_VALUE"""),"HPG24-LAPANGAN-MEI-PPL-PENDATAAN")</f>
        <v>HPG24-LAPANGAN-MEI-PPL-PENDATAAN</v>
      </c>
      <c r="L309" s="10" t="str">
        <f ca="1">IFERROR(__xludf.DUMMYFUNCTION("""COMPUTED_VALUE"""),"Dokumen")</f>
        <v>Dokumen</v>
      </c>
      <c r="M309" s="66">
        <f ca="1">IFERROR(__xludf.DUMMYFUNCTION("""COMPUTED_VALUE"""),50000)</f>
        <v>50000</v>
      </c>
      <c r="N309" s="10">
        <f ca="1">IFERROR(__xludf.DUMMYFUNCTION("""COMPUTED_VALUE"""),1)</f>
        <v>1</v>
      </c>
      <c r="O309" s="10">
        <f ca="1">IFERROR(__xludf.DUMMYFUNCTION("""COMPUTED_VALUE"""),50000)</f>
        <v>50000</v>
      </c>
      <c r="P309" s="10"/>
      <c r="Q309" s="67">
        <f ca="1">IFERROR(__xludf.DUMMYFUNCTION("""COMPUTED_VALUE"""),45432)</f>
        <v>45432</v>
      </c>
    </row>
    <row r="310" spans="1:17" ht="12.5">
      <c r="A310" s="82">
        <f t="array" aca="1" ref="A310" ca="1">INDEX('Database Mitra'!$R$2:$R1001,MATCH(C310,'Database Mitra'!$B$2:$B1001,0))</f>
        <v>29068</v>
      </c>
      <c r="B310" s="10" t="e">
        <f t="shared" ca="1" si="0"/>
        <v>#NAME?</v>
      </c>
      <c r="C310" s="83">
        <f ca="1">IFERROR(__xludf.DUMMYFUNCTION("""COMPUTED_VALUE"""),610422100124)</f>
        <v>610422100124</v>
      </c>
      <c r="D310" s="10" t="str">
        <f ca="1">IFERROR(__xludf.DUMMYFUNCTION("""COMPUTED_VALUE"""),"HPG24-LAPANGAN-MEI")</f>
        <v>HPG24-LAPANGAN-MEI</v>
      </c>
      <c r="E310" s="10"/>
      <c r="F310" s="10">
        <f ca="1">IFERROR(__xludf.DUMMYFUNCTION("""COMPUTED_VALUE"""),1)</f>
        <v>1</v>
      </c>
      <c r="G310" s="10" t="str">
        <f ca="1">IFERROR(__xludf.DUMMYFUNCTION("""COMPUTED_VALUE"""),"Prabowo")</f>
        <v>Prabowo</v>
      </c>
      <c r="H310" s="10" t="str">
        <f ca="1">IFERROR(__xludf.DUMMYFUNCTION("""COMPUTED_VALUE"""),"PPL")</f>
        <v>PPL</v>
      </c>
      <c r="I310" s="10" t="str">
        <f ca="1">IFERROR(__xludf.DUMMYFUNCTION("""COMPUTED_VALUE"""),"6171010108790015")</f>
        <v>6171010108790015</v>
      </c>
      <c r="J310" s="10" t="str">
        <f ca="1">IFERROR(__xludf.DUMMYFUNCTION("""COMPUTED_VALUE"""),"PENDATAAN")</f>
        <v>PENDATAAN</v>
      </c>
      <c r="K310" s="10" t="str">
        <f ca="1">IFERROR(__xludf.DUMMYFUNCTION("""COMPUTED_VALUE"""),"HPG24-LAPANGAN-MEI-PPL-PENDATAAN")</f>
        <v>HPG24-LAPANGAN-MEI-PPL-PENDATAAN</v>
      </c>
      <c r="L310" s="10" t="str">
        <f ca="1">IFERROR(__xludf.DUMMYFUNCTION("""COMPUTED_VALUE"""),"Dokumen")</f>
        <v>Dokumen</v>
      </c>
      <c r="M310" s="66">
        <f ca="1">IFERROR(__xludf.DUMMYFUNCTION("""COMPUTED_VALUE"""),50000)</f>
        <v>50000</v>
      </c>
      <c r="N310" s="10">
        <f ca="1">IFERROR(__xludf.DUMMYFUNCTION("""COMPUTED_VALUE"""),1)</f>
        <v>1</v>
      </c>
      <c r="O310" s="10">
        <f ca="1">IFERROR(__xludf.DUMMYFUNCTION("""COMPUTED_VALUE"""),50000)</f>
        <v>50000</v>
      </c>
      <c r="P310" s="10"/>
      <c r="Q310" s="67">
        <f ca="1">IFERROR(__xludf.DUMMYFUNCTION("""COMPUTED_VALUE"""),45432)</f>
        <v>45432</v>
      </c>
    </row>
    <row r="311" spans="1:17" ht="12.5">
      <c r="A311" s="82">
        <f t="array" aca="1" ref="A311" ca="1">INDEX('Database Mitra'!$R$2:$R1001,MATCH(C311,'Database Mitra'!$B$2:$B1001,0))</f>
        <v>37531</v>
      </c>
      <c r="B311" s="10" t="e">
        <f t="shared" ca="1" si="0"/>
        <v>#NAME?</v>
      </c>
      <c r="C311" s="83">
        <f ca="1">IFERROR(__xludf.DUMMYFUNCTION("""COMPUTED_VALUE"""),610422100016)</f>
        <v>610422100016</v>
      </c>
      <c r="D311" s="10" t="str">
        <f ca="1">IFERROR(__xludf.DUMMYFUNCTION("""COMPUTED_VALUE"""),"SHPED24-LAPANGAN-MEI")</f>
        <v>SHPED24-LAPANGAN-MEI</v>
      </c>
      <c r="E311" s="10"/>
      <c r="F311" s="10">
        <f ca="1">IFERROR(__xludf.DUMMYFUNCTION("""COMPUTED_VALUE"""),1)</f>
        <v>1</v>
      </c>
      <c r="G311" s="10" t="str">
        <f ca="1">IFERROR(__xludf.DUMMYFUNCTION("""COMPUTED_VALUE"""),"Amalia Faisya")</f>
        <v>Amalia Faisya</v>
      </c>
      <c r="H311" s="10" t="str">
        <f ca="1">IFERROR(__xludf.DUMMYFUNCTION("""COMPUTED_VALUE"""),"PPL")</f>
        <v>PPL</v>
      </c>
      <c r="I311" s="10" t="str">
        <f ca="1">IFERROR(__xludf.DUMMYFUNCTION("""COMPUTED_VALUE"""),"6102124210010005")</f>
        <v>6102124210010005</v>
      </c>
      <c r="J311" s="10" t="str">
        <f ca="1">IFERROR(__xludf.DUMMYFUNCTION("""COMPUTED_VALUE"""),"PENDATAAN KONSUMEN")</f>
        <v>PENDATAAN KONSUMEN</v>
      </c>
      <c r="K311" s="10" t="str">
        <f ca="1">IFERROR(__xludf.DUMMYFUNCTION("""COMPUTED_VALUE"""),"SHPED24-LAPANGAN-MEI-PPL-PENDATAAN KONSUMEN")</f>
        <v>SHPED24-LAPANGAN-MEI-PPL-PENDATAAN KONSUMEN</v>
      </c>
      <c r="L311" s="10" t="str">
        <f ca="1">IFERROR(__xludf.DUMMYFUNCTION("""COMPUTED_VALUE"""),"Dokumen")</f>
        <v>Dokumen</v>
      </c>
      <c r="M311" s="66">
        <f ca="1">IFERROR(__xludf.DUMMYFUNCTION("""COMPUTED_VALUE"""),65000)</f>
        <v>65000</v>
      </c>
      <c r="N311" s="10">
        <f ca="1">IFERROR(__xludf.DUMMYFUNCTION("""COMPUTED_VALUE"""),3)</f>
        <v>3</v>
      </c>
      <c r="O311" s="10">
        <f ca="1">IFERROR(__xludf.DUMMYFUNCTION("""COMPUTED_VALUE"""),195000)</f>
        <v>195000</v>
      </c>
      <c r="P311" s="10"/>
      <c r="Q311" s="67">
        <f ca="1">IFERROR(__xludf.DUMMYFUNCTION("""COMPUTED_VALUE"""),45432)</f>
        <v>45432</v>
      </c>
    </row>
    <row r="312" spans="1:17" ht="12.5">
      <c r="A312" s="82">
        <f t="array" aca="1" ref="A312" ca="1">INDEX('Database Mitra'!$R$2:$R1001,MATCH(C312,'Database Mitra'!$B$2:$B1001,0))</f>
        <v>30692</v>
      </c>
      <c r="B312" s="10" t="e">
        <f t="shared" ca="1" si="0"/>
        <v>#NAME?</v>
      </c>
      <c r="C312" s="83">
        <f ca="1">IFERROR(__xludf.DUMMYFUNCTION("""COMPUTED_VALUE"""),610422050001)</f>
        <v>610422050001</v>
      </c>
      <c r="D312" s="10" t="str">
        <f ca="1">IFERROR(__xludf.DUMMYFUNCTION("""COMPUTED_VALUE"""),"SHPED24-LAPANGAN-MEI")</f>
        <v>SHPED24-LAPANGAN-MEI</v>
      </c>
      <c r="E312" s="10"/>
      <c r="F312" s="10">
        <f ca="1">IFERROR(__xludf.DUMMYFUNCTION("""COMPUTED_VALUE"""),1)</f>
        <v>1</v>
      </c>
      <c r="G312" s="10" t="str">
        <f ca="1">IFERROR(__xludf.DUMMYFUNCTION("""COMPUTED_VALUE"""),"Evi Juniarty")</f>
        <v>Evi Juniarty</v>
      </c>
      <c r="H312" s="10" t="str">
        <f ca="1">IFERROR(__xludf.DUMMYFUNCTION("""COMPUTED_VALUE"""),"PPL")</f>
        <v>PPL</v>
      </c>
      <c r="I312" s="10" t="str">
        <f ca="1">IFERROR(__xludf.DUMMYFUNCTION("""COMPUTED_VALUE"""),"6102165101840001")</f>
        <v>6102165101840001</v>
      </c>
      <c r="J312" s="10" t="str">
        <f ca="1">IFERROR(__xludf.DUMMYFUNCTION("""COMPUTED_VALUE"""),"PENDATAAN KONSUMEN")</f>
        <v>PENDATAAN KONSUMEN</v>
      </c>
      <c r="K312" s="10" t="str">
        <f ca="1">IFERROR(__xludf.DUMMYFUNCTION("""COMPUTED_VALUE"""),"SHPED24-LAPANGAN-MEI-PPL-PENDATAAN KONSUMEN")</f>
        <v>SHPED24-LAPANGAN-MEI-PPL-PENDATAAN KONSUMEN</v>
      </c>
      <c r="L312" s="10" t="str">
        <f ca="1">IFERROR(__xludf.DUMMYFUNCTION("""COMPUTED_VALUE"""),"Dokumen")</f>
        <v>Dokumen</v>
      </c>
      <c r="M312" s="66">
        <f ca="1">IFERROR(__xludf.DUMMYFUNCTION("""COMPUTED_VALUE"""),65000)</f>
        <v>65000</v>
      </c>
      <c r="N312" s="10">
        <f ca="1">IFERROR(__xludf.DUMMYFUNCTION("""COMPUTED_VALUE"""),3)</f>
        <v>3</v>
      </c>
      <c r="O312" s="10">
        <f ca="1">IFERROR(__xludf.DUMMYFUNCTION("""COMPUTED_VALUE"""),195000)</f>
        <v>195000</v>
      </c>
      <c r="P312" s="10"/>
      <c r="Q312" s="67">
        <f ca="1">IFERROR(__xludf.DUMMYFUNCTION("""COMPUTED_VALUE"""),45432)</f>
        <v>45432</v>
      </c>
    </row>
    <row r="313" spans="1:17" ht="12.5">
      <c r="A313" s="82">
        <f t="array" aca="1" ref="A313" ca="1">INDEX('Database Mitra'!$R$2:$R1001,MATCH(C313,'Database Mitra'!$B$2:$B1001,0))</f>
        <v>35038</v>
      </c>
      <c r="B313" s="10" t="e">
        <f t="shared" ca="1" si="0"/>
        <v>#NAME?</v>
      </c>
      <c r="C313" s="83">
        <f ca="1">IFERROR(__xludf.DUMMYFUNCTION("""COMPUTED_VALUE"""),610422040030)</f>
        <v>610422040030</v>
      </c>
      <c r="D313" s="10" t="str">
        <f ca="1">IFERROR(__xludf.DUMMYFUNCTION("""COMPUTED_VALUE"""),"SHPED24-LAPANGAN-MEI")</f>
        <v>SHPED24-LAPANGAN-MEI</v>
      </c>
      <c r="E313" s="10"/>
      <c r="F313" s="10">
        <f ca="1">IFERROR(__xludf.DUMMYFUNCTION("""COMPUTED_VALUE"""),1)</f>
        <v>1</v>
      </c>
      <c r="G313" s="10" t="str">
        <f ca="1">IFERROR(__xludf.DUMMYFUNCTION("""COMPUTED_VALUE"""),"Syarifah Desti Pratiwi")</f>
        <v>Syarifah Desti Pratiwi</v>
      </c>
      <c r="H313" s="10" t="str">
        <f ca="1">IFERROR(__xludf.DUMMYFUNCTION("""COMPUTED_VALUE"""),"PPL")</f>
        <v>PPL</v>
      </c>
      <c r="I313" s="10" t="str">
        <f ca="1">IFERROR(__xludf.DUMMYFUNCTION("""COMPUTED_VALUE"""),"6102084512950002")</f>
        <v>6102084512950002</v>
      </c>
      <c r="J313" s="10" t="str">
        <f ca="1">IFERROR(__xludf.DUMMYFUNCTION("""COMPUTED_VALUE"""),"PENDATAAN PRODUSEN")</f>
        <v>PENDATAAN PRODUSEN</v>
      </c>
      <c r="K313" s="10" t="str">
        <f ca="1">IFERROR(__xludf.DUMMYFUNCTION("""COMPUTED_VALUE"""),"SHPED24-LAPANGAN-MEI-PPL-PENDATAAN PRODUSEN")</f>
        <v>SHPED24-LAPANGAN-MEI-PPL-PENDATAAN PRODUSEN</v>
      </c>
      <c r="L313" s="10" t="str">
        <f ca="1">IFERROR(__xludf.DUMMYFUNCTION("""COMPUTED_VALUE"""),"Dokumen")</f>
        <v>Dokumen</v>
      </c>
      <c r="M313" s="66">
        <f ca="1">IFERROR(__xludf.DUMMYFUNCTION("""COMPUTED_VALUE"""),55000)</f>
        <v>55000</v>
      </c>
      <c r="N313" s="10">
        <f ca="1">IFERROR(__xludf.DUMMYFUNCTION("""COMPUTED_VALUE"""),1)</f>
        <v>1</v>
      </c>
      <c r="O313" s="10">
        <f ca="1">IFERROR(__xludf.DUMMYFUNCTION("""COMPUTED_VALUE"""),55000)</f>
        <v>55000</v>
      </c>
      <c r="P313" s="10"/>
      <c r="Q313" s="67">
        <f ca="1">IFERROR(__xludf.DUMMYFUNCTION("""COMPUTED_VALUE"""),45432)</f>
        <v>45432</v>
      </c>
    </row>
    <row r="314" spans="1:17" ht="12.5">
      <c r="A314" s="82">
        <f t="array" aca="1" ref="A314" ca="1">INDEX('Database Mitra'!$R$2:$R1001,MATCH(C314,'Database Mitra'!$B$2:$B1001,0))</f>
        <v>29068</v>
      </c>
      <c r="B314" s="10" t="e">
        <f t="shared" ca="1" si="0"/>
        <v>#NAME?</v>
      </c>
      <c r="C314" s="83">
        <f ca="1">IFERROR(__xludf.DUMMYFUNCTION("""COMPUTED_VALUE"""),610422100124)</f>
        <v>610422100124</v>
      </c>
      <c r="D314" s="10" t="str">
        <f ca="1">IFERROR(__xludf.DUMMYFUNCTION("""COMPUTED_VALUE"""),"SHPED24-LAPANGAN-MEI")</f>
        <v>SHPED24-LAPANGAN-MEI</v>
      </c>
      <c r="E314" s="10"/>
      <c r="F314" s="10">
        <f ca="1">IFERROR(__xludf.DUMMYFUNCTION("""COMPUTED_VALUE"""),1)</f>
        <v>1</v>
      </c>
      <c r="G314" s="10" t="str">
        <f ca="1">IFERROR(__xludf.DUMMYFUNCTION("""COMPUTED_VALUE"""),"Prabowo")</f>
        <v>Prabowo</v>
      </c>
      <c r="H314" s="10" t="str">
        <f ca="1">IFERROR(__xludf.DUMMYFUNCTION("""COMPUTED_VALUE"""),"PPL")</f>
        <v>PPL</v>
      </c>
      <c r="I314" s="10" t="str">
        <f ca="1">IFERROR(__xludf.DUMMYFUNCTION("""COMPUTED_VALUE"""),"6171010108790015")</f>
        <v>6171010108790015</v>
      </c>
      <c r="J314" s="10" t="str">
        <f ca="1">IFERROR(__xludf.DUMMYFUNCTION("""COMPUTED_VALUE"""),"PENDATAAN PRODUSEN")</f>
        <v>PENDATAAN PRODUSEN</v>
      </c>
      <c r="K314" s="10" t="str">
        <f ca="1">IFERROR(__xludf.DUMMYFUNCTION("""COMPUTED_VALUE"""),"SHPED24-LAPANGAN-MEI-PPL-PENDATAAN PRODUSEN")</f>
        <v>SHPED24-LAPANGAN-MEI-PPL-PENDATAAN PRODUSEN</v>
      </c>
      <c r="L314" s="10" t="str">
        <f ca="1">IFERROR(__xludf.DUMMYFUNCTION("""COMPUTED_VALUE"""),"Dokumen")</f>
        <v>Dokumen</v>
      </c>
      <c r="M314" s="66">
        <f ca="1">IFERROR(__xludf.DUMMYFUNCTION("""COMPUTED_VALUE"""),55000)</f>
        <v>55000</v>
      </c>
      <c r="N314" s="10">
        <f ca="1">IFERROR(__xludf.DUMMYFUNCTION("""COMPUTED_VALUE"""),3)</f>
        <v>3</v>
      </c>
      <c r="O314" s="10">
        <f ca="1">IFERROR(__xludf.DUMMYFUNCTION("""COMPUTED_VALUE"""),165000)</f>
        <v>165000</v>
      </c>
      <c r="P314" s="10"/>
      <c r="Q314" s="67">
        <f ca="1">IFERROR(__xludf.DUMMYFUNCTION("""COMPUTED_VALUE"""),45432)</f>
        <v>45432</v>
      </c>
    </row>
    <row r="315" spans="1:17" ht="12.5">
      <c r="A315" s="82">
        <f t="array" aca="1" ref="A315" ca="1">INDEX('Database Mitra'!$R$2:$R1001,MATCH(C315,'Database Mitra'!$B$2:$B1001,0))</f>
        <v>32942</v>
      </c>
      <c r="B315" s="10" t="e">
        <f t="shared" ca="1" si="0"/>
        <v>#NAME?</v>
      </c>
      <c r="C315" s="83">
        <f ca="1">IFERROR(__xludf.DUMMYFUNCTION("""COMPUTED_VALUE"""),610422100244)</f>
        <v>610422100244</v>
      </c>
      <c r="D315" s="10" t="str">
        <f ca="1">IFERROR(__xludf.DUMMYFUNCTION("""COMPUTED_VALUE"""),"SHPED24-LAPANGAN-MEI")</f>
        <v>SHPED24-LAPANGAN-MEI</v>
      </c>
      <c r="E315" s="10"/>
      <c r="F315" s="10">
        <f ca="1">IFERROR(__xludf.DUMMYFUNCTION("""COMPUTED_VALUE"""),1)</f>
        <v>1</v>
      </c>
      <c r="G315" s="10" t="str">
        <f ca="1">IFERROR(__xludf.DUMMYFUNCTION("""COMPUTED_VALUE"""),"Sugianto")</f>
        <v>Sugianto</v>
      </c>
      <c r="H315" s="10" t="str">
        <f ca="1">IFERROR(__xludf.DUMMYFUNCTION("""COMPUTED_VALUE"""),"PPL")</f>
        <v>PPL</v>
      </c>
      <c r="I315" s="10" t="str">
        <f ca="1">IFERROR(__xludf.DUMMYFUNCTION("""COMPUTED_VALUE"""),"6102171003900002")</f>
        <v>6102171003900002</v>
      </c>
      <c r="J315" s="10" t="str">
        <f ca="1">IFERROR(__xludf.DUMMYFUNCTION("""COMPUTED_VALUE"""),"PENDATAAN PRODUSEN")</f>
        <v>PENDATAAN PRODUSEN</v>
      </c>
      <c r="K315" s="10" t="str">
        <f ca="1">IFERROR(__xludf.DUMMYFUNCTION("""COMPUTED_VALUE"""),"SHPED24-LAPANGAN-MEI-PPL-PENDATAAN PRODUSEN")</f>
        <v>SHPED24-LAPANGAN-MEI-PPL-PENDATAAN PRODUSEN</v>
      </c>
      <c r="L315" s="10" t="str">
        <f ca="1">IFERROR(__xludf.DUMMYFUNCTION("""COMPUTED_VALUE"""),"Dokumen")</f>
        <v>Dokumen</v>
      </c>
      <c r="M315" s="66">
        <f ca="1">IFERROR(__xludf.DUMMYFUNCTION("""COMPUTED_VALUE"""),55000)</f>
        <v>55000</v>
      </c>
      <c r="N315" s="10">
        <f ca="1">IFERROR(__xludf.DUMMYFUNCTION("""COMPUTED_VALUE"""),2)</f>
        <v>2</v>
      </c>
      <c r="O315" s="10">
        <f ca="1">IFERROR(__xludf.DUMMYFUNCTION("""COMPUTED_VALUE"""),110000)</f>
        <v>110000</v>
      </c>
      <c r="P315" s="10"/>
      <c r="Q315" s="67">
        <f ca="1">IFERROR(__xludf.DUMMYFUNCTION("""COMPUTED_VALUE"""),45432)</f>
        <v>45432</v>
      </c>
    </row>
    <row r="316" spans="1:17" ht="12.5">
      <c r="A316" s="11">
        <f t="array" aca="1" ref="A316" ca="1">INDEX('Database Mitra'!$R$2:$R1001,MATCH(C316,'Database Mitra'!$B$2:$B1001,0))</f>
        <v>34895</v>
      </c>
      <c r="B316" s="10" t="e">
        <f t="shared" ca="1" si="0"/>
        <v>#NAME?</v>
      </c>
      <c r="C316" s="83">
        <f ca="1">IFERROR(__xludf.DUMMYFUNCTION("""COMPUTED_VALUE"""),610422020016)</f>
        <v>610422020016</v>
      </c>
      <c r="D316" s="10" t="str">
        <f ca="1">IFERROR(__xludf.DUMMYFUNCTION("""COMPUTED_VALUE"""),"SHPED24-LAPANGAN-MEI")</f>
        <v>SHPED24-LAPANGAN-MEI</v>
      </c>
      <c r="E316" s="10"/>
      <c r="F316" s="10">
        <f ca="1">IFERROR(__xludf.DUMMYFUNCTION("""COMPUTED_VALUE"""),1)</f>
        <v>1</v>
      </c>
      <c r="G316" s="10" t="str">
        <f ca="1">IFERROR(__xludf.DUMMYFUNCTION("""COMPUTED_VALUE"""),"Abdul Aziz")</f>
        <v>Abdul Aziz</v>
      </c>
      <c r="H316" s="10" t="str">
        <f ca="1">IFERROR(__xludf.DUMMYFUNCTION("""COMPUTED_VALUE"""),"PPL")</f>
        <v>PPL</v>
      </c>
      <c r="I316" s="10" t="str">
        <f ca="1">IFERROR(__xludf.DUMMYFUNCTION("""COMPUTED_VALUE"""),"6102061507950006")</f>
        <v>6102061507950006</v>
      </c>
      <c r="J316" s="10" t="str">
        <f ca="1">IFERROR(__xludf.DUMMYFUNCTION("""COMPUTED_VALUE"""),"PENDATAAN PRODUSEN")</f>
        <v>PENDATAAN PRODUSEN</v>
      </c>
      <c r="K316" s="10" t="str">
        <f ca="1">IFERROR(__xludf.DUMMYFUNCTION("""COMPUTED_VALUE"""),"SHPED24-LAPANGAN-MEI-PPL-PENDATAAN PRODUSEN")</f>
        <v>SHPED24-LAPANGAN-MEI-PPL-PENDATAAN PRODUSEN</v>
      </c>
      <c r="L316" s="10" t="str">
        <f ca="1">IFERROR(__xludf.DUMMYFUNCTION("""COMPUTED_VALUE"""),"Dokumen")</f>
        <v>Dokumen</v>
      </c>
      <c r="M316" s="66">
        <f ca="1">IFERROR(__xludf.DUMMYFUNCTION("""COMPUTED_VALUE"""),55000)</f>
        <v>55000</v>
      </c>
      <c r="N316" s="10">
        <f ca="1">IFERROR(__xludf.DUMMYFUNCTION("""COMPUTED_VALUE"""),3)</f>
        <v>3</v>
      </c>
      <c r="O316" s="10">
        <f ca="1">IFERROR(__xludf.DUMMYFUNCTION("""COMPUTED_VALUE"""),165000)</f>
        <v>165000</v>
      </c>
      <c r="P316" s="10"/>
      <c r="Q316" s="67">
        <f ca="1">IFERROR(__xludf.DUMMYFUNCTION("""COMPUTED_VALUE"""),45432)</f>
        <v>45432</v>
      </c>
    </row>
    <row r="317" spans="1:17" ht="12.5">
      <c r="A317" s="82">
        <f t="array" aca="1" ref="A317" ca="1">INDEX('Database Mitra'!$R$2:$R1001,MATCH(C317,'Database Mitra'!$B$2:$B1001,0))</f>
        <v>37531</v>
      </c>
      <c r="B317" s="10" t="e">
        <f t="shared" ca="1" si="0"/>
        <v>#NAME?</v>
      </c>
      <c r="C317" s="83">
        <f ca="1">IFERROR(__xludf.DUMMYFUNCTION("""COMPUTED_VALUE"""),610422100016)</f>
        <v>610422100016</v>
      </c>
      <c r="D317" s="10" t="str">
        <f ca="1">IFERROR(__xludf.DUMMYFUNCTION("""COMPUTED_VALUE"""),"SHPED24-LAPANGAN-MEI")</f>
        <v>SHPED24-LAPANGAN-MEI</v>
      </c>
      <c r="E317" s="10"/>
      <c r="F317" s="10">
        <f ca="1">IFERROR(__xludf.DUMMYFUNCTION("""COMPUTED_VALUE"""),1)</f>
        <v>1</v>
      </c>
      <c r="G317" s="10" t="str">
        <f ca="1">IFERROR(__xludf.DUMMYFUNCTION("""COMPUTED_VALUE"""),"Amalia Faisya")</f>
        <v>Amalia Faisya</v>
      </c>
      <c r="H317" s="10" t="str">
        <f ca="1">IFERROR(__xludf.DUMMYFUNCTION("""COMPUTED_VALUE"""),"PPL")</f>
        <v>PPL</v>
      </c>
      <c r="I317" s="10" t="str">
        <f ca="1">IFERROR(__xludf.DUMMYFUNCTION("""COMPUTED_VALUE"""),"6102124210010005")</f>
        <v>6102124210010005</v>
      </c>
      <c r="J317" s="10" t="str">
        <f ca="1">IFERROR(__xludf.DUMMYFUNCTION("""COMPUTED_VALUE"""),"PENDATAAN PRODUSEN")</f>
        <v>PENDATAAN PRODUSEN</v>
      </c>
      <c r="K317" s="10" t="str">
        <f ca="1">IFERROR(__xludf.DUMMYFUNCTION("""COMPUTED_VALUE"""),"SHPED24-LAPANGAN-MEI-PPL-PENDATAAN PRODUSEN")</f>
        <v>SHPED24-LAPANGAN-MEI-PPL-PENDATAAN PRODUSEN</v>
      </c>
      <c r="L317" s="10" t="str">
        <f ca="1">IFERROR(__xludf.DUMMYFUNCTION("""COMPUTED_VALUE"""),"Dokumen")</f>
        <v>Dokumen</v>
      </c>
      <c r="M317" s="66">
        <f ca="1">IFERROR(__xludf.DUMMYFUNCTION("""COMPUTED_VALUE"""),55000)</f>
        <v>55000</v>
      </c>
      <c r="N317" s="10">
        <f ca="1">IFERROR(__xludf.DUMMYFUNCTION("""COMPUTED_VALUE"""),1)</f>
        <v>1</v>
      </c>
      <c r="O317" s="10">
        <f ca="1">IFERROR(__xludf.DUMMYFUNCTION("""COMPUTED_VALUE"""),55000)</f>
        <v>55000</v>
      </c>
      <c r="P317" s="10"/>
      <c r="Q317" s="67">
        <f ca="1">IFERROR(__xludf.DUMMYFUNCTION("""COMPUTED_VALUE"""),45432)</f>
        <v>45432</v>
      </c>
    </row>
    <row r="318" spans="1:17" ht="12.5">
      <c r="A318" s="11">
        <f t="array" aca="1" ref="A318" ca="1">INDEX('Database Mitra'!$R$2:$R1001,MATCH(C318,'Database Mitra'!$B$2:$B1001,0))</f>
        <v>29305</v>
      </c>
      <c r="B318" s="10" t="e">
        <f t="shared" ca="1" si="0"/>
        <v>#NAME?</v>
      </c>
      <c r="C318" s="83">
        <f ca="1">IFERROR(__xludf.DUMMYFUNCTION("""COMPUTED_VALUE"""),610422020048)</f>
        <v>610422020048</v>
      </c>
      <c r="D318" s="10" t="str">
        <f ca="1">IFERROR(__xludf.DUMMYFUNCTION("""COMPUTED_VALUE"""),"SHPED24-LAPANGAN-MEI")</f>
        <v>SHPED24-LAPANGAN-MEI</v>
      </c>
      <c r="E318" s="10"/>
      <c r="F318" s="10">
        <f ca="1">IFERROR(__xludf.DUMMYFUNCTION("""COMPUTED_VALUE"""),1)</f>
        <v>1</v>
      </c>
      <c r="G318" s="10" t="str">
        <f ca="1">IFERROR(__xludf.DUMMYFUNCTION("""COMPUTED_VALUE"""),"Herri Gustaman")</f>
        <v>Herri Gustaman</v>
      </c>
      <c r="H318" s="10" t="str">
        <f ca="1">IFERROR(__xludf.DUMMYFUNCTION("""COMPUTED_VALUE"""),"PPL")</f>
        <v>PPL</v>
      </c>
      <c r="I318" s="10" t="str">
        <f ca="1">IFERROR(__xludf.DUMMYFUNCTION("""COMPUTED_VALUE"""),"6102072503800001")</f>
        <v>6102072503800001</v>
      </c>
      <c r="J318" s="10" t="str">
        <f ca="1">IFERROR(__xludf.DUMMYFUNCTION("""COMPUTED_VALUE"""),"PENDATAAN PRODUSEN")</f>
        <v>PENDATAAN PRODUSEN</v>
      </c>
      <c r="K318" s="10" t="str">
        <f ca="1">IFERROR(__xludf.DUMMYFUNCTION("""COMPUTED_VALUE"""),"SHPED24-LAPANGAN-MEI-PPL-PENDATAAN PRODUSEN")</f>
        <v>SHPED24-LAPANGAN-MEI-PPL-PENDATAAN PRODUSEN</v>
      </c>
      <c r="L318" s="10" t="str">
        <f ca="1">IFERROR(__xludf.DUMMYFUNCTION("""COMPUTED_VALUE"""),"Dokumen")</f>
        <v>Dokumen</v>
      </c>
      <c r="M318" s="66">
        <f ca="1">IFERROR(__xludf.DUMMYFUNCTION("""COMPUTED_VALUE"""),55000)</f>
        <v>55000</v>
      </c>
      <c r="N318" s="10">
        <f ca="1">IFERROR(__xludf.DUMMYFUNCTION("""COMPUTED_VALUE"""),3)</f>
        <v>3</v>
      </c>
      <c r="O318" s="10">
        <f ca="1">IFERROR(__xludf.DUMMYFUNCTION("""COMPUTED_VALUE"""),165000)</f>
        <v>165000</v>
      </c>
      <c r="P318" s="10"/>
      <c r="Q318" s="67">
        <f ca="1">IFERROR(__xludf.DUMMYFUNCTION("""COMPUTED_VALUE"""),45432)</f>
        <v>45432</v>
      </c>
    </row>
    <row r="319" spans="1:17" ht="12.5">
      <c r="A319" s="82">
        <f t="array" aca="1" ref="A319" ca="1">INDEX('Database Mitra'!$R$2:$R1001,MATCH(C319,'Database Mitra'!$B$2:$B1001,0))</f>
        <v>31964</v>
      </c>
      <c r="B319" s="10" t="e">
        <f t="shared" ca="1" si="0"/>
        <v>#NAME?</v>
      </c>
      <c r="C319" s="83">
        <f ca="1">IFERROR(__xludf.DUMMYFUNCTION("""COMPUTED_VALUE"""),610422040029)</f>
        <v>610422040029</v>
      </c>
      <c r="D319" s="10" t="str">
        <f ca="1">IFERROR(__xludf.DUMMYFUNCTION("""COMPUTED_VALUE"""),"SHPED24-LAPANGAN-MEI")</f>
        <v>SHPED24-LAPANGAN-MEI</v>
      </c>
      <c r="E319" s="10"/>
      <c r="F319" s="10">
        <f ca="1">IFERROR(__xludf.DUMMYFUNCTION("""COMPUTED_VALUE"""),1)</f>
        <v>1</v>
      </c>
      <c r="G319" s="10" t="str">
        <f ca="1">IFERROR(__xludf.DUMMYFUNCTION("""COMPUTED_VALUE"""),"Zaini")</f>
        <v>Zaini</v>
      </c>
      <c r="H319" s="10" t="str">
        <f ca="1">IFERROR(__xludf.DUMMYFUNCTION("""COMPUTED_VALUE"""),"PPL")</f>
        <v>PPL</v>
      </c>
      <c r="I319" s="10" t="str">
        <f ca="1">IFERROR(__xludf.DUMMYFUNCTION("""COMPUTED_VALUE"""),"6102010607870002")</f>
        <v>6102010607870002</v>
      </c>
      <c r="J319" s="10" t="str">
        <f ca="1">IFERROR(__xludf.DUMMYFUNCTION("""COMPUTED_VALUE"""),"PENDATAAN PRODUSEN")</f>
        <v>PENDATAAN PRODUSEN</v>
      </c>
      <c r="K319" s="10" t="str">
        <f ca="1">IFERROR(__xludf.DUMMYFUNCTION("""COMPUTED_VALUE"""),"SHPED24-LAPANGAN-MEI-PPL-PENDATAAN PRODUSEN")</f>
        <v>SHPED24-LAPANGAN-MEI-PPL-PENDATAAN PRODUSEN</v>
      </c>
      <c r="L319" s="10" t="str">
        <f ca="1">IFERROR(__xludf.DUMMYFUNCTION("""COMPUTED_VALUE"""),"Dokumen")</f>
        <v>Dokumen</v>
      </c>
      <c r="M319" s="66">
        <f ca="1">IFERROR(__xludf.DUMMYFUNCTION("""COMPUTED_VALUE"""),55000)</f>
        <v>55000</v>
      </c>
      <c r="N319" s="10">
        <f ca="1">IFERROR(__xludf.DUMMYFUNCTION("""COMPUTED_VALUE"""),4)</f>
        <v>4</v>
      </c>
      <c r="O319" s="10">
        <f ca="1">IFERROR(__xludf.DUMMYFUNCTION("""COMPUTED_VALUE"""),220000)</f>
        <v>220000</v>
      </c>
      <c r="P319" s="10"/>
      <c r="Q319" s="67">
        <f ca="1">IFERROR(__xludf.DUMMYFUNCTION("""COMPUTED_VALUE"""),45432)</f>
        <v>45432</v>
      </c>
    </row>
    <row r="320" spans="1:17" ht="12.5">
      <c r="A320" s="82">
        <f t="array" aca="1" ref="A320" ca="1">INDEX('Database Mitra'!$R$2:$R1001,MATCH(C320,'Database Mitra'!$B$2:$B1001,0))</f>
        <v>30692</v>
      </c>
      <c r="B320" s="10" t="e">
        <f t="shared" ca="1" si="0"/>
        <v>#NAME?</v>
      </c>
      <c r="C320" s="83">
        <f ca="1">IFERROR(__xludf.DUMMYFUNCTION("""COMPUTED_VALUE"""),610422050001)</f>
        <v>610422050001</v>
      </c>
      <c r="D320" s="10" t="str">
        <f ca="1">IFERROR(__xludf.DUMMYFUNCTION("""COMPUTED_VALUE"""),"SHPED24-LAPANGAN-MEI")</f>
        <v>SHPED24-LAPANGAN-MEI</v>
      </c>
      <c r="E320" s="10"/>
      <c r="F320" s="10">
        <f ca="1">IFERROR(__xludf.DUMMYFUNCTION("""COMPUTED_VALUE"""),1)</f>
        <v>1</v>
      </c>
      <c r="G320" s="10" t="str">
        <f ca="1">IFERROR(__xludf.DUMMYFUNCTION("""COMPUTED_VALUE"""),"Evi Juniarty")</f>
        <v>Evi Juniarty</v>
      </c>
      <c r="H320" s="10" t="str">
        <f ca="1">IFERROR(__xludf.DUMMYFUNCTION("""COMPUTED_VALUE"""),"PPL")</f>
        <v>PPL</v>
      </c>
      <c r="I320" s="10" t="str">
        <f ca="1">IFERROR(__xludf.DUMMYFUNCTION("""COMPUTED_VALUE"""),"6102165101840001")</f>
        <v>6102165101840001</v>
      </c>
      <c r="J320" s="10" t="str">
        <f ca="1">IFERROR(__xludf.DUMMYFUNCTION("""COMPUTED_VALUE"""),"PENDATAAN PRODUSEN")</f>
        <v>PENDATAAN PRODUSEN</v>
      </c>
      <c r="K320" s="10" t="str">
        <f ca="1">IFERROR(__xludf.DUMMYFUNCTION("""COMPUTED_VALUE"""),"SHPED24-LAPANGAN-MEI-PPL-PENDATAAN PRODUSEN")</f>
        <v>SHPED24-LAPANGAN-MEI-PPL-PENDATAAN PRODUSEN</v>
      </c>
      <c r="L320" s="10" t="str">
        <f ca="1">IFERROR(__xludf.DUMMYFUNCTION("""COMPUTED_VALUE"""),"Dokumen")</f>
        <v>Dokumen</v>
      </c>
      <c r="M320" s="66">
        <f ca="1">IFERROR(__xludf.DUMMYFUNCTION("""COMPUTED_VALUE"""),55000)</f>
        <v>55000</v>
      </c>
      <c r="N320" s="10">
        <f ca="1">IFERROR(__xludf.DUMMYFUNCTION("""COMPUTED_VALUE"""),1)</f>
        <v>1</v>
      </c>
      <c r="O320" s="10">
        <f ca="1">IFERROR(__xludf.DUMMYFUNCTION("""COMPUTED_VALUE"""),55000)</f>
        <v>55000</v>
      </c>
      <c r="P320" s="10"/>
      <c r="Q320" s="67">
        <f ca="1">IFERROR(__xludf.DUMMYFUNCTION("""COMPUTED_VALUE"""),45432)</f>
        <v>45432</v>
      </c>
    </row>
    <row r="321" spans="1:17" ht="12.5">
      <c r="A321" s="82">
        <f t="array" aca="1" ref="A321" ca="1">INDEX('Database Mitra'!$R$2:$R1001,MATCH(C321,'Database Mitra'!$B$2:$B1001,0))</f>
        <v>29068</v>
      </c>
      <c r="B321" s="10" t="e">
        <f t="shared" ca="1" si="0"/>
        <v>#NAME?</v>
      </c>
      <c r="C321" s="83">
        <f ca="1">IFERROR(__xludf.DUMMYFUNCTION("""COMPUTED_VALUE"""),610422100124)</f>
        <v>610422100124</v>
      </c>
      <c r="D321" s="10" t="str">
        <f ca="1">IFERROR(__xludf.DUMMYFUNCTION("""COMPUTED_VALUE"""),"HPBG24-LAPANGAN-MEI")</f>
        <v>HPBG24-LAPANGAN-MEI</v>
      </c>
      <c r="E321" s="10"/>
      <c r="F321" s="10">
        <f ca="1">IFERROR(__xludf.DUMMYFUNCTION("""COMPUTED_VALUE"""),1)</f>
        <v>1</v>
      </c>
      <c r="G321" s="10" t="str">
        <f ca="1">IFERROR(__xludf.DUMMYFUNCTION("""COMPUTED_VALUE"""),"Prabowo")</f>
        <v>Prabowo</v>
      </c>
      <c r="H321" s="10" t="str">
        <f ca="1">IFERROR(__xludf.DUMMYFUNCTION("""COMPUTED_VALUE"""),"PPL")</f>
        <v>PPL</v>
      </c>
      <c r="I321" s="10" t="str">
        <f ca="1">IFERROR(__xludf.DUMMYFUNCTION("""COMPUTED_VALUE"""),"6171010108790015")</f>
        <v>6171010108790015</v>
      </c>
      <c r="J321" s="10" t="str">
        <f ca="1">IFERROR(__xludf.DUMMYFUNCTION("""COMPUTED_VALUE"""),"PENDATAAN")</f>
        <v>PENDATAAN</v>
      </c>
      <c r="K321" s="10" t="str">
        <f ca="1">IFERROR(__xludf.DUMMYFUNCTION("""COMPUTED_VALUE"""),"HPBG24-LAPANGAN-MEI-PPL-PENDATAAN")</f>
        <v>HPBG24-LAPANGAN-MEI-PPL-PENDATAAN</v>
      </c>
      <c r="L321" s="10" t="str">
        <f ca="1">IFERROR(__xludf.DUMMYFUNCTION("""COMPUTED_VALUE"""),"Dokumen")</f>
        <v>Dokumen</v>
      </c>
      <c r="M321" s="66">
        <f ca="1">IFERROR(__xludf.DUMMYFUNCTION("""COMPUTED_VALUE"""),55000)</f>
        <v>55000</v>
      </c>
      <c r="N321" s="10">
        <f ca="1">IFERROR(__xludf.DUMMYFUNCTION("""COMPUTED_VALUE"""),2)</f>
        <v>2</v>
      </c>
      <c r="O321" s="10">
        <f ca="1">IFERROR(__xludf.DUMMYFUNCTION("""COMPUTED_VALUE"""),110000)</f>
        <v>110000</v>
      </c>
      <c r="P321" s="10"/>
      <c r="Q321" s="67">
        <f ca="1">IFERROR(__xludf.DUMMYFUNCTION("""COMPUTED_VALUE"""),45432)</f>
        <v>45432</v>
      </c>
    </row>
    <row r="322" spans="1:17" ht="12.5">
      <c r="A322" s="82">
        <f t="array" aca="1" ref="A322" ca="1">INDEX('Database Mitra'!$R$2:$R1001,MATCH(C322,'Database Mitra'!$B$2:$B1001,0))</f>
        <v>32942</v>
      </c>
      <c r="B322" s="10" t="e">
        <f t="shared" ca="1" si="0"/>
        <v>#NAME?</v>
      </c>
      <c r="C322" s="83">
        <f ca="1">IFERROR(__xludf.DUMMYFUNCTION("""COMPUTED_VALUE"""),610422100244)</f>
        <v>610422100244</v>
      </c>
      <c r="D322" s="10" t="str">
        <f ca="1">IFERROR(__xludf.DUMMYFUNCTION("""COMPUTED_VALUE"""),"HPBG24-LAPANGAN-MEI")</f>
        <v>HPBG24-LAPANGAN-MEI</v>
      </c>
      <c r="E322" s="10"/>
      <c r="F322" s="10">
        <f ca="1">IFERROR(__xludf.DUMMYFUNCTION("""COMPUTED_VALUE"""),1)</f>
        <v>1</v>
      </c>
      <c r="G322" s="10" t="str">
        <f ca="1">IFERROR(__xludf.DUMMYFUNCTION("""COMPUTED_VALUE"""),"Sugianto")</f>
        <v>Sugianto</v>
      </c>
      <c r="H322" s="10" t="str">
        <f ca="1">IFERROR(__xludf.DUMMYFUNCTION("""COMPUTED_VALUE"""),"PPL")</f>
        <v>PPL</v>
      </c>
      <c r="I322" s="10" t="str">
        <f ca="1">IFERROR(__xludf.DUMMYFUNCTION("""COMPUTED_VALUE"""),"6102171003900002")</f>
        <v>6102171003900002</v>
      </c>
      <c r="J322" s="10" t="str">
        <f ca="1">IFERROR(__xludf.DUMMYFUNCTION("""COMPUTED_VALUE"""),"PENDATAAN")</f>
        <v>PENDATAAN</v>
      </c>
      <c r="K322" s="10" t="str">
        <f ca="1">IFERROR(__xludf.DUMMYFUNCTION("""COMPUTED_VALUE"""),"HPBG24-LAPANGAN-MEI-PPL-PENDATAAN")</f>
        <v>HPBG24-LAPANGAN-MEI-PPL-PENDATAAN</v>
      </c>
      <c r="L322" s="10" t="str">
        <f ca="1">IFERROR(__xludf.DUMMYFUNCTION("""COMPUTED_VALUE"""),"Dokumen")</f>
        <v>Dokumen</v>
      </c>
      <c r="M322" s="66">
        <f ca="1">IFERROR(__xludf.DUMMYFUNCTION("""COMPUTED_VALUE"""),55000)</f>
        <v>55000</v>
      </c>
      <c r="N322" s="10">
        <f ca="1">IFERROR(__xludf.DUMMYFUNCTION("""COMPUTED_VALUE"""),2)</f>
        <v>2</v>
      </c>
      <c r="O322" s="10">
        <f ca="1">IFERROR(__xludf.DUMMYFUNCTION("""COMPUTED_VALUE"""),110000)</f>
        <v>110000</v>
      </c>
      <c r="P322" s="10"/>
      <c r="Q322" s="67">
        <f ca="1">IFERROR(__xludf.DUMMYFUNCTION("""COMPUTED_VALUE"""),45432)</f>
        <v>45432</v>
      </c>
    </row>
    <row r="323" spans="1:17" ht="12.5">
      <c r="A323" s="82">
        <f t="array" aca="1" ref="A323" ca="1">INDEX('Database Mitra'!$R$2:$R1001,MATCH(C323,'Database Mitra'!$B$2:$B1001,0))</f>
        <v>35862</v>
      </c>
      <c r="B323" s="10" t="e">
        <f t="shared" ca="1" si="0"/>
        <v>#NAME?</v>
      </c>
      <c r="C323" s="83">
        <f ca="1">IFERROR(__xludf.DUMMYFUNCTION("""COMPUTED_VALUE"""),610422100165)</f>
        <v>610422100165</v>
      </c>
      <c r="D323" s="10" t="str">
        <f ca="1">IFERROR(__xludf.DUMMYFUNCTION("""COMPUTED_VALUE"""),"HPBG24-LAPANGAN-MEI")</f>
        <v>HPBG24-LAPANGAN-MEI</v>
      </c>
      <c r="E323" s="10"/>
      <c r="F323" s="10">
        <f ca="1">IFERROR(__xludf.DUMMYFUNCTION("""COMPUTED_VALUE"""),1)</f>
        <v>1</v>
      </c>
      <c r="G323" s="10" t="str">
        <f ca="1">IFERROR(__xludf.DUMMYFUNCTION("""COMPUTED_VALUE"""),"Yanti")</f>
        <v>Yanti</v>
      </c>
      <c r="H323" s="10" t="str">
        <f ca="1">IFERROR(__xludf.DUMMYFUNCTION("""COMPUTED_VALUE"""),"PPL")</f>
        <v>PPL</v>
      </c>
      <c r="I323" s="10" t="str">
        <f ca="1">IFERROR(__xludf.DUMMYFUNCTION("""COMPUTED_VALUE"""),"6102074803980002")</f>
        <v>6102074803980002</v>
      </c>
      <c r="J323" s="10" t="str">
        <f ca="1">IFERROR(__xludf.DUMMYFUNCTION("""COMPUTED_VALUE"""),"PENDATAAN")</f>
        <v>PENDATAAN</v>
      </c>
      <c r="K323" s="10" t="str">
        <f ca="1">IFERROR(__xludf.DUMMYFUNCTION("""COMPUTED_VALUE"""),"HPBG24-LAPANGAN-MEI-PPL-PENDATAAN")</f>
        <v>HPBG24-LAPANGAN-MEI-PPL-PENDATAAN</v>
      </c>
      <c r="L323" s="10" t="str">
        <f ca="1">IFERROR(__xludf.DUMMYFUNCTION("""COMPUTED_VALUE"""),"Dokumen")</f>
        <v>Dokumen</v>
      </c>
      <c r="M323" s="66">
        <f ca="1">IFERROR(__xludf.DUMMYFUNCTION("""COMPUTED_VALUE"""),55000)</f>
        <v>55000</v>
      </c>
      <c r="N323" s="10">
        <f ca="1">IFERROR(__xludf.DUMMYFUNCTION("""COMPUTED_VALUE"""),2)</f>
        <v>2</v>
      </c>
      <c r="O323" s="10">
        <f ca="1">IFERROR(__xludf.DUMMYFUNCTION("""COMPUTED_VALUE"""),110000)</f>
        <v>110000</v>
      </c>
      <c r="P323" s="10"/>
      <c r="Q323" s="67">
        <f ca="1">IFERROR(__xludf.DUMMYFUNCTION("""COMPUTED_VALUE"""),45432)</f>
        <v>45432</v>
      </c>
    </row>
    <row r="324" spans="1:17" ht="12.5">
      <c r="A324" s="82">
        <f t="array" aca="1" ref="A324" ca="1">INDEX('Database Mitra'!$R$2:$R1001,MATCH(C324,'Database Mitra'!$B$2:$B1001,0))</f>
        <v>35862</v>
      </c>
      <c r="B324" s="10" t="e">
        <f t="shared" ca="1" si="0"/>
        <v>#NAME?</v>
      </c>
      <c r="C324" s="83">
        <f ca="1">IFERROR(__xludf.DUMMYFUNCTION("""COMPUTED_VALUE"""),610422100165)</f>
        <v>610422100165</v>
      </c>
      <c r="D324" s="10" t="str">
        <f ca="1">IFERROR(__xludf.DUMMYFUNCTION("""COMPUTED_VALUE"""),"HPJ24-LAPANGAN-MEI")</f>
        <v>HPJ24-LAPANGAN-MEI</v>
      </c>
      <c r="E324" s="10"/>
      <c r="F324" s="10">
        <f ca="1">IFERROR(__xludf.DUMMYFUNCTION("""COMPUTED_VALUE"""),1)</f>
        <v>1</v>
      </c>
      <c r="G324" s="10" t="str">
        <f ca="1">IFERROR(__xludf.DUMMYFUNCTION("""COMPUTED_VALUE"""),"Yanti")</f>
        <v>Yanti</v>
      </c>
      <c r="H324" s="10" t="str">
        <f ca="1">IFERROR(__xludf.DUMMYFUNCTION("""COMPUTED_VALUE"""),"PPL")</f>
        <v>PPL</v>
      </c>
      <c r="I324" s="10" t="str">
        <f ca="1">IFERROR(__xludf.DUMMYFUNCTION("""COMPUTED_VALUE"""),"6102074803980002")</f>
        <v>6102074803980002</v>
      </c>
      <c r="J324" s="10" t="str">
        <f ca="1">IFERROR(__xludf.DUMMYFUNCTION("""COMPUTED_VALUE"""),"PENDATAAN")</f>
        <v>PENDATAAN</v>
      </c>
      <c r="K324" s="10" t="str">
        <f ca="1">IFERROR(__xludf.DUMMYFUNCTION("""COMPUTED_VALUE"""),"HPJ24-LAPANGAN-MEI-PPL-PENDATAAN")</f>
        <v>HPJ24-LAPANGAN-MEI-PPL-PENDATAAN</v>
      </c>
      <c r="L324" s="10" t="str">
        <f ca="1">IFERROR(__xludf.DUMMYFUNCTION("""COMPUTED_VALUE"""),"Dokumen")</f>
        <v>Dokumen</v>
      </c>
      <c r="M324" s="66">
        <f ca="1">IFERROR(__xludf.DUMMYFUNCTION("""COMPUTED_VALUE"""),50000)</f>
        <v>50000</v>
      </c>
      <c r="N324" s="10">
        <f ca="1">IFERROR(__xludf.DUMMYFUNCTION("""COMPUTED_VALUE"""),1)</f>
        <v>1</v>
      </c>
      <c r="O324" s="10">
        <f ca="1">IFERROR(__xludf.DUMMYFUNCTION("""COMPUTED_VALUE"""),50000)</f>
        <v>50000</v>
      </c>
      <c r="P324" s="10"/>
      <c r="Q324" s="67">
        <f ca="1">IFERROR(__xludf.DUMMYFUNCTION("""COMPUTED_VALUE"""),45432)</f>
        <v>45432</v>
      </c>
    </row>
    <row r="325" spans="1:17" ht="12.5">
      <c r="A325" s="82">
        <f t="array" aca="1" ref="A325" ca="1">INDEX('Database Mitra'!$R$2:$R1001,MATCH(C325,'Database Mitra'!$B$2:$B1001,0))</f>
        <v>31964</v>
      </c>
      <c r="B325" s="10" t="e">
        <f t="shared" ca="1" si="0"/>
        <v>#NAME?</v>
      </c>
      <c r="C325" s="83">
        <f ca="1">IFERROR(__xludf.DUMMYFUNCTION("""COMPUTED_VALUE"""),610422040029)</f>
        <v>610422040029</v>
      </c>
      <c r="D325" s="10" t="str">
        <f ca="1">IFERROR(__xludf.DUMMYFUNCTION("""COMPUTED_VALUE"""),"VHTS24-LAPANGAN-MEI")</f>
        <v>VHTS24-LAPANGAN-MEI</v>
      </c>
      <c r="E325" s="10"/>
      <c r="F325" s="10">
        <f ca="1">IFERROR(__xludf.DUMMYFUNCTION("""COMPUTED_VALUE"""),1)</f>
        <v>1</v>
      </c>
      <c r="G325" s="10" t="str">
        <f ca="1">IFERROR(__xludf.DUMMYFUNCTION("""COMPUTED_VALUE"""),"Zaini")</f>
        <v>Zaini</v>
      </c>
      <c r="H325" s="10" t="str">
        <f ca="1">IFERROR(__xludf.DUMMYFUNCTION("""COMPUTED_VALUE"""),"PPL")</f>
        <v>PPL</v>
      </c>
      <c r="I325" s="10" t="str">
        <f ca="1">IFERROR(__xludf.DUMMYFUNCTION("""COMPUTED_VALUE"""),"6102010607870002")</f>
        <v>6102010607870002</v>
      </c>
      <c r="J325" s="10" t="str">
        <f ca="1">IFERROR(__xludf.DUMMYFUNCTION("""COMPUTED_VALUE"""),"PENDATAAN")</f>
        <v>PENDATAAN</v>
      </c>
      <c r="K325" s="10" t="str">
        <f ca="1">IFERROR(__xludf.DUMMYFUNCTION("""COMPUTED_VALUE"""),"VHTS24-LAPANGAN-MEI-PPL-PENDATAAN")</f>
        <v>VHTS24-LAPANGAN-MEI-PPL-PENDATAAN</v>
      </c>
      <c r="L325" s="10" t="str">
        <f ca="1">IFERROR(__xludf.DUMMYFUNCTION("""COMPUTED_VALUE"""),"Dokumen")</f>
        <v>Dokumen</v>
      </c>
      <c r="M325" s="66">
        <f ca="1">IFERROR(__xludf.DUMMYFUNCTION("""COMPUTED_VALUE"""),55000)</f>
        <v>55000</v>
      </c>
      <c r="N325" s="10">
        <f ca="1">IFERROR(__xludf.DUMMYFUNCTION("""COMPUTED_VALUE"""),3)</f>
        <v>3</v>
      </c>
      <c r="O325" s="10">
        <f ca="1">IFERROR(__xludf.DUMMYFUNCTION("""COMPUTED_VALUE"""),165000)</f>
        <v>165000</v>
      </c>
      <c r="P325" s="10"/>
      <c r="Q325" s="67">
        <f ca="1">IFERROR(__xludf.DUMMYFUNCTION("""COMPUTED_VALUE"""),45432)</f>
        <v>45432</v>
      </c>
    </row>
    <row r="326" spans="1:17" ht="12.5">
      <c r="A326" s="82">
        <f t="array" aca="1" ref="A326" ca="1">INDEX('Database Mitra'!$R$2:$R1001,MATCH(C326,'Database Mitra'!$B$2:$B1001,0))</f>
        <v>35862</v>
      </c>
      <c r="B326" s="10" t="e">
        <f t="shared" ca="1" si="0"/>
        <v>#NAME?</v>
      </c>
      <c r="C326" s="83">
        <f ca="1">IFERROR(__xludf.DUMMYFUNCTION("""COMPUTED_VALUE"""),610422100165)</f>
        <v>610422100165</v>
      </c>
      <c r="D326" s="10" t="str">
        <f ca="1">IFERROR(__xludf.DUMMYFUNCTION("""COMPUTED_VALUE"""),"VHTS24-LAPANGAN-MEI")</f>
        <v>VHTS24-LAPANGAN-MEI</v>
      </c>
      <c r="E326" s="10"/>
      <c r="F326" s="10">
        <f ca="1">IFERROR(__xludf.DUMMYFUNCTION("""COMPUTED_VALUE"""),1)</f>
        <v>1</v>
      </c>
      <c r="G326" s="10" t="str">
        <f ca="1">IFERROR(__xludf.DUMMYFUNCTION("""COMPUTED_VALUE"""),"Yanti")</f>
        <v>Yanti</v>
      </c>
      <c r="H326" s="10" t="str">
        <f ca="1">IFERROR(__xludf.DUMMYFUNCTION("""COMPUTED_VALUE"""),"PPL")</f>
        <v>PPL</v>
      </c>
      <c r="I326" s="10" t="str">
        <f ca="1">IFERROR(__xludf.DUMMYFUNCTION("""COMPUTED_VALUE"""),"6102074803980002")</f>
        <v>6102074803980002</v>
      </c>
      <c r="J326" s="10" t="str">
        <f ca="1">IFERROR(__xludf.DUMMYFUNCTION("""COMPUTED_VALUE"""),"PENDATAAN")</f>
        <v>PENDATAAN</v>
      </c>
      <c r="K326" s="10" t="str">
        <f ca="1">IFERROR(__xludf.DUMMYFUNCTION("""COMPUTED_VALUE"""),"VHTS24-LAPANGAN-MEI-PPL-PENDATAAN")</f>
        <v>VHTS24-LAPANGAN-MEI-PPL-PENDATAAN</v>
      </c>
      <c r="L326" s="10" t="str">
        <f ca="1">IFERROR(__xludf.DUMMYFUNCTION("""COMPUTED_VALUE"""),"Dokumen")</f>
        <v>Dokumen</v>
      </c>
      <c r="M326" s="66">
        <f ca="1">IFERROR(__xludf.DUMMYFUNCTION("""COMPUTED_VALUE"""),55000)</f>
        <v>55000</v>
      </c>
      <c r="N326" s="10">
        <f ca="1">IFERROR(__xludf.DUMMYFUNCTION("""COMPUTED_VALUE"""),3)</f>
        <v>3</v>
      </c>
      <c r="O326" s="10">
        <f ca="1">IFERROR(__xludf.DUMMYFUNCTION("""COMPUTED_VALUE"""),165000)</f>
        <v>165000</v>
      </c>
      <c r="P326" s="10"/>
      <c r="Q326" s="67">
        <f ca="1">IFERROR(__xludf.DUMMYFUNCTION("""COMPUTED_VALUE"""),45432)</f>
        <v>45432</v>
      </c>
    </row>
    <row r="327" spans="1:17" ht="12.5">
      <c r="A327" s="82">
        <f t="array" aca="1" ref="A327" ca="1">INDEX('Database Mitra'!$R$2:$R1001,MATCH(C327,'Database Mitra'!$B$2:$B1001,0))</f>
        <v>30692</v>
      </c>
      <c r="B327" s="10" t="e">
        <f t="shared" ca="1" si="0"/>
        <v>#NAME?</v>
      </c>
      <c r="C327" s="83">
        <f ca="1">IFERROR(__xludf.DUMMYFUNCTION("""COMPUTED_VALUE"""),610422050001)</f>
        <v>610422050001</v>
      </c>
      <c r="D327" s="10" t="str">
        <f ca="1">IFERROR(__xludf.DUMMYFUNCTION("""COMPUTED_VALUE"""),"VHTS24-LAPANGAN-MEI")</f>
        <v>VHTS24-LAPANGAN-MEI</v>
      </c>
      <c r="E327" s="10"/>
      <c r="F327" s="10">
        <f ca="1">IFERROR(__xludf.DUMMYFUNCTION("""COMPUTED_VALUE"""),1)</f>
        <v>1</v>
      </c>
      <c r="G327" s="10" t="str">
        <f ca="1">IFERROR(__xludf.DUMMYFUNCTION("""COMPUTED_VALUE"""),"Evi Juniarty")</f>
        <v>Evi Juniarty</v>
      </c>
      <c r="H327" s="10" t="str">
        <f ca="1">IFERROR(__xludf.DUMMYFUNCTION("""COMPUTED_VALUE"""),"PPL")</f>
        <v>PPL</v>
      </c>
      <c r="I327" s="10" t="str">
        <f ca="1">IFERROR(__xludf.DUMMYFUNCTION("""COMPUTED_VALUE"""),"6102165101840001")</f>
        <v>6102165101840001</v>
      </c>
      <c r="J327" s="10" t="str">
        <f ca="1">IFERROR(__xludf.DUMMYFUNCTION("""COMPUTED_VALUE"""),"PENDATAAN")</f>
        <v>PENDATAAN</v>
      </c>
      <c r="K327" s="10" t="str">
        <f ca="1">IFERROR(__xludf.DUMMYFUNCTION("""COMPUTED_VALUE"""),"VHTS24-LAPANGAN-MEI-PPL-PENDATAAN")</f>
        <v>VHTS24-LAPANGAN-MEI-PPL-PENDATAAN</v>
      </c>
      <c r="L327" s="10" t="str">
        <f ca="1">IFERROR(__xludf.DUMMYFUNCTION("""COMPUTED_VALUE"""),"Dokumen")</f>
        <v>Dokumen</v>
      </c>
      <c r="M327" s="66">
        <f ca="1">IFERROR(__xludf.DUMMYFUNCTION("""COMPUTED_VALUE"""),55000)</f>
        <v>55000</v>
      </c>
      <c r="N327" s="10">
        <f ca="1">IFERROR(__xludf.DUMMYFUNCTION("""COMPUTED_VALUE"""),3)</f>
        <v>3</v>
      </c>
      <c r="O327" s="10">
        <f ca="1">IFERROR(__xludf.DUMMYFUNCTION("""COMPUTED_VALUE"""),165000)</f>
        <v>165000</v>
      </c>
      <c r="P327" s="10"/>
      <c r="Q327" s="67">
        <f ca="1">IFERROR(__xludf.DUMMYFUNCTION("""COMPUTED_VALUE"""),45432)</f>
        <v>45432</v>
      </c>
    </row>
    <row r="328" spans="1:17" ht="12.5">
      <c r="A328" s="82">
        <f t="array" aca="1" ref="A328" ca="1">INDEX('Database Mitra'!$R$2:$R1001,MATCH(C328,'Database Mitra'!$B$2:$B1001,0))</f>
        <v>27798</v>
      </c>
      <c r="B328" s="10" t="e">
        <f t="shared" ca="1" si="0"/>
        <v>#NAME?</v>
      </c>
      <c r="C328" s="83">
        <f ca="1">IFERROR(__xludf.DUMMYFUNCTION("""COMPUTED_VALUE"""),610422040056)</f>
        <v>610422040056</v>
      </c>
      <c r="D328" s="10" t="str">
        <f ca="1">IFERROR(__xludf.DUMMYFUNCTION("""COMPUTED_VALUE"""),"VHTS24-LAPANGAN-MEI")</f>
        <v>VHTS24-LAPANGAN-MEI</v>
      </c>
      <c r="E328" s="10"/>
      <c r="F328" s="10">
        <f ca="1">IFERROR(__xludf.DUMMYFUNCTION("""COMPUTED_VALUE"""),1)</f>
        <v>1</v>
      </c>
      <c r="G328" s="10" t="str">
        <f ca="1">IFERROR(__xludf.DUMMYFUNCTION("""COMPUTED_VALUE"""),"Wandi Syafari")</f>
        <v>Wandi Syafari</v>
      </c>
      <c r="H328" s="10" t="str">
        <f ca="1">IFERROR(__xludf.DUMMYFUNCTION("""COMPUTED_VALUE"""),"PPL")</f>
        <v>PPL</v>
      </c>
      <c r="I328" s="10" t="str">
        <f ca="1">IFERROR(__xludf.DUMMYFUNCTION("""COMPUTED_VALUE"""),"6102010802760001")</f>
        <v>6102010802760001</v>
      </c>
      <c r="J328" s="10" t="str">
        <f ca="1">IFERROR(__xludf.DUMMYFUNCTION("""COMPUTED_VALUE"""),"PENDATAAN")</f>
        <v>PENDATAAN</v>
      </c>
      <c r="K328" s="10" t="str">
        <f ca="1">IFERROR(__xludf.DUMMYFUNCTION("""COMPUTED_VALUE"""),"VHTS24-LAPANGAN-MEI-PPL-PENDATAAN")</f>
        <v>VHTS24-LAPANGAN-MEI-PPL-PENDATAAN</v>
      </c>
      <c r="L328" s="10" t="str">
        <f ca="1">IFERROR(__xludf.DUMMYFUNCTION("""COMPUTED_VALUE"""),"Dokumen")</f>
        <v>Dokumen</v>
      </c>
      <c r="M328" s="66">
        <f ca="1">IFERROR(__xludf.DUMMYFUNCTION("""COMPUTED_VALUE"""),55000)</f>
        <v>55000</v>
      </c>
      <c r="N328" s="10">
        <f ca="1">IFERROR(__xludf.DUMMYFUNCTION("""COMPUTED_VALUE"""),2)</f>
        <v>2</v>
      </c>
      <c r="O328" s="10">
        <f ca="1">IFERROR(__xludf.DUMMYFUNCTION("""COMPUTED_VALUE"""),110000)</f>
        <v>110000</v>
      </c>
      <c r="P328" s="10"/>
      <c r="Q328" s="67">
        <f ca="1">IFERROR(__xludf.DUMMYFUNCTION("""COMPUTED_VALUE"""),45432)</f>
        <v>45432</v>
      </c>
    </row>
    <row r="329" spans="1:17" ht="12.5">
      <c r="A329" s="11">
        <f t="array" aca="1" ref="A329" ca="1">INDEX('Database Mitra'!$R$2:$R1001,MATCH(C329,'Database Mitra'!$B$2:$B1001,0))</f>
        <v>34895</v>
      </c>
      <c r="B329" s="10" t="e">
        <f t="shared" ca="1" si="0"/>
        <v>#NAME?</v>
      </c>
      <c r="C329" s="83">
        <f ca="1">IFERROR(__xludf.DUMMYFUNCTION("""COMPUTED_VALUE"""),610422020016)</f>
        <v>610422020016</v>
      </c>
      <c r="D329" s="10" t="str">
        <f ca="1">IFERROR(__xludf.DUMMYFUNCTION("""COMPUTED_VALUE"""),"KSA24-LAPANGAN-MEI")</f>
        <v>KSA24-LAPANGAN-MEI</v>
      </c>
      <c r="E329" s="10"/>
      <c r="F329" s="10">
        <f ca="1">IFERROR(__xludf.DUMMYFUNCTION("""COMPUTED_VALUE"""),1)</f>
        <v>1</v>
      </c>
      <c r="G329" s="10" t="str">
        <f ca="1">IFERROR(__xludf.DUMMYFUNCTION("""COMPUTED_VALUE"""),"Abdul Aziz")</f>
        <v>Abdul Aziz</v>
      </c>
      <c r="H329" s="10" t="str">
        <f ca="1">IFERROR(__xludf.DUMMYFUNCTION("""COMPUTED_VALUE"""),"PPL")</f>
        <v>PPL</v>
      </c>
      <c r="I329" s="10" t="str">
        <f ca="1">IFERROR(__xludf.DUMMYFUNCTION("""COMPUTED_VALUE"""),"6102061507950006")</f>
        <v>6102061507950006</v>
      </c>
      <c r="J329" s="10" t="str">
        <f ca="1">IFERROR(__xludf.DUMMYFUNCTION("""COMPUTED_VALUE"""),"KSA PADI")</f>
        <v>KSA PADI</v>
      </c>
      <c r="K329" s="10" t="str">
        <f ca="1">IFERROR(__xludf.DUMMYFUNCTION("""COMPUTED_VALUE"""),"KSA24-LAPANGAN-MEI-PPL-KSA PADI")</f>
        <v>KSA24-LAPANGAN-MEI-PPL-KSA PADI</v>
      </c>
      <c r="L329" s="10" t="str">
        <f ca="1">IFERROR(__xludf.DUMMYFUNCTION("""COMPUTED_VALUE"""),"Segmen")</f>
        <v>Segmen</v>
      </c>
      <c r="M329" s="66">
        <f ca="1">IFERROR(__xludf.DUMMYFUNCTION("""COMPUTED_VALUE"""),116000)</f>
        <v>116000</v>
      </c>
      <c r="N329" s="10">
        <f ca="1">IFERROR(__xludf.DUMMYFUNCTION("""COMPUTED_VALUE"""),3)</f>
        <v>3</v>
      </c>
      <c r="O329" s="10">
        <f ca="1">IFERROR(__xludf.DUMMYFUNCTION("""COMPUTED_VALUE"""),348000)</f>
        <v>348000</v>
      </c>
      <c r="P329" s="10"/>
      <c r="Q329" s="67">
        <f ca="1">IFERROR(__xludf.DUMMYFUNCTION("""COMPUTED_VALUE"""),45443)</f>
        <v>45443</v>
      </c>
    </row>
    <row r="330" spans="1:17" ht="12.5">
      <c r="A330" s="82">
        <f t="array" aca="1" ref="A330" ca="1">INDEX('Database Mitra'!$R$2:$R1001,MATCH(C330,'Database Mitra'!$B$2:$B1001,0))</f>
        <v>36043</v>
      </c>
      <c r="B330" s="10" t="e">
        <f t="shared" ca="1" si="0"/>
        <v>#NAME?</v>
      </c>
      <c r="C330" s="83">
        <f ca="1">IFERROR(__xludf.DUMMYFUNCTION("""COMPUTED_VALUE"""),610422040012)</f>
        <v>610422040012</v>
      </c>
      <c r="D330" s="10" t="str">
        <f ca="1">IFERROR(__xludf.DUMMYFUNCTION("""COMPUTED_VALUE"""),"KSA24-LAPANGAN-MEI")</f>
        <v>KSA24-LAPANGAN-MEI</v>
      </c>
      <c r="E330" s="10"/>
      <c r="F330" s="10">
        <f ca="1">IFERROR(__xludf.DUMMYFUNCTION("""COMPUTED_VALUE"""),1)</f>
        <v>1</v>
      </c>
      <c r="G330" s="10" t="str">
        <f ca="1">IFERROR(__xludf.DUMMYFUNCTION("""COMPUTED_VALUE"""),"Misdi")</f>
        <v>Misdi</v>
      </c>
      <c r="H330" s="10" t="str">
        <f ca="1">IFERROR(__xludf.DUMMYFUNCTION("""COMPUTED_VALUE"""),"PPL")</f>
        <v>PPL</v>
      </c>
      <c r="I330" s="10" t="str">
        <f ca="1">IFERROR(__xludf.DUMMYFUNCTION("""COMPUTED_VALUE"""),"6102070706940001")</f>
        <v>6102070706940001</v>
      </c>
      <c r="J330" s="10" t="str">
        <f ca="1">IFERROR(__xludf.DUMMYFUNCTION("""COMPUTED_VALUE"""),"KSA PADI")</f>
        <v>KSA PADI</v>
      </c>
      <c r="K330" s="10" t="str">
        <f ca="1">IFERROR(__xludf.DUMMYFUNCTION("""COMPUTED_VALUE"""),"KSA24-LAPANGAN-MEI-PPL-KSA PADI")</f>
        <v>KSA24-LAPANGAN-MEI-PPL-KSA PADI</v>
      </c>
      <c r="L330" s="10" t="str">
        <f ca="1">IFERROR(__xludf.DUMMYFUNCTION("""COMPUTED_VALUE"""),"Segmen")</f>
        <v>Segmen</v>
      </c>
      <c r="M330" s="66">
        <f ca="1">IFERROR(__xludf.DUMMYFUNCTION("""COMPUTED_VALUE"""),116000)</f>
        <v>116000</v>
      </c>
      <c r="N330" s="10">
        <f ca="1">IFERROR(__xludf.DUMMYFUNCTION("""COMPUTED_VALUE"""),3)</f>
        <v>3</v>
      </c>
      <c r="O330" s="10">
        <f ca="1">IFERROR(__xludf.DUMMYFUNCTION("""COMPUTED_VALUE"""),348000)</f>
        <v>348000</v>
      </c>
      <c r="P330" s="10"/>
      <c r="Q330" s="67">
        <f ca="1">IFERROR(__xludf.DUMMYFUNCTION("""COMPUTED_VALUE"""),45443)</f>
        <v>45443</v>
      </c>
    </row>
    <row r="331" spans="1:17" ht="12.5">
      <c r="A331" s="82">
        <f t="array" aca="1" ref="A331" ca="1">INDEX('Database Mitra'!$R$2:$R1001,MATCH(C331,'Database Mitra'!$B$2:$B1001,0))</f>
        <v>28816</v>
      </c>
      <c r="B331" s="10" t="e">
        <f t="shared" ca="1" si="0"/>
        <v>#NAME?</v>
      </c>
      <c r="C331" s="83">
        <f ca="1">IFERROR(__xludf.DUMMYFUNCTION("""COMPUTED_VALUE"""),610422040059)</f>
        <v>610422040059</v>
      </c>
      <c r="D331" s="10" t="str">
        <f ca="1">IFERROR(__xludf.DUMMYFUNCTION("""COMPUTED_VALUE"""),"KSA24-LAPANGAN-MEI")</f>
        <v>KSA24-LAPANGAN-MEI</v>
      </c>
      <c r="E331" s="10"/>
      <c r="F331" s="10">
        <f ca="1">IFERROR(__xludf.DUMMYFUNCTION("""COMPUTED_VALUE"""),1)</f>
        <v>1</v>
      </c>
      <c r="G331" s="10" t="str">
        <f ca="1">IFERROR(__xludf.DUMMYFUNCTION("""COMPUTED_VALUE"""),"Abang Handri")</f>
        <v>Abang Handri</v>
      </c>
      <c r="H331" s="10" t="str">
        <f ca="1">IFERROR(__xludf.DUMMYFUNCTION("""COMPUTED_VALUE"""),"PPL")</f>
        <v>PPL</v>
      </c>
      <c r="I331" s="10" t="str">
        <f ca="1">IFERROR(__xludf.DUMMYFUNCTION("""COMPUTED_VALUE"""),"6102072211780002")</f>
        <v>6102072211780002</v>
      </c>
      <c r="J331" s="10" t="str">
        <f ca="1">IFERROR(__xludf.DUMMYFUNCTION("""COMPUTED_VALUE"""),"KSA PADI")</f>
        <v>KSA PADI</v>
      </c>
      <c r="K331" s="10" t="str">
        <f ca="1">IFERROR(__xludf.DUMMYFUNCTION("""COMPUTED_VALUE"""),"KSA24-LAPANGAN-MEI-PPL-KSA PADI")</f>
        <v>KSA24-LAPANGAN-MEI-PPL-KSA PADI</v>
      </c>
      <c r="L331" s="10" t="str">
        <f ca="1">IFERROR(__xludf.DUMMYFUNCTION("""COMPUTED_VALUE"""),"Segmen")</f>
        <v>Segmen</v>
      </c>
      <c r="M331" s="66">
        <f ca="1">IFERROR(__xludf.DUMMYFUNCTION("""COMPUTED_VALUE"""),116000)</f>
        <v>116000</v>
      </c>
      <c r="N331" s="10">
        <f ca="1">IFERROR(__xludf.DUMMYFUNCTION("""COMPUTED_VALUE"""),4)</f>
        <v>4</v>
      </c>
      <c r="O331" s="10">
        <f ca="1">IFERROR(__xludf.DUMMYFUNCTION("""COMPUTED_VALUE"""),464000)</f>
        <v>464000</v>
      </c>
      <c r="P331" s="10"/>
      <c r="Q331" s="67">
        <f ca="1">IFERROR(__xludf.DUMMYFUNCTION("""COMPUTED_VALUE"""),45443)</f>
        <v>45443</v>
      </c>
    </row>
    <row r="332" spans="1:17" ht="12.5">
      <c r="A332" s="11">
        <f t="array" aca="1" ref="A332" ca="1">INDEX('Database Mitra'!$R$2:$R1001,MATCH(C332,'Database Mitra'!$B$2:$B1001,0))</f>
        <v>31777</v>
      </c>
      <c r="B332" s="10" t="e">
        <f t="shared" ca="1" si="0"/>
        <v>#NAME?</v>
      </c>
      <c r="C332" s="83">
        <f ca="1">IFERROR(__xludf.DUMMYFUNCTION("""COMPUTED_VALUE"""),610422040061)</f>
        <v>610422040061</v>
      </c>
      <c r="D332" s="10" t="str">
        <f ca="1">IFERROR(__xludf.DUMMYFUNCTION("""COMPUTED_VALUE"""),"KSA24-LAPANGAN-MEI")</f>
        <v>KSA24-LAPANGAN-MEI</v>
      </c>
      <c r="E332" s="10"/>
      <c r="F332" s="10">
        <f ca="1">IFERROR(__xludf.DUMMYFUNCTION("""COMPUTED_VALUE"""),1)</f>
        <v>1</v>
      </c>
      <c r="G332" s="10" t="str">
        <f ca="1">IFERROR(__xludf.DUMMYFUNCTION("""COMPUTED_VALUE"""),"Sabani")</f>
        <v>Sabani</v>
      </c>
      <c r="H332" s="10" t="str">
        <f ca="1">IFERROR(__xludf.DUMMYFUNCTION("""COMPUTED_VALUE"""),"PPL")</f>
        <v>PPL</v>
      </c>
      <c r="I332" s="10" t="str">
        <f ca="1">IFERROR(__xludf.DUMMYFUNCTION("""COMPUTED_VALUE"""),"6102153112860003")</f>
        <v>6102153112860003</v>
      </c>
      <c r="J332" s="10" t="str">
        <f ca="1">IFERROR(__xludf.DUMMYFUNCTION("""COMPUTED_VALUE"""),"KSA PADI")</f>
        <v>KSA PADI</v>
      </c>
      <c r="K332" s="10" t="str">
        <f ca="1">IFERROR(__xludf.DUMMYFUNCTION("""COMPUTED_VALUE"""),"KSA24-LAPANGAN-MEI-PPL-KSA PADI")</f>
        <v>KSA24-LAPANGAN-MEI-PPL-KSA PADI</v>
      </c>
      <c r="L332" s="10" t="str">
        <f ca="1">IFERROR(__xludf.DUMMYFUNCTION("""COMPUTED_VALUE"""),"Segmen")</f>
        <v>Segmen</v>
      </c>
      <c r="M332" s="66">
        <f ca="1">IFERROR(__xludf.DUMMYFUNCTION("""COMPUTED_VALUE"""),116000)</f>
        <v>116000</v>
      </c>
      <c r="N332" s="10">
        <f ca="1">IFERROR(__xludf.DUMMYFUNCTION("""COMPUTED_VALUE"""),3)</f>
        <v>3</v>
      </c>
      <c r="O332" s="10">
        <f ca="1">IFERROR(__xludf.DUMMYFUNCTION("""COMPUTED_VALUE"""),348000)</f>
        <v>348000</v>
      </c>
      <c r="P332" s="10"/>
      <c r="Q332" s="67">
        <f ca="1">IFERROR(__xludf.DUMMYFUNCTION("""COMPUTED_VALUE"""),45443)</f>
        <v>45443</v>
      </c>
    </row>
    <row r="333" spans="1:17" ht="12.5">
      <c r="A333" s="82">
        <f t="array" aca="1" ref="A333" ca="1">INDEX('Database Mitra'!$R$2:$R1001,MATCH(C333,'Database Mitra'!$B$2:$B1001,0))</f>
        <v>31602</v>
      </c>
      <c r="B333" s="10" t="e">
        <f t="shared" ca="1" si="0"/>
        <v>#NAME?</v>
      </c>
      <c r="C333" s="83">
        <f ca="1">IFERROR(__xludf.DUMMYFUNCTION("""COMPUTED_VALUE"""),610422100131)</f>
        <v>610422100131</v>
      </c>
      <c r="D333" s="10" t="str">
        <f ca="1">IFERROR(__xludf.DUMMYFUNCTION("""COMPUTED_VALUE"""),"KSA24-LAPANGAN-MEI")</f>
        <v>KSA24-LAPANGAN-MEI</v>
      </c>
      <c r="E333" s="10"/>
      <c r="F333" s="10">
        <f ca="1">IFERROR(__xludf.DUMMYFUNCTION("""COMPUTED_VALUE"""),1)</f>
        <v>1</v>
      </c>
      <c r="G333" s="10" t="str">
        <f ca="1">IFERROR(__xludf.DUMMYFUNCTION("""COMPUTED_VALUE"""),"Syamsul")</f>
        <v>Syamsul</v>
      </c>
      <c r="H333" s="10" t="str">
        <f ca="1">IFERROR(__xludf.DUMMYFUNCTION("""COMPUTED_VALUE"""),"PPL")</f>
        <v>PPL</v>
      </c>
      <c r="I333" s="10" t="str">
        <f ca="1">IFERROR(__xludf.DUMMYFUNCTION("""COMPUTED_VALUE"""),"6102150907860003")</f>
        <v>6102150907860003</v>
      </c>
      <c r="J333" s="10" t="str">
        <f ca="1">IFERROR(__xludf.DUMMYFUNCTION("""COMPUTED_VALUE"""),"KSA PADI")</f>
        <v>KSA PADI</v>
      </c>
      <c r="K333" s="10" t="str">
        <f ca="1">IFERROR(__xludf.DUMMYFUNCTION("""COMPUTED_VALUE"""),"KSA24-LAPANGAN-MEI-PPL-KSA PADI")</f>
        <v>KSA24-LAPANGAN-MEI-PPL-KSA PADI</v>
      </c>
      <c r="L333" s="10" t="str">
        <f ca="1">IFERROR(__xludf.DUMMYFUNCTION("""COMPUTED_VALUE"""),"Segmen")</f>
        <v>Segmen</v>
      </c>
      <c r="M333" s="66">
        <f ca="1">IFERROR(__xludf.DUMMYFUNCTION("""COMPUTED_VALUE"""),116000)</f>
        <v>116000</v>
      </c>
      <c r="N333" s="10">
        <f ca="1">IFERROR(__xludf.DUMMYFUNCTION("""COMPUTED_VALUE"""),3)</f>
        <v>3</v>
      </c>
      <c r="O333" s="10">
        <f ca="1">IFERROR(__xludf.DUMMYFUNCTION("""COMPUTED_VALUE"""),348000)</f>
        <v>348000</v>
      </c>
      <c r="P333" s="10"/>
      <c r="Q333" s="67">
        <f ca="1">IFERROR(__xludf.DUMMYFUNCTION("""COMPUTED_VALUE"""),45443)</f>
        <v>45443</v>
      </c>
    </row>
    <row r="334" spans="1:17" ht="12.5">
      <c r="A334" s="82">
        <f t="array" aca="1" ref="A334" ca="1">INDEX('Database Mitra'!$R$2:$R1001,MATCH(C334,'Database Mitra'!$B$2:$B1001,0))</f>
        <v>32942</v>
      </c>
      <c r="B334" s="10" t="e">
        <f t="shared" ca="1" si="0"/>
        <v>#NAME?</v>
      </c>
      <c r="C334" s="83">
        <f ca="1">IFERROR(__xludf.DUMMYFUNCTION("""COMPUTED_VALUE"""),610422100244)</f>
        <v>610422100244</v>
      </c>
      <c r="D334" s="10" t="str">
        <f ca="1">IFERROR(__xludf.DUMMYFUNCTION("""COMPUTED_VALUE"""),"KSA24-LAPANGAN-MEI")</f>
        <v>KSA24-LAPANGAN-MEI</v>
      </c>
      <c r="E334" s="10"/>
      <c r="F334" s="10">
        <f ca="1">IFERROR(__xludf.DUMMYFUNCTION("""COMPUTED_VALUE"""),1)</f>
        <v>1</v>
      </c>
      <c r="G334" s="10" t="str">
        <f ca="1">IFERROR(__xludf.DUMMYFUNCTION("""COMPUTED_VALUE"""),"Sugianto")</f>
        <v>Sugianto</v>
      </c>
      <c r="H334" s="10" t="str">
        <f ca="1">IFERROR(__xludf.DUMMYFUNCTION("""COMPUTED_VALUE"""),"PPL")</f>
        <v>PPL</v>
      </c>
      <c r="I334" s="10" t="str">
        <f ca="1">IFERROR(__xludf.DUMMYFUNCTION("""COMPUTED_VALUE"""),"6102171003900002")</f>
        <v>6102171003900002</v>
      </c>
      <c r="J334" s="10" t="str">
        <f ca="1">IFERROR(__xludf.DUMMYFUNCTION("""COMPUTED_VALUE"""),"KSA PADI")</f>
        <v>KSA PADI</v>
      </c>
      <c r="K334" s="10" t="str">
        <f ca="1">IFERROR(__xludf.DUMMYFUNCTION("""COMPUTED_VALUE"""),"KSA24-LAPANGAN-MEI-PPL-KSA PADI")</f>
        <v>KSA24-LAPANGAN-MEI-PPL-KSA PADI</v>
      </c>
      <c r="L334" s="10" t="str">
        <f ca="1">IFERROR(__xludf.DUMMYFUNCTION("""COMPUTED_VALUE"""),"Segmen")</f>
        <v>Segmen</v>
      </c>
      <c r="M334" s="66">
        <f ca="1">IFERROR(__xludf.DUMMYFUNCTION("""COMPUTED_VALUE"""),116000)</f>
        <v>116000</v>
      </c>
      <c r="N334" s="10">
        <f ca="1">IFERROR(__xludf.DUMMYFUNCTION("""COMPUTED_VALUE"""),3)</f>
        <v>3</v>
      </c>
      <c r="O334" s="10">
        <f ca="1">IFERROR(__xludf.DUMMYFUNCTION("""COMPUTED_VALUE"""),348000)</f>
        <v>348000</v>
      </c>
      <c r="P334" s="10"/>
      <c r="Q334" s="67">
        <f ca="1">IFERROR(__xludf.DUMMYFUNCTION("""COMPUTED_VALUE"""),45443)</f>
        <v>45443</v>
      </c>
    </row>
    <row r="335" spans="1:17" ht="12.5">
      <c r="A335" s="11">
        <f t="array" aca="1" ref="A335" ca="1">INDEX('Database Mitra'!$R$2:$R1001,MATCH(C335,'Database Mitra'!$B$2:$B1001,0))</f>
        <v>32481</v>
      </c>
      <c r="B335" s="10" t="e">
        <f t="shared" ca="1" si="0"/>
        <v>#NAME?</v>
      </c>
      <c r="C335" s="83">
        <f ca="1">IFERROR(__xludf.DUMMYFUNCTION("""COMPUTED_VALUE"""),610422100176)</f>
        <v>610422100176</v>
      </c>
      <c r="D335" s="10" t="str">
        <f ca="1">IFERROR(__xludf.DUMMYFUNCTION("""COMPUTED_VALUE"""),"KSA24-LAPANGAN-MEI")</f>
        <v>KSA24-LAPANGAN-MEI</v>
      </c>
      <c r="E335" s="10"/>
      <c r="F335" s="10">
        <f ca="1">IFERROR(__xludf.DUMMYFUNCTION("""COMPUTED_VALUE"""),1)</f>
        <v>1</v>
      </c>
      <c r="G335" s="10" t="str">
        <f ca="1">IFERROR(__xludf.DUMMYFUNCTION("""COMPUTED_VALUE"""),"Feri Firdaus")</f>
        <v>Feri Firdaus</v>
      </c>
      <c r="H335" s="10" t="str">
        <f ca="1">IFERROR(__xludf.DUMMYFUNCTION("""COMPUTED_VALUE"""),"PPL")</f>
        <v>PPL</v>
      </c>
      <c r="I335" s="10" t="str">
        <f ca="1">IFERROR(__xludf.DUMMYFUNCTION("""COMPUTED_VALUE"""),"6102150412880001")</f>
        <v>6102150412880001</v>
      </c>
      <c r="J335" s="10" t="str">
        <f ca="1">IFERROR(__xludf.DUMMYFUNCTION("""COMPUTED_VALUE"""),"KSA PADI")</f>
        <v>KSA PADI</v>
      </c>
      <c r="K335" s="10" t="str">
        <f ca="1">IFERROR(__xludf.DUMMYFUNCTION("""COMPUTED_VALUE"""),"KSA24-LAPANGAN-MEI-PPL-KSA PADI")</f>
        <v>KSA24-LAPANGAN-MEI-PPL-KSA PADI</v>
      </c>
      <c r="L335" s="10" t="str">
        <f ca="1">IFERROR(__xludf.DUMMYFUNCTION("""COMPUTED_VALUE"""),"Segmen")</f>
        <v>Segmen</v>
      </c>
      <c r="M335" s="66">
        <f ca="1">IFERROR(__xludf.DUMMYFUNCTION("""COMPUTED_VALUE"""),116000)</f>
        <v>116000</v>
      </c>
      <c r="N335" s="10">
        <f ca="1">IFERROR(__xludf.DUMMYFUNCTION("""COMPUTED_VALUE"""),3)</f>
        <v>3</v>
      </c>
      <c r="O335" s="10">
        <f ca="1">IFERROR(__xludf.DUMMYFUNCTION("""COMPUTED_VALUE"""),348000)</f>
        <v>348000</v>
      </c>
      <c r="P335" s="10"/>
      <c r="Q335" s="67">
        <f ca="1">IFERROR(__xludf.DUMMYFUNCTION("""COMPUTED_VALUE"""),45443)</f>
        <v>45443</v>
      </c>
    </row>
    <row r="336" spans="1:17" ht="12.5">
      <c r="A336" s="82">
        <f t="array" aca="1" ref="A336" ca="1">INDEX('Database Mitra'!$R$2:$R1001,MATCH(C336,'Database Mitra'!$B$2:$B1001,0))</f>
        <v>29171</v>
      </c>
      <c r="B336" s="10" t="e">
        <f t="shared" ca="1" si="0"/>
        <v>#NAME?</v>
      </c>
      <c r="C336" s="83">
        <f ca="1">IFERROR(__xludf.DUMMYFUNCTION("""COMPUTED_VALUE"""),610423110183)</f>
        <v>610423110183</v>
      </c>
      <c r="D336" s="10" t="str">
        <f ca="1">IFERROR(__xludf.DUMMYFUNCTION("""COMPUTED_VALUE"""),"KSA24-LAPANGAN-MEI")</f>
        <v>KSA24-LAPANGAN-MEI</v>
      </c>
      <c r="E336" s="10"/>
      <c r="F336" s="10">
        <f ca="1">IFERROR(__xludf.DUMMYFUNCTION("""COMPUTED_VALUE"""),1)</f>
        <v>1</v>
      </c>
      <c r="G336" s="10" t="str">
        <f ca="1">IFERROR(__xludf.DUMMYFUNCTION("""COMPUTED_VALUE"""),"Azhar")</f>
        <v>Azhar</v>
      </c>
      <c r="H336" s="10" t="str">
        <f ca="1">IFERROR(__xludf.DUMMYFUNCTION("""COMPUTED_VALUE"""),"PPL")</f>
        <v>PPL</v>
      </c>
      <c r="I336" s="10" t="str">
        <f ca="1">IFERROR(__xludf.DUMMYFUNCTION("""COMPUTED_VALUE"""),"6102081211790004")</f>
        <v>6102081211790004</v>
      </c>
      <c r="J336" s="10" t="str">
        <f ca="1">IFERROR(__xludf.DUMMYFUNCTION("""COMPUTED_VALUE"""),"KSA PADI")</f>
        <v>KSA PADI</v>
      </c>
      <c r="K336" s="10" t="str">
        <f ca="1">IFERROR(__xludf.DUMMYFUNCTION("""COMPUTED_VALUE"""),"KSA24-LAPANGAN-MEI-PPL-KSA PADI")</f>
        <v>KSA24-LAPANGAN-MEI-PPL-KSA PADI</v>
      </c>
      <c r="L336" s="10" t="str">
        <f ca="1">IFERROR(__xludf.DUMMYFUNCTION("""COMPUTED_VALUE"""),"Segmen")</f>
        <v>Segmen</v>
      </c>
      <c r="M336" s="66">
        <f ca="1">IFERROR(__xludf.DUMMYFUNCTION("""COMPUTED_VALUE"""),116000)</f>
        <v>116000</v>
      </c>
      <c r="N336" s="10">
        <f ca="1">IFERROR(__xludf.DUMMYFUNCTION("""COMPUTED_VALUE"""),6)</f>
        <v>6</v>
      </c>
      <c r="O336" s="10">
        <f ca="1">IFERROR(__xludf.DUMMYFUNCTION("""COMPUTED_VALUE"""),696000)</f>
        <v>696000</v>
      </c>
      <c r="P336" s="10"/>
      <c r="Q336" s="67">
        <f ca="1">IFERROR(__xludf.DUMMYFUNCTION("""COMPUTED_VALUE"""),45443)</f>
        <v>45443</v>
      </c>
    </row>
    <row r="337" spans="1:17" ht="12.5">
      <c r="A337" s="82">
        <f t="array" aca="1" ref="A337" ca="1">INDEX('Database Mitra'!$R$2:$R1001,MATCH(C337,'Database Mitra'!$B$2:$B1001,0))</f>
        <v>32409</v>
      </c>
      <c r="B337" s="10" t="e">
        <f t="shared" ca="1" si="0"/>
        <v>#NAME?</v>
      </c>
      <c r="C337" s="83">
        <f ca="1">IFERROR(__xludf.DUMMYFUNCTION("""COMPUTED_VALUE"""),610423040018)</f>
        <v>610423040018</v>
      </c>
      <c r="D337" s="10" t="str">
        <f ca="1">IFERROR(__xludf.DUMMYFUNCTION("""COMPUTED_VALUE"""),"KSA24-LAPANGAN-MEI")</f>
        <v>KSA24-LAPANGAN-MEI</v>
      </c>
      <c r="E337" s="10"/>
      <c r="F337" s="10">
        <f ca="1">IFERROR(__xludf.DUMMYFUNCTION("""COMPUTED_VALUE"""),1)</f>
        <v>1</v>
      </c>
      <c r="G337" s="10" t="str">
        <f ca="1">IFERROR(__xludf.DUMMYFUNCTION("""COMPUTED_VALUE"""),"Handoko Tuah Sabarman Sipayung")</f>
        <v>Handoko Tuah Sabarman Sipayung</v>
      </c>
      <c r="H337" s="10" t="str">
        <f ca="1">IFERROR(__xludf.DUMMYFUNCTION("""COMPUTED_VALUE"""),"PPL")</f>
        <v>PPL</v>
      </c>
      <c r="I337" s="10" t="str">
        <f ca="1">IFERROR(__xludf.DUMMYFUNCTION("""COMPUTED_VALUE"""),"1212092309880001")</f>
        <v>1212092309880001</v>
      </c>
      <c r="J337" s="10" t="str">
        <f ca="1">IFERROR(__xludf.DUMMYFUNCTION("""COMPUTED_VALUE"""),"KSA PADI")</f>
        <v>KSA PADI</v>
      </c>
      <c r="K337" s="10" t="str">
        <f ca="1">IFERROR(__xludf.DUMMYFUNCTION("""COMPUTED_VALUE"""),"KSA24-LAPANGAN-MEI-PPL-KSA PADI")</f>
        <v>KSA24-LAPANGAN-MEI-PPL-KSA PADI</v>
      </c>
      <c r="L337" s="10" t="str">
        <f ca="1">IFERROR(__xludf.DUMMYFUNCTION("""COMPUTED_VALUE"""),"Segmen")</f>
        <v>Segmen</v>
      </c>
      <c r="M337" s="66">
        <f ca="1">IFERROR(__xludf.DUMMYFUNCTION("""COMPUTED_VALUE"""),116000)</f>
        <v>116000</v>
      </c>
      <c r="N337" s="10">
        <f ca="1">IFERROR(__xludf.DUMMYFUNCTION("""COMPUTED_VALUE"""),4)</f>
        <v>4</v>
      </c>
      <c r="O337" s="10">
        <f ca="1">IFERROR(__xludf.DUMMYFUNCTION("""COMPUTED_VALUE"""),464000)</f>
        <v>464000</v>
      </c>
      <c r="P337" s="10"/>
      <c r="Q337" s="67">
        <f ca="1">IFERROR(__xludf.DUMMYFUNCTION("""COMPUTED_VALUE"""),45443)</f>
        <v>45443</v>
      </c>
    </row>
    <row r="338" spans="1:17" ht="12.5">
      <c r="A338" s="82">
        <f t="array" aca="1" ref="A338" ca="1">INDEX('Database Mitra'!$R$2:$R1001,MATCH(C338,'Database Mitra'!$B$2:$B1001,0))</f>
        <v>28816</v>
      </c>
      <c r="B338" s="10" t="e">
        <f t="shared" ca="1" si="0"/>
        <v>#NAME?</v>
      </c>
      <c r="C338" s="83">
        <f ca="1">IFERROR(__xludf.DUMMYFUNCTION("""COMPUTED_VALUE"""),610422040059)</f>
        <v>610422040059</v>
      </c>
      <c r="D338" s="10" t="str">
        <f ca="1">IFERROR(__xludf.DUMMYFUNCTION("""COMPUTED_VALUE"""),"KSA24-LAPANGAN-MEI")</f>
        <v>KSA24-LAPANGAN-MEI</v>
      </c>
      <c r="E338" s="10"/>
      <c r="F338" s="10">
        <f ca="1">IFERROR(__xludf.DUMMYFUNCTION("""COMPUTED_VALUE"""),1)</f>
        <v>1</v>
      </c>
      <c r="G338" s="10" t="str">
        <f ca="1">IFERROR(__xludf.DUMMYFUNCTION("""COMPUTED_VALUE"""),"Abang Handri")</f>
        <v>Abang Handri</v>
      </c>
      <c r="H338" s="10" t="str">
        <f ca="1">IFERROR(__xludf.DUMMYFUNCTION("""COMPUTED_VALUE"""),"PPL")</f>
        <v>PPL</v>
      </c>
      <c r="I338" s="10" t="str">
        <f ca="1">IFERROR(__xludf.DUMMYFUNCTION("""COMPUTED_VALUE"""),"6102072211780002")</f>
        <v>6102072211780002</v>
      </c>
      <c r="J338" s="10" t="str">
        <f ca="1">IFERROR(__xludf.DUMMYFUNCTION("""COMPUTED_VALUE"""),"KSA JAGUNG")</f>
        <v>KSA JAGUNG</v>
      </c>
      <c r="K338" s="10" t="str">
        <f ca="1">IFERROR(__xludf.DUMMYFUNCTION("""COMPUTED_VALUE"""),"KSA24-LAPANGAN-MEI-PPL-KSA JAGUNG")</f>
        <v>KSA24-LAPANGAN-MEI-PPL-KSA JAGUNG</v>
      </c>
      <c r="L338" s="10" t="str">
        <f ca="1">IFERROR(__xludf.DUMMYFUNCTION("""COMPUTED_VALUE"""),"Segmen")</f>
        <v>Segmen</v>
      </c>
      <c r="M338" s="66">
        <f ca="1">IFERROR(__xludf.DUMMYFUNCTION("""COMPUTED_VALUE"""),59000)</f>
        <v>59000</v>
      </c>
      <c r="N338" s="10">
        <f ca="1">IFERROR(__xludf.DUMMYFUNCTION("""COMPUTED_VALUE"""),6)</f>
        <v>6</v>
      </c>
      <c r="O338" s="10">
        <f ca="1">IFERROR(__xludf.DUMMYFUNCTION("""COMPUTED_VALUE"""),354000)</f>
        <v>354000</v>
      </c>
      <c r="P338" s="10"/>
      <c r="Q338" s="67">
        <f ca="1">IFERROR(__xludf.DUMMYFUNCTION("""COMPUTED_VALUE"""),45443)</f>
        <v>45443</v>
      </c>
    </row>
    <row r="339" spans="1:17" ht="12.5">
      <c r="A339" s="11">
        <f t="array" aca="1" ref="A339" ca="1">INDEX('Database Mitra'!$R$2:$R1001,MATCH(C339,'Database Mitra'!$B$2:$B1001,0))</f>
        <v>29305</v>
      </c>
      <c r="B339" s="10" t="e">
        <f t="shared" ca="1" si="0"/>
        <v>#NAME?</v>
      </c>
      <c r="C339" s="83">
        <f ca="1">IFERROR(__xludf.DUMMYFUNCTION("""COMPUTED_VALUE"""),610422020048)</f>
        <v>610422020048</v>
      </c>
      <c r="D339" s="10" t="str">
        <f ca="1">IFERROR(__xludf.DUMMYFUNCTION("""COMPUTED_VALUE"""),"KSA24-LAPANGAN-MEI")</f>
        <v>KSA24-LAPANGAN-MEI</v>
      </c>
      <c r="E339" s="10"/>
      <c r="F339" s="10">
        <f ca="1">IFERROR(__xludf.DUMMYFUNCTION("""COMPUTED_VALUE"""),1)</f>
        <v>1</v>
      </c>
      <c r="G339" s="10" t="str">
        <f ca="1">IFERROR(__xludf.DUMMYFUNCTION("""COMPUTED_VALUE"""),"Herri Gustaman")</f>
        <v>Herri Gustaman</v>
      </c>
      <c r="H339" s="10" t="str">
        <f ca="1">IFERROR(__xludf.DUMMYFUNCTION("""COMPUTED_VALUE"""),"PPL")</f>
        <v>PPL</v>
      </c>
      <c r="I339" s="10" t="str">
        <f ca="1">IFERROR(__xludf.DUMMYFUNCTION("""COMPUTED_VALUE"""),"6102072503800001")</f>
        <v>6102072503800001</v>
      </c>
      <c r="J339" s="10" t="str">
        <f ca="1">IFERROR(__xludf.DUMMYFUNCTION("""COMPUTED_VALUE"""),"KSA JAGUNG")</f>
        <v>KSA JAGUNG</v>
      </c>
      <c r="K339" s="10" t="str">
        <f ca="1">IFERROR(__xludf.DUMMYFUNCTION("""COMPUTED_VALUE"""),"KSA24-LAPANGAN-MEI-PPL-KSA JAGUNG")</f>
        <v>KSA24-LAPANGAN-MEI-PPL-KSA JAGUNG</v>
      </c>
      <c r="L339" s="10" t="str">
        <f ca="1">IFERROR(__xludf.DUMMYFUNCTION("""COMPUTED_VALUE"""),"Segmen")</f>
        <v>Segmen</v>
      </c>
      <c r="M339" s="66">
        <f ca="1">IFERROR(__xludf.DUMMYFUNCTION("""COMPUTED_VALUE"""),59000)</f>
        <v>59000</v>
      </c>
      <c r="N339" s="10">
        <f ca="1">IFERROR(__xludf.DUMMYFUNCTION("""COMPUTED_VALUE"""),6)</f>
        <v>6</v>
      </c>
      <c r="O339" s="10">
        <f ca="1">IFERROR(__xludf.DUMMYFUNCTION("""COMPUTED_VALUE"""),354000)</f>
        <v>354000</v>
      </c>
      <c r="P339" s="10"/>
      <c r="Q339" s="67">
        <f ca="1">IFERROR(__xludf.DUMMYFUNCTION("""COMPUTED_VALUE"""),45443)</f>
        <v>45443</v>
      </c>
    </row>
    <row r="340" spans="1:17" ht="12.5">
      <c r="A340" s="82">
        <f t="array" aca="1" ref="A340" ca="1">INDEX('Database Mitra'!$R$2:$R1001,MATCH(C340,'Database Mitra'!$B$2:$B1001,0))</f>
        <v>34541</v>
      </c>
      <c r="B340" s="10" t="e">
        <f t="shared" ca="1" si="0"/>
        <v>#NAME?</v>
      </c>
      <c r="C340" s="83">
        <f ca="1">IFERROR(__xludf.DUMMYFUNCTION("""COMPUTED_VALUE"""),610422040058)</f>
        <v>610422040058</v>
      </c>
      <c r="D340" s="10" t="str">
        <f ca="1">IFERROR(__xludf.DUMMYFUNCTION("""COMPUTED_VALUE"""),"KSA24-LAPANGAN-MEI")</f>
        <v>KSA24-LAPANGAN-MEI</v>
      </c>
      <c r="E340" s="10"/>
      <c r="F340" s="10">
        <f ca="1">IFERROR(__xludf.DUMMYFUNCTION("""COMPUTED_VALUE"""),1)</f>
        <v>1</v>
      </c>
      <c r="G340" s="10" t="str">
        <f ca="1">IFERROR(__xludf.DUMMYFUNCTION("""COMPUTED_VALUE"""),"Jamaluddin, Sp")</f>
        <v>Jamaluddin, Sp</v>
      </c>
      <c r="H340" s="10" t="str">
        <f ca="1">IFERROR(__xludf.DUMMYFUNCTION("""COMPUTED_VALUE"""),"PPL")</f>
        <v>PPL</v>
      </c>
      <c r="I340" s="10" t="str">
        <f ca="1">IFERROR(__xludf.DUMMYFUNCTION("""COMPUTED_VALUE"""),"6102152607940002")</f>
        <v>6102152607940002</v>
      </c>
      <c r="J340" s="10" t="str">
        <f ca="1">IFERROR(__xludf.DUMMYFUNCTION("""COMPUTED_VALUE"""),"KSA JAGUNG")</f>
        <v>KSA JAGUNG</v>
      </c>
      <c r="K340" s="10" t="str">
        <f ca="1">IFERROR(__xludf.DUMMYFUNCTION("""COMPUTED_VALUE"""),"KSA24-LAPANGAN-MEI-PPL-KSA JAGUNG")</f>
        <v>KSA24-LAPANGAN-MEI-PPL-KSA JAGUNG</v>
      </c>
      <c r="L340" s="10" t="str">
        <f ca="1">IFERROR(__xludf.DUMMYFUNCTION("""COMPUTED_VALUE"""),"Segmen")</f>
        <v>Segmen</v>
      </c>
      <c r="M340" s="66">
        <f ca="1">IFERROR(__xludf.DUMMYFUNCTION("""COMPUTED_VALUE"""),59000)</f>
        <v>59000</v>
      </c>
      <c r="N340" s="10">
        <f ca="1">IFERROR(__xludf.DUMMYFUNCTION("""COMPUTED_VALUE"""),10)</f>
        <v>10</v>
      </c>
      <c r="O340" s="10">
        <f ca="1">IFERROR(__xludf.DUMMYFUNCTION("""COMPUTED_VALUE"""),590000)</f>
        <v>590000</v>
      </c>
      <c r="P340" s="10"/>
      <c r="Q340" s="67">
        <f ca="1">IFERROR(__xludf.DUMMYFUNCTION("""COMPUTED_VALUE"""),45443)</f>
        <v>45443</v>
      </c>
    </row>
    <row r="341" spans="1:17" ht="12.5">
      <c r="A341" s="82">
        <f t="array" aca="1" ref="A341" ca="1">INDEX('Database Mitra'!$R$2:$R1001,MATCH(C341,'Database Mitra'!$B$2:$B1001,0))</f>
        <v>29171</v>
      </c>
      <c r="B341" s="10" t="e">
        <f t="shared" ca="1" si="0"/>
        <v>#NAME?</v>
      </c>
      <c r="C341" s="83">
        <f ca="1">IFERROR(__xludf.DUMMYFUNCTION("""COMPUTED_VALUE"""),610423110183)</f>
        <v>610423110183</v>
      </c>
      <c r="D341" s="10" t="str">
        <f ca="1">IFERROR(__xludf.DUMMYFUNCTION("""COMPUTED_VALUE"""),"KSA24-LAPANGAN-MEI")</f>
        <v>KSA24-LAPANGAN-MEI</v>
      </c>
      <c r="E341" s="10"/>
      <c r="F341" s="10">
        <f ca="1">IFERROR(__xludf.DUMMYFUNCTION("""COMPUTED_VALUE"""),1)</f>
        <v>1</v>
      </c>
      <c r="G341" s="10" t="str">
        <f ca="1">IFERROR(__xludf.DUMMYFUNCTION("""COMPUTED_VALUE"""),"Azhar")</f>
        <v>Azhar</v>
      </c>
      <c r="H341" s="10" t="str">
        <f ca="1">IFERROR(__xludf.DUMMYFUNCTION("""COMPUTED_VALUE"""),"PPL")</f>
        <v>PPL</v>
      </c>
      <c r="I341" s="10" t="str">
        <f ca="1">IFERROR(__xludf.DUMMYFUNCTION("""COMPUTED_VALUE"""),"6102081211790004")</f>
        <v>6102081211790004</v>
      </c>
      <c r="J341" s="10" t="str">
        <f ca="1">IFERROR(__xludf.DUMMYFUNCTION("""COMPUTED_VALUE"""),"KSA JAGUNG")</f>
        <v>KSA JAGUNG</v>
      </c>
      <c r="K341" s="10" t="str">
        <f ca="1">IFERROR(__xludf.DUMMYFUNCTION("""COMPUTED_VALUE"""),"KSA24-LAPANGAN-MEI-PPL-KSA JAGUNG")</f>
        <v>KSA24-LAPANGAN-MEI-PPL-KSA JAGUNG</v>
      </c>
      <c r="L341" s="10" t="str">
        <f ca="1">IFERROR(__xludf.DUMMYFUNCTION("""COMPUTED_VALUE"""),"Segmen")</f>
        <v>Segmen</v>
      </c>
      <c r="M341" s="66">
        <f ca="1">IFERROR(__xludf.DUMMYFUNCTION("""COMPUTED_VALUE"""),59000)</f>
        <v>59000</v>
      </c>
      <c r="N341" s="10">
        <f ca="1">IFERROR(__xludf.DUMMYFUNCTION("""COMPUTED_VALUE"""),6)</f>
        <v>6</v>
      </c>
      <c r="O341" s="10">
        <f ca="1">IFERROR(__xludf.DUMMYFUNCTION("""COMPUTED_VALUE"""),354000)</f>
        <v>354000</v>
      </c>
      <c r="P341" s="10"/>
      <c r="Q341" s="67">
        <f ca="1">IFERROR(__xludf.DUMMYFUNCTION("""COMPUTED_VALUE"""),45443)</f>
        <v>45443</v>
      </c>
    </row>
    <row r="342" spans="1:17" ht="12.5">
      <c r="A342" s="82">
        <f t="array" aca="1" ref="A342" ca="1">INDEX('Database Mitra'!$R$2:$R1001,MATCH(C342,'Database Mitra'!$B$2:$B1001,0))</f>
        <v>32942</v>
      </c>
      <c r="B342" s="10" t="e">
        <f t="shared" ca="1" si="0"/>
        <v>#NAME?</v>
      </c>
      <c r="C342" s="83">
        <f ca="1">IFERROR(__xludf.DUMMYFUNCTION("""COMPUTED_VALUE"""),610422100244)</f>
        <v>610422100244</v>
      </c>
      <c r="D342" s="10" t="str">
        <f ca="1">IFERROR(__xludf.DUMMYFUNCTION("""COMPUTED_VALUE"""),"KSA24-LAPANGAN-MEI")</f>
        <v>KSA24-LAPANGAN-MEI</v>
      </c>
      <c r="E342" s="10"/>
      <c r="F342" s="10">
        <f ca="1">IFERROR(__xludf.DUMMYFUNCTION("""COMPUTED_VALUE"""),1)</f>
        <v>1</v>
      </c>
      <c r="G342" s="10" t="str">
        <f ca="1">IFERROR(__xludf.DUMMYFUNCTION("""COMPUTED_VALUE"""),"Sugianto")</f>
        <v>Sugianto</v>
      </c>
      <c r="H342" s="10" t="str">
        <f ca="1">IFERROR(__xludf.DUMMYFUNCTION("""COMPUTED_VALUE"""),"PPL")</f>
        <v>PPL</v>
      </c>
      <c r="I342" s="10" t="str">
        <f ca="1">IFERROR(__xludf.DUMMYFUNCTION("""COMPUTED_VALUE"""),"6102171003900002")</f>
        <v>6102171003900002</v>
      </c>
      <c r="J342" s="10" t="str">
        <f ca="1">IFERROR(__xludf.DUMMYFUNCTION("""COMPUTED_VALUE"""),"KSA JAGUNG")</f>
        <v>KSA JAGUNG</v>
      </c>
      <c r="K342" s="10" t="str">
        <f ca="1">IFERROR(__xludf.DUMMYFUNCTION("""COMPUTED_VALUE"""),"KSA24-LAPANGAN-MEI-PPL-KSA JAGUNG")</f>
        <v>KSA24-LAPANGAN-MEI-PPL-KSA JAGUNG</v>
      </c>
      <c r="L342" s="10" t="str">
        <f ca="1">IFERROR(__xludf.DUMMYFUNCTION("""COMPUTED_VALUE"""),"Segmen")</f>
        <v>Segmen</v>
      </c>
      <c r="M342" s="66">
        <f ca="1">IFERROR(__xludf.DUMMYFUNCTION("""COMPUTED_VALUE"""),59000)</f>
        <v>59000</v>
      </c>
      <c r="N342" s="10">
        <f ca="1">IFERROR(__xludf.DUMMYFUNCTION("""COMPUTED_VALUE"""),8)</f>
        <v>8</v>
      </c>
      <c r="O342" s="10">
        <f ca="1">IFERROR(__xludf.DUMMYFUNCTION("""COMPUTED_VALUE"""),472000)</f>
        <v>472000</v>
      </c>
      <c r="P342" s="10"/>
      <c r="Q342" s="67">
        <f ca="1">IFERROR(__xludf.DUMMYFUNCTION("""COMPUTED_VALUE"""),45443)</f>
        <v>45443</v>
      </c>
    </row>
    <row r="343" spans="1:17" ht="12.5">
      <c r="A343" s="82">
        <f t="array" aca="1" ref="A343" ca="1">INDEX('Database Mitra'!$R$2:$R1001,MATCH(C343,'Database Mitra'!$B$2:$B1001,0))</f>
        <v>36043</v>
      </c>
      <c r="B343" s="10" t="e">
        <f t="shared" ca="1" si="0"/>
        <v>#NAME?</v>
      </c>
      <c r="C343" s="83">
        <f ca="1">IFERROR(__xludf.DUMMYFUNCTION("""COMPUTED_VALUE"""),610422040012)</f>
        <v>610422040012</v>
      </c>
      <c r="D343" s="10" t="str">
        <f ca="1">IFERROR(__xludf.DUMMYFUNCTION("""COMPUTED_VALUE"""),"UBINAN24-LAPANGAN-SR1-2")</f>
        <v>UBINAN24-LAPANGAN-SR1-2</v>
      </c>
      <c r="E343" s="10"/>
      <c r="F343" s="10">
        <f ca="1">IFERROR(__xludf.DUMMYFUNCTION("""COMPUTED_VALUE"""),1)</f>
        <v>1</v>
      </c>
      <c r="G343" s="10" t="str">
        <f ca="1">IFERROR(__xludf.DUMMYFUNCTION("""COMPUTED_VALUE"""),"Misdi")</f>
        <v>Misdi</v>
      </c>
      <c r="H343" s="10" t="str">
        <f ca="1">IFERROR(__xludf.DUMMYFUNCTION("""COMPUTED_VALUE"""),"PPL")</f>
        <v>PPL</v>
      </c>
      <c r="I343" s="10" t="str">
        <f ca="1">IFERROR(__xludf.DUMMYFUNCTION("""COMPUTED_VALUE"""),"6102070706940001")</f>
        <v>6102070706940001</v>
      </c>
      <c r="J343" s="10" t="str">
        <f ca="1">IFERROR(__xludf.DUMMYFUNCTION("""COMPUTED_VALUE"""),"Dokumen")</f>
        <v>Dokumen</v>
      </c>
      <c r="K343" s="10" t="str">
        <f ca="1">IFERROR(__xludf.DUMMYFUNCTION("""COMPUTED_VALUE"""),"UBINAN24-LAPANGAN-SR1-2-PPL-PALAWIJA")</f>
        <v>UBINAN24-LAPANGAN-SR1-2-PPL-PALAWIJA</v>
      </c>
      <c r="L343" s="10" t="str">
        <f ca="1">IFERROR(__xludf.DUMMYFUNCTION("""COMPUTED_VALUE"""),"Dokumen")</f>
        <v>Dokumen</v>
      </c>
      <c r="M343" s="66">
        <f ca="1">IFERROR(__xludf.DUMMYFUNCTION("""COMPUTED_VALUE"""),78000)</f>
        <v>78000</v>
      </c>
      <c r="N343" s="10">
        <f ca="1">IFERROR(__xludf.DUMMYFUNCTION("""COMPUTED_VALUE"""),25)</f>
        <v>25</v>
      </c>
      <c r="O343" s="10">
        <f ca="1">IFERROR(__xludf.DUMMYFUNCTION("""COMPUTED_VALUE"""),1950000)</f>
        <v>1950000</v>
      </c>
      <c r="P343" s="10"/>
      <c r="Q343" s="67">
        <f ca="1">IFERROR(__xludf.DUMMYFUNCTION("""COMPUTED_VALUE"""),45443)</f>
        <v>45443</v>
      </c>
    </row>
    <row r="344" spans="1:17" ht="12.5">
      <c r="A344" s="82">
        <f t="array" aca="1" ref="A344" ca="1">INDEX('Database Mitra'!$R$2:$R1001,MATCH(C344,'Database Mitra'!$B$2:$B1001,0))</f>
        <v>36043</v>
      </c>
      <c r="B344" s="10" t="e">
        <f t="shared" ca="1" si="0"/>
        <v>#NAME?</v>
      </c>
      <c r="C344" s="83">
        <f ca="1">IFERROR(__xludf.DUMMYFUNCTION("""COMPUTED_VALUE"""),610422040012)</f>
        <v>610422040012</v>
      </c>
      <c r="D344" s="10" t="str">
        <f ca="1">IFERROR(__xludf.DUMMYFUNCTION("""COMPUTED_VALUE"""),"UBINAN24-LAPANGAN-SR1-2")</f>
        <v>UBINAN24-LAPANGAN-SR1-2</v>
      </c>
      <c r="E344" s="10"/>
      <c r="F344" s="10">
        <f ca="1">IFERROR(__xludf.DUMMYFUNCTION("""COMPUTED_VALUE"""),1)</f>
        <v>1</v>
      </c>
      <c r="G344" s="10" t="str">
        <f ca="1">IFERROR(__xludf.DUMMYFUNCTION("""COMPUTED_VALUE"""),"Misdi")</f>
        <v>Misdi</v>
      </c>
      <c r="H344" s="10" t="str">
        <f ca="1">IFERROR(__xludf.DUMMYFUNCTION("""COMPUTED_VALUE"""),"PPL")</f>
        <v>PPL</v>
      </c>
      <c r="I344" s="10" t="str">
        <f ca="1">IFERROR(__xludf.DUMMYFUNCTION("""COMPUTED_VALUE"""),"6102070706940001")</f>
        <v>6102070706940001</v>
      </c>
      <c r="J344" s="10" t="str">
        <f ca="1">IFERROR(__xludf.DUMMYFUNCTION("""COMPUTED_VALUE"""),"Dokumen")</f>
        <v>Dokumen</v>
      </c>
      <c r="K344" s="10" t="str">
        <f ca="1">IFERROR(__xludf.DUMMYFUNCTION("""COMPUTED_VALUE"""),"UBINAN24-LAPANGAN-SR1-2-PPL-PADI")</f>
        <v>UBINAN24-LAPANGAN-SR1-2-PPL-PADI</v>
      </c>
      <c r="L344" s="10" t="str">
        <f ca="1">IFERROR(__xludf.DUMMYFUNCTION("""COMPUTED_VALUE"""),"Dokumen")</f>
        <v>Dokumen</v>
      </c>
      <c r="M344" s="66">
        <f ca="1">IFERROR(__xludf.DUMMYFUNCTION("""COMPUTED_VALUE"""),78000)</f>
        <v>78000</v>
      </c>
      <c r="N344" s="10">
        <f ca="1">IFERROR(__xludf.DUMMYFUNCTION("""COMPUTED_VALUE"""),11)</f>
        <v>11</v>
      </c>
      <c r="O344" s="10">
        <f ca="1">IFERROR(__xludf.DUMMYFUNCTION("""COMPUTED_VALUE"""),858000)</f>
        <v>858000</v>
      </c>
      <c r="P344" s="10"/>
      <c r="Q344" s="67">
        <f ca="1">IFERROR(__xludf.DUMMYFUNCTION("""COMPUTED_VALUE"""),45443)</f>
        <v>45443</v>
      </c>
    </row>
    <row r="345" spans="1:17" ht="12.5">
      <c r="A345" s="82">
        <f t="array" aca="1" ref="A345" ca="1">INDEX('Database Mitra'!$R$2:$R1001,MATCH(C345,'Database Mitra'!$B$2:$B1001,0))</f>
        <v>32409</v>
      </c>
      <c r="B345" s="10" t="e">
        <f t="shared" ca="1" si="0"/>
        <v>#NAME?</v>
      </c>
      <c r="C345" s="83">
        <f ca="1">IFERROR(__xludf.DUMMYFUNCTION("""COMPUTED_VALUE"""),610423040018)</f>
        <v>610423040018</v>
      </c>
      <c r="D345" s="10" t="str">
        <f ca="1">IFERROR(__xludf.DUMMYFUNCTION("""COMPUTED_VALUE"""),"UBINAN24-LAPANGAN-SR1-2")</f>
        <v>UBINAN24-LAPANGAN-SR1-2</v>
      </c>
      <c r="E345" s="10"/>
      <c r="F345" s="10">
        <f ca="1">IFERROR(__xludf.DUMMYFUNCTION("""COMPUTED_VALUE"""),1)</f>
        <v>1</v>
      </c>
      <c r="G345" s="10" t="str">
        <f ca="1">IFERROR(__xludf.DUMMYFUNCTION("""COMPUTED_VALUE"""),"Handoko Tuah Sabarman Sipayung")</f>
        <v>Handoko Tuah Sabarman Sipayung</v>
      </c>
      <c r="H345" s="10" t="str">
        <f ca="1">IFERROR(__xludf.DUMMYFUNCTION("""COMPUTED_VALUE"""),"PPL")</f>
        <v>PPL</v>
      </c>
      <c r="I345" s="10" t="str">
        <f ca="1">IFERROR(__xludf.DUMMYFUNCTION("""COMPUTED_VALUE"""),"1212092309880001")</f>
        <v>1212092309880001</v>
      </c>
      <c r="J345" s="10" t="str">
        <f ca="1">IFERROR(__xludf.DUMMYFUNCTION("""COMPUTED_VALUE"""),"Dokumen")</f>
        <v>Dokumen</v>
      </c>
      <c r="K345" s="10" t="str">
        <f ca="1">IFERROR(__xludf.DUMMYFUNCTION("""COMPUTED_VALUE"""),"UBINAN24-LAPANGAN-SR1-2-PPL-PADI")</f>
        <v>UBINAN24-LAPANGAN-SR1-2-PPL-PADI</v>
      </c>
      <c r="L345" s="10" t="str">
        <f ca="1">IFERROR(__xludf.DUMMYFUNCTION("""COMPUTED_VALUE"""),"Dokumen")</f>
        <v>Dokumen</v>
      </c>
      <c r="M345" s="66">
        <f ca="1">IFERROR(__xludf.DUMMYFUNCTION("""COMPUTED_VALUE"""),78000)</f>
        <v>78000</v>
      </c>
      <c r="N345" s="10">
        <f ca="1">IFERROR(__xludf.DUMMYFUNCTION("""COMPUTED_VALUE"""),4)</f>
        <v>4</v>
      </c>
      <c r="O345" s="10">
        <f ca="1">IFERROR(__xludf.DUMMYFUNCTION("""COMPUTED_VALUE"""),312000)</f>
        <v>312000</v>
      </c>
      <c r="P345" s="70"/>
      <c r="Q345" s="67">
        <f ca="1">IFERROR(__xludf.DUMMYFUNCTION("""COMPUTED_VALUE"""),45443)</f>
        <v>45443</v>
      </c>
    </row>
    <row r="346" spans="1:17" ht="12.5">
      <c r="A346" s="11">
        <f t="array" aca="1" ref="A346" ca="1">INDEX('Database Mitra'!$R$2:$R1001,MATCH(C346,'Database Mitra'!$B$2:$B1001,0))</f>
        <v>34895</v>
      </c>
      <c r="B346" s="10" t="e">
        <f t="shared" ca="1" si="0"/>
        <v>#NAME?</v>
      </c>
      <c r="C346" s="83">
        <f ca="1">IFERROR(__xludf.DUMMYFUNCTION("""COMPUTED_VALUE"""),610422020016)</f>
        <v>610422020016</v>
      </c>
      <c r="D346" s="10" t="str">
        <f ca="1">IFERROR(__xludf.DUMMYFUNCTION("""COMPUTED_VALUE"""),"UBINAN24-LAPANGAN-SR1-2")</f>
        <v>UBINAN24-LAPANGAN-SR1-2</v>
      </c>
      <c r="E346" s="10"/>
      <c r="F346" s="10">
        <f ca="1">IFERROR(__xludf.DUMMYFUNCTION("""COMPUTED_VALUE"""),1)</f>
        <v>1</v>
      </c>
      <c r="G346" s="10" t="str">
        <f ca="1">IFERROR(__xludf.DUMMYFUNCTION("""COMPUTED_VALUE"""),"Abdul Aziz")</f>
        <v>Abdul Aziz</v>
      </c>
      <c r="H346" s="10" t="str">
        <f ca="1">IFERROR(__xludf.DUMMYFUNCTION("""COMPUTED_VALUE"""),"PPL")</f>
        <v>PPL</v>
      </c>
      <c r="I346" s="10" t="str">
        <f ca="1">IFERROR(__xludf.DUMMYFUNCTION("""COMPUTED_VALUE"""),"6102061507950006")</f>
        <v>6102061507950006</v>
      </c>
      <c r="J346" s="10" t="str">
        <f ca="1">IFERROR(__xludf.DUMMYFUNCTION("""COMPUTED_VALUE"""),"Dokumen")</f>
        <v>Dokumen</v>
      </c>
      <c r="K346" s="10" t="str">
        <f ca="1">IFERROR(__xludf.DUMMYFUNCTION("""COMPUTED_VALUE"""),"UBINAN24-LAPANGAN-SR1-2-PPL-PADI")</f>
        <v>UBINAN24-LAPANGAN-SR1-2-PPL-PADI</v>
      </c>
      <c r="L346" s="10" t="str">
        <f ca="1">IFERROR(__xludf.DUMMYFUNCTION("""COMPUTED_VALUE"""),"Dokumen")</f>
        <v>Dokumen</v>
      </c>
      <c r="M346" s="66">
        <f ca="1">IFERROR(__xludf.DUMMYFUNCTION("""COMPUTED_VALUE"""),78000)</f>
        <v>78000</v>
      </c>
      <c r="N346" s="10">
        <f ca="1">IFERROR(__xludf.DUMMYFUNCTION("""COMPUTED_VALUE"""),3)</f>
        <v>3</v>
      </c>
      <c r="O346" s="10">
        <f ca="1">IFERROR(__xludf.DUMMYFUNCTION("""COMPUTED_VALUE"""),234000)</f>
        <v>234000</v>
      </c>
      <c r="P346" s="70"/>
      <c r="Q346" s="67">
        <f ca="1">IFERROR(__xludf.DUMMYFUNCTION("""COMPUTED_VALUE"""),45443)</f>
        <v>45443</v>
      </c>
    </row>
    <row r="347" spans="1:17" ht="12.5">
      <c r="A347" s="82">
        <f t="array" aca="1" ref="A347" ca="1">INDEX('Database Mitra'!$R$2:$R1001,MATCH(C347,'Database Mitra'!$B$2:$B1001,0))</f>
        <v>28816</v>
      </c>
      <c r="B347" s="10" t="e">
        <f t="shared" ca="1" si="0"/>
        <v>#NAME?</v>
      </c>
      <c r="C347" s="83">
        <f ca="1">IFERROR(__xludf.DUMMYFUNCTION("""COMPUTED_VALUE"""),610422040059)</f>
        <v>610422040059</v>
      </c>
      <c r="D347" s="10" t="str">
        <f ca="1">IFERROR(__xludf.DUMMYFUNCTION("""COMPUTED_VALUE"""),"UBINAN24-LAPANGAN-SR1-2")</f>
        <v>UBINAN24-LAPANGAN-SR1-2</v>
      </c>
      <c r="E347" s="10"/>
      <c r="F347" s="10">
        <f ca="1">IFERROR(__xludf.DUMMYFUNCTION("""COMPUTED_VALUE"""),1)</f>
        <v>1</v>
      </c>
      <c r="G347" s="10" t="str">
        <f ca="1">IFERROR(__xludf.DUMMYFUNCTION("""COMPUTED_VALUE"""),"Abang Handri")</f>
        <v>Abang Handri</v>
      </c>
      <c r="H347" s="10" t="str">
        <f ca="1">IFERROR(__xludf.DUMMYFUNCTION("""COMPUTED_VALUE"""),"PPL")</f>
        <v>PPL</v>
      </c>
      <c r="I347" s="10" t="str">
        <f ca="1">IFERROR(__xludf.DUMMYFUNCTION("""COMPUTED_VALUE"""),"6102072211780002")</f>
        <v>6102072211780002</v>
      </c>
      <c r="J347" s="10" t="str">
        <f ca="1">IFERROR(__xludf.DUMMYFUNCTION("""COMPUTED_VALUE"""),"Dokumen")</f>
        <v>Dokumen</v>
      </c>
      <c r="K347" s="10" t="str">
        <f ca="1">IFERROR(__xludf.DUMMYFUNCTION("""COMPUTED_VALUE"""),"UBINAN24-LAPANGAN-SR1-2-PPL-PADI")</f>
        <v>UBINAN24-LAPANGAN-SR1-2-PPL-PADI</v>
      </c>
      <c r="L347" s="10" t="str">
        <f ca="1">IFERROR(__xludf.DUMMYFUNCTION("""COMPUTED_VALUE"""),"Dokumen")</f>
        <v>Dokumen</v>
      </c>
      <c r="M347" s="66">
        <f ca="1">IFERROR(__xludf.DUMMYFUNCTION("""COMPUTED_VALUE"""),78000)</f>
        <v>78000</v>
      </c>
      <c r="N347" s="10">
        <f ca="1">IFERROR(__xludf.DUMMYFUNCTION("""COMPUTED_VALUE"""),1)</f>
        <v>1</v>
      </c>
      <c r="O347" s="10">
        <f ca="1">IFERROR(__xludf.DUMMYFUNCTION("""COMPUTED_VALUE"""),78000)</f>
        <v>78000</v>
      </c>
      <c r="P347" s="70"/>
      <c r="Q347" s="67">
        <f ca="1">IFERROR(__xludf.DUMMYFUNCTION("""COMPUTED_VALUE"""),45443)</f>
        <v>45443</v>
      </c>
    </row>
    <row r="348" spans="1:17" ht="12.5">
      <c r="A348" s="11">
        <f t="array" aca="1" ref="A348" ca="1">INDEX('Database Mitra'!$R$2:$R1001,MATCH(C348,'Database Mitra'!$B$2:$B1001,0))</f>
        <v>32481</v>
      </c>
      <c r="B348" s="10" t="e">
        <f t="shared" ca="1" si="0"/>
        <v>#NAME?</v>
      </c>
      <c r="C348" s="83">
        <f ca="1">IFERROR(__xludf.DUMMYFUNCTION("""COMPUTED_VALUE"""),610422100176)</f>
        <v>610422100176</v>
      </c>
      <c r="D348" s="10" t="str">
        <f ca="1">IFERROR(__xludf.DUMMYFUNCTION("""COMPUTED_VALUE"""),"UBINAN24-LAPANGAN-SR1-2")</f>
        <v>UBINAN24-LAPANGAN-SR1-2</v>
      </c>
      <c r="E348" s="10"/>
      <c r="F348" s="10">
        <f ca="1">IFERROR(__xludf.DUMMYFUNCTION("""COMPUTED_VALUE"""),1)</f>
        <v>1</v>
      </c>
      <c r="G348" s="10" t="str">
        <f ca="1">IFERROR(__xludf.DUMMYFUNCTION("""COMPUTED_VALUE"""),"Feri Firdaus")</f>
        <v>Feri Firdaus</v>
      </c>
      <c r="H348" s="10" t="str">
        <f ca="1">IFERROR(__xludf.DUMMYFUNCTION("""COMPUTED_VALUE"""),"PPL")</f>
        <v>PPL</v>
      </c>
      <c r="I348" s="10" t="str">
        <f ca="1">IFERROR(__xludf.DUMMYFUNCTION("""COMPUTED_VALUE"""),"6102150412880001")</f>
        <v>6102150412880001</v>
      </c>
      <c r="J348" s="10" t="str">
        <f ca="1">IFERROR(__xludf.DUMMYFUNCTION("""COMPUTED_VALUE"""),"Dokumen")</f>
        <v>Dokumen</v>
      </c>
      <c r="K348" s="10" t="str">
        <f ca="1">IFERROR(__xludf.DUMMYFUNCTION("""COMPUTED_VALUE"""),"UBINAN24-LAPANGAN-SR1-2-PPL-PADI")</f>
        <v>UBINAN24-LAPANGAN-SR1-2-PPL-PADI</v>
      </c>
      <c r="L348" s="10" t="str">
        <f ca="1">IFERROR(__xludf.DUMMYFUNCTION("""COMPUTED_VALUE"""),"Dokumen")</f>
        <v>Dokumen</v>
      </c>
      <c r="M348" s="66">
        <f ca="1">IFERROR(__xludf.DUMMYFUNCTION("""COMPUTED_VALUE"""),78000)</f>
        <v>78000</v>
      </c>
      <c r="N348" s="10">
        <f ca="1">IFERROR(__xludf.DUMMYFUNCTION("""COMPUTED_VALUE"""),1)</f>
        <v>1</v>
      </c>
      <c r="O348" s="10">
        <f ca="1">IFERROR(__xludf.DUMMYFUNCTION("""COMPUTED_VALUE"""),78000)</f>
        <v>78000</v>
      </c>
      <c r="P348" s="70"/>
      <c r="Q348" s="67">
        <f ca="1">IFERROR(__xludf.DUMMYFUNCTION("""COMPUTED_VALUE"""),45443)</f>
        <v>45443</v>
      </c>
    </row>
    <row r="349" spans="1:17" ht="12.5">
      <c r="A349" s="82">
        <f t="array" aca="1" ref="A349" ca="1">INDEX('Database Mitra'!$R$2:$R1001,MATCH(C349,'Database Mitra'!$B$2:$B1001,0))</f>
        <v>36088</v>
      </c>
      <c r="B349" s="10" t="e">
        <f t="shared" ca="1" si="0"/>
        <v>#NAME?</v>
      </c>
      <c r="C349" s="83">
        <f ca="1">IFERROR(__xludf.DUMMYFUNCTION("""COMPUTED_VALUE"""),610422100006)</f>
        <v>610422100006</v>
      </c>
      <c r="D349" s="10" t="str">
        <f ca="1">IFERROR(__xludf.DUMMYFUNCTION("""COMPUTED_VALUE"""),"UBINAN24-LAPANGAN-SR1-2")</f>
        <v>UBINAN24-LAPANGAN-SR1-2</v>
      </c>
      <c r="E349" s="10"/>
      <c r="F349" s="10">
        <f ca="1">IFERROR(__xludf.DUMMYFUNCTION("""COMPUTED_VALUE"""),1)</f>
        <v>1</v>
      </c>
      <c r="G349" s="10" t="str">
        <f ca="1">IFERROR(__xludf.DUMMYFUNCTION("""COMPUTED_VALUE"""),"Dandy")</f>
        <v>Dandy</v>
      </c>
      <c r="H349" s="10" t="str">
        <f ca="1">IFERROR(__xludf.DUMMYFUNCTION("""COMPUTED_VALUE"""),"PPL")</f>
        <v>PPL</v>
      </c>
      <c r="I349" s="10" t="str">
        <f ca="1">IFERROR(__xludf.DUMMYFUNCTION("""COMPUTED_VALUE"""),"6102082010980003")</f>
        <v>6102082010980003</v>
      </c>
      <c r="J349" s="10" t="str">
        <f ca="1">IFERROR(__xludf.DUMMYFUNCTION("""COMPUTED_VALUE"""),"Dokumen")</f>
        <v>Dokumen</v>
      </c>
      <c r="K349" s="10" t="str">
        <f ca="1">IFERROR(__xludf.DUMMYFUNCTION("""COMPUTED_VALUE"""),"UBINAN24-LAPANGAN-SR1-2-PPL-PADI")</f>
        <v>UBINAN24-LAPANGAN-SR1-2-PPL-PADI</v>
      </c>
      <c r="L349" s="10" t="str">
        <f ca="1">IFERROR(__xludf.DUMMYFUNCTION("""COMPUTED_VALUE"""),"Dokumen")</f>
        <v>Dokumen</v>
      </c>
      <c r="M349" s="66">
        <f ca="1">IFERROR(__xludf.DUMMYFUNCTION("""COMPUTED_VALUE"""),78000)</f>
        <v>78000</v>
      </c>
      <c r="N349" s="10">
        <f ca="1">IFERROR(__xludf.DUMMYFUNCTION("""COMPUTED_VALUE"""),4)</f>
        <v>4</v>
      </c>
      <c r="O349" s="10">
        <f ca="1">IFERROR(__xludf.DUMMYFUNCTION("""COMPUTED_VALUE"""),312000)</f>
        <v>312000</v>
      </c>
      <c r="P349" s="70"/>
      <c r="Q349" s="67">
        <f ca="1">IFERROR(__xludf.DUMMYFUNCTION("""COMPUTED_VALUE"""),45443)</f>
        <v>45443</v>
      </c>
    </row>
    <row r="350" spans="1:17" ht="12.5">
      <c r="A350" s="82">
        <f t="array" aca="1" ref="A350" ca="1">INDEX('Database Mitra'!$R$2:$R1001,MATCH(C350,'Database Mitra'!$B$2:$B1001,0))</f>
        <v>32320</v>
      </c>
      <c r="B350" s="10" t="e">
        <f t="shared" ca="1" si="0"/>
        <v>#NAME?</v>
      </c>
      <c r="C350" s="83">
        <f ca="1">IFERROR(__xludf.DUMMYFUNCTION("""COMPUTED_VALUE"""),610423040021)</f>
        <v>610423040021</v>
      </c>
      <c r="D350" s="10" t="str">
        <f ca="1">IFERROR(__xludf.DUMMYFUNCTION("""COMPUTED_VALUE"""),"UBINAN24-LAPANGAN-SR1-2")</f>
        <v>UBINAN24-LAPANGAN-SR1-2</v>
      </c>
      <c r="E350" s="10"/>
      <c r="F350" s="10">
        <f ca="1">IFERROR(__xludf.DUMMYFUNCTION("""COMPUTED_VALUE"""),1)</f>
        <v>1</v>
      </c>
      <c r="G350" s="10" t="str">
        <f ca="1">IFERROR(__xludf.DUMMYFUNCTION("""COMPUTED_VALUE"""),"Seliana")</f>
        <v>Seliana</v>
      </c>
      <c r="H350" s="10" t="str">
        <f ca="1">IFERROR(__xludf.DUMMYFUNCTION("""COMPUTED_VALUE"""),"PPL")</f>
        <v>PPL</v>
      </c>
      <c r="I350" s="10" t="str">
        <f ca="1">IFERROR(__xludf.DUMMYFUNCTION("""COMPUTED_VALUE"""),"6102176606880001")</f>
        <v>6102176606880001</v>
      </c>
      <c r="J350" s="10" t="str">
        <f ca="1">IFERROR(__xludf.DUMMYFUNCTION("""COMPUTED_VALUE"""),"Dokumen")</f>
        <v>Dokumen</v>
      </c>
      <c r="K350" s="10" t="str">
        <f ca="1">IFERROR(__xludf.DUMMYFUNCTION("""COMPUTED_VALUE"""),"UBINAN24-LAPANGAN-SR1-2-PPL-PADI")</f>
        <v>UBINAN24-LAPANGAN-SR1-2-PPL-PADI</v>
      </c>
      <c r="L350" s="10" t="str">
        <f ca="1">IFERROR(__xludf.DUMMYFUNCTION("""COMPUTED_VALUE"""),"Dokumen")</f>
        <v>Dokumen</v>
      </c>
      <c r="M350" s="66">
        <f ca="1">IFERROR(__xludf.DUMMYFUNCTION("""COMPUTED_VALUE"""),78000)</f>
        <v>78000</v>
      </c>
      <c r="N350" s="10">
        <f ca="1">IFERROR(__xludf.DUMMYFUNCTION("""COMPUTED_VALUE"""),4)</f>
        <v>4</v>
      </c>
      <c r="O350" s="10">
        <f ca="1">IFERROR(__xludf.DUMMYFUNCTION("""COMPUTED_VALUE"""),312000)</f>
        <v>312000</v>
      </c>
      <c r="P350" s="70"/>
      <c r="Q350" s="67">
        <f ca="1">IFERROR(__xludf.DUMMYFUNCTION("""COMPUTED_VALUE"""),45443)</f>
        <v>45443</v>
      </c>
    </row>
    <row r="351" spans="1:17" ht="12.5">
      <c r="A351" s="82">
        <f t="array" aca="1" ref="A351" ca="1">INDEX('Database Mitra'!$R$2:$R1001,MATCH(C351,'Database Mitra'!$B$2:$B1001,0))</f>
        <v>31773</v>
      </c>
      <c r="B351" s="10" t="e">
        <f t="shared" ca="1" si="0"/>
        <v>#NAME?</v>
      </c>
      <c r="C351" s="83">
        <f ca="1">IFERROR(__xludf.DUMMYFUNCTION("""COMPUTED_VALUE"""),610422030002)</f>
        <v>610422030002</v>
      </c>
      <c r="D351" s="10" t="str">
        <f ca="1">IFERROR(__xludf.DUMMYFUNCTION("""COMPUTED_VALUE"""),"SHPB24-LAPANGAN-JUNI")</f>
        <v>SHPB24-LAPANGAN-JUNI</v>
      </c>
      <c r="E351" s="10"/>
      <c r="F351" s="10">
        <f ca="1">IFERROR(__xludf.DUMMYFUNCTION("""COMPUTED_VALUE"""),1)</f>
        <v>1</v>
      </c>
      <c r="G351" s="10" t="str">
        <f ca="1">IFERROR(__xludf.DUMMYFUNCTION("""COMPUTED_VALUE"""),"Deti Erni Widiastuti")</f>
        <v>Deti Erni Widiastuti</v>
      </c>
      <c r="H351" s="10" t="str">
        <f ca="1">IFERROR(__xludf.DUMMYFUNCTION("""COMPUTED_VALUE"""),"PPL")</f>
        <v>PPL</v>
      </c>
      <c r="I351" s="10" t="str">
        <f ca="1">IFERROR(__xludf.DUMMYFUNCTION("""COMPUTED_VALUE"""),"6102016712860001")</f>
        <v>6102016712860001</v>
      </c>
      <c r="J351" s="10" t="str">
        <f ca="1">IFERROR(__xludf.DUMMYFUNCTION("""COMPUTED_VALUE"""),"PENDATAAN")</f>
        <v>PENDATAAN</v>
      </c>
      <c r="K351" s="10" t="str">
        <f ca="1">IFERROR(__xludf.DUMMYFUNCTION("""COMPUTED_VALUE"""),"SHPB24-LAPANGAN-JUNI-PPL-PENDATAAN")</f>
        <v>SHPB24-LAPANGAN-JUNI-PPL-PENDATAAN</v>
      </c>
      <c r="L351" s="10" t="str">
        <f ca="1">IFERROR(__xludf.DUMMYFUNCTION("""COMPUTED_VALUE"""),"Dokumen")</f>
        <v>Dokumen</v>
      </c>
      <c r="M351" s="66">
        <f ca="1">IFERROR(__xludf.DUMMYFUNCTION("""COMPUTED_VALUE"""),50000)</f>
        <v>50000</v>
      </c>
      <c r="N351" s="10">
        <f ca="1">IFERROR(__xludf.DUMMYFUNCTION("""COMPUTED_VALUE"""),15)</f>
        <v>15</v>
      </c>
      <c r="O351" s="10">
        <f ca="1">IFERROR(__xludf.DUMMYFUNCTION("""COMPUTED_VALUE"""),750000)</f>
        <v>750000</v>
      </c>
      <c r="P351" s="10"/>
      <c r="Q351" s="67">
        <f ca="1">IFERROR(__xludf.DUMMYFUNCTION("""COMPUTED_VALUE"""),45463)</f>
        <v>45463</v>
      </c>
    </row>
    <row r="352" spans="1:17" ht="12.5">
      <c r="A352" s="82">
        <f t="array" aca="1" ref="A352" ca="1">INDEX('Database Mitra'!$R$2:$R1001,MATCH(C352,'Database Mitra'!$B$2:$B1001,0))</f>
        <v>32942</v>
      </c>
      <c r="B352" s="10" t="e">
        <f t="shared" ca="1" si="0"/>
        <v>#NAME?</v>
      </c>
      <c r="C352" s="83">
        <f ca="1">IFERROR(__xludf.DUMMYFUNCTION("""COMPUTED_VALUE"""),610422100244)</f>
        <v>610422100244</v>
      </c>
      <c r="D352" s="10" t="str">
        <f ca="1">IFERROR(__xludf.DUMMYFUNCTION("""COMPUTED_VALUE"""),"HPG24-LAPANGAN-JUNI")</f>
        <v>HPG24-LAPANGAN-JUNI</v>
      </c>
      <c r="E352" s="10"/>
      <c r="F352" s="10">
        <f ca="1">IFERROR(__xludf.DUMMYFUNCTION("""COMPUTED_VALUE"""),1)</f>
        <v>1</v>
      </c>
      <c r="G352" s="10" t="str">
        <f ca="1">IFERROR(__xludf.DUMMYFUNCTION("""COMPUTED_VALUE"""),"Sugianto")</f>
        <v>Sugianto</v>
      </c>
      <c r="H352" s="10" t="str">
        <f ca="1">IFERROR(__xludf.DUMMYFUNCTION("""COMPUTED_VALUE"""),"PPL")</f>
        <v>PPL</v>
      </c>
      <c r="I352" s="10" t="str">
        <f ca="1">IFERROR(__xludf.DUMMYFUNCTION("""COMPUTED_VALUE"""),"6102171003900002")</f>
        <v>6102171003900002</v>
      </c>
      <c r="J352" s="10" t="str">
        <f ca="1">IFERROR(__xludf.DUMMYFUNCTION("""COMPUTED_VALUE"""),"PENDATAAN")</f>
        <v>PENDATAAN</v>
      </c>
      <c r="K352" s="10" t="str">
        <f ca="1">IFERROR(__xludf.DUMMYFUNCTION("""COMPUTED_VALUE"""),"HPG24-LAPANGAN-JUNI-PPL-PENDATAAN")</f>
        <v>HPG24-LAPANGAN-JUNI-PPL-PENDATAAN</v>
      </c>
      <c r="L352" s="10" t="str">
        <f ca="1">IFERROR(__xludf.DUMMYFUNCTION("""COMPUTED_VALUE"""),"Dokumen")</f>
        <v>Dokumen</v>
      </c>
      <c r="M352" s="66">
        <f ca="1">IFERROR(__xludf.DUMMYFUNCTION("""COMPUTED_VALUE"""),50000)</f>
        <v>50000</v>
      </c>
      <c r="N352" s="10">
        <f ca="1">IFERROR(__xludf.DUMMYFUNCTION("""COMPUTED_VALUE"""),1)</f>
        <v>1</v>
      </c>
      <c r="O352" s="10">
        <f ca="1">IFERROR(__xludf.DUMMYFUNCTION("""COMPUTED_VALUE"""),50000)</f>
        <v>50000</v>
      </c>
      <c r="P352" s="10"/>
      <c r="Q352" s="67">
        <f ca="1">IFERROR(__xludf.DUMMYFUNCTION("""COMPUTED_VALUE"""),45463)</f>
        <v>45463</v>
      </c>
    </row>
    <row r="353" spans="1:17" ht="12.5">
      <c r="A353" s="82">
        <f t="array" aca="1" ref="A353" ca="1">INDEX('Database Mitra'!$R$2:$R1001,MATCH(C353,'Database Mitra'!$B$2:$B1001,0))</f>
        <v>29068</v>
      </c>
      <c r="B353" s="10" t="e">
        <f t="shared" ca="1" si="0"/>
        <v>#NAME?</v>
      </c>
      <c r="C353" s="83">
        <f ca="1">IFERROR(__xludf.DUMMYFUNCTION("""COMPUTED_VALUE"""),610422100124)</f>
        <v>610422100124</v>
      </c>
      <c r="D353" s="10" t="str">
        <f ca="1">IFERROR(__xludf.DUMMYFUNCTION("""COMPUTED_VALUE"""),"HPG24-LAPANGAN-JUNI")</f>
        <v>HPG24-LAPANGAN-JUNI</v>
      </c>
      <c r="E353" s="10"/>
      <c r="F353" s="10">
        <f ca="1">IFERROR(__xludf.DUMMYFUNCTION("""COMPUTED_VALUE"""),1)</f>
        <v>1</v>
      </c>
      <c r="G353" s="10" t="str">
        <f ca="1">IFERROR(__xludf.DUMMYFUNCTION("""COMPUTED_VALUE"""),"Prabowo")</f>
        <v>Prabowo</v>
      </c>
      <c r="H353" s="10" t="str">
        <f ca="1">IFERROR(__xludf.DUMMYFUNCTION("""COMPUTED_VALUE"""),"PPL")</f>
        <v>PPL</v>
      </c>
      <c r="I353" s="10" t="str">
        <f ca="1">IFERROR(__xludf.DUMMYFUNCTION("""COMPUTED_VALUE"""),"6171010108790015")</f>
        <v>6171010108790015</v>
      </c>
      <c r="J353" s="10" t="str">
        <f ca="1">IFERROR(__xludf.DUMMYFUNCTION("""COMPUTED_VALUE"""),"PENDATAAN")</f>
        <v>PENDATAAN</v>
      </c>
      <c r="K353" s="10" t="str">
        <f ca="1">IFERROR(__xludf.DUMMYFUNCTION("""COMPUTED_VALUE"""),"HPG24-LAPANGAN-JUNI-PPL-PENDATAAN")</f>
        <v>HPG24-LAPANGAN-JUNI-PPL-PENDATAAN</v>
      </c>
      <c r="L353" s="10" t="str">
        <f ca="1">IFERROR(__xludf.DUMMYFUNCTION("""COMPUTED_VALUE"""),"Dokumen")</f>
        <v>Dokumen</v>
      </c>
      <c r="M353" s="66">
        <f ca="1">IFERROR(__xludf.DUMMYFUNCTION("""COMPUTED_VALUE"""),50000)</f>
        <v>50000</v>
      </c>
      <c r="N353" s="10">
        <f ca="1">IFERROR(__xludf.DUMMYFUNCTION("""COMPUTED_VALUE"""),1)</f>
        <v>1</v>
      </c>
      <c r="O353" s="10">
        <f ca="1">IFERROR(__xludf.DUMMYFUNCTION("""COMPUTED_VALUE"""),50000)</f>
        <v>50000</v>
      </c>
      <c r="P353" s="10"/>
      <c r="Q353" s="67">
        <f ca="1">IFERROR(__xludf.DUMMYFUNCTION("""COMPUTED_VALUE"""),45463)</f>
        <v>45463</v>
      </c>
    </row>
    <row r="354" spans="1:17" ht="12.5">
      <c r="A354" s="82">
        <f t="array" aca="1" ref="A354" ca="1">INDEX('Database Mitra'!$R$2:$R1001,MATCH(C354,'Database Mitra'!$B$2:$B1001,0))</f>
        <v>30692</v>
      </c>
      <c r="B354" s="10" t="e">
        <f t="shared" ca="1" si="0"/>
        <v>#NAME?</v>
      </c>
      <c r="C354" s="83">
        <f ca="1">IFERROR(__xludf.DUMMYFUNCTION("""COMPUTED_VALUE"""),610422050001)</f>
        <v>610422050001</v>
      </c>
      <c r="D354" s="10" t="str">
        <f ca="1">IFERROR(__xludf.DUMMYFUNCTION("""COMPUTED_VALUE"""),"SHPED24-LAPANGAN-JUNI")</f>
        <v>SHPED24-LAPANGAN-JUNI</v>
      </c>
      <c r="E354" s="10"/>
      <c r="F354" s="10">
        <f ca="1">IFERROR(__xludf.DUMMYFUNCTION("""COMPUTED_VALUE"""),1)</f>
        <v>1</v>
      </c>
      <c r="G354" s="10" t="str">
        <f ca="1">IFERROR(__xludf.DUMMYFUNCTION("""COMPUTED_VALUE"""),"Evi Juniarty")</f>
        <v>Evi Juniarty</v>
      </c>
      <c r="H354" s="10" t="str">
        <f ca="1">IFERROR(__xludf.DUMMYFUNCTION("""COMPUTED_VALUE"""),"PPL")</f>
        <v>PPL</v>
      </c>
      <c r="I354" s="10" t="str">
        <f ca="1">IFERROR(__xludf.DUMMYFUNCTION("""COMPUTED_VALUE"""),"6102165101840001")</f>
        <v>6102165101840001</v>
      </c>
      <c r="J354" s="10" t="str">
        <f ca="1">IFERROR(__xludf.DUMMYFUNCTION("""COMPUTED_VALUE"""),"PENDATAAN KONSUMEN")</f>
        <v>PENDATAAN KONSUMEN</v>
      </c>
      <c r="K354" s="10" t="str">
        <f ca="1">IFERROR(__xludf.DUMMYFUNCTION("""COMPUTED_VALUE"""),"SHPED24-LAPANGAN-JUNI-PPL-PENDATAAN KONSUMEN")</f>
        <v>SHPED24-LAPANGAN-JUNI-PPL-PENDATAAN KONSUMEN</v>
      </c>
      <c r="L354" s="10" t="str">
        <f ca="1">IFERROR(__xludf.DUMMYFUNCTION("""COMPUTED_VALUE"""),"Dokumen")</f>
        <v>Dokumen</v>
      </c>
      <c r="M354" s="66">
        <f ca="1">IFERROR(__xludf.DUMMYFUNCTION("""COMPUTED_VALUE"""),65000)</f>
        <v>65000</v>
      </c>
      <c r="N354" s="10">
        <f ca="1">IFERROR(__xludf.DUMMYFUNCTION("""COMPUTED_VALUE"""),3)</f>
        <v>3</v>
      </c>
      <c r="O354" s="10">
        <f ca="1">IFERROR(__xludf.DUMMYFUNCTION("""COMPUTED_VALUE"""),195000)</f>
        <v>195000</v>
      </c>
      <c r="P354" s="10"/>
      <c r="Q354" s="67">
        <f ca="1">IFERROR(__xludf.DUMMYFUNCTION("""COMPUTED_VALUE"""),45463)</f>
        <v>45463</v>
      </c>
    </row>
    <row r="355" spans="1:17" ht="12.5">
      <c r="A355" s="11">
        <f t="array" aca="1" ref="A355" ca="1">INDEX('Database Mitra'!$R$2:$R1001,MATCH(C355,'Database Mitra'!$B$2:$B1001,0))</f>
        <v>34895</v>
      </c>
      <c r="B355" s="10" t="e">
        <f t="shared" ca="1" si="0"/>
        <v>#NAME?</v>
      </c>
      <c r="C355" s="83">
        <f ca="1">IFERROR(__xludf.DUMMYFUNCTION("""COMPUTED_VALUE"""),610422020016)</f>
        <v>610422020016</v>
      </c>
      <c r="D355" s="10" t="str">
        <f ca="1">IFERROR(__xludf.DUMMYFUNCTION("""COMPUTED_VALUE"""),"SHPED24-LAPANGAN-JUNI")</f>
        <v>SHPED24-LAPANGAN-JUNI</v>
      </c>
      <c r="E355" s="10"/>
      <c r="F355" s="10">
        <f ca="1">IFERROR(__xludf.DUMMYFUNCTION("""COMPUTED_VALUE"""),1)</f>
        <v>1</v>
      </c>
      <c r="G355" s="10" t="str">
        <f ca="1">IFERROR(__xludf.DUMMYFUNCTION("""COMPUTED_VALUE"""),"Abdul Aziz")</f>
        <v>Abdul Aziz</v>
      </c>
      <c r="H355" s="10" t="str">
        <f ca="1">IFERROR(__xludf.DUMMYFUNCTION("""COMPUTED_VALUE"""),"PPL")</f>
        <v>PPL</v>
      </c>
      <c r="I355" s="10" t="str">
        <f ca="1">IFERROR(__xludf.DUMMYFUNCTION("""COMPUTED_VALUE"""),"6102061507950006")</f>
        <v>6102061507950006</v>
      </c>
      <c r="J355" s="10" t="str">
        <f ca="1">IFERROR(__xludf.DUMMYFUNCTION("""COMPUTED_VALUE"""),"PENDATAAN KONSUMEN")</f>
        <v>PENDATAAN KONSUMEN</v>
      </c>
      <c r="K355" s="10" t="str">
        <f ca="1">IFERROR(__xludf.DUMMYFUNCTION("""COMPUTED_VALUE"""),"SHPED24-LAPANGAN-JUNI-PPL-PENDATAAN KONSUMEN")</f>
        <v>SHPED24-LAPANGAN-JUNI-PPL-PENDATAAN KONSUMEN</v>
      </c>
      <c r="L355" s="10" t="str">
        <f ca="1">IFERROR(__xludf.DUMMYFUNCTION("""COMPUTED_VALUE"""),"Dokumen")</f>
        <v>Dokumen</v>
      </c>
      <c r="M355" s="66">
        <f ca="1">IFERROR(__xludf.DUMMYFUNCTION("""COMPUTED_VALUE"""),65000)</f>
        <v>65000</v>
      </c>
      <c r="N355" s="10">
        <f ca="1">IFERROR(__xludf.DUMMYFUNCTION("""COMPUTED_VALUE"""),3)</f>
        <v>3</v>
      </c>
      <c r="O355" s="10">
        <f ca="1">IFERROR(__xludf.DUMMYFUNCTION("""COMPUTED_VALUE"""),195000)</f>
        <v>195000</v>
      </c>
      <c r="P355" s="10"/>
      <c r="Q355" s="67">
        <f ca="1">IFERROR(__xludf.DUMMYFUNCTION("""COMPUTED_VALUE"""),45463)</f>
        <v>45463</v>
      </c>
    </row>
    <row r="356" spans="1:17" ht="12.5">
      <c r="A356" s="82">
        <f t="array" aca="1" ref="A356" ca="1">INDEX('Database Mitra'!$R$2:$R1001,MATCH(C356,'Database Mitra'!$B$2:$B1001,0))</f>
        <v>35038</v>
      </c>
      <c r="B356" s="10" t="e">
        <f t="shared" ca="1" si="0"/>
        <v>#NAME?</v>
      </c>
      <c r="C356" s="83">
        <f ca="1">IFERROR(__xludf.DUMMYFUNCTION("""COMPUTED_VALUE"""),610422040030)</f>
        <v>610422040030</v>
      </c>
      <c r="D356" s="10" t="str">
        <f ca="1">IFERROR(__xludf.DUMMYFUNCTION("""COMPUTED_VALUE"""),"SHPED24-LAPANGAN-JUNI")</f>
        <v>SHPED24-LAPANGAN-JUNI</v>
      </c>
      <c r="E356" s="10"/>
      <c r="F356" s="10">
        <f ca="1">IFERROR(__xludf.DUMMYFUNCTION("""COMPUTED_VALUE"""),1)</f>
        <v>1</v>
      </c>
      <c r="G356" s="10" t="str">
        <f ca="1">IFERROR(__xludf.DUMMYFUNCTION("""COMPUTED_VALUE"""),"Syarifah Desti Pratiwi")</f>
        <v>Syarifah Desti Pratiwi</v>
      </c>
      <c r="H356" s="10" t="str">
        <f ca="1">IFERROR(__xludf.DUMMYFUNCTION("""COMPUTED_VALUE"""),"PPL")</f>
        <v>PPL</v>
      </c>
      <c r="I356" s="10" t="str">
        <f ca="1">IFERROR(__xludf.DUMMYFUNCTION("""COMPUTED_VALUE"""),"6102084512950002")</f>
        <v>6102084512950002</v>
      </c>
      <c r="J356" s="10" t="str">
        <f ca="1">IFERROR(__xludf.DUMMYFUNCTION("""COMPUTED_VALUE"""),"PENDATAAN PRODUSEN")</f>
        <v>PENDATAAN PRODUSEN</v>
      </c>
      <c r="K356" s="10" t="str">
        <f ca="1">IFERROR(__xludf.DUMMYFUNCTION("""COMPUTED_VALUE"""),"SHPED24-LAPANGAN-JUNI-PPL-PENDATAAN PRODUSEN")</f>
        <v>SHPED24-LAPANGAN-JUNI-PPL-PENDATAAN PRODUSEN</v>
      </c>
      <c r="L356" s="10" t="str">
        <f ca="1">IFERROR(__xludf.DUMMYFUNCTION("""COMPUTED_VALUE"""),"Dokumen")</f>
        <v>Dokumen</v>
      </c>
      <c r="M356" s="66">
        <f ca="1">IFERROR(__xludf.DUMMYFUNCTION("""COMPUTED_VALUE"""),55000)</f>
        <v>55000</v>
      </c>
      <c r="N356" s="10">
        <f ca="1">IFERROR(__xludf.DUMMYFUNCTION("""COMPUTED_VALUE"""),1)</f>
        <v>1</v>
      </c>
      <c r="O356" s="10">
        <f ca="1">IFERROR(__xludf.DUMMYFUNCTION("""COMPUTED_VALUE"""),55000)</f>
        <v>55000</v>
      </c>
      <c r="P356" s="10"/>
      <c r="Q356" s="67">
        <f ca="1">IFERROR(__xludf.DUMMYFUNCTION("""COMPUTED_VALUE"""),45463)</f>
        <v>45463</v>
      </c>
    </row>
    <row r="357" spans="1:17" ht="12.5">
      <c r="A357" s="82">
        <f t="array" aca="1" ref="A357" ca="1">INDEX('Database Mitra'!$R$2:$R1001,MATCH(C357,'Database Mitra'!$B$2:$B1001,0))</f>
        <v>29068</v>
      </c>
      <c r="B357" s="10" t="e">
        <f t="shared" ca="1" si="0"/>
        <v>#NAME?</v>
      </c>
      <c r="C357" s="83">
        <f ca="1">IFERROR(__xludf.DUMMYFUNCTION("""COMPUTED_VALUE"""),610422100124)</f>
        <v>610422100124</v>
      </c>
      <c r="D357" s="10" t="str">
        <f ca="1">IFERROR(__xludf.DUMMYFUNCTION("""COMPUTED_VALUE"""),"SHPED24-LAPANGAN-JUNI")</f>
        <v>SHPED24-LAPANGAN-JUNI</v>
      </c>
      <c r="E357" s="10"/>
      <c r="F357" s="10">
        <f ca="1">IFERROR(__xludf.DUMMYFUNCTION("""COMPUTED_VALUE"""),1)</f>
        <v>1</v>
      </c>
      <c r="G357" s="10" t="str">
        <f ca="1">IFERROR(__xludf.DUMMYFUNCTION("""COMPUTED_VALUE"""),"Prabowo")</f>
        <v>Prabowo</v>
      </c>
      <c r="H357" s="10" t="str">
        <f ca="1">IFERROR(__xludf.DUMMYFUNCTION("""COMPUTED_VALUE"""),"PPL")</f>
        <v>PPL</v>
      </c>
      <c r="I357" s="10" t="str">
        <f ca="1">IFERROR(__xludf.DUMMYFUNCTION("""COMPUTED_VALUE"""),"6171010108790015")</f>
        <v>6171010108790015</v>
      </c>
      <c r="J357" s="10" t="str">
        <f ca="1">IFERROR(__xludf.DUMMYFUNCTION("""COMPUTED_VALUE"""),"PENDATAAN PRODUSEN")</f>
        <v>PENDATAAN PRODUSEN</v>
      </c>
      <c r="K357" s="10" t="str">
        <f ca="1">IFERROR(__xludf.DUMMYFUNCTION("""COMPUTED_VALUE"""),"SHPED24-LAPANGAN-JUNI-PPL-PENDATAAN PRODUSEN")</f>
        <v>SHPED24-LAPANGAN-JUNI-PPL-PENDATAAN PRODUSEN</v>
      </c>
      <c r="L357" s="10" t="str">
        <f ca="1">IFERROR(__xludf.DUMMYFUNCTION("""COMPUTED_VALUE"""),"Dokumen")</f>
        <v>Dokumen</v>
      </c>
      <c r="M357" s="66">
        <f ca="1">IFERROR(__xludf.DUMMYFUNCTION("""COMPUTED_VALUE"""),55000)</f>
        <v>55000</v>
      </c>
      <c r="N357" s="10">
        <f ca="1">IFERROR(__xludf.DUMMYFUNCTION("""COMPUTED_VALUE"""),3)</f>
        <v>3</v>
      </c>
      <c r="O357" s="10">
        <f ca="1">IFERROR(__xludf.DUMMYFUNCTION("""COMPUTED_VALUE"""),165000)</f>
        <v>165000</v>
      </c>
      <c r="P357" s="10"/>
      <c r="Q357" s="67">
        <f ca="1">IFERROR(__xludf.DUMMYFUNCTION("""COMPUTED_VALUE"""),45463)</f>
        <v>45463</v>
      </c>
    </row>
    <row r="358" spans="1:17" ht="12.5">
      <c r="A358" s="82">
        <f t="array" aca="1" ref="A358" ca="1">INDEX('Database Mitra'!$R$2:$R1001,MATCH(C358,'Database Mitra'!$B$2:$B1001,0))</f>
        <v>32942</v>
      </c>
      <c r="B358" s="10" t="e">
        <f t="shared" ca="1" si="0"/>
        <v>#NAME?</v>
      </c>
      <c r="C358" s="83">
        <f ca="1">IFERROR(__xludf.DUMMYFUNCTION("""COMPUTED_VALUE"""),610422100244)</f>
        <v>610422100244</v>
      </c>
      <c r="D358" s="10" t="str">
        <f ca="1">IFERROR(__xludf.DUMMYFUNCTION("""COMPUTED_VALUE"""),"SHPED24-LAPANGAN-JUNI")</f>
        <v>SHPED24-LAPANGAN-JUNI</v>
      </c>
      <c r="E358" s="10"/>
      <c r="F358" s="10">
        <f ca="1">IFERROR(__xludf.DUMMYFUNCTION("""COMPUTED_VALUE"""),1)</f>
        <v>1</v>
      </c>
      <c r="G358" s="10" t="str">
        <f ca="1">IFERROR(__xludf.DUMMYFUNCTION("""COMPUTED_VALUE"""),"Sugianto")</f>
        <v>Sugianto</v>
      </c>
      <c r="H358" s="10" t="str">
        <f ca="1">IFERROR(__xludf.DUMMYFUNCTION("""COMPUTED_VALUE"""),"PPL")</f>
        <v>PPL</v>
      </c>
      <c r="I358" s="10" t="str">
        <f ca="1">IFERROR(__xludf.DUMMYFUNCTION("""COMPUTED_VALUE"""),"6102171003900002")</f>
        <v>6102171003900002</v>
      </c>
      <c r="J358" s="10" t="str">
        <f ca="1">IFERROR(__xludf.DUMMYFUNCTION("""COMPUTED_VALUE"""),"PENDATAAN PRODUSEN")</f>
        <v>PENDATAAN PRODUSEN</v>
      </c>
      <c r="K358" s="10" t="str">
        <f ca="1">IFERROR(__xludf.DUMMYFUNCTION("""COMPUTED_VALUE"""),"SHPED24-LAPANGAN-JUNI-PPL-PENDATAAN PRODUSEN")</f>
        <v>SHPED24-LAPANGAN-JUNI-PPL-PENDATAAN PRODUSEN</v>
      </c>
      <c r="L358" s="10" t="str">
        <f ca="1">IFERROR(__xludf.DUMMYFUNCTION("""COMPUTED_VALUE"""),"Dokumen")</f>
        <v>Dokumen</v>
      </c>
      <c r="M358" s="66">
        <f ca="1">IFERROR(__xludf.DUMMYFUNCTION("""COMPUTED_VALUE"""),55000)</f>
        <v>55000</v>
      </c>
      <c r="N358" s="10">
        <f ca="1">IFERROR(__xludf.DUMMYFUNCTION("""COMPUTED_VALUE"""),2)</f>
        <v>2</v>
      </c>
      <c r="O358" s="10">
        <f ca="1">IFERROR(__xludf.DUMMYFUNCTION("""COMPUTED_VALUE"""),110000)</f>
        <v>110000</v>
      </c>
      <c r="P358" s="10"/>
      <c r="Q358" s="67">
        <f ca="1">IFERROR(__xludf.DUMMYFUNCTION("""COMPUTED_VALUE"""),45463)</f>
        <v>45463</v>
      </c>
    </row>
    <row r="359" spans="1:17" ht="12.5">
      <c r="A359" s="11">
        <f t="array" aca="1" ref="A359" ca="1">INDEX('Database Mitra'!$R$2:$R1001,MATCH(C359,'Database Mitra'!$B$2:$B1001,0))</f>
        <v>34895</v>
      </c>
      <c r="B359" s="10" t="e">
        <f t="shared" ca="1" si="0"/>
        <v>#NAME?</v>
      </c>
      <c r="C359" s="83">
        <f ca="1">IFERROR(__xludf.DUMMYFUNCTION("""COMPUTED_VALUE"""),610422020016)</f>
        <v>610422020016</v>
      </c>
      <c r="D359" s="10" t="str">
        <f ca="1">IFERROR(__xludf.DUMMYFUNCTION("""COMPUTED_VALUE"""),"SHPED24-LAPANGAN-JUNI")</f>
        <v>SHPED24-LAPANGAN-JUNI</v>
      </c>
      <c r="E359" s="10"/>
      <c r="F359" s="10">
        <f ca="1">IFERROR(__xludf.DUMMYFUNCTION("""COMPUTED_VALUE"""),1)</f>
        <v>1</v>
      </c>
      <c r="G359" s="10" t="str">
        <f ca="1">IFERROR(__xludf.DUMMYFUNCTION("""COMPUTED_VALUE"""),"Abdul Aziz")</f>
        <v>Abdul Aziz</v>
      </c>
      <c r="H359" s="10" t="str">
        <f ca="1">IFERROR(__xludf.DUMMYFUNCTION("""COMPUTED_VALUE"""),"PPL")</f>
        <v>PPL</v>
      </c>
      <c r="I359" s="10" t="str">
        <f ca="1">IFERROR(__xludf.DUMMYFUNCTION("""COMPUTED_VALUE"""),"6102061507950006")</f>
        <v>6102061507950006</v>
      </c>
      <c r="J359" s="10" t="str">
        <f ca="1">IFERROR(__xludf.DUMMYFUNCTION("""COMPUTED_VALUE"""),"PENDATAAN PRODUSEN")</f>
        <v>PENDATAAN PRODUSEN</v>
      </c>
      <c r="K359" s="10" t="str">
        <f ca="1">IFERROR(__xludf.DUMMYFUNCTION("""COMPUTED_VALUE"""),"SHPED24-LAPANGAN-JUNI-PPL-PENDATAAN PRODUSEN")</f>
        <v>SHPED24-LAPANGAN-JUNI-PPL-PENDATAAN PRODUSEN</v>
      </c>
      <c r="L359" s="10" t="str">
        <f ca="1">IFERROR(__xludf.DUMMYFUNCTION("""COMPUTED_VALUE"""),"Dokumen")</f>
        <v>Dokumen</v>
      </c>
      <c r="M359" s="66">
        <f ca="1">IFERROR(__xludf.DUMMYFUNCTION("""COMPUTED_VALUE"""),55000)</f>
        <v>55000</v>
      </c>
      <c r="N359" s="10">
        <f ca="1">IFERROR(__xludf.DUMMYFUNCTION("""COMPUTED_VALUE"""),3)</f>
        <v>3</v>
      </c>
      <c r="O359" s="10">
        <f ca="1">IFERROR(__xludf.DUMMYFUNCTION("""COMPUTED_VALUE"""),165000)</f>
        <v>165000</v>
      </c>
      <c r="P359" s="10"/>
      <c r="Q359" s="67">
        <f ca="1">IFERROR(__xludf.DUMMYFUNCTION("""COMPUTED_VALUE"""),45463)</f>
        <v>45463</v>
      </c>
    </row>
    <row r="360" spans="1:17" ht="12.5">
      <c r="A360" s="82">
        <f t="array" aca="1" ref="A360" ca="1">INDEX('Database Mitra'!$R$2:$R1001,MATCH(C360,'Database Mitra'!$B$2:$B1001,0))</f>
        <v>30692</v>
      </c>
      <c r="B360" s="10" t="e">
        <f t="shared" ca="1" si="0"/>
        <v>#NAME?</v>
      </c>
      <c r="C360" s="83">
        <f ca="1">IFERROR(__xludf.DUMMYFUNCTION("""COMPUTED_VALUE"""),610422050001)</f>
        <v>610422050001</v>
      </c>
      <c r="D360" s="10" t="str">
        <f ca="1">IFERROR(__xludf.DUMMYFUNCTION("""COMPUTED_VALUE"""),"SHPED24-LAPANGAN-JUNI")</f>
        <v>SHPED24-LAPANGAN-JUNI</v>
      </c>
      <c r="E360" s="10"/>
      <c r="F360" s="10">
        <f ca="1">IFERROR(__xludf.DUMMYFUNCTION("""COMPUTED_VALUE"""),1)</f>
        <v>1</v>
      </c>
      <c r="G360" s="10" t="str">
        <f ca="1">IFERROR(__xludf.DUMMYFUNCTION("""COMPUTED_VALUE"""),"Evi Juniarty")</f>
        <v>Evi Juniarty</v>
      </c>
      <c r="H360" s="10" t="str">
        <f ca="1">IFERROR(__xludf.DUMMYFUNCTION("""COMPUTED_VALUE"""),"PPL")</f>
        <v>PPL</v>
      </c>
      <c r="I360" s="10" t="str">
        <f ca="1">IFERROR(__xludf.DUMMYFUNCTION("""COMPUTED_VALUE"""),"6102165101840001")</f>
        <v>6102165101840001</v>
      </c>
      <c r="J360" s="10" t="str">
        <f ca="1">IFERROR(__xludf.DUMMYFUNCTION("""COMPUTED_VALUE"""),"PENDATAAN PRODUSEN")</f>
        <v>PENDATAAN PRODUSEN</v>
      </c>
      <c r="K360" s="10" t="str">
        <f ca="1">IFERROR(__xludf.DUMMYFUNCTION("""COMPUTED_VALUE"""),"SHPED24-LAPANGAN-JUNI-PPL-PENDATAAN PRODUSEN")</f>
        <v>SHPED24-LAPANGAN-JUNI-PPL-PENDATAAN PRODUSEN</v>
      </c>
      <c r="L360" s="10" t="str">
        <f ca="1">IFERROR(__xludf.DUMMYFUNCTION("""COMPUTED_VALUE"""),"Dokumen")</f>
        <v>Dokumen</v>
      </c>
      <c r="M360" s="66">
        <f ca="1">IFERROR(__xludf.DUMMYFUNCTION("""COMPUTED_VALUE"""),55000)</f>
        <v>55000</v>
      </c>
      <c r="N360" s="10">
        <f ca="1">IFERROR(__xludf.DUMMYFUNCTION("""COMPUTED_VALUE"""),1)</f>
        <v>1</v>
      </c>
      <c r="O360" s="10">
        <f ca="1">IFERROR(__xludf.DUMMYFUNCTION("""COMPUTED_VALUE"""),55000)</f>
        <v>55000</v>
      </c>
      <c r="P360" s="10"/>
      <c r="Q360" s="67">
        <f ca="1">IFERROR(__xludf.DUMMYFUNCTION("""COMPUTED_VALUE"""),45463)</f>
        <v>45463</v>
      </c>
    </row>
    <row r="361" spans="1:17" ht="12.5">
      <c r="A361" s="11">
        <f t="array" aca="1" ref="A361" ca="1">INDEX('Database Mitra'!$R$2:$R1001,MATCH(C361,'Database Mitra'!$B$2:$B1001,0))</f>
        <v>29305</v>
      </c>
      <c r="B361" s="10" t="e">
        <f t="shared" ca="1" si="0"/>
        <v>#NAME?</v>
      </c>
      <c r="C361" s="83">
        <f ca="1">IFERROR(__xludf.DUMMYFUNCTION("""COMPUTED_VALUE"""),610422020048)</f>
        <v>610422020048</v>
      </c>
      <c r="D361" s="10" t="str">
        <f ca="1">IFERROR(__xludf.DUMMYFUNCTION("""COMPUTED_VALUE"""),"SHPED24-LAPANGAN-JUNI")</f>
        <v>SHPED24-LAPANGAN-JUNI</v>
      </c>
      <c r="E361" s="10"/>
      <c r="F361" s="10">
        <f ca="1">IFERROR(__xludf.DUMMYFUNCTION("""COMPUTED_VALUE"""),1)</f>
        <v>1</v>
      </c>
      <c r="G361" s="10" t="str">
        <f ca="1">IFERROR(__xludf.DUMMYFUNCTION("""COMPUTED_VALUE"""),"Herri Gustaman")</f>
        <v>Herri Gustaman</v>
      </c>
      <c r="H361" s="10" t="str">
        <f ca="1">IFERROR(__xludf.DUMMYFUNCTION("""COMPUTED_VALUE"""),"PPL")</f>
        <v>PPL</v>
      </c>
      <c r="I361" s="10" t="str">
        <f ca="1">IFERROR(__xludf.DUMMYFUNCTION("""COMPUTED_VALUE"""),"6102072503800001")</f>
        <v>6102072503800001</v>
      </c>
      <c r="J361" s="10" t="str">
        <f ca="1">IFERROR(__xludf.DUMMYFUNCTION("""COMPUTED_VALUE"""),"PENDATAAN PRODUSEN")</f>
        <v>PENDATAAN PRODUSEN</v>
      </c>
      <c r="K361" s="10" t="str">
        <f ca="1">IFERROR(__xludf.DUMMYFUNCTION("""COMPUTED_VALUE"""),"SHPED24-LAPANGAN-JUNI-PPL-PENDATAAN PRODUSEN")</f>
        <v>SHPED24-LAPANGAN-JUNI-PPL-PENDATAAN PRODUSEN</v>
      </c>
      <c r="L361" s="10" t="str">
        <f ca="1">IFERROR(__xludf.DUMMYFUNCTION("""COMPUTED_VALUE"""),"Dokumen")</f>
        <v>Dokumen</v>
      </c>
      <c r="M361" s="66">
        <f ca="1">IFERROR(__xludf.DUMMYFUNCTION("""COMPUTED_VALUE"""),55000)</f>
        <v>55000</v>
      </c>
      <c r="N361" s="10">
        <f ca="1">IFERROR(__xludf.DUMMYFUNCTION("""COMPUTED_VALUE"""),3)</f>
        <v>3</v>
      </c>
      <c r="O361" s="10">
        <f ca="1">IFERROR(__xludf.DUMMYFUNCTION("""COMPUTED_VALUE"""),165000)</f>
        <v>165000</v>
      </c>
      <c r="P361" s="10"/>
      <c r="Q361" s="67">
        <f ca="1">IFERROR(__xludf.DUMMYFUNCTION("""COMPUTED_VALUE"""),45463)</f>
        <v>45463</v>
      </c>
    </row>
    <row r="362" spans="1:17" ht="12.5">
      <c r="A362" s="82">
        <f t="array" aca="1" ref="A362" ca="1">INDEX('Database Mitra'!$R$2:$R1001,MATCH(C362,'Database Mitra'!$B$2:$B1001,0))</f>
        <v>31964</v>
      </c>
      <c r="B362" s="10" t="e">
        <f t="shared" ca="1" si="0"/>
        <v>#NAME?</v>
      </c>
      <c r="C362" s="83">
        <f ca="1">IFERROR(__xludf.DUMMYFUNCTION("""COMPUTED_VALUE"""),610422040029)</f>
        <v>610422040029</v>
      </c>
      <c r="D362" s="10" t="str">
        <f ca="1">IFERROR(__xludf.DUMMYFUNCTION("""COMPUTED_VALUE"""),"SHPED24-LAPANGAN-JUNI")</f>
        <v>SHPED24-LAPANGAN-JUNI</v>
      </c>
      <c r="E362" s="10"/>
      <c r="F362" s="10">
        <f ca="1">IFERROR(__xludf.DUMMYFUNCTION("""COMPUTED_VALUE"""),1)</f>
        <v>1</v>
      </c>
      <c r="G362" s="10" t="str">
        <f ca="1">IFERROR(__xludf.DUMMYFUNCTION("""COMPUTED_VALUE"""),"Zaini")</f>
        <v>Zaini</v>
      </c>
      <c r="H362" s="10" t="str">
        <f ca="1">IFERROR(__xludf.DUMMYFUNCTION("""COMPUTED_VALUE"""),"PPL")</f>
        <v>PPL</v>
      </c>
      <c r="I362" s="10" t="str">
        <f ca="1">IFERROR(__xludf.DUMMYFUNCTION("""COMPUTED_VALUE"""),"6102010607870002")</f>
        <v>6102010607870002</v>
      </c>
      <c r="J362" s="10" t="str">
        <f ca="1">IFERROR(__xludf.DUMMYFUNCTION("""COMPUTED_VALUE"""),"PENDATAAN PRODUSEN")</f>
        <v>PENDATAAN PRODUSEN</v>
      </c>
      <c r="K362" s="10" t="str">
        <f ca="1">IFERROR(__xludf.DUMMYFUNCTION("""COMPUTED_VALUE"""),"SHPED24-LAPANGAN-JUNI-PPL-PENDATAAN PRODUSEN")</f>
        <v>SHPED24-LAPANGAN-JUNI-PPL-PENDATAAN PRODUSEN</v>
      </c>
      <c r="L362" s="10" t="str">
        <f ca="1">IFERROR(__xludf.DUMMYFUNCTION("""COMPUTED_VALUE"""),"Dokumen")</f>
        <v>Dokumen</v>
      </c>
      <c r="M362" s="66">
        <f ca="1">IFERROR(__xludf.DUMMYFUNCTION("""COMPUTED_VALUE"""),55000)</f>
        <v>55000</v>
      </c>
      <c r="N362" s="10">
        <f ca="1">IFERROR(__xludf.DUMMYFUNCTION("""COMPUTED_VALUE"""),4)</f>
        <v>4</v>
      </c>
      <c r="O362" s="10">
        <f ca="1">IFERROR(__xludf.DUMMYFUNCTION("""COMPUTED_VALUE"""),220000)</f>
        <v>220000</v>
      </c>
      <c r="P362" s="10"/>
      <c r="Q362" s="67">
        <f ca="1">IFERROR(__xludf.DUMMYFUNCTION("""COMPUTED_VALUE"""),45463)</f>
        <v>45463</v>
      </c>
    </row>
    <row r="363" spans="1:17" ht="12.5">
      <c r="A363" s="11">
        <f t="array" aca="1" ref="A363" ca="1">INDEX('Database Mitra'!$R$2:$R1001,MATCH(C363,'Database Mitra'!$B$2:$B1001,0))</f>
        <v>34895</v>
      </c>
      <c r="B363" s="10" t="e">
        <f t="shared" ca="1" si="0"/>
        <v>#NAME?</v>
      </c>
      <c r="C363" s="83">
        <f ca="1">IFERROR(__xludf.DUMMYFUNCTION("""COMPUTED_VALUE"""),610422020016)</f>
        <v>610422020016</v>
      </c>
      <c r="D363" s="10" t="str">
        <f ca="1">IFERROR(__xludf.DUMMYFUNCTION("""COMPUTED_VALUE"""),"SHPED24-LAPANGAN-JUNI")</f>
        <v>SHPED24-LAPANGAN-JUNI</v>
      </c>
      <c r="E363" s="10"/>
      <c r="F363" s="10">
        <f ca="1">IFERROR(__xludf.DUMMYFUNCTION("""COMPUTED_VALUE"""),1)</f>
        <v>1</v>
      </c>
      <c r="G363" s="10" t="str">
        <f ca="1">IFERROR(__xludf.DUMMYFUNCTION("""COMPUTED_VALUE"""),"Abdul Aziz")</f>
        <v>Abdul Aziz</v>
      </c>
      <c r="H363" s="10" t="str">
        <f ca="1">IFERROR(__xludf.DUMMYFUNCTION("""COMPUTED_VALUE"""),"PPL")</f>
        <v>PPL</v>
      </c>
      <c r="I363" s="10" t="str">
        <f ca="1">IFERROR(__xludf.DUMMYFUNCTION("""COMPUTED_VALUE"""),"6102061507950006")</f>
        <v>6102061507950006</v>
      </c>
      <c r="J363" s="10" t="str">
        <f ca="1">IFERROR(__xludf.DUMMYFUNCTION("""COMPUTED_VALUE"""),"PENDATAAN PRODUSEN")</f>
        <v>PENDATAAN PRODUSEN</v>
      </c>
      <c r="K363" s="10" t="str">
        <f ca="1">IFERROR(__xludf.DUMMYFUNCTION("""COMPUTED_VALUE"""),"SHPED24-LAPANGAN-JUNI-PPL-PENDATAAN PRODUSEN")</f>
        <v>SHPED24-LAPANGAN-JUNI-PPL-PENDATAAN PRODUSEN</v>
      </c>
      <c r="L363" s="10" t="str">
        <f ca="1">IFERROR(__xludf.DUMMYFUNCTION("""COMPUTED_VALUE"""),"Dokumen")</f>
        <v>Dokumen</v>
      </c>
      <c r="M363" s="66">
        <f ca="1">IFERROR(__xludf.DUMMYFUNCTION("""COMPUTED_VALUE"""),55000)</f>
        <v>55000</v>
      </c>
      <c r="N363" s="10">
        <f ca="1">IFERROR(__xludf.DUMMYFUNCTION("""COMPUTED_VALUE"""),1)</f>
        <v>1</v>
      </c>
      <c r="O363" s="10">
        <f ca="1">IFERROR(__xludf.DUMMYFUNCTION("""COMPUTED_VALUE"""),55000)</f>
        <v>55000</v>
      </c>
      <c r="P363" s="10"/>
      <c r="Q363" s="67">
        <f ca="1">IFERROR(__xludf.DUMMYFUNCTION("""COMPUTED_VALUE"""),45463)</f>
        <v>45463</v>
      </c>
    </row>
    <row r="364" spans="1:17" ht="12.5">
      <c r="A364" s="82">
        <f t="array" aca="1" ref="A364" ca="1">INDEX('Database Mitra'!$R$2:$R1001,MATCH(C364,'Database Mitra'!$B$2:$B1001,0))</f>
        <v>29068</v>
      </c>
      <c r="B364" s="10" t="e">
        <f t="shared" ca="1" si="0"/>
        <v>#NAME?</v>
      </c>
      <c r="C364" s="83">
        <f ca="1">IFERROR(__xludf.DUMMYFUNCTION("""COMPUTED_VALUE"""),610422100124)</f>
        <v>610422100124</v>
      </c>
      <c r="D364" s="10" t="str">
        <f ca="1">IFERROR(__xludf.DUMMYFUNCTION("""COMPUTED_VALUE"""),"HPBG24-LAPANGAN-JUNI")</f>
        <v>HPBG24-LAPANGAN-JUNI</v>
      </c>
      <c r="E364" s="10"/>
      <c r="F364" s="10">
        <f ca="1">IFERROR(__xludf.DUMMYFUNCTION("""COMPUTED_VALUE"""),1)</f>
        <v>1</v>
      </c>
      <c r="G364" s="10" t="str">
        <f ca="1">IFERROR(__xludf.DUMMYFUNCTION("""COMPUTED_VALUE"""),"Prabowo")</f>
        <v>Prabowo</v>
      </c>
      <c r="H364" s="10" t="str">
        <f ca="1">IFERROR(__xludf.DUMMYFUNCTION("""COMPUTED_VALUE"""),"PPL")</f>
        <v>PPL</v>
      </c>
      <c r="I364" s="10" t="str">
        <f ca="1">IFERROR(__xludf.DUMMYFUNCTION("""COMPUTED_VALUE"""),"6171010108790015")</f>
        <v>6171010108790015</v>
      </c>
      <c r="J364" s="10" t="str">
        <f ca="1">IFERROR(__xludf.DUMMYFUNCTION("""COMPUTED_VALUE"""),"PENDATAAN")</f>
        <v>PENDATAAN</v>
      </c>
      <c r="K364" s="10" t="str">
        <f ca="1">IFERROR(__xludf.DUMMYFUNCTION("""COMPUTED_VALUE"""),"HPBG24-LAPANGAN-JUNI-PPL-PENDATAAN")</f>
        <v>HPBG24-LAPANGAN-JUNI-PPL-PENDATAAN</v>
      </c>
      <c r="L364" s="10" t="str">
        <f ca="1">IFERROR(__xludf.DUMMYFUNCTION("""COMPUTED_VALUE"""),"Dokumen")</f>
        <v>Dokumen</v>
      </c>
      <c r="M364" s="66">
        <f ca="1">IFERROR(__xludf.DUMMYFUNCTION("""COMPUTED_VALUE"""),55000)</f>
        <v>55000</v>
      </c>
      <c r="N364" s="10">
        <f ca="1">IFERROR(__xludf.DUMMYFUNCTION("""COMPUTED_VALUE"""),2)</f>
        <v>2</v>
      </c>
      <c r="O364" s="10">
        <f ca="1">IFERROR(__xludf.DUMMYFUNCTION("""COMPUTED_VALUE"""),110000)</f>
        <v>110000</v>
      </c>
      <c r="P364" s="10"/>
      <c r="Q364" s="67">
        <f ca="1">IFERROR(__xludf.DUMMYFUNCTION("""COMPUTED_VALUE"""),45463)</f>
        <v>45463</v>
      </c>
    </row>
    <row r="365" spans="1:17" ht="12.5">
      <c r="A365" s="82">
        <f t="array" aca="1" ref="A365" ca="1">INDEX('Database Mitra'!$R$2:$R1001,MATCH(C365,'Database Mitra'!$B$2:$B1001,0))</f>
        <v>32942</v>
      </c>
      <c r="B365" s="10" t="e">
        <f t="shared" ca="1" si="0"/>
        <v>#NAME?</v>
      </c>
      <c r="C365" s="83">
        <f ca="1">IFERROR(__xludf.DUMMYFUNCTION("""COMPUTED_VALUE"""),610422100244)</f>
        <v>610422100244</v>
      </c>
      <c r="D365" s="10" t="str">
        <f ca="1">IFERROR(__xludf.DUMMYFUNCTION("""COMPUTED_VALUE"""),"HPBG24-LAPANGAN-JUNI")</f>
        <v>HPBG24-LAPANGAN-JUNI</v>
      </c>
      <c r="E365" s="10"/>
      <c r="F365" s="10">
        <f ca="1">IFERROR(__xludf.DUMMYFUNCTION("""COMPUTED_VALUE"""),1)</f>
        <v>1</v>
      </c>
      <c r="G365" s="10" t="str">
        <f ca="1">IFERROR(__xludf.DUMMYFUNCTION("""COMPUTED_VALUE"""),"Sugianto")</f>
        <v>Sugianto</v>
      </c>
      <c r="H365" s="10" t="str">
        <f ca="1">IFERROR(__xludf.DUMMYFUNCTION("""COMPUTED_VALUE"""),"PPL")</f>
        <v>PPL</v>
      </c>
      <c r="I365" s="10" t="str">
        <f ca="1">IFERROR(__xludf.DUMMYFUNCTION("""COMPUTED_VALUE"""),"6102171003900002")</f>
        <v>6102171003900002</v>
      </c>
      <c r="J365" s="10" t="str">
        <f ca="1">IFERROR(__xludf.DUMMYFUNCTION("""COMPUTED_VALUE"""),"PENDATAAN")</f>
        <v>PENDATAAN</v>
      </c>
      <c r="K365" s="10" t="str">
        <f ca="1">IFERROR(__xludf.DUMMYFUNCTION("""COMPUTED_VALUE"""),"HPBG24-LAPANGAN-JUNI-PPL-PENDATAAN")</f>
        <v>HPBG24-LAPANGAN-JUNI-PPL-PENDATAAN</v>
      </c>
      <c r="L365" s="10" t="str">
        <f ca="1">IFERROR(__xludf.DUMMYFUNCTION("""COMPUTED_VALUE"""),"Dokumen")</f>
        <v>Dokumen</v>
      </c>
      <c r="M365" s="66">
        <f ca="1">IFERROR(__xludf.DUMMYFUNCTION("""COMPUTED_VALUE"""),55000)</f>
        <v>55000</v>
      </c>
      <c r="N365" s="10">
        <f ca="1">IFERROR(__xludf.DUMMYFUNCTION("""COMPUTED_VALUE"""),2)</f>
        <v>2</v>
      </c>
      <c r="O365" s="10">
        <f ca="1">IFERROR(__xludf.DUMMYFUNCTION("""COMPUTED_VALUE"""),110000)</f>
        <v>110000</v>
      </c>
      <c r="P365" s="10"/>
      <c r="Q365" s="67">
        <f ca="1">IFERROR(__xludf.DUMMYFUNCTION("""COMPUTED_VALUE"""),45463)</f>
        <v>45463</v>
      </c>
    </row>
    <row r="366" spans="1:17" ht="12.5">
      <c r="A366" s="82">
        <f t="array" aca="1" ref="A366" ca="1">INDEX('Database Mitra'!$R$2:$R1001,MATCH(C366,'Database Mitra'!$B$2:$B1001,0))</f>
        <v>35862</v>
      </c>
      <c r="B366" s="10" t="e">
        <f t="shared" ca="1" si="0"/>
        <v>#NAME?</v>
      </c>
      <c r="C366" s="83">
        <f ca="1">IFERROR(__xludf.DUMMYFUNCTION("""COMPUTED_VALUE"""),610422100165)</f>
        <v>610422100165</v>
      </c>
      <c r="D366" s="10" t="str">
        <f ca="1">IFERROR(__xludf.DUMMYFUNCTION("""COMPUTED_VALUE"""),"HPBG24-LAPANGAN-JUNI")</f>
        <v>HPBG24-LAPANGAN-JUNI</v>
      </c>
      <c r="E366" s="10"/>
      <c r="F366" s="10">
        <f ca="1">IFERROR(__xludf.DUMMYFUNCTION("""COMPUTED_VALUE"""),1)</f>
        <v>1</v>
      </c>
      <c r="G366" s="10" t="str">
        <f ca="1">IFERROR(__xludf.DUMMYFUNCTION("""COMPUTED_VALUE"""),"Yanti")</f>
        <v>Yanti</v>
      </c>
      <c r="H366" s="10" t="str">
        <f ca="1">IFERROR(__xludf.DUMMYFUNCTION("""COMPUTED_VALUE"""),"PPL")</f>
        <v>PPL</v>
      </c>
      <c r="I366" s="10" t="str">
        <f ca="1">IFERROR(__xludf.DUMMYFUNCTION("""COMPUTED_VALUE"""),"6102074803980002")</f>
        <v>6102074803980002</v>
      </c>
      <c r="J366" s="10" t="str">
        <f ca="1">IFERROR(__xludf.DUMMYFUNCTION("""COMPUTED_VALUE"""),"PENDATAAN")</f>
        <v>PENDATAAN</v>
      </c>
      <c r="K366" s="10" t="str">
        <f ca="1">IFERROR(__xludf.DUMMYFUNCTION("""COMPUTED_VALUE"""),"HPBG24-LAPANGAN-JUNI-PPL-PENDATAAN")</f>
        <v>HPBG24-LAPANGAN-JUNI-PPL-PENDATAAN</v>
      </c>
      <c r="L366" s="10" t="str">
        <f ca="1">IFERROR(__xludf.DUMMYFUNCTION("""COMPUTED_VALUE"""),"Dokumen")</f>
        <v>Dokumen</v>
      </c>
      <c r="M366" s="66">
        <f ca="1">IFERROR(__xludf.DUMMYFUNCTION("""COMPUTED_VALUE"""),55000)</f>
        <v>55000</v>
      </c>
      <c r="N366" s="10">
        <f ca="1">IFERROR(__xludf.DUMMYFUNCTION("""COMPUTED_VALUE"""),2)</f>
        <v>2</v>
      </c>
      <c r="O366" s="10">
        <f ca="1">IFERROR(__xludf.DUMMYFUNCTION("""COMPUTED_VALUE"""),110000)</f>
        <v>110000</v>
      </c>
      <c r="P366" s="10"/>
      <c r="Q366" s="67">
        <f ca="1">IFERROR(__xludf.DUMMYFUNCTION("""COMPUTED_VALUE"""),45463)</f>
        <v>45463</v>
      </c>
    </row>
    <row r="367" spans="1:17" ht="12.5">
      <c r="A367" s="82">
        <f t="array" aca="1" ref="A367" ca="1">INDEX('Database Mitra'!$R$2:$R1001,MATCH(C367,'Database Mitra'!$B$2:$B1001,0))</f>
        <v>35862</v>
      </c>
      <c r="B367" s="10" t="e">
        <f t="shared" ca="1" si="0"/>
        <v>#NAME?</v>
      </c>
      <c r="C367" s="83">
        <f ca="1">IFERROR(__xludf.DUMMYFUNCTION("""COMPUTED_VALUE"""),610422100165)</f>
        <v>610422100165</v>
      </c>
      <c r="D367" s="10" t="str">
        <f ca="1">IFERROR(__xludf.DUMMYFUNCTION("""COMPUTED_VALUE"""),"HPJ24-LAPANGAN-JUNI")</f>
        <v>HPJ24-LAPANGAN-JUNI</v>
      </c>
      <c r="E367" s="10"/>
      <c r="F367" s="10">
        <f ca="1">IFERROR(__xludf.DUMMYFUNCTION("""COMPUTED_VALUE"""),1)</f>
        <v>1</v>
      </c>
      <c r="G367" s="10" t="str">
        <f ca="1">IFERROR(__xludf.DUMMYFUNCTION("""COMPUTED_VALUE"""),"Yanti")</f>
        <v>Yanti</v>
      </c>
      <c r="H367" s="10" t="str">
        <f ca="1">IFERROR(__xludf.DUMMYFUNCTION("""COMPUTED_VALUE"""),"PPL")</f>
        <v>PPL</v>
      </c>
      <c r="I367" s="10" t="str">
        <f ca="1">IFERROR(__xludf.DUMMYFUNCTION("""COMPUTED_VALUE"""),"6102074803980002")</f>
        <v>6102074803980002</v>
      </c>
      <c r="J367" s="10" t="str">
        <f ca="1">IFERROR(__xludf.DUMMYFUNCTION("""COMPUTED_VALUE"""),"PENDATAAN")</f>
        <v>PENDATAAN</v>
      </c>
      <c r="K367" s="10" t="str">
        <f ca="1">IFERROR(__xludf.DUMMYFUNCTION("""COMPUTED_VALUE"""),"HPJ24-LAPANGAN-JUNI-PPL-PENDATAAN")</f>
        <v>HPJ24-LAPANGAN-JUNI-PPL-PENDATAAN</v>
      </c>
      <c r="L367" s="10" t="str">
        <f ca="1">IFERROR(__xludf.DUMMYFUNCTION("""COMPUTED_VALUE"""),"Dokumen")</f>
        <v>Dokumen</v>
      </c>
      <c r="M367" s="66">
        <f ca="1">IFERROR(__xludf.DUMMYFUNCTION("""COMPUTED_VALUE"""),50000)</f>
        <v>50000</v>
      </c>
      <c r="N367" s="10">
        <f ca="1">IFERROR(__xludf.DUMMYFUNCTION("""COMPUTED_VALUE"""),1)</f>
        <v>1</v>
      </c>
      <c r="O367" s="10">
        <f ca="1">IFERROR(__xludf.DUMMYFUNCTION("""COMPUTED_VALUE"""),50000)</f>
        <v>50000</v>
      </c>
      <c r="P367" s="10"/>
      <c r="Q367" s="67">
        <f ca="1">IFERROR(__xludf.DUMMYFUNCTION("""COMPUTED_VALUE"""),45463)</f>
        <v>45463</v>
      </c>
    </row>
    <row r="368" spans="1:17" ht="12.5">
      <c r="A368" s="82">
        <f t="array" aca="1" ref="A368" ca="1">INDEX('Database Mitra'!$R$2:$R1001,MATCH(C368,'Database Mitra'!$B$2:$B1001,0))</f>
        <v>31964</v>
      </c>
      <c r="B368" s="10" t="e">
        <f t="shared" ca="1" si="0"/>
        <v>#NAME?</v>
      </c>
      <c r="C368" s="83">
        <f ca="1">IFERROR(__xludf.DUMMYFUNCTION("""COMPUTED_VALUE"""),610422040029)</f>
        <v>610422040029</v>
      </c>
      <c r="D368" s="10" t="str">
        <f ca="1">IFERROR(__xludf.DUMMYFUNCTION("""COMPUTED_VALUE"""),"VHTS24-LAPANGAN-JUNI")</f>
        <v>VHTS24-LAPANGAN-JUNI</v>
      </c>
      <c r="E368" s="10"/>
      <c r="F368" s="10">
        <f ca="1">IFERROR(__xludf.DUMMYFUNCTION("""COMPUTED_VALUE"""),1)</f>
        <v>1</v>
      </c>
      <c r="G368" s="10" t="str">
        <f ca="1">IFERROR(__xludf.DUMMYFUNCTION("""COMPUTED_VALUE"""),"Zaini")</f>
        <v>Zaini</v>
      </c>
      <c r="H368" s="10" t="str">
        <f ca="1">IFERROR(__xludf.DUMMYFUNCTION("""COMPUTED_VALUE"""),"PPL")</f>
        <v>PPL</v>
      </c>
      <c r="I368" s="10" t="str">
        <f ca="1">IFERROR(__xludf.DUMMYFUNCTION("""COMPUTED_VALUE"""),"6102010607870002")</f>
        <v>6102010607870002</v>
      </c>
      <c r="J368" s="10" t="str">
        <f ca="1">IFERROR(__xludf.DUMMYFUNCTION("""COMPUTED_VALUE"""),"PENDATAAN")</f>
        <v>PENDATAAN</v>
      </c>
      <c r="K368" s="10" t="str">
        <f ca="1">IFERROR(__xludf.DUMMYFUNCTION("""COMPUTED_VALUE"""),"VHTS24-LAPANGAN-JUNI-PPL-PENDATAAN")</f>
        <v>VHTS24-LAPANGAN-JUNI-PPL-PENDATAAN</v>
      </c>
      <c r="L368" s="10" t="str">
        <f ca="1">IFERROR(__xludf.DUMMYFUNCTION("""COMPUTED_VALUE"""),"Dokumen")</f>
        <v>Dokumen</v>
      </c>
      <c r="M368" s="66">
        <f ca="1">IFERROR(__xludf.DUMMYFUNCTION("""COMPUTED_VALUE"""),55000)</f>
        <v>55000</v>
      </c>
      <c r="N368" s="10">
        <f ca="1">IFERROR(__xludf.DUMMYFUNCTION("""COMPUTED_VALUE"""),3)</f>
        <v>3</v>
      </c>
      <c r="O368" s="10">
        <f ca="1">IFERROR(__xludf.DUMMYFUNCTION("""COMPUTED_VALUE"""),165000)</f>
        <v>165000</v>
      </c>
      <c r="P368" s="10"/>
      <c r="Q368" s="67">
        <f ca="1">IFERROR(__xludf.DUMMYFUNCTION("""COMPUTED_VALUE"""),45463)</f>
        <v>45463</v>
      </c>
    </row>
    <row r="369" spans="1:17" ht="12.5">
      <c r="A369" s="82">
        <f t="array" aca="1" ref="A369" ca="1">INDEX('Database Mitra'!$R$2:$R1001,MATCH(C369,'Database Mitra'!$B$2:$B1001,0))</f>
        <v>35862</v>
      </c>
      <c r="B369" s="10" t="e">
        <f t="shared" ca="1" si="0"/>
        <v>#NAME?</v>
      </c>
      <c r="C369" s="83">
        <f ca="1">IFERROR(__xludf.DUMMYFUNCTION("""COMPUTED_VALUE"""),610422100165)</f>
        <v>610422100165</v>
      </c>
      <c r="D369" s="10" t="str">
        <f ca="1">IFERROR(__xludf.DUMMYFUNCTION("""COMPUTED_VALUE"""),"VHTS24-LAPANGAN-JUNI")</f>
        <v>VHTS24-LAPANGAN-JUNI</v>
      </c>
      <c r="E369" s="10"/>
      <c r="F369" s="10">
        <f ca="1">IFERROR(__xludf.DUMMYFUNCTION("""COMPUTED_VALUE"""),1)</f>
        <v>1</v>
      </c>
      <c r="G369" s="10" t="str">
        <f ca="1">IFERROR(__xludf.DUMMYFUNCTION("""COMPUTED_VALUE"""),"Yanti")</f>
        <v>Yanti</v>
      </c>
      <c r="H369" s="10" t="str">
        <f ca="1">IFERROR(__xludf.DUMMYFUNCTION("""COMPUTED_VALUE"""),"PPL")</f>
        <v>PPL</v>
      </c>
      <c r="I369" s="10" t="str">
        <f ca="1">IFERROR(__xludf.DUMMYFUNCTION("""COMPUTED_VALUE"""),"6102074803980002")</f>
        <v>6102074803980002</v>
      </c>
      <c r="J369" s="10" t="str">
        <f ca="1">IFERROR(__xludf.DUMMYFUNCTION("""COMPUTED_VALUE"""),"PENDATAAN")</f>
        <v>PENDATAAN</v>
      </c>
      <c r="K369" s="10" t="str">
        <f ca="1">IFERROR(__xludf.DUMMYFUNCTION("""COMPUTED_VALUE"""),"VHTS24-LAPANGAN-JUNI-PPL-PENDATAAN")</f>
        <v>VHTS24-LAPANGAN-JUNI-PPL-PENDATAAN</v>
      </c>
      <c r="L369" s="10" t="str">
        <f ca="1">IFERROR(__xludf.DUMMYFUNCTION("""COMPUTED_VALUE"""),"Dokumen")</f>
        <v>Dokumen</v>
      </c>
      <c r="M369" s="66">
        <f ca="1">IFERROR(__xludf.DUMMYFUNCTION("""COMPUTED_VALUE"""),55000)</f>
        <v>55000</v>
      </c>
      <c r="N369" s="10">
        <f ca="1">IFERROR(__xludf.DUMMYFUNCTION("""COMPUTED_VALUE"""),3)</f>
        <v>3</v>
      </c>
      <c r="O369" s="10">
        <f ca="1">IFERROR(__xludf.DUMMYFUNCTION("""COMPUTED_VALUE"""),165000)</f>
        <v>165000</v>
      </c>
      <c r="P369" s="10"/>
      <c r="Q369" s="67">
        <f ca="1">IFERROR(__xludf.DUMMYFUNCTION("""COMPUTED_VALUE"""),45463)</f>
        <v>45463</v>
      </c>
    </row>
    <row r="370" spans="1:17" ht="12.5">
      <c r="A370" s="82">
        <f t="array" aca="1" ref="A370" ca="1">INDEX('Database Mitra'!$R$2:$R1001,MATCH(C370,'Database Mitra'!$B$2:$B1001,0))</f>
        <v>27798</v>
      </c>
      <c r="B370" s="10" t="e">
        <f t="shared" ca="1" si="0"/>
        <v>#NAME?</v>
      </c>
      <c r="C370" s="83">
        <f ca="1">IFERROR(__xludf.DUMMYFUNCTION("""COMPUTED_VALUE"""),610422040056)</f>
        <v>610422040056</v>
      </c>
      <c r="D370" s="10" t="str">
        <f ca="1">IFERROR(__xludf.DUMMYFUNCTION("""COMPUTED_VALUE"""),"VHTS24-LAPANGAN-JUNI")</f>
        <v>VHTS24-LAPANGAN-JUNI</v>
      </c>
      <c r="E370" s="10"/>
      <c r="F370" s="10">
        <f ca="1">IFERROR(__xludf.DUMMYFUNCTION("""COMPUTED_VALUE"""),1)</f>
        <v>1</v>
      </c>
      <c r="G370" s="10" t="str">
        <f ca="1">IFERROR(__xludf.DUMMYFUNCTION("""COMPUTED_VALUE"""),"Wandi Syafari")</f>
        <v>Wandi Syafari</v>
      </c>
      <c r="H370" s="10" t="str">
        <f ca="1">IFERROR(__xludf.DUMMYFUNCTION("""COMPUTED_VALUE"""),"PPL")</f>
        <v>PPL</v>
      </c>
      <c r="I370" s="10" t="str">
        <f ca="1">IFERROR(__xludf.DUMMYFUNCTION("""COMPUTED_VALUE"""),"6102010802760001")</f>
        <v>6102010802760001</v>
      </c>
      <c r="J370" s="10" t="str">
        <f ca="1">IFERROR(__xludf.DUMMYFUNCTION("""COMPUTED_VALUE"""),"PENDATAAN")</f>
        <v>PENDATAAN</v>
      </c>
      <c r="K370" s="10" t="str">
        <f ca="1">IFERROR(__xludf.DUMMYFUNCTION("""COMPUTED_VALUE"""),"VHTS24-LAPANGAN-JUNI-PPL-PENDATAAN")</f>
        <v>VHTS24-LAPANGAN-JUNI-PPL-PENDATAAN</v>
      </c>
      <c r="L370" s="10" t="str">
        <f ca="1">IFERROR(__xludf.DUMMYFUNCTION("""COMPUTED_VALUE"""),"Dokumen")</f>
        <v>Dokumen</v>
      </c>
      <c r="M370" s="66">
        <f ca="1">IFERROR(__xludf.DUMMYFUNCTION("""COMPUTED_VALUE"""),55000)</f>
        <v>55000</v>
      </c>
      <c r="N370" s="10">
        <f ca="1">IFERROR(__xludf.DUMMYFUNCTION("""COMPUTED_VALUE"""),3)</f>
        <v>3</v>
      </c>
      <c r="O370" s="10">
        <f ca="1">IFERROR(__xludf.DUMMYFUNCTION("""COMPUTED_VALUE"""),165000)</f>
        <v>165000</v>
      </c>
      <c r="P370" s="10"/>
      <c r="Q370" s="67">
        <f ca="1">IFERROR(__xludf.DUMMYFUNCTION("""COMPUTED_VALUE"""),45463)</f>
        <v>45463</v>
      </c>
    </row>
    <row r="371" spans="1:17" ht="12.5">
      <c r="A371" s="82">
        <f t="array" aca="1" ref="A371" ca="1">INDEX('Database Mitra'!$R$2:$R1001,MATCH(C371,'Database Mitra'!$B$2:$B1001,0))</f>
        <v>27798</v>
      </c>
      <c r="B371" s="10" t="e">
        <f t="shared" ca="1" si="0"/>
        <v>#NAME?</v>
      </c>
      <c r="C371" s="83">
        <f ca="1">IFERROR(__xludf.DUMMYFUNCTION("""COMPUTED_VALUE"""),610422040056)</f>
        <v>610422040056</v>
      </c>
      <c r="D371" s="10" t="str">
        <f ca="1">IFERROR(__xludf.DUMMYFUNCTION("""COMPUTED_VALUE"""),"VHTS24-LAPANGAN-JUNI")</f>
        <v>VHTS24-LAPANGAN-JUNI</v>
      </c>
      <c r="E371" s="10"/>
      <c r="F371" s="10">
        <f ca="1">IFERROR(__xludf.DUMMYFUNCTION("""COMPUTED_VALUE"""),1)</f>
        <v>1</v>
      </c>
      <c r="G371" s="10" t="str">
        <f ca="1">IFERROR(__xludf.DUMMYFUNCTION("""COMPUTED_VALUE"""),"Wandi Syafari")</f>
        <v>Wandi Syafari</v>
      </c>
      <c r="H371" s="10" t="str">
        <f ca="1">IFERROR(__xludf.DUMMYFUNCTION("""COMPUTED_VALUE"""),"PPL")</f>
        <v>PPL</v>
      </c>
      <c r="I371" s="10" t="str">
        <f ca="1">IFERROR(__xludf.DUMMYFUNCTION("""COMPUTED_VALUE"""),"6102010802760001")</f>
        <v>6102010802760001</v>
      </c>
      <c r="J371" s="10" t="str">
        <f ca="1">IFERROR(__xludf.DUMMYFUNCTION("""COMPUTED_VALUE"""),"PENDATAAN")</f>
        <v>PENDATAAN</v>
      </c>
      <c r="K371" s="10" t="str">
        <f ca="1">IFERROR(__xludf.DUMMYFUNCTION("""COMPUTED_VALUE"""),"VHTS24-LAPANGAN-JUNI-PPL-PENDATAAN")</f>
        <v>VHTS24-LAPANGAN-JUNI-PPL-PENDATAAN</v>
      </c>
      <c r="L371" s="10" t="str">
        <f ca="1">IFERROR(__xludf.DUMMYFUNCTION("""COMPUTED_VALUE"""),"Dokumen")</f>
        <v>Dokumen</v>
      </c>
      <c r="M371" s="66">
        <f ca="1">IFERROR(__xludf.DUMMYFUNCTION("""COMPUTED_VALUE"""),55000)</f>
        <v>55000</v>
      </c>
      <c r="N371" s="10">
        <f ca="1">IFERROR(__xludf.DUMMYFUNCTION("""COMPUTED_VALUE"""),2)</f>
        <v>2</v>
      </c>
      <c r="O371" s="10">
        <f ca="1">IFERROR(__xludf.DUMMYFUNCTION("""COMPUTED_VALUE"""),110000)</f>
        <v>110000</v>
      </c>
      <c r="P371" s="10"/>
      <c r="Q371" s="67">
        <f ca="1">IFERROR(__xludf.DUMMYFUNCTION("""COMPUTED_VALUE"""),45463)</f>
        <v>45463</v>
      </c>
    </row>
    <row r="372" spans="1:17" ht="12.5">
      <c r="A372" s="11">
        <f t="array" aca="1" ref="A372" ca="1">INDEX('Database Mitra'!$R$2:$R1001,MATCH(C372,'Database Mitra'!$B$2:$B1001,0))</f>
        <v>34895</v>
      </c>
      <c r="B372" s="10" t="e">
        <f t="shared" ca="1" si="0"/>
        <v>#NAME?</v>
      </c>
      <c r="C372" s="83">
        <f ca="1">IFERROR(__xludf.DUMMYFUNCTION("""COMPUTED_VALUE"""),610422020016)</f>
        <v>610422020016</v>
      </c>
      <c r="D372" s="10" t="str">
        <f ca="1">IFERROR(__xludf.DUMMYFUNCTION("""COMPUTED_VALUE"""),"KSA24-LAPANGAN-JUNI")</f>
        <v>KSA24-LAPANGAN-JUNI</v>
      </c>
      <c r="E372" s="10"/>
      <c r="F372" s="10">
        <f ca="1">IFERROR(__xludf.DUMMYFUNCTION("""COMPUTED_VALUE"""),1)</f>
        <v>1</v>
      </c>
      <c r="G372" s="10" t="str">
        <f ca="1">IFERROR(__xludf.DUMMYFUNCTION("""COMPUTED_VALUE"""),"Abdul Aziz")</f>
        <v>Abdul Aziz</v>
      </c>
      <c r="H372" s="10" t="str">
        <f ca="1">IFERROR(__xludf.DUMMYFUNCTION("""COMPUTED_VALUE"""),"PPL")</f>
        <v>PPL</v>
      </c>
      <c r="I372" s="10" t="str">
        <f ca="1">IFERROR(__xludf.DUMMYFUNCTION("""COMPUTED_VALUE"""),"6102061507950006")</f>
        <v>6102061507950006</v>
      </c>
      <c r="J372" s="10" t="str">
        <f ca="1">IFERROR(__xludf.DUMMYFUNCTION("""COMPUTED_VALUE"""),"KSA PADI")</f>
        <v>KSA PADI</v>
      </c>
      <c r="K372" s="10" t="str">
        <f ca="1">IFERROR(__xludf.DUMMYFUNCTION("""COMPUTED_VALUE"""),"KSA24-LAPANGAN-JUNI-PPL-KSA PADI")</f>
        <v>KSA24-LAPANGAN-JUNI-PPL-KSA PADI</v>
      </c>
      <c r="L372" s="10" t="str">
        <f ca="1">IFERROR(__xludf.DUMMYFUNCTION("""COMPUTED_VALUE"""),"Segmen")</f>
        <v>Segmen</v>
      </c>
      <c r="M372" s="66">
        <f ca="1">IFERROR(__xludf.DUMMYFUNCTION("""COMPUTED_VALUE"""),116000)</f>
        <v>116000</v>
      </c>
      <c r="N372" s="10">
        <f ca="1">IFERROR(__xludf.DUMMYFUNCTION("""COMPUTED_VALUE"""),3)</f>
        <v>3</v>
      </c>
      <c r="O372" s="10">
        <f ca="1">IFERROR(__xludf.DUMMYFUNCTION("""COMPUTED_VALUE"""),348000)</f>
        <v>348000</v>
      </c>
      <c r="P372" s="10"/>
      <c r="Q372" s="67">
        <f ca="1">IFERROR(__xludf.DUMMYFUNCTION("""COMPUTED_VALUE"""),45473)</f>
        <v>45473</v>
      </c>
    </row>
    <row r="373" spans="1:17" ht="12.5">
      <c r="A373" s="82">
        <f t="array" aca="1" ref="A373" ca="1">INDEX('Database Mitra'!$R$2:$R1001,MATCH(C373,'Database Mitra'!$B$2:$B1001,0))</f>
        <v>36043</v>
      </c>
      <c r="B373" s="10" t="e">
        <f t="shared" ca="1" si="0"/>
        <v>#NAME?</v>
      </c>
      <c r="C373" s="83">
        <f ca="1">IFERROR(__xludf.DUMMYFUNCTION("""COMPUTED_VALUE"""),610422040012)</f>
        <v>610422040012</v>
      </c>
      <c r="D373" s="10" t="str">
        <f ca="1">IFERROR(__xludf.DUMMYFUNCTION("""COMPUTED_VALUE"""),"KSA24-LAPANGAN-JUNI")</f>
        <v>KSA24-LAPANGAN-JUNI</v>
      </c>
      <c r="E373" s="10"/>
      <c r="F373" s="10">
        <f ca="1">IFERROR(__xludf.DUMMYFUNCTION("""COMPUTED_VALUE"""),1)</f>
        <v>1</v>
      </c>
      <c r="G373" s="10" t="str">
        <f ca="1">IFERROR(__xludf.DUMMYFUNCTION("""COMPUTED_VALUE"""),"Misdi")</f>
        <v>Misdi</v>
      </c>
      <c r="H373" s="10" t="str">
        <f ca="1">IFERROR(__xludf.DUMMYFUNCTION("""COMPUTED_VALUE"""),"PPL")</f>
        <v>PPL</v>
      </c>
      <c r="I373" s="10" t="str">
        <f ca="1">IFERROR(__xludf.DUMMYFUNCTION("""COMPUTED_VALUE"""),"6102070706940001")</f>
        <v>6102070706940001</v>
      </c>
      <c r="J373" s="10" t="str">
        <f ca="1">IFERROR(__xludf.DUMMYFUNCTION("""COMPUTED_VALUE"""),"KSA PADI")</f>
        <v>KSA PADI</v>
      </c>
      <c r="K373" s="10" t="str">
        <f ca="1">IFERROR(__xludf.DUMMYFUNCTION("""COMPUTED_VALUE"""),"KSA24-LAPANGAN-JUNI-PPL-KSA PADI")</f>
        <v>KSA24-LAPANGAN-JUNI-PPL-KSA PADI</v>
      </c>
      <c r="L373" s="10" t="str">
        <f ca="1">IFERROR(__xludf.DUMMYFUNCTION("""COMPUTED_VALUE"""),"Segmen")</f>
        <v>Segmen</v>
      </c>
      <c r="M373" s="66">
        <f ca="1">IFERROR(__xludf.DUMMYFUNCTION("""COMPUTED_VALUE"""),116000)</f>
        <v>116000</v>
      </c>
      <c r="N373" s="10">
        <f ca="1">IFERROR(__xludf.DUMMYFUNCTION("""COMPUTED_VALUE"""),3)</f>
        <v>3</v>
      </c>
      <c r="O373" s="10">
        <f ca="1">IFERROR(__xludf.DUMMYFUNCTION("""COMPUTED_VALUE"""),348000)</f>
        <v>348000</v>
      </c>
      <c r="P373" s="10"/>
      <c r="Q373" s="67">
        <f ca="1">IFERROR(__xludf.DUMMYFUNCTION("""COMPUTED_VALUE"""),45473)</f>
        <v>45473</v>
      </c>
    </row>
    <row r="374" spans="1:17" ht="12.5">
      <c r="A374" s="11">
        <f t="array" aca="1" ref="A374" ca="1">INDEX('Database Mitra'!$R$2:$R1001,MATCH(C374,'Database Mitra'!$B$2:$B1001,0))</f>
        <v>29305</v>
      </c>
      <c r="B374" s="10" t="e">
        <f t="shared" ca="1" si="0"/>
        <v>#NAME?</v>
      </c>
      <c r="C374" s="83">
        <f ca="1">IFERROR(__xludf.DUMMYFUNCTION("""COMPUTED_VALUE"""),610422020048)</f>
        <v>610422020048</v>
      </c>
      <c r="D374" s="10" t="str">
        <f ca="1">IFERROR(__xludf.DUMMYFUNCTION("""COMPUTED_VALUE"""),"KSA24-LAPANGAN-JUNI")</f>
        <v>KSA24-LAPANGAN-JUNI</v>
      </c>
      <c r="E374" s="10"/>
      <c r="F374" s="10">
        <f ca="1">IFERROR(__xludf.DUMMYFUNCTION("""COMPUTED_VALUE"""),1)</f>
        <v>1</v>
      </c>
      <c r="G374" s="10" t="str">
        <f ca="1">IFERROR(__xludf.DUMMYFUNCTION("""COMPUTED_VALUE"""),"Herri Gustaman")</f>
        <v>Herri Gustaman</v>
      </c>
      <c r="H374" s="10" t="str">
        <f ca="1">IFERROR(__xludf.DUMMYFUNCTION("""COMPUTED_VALUE"""),"PPL")</f>
        <v>PPL</v>
      </c>
      <c r="I374" s="10" t="str">
        <f ca="1">IFERROR(__xludf.DUMMYFUNCTION("""COMPUTED_VALUE"""),"6102072503800001")</f>
        <v>6102072503800001</v>
      </c>
      <c r="J374" s="10" t="str">
        <f ca="1">IFERROR(__xludf.DUMMYFUNCTION("""COMPUTED_VALUE"""),"KSA PADI")</f>
        <v>KSA PADI</v>
      </c>
      <c r="K374" s="10" t="str">
        <f ca="1">IFERROR(__xludf.DUMMYFUNCTION("""COMPUTED_VALUE"""),"KSA24-LAPANGAN-JUNI-PPL-KSA PADI")</f>
        <v>KSA24-LAPANGAN-JUNI-PPL-KSA PADI</v>
      </c>
      <c r="L374" s="10" t="str">
        <f ca="1">IFERROR(__xludf.DUMMYFUNCTION("""COMPUTED_VALUE"""),"Segmen")</f>
        <v>Segmen</v>
      </c>
      <c r="M374" s="66">
        <f ca="1">IFERROR(__xludf.DUMMYFUNCTION("""COMPUTED_VALUE"""),116000)</f>
        <v>116000</v>
      </c>
      <c r="N374" s="10">
        <f ca="1">IFERROR(__xludf.DUMMYFUNCTION("""COMPUTED_VALUE"""),4)</f>
        <v>4</v>
      </c>
      <c r="O374" s="10">
        <f ca="1">IFERROR(__xludf.DUMMYFUNCTION("""COMPUTED_VALUE"""),464000)</f>
        <v>464000</v>
      </c>
      <c r="P374" s="10"/>
      <c r="Q374" s="67">
        <f ca="1">IFERROR(__xludf.DUMMYFUNCTION("""COMPUTED_VALUE"""),45473)</f>
        <v>45473</v>
      </c>
    </row>
    <row r="375" spans="1:17" ht="12.5">
      <c r="A375" s="11">
        <f t="array" aca="1" ref="A375" ca="1">INDEX('Database Mitra'!$R$2:$R1001,MATCH(C375,'Database Mitra'!$B$2:$B1001,0))</f>
        <v>31777</v>
      </c>
      <c r="B375" s="10" t="e">
        <f t="shared" ca="1" si="0"/>
        <v>#NAME?</v>
      </c>
      <c r="C375" s="83">
        <f ca="1">IFERROR(__xludf.DUMMYFUNCTION("""COMPUTED_VALUE"""),610422040061)</f>
        <v>610422040061</v>
      </c>
      <c r="D375" s="10" t="str">
        <f ca="1">IFERROR(__xludf.DUMMYFUNCTION("""COMPUTED_VALUE"""),"KSA24-LAPANGAN-JUNI")</f>
        <v>KSA24-LAPANGAN-JUNI</v>
      </c>
      <c r="E375" s="10"/>
      <c r="F375" s="10">
        <f ca="1">IFERROR(__xludf.DUMMYFUNCTION("""COMPUTED_VALUE"""),1)</f>
        <v>1</v>
      </c>
      <c r="G375" s="10" t="str">
        <f ca="1">IFERROR(__xludf.DUMMYFUNCTION("""COMPUTED_VALUE"""),"Sabani")</f>
        <v>Sabani</v>
      </c>
      <c r="H375" s="10" t="str">
        <f ca="1">IFERROR(__xludf.DUMMYFUNCTION("""COMPUTED_VALUE"""),"PPL")</f>
        <v>PPL</v>
      </c>
      <c r="I375" s="10" t="str">
        <f ca="1">IFERROR(__xludf.DUMMYFUNCTION("""COMPUTED_VALUE"""),"6102153112860003")</f>
        <v>6102153112860003</v>
      </c>
      <c r="J375" s="10" t="str">
        <f ca="1">IFERROR(__xludf.DUMMYFUNCTION("""COMPUTED_VALUE"""),"KSA PADI")</f>
        <v>KSA PADI</v>
      </c>
      <c r="K375" s="10" t="str">
        <f ca="1">IFERROR(__xludf.DUMMYFUNCTION("""COMPUTED_VALUE"""),"KSA24-LAPANGAN-JUNI-PPL-KSA PADI")</f>
        <v>KSA24-LAPANGAN-JUNI-PPL-KSA PADI</v>
      </c>
      <c r="L375" s="10" t="str">
        <f ca="1">IFERROR(__xludf.DUMMYFUNCTION("""COMPUTED_VALUE"""),"Segmen")</f>
        <v>Segmen</v>
      </c>
      <c r="M375" s="66">
        <f ca="1">IFERROR(__xludf.DUMMYFUNCTION("""COMPUTED_VALUE"""),116000)</f>
        <v>116000</v>
      </c>
      <c r="N375" s="10">
        <f ca="1">IFERROR(__xludf.DUMMYFUNCTION("""COMPUTED_VALUE"""),6)</f>
        <v>6</v>
      </c>
      <c r="O375" s="10">
        <f ca="1">IFERROR(__xludf.DUMMYFUNCTION("""COMPUTED_VALUE"""),696000)</f>
        <v>696000</v>
      </c>
      <c r="P375" s="10"/>
      <c r="Q375" s="67">
        <f ca="1">IFERROR(__xludf.DUMMYFUNCTION("""COMPUTED_VALUE"""),45473)</f>
        <v>45473</v>
      </c>
    </row>
    <row r="376" spans="1:17" ht="12.5">
      <c r="A376" s="82">
        <f t="array" aca="1" ref="A376" ca="1">INDEX('Database Mitra'!$R$2:$R1001,MATCH(C376,'Database Mitra'!$B$2:$B1001,0))</f>
        <v>32942</v>
      </c>
      <c r="B376" s="10" t="e">
        <f t="shared" ca="1" si="0"/>
        <v>#NAME?</v>
      </c>
      <c r="C376" s="83">
        <f ca="1">IFERROR(__xludf.DUMMYFUNCTION("""COMPUTED_VALUE"""),610422100244)</f>
        <v>610422100244</v>
      </c>
      <c r="D376" s="10" t="str">
        <f ca="1">IFERROR(__xludf.DUMMYFUNCTION("""COMPUTED_VALUE"""),"KSA24-LAPANGAN-JUNI")</f>
        <v>KSA24-LAPANGAN-JUNI</v>
      </c>
      <c r="E376" s="10"/>
      <c r="F376" s="10">
        <f ca="1">IFERROR(__xludf.DUMMYFUNCTION("""COMPUTED_VALUE"""),1)</f>
        <v>1</v>
      </c>
      <c r="G376" s="10" t="str">
        <f ca="1">IFERROR(__xludf.DUMMYFUNCTION("""COMPUTED_VALUE"""),"Sugianto")</f>
        <v>Sugianto</v>
      </c>
      <c r="H376" s="10" t="str">
        <f ca="1">IFERROR(__xludf.DUMMYFUNCTION("""COMPUTED_VALUE"""),"PPL")</f>
        <v>PPL</v>
      </c>
      <c r="I376" s="10" t="str">
        <f ca="1">IFERROR(__xludf.DUMMYFUNCTION("""COMPUTED_VALUE"""),"6102171003900002")</f>
        <v>6102171003900002</v>
      </c>
      <c r="J376" s="10" t="str">
        <f ca="1">IFERROR(__xludf.DUMMYFUNCTION("""COMPUTED_VALUE"""),"KSA PADI")</f>
        <v>KSA PADI</v>
      </c>
      <c r="K376" s="10" t="str">
        <f ca="1">IFERROR(__xludf.DUMMYFUNCTION("""COMPUTED_VALUE"""),"KSA24-LAPANGAN-JUNI-PPL-KSA PADI")</f>
        <v>KSA24-LAPANGAN-JUNI-PPL-KSA PADI</v>
      </c>
      <c r="L376" s="10" t="str">
        <f ca="1">IFERROR(__xludf.DUMMYFUNCTION("""COMPUTED_VALUE"""),"Segmen")</f>
        <v>Segmen</v>
      </c>
      <c r="M376" s="66">
        <f ca="1">IFERROR(__xludf.DUMMYFUNCTION("""COMPUTED_VALUE"""),116000)</f>
        <v>116000</v>
      </c>
      <c r="N376" s="10">
        <f ca="1">IFERROR(__xludf.DUMMYFUNCTION("""COMPUTED_VALUE"""),7)</f>
        <v>7</v>
      </c>
      <c r="O376" s="10">
        <f ca="1">IFERROR(__xludf.DUMMYFUNCTION("""COMPUTED_VALUE"""),812000)</f>
        <v>812000</v>
      </c>
      <c r="P376" s="10"/>
      <c r="Q376" s="67">
        <f ca="1">IFERROR(__xludf.DUMMYFUNCTION("""COMPUTED_VALUE"""),45473)</f>
        <v>45473</v>
      </c>
    </row>
    <row r="377" spans="1:17" ht="12.5">
      <c r="A377" s="11">
        <f t="array" aca="1" ref="A377" ca="1">INDEX('Database Mitra'!$R$2:$R1001,MATCH(C377,'Database Mitra'!$B$2:$B1001,0))</f>
        <v>32481</v>
      </c>
      <c r="B377" s="10" t="e">
        <f t="shared" ca="1" si="0"/>
        <v>#NAME?</v>
      </c>
      <c r="C377" s="83">
        <f ca="1">IFERROR(__xludf.DUMMYFUNCTION("""COMPUTED_VALUE"""),610422100176)</f>
        <v>610422100176</v>
      </c>
      <c r="D377" s="10" t="str">
        <f ca="1">IFERROR(__xludf.DUMMYFUNCTION("""COMPUTED_VALUE"""),"KSA24-LAPANGAN-JUNI")</f>
        <v>KSA24-LAPANGAN-JUNI</v>
      </c>
      <c r="E377" s="10"/>
      <c r="F377" s="10">
        <f ca="1">IFERROR(__xludf.DUMMYFUNCTION("""COMPUTED_VALUE"""),1)</f>
        <v>1</v>
      </c>
      <c r="G377" s="10" t="str">
        <f ca="1">IFERROR(__xludf.DUMMYFUNCTION("""COMPUTED_VALUE"""),"Feri Firdaus")</f>
        <v>Feri Firdaus</v>
      </c>
      <c r="H377" s="10" t="str">
        <f ca="1">IFERROR(__xludf.DUMMYFUNCTION("""COMPUTED_VALUE"""),"PPL")</f>
        <v>PPL</v>
      </c>
      <c r="I377" s="10" t="str">
        <f ca="1">IFERROR(__xludf.DUMMYFUNCTION("""COMPUTED_VALUE"""),"6102150412880001")</f>
        <v>6102150412880001</v>
      </c>
      <c r="J377" s="10" t="str">
        <f ca="1">IFERROR(__xludf.DUMMYFUNCTION("""COMPUTED_VALUE"""),"KSA PADI")</f>
        <v>KSA PADI</v>
      </c>
      <c r="K377" s="10" t="str">
        <f ca="1">IFERROR(__xludf.DUMMYFUNCTION("""COMPUTED_VALUE"""),"KSA24-LAPANGAN-JUNI-PPL-KSA PADI")</f>
        <v>KSA24-LAPANGAN-JUNI-PPL-KSA PADI</v>
      </c>
      <c r="L377" s="10" t="str">
        <f ca="1">IFERROR(__xludf.DUMMYFUNCTION("""COMPUTED_VALUE"""),"Segmen")</f>
        <v>Segmen</v>
      </c>
      <c r="M377" s="66">
        <f ca="1">IFERROR(__xludf.DUMMYFUNCTION("""COMPUTED_VALUE"""),116000)</f>
        <v>116000</v>
      </c>
      <c r="N377" s="10">
        <f ca="1">IFERROR(__xludf.DUMMYFUNCTION("""COMPUTED_VALUE"""),3)</f>
        <v>3</v>
      </c>
      <c r="O377" s="10">
        <f ca="1">IFERROR(__xludf.DUMMYFUNCTION("""COMPUTED_VALUE"""),348000)</f>
        <v>348000</v>
      </c>
      <c r="P377" s="10"/>
      <c r="Q377" s="67">
        <f ca="1">IFERROR(__xludf.DUMMYFUNCTION("""COMPUTED_VALUE"""),45473)</f>
        <v>45473</v>
      </c>
    </row>
    <row r="378" spans="1:17" ht="12.5">
      <c r="A378" s="82">
        <f t="array" aca="1" ref="A378" ca="1">INDEX('Database Mitra'!$R$2:$R1001,MATCH(C378,'Database Mitra'!$B$2:$B1001,0))</f>
        <v>29171</v>
      </c>
      <c r="B378" s="10" t="e">
        <f t="shared" ca="1" si="0"/>
        <v>#NAME?</v>
      </c>
      <c r="C378" s="83">
        <f ca="1">IFERROR(__xludf.DUMMYFUNCTION("""COMPUTED_VALUE"""),610423110183)</f>
        <v>610423110183</v>
      </c>
      <c r="D378" s="10" t="str">
        <f ca="1">IFERROR(__xludf.DUMMYFUNCTION("""COMPUTED_VALUE"""),"KSA24-LAPANGAN-JUNI")</f>
        <v>KSA24-LAPANGAN-JUNI</v>
      </c>
      <c r="E378" s="10"/>
      <c r="F378" s="10">
        <f ca="1">IFERROR(__xludf.DUMMYFUNCTION("""COMPUTED_VALUE"""),1)</f>
        <v>1</v>
      </c>
      <c r="G378" s="10" t="str">
        <f ca="1">IFERROR(__xludf.DUMMYFUNCTION("""COMPUTED_VALUE"""),"Azhar")</f>
        <v>Azhar</v>
      </c>
      <c r="H378" s="10" t="str">
        <f ca="1">IFERROR(__xludf.DUMMYFUNCTION("""COMPUTED_VALUE"""),"PPL")</f>
        <v>PPL</v>
      </c>
      <c r="I378" s="10" t="str">
        <f ca="1">IFERROR(__xludf.DUMMYFUNCTION("""COMPUTED_VALUE"""),"6102081211790004")</f>
        <v>6102081211790004</v>
      </c>
      <c r="J378" s="10" t="str">
        <f ca="1">IFERROR(__xludf.DUMMYFUNCTION("""COMPUTED_VALUE"""),"KSA PADI")</f>
        <v>KSA PADI</v>
      </c>
      <c r="K378" s="10" t="str">
        <f ca="1">IFERROR(__xludf.DUMMYFUNCTION("""COMPUTED_VALUE"""),"KSA24-LAPANGAN-JUNI-PPL-KSA PADI")</f>
        <v>KSA24-LAPANGAN-JUNI-PPL-KSA PADI</v>
      </c>
      <c r="L378" s="10" t="str">
        <f ca="1">IFERROR(__xludf.DUMMYFUNCTION("""COMPUTED_VALUE"""),"Segmen")</f>
        <v>Segmen</v>
      </c>
      <c r="M378" s="66">
        <f ca="1">IFERROR(__xludf.DUMMYFUNCTION("""COMPUTED_VALUE"""),116000)</f>
        <v>116000</v>
      </c>
      <c r="N378" s="10">
        <f ca="1">IFERROR(__xludf.DUMMYFUNCTION("""COMPUTED_VALUE"""),6)</f>
        <v>6</v>
      </c>
      <c r="O378" s="10">
        <f ca="1">IFERROR(__xludf.DUMMYFUNCTION("""COMPUTED_VALUE"""),696000)</f>
        <v>696000</v>
      </c>
      <c r="P378" s="10"/>
      <c r="Q378" s="67">
        <f ca="1">IFERROR(__xludf.DUMMYFUNCTION("""COMPUTED_VALUE"""),45473)</f>
        <v>45473</v>
      </c>
    </row>
    <row r="379" spans="1:17" ht="12.5">
      <c r="A379" s="11">
        <f t="array" aca="1" ref="A379" ca="1">INDEX('Database Mitra'!$R$2:$R1001,MATCH(C379,'Database Mitra'!$B$2:$B1001,0))</f>
        <v>29305</v>
      </c>
      <c r="B379" s="10" t="e">
        <f t="shared" ca="1" si="0"/>
        <v>#NAME?</v>
      </c>
      <c r="C379" s="83">
        <f ca="1">IFERROR(__xludf.DUMMYFUNCTION("""COMPUTED_VALUE"""),610422020048)</f>
        <v>610422020048</v>
      </c>
      <c r="D379" s="10" t="str">
        <f ca="1">IFERROR(__xludf.DUMMYFUNCTION("""COMPUTED_VALUE"""),"KSA24-LAPANGAN-JUNI")</f>
        <v>KSA24-LAPANGAN-JUNI</v>
      </c>
      <c r="E379" s="10"/>
      <c r="F379" s="10">
        <f ca="1">IFERROR(__xludf.DUMMYFUNCTION("""COMPUTED_VALUE"""),1)</f>
        <v>1</v>
      </c>
      <c r="G379" s="10" t="str">
        <f ca="1">IFERROR(__xludf.DUMMYFUNCTION("""COMPUTED_VALUE"""),"Herri Gustaman")</f>
        <v>Herri Gustaman</v>
      </c>
      <c r="H379" s="10" t="str">
        <f ca="1">IFERROR(__xludf.DUMMYFUNCTION("""COMPUTED_VALUE"""),"PPL")</f>
        <v>PPL</v>
      </c>
      <c r="I379" s="10" t="str">
        <f ca="1">IFERROR(__xludf.DUMMYFUNCTION("""COMPUTED_VALUE"""),"6102072503800001")</f>
        <v>6102072503800001</v>
      </c>
      <c r="J379" s="10" t="str">
        <f ca="1">IFERROR(__xludf.DUMMYFUNCTION("""COMPUTED_VALUE"""),"KSA JAGUNG")</f>
        <v>KSA JAGUNG</v>
      </c>
      <c r="K379" s="10" t="str">
        <f ca="1">IFERROR(__xludf.DUMMYFUNCTION("""COMPUTED_VALUE"""),"KSA24-LAPANGAN-JUNI-PPL-KSA JAGUNG")</f>
        <v>KSA24-LAPANGAN-JUNI-PPL-KSA JAGUNG</v>
      </c>
      <c r="L379" s="10" t="str">
        <f ca="1">IFERROR(__xludf.DUMMYFUNCTION("""COMPUTED_VALUE"""),"Segmen")</f>
        <v>Segmen</v>
      </c>
      <c r="M379" s="66">
        <f ca="1">IFERROR(__xludf.DUMMYFUNCTION("""COMPUTED_VALUE"""),59000)</f>
        <v>59000</v>
      </c>
      <c r="N379" s="10">
        <f ca="1">IFERROR(__xludf.DUMMYFUNCTION("""COMPUTED_VALUE"""),12)</f>
        <v>12</v>
      </c>
      <c r="O379" s="10">
        <f ca="1">IFERROR(__xludf.DUMMYFUNCTION("""COMPUTED_VALUE"""),708000)</f>
        <v>708000</v>
      </c>
      <c r="P379" s="10"/>
      <c r="Q379" s="67">
        <f ca="1">IFERROR(__xludf.DUMMYFUNCTION("""COMPUTED_VALUE"""),45473)</f>
        <v>45473</v>
      </c>
    </row>
    <row r="380" spans="1:17" ht="12.5">
      <c r="A380" s="82">
        <f t="array" aca="1" ref="A380" ca="1">INDEX('Database Mitra'!$R$2:$R1001,MATCH(C380,'Database Mitra'!$B$2:$B1001,0))</f>
        <v>34541</v>
      </c>
      <c r="B380" s="10" t="e">
        <f t="shared" ca="1" si="0"/>
        <v>#NAME?</v>
      </c>
      <c r="C380" s="83">
        <f ca="1">IFERROR(__xludf.DUMMYFUNCTION("""COMPUTED_VALUE"""),610422040058)</f>
        <v>610422040058</v>
      </c>
      <c r="D380" s="10" t="str">
        <f ca="1">IFERROR(__xludf.DUMMYFUNCTION("""COMPUTED_VALUE"""),"KSA24-LAPANGAN-JUNI")</f>
        <v>KSA24-LAPANGAN-JUNI</v>
      </c>
      <c r="E380" s="10"/>
      <c r="F380" s="10">
        <f ca="1">IFERROR(__xludf.DUMMYFUNCTION("""COMPUTED_VALUE"""),1)</f>
        <v>1</v>
      </c>
      <c r="G380" s="10" t="str">
        <f ca="1">IFERROR(__xludf.DUMMYFUNCTION("""COMPUTED_VALUE"""),"Jamaluddin, Sp")</f>
        <v>Jamaluddin, Sp</v>
      </c>
      <c r="H380" s="10" t="str">
        <f ca="1">IFERROR(__xludf.DUMMYFUNCTION("""COMPUTED_VALUE"""),"PPL")</f>
        <v>PPL</v>
      </c>
      <c r="I380" s="10" t="str">
        <f ca="1">IFERROR(__xludf.DUMMYFUNCTION("""COMPUTED_VALUE"""),"6102152607940002")</f>
        <v>6102152607940002</v>
      </c>
      <c r="J380" s="10" t="str">
        <f ca="1">IFERROR(__xludf.DUMMYFUNCTION("""COMPUTED_VALUE"""),"KSA JAGUNG")</f>
        <v>KSA JAGUNG</v>
      </c>
      <c r="K380" s="10" t="str">
        <f ca="1">IFERROR(__xludf.DUMMYFUNCTION("""COMPUTED_VALUE"""),"KSA24-LAPANGAN-JUNI-PPL-KSA JAGUNG")</f>
        <v>KSA24-LAPANGAN-JUNI-PPL-KSA JAGUNG</v>
      </c>
      <c r="L380" s="10" t="str">
        <f ca="1">IFERROR(__xludf.DUMMYFUNCTION("""COMPUTED_VALUE"""),"Segmen")</f>
        <v>Segmen</v>
      </c>
      <c r="M380" s="66">
        <f ca="1">IFERROR(__xludf.DUMMYFUNCTION("""COMPUTED_VALUE"""),59000)</f>
        <v>59000</v>
      </c>
      <c r="N380" s="10">
        <f ca="1">IFERROR(__xludf.DUMMYFUNCTION("""COMPUTED_VALUE"""),10)</f>
        <v>10</v>
      </c>
      <c r="O380" s="10">
        <f ca="1">IFERROR(__xludf.DUMMYFUNCTION("""COMPUTED_VALUE"""),590000)</f>
        <v>590000</v>
      </c>
      <c r="P380" s="10"/>
      <c r="Q380" s="67">
        <f ca="1">IFERROR(__xludf.DUMMYFUNCTION("""COMPUTED_VALUE"""),45473)</f>
        <v>45473</v>
      </c>
    </row>
    <row r="381" spans="1:17" ht="12.5">
      <c r="A381" s="82">
        <f t="array" aca="1" ref="A381" ca="1">INDEX('Database Mitra'!$R$2:$R1001,MATCH(C381,'Database Mitra'!$B$2:$B1001,0))</f>
        <v>29171</v>
      </c>
      <c r="B381" s="10" t="e">
        <f t="shared" ca="1" si="0"/>
        <v>#NAME?</v>
      </c>
      <c r="C381" s="83">
        <f ca="1">IFERROR(__xludf.DUMMYFUNCTION("""COMPUTED_VALUE"""),610423110183)</f>
        <v>610423110183</v>
      </c>
      <c r="D381" s="10" t="str">
        <f ca="1">IFERROR(__xludf.DUMMYFUNCTION("""COMPUTED_VALUE"""),"KSA24-LAPANGAN-JUNI")</f>
        <v>KSA24-LAPANGAN-JUNI</v>
      </c>
      <c r="E381" s="10"/>
      <c r="F381" s="10">
        <f ca="1">IFERROR(__xludf.DUMMYFUNCTION("""COMPUTED_VALUE"""),1)</f>
        <v>1</v>
      </c>
      <c r="G381" s="10" t="str">
        <f ca="1">IFERROR(__xludf.DUMMYFUNCTION("""COMPUTED_VALUE"""),"Azhar")</f>
        <v>Azhar</v>
      </c>
      <c r="H381" s="10" t="str">
        <f ca="1">IFERROR(__xludf.DUMMYFUNCTION("""COMPUTED_VALUE"""),"PPL")</f>
        <v>PPL</v>
      </c>
      <c r="I381" s="10" t="str">
        <f ca="1">IFERROR(__xludf.DUMMYFUNCTION("""COMPUTED_VALUE"""),"6102081211790004")</f>
        <v>6102081211790004</v>
      </c>
      <c r="J381" s="10" t="str">
        <f ca="1">IFERROR(__xludf.DUMMYFUNCTION("""COMPUTED_VALUE"""),"KSA JAGUNG")</f>
        <v>KSA JAGUNG</v>
      </c>
      <c r="K381" s="10" t="str">
        <f ca="1">IFERROR(__xludf.DUMMYFUNCTION("""COMPUTED_VALUE"""),"KSA24-LAPANGAN-JUNI-PPL-KSA JAGUNG")</f>
        <v>KSA24-LAPANGAN-JUNI-PPL-KSA JAGUNG</v>
      </c>
      <c r="L381" s="10" t="str">
        <f ca="1">IFERROR(__xludf.DUMMYFUNCTION("""COMPUTED_VALUE"""),"Segmen")</f>
        <v>Segmen</v>
      </c>
      <c r="M381" s="66">
        <f ca="1">IFERROR(__xludf.DUMMYFUNCTION("""COMPUTED_VALUE"""),59000)</f>
        <v>59000</v>
      </c>
      <c r="N381" s="10">
        <f ca="1">IFERROR(__xludf.DUMMYFUNCTION("""COMPUTED_VALUE"""),6)</f>
        <v>6</v>
      </c>
      <c r="O381" s="10">
        <f ca="1">IFERROR(__xludf.DUMMYFUNCTION("""COMPUTED_VALUE"""),354000)</f>
        <v>354000</v>
      </c>
      <c r="P381" s="10"/>
      <c r="Q381" s="67">
        <f ca="1">IFERROR(__xludf.DUMMYFUNCTION("""COMPUTED_VALUE"""),45473)</f>
        <v>45473</v>
      </c>
    </row>
    <row r="382" spans="1:17" ht="12.5">
      <c r="A382" s="82">
        <f t="array" aca="1" ref="A382" ca="1">INDEX('Database Mitra'!$R$2:$R1001,MATCH(C382,'Database Mitra'!$B$2:$B1001,0))</f>
        <v>32942</v>
      </c>
      <c r="B382" s="10" t="e">
        <f t="shared" ca="1" si="0"/>
        <v>#NAME?</v>
      </c>
      <c r="C382" s="83">
        <f ca="1">IFERROR(__xludf.DUMMYFUNCTION("""COMPUTED_VALUE"""),610422100244)</f>
        <v>610422100244</v>
      </c>
      <c r="D382" s="10" t="str">
        <f ca="1">IFERROR(__xludf.DUMMYFUNCTION("""COMPUTED_VALUE"""),"KSA24-LAPANGAN-JUNI")</f>
        <v>KSA24-LAPANGAN-JUNI</v>
      </c>
      <c r="E382" s="10"/>
      <c r="F382" s="10">
        <f ca="1">IFERROR(__xludf.DUMMYFUNCTION("""COMPUTED_VALUE"""),1)</f>
        <v>1</v>
      </c>
      <c r="G382" s="10" t="str">
        <f ca="1">IFERROR(__xludf.DUMMYFUNCTION("""COMPUTED_VALUE"""),"Sugianto")</f>
        <v>Sugianto</v>
      </c>
      <c r="H382" s="10" t="str">
        <f ca="1">IFERROR(__xludf.DUMMYFUNCTION("""COMPUTED_VALUE"""),"PPL")</f>
        <v>PPL</v>
      </c>
      <c r="I382" s="10" t="str">
        <f ca="1">IFERROR(__xludf.DUMMYFUNCTION("""COMPUTED_VALUE"""),"6102171003900002")</f>
        <v>6102171003900002</v>
      </c>
      <c r="J382" s="10" t="str">
        <f ca="1">IFERROR(__xludf.DUMMYFUNCTION("""COMPUTED_VALUE"""),"KSA JAGUNG")</f>
        <v>KSA JAGUNG</v>
      </c>
      <c r="K382" s="10" t="str">
        <f ca="1">IFERROR(__xludf.DUMMYFUNCTION("""COMPUTED_VALUE"""),"KSA24-LAPANGAN-JUNI-PPL-KSA JAGUNG")</f>
        <v>KSA24-LAPANGAN-JUNI-PPL-KSA JAGUNG</v>
      </c>
      <c r="L382" s="10" t="str">
        <f ca="1">IFERROR(__xludf.DUMMYFUNCTION("""COMPUTED_VALUE"""),"Segmen")</f>
        <v>Segmen</v>
      </c>
      <c r="M382" s="66">
        <f ca="1">IFERROR(__xludf.DUMMYFUNCTION("""COMPUTED_VALUE"""),59000)</f>
        <v>59000</v>
      </c>
      <c r="N382" s="10">
        <f ca="1">IFERROR(__xludf.DUMMYFUNCTION("""COMPUTED_VALUE"""),8)</f>
        <v>8</v>
      </c>
      <c r="O382" s="10">
        <f ca="1">IFERROR(__xludf.DUMMYFUNCTION("""COMPUTED_VALUE"""),472000)</f>
        <v>472000</v>
      </c>
      <c r="P382" s="10"/>
      <c r="Q382" s="67">
        <f ca="1">IFERROR(__xludf.DUMMYFUNCTION("""COMPUTED_VALUE"""),45473)</f>
        <v>45473</v>
      </c>
    </row>
    <row r="383" spans="1:17" ht="12.5">
      <c r="A383" s="82">
        <f t="array" aca="1" ref="A383" ca="1">INDEX('Database Mitra'!$R$2:$R1001,MATCH(C383,'Database Mitra'!$B$2:$B1001,0))</f>
        <v>34232</v>
      </c>
      <c r="B383" s="10" t="e">
        <f t="shared" ca="1" si="0"/>
        <v>#NAME?</v>
      </c>
      <c r="C383" s="83">
        <f ca="1">IFERROR(__xludf.DUMMYFUNCTION("""COMPUTED_VALUE"""),610422020045)</f>
        <v>610422020045</v>
      </c>
      <c r="D383" s="10" t="str">
        <f ca="1">IFERROR(__xludf.DUMMYFUNCTION("""COMPUTED_VALUE"""),"SEP24-LAPANGAN")</f>
        <v>SEP24-LAPANGAN</v>
      </c>
      <c r="E383" s="10"/>
      <c r="F383" s="10">
        <f ca="1">IFERROR(__xludf.DUMMYFUNCTION("""COMPUTED_VALUE"""),1)</f>
        <v>1</v>
      </c>
      <c r="G383" s="10" t="str">
        <f ca="1">IFERROR(__xludf.DUMMYFUNCTION("""COMPUTED_VALUE"""),"Herdinatara Febria")</f>
        <v>Herdinatara Febria</v>
      </c>
      <c r="H383" s="10" t="str">
        <f ca="1">IFERROR(__xludf.DUMMYFUNCTION("""COMPUTED_VALUE"""),"PPL")</f>
        <v>PPL</v>
      </c>
      <c r="I383" s="10" t="str">
        <f ca="1">IFERROR(__xludf.DUMMYFUNCTION("""COMPUTED_VALUE"""),"6107086009930002")</f>
        <v>6107086009930002</v>
      </c>
      <c r="J383" s="10" t="str">
        <f ca="1">IFERROR(__xludf.DUMMYFUNCTION("""COMPUTED_VALUE"""),"OB")</f>
        <v>OB</v>
      </c>
      <c r="K383" s="10" t="str">
        <f ca="1">IFERROR(__xludf.DUMMYFUNCTION("""COMPUTED_VALUE"""),"SEP24-LAPANGAN-PPL-PENDATAAN")</f>
        <v>SEP24-LAPANGAN-PPL-PENDATAAN</v>
      </c>
      <c r="L383" s="10" t="str">
        <f ca="1">IFERROR(__xludf.DUMMYFUNCTION("""COMPUTED_VALUE"""),"OB")</f>
        <v>OB</v>
      </c>
      <c r="M383" s="66">
        <f ca="1">IFERROR(__xludf.DUMMYFUNCTION("""COMPUTED_VALUE"""),4694000)</f>
        <v>4694000</v>
      </c>
      <c r="N383" s="10">
        <f ca="1">IFERROR(__xludf.DUMMYFUNCTION("""COMPUTED_VALUE"""),1)</f>
        <v>1</v>
      </c>
      <c r="O383" s="10">
        <f ca="1">IFERROR(__xludf.DUMMYFUNCTION("""COMPUTED_VALUE"""),4694000)</f>
        <v>4694000</v>
      </c>
      <c r="P383" s="10"/>
      <c r="Q383" s="67">
        <f ca="1">IFERROR(__xludf.DUMMYFUNCTION("""COMPUTED_VALUE"""),45473)</f>
        <v>45473</v>
      </c>
    </row>
    <row r="384" spans="1:17" ht="12.5">
      <c r="A384" s="82">
        <f t="array" aca="1" ref="A384" ca="1">INDEX('Database Mitra'!$R$2:$R1001,MATCH(C384,'Database Mitra'!$B$2:$B1001,0))</f>
        <v>31585</v>
      </c>
      <c r="B384" s="10" t="e">
        <f t="shared" ca="1" si="0"/>
        <v>#NAME?</v>
      </c>
      <c r="C384" s="83">
        <f ca="1">IFERROR(__xludf.DUMMYFUNCTION("""COMPUTED_VALUE"""),610422020012)</f>
        <v>610422020012</v>
      </c>
      <c r="D384" s="10" t="str">
        <f ca="1">IFERROR(__xludf.DUMMYFUNCTION("""COMPUTED_VALUE"""),"SEP24-LAPANGAN")</f>
        <v>SEP24-LAPANGAN</v>
      </c>
      <c r="E384" s="10"/>
      <c r="F384" s="10">
        <f ca="1">IFERROR(__xludf.DUMMYFUNCTION("""COMPUTED_VALUE"""),1)</f>
        <v>1</v>
      </c>
      <c r="G384" s="10" t="str">
        <f ca="1">IFERROR(__xludf.DUMMYFUNCTION("""COMPUTED_VALUE"""),"Isul")</f>
        <v>Isul</v>
      </c>
      <c r="H384" s="10" t="str">
        <f ca="1">IFERROR(__xludf.DUMMYFUNCTION("""COMPUTED_VALUE"""),"PPL")</f>
        <v>PPL</v>
      </c>
      <c r="I384" s="10" t="str">
        <f ca="1">IFERROR(__xludf.DUMMYFUNCTION("""COMPUTED_VALUE"""),"6102176206860001")</f>
        <v>6102176206860001</v>
      </c>
      <c r="J384" s="10" t="str">
        <f ca="1">IFERROR(__xludf.DUMMYFUNCTION("""COMPUTED_VALUE"""),"OB")</f>
        <v>OB</v>
      </c>
      <c r="K384" s="10" t="str">
        <f ca="1">IFERROR(__xludf.DUMMYFUNCTION("""COMPUTED_VALUE"""),"SEP24-LAPANGAN-PPL-PENDATAAN")</f>
        <v>SEP24-LAPANGAN-PPL-PENDATAAN</v>
      </c>
      <c r="L384" s="10" t="str">
        <f ca="1">IFERROR(__xludf.DUMMYFUNCTION("""COMPUTED_VALUE"""),"OB")</f>
        <v>OB</v>
      </c>
      <c r="M384" s="66">
        <f ca="1">IFERROR(__xludf.DUMMYFUNCTION("""COMPUTED_VALUE"""),4694000)</f>
        <v>4694000</v>
      </c>
      <c r="N384" s="10">
        <f ca="1">IFERROR(__xludf.DUMMYFUNCTION("""COMPUTED_VALUE"""),1)</f>
        <v>1</v>
      </c>
      <c r="O384" s="10">
        <f ca="1">IFERROR(__xludf.DUMMYFUNCTION("""COMPUTED_VALUE"""),4694000)</f>
        <v>4694000</v>
      </c>
      <c r="P384" s="10"/>
      <c r="Q384" s="67">
        <f ca="1">IFERROR(__xludf.DUMMYFUNCTION("""COMPUTED_VALUE"""),45473)</f>
        <v>45473</v>
      </c>
    </row>
    <row r="385" spans="1:17" ht="12.5">
      <c r="A385" s="82">
        <f t="array" aca="1" ref="A385" ca="1">INDEX('Database Mitra'!$R$2:$R1001,MATCH(C385,'Database Mitra'!$B$2:$B1001,0))</f>
        <v>32184</v>
      </c>
      <c r="B385" s="10" t="e">
        <f t="shared" ca="1" si="0"/>
        <v>#NAME?</v>
      </c>
      <c r="C385" s="83">
        <f ca="1">IFERROR(__xludf.DUMMYFUNCTION("""COMPUTED_VALUE"""),610422020032)</f>
        <v>610422020032</v>
      </c>
      <c r="D385" s="10" t="str">
        <f ca="1">IFERROR(__xludf.DUMMYFUNCTION("""COMPUTED_VALUE"""),"SEP24-LAPANGAN")</f>
        <v>SEP24-LAPANGAN</v>
      </c>
      <c r="E385" s="10"/>
      <c r="F385" s="10">
        <f ca="1">IFERROR(__xludf.DUMMYFUNCTION("""COMPUTED_VALUE"""),1)</f>
        <v>1</v>
      </c>
      <c r="G385" s="10" t="str">
        <f ca="1">IFERROR(__xludf.DUMMYFUNCTION("""COMPUTED_VALUE"""),"Lilis Suryani")</f>
        <v>Lilis Suryani</v>
      </c>
      <c r="H385" s="10" t="str">
        <f ca="1">IFERROR(__xludf.DUMMYFUNCTION("""COMPUTED_VALUE"""),"PPL")</f>
        <v>PPL</v>
      </c>
      <c r="I385" s="10" t="str">
        <f ca="1">IFERROR(__xludf.DUMMYFUNCTION("""COMPUTED_VALUE"""),"6102185102880001")</f>
        <v>6102185102880001</v>
      </c>
      <c r="J385" s="10" t="str">
        <f ca="1">IFERROR(__xludf.DUMMYFUNCTION("""COMPUTED_VALUE"""),"OB")</f>
        <v>OB</v>
      </c>
      <c r="K385" s="10" t="str">
        <f ca="1">IFERROR(__xludf.DUMMYFUNCTION("""COMPUTED_VALUE"""),"SEP24-LAPANGAN-PPL-PENDATAAN")</f>
        <v>SEP24-LAPANGAN-PPL-PENDATAAN</v>
      </c>
      <c r="L385" s="10" t="str">
        <f ca="1">IFERROR(__xludf.DUMMYFUNCTION("""COMPUTED_VALUE"""),"OB")</f>
        <v>OB</v>
      </c>
      <c r="M385" s="66">
        <f ca="1">IFERROR(__xludf.DUMMYFUNCTION("""COMPUTED_VALUE"""),4694000)</f>
        <v>4694000</v>
      </c>
      <c r="N385" s="10">
        <f ca="1">IFERROR(__xludf.DUMMYFUNCTION("""COMPUTED_VALUE"""),1)</f>
        <v>1</v>
      </c>
      <c r="O385" s="10">
        <f ca="1">IFERROR(__xludf.DUMMYFUNCTION("""COMPUTED_VALUE"""),4694000)</f>
        <v>4694000</v>
      </c>
      <c r="P385" s="10"/>
      <c r="Q385" s="67">
        <f ca="1">IFERROR(__xludf.DUMMYFUNCTION("""COMPUTED_VALUE"""),45473)</f>
        <v>45473</v>
      </c>
    </row>
    <row r="386" spans="1:17" ht="12.5">
      <c r="A386" s="82">
        <f t="array" aca="1" ref="A386" ca="1">INDEX('Database Mitra'!$R$2:$R1001,MATCH(C386,'Database Mitra'!$B$2:$B1001,0))</f>
        <v>29441</v>
      </c>
      <c r="B386" s="10" t="e">
        <f t="shared" ca="1" si="0"/>
        <v>#NAME?</v>
      </c>
      <c r="C386" s="83">
        <f ca="1">IFERROR(__xludf.DUMMYFUNCTION("""COMPUTED_VALUE"""),610422030001)</f>
        <v>610422030001</v>
      </c>
      <c r="D386" s="10" t="str">
        <f ca="1">IFERROR(__xludf.DUMMYFUNCTION("""COMPUTED_VALUE"""),"SEP24-LAPANGAN")</f>
        <v>SEP24-LAPANGAN</v>
      </c>
      <c r="E386" s="10"/>
      <c r="F386" s="10">
        <f ca="1">IFERROR(__xludf.DUMMYFUNCTION("""COMPUTED_VALUE"""),1)</f>
        <v>1</v>
      </c>
      <c r="G386" s="10" t="str">
        <f ca="1">IFERROR(__xludf.DUMMYFUNCTION("""COMPUTED_VALUE"""),"Pitra,Sp")</f>
        <v>Pitra,Sp</v>
      </c>
      <c r="H386" s="10" t="str">
        <f ca="1">IFERROR(__xludf.DUMMYFUNCTION("""COMPUTED_VALUE"""),"PPL")</f>
        <v>PPL</v>
      </c>
      <c r="I386" s="10" t="str">
        <f ca="1">IFERROR(__xludf.DUMMYFUNCTION("""COMPUTED_VALUE"""),"6102010808800006")</f>
        <v>6102010808800006</v>
      </c>
      <c r="J386" s="10" t="str">
        <f ca="1">IFERROR(__xludf.DUMMYFUNCTION("""COMPUTED_VALUE"""),"OB")</f>
        <v>OB</v>
      </c>
      <c r="K386" s="10" t="str">
        <f ca="1">IFERROR(__xludf.DUMMYFUNCTION("""COMPUTED_VALUE"""),"SEP24-LAPANGAN-PPL-PENDATAAN")</f>
        <v>SEP24-LAPANGAN-PPL-PENDATAAN</v>
      </c>
      <c r="L386" s="10" t="str">
        <f ca="1">IFERROR(__xludf.DUMMYFUNCTION("""COMPUTED_VALUE"""),"OB")</f>
        <v>OB</v>
      </c>
      <c r="M386" s="66">
        <f ca="1">IFERROR(__xludf.DUMMYFUNCTION("""COMPUTED_VALUE"""),4694000)</f>
        <v>4694000</v>
      </c>
      <c r="N386" s="10">
        <f ca="1">IFERROR(__xludf.DUMMYFUNCTION("""COMPUTED_VALUE"""),1)</f>
        <v>1</v>
      </c>
      <c r="O386" s="10">
        <f ca="1">IFERROR(__xludf.DUMMYFUNCTION("""COMPUTED_VALUE"""),4694000)</f>
        <v>4694000</v>
      </c>
      <c r="P386" s="10"/>
      <c r="Q386" s="67">
        <f ca="1">IFERROR(__xludf.DUMMYFUNCTION("""COMPUTED_VALUE"""),45473)</f>
        <v>45473</v>
      </c>
    </row>
    <row r="387" spans="1:17" ht="12.5">
      <c r="A387" s="82">
        <f t="array" aca="1" ref="A387" ca="1">INDEX('Database Mitra'!$R$2:$R1001,MATCH(C387,'Database Mitra'!$B$2:$B1001,0))</f>
        <v>36997</v>
      </c>
      <c r="B387" s="10" t="e">
        <f t="shared" ca="1" si="0"/>
        <v>#NAME?</v>
      </c>
      <c r="C387" s="83">
        <f ca="1">IFERROR(__xludf.DUMMYFUNCTION("""COMPUTED_VALUE"""),610422040053)</f>
        <v>610422040053</v>
      </c>
      <c r="D387" s="10" t="str">
        <f ca="1">IFERROR(__xludf.DUMMYFUNCTION("""COMPUTED_VALUE"""),"SEP24-LAPANGAN")</f>
        <v>SEP24-LAPANGAN</v>
      </c>
      <c r="E387" s="10"/>
      <c r="F387" s="10">
        <f ca="1">IFERROR(__xludf.DUMMYFUNCTION("""COMPUTED_VALUE"""),1)</f>
        <v>1</v>
      </c>
      <c r="G387" s="10" t="str">
        <f ca="1">IFERROR(__xludf.DUMMYFUNCTION("""COMPUTED_VALUE"""),"Veti Ningsi")</f>
        <v>Veti Ningsi</v>
      </c>
      <c r="H387" s="10" t="str">
        <f ca="1">IFERROR(__xludf.DUMMYFUNCTION("""COMPUTED_VALUE"""),"PPL")</f>
        <v>PPL</v>
      </c>
      <c r="I387" s="10" t="str">
        <f ca="1">IFERROR(__xludf.DUMMYFUNCTION("""COMPUTED_VALUE"""),"6102125604010002")</f>
        <v>6102125604010002</v>
      </c>
      <c r="J387" s="10" t="str">
        <f ca="1">IFERROR(__xludf.DUMMYFUNCTION("""COMPUTED_VALUE"""),"OB")</f>
        <v>OB</v>
      </c>
      <c r="K387" s="10" t="str">
        <f ca="1">IFERROR(__xludf.DUMMYFUNCTION("""COMPUTED_VALUE"""),"SEP24-LAPANGAN-PPL-PENDATAAN")</f>
        <v>SEP24-LAPANGAN-PPL-PENDATAAN</v>
      </c>
      <c r="L387" s="10" t="str">
        <f ca="1">IFERROR(__xludf.DUMMYFUNCTION("""COMPUTED_VALUE"""),"OB")</f>
        <v>OB</v>
      </c>
      <c r="M387" s="66">
        <f ca="1">IFERROR(__xludf.DUMMYFUNCTION("""COMPUTED_VALUE"""),4694000)</f>
        <v>4694000</v>
      </c>
      <c r="N387" s="10">
        <f ca="1">IFERROR(__xludf.DUMMYFUNCTION("""COMPUTED_VALUE"""),1)</f>
        <v>1</v>
      </c>
      <c r="O387" s="10">
        <f ca="1">IFERROR(__xludf.DUMMYFUNCTION("""COMPUTED_VALUE"""),4694000)</f>
        <v>4694000</v>
      </c>
      <c r="P387" s="10"/>
      <c r="Q387" s="67">
        <f ca="1">IFERROR(__xludf.DUMMYFUNCTION("""COMPUTED_VALUE"""),45473)</f>
        <v>45473</v>
      </c>
    </row>
    <row r="388" spans="1:17" ht="12.5">
      <c r="A388" s="82">
        <f t="array" aca="1" ref="A388" ca="1">INDEX('Database Mitra'!$R$2:$R1001,MATCH(C388,'Database Mitra'!$B$2:$B1001,0))</f>
        <v>32849</v>
      </c>
      <c r="B388" s="10" t="e">
        <f t="shared" ca="1" si="0"/>
        <v>#NAME?</v>
      </c>
      <c r="C388" s="83">
        <f ca="1">IFERROR(__xludf.DUMMYFUNCTION("""COMPUTED_VALUE"""),610422040034)</f>
        <v>610422040034</v>
      </c>
      <c r="D388" s="10" t="str">
        <f ca="1">IFERROR(__xludf.DUMMYFUNCTION("""COMPUTED_VALUE"""),"SEP24-LAPANGAN")</f>
        <v>SEP24-LAPANGAN</v>
      </c>
      <c r="E388" s="10"/>
      <c r="F388" s="10">
        <f ca="1">IFERROR(__xludf.DUMMYFUNCTION("""COMPUTED_VALUE"""),1)</f>
        <v>1</v>
      </c>
      <c r="G388" s="10" t="str">
        <f ca="1">IFERROR(__xludf.DUMMYFUNCTION("""COMPUTED_VALUE"""),"Nelly Nalita")</f>
        <v>Nelly Nalita</v>
      </c>
      <c r="H388" s="10" t="str">
        <f ca="1">IFERROR(__xludf.DUMMYFUNCTION("""COMPUTED_VALUE"""),"PPL")</f>
        <v>PPL</v>
      </c>
      <c r="I388" s="10" t="str">
        <f ca="1">IFERROR(__xludf.DUMMYFUNCTION("""COMPUTED_VALUE"""),"6102014712890004")</f>
        <v>6102014712890004</v>
      </c>
      <c r="J388" s="10" t="str">
        <f ca="1">IFERROR(__xludf.DUMMYFUNCTION("""COMPUTED_VALUE"""),"OB")</f>
        <v>OB</v>
      </c>
      <c r="K388" s="10" t="str">
        <f ca="1">IFERROR(__xludf.DUMMYFUNCTION("""COMPUTED_VALUE"""),"SEP24-LAPANGAN-PPL-PENDATAAN")</f>
        <v>SEP24-LAPANGAN-PPL-PENDATAAN</v>
      </c>
      <c r="L388" s="10" t="str">
        <f ca="1">IFERROR(__xludf.DUMMYFUNCTION("""COMPUTED_VALUE"""),"OB")</f>
        <v>OB</v>
      </c>
      <c r="M388" s="66">
        <f ca="1">IFERROR(__xludf.DUMMYFUNCTION("""COMPUTED_VALUE"""),4694000)</f>
        <v>4694000</v>
      </c>
      <c r="N388" s="10">
        <f ca="1">IFERROR(__xludf.DUMMYFUNCTION("""COMPUTED_VALUE"""),1)</f>
        <v>1</v>
      </c>
      <c r="O388" s="10">
        <f ca="1">IFERROR(__xludf.DUMMYFUNCTION("""COMPUTED_VALUE"""),4694000)</f>
        <v>4694000</v>
      </c>
      <c r="P388" s="10"/>
      <c r="Q388" s="67">
        <f ca="1">IFERROR(__xludf.DUMMYFUNCTION("""COMPUTED_VALUE"""),45473)</f>
        <v>45473</v>
      </c>
    </row>
    <row r="389" spans="1:17" ht="12.5">
      <c r="A389" s="11">
        <f t="array" aca="1" ref="A389" ca="1">INDEX('Database Mitra'!$R$2:$R1001,MATCH(C389,'Database Mitra'!$B$2:$B1001,0))</f>
        <v>37221</v>
      </c>
      <c r="B389" s="10" t="e">
        <f t="shared" ca="1" si="0"/>
        <v>#NAME?</v>
      </c>
      <c r="C389" s="83">
        <f ca="1">IFERROR(__xludf.DUMMYFUNCTION("""COMPUTED_VALUE"""),610422040051)</f>
        <v>610422040051</v>
      </c>
      <c r="D389" s="10" t="str">
        <f ca="1">IFERROR(__xludf.DUMMYFUNCTION("""COMPUTED_VALUE"""),"SEP24-LAPANGAN")</f>
        <v>SEP24-LAPANGAN</v>
      </c>
      <c r="E389" s="10"/>
      <c r="F389" s="10">
        <f ca="1">IFERROR(__xludf.DUMMYFUNCTION("""COMPUTED_VALUE"""),1)</f>
        <v>1</v>
      </c>
      <c r="G389" s="10" t="str">
        <f ca="1">IFERROR(__xludf.DUMMYFUNCTION("""COMPUTED_VALUE"""),"Dede Sri Delvey")</f>
        <v>Dede Sri Delvey</v>
      </c>
      <c r="H389" s="10" t="str">
        <f ca="1">IFERROR(__xludf.DUMMYFUNCTION("""COMPUTED_VALUE"""),"PPL")</f>
        <v>PPL</v>
      </c>
      <c r="I389" s="10" t="str">
        <f ca="1">IFERROR(__xludf.DUMMYFUNCTION("""COMPUTED_VALUE"""),"6102156611010002")</f>
        <v>6102156611010002</v>
      </c>
      <c r="J389" s="10" t="str">
        <f ca="1">IFERROR(__xludf.DUMMYFUNCTION("""COMPUTED_VALUE"""),"OB")</f>
        <v>OB</v>
      </c>
      <c r="K389" s="10" t="str">
        <f ca="1">IFERROR(__xludf.DUMMYFUNCTION("""COMPUTED_VALUE"""),"SEP24-LAPANGAN-PPL-PENDATAAN")</f>
        <v>SEP24-LAPANGAN-PPL-PENDATAAN</v>
      </c>
      <c r="L389" s="10" t="str">
        <f ca="1">IFERROR(__xludf.DUMMYFUNCTION("""COMPUTED_VALUE"""),"OB")</f>
        <v>OB</v>
      </c>
      <c r="M389" s="66">
        <f ca="1">IFERROR(__xludf.DUMMYFUNCTION("""COMPUTED_VALUE"""),4694000)</f>
        <v>4694000</v>
      </c>
      <c r="N389" s="10">
        <f ca="1">IFERROR(__xludf.DUMMYFUNCTION("""COMPUTED_VALUE"""),1)</f>
        <v>1</v>
      </c>
      <c r="O389" s="10">
        <f ca="1">IFERROR(__xludf.DUMMYFUNCTION("""COMPUTED_VALUE"""),4694000)</f>
        <v>4694000</v>
      </c>
      <c r="P389" s="10"/>
      <c r="Q389" s="67">
        <f ca="1">IFERROR(__xludf.DUMMYFUNCTION("""COMPUTED_VALUE"""),45473)</f>
        <v>45473</v>
      </c>
    </row>
    <row r="390" spans="1:17" ht="12.5">
      <c r="A390" s="82">
        <f t="array" aca="1" ref="A390" ca="1">INDEX('Database Mitra'!$R$2:$R1001,MATCH(C390,'Database Mitra'!$B$2:$B1001,0))</f>
        <v>28920</v>
      </c>
      <c r="B390" s="10" t="e">
        <f t="shared" ca="1" si="0"/>
        <v>#NAME?</v>
      </c>
      <c r="C390" s="83">
        <f ca="1">IFERROR(__xludf.DUMMYFUNCTION("""COMPUTED_VALUE"""),610422040052)</f>
        <v>610422040052</v>
      </c>
      <c r="D390" s="10" t="str">
        <f ca="1">IFERROR(__xludf.DUMMYFUNCTION("""COMPUTED_VALUE"""),"SEP24-LAPANGAN")</f>
        <v>SEP24-LAPANGAN</v>
      </c>
      <c r="E390" s="10"/>
      <c r="F390" s="10">
        <f ca="1">IFERROR(__xludf.DUMMYFUNCTION("""COMPUTED_VALUE"""),1)</f>
        <v>1</v>
      </c>
      <c r="G390" s="10" t="str">
        <f ca="1">IFERROR(__xludf.DUMMYFUNCTION("""COMPUTED_VALUE"""),"Yusimianto")</f>
        <v>Yusimianto</v>
      </c>
      <c r="H390" s="10" t="str">
        <f ca="1">IFERROR(__xludf.DUMMYFUNCTION("""COMPUTED_VALUE"""),"PPL")</f>
        <v>PPL</v>
      </c>
      <c r="I390" s="10" t="str">
        <f ca="1">IFERROR(__xludf.DUMMYFUNCTION("""COMPUTED_VALUE"""),"6102160603790001")</f>
        <v>6102160603790001</v>
      </c>
      <c r="J390" s="10" t="str">
        <f ca="1">IFERROR(__xludf.DUMMYFUNCTION("""COMPUTED_VALUE"""),"OB")</f>
        <v>OB</v>
      </c>
      <c r="K390" s="10" t="str">
        <f ca="1">IFERROR(__xludf.DUMMYFUNCTION("""COMPUTED_VALUE"""),"SEP24-LAPANGAN-PPL-PENDATAAN")</f>
        <v>SEP24-LAPANGAN-PPL-PENDATAAN</v>
      </c>
      <c r="L390" s="10" t="str">
        <f ca="1">IFERROR(__xludf.DUMMYFUNCTION("""COMPUTED_VALUE"""),"OB")</f>
        <v>OB</v>
      </c>
      <c r="M390" s="66">
        <f ca="1">IFERROR(__xludf.DUMMYFUNCTION("""COMPUTED_VALUE"""),4694000)</f>
        <v>4694000</v>
      </c>
      <c r="N390" s="10">
        <f ca="1">IFERROR(__xludf.DUMMYFUNCTION("""COMPUTED_VALUE"""),1)</f>
        <v>1</v>
      </c>
      <c r="O390" s="10">
        <f ca="1">IFERROR(__xludf.DUMMYFUNCTION("""COMPUTED_VALUE"""),4694000)</f>
        <v>4694000</v>
      </c>
      <c r="P390" s="10"/>
      <c r="Q390" s="67">
        <f ca="1">IFERROR(__xludf.DUMMYFUNCTION("""COMPUTED_VALUE"""),45473)</f>
        <v>45473</v>
      </c>
    </row>
    <row r="391" spans="1:17" ht="12.5">
      <c r="A391" s="82">
        <f t="array" aca="1" ref="A391" ca="1">INDEX('Database Mitra'!$R$2:$R1001,MATCH(C391,'Database Mitra'!$B$2:$B1001,0))</f>
        <v>28816</v>
      </c>
      <c r="B391" s="10" t="e">
        <f t="shared" ca="1" si="0"/>
        <v>#NAME?</v>
      </c>
      <c r="C391" s="83">
        <f ca="1">IFERROR(__xludf.DUMMYFUNCTION("""COMPUTED_VALUE"""),610422040059)</f>
        <v>610422040059</v>
      </c>
      <c r="D391" s="10" t="str">
        <f ca="1">IFERROR(__xludf.DUMMYFUNCTION("""COMPUTED_VALUE"""),"SEP24-LAPANGAN")</f>
        <v>SEP24-LAPANGAN</v>
      </c>
      <c r="E391" s="10"/>
      <c r="F391" s="10">
        <f ca="1">IFERROR(__xludf.DUMMYFUNCTION("""COMPUTED_VALUE"""),1)</f>
        <v>1</v>
      </c>
      <c r="G391" s="10" t="str">
        <f ca="1">IFERROR(__xludf.DUMMYFUNCTION("""COMPUTED_VALUE"""),"Abang Handri")</f>
        <v>Abang Handri</v>
      </c>
      <c r="H391" s="10" t="str">
        <f ca="1">IFERROR(__xludf.DUMMYFUNCTION("""COMPUTED_VALUE"""),"PPL")</f>
        <v>PPL</v>
      </c>
      <c r="I391" s="10" t="str">
        <f ca="1">IFERROR(__xludf.DUMMYFUNCTION("""COMPUTED_VALUE"""),"6102072211780002")</f>
        <v>6102072211780002</v>
      </c>
      <c r="J391" s="10" t="str">
        <f ca="1">IFERROR(__xludf.DUMMYFUNCTION("""COMPUTED_VALUE"""),"OB")</f>
        <v>OB</v>
      </c>
      <c r="K391" s="10" t="str">
        <f ca="1">IFERROR(__xludf.DUMMYFUNCTION("""COMPUTED_VALUE"""),"SEP24-LAPANGAN-PPL-PENDATAAN")</f>
        <v>SEP24-LAPANGAN-PPL-PENDATAAN</v>
      </c>
      <c r="L391" s="10" t="str">
        <f ca="1">IFERROR(__xludf.DUMMYFUNCTION("""COMPUTED_VALUE"""),"OB")</f>
        <v>OB</v>
      </c>
      <c r="M391" s="66">
        <f ca="1">IFERROR(__xludf.DUMMYFUNCTION("""COMPUTED_VALUE"""),4694000)</f>
        <v>4694000</v>
      </c>
      <c r="N391" s="10">
        <f ca="1">IFERROR(__xludf.DUMMYFUNCTION("""COMPUTED_VALUE"""),1)</f>
        <v>1</v>
      </c>
      <c r="O391" s="10">
        <f ca="1">IFERROR(__xludf.DUMMYFUNCTION("""COMPUTED_VALUE"""),4694000)</f>
        <v>4694000</v>
      </c>
      <c r="P391" s="10"/>
      <c r="Q391" s="67">
        <f ca="1">IFERROR(__xludf.DUMMYFUNCTION("""COMPUTED_VALUE"""),45473)</f>
        <v>45473</v>
      </c>
    </row>
    <row r="392" spans="1:17" ht="12.5">
      <c r="A392" s="82">
        <f t="array" aca="1" ref="A392" ca="1">INDEX('Database Mitra'!$R$2:$R1001,MATCH(C392,'Database Mitra'!$B$2:$B1001,0))</f>
        <v>30692</v>
      </c>
      <c r="B392" s="10" t="e">
        <f t="shared" ca="1" si="0"/>
        <v>#NAME?</v>
      </c>
      <c r="C392" s="83">
        <f ca="1">IFERROR(__xludf.DUMMYFUNCTION("""COMPUTED_VALUE"""),610422050001)</f>
        <v>610422050001</v>
      </c>
      <c r="D392" s="10" t="str">
        <f ca="1">IFERROR(__xludf.DUMMYFUNCTION("""COMPUTED_VALUE"""),"SEP24-LAPANGAN")</f>
        <v>SEP24-LAPANGAN</v>
      </c>
      <c r="E392" s="10"/>
      <c r="F392" s="10">
        <f ca="1">IFERROR(__xludf.DUMMYFUNCTION("""COMPUTED_VALUE"""),1)</f>
        <v>1</v>
      </c>
      <c r="G392" s="10" t="str">
        <f ca="1">IFERROR(__xludf.DUMMYFUNCTION("""COMPUTED_VALUE"""),"Evi Juniarty")</f>
        <v>Evi Juniarty</v>
      </c>
      <c r="H392" s="10" t="str">
        <f ca="1">IFERROR(__xludf.DUMMYFUNCTION("""COMPUTED_VALUE"""),"PPL")</f>
        <v>PPL</v>
      </c>
      <c r="I392" s="10" t="str">
        <f ca="1">IFERROR(__xludf.DUMMYFUNCTION("""COMPUTED_VALUE"""),"6102165101840001")</f>
        <v>6102165101840001</v>
      </c>
      <c r="J392" s="10" t="str">
        <f ca="1">IFERROR(__xludf.DUMMYFUNCTION("""COMPUTED_VALUE"""),"OB")</f>
        <v>OB</v>
      </c>
      <c r="K392" s="10" t="str">
        <f ca="1">IFERROR(__xludf.DUMMYFUNCTION("""COMPUTED_VALUE"""),"SEP24-LAPANGAN-PPL-PENDATAAN")</f>
        <v>SEP24-LAPANGAN-PPL-PENDATAAN</v>
      </c>
      <c r="L392" s="10" t="str">
        <f ca="1">IFERROR(__xludf.DUMMYFUNCTION("""COMPUTED_VALUE"""),"OB")</f>
        <v>OB</v>
      </c>
      <c r="M392" s="66">
        <f ca="1">IFERROR(__xludf.DUMMYFUNCTION("""COMPUTED_VALUE"""),4694000)</f>
        <v>4694000</v>
      </c>
      <c r="N392" s="10">
        <f ca="1">IFERROR(__xludf.DUMMYFUNCTION("""COMPUTED_VALUE"""),1)</f>
        <v>1</v>
      </c>
      <c r="O392" s="10">
        <f ca="1">IFERROR(__xludf.DUMMYFUNCTION("""COMPUTED_VALUE"""),4694000)</f>
        <v>4694000</v>
      </c>
      <c r="P392" s="10"/>
      <c r="Q392" s="67">
        <f ca="1">IFERROR(__xludf.DUMMYFUNCTION("""COMPUTED_VALUE"""),45473)</f>
        <v>45473</v>
      </c>
    </row>
    <row r="393" spans="1:17" ht="12.5">
      <c r="A393" s="82">
        <f t="array" aca="1" ref="A393" ca="1">INDEX('Database Mitra'!$R$2:$R1001,MATCH(C393,'Database Mitra'!$B$2:$B1001,0))</f>
        <v>36088</v>
      </c>
      <c r="B393" s="10" t="e">
        <f t="shared" ca="1" si="0"/>
        <v>#NAME?</v>
      </c>
      <c r="C393" s="83">
        <f ca="1">IFERROR(__xludf.DUMMYFUNCTION("""COMPUTED_VALUE"""),610422100006)</f>
        <v>610422100006</v>
      </c>
      <c r="D393" s="10" t="str">
        <f ca="1">IFERROR(__xludf.DUMMYFUNCTION("""COMPUTED_VALUE"""),"SEP24-LAPANGAN")</f>
        <v>SEP24-LAPANGAN</v>
      </c>
      <c r="E393" s="10"/>
      <c r="F393" s="10">
        <f ca="1">IFERROR(__xludf.DUMMYFUNCTION("""COMPUTED_VALUE"""),1)</f>
        <v>1</v>
      </c>
      <c r="G393" s="10" t="str">
        <f ca="1">IFERROR(__xludf.DUMMYFUNCTION("""COMPUTED_VALUE"""),"Dandy")</f>
        <v>Dandy</v>
      </c>
      <c r="H393" s="10" t="str">
        <f ca="1">IFERROR(__xludf.DUMMYFUNCTION("""COMPUTED_VALUE"""),"PPL")</f>
        <v>PPL</v>
      </c>
      <c r="I393" s="10" t="str">
        <f ca="1">IFERROR(__xludf.DUMMYFUNCTION("""COMPUTED_VALUE"""),"6102082010980003")</f>
        <v>6102082010980003</v>
      </c>
      <c r="J393" s="10" t="str">
        <f ca="1">IFERROR(__xludf.DUMMYFUNCTION("""COMPUTED_VALUE"""),"OB")</f>
        <v>OB</v>
      </c>
      <c r="K393" s="10" t="str">
        <f ca="1">IFERROR(__xludf.DUMMYFUNCTION("""COMPUTED_VALUE"""),"SEP24-LAPANGAN-PPL-PENDATAAN")</f>
        <v>SEP24-LAPANGAN-PPL-PENDATAAN</v>
      </c>
      <c r="L393" s="10" t="str">
        <f ca="1">IFERROR(__xludf.DUMMYFUNCTION("""COMPUTED_VALUE"""),"OB")</f>
        <v>OB</v>
      </c>
      <c r="M393" s="66">
        <f ca="1">IFERROR(__xludf.DUMMYFUNCTION("""COMPUTED_VALUE"""),4694000)</f>
        <v>4694000</v>
      </c>
      <c r="N393" s="10">
        <f ca="1">IFERROR(__xludf.DUMMYFUNCTION("""COMPUTED_VALUE"""),1)</f>
        <v>1</v>
      </c>
      <c r="O393" s="10">
        <f ca="1">IFERROR(__xludf.DUMMYFUNCTION("""COMPUTED_VALUE"""),4694000)</f>
        <v>4694000</v>
      </c>
      <c r="P393" s="10"/>
      <c r="Q393" s="67">
        <f ca="1">IFERROR(__xludf.DUMMYFUNCTION("""COMPUTED_VALUE"""),45473)</f>
        <v>45473</v>
      </c>
    </row>
    <row r="394" spans="1:17" ht="12.5">
      <c r="A394" s="82">
        <f t="array" aca="1" ref="A394" ca="1">INDEX('Database Mitra'!$R$2:$R1001,MATCH(C394,'Database Mitra'!$B$2:$B1001,0))</f>
        <v>32158</v>
      </c>
      <c r="B394" s="10" t="e">
        <f t="shared" ca="1" si="0"/>
        <v>#NAME?</v>
      </c>
      <c r="C394" s="83">
        <f ca="1">IFERROR(__xludf.DUMMYFUNCTION("""COMPUTED_VALUE"""),610422100101)</f>
        <v>610422100101</v>
      </c>
      <c r="D394" s="10" t="str">
        <f ca="1">IFERROR(__xludf.DUMMYFUNCTION("""COMPUTED_VALUE"""),"SEP24-LAPANGAN")</f>
        <v>SEP24-LAPANGAN</v>
      </c>
      <c r="E394" s="10"/>
      <c r="F394" s="10">
        <f ca="1">IFERROR(__xludf.DUMMYFUNCTION("""COMPUTED_VALUE"""),1)</f>
        <v>1</v>
      </c>
      <c r="G394" s="10" t="str">
        <f ca="1">IFERROR(__xludf.DUMMYFUNCTION("""COMPUTED_VALUE"""),"Sukmawati,S.Si")</f>
        <v>Sukmawati,S.Si</v>
      </c>
      <c r="H394" s="10" t="str">
        <f ca="1">IFERROR(__xludf.DUMMYFUNCTION("""COMPUTED_VALUE"""),"PPL")</f>
        <v>PPL</v>
      </c>
      <c r="I394" s="10" t="str">
        <f ca="1">IFERROR(__xludf.DUMMYFUNCTION("""COMPUTED_VALUE"""),"3402135601880001")</f>
        <v>3402135601880001</v>
      </c>
      <c r="J394" s="10" t="str">
        <f ca="1">IFERROR(__xludf.DUMMYFUNCTION("""COMPUTED_VALUE"""),"OB")</f>
        <v>OB</v>
      </c>
      <c r="K394" s="10" t="str">
        <f ca="1">IFERROR(__xludf.DUMMYFUNCTION("""COMPUTED_VALUE"""),"SEP24-LAPANGAN-PPL-PENDATAAN")</f>
        <v>SEP24-LAPANGAN-PPL-PENDATAAN</v>
      </c>
      <c r="L394" s="10" t="str">
        <f ca="1">IFERROR(__xludf.DUMMYFUNCTION("""COMPUTED_VALUE"""),"OB")</f>
        <v>OB</v>
      </c>
      <c r="M394" s="66">
        <f ca="1">IFERROR(__xludf.DUMMYFUNCTION("""COMPUTED_VALUE"""),4694000)</f>
        <v>4694000</v>
      </c>
      <c r="N394" s="10">
        <f ca="1">IFERROR(__xludf.DUMMYFUNCTION("""COMPUTED_VALUE"""),1)</f>
        <v>1</v>
      </c>
      <c r="O394" s="10">
        <f ca="1">IFERROR(__xludf.DUMMYFUNCTION("""COMPUTED_VALUE"""),4694000)</f>
        <v>4694000</v>
      </c>
      <c r="P394" s="10"/>
      <c r="Q394" s="67">
        <f ca="1">IFERROR(__xludf.DUMMYFUNCTION("""COMPUTED_VALUE"""),45473)</f>
        <v>45473</v>
      </c>
    </row>
    <row r="395" spans="1:17" ht="12.5">
      <c r="A395" s="82">
        <f t="array" aca="1" ref="A395" ca="1">INDEX('Database Mitra'!$R$2:$R1001,MATCH(C395,'Database Mitra'!$B$2:$B1001,0))</f>
        <v>31602</v>
      </c>
      <c r="B395" s="10" t="e">
        <f t="shared" ca="1" si="0"/>
        <v>#NAME?</v>
      </c>
      <c r="C395" s="83">
        <f ca="1">IFERROR(__xludf.DUMMYFUNCTION("""COMPUTED_VALUE"""),610422100131)</f>
        <v>610422100131</v>
      </c>
      <c r="D395" s="10" t="str">
        <f ca="1">IFERROR(__xludf.DUMMYFUNCTION("""COMPUTED_VALUE"""),"SEP24-LAPANGAN")</f>
        <v>SEP24-LAPANGAN</v>
      </c>
      <c r="E395" s="10"/>
      <c r="F395" s="10">
        <f ca="1">IFERROR(__xludf.DUMMYFUNCTION("""COMPUTED_VALUE"""),1)</f>
        <v>1</v>
      </c>
      <c r="G395" s="10" t="str">
        <f ca="1">IFERROR(__xludf.DUMMYFUNCTION("""COMPUTED_VALUE"""),"Syamsul")</f>
        <v>Syamsul</v>
      </c>
      <c r="H395" s="10" t="str">
        <f ca="1">IFERROR(__xludf.DUMMYFUNCTION("""COMPUTED_VALUE"""),"PPL")</f>
        <v>PPL</v>
      </c>
      <c r="I395" s="10" t="str">
        <f ca="1">IFERROR(__xludf.DUMMYFUNCTION("""COMPUTED_VALUE"""),"6102150907860003")</f>
        <v>6102150907860003</v>
      </c>
      <c r="J395" s="10" t="str">
        <f ca="1">IFERROR(__xludf.DUMMYFUNCTION("""COMPUTED_VALUE"""),"OB")</f>
        <v>OB</v>
      </c>
      <c r="K395" s="10" t="str">
        <f ca="1">IFERROR(__xludf.DUMMYFUNCTION("""COMPUTED_VALUE"""),"SEP24-LAPANGAN-PPL-PENDATAAN")</f>
        <v>SEP24-LAPANGAN-PPL-PENDATAAN</v>
      </c>
      <c r="L395" s="10" t="str">
        <f ca="1">IFERROR(__xludf.DUMMYFUNCTION("""COMPUTED_VALUE"""),"OB")</f>
        <v>OB</v>
      </c>
      <c r="M395" s="66">
        <f ca="1">IFERROR(__xludf.DUMMYFUNCTION("""COMPUTED_VALUE"""),4694000)</f>
        <v>4694000</v>
      </c>
      <c r="N395" s="10">
        <f ca="1">IFERROR(__xludf.DUMMYFUNCTION("""COMPUTED_VALUE"""),1)</f>
        <v>1</v>
      </c>
      <c r="O395" s="10">
        <f ca="1">IFERROR(__xludf.DUMMYFUNCTION("""COMPUTED_VALUE"""),4694000)</f>
        <v>4694000</v>
      </c>
      <c r="P395" s="10"/>
      <c r="Q395" s="67">
        <f ca="1">IFERROR(__xludf.DUMMYFUNCTION("""COMPUTED_VALUE"""),45473)</f>
        <v>45473</v>
      </c>
    </row>
    <row r="396" spans="1:17" ht="12.5">
      <c r="A396" s="11">
        <f t="array" aca="1" ref="A396" ca="1">INDEX('Database Mitra'!$R$2:$R1001,MATCH(C396,'Database Mitra'!$B$2:$B1001,0))</f>
        <v>33318</v>
      </c>
      <c r="B396" s="10" t="e">
        <f t="shared" ca="1" si="0"/>
        <v>#NAME?</v>
      </c>
      <c r="C396" s="83">
        <f ca="1">IFERROR(__xludf.DUMMYFUNCTION("""COMPUTED_VALUE"""),610423040014)</f>
        <v>610423040014</v>
      </c>
      <c r="D396" s="10" t="str">
        <f ca="1">IFERROR(__xludf.DUMMYFUNCTION("""COMPUTED_VALUE"""),"SEP24-LAPANGAN")</f>
        <v>SEP24-LAPANGAN</v>
      </c>
      <c r="E396" s="10"/>
      <c r="F396" s="10">
        <f ca="1">IFERROR(__xludf.DUMMYFUNCTION("""COMPUTED_VALUE"""),1)</f>
        <v>1</v>
      </c>
      <c r="G396" s="10" t="str">
        <f ca="1">IFERROR(__xludf.DUMMYFUNCTION("""COMPUTED_VALUE"""),"Fransiska Romana")</f>
        <v>Fransiska Romana</v>
      </c>
      <c r="H396" s="10" t="str">
        <f ca="1">IFERROR(__xludf.DUMMYFUNCTION("""COMPUTED_VALUE"""),"PPL")</f>
        <v>PPL</v>
      </c>
      <c r="I396" s="10" t="str">
        <f ca="1">IFERROR(__xludf.DUMMYFUNCTION("""COMPUTED_VALUE"""),"6107036103910001")</f>
        <v>6107036103910001</v>
      </c>
      <c r="J396" s="10" t="str">
        <f ca="1">IFERROR(__xludf.DUMMYFUNCTION("""COMPUTED_VALUE"""),"OB")</f>
        <v>OB</v>
      </c>
      <c r="K396" s="10" t="str">
        <f ca="1">IFERROR(__xludf.DUMMYFUNCTION("""COMPUTED_VALUE"""),"SEP24-LAPANGAN-PPL-PENDATAAN")</f>
        <v>SEP24-LAPANGAN-PPL-PENDATAAN</v>
      </c>
      <c r="L396" s="10" t="str">
        <f ca="1">IFERROR(__xludf.DUMMYFUNCTION("""COMPUTED_VALUE"""),"OB")</f>
        <v>OB</v>
      </c>
      <c r="M396" s="66">
        <f ca="1">IFERROR(__xludf.DUMMYFUNCTION("""COMPUTED_VALUE"""),4694000)</f>
        <v>4694000</v>
      </c>
      <c r="N396" s="10">
        <f ca="1">IFERROR(__xludf.DUMMYFUNCTION("""COMPUTED_VALUE"""),1)</f>
        <v>1</v>
      </c>
      <c r="O396" s="10">
        <f ca="1">IFERROR(__xludf.DUMMYFUNCTION("""COMPUTED_VALUE"""),4694000)</f>
        <v>4694000</v>
      </c>
      <c r="P396" s="10"/>
      <c r="Q396" s="67">
        <f ca="1">IFERROR(__xludf.DUMMYFUNCTION("""COMPUTED_VALUE"""),45473)</f>
        <v>45473</v>
      </c>
    </row>
    <row r="397" spans="1:17" ht="12.5">
      <c r="A397" s="82">
        <f t="array" aca="1" ref="A397" ca="1">INDEX('Database Mitra'!$R$2:$R1001,MATCH(C397,'Database Mitra'!$B$2:$B1001,0))</f>
        <v>36546</v>
      </c>
      <c r="B397" s="10" t="e">
        <f t="shared" ca="1" si="0"/>
        <v>#NAME?</v>
      </c>
      <c r="C397" s="83">
        <f ca="1">IFERROR(__xludf.DUMMYFUNCTION("""COMPUTED_VALUE"""),610423040013)</f>
        <v>610423040013</v>
      </c>
      <c r="D397" s="10" t="str">
        <f ca="1">IFERROR(__xludf.DUMMYFUNCTION("""COMPUTED_VALUE"""),"SEP24-LAPANGAN")</f>
        <v>SEP24-LAPANGAN</v>
      </c>
      <c r="E397" s="10"/>
      <c r="F397" s="10">
        <f ca="1">IFERROR(__xludf.DUMMYFUNCTION("""COMPUTED_VALUE"""),1)</f>
        <v>1</v>
      </c>
      <c r="G397" s="10" t="str">
        <f ca="1">IFERROR(__xludf.DUMMYFUNCTION("""COMPUTED_VALUE"""),"Lulu Gesti Gunawati")</f>
        <v>Lulu Gesti Gunawati</v>
      </c>
      <c r="H397" s="10" t="str">
        <f ca="1">IFERROR(__xludf.DUMMYFUNCTION("""COMPUTED_VALUE"""),"PPL")</f>
        <v>PPL</v>
      </c>
      <c r="I397" s="10" t="str">
        <f ca="1">IFERROR(__xludf.DUMMYFUNCTION("""COMPUTED_VALUE"""),"3314066101000001")</f>
        <v>3314066101000001</v>
      </c>
      <c r="J397" s="10" t="str">
        <f ca="1">IFERROR(__xludf.DUMMYFUNCTION("""COMPUTED_VALUE"""),"OB")</f>
        <v>OB</v>
      </c>
      <c r="K397" s="10" t="str">
        <f ca="1">IFERROR(__xludf.DUMMYFUNCTION("""COMPUTED_VALUE"""),"SEP24-LAPANGAN-PPL-PENDATAAN")</f>
        <v>SEP24-LAPANGAN-PPL-PENDATAAN</v>
      </c>
      <c r="L397" s="10" t="str">
        <f ca="1">IFERROR(__xludf.DUMMYFUNCTION("""COMPUTED_VALUE"""),"OB")</f>
        <v>OB</v>
      </c>
      <c r="M397" s="66">
        <f ca="1">IFERROR(__xludf.DUMMYFUNCTION("""COMPUTED_VALUE"""),4694000)</f>
        <v>4694000</v>
      </c>
      <c r="N397" s="10">
        <f ca="1">IFERROR(__xludf.DUMMYFUNCTION("""COMPUTED_VALUE"""),1)</f>
        <v>1</v>
      </c>
      <c r="O397" s="10">
        <f ca="1">IFERROR(__xludf.DUMMYFUNCTION("""COMPUTED_VALUE"""),4694000)</f>
        <v>4694000</v>
      </c>
      <c r="P397" s="10"/>
      <c r="Q397" s="67">
        <f ca="1">IFERROR(__xludf.DUMMYFUNCTION("""COMPUTED_VALUE"""),45473)</f>
        <v>45473</v>
      </c>
    </row>
    <row r="398" spans="1:17" ht="12.5">
      <c r="A398" s="82">
        <f t="array" aca="1" ref="A398" ca="1">INDEX('Database Mitra'!$R$2:$R1001,MATCH(C398,'Database Mitra'!$B$2:$B1001,0))</f>
        <v>32409</v>
      </c>
      <c r="B398" s="10" t="e">
        <f t="shared" ca="1" si="0"/>
        <v>#NAME?</v>
      </c>
      <c r="C398" s="83">
        <f ca="1">IFERROR(__xludf.DUMMYFUNCTION("""COMPUTED_VALUE"""),610423040018)</f>
        <v>610423040018</v>
      </c>
      <c r="D398" s="10" t="str">
        <f ca="1">IFERROR(__xludf.DUMMYFUNCTION("""COMPUTED_VALUE"""),"SEP24-LAPANGAN")</f>
        <v>SEP24-LAPANGAN</v>
      </c>
      <c r="E398" s="10"/>
      <c r="F398" s="10">
        <f ca="1">IFERROR(__xludf.DUMMYFUNCTION("""COMPUTED_VALUE"""),1)</f>
        <v>1</v>
      </c>
      <c r="G398" s="10" t="str">
        <f ca="1">IFERROR(__xludf.DUMMYFUNCTION("""COMPUTED_VALUE"""),"Handoko Tuah Sabarman Sipayung")</f>
        <v>Handoko Tuah Sabarman Sipayung</v>
      </c>
      <c r="H398" s="10" t="str">
        <f ca="1">IFERROR(__xludf.DUMMYFUNCTION("""COMPUTED_VALUE"""),"PPL")</f>
        <v>PPL</v>
      </c>
      <c r="I398" s="10" t="str">
        <f ca="1">IFERROR(__xludf.DUMMYFUNCTION("""COMPUTED_VALUE"""),"1212092309880001")</f>
        <v>1212092309880001</v>
      </c>
      <c r="J398" s="10" t="str">
        <f ca="1">IFERROR(__xludf.DUMMYFUNCTION("""COMPUTED_VALUE"""),"OB")</f>
        <v>OB</v>
      </c>
      <c r="K398" s="10" t="str">
        <f ca="1">IFERROR(__xludf.DUMMYFUNCTION("""COMPUTED_VALUE"""),"SEP24-LAPANGAN-PPL-PENDATAAN")</f>
        <v>SEP24-LAPANGAN-PPL-PENDATAAN</v>
      </c>
      <c r="L398" s="10" t="str">
        <f ca="1">IFERROR(__xludf.DUMMYFUNCTION("""COMPUTED_VALUE"""),"OB")</f>
        <v>OB</v>
      </c>
      <c r="M398" s="66">
        <f ca="1">IFERROR(__xludf.DUMMYFUNCTION("""COMPUTED_VALUE"""),4694000)</f>
        <v>4694000</v>
      </c>
      <c r="N398" s="10">
        <f ca="1">IFERROR(__xludf.DUMMYFUNCTION("""COMPUTED_VALUE"""),1)</f>
        <v>1</v>
      </c>
      <c r="O398" s="10">
        <f ca="1">IFERROR(__xludf.DUMMYFUNCTION("""COMPUTED_VALUE"""),4694000)</f>
        <v>4694000</v>
      </c>
      <c r="P398" s="10"/>
      <c r="Q398" s="67">
        <f ca="1">IFERROR(__xludf.DUMMYFUNCTION("""COMPUTED_VALUE"""),45473)</f>
        <v>45473</v>
      </c>
    </row>
    <row r="399" spans="1:17" ht="12.5">
      <c r="A399" s="82">
        <f t="array" aca="1" ref="A399" ca="1">INDEX('Database Mitra'!$R$2:$R1001,MATCH(C399,'Database Mitra'!$B$2:$B1001,0))</f>
        <v>36154</v>
      </c>
      <c r="B399" s="10" t="e">
        <f t="shared" ca="1" si="0"/>
        <v>#NAME?</v>
      </c>
      <c r="C399" s="83">
        <f ca="1">IFERROR(__xludf.DUMMYFUNCTION("""COMPUTED_VALUE"""),610422100108)</f>
        <v>610422100108</v>
      </c>
      <c r="D399" s="10" t="str">
        <f ca="1">IFERROR(__xludf.DUMMYFUNCTION("""COMPUTED_VALUE"""),"SEP24-PENGOLAHAN")</f>
        <v>SEP24-PENGOLAHAN</v>
      </c>
      <c r="E399" s="10"/>
      <c r="F399" s="10">
        <f ca="1">IFERROR(__xludf.DUMMYFUNCTION("""COMPUTED_VALUE"""),1)</f>
        <v>1</v>
      </c>
      <c r="G399" s="10" t="str">
        <f ca="1">IFERROR(__xludf.DUMMYFUNCTION("""COMPUTED_VALUE"""),"Ermi Tiyarni")</f>
        <v>Ermi Tiyarni</v>
      </c>
      <c r="H399" s="10" t="str">
        <f ca="1">IFERROR(__xludf.DUMMYFUNCTION("""COMPUTED_VALUE"""),"PETUGAS ENTRI")</f>
        <v>PETUGAS ENTRI</v>
      </c>
      <c r="I399" s="10" t="str">
        <f ca="1">IFERROR(__xludf.DUMMYFUNCTION("""COMPUTED_VALUE"""),"6102016512980004")</f>
        <v>6102016512980004</v>
      </c>
      <c r="J399" s="10" t="str">
        <f ca="1">IFERROR(__xludf.DUMMYFUNCTION("""COMPUTED_VALUE"""),"PENGOLAHAN")</f>
        <v>PENGOLAHAN</v>
      </c>
      <c r="K399" s="10" t="str">
        <f ca="1">IFERROR(__xludf.DUMMYFUNCTION("""COMPUTED_VALUE"""),"SEP24-PENGOLAHAN-PETUGAS ENTRI-PENDATAAN")</f>
        <v>SEP24-PENGOLAHAN-PETUGAS ENTRI-PENDATAAN</v>
      </c>
      <c r="L399" s="10" t="str">
        <f ca="1">IFERROR(__xludf.DUMMYFUNCTION("""COMPUTED_VALUE"""),"OB")</f>
        <v>OB</v>
      </c>
      <c r="M399" s="66">
        <f ca="1">IFERROR(__xludf.DUMMYFUNCTION("""COMPUTED_VALUE"""),3298000)</f>
        <v>3298000</v>
      </c>
      <c r="N399" s="10">
        <f ca="1">IFERROR(__xludf.DUMMYFUNCTION("""COMPUTED_VALUE"""),1)</f>
        <v>1</v>
      </c>
      <c r="O399" s="10">
        <f ca="1">IFERROR(__xludf.DUMMYFUNCTION("""COMPUTED_VALUE"""),3298000)</f>
        <v>3298000</v>
      </c>
      <c r="P399" s="10"/>
      <c r="Q399" s="67">
        <f ca="1">IFERROR(__xludf.DUMMYFUNCTION("""COMPUTED_VALUE"""),45476)</f>
        <v>45476</v>
      </c>
    </row>
    <row r="400" spans="1:17" ht="12.5">
      <c r="A400" s="82">
        <f t="array" aca="1" ref="A400" ca="1">INDEX('Database Mitra'!$R$2:$R1001,MATCH(C400,'Database Mitra'!$B$2:$B1001,0))</f>
        <v>35601</v>
      </c>
      <c r="B400" s="10" t="e">
        <f t="shared" ca="1" si="0"/>
        <v>#NAME?</v>
      </c>
      <c r="C400" s="83">
        <f ca="1">IFERROR(__xludf.DUMMYFUNCTION("""COMPUTED_VALUE"""),610422100083)</f>
        <v>610422100083</v>
      </c>
      <c r="D400" s="10" t="str">
        <f ca="1">IFERROR(__xludf.DUMMYFUNCTION("""COMPUTED_VALUE"""),"SEP24-PENGOLAHAN")</f>
        <v>SEP24-PENGOLAHAN</v>
      </c>
      <c r="E400" s="10"/>
      <c r="F400" s="10">
        <f ca="1">IFERROR(__xludf.DUMMYFUNCTION("""COMPUTED_VALUE"""),1)</f>
        <v>1</v>
      </c>
      <c r="G400" s="10" t="str">
        <f ca="1">IFERROR(__xludf.DUMMYFUNCTION("""COMPUTED_VALUE"""),"Ilham Subagio")</f>
        <v>Ilham Subagio</v>
      </c>
      <c r="H400" s="10" t="str">
        <f ca="1">IFERROR(__xludf.DUMMYFUNCTION("""COMPUTED_VALUE"""),"PETUGAS ENTRI")</f>
        <v>PETUGAS ENTRI</v>
      </c>
      <c r="I400" s="10" t="str">
        <f ca="1">IFERROR(__xludf.DUMMYFUNCTION("""COMPUTED_VALUE"""),"6102012006970002")</f>
        <v>6102012006970002</v>
      </c>
      <c r="J400" s="10" t="str">
        <f ca="1">IFERROR(__xludf.DUMMYFUNCTION("""COMPUTED_VALUE"""),"PENGOLAHAN")</f>
        <v>PENGOLAHAN</v>
      </c>
      <c r="K400" s="10" t="str">
        <f ca="1">IFERROR(__xludf.DUMMYFUNCTION("""COMPUTED_VALUE"""),"SEP24-PENGOLAHAN-PETUGAS ENTRI-PENDATAAN")</f>
        <v>SEP24-PENGOLAHAN-PETUGAS ENTRI-PENDATAAN</v>
      </c>
      <c r="L400" s="10" t="str">
        <f ca="1">IFERROR(__xludf.DUMMYFUNCTION("""COMPUTED_VALUE"""),"OB")</f>
        <v>OB</v>
      </c>
      <c r="M400" s="66">
        <f ca="1">IFERROR(__xludf.DUMMYFUNCTION("""COMPUTED_VALUE"""),3298000)</f>
        <v>3298000</v>
      </c>
      <c r="N400" s="10">
        <f ca="1">IFERROR(__xludf.DUMMYFUNCTION("""COMPUTED_VALUE"""),1)</f>
        <v>1</v>
      </c>
      <c r="O400" s="10">
        <f ca="1">IFERROR(__xludf.DUMMYFUNCTION("""COMPUTED_VALUE"""),3298000)</f>
        <v>3298000</v>
      </c>
      <c r="P400" s="10"/>
      <c r="Q400" s="67">
        <f ca="1">IFERROR(__xludf.DUMMYFUNCTION("""COMPUTED_VALUE"""),45476)</f>
        <v>45476</v>
      </c>
    </row>
    <row r="401" spans="1:17" ht="12.5">
      <c r="A401" s="82">
        <f t="array" aca="1" ref="A401" ca="1">INDEX('Database Mitra'!$R$2:$R1001,MATCH(C401,'Database Mitra'!$B$2:$B1001,0))</f>
        <v>37161</v>
      </c>
      <c r="B401" s="10" t="e">
        <f t="shared" ca="1" si="0"/>
        <v>#NAME?</v>
      </c>
      <c r="C401" s="83">
        <f ca="1">IFERROR(__xludf.DUMMYFUNCTION("""COMPUTED_VALUE"""),610423040016)</f>
        <v>610423040016</v>
      </c>
      <c r="D401" s="10" t="str">
        <f ca="1">IFERROR(__xludf.DUMMYFUNCTION("""COMPUTED_VALUE"""),"SEP24-PENGOLAHAN")</f>
        <v>SEP24-PENGOLAHAN</v>
      </c>
      <c r="E401" s="10"/>
      <c r="F401" s="10">
        <f ca="1">IFERROR(__xludf.DUMMYFUNCTION("""COMPUTED_VALUE"""),1)</f>
        <v>1</v>
      </c>
      <c r="G401" s="10" t="str">
        <f ca="1">IFERROR(__xludf.DUMMYFUNCTION("""COMPUTED_VALUE"""),"Fairuztia Atiqah Putri")</f>
        <v>Fairuztia Atiqah Putri</v>
      </c>
      <c r="H401" s="10" t="str">
        <f ca="1">IFERROR(__xludf.DUMMYFUNCTION("""COMPUTED_VALUE"""),"PETUGAS ENTRI")</f>
        <v>PETUGAS ENTRI</v>
      </c>
      <c r="I401" s="10" t="str">
        <f ca="1">IFERROR(__xludf.DUMMYFUNCTION("""COMPUTED_VALUE"""),"6102016709010003")</f>
        <v>6102016709010003</v>
      </c>
      <c r="J401" s="10" t="str">
        <f ca="1">IFERROR(__xludf.DUMMYFUNCTION("""COMPUTED_VALUE"""),"PENGOLAHAN")</f>
        <v>PENGOLAHAN</v>
      </c>
      <c r="K401" s="10" t="str">
        <f ca="1">IFERROR(__xludf.DUMMYFUNCTION("""COMPUTED_VALUE"""),"SEP24-PENGOLAHAN-PETUGAS ENTRI-PENDATAAN")</f>
        <v>SEP24-PENGOLAHAN-PETUGAS ENTRI-PENDATAAN</v>
      </c>
      <c r="L401" s="10" t="str">
        <f ca="1">IFERROR(__xludf.DUMMYFUNCTION("""COMPUTED_VALUE"""),"OB")</f>
        <v>OB</v>
      </c>
      <c r="M401" s="66">
        <f ca="1">IFERROR(__xludf.DUMMYFUNCTION("""COMPUTED_VALUE"""),3298000)</f>
        <v>3298000</v>
      </c>
      <c r="N401" s="10">
        <f ca="1">IFERROR(__xludf.DUMMYFUNCTION("""COMPUTED_VALUE"""),1)</f>
        <v>1</v>
      </c>
      <c r="O401" s="10">
        <f ca="1">IFERROR(__xludf.DUMMYFUNCTION("""COMPUTED_VALUE"""),3298000)</f>
        <v>3298000</v>
      </c>
      <c r="P401" s="10"/>
      <c r="Q401" s="67">
        <f ca="1">IFERROR(__xludf.DUMMYFUNCTION("""COMPUTED_VALUE"""),45476)</f>
        <v>45476</v>
      </c>
    </row>
    <row r="402" spans="1:17" ht="12.5">
      <c r="A402" s="82">
        <f t="array" aca="1" ref="A402" ca="1">INDEX('Database Mitra'!$R$2:$R1001,MATCH(C402,'Database Mitra'!$B$2:$B1001,0))</f>
        <v>37531</v>
      </c>
      <c r="B402" s="10" t="e">
        <f t="shared" ca="1" si="0"/>
        <v>#NAME?</v>
      </c>
      <c r="C402" s="83">
        <f ca="1">IFERROR(__xludf.DUMMYFUNCTION("""COMPUTED_VALUE"""),610422100016)</f>
        <v>610422100016</v>
      </c>
      <c r="D402" s="10" t="str">
        <f ca="1">IFERROR(__xludf.DUMMYFUNCTION("""COMPUTED_VALUE"""),"SEP24-PENGOLAHAN")</f>
        <v>SEP24-PENGOLAHAN</v>
      </c>
      <c r="E402" s="10"/>
      <c r="F402" s="10">
        <f ca="1">IFERROR(__xludf.DUMMYFUNCTION("""COMPUTED_VALUE"""),1)</f>
        <v>1</v>
      </c>
      <c r="G402" s="10" t="str">
        <f ca="1">IFERROR(__xludf.DUMMYFUNCTION("""COMPUTED_VALUE"""),"Amalia Faisya")</f>
        <v>Amalia Faisya</v>
      </c>
      <c r="H402" s="10" t="str">
        <f ca="1">IFERROR(__xludf.DUMMYFUNCTION("""COMPUTED_VALUE"""),"PETUGAS ENTRI")</f>
        <v>PETUGAS ENTRI</v>
      </c>
      <c r="I402" s="10" t="str">
        <f ca="1">IFERROR(__xludf.DUMMYFUNCTION("""COMPUTED_VALUE"""),"6102124210010005")</f>
        <v>6102124210010005</v>
      </c>
      <c r="J402" s="10" t="str">
        <f ca="1">IFERROR(__xludf.DUMMYFUNCTION("""COMPUTED_VALUE"""),"PENGOLAHAN")</f>
        <v>PENGOLAHAN</v>
      </c>
      <c r="K402" s="10" t="str">
        <f ca="1">IFERROR(__xludf.DUMMYFUNCTION("""COMPUTED_VALUE"""),"SEP24-PENGOLAHAN-PETUGAS ENTRI-PENDATAAN")</f>
        <v>SEP24-PENGOLAHAN-PETUGAS ENTRI-PENDATAAN</v>
      </c>
      <c r="L402" s="10" t="str">
        <f ca="1">IFERROR(__xludf.DUMMYFUNCTION("""COMPUTED_VALUE"""),"OB")</f>
        <v>OB</v>
      </c>
      <c r="M402" s="66">
        <f ca="1">IFERROR(__xludf.DUMMYFUNCTION("""COMPUTED_VALUE"""),3298000)</f>
        <v>3298000</v>
      </c>
      <c r="N402" s="10">
        <f ca="1">IFERROR(__xludf.DUMMYFUNCTION("""COMPUTED_VALUE"""),1)</f>
        <v>1</v>
      </c>
      <c r="O402" s="10">
        <f ca="1">IFERROR(__xludf.DUMMYFUNCTION("""COMPUTED_VALUE"""),3298000)</f>
        <v>3298000</v>
      </c>
      <c r="P402" s="10"/>
      <c r="Q402" s="67">
        <f ca="1">IFERROR(__xludf.DUMMYFUNCTION("""COMPUTED_VALUE"""),45476)</f>
        <v>45476</v>
      </c>
    </row>
    <row r="403" spans="1:17" ht="12.5">
      <c r="A403" s="82">
        <f t="array" aca="1" ref="A403" ca="1">INDEX('Database Mitra'!$R$2:$R1001,MATCH(C403,'Database Mitra'!$B$2:$B1001,0))</f>
        <v>34191</v>
      </c>
      <c r="B403" s="10" t="e">
        <f t="shared" ca="1" si="0"/>
        <v>#NAME?</v>
      </c>
      <c r="C403" s="83">
        <f ca="1">IFERROR(__xludf.DUMMYFUNCTION("""COMPUTED_VALUE"""),610423040004)</f>
        <v>610423040004</v>
      </c>
      <c r="D403" s="10" t="str">
        <f ca="1">IFERROR(__xludf.DUMMYFUNCTION("""COMPUTED_VALUE"""),"SERUTI24-LAPANGAN-TRI2")</f>
        <v>SERUTI24-LAPANGAN-TRI2</v>
      </c>
      <c r="E403" s="10"/>
      <c r="F403" s="10">
        <f ca="1">IFERROR(__xludf.DUMMYFUNCTION("""COMPUTED_VALUE"""),1)</f>
        <v>1</v>
      </c>
      <c r="G403" s="10" t="str">
        <f ca="1">IFERROR(__xludf.DUMMYFUNCTION("""COMPUTED_VALUE"""),"Ayu Agustin")</f>
        <v>Ayu Agustin</v>
      </c>
      <c r="H403" s="10" t="str">
        <f ca="1">IFERROR(__xludf.DUMMYFUNCTION("""COMPUTED_VALUE"""),"PPL")</f>
        <v>PPL</v>
      </c>
      <c r="I403" s="10" t="str">
        <f ca="1">IFERROR(__xludf.DUMMYFUNCTION("""COMPUTED_VALUE"""),"6111025008930002")</f>
        <v>6111025008930002</v>
      </c>
      <c r="J403" s="10" t="str">
        <f ca="1">IFERROR(__xludf.DUMMYFUNCTION("""COMPUTED_VALUE"""),"PENDATAAN")</f>
        <v>PENDATAAN</v>
      </c>
      <c r="K403" s="10" t="str">
        <f ca="1">IFERROR(__xludf.DUMMYFUNCTION("""COMPUTED_VALUE"""),"SERUTI24-LAPANGAN-TRI2-PPL-PENDATAAN")</f>
        <v>SERUTI24-LAPANGAN-TRI2-PPL-PENDATAAN</v>
      </c>
      <c r="L403" s="10" t="str">
        <f ca="1">IFERROR(__xludf.DUMMYFUNCTION("""COMPUTED_VALUE"""),"Dokumen")</f>
        <v>Dokumen</v>
      </c>
      <c r="M403" s="66">
        <f ca="1">IFERROR(__xludf.DUMMYFUNCTION("""COMPUTED_VALUE"""),91000)</f>
        <v>91000</v>
      </c>
      <c r="N403" s="10">
        <f ca="1">IFERROR(__xludf.DUMMYFUNCTION("""COMPUTED_VALUE"""),10)</f>
        <v>10</v>
      </c>
      <c r="O403" s="10">
        <f ca="1">IFERROR(__xludf.DUMMYFUNCTION("""COMPUTED_VALUE"""),910000)</f>
        <v>910000</v>
      </c>
      <c r="P403" s="10"/>
      <c r="Q403" s="67">
        <f ca="1">IFERROR(__xludf.DUMMYFUNCTION("""COMPUTED_VALUE"""),45482)</f>
        <v>45482</v>
      </c>
    </row>
    <row r="404" spans="1:17" ht="12.5">
      <c r="A404" s="82">
        <f t="array" aca="1" ref="A404" ca="1">INDEX('Database Mitra'!$R$2:$R1001,MATCH(C404,'Database Mitra'!$B$2:$B1001,0))</f>
        <v>36460</v>
      </c>
      <c r="B404" s="10" t="e">
        <f t="shared" ca="1" si="0"/>
        <v>#NAME?</v>
      </c>
      <c r="C404" s="83">
        <f ca="1">IFERROR(__xludf.DUMMYFUNCTION("""COMPUTED_VALUE"""),610422100144)</f>
        <v>610422100144</v>
      </c>
      <c r="D404" s="10" t="str">
        <f ca="1">IFERROR(__xludf.DUMMYFUNCTION("""COMPUTED_VALUE"""),"SERUTI24-LAPANGAN-TRI2")</f>
        <v>SERUTI24-LAPANGAN-TRI2</v>
      </c>
      <c r="E404" s="10"/>
      <c r="F404" s="10">
        <f ca="1">IFERROR(__xludf.DUMMYFUNCTION("""COMPUTED_VALUE"""),1)</f>
        <v>1</v>
      </c>
      <c r="G404" s="10" t="str">
        <f ca="1">IFERROR(__xludf.DUMMYFUNCTION("""COMPUTED_VALUE"""),"Irfan Faozi Sunaryo")</f>
        <v>Irfan Faozi Sunaryo</v>
      </c>
      <c r="H404" s="10" t="str">
        <f ca="1">IFERROR(__xludf.DUMMYFUNCTION("""COMPUTED_VALUE"""),"PPL")</f>
        <v>PPL</v>
      </c>
      <c r="I404" s="10" t="str">
        <f ca="1">IFERROR(__xludf.DUMMYFUNCTION("""COMPUTED_VALUE"""),"6102122710990001")</f>
        <v>6102122710990001</v>
      </c>
      <c r="J404" s="10" t="str">
        <f ca="1">IFERROR(__xludf.DUMMYFUNCTION("""COMPUTED_VALUE"""),"PENDATAAN")</f>
        <v>PENDATAAN</v>
      </c>
      <c r="K404" s="10" t="str">
        <f ca="1">IFERROR(__xludf.DUMMYFUNCTION("""COMPUTED_VALUE"""),"SERUTI24-LAPANGAN-TRI2-PPL-PENDATAAN")</f>
        <v>SERUTI24-LAPANGAN-TRI2-PPL-PENDATAAN</v>
      </c>
      <c r="L404" s="10" t="str">
        <f ca="1">IFERROR(__xludf.DUMMYFUNCTION("""COMPUTED_VALUE"""),"Dokumen")</f>
        <v>Dokumen</v>
      </c>
      <c r="M404" s="66">
        <f ca="1">IFERROR(__xludf.DUMMYFUNCTION("""COMPUTED_VALUE"""),91000)</f>
        <v>91000</v>
      </c>
      <c r="N404" s="10">
        <f ca="1">IFERROR(__xludf.DUMMYFUNCTION("""COMPUTED_VALUE"""),10)</f>
        <v>10</v>
      </c>
      <c r="O404" s="10">
        <f ca="1">IFERROR(__xludf.DUMMYFUNCTION("""COMPUTED_VALUE"""),910000)</f>
        <v>910000</v>
      </c>
      <c r="P404" s="10"/>
      <c r="Q404" s="67">
        <f ca="1">IFERROR(__xludf.DUMMYFUNCTION("""COMPUTED_VALUE"""),45482)</f>
        <v>45482</v>
      </c>
    </row>
    <row r="405" spans="1:17" ht="12.5">
      <c r="A405" s="82">
        <f t="array" aca="1" ref="A405" ca="1">INDEX('Database Mitra'!$R$2:$R1001,MATCH(C405,'Database Mitra'!$B$2:$B1001,0))</f>
        <v>32184</v>
      </c>
      <c r="B405" s="10" t="e">
        <f t="shared" ca="1" si="0"/>
        <v>#NAME?</v>
      </c>
      <c r="C405" s="83">
        <f ca="1">IFERROR(__xludf.DUMMYFUNCTION("""COMPUTED_VALUE"""),610422020032)</f>
        <v>610422020032</v>
      </c>
      <c r="D405" s="10" t="str">
        <f ca="1">IFERROR(__xludf.DUMMYFUNCTION("""COMPUTED_VALUE"""),"SERUTI24-LAPANGAN-TRI2")</f>
        <v>SERUTI24-LAPANGAN-TRI2</v>
      </c>
      <c r="E405" s="10"/>
      <c r="F405" s="10">
        <f ca="1">IFERROR(__xludf.DUMMYFUNCTION("""COMPUTED_VALUE"""),1)</f>
        <v>1</v>
      </c>
      <c r="G405" s="10" t="str">
        <f ca="1">IFERROR(__xludf.DUMMYFUNCTION("""COMPUTED_VALUE"""),"Lilis Suryani")</f>
        <v>Lilis Suryani</v>
      </c>
      <c r="H405" s="10" t="str">
        <f ca="1">IFERROR(__xludf.DUMMYFUNCTION("""COMPUTED_VALUE"""),"PPL")</f>
        <v>PPL</v>
      </c>
      <c r="I405" s="10" t="str">
        <f ca="1">IFERROR(__xludf.DUMMYFUNCTION("""COMPUTED_VALUE"""),"6102185102880001")</f>
        <v>6102185102880001</v>
      </c>
      <c r="J405" s="10" t="str">
        <f ca="1">IFERROR(__xludf.DUMMYFUNCTION("""COMPUTED_VALUE"""),"PENDATAAN")</f>
        <v>PENDATAAN</v>
      </c>
      <c r="K405" s="10" t="str">
        <f ca="1">IFERROR(__xludf.DUMMYFUNCTION("""COMPUTED_VALUE"""),"SERUTI24-LAPANGAN-TRI2-PPL-PENDATAAN")</f>
        <v>SERUTI24-LAPANGAN-TRI2-PPL-PENDATAAN</v>
      </c>
      <c r="L405" s="10" t="str">
        <f ca="1">IFERROR(__xludf.DUMMYFUNCTION("""COMPUTED_VALUE"""),"Dokumen")</f>
        <v>Dokumen</v>
      </c>
      <c r="M405" s="66">
        <f ca="1">IFERROR(__xludf.DUMMYFUNCTION("""COMPUTED_VALUE"""),91000)</f>
        <v>91000</v>
      </c>
      <c r="N405" s="10">
        <f ca="1">IFERROR(__xludf.DUMMYFUNCTION("""COMPUTED_VALUE"""),10)</f>
        <v>10</v>
      </c>
      <c r="O405" s="10">
        <f ca="1">IFERROR(__xludf.DUMMYFUNCTION("""COMPUTED_VALUE"""),910000)</f>
        <v>910000</v>
      </c>
      <c r="P405" s="10"/>
      <c r="Q405" s="67">
        <f ca="1">IFERROR(__xludf.DUMMYFUNCTION("""COMPUTED_VALUE"""),45482)</f>
        <v>45482</v>
      </c>
    </row>
    <row r="406" spans="1:17" ht="12.5">
      <c r="A406" s="82">
        <f t="array" aca="1" ref="A406" ca="1">INDEX('Database Mitra'!$R$2:$R1001,MATCH(C406,'Database Mitra'!$B$2:$B1001,0))</f>
        <v>31275</v>
      </c>
      <c r="B406" s="10" t="e">
        <f t="shared" ca="1" si="0"/>
        <v>#NAME?</v>
      </c>
      <c r="C406" s="83">
        <f ca="1">IFERROR(__xludf.DUMMYFUNCTION("""COMPUTED_VALUE"""),610422100085)</f>
        <v>610422100085</v>
      </c>
      <c r="D406" s="10" t="str">
        <f ca="1">IFERROR(__xludf.DUMMYFUNCTION("""COMPUTED_VALUE"""),"SERUTI24-LAPANGAN-TRI2")</f>
        <v>SERUTI24-LAPANGAN-TRI2</v>
      </c>
      <c r="E406" s="10"/>
      <c r="F406" s="10">
        <f ca="1">IFERROR(__xludf.DUMMYFUNCTION("""COMPUTED_VALUE"""),1)</f>
        <v>1</v>
      </c>
      <c r="G406" s="10" t="str">
        <f ca="1">IFERROR(__xludf.DUMMYFUNCTION("""COMPUTED_VALUE"""),"Lina Agustin Widya Siwi")</f>
        <v>Lina Agustin Widya Siwi</v>
      </c>
      <c r="H406" s="10" t="str">
        <f ca="1">IFERROR(__xludf.DUMMYFUNCTION("""COMPUTED_VALUE"""),"PPL")</f>
        <v>PPL</v>
      </c>
      <c r="I406" s="10" t="str">
        <f ca="1">IFERROR(__xludf.DUMMYFUNCTION("""COMPUTED_VALUE"""),"3301225608850001")</f>
        <v>3301225608850001</v>
      </c>
      <c r="J406" s="10" t="str">
        <f ca="1">IFERROR(__xludf.DUMMYFUNCTION("""COMPUTED_VALUE"""),"PENDATAAN")</f>
        <v>PENDATAAN</v>
      </c>
      <c r="K406" s="10" t="str">
        <f ca="1">IFERROR(__xludf.DUMMYFUNCTION("""COMPUTED_VALUE"""),"SERUTI24-LAPANGAN-TRI2-PPL-PENDATAAN")</f>
        <v>SERUTI24-LAPANGAN-TRI2-PPL-PENDATAAN</v>
      </c>
      <c r="L406" s="10" t="str">
        <f ca="1">IFERROR(__xludf.DUMMYFUNCTION("""COMPUTED_VALUE"""),"Dokumen")</f>
        <v>Dokumen</v>
      </c>
      <c r="M406" s="66">
        <f ca="1">IFERROR(__xludf.DUMMYFUNCTION("""COMPUTED_VALUE"""),91000)</f>
        <v>91000</v>
      </c>
      <c r="N406" s="10">
        <f ca="1">IFERROR(__xludf.DUMMYFUNCTION("""COMPUTED_VALUE"""),10)</f>
        <v>10</v>
      </c>
      <c r="O406" s="10">
        <f ca="1">IFERROR(__xludf.DUMMYFUNCTION("""COMPUTED_VALUE"""),910000)</f>
        <v>910000</v>
      </c>
      <c r="P406" s="10"/>
      <c r="Q406" s="67">
        <f ca="1">IFERROR(__xludf.DUMMYFUNCTION("""COMPUTED_VALUE"""),45482)</f>
        <v>45482</v>
      </c>
    </row>
    <row r="407" spans="1:17" ht="12.5">
      <c r="A407" s="82">
        <f t="array" aca="1" ref="A407" ca="1">INDEX('Database Mitra'!$R$2:$R1001,MATCH(C407,'Database Mitra'!$B$2:$B1001,0))</f>
        <v>36546</v>
      </c>
      <c r="B407" s="10" t="e">
        <f t="shared" ca="1" si="0"/>
        <v>#NAME?</v>
      </c>
      <c r="C407" s="83">
        <f ca="1">IFERROR(__xludf.DUMMYFUNCTION("""COMPUTED_VALUE"""),610423040013)</f>
        <v>610423040013</v>
      </c>
      <c r="D407" s="10" t="str">
        <f ca="1">IFERROR(__xludf.DUMMYFUNCTION("""COMPUTED_VALUE"""),"SERUTI24-LAPANGAN-TRI2")</f>
        <v>SERUTI24-LAPANGAN-TRI2</v>
      </c>
      <c r="E407" s="10"/>
      <c r="F407" s="10">
        <f ca="1">IFERROR(__xludf.DUMMYFUNCTION("""COMPUTED_VALUE"""),1)</f>
        <v>1</v>
      </c>
      <c r="G407" s="10" t="str">
        <f ca="1">IFERROR(__xludf.DUMMYFUNCTION("""COMPUTED_VALUE"""),"Lulu Gesti Gunawati")</f>
        <v>Lulu Gesti Gunawati</v>
      </c>
      <c r="H407" s="10" t="str">
        <f ca="1">IFERROR(__xludf.DUMMYFUNCTION("""COMPUTED_VALUE"""),"PPL")</f>
        <v>PPL</v>
      </c>
      <c r="I407" s="10" t="str">
        <f ca="1">IFERROR(__xludf.DUMMYFUNCTION("""COMPUTED_VALUE"""),"3314066101000001")</f>
        <v>3314066101000001</v>
      </c>
      <c r="J407" s="10" t="str">
        <f ca="1">IFERROR(__xludf.DUMMYFUNCTION("""COMPUTED_VALUE"""),"PENDATAAN")</f>
        <v>PENDATAAN</v>
      </c>
      <c r="K407" s="10" t="str">
        <f ca="1">IFERROR(__xludf.DUMMYFUNCTION("""COMPUTED_VALUE"""),"SERUTI24-LAPANGAN-TRI2-PPL-PENDATAAN")</f>
        <v>SERUTI24-LAPANGAN-TRI2-PPL-PENDATAAN</v>
      </c>
      <c r="L407" s="10" t="str">
        <f ca="1">IFERROR(__xludf.DUMMYFUNCTION("""COMPUTED_VALUE"""),"Dokumen")</f>
        <v>Dokumen</v>
      </c>
      <c r="M407" s="66">
        <f ca="1">IFERROR(__xludf.DUMMYFUNCTION("""COMPUTED_VALUE"""),91000)</f>
        <v>91000</v>
      </c>
      <c r="N407" s="10">
        <f ca="1">IFERROR(__xludf.DUMMYFUNCTION("""COMPUTED_VALUE"""),10)</f>
        <v>10</v>
      </c>
      <c r="O407" s="10">
        <f ca="1">IFERROR(__xludf.DUMMYFUNCTION("""COMPUTED_VALUE"""),910000)</f>
        <v>910000</v>
      </c>
      <c r="P407" s="10"/>
      <c r="Q407" s="67">
        <f ca="1">IFERROR(__xludf.DUMMYFUNCTION("""COMPUTED_VALUE"""),45482)</f>
        <v>45482</v>
      </c>
    </row>
    <row r="408" spans="1:17" ht="12.5">
      <c r="A408" s="82">
        <f t="array" aca="1" ref="A408" ca="1">INDEX('Database Mitra'!$R$2:$R1001,MATCH(C408,'Database Mitra'!$B$2:$B1001,0))</f>
        <v>32027</v>
      </c>
      <c r="B408" s="10" t="e">
        <f t="shared" ca="1" si="0"/>
        <v>#NAME?</v>
      </c>
      <c r="C408" s="83">
        <f ca="1">IFERROR(__xludf.DUMMYFUNCTION("""COMPUTED_VALUE"""),610422100137)</f>
        <v>610422100137</v>
      </c>
      <c r="D408" s="10" t="str">
        <f ca="1">IFERROR(__xludf.DUMMYFUNCTION("""COMPUTED_VALUE"""),"SERUTI24-LAPANGAN-TRI2")</f>
        <v>SERUTI24-LAPANGAN-TRI2</v>
      </c>
      <c r="E408" s="10"/>
      <c r="F408" s="10">
        <f ca="1">IFERROR(__xludf.DUMMYFUNCTION("""COMPUTED_VALUE"""),1)</f>
        <v>1</v>
      </c>
      <c r="G408" s="10" t="str">
        <f ca="1">IFERROR(__xludf.DUMMYFUNCTION("""COMPUTED_VALUE"""),"Masturi")</f>
        <v>Masturi</v>
      </c>
      <c r="H408" s="10" t="str">
        <f ca="1">IFERROR(__xludf.DUMMYFUNCTION("""COMPUTED_VALUE"""),"PPL")</f>
        <v>PPL</v>
      </c>
      <c r="I408" s="10" t="str">
        <f ca="1">IFERROR(__xludf.DUMMYFUNCTION("""COMPUTED_VALUE"""),"6102060709870002")</f>
        <v>6102060709870002</v>
      </c>
      <c r="J408" s="10" t="str">
        <f ca="1">IFERROR(__xludf.DUMMYFUNCTION("""COMPUTED_VALUE"""),"PENDATAAN")</f>
        <v>PENDATAAN</v>
      </c>
      <c r="K408" s="10" t="str">
        <f ca="1">IFERROR(__xludf.DUMMYFUNCTION("""COMPUTED_VALUE"""),"SERUTI24-LAPANGAN-TRI2-PPL-PENDATAAN")</f>
        <v>SERUTI24-LAPANGAN-TRI2-PPL-PENDATAAN</v>
      </c>
      <c r="L408" s="10" t="str">
        <f ca="1">IFERROR(__xludf.DUMMYFUNCTION("""COMPUTED_VALUE"""),"Dokumen")</f>
        <v>Dokumen</v>
      </c>
      <c r="M408" s="66">
        <f ca="1">IFERROR(__xludf.DUMMYFUNCTION("""COMPUTED_VALUE"""),91000)</f>
        <v>91000</v>
      </c>
      <c r="N408" s="10">
        <f ca="1">IFERROR(__xludf.DUMMYFUNCTION("""COMPUTED_VALUE"""),10)</f>
        <v>10</v>
      </c>
      <c r="O408" s="10">
        <f ca="1">IFERROR(__xludf.DUMMYFUNCTION("""COMPUTED_VALUE"""),910000)</f>
        <v>910000</v>
      </c>
      <c r="P408" s="10"/>
      <c r="Q408" s="67">
        <f ca="1">IFERROR(__xludf.DUMMYFUNCTION("""COMPUTED_VALUE"""),45482)</f>
        <v>45482</v>
      </c>
    </row>
    <row r="409" spans="1:17" ht="12.5">
      <c r="A409" s="82">
        <f t="array" aca="1" ref="A409" ca="1">INDEX('Database Mitra'!$R$2:$R1001,MATCH(C409,'Database Mitra'!$B$2:$B1001,0))</f>
        <v>35555</v>
      </c>
      <c r="B409" s="10" t="e">
        <f t="shared" ca="1" si="0"/>
        <v>#NAME?</v>
      </c>
      <c r="C409" s="83">
        <f ca="1">IFERROR(__xludf.DUMMYFUNCTION("""COMPUTED_VALUE"""),610422100256)</f>
        <v>610422100256</v>
      </c>
      <c r="D409" s="10" t="str">
        <f ca="1">IFERROR(__xludf.DUMMYFUNCTION("""COMPUTED_VALUE"""),"SERUTI24-LAPANGAN-TRI2")</f>
        <v>SERUTI24-LAPANGAN-TRI2</v>
      </c>
      <c r="E409" s="10"/>
      <c r="F409" s="10">
        <f ca="1">IFERROR(__xludf.DUMMYFUNCTION("""COMPUTED_VALUE"""),1)</f>
        <v>1</v>
      </c>
      <c r="G409" s="10" t="str">
        <f ca="1">IFERROR(__xludf.DUMMYFUNCTION("""COMPUTED_VALUE"""),"Meta")</f>
        <v>Meta</v>
      </c>
      <c r="H409" s="10" t="str">
        <f ca="1">IFERROR(__xludf.DUMMYFUNCTION("""COMPUTED_VALUE"""),"PPL")</f>
        <v>PPL</v>
      </c>
      <c r="I409" s="10" t="str">
        <f ca="1">IFERROR(__xludf.DUMMYFUNCTION("""COMPUTED_VALUE"""),"6102174505970001")</f>
        <v>6102174505970001</v>
      </c>
      <c r="J409" s="10" t="str">
        <f ca="1">IFERROR(__xludf.DUMMYFUNCTION("""COMPUTED_VALUE"""),"PENDATAAN")</f>
        <v>PENDATAAN</v>
      </c>
      <c r="K409" s="10" t="str">
        <f ca="1">IFERROR(__xludf.DUMMYFUNCTION("""COMPUTED_VALUE"""),"SERUTI24-LAPANGAN-TRI2-PPL-PENDATAAN")</f>
        <v>SERUTI24-LAPANGAN-TRI2-PPL-PENDATAAN</v>
      </c>
      <c r="L409" s="10" t="str">
        <f ca="1">IFERROR(__xludf.DUMMYFUNCTION("""COMPUTED_VALUE"""),"Dokumen")</f>
        <v>Dokumen</v>
      </c>
      <c r="M409" s="66">
        <f ca="1">IFERROR(__xludf.DUMMYFUNCTION("""COMPUTED_VALUE"""),91000)</f>
        <v>91000</v>
      </c>
      <c r="N409" s="10">
        <f ca="1">IFERROR(__xludf.DUMMYFUNCTION("""COMPUTED_VALUE"""),10)</f>
        <v>10</v>
      </c>
      <c r="O409" s="10">
        <f ca="1">IFERROR(__xludf.DUMMYFUNCTION("""COMPUTED_VALUE"""),910000)</f>
        <v>910000</v>
      </c>
      <c r="P409" s="10"/>
      <c r="Q409" s="67">
        <f ca="1">IFERROR(__xludf.DUMMYFUNCTION("""COMPUTED_VALUE"""),45482)</f>
        <v>45482</v>
      </c>
    </row>
    <row r="410" spans="1:17" ht="12.5">
      <c r="A410" s="82">
        <f t="array" aca="1" ref="A410" ca="1">INDEX('Database Mitra'!$R$2:$R1001,MATCH(C410,'Database Mitra'!$B$2:$B1001,0))</f>
        <v>36330</v>
      </c>
      <c r="B410" s="10" t="e">
        <f t="shared" ca="1" si="0"/>
        <v>#NAME?</v>
      </c>
      <c r="C410" s="83">
        <f ca="1">IFERROR(__xludf.DUMMYFUNCTION("""COMPUTED_VALUE"""),610422040050)</f>
        <v>610422040050</v>
      </c>
      <c r="D410" s="10" t="str">
        <f ca="1">IFERROR(__xludf.DUMMYFUNCTION("""COMPUTED_VALUE"""),"SERUTI24-LAPANGAN-TRI2")</f>
        <v>SERUTI24-LAPANGAN-TRI2</v>
      </c>
      <c r="E410" s="10"/>
      <c r="F410" s="10">
        <f ca="1">IFERROR(__xludf.DUMMYFUNCTION("""COMPUTED_VALUE"""),1)</f>
        <v>1</v>
      </c>
      <c r="G410" s="10" t="str">
        <f ca="1">IFERROR(__xludf.DUMMYFUNCTION("""COMPUTED_VALUE"""),"Novita Sari")</f>
        <v>Novita Sari</v>
      </c>
      <c r="H410" s="10" t="str">
        <f ca="1">IFERROR(__xludf.DUMMYFUNCTION("""COMPUTED_VALUE"""),"PPL")</f>
        <v>PPL</v>
      </c>
      <c r="I410" s="10" t="str">
        <f ca="1">IFERROR(__xludf.DUMMYFUNCTION("""COMPUTED_VALUE"""),"6102085906990001")</f>
        <v>6102085906990001</v>
      </c>
      <c r="J410" s="10" t="str">
        <f ca="1">IFERROR(__xludf.DUMMYFUNCTION("""COMPUTED_VALUE"""),"PENDATAAN")</f>
        <v>PENDATAAN</v>
      </c>
      <c r="K410" s="10" t="str">
        <f ca="1">IFERROR(__xludf.DUMMYFUNCTION("""COMPUTED_VALUE"""),"SERUTI24-LAPANGAN-TRI2-PPL-PENDATAAN")</f>
        <v>SERUTI24-LAPANGAN-TRI2-PPL-PENDATAAN</v>
      </c>
      <c r="L410" s="10" t="str">
        <f ca="1">IFERROR(__xludf.DUMMYFUNCTION("""COMPUTED_VALUE"""),"Dokumen")</f>
        <v>Dokumen</v>
      </c>
      <c r="M410" s="66">
        <f ca="1">IFERROR(__xludf.DUMMYFUNCTION("""COMPUTED_VALUE"""),91000)</f>
        <v>91000</v>
      </c>
      <c r="N410" s="10">
        <f ca="1">IFERROR(__xludf.DUMMYFUNCTION("""COMPUTED_VALUE"""),10)</f>
        <v>10</v>
      </c>
      <c r="O410" s="10">
        <f ca="1">IFERROR(__xludf.DUMMYFUNCTION("""COMPUTED_VALUE"""),910000)</f>
        <v>910000</v>
      </c>
      <c r="P410" s="10"/>
      <c r="Q410" s="67">
        <f ca="1">IFERROR(__xludf.DUMMYFUNCTION("""COMPUTED_VALUE"""),45482)</f>
        <v>45482</v>
      </c>
    </row>
    <row r="411" spans="1:17" ht="12.5">
      <c r="A411" s="82">
        <f t="array" aca="1" ref="A411" ca="1">INDEX('Database Mitra'!$R$2:$R1001,MATCH(C411,'Database Mitra'!$B$2:$B1001,0))</f>
        <v>35544</v>
      </c>
      <c r="B411" s="10" t="e">
        <f t="shared" ca="1" si="0"/>
        <v>#NAME?</v>
      </c>
      <c r="C411" s="83">
        <f ca="1">IFERROR(__xludf.DUMMYFUNCTION("""COMPUTED_VALUE"""),610422040035)</f>
        <v>610422040035</v>
      </c>
      <c r="D411" s="10" t="str">
        <f ca="1">IFERROR(__xludf.DUMMYFUNCTION("""COMPUTED_VALUE"""),"SERUTI24-LAPANGAN-TRI2")</f>
        <v>SERUTI24-LAPANGAN-TRI2</v>
      </c>
      <c r="E411" s="10"/>
      <c r="F411" s="10">
        <f ca="1">IFERROR(__xludf.DUMMYFUNCTION("""COMPUTED_VALUE"""),1)</f>
        <v>1</v>
      </c>
      <c r="G411" s="10" t="str">
        <f ca="1">IFERROR(__xludf.DUMMYFUNCTION("""COMPUTED_VALUE"""),"Rahmayani")</f>
        <v>Rahmayani</v>
      </c>
      <c r="H411" s="10" t="str">
        <f ca="1">IFERROR(__xludf.DUMMYFUNCTION("""COMPUTED_VALUE"""),"PPL")</f>
        <v>PPL</v>
      </c>
      <c r="I411" s="10" t="str">
        <f ca="1">IFERROR(__xludf.DUMMYFUNCTION("""COMPUTED_VALUE"""),"6102186404970003")</f>
        <v>6102186404970003</v>
      </c>
      <c r="J411" s="10" t="str">
        <f ca="1">IFERROR(__xludf.DUMMYFUNCTION("""COMPUTED_VALUE"""),"PENDATAAN")</f>
        <v>PENDATAAN</v>
      </c>
      <c r="K411" s="10" t="str">
        <f ca="1">IFERROR(__xludf.DUMMYFUNCTION("""COMPUTED_VALUE"""),"SERUTI24-LAPANGAN-TRI2-PPL-PENDATAAN")</f>
        <v>SERUTI24-LAPANGAN-TRI2-PPL-PENDATAAN</v>
      </c>
      <c r="L411" s="10" t="str">
        <f ca="1">IFERROR(__xludf.DUMMYFUNCTION("""COMPUTED_VALUE"""),"Dokumen")</f>
        <v>Dokumen</v>
      </c>
      <c r="M411" s="66">
        <f ca="1">IFERROR(__xludf.DUMMYFUNCTION("""COMPUTED_VALUE"""),91000)</f>
        <v>91000</v>
      </c>
      <c r="N411" s="10">
        <f ca="1">IFERROR(__xludf.DUMMYFUNCTION("""COMPUTED_VALUE"""),10)</f>
        <v>10</v>
      </c>
      <c r="O411" s="10">
        <f ca="1">IFERROR(__xludf.DUMMYFUNCTION("""COMPUTED_VALUE"""),910000)</f>
        <v>910000</v>
      </c>
      <c r="P411" s="10"/>
      <c r="Q411" s="67">
        <f ca="1">IFERROR(__xludf.DUMMYFUNCTION("""COMPUTED_VALUE"""),45482)</f>
        <v>45482</v>
      </c>
    </row>
    <row r="412" spans="1:17" ht="12.5">
      <c r="A412" s="11">
        <f t="array" aca="1" ref="A412" ca="1">INDEX('Database Mitra'!$R$2:$R1001,MATCH(C412,'Database Mitra'!$B$2:$B1001,0))</f>
        <v>31777</v>
      </c>
      <c r="B412" s="10" t="e">
        <f t="shared" ca="1" si="0"/>
        <v>#NAME?</v>
      </c>
      <c r="C412" s="83">
        <f ca="1">IFERROR(__xludf.DUMMYFUNCTION("""COMPUTED_VALUE"""),610422040061)</f>
        <v>610422040061</v>
      </c>
      <c r="D412" s="10" t="str">
        <f ca="1">IFERROR(__xludf.DUMMYFUNCTION("""COMPUTED_VALUE"""),"SERUTI24-LAPANGAN-TRI2")</f>
        <v>SERUTI24-LAPANGAN-TRI2</v>
      </c>
      <c r="E412" s="10"/>
      <c r="F412" s="10">
        <f ca="1">IFERROR(__xludf.DUMMYFUNCTION("""COMPUTED_VALUE"""),1)</f>
        <v>1</v>
      </c>
      <c r="G412" s="10" t="str">
        <f ca="1">IFERROR(__xludf.DUMMYFUNCTION("""COMPUTED_VALUE"""),"Sabani")</f>
        <v>Sabani</v>
      </c>
      <c r="H412" s="10" t="str">
        <f ca="1">IFERROR(__xludf.DUMMYFUNCTION("""COMPUTED_VALUE"""),"PPL")</f>
        <v>PPL</v>
      </c>
      <c r="I412" s="10" t="str">
        <f ca="1">IFERROR(__xludf.DUMMYFUNCTION("""COMPUTED_VALUE"""),"6102153112860003")</f>
        <v>6102153112860003</v>
      </c>
      <c r="J412" s="10" t="str">
        <f ca="1">IFERROR(__xludf.DUMMYFUNCTION("""COMPUTED_VALUE"""),"PENDATAAN")</f>
        <v>PENDATAAN</v>
      </c>
      <c r="K412" s="10" t="str">
        <f ca="1">IFERROR(__xludf.DUMMYFUNCTION("""COMPUTED_VALUE"""),"SERUTI24-LAPANGAN-TRI2-PPL-PENDATAAN")</f>
        <v>SERUTI24-LAPANGAN-TRI2-PPL-PENDATAAN</v>
      </c>
      <c r="L412" s="10" t="str">
        <f ca="1">IFERROR(__xludf.DUMMYFUNCTION("""COMPUTED_VALUE"""),"Dokumen")</f>
        <v>Dokumen</v>
      </c>
      <c r="M412" s="66">
        <f ca="1">IFERROR(__xludf.DUMMYFUNCTION("""COMPUTED_VALUE"""),91000)</f>
        <v>91000</v>
      </c>
      <c r="N412" s="10">
        <f ca="1">IFERROR(__xludf.DUMMYFUNCTION("""COMPUTED_VALUE"""),10)</f>
        <v>10</v>
      </c>
      <c r="O412" s="10">
        <f ca="1">IFERROR(__xludf.DUMMYFUNCTION("""COMPUTED_VALUE"""),910000)</f>
        <v>910000</v>
      </c>
      <c r="P412" s="10"/>
      <c r="Q412" s="67">
        <f ca="1">IFERROR(__xludf.DUMMYFUNCTION("""COMPUTED_VALUE"""),45482)</f>
        <v>45482</v>
      </c>
    </row>
    <row r="413" spans="1:17" ht="12.5">
      <c r="A413" s="82">
        <f t="array" aca="1" ref="A413" ca="1">INDEX('Database Mitra'!$R$2:$R1001,MATCH(C413,'Database Mitra'!$B$2:$B1001,0))</f>
        <v>36997</v>
      </c>
      <c r="B413" s="10" t="e">
        <f t="shared" ca="1" si="0"/>
        <v>#NAME?</v>
      </c>
      <c r="C413" s="83">
        <f ca="1">IFERROR(__xludf.DUMMYFUNCTION("""COMPUTED_VALUE"""),610422040053)</f>
        <v>610422040053</v>
      </c>
      <c r="D413" s="10" t="str">
        <f ca="1">IFERROR(__xludf.DUMMYFUNCTION("""COMPUTED_VALUE"""),"SERUTI24-LAPANGAN-TRI2")</f>
        <v>SERUTI24-LAPANGAN-TRI2</v>
      </c>
      <c r="E413" s="10"/>
      <c r="F413" s="10">
        <f ca="1">IFERROR(__xludf.DUMMYFUNCTION("""COMPUTED_VALUE"""),1)</f>
        <v>1</v>
      </c>
      <c r="G413" s="10" t="str">
        <f ca="1">IFERROR(__xludf.DUMMYFUNCTION("""COMPUTED_VALUE"""),"Veti Ningsi")</f>
        <v>Veti Ningsi</v>
      </c>
      <c r="H413" s="10" t="str">
        <f ca="1">IFERROR(__xludf.DUMMYFUNCTION("""COMPUTED_VALUE"""),"PPL")</f>
        <v>PPL</v>
      </c>
      <c r="I413" s="10" t="str">
        <f ca="1">IFERROR(__xludf.DUMMYFUNCTION("""COMPUTED_VALUE"""),"6102125604010002")</f>
        <v>6102125604010002</v>
      </c>
      <c r="J413" s="10" t="str">
        <f ca="1">IFERROR(__xludf.DUMMYFUNCTION("""COMPUTED_VALUE"""),"PENDATAAN")</f>
        <v>PENDATAAN</v>
      </c>
      <c r="K413" s="10" t="str">
        <f ca="1">IFERROR(__xludf.DUMMYFUNCTION("""COMPUTED_VALUE"""),"SERUTI24-LAPANGAN-TRI2-PPL-PENDATAAN")</f>
        <v>SERUTI24-LAPANGAN-TRI2-PPL-PENDATAAN</v>
      </c>
      <c r="L413" s="10" t="str">
        <f ca="1">IFERROR(__xludf.DUMMYFUNCTION("""COMPUTED_VALUE"""),"Dokumen")</f>
        <v>Dokumen</v>
      </c>
      <c r="M413" s="66">
        <f ca="1">IFERROR(__xludf.DUMMYFUNCTION("""COMPUTED_VALUE"""),91000)</f>
        <v>91000</v>
      </c>
      <c r="N413" s="10">
        <f ca="1">IFERROR(__xludf.DUMMYFUNCTION("""COMPUTED_VALUE"""),10)</f>
        <v>10</v>
      </c>
      <c r="O413" s="10">
        <f ca="1">IFERROR(__xludf.DUMMYFUNCTION("""COMPUTED_VALUE"""),910000)</f>
        <v>910000</v>
      </c>
      <c r="P413" s="10"/>
      <c r="Q413" s="67">
        <f ca="1">IFERROR(__xludf.DUMMYFUNCTION("""COMPUTED_VALUE"""),45482)</f>
        <v>45482</v>
      </c>
    </row>
    <row r="414" spans="1:17" ht="12.5">
      <c r="A414" s="82">
        <f t="array" aca="1" ref="A414" ca="1">INDEX('Database Mitra'!$R$2:$R1001,MATCH(C414,'Database Mitra'!$B$2:$B1001,0))</f>
        <v>35978</v>
      </c>
      <c r="B414" s="10" t="e">
        <f t="shared" ca="1" si="0"/>
        <v>#NAME?</v>
      </c>
      <c r="C414" s="83">
        <f ca="1">IFERROR(__xludf.DUMMYFUNCTION("""COMPUTED_VALUE"""),610422100055)</f>
        <v>610422100055</v>
      </c>
      <c r="D414" s="10" t="str">
        <f ca="1">IFERROR(__xludf.DUMMYFUNCTION("""COMPUTED_VALUE"""),"SERUTI24-LAPANGAN-TRI2")</f>
        <v>SERUTI24-LAPANGAN-TRI2</v>
      </c>
      <c r="E414" s="10"/>
      <c r="F414" s="10">
        <f ca="1">IFERROR(__xludf.DUMMYFUNCTION("""COMPUTED_VALUE"""),1)</f>
        <v>1</v>
      </c>
      <c r="G414" s="10" t="str">
        <f ca="1">IFERROR(__xludf.DUMMYFUNCTION("""COMPUTED_VALUE"""),"Vika Rizkiani")</f>
        <v>Vika Rizkiani</v>
      </c>
      <c r="H414" s="10" t="str">
        <f ca="1">IFERROR(__xludf.DUMMYFUNCTION("""COMPUTED_VALUE"""),"PPL")</f>
        <v>PPL</v>
      </c>
      <c r="I414" s="10" t="str">
        <f ca="1">IFERROR(__xludf.DUMMYFUNCTION("""COMPUTED_VALUE"""),"6102084207980006")</f>
        <v>6102084207980006</v>
      </c>
      <c r="J414" s="10" t="str">
        <f ca="1">IFERROR(__xludf.DUMMYFUNCTION("""COMPUTED_VALUE"""),"PENDATAAN")</f>
        <v>PENDATAAN</v>
      </c>
      <c r="K414" s="10" t="str">
        <f ca="1">IFERROR(__xludf.DUMMYFUNCTION("""COMPUTED_VALUE"""),"SERUTI24-LAPANGAN-TRI2-PPL-PENDATAAN")</f>
        <v>SERUTI24-LAPANGAN-TRI2-PPL-PENDATAAN</v>
      </c>
      <c r="L414" s="10" t="str">
        <f ca="1">IFERROR(__xludf.DUMMYFUNCTION("""COMPUTED_VALUE"""),"Dokumen")</f>
        <v>Dokumen</v>
      </c>
      <c r="M414" s="66">
        <f ca="1">IFERROR(__xludf.DUMMYFUNCTION("""COMPUTED_VALUE"""),91000)</f>
        <v>91000</v>
      </c>
      <c r="N414" s="10">
        <f ca="1">IFERROR(__xludf.DUMMYFUNCTION("""COMPUTED_VALUE"""),10)</f>
        <v>10</v>
      </c>
      <c r="O414" s="10">
        <f ca="1">IFERROR(__xludf.DUMMYFUNCTION("""COMPUTED_VALUE"""),910000)</f>
        <v>910000</v>
      </c>
      <c r="P414" s="10"/>
      <c r="Q414" s="67">
        <f ca="1">IFERROR(__xludf.DUMMYFUNCTION("""COMPUTED_VALUE"""),45482)</f>
        <v>45482</v>
      </c>
    </row>
    <row r="415" spans="1:17" ht="12.5">
      <c r="A415" s="11">
        <f t="array" aca="1" ref="A415" ca="1">INDEX('Database Mitra'!$R$2:$R1001,MATCH(C415,'Database Mitra'!$B$2:$B1001,0))</f>
        <v>36522</v>
      </c>
      <c r="B415" s="10" t="e">
        <f t="shared" ca="1" si="0"/>
        <v>#NAME?</v>
      </c>
      <c r="C415" s="83">
        <f ca="1">IFERROR(__xludf.DUMMYFUNCTION("""COMPUTED_VALUE"""),610422100139)</f>
        <v>610422100139</v>
      </c>
      <c r="D415" s="10" t="str">
        <f ca="1">IFERROR(__xludf.DUMMYFUNCTION("""COMPUTED_VALUE"""),"SERUTI24-LAPANGAN-TRI2")</f>
        <v>SERUTI24-LAPANGAN-TRI2</v>
      </c>
      <c r="E415" s="10"/>
      <c r="F415" s="10">
        <f ca="1">IFERROR(__xludf.DUMMYFUNCTION("""COMPUTED_VALUE"""),1)</f>
        <v>1</v>
      </c>
      <c r="G415" s="10" t="str">
        <f ca="1">IFERROR(__xludf.DUMMYFUNCTION("""COMPUTED_VALUE"""),"Winda Dwi Ananda")</f>
        <v>Winda Dwi Ananda</v>
      </c>
      <c r="H415" s="10" t="str">
        <f ca="1">IFERROR(__xludf.DUMMYFUNCTION("""COMPUTED_VALUE"""),"PPL")</f>
        <v>PPL</v>
      </c>
      <c r="I415" s="10" t="str">
        <f ca="1">IFERROR(__xludf.DUMMYFUNCTION("""COMPUTED_VALUE"""),"6102016812990001")</f>
        <v>6102016812990001</v>
      </c>
      <c r="J415" s="10" t="str">
        <f ca="1">IFERROR(__xludf.DUMMYFUNCTION("""COMPUTED_VALUE"""),"PENDATAAN")</f>
        <v>PENDATAAN</v>
      </c>
      <c r="K415" s="10" t="str">
        <f ca="1">IFERROR(__xludf.DUMMYFUNCTION("""COMPUTED_VALUE"""),"SERUTI24-LAPANGAN-TRI2-PPL-PENDATAAN")</f>
        <v>SERUTI24-LAPANGAN-TRI2-PPL-PENDATAAN</v>
      </c>
      <c r="L415" s="10" t="str">
        <f ca="1">IFERROR(__xludf.DUMMYFUNCTION("""COMPUTED_VALUE"""),"Dokumen")</f>
        <v>Dokumen</v>
      </c>
      <c r="M415" s="66">
        <f ca="1">IFERROR(__xludf.DUMMYFUNCTION("""COMPUTED_VALUE"""),91000)</f>
        <v>91000</v>
      </c>
      <c r="N415" s="10">
        <f ca="1">IFERROR(__xludf.DUMMYFUNCTION("""COMPUTED_VALUE"""),10)</f>
        <v>10</v>
      </c>
      <c r="O415" s="10">
        <f ca="1">IFERROR(__xludf.DUMMYFUNCTION("""COMPUTED_VALUE"""),910000)</f>
        <v>910000</v>
      </c>
      <c r="P415" s="10"/>
      <c r="Q415" s="67">
        <f ca="1">IFERROR(__xludf.DUMMYFUNCTION("""COMPUTED_VALUE"""),45482)</f>
        <v>45482</v>
      </c>
    </row>
    <row r="416" spans="1:17" ht="12.5">
      <c r="A416" s="82">
        <f t="array" aca="1" ref="A416" ca="1">INDEX('Database Mitra'!$R$2:$R1001,MATCH(C416,'Database Mitra'!$B$2:$B1001,0))</f>
        <v>28920</v>
      </c>
      <c r="B416" s="10" t="e">
        <f t="shared" ca="1" si="0"/>
        <v>#NAME?</v>
      </c>
      <c r="C416" s="83">
        <f ca="1">IFERROR(__xludf.DUMMYFUNCTION("""COMPUTED_VALUE"""),610422040052)</f>
        <v>610422040052</v>
      </c>
      <c r="D416" s="10" t="str">
        <f ca="1">IFERROR(__xludf.DUMMYFUNCTION("""COMPUTED_VALUE"""),"SERUTI24-LAPANGAN-TRI2")</f>
        <v>SERUTI24-LAPANGAN-TRI2</v>
      </c>
      <c r="E416" s="10"/>
      <c r="F416" s="10">
        <f ca="1">IFERROR(__xludf.DUMMYFUNCTION("""COMPUTED_VALUE"""),1)</f>
        <v>1</v>
      </c>
      <c r="G416" s="10" t="str">
        <f ca="1">IFERROR(__xludf.DUMMYFUNCTION("""COMPUTED_VALUE"""),"Yusimianto")</f>
        <v>Yusimianto</v>
      </c>
      <c r="H416" s="10" t="str">
        <f ca="1">IFERROR(__xludf.DUMMYFUNCTION("""COMPUTED_VALUE"""),"PPL")</f>
        <v>PPL</v>
      </c>
      <c r="I416" s="10" t="str">
        <f ca="1">IFERROR(__xludf.DUMMYFUNCTION("""COMPUTED_VALUE"""),"6102160603790001")</f>
        <v>6102160603790001</v>
      </c>
      <c r="J416" s="10" t="str">
        <f ca="1">IFERROR(__xludf.DUMMYFUNCTION("""COMPUTED_VALUE"""),"PENDATAAN")</f>
        <v>PENDATAAN</v>
      </c>
      <c r="K416" s="10" t="str">
        <f ca="1">IFERROR(__xludf.DUMMYFUNCTION("""COMPUTED_VALUE"""),"SERUTI24-LAPANGAN-TRI2-PPL-PENDATAAN")</f>
        <v>SERUTI24-LAPANGAN-TRI2-PPL-PENDATAAN</v>
      </c>
      <c r="L416" s="10" t="str">
        <f ca="1">IFERROR(__xludf.DUMMYFUNCTION("""COMPUTED_VALUE"""),"Dokumen")</f>
        <v>Dokumen</v>
      </c>
      <c r="M416" s="66">
        <f ca="1">IFERROR(__xludf.DUMMYFUNCTION("""COMPUTED_VALUE"""),91000)</f>
        <v>91000</v>
      </c>
      <c r="N416" s="10">
        <f ca="1">IFERROR(__xludf.DUMMYFUNCTION("""COMPUTED_VALUE"""),10)</f>
        <v>10</v>
      </c>
      <c r="O416" s="10">
        <f ca="1">IFERROR(__xludf.DUMMYFUNCTION("""COMPUTED_VALUE"""),910000)</f>
        <v>910000</v>
      </c>
      <c r="P416" s="10"/>
      <c r="Q416" s="67">
        <f ca="1">IFERROR(__xludf.DUMMYFUNCTION("""COMPUTED_VALUE"""),45482)</f>
        <v>45482</v>
      </c>
    </row>
    <row r="417" spans="1:17" ht="12.5">
      <c r="A417" s="11">
        <f t="array" aca="1" ref="A417" ca="1">INDEX('Database Mitra'!$R$2:$R1001,MATCH(C417,'Database Mitra'!$B$2:$B1001,0))</f>
        <v>35714</v>
      </c>
      <c r="B417" s="10" t="e">
        <f t="shared" ca="1" si="0"/>
        <v>#NAME?</v>
      </c>
      <c r="C417" s="83">
        <f ca="1">IFERROR(__xludf.DUMMYFUNCTION("""COMPUTED_VALUE"""),610422020029)</f>
        <v>610422020029</v>
      </c>
      <c r="D417" s="10" t="str">
        <f ca="1">IFERROR(__xludf.DUMMYFUNCTION("""COMPUTED_VALUE"""),"SERUTI24-PENGOLAHAN-TRI2")</f>
        <v>SERUTI24-PENGOLAHAN-TRI2</v>
      </c>
      <c r="E417" s="10"/>
      <c r="F417" s="10">
        <f ca="1">IFERROR(__xludf.DUMMYFUNCTION("""COMPUTED_VALUE"""),1)</f>
        <v>1</v>
      </c>
      <c r="G417" s="10" t="str">
        <f ca="1">IFERROR(__xludf.DUMMYFUNCTION("""COMPUTED_VALUE"""),"Kurniadi")</f>
        <v>Kurniadi</v>
      </c>
      <c r="H417" s="10" t="str">
        <f ca="1">IFERROR(__xludf.DUMMYFUNCTION("""COMPUTED_VALUE"""),"PETUGAS ENTRI")</f>
        <v>PETUGAS ENTRI</v>
      </c>
      <c r="I417" s="10" t="str">
        <f ca="1">IFERROR(__xludf.DUMMYFUNCTION("""COMPUTED_VALUE"""),"6102011110970002")</f>
        <v>6102011110970002</v>
      </c>
      <c r="J417" s="10" t="str">
        <f ca="1">IFERROR(__xludf.DUMMYFUNCTION("""COMPUTED_VALUE"""),"PENGOLAHAN")</f>
        <v>PENGOLAHAN</v>
      </c>
      <c r="K417" s="10" t="str">
        <f ca="1">IFERROR(__xludf.DUMMYFUNCTION("""COMPUTED_VALUE"""),"SERUTI24-PENGOLAHAN-TRI2-PETUGAS ENTRI-PENGOLAHAN")</f>
        <v>SERUTI24-PENGOLAHAN-TRI2-PETUGAS ENTRI-PENGOLAHAN</v>
      </c>
      <c r="L417" s="10" t="str">
        <f ca="1">IFERROR(__xludf.DUMMYFUNCTION("""COMPUTED_VALUE"""),"Dokumen")</f>
        <v>Dokumen</v>
      </c>
      <c r="M417" s="66">
        <f ca="1">IFERROR(__xludf.DUMMYFUNCTION("""COMPUTED_VALUE"""),12000)</f>
        <v>12000</v>
      </c>
      <c r="N417" s="10">
        <f ca="1">IFERROR(__xludf.DUMMYFUNCTION("""COMPUTED_VALUE"""),20)</f>
        <v>20</v>
      </c>
      <c r="O417" s="10">
        <f ca="1">IFERROR(__xludf.DUMMYFUNCTION("""COMPUTED_VALUE"""),240000)</f>
        <v>240000</v>
      </c>
      <c r="P417" s="10"/>
      <c r="Q417" s="67">
        <f ca="1">IFERROR(__xludf.DUMMYFUNCTION("""COMPUTED_VALUE"""),45482)</f>
        <v>45482</v>
      </c>
    </row>
    <row r="418" spans="1:17" ht="12.5">
      <c r="A418" s="82">
        <f t="array" aca="1" ref="A418" ca="1">INDEX('Database Mitra'!$R$2:$R1001,MATCH(C418,'Database Mitra'!$B$2:$B1001,0))</f>
        <v>31773</v>
      </c>
      <c r="B418" s="10" t="e">
        <f t="shared" ca="1" si="0"/>
        <v>#NAME?</v>
      </c>
      <c r="C418" s="83">
        <f ca="1">IFERROR(__xludf.DUMMYFUNCTION("""COMPUTED_VALUE"""),610422030002)</f>
        <v>610422030002</v>
      </c>
      <c r="D418" s="10" t="str">
        <f ca="1">IFERROR(__xludf.DUMMYFUNCTION("""COMPUTED_VALUE"""),"SHPB24-LAPANGAN-JULI")</f>
        <v>SHPB24-LAPANGAN-JULI</v>
      </c>
      <c r="E418" s="10"/>
      <c r="F418" s="10">
        <f ca="1">IFERROR(__xludf.DUMMYFUNCTION("""COMPUTED_VALUE"""),1)</f>
        <v>1</v>
      </c>
      <c r="G418" s="10" t="str">
        <f ca="1">IFERROR(__xludf.DUMMYFUNCTION("""COMPUTED_VALUE"""),"Deti Erni Widiastuti")</f>
        <v>Deti Erni Widiastuti</v>
      </c>
      <c r="H418" s="10" t="str">
        <f ca="1">IFERROR(__xludf.DUMMYFUNCTION("""COMPUTED_VALUE"""),"PPL")</f>
        <v>PPL</v>
      </c>
      <c r="I418" s="10" t="str">
        <f ca="1">IFERROR(__xludf.DUMMYFUNCTION("""COMPUTED_VALUE"""),"6102016712860001")</f>
        <v>6102016712860001</v>
      </c>
      <c r="J418" s="10" t="str">
        <f ca="1">IFERROR(__xludf.DUMMYFUNCTION("""COMPUTED_VALUE"""),"PENDATAAN")</f>
        <v>PENDATAAN</v>
      </c>
      <c r="K418" s="10" t="str">
        <f ca="1">IFERROR(__xludf.DUMMYFUNCTION("""COMPUTED_VALUE"""),"SHPB24-LAPANGAN-JULI-PPL-PENDATAAN")</f>
        <v>SHPB24-LAPANGAN-JULI-PPL-PENDATAAN</v>
      </c>
      <c r="L418" s="10" t="str">
        <f ca="1">IFERROR(__xludf.DUMMYFUNCTION("""COMPUTED_VALUE"""),"Dokumen")</f>
        <v>Dokumen</v>
      </c>
      <c r="M418" s="66">
        <f ca="1">IFERROR(__xludf.DUMMYFUNCTION("""COMPUTED_VALUE"""),50000)</f>
        <v>50000</v>
      </c>
      <c r="N418" s="10">
        <f ca="1">IFERROR(__xludf.DUMMYFUNCTION("""COMPUTED_VALUE"""),15)</f>
        <v>15</v>
      </c>
      <c r="O418" s="10">
        <f ca="1">IFERROR(__xludf.DUMMYFUNCTION("""COMPUTED_VALUE"""),750000)</f>
        <v>750000</v>
      </c>
      <c r="P418" s="10"/>
      <c r="Q418" s="67">
        <f ca="1">IFERROR(__xludf.DUMMYFUNCTION("""COMPUTED_VALUE"""),45493)</f>
        <v>45493</v>
      </c>
    </row>
    <row r="419" spans="1:17" ht="12.5">
      <c r="A419" s="82">
        <f t="array" aca="1" ref="A419" ca="1">INDEX('Database Mitra'!$R$2:$R1001,MATCH(C419,'Database Mitra'!$B$2:$B1001,0))</f>
        <v>32942</v>
      </c>
      <c r="B419" s="10" t="e">
        <f t="shared" ca="1" si="0"/>
        <v>#NAME?</v>
      </c>
      <c r="C419" s="83">
        <f ca="1">IFERROR(__xludf.DUMMYFUNCTION("""COMPUTED_VALUE"""),610422100244)</f>
        <v>610422100244</v>
      </c>
      <c r="D419" s="10" t="str">
        <f ca="1">IFERROR(__xludf.DUMMYFUNCTION("""COMPUTED_VALUE"""),"HPG24-LAPANGAN-JULI")</f>
        <v>HPG24-LAPANGAN-JULI</v>
      </c>
      <c r="E419" s="10"/>
      <c r="F419" s="10">
        <f ca="1">IFERROR(__xludf.DUMMYFUNCTION("""COMPUTED_VALUE"""),1)</f>
        <v>1</v>
      </c>
      <c r="G419" s="10" t="str">
        <f ca="1">IFERROR(__xludf.DUMMYFUNCTION("""COMPUTED_VALUE"""),"Sugianto")</f>
        <v>Sugianto</v>
      </c>
      <c r="H419" s="10" t="str">
        <f ca="1">IFERROR(__xludf.DUMMYFUNCTION("""COMPUTED_VALUE"""),"PPL")</f>
        <v>PPL</v>
      </c>
      <c r="I419" s="10" t="str">
        <f ca="1">IFERROR(__xludf.DUMMYFUNCTION("""COMPUTED_VALUE"""),"6102171003900002")</f>
        <v>6102171003900002</v>
      </c>
      <c r="J419" s="10" t="str">
        <f ca="1">IFERROR(__xludf.DUMMYFUNCTION("""COMPUTED_VALUE"""),"PENDATAAN")</f>
        <v>PENDATAAN</v>
      </c>
      <c r="K419" s="10" t="str">
        <f ca="1">IFERROR(__xludf.DUMMYFUNCTION("""COMPUTED_VALUE"""),"HPG24-LAPANGAN-JULI-PPL-PENDATAAN")</f>
        <v>HPG24-LAPANGAN-JULI-PPL-PENDATAAN</v>
      </c>
      <c r="L419" s="10" t="str">
        <f ca="1">IFERROR(__xludf.DUMMYFUNCTION("""COMPUTED_VALUE"""),"Dokumen")</f>
        <v>Dokumen</v>
      </c>
      <c r="M419" s="66">
        <f ca="1">IFERROR(__xludf.DUMMYFUNCTION("""COMPUTED_VALUE"""),50000)</f>
        <v>50000</v>
      </c>
      <c r="N419" s="10">
        <f ca="1">IFERROR(__xludf.DUMMYFUNCTION("""COMPUTED_VALUE"""),1)</f>
        <v>1</v>
      </c>
      <c r="O419" s="10">
        <f ca="1">IFERROR(__xludf.DUMMYFUNCTION("""COMPUTED_VALUE"""),50000)</f>
        <v>50000</v>
      </c>
      <c r="P419" s="10"/>
      <c r="Q419" s="67">
        <f ca="1">IFERROR(__xludf.DUMMYFUNCTION("""COMPUTED_VALUE"""),45493)</f>
        <v>45493</v>
      </c>
    </row>
    <row r="420" spans="1:17" ht="12.5">
      <c r="A420" s="82">
        <f t="array" aca="1" ref="A420" ca="1">INDEX('Database Mitra'!$R$2:$R1001,MATCH(C420,'Database Mitra'!$B$2:$B1001,0))</f>
        <v>29068</v>
      </c>
      <c r="B420" s="10" t="e">
        <f t="shared" ca="1" si="0"/>
        <v>#NAME?</v>
      </c>
      <c r="C420" s="83">
        <f ca="1">IFERROR(__xludf.DUMMYFUNCTION("""COMPUTED_VALUE"""),610422100124)</f>
        <v>610422100124</v>
      </c>
      <c r="D420" s="10" t="str">
        <f ca="1">IFERROR(__xludf.DUMMYFUNCTION("""COMPUTED_VALUE"""),"HPG24-LAPANGAN-JULI")</f>
        <v>HPG24-LAPANGAN-JULI</v>
      </c>
      <c r="E420" s="10"/>
      <c r="F420" s="10">
        <f ca="1">IFERROR(__xludf.DUMMYFUNCTION("""COMPUTED_VALUE"""),1)</f>
        <v>1</v>
      </c>
      <c r="G420" s="10" t="str">
        <f ca="1">IFERROR(__xludf.DUMMYFUNCTION("""COMPUTED_VALUE"""),"Prabowo")</f>
        <v>Prabowo</v>
      </c>
      <c r="H420" s="10" t="str">
        <f ca="1">IFERROR(__xludf.DUMMYFUNCTION("""COMPUTED_VALUE"""),"PPL")</f>
        <v>PPL</v>
      </c>
      <c r="I420" s="10" t="str">
        <f ca="1">IFERROR(__xludf.DUMMYFUNCTION("""COMPUTED_VALUE"""),"6171010108790015")</f>
        <v>6171010108790015</v>
      </c>
      <c r="J420" s="10" t="str">
        <f ca="1">IFERROR(__xludf.DUMMYFUNCTION("""COMPUTED_VALUE"""),"PENDATAAN")</f>
        <v>PENDATAAN</v>
      </c>
      <c r="K420" s="10" t="str">
        <f ca="1">IFERROR(__xludf.DUMMYFUNCTION("""COMPUTED_VALUE"""),"HPG24-LAPANGAN-JULI-PPL-PENDATAAN")</f>
        <v>HPG24-LAPANGAN-JULI-PPL-PENDATAAN</v>
      </c>
      <c r="L420" s="10" t="str">
        <f ca="1">IFERROR(__xludf.DUMMYFUNCTION("""COMPUTED_VALUE"""),"Dokumen")</f>
        <v>Dokumen</v>
      </c>
      <c r="M420" s="66">
        <f ca="1">IFERROR(__xludf.DUMMYFUNCTION("""COMPUTED_VALUE"""),50000)</f>
        <v>50000</v>
      </c>
      <c r="N420" s="10">
        <f ca="1">IFERROR(__xludf.DUMMYFUNCTION("""COMPUTED_VALUE"""),1)</f>
        <v>1</v>
      </c>
      <c r="O420" s="10">
        <f ca="1">IFERROR(__xludf.DUMMYFUNCTION("""COMPUTED_VALUE"""),50000)</f>
        <v>50000</v>
      </c>
      <c r="P420" s="10"/>
      <c r="Q420" s="67">
        <f ca="1">IFERROR(__xludf.DUMMYFUNCTION("""COMPUTED_VALUE"""),45493)</f>
        <v>45493</v>
      </c>
    </row>
    <row r="421" spans="1:17" ht="12.5">
      <c r="A421" s="82">
        <f t="array" aca="1" ref="A421" ca="1">INDEX('Database Mitra'!$R$2:$R1001,MATCH(C421,'Database Mitra'!$B$2:$B1001,0))</f>
        <v>31964</v>
      </c>
      <c r="B421" s="10" t="e">
        <f t="shared" ca="1" si="0"/>
        <v>#NAME?</v>
      </c>
      <c r="C421" s="83">
        <f ca="1">IFERROR(__xludf.DUMMYFUNCTION("""COMPUTED_VALUE"""),610422040029)</f>
        <v>610422040029</v>
      </c>
      <c r="D421" s="10" t="str">
        <f ca="1">IFERROR(__xludf.DUMMYFUNCTION("""COMPUTED_VALUE"""),"SHKK24-LAPANGAN-JULI")</f>
        <v>SHKK24-LAPANGAN-JULI</v>
      </c>
      <c r="E421" s="10"/>
      <c r="F421" s="10">
        <f ca="1">IFERROR(__xludf.DUMMYFUNCTION("""COMPUTED_VALUE"""),1)</f>
        <v>1</v>
      </c>
      <c r="G421" s="10" t="str">
        <f ca="1">IFERROR(__xludf.DUMMYFUNCTION("""COMPUTED_VALUE"""),"Zaini")</f>
        <v>Zaini</v>
      </c>
      <c r="H421" s="10" t="str">
        <f ca="1">IFERROR(__xludf.DUMMYFUNCTION("""COMPUTED_VALUE"""),"PPL")</f>
        <v>PPL</v>
      </c>
      <c r="I421" s="10" t="str">
        <f ca="1">IFERROR(__xludf.DUMMYFUNCTION("""COMPUTED_VALUE"""),"6102010607870002")</f>
        <v>6102010607870002</v>
      </c>
      <c r="J421" s="10" t="str">
        <f ca="1">IFERROR(__xludf.DUMMYFUNCTION("""COMPUTED_VALUE"""),"PENDATAAN")</f>
        <v>PENDATAAN</v>
      </c>
      <c r="K421" s="10" t="str">
        <f ca="1">IFERROR(__xludf.DUMMYFUNCTION("""COMPUTED_VALUE"""),"SHKK24-LAPANGAN-JULI-PPL-PENDATAAN")</f>
        <v>SHKK24-LAPANGAN-JULI-PPL-PENDATAAN</v>
      </c>
      <c r="L421" s="10" t="str">
        <f ca="1">IFERROR(__xludf.DUMMYFUNCTION("""COMPUTED_VALUE"""),"Dokumen")</f>
        <v>Dokumen</v>
      </c>
      <c r="M421" s="66">
        <f ca="1">IFERROR(__xludf.DUMMYFUNCTION("""COMPUTED_VALUE"""),60000)</f>
        <v>60000</v>
      </c>
      <c r="N421" s="10">
        <f ca="1">IFERROR(__xludf.DUMMYFUNCTION("""COMPUTED_VALUE"""),16)</f>
        <v>16</v>
      </c>
      <c r="O421" s="10">
        <f ca="1">IFERROR(__xludf.DUMMYFUNCTION("""COMPUTED_VALUE"""),960000)</f>
        <v>960000</v>
      </c>
      <c r="P421" s="10"/>
      <c r="Q421" s="67">
        <f ca="1">IFERROR(__xludf.DUMMYFUNCTION("""COMPUTED_VALUE"""),45493)</f>
        <v>45493</v>
      </c>
    </row>
    <row r="422" spans="1:17" ht="12.5">
      <c r="A422" s="11">
        <f t="array" aca="1" ref="A422" ca="1">INDEX('Database Mitra'!$R$2:$R1001,MATCH(C422,'Database Mitra'!$B$2:$B1001,0))</f>
        <v>29305</v>
      </c>
      <c r="B422" s="10" t="e">
        <f t="shared" ca="1" si="0"/>
        <v>#NAME?</v>
      </c>
      <c r="C422" s="83">
        <f ca="1">IFERROR(__xludf.DUMMYFUNCTION("""COMPUTED_VALUE"""),610422020048)</f>
        <v>610422020048</v>
      </c>
      <c r="D422" s="10" t="str">
        <f ca="1">IFERROR(__xludf.DUMMYFUNCTION("""COMPUTED_VALUE"""),"SHKK24-LAPANGAN-JULI")</f>
        <v>SHKK24-LAPANGAN-JULI</v>
      </c>
      <c r="E422" s="10"/>
      <c r="F422" s="10">
        <f ca="1">IFERROR(__xludf.DUMMYFUNCTION("""COMPUTED_VALUE"""),1)</f>
        <v>1</v>
      </c>
      <c r="G422" s="10" t="str">
        <f ca="1">IFERROR(__xludf.DUMMYFUNCTION("""COMPUTED_VALUE"""),"Herri Gustaman")</f>
        <v>Herri Gustaman</v>
      </c>
      <c r="H422" s="10" t="str">
        <f ca="1">IFERROR(__xludf.DUMMYFUNCTION("""COMPUTED_VALUE"""),"PPL")</f>
        <v>PPL</v>
      </c>
      <c r="I422" s="10" t="str">
        <f ca="1">IFERROR(__xludf.DUMMYFUNCTION("""COMPUTED_VALUE"""),"6102072503800001")</f>
        <v>6102072503800001</v>
      </c>
      <c r="J422" s="10" t="str">
        <f ca="1">IFERROR(__xludf.DUMMYFUNCTION("""COMPUTED_VALUE"""),"PENDATAAN")</f>
        <v>PENDATAAN</v>
      </c>
      <c r="K422" s="10" t="str">
        <f ca="1">IFERROR(__xludf.DUMMYFUNCTION("""COMPUTED_VALUE"""),"SHKK24-LAPANGAN-JULI-PPL-PENDATAAN")</f>
        <v>SHKK24-LAPANGAN-JULI-PPL-PENDATAAN</v>
      </c>
      <c r="L422" s="10" t="str">
        <f ca="1">IFERROR(__xludf.DUMMYFUNCTION("""COMPUTED_VALUE"""),"Dokumen")</f>
        <v>Dokumen</v>
      </c>
      <c r="M422" s="66">
        <f ca="1">IFERROR(__xludf.DUMMYFUNCTION("""COMPUTED_VALUE"""),60000)</f>
        <v>60000</v>
      </c>
      <c r="N422" s="10">
        <f ca="1">IFERROR(__xludf.DUMMYFUNCTION("""COMPUTED_VALUE"""),10)</f>
        <v>10</v>
      </c>
      <c r="O422" s="10">
        <f ca="1">IFERROR(__xludf.DUMMYFUNCTION("""COMPUTED_VALUE"""),600000)</f>
        <v>600000</v>
      </c>
      <c r="P422" s="10"/>
      <c r="Q422" s="67">
        <f ca="1">IFERROR(__xludf.DUMMYFUNCTION("""COMPUTED_VALUE"""),45493)</f>
        <v>45493</v>
      </c>
    </row>
    <row r="423" spans="1:17" ht="12.5">
      <c r="A423" s="82">
        <f t="array" aca="1" ref="A423" ca="1">INDEX('Database Mitra'!$R$2:$R1001,MATCH(C423,'Database Mitra'!$B$2:$B1001,0))</f>
        <v>35862</v>
      </c>
      <c r="B423" s="10" t="e">
        <f t="shared" ca="1" si="0"/>
        <v>#NAME?</v>
      </c>
      <c r="C423" s="83">
        <f ca="1">IFERROR(__xludf.DUMMYFUNCTION("""COMPUTED_VALUE"""),610422100165)</f>
        <v>610422100165</v>
      </c>
      <c r="D423" s="10" t="str">
        <f ca="1">IFERROR(__xludf.DUMMYFUNCTION("""COMPUTED_VALUE"""),"SHKK24-LAPANGAN-JULI")</f>
        <v>SHKK24-LAPANGAN-JULI</v>
      </c>
      <c r="E423" s="10"/>
      <c r="F423" s="10">
        <f ca="1">IFERROR(__xludf.DUMMYFUNCTION("""COMPUTED_VALUE"""),1)</f>
        <v>1</v>
      </c>
      <c r="G423" s="10" t="str">
        <f ca="1">IFERROR(__xludf.DUMMYFUNCTION("""COMPUTED_VALUE"""),"Yanti")</f>
        <v>Yanti</v>
      </c>
      <c r="H423" s="10" t="str">
        <f ca="1">IFERROR(__xludf.DUMMYFUNCTION("""COMPUTED_VALUE"""),"PPL")</f>
        <v>PPL</v>
      </c>
      <c r="I423" s="10" t="str">
        <f ca="1">IFERROR(__xludf.DUMMYFUNCTION("""COMPUTED_VALUE"""),"6102074803980002")</f>
        <v>6102074803980002</v>
      </c>
      <c r="J423" s="10" t="str">
        <f ca="1">IFERROR(__xludf.DUMMYFUNCTION("""COMPUTED_VALUE"""),"PENDATAAN")</f>
        <v>PENDATAAN</v>
      </c>
      <c r="K423" s="10" t="str">
        <f ca="1">IFERROR(__xludf.DUMMYFUNCTION("""COMPUTED_VALUE"""),"SHKK24-LAPANGAN-JULI-PPL-PENDATAAN")</f>
        <v>SHKK24-LAPANGAN-JULI-PPL-PENDATAAN</v>
      </c>
      <c r="L423" s="10" t="str">
        <f ca="1">IFERROR(__xludf.DUMMYFUNCTION("""COMPUTED_VALUE"""),"Dokumen")</f>
        <v>Dokumen</v>
      </c>
      <c r="M423" s="66">
        <f ca="1">IFERROR(__xludf.DUMMYFUNCTION("""COMPUTED_VALUE"""),60000)</f>
        <v>60000</v>
      </c>
      <c r="N423" s="10">
        <f ca="1">IFERROR(__xludf.DUMMYFUNCTION("""COMPUTED_VALUE"""),6)</f>
        <v>6</v>
      </c>
      <c r="O423" s="10">
        <f ca="1">IFERROR(__xludf.DUMMYFUNCTION("""COMPUTED_VALUE"""),360000)</f>
        <v>360000</v>
      </c>
      <c r="P423" s="10"/>
      <c r="Q423" s="67">
        <f ca="1">IFERROR(__xludf.DUMMYFUNCTION("""COMPUTED_VALUE"""),45493)</f>
        <v>45493</v>
      </c>
    </row>
    <row r="424" spans="1:17" ht="12.5">
      <c r="A424" s="82">
        <f t="array" aca="1" ref="A424" ca="1">INDEX('Database Mitra'!$R$2:$R1001,MATCH(C424,'Database Mitra'!$B$2:$B1001,0))</f>
        <v>29177</v>
      </c>
      <c r="B424" s="10" t="e">
        <f t="shared" ca="1" si="0"/>
        <v>#NAME?</v>
      </c>
      <c r="C424" s="83">
        <f ca="1">IFERROR(__xludf.DUMMYFUNCTION("""COMPUTED_VALUE"""),610422020052)</f>
        <v>610422020052</v>
      </c>
      <c r="D424" s="10" t="str">
        <f ca="1">IFERROR(__xludf.DUMMYFUNCTION("""COMPUTED_VALUE"""),"SHKK24-LAPANGAN-JULI")</f>
        <v>SHKK24-LAPANGAN-JULI</v>
      </c>
      <c r="E424" s="10"/>
      <c r="F424" s="10">
        <f ca="1">IFERROR(__xludf.DUMMYFUNCTION("""COMPUTED_VALUE"""),1)</f>
        <v>1</v>
      </c>
      <c r="G424" s="10" t="str">
        <f ca="1">IFERROR(__xludf.DUMMYFUNCTION("""COMPUTED_VALUE"""),"Agus Supriyanto")</f>
        <v>Agus Supriyanto</v>
      </c>
      <c r="H424" s="10" t="str">
        <f ca="1">IFERROR(__xludf.DUMMYFUNCTION("""COMPUTED_VALUE"""),"PPL")</f>
        <v>PPL</v>
      </c>
      <c r="I424" s="10" t="str">
        <f ca="1">IFERROR(__xludf.DUMMYFUNCTION("""COMPUTED_VALUE"""),"6102071811790001")</f>
        <v>6102071811790001</v>
      </c>
      <c r="J424" s="10" t="str">
        <f ca="1">IFERROR(__xludf.DUMMYFUNCTION("""COMPUTED_VALUE"""),"PENDATAAN")</f>
        <v>PENDATAAN</v>
      </c>
      <c r="K424" s="10" t="str">
        <f ca="1">IFERROR(__xludf.DUMMYFUNCTION("""COMPUTED_VALUE"""),"SHKK24-LAPANGAN-JULI-PPL-PENDATAAN")</f>
        <v>SHKK24-LAPANGAN-JULI-PPL-PENDATAAN</v>
      </c>
      <c r="L424" s="10" t="str">
        <f ca="1">IFERROR(__xludf.DUMMYFUNCTION("""COMPUTED_VALUE"""),"Dokumen")</f>
        <v>Dokumen</v>
      </c>
      <c r="M424" s="66">
        <f ca="1">IFERROR(__xludf.DUMMYFUNCTION("""COMPUTED_VALUE"""),60000)</f>
        <v>60000</v>
      </c>
      <c r="N424" s="10">
        <f ca="1">IFERROR(__xludf.DUMMYFUNCTION("""COMPUTED_VALUE"""),7)</f>
        <v>7</v>
      </c>
      <c r="O424" s="10">
        <f ca="1">IFERROR(__xludf.DUMMYFUNCTION("""COMPUTED_VALUE"""),420000)</f>
        <v>420000</v>
      </c>
      <c r="P424" s="10"/>
      <c r="Q424" s="67">
        <f ca="1">IFERROR(__xludf.DUMMYFUNCTION("""COMPUTED_VALUE"""),45493)</f>
        <v>45493</v>
      </c>
    </row>
    <row r="425" spans="1:17" ht="12.5">
      <c r="A425" s="82">
        <f t="array" aca="1" ref="A425" ca="1">INDEX('Database Mitra'!$R$2:$R1001,MATCH(C425,'Database Mitra'!$B$2:$B1001,0))</f>
        <v>37531</v>
      </c>
      <c r="B425" s="10" t="e">
        <f t="shared" ca="1" si="0"/>
        <v>#NAME?</v>
      </c>
      <c r="C425" s="83">
        <f ca="1">IFERROR(__xludf.DUMMYFUNCTION("""COMPUTED_VALUE"""),610422100016)</f>
        <v>610422100016</v>
      </c>
      <c r="D425" s="10" t="str">
        <f ca="1">IFERROR(__xludf.DUMMYFUNCTION("""COMPUTED_VALUE"""),"SHPED24-LAPANGAN-JULI")</f>
        <v>SHPED24-LAPANGAN-JULI</v>
      </c>
      <c r="E425" s="10"/>
      <c r="F425" s="10">
        <f ca="1">IFERROR(__xludf.DUMMYFUNCTION("""COMPUTED_VALUE"""),1)</f>
        <v>1</v>
      </c>
      <c r="G425" s="10" t="str">
        <f ca="1">IFERROR(__xludf.DUMMYFUNCTION("""COMPUTED_VALUE"""),"Amalia Faisya")</f>
        <v>Amalia Faisya</v>
      </c>
      <c r="H425" s="10" t="str">
        <f ca="1">IFERROR(__xludf.DUMMYFUNCTION("""COMPUTED_VALUE"""),"PPL")</f>
        <v>PPL</v>
      </c>
      <c r="I425" s="10" t="str">
        <f ca="1">IFERROR(__xludf.DUMMYFUNCTION("""COMPUTED_VALUE"""),"6102124210010005")</f>
        <v>6102124210010005</v>
      </c>
      <c r="J425" s="10" t="str">
        <f ca="1">IFERROR(__xludf.DUMMYFUNCTION("""COMPUTED_VALUE"""),"PENDATAAN KONSUMEN")</f>
        <v>PENDATAAN KONSUMEN</v>
      </c>
      <c r="K425" s="10" t="str">
        <f ca="1">IFERROR(__xludf.DUMMYFUNCTION("""COMPUTED_VALUE"""),"SHPED24-LAPANGAN-JULI-PPL-PENDATAAN KONSUMEN")</f>
        <v>SHPED24-LAPANGAN-JULI-PPL-PENDATAAN KONSUMEN</v>
      </c>
      <c r="L425" s="10" t="str">
        <f ca="1">IFERROR(__xludf.DUMMYFUNCTION("""COMPUTED_VALUE"""),"Dokumen")</f>
        <v>Dokumen</v>
      </c>
      <c r="M425" s="66">
        <f ca="1">IFERROR(__xludf.DUMMYFUNCTION("""COMPUTED_VALUE"""),65000)</f>
        <v>65000</v>
      </c>
      <c r="N425" s="10">
        <f ca="1">IFERROR(__xludf.DUMMYFUNCTION("""COMPUTED_VALUE"""),3)</f>
        <v>3</v>
      </c>
      <c r="O425" s="10">
        <f ca="1">IFERROR(__xludf.DUMMYFUNCTION("""COMPUTED_VALUE"""),195000)</f>
        <v>195000</v>
      </c>
      <c r="P425" s="10"/>
      <c r="Q425" s="67">
        <f ca="1">IFERROR(__xludf.DUMMYFUNCTION("""COMPUTED_VALUE"""),45493)</f>
        <v>45493</v>
      </c>
    </row>
    <row r="426" spans="1:17" ht="12.5">
      <c r="A426" s="82">
        <f t="array" aca="1" ref="A426" ca="1">INDEX('Database Mitra'!$R$2:$R1001,MATCH(C426,'Database Mitra'!$B$2:$B1001,0))</f>
        <v>30692</v>
      </c>
      <c r="B426" s="10" t="e">
        <f t="shared" ca="1" si="0"/>
        <v>#NAME?</v>
      </c>
      <c r="C426" s="83">
        <f ca="1">IFERROR(__xludf.DUMMYFUNCTION("""COMPUTED_VALUE"""),610422050001)</f>
        <v>610422050001</v>
      </c>
      <c r="D426" s="10" t="str">
        <f ca="1">IFERROR(__xludf.DUMMYFUNCTION("""COMPUTED_VALUE"""),"SHPED24-LAPANGAN-JULI")</f>
        <v>SHPED24-LAPANGAN-JULI</v>
      </c>
      <c r="E426" s="10"/>
      <c r="F426" s="10">
        <f ca="1">IFERROR(__xludf.DUMMYFUNCTION("""COMPUTED_VALUE"""),1)</f>
        <v>1</v>
      </c>
      <c r="G426" s="10" t="str">
        <f ca="1">IFERROR(__xludf.DUMMYFUNCTION("""COMPUTED_VALUE"""),"Evi Juniarty")</f>
        <v>Evi Juniarty</v>
      </c>
      <c r="H426" s="10" t="str">
        <f ca="1">IFERROR(__xludf.DUMMYFUNCTION("""COMPUTED_VALUE"""),"PPL")</f>
        <v>PPL</v>
      </c>
      <c r="I426" s="10" t="str">
        <f ca="1">IFERROR(__xludf.DUMMYFUNCTION("""COMPUTED_VALUE"""),"6102165101840001")</f>
        <v>6102165101840001</v>
      </c>
      <c r="J426" s="10" t="str">
        <f ca="1">IFERROR(__xludf.DUMMYFUNCTION("""COMPUTED_VALUE"""),"PENDATAAN KONSUMEN")</f>
        <v>PENDATAAN KONSUMEN</v>
      </c>
      <c r="K426" s="10" t="str">
        <f ca="1">IFERROR(__xludf.DUMMYFUNCTION("""COMPUTED_VALUE"""),"SHPED24-LAPANGAN-JULI-PPL-PENDATAAN KONSUMEN")</f>
        <v>SHPED24-LAPANGAN-JULI-PPL-PENDATAAN KONSUMEN</v>
      </c>
      <c r="L426" s="10" t="str">
        <f ca="1">IFERROR(__xludf.DUMMYFUNCTION("""COMPUTED_VALUE"""),"Dokumen")</f>
        <v>Dokumen</v>
      </c>
      <c r="M426" s="66">
        <f ca="1">IFERROR(__xludf.DUMMYFUNCTION("""COMPUTED_VALUE"""),65000)</f>
        <v>65000</v>
      </c>
      <c r="N426" s="10">
        <f ca="1">IFERROR(__xludf.DUMMYFUNCTION("""COMPUTED_VALUE"""),3)</f>
        <v>3</v>
      </c>
      <c r="O426" s="10">
        <f ca="1">IFERROR(__xludf.DUMMYFUNCTION("""COMPUTED_VALUE"""),195000)</f>
        <v>195000</v>
      </c>
      <c r="P426" s="10"/>
      <c r="Q426" s="67">
        <f ca="1">IFERROR(__xludf.DUMMYFUNCTION("""COMPUTED_VALUE"""),45493)</f>
        <v>45493</v>
      </c>
    </row>
    <row r="427" spans="1:17" ht="12.5">
      <c r="A427" s="82">
        <f t="array" aca="1" ref="A427" ca="1">INDEX('Database Mitra'!$R$2:$R1001,MATCH(C427,'Database Mitra'!$B$2:$B1001,0))</f>
        <v>35038</v>
      </c>
      <c r="B427" s="10" t="e">
        <f t="shared" ca="1" si="0"/>
        <v>#NAME?</v>
      </c>
      <c r="C427" s="83">
        <f ca="1">IFERROR(__xludf.DUMMYFUNCTION("""COMPUTED_VALUE"""),610422040030)</f>
        <v>610422040030</v>
      </c>
      <c r="D427" s="10" t="str">
        <f ca="1">IFERROR(__xludf.DUMMYFUNCTION("""COMPUTED_VALUE"""),"SHPED24-LAPANGAN-JULI")</f>
        <v>SHPED24-LAPANGAN-JULI</v>
      </c>
      <c r="E427" s="10"/>
      <c r="F427" s="10">
        <f ca="1">IFERROR(__xludf.DUMMYFUNCTION("""COMPUTED_VALUE"""),1)</f>
        <v>1</v>
      </c>
      <c r="G427" s="10" t="str">
        <f ca="1">IFERROR(__xludf.DUMMYFUNCTION("""COMPUTED_VALUE"""),"Syarifah Desti Pratiwi")</f>
        <v>Syarifah Desti Pratiwi</v>
      </c>
      <c r="H427" s="10" t="str">
        <f ca="1">IFERROR(__xludf.DUMMYFUNCTION("""COMPUTED_VALUE"""),"PPL")</f>
        <v>PPL</v>
      </c>
      <c r="I427" s="10" t="str">
        <f ca="1">IFERROR(__xludf.DUMMYFUNCTION("""COMPUTED_VALUE"""),"6102084512950002")</f>
        <v>6102084512950002</v>
      </c>
      <c r="J427" s="10" t="str">
        <f ca="1">IFERROR(__xludf.DUMMYFUNCTION("""COMPUTED_VALUE"""),"PENDATAAN PRODUSEN")</f>
        <v>PENDATAAN PRODUSEN</v>
      </c>
      <c r="K427" s="10" t="str">
        <f ca="1">IFERROR(__xludf.DUMMYFUNCTION("""COMPUTED_VALUE"""),"SHPED24-LAPANGAN-JULI-PPL-PENDATAAN PRODUSEN")</f>
        <v>SHPED24-LAPANGAN-JULI-PPL-PENDATAAN PRODUSEN</v>
      </c>
      <c r="L427" s="10" t="str">
        <f ca="1">IFERROR(__xludf.DUMMYFUNCTION("""COMPUTED_VALUE"""),"Dokumen")</f>
        <v>Dokumen</v>
      </c>
      <c r="M427" s="66">
        <f ca="1">IFERROR(__xludf.DUMMYFUNCTION("""COMPUTED_VALUE"""),55000)</f>
        <v>55000</v>
      </c>
      <c r="N427" s="10">
        <f ca="1">IFERROR(__xludf.DUMMYFUNCTION("""COMPUTED_VALUE"""),1)</f>
        <v>1</v>
      </c>
      <c r="O427" s="10">
        <f ca="1">IFERROR(__xludf.DUMMYFUNCTION("""COMPUTED_VALUE"""),55000)</f>
        <v>55000</v>
      </c>
      <c r="P427" s="10"/>
      <c r="Q427" s="67">
        <f ca="1">IFERROR(__xludf.DUMMYFUNCTION("""COMPUTED_VALUE"""),45493)</f>
        <v>45493</v>
      </c>
    </row>
    <row r="428" spans="1:17" ht="12.5">
      <c r="A428" s="82">
        <f t="array" aca="1" ref="A428" ca="1">INDEX('Database Mitra'!$R$2:$R1001,MATCH(C428,'Database Mitra'!$B$2:$B1001,0))</f>
        <v>29068</v>
      </c>
      <c r="B428" s="10" t="e">
        <f t="shared" ca="1" si="0"/>
        <v>#NAME?</v>
      </c>
      <c r="C428" s="83">
        <f ca="1">IFERROR(__xludf.DUMMYFUNCTION("""COMPUTED_VALUE"""),610422100124)</f>
        <v>610422100124</v>
      </c>
      <c r="D428" s="10" t="str">
        <f ca="1">IFERROR(__xludf.DUMMYFUNCTION("""COMPUTED_VALUE"""),"SHPED24-LAPANGAN-JULI")</f>
        <v>SHPED24-LAPANGAN-JULI</v>
      </c>
      <c r="E428" s="10"/>
      <c r="F428" s="10">
        <f ca="1">IFERROR(__xludf.DUMMYFUNCTION("""COMPUTED_VALUE"""),1)</f>
        <v>1</v>
      </c>
      <c r="G428" s="10" t="str">
        <f ca="1">IFERROR(__xludf.DUMMYFUNCTION("""COMPUTED_VALUE"""),"Prabowo")</f>
        <v>Prabowo</v>
      </c>
      <c r="H428" s="10" t="str">
        <f ca="1">IFERROR(__xludf.DUMMYFUNCTION("""COMPUTED_VALUE"""),"PPL")</f>
        <v>PPL</v>
      </c>
      <c r="I428" s="10" t="str">
        <f ca="1">IFERROR(__xludf.DUMMYFUNCTION("""COMPUTED_VALUE"""),"6171010108790015")</f>
        <v>6171010108790015</v>
      </c>
      <c r="J428" s="10" t="str">
        <f ca="1">IFERROR(__xludf.DUMMYFUNCTION("""COMPUTED_VALUE"""),"PENDATAAN PRODUSEN")</f>
        <v>PENDATAAN PRODUSEN</v>
      </c>
      <c r="K428" s="10" t="str">
        <f ca="1">IFERROR(__xludf.DUMMYFUNCTION("""COMPUTED_VALUE"""),"SHPED24-LAPANGAN-JULI-PPL-PENDATAAN PRODUSEN")</f>
        <v>SHPED24-LAPANGAN-JULI-PPL-PENDATAAN PRODUSEN</v>
      </c>
      <c r="L428" s="10" t="str">
        <f ca="1">IFERROR(__xludf.DUMMYFUNCTION("""COMPUTED_VALUE"""),"Dokumen")</f>
        <v>Dokumen</v>
      </c>
      <c r="M428" s="66">
        <f ca="1">IFERROR(__xludf.DUMMYFUNCTION("""COMPUTED_VALUE"""),55000)</f>
        <v>55000</v>
      </c>
      <c r="N428" s="10">
        <f ca="1">IFERROR(__xludf.DUMMYFUNCTION("""COMPUTED_VALUE"""),3)</f>
        <v>3</v>
      </c>
      <c r="O428" s="10">
        <f ca="1">IFERROR(__xludf.DUMMYFUNCTION("""COMPUTED_VALUE"""),165000)</f>
        <v>165000</v>
      </c>
      <c r="P428" s="10"/>
      <c r="Q428" s="67">
        <f ca="1">IFERROR(__xludf.DUMMYFUNCTION("""COMPUTED_VALUE"""),45493)</f>
        <v>45493</v>
      </c>
    </row>
    <row r="429" spans="1:17" ht="12.5">
      <c r="A429" s="82">
        <f t="array" aca="1" ref="A429" ca="1">INDEX('Database Mitra'!$R$2:$R1001,MATCH(C429,'Database Mitra'!$B$2:$B1001,0))</f>
        <v>32942</v>
      </c>
      <c r="B429" s="10" t="e">
        <f t="shared" ca="1" si="0"/>
        <v>#NAME?</v>
      </c>
      <c r="C429" s="83">
        <f ca="1">IFERROR(__xludf.DUMMYFUNCTION("""COMPUTED_VALUE"""),610422100244)</f>
        <v>610422100244</v>
      </c>
      <c r="D429" s="10" t="str">
        <f ca="1">IFERROR(__xludf.DUMMYFUNCTION("""COMPUTED_VALUE"""),"SHPED24-LAPANGAN-JULI")</f>
        <v>SHPED24-LAPANGAN-JULI</v>
      </c>
      <c r="E429" s="10"/>
      <c r="F429" s="10">
        <f ca="1">IFERROR(__xludf.DUMMYFUNCTION("""COMPUTED_VALUE"""),1)</f>
        <v>1</v>
      </c>
      <c r="G429" s="10" t="str">
        <f ca="1">IFERROR(__xludf.DUMMYFUNCTION("""COMPUTED_VALUE"""),"Sugianto")</f>
        <v>Sugianto</v>
      </c>
      <c r="H429" s="10" t="str">
        <f ca="1">IFERROR(__xludf.DUMMYFUNCTION("""COMPUTED_VALUE"""),"PPL")</f>
        <v>PPL</v>
      </c>
      <c r="I429" s="10" t="str">
        <f ca="1">IFERROR(__xludf.DUMMYFUNCTION("""COMPUTED_VALUE"""),"6102171003900002")</f>
        <v>6102171003900002</v>
      </c>
      <c r="J429" s="10" t="str">
        <f ca="1">IFERROR(__xludf.DUMMYFUNCTION("""COMPUTED_VALUE"""),"PENDATAAN PRODUSEN")</f>
        <v>PENDATAAN PRODUSEN</v>
      </c>
      <c r="K429" s="10" t="str">
        <f ca="1">IFERROR(__xludf.DUMMYFUNCTION("""COMPUTED_VALUE"""),"SHPED24-LAPANGAN-JULI-PPL-PENDATAAN PRODUSEN")</f>
        <v>SHPED24-LAPANGAN-JULI-PPL-PENDATAAN PRODUSEN</v>
      </c>
      <c r="L429" s="10" t="str">
        <f ca="1">IFERROR(__xludf.DUMMYFUNCTION("""COMPUTED_VALUE"""),"Dokumen")</f>
        <v>Dokumen</v>
      </c>
      <c r="M429" s="66">
        <f ca="1">IFERROR(__xludf.DUMMYFUNCTION("""COMPUTED_VALUE"""),55000)</f>
        <v>55000</v>
      </c>
      <c r="N429" s="10">
        <f ca="1">IFERROR(__xludf.DUMMYFUNCTION("""COMPUTED_VALUE"""),2)</f>
        <v>2</v>
      </c>
      <c r="O429" s="10">
        <f ca="1">IFERROR(__xludf.DUMMYFUNCTION("""COMPUTED_VALUE"""),110000)</f>
        <v>110000</v>
      </c>
      <c r="P429" s="10"/>
      <c r="Q429" s="67">
        <f ca="1">IFERROR(__xludf.DUMMYFUNCTION("""COMPUTED_VALUE"""),45493)</f>
        <v>45493</v>
      </c>
    </row>
    <row r="430" spans="1:17" ht="12.5">
      <c r="A430" s="11">
        <f t="array" aca="1" ref="A430" ca="1">INDEX('Database Mitra'!$R$2:$R1001,MATCH(C430,'Database Mitra'!$B$2:$B1001,0))</f>
        <v>34895</v>
      </c>
      <c r="B430" s="10" t="e">
        <f t="shared" ca="1" si="0"/>
        <v>#NAME?</v>
      </c>
      <c r="C430" s="83">
        <f ca="1">IFERROR(__xludf.DUMMYFUNCTION("""COMPUTED_VALUE"""),610422020016)</f>
        <v>610422020016</v>
      </c>
      <c r="D430" s="10" t="str">
        <f ca="1">IFERROR(__xludf.DUMMYFUNCTION("""COMPUTED_VALUE"""),"SHPED24-LAPANGAN-JULI")</f>
        <v>SHPED24-LAPANGAN-JULI</v>
      </c>
      <c r="E430" s="10"/>
      <c r="F430" s="10">
        <f ca="1">IFERROR(__xludf.DUMMYFUNCTION("""COMPUTED_VALUE"""),1)</f>
        <v>1</v>
      </c>
      <c r="G430" s="10" t="str">
        <f ca="1">IFERROR(__xludf.DUMMYFUNCTION("""COMPUTED_VALUE"""),"Abdul Aziz")</f>
        <v>Abdul Aziz</v>
      </c>
      <c r="H430" s="10" t="str">
        <f ca="1">IFERROR(__xludf.DUMMYFUNCTION("""COMPUTED_VALUE"""),"PPL")</f>
        <v>PPL</v>
      </c>
      <c r="I430" s="10" t="str">
        <f ca="1">IFERROR(__xludf.DUMMYFUNCTION("""COMPUTED_VALUE"""),"6102061507950006")</f>
        <v>6102061507950006</v>
      </c>
      <c r="J430" s="10" t="str">
        <f ca="1">IFERROR(__xludf.DUMMYFUNCTION("""COMPUTED_VALUE"""),"PENDATAAN PRODUSEN")</f>
        <v>PENDATAAN PRODUSEN</v>
      </c>
      <c r="K430" s="10" t="str">
        <f ca="1">IFERROR(__xludf.DUMMYFUNCTION("""COMPUTED_VALUE"""),"SHPED24-LAPANGAN-JULI-PPL-PENDATAAN PRODUSEN")</f>
        <v>SHPED24-LAPANGAN-JULI-PPL-PENDATAAN PRODUSEN</v>
      </c>
      <c r="L430" s="10" t="str">
        <f ca="1">IFERROR(__xludf.DUMMYFUNCTION("""COMPUTED_VALUE"""),"Dokumen")</f>
        <v>Dokumen</v>
      </c>
      <c r="M430" s="66">
        <f ca="1">IFERROR(__xludf.DUMMYFUNCTION("""COMPUTED_VALUE"""),55000)</f>
        <v>55000</v>
      </c>
      <c r="N430" s="10">
        <f ca="1">IFERROR(__xludf.DUMMYFUNCTION("""COMPUTED_VALUE"""),3)</f>
        <v>3</v>
      </c>
      <c r="O430" s="10">
        <f ca="1">IFERROR(__xludf.DUMMYFUNCTION("""COMPUTED_VALUE"""),165000)</f>
        <v>165000</v>
      </c>
      <c r="P430" s="10"/>
      <c r="Q430" s="67">
        <f ca="1">IFERROR(__xludf.DUMMYFUNCTION("""COMPUTED_VALUE"""),45493)</f>
        <v>45493</v>
      </c>
    </row>
    <row r="431" spans="1:17" ht="12.5">
      <c r="A431" s="82">
        <f t="array" aca="1" ref="A431" ca="1">INDEX('Database Mitra'!$R$2:$R1001,MATCH(C431,'Database Mitra'!$B$2:$B1001,0))</f>
        <v>37531</v>
      </c>
      <c r="B431" s="10" t="e">
        <f t="shared" ca="1" si="0"/>
        <v>#NAME?</v>
      </c>
      <c r="C431" s="83">
        <f ca="1">IFERROR(__xludf.DUMMYFUNCTION("""COMPUTED_VALUE"""),610422100016)</f>
        <v>610422100016</v>
      </c>
      <c r="D431" s="10" t="str">
        <f ca="1">IFERROR(__xludf.DUMMYFUNCTION("""COMPUTED_VALUE"""),"SHPED24-LAPANGAN-JULI")</f>
        <v>SHPED24-LAPANGAN-JULI</v>
      </c>
      <c r="E431" s="10"/>
      <c r="F431" s="10">
        <f ca="1">IFERROR(__xludf.DUMMYFUNCTION("""COMPUTED_VALUE"""),1)</f>
        <v>1</v>
      </c>
      <c r="G431" s="10" t="str">
        <f ca="1">IFERROR(__xludf.DUMMYFUNCTION("""COMPUTED_VALUE"""),"Amalia Faisya")</f>
        <v>Amalia Faisya</v>
      </c>
      <c r="H431" s="10" t="str">
        <f ca="1">IFERROR(__xludf.DUMMYFUNCTION("""COMPUTED_VALUE"""),"PPL")</f>
        <v>PPL</v>
      </c>
      <c r="I431" s="10" t="str">
        <f ca="1">IFERROR(__xludf.DUMMYFUNCTION("""COMPUTED_VALUE"""),"6102124210010005")</f>
        <v>6102124210010005</v>
      </c>
      <c r="J431" s="10" t="str">
        <f ca="1">IFERROR(__xludf.DUMMYFUNCTION("""COMPUTED_VALUE"""),"PENDATAAN PRODUSEN")</f>
        <v>PENDATAAN PRODUSEN</v>
      </c>
      <c r="K431" s="10" t="str">
        <f ca="1">IFERROR(__xludf.DUMMYFUNCTION("""COMPUTED_VALUE"""),"SHPED24-LAPANGAN-JULI-PPL-PENDATAAN PRODUSEN")</f>
        <v>SHPED24-LAPANGAN-JULI-PPL-PENDATAAN PRODUSEN</v>
      </c>
      <c r="L431" s="10" t="str">
        <f ca="1">IFERROR(__xludf.DUMMYFUNCTION("""COMPUTED_VALUE"""),"Dokumen")</f>
        <v>Dokumen</v>
      </c>
      <c r="M431" s="66">
        <f ca="1">IFERROR(__xludf.DUMMYFUNCTION("""COMPUTED_VALUE"""),55000)</f>
        <v>55000</v>
      </c>
      <c r="N431" s="10">
        <f ca="1">IFERROR(__xludf.DUMMYFUNCTION("""COMPUTED_VALUE"""),1)</f>
        <v>1</v>
      </c>
      <c r="O431" s="10">
        <f ca="1">IFERROR(__xludf.DUMMYFUNCTION("""COMPUTED_VALUE"""),55000)</f>
        <v>55000</v>
      </c>
      <c r="P431" s="10"/>
      <c r="Q431" s="67">
        <f ca="1">IFERROR(__xludf.DUMMYFUNCTION("""COMPUTED_VALUE"""),45493)</f>
        <v>45493</v>
      </c>
    </row>
    <row r="432" spans="1:17" ht="12.5">
      <c r="A432" s="11">
        <f t="array" aca="1" ref="A432" ca="1">INDEX('Database Mitra'!$R$2:$R1001,MATCH(C432,'Database Mitra'!$B$2:$B1001,0))</f>
        <v>29305</v>
      </c>
      <c r="B432" s="10" t="e">
        <f t="shared" ca="1" si="0"/>
        <v>#NAME?</v>
      </c>
      <c r="C432" s="83">
        <f ca="1">IFERROR(__xludf.DUMMYFUNCTION("""COMPUTED_VALUE"""),610422020048)</f>
        <v>610422020048</v>
      </c>
      <c r="D432" s="10" t="str">
        <f ca="1">IFERROR(__xludf.DUMMYFUNCTION("""COMPUTED_VALUE"""),"SHPED24-LAPANGAN-JULI")</f>
        <v>SHPED24-LAPANGAN-JULI</v>
      </c>
      <c r="E432" s="10"/>
      <c r="F432" s="10">
        <f ca="1">IFERROR(__xludf.DUMMYFUNCTION("""COMPUTED_VALUE"""),1)</f>
        <v>1</v>
      </c>
      <c r="G432" s="10" t="str">
        <f ca="1">IFERROR(__xludf.DUMMYFUNCTION("""COMPUTED_VALUE"""),"Herri Gustaman")</f>
        <v>Herri Gustaman</v>
      </c>
      <c r="H432" s="10" t="str">
        <f ca="1">IFERROR(__xludf.DUMMYFUNCTION("""COMPUTED_VALUE"""),"PPL")</f>
        <v>PPL</v>
      </c>
      <c r="I432" s="10" t="str">
        <f ca="1">IFERROR(__xludf.DUMMYFUNCTION("""COMPUTED_VALUE"""),"6102072503800001")</f>
        <v>6102072503800001</v>
      </c>
      <c r="J432" s="10" t="str">
        <f ca="1">IFERROR(__xludf.DUMMYFUNCTION("""COMPUTED_VALUE"""),"PENDATAAN PRODUSEN")</f>
        <v>PENDATAAN PRODUSEN</v>
      </c>
      <c r="K432" s="10" t="str">
        <f ca="1">IFERROR(__xludf.DUMMYFUNCTION("""COMPUTED_VALUE"""),"SHPED24-LAPANGAN-JULI-PPL-PENDATAAN PRODUSEN")</f>
        <v>SHPED24-LAPANGAN-JULI-PPL-PENDATAAN PRODUSEN</v>
      </c>
      <c r="L432" s="10" t="str">
        <f ca="1">IFERROR(__xludf.DUMMYFUNCTION("""COMPUTED_VALUE"""),"Dokumen")</f>
        <v>Dokumen</v>
      </c>
      <c r="M432" s="66">
        <f ca="1">IFERROR(__xludf.DUMMYFUNCTION("""COMPUTED_VALUE"""),55000)</f>
        <v>55000</v>
      </c>
      <c r="N432" s="10">
        <f ca="1">IFERROR(__xludf.DUMMYFUNCTION("""COMPUTED_VALUE"""),3)</f>
        <v>3</v>
      </c>
      <c r="O432" s="10">
        <f ca="1">IFERROR(__xludf.DUMMYFUNCTION("""COMPUTED_VALUE"""),165000)</f>
        <v>165000</v>
      </c>
      <c r="P432" s="10"/>
      <c r="Q432" s="67">
        <f ca="1">IFERROR(__xludf.DUMMYFUNCTION("""COMPUTED_VALUE"""),45493)</f>
        <v>45493</v>
      </c>
    </row>
    <row r="433" spans="1:17" ht="12.5">
      <c r="A433" s="82">
        <f t="array" aca="1" ref="A433" ca="1">INDEX('Database Mitra'!$R$2:$R1001,MATCH(C433,'Database Mitra'!$B$2:$B1001,0))</f>
        <v>31964</v>
      </c>
      <c r="B433" s="10" t="e">
        <f t="shared" ca="1" si="0"/>
        <v>#NAME?</v>
      </c>
      <c r="C433" s="83">
        <f ca="1">IFERROR(__xludf.DUMMYFUNCTION("""COMPUTED_VALUE"""),610422040029)</f>
        <v>610422040029</v>
      </c>
      <c r="D433" s="10" t="str">
        <f ca="1">IFERROR(__xludf.DUMMYFUNCTION("""COMPUTED_VALUE"""),"SHPED24-LAPANGAN-JULI")</f>
        <v>SHPED24-LAPANGAN-JULI</v>
      </c>
      <c r="E433" s="10"/>
      <c r="F433" s="10">
        <f ca="1">IFERROR(__xludf.DUMMYFUNCTION("""COMPUTED_VALUE"""),1)</f>
        <v>1</v>
      </c>
      <c r="G433" s="10" t="str">
        <f ca="1">IFERROR(__xludf.DUMMYFUNCTION("""COMPUTED_VALUE"""),"Zaini")</f>
        <v>Zaini</v>
      </c>
      <c r="H433" s="10" t="str">
        <f ca="1">IFERROR(__xludf.DUMMYFUNCTION("""COMPUTED_VALUE"""),"PPL")</f>
        <v>PPL</v>
      </c>
      <c r="I433" s="10" t="str">
        <f ca="1">IFERROR(__xludf.DUMMYFUNCTION("""COMPUTED_VALUE"""),"6102010607870002")</f>
        <v>6102010607870002</v>
      </c>
      <c r="J433" s="10" t="str">
        <f ca="1">IFERROR(__xludf.DUMMYFUNCTION("""COMPUTED_VALUE"""),"PENDATAAN PRODUSEN")</f>
        <v>PENDATAAN PRODUSEN</v>
      </c>
      <c r="K433" s="10" t="str">
        <f ca="1">IFERROR(__xludf.DUMMYFUNCTION("""COMPUTED_VALUE"""),"SHPED24-LAPANGAN-JULI-PPL-PENDATAAN PRODUSEN")</f>
        <v>SHPED24-LAPANGAN-JULI-PPL-PENDATAAN PRODUSEN</v>
      </c>
      <c r="L433" s="10" t="str">
        <f ca="1">IFERROR(__xludf.DUMMYFUNCTION("""COMPUTED_VALUE"""),"Dokumen")</f>
        <v>Dokumen</v>
      </c>
      <c r="M433" s="66">
        <f ca="1">IFERROR(__xludf.DUMMYFUNCTION("""COMPUTED_VALUE"""),55000)</f>
        <v>55000</v>
      </c>
      <c r="N433" s="10">
        <f ca="1">IFERROR(__xludf.DUMMYFUNCTION("""COMPUTED_VALUE"""),4)</f>
        <v>4</v>
      </c>
      <c r="O433" s="10">
        <f ca="1">IFERROR(__xludf.DUMMYFUNCTION("""COMPUTED_VALUE"""),220000)</f>
        <v>220000</v>
      </c>
      <c r="P433" s="10"/>
      <c r="Q433" s="67">
        <f ca="1">IFERROR(__xludf.DUMMYFUNCTION("""COMPUTED_VALUE"""),45493)</f>
        <v>45493</v>
      </c>
    </row>
    <row r="434" spans="1:17" ht="12.5">
      <c r="A434" s="82">
        <f t="array" aca="1" ref="A434" ca="1">INDEX('Database Mitra'!$R$2:$R1001,MATCH(C434,'Database Mitra'!$B$2:$B1001,0))</f>
        <v>30692</v>
      </c>
      <c r="B434" s="10" t="e">
        <f t="shared" ca="1" si="0"/>
        <v>#NAME?</v>
      </c>
      <c r="C434" s="83">
        <f ca="1">IFERROR(__xludf.DUMMYFUNCTION("""COMPUTED_VALUE"""),610422050001)</f>
        <v>610422050001</v>
      </c>
      <c r="D434" s="10" t="str">
        <f ca="1">IFERROR(__xludf.DUMMYFUNCTION("""COMPUTED_VALUE"""),"SHPED24-LAPANGAN-JULI")</f>
        <v>SHPED24-LAPANGAN-JULI</v>
      </c>
      <c r="E434" s="10"/>
      <c r="F434" s="10">
        <f ca="1">IFERROR(__xludf.DUMMYFUNCTION("""COMPUTED_VALUE"""),1)</f>
        <v>1</v>
      </c>
      <c r="G434" s="10" t="str">
        <f ca="1">IFERROR(__xludf.DUMMYFUNCTION("""COMPUTED_VALUE"""),"Evi Juniarty")</f>
        <v>Evi Juniarty</v>
      </c>
      <c r="H434" s="10" t="str">
        <f ca="1">IFERROR(__xludf.DUMMYFUNCTION("""COMPUTED_VALUE"""),"PPL")</f>
        <v>PPL</v>
      </c>
      <c r="I434" s="10" t="str">
        <f ca="1">IFERROR(__xludf.DUMMYFUNCTION("""COMPUTED_VALUE"""),"6102165101840001")</f>
        <v>6102165101840001</v>
      </c>
      <c r="J434" s="10" t="str">
        <f ca="1">IFERROR(__xludf.DUMMYFUNCTION("""COMPUTED_VALUE"""),"PENDATAAN PRODUSEN")</f>
        <v>PENDATAAN PRODUSEN</v>
      </c>
      <c r="K434" s="10" t="str">
        <f ca="1">IFERROR(__xludf.DUMMYFUNCTION("""COMPUTED_VALUE"""),"SHPED24-LAPANGAN-JULI-PPL-PENDATAAN PRODUSEN")</f>
        <v>SHPED24-LAPANGAN-JULI-PPL-PENDATAAN PRODUSEN</v>
      </c>
      <c r="L434" s="10" t="str">
        <f ca="1">IFERROR(__xludf.DUMMYFUNCTION("""COMPUTED_VALUE"""),"Dokumen")</f>
        <v>Dokumen</v>
      </c>
      <c r="M434" s="66">
        <f ca="1">IFERROR(__xludf.DUMMYFUNCTION("""COMPUTED_VALUE"""),55000)</f>
        <v>55000</v>
      </c>
      <c r="N434" s="10">
        <f ca="1">IFERROR(__xludf.DUMMYFUNCTION("""COMPUTED_VALUE"""),1)</f>
        <v>1</v>
      </c>
      <c r="O434" s="10">
        <f ca="1">IFERROR(__xludf.DUMMYFUNCTION("""COMPUTED_VALUE"""),55000)</f>
        <v>55000</v>
      </c>
      <c r="P434" s="10"/>
      <c r="Q434" s="67">
        <f ca="1">IFERROR(__xludf.DUMMYFUNCTION("""COMPUTED_VALUE"""),45493)</f>
        <v>45493</v>
      </c>
    </row>
    <row r="435" spans="1:17" ht="12.5">
      <c r="A435" s="82">
        <f t="array" aca="1" ref="A435" ca="1">INDEX('Database Mitra'!$R$2:$R1001,MATCH(C435,'Database Mitra'!$B$2:$B1001,0))</f>
        <v>29068</v>
      </c>
      <c r="B435" s="10" t="e">
        <f t="shared" ca="1" si="0"/>
        <v>#NAME?</v>
      </c>
      <c r="C435" s="83">
        <f ca="1">IFERROR(__xludf.DUMMYFUNCTION("""COMPUTED_VALUE"""),610422100124)</f>
        <v>610422100124</v>
      </c>
      <c r="D435" s="10" t="str">
        <f ca="1">IFERROR(__xludf.DUMMYFUNCTION("""COMPUTED_VALUE"""),"HPBG24-LAPANGAN-JULI")</f>
        <v>HPBG24-LAPANGAN-JULI</v>
      </c>
      <c r="E435" s="10"/>
      <c r="F435" s="10">
        <f ca="1">IFERROR(__xludf.DUMMYFUNCTION("""COMPUTED_VALUE"""),1)</f>
        <v>1</v>
      </c>
      <c r="G435" s="10" t="str">
        <f ca="1">IFERROR(__xludf.DUMMYFUNCTION("""COMPUTED_VALUE"""),"Prabowo")</f>
        <v>Prabowo</v>
      </c>
      <c r="H435" s="10" t="str">
        <f ca="1">IFERROR(__xludf.DUMMYFUNCTION("""COMPUTED_VALUE"""),"PPL")</f>
        <v>PPL</v>
      </c>
      <c r="I435" s="10" t="str">
        <f ca="1">IFERROR(__xludf.DUMMYFUNCTION("""COMPUTED_VALUE"""),"6171010108790015")</f>
        <v>6171010108790015</v>
      </c>
      <c r="J435" s="10" t="str">
        <f ca="1">IFERROR(__xludf.DUMMYFUNCTION("""COMPUTED_VALUE"""),"PENDATAAN")</f>
        <v>PENDATAAN</v>
      </c>
      <c r="K435" s="10" t="str">
        <f ca="1">IFERROR(__xludf.DUMMYFUNCTION("""COMPUTED_VALUE"""),"HPBG24-LAPANGAN-JULI-PPL-PENDATAAN")</f>
        <v>HPBG24-LAPANGAN-JULI-PPL-PENDATAAN</v>
      </c>
      <c r="L435" s="10" t="str">
        <f ca="1">IFERROR(__xludf.DUMMYFUNCTION("""COMPUTED_VALUE"""),"Dokumen")</f>
        <v>Dokumen</v>
      </c>
      <c r="M435" s="66">
        <f ca="1">IFERROR(__xludf.DUMMYFUNCTION("""COMPUTED_VALUE"""),55000)</f>
        <v>55000</v>
      </c>
      <c r="N435" s="10">
        <f ca="1">IFERROR(__xludf.DUMMYFUNCTION("""COMPUTED_VALUE"""),2)</f>
        <v>2</v>
      </c>
      <c r="O435" s="10">
        <f ca="1">IFERROR(__xludf.DUMMYFUNCTION("""COMPUTED_VALUE"""),110000)</f>
        <v>110000</v>
      </c>
      <c r="P435" s="10"/>
      <c r="Q435" s="67">
        <f ca="1">IFERROR(__xludf.DUMMYFUNCTION("""COMPUTED_VALUE"""),45493)</f>
        <v>45493</v>
      </c>
    </row>
    <row r="436" spans="1:17" ht="12.5">
      <c r="A436" s="82">
        <f t="array" aca="1" ref="A436" ca="1">INDEX('Database Mitra'!$R$2:$R1001,MATCH(C436,'Database Mitra'!$B$2:$B1001,0))</f>
        <v>32942</v>
      </c>
      <c r="B436" s="10" t="e">
        <f t="shared" ca="1" si="0"/>
        <v>#NAME?</v>
      </c>
      <c r="C436" s="83">
        <f ca="1">IFERROR(__xludf.DUMMYFUNCTION("""COMPUTED_VALUE"""),610422100244)</f>
        <v>610422100244</v>
      </c>
      <c r="D436" s="10" t="str">
        <f ca="1">IFERROR(__xludf.DUMMYFUNCTION("""COMPUTED_VALUE"""),"HPBG24-LAPANGAN-JULI")</f>
        <v>HPBG24-LAPANGAN-JULI</v>
      </c>
      <c r="E436" s="10"/>
      <c r="F436" s="10">
        <f ca="1">IFERROR(__xludf.DUMMYFUNCTION("""COMPUTED_VALUE"""),1)</f>
        <v>1</v>
      </c>
      <c r="G436" s="10" t="str">
        <f ca="1">IFERROR(__xludf.DUMMYFUNCTION("""COMPUTED_VALUE"""),"Sugianto")</f>
        <v>Sugianto</v>
      </c>
      <c r="H436" s="10" t="str">
        <f ca="1">IFERROR(__xludf.DUMMYFUNCTION("""COMPUTED_VALUE"""),"PPL")</f>
        <v>PPL</v>
      </c>
      <c r="I436" s="10" t="str">
        <f ca="1">IFERROR(__xludf.DUMMYFUNCTION("""COMPUTED_VALUE"""),"6102171003900002")</f>
        <v>6102171003900002</v>
      </c>
      <c r="J436" s="10" t="str">
        <f ca="1">IFERROR(__xludf.DUMMYFUNCTION("""COMPUTED_VALUE"""),"PENDATAAN")</f>
        <v>PENDATAAN</v>
      </c>
      <c r="K436" s="10" t="str">
        <f ca="1">IFERROR(__xludf.DUMMYFUNCTION("""COMPUTED_VALUE"""),"HPBG24-LAPANGAN-JULI-PPL-PENDATAAN")</f>
        <v>HPBG24-LAPANGAN-JULI-PPL-PENDATAAN</v>
      </c>
      <c r="L436" s="10" t="str">
        <f ca="1">IFERROR(__xludf.DUMMYFUNCTION("""COMPUTED_VALUE"""),"Dokumen")</f>
        <v>Dokumen</v>
      </c>
      <c r="M436" s="66">
        <f ca="1">IFERROR(__xludf.DUMMYFUNCTION("""COMPUTED_VALUE"""),55000)</f>
        <v>55000</v>
      </c>
      <c r="N436" s="10">
        <f ca="1">IFERROR(__xludf.DUMMYFUNCTION("""COMPUTED_VALUE"""),2)</f>
        <v>2</v>
      </c>
      <c r="O436" s="10">
        <f ca="1">IFERROR(__xludf.DUMMYFUNCTION("""COMPUTED_VALUE"""),110000)</f>
        <v>110000</v>
      </c>
      <c r="P436" s="10"/>
      <c r="Q436" s="67">
        <f ca="1">IFERROR(__xludf.DUMMYFUNCTION("""COMPUTED_VALUE"""),45493)</f>
        <v>45493</v>
      </c>
    </row>
    <row r="437" spans="1:17" ht="12.5">
      <c r="A437" s="82">
        <f t="array" aca="1" ref="A437" ca="1">INDEX('Database Mitra'!$R$2:$R1001,MATCH(C437,'Database Mitra'!$B$2:$B1001,0))</f>
        <v>35862</v>
      </c>
      <c r="B437" s="10" t="e">
        <f t="shared" ca="1" si="0"/>
        <v>#NAME?</v>
      </c>
      <c r="C437" s="83">
        <f ca="1">IFERROR(__xludf.DUMMYFUNCTION("""COMPUTED_VALUE"""),610422100165)</f>
        <v>610422100165</v>
      </c>
      <c r="D437" s="10" t="str">
        <f ca="1">IFERROR(__xludf.DUMMYFUNCTION("""COMPUTED_VALUE"""),"HPBG24-LAPANGAN-JULI")</f>
        <v>HPBG24-LAPANGAN-JULI</v>
      </c>
      <c r="E437" s="10"/>
      <c r="F437" s="10">
        <f ca="1">IFERROR(__xludf.DUMMYFUNCTION("""COMPUTED_VALUE"""),1)</f>
        <v>1</v>
      </c>
      <c r="G437" s="10" t="str">
        <f ca="1">IFERROR(__xludf.DUMMYFUNCTION("""COMPUTED_VALUE"""),"Yanti")</f>
        <v>Yanti</v>
      </c>
      <c r="H437" s="10" t="str">
        <f ca="1">IFERROR(__xludf.DUMMYFUNCTION("""COMPUTED_VALUE"""),"PPL")</f>
        <v>PPL</v>
      </c>
      <c r="I437" s="10" t="str">
        <f ca="1">IFERROR(__xludf.DUMMYFUNCTION("""COMPUTED_VALUE"""),"6102074803980002")</f>
        <v>6102074803980002</v>
      </c>
      <c r="J437" s="10" t="str">
        <f ca="1">IFERROR(__xludf.DUMMYFUNCTION("""COMPUTED_VALUE"""),"PENDATAAN")</f>
        <v>PENDATAAN</v>
      </c>
      <c r="K437" s="10" t="str">
        <f ca="1">IFERROR(__xludf.DUMMYFUNCTION("""COMPUTED_VALUE"""),"HPBG24-LAPANGAN-JULI-PPL-PENDATAAN")</f>
        <v>HPBG24-LAPANGAN-JULI-PPL-PENDATAAN</v>
      </c>
      <c r="L437" s="10" t="str">
        <f ca="1">IFERROR(__xludf.DUMMYFUNCTION("""COMPUTED_VALUE"""),"Dokumen")</f>
        <v>Dokumen</v>
      </c>
      <c r="M437" s="66">
        <f ca="1">IFERROR(__xludf.DUMMYFUNCTION("""COMPUTED_VALUE"""),55000)</f>
        <v>55000</v>
      </c>
      <c r="N437" s="10">
        <f ca="1">IFERROR(__xludf.DUMMYFUNCTION("""COMPUTED_VALUE"""),2)</f>
        <v>2</v>
      </c>
      <c r="O437" s="10">
        <f ca="1">IFERROR(__xludf.DUMMYFUNCTION("""COMPUTED_VALUE"""),110000)</f>
        <v>110000</v>
      </c>
      <c r="P437" s="10"/>
      <c r="Q437" s="67">
        <f ca="1">IFERROR(__xludf.DUMMYFUNCTION("""COMPUTED_VALUE"""),45493)</f>
        <v>45493</v>
      </c>
    </row>
    <row r="438" spans="1:17" ht="12.5">
      <c r="A438" s="82">
        <f t="array" aca="1" ref="A438" ca="1">INDEX('Database Mitra'!$R$2:$R1001,MATCH(C438,'Database Mitra'!$B$2:$B1001,0))</f>
        <v>35862</v>
      </c>
      <c r="B438" s="10" t="e">
        <f t="shared" ca="1" si="0"/>
        <v>#NAME?</v>
      </c>
      <c r="C438" s="83">
        <f ca="1">IFERROR(__xludf.DUMMYFUNCTION("""COMPUTED_VALUE"""),610422100165)</f>
        <v>610422100165</v>
      </c>
      <c r="D438" s="10" t="str">
        <f ca="1">IFERROR(__xludf.DUMMYFUNCTION("""COMPUTED_VALUE"""),"HPJ24-LAPANGAN-JULI")</f>
        <v>HPJ24-LAPANGAN-JULI</v>
      </c>
      <c r="E438" s="10"/>
      <c r="F438" s="10">
        <f ca="1">IFERROR(__xludf.DUMMYFUNCTION("""COMPUTED_VALUE"""),1)</f>
        <v>1</v>
      </c>
      <c r="G438" s="10" t="str">
        <f ca="1">IFERROR(__xludf.DUMMYFUNCTION("""COMPUTED_VALUE"""),"Yanti")</f>
        <v>Yanti</v>
      </c>
      <c r="H438" s="10" t="str">
        <f ca="1">IFERROR(__xludf.DUMMYFUNCTION("""COMPUTED_VALUE"""),"PPL")</f>
        <v>PPL</v>
      </c>
      <c r="I438" s="10" t="str">
        <f ca="1">IFERROR(__xludf.DUMMYFUNCTION("""COMPUTED_VALUE"""),"6102074803980002")</f>
        <v>6102074803980002</v>
      </c>
      <c r="J438" s="10" t="str">
        <f ca="1">IFERROR(__xludf.DUMMYFUNCTION("""COMPUTED_VALUE"""),"PENDATAAN")</f>
        <v>PENDATAAN</v>
      </c>
      <c r="K438" s="10" t="str">
        <f ca="1">IFERROR(__xludf.DUMMYFUNCTION("""COMPUTED_VALUE"""),"HPJ24-LAPANGAN-JULI-PPL-PENDATAAN")</f>
        <v>HPJ24-LAPANGAN-JULI-PPL-PENDATAAN</v>
      </c>
      <c r="L438" s="10" t="str">
        <f ca="1">IFERROR(__xludf.DUMMYFUNCTION("""COMPUTED_VALUE"""),"Dokumen")</f>
        <v>Dokumen</v>
      </c>
      <c r="M438" s="66">
        <f ca="1">IFERROR(__xludf.DUMMYFUNCTION("""COMPUTED_VALUE"""),50000)</f>
        <v>50000</v>
      </c>
      <c r="N438" s="10">
        <f ca="1">IFERROR(__xludf.DUMMYFUNCTION("""COMPUTED_VALUE"""),1)</f>
        <v>1</v>
      </c>
      <c r="O438" s="10">
        <f ca="1">IFERROR(__xludf.DUMMYFUNCTION("""COMPUTED_VALUE"""),50000)</f>
        <v>50000</v>
      </c>
      <c r="P438" s="10"/>
      <c r="Q438" s="67">
        <f ca="1">IFERROR(__xludf.DUMMYFUNCTION("""COMPUTED_VALUE"""),45493)</f>
        <v>45493</v>
      </c>
    </row>
    <row r="439" spans="1:17" ht="12.5">
      <c r="A439" s="82">
        <f t="array" aca="1" ref="A439" ca="1">INDEX('Database Mitra'!$R$2:$R1001,MATCH(C439,'Database Mitra'!$B$2:$B1001,0))</f>
        <v>31964</v>
      </c>
      <c r="B439" s="10" t="e">
        <f t="shared" ca="1" si="0"/>
        <v>#NAME?</v>
      </c>
      <c r="C439" s="83">
        <f ca="1">IFERROR(__xludf.DUMMYFUNCTION("""COMPUTED_VALUE"""),610422040029)</f>
        <v>610422040029</v>
      </c>
      <c r="D439" s="10" t="str">
        <f ca="1">IFERROR(__xludf.DUMMYFUNCTION("""COMPUTED_VALUE"""),"VHTS24-LAPANGAN-JULI")</f>
        <v>VHTS24-LAPANGAN-JULI</v>
      </c>
      <c r="E439" s="10"/>
      <c r="F439" s="10">
        <f ca="1">IFERROR(__xludf.DUMMYFUNCTION("""COMPUTED_VALUE"""),1)</f>
        <v>1</v>
      </c>
      <c r="G439" s="10" t="str">
        <f ca="1">IFERROR(__xludf.DUMMYFUNCTION("""COMPUTED_VALUE"""),"Zaini")</f>
        <v>Zaini</v>
      </c>
      <c r="H439" s="10" t="str">
        <f ca="1">IFERROR(__xludf.DUMMYFUNCTION("""COMPUTED_VALUE"""),"PPL")</f>
        <v>PPL</v>
      </c>
      <c r="I439" s="10" t="str">
        <f ca="1">IFERROR(__xludf.DUMMYFUNCTION("""COMPUTED_VALUE"""),"6102010607870002")</f>
        <v>6102010607870002</v>
      </c>
      <c r="J439" s="10" t="str">
        <f ca="1">IFERROR(__xludf.DUMMYFUNCTION("""COMPUTED_VALUE"""),"PENDATAAN")</f>
        <v>PENDATAAN</v>
      </c>
      <c r="K439" s="10" t="str">
        <f ca="1">IFERROR(__xludf.DUMMYFUNCTION("""COMPUTED_VALUE"""),"VHTS24-LAPANGAN-JULI-PPL-PENDATAAN")</f>
        <v>VHTS24-LAPANGAN-JULI-PPL-PENDATAAN</v>
      </c>
      <c r="L439" s="10" t="str">
        <f ca="1">IFERROR(__xludf.DUMMYFUNCTION("""COMPUTED_VALUE"""),"Dokumen")</f>
        <v>Dokumen</v>
      </c>
      <c r="M439" s="66">
        <f ca="1">IFERROR(__xludf.DUMMYFUNCTION("""COMPUTED_VALUE"""),55000)</f>
        <v>55000</v>
      </c>
      <c r="N439" s="10">
        <f ca="1">IFERROR(__xludf.DUMMYFUNCTION("""COMPUTED_VALUE"""),3)</f>
        <v>3</v>
      </c>
      <c r="O439" s="10">
        <f ca="1">IFERROR(__xludf.DUMMYFUNCTION("""COMPUTED_VALUE"""),165000)</f>
        <v>165000</v>
      </c>
      <c r="P439" s="10"/>
      <c r="Q439" s="67">
        <f ca="1">IFERROR(__xludf.DUMMYFUNCTION("""COMPUTED_VALUE"""),45493)</f>
        <v>45493</v>
      </c>
    </row>
    <row r="440" spans="1:17" ht="12.5">
      <c r="A440" s="82">
        <f t="array" aca="1" ref="A440" ca="1">INDEX('Database Mitra'!$R$2:$R1001,MATCH(C440,'Database Mitra'!$B$2:$B1001,0))</f>
        <v>35862</v>
      </c>
      <c r="B440" s="10" t="e">
        <f t="shared" ca="1" si="0"/>
        <v>#NAME?</v>
      </c>
      <c r="C440" s="83">
        <f ca="1">IFERROR(__xludf.DUMMYFUNCTION("""COMPUTED_VALUE"""),610422100165)</f>
        <v>610422100165</v>
      </c>
      <c r="D440" s="10" t="str">
        <f ca="1">IFERROR(__xludf.DUMMYFUNCTION("""COMPUTED_VALUE"""),"VHTS24-LAPANGAN-JULI")</f>
        <v>VHTS24-LAPANGAN-JULI</v>
      </c>
      <c r="E440" s="10"/>
      <c r="F440" s="10">
        <f ca="1">IFERROR(__xludf.DUMMYFUNCTION("""COMPUTED_VALUE"""),1)</f>
        <v>1</v>
      </c>
      <c r="G440" s="10" t="str">
        <f ca="1">IFERROR(__xludf.DUMMYFUNCTION("""COMPUTED_VALUE"""),"Yanti")</f>
        <v>Yanti</v>
      </c>
      <c r="H440" s="10" t="str">
        <f ca="1">IFERROR(__xludf.DUMMYFUNCTION("""COMPUTED_VALUE"""),"PPL")</f>
        <v>PPL</v>
      </c>
      <c r="I440" s="10" t="str">
        <f ca="1">IFERROR(__xludf.DUMMYFUNCTION("""COMPUTED_VALUE"""),"6102074803980002")</f>
        <v>6102074803980002</v>
      </c>
      <c r="J440" s="10" t="str">
        <f ca="1">IFERROR(__xludf.DUMMYFUNCTION("""COMPUTED_VALUE"""),"PENDATAAN")</f>
        <v>PENDATAAN</v>
      </c>
      <c r="K440" s="10" t="str">
        <f ca="1">IFERROR(__xludf.DUMMYFUNCTION("""COMPUTED_VALUE"""),"VHTS24-LAPANGAN-JULI-PPL-PENDATAAN")</f>
        <v>VHTS24-LAPANGAN-JULI-PPL-PENDATAAN</v>
      </c>
      <c r="L440" s="10" t="str">
        <f ca="1">IFERROR(__xludf.DUMMYFUNCTION("""COMPUTED_VALUE"""),"Dokumen")</f>
        <v>Dokumen</v>
      </c>
      <c r="M440" s="66">
        <f ca="1">IFERROR(__xludf.DUMMYFUNCTION("""COMPUTED_VALUE"""),55000)</f>
        <v>55000</v>
      </c>
      <c r="N440" s="10">
        <f ca="1">IFERROR(__xludf.DUMMYFUNCTION("""COMPUTED_VALUE"""),3)</f>
        <v>3</v>
      </c>
      <c r="O440" s="10">
        <f ca="1">IFERROR(__xludf.DUMMYFUNCTION("""COMPUTED_VALUE"""),165000)</f>
        <v>165000</v>
      </c>
      <c r="P440" s="10"/>
      <c r="Q440" s="67">
        <f ca="1">IFERROR(__xludf.DUMMYFUNCTION("""COMPUTED_VALUE"""),45493)</f>
        <v>45493</v>
      </c>
    </row>
    <row r="441" spans="1:17" ht="12.5">
      <c r="A441" s="82">
        <f t="array" aca="1" ref="A441" ca="1">INDEX('Database Mitra'!$R$2:$R1001,MATCH(C441,'Database Mitra'!$B$2:$B1001,0))</f>
        <v>30692</v>
      </c>
      <c r="B441" s="10" t="e">
        <f t="shared" ca="1" si="0"/>
        <v>#NAME?</v>
      </c>
      <c r="C441" s="83">
        <f ca="1">IFERROR(__xludf.DUMMYFUNCTION("""COMPUTED_VALUE"""),610422050001)</f>
        <v>610422050001</v>
      </c>
      <c r="D441" s="10" t="str">
        <f ca="1">IFERROR(__xludf.DUMMYFUNCTION("""COMPUTED_VALUE"""),"VHTS24-LAPANGAN-JULI")</f>
        <v>VHTS24-LAPANGAN-JULI</v>
      </c>
      <c r="E441" s="10"/>
      <c r="F441" s="10">
        <f ca="1">IFERROR(__xludf.DUMMYFUNCTION("""COMPUTED_VALUE"""),1)</f>
        <v>1</v>
      </c>
      <c r="G441" s="10" t="str">
        <f ca="1">IFERROR(__xludf.DUMMYFUNCTION("""COMPUTED_VALUE"""),"Evi Juniarty")</f>
        <v>Evi Juniarty</v>
      </c>
      <c r="H441" s="10" t="str">
        <f ca="1">IFERROR(__xludf.DUMMYFUNCTION("""COMPUTED_VALUE"""),"PPL")</f>
        <v>PPL</v>
      </c>
      <c r="I441" s="10" t="str">
        <f ca="1">IFERROR(__xludf.DUMMYFUNCTION("""COMPUTED_VALUE"""),"6102165101840001")</f>
        <v>6102165101840001</v>
      </c>
      <c r="J441" s="10" t="str">
        <f ca="1">IFERROR(__xludf.DUMMYFUNCTION("""COMPUTED_VALUE"""),"PENDATAAN")</f>
        <v>PENDATAAN</v>
      </c>
      <c r="K441" s="10" t="str">
        <f ca="1">IFERROR(__xludf.DUMMYFUNCTION("""COMPUTED_VALUE"""),"VHTS24-LAPANGAN-JULI-PPL-PENDATAAN")</f>
        <v>VHTS24-LAPANGAN-JULI-PPL-PENDATAAN</v>
      </c>
      <c r="L441" s="10" t="str">
        <f ca="1">IFERROR(__xludf.DUMMYFUNCTION("""COMPUTED_VALUE"""),"Dokumen")</f>
        <v>Dokumen</v>
      </c>
      <c r="M441" s="66">
        <f ca="1">IFERROR(__xludf.DUMMYFUNCTION("""COMPUTED_VALUE"""),55000)</f>
        <v>55000</v>
      </c>
      <c r="N441" s="10">
        <f ca="1">IFERROR(__xludf.DUMMYFUNCTION("""COMPUTED_VALUE"""),3)</f>
        <v>3</v>
      </c>
      <c r="O441" s="10">
        <f ca="1">IFERROR(__xludf.DUMMYFUNCTION("""COMPUTED_VALUE"""),165000)</f>
        <v>165000</v>
      </c>
      <c r="P441" s="10"/>
      <c r="Q441" s="67">
        <f ca="1">IFERROR(__xludf.DUMMYFUNCTION("""COMPUTED_VALUE"""),45493)</f>
        <v>45493</v>
      </c>
    </row>
    <row r="442" spans="1:17" ht="12.5">
      <c r="A442" s="82">
        <f t="array" aca="1" ref="A442" ca="1">INDEX('Database Mitra'!$R$2:$R1001,MATCH(C442,'Database Mitra'!$B$2:$B1001,0))</f>
        <v>27798</v>
      </c>
      <c r="B442" s="10" t="e">
        <f t="shared" ca="1" si="0"/>
        <v>#NAME?</v>
      </c>
      <c r="C442" s="83">
        <f ca="1">IFERROR(__xludf.DUMMYFUNCTION("""COMPUTED_VALUE"""),610422040056)</f>
        <v>610422040056</v>
      </c>
      <c r="D442" s="10" t="str">
        <f ca="1">IFERROR(__xludf.DUMMYFUNCTION("""COMPUTED_VALUE"""),"VHTS24-LAPANGAN-JULI")</f>
        <v>VHTS24-LAPANGAN-JULI</v>
      </c>
      <c r="E442" s="10"/>
      <c r="F442" s="10">
        <f ca="1">IFERROR(__xludf.DUMMYFUNCTION("""COMPUTED_VALUE"""),1)</f>
        <v>1</v>
      </c>
      <c r="G442" s="10" t="str">
        <f ca="1">IFERROR(__xludf.DUMMYFUNCTION("""COMPUTED_VALUE"""),"Wandi Syafari")</f>
        <v>Wandi Syafari</v>
      </c>
      <c r="H442" s="10" t="str">
        <f ca="1">IFERROR(__xludf.DUMMYFUNCTION("""COMPUTED_VALUE"""),"PPL")</f>
        <v>PPL</v>
      </c>
      <c r="I442" s="10" t="str">
        <f ca="1">IFERROR(__xludf.DUMMYFUNCTION("""COMPUTED_VALUE"""),"6102010802760001")</f>
        <v>6102010802760001</v>
      </c>
      <c r="J442" s="10" t="str">
        <f ca="1">IFERROR(__xludf.DUMMYFUNCTION("""COMPUTED_VALUE"""),"PENDATAAN")</f>
        <v>PENDATAAN</v>
      </c>
      <c r="K442" s="10" t="str">
        <f ca="1">IFERROR(__xludf.DUMMYFUNCTION("""COMPUTED_VALUE"""),"VHTS24-LAPANGAN-JULI-PPL-PENDATAAN")</f>
        <v>VHTS24-LAPANGAN-JULI-PPL-PENDATAAN</v>
      </c>
      <c r="L442" s="10" t="str">
        <f ca="1">IFERROR(__xludf.DUMMYFUNCTION("""COMPUTED_VALUE"""),"Dokumen")</f>
        <v>Dokumen</v>
      </c>
      <c r="M442" s="66">
        <f ca="1">IFERROR(__xludf.DUMMYFUNCTION("""COMPUTED_VALUE"""),55000)</f>
        <v>55000</v>
      </c>
      <c r="N442" s="10">
        <f ca="1">IFERROR(__xludf.DUMMYFUNCTION("""COMPUTED_VALUE"""),2)</f>
        <v>2</v>
      </c>
      <c r="O442" s="10">
        <f ca="1">IFERROR(__xludf.DUMMYFUNCTION("""COMPUTED_VALUE"""),110000)</f>
        <v>110000</v>
      </c>
      <c r="P442" s="10"/>
      <c r="Q442" s="67">
        <f ca="1">IFERROR(__xludf.DUMMYFUNCTION("""COMPUTED_VALUE"""),45493)</f>
        <v>45493</v>
      </c>
    </row>
    <row r="443" spans="1:17" ht="12.5">
      <c r="A443" s="11">
        <f t="array" aca="1" ref="A443" ca="1">INDEX('Database Mitra'!$R$2:$R1001,MATCH(C443,'Database Mitra'!$B$2:$B1001,0))</f>
        <v>34895</v>
      </c>
      <c r="B443" s="10" t="e">
        <f t="shared" ca="1" si="0"/>
        <v>#NAME?</v>
      </c>
      <c r="C443" s="83">
        <f ca="1">IFERROR(__xludf.DUMMYFUNCTION("""COMPUTED_VALUE"""),610422020016)</f>
        <v>610422020016</v>
      </c>
      <c r="D443" s="10" t="str">
        <f ca="1">IFERROR(__xludf.DUMMYFUNCTION("""COMPUTED_VALUE"""),"KSA24-LAPANGAN-JULI")</f>
        <v>KSA24-LAPANGAN-JULI</v>
      </c>
      <c r="E443" s="10"/>
      <c r="F443" s="10">
        <f ca="1">IFERROR(__xludf.DUMMYFUNCTION("""COMPUTED_VALUE"""),1)</f>
        <v>1</v>
      </c>
      <c r="G443" s="10" t="str">
        <f ca="1">IFERROR(__xludf.DUMMYFUNCTION("""COMPUTED_VALUE"""),"Abdul Aziz")</f>
        <v>Abdul Aziz</v>
      </c>
      <c r="H443" s="10" t="str">
        <f ca="1">IFERROR(__xludf.DUMMYFUNCTION("""COMPUTED_VALUE"""),"PPL")</f>
        <v>PPL</v>
      </c>
      <c r="I443" s="10" t="str">
        <f ca="1">IFERROR(__xludf.DUMMYFUNCTION("""COMPUTED_VALUE"""),"6102061507950006")</f>
        <v>6102061507950006</v>
      </c>
      <c r="J443" s="10" t="str">
        <f ca="1">IFERROR(__xludf.DUMMYFUNCTION("""COMPUTED_VALUE"""),"KSA PADI")</f>
        <v>KSA PADI</v>
      </c>
      <c r="K443" s="10" t="str">
        <f ca="1">IFERROR(__xludf.DUMMYFUNCTION("""COMPUTED_VALUE"""),"KSA24-LAPANGAN-JULI-PPL-KSA PADI")</f>
        <v>KSA24-LAPANGAN-JULI-PPL-KSA PADI</v>
      </c>
      <c r="L443" s="10" t="str">
        <f ca="1">IFERROR(__xludf.DUMMYFUNCTION("""COMPUTED_VALUE"""),"Segmen")</f>
        <v>Segmen</v>
      </c>
      <c r="M443" s="66">
        <f ca="1">IFERROR(__xludf.DUMMYFUNCTION("""COMPUTED_VALUE"""),116000)</f>
        <v>116000</v>
      </c>
      <c r="N443" s="10">
        <f ca="1">IFERROR(__xludf.DUMMYFUNCTION("""COMPUTED_VALUE"""),3)</f>
        <v>3</v>
      </c>
      <c r="O443" s="10">
        <f ca="1">IFERROR(__xludf.DUMMYFUNCTION("""COMPUTED_VALUE"""),348000)</f>
        <v>348000</v>
      </c>
      <c r="P443" s="10"/>
      <c r="Q443" s="67">
        <f ca="1">IFERROR(__xludf.DUMMYFUNCTION("""COMPUTED_VALUE"""),45504)</f>
        <v>45504</v>
      </c>
    </row>
    <row r="444" spans="1:17" ht="12.5">
      <c r="A444" s="82">
        <f t="array" aca="1" ref="A444" ca="1">INDEX('Database Mitra'!$R$2:$R1001,MATCH(C444,'Database Mitra'!$B$2:$B1001,0))</f>
        <v>36043</v>
      </c>
      <c r="B444" s="10" t="e">
        <f t="shared" ca="1" si="0"/>
        <v>#NAME?</v>
      </c>
      <c r="C444" s="83">
        <f ca="1">IFERROR(__xludf.DUMMYFUNCTION("""COMPUTED_VALUE"""),610422040012)</f>
        <v>610422040012</v>
      </c>
      <c r="D444" s="10" t="str">
        <f ca="1">IFERROR(__xludf.DUMMYFUNCTION("""COMPUTED_VALUE"""),"KSA24-LAPANGAN-JULI")</f>
        <v>KSA24-LAPANGAN-JULI</v>
      </c>
      <c r="E444" s="10"/>
      <c r="F444" s="10">
        <f ca="1">IFERROR(__xludf.DUMMYFUNCTION("""COMPUTED_VALUE"""),1)</f>
        <v>1</v>
      </c>
      <c r="G444" s="10" t="str">
        <f ca="1">IFERROR(__xludf.DUMMYFUNCTION("""COMPUTED_VALUE"""),"Misdi")</f>
        <v>Misdi</v>
      </c>
      <c r="H444" s="10" t="str">
        <f ca="1">IFERROR(__xludf.DUMMYFUNCTION("""COMPUTED_VALUE"""),"PPL")</f>
        <v>PPL</v>
      </c>
      <c r="I444" s="10" t="str">
        <f ca="1">IFERROR(__xludf.DUMMYFUNCTION("""COMPUTED_VALUE"""),"6102070706940001")</f>
        <v>6102070706940001</v>
      </c>
      <c r="J444" s="10" t="str">
        <f ca="1">IFERROR(__xludf.DUMMYFUNCTION("""COMPUTED_VALUE"""),"KSA PADI")</f>
        <v>KSA PADI</v>
      </c>
      <c r="K444" s="10" t="str">
        <f ca="1">IFERROR(__xludf.DUMMYFUNCTION("""COMPUTED_VALUE"""),"KSA24-LAPANGAN-JULI-PPL-KSA PADI")</f>
        <v>KSA24-LAPANGAN-JULI-PPL-KSA PADI</v>
      </c>
      <c r="L444" s="10" t="str">
        <f ca="1">IFERROR(__xludf.DUMMYFUNCTION("""COMPUTED_VALUE"""),"Segmen")</f>
        <v>Segmen</v>
      </c>
      <c r="M444" s="66">
        <f ca="1">IFERROR(__xludf.DUMMYFUNCTION("""COMPUTED_VALUE"""),116000)</f>
        <v>116000</v>
      </c>
      <c r="N444" s="10">
        <f ca="1">IFERROR(__xludf.DUMMYFUNCTION("""COMPUTED_VALUE"""),3)</f>
        <v>3</v>
      </c>
      <c r="O444" s="10">
        <f ca="1">IFERROR(__xludf.DUMMYFUNCTION("""COMPUTED_VALUE"""),348000)</f>
        <v>348000</v>
      </c>
      <c r="P444" s="10"/>
      <c r="Q444" s="67">
        <f ca="1">IFERROR(__xludf.DUMMYFUNCTION("""COMPUTED_VALUE"""),45504)</f>
        <v>45504</v>
      </c>
    </row>
    <row r="445" spans="1:17" ht="12.5">
      <c r="A445" s="11">
        <f t="array" aca="1" ref="A445" ca="1">INDEX('Database Mitra'!$R$2:$R1001,MATCH(C445,'Database Mitra'!$B$2:$B1001,0))</f>
        <v>31777</v>
      </c>
      <c r="B445" s="10" t="e">
        <f t="shared" ca="1" si="0"/>
        <v>#NAME?</v>
      </c>
      <c r="C445" s="83">
        <f ca="1">IFERROR(__xludf.DUMMYFUNCTION("""COMPUTED_VALUE"""),610422040061)</f>
        <v>610422040061</v>
      </c>
      <c r="D445" s="10" t="str">
        <f ca="1">IFERROR(__xludf.DUMMYFUNCTION("""COMPUTED_VALUE"""),"KSA24-LAPANGAN-JULI")</f>
        <v>KSA24-LAPANGAN-JULI</v>
      </c>
      <c r="E445" s="10"/>
      <c r="F445" s="10">
        <f ca="1">IFERROR(__xludf.DUMMYFUNCTION("""COMPUTED_VALUE"""),1)</f>
        <v>1</v>
      </c>
      <c r="G445" s="10" t="str">
        <f ca="1">IFERROR(__xludf.DUMMYFUNCTION("""COMPUTED_VALUE"""),"Sabani")</f>
        <v>Sabani</v>
      </c>
      <c r="H445" s="10" t="str">
        <f ca="1">IFERROR(__xludf.DUMMYFUNCTION("""COMPUTED_VALUE"""),"PPL")</f>
        <v>PPL</v>
      </c>
      <c r="I445" s="10" t="str">
        <f ca="1">IFERROR(__xludf.DUMMYFUNCTION("""COMPUTED_VALUE"""),"6102153112860003")</f>
        <v>6102153112860003</v>
      </c>
      <c r="J445" s="10" t="str">
        <f ca="1">IFERROR(__xludf.DUMMYFUNCTION("""COMPUTED_VALUE"""),"KSA PADI")</f>
        <v>KSA PADI</v>
      </c>
      <c r="K445" s="10" t="str">
        <f ca="1">IFERROR(__xludf.DUMMYFUNCTION("""COMPUTED_VALUE"""),"KSA24-LAPANGAN-JULI-PPL-KSA PADI")</f>
        <v>KSA24-LAPANGAN-JULI-PPL-KSA PADI</v>
      </c>
      <c r="L445" s="10" t="str">
        <f ca="1">IFERROR(__xludf.DUMMYFUNCTION("""COMPUTED_VALUE"""),"Segmen")</f>
        <v>Segmen</v>
      </c>
      <c r="M445" s="66">
        <f ca="1">IFERROR(__xludf.DUMMYFUNCTION("""COMPUTED_VALUE"""),116000)</f>
        <v>116000</v>
      </c>
      <c r="N445" s="10">
        <f ca="1">IFERROR(__xludf.DUMMYFUNCTION("""COMPUTED_VALUE"""),3)</f>
        <v>3</v>
      </c>
      <c r="O445" s="10">
        <f ca="1">IFERROR(__xludf.DUMMYFUNCTION("""COMPUTED_VALUE"""),348000)</f>
        <v>348000</v>
      </c>
      <c r="P445" s="10"/>
      <c r="Q445" s="67">
        <f ca="1">IFERROR(__xludf.DUMMYFUNCTION("""COMPUTED_VALUE"""),45504)</f>
        <v>45504</v>
      </c>
    </row>
    <row r="446" spans="1:17" ht="12.5">
      <c r="A446" s="82">
        <f t="array" aca="1" ref="A446" ca="1">INDEX('Database Mitra'!$R$2:$R1001,MATCH(C446,'Database Mitra'!$B$2:$B1001,0))</f>
        <v>31602</v>
      </c>
      <c r="B446" s="10" t="e">
        <f t="shared" ca="1" si="0"/>
        <v>#NAME?</v>
      </c>
      <c r="C446" s="83">
        <f ca="1">IFERROR(__xludf.DUMMYFUNCTION("""COMPUTED_VALUE"""),610422100131)</f>
        <v>610422100131</v>
      </c>
      <c r="D446" s="10" t="str">
        <f ca="1">IFERROR(__xludf.DUMMYFUNCTION("""COMPUTED_VALUE"""),"KSA24-LAPANGAN-JULI")</f>
        <v>KSA24-LAPANGAN-JULI</v>
      </c>
      <c r="E446" s="10"/>
      <c r="F446" s="10">
        <f ca="1">IFERROR(__xludf.DUMMYFUNCTION("""COMPUTED_VALUE"""),1)</f>
        <v>1</v>
      </c>
      <c r="G446" s="10" t="str">
        <f ca="1">IFERROR(__xludf.DUMMYFUNCTION("""COMPUTED_VALUE"""),"Syamsul")</f>
        <v>Syamsul</v>
      </c>
      <c r="H446" s="10" t="str">
        <f ca="1">IFERROR(__xludf.DUMMYFUNCTION("""COMPUTED_VALUE"""),"PPL")</f>
        <v>PPL</v>
      </c>
      <c r="I446" s="10" t="str">
        <f ca="1">IFERROR(__xludf.DUMMYFUNCTION("""COMPUTED_VALUE"""),"6102150907860003")</f>
        <v>6102150907860003</v>
      </c>
      <c r="J446" s="10" t="str">
        <f ca="1">IFERROR(__xludf.DUMMYFUNCTION("""COMPUTED_VALUE"""),"KSA PADI")</f>
        <v>KSA PADI</v>
      </c>
      <c r="K446" s="10" t="str">
        <f ca="1">IFERROR(__xludf.DUMMYFUNCTION("""COMPUTED_VALUE"""),"KSA24-LAPANGAN-JULI-PPL-KSA PADI")</f>
        <v>KSA24-LAPANGAN-JULI-PPL-KSA PADI</v>
      </c>
      <c r="L446" s="10" t="str">
        <f ca="1">IFERROR(__xludf.DUMMYFUNCTION("""COMPUTED_VALUE"""),"Segmen")</f>
        <v>Segmen</v>
      </c>
      <c r="M446" s="66">
        <f ca="1">IFERROR(__xludf.DUMMYFUNCTION("""COMPUTED_VALUE"""),116000)</f>
        <v>116000</v>
      </c>
      <c r="N446" s="10">
        <f ca="1">IFERROR(__xludf.DUMMYFUNCTION("""COMPUTED_VALUE"""),7)</f>
        <v>7</v>
      </c>
      <c r="O446" s="10">
        <f ca="1">IFERROR(__xludf.DUMMYFUNCTION("""COMPUTED_VALUE"""),812000)</f>
        <v>812000</v>
      </c>
      <c r="P446" s="10"/>
      <c r="Q446" s="67">
        <f ca="1">IFERROR(__xludf.DUMMYFUNCTION("""COMPUTED_VALUE"""),45504)</f>
        <v>45504</v>
      </c>
    </row>
    <row r="447" spans="1:17" ht="12.5">
      <c r="A447" s="82">
        <f t="array" aca="1" ref="A447" ca="1">INDEX('Database Mitra'!$R$2:$R1001,MATCH(C447,'Database Mitra'!$B$2:$B1001,0))</f>
        <v>32942</v>
      </c>
      <c r="B447" s="10" t="e">
        <f t="shared" ca="1" si="0"/>
        <v>#NAME?</v>
      </c>
      <c r="C447" s="83">
        <f ca="1">IFERROR(__xludf.DUMMYFUNCTION("""COMPUTED_VALUE"""),610422100244)</f>
        <v>610422100244</v>
      </c>
      <c r="D447" s="10" t="str">
        <f ca="1">IFERROR(__xludf.DUMMYFUNCTION("""COMPUTED_VALUE"""),"KSA24-LAPANGAN-JULI")</f>
        <v>KSA24-LAPANGAN-JULI</v>
      </c>
      <c r="E447" s="10"/>
      <c r="F447" s="10">
        <f ca="1">IFERROR(__xludf.DUMMYFUNCTION("""COMPUTED_VALUE"""),1)</f>
        <v>1</v>
      </c>
      <c r="G447" s="10" t="str">
        <f ca="1">IFERROR(__xludf.DUMMYFUNCTION("""COMPUTED_VALUE"""),"Sugianto")</f>
        <v>Sugianto</v>
      </c>
      <c r="H447" s="10" t="str">
        <f ca="1">IFERROR(__xludf.DUMMYFUNCTION("""COMPUTED_VALUE"""),"PPL")</f>
        <v>PPL</v>
      </c>
      <c r="I447" s="10" t="str">
        <f ca="1">IFERROR(__xludf.DUMMYFUNCTION("""COMPUTED_VALUE"""),"6102171003900002")</f>
        <v>6102171003900002</v>
      </c>
      <c r="J447" s="10" t="str">
        <f ca="1">IFERROR(__xludf.DUMMYFUNCTION("""COMPUTED_VALUE"""),"KSA PADI")</f>
        <v>KSA PADI</v>
      </c>
      <c r="K447" s="10" t="str">
        <f ca="1">IFERROR(__xludf.DUMMYFUNCTION("""COMPUTED_VALUE"""),"KSA24-LAPANGAN-JULI-PPL-KSA PADI")</f>
        <v>KSA24-LAPANGAN-JULI-PPL-KSA PADI</v>
      </c>
      <c r="L447" s="10" t="str">
        <f ca="1">IFERROR(__xludf.DUMMYFUNCTION("""COMPUTED_VALUE"""),"Segmen")</f>
        <v>Segmen</v>
      </c>
      <c r="M447" s="66">
        <f ca="1">IFERROR(__xludf.DUMMYFUNCTION("""COMPUTED_VALUE"""),116000)</f>
        <v>116000</v>
      </c>
      <c r="N447" s="10">
        <f ca="1">IFERROR(__xludf.DUMMYFUNCTION("""COMPUTED_VALUE"""),3)</f>
        <v>3</v>
      </c>
      <c r="O447" s="10">
        <f ca="1">IFERROR(__xludf.DUMMYFUNCTION("""COMPUTED_VALUE"""),348000)</f>
        <v>348000</v>
      </c>
      <c r="P447" s="10"/>
      <c r="Q447" s="67">
        <f ca="1">IFERROR(__xludf.DUMMYFUNCTION("""COMPUTED_VALUE"""),45504)</f>
        <v>45504</v>
      </c>
    </row>
    <row r="448" spans="1:17" ht="12.5">
      <c r="A448" s="11">
        <f t="array" aca="1" ref="A448" ca="1">INDEX('Database Mitra'!$R$2:$R1001,MATCH(C448,'Database Mitra'!$B$2:$B1001,0))</f>
        <v>32481</v>
      </c>
      <c r="B448" s="10" t="e">
        <f t="shared" ca="1" si="0"/>
        <v>#NAME?</v>
      </c>
      <c r="C448" s="83">
        <f ca="1">IFERROR(__xludf.DUMMYFUNCTION("""COMPUTED_VALUE"""),610422100176)</f>
        <v>610422100176</v>
      </c>
      <c r="D448" s="10" t="str">
        <f ca="1">IFERROR(__xludf.DUMMYFUNCTION("""COMPUTED_VALUE"""),"KSA24-LAPANGAN-JULI")</f>
        <v>KSA24-LAPANGAN-JULI</v>
      </c>
      <c r="E448" s="10"/>
      <c r="F448" s="10">
        <f ca="1">IFERROR(__xludf.DUMMYFUNCTION("""COMPUTED_VALUE"""),1)</f>
        <v>1</v>
      </c>
      <c r="G448" s="10" t="str">
        <f ca="1">IFERROR(__xludf.DUMMYFUNCTION("""COMPUTED_VALUE"""),"Feri Firdaus")</f>
        <v>Feri Firdaus</v>
      </c>
      <c r="H448" s="10" t="str">
        <f ca="1">IFERROR(__xludf.DUMMYFUNCTION("""COMPUTED_VALUE"""),"PPL")</f>
        <v>PPL</v>
      </c>
      <c r="I448" s="10" t="str">
        <f ca="1">IFERROR(__xludf.DUMMYFUNCTION("""COMPUTED_VALUE"""),"6102150412880001")</f>
        <v>6102150412880001</v>
      </c>
      <c r="J448" s="10" t="str">
        <f ca="1">IFERROR(__xludf.DUMMYFUNCTION("""COMPUTED_VALUE"""),"KSA PADI")</f>
        <v>KSA PADI</v>
      </c>
      <c r="K448" s="10" t="str">
        <f ca="1">IFERROR(__xludf.DUMMYFUNCTION("""COMPUTED_VALUE"""),"KSA24-LAPANGAN-JULI-PPL-KSA PADI")</f>
        <v>KSA24-LAPANGAN-JULI-PPL-KSA PADI</v>
      </c>
      <c r="L448" s="10" t="str">
        <f ca="1">IFERROR(__xludf.DUMMYFUNCTION("""COMPUTED_VALUE"""),"Segmen")</f>
        <v>Segmen</v>
      </c>
      <c r="M448" s="66">
        <f ca="1">IFERROR(__xludf.DUMMYFUNCTION("""COMPUTED_VALUE"""),116000)</f>
        <v>116000</v>
      </c>
      <c r="N448" s="10">
        <f ca="1">IFERROR(__xludf.DUMMYFUNCTION("""COMPUTED_VALUE"""),3)</f>
        <v>3</v>
      </c>
      <c r="O448" s="10">
        <f ca="1">IFERROR(__xludf.DUMMYFUNCTION("""COMPUTED_VALUE"""),348000)</f>
        <v>348000</v>
      </c>
      <c r="P448" s="10"/>
      <c r="Q448" s="67">
        <f ca="1">IFERROR(__xludf.DUMMYFUNCTION("""COMPUTED_VALUE"""),45504)</f>
        <v>45504</v>
      </c>
    </row>
    <row r="449" spans="1:17" ht="12.5">
      <c r="A449" s="82">
        <f t="array" aca="1" ref="A449" ca="1">INDEX('Database Mitra'!$R$2:$R1001,MATCH(C449,'Database Mitra'!$B$2:$B1001,0))</f>
        <v>29171</v>
      </c>
      <c r="B449" s="10" t="e">
        <f t="shared" ca="1" si="0"/>
        <v>#NAME?</v>
      </c>
      <c r="C449" s="83">
        <f ca="1">IFERROR(__xludf.DUMMYFUNCTION("""COMPUTED_VALUE"""),610423110183)</f>
        <v>610423110183</v>
      </c>
      <c r="D449" s="10" t="str">
        <f ca="1">IFERROR(__xludf.DUMMYFUNCTION("""COMPUTED_VALUE"""),"KSA24-LAPANGAN-JULI")</f>
        <v>KSA24-LAPANGAN-JULI</v>
      </c>
      <c r="E449" s="10"/>
      <c r="F449" s="10">
        <f ca="1">IFERROR(__xludf.DUMMYFUNCTION("""COMPUTED_VALUE"""),1)</f>
        <v>1</v>
      </c>
      <c r="G449" s="10" t="str">
        <f ca="1">IFERROR(__xludf.DUMMYFUNCTION("""COMPUTED_VALUE"""),"Azhar")</f>
        <v>Azhar</v>
      </c>
      <c r="H449" s="10" t="str">
        <f ca="1">IFERROR(__xludf.DUMMYFUNCTION("""COMPUTED_VALUE"""),"PPL")</f>
        <v>PPL</v>
      </c>
      <c r="I449" s="10" t="str">
        <f ca="1">IFERROR(__xludf.DUMMYFUNCTION("""COMPUTED_VALUE"""),"6102081211790004")</f>
        <v>6102081211790004</v>
      </c>
      <c r="J449" s="10" t="str">
        <f ca="1">IFERROR(__xludf.DUMMYFUNCTION("""COMPUTED_VALUE"""),"KSA PADI")</f>
        <v>KSA PADI</v>
      </c>
      <c r="K449" s="10" t="str">
        <f ca="1">IFERROR(__xludf.DUMMYFUNCTION("""COMPUTED_VALUE"""),"KSA24-LAPANGAN-JULI-PPL-KSA PADI")</f>
        <v>KSA24-LAPANGAN-JULI-PPL-KSA PADI</v>
      </c>
      <c r="L449" s="10" t="str">
        <f ca="1">IFERROR(__xludf.DUMMYFUNCTION("""COMPUTED_VALUE"""),"Segmen")</f>
        <v>Segmen</v>
      </c>
      <c r="M449" s="66">
        <f ca="1">IFERROR(__xludf.DUMMYFUNCTION("""COMPUTED_VALUE"""),116000)</f>
        <v>116000</v>
      </c>
      <c r="N449" s="10">
        <f ca="1">IFERROR(__xludf.DUMMYFUNCTION("""COMPUTED_VALUE"""),6)</f>
        <v>6</v>
      </c>
      <c r="O449" s="10">
        <f ca="1">IFERROR(__xludf.DUMMYFUNCTION("""COMPUTED_VALUE"""),696000)</f>
        <v>696000</v>
      </c>
      <c r="P449" s="10"/>
      <c r="Q449" s="67">
        <f ca="1">IFERROR(__xludf.DUMMYFUNCTION("""COMPUTED_VALUE"""),45504)</f>
        <v>45504</v>
      </c>
    </row>
    <row r="450" spans="1:17" ht="12.5">
      <c r="A450" s="82">
        <f t="array" aca="1" ref="A450" ca="1">INDEX('Database Mitra'!$R$2:$R1001,MATCH(C450,'Database Mitra'!$B$2:$B1001,0))</f>
        <v>32409</v>
      </c>
      <c r="B450" s="10" t="e">
        <f t="shared" ca="1" si="0"/>
        <v>#NAME?</v>
      </c>
      <c r="C450" s="83">
        <f ca="1">IFERROR(__xludf.DUMMYFUNCTION("""COMPUTED_VALUE"""),610423040018)</f>
        <v>610423040018</v>
      </c>
      <c r="D450" s="10" t="str">
        <f ca="1">IFERROR(__xludf.DUMMYFUNCTION("""COMPUTED_VALUE"""),"KSA24-LAPANGAN-JULI")</f>
        <v>KSA24-LAPANGAN-JULI</v>
      </c>
      <c r="E450" s="10"/>
      <c r="F450" s="10">
        <f ca="1">IFERROR(__xludf.DUMMYFUNCTION("""COMPUTED_VALUE"""),1)</f>
        <v>1</v>
      </c>
      <c r="G450" s="10" t="str">
        <f ca="1">IFERROR(__xludf.DUMMYFUNCTION("""COMPUTED_VALUE"""),"Handoko Tuah Sabarman Sipayung")</f>
        <v>Handoko Tuah Sabarman Sipayung</v>
      </c>
      <c r="H450" s="10" t="str">
        <f ca="1">IFERROR(__xludf.DUMMYFUNCTION("""COMPUTED_VALUE"""),"PPL")</f>
        <v>PPL</v>
      </c>
      <c r="I450" s="10" t="str">
        <f ca="1">IFERROR(__xludf.DUMMYFUNCTION("""COMPUTED_VALUE"""),"1212092309880001")</f>
        <v>1212092309880001</v>
      </c>
      <c r="J450" s="10" t="str">
        <f ca="1">IFERROR(__xludf.DUMMYFUNCTION("""COMPUTED_VALUE"""),"KSA PADI")</f>
        <v>KSA PADI</v>
      </c>
      <c r="K450" s="10" t="str">
        <f ca="1">IFERROR(__xludf.DUMMYFUNCTION("""COMPUTED_VALUE"""),"KSA24-LAPANGAN-JULI-PPL-KSA PADI")</f>
        <v>KSA24-LAPANGAN-JULI-PPL-KSA PADI</v>
      </c>
      <c r="L450" s="10" t="str">
        <f ca="1">IFERROR(__xludf.DUMMYFUNCTION("""COMPUTED_VALUE"""),"Segmen")</f>
        <v>Segmen</v>
      </c>
      <c r="M450" s="66">
        <f ca="1">IFERROR(__xludf.DUMMYFUNCTION("""COMPUTED_VALUE"""),116000)</f>
        <v>116000</v>
      </c>
      <c r="N450" s="10">
        <f ca="1">IFERROR(__xludf.DUMMYFUNCTION("""COMPUTED_VALUE"""),4)</f>
        <v>4</v>
      </c>
      <c r="O450" s="10">
        <f ca="1">IFERROR(__xludf.DUMMYFUNCTION("""COMPUTED_VALUE"""),464000)</f>
        <v>464000</v>
      </c>
      <c r="P450" s="10"/>
      <c r="Q450" s="67">
        <f ca="1">IFERROR(__xludf.DUMMYFUNCTION("""COMPUTED_VALUE"""),45504)</f>
        <v>45504</v>
      </c>
    </row>
    <row r="451" spans="1:17" ht="12.5">
      <c r="A451" s="82">
        <f t="array" aca="1" ref="A451" ca="1">INDEX('Database Mitra'!$R$2:$R1001,MATCH(C451,'Database Mitra'!$B$2:$B1001,0))</f>
        <v>28816</v>
      </c>
      <c r="B451" s="10" t="e">
        <f t="shared" ca="1" si="0"/>
        <v>#NAME?</v>
      </c>
      <c r="C451" s="83">
        <f ca="1">IFERROR(__xludf.DUMMYFUNCTION("""COMPUTED_VALUE"""),610422040059)</f>
        <v>610422040059</v>
      </c>
      <c r="D451" s="10" t="str">
        <f ca="1">IFERROR(__xludf.DUMMYFUNCTION("""COMPUTED_VALUE"""),"KSA24-LAPANGAN-JULI")</f>
        <v>KSA24-LAPANGAN-JULI</v>
      </c>
      <c r="E451" s="10"/>
      <c r="F451" s="10">
        <f ca="1">IFERROR(__xludf.DUMMYFUNCTION("""COMPUTED_VALUE"""),1)</f>
        <v>1</v>
      </c>
      <c r="G451" s="10" t="str">
        <f ca="1">IFERROR(__xludf.DUMMYFUNCTION("""COMPUTED_VALUE"""),"Abang Handri")</f>
        <v>Abang Handri</v>
      </c>
      <c r="H451" s="10" t="str">
        <f ca="1">IFERROR(__xludf.DUMMYFUNCTION("""COMPUTED_VALUE"""),"PPL")</f>
        <v>PPL</v>
      </c>
      <c r="I451" s="10" t="str">
        <f ca="1">IFERROR(__xludf.DUMMYFUNCTION("""COMPUTED_VALUE"""),"6102072211780002")</f>
        <v>6102072211780002</v>
      </c>
      <c r="J451" s="10" t="str">
        <f ca="1">IFERROR(__xludf.DUMMYFUNCTION("""COMPUTED_VALUE"""),"KSA JAGUNG")</f>
        <v>KSA JAGUNG</v>
      </c>
      <c r="K451" s="10" t="str">
        <f ca="1">IFERROR(__xludf.DUMMYFUNCTION("""COMPUTED_VALUE"""),"KSA24-LAPANGAN-JULI-PPL-KSA JAGUNG")</f>
        <v>KSA24-LAPANGAN-JULI-PPL-KSA JAGUNG</v>
      </c>
      <c r="L451" s="10" t="str">
        <f ca="1">IFERROR(__xludf.DUMMYFUNCTION("""COMPUTED_VALUE"""),"Segmen")</f>
        <v>Segmen</v>
      </c>
      <c r="M451" s="66">
        <f ca="1">IFERROR(__xludf.DUMMYFUNCTION("""COMPUTED_VALUE"""),59000)</f>
        <v>59000</v>
      </c>
      <c r="N451" s="10">
        <f ca="1">IFERROR(__xludf.DUMMYFUNCTION("""COMPUTED_VALUE"""),6)</f>
        <v>6</v>
      </c>
      <c r="O451" s="10">
        <f ca="1">IFERROR(__xludf.DUMMYFUNCTION("""COMPUTED_VALUE"""),354000)</f>
        <v>354000</v>
      </c>
      <c r="P451" s="10"/>
      <c r="Q451" s="67">
        <f ca="1">IFERROR(__xludf.DUMMYFUNCTION("""COMPUTED_VALUE"""),45504)</f>
        <v>45504</v>
      </c>
    </row>
    <row r="452" spans="1:17" ht="12.5">
      <c r="A452" s="11">
        <f t="array" aca="1" ref="A452" ca="1">INDEX('Database Mitra'!$R$2:$R1001,MATCH(C452,'Database Mitra'!$B$2:$B1001,0))</f>
        <v>29305</v>
      </c>
      <c r="B452" s="10" t="e">
        <f t="shared" ca="1" si="0"/>
        <v>#NAME?</v>
      </c>
      <c r="C452" s="83">
        <f ca="1">IFERROR(__xludf.DUMMYFUNCTION("""COMPUTED_VALUE"""),610422020048)</f>
        <v>610422020048</v>
      </c>
      <c r="D452" s="10" t="str">
        <f ca="1">IFERROR(__xludf.DUMMYFUNCTION("""COMPUTED_VALUE"""),"KSA24-LAPANGAN-JULI")</f>
        <v>KSA24-LAPANGAN-JULI</v>
      </c>
      <c r="E452" s="10"/>
      <c r="F452" s="10">
        <f ca="1">IFERROR(__xludf.DUMMYFUNCTION("""COMPUTED_VALUE"""),1)</f>
        <v>1</v>
      </c>
      <c r="G452" s="10" t="str">
        <f ca="1">IFERROR(__xludf.DUMMYFUNCTION("""COMPUTED_VALUE"""),"Herri Gustaman")</f>
        <v>Herri Gustaman</v>
      </c>
      <c r="H452" s="10" t="str">
        <f ca="1">IFERROR(__xludf.DUMMYFUNCTION("""COMPUTED_VALUE"""),"PPL")</f>
        <v>PPL</v>
      </c>
      <c r="I452" s="10" t="str">
        <f ca="1">IFERROR(__xludf.DUMMYFUNCTION("""COMPUTED_VALUE"""),"6102072503800001")</f>
        <v>6102072503800001</v>
      </c>
      <c r="J452" s="10" t="str">
        <f ca="1">IFERROR(__xludf.DUMMYFUNCTION("""COMPUTED_VALUE"""),"KSA JAGUNG")</f>
        <v>KSA JAGUNG</v>
      </c>
      <c r="K452" s="10" t="str">
        <f ca="1">IFERROR(__xludf.DUMMYFUNCTION("""COMPUTED_VALUE"""),"KSA24-LAPANGAN-JULI-PPL-KSA JAGUNG")</f>
        <v>KSA24-LAPANGAN-JULI-PPL-KSA JAGUNG</v>
      </c>
      <c r="L452" s="10" t="str">
        <f ca="1">IFERROR(__xludf.DUMMYFUNCTION("""COMPUTED_VALUE"""),"Segmen")</f>
        <v>Segmen</v>
      </c>
      <c r="M452" s="66">
        <f ca="1">IFERROR(__xludf.DUMMYFUNCTION("""COMPUTED_VALUE"""),59000)</f>
        <v>59000</v>
      </c>
      <c r="N452" s="10">
        <f ca="1">IFERROR(__xludf.DUMMYFUNCTION("""COMPUTED_VALUE"""),12)</f>
        <v>12</v>
      </c>
      <c r="O452" s="10">
        <f ca="1">IFERROR(__xludf.DUMMYFUNCTION("""COMPUTED_VALUE"""),708000)</f>
        <v>708000</v>
      </c>
      <c r="P452" s="10"/>
      <c r="Q452" s="67">
        <f ca="1">IFERROR(__xludf.DUMMYFUNCTION("""COMPUTED_VALUE"""),45504)</f>
        <v>45504</v>
      </c>
    </row>
    <row r="453" spans="1:17" ht="12.5">
      <c r="A453" s="82">
        <f t="array" aca="1" ref="A453" ca="1">INDEX('Database Mitra'!$R$2:$R1001,MATCH(C453,'Database Mitra'!$B$2:$B1001,0))</f>
        <v>34541</v>
      </c>
      <c r="B453" s="10" t="e">
        <f t="shared" ca="1" si="0"/>
        <v>#NAME?</v>
      </c>
      <c r="C453" s="83">
        <f ca="1">IFERROR(__xludf.DUMMYFUNCTION("""COMPUTED_VALUE"""),610422040058)</f>
        <v>610422040058</v>
      </c>
      <c r="D453" s="10" t="str">
        <f ca="1">IFERROR(__xludf.DUMMYFUNCTION("""COMPUTED_VALUE"""),"KSA24-LAPANGAN-JULI")</f>
        <v>KSA24-LAPANGAN-JULI</v>
      </c>
      <c r="E453" s="10"/>
      <c r="F453" s="10">
        <f ca="1">IFERROR(__xludf.DUMMYFUNCTION("""COMPUTED_VALUE"""),1)</f>
        <v>1</v>
      </c>
      <c r="G453" s="10" t="str">
        <f ca="1">IFERROR(__xludf.DUMMYFUNCTION("""COMPUTED_VALUE"""),"Jamaluddin, Sp")</f>
        <v>Jamaluddin, Sp</v>
      </c>
      <c r="H453" s="10" t="str">
        <f ca="1">IFERROR(__xludf.DUMMYFUNCTION("""COMPUTED_VALUE"""),"PPL")</f>
        <v>PPL</v>
      </c>
      <c r="I453" s="10" t="str">
        <f ca="1">IFERROR(__xludf.DUMMYFUNCTION("""COMPUTED_VALUE"""),"6102152607940002")</f>
        <v>6102152607940002</v>
      </c>
      <c r="J453" s="10" t="str">
        <f ca="1">IFERROR(__xludf.DUMMYFUNCTION("""COMPUTED_VALUE"""),"KSA JAGUNG")</f>
        <v>KSA JAGUNG</v>
      </c>
      <c r="K453" s="10" t="str">
        <f ca="1">IFERROR(__xludf.DUMMYFUNCTION("""COMPUTED_VALUE"""),"KSA24-LAPANGAN-JULI-PPL-KSA JAGUNG")</f>
        <v>KSA24-LAPANGAN-JULI-PPL-KSA JAGUNG</v>
      </c>
      <c r="L453" s="10" t="str">
        <f ca="1">IFERROR(__xludf.DUMMYFUNCTION("""COMPUTED_VALUE"""),"Segmen")</f>
        <v>Segmen</v>
      </c>
      <c r="M453" s="66">
        <f ca="1">IFERROR(__xludf.DUMMYFUNCTION("""COMPUTED_VALUE"""),59000)</f>
        <v>59000</v>
      </c>
      <c r="N453" s="10">
        <f ca="1">IFERROR(__xludf.DUMMYFUNCTION("""COMPUTED_VALUE"""),10)</f>
        <v>10</v>
      </c>
      <c r="O453" s="10">
        <f ca="1">IFERROR(__xludf.DUMMYFUNCTION("""COMPUTED_VALUE"""),590000)</f>
        <v>590000</v>
      </c>
      <c r="P453" s="10"/>
      <c r="Q453" s="67">
        <f ca="1">IFERROR(__xludf.DUMMYFUNCTION("""COMPUTED_VALUE"""),45504)</f>
        <v>45504</v>
      </c>
    </row>
    <row r="454" spans="1:17" ht="12.5">
      <c r="A454" s="82">
        <f t="array" aca="1" ref="A454" ca="1">INDEX('Database Mitra'!$R$2:$R1001,MATCH(C454,'Database Mitra'!$B$2:$B1001,0))</f>
        <v>29171</v>
      </c>
      <c r="B454" s="10" t="e">
        <f t="shared" ca="1" si="0"/>
        <v>#NAME?</v>
      </c>
      <c r="C454" s="83">
        <f ca="1">IFERROR(__xludf.DUMMYFUNCTION("""COMPUTED_VALUE"""),610423110183)</f>
        <v>610423110183</v>
      </c>
      <c r="D454" s="10" t="str">
        <f ca="1">IFERROR(__xludf.DUMMYFUNCTION("""COMPUTED_VALUE"""),"KSA24-LAPANGAN-JULI")</f>
        <v>KSA24-LAPANGAN-JULI</v>
      </c>
      <c r="E454" s="10"/>
      <c r="F454" s="10">
        <f ca="1">IFERROR(__xludf.DUMMYFUNCTION("""COMPUTED_VALUE"""),1)</f>
        <v>1</v>
      </c>
      <c r="G454" s="10" t="str">
        <f ca="1">IFERROR(__xludf.DUMMYFUNCTION("""COMPUTED_VALUE"""),"Azhar")</f>
        <v>Azhar</v>
      </c>
      <c r="H454" s="10" t="str">
        <f ca="1">IFERROR(__xludf.DUMMYFUNCTION("""COMPUTED_VALUE"""),"PPL")</f>
        <v>PPL</v>
      </c>
      <c r="I454" s="10" t="str">
        <f ca="1">IFERROR(__xludf.DUMMYFUNCTION("""COMPUTED_VALUE"""),"6102081211790004")</f>
        <v>6102081211790004</v>
      </c>
      <c r="J454" s="10" t="str">
        <f ca="1">IFERROR(__xludf.DUMMYFUNCTION("""COMPUTED_VALUE"""),"KSA JAGUNG")</f>
        <v>KSA JAGUNG</v>
      </c>
      <c r="K454" s="10" t="str">
        <f ca="1">IFERROR(__xludf.DUMMYFUNCTION("""COMPUTED_VALUE"""),"KSA24-LAPANGAN-JULI-PPL-KSA JAGUNG")</f>
        <v>KSA24-LAPANGAN-JULI-PPL-KSA JAGUNG</v>
      </c>
      <c r="L454" s="10" t="str">
        <f ca="1">IFERROR(__xludf.DUMMYFUNCTION("""COMPUTED_VALUE"""),"Segmen")</f>
        <v>Segmen</v>
      </c>
      <c r="M454" s="66">
        <f ca="1">IFERROR(__xludf.DUMMYFUNCTION("""COMPUTED_VALUE"""),59000)</f>
        <v>59000</v>
      </c>
      <c r="N454" s="10">
        <f ca="1">IFERROR(__xludf.DUMMYFUNCTION("""COMPUTED_VALUE"""),6)</f>
        <v>6</v>
      </c>
      <c r="O454" s="10">
        <f ca="1">IFERROR(__xludf.DUMMYFUNCTION("""COMPUTED_VALUE"""),354000)</f>
        <v>354000</v>
      </c>
      <c r="P454" s="10"/>
      <c r="Q454" s="67">
        <f ca="1">IFERROR(__xludf.DUMMYFUNCTION("""COMPUTED_VALUE"""),45504)</f>
        <v>45504</v>
      </c>
    </row>
    <row r="455" spans="1:17" ht="12.5">
      <c r="A455" s="82">
        <f t="array" aca="1" ref="A455" ca="1">INDEX('Database Mitra'!$R$2:$R1001,MATCH(C455,'Database Mitra'!$B$2:$B1001,0))</f>
        <v>32942</v>
      </c>
      <c r="B455" s="10" t="e">
        <f t="shared" ca="1" si="0"/>
        <v>#NAME?</v>
      </c>
      <c r="C455" s="83">
        <f ca="1">IFERROR(__xludf.DUMMYFUNCTION("""COMPUTED_VALUE"""),610422100244)</f>
        <v>610422100244</v>
      </c>
      <c r="D455" s="10" t="str">
        <f ca="1">IFERROR(__xludf.DUMMYFUNCTION("""COMPUTED_VALUE"""),"KSA24-LAPANGAN-JULI")</f>
        <v>KSA24-LAPANGAN-JULI</v>
      </c>
      <c r="E455" s="10"/>
      <c r="F455" s="10">
        <f ca="1">IFERROR(__xludf.DUMMYFUNCTION("""COMPUTED_VALUE"""),1)</f>
        <v>1</v>
      </c>
      <c r="G455" s="10" t="str">
        <f ca="1">IFERROR(__xludf.DUMMYFUNCTION("""COMPUTED_VALUE"""),"Sugianto")</f>
        <v>Sugianto</v>
      </c>
      <c r="H455" s="10" t="str">
        <f ca="1">IFERROR(__xludf.DUMMYFUNCTION("""COMPUTED_VALUE"""),"PPL")</f>
        <v>PPL</v>
      </c>
      <c r="I455" s="10" t="str">
        <f ca="1">IFERROR(__xludf.DUMMYFUNCTION("""COMPUTED_VALUE"""),"6102171003900002")</f>
        <v>6102171003900002</v>
      </c>
      <c r="J455" s="10" t="str">
        <f ca="1">IFERROR(__xludf.DUMMYFUNCTION("""COMPUTED_VALUE"""),"KSA JAGUNG")</f>
        <v>KSA JAGUNG</v>
      </c>
      <c r="K455" s="10" t="str">
        <f ca="1">IFERROR(__xludf.DUMMYFUNCTION("""COMPUTED_VALUE"""),"KSA24-LAPANGAN-JULI-PPL-KSA JAGUNG")</f>
        <v>KSA24-LAPANGAN-JULI-PPL-KSA JAGUNG</v>
      </c>
      <c r="L455" s="10" t="str">
        <f ca="1">IFERROR(__xludf.DUMMYFUNCTION("""COMPUTED_VALUE"""),"Segmen")</f>
        <v>Segmen</v>
      </c>
      <c r="M455" s="66">
        <f ca="1">IFERROR(__xludf.DUMMYFUNCTION("""COMPUTED_VALUE"""),59000)</f>
        <v>59000</v>
      </c>
      <c r="N455" s="10">
        <f ca="1">IFERROR(__xludf.DUMMYFUNCTION("""COMPUTED_VALUE"""),8)</f>
        <v>8</v>
      </c>
      <c r="O455" s="10">
        <f ca="1">IFERROR(__xludf.DUMMYFUNCTION("""COMPUTED_VALUE"""),472000)</f>
        <v>472000</v>
      </c>
      <c r="P455" s="10"/>
      <c r="Q455" s="67">
        <f ca="1">IFERROR(__xludf.DUMMYFUNCTION("""COMPUTED_VALUE"""),45504)</f>
        <v>45504</v>
      </c>
    </row>
    <row r="456" spans="1:17" ht="12.5">
      <c r="A456" s="82">
        <f t="array" aca="1" ref="A456" ca="1">INDEX('Database Mitra'!$R$2:$R1001,MATCH(C456,'Database Mitra'!$B$2:$B1001,0))</f>
        <v>27798</v>
      </c>
      <c r="B456" s="10" t="e">
        <f t="shared" ca="1" si="0"/>
        <v>#NAME?</v>
      </c>
      <c r="C456" s="83">
        <f ca="1">IFERROR(__xludf.DUMMYFUNCTION("""COMPUTED_VALUE"""),610422040056)</f>
        <v>610422040056</v>
      </c>
      <c r="D456" s="10" t="str">
        <f ca="1">IFERROR(__xludf.DUMMYFUNCTION("""COMPUTED_VALUE"""),"SKLNPT24-LAPANGAN-TRI2")</f>
        <v>SKLNPT24-LAPANGAN-TRI2</v>
      </c>
      <c r="E456" s="10"/>
      <c r="F456" s="10">
        <f ca="1">IFERROR(__xludf.DUMMYFUNCTION("""COMPUTED_VALUE"""),1)</f>
        <v>1</v>
      </c>
      <c r="G456" s="10" t="str">
        <f ca="1">IFERROR(__xludf.DUMMYFUNCTION("""COMPUTED_VALUE"""),"Wandi Syafari")</f>
        <v>Wandi Syafari</v>
      </c>
      <c r="H456" s="10" t="str">
        <f ca="1">IFERROR(__xludf.DUMMYFUNCTION("""COMPUTED_VALUE"""),"PPL")</f>
        <v>PPL</v>
      </c>
      <c r="I456" s="10" t="str">
        <f ca="1">IFERROR(__xludf.DUMMYFUNCTION("""COMPUTED_VALUE"""),"6102010802760001")</f>
        <v>6102010802760001</v>
      </c>
      <c r="J456" s="10" t="str">
        <f ca="1">IFERROR(__xludf.DUMMYFUNCTION("""COMPUTED_VALUE"""),"PENDATAAN")</f>
        <v>PENDATAAN</v>
      </c>
      <c r="K456" s="10" t="str">
        <f ca="1">IFERROR(__xludf.DUMMYFUNCTION("""COMPUTED_VALUE"""),"SKLNPT24-LAPANGAN-TRI2-PPL-PENDATAAN")</f>
        <v>SKLNPT24-LAPANGAN-TRI2-PPL-PENDATAAN</v>
      </c>
      <c r="L456" s="10" t="str">
        <f ca="1">IFERROR(__xludf.DUMMYFUNCTION("""COMPUTED_VALUE"""),"Dokumen")</f>
        <v>Dokumen</v>
      </c>
      <c r="M456" s="66">
        <f ca="1">IFERROR(__xludf.DUMMYFUNCTION("""COMPUTED_VALUE"""),65000)</f>
        <v>65000</v>
      </c>
      <c r="N456" s="10">
        <f ca="1">IFERROR(__xludf.DUMMYFUNCTION("""COMPUTED_VALUE"""),10)</f>
        <v>10</v>
      </c>
      <c r="O456" s="10">
        <f ca="1">IFERROR(__xludf.DUMMYFUNCTION("""COMPUTED_VALUE"""),650000)</f>
        <v>650000</v>
      </c>
      <c r="P456" s="10"/>
      <c r="Q456" s="67">
        <f ca="1">IFERROR(__xludf.DUMMYFUNCTION("""COMPUTED_VALUE"""),45504)</f>
        <v>45504</v>
      </c>
    </row>
    <row r="457" spans="1:17" ht="12.5">
      <c r="A457" s="82">
        <f t="array" aca="1" ref="A457" ca="1">INDEX('Database Mitra'!$R$2:$R1001,MATCH(C457,'Database Mitra'!$B$2:$B1001,0))</f>
        <v>31964</v>
      </c>
      <c r="B457" s="10" t="e">
        <f t="shared" ca="1" si="0"/>
        <v>#NAME?</v>
      </c>
      <c r="C457" s="83">
        <f ca="1">IFERROR(__xludf.DUMMYFUNCTION("""COMPUTED_VALUE"""),610422040029)</f>
        <v>610422040029</v>
      </c>
      <c r="D457" s="10" t="str">
        <f ca="1">IFERROR(__xludf.DUMMYFUNCTION("""COMPUTED_VALUE"""),"SKTNP24-LAPANGAN-TRI2")</f>
        <v>SKTNP24-LAPANGAN-TRI2</v>
      </c>
      <c r="E457" s="10"/>
      <c r="F457" s="10">
        <f ca="1">IFERROR(__xludf.DUMMYFUNCTION("""COMPUTED_VALUE"""),1)</f>
        <v>1</v>
      </c>
      <c r="G457" s="10" t="str">
        <f ca="1">IFERROR(__xludf.DUMMYFUNCTION("""COMPUTED_VALUE"""),"Zaini")</f>
        <v>Zaini</v>
      </c>
      <c r="H457" s="10" t="str">
        <f ca="1">IFERROR(__xludf.DUMMYFUNCTION("""COMPUTED_VALUE"""),"PPL")</f>
        <v>PPL</v>
      </c>
      <c r="I457" s="10" t="str">
        <f ca="1">IFERROR(__xludf.DUMMYFUNCTION("""COMPUTED_VALUE"""),"6102010607870002")</f>
        <v>6102010607870002</v>
      </c>
      <c r="J457" s="10" t="str">
        <f ca="1">IFERROR(__xludf.DUMMYFUNCTION("""COMPUTED_VALUE"""),"PENDATAAN")</f>
        <v>PENDATAAN</v>
      </c>
      <c r="K457" s="10" t="str">
        <f ca="1">IFERROR(__xludf.DUMMYFUNCTION("""COMPUTED_VALUE"""),"SKTNP24-LAPANGAN-TRI2-PPL-PENDATAAN BARANG")</f>
        <v>SKTNP24-LAPANGAN-TRI2-PPL-PENDATAAN BARANG</v>
      </c>
      <c r="L457" s="10" t="str">
        <f ca="1">IFERROR(__xludf.DUMMYFUNCTION("""COMPUTED_VALUE"""),"Dokumen")</f>
        <v>Dokumen</v>
      </c>
      <c r="M457" s="66">
        <f ca="1">IFERROR(__xludf.DUMMYFUNCTION("""COMPUTED_VALUE"""),55000)</f>
        <v>55000</v>
      </c>
      <c r="N457" s="10">
        <f ca="1">IFERROR(__xludf.DUMMYFUNCTION("""COMPUTED_VALUE"""),1)</f>
        <v>1</v>
      </c>
      <c r="O457" s="10">
        <f ca="1">IFERROR(__xludf.DUMMYFUNCTION("""COMPUTED_VALUE"""),55000)</f>
        <v>55000</v>
      </c>
      <c r="P457" s="10"/>
      <c r="Q457" s="67">
        <f ca="1">IFERROR(__xludf.DUMMYFUNCTION("""COMPUTED_VALUE"""),45504)</f>
        <v>45504</v>
      </c>
    </row>
    <row r="458" spans="1:17" ht="12.5">
      <c r="A458" s="82">
        <f t="array" aca="1" ref="A458" ca="1">INDEX('Database Mitra'!$R$2:$R1001,MATCH(C458,'Database Mitra'!$B$2:$B1001,0))</f>
        <v>31964</v>
      </c>
      <c r="B458" s="10" t="e">
        <f t="shared" ca="1" si="0"/>
        <v>#NAME?</v>
      </c>
      <c r="C458" s="83">
        <f ca="1">IFERROR(__xludf.DUMMYFUNCTION("""COMPUTED_VALUE"""),610422040029)</f>
        <v>610422040029</v>
      </c>
      <c r="D458" s="10" t="str">
        <f ca="1">IFERROR(__xludf.DUMMYFUNCTION("""COMPUTED_VALUE"""),"SKTNP24-LAPANGAN-TRI2")</f>
        <v>SKTNP24-LAPANGAN-TRI2</v>
      </c>
      <c r="E458" s="10"/>
      <c r="F458" s="10">
        <f ca="1">IFERROR(__xludf.DUMMYFUNCTION("""COMPUTED_VALUE"""),1)</f>
        <v>1</v>
      </c>
      <c r="G458" s="10" t="str">
        <f ca="1">IFERROR(__xludf.DUMMYFUNCTION("""COMPUTED_VALUE"""),"Zaini")</f>
        <v>Zaini</v>
      </c>
      <c r="H458" s="10" t="str">
        <f ca="1">IFERROR(__xludf.DUMMYFUNCTION("""COMPUTED_VALUE"""),"PPL")</f>
        <v>PPL</v>
      </c>
      <c r="I458" s="10" t="str">
        <f ca="1">IFERROR(__xludf.DUMMYFUNCTION("""COMPUTED_VALUE"""),"6102010607870002")</f>
        <v>6102010607870002</v>
      </c>
      <c r="J458" s="10" t="str">
        <f ca="1">IFERROR(__xludf.DUMMYFUNCTION("""COMPUTED_VALUE"""),"PENDATAAN")</f>
        <v>PENDATAAN</v>
      </c>
      <c r="K458" s="10" t="str">
        <f ca="1">IFERROR(__xludf.DUMMYFUNCTION("""COMPUTED_VALUE"""),"SKTNP24-LAPANGAN-TRI2-PPL-PENDATAAN JASA")</f>
        <v>SKTNP24-LAPANGAN-TRI2-PPL-PENDATAAN JASA</v>
      </c>
      <c r="L458" s="10" t="str">
        <f ca="1">IFERROR(__xludf.DUMMYFUNCTION("""COMPUTED_VALUE"""),"Dokumen")</f>
        <v>Dokumen</v>
      </c>
      <c r="M458" s="66">
        <f ca="1">IFERROR(__xludf.DUMMYFUNCTION("""COMPUTED_VALUE"""),55000)</f>
        <v>55000</v>
      </c>
      <c r="N458" s="10">
        <f ca="1">IFERROR(__xludf.DUMMYFUNCTION("""COMPUTED_VALUE"""),2)</f>
        <v>2</v>
      </c>
      <c r="O458" s="10">
        <f ca="1">IFERROR(__xludf.DUMMYFUNCTION("""COMPUTED_VALUE"""),110000)</f>
        <v>110000</v>
      </c>
      <c r="P458" s="10"/>
      <c r="Q458" s="67">
        <f ca="1">IFERROR(__xludf.DUMMYFUNCTION("""COMPUTED_VALUE"""),45504)</f>
        <v>45504</v>
      </c>
    </row>
    <row r="459" spans="1:17" ht="12.5">
      <c r="A459" s="82">
        <f t="array" aca="1" ref="A459" ca="1">INDEX('Database Mitra'!$R$2:$R1001,MATCH(C459,'Database Mitra'!$B$2:$B1001,0))</f>
        <v>35465</v>
      </c>
      <c r="B459" s="10" t="e">
        <f t="shared" ca="1" si="0"/>
        <v>#NAME?</v>
      </c>
      <c r="C459" s="83">
        <f ca="1">IFERROR(__xludf.DUMMYFUNCTION("""COMPUTED_VALUE"""),610422100153)</f>
        <v>610422100153</v>
      </c>
      <c r="D459" s="10" t="str">
        <f ca="1">IFERROR(__xludf.DUMMYFUNCTION("""COMPUTED_VALUE"""),"GALIANBH24-LAPANGAN-TRI2")</f>
        <v>GALIANBH24-LAPANGAN-TRI2</v>
      </c>
      <c r="E459" s="10"/>
      <c r="F459" s="10">
        <f ca="1">IFERROR(__xludf.DUMMYFUNCTION("""COMPUTED_VALUE"""),1)</f>
        <v>1</v>
      </c>
      <c r="G459" s="10" t="str">
        <f ca="1">IFERROR(__xludf.DUMMYFUNCTION("""COMPUTED_VALUE"""),"Kharim Marufah")</f>
        <v>Kharim Marufah</v>
      </c>
      <c r="H459" s="10"/>
      <c r="I459" s="10"/>
      <c r="J459" s="10" t="str">
        <f ca="1">IFERROR(__xludf.DUMMYFUNCTION("""COMPUTED_VALUE"""),"PENDATAAN")</f>
        <v>PENDATAAN</v>
      </c>
      <c r="K459" s="10" t="str">
        <f ca="1">IFERROR(__xludf.DUMMYFUNCTION("""COMPUTED_VALUE"""),"GALIANBH24-LAPANGAN-TRI2-PPL-PENDATAAN")</f>
        <v>GALIANBH24-LAPANGAN-TRI2-PPL-PENDATAAN</v>
      </c>
      <c r="L459" s="10" t="str">
        <f ca="1">IFERROR(__xludf.DUMMYFUNCTION("""COMPUTED_VALUE"""),"Dokumen")</f>
        <v>Dokumen</v>
      </c>
      <c r="M459" s="66">
        <f ca="1">IFERROR(__xludf.DUMMYFUNCTION("""COMPUTED_VALUE"""),50000)</f>
        <v>50000</v>
      </c>
      <c r="N459" s="10">
        <f ca="1">IFERROR(__xludf.DUMMYFUNCTION("""COMPUTED_VALUE"""),5)</f>
        <v>5</v>
      </c>
      <c r="O459" s="10">
        <f ca="1">IFERROR(__xludf.DUMMYFUNCTION("""COMPUTED_VALUE"""),250000)</f>
        <v>250000</v>
      </c>
      <c r="P459" s="10"/>
      <c r="Q459" s="67">
        <f ca="1">IFERROR(__xludf.DUMMYFUNCTION("""COMPUTED_VALUE"""),45504)</f>
        <v>45504</v>
      </c>
    </row>
    <row r="460" spans="1:17" ht="12.5">
      <c r="A460" s="11">
        <f t="array" aca="1" ref="A460" ca="1">INDEX('Database Mitra'!$R$2:$R1001,MATCH(C460,'Database Mitra'!$B$2:$B1001,0))</f>
        <v>29305</v>
      </c>
      <c r="B460" s="10" t="e">
        <f t="shared" ca="1" si="0"/>
        <v>#NAME?</v>
      </c>
      <c r="C460" s="83">
        <f ca="1">IFERROR(__xludf.DUMMYFUNCTION("""COMPUTED_VALUE"""),610422020048)</f>
        <v>610422020048</v>
      </c>
      <c r="D460" s="10" t="str">
        <f ca="1">IFERROR(__xludf.DUMMYFUNCTION("""COMPUTED_VALUE"""),"LPTB24-LAPANGAN-AGUSTUS")</f>
        <v>LPTB24-LAPANGAN-AGUSTUS</v>
      </c>
      <c r="E460" s="10"/>
      <c r="F460" s="10">
        <f ca="1">IFERROR(__xludf.DUMMYFUNCTION("""COMPUTED_VALUE"""),1)</f>
        <v>1</v>
      </c>
      <c r="G460" s="10" t="str">
        <f ca="1">IFERROR(__xludf.DUMMYFUNCTION("""COMPUTED_VALUE"""),"Herri Gustaman")</f>
        <v>Herri Gustaman</v>
      </c>
      <c r="H460" s="10" t="str">
        <f ca="1">IFERROR(__xludf.DUMMYFUNCTION("""COMPUTED_VALUE"""),"PPL")</f>
        <v>PPL</v>
      </c>
      <c r="I460" s="10" t="str">
        <f ca="1">IFERROR(__xludf.DUMMYFUNCTION("""COMPUTED_VALUE"""),"6102072503800001")</f>
        <v>6102072503800001</v>
      </c>
      <c r="J460" s="10" t="str">
        <f ca="1">IFERROR(__xludf.DUMMYFUNCTION("""COMPUTED_VALUE"""),"PENDATAAN")</f>
        <v>PENDATAAN</v>
      </c>
      <c r="K460" s="10" t="str">
        <f ca="1">IFERROR(__xludf.DUMMYFUNCTION("""COMPUTED_VALUE"""),"LPTB24-LAPANGAN-AGUSTUS-PPL-PENDATAAN")</f>
        <v>LPTB24-LAPANGAN-AGUSTUS-PPL-PENDATAAN</v>
      </c>
      <c r="L460" s="10" t="str">
        <f ca="1">IFERROR(__xludf.DUMMYFUNCTION("""COMPUTED_VALUE"""),"Dokumen")</f>
        <v>Dokumen</v>
      </c>
      <c r="M460" s="66">
        <f ca="1">IFERROR(__xludf.DUMMYFUNCTION("""COMPUTED_VALUE"""),60000)</f>
        <v>60000</v>
      </c>
      <c r="N460" s="10">
        <f ca="1">IFERROR(__xludf.DUMMYFUNCTION("""COMPUTED_VALUE"""),4)</f>
        <v>4</v>
      </c>
      <c r="O460" s="10">
        <f ca="1">IFERROR(__xludf.DUMMYFUNCTION("""COMPUTED_VALUE"""),240000)</f>
        <v>240000</v>
      </c>
      <c r="P460" s="10"/>
      <c r="Q460" s="67">
        <f ca="1">IFERROR(__xludf.DUMMYFUNCTION("""COMPUTED_VALUE"""),45505)</f>
        <v>45505</v>
      </c>
    </row>
    <row r="461" spans="1:17" ht="12.5">
      <c r="A461" s="82">
        <f t="array" aca="1" ref="A461" ca="1">INDEX('Database Mitra'!$R$2:$R1001,MATCH(C461,'Database Mitra'!$B$2:$B1001,0))</f>
        <v>31773</v>
      </c>
      <c r="B461" s="10" t="e">
        <f t="shared" ca="1" si="0"/>
        <v>#NAME?</v>
      </c>
      <c r="C461" s="83">
        <f ca="1">IFERROR(__xludf.DUMMYFUNCTION("""COMPUTED_VALUE"""),610422030002)</f>
        <v>610422030002</v>
      </c>
      <c r="D461" s="10" t="str">
        <f ca="1">IFERROR(__xludf.DUMMYFUNCTION("""COMPUTED_VALUE"""),"SHPB24-LAPANGAN-AGUSTUS")</f>
        <v>SHPB24-LAPANGAN-AGUSTUS</v>
      </c>
      <c r="E461" s="10"/>
      <c r="F461" s="10">
        <f ca="1">IFERROR(__xludf.DUMMYFUNCTION("""COMPUTED_VALUE"""),1)</f>
        <v>1</v>
      </c>
      <c r="G461" s="10" t="str">
        <f ca="1">IFERROR(__xludf.DUMMYFUNCTION("""COMPUTED_VALUE"""),"Deti Erni Widiastuti")</f>
        <v>Deti Erni Widiastuti</v>
      </c>
      <c r="H461" s="10" t="str">
        <f ca="1">IFERROR(__xludf.DUMMYFUNCTION("""COMPUTED_VALUE"""),"PPL")</f>
        <v>PPL</v>
      </c>
      <c r="I461" s="10" t="str">
        <f ca="1">IFERROR(__xludf.DUMMYFUNCTION("""COMPUTED_VALUE"""),"6102016712860001")</f>
        <v>6102016712860001</v>
      </c>
      <c r="J461" s="10" t="str">
        <f ca="1">IFERROR(__xludf.DUMMYFUNCTION("""COMPUTED_VALUE"""),"PENDATAAN")</f>
        <v>PENDATAAN</v>
      </c>
      <c r="K461" s="10" t="str">
        <f ca="1">IFERROR(__xludf.DUMMYFUNCTION("""COMPUTED_VALUE"""),"SHPB24-LAPANGAN-AGUSTUS-PPL-PENDATAAN")</f>
        <v>SHPB24-LAPANGAN-AGUSTUS-PPL-PENDATAAN</v>
      </c>
      <c r="L461" s="10" t="str">
        <f ca="1">IFERROR(__xludf.DUMMYFUNCTION("""COMPUTED_VALUE"""),"Dokumen")</f>
        <v>Dokumen</v>
      </c>
      <c r="M461" s="66">
        <f ca="1">IFERROR(__xludf.DUMMYFUNCTION("""COMPUTED_VALUE"""),50000)</f>
        <v>50000</v>
      </c>
      <c r="N461" s="10">
        <f ca="1">IFERROR(__xludf.DUMMYFUNCTION("""COMPUTED_VALUE"""),15)</f>
        <v>15</v>
      </c>
      <c r="O461" s="10">
        <f ca="1">IFERROR(__xludf.DUMMYFUNCTION("""COMPUTED_VALUE"""),750000)</f>
        <v>750000</v>
      </c>
      <c r="P461" s="10"/>
      <c r="Q461" s="67">
        <f ca="1">IFERROR(__xludf.DUMMYFUNCTION("""COMPUTED_VALUE"""),45524)</f>
        <v>45524</v>
      </c>
    </row>
    <row r="462" spans="1:17" ht="12.5">
      <c r="A462" s="82">
        <f t="array" aca="1" ref="A462" ca="1">INDEX('Database Mitra'!$R$2:$R1001,MATCH(C462,'Database Mitra'!$B$2:$B1001,0))</f>
        <v>32942</v>
      </c>
      <c r="B462" s="10" t="e">
        <f t="shared" ca="1" si="0"/>
        <v>#NAME?</v>
      </c>
      <c r="C462" s="83">
        <f ca="1">IFERROR(__xludf.DUMMYFUNCTION("""COMPUTED_VALUE"""),610422100244)</f>
        <v>610422100244</v>
      </c>
      <c r="D462" s="10" t="str">
        <f ca="1">IFERROR(__xludf.DUMMYFUNCTION("""COMPUTED_VALUE"""),"HPG24-LAPANGAN-AGUSTUS")</f>
        <v>HPG24-LAPANGAN-AGUSTUS</v>
      </c>
      <c r="E462" s="10"/>
      <c r="F462" s="10">
        <f ca="1">IFERROR(__xludf.DUMMYFUNCTION("""COMPUTED_VALUE"""),1)</f>
        <v>1</v>
      </c>
      <c r="G462" s="10" t="str">
        <f ca="1">IFERROR(__xludf.DUMMYFUNCTION("""COMPUTED_VALUE"""),"Sugianto")</f>
        <v>Sugianto</v>
      </c>
      <c r="H462" s="10" t="str">
        <f ca="1">IFERROR(__xludf.DUMMYFUNCTION("""COMPUTED_VALUE"""),"PPL")</f>
        <v>PPL</v>
      </c>
      <c r="I462" s="10" t="str">
        <f ca="1">IFERROR(__xludf.DUMMYFUNCTION("""COMPUTED_VALUE"""),"6102171003900002")</f>
        <v>6102171003900002</v>
      </c>
      <c r="J462" s="10" t="str">
        <f ca="1">IFERROR(__xludf.DUMMYFUNCTION("""COMPUTED_VALUE"""),"PENDATAAN")</f>
        <v>PENDATAAN</v>
      </c>
      <c r="K462" s="10" t="str">
        <f ca="1">IFERROR(__xludf.DUMMYFUNCTION("""COMPUTED_VALUE"""),"HPG24-LAPANGAN-AGUSTUS-PPL-PENDATAAN")</f>
        <v>HPG24-LAPANGAN-AGUSTUS-PPL-PENDATAAN</v>
      </c>
      <c r="L462" s="10" t="str">
        <f ca="1">IFERROR(__xludf.DUMMYFUNCTION("""COMPUTED_VALUE"""),"Dokumen")</f>
        <v>Dokumen</v>
      </c>
      <c r="M462" s="66">
        <f ca="1">IFERROR(__xludf.DUMMYFUNCTION("""COMPUTED_VALUE"""),50000)</f>
        <v>50000</v>
      </c>
      <c r="N462" s="10">
        <f ca="1">IFERROR(__xludf.DUMMYFUNCTION("""COMPUTED_VALUE"""),1)</f>
        <v>1</v>
      </c>
      <c r="O462" s="10">
        <f ca="1">IFERROR(__xludf.DUMMYFUNCTION("""COMPUTED_VALUE"""),50000)</f>
        <v>50000</v>
      </c>
      <c r="P462" s="10"/>
      <c r="Q462" s="67">
        <f ca="1">IFERROR(__xludf.DUMMYFUNCTION("""COMPUTED_VALUE"""),45524)</f>
        <v>45524</v>
      </c>
    </row>
    <row r="463" spans="1:17" ht="12.5">
      <c r="A463" s="82">
        <f t="array" aca="1" ref="A463" ca="1">INDEX('Database Mitra'!$R$2:$R1001,MATCH(C463,'Database Mitra'!$B$2:$B1001,0))</f>
        <v>29068</v>
      </c>
      <c r="B463" s="10" t="e">
        <f t="shared" ca="1" si="0"/>
        <v>#NAME?</v>
      </c>
      <c r="C463" s="83">
        <f ca="1">IFERROR(__xludf.DUMMYFUNCTION("""COMPUTED_VALUE"""),610422100124)</f>
        <v>610422100124</v>
      </c>
      <c r="D463" s="10" t="str">
        <f ca="1">IFERROR(__xludf.DUMMYFUNCTION("""COMPUTED_VALUE"""),"HPG24-LAPANGAN-AGUSTUS")</f>
        <v>HPG24-LAPANGAN-AGUSTUS</v>
      </c>
      <c r="E463" s="10"/>
      <c r="F463" s="10">
        <f ca="1">IFERROR(__xludf.DUMMYFUNCTION("""COMPUTED_VALUE"""),1)</f>
        <v>1</v>
      </c>
      <c r="G463" s="10" t="str">
        <f ca="1">IFERROR(__xludf.DUMMYFUNCTION("""COMPUTED_VALUE"""),"Prabowo")</f>
        <v>Prabowo</v>
      </c>
      <c r="H463" s="10" t="str">
        <f ca="1">IFERROR(__xludf.DUMMYFUNCTION("""COMPUTED_VALUE"""),"PPL")</f>
        <v>PPL</v>
      </c>
      <c r="I463" s="10" t="str">
        <f ca="1">IFERROR(__xludf.DUMMYFUNCTION("""COMPUTED_VALUE"""),"6171010108790015")</f>
        <v>6171010108790015</v>
      </c>
      <c r="J463" s="10" t="str">
        <f ca="1">IFERROR(__xludf.DUMMYFUNCTION("""COMPUTED_VALUE"""),"PENDATAAN")</f>
        <v>PENDATAAN</v>
      </c>
      <c r="K463" s="10" t="str">
        <f ca="1">IFERROR(__xludf.DUMMYFUNCTION("""COMPUTED_VALUE"""),"HPG24-LAPANGAN-AGUSTUS-PPL-PENDATAAN")</f>
        <v>HPG24-LAPANGAN-AGUSTUS-PPL-PENDATAAN</v>
      </c>
      <c r="L463" s="10" t="str">
        <f ca="1">IFERROR(__xludf.DUMMYFUNCTION("""COMPUTED_VALUE"""),"Dokumen")</f>
        <v>Dokumen</v>
      </c>
      <c r="M463" s="66">
        <f ca="1">IFERROR(__xludf.DUMMYFUNCTION("""COMPUTED_VALUE"""),50000)</f>
        <v>50000</v>
      </c>
      <c r="N463" s="10">
        <f ca="1">IFERROR(__xludf.DUMMYFUNCTION("""COMPUTED_VALUE"""),1)</f>
        <v>1</v>
      </c>
      <c r="O463" s="10">
        <f ca="1">IFERROR(__xludf.DUMMYFUNCTION("""COMPUTED_VALUE"""),50000)</f>
        <v>50000</v>
      </c>
      <c r="P463" s="10"/>
      <c r="Q463" s="67">
        <f ca="1">IFERROR(__xludf.DUMMYFUNCTION("""COMPUTED_VALUE"""),45524)</f>
        <v>45524</v>
      </c>
    </row>
    <row r="464" spans="1:17" ht="12.5">
      <c r="A464" s="82">
        <f t="array" aca="1" ref="A464" ca="1">INDEX('Database Mitra'!$R$2:$R1001,MATCH(C464,'Database Mitra'!$B$2:$B1001,0))</f>
        <v>37531</v>
      </c>
      <c r="B464" s="10" t="e">
        <f t="shared" ca="1" si="0"/>
        <v>#NAME?</v>
      </c>
      <c r="C464" s="83">
        <f ca="1">IFERROR(__xludf.DUMMYFUNCTION("""COMPUTED_VALUE"""),610422100016)</f>
        <v>610422100016</v>
      </c>
      <c r="D464" s="10" t="str">
        <f ca="1">IFERROR(__xludf.DUMMYFUNCTION("""COMPUTED_VALUE"""),"SHPED24-LAPANGAN-AGUSTUS")</f>
        <v>SHPED24-LAPANGAN-AGUSTUS</v>
      </c>
      <c r="E464" s="10"/>
      <c r="F464" s="10">
        <f ca="1">IFERROR(__xludf.DUMMYFUNCTION("""COMPUTED_VALUE"""),1)</f>
        <v>1</v>
      </c>
      <c r="G464" s="10" t="str">
        <f ca="1">IFERROR(__xludf.DUMMYFUNCTION("""COMPUTED_VALUE"""),"Amalia Faisya")</f>
        <v>Amalia Faisya</v>
      </c>
      <c r="H464" s="10" t="str">
        <f ca="1">IFERROR(__xludf.DUMMYFUNCTION("""COMPUTED_VALUE"""),"PPL")</f>
        <v>PPL</v>
      </c>
      <c r="I464" s="10" t="str">
        <f ca="1">IFERROR(__xludf.DUMMYFUNCTION("""COMPUTED_VALUE"""),"6102124210010005")</f>
        <v>6102124210010005</v>
      </c>
      <c r="J464" s="10" t="str">
        <f ca="1">IFERROR(__xludf.DUMMYFUNCTION("""COMPUTED_VALUE"""),"PENDATAAN KONSUMEN")</f>
        <v>PENDATAAN KONSUMEN</v>
      </c>
      <c r="K464" s="10" t="str">
        <f ca="1">IFERROR(__xludf.DUMMYFUNCTION("""COMPUTED_VALUE"""),"SHPED24-LAPANGAN-AGUSTUS-PPL-PENDATAAN KONSUMEN")</f>
        <v>SHPED24-LAPANGAN-AGUSTUS-PPL-PENDATAAN KONSUMEN</v>
      </c>
      <c r="L464" s="10" t="str">
        <f ca="1">IFERROR(__xludf.DUMMYFUNCTION("""COMPUTED_VALUE"""),"Dokumen")</f>
        <v>Dokumen</v>
      </c>
      <c r="M464" s="66">
        <f ca="1">IFERROR(__xludf.DUMMYFUNCTION("""COMPUTED_VALUE"""),65000)</f>
        <v>65000</v>
      </c>
      <c r="N464" s="10">
        <f ca="1">IFERROR(__xludf.DUMMYFUNCTION("""COMPUTED_VALUE"""),3)</f>
        <v>3</v>
      </c>
      <c r="O464" s="10">
        <f ca="1">IFERROR(__xludf.DUMMYFUNCTION("""COMPUTED_VALUE"""),195000)</f>
        <v>195000</v>
      </c>
      <c r="P464" s="10"/>
      <c r="Q464" s="67">
        <f ca="1">IFERROR(__xludf.DUMMYFUNCTION("""COMPUTED_VALUE"""),45524)</f>
        <v>45524</v>
      </c>
    </row>
    <row r="465" spans="1:17" ht="12.5">
      <c r="A465" s="82">
        <f t="array" aca="1" ref="A465" ca="1">INDEX('Database Mitra'!$R$2:$R1001,MATCH(C465,'Database Mitra'!$B$2:$B1001,0))</f>
        <v>30692</v>
      </c>
      <c r="B465" s="10" t="e">
        <f t="shared" ca="1" si="0"/>
        <v>#NAME?</v>
      </c>
      <c r="C465" s="83">
        <f ca="1">IFERROR(__xludf.DUMMYFUNCTION("""COMPUTED_VALUE"""),610422050001)</f>
        <v>610422050001</v>
      </c>
      <c r="D465" s="10" t="str">
        <f ca="1">IFERROR(__xludf.DUMMYFUNCTION("""COMPUTED_VALUE"""),"SHPED24-LAPANGAN-AGUSTUS")</f>
        <v>SHPED24-LAPANGAN-AGUSTUS</v>
      </c>
      <c r="E465" s="10"/>
      <c r="F465" s="10">
        <f ca="1">IFERROR(__xludf.DUMMYFUNCTION("""COMPUTED_VALUE"""),1)</f>
        <v>1</v>
      </c>
      <c r="G465" s="10" t="str">
        <f ca="1">IFERROR(__xludf.DUMMYFUNCTION("""COMPUTED_VALUE"""),"Evi Juniarty")</f>
        <v>Evi Juniarty</v>
      </c>
      <c r="H465" s="10" t="str">
        <f ca="1">IFERROR(__xludf.DUMMYFUNCTION("""COMPUTED_VALUE"""),"PPL")</f>
        <v>PPL</v>
      </c>
      <c r="I465" s="10" t="str">
        <f ca="1">IFERROR(__xludf.DUMMYFUNCTION("""COMPUTED_VALUE"""),"6102165101840001")</f>
        <v>6102165101840001</v>
      </c>
      <c r="J465" s="10" t="str">
        <f ca="1">IFERROR(__xludf.DUMMYFUNCTION("""COMPUTED_VALUE"""),"PENDATAAN KONSUMEN")</f>
        <v>PENDATAAN KONSUMEN</v>
      </c>
      <c r="K465" s="10" t="str">
        <f ca="1">IFERROR(__xludf.DUMMYFUNCTION("""COMPUTED_VALUE"""),"SHPED24-LAPANGAN-AGUSTUS-PPL-PENDATAAN KONSUMEN")</f>
        <v>SHPED24-LAPANGAN-AGUSTUS-PPL-PENDATAAN KONSUMEN</v>
      </c>
      <c r="L465" s="10" t="str">
        <f ca="1">IFERROR(__xludf.DUMMYFUNCTION("""COMPUTED_VALUE"""),"Dokumen")</f>
        <v>Dokumen</v>
      </c>
      <c r="M465" s="66">
        <f ca="1">IFERROR(__xludf.DUMMYFUNCTION("""COMPUTED_VALUE"""),65000)</f>
        <v>65000</v>
      </c>
      <c r="N465" s="10">
        <f ca="1">IFERROR(__xludf.DUMMYFUNCTION("""COMPUTED_VALUE"""),3)</f>
        <v>3</v>
      </c>
      <c r="O465" s="10">
        <f ca="1">IFERROR(__xludf.DUMMYFUNCTION("""COMPUTED_VALUE"""),195000)</f>
        <v>195000</v>
      </c>
      <c r="P465" s="10"/>
      <c r="Q465" s="67">
        <f ca="1">IFERROR(__xludf.DUMMYFUNCTION("""COMPUTED_VALUE"""),45524)</f>
        <v>45524</v>
      </c>
    </row>
    <row r="466" spans="1:17" ht="12.5">
      <c r="A466" s="82">
        <f t="array" aca="1" ref="A466" ca="1">INDEX('Database Mitra'!$R$2:$R1001,MATCH(C466,'Database Mitra'!$B$2:$B1001,0))</f>
        <v>35038</v>
      </c>
      <c r="B466" s="10" t="e">
        <f t="shared" ca="1" si="0"/>
        <v>#NAME?</v>
      </c>
      <c r="C466" s="83">
        <f ca="1">IFERROR(__xludf.DUMMYFUNCTION("""COMPUTED_VALUE"""),610422040030)</f>
        <v>610422040030</v>
      </c>
      <c r="D466" s="10" t="str">
        <f ca="1">IFERROR(__xludf.DUMMYFUNCTION("""COMPUTED_VALUE"""),"SHPED24-LAPANGAN-AGUSTUS")</f>
        <v>SHPED24-LAPANGAN-AGUSTUS</v>
      </c>
      <c r="E466" s="10"/>
      <c r="F466" s="10">
        <f ca="1">IFERROR(__xludf.DUMMYFUNCTION("""COMPUTED_VALUE"""),1)</f>
        <v>1</v>
      </c>
      <c r="G466" s="10" t="str">
        <f ca="1">IFERROR(__xludf.DUMMYFUNCTION("""COMPUTED_VALUE"""),"Syarifah Desti Pratiwi")</f>
        <v>Syarifah Desti Pratiwi</v>
      </c>
      <c r="H466" s="10" t="str">
        <f ca="1">IFERROR(__xludf.DUMMYFUNCTION("""COMPUTED_VALUE"""),"PPL")</f>
        <v>PPL</v>
      </c>
      <c r="I466" s="10" t="str">
        <f ca="1">IFERROR(__xludf.DUMMYFUNCTION("""COMPUTED_VALUE"""),"6102084512950002")</f>
        <v>6102084512950002</v>
      </c>
      <c r="J466" s="10" t="str">
        <f ca="1">IFERROR(__xludf.DUMMYFUNCTION("""COMPUTED_VALUE"""),"PENDATAAN PRODUSEN")</f>
        <v>PENDATAAN PRODUSEN</v>
      </c>
      <c r="K466" s="10" t="str">
        <f ca="1">IFERROR(__xludf.DUMMYFUNCTION("""COMPUTED_VALUE"""),"SHPED24-LAPANGAN-AGUSTUS-PPL-PENDATAAN PRODUSEN")</f>
        <v>SHPED24-LAPANGAN-AGUSTUS-PPL-PENDATAAN PRODUSEN</v>
      </c>
      <c r="L466" s="10" t="str">
        <f ca="1">IFERROR(__xludf.DUMMYFUNCTION("""COMPUTED_VALUE"""),"Dokumen")</f>
        <v>Dokumen</v>
      </c>
      <c r="M466" s="66">
        <f ca="1">IFERROR(__xludf.DUMMYFUNCTION("""COMPUTED_VALUE"""),55000)</f>
        <v>55000</v>
      </c>
      <c r="N466" s="10">
        <f ca="1">IFERROR(__xludf.DUMMYFUNCTION("""COMPUTED_VALUE"""),1)</f>
        <v>1</v>
      </c>
      <c r="O466" s="10">
        <f ca="1">IFERROR(__xludf.DUMMYFUNCTION("""COMPUTED_VALUE"""),55000)</f>
        <v>55000</v>
      </c>
      <c r="P466" s="10"/>
      <c r="Q466" s="67">
        <f ca="1">IFERROR(__xludf.DUMMYFUNCTION("""COMPUTED_VALUE"""),45524)</f>
        <v>45524</v>
      </c>
    </row>
    <row r="467" spans="1:17" ht="12.5">
      <c r="A467" s="82">
        <f t="array" aca="1" ref="A467" ca="1">INDEX('Database Mitra'!$R$2:$R1001,MATCH(C467,'Database Mitra'!$B$2:$B1001,0))</f>
        <v>29068</v>
      </c>
      <c r="B467" s="10" t="e">
        <f t="shared" ca="1" si="0"/>
        <v>#NAME?</v>
      </c>
      <c r="C467" s="83">
        <f ca="1">IFERROR(__xludf.DUMMYFUNCTION("""COMPUTED_VALUE"""),610422100124)</f>
        <v>610422100124</v>
      </c>
      <c r="D467" s="10" t="str">
        <f ca="1">IFERROR(__xludf.DUMMYFUNCTION("""COMPUTED_VALUE"""),"SHPED24-LAPANGAN-AGUSTUS")</f>
        <v>SHPED24-LAPANGAN-AGUSTUS</v>
      </c>
      <c r="E467" s="10"/>
      <c r="F467" s="10">
        <f ca="1">IFERROR(__xludf.DUMMYFUNCTION("""COMPUTED_VALUE"""),1)</f>
        <v>1</v>
      </c>
      <c r="G467" s="10" t="str">
        <f ca="1">IFERROR(__xludf.DUMMYFUNCTION("""COMPUTED_VALUE"""),"Prabowo")</f>
        <v>Prabowo</v>
      </c>
      <c r="H467" s="10" t="str">
        <f ca="1">IFERROR(__xludf.DUMMYFUNCTION("""COMPUTED_VALUE"""),"PPL")</f>
        <v>PPL</v>
      </c>
      <c r="I467" s="10" t="str">
        <f ca="1">IFERROR(__xludf.DUMMYFUNCTION("""COMPUTED_VALUE"""),"6171010108790015")</f>
        <v>6171010108790015</v>
      </c>
      <c r="J467" s="10" t="str">
        <f ca="1">IFERROR(__xludf.DUMMYFUNCTION("""COMPUTED_VALUE"""),"PENDATAAN PRODUSEN")</f>
        <v>PENDATAAN PRODUSEN</v>
      </c>
      <c r="K467" s="10" t="str">
        <f ca="1">IFERROR(__xludf.DUMMYFUNCTION("""COMPUTED_VALUE"""),"SHPED24-LAPANGAN-AGUSTUS-PPL-PENDATAAN PRODUSEN")</f>
        <v>SHPED24-LAPANGAN-AGUSTUS-PPL-PENDATAAN PRODUSEN</v>
      </c>
      <c r="L467" s="10" t="str">
        <f ca="1">IFERROR(__xludf.DUMMYFUNCTION("""COMPUTED_VALUE"""),"Dokumen")</f>
        <v>Dokumen</v>
      </c>
      <c r="M467" s="66">
        <f ca="1">IFERROR(__xludf.DUMMYFUNCTION("""COMPUTED_VALUE"""),55000)</f>
        <v>55000</v>
      </c>
      <c r="N467" s="10">
        <f ca="1">IFERROR(__xludf.DUMMYFUNCTION("""COMPUTED_VALUE"""),3)</f>
        <v>3</v>
      </c>
      <c r="O467" s="10">
        <f ca="1">IFERROR(__xludf.DUMMYFUNCTION("""COMPUTED_VALUE"""),165000)</f>
        <v>165000</v>
      </c>
      <c r="P467" s="10"/>
      <c r="Q467" s="67">
        <f ca="1">IFERROR(__xludf.DUMMYFUNCTION("""COMPUTED_VALUE"""),45524)</f>
        <v>45524</v>
      </c>
    </row>
    <row r="468" spans="1:17" ht="12.5">
      <c r="A468" s="82">
        <f t="array" aca="1" ref="A468" ca="1">INDEX('Database Mitra'!$R$2:$R1001,MATCH(C468,'Database Mitra'!$B$2:$B1001,0))</f>
        <v>32942</v>
      </c>
      <c r="B468" s="10" t="e">
        <f t="shared" ca="1" si="0"/>
        <v>#NAME?</v>
      </c>
      <c r="C468" s="83">
        <f ca="1">IFERROR(__xludf.DUMMYFUNCTION("""COMPUTED_VALUE"""),610422100244)</f>
        <v>610422100244</v>
      </c>
      <c r="D468" s="10" t="str">
        <f ca="1">IFERROR(__xludf.DUMMYFUNCTION("""COMPUTED_VALUE"""),"SHPED24-LAPANGAN-AGUSTUS")</f>
        <v>SHPED24-LAPANGAN-AGUSTUS</v>
      </c>
      <c r="E468" s="10"/>
      <c r="F468" s="10">
        <f ca="1">IFERROR(__xludf.DUMMYFUNCTION("""COMPUTED_VALUE"""),1)</f>
        <v>1</v>
      </c>
      <c r="G468" s="10" t="str">
        <f ca="1">IFERROR(__xludf.DUMMYFUNCTION("""COMPUTED_VALUE"""),"Sugianto")</f>
        <v>Sugianto</v>
      </c>
      <c r="H468" s="10" t="str">
        <f ca="1">IFERROR(__xludf.DUMMYFUNCTION("""COMPUTED_VALUE"""),"PPL")</f>
        <v>PPL</v>
      </c>
      <c r="I468" s="10" t="str">
        <f ca="1">IFERROR(__xludf.DUMMYFUNCTION("""COMPUTED_VALUE"""),"6102171003900002")</f>
        <v>6102171003900002</v>
      </c>
      <c r="J468" s="10" t="str">
        <f ca="1">IFERROR(__xludf.DUMMYFUNCTION("""COMPUTED_VALUE"""),"PENDATAAN PRODUSEN")</f>
        <v>PENDATAAN PRODUSEN</v>
      </c>
      <c r="K468" s="10" t="str">
        <f ca="1">IFERROR(__xludf.DUMMYFUNCTION("""COMPUTED_VALUE"""),"SHPED24-LAPANGAN-AGUSTUS-PPL-PENDATAAN PRODUSEN")</f>
        <v>SHPED24-LAPANGAN-AGUSTUS-PPL-PENDATAAN PRODUSEN</v>
      </c>
      <c r="L468" s="10" t="str">
        <f ca="1">IFERROR(__xludf.DUMMYFUNCTION("""COMPUTED_VALUE"""),"Dokumen")</f>
        <v>Dokumen</v>
      </c>
      <c r="M468" s="66">
        <f ca="1">IFERROR(__xludf.DUMMYFUNCTION("""COMPUTED_VALUE"""),55000)</f>
        <v>55000</v>
      </c>
      <c r="N468" s="10">
        <f ca="1">IFERROR(__xludf.DUMMYFUNCTION("""COMPUTED_VALUE"""),2)</f>
        <v>2</v>
      </c>
      <c r="O468" s="10">
        <f ca="1">IFERROR(__xludf.DUMMYFUNCTION("""COMPUTED_VALUE"""),110000)</f>
        <v>110000</v>
      </c>
      <c r="P468" s="10"/>
      <c r="Q468" s="67">
        <f ca="1">IFERROR(__xludf.DUMMYFUNCTION("""COMPUTED_VALUE"""),45524)</f>
        <v>45524</v>
      </c>
    </row>
    <row r="469" spans="1:17" ht="12.5">
      <c r="A469" s="11">
        <f t="array" aca="1" ref="A469" ca="1">INDEX('Database Mitra'!$R$2:$R1001,MATCH(C469,'Database Mitra'!$B$2:$B1001,0))</f>
        <v>34895</v>
      </c>
      <c r="B469" s="10" t="e">
        <f t="shared" ca="1" si="0"/>
        <v>#NAME?</v>
      </c>
      <c r="C469" s="83">
        <f ca="1">IFERROR(__xludf.DUMMYFUNCTION("""COMPUTED_VALUE"""),610422020016)</f>
        <v>610422020016</v>
      </c>
      <c r="D469" s="10" t="str">
        <f ca="1">IFERROR(__xludf.DUMMYFUNCTION("""COMPUTED_VALUE"""),"SHPED24-LAPANGAN-AGUSTUS")</f>
        <v>SHPED24-LAPANGAN-AGUSTUS</v>
      </c>
      <c r="E469" s="10"/>
      <c r="F469" s="10">
        <f ca="1">IFERROR(__xludf.DUMMYFUNCTION("""COMPUTED_VALUE"""),1)</f>
        <v>1</v>
      </c>
      <c r="G469" s="10" t="str">
        <f ca="1">IFERROR(__xludf.DUMMYFUNCTION("""COMPUTED_VALUE"""),"Abdul Aziz")</f>
        <v>Abdul Aziz</v>
      </c>
      <c r="H469" s="10" t="str">
        <f ca="1">IFERROR(__xludf.DUMMYFUNCTION("""COMPUTED_VALUE"""),"PPL")</f>
        <v>PPL</v>
      </c>
      <c r="I469" s="10" t="str">
        <f ca="1">IFERROR(__xludf.DUMMYFUNCTION("""COMPUTED_VALUE"""),"6102061507950006")</f>
        <v>6102061507950006</v>
      </c>
      <c r="J469" s="10" t="str">
        <f ca="1">IFERROR(__xludf.DUMMYFUNCTION("""COMPUTED_VALUE"""),"PENDATAAN PRODUSEN")</f>
        <v>PENDATAAN PRODUSEN</v>
      </c>
      <c r="K469" s="10" t="str">
        <f ca="1">IFERROR(__xludf.DUMMYFUNCTION("""COMPUTED_VALUE"""),"SHPED24-LAPANGAN-AGUSTUS-PPL-PENDATAAN PRODUSEN")</f>
        <v>SHPED24-LAPANGAN-AGUSTUS-PPL-PENDATAAN PRODUSEN</v>
      </c>
      <c r="L469" s="10" t="str">
        <f ca="1">IFERROR(__xludf.DUMMYFUNCTION("""COMPUTED_VALUE"""),"Dokumen")</f>
        <v>Dokumen</v>
      </c>
      <c r="M469" s="66">
        <f ca="1">IFERROR(__xludf.DUMMYFUNCTION("""COMPUTED_VALUE"""),55000)</f>
        <v>55000</v>
      </c>
      <c r="N469" s="10">
        <f ca="1">IFERROR(__xludf.DUMMYFUNCTION("""COMPUTED_VALUE"""),3)</f>
        <v>3</v>
      </c>
      <c r="O469" s="10">
        <f ca="1">IFERROR(__xludf.DUMMYFUNCTION("""COMPUTED_VALUE"""),165000)</f>
        <v>165000</v>
      </c>
      <c r="P469" s="10"/>
      <c r="Q469" s="67">
        <f ca="1">IFERROR(__xludf.DUMMYFUNCTION("""COMPUTED_VALUE"""),45524)</f>
        <v>45524</v>
      </c>
    </row>
    <row r="470" spans="1:17" ht="12.5">
      <c r="A470" s="82">
        <f t="array" aca="1" ref="A470" ca="1">INDEX('Database Mitra'!$R$2:$R1001,MATCH(C470,'Database Mitra'!$B$2:$B1001,0))</f>
        <v>37531</v>
      </c>
      <c r="B470" s="10" t="e">
        <f t="shared" ca="1" si="0"/>
        <v>#NAME?</v>
      </c>
      <c r="C470" s="83">
        <f ca="1">IFERROR(__xludf.DUMMYFUNCTION("""COMPUTED_VALUE"""),610422100016)</f>
        <v>610422100016</v>
      </c>
      <c r="D470" s="10" t="str">
        <f ca="1">IFERROR(__xludf.DUMMYFUNCTION("""COMPUTED_VALUE"""),"SHPED24-LAPANGAN-AGUSTUS")</f>
        <v>SHPED24-LAPANGAN-AGUSTUS</v>
      </c>
      <c r="E470" s="10"/>
      <c r="F470" s="10">
        <f ca="1">IFERROR(__xludf.DUMMYFUNCTION("""COMPUTED_VALUE"""),1)</f>
        <v>1</v>
      </c>
      <c r="G470" s="10" t="str">
        <f ca="1">IFERROR(__xludf.DUMMYFUNCTION("""COMPUTED_VALUE"""),"Amalia Faisya")</f>
        <v>Amalia Faisya</v>
      </c>
      <c r="H470" s="10" t="str">
        <f ca="1">IFERROR(__xludf.DUMMYFUNCTION("""COMPUTED_VALUE"""),"PPL")</f>
        <v>PPL</v>
      </c>
      <c r="I470" s="10" t="str">
        <f ca="1">IFERROR(__xludf.DUMMYFUNCTION("""COMPUTED_VALUE"""),"6102124210010005")</f>
        <v>6102124210010005</v>
      </c>
      <c r="J470" s="10" t="str">
        <f ca="1">IFERROR(__xludf.DUMMYFUNCTION("""COMPUTED_VALUE"""),"PENDATAAN PRODUSEN")</f>
        <v>PENDATAAN PRODUSEN</v>
      </c>
      <c r="K470" s="10" t="str">
        <f ca="1">IFERROR(__xludf.DUMMYFUNCTION("""COMPUTED_VALUE"""),"SHPED24-LAPANGAN-AGUSTUS-PPL-PENDATAAN PRODUSEN")</f>
        <v>SHPED24-LAPANGAN-AGUSTUS-PPL-PENDATAAN PRODUSEN</v>
      </c>
      <c r="L470" s="10" t="str">
        <f ca="1">IFERROR(__xludf.DUMMYFUNCTION("""COMPUTED_VALUE"""),"Dokumen")</f>
        <v>Dokumen</v>
      </c>
      <c r="M470" s="66">
        <f ca="1">IFERROR(__xludf.DUMMYFUNCTION("""COMPUTED_VALUE"""),55000)</f>
        <v>55000</v>
      </c>
      <c r="N470" s="10">
        <f ca="1">IFERROR(__xludf.DUMMYFUNCTION("""COMPUTED_VALUE"""),1)</f>
        <v>1</v>
      </c>
      <c r="O470" s="10">
        <f ca="1">IFERROR(__xludf.DUMMYFUNCTION("""COMPUTED_VALUE"""),55000)</f>
        <v>55000</v>
      </c>
      <c r="P470" s="10"/>
      <c r="Q470" s="67">
        <f ca="1">IFERROR(__xludf.DUMMYFUNCTION("""COMPUTED_VALUE"""),45524)</f>
        <v>45524</v>
      </c>
    </row>
    <row r="471" spans="1:17" ht="12.5">
      <c r="A471" s="11">
        <f t="array" aca="1" ref="A471" ca="1">INDEX('Database Mitra'!$R$2:$R1001,MATCH(C471,'Database Mitra'!$B$2:$B1001,0))</f>
        <v>29305</v>
      </c>
      <c r="B471" s="10" t="e">
        <f t="shared" ca="1" si="0"/>
        <v>#NAME?</v>
      </c>
      <c r="C471" s="83">
        <f ca="1">IFERROR(__xludf.DUMMYFUNCTION("""COMPUTED_VALUE"""),610422020048)</f>
        <v>610422020048</v>
      </c>
      <c r="D471" s="10" t="str">
        <f ca="1">IFERROR(__xludf.DUMMYFUNCTION("""COMPUTED_VALUE"""),"SHPED24-LAPANGAN-AGUSTUS")</f>
        <v>SHPED24-LAPANGAN-AGUSTUS</v>
      </c>
      <c r="E471" s="10"/>
      <c r="F471" s="10">
        <f ca="1">IFERROR(__xludf.DUMMYFUNCTION("""COMPUTED_VALUE"""),1)</f>
        <v>1</v>
      </c>
      <c r="G471" s="10" t="str">
        <f ca="1">IFERROR(__xludf.DUMMYFUNCTION("""COMPUTED_VALUE"""),"Herri Gustaman")</f>
        <v>Herri Gustaman</v>
      </c>
      <c r="H471" s="10" t="str">
        <f ca="1">IFERROR(__xludf.DUMMYFUNCTION("""COMPUTED_VALUE"""),"PPL")</f>
        <v>PPL</v>
      </c>
      <c r="I471" s="10" t="str">
        <f ca="1">IFERROR(__xludf.DUMMYFUNCTION("""COMPUTED_VALUE"""),"6102072503800001")</f>
        <v>6102072503800001</v>
      </c>
      <c r="J471" s="10" t="str">
        <f ca="1">IFERROR(__xludf.DUMMYFUNCTION("""COMPUTED_VALUE"""),"PENDATAAN PRODUSEN")</f>
        <v>PENDATAAN PRODUSEN</v>
      </c>
      <c r="K471" s="10" t="str">
        <f ca="1">IFERROR(__xludf.DUMMYFUNCTION("""COMPUTED_VALUE"""),"SHPED24-LAPANGAN-AGUSTUS-PPL-PENDATAAN PRODUSEN")</f>
        <v>SHPED24-LAPANGAN-AGUSTUS-PPL-PENDATAAN PRODUSEN</v>
      </c>
      <c r="L471" s="10" t="str">
        <f ca="1">IFERROR(__xludf.DUMMYFUNCTION("""COMPUTED_VALUE"""),"Dokumen")</f>
        <v>Dokumen</v>
      </c>
      <c r="M471" s="66">
        <f ca="1">IFERROR(__xludf.DUMMYFUNCTION("""COMPUTED_VALUE"""),55000)</f>
        <v>55000</v>
      </c>
      <c r="N471" s="10">
        <f ca="1">IFERROR(__xludf.DUMMYFUNCTION("""COMPUTED_VALUE"""),3)</f>
        <v>3</v>
      </c>
      <c r="O471" s="10">
        <f ca="1">IFERROR(__xludf.DUMMYFUNCTION("""COMPUTED_VALUE"""),165000)</f>
        <v>165000</v>
      </c>
      <c r="P471" s="10"/>
      <c r="Q471" s="67">
        <f ca="1">IFERROR(__xludf.DUMMYFUNCTION("""COMPUTED_VALUE"""),45524)</f>
        <v>45524</v>
      </c>
    </row>
    <row r="472" spans="1:17" ht="12.5">
      <c r="A472" s="82">
        <f t="array" aca="1" ref="A472" ca="1">INDEX('Database Mitra'!$R$2:$R1001,MATCH(C472,'Database Mitra'!$B$2:$B1001,0))</f>
        <v>31964</v>
      </c>
      <c r="B472" s="10" t="e">
        <f t="shared" ca="1" si="0"/>
        <v>#NAME?</v>
      </c>
      <c r="C472" s="83">
        <f ca="1">IFERROR(__xludf.DUMMYFUNCTION("""COMPUTED_VALUE"""),610422040029)</f>
        <v>610422040029</v>
      </c>
      <c r="D472" s="10" t="str">
        <f ca="1">IFERROR(__xludf.DUMMYFUNCTION("""COMPUTED_VALUE"""),"SHPED24-LAPANGAN-AGUSTUS")</f>
        <v>SHPED24-LAPANGAN-AGUSTUS</v>
      </c>
      <c r="E472" s="10"/>
      <c r="F472" s="10">
        <f ca="1">IFERROR(__xludf.DUMMYFUNCTION("""COMPUTED_VALUE"""),1)</f>
        <v>1</v>
      </c>
      <c r="G472" s="10" t="str">
        <f ca="1">IFERROR(__xludf.DUMMYFUNCTION("""COMPUTED_VALUE"""),"Zaini")</f>
        <v>Zaini</v>
      </c>
      <c r="H472" s="10" t="str">
        <f ca="1">IFERROR(__xludf.DUMMYFUNCTION("""COMPUTED_VALUE"""),"PPL")</f>
        <v>PPL</v>
      </c>
      <c r="I472" s="10" t="str">
        <f ca="1">IFERROR(__xludf.DUMMYFUNCTION("""COMPUTED_VALUE"""),"6102010607870002")</f>
        <v>6102010607870002</v>
      </c>
      <c r="J472" s="10" t="str">
        <f ca="1">IFERROR(__xludf.DUMMYFUNCTION("""COMPUTED_VALUE"""),"PENDATAAN PRODUSEN")</f>
        <v>PENDATAAN PRODUSEN</v>
      </c>
      <c r="K472" s="10" t="str">
        <f ca="1">IFERROR(__xludf.DUMMYFUNCTION("""COMPUTED_VALUE"""),"SHPED24-LAPANGAN-AGUSTUS-PPL-PENDATAAN PRODUSEN")</f>
        <v>SHPED24-LAPANGAN-AGUSTUS-PPL-PENDATAAN PRODUSEN</v>
      </c>
      <c r="L472" s="10" t="str">
        <f ca="1">IFERROR(__xludf.DUMMYFUNCTION("""COMPUTED_VALUE"""),"Dokumen")</f>
        <v>Dokumen</v>
      </c>
      <c r="M472" s="66">
        <f ca="1">IFERROR(__xludf.DUMMYFUNCTION("""COMPUTED_VALUE"""),55000)</f>
        <v>55000</v>
      </c>
      <c r="N472" s="10">
        <f ca="1">IFERROR(__xludf.DUMMYFUNCTION("""COMPUTED_VALUE"""),4)</f>
        <v>4</v>
      </c>
      <c r="O472" s="10">
        <f ca="1">IFERROR(__xludf.DUMMYFUNCTION("""COMPUTED_VALUE"""),220000)</f>
        <v>220000</v>
      </c>
      <c r="P472" s="10"/>
      <c r="Q472" s="67">
        <f ca="1">IFERROR(__xludf.DUMMYFUNCTION("""COMPUTED_VALUE"""),45524)</f>
        <v>45524</v>
      </c>
    </row>
    <row r="473" spans="1:17" ht="12.5">
      <c r="A473" s="82">
        <f t="array" aca="1" ref="A473" ca="1">INDEX('Database Mitra'!$R$2:$R1001,MATCH(C473,'Database Mitra'!$B$2:$B1001,0))</f>
        <v>30692</v>
      </c>
      <c r="B473" s="10" t="e">
        <f t="shared" ca="1" si="0"/>
        <v>#NAME?</v>
      </c>
      <c r="C473" s="83">
        <f ca="1">IFERROR(__xludf.DUMMYFUNCTION("""COMPUTED_VALUE"""),610422050001)</f>
        <v>610422050001</v>
      </c>
      <c r="D473" s="10" t="str">
        <f ca="1">IFERROR(__xludf.DUMMYFUNCTION("""COMPUTED_VALUE"""),"SHPED24-LAPANGAN-AGUSTUS")</f>
        <v>SHPED24-LAPANGAN-AGUSTUS</v>
      </c>
      <c r="E473" s="10"/>
      <c r="F473" s="10">
        <f ca="1">IFERROR(__xludf.DUMMYFUNCTION("""COMPUTED_VALUE"""),1)</f>
        <v>1</v>
      </c>
      <c r="G473" s="10" t="str">
        <f ca="1">IFERROR(__xludf.DUMMYFUNCTION("""COMPUTED_VALUE"""),"Evi Juniarty")</f>
        <v>Evi Juniarty</v>
      </c>
      <c r="H473" s="10" t="str">
        <f ca="1">IFERROR(__xludf.DUMMYFUNCTION("""COMPUTED_VALUE"""),"PPL")</f>
        <v>PPL</v>
      </c>
      <c r="I473" s="10" t="str">
        <f ca="1">IFERROR(__xludf.DUMMYFUNCTION("""COMPUTED_VALUE"""),"6102165101840001")</f>
        <v>6102165101840001</v>
      </c>
      <c r="J473" s="10" t="str">
        <f ca="1">IFERROR(__xludf.DUMMYFUNCTION("""COMPUTED_VALUE"""),"PENDATAAN PRODUSEN")</f>
        <v>PENDATAAN PRODUSEN</v>
      </c>
      <c r="K473" s="10" t="str">
        <f ca="1">IFERROR(__xludf.DUMMYFUNCTION("""COMPUTED_VALUE"""),"SHPED24-LAPANGAN-AGUSTUS-PPL-PENDATAAN PRODUSEN")</f>
        <v>SHPED24-LAPANGAN-AGUSTUS-PPL-PENDATAAN PRODUSEN</v>
      </c>
      <c r="L473" s="10" t="str">
        <f ca="1">IFERROR(__xludf.DUMMYFUNCTION("""COMPUTED_VALUE"""),"Dokumen")</f>
        <v>Dokumen</v>
      </c>
      <c r="M473" s="66">
        <f ca="1">IFERROR(__xludf.DUMMYFUNCTION("""COMPUTED_VALUE"""),55000)</f>
        <v>55000</v>
      </c>
      <c r="N473" s="10">
        <f ca="1">IFERROR(__xludf.DUMMYFUNCTION("""COMPUTED_VALUE"""),1)</f>
        <v>1</v>
      </c>
      <c r="O473" s="10">
        <f ca="1">IFERROR(__xludf.DUMMYFUNCTION("""COMPUTED_VALUE"""),55000)</f>
        <v>55000</v>
      </c>
      <c r="P473" s="10"/>
      <c r="Q473" s="67">
        <f ca="1">IFERROR(__xludf.DUMMYFUNCTION("""COMPUTED_VALUE"""),45524)</f>
        <v>45524</v>
      </c>
    </row>
    <row r="474" spans="1:17" ht="12.5">
      <c r="A474" s="82">
        <f t="array" aca="1" ref="A474" ca="1">INDEX('Database Mitra'!$R$2:$R1001,MATCH(C474,'Database Mitra'!$B$2:$B1001,0))</f>
        <v>29068</v>
      </c>
      <c r="B474" s="10" t="e">
        <f t="shared" ca="1" si="0"/>
        <v>#NAME?</v>
      </c>
      <c r="C474" s="83">
        <f ca="1">IFERROR(__xludf.DUMMYFUNCTION("""COMPUTED_VALUE"""),610422100124)</f>
        <v>610422100124</v>
      </c>
      <c r="D474" s="10" t="str">
        <f ca="1">IFERROR(__xludf.DUMMYFUNCTION("""COMPUTED_VALUE"""),"HPBG24-LAPANGAN-AGUSTUS")</f>
        <v>HPBG24-LAPANGAN-AGUSTUS</v>
      </c>
      <c r="E474" s="10"/>
      <c r="F474" s="10">
        <f ca="1">IFERROR(__xludf.DUMMYFUNCTION("""COMPUTED_VALUE"""),1)</f>
        <v>1</v>
      </c>
      <c r="G474" s="10" t="str">
        <f ca="1">IFERROR(__xludf.DUMMYFUNCTION("""COMPUTED_VALUE"""),"Prabowo")</f>
        <v>Prabowo</v>
      </c>
      <c r="H474" s="10" t="str">
        <f ca="1">IFERROR(__xludf.DUMMYFUNCTION("""COMPUTED_VALUE"""),"PPL")</f>
        <v>PPL</v>
      </c>
      <c r="I474" s="10" t="str">
        <f ca="1">IFERROR(__xludf.DUMMYFUNCTION("""COMPUTED_VALUE"""),"6171010108790015")</f>
        <v>6171010108790015</v>
      </c>
      <c r="J474" s="10" t="str">
        <f ca="1">IFERROR(__xludf.DUMMYFUNCTION("""COMPUTED_VALUE"""),"PENDATAAN")</f>
        <v>PENDATAAN</v>
      </c>
      <c r="K474" s="10" t="str">
        <f ca="1">IFERROR(__xludf.DUMMYFUNCTION("""COMPUTED_VALUE"""),"HPBG24-LAPANGAN-AGUSTUS-PPL-PENDATAAN")</f>
        <v>HPBG24-LAPANGAN-AGUSTUS-PPL-PENDATAAN</v>
      </c>
      <c r="L474" s="10" t="str">
        <f ca="1">IFERROR(__xludf.DUMMYFUNCTION("""COMPUTED_VALUE"""),"Dokumen")</f>
        <v>Dokumen</v>
      </c>
      <c r="M474" s="66">
        <f ca="1">IFERROR(__xludf.DUMMYFUNCTION("""COMPUTED_VALUE"""),55000)</f>
        <v>55000</v>
      </c>
      <c r="N474" s="10">
        <f ca="1">IFERROR(__xludf.DUMMYFUNCTION("""COMPUTED_VALUE"""),2)</f>
        <v>2</v>
      </c>
      <c r="O474" s="10">
        <f ca="1">IFERROR(__xludf.DUMMYFUNCTION("""COMPUTED_VALUE"""),110000)</f>
        <v>110000</v>
      </c>
      <c r="P474" s="10"/>
      <c r="Q474" s="67">
        <f ca="1">IFERROR(__xludf.DUMMYFUNCTION("""COMPUTED_VALUE"""),45524)</f>
        <v>45524</v>
      </c>
    </row>
    <row r="475" spans="1:17" ht="12.5">
      <c r="A475" s="82">
        <f t="array" aca="1" ref="A475" ca="1">INDEX('Database Mitra'!$R$2:$R1001,MATCH(C475,'Database Mitra'!$B$2:$B1001,0))</f>
        <v>32942</v>
      </c>
      <c r="B475" s="10" t="e">
        <f t="shared" ca="1" si="0"/>
        <v>#NAME?</v>
      </c>
      <c r="C475" s="83">
        <f ca="1">IFERROR(__xludf.DUMMYFUNCTION("""COMPUTED_VALUE"""),610422100244)</f>
        <v>610422100244</v>
      </c>
      <c r="D475" s="10" t="str">
        <f ca="1">IFERROR(__xludf.DUMMYFUNCTION("""COMPUTED_VALUE"""),"HPBG24-LAPANGAN-AGUSTUS")</f>
        <v>HPBG24-LAPANGAN-AGUSTUS</v>
      </c>
      <c r="E475" s="10"/>
      <c r="F475" s="10">
        <f ca="1">IFERROR(__xludf.DUMMYFUNCTION("""COMPUTED_VALUE"""),1)</f>
        <v>1</v>
      </c>
      <c r="G475" s="10" t="str">
        <f ca="1">IFERROR(__xludf.DUMMYFUNCTION("""COMPUTED_VALUE"""),"Sugianto")</f>
        <v>Sugianto</v>
      </c>
      <c r="H475" s="10" t="str">
        <f ca="1">IFERROR(__xludf.DUMMYFUNCTION("""COMPUTED_VALUE"""),"PPL")</f>
        <v>PPL</v>
      </c>
      <c r="I475" s="10" t="str">
        <f ca="1">IFERROR(__xludf.DUMMYFUNCTION("""COMPUTED_VALUE"""),"6102171003900002")</f>
        <v>6102171003900002</v>
      </c>
      <c r="J475" s="10" t="str">
        <f ca="1">IFERROR(__xludf.DUMMYFUNCTION("""COMPUTED_VALUE"""),"PENDATAAN")</f>
        <v>PENDATAAN</v>
      </c>
      <c r="K475" s="10" t="str">
        <f ca="1">IFERROR(__xludf.DUMMYFUNCTION("""COMPUTED_VALUE"""),"HPBG24-LAPANGAN-AGUSTUS-PPL-PENDATAAN")</f>
        <v>HPBG24-LAPANGAN-AGUSTUS-PPL-PENDATAAN</v>
      </c>
      <c r="L475" s="10" t="str">
        <f ca="1">IFERROR(__xludf.DUMMYFUNCTION("""COMPUTED_VALUE"""),"Dokumen")</f>
        <v>Dokumen</v>
      </c>
      <c r="M475" s="66">
        <f ca="1">IFERROR(__xludf.DUMMYFUNCTION("""COMPUTED_VALUE"""),55000)</f>
        <v>55000</v>
      </c>
      <c r="N475" s="10">
        <f ca="1">IFERROR(__xludf.DUMMYFUNCTION("""COMPUTED_VALUE"""),2)</f>
        <v>2</v>
      </c>
      <c r="O475" s="10">
        <f ca="1">IFERROR(__xludf.DUMMYFUNCTION("""COMPUTED_VALUE"""),110000)</f>
        <v>110000</v>
      </c>
      <c r="P475" s="10"/>
      <c r="Q475" s="67">
        <f ca="1">IFERROR(__xludf.DUMMYFUNCTION("""COMPUTED_VALUE"""),45524)</f>
        <v>45524</v>
      </c>
    </row>
    <row r="476" spans="1:17" ht="12.5">
      <c r="A476" s="82">
        <f t="array" aca="1" ref="A476" ca="1">INDEX('Database Mitra'!$R$2:$R1001,MATCH(C476,'Database Mitra'!$B$2:$B1001,0))</f>
        <v>35862</v>
      </c>
      <c r="B476" s="10" t="e">
        <f t="shared" ca="1" si="0"/>
        <v>#NAME?</v>
      </c>
      <c r="C476" s="83">
        <f ca="1">IFERROR(__xludf.DUMMYFUNCTION("""COMPUTED_VALUE"""),610422100165)</f>
        <v>610422100165</v>
      </c>
      <c r="D476" s="10" t="str">
        <f ca="1">IFERROR(__xludf.DUMMYFUNCTION("""COMPUTED_VALUE"""),"HPBG24-LAPANGAN-AGUSTUS")</f>
        <v>HPBG24-LAPANGAN-AGUSTUS</v>
      </c>
      <c r="E476" s="10"/>
      <c r="F476" s="10">
        <f ca="1">IFERROR(__xludf.DUMMYFUNCTION("""COMPUTED_VALUE"""),1)</f>
        <v>1</v>
      </c>
      <c r="G476" s="10" t="str">
        <f ca="1">IFERROR(__xludf.DUMMYFUNCTION("""COMPUTED_VALUE"""),"Yanti")</f>
        <v>Yanti</v>
      </c>
      <c r="H476" s="10" t="str">
        <f ca="1">IFERROR(__xludf.DUMMYFUNCTION("""COMPUTED_VALUE"""),"PPL")</f>
        <v>PPL</v>
      </c>
      <c r="I476" s="10" t="str">
        <f ca="1">IFERROR(__xludf.DUMMYFUNCTION("""COMPUTED_VALUE"""),"6102074803980002")</f>
        <v>6102074803980002</v>
      </c>
      <c r="J476" s="10" t="str">
        <f ca="1">IFERROR(__xludf.DUMMYFUNCTION("""COMPUTED_VALUE"""),"PENDATAAN")</f>
        <v>PENDATAAN</v>
      </c>
      <c r="K476" s="10" t="str">
        <f ca="1">IFERROR(__xludf.DUMMYFUNCTION("""COMPUTED_VALUE"""),"HPBG24-LAPANGAN-AGUSTUS-PPL-PENDATAAN")</f>
        <v>HPBG24-LAPANGAN-AGUSTUS-PPL-PENDATAAN</v>
      </c>
      <c r="L476" s="10" t="str">
        <f ca="1">IFERROR(__xludf.DUMMYFUNCTION("""COMPUTED_VALUE"""),"Dokumen")</f>
        <v>Dokumen</v>
      </c>
      <c r="M476" s="66">
        <f ca="1">IFERROR(__xludf.DUMMYFUNCTION("""COMPUTED_VALUE"""),55000)</f>
        <v>55000</v>
      </c>
      <c r="N476" s="10">
        <f ca="1">IFERROR(__xludf.DUMMYFUNCTION("""COMPUTED_VALUE"""),2)</f>
        <v>2</v>
      </c>
      <c r="O476" s="10">
        <f ca="1">IFERROR(__xludf.DUMMYFUNCTION("""COMPUTED_VALUE"""),110000)</f>
        <v>110000</v>
      </c>
      <c r="P476" s="10"/>
      <c r="Q476" s="67">
        <f ca="1">IFERROR(__xludf.DUMMYFUNCTION("""COMPUTED_VALUE"""),45524)</f>
        <v>45524</v>
      </c>
    </row>
    <row r="477" spans="1:17" ht="12.5">
      <c r="A477" s="82">
        <f t="array" aca="1" ref="A477" ca="1">INDEX('Database Mitra'!$R$2:$R1001,MATCH(C477,'Database Mitra'!$B$2:$B1001,0))</f>
        <v>35862</v>
      </c>
      <c r="B477" s="10" t="e">
        <f t="shared" ca="1" si="0"/>
        <v>#NAME?</v>
      </c>
      <c r="C477" s="83">
        <f ca="1">IFERROR(__xludf.DUMMYFUNCTION("""COMPUTED_VALUE"""),610422100165)</f>
        <v>610422100165</v>
      </c>
      <c r="D477" s="10" t="str">
        <f ca="1">IFERROR(__xludf.DUMMYFUNCTION("""COMPUTED_VALUE"""),"HPJ24-LAPANGAN-AGUSTUS")</f>
        <v>HPJ24-LAPANGAN-AGUSTUS</v>
      </c>
      <c r="E477" s="10"/>
      <c r="F477" s="10">
        <f ca="1">IFERROR(__xludf.DUMMYFUNCTION("""COMPUTED_VALUE"""),1)</f>
        <v>1</v>
      </c>
      <c r="G477" s="10" t="str">
        <f ca="1">IFERROR(__xludf.DUMMYFUNCTION("""COMPUTED_VALUE"""),"Yanti")</f>
        <v>Yanti</v>
      </c>
      <c r="H477" s="10" t="str">
        <f ca="1">IFERROR(__xludf.DUMMYFUNCTION("""COMPUTED_VALUE"""),"PPL")</f>
        <v>PPL</v>
      </c>
      <c r="I477" s="10" t="str">
        <f ca="1">IFERROR(__xludf.DUMMYFUNCTION("""COMPUTED_VALUE"""),"6102074803980002")</f>
        <v>6102074803980002</v>
      </c>
      <c r="J477" s="10" t="str">
        <f ca="1">IFERROR(__xludf.DUMMYFUNCTION("""COMPUTED_VALUE"""),"PENDATAAN")</f>
        <v>PENDATAAN</v>
      </c>
      <c r="K477" s="10" t="str">
        <f ca="1">IFERROR(__xludf.DUMMYFUNCTION("""COMPUTED_VALUE"""),"HPJ24-LAPANGAN-AGUSTUS-PPL-PENDATAAN")</f>
        <v>HPJ24-LAPANGAN-AGUSTUS-PPL-PENDATAAN</v>
      </c>
      <c r="L477" s="10" t="str">
        <f ca="1">IFERROR(__xludf.DUMMYFUNCTION("""COMPUTED_VALUE"""),"Dokumen")</f>
        <v>Dokumen</v>
      </c>
      <c r="M477" s="66">
        <f ca="1">IFERROR(__xludf.DUMMYFUNCTION("""COMPUTED_VALUE"""),50000)</f>
        <v>50000</v>
      </c>
      <c r="N477" s="10">
        <f ca="1">IFERROR(__xludf.DUMMYFUNCTION("""COMPUTED_VALUE"""),1)</f>
        <v>1</v>
      </c>
      <c r="O477" s="10">
        <f ca="1">IFERROR(__xludf.DUMMYFUNCTION("""COMPUTED_VALUE"""),50000)</f>
        <v>50000</v>
      </c>
      <c r="P477" s="10"/>
      <c r="Q477" s="67">
        <f ca="1">IFERROR(__xludf.DUMMYFUNCTION("""COMPUTED_VALUE"""),45524)</f>
        <v>45524</v>
      </c>
    </row>
    <row r="478" spans="1:17" ht="12.5">
      <c r="A478" s="82">
        <f t="array" aca="1" ref="A478" ca="1">INDEX('Database Mitra'!$R$2:$R1001,MATCH(C478,'Database Mitra'!$B$2:$B1001,0))</f>
        <v>31964</v>
      </c>
      <c r="B478" s="10" t="e">
        <f t="shared" ca="1" si="0"/>
        <v>#NAME?</v>
      </c>
      <c r="C478" s="83">
        <f ca="1">IFERROR(__xludf.DUMMYFUNCTION("""COMPUTED_VALUE"""),610422040029)</f>
        <v>610422040029</v>
      </c>
      <c r="D478" s="10" t="str">
        <f ca="1">IFERROR(__xludf.DUMMYFUNCTION("""COMPUTED_VALUE"""),"VHTS24-LAPANGAN-AGUSTUS")</f>
        <v>VHTS24-LAPANGAN-AGUSTUS</v>
      </c>
      <c r="E478" s="10"/>
      <c r="F478" s="10">
        <f ca="1">IFERROR(__xludf.DUMMYFUNCTION("""COMPUTED_VALUE"""),1)</f>
        <v>1</v>
      </c>
      <c r="G478" s="10" t="str">
        <f ca="1">IFERROR(__xludf.DUMMYFUNCTION("""COMPUTED_VALUE"""),"Zaini")</f>
        <v>Zaini</v>
      </c>
      <c r="H478" s="10" t="str">
        <f ca="1">IFERROR(__xludf.DUMMYFUNCTION("""COMPUTED_VALUE"""),"PPL")</f>
        <v>PPL</v>
      </c>
      <c r="I478" s="10" t="str">
        <f ca="1">IFERROR(__xludf.DUMMYFUNCTION("""COMPUTED_VALUE"""),"6102010607870002")</f>
        <v>6102010607870002</v>
      </c>
      <c r="J478" s="10" t="str">
        <f ca="1">IFERROR(__xludf.DUMMYFUNCTION("""COMPUTED_VALUE"""),"PENDATAAN")</f>
        <v>PENDATAAN</v>
      </c>
      <c r="K478" s="10" t="str">
        <f ca="1">IFERROR(__xludf.DUMMYFUNCTION("""COMPUTED_VALUE"""),"VHTS24-LAPANGAN-AGUSTUS-PPL-PENDATAAN")</f>
        <v>VHTS24-LAPANGAN-AGUSTUS-PPL-PENDATAAN</v>
      </c>
      <c r="L478" s="10" t="str">
        <f ca="1">IFERROR(__xludf.DUMMYFUNCTION("""COMPUTED_VALUE"""),"Dokumen")</f>
        <v>Dokumen</v>
      </c>
      <c r="M478" s="66">
        <f ca="1">IFERROR(__xludf.DUMMYFUNCTION("""COMPUTED_VALUE"""),55000)</f>
        <v>55000</v>
      </c>
      <c r="N478" s="10">
        <f ca="1">IFERROR(__xludf.DUMMYFUNCTION("""COMPUTED_VALUE"""),3)</f>
        <v>3</v>
      </c>
      <c r="O478" s="10">
        <f ca="1">IFERROR(__xludf.DUMMYFUNCTION("""COMPUTED_VALUE"""),165000)</f>
        <v>165000</v>
      </c>
      <c r="P478" s="10"/>
      <c r="Q478" s="67">
        <f ca="1">IFERROR(__xludf.DUMMYFUNCTION("""COMPUTED_VALUE"""),45524)</f>
        <v>45524</v>
      </c>
    </row>
    <row r="479" spans="1:17" ht="12.5">
      <c r="A479" s="82">
        <f t="array" aca="1" ref="A479" ca="1">INDEX('Database Mitra'!$R$2:$R1001,MATCH(C479,'Database Mitra'!$B$2:$B1001,0))</f>
        <v>35862</v>
      </c>
      <c r="B479" s="10" t="e">
        <f t="shared" ca="1" si="0"/>
        <v>#NAME?</v>
      </c>
      <c r="C479" s="83">
        <f ca="1">IFERROR(__xludf.DUMMYFUNCTION("""COMPUTED_VALUE"""),610422100165)</f>
        <v>610422100165</v>
      </c>
      <c r="D479" s="10" t="str">
        <f ca="1">IFERROR(__xludf.DUMMYFUNCTION("""COMPUTED_VALUE"""),"VHTS24-LAPANGAN-AGUSTUS")</f>
        <v>VHTS24-LAPANGAN-AGUSTUS</v>
      </c>
      <c r="E479" s="10"/>
      <c r="F479" s="10">
        <f ca="1">IFERROR(__xludf.DUMMYFUNCTION("""COMPUTED_VALUE"""),1)</f>
        <v>1</v>
      </c>
      <c r="G479" s="10" t="str">
        <f ca="1">IFERROR(__xludf.DUMMYFUNCTION("""COMPUTED_VALUE"""),"Yanti")</f>
        <v>Yanti</v>
      </c>
      <c r="H479" s="10" t="str">
        <f ca="1">IFERROR(__xludf.DUMMYFUNCTION("""COMPUTED_VALUE"""),"PPL")</f>
        <v>PPL</v>
      </c>
      <c r="I479" s="10" t="str">
        <f ca="1">IFERROR(__xludf.DUMMYFUNCTION("""COMPUTED_VALUE"""),"6102074803980002")</f>
        <v>6102074803980002</v>
      </c>
      <c r="J479" s="10" t="str">
        <f ca="1">IFERROR(__xludf.DUMMYFUNCTION("""COMPUTED_VALUE"""),"PENDATAAN")</f>
        <v>PENDATAAN</v>
      </c>
      <c r="K479" s="10" t="str">
        <f ca="1">IFERROR(__xludf.DUMMYFUNCTION("""COMPUTED_VALUE"""),"VHTS24-LAPANGAN-AGUSTUS-PPL-PENDATAAN")</f>
        <v>VHTS24-LAPANGAN-AGUSTUS-PPL-PENDATAAN</v>
      </c>
      <c r="L479" s="10" t="str">
        <f ca="1">IFERROR(__xludf.DUMMYFUNCTION("""COMPUTED_VALUE"""),"Dokumen")</f>
        <v>Dokumen</v>
      </c>
      <c r="M479" s="66">
        <f ca="1">IFERROR(__xludf.DUMMYFUNCTION("""COMPUTED_VALUE"""),55000)</f>
        <v>55000</v>
      </c>
      <c r="N479" s="10">
        <f ca="1">IFERROR(__xludf.DUMMYFUNCTION("""COMPUTED_VALUE"""),3)</f>
        <v>3</v>
      </c>
      <c r="O479" s="10">
        <f ca="1">IFERROR(__xludf.DUMMYFUNCTION("""COMPUTED_VALUE"""),165000)</f>
        <v>165000</v>
      </c>
      <c r="P479" s="10"/>
      <c r="Q479" s="67">
        <f ca="1">IFERROR(__xludf.DUMMYFUNCTION("""COMPUTED_VALUE"""),45524)</f>
        <v>45524</v>
      </c>
    </row>
    <row r="480" spans="1:17" ht="12.5">
      <c r="A480" s="82">
        <f t="array" aca="1" ref="A480" ca="1">INDEX('Database Mitra'!$R$2:$R1001,MATCH(C480,'Database Mitra'!$B$2:$B1001,0))</f>
        <v>30692</v>
      </c>
      <c r="B480" s="10" t="e">
        <f t="shared" ca="1" si="0"/>
        <v>#NAME?</v>
      </c>
      <c r="C480" s="83">
        <f ca="1">IFERROR(__xludf.DUMMYFUNCTION("""COMPUTED_VALUE"""),610422050001)</f>
        <v>610422050001</v>
      </c>
      <c r="D480" s="10" t="str">
        <f ca="1">IFERROR(__xludf.DUMMYFUNCTION("""COMPUTED_VALUE"""),"VHTS24-LAPANGAN-AGUSTUS")</f>
        <v>VHTS24-LAPANGAN-AGUSTUS</v>
      </c>
      <c r="E480" s="10"/>
      <c r="F480" s="10">
        <f ca="1">IFERROR(__xludf.DUMMYFUNCTION("""COMPUTED_VALUE"""),1)</f>
        <v>1</v>
      </c>
      <c r="G480" s="10" t="str">
        <f ca="1">IFERROR(__xludf.DUMMYFUNCTION("""COMPUTED_VALUE"""),"Evi Juniarty")</f>
        <v>Evi Juniarty</v>
      </c>
      <c r="H480" s="10" t="str">
        <f ca="1">IFERROR(__xludf.DUMMYFUNCTION("""COMPUTED_VALUE"""),"PPL")</f>
        <v>PPL</v>
      </c>
      <c r="I480" s="10" t="str">
        <f ca="1">IFERROR(__xludf.DUMMYFUNCTION("""COMPUTED_VALUE"""),"6102165101840001")</f>
        <v>6102165101840001</v>
      </c>
      <c r="J480" s="10" t="str">
        <f ca="1">IFERROR(__xludf.DUMMYFUNCTION("""COMPUTED_VALUE"""),"PENDATAAN")</f>
        <v>PENDATAAN</v>
      </c>
      <c r="K480" s="10" t="str">
        <f ca="1">IFERROR(__xludf.DUMMYFUNCTION("""COMPUTED_VALUE"""),"VHTS24-LAPANGAN-AGUSTUS-PPL-PENDATAAN")</f>
        <v>VHTS24-LAPANGAN-AGUSTUS-PPL-PENDATAAN</v>
      </c>
      <c r="L480" s="10" t="str">
        <f ca="1">IFERROR(__xludf.DUMMYFUNCTION("""COMPUTED_VALUE"""),"Dokumen")</f>
        <v>Dokumen</v>
      </c>
      <c r="M480" s="66">
        <f ca="1">IFERROR(__xludf.DUMMYFUNCTION("""COMPUTED_VALUE"""),55000)</f>
        <v>55000</v>
      </c>
      <c r="N480" s="10">
        <f ca="1">IFERROR(__xludf.DUMMYFUNCTION("""COMPUTED_VALUE"""),3)</f>
        <v>3</v>
      </c>
      <c r="O480" s="10">
        <f ca="1">IFERROR(__xludf.DUMMYFUNCTION("""COMPUTED_VALUE"""),165000)</f>
        <v>165000</v>
      </c>
      <c r="P480" s="10"/>
      <c r="Q480" s="67">
        <f ca="1">IFERROR(__xludf.DUMMYFUNCTION("""COMPUTED_VALUE"""),45524)</f>
        <v>45524</v>
      </c>
    </row>
    <row r="481" spans="1:17" ht="12.5">
      <c r="A481" s="82">
        <f t="array" aca="1" ref="A481" ca="1">INDEX('Database Mitra'!$R$2:$R1001,MATCH(C481,'Database Mitra'!$B$2:$B1001,0))</f>
        <v>27798</v>
      </c>
      <c r="B481" s="10" t="e">
        <f t="shared" ca="1" si="0"/>
        <v>#NAME?</v>
      </c>
      <c r="C481" s="83">
        <f ca="1">IFERROR(__xludf.DUMMYFUNCTION("""COMPUTED_VALUE"""),610422040056)</f>
        <v>610422040056</v>
      </c>
      <c r="D481" s="10" t="str">
        <f ca="1">IFERROR(__xludf.DUMMYFUNCTION("""COMPUTED_VALUE"""),"VHTS24-LAPANGAN-AGUSTUS")</f>
        <v>VHTS24-LAPANGAN-AGUSTUS</v>
      </c>
      <c r="E481" s="10"/>
      <c r="F481" s="10">
        <f ca="1">IFERROR(__xludf.DUMMYFUNCTION("""COMPUTED_VALUE"""),1)</f>
        <v>1</v>
      </c>
      <c r="G481" s="10" t="str">
        <f ca="1">IFERROR(__xludf.DUMMYFUNCTION("""COMPUTED_VALUE"""),"Wandi Syafari")</f>
        <v>Wandi Syafari</v>
      </c>
      <c r="H481" s="10" t="str">
        <f ca="1">IFERROR(__xludf.DUMMYFUNCTION("""COMPUTED_VALUE"""),"PPL")</f>
        <v>PPL</v>
      </c>
      <c r="I481" s="10" t="str">
        <f ca="1">IFERROR(__xludf.DUMMYFUNCTION("""COMPUTED_VALUE"""),"6102010802760001")</f>
        <v>6102010802760001</v>
      </c>
      <c r="J481" s="10" t="str">
        <f ca="1">IFERROR(__xludf.DUMMYFUNCTION("""COMPUTED_VALUE"""),"PENDATAAN")</f>
        <v>PENDATAAN</v>
      </c>
      <c r="K481" s="10" t="str">
        <f ca="1">IFERROR(__xludf.DUMMYFUNCTION("""COMPUTED_VALUE"""),"VHTS24-LAPANGAN-AGUSTUS-PPL-PENDATAAN")</f>
        <v>VHTS24-LAPANGAN-AGUSTUS-PPL-PENDATAAN</v>
      </c>
      <c r="L481" s="10" t="str">
        <f ca="1">IFERROR(__xludf.DUMMYFUNCTION("""COMPUTED_VALUE"""),"Dokumen")</f>
        <v>Dokumen</v>
      </c>
      <c r="M481" s="66">
        <f ca="1">IFERROR(__xludf.DUMMYFUNCTION("""COMPUTED_VALUE"""),55000)</f>
        <v>55000</v>
      </c>
      <c r="N481" s="10">
        <f ca="1">IFERROR(__xludf.DUMMYFUNCTION("""COMPUTED_VALUE"""),2)</f>
        <v>2</v>
      </c>
      <c r="O481" s="10">
        <f ca="1">IFERROR(__xludf.DUMMYFUNCTION("""COMPUTED_VALUE"""),110000)</f>
        <v>110000</v>
      </c>
      <c r="P481" s="10"/>
      <c r="Q481" s="67">
        <f ca="1">IFERROR(__xludf.DUMMYFUNCTION("""COMPUTED_VALUE"""),45524)</f>
        <v>45524</v>
      </c>
    </row>
    <row r="482" spans="1:17" ht="12.5">
      <c r="A482" s="82">
        <f t="array" aca="1" ref="A482" ca="1">INDEX('Database Mitra'!$R$2:$R1001,MATCH(C482,'Database Mitra'!$B$2:$B1001,0))</f>
        <v>36043</v>
      </c>
      <c r="B482" s="10" t="e">
        <f t="shared" ca="1" si="0"/>
        <v>#NAME?</v>
      </c>
      <c r="C482" s="83">
        <f ca="1">IFERROR(__xludf.DUMMYFUNCTION("""COMPUTED_VALUE"""),610422040012)</f>
        <v>610422040012</v>
      </c>
      <c r="D482" s="10" t="str">
        <f ca="1">IFERROR(__xludf.DUMMYFUNCTION("""COMPUTED_VALUE"""),"KSA24-LAPANGAN-AGUSTUS")</f>
        <v>KSA24-LAPANGAN-AGUSTUS</v>
      </c>
      <c r="E482" s="10"/>
      <c r="F482" s="10">
        <f ca="1">IFERROR(__xludf.DUMMYFUNCTION("""COMPUTED_VALUE"""),1)</f>
        <v>1</v>
      </c>
      <c r="G482" s="10" t="str">
        <f ca="1">IFERROR(__xludf.DUMMYFUNCTION("""COMPUTED_VALUE"""),"Misdi")</f>
        <v>Misdi</v>
      </c>
      <c r="H482" s="10" t="str">
        <f ca="1">IFERROR(__xludf.DUMMYFUNCTION("""COMPUTED_VALUE"""),"PPL")</f>
        <v>PPL</v>
      </c>
      <c r="I482" s="10" t="str">
        <f ca="1">IFERROR(__xludf.DUMMYFUNCTION("""COMPUTED_VALUE"""),"6102070706940001")</f>
        <v>6102070706940001</v>
      </c>
      <c r="J482" s="10" t="str">
        <f ca="1">IFERROR(__xludf.DUMMYFUNCTION("""COMPUTED_VALUE"""),"KSA PADI")</f>
        <v>KSA PADI</v>
      </c>
      <c r="K482" s="10" t="str">
        <f ca="1">IFERROR(__xludf.DUMMYFUNCTION("""COMPUTED_VALUE"""),"KSA24-LAPANGAN-AGUSTUS-PPL-KSA PADI")</f>
        <v>KSA24-LAPANGAN-AGUSTUS-PPL-KSA PADI</v>
      </c>
      <c r="L482" s="10" t="str">
        <f ca="1">IFERROR(__xludf.DUMMYFUNCTION("""COMPUTED_VALUE"""),"Segmen")</f>
        <v>Segmen</v>
      </c>
      <c r="M482" s="66">
        <f ca="1">IFERROR(__xludf.DUMMYFUNCTION("""COMPUTED_VALUE"""),116000)</f>
        <v>116000</v>
      </c>
      <c r="N482" s="10">
        <f ca="1">IFERROR(__xludf.DUMMYFUNCTION("""COMPUTED_VALUE"""),3)</f>
        <v>3</v>
      </c>
      <c r="O482" s="10">
        <f ca="1">IFERROR(__xludf.DUMMYFUNCTION("""COMPUTED_VALUE"""),348000)</f>
        <v>348000</v>
      </c>
      <c r="P482" s="10"/>
      <c r="Q482" s="67">
        <f ca="1">IFERROR(__xludf.DUMMYFUNCTION("""COMPUTED_VALUE"""),45535)</f>
        <v>45535</v>
      </c>
    </row>
    <row r="483" spans="1:17" ht="12.5">
      <c r="A483" s="82">
        <f t="array" aca="1" ref="A483" ca="1">INDEX('Database Mitra'!$R$2:$R1001,MATCH(C483,'Database Mitra'!$B$2:$B1001,0))</f>
        <v>28816</v>
      </c>
      <c r="B483" s="10" t="e">
        <f t="shared" ca="1" si="0"/>
        <v>#NAME?</v>
      </c>
      <c r="C483" s="83">
        <f ca="1">IFERROR(__xludf.DUMMYFUNCTION("""COMPUTED_VALUE"""),610422040059)</f>
        <v>610422040059</v>
      </c>
      <c r="D483" s="10" t="str">
        <f ca="1">IFERROR(__xludf.DUMMYFUNCTION("""COMPUTED_VALUE"""),"KSA24-LAPANGAN-AGUSTUS")</f>
        <v>KSA24-LAPANGAN-AGUSTUS</v>
      </c>
      <c r="E483" s="10"/>
      <c r="F483" s="10">
        <f ca="1">IFERROR(__xludf.DUMMYFUNCTION("""COMPUTED_VALUE"""),1)</f>
        <v>1</v>
      </c>
      <c r="G483" s="10" t="str">
        <f ca="1">IFERROR(__xludf.DUMMYFUNCTION("""COMPUTED_VALUE"""),"Abang Handri")</f>
        <v>Abang Handri</v>
      </c>
      <c r="H483" s="10" t="str">
        <f ca="1">IFERROR(__xludf.DUMMYFUNCTION("""COMPUTED_VALUE"""),"PPL")</f>
        <v>PPL</v>
      </c>
      <c r="I483" s="10" t="str">
        <f ca="1">IFERROR(__xludf.DUMMYFUNCTION("""COMPUTED_VALUE"""),"6102072211780002")</f>
        <v>6102072211780002</v>
      </c>
      <c r="J483" s="10" t="str">
        <f ca="1">IFERROR(__xludf.DUMMYFUNCTION("""COMPUTED_VALUE"""),"KSA PADI")</f>
        <v>KSA PADI</v>
      </c>
      <c r="K483" s="10" t="str">
        <f ca="1">IFERROR(__xludf.DUMMYFUNCTION("""COMPUTED_VALUE"""),"KSA24-LAPANGAN-AGUSTUS-PPL-KSA PADI")</f>
        <v>KSA24-LAPANGAN-AGUSTUS-PPL-KSA PADI</v>
      </c>
      <c r="L483" s="10" t="str">
        <f ca="1">IFERROR(__xludf.DUMMYFUNCTION("""COMPUTED_VALUE"""),"Segmen")</f>
        <v>Segmen</v>
      </c>
      <c r="M483" s="66">
        <f ca="1">IFERROR(__xludf.DUMMYFUNCTION("""COMPUTED_VALUE"""),116000)</f>
        <v>116000</v>
      </c>
      <c r="N483" s="10">
        <f ca="1">IFERROR(__xludf.DUMMYFUNCTION("""COMPUTED_VALUE"""),4)</f>
        <v>4</v>
      </c>
      <c r="O483" s="10">
        <f ca="1">IFERROR(__xludf.DUMMYFUNCTION("""COMPUTED_VALUE"""),464000)</f>
        <v>464000</v>
      </c>
      <c r="P483" s="10"/>
      <c r="Q483" s="67">
        <f ca="1">IFERROR(__xludf.DUMMYFUNCTION("""COMPUTED_VALUE"""),45535)</f>
        <v>45535</v>
      </c>
    </row>
    <row r="484" spans="1:17" ht="12.5">
      <c r="A484" s="11">
        <f t="array" aca="1" ref="A484" ca="1">INDEX('Database Mitra'!$R$2:$R1001,MATCH(C484,'Database Mitra'!$B$2:$B1001,0))</f>
        <v>31777</v>
      </c>
      <c r="B484" s="10" t="e">
        <f t="shared" ca="1" si="0"/>
        <v>#NAME?</v>
      </c>
      <c r="C484" s="83">
        <f ca="1">IFERROR(__xludf.DUMMYFUNCTION("""COMPUTED_VALUE"""),610422040061)</f>
        <v>610422040061</v>
      </c>
      <c r="D484" s="10" t="str">
        <f ca="1">IFERROR(__xludf.DUMMYFUNCTION("""COMPUTED_VALUE"""),"KSA24-LAPANGAN-AGUSTUS")</f>
        <v>KSA24-LAPANGAN-AGUSTUS</v>
      </c>
      <c r="E484" s="10"/>
      <c r="F484" s="10">
        <f ca="1">IFERROR(__xludf.DUMMYFUNCTION("""COMPUTED_VALUE"""),1)</f>
        <v>1</v>
      </c>
      <c r="G484" s="10" t="str">
        <f ca="1">IFERROR(__xludf.DUMMYFUNCTION("""COMPUTED_VALUE"""),"Sabani")</f>
        <v>Sabani</v>
      </c>
      <c r="H484" s="10" t="str">
        <f ca="1">IFERROR(__xludf.DUMMYFUNCTION("""COMPUTED_VALUE"""),"PPL")</f>
        <v>PPL</v>
      </c>
      <c r="I484" s="10" t="str">
        <f ca="1">IFERROR(__xludf.DUMMYFUNCTION("""COMPUTED_VALUE"""),"6102153112860003")</f>
        <v>6102153112860003</v>
      </c>
      <c r="J484" s="10" t="str">
        <f ca="1">IFERROR(__xludf.DUMMYFUNCTION("""COMPUTED_VALUE"""),"KSA PADI")</f>
        <v>KSA PADI</v>
      </c>
      <c r="K484" s="10" t="str">
        <f ca="1">IFERROR(__xludf.DUMMYFUNCTION("""COMPUTED_VALUE"""),"KSA24-LAPANGAN-AGUSTUS-PPL-KSA PADI")</f>
        <v>KSA24-LAPANGAN-AGUSTUS-PPL-KSA PADI</v>
      </c>
      <c r="L484" s="10" t="str">
        <f ca="1">IFERROR(__xludf.DUMMYFUNCTION("""COMPUTED_VALUE"""),"Segmen")</f>
        <v>Segmen</v>
      </c>
      <c r="M484" s="66">
        <f ca="1">IFERROR(__xludf.DUMMYFUNCTION("""COMPUTED_VALUE"""),116000)</f>
        <v>116000</v>
      </c>
      <c r="N484" s="10">
        <f ca="1">IFERROR(__xludf.DUMMYFUNCTION("""COMPUTED_VALUE"""),3)</f>
        <v>3</v>
      </c>
      <c r="O484" s="10">
        <f ca="1">IFERROR(__xludf.DUMMYFUNCTION("""COMPUTED_VALUE"""),348000)</f>
        <v>348000</v>
      </c>
      <c r="P484" s="10"/>
      <c r="Q484" s="67">
        <f ca="1">IFERROR(__xludf.DUMMYFUNCTION("""COMPUTED_VALUE"""),45535)</f>
        <v>45535</v>
      </c>
    </row>
    <row r="485" spans="1:17" ht="12.5">
      <c r="A485" s="82">
        <f t="array" aca="1" ref="A485" ca="1">INDEX('Database Mitra'!$R$2:$R1001,MATCH(C485,'Database Mitra'!$B$2:$B1001,0))</f>
        <v>31602</v>
      </c>
      <c r="B485" s="10" t="e">
        <f t="shared" ca="1" si="0"/>
        <v>#NAME?</v>
      </c>
      <c r="C485" s="83">
        <f ca="1">IFERROR(__xludf.DUMMYFUNCTION("""COMPUTED_VALUE"""),610422100131)</f>
        <v>610422100131</v>
      </c>
      <c r="D485" s="10" t="str">
        <f ca="1">IFERROR(__xludf.DUMMYFUNCTION("""COMPUTED_VALUE"""),"KSA24-LAPANGAN-AGUSTUS")</f>
        <v>KSA24-LAPANGAN-AGUSTUS</v>
      </c>
      <c r="E485" s="10"/>
      <c r="F485" s="10">
        <f ca="1">IFERROR(__xludf.DUMMYFUNCTION("""COMPUTED_VALUE"""),1)</f>
        <v>1</v>
      </c>
      <c r="G485" s="10" t="str">
        <f ca="1">IFERROR(__xludf.DUMMYFUNCTION("""COMPUTED_VALUE"""),"Syamsul")</f>
        <v>Syamsul</v>
      </c>
      <c r="H485" s="10" t="str">
        <f ca="1">IFERROR(__xludf.DUMMYFUNCTION("""COMPUTED_VALUE"""),"PPL")</f>
        <v>PPL</v>
      </c>
      <c r="I485" s="10" t="str">
        <f ca="1">IFERROR(__xludf.DUMMYFUNCTION("""COMPUTED_VALUE"""),"6102150907860003")</f>
        <v>6102150907860003</v>
      </c>
      <c r="J485" s="10" t="str">
        <f ca="1">IFERROR(__xludf.DUMMYFUNCTION("""COMPUTED_VALUE"""),"KSA PADI")</f>
        <v>KSA PADI</v>
      </c>
      <c r="K485" s="10" t="str">
        <f ca="1">IFERROR(__xludf.DUMMYFUNCTION("""COMPUTED_VALUE"""),"KSA24-LAPANGAN-AGUSTUS-PPL-KSA PADI")</f>
        <v>KSA24-LAPANGAN-AGUSTUS-PPL-KSA PADI</v>
      </c>
      <c r="L485" s="10" t="str">
        <f ca="1">IFERROR(__xludf.DUMMYFUNCTION("""COMPUTED_VALUE"""),"Segmen")</f>
        <v>Segmen</v>
      </c>
      <c r="M485" s="66">
        <f ca="1">IFERROR(__xludf.DUMMYFUNCTION("""COMPUTED_VALUE"""),116000)</f>
        <v>116000</v>
      </c>
      <c r="N485" s="10">
        <f ca="1">IFERROR(__xludf.DUMMYFUNCTION("""COMPUTED_VALUE"""),6)</f>
        <v>6</v>
      </c>
      <c r="O485" s="10">
        <f ca="1">IFERROR(__xludf.DUMMYFUNCTION("""COMPUTED_VALUE"""),696000)</f>
        <v>696000</v>
      </c>
      <c r="P485" s="10"/>
      <c r="Q485" s="67">
        <f ca="1">IFERROR(__xludf.DUMMYFUNCTION("""COMPUTED_VALUE"""),45535)</f>
        <v>45535</v>
      </c>
    </row>
    <row r="486" spans="1:17" ht="12.5">
      <c r="A486" s="82">
        <f t="array" aca="1" ref="A486" ca="1">INDEX('Database Mitra'!$R$2:$R1001,MATCH(C486,'Database Mitra'!$B$2:$B1001,0))</f>
        <v>32942</v>
      </c>
      <c r="B486" s="10" t="e">
        <f t="shared" ca="1" si="0"/>
        <v>#NAME?</v>
      </c>
      <c r="C486" s="83">
        <f ca="1">IFERROR(__xludf.DUMMYFUNCTION("""COMPUTED_VALUE"""),610422100244)</f>
        <v>610422100244</v>
      </c>
      <c r="D486" s="10" t="str">
        <f ca="1">IFERROR(__xludf.DUMMYFUNCTION("""COMPUTED_VALUE"""),"KSA24-LAPANGAN-AGUSTUS")</f>
        <v>KSA24-LAPANGAN-AGUSTUS</v>
      </c>
      <c r="E486" s="10"/>
      <c r="F486" s="10">
        <f ca="1">IFERROR(__xludf.DUMMYFUNCTION("""COMPUTED_VALUE"""),1)</f>
        <v>1</v>
      </c>
      <c r="G486" s="10" t="str">
        <f ca="1">IFERROR(__xludf.DUMMYFUNCTION("""COMPUTED_VALUE"""),"Sugianto")</f>
        <v>Sugianto</v>
      </c>
      <c r="H486" s="10" t="str">
        <f ca="1">IFERROR(__xludf.DUMMYFUNCTION("""COMPUTED_VALUE"""),"PPL")</f>
        <v>PPL</v>
      </c>
      <c r="I486" s="10" t="str">
        <f ca="1">IFERROR(__xludf.DUMMYFUNCTION("""COMPUTED_VALUE"""),"6102171003900002")</f>
        <v>6102171003900002</v>
      </c>
      <c r="J486" s="10" t="str">
        <f ca="1">IFERROR(__xludf.DUMMYFUNCTION("""COMPUTED_VALUE"""),"KSA PADI")</f>
        <v>KSA PADI</v>
      </c>
      <c r="K486" s="10" t="str">
        <f ca="1">IFERROR(__xludf.DUMMYFUNCTION("""COMPUTED_VALUE"""),"KSA24-LAPANGAN-AGUSTUS-PPL-KSA PADI")</f>
        <v>KSA24-LAPANGAN-AGUSTUS-PPL-KSA PADI</v>
      </c>
      <c r="L486" s="10" t="str">
        <f ca="1">IFERROR(__xludf.DUMMYFUNCTION("""COMPUTED_VALUE"""),"Segmen")</f>
        <v>Segmen</v>
      </c>
      <c r="M486" s="66">
        <f ca="1">IFERROR(__xludf.DUMMYFUNCTION("""COMPUTED_VALUE"""),116000)</f>
        <v>116000</v>
      </c>
      <c r="N486" s="10">
        <f ca="1">IFERROR(__xludf.DUMMYFUNCTION("""COMPUTED_VALUE"""),3)</f>
        <v>3</v>
      </c>
      <c r="O486" s="10">
        <f ca="1">IFERROR(__xludf.DUMMYFUNCTION("""COMPUTED_VALUE"""),348000)</f>
        <v>348000</v>
      </c>
      <c r="P486" s="10"/>
      <c r="Q486" s="67">
        <f ca="1">IFERROR(__xludf.DUMMYFUNCTION("""COMPUTED_VALUE"""),45535)</f>
        <v>45535</v>
      </c>
    </row>
    <row r="487" spans="1:17" ht="12.5">
      <c r="A487" s="11">
        <f t="array" aca="1" ref="A487" ca="1">INDEX('Database Mitra'!$R$2:$R1001,MATCH(C487,'Database Mitra'!$B$2:$B1001,0))</f>
        <v>32481</v>
      </c>
      <c r="B487" s="10" t="e">
        <f t="shared" ca="1" si="0"/>
        <v>#NAME?</v>
      </c>
      <c r="C487" s="83">
        <f ca="1">IFERROR(__xludf.DUMMYFUNCTION("""COMPUTED_VALUE"""),610422100176)</f>
        <v>610422100176</v>
      </c>
      <c r="D487" s="10" t="str">
        <f ca="1">IFERROR(__xludf.DUMMYFUNCTION("""COMPUTED_VALUE"""),"KSA24-LAPANGAN-AGUSTUS")</f>
        <v>KSA24-LAPANGAN-AGUSTUS</v>
      </c>
      <c r="E487" s="10"/>
      <c r="F487" s="10">
        <f ca="1">IFERROR(__xludf.DUMMYFUNCTION("""COMPUTED_VALUE"""),1)</f>
        <v>1</v>
      </c>
      <c r="G487" s="10" t="str">
        <f ca="1">IFERROR(__xludf.DUMMYFUNCTION("""COMPUTED_VALUE"""),"Feri Firdaus")</f>
        <v>Feri Firdaus</v>
      </c>
      <c r="H487" s="10" t="str">
        <f ca="1">IFERROR(__xludf.DUMMYFUNCTION("""COMPUTED_VALUE"""),"PPL")</f>
        <v>PPL</v>
      </c>
      <c r="I487" s="10" t="str">
        <f ca="1">IFERROR(__xludf.DUMMYFUNCTION("""COMPUTED_VALUE"""),"6102150412880001")</f>
        <v>6102150412880001</v>
      </c>
      <c r="J487" s="10" t="str">
        <f ca="1">IFERROR(__xludf.DUMMYFUNCTION("""COMPUTED_VALUE"""),"KSA PADI")</f>
        <v>KSA PADI</v>
      </c>
      <c r="K487" s="10" t="str">
        <f ca="1">IFERROR(__xludf.DUMMYFUNCTION("""COMPUTED_VALUE"""),"KSA24-LAPANGAN-AGUSTUS-PPL-KSA PADI")</f>
        <v>KSA24-LAPANGAN-AGUSTUS-PPL-KSA PADI</v>
      </c>
      <c r="L487" s="10" t="str">
        <f ca="1">IFERROR(__xludf.DUMMYFUNCTION("""COMPUTED_VALUE"""),"Segmen")</f>
        <v>Segmen</v>
      </c>
      <c r="M487" s="66">
        <f ca="1">IFERROR(__xludf.DUMMYFUNCTION("""COMPUTED_VALUE"""),116000)</f>
        <v>116000</v>
      </c>
      <c r="N487" s="10">
        <f ca="1">IFERROR(__xludf.DUMMYFUNCTION("""COMPUTED_VALUE"""),3)</f>
        <v>3</v>
      </c>
      <c r="O487" s="10">
        <f ca="1">IFERROR(__xludf.DUMMYFUNCTION("""COMPUTED_VALUE"""),348000)</f>
        <v>348000</v>
      </c>
      <c r="P487" s="10"/>
      <c r="Q487" s="67">
        <f ca="1">IFERROR(__xludf.DUMMYFUNCTION("""COMPUTED_VALUE"""),45535)</f>
        <v>45535</v>
      </c>
    </row>
    <row r="488" spans="1:17" ht="12.5">
      <c r="A488" s="82">
        <f t="array" aca="1" ref="A488" ca="1">INDEX('Database Mitra'!$R$2:$R1001,MATCH(C488,'Database Mitra'!$B$2:$B1001,0))</f>
        <v>29171</v>
      </c>
      <c r="B488" s="10" t="e">
        <f t="shared" ca="1" si="0"/>
        <v>#NAME?</v>
      </c>
      <c r="C488" s="83">
        <f ca="1">IFERROR(__xludf.DUMMYFUNCTION("""COMPUTED_VALUE"""),610423110183)</f>
        <v>610423110183</v>
      </c>
      <c r="D488" s="10" t="str">
        <f ca="1">IFERROR(__xludf.DUMMYFUNCTION("""COMPUTED_VALUE"""),"KSA24-LAPANGAN-AGUSTUS")</f>
        <v>KSA24-LAPANGAN-AGUSTUS</v>
      </c>
      <c r="E488" s="10"/>
      <c r="F488" s="10">
        <f ca="1">IFERROR(__xludf.DUMMYFUNCTION("""COMPUTED_VALUE"""),1)</f>
        <v>1</v>
      </c>
      <c r="G488" s="10" t="str">
        <f ca="1">IFERROR(__xludf.DUMMYFUNCTION("""COMPUTED_VALUE"""),"Azhar")</f>
        <v>Azhar</v>
      </c>
      <c r="H488" s="10" t="str">
        <f ca="1">IFERROR(__xludf.DUMMYFUNCTION("""COMPUTED_VALUE"""),"PPL")</f>
        <v>PPL</v>
      </c>
      <c r="I488" s="10" t="str">
        <f ca="1">IFERROR(__xludf.DUMMYFUNCTION("""COMPUTED_VALUE"""),"6102081211790004")</f>
        <v>6102081211790004</v>
      </c>
      <c r="J488" s="10" t="str">
        <f ca="1">IFERROR(__xludf.DUMMYFUNCTION("""COMPUTED_VALUE"""),"KSA PADI")</f>
        <v>KSA PADI</v>
      </c>
      <c r="K488" s="10" t="str">
        <f ca="1">IFERROR(__xludf.DUMMYFUNCTION("""COMPUTED_VALUE"""),"KSA24-LAPANGAN-AGUSTUS-PPL-KSA PADI")</f>
        <v>KSA24-LAPANGAN-AGUSTUS-PPL-KSA PADI</v>
      </c>
      <c r="L488" s="10" t="str">
        <f ca="1">IFERROR(__xludf.DUMMYFUNCTION("""COMPUTED_VALUE"""),"Segmen")</f>
        <v>Segmen</v>
      </c>
      <c r="M488" s="66">
        <f ca="1">IFERROR(__xludf.DUMMYFUNCTION("""COMPUTED_VALUE"""),116000)</f>
        <v>116000</v>
      </c>
      <c r="N488" s="10">
        <f ca="1">IFERROR(__xludf.DUMMYFUNCTION("""COMPUTED_VALUE"""),6)</f>
        <v>6</v>
      </c>
      <c r="O488" s="10">
        <f ca="1">IFERROR(__xludf.DUMMYFUNCTION("""COMPUTED_VALUE"""),696000)</f>
        <v>696000</v>
      </c>
      <c r="P488" s="10"/>
      <c r="Q488" s="67">
        <f ca="1">IFERROR(__xludf.DUMMYFUNCTION("""COMPUTED_VALUE"""),45535)</f>
        <v>45535</v>
      </c>
    </row>
    <row r="489" spans="1:17" ht="12.5">
      <c r="A489" s="82">
        <f t="array" aca="1" ref="A489" ca="1">INDEX('Database Mitra'!$R$2:$R1001,MATCH(C489,'Database Mitra'!$B$2:$B1001,0))</f>
        <v>32409</v>
      </c>
      <c r="B489" s="10" t="e">
        <f t="shared" ca="1" si="0"/>
        <v>#NAME?</v>
      </c>
      <c r="C489" s="83">
        <f ca="1">IFERROR(__xludf.DUMMYFUNCTION("""COMPUTED_VALUE"""),610423040018)</f>
        <v>610423040018</v>
      </c>
      <c r="D489" s="10" t="str">
        <f ca="1">IFERROR(__xludf.DUMMYFUNCTION("""COMPUTED_VALUE"""),"KSA24-LAPANGAN-AGUSTUS")</f>
        <v>KSA24-LAPANGAN-AGUSTUS</v>
      </c>
      <c r="E489" s="10"/>
      <c r="F489" s="10">
        <f ca="1">IFERROR(__xludf.DUMMYFUNCTION("""COMPUTED_VALUE"""),1)</f>
        <v>1</v>
      </c>
      <c r="G489" s="10" t="str">
        <f ca="1">IFERROR(__xludf.DUMMYFUNCTION("""COMPUTED_VALUE"""),"Handoko Tuah Sabarman Sipayung")</f>
        <v>Handoko Tuah Sabarman Sipayung</v>
      </c>
      <c r="H489" s="10" t="str">
        <f ca="1">IFERROR(__xludf.DUMMYFUNCTION("""COMPUTED_VALUE"""),"PPL")</f>
        <v>PPL</v>
      </c>
      <c r="I489" s="10" t="str">
        <f ca="1">IFERROR(__xludf.DUMMYFUNCTION("""COMPUTED_VALUE"""),"1212092309880001")</f>
        <v>1212092309880001</v>
      </c>
      <c r="J489" s="10" t="str">
        <f ca="1">IFERROR(__xludf.DUMMYFUNCTION("""COMPUTED_VALUE"""),"KSA PADI")</f>
        <v>KSA PADI</v>
      </c>
      <c r="K489" s="10" t="str">
        <f ca="1">IFERROR(__xludf.DUMMYFUNCTION("""COMPUTED_VALUE"""),"KSA24-LAPANGAN-AGUSTUS-PPL-KSA PADI")</f>
        <v>KSA24-LAPANGAN-AGUSTUS-PPL-KSA PADI</v>
      </c>
      <c r="L489" s="10" t="str">
        <f ca="1">IFERROR(__xludf.DUMMYFUNCTION("""COMPUTED_VALUE"""),"Segmen")</f>
        <v>Segmen</v>
      </c>
      <c r="M489" s="66">
        <f ca="1">IFERROR(__xludf.DUMMYFUNCTION("""COMPUTED_VALUE"""),116000)</f>
        <v>116000</v>
      </c>
      <c r="N489" s="10">
        <f ca="1">IFERROR(__xludf.DUMMYFUNCTION("""COMPUTED_VALUE"""),4)</f>
        <v>4</v>
      </c>
      <c r="O489" s="10">
        <f ca="1">IFERROR(__xludf.DUMMYFUNCTION("""COMPUTED_VALUE"""),464000)</f>
        <v>464000</v>
      </c>
      <c r="P489" s="10"/>
      <c r="Q489" s="67">
        <f ca="1">IFERROR(__xludf.DUMMYFUNCTION("""COMPUTED_VALUE"""),45535)</f>
        <v>45535</v>
      </c>
    </row>
    <row r="490" spans="1:17" ht="12.5">
      <c r="A490" s="82">
        <f t="array" aca="1" ref="A490" ca="1">INDEX('Database Mitra'!$R$2:$R1001,MATCH(C490,'Database Mitra'!$B$2:$B1001,0))</f>
        <v>28816</v>
      </c>
      <c r="B490" s="10" t="e">
        <f t="shared" ca="1" si="0"/>
        <v>#NAME?</v>
      </c>
      <c r="C490" s="83">
        <f ca="1">IFERROR(__xludf.DUMMYFUNCTION("""COMPUTED_VALUE"""),610422040059)</f>
        <v>610422040059</v>
      </c>
      <c r="D490" s="10" t="str">
        <f ca="1">IFERROR(__xludf.DUMMYFUNCTION("""COMPUTED_VALUE"""),"KSA24-LAPANGAN-AGUSTUS")</f>
        <v>KSA24-LAPANGAN-AGUSTUS</v>
      </c>
      <c r="E490" s="10"/>
      <c r="F490" s="10">
        <f ca="1">IFERROR(__xludf.DUMMYFUNCTION("""COMPUTED_VALUE"""),1)</f>
        <v>1</v>
      </c>
      <c r="G490" s="10" t="str">
        <f ca="1">IFERROR(__xludf.DUMMYFUNCTION("""COMPUTED_VALUE"""),"Abang Handri")</f>
        <v>Abang Handri</v>
      </c>
      <c r="H490" s="10" t="str">
        <f ca="1">IFERROR(__xludf.DUMMYFUNCTION("""COMPUTED_VALUE"""),"PPL")</f>
        <v>PPL</v>
      </c>
      <c r="I490" s="10" t="str">
        <f ca="1">IFERROR(__xludf.DUMMYFUNCTION("""COMPUTED_VALUE"""),"6102072211780002")</f>
        <v>6102072211780002</v>
      </c>
      <c r="J490" s="10" t="str">
        <f ca="1">IFERROR(__xludf.DUMMYFUNCTION("""COMPUTED_VALUE"""),"KSA JAGUNG")</f>
        <v>KSA JAGUNG</v>
      </c>
      <c r="K490" s="10" t="str">
        <f ca="1">IFERROR(__xludf.DUMMYFUNCTION("""COMPUTED_VALUE"""),"KSA24-LAPANGAN-AGUSTUS-PPL-KSA JAGUNG")</f>
        <v>KSA24-LAPANGAN-AGUSTUS-PPL-KSA JAGUNG</v>
      </c>
      <c r="L490" s="10" t="str">
        <f ca="1">IFERROR(__xludf.DUMMYFUNCTION("""COMPUTED_VALUE"""),"Segmen")</f>
        <v>Segmen</v>
      </c>
      <c r="M490" s="66">
        <f ca="1">IFERROR(__xludf.DUMMYFUNCTION("""COMPUTED_VALUE"""),59000)</f>
        <v>59000</v>
      </c>
      <c r="N490" s="10">
        <f ca="1">IFERROR(__xludf.DUMMYFUNCTION("""COMPUTED_VALUE"""),6)</f>
        <v>6</v>
      </c>
      <c r="O490" s="10">
        <f ca="1">IFERROR(__xludf.DUMMYFUNCTION("""COMPUTED_VALUE"""),354000)</f>
        <v>354000</v>
      </c>
      <c r="P490" s="10"/>
      <c r="Q490" s="67">
        <f ca="1">IFERROR(__xludf.DUMMYFUNCTION("""COMPUTED_VALUE"""),45535)</f>
        <v>45535</v>
      </c>
    </row>
    <row r="491" spans="1:17" ht="12.5">
      <c r="A491" s="11">
        <f t="array" aca="1" ref="A491" ca="1">INDEX('Database Mitra'!$R$2:$R1001,MATCH(C491,'Database Mitra'!$B$2:$B1001,0))</f>
        <v>29305</v>
      </c>
      <c r="B491" s="10" t="e">
        <f t="shared" ca="1" si="0"/>
        <v>#NAME?</v>
      </c>
      <c r="C491" s="83">
        <f ca="1">IFERROR(__xludf.DUMMYFUNCTION("""COMPUTED_VALUE"""),610422020048)</f>
        <v>610422020048</v>
      </c>
      <c r="D491" s="10" t="str">
        <f ca="1">IFERROR(__xludf.DUMMYFUNCTION("""COMPUTED_VALUE"""),"KSA24-LAPANGAN-AGUSTUS")</f>
        <v>KSA24-LAPANGAN-AGUSTUS</v>
      </c>
      <c r="E491" s="10"/>
      <c r="F491" s="10">
        <f ca="1">IFERROR(__xludf.DUMMYFUNCTION("""COMPUTED_VALUE"""),1)</f>
        <v>1</v>
      </c>
      <c r="G491" s="10" t="str">
        <f ca="1">IFERROR(__xludf.DUMMYFUNCTION("""COMPUTED_VALUE"""),"Herri Gustaman")</f>
        <v>Herri Gustaman</v>
      </c>
      <c r="H491" s="10" t="str">
        <f ca="1">IFERROR(__xludf.DUMMYFUNCTION("""COMPUTED_VALUE"""),"PPL")</f>
        <v>PPL</v>
      </c>
      <c r="I491" s="10" t="str">
        <f ca="1">IFERROR(__xludf.DUMMYFUNCTION("""COMPUTED_VALUE"""),"6102072503800001")</f>
        <v>6102072503800001</v>
      </c>
      <c r="J491" s="10" t="str">
        <f ca="1">IFERROR(__xludf.DUMMYFUNCTION("""COMPUTED_VALUE"""),"KSA JAGUNG")</f>
        <v>KSA JAGUNG</v>
      </c>
      <c r="K491" s="10" t="str">
        <f ca="1">IFERROR(__xludf.DUMMYFUNCTION("""COMPUTED_VALUE"""),"KSA24-LAPANGAN-AGUSTUS-PPL-KSA JAGUNG")</f>
        <v>KSA24-LAPANGAN-AGUSTUS-PPL-KSA JAGUNG</v>
      </c>
      <c r="L491" s="10" t="str">
        <f ca="1">IFERROR(__xludf.DUMMYFUNCTION("""COMPUTED_VALUE"""),"Segmen")</f>
        <v>Segmen</v>
      </c>
      <c r="M491" s="66">
        <f ca="1">IFERROR(__xludf.DUMMYFUNCTION("""COMPUTED_VALUE"""),59000)</f>
        <v>59000</v>
      </c>
      <c r="N491" s="10">
        <f ca="1">IFERROR(__xludf.DUMMYFUNCTION("""COMPUTED_VALUE"""),6)</f>
        <v>6</v>
      </c>
      <c r="O491" s="10">
        <f ca="1">IFERROR(__xludf.DUMMYFUNCTION("""COMPUTED_VALUE"""),354000)</f>
        <v>354000</v>
      </c>
      <c r="P491" s="10"/>
      <c r="Q491" s="67">
        <f ca="1">IFERROR(__xludf.DUMMYFUNCTION("""COMPUTED_VALUE"""),45535)</f>
        <v>45535</v>
      </c>
    </row>
    <row r="492" spans="1:17" ht="12.5">
      <c r="A492" s="82">
        <f t="array" aca="1" ref="A492" ca="1">INDEX('Database Mitra'!$R$2:$R1001,MATCH(C492,'Database Mitra'!$B$2:$B1001,0))</f>
        <v>34541</v>
      </c>
      <c r="B492" s="10" t="e">
        <f t="shared" ca="1" si="0"/>
        <v>#NAME?</v>
      </c>
      <c r="C492" s="83">
        <f ca="1">IFERROR(__xludf.DUMMYFUNCTION("""COMPUTED_VALUE"""),610422040058)</f>
        <v>610422040058</v>
      </c>
      <c r="D492" s="10" t="str">
        <f ca="1">IFERROR(__xludf.DUMMYFUNCTION("""COMPUTED_VALUE"""),"KSA24-LAPANGAN-AGUSTUS")</f>
        <v>KSA24-LAPANGAN-AGUSTUS</v>
      </c>
      <c r="E492" s="10"/>
      <c r="F492" s="10">
        <f ca="1">IFERROR(__xludf.DUMMYFUNCTION("""COMPUTED_VALUE"""),1)</f>
        <v>1</v>
      </c>
      <c r="G492" s="10" t="str">
        <f ca="1">IFERROR(__xludf.DUMMYFUNCTION("""COMPUTED_VALUE"""),"Jamaluddin, Sp")</f>
        <v>Jamaluddin, Sp</v>
      </c>
      <c r="H492" s="10" t="str">
        <f ca="1">IFERROR(__xludf.DUMMYFUNCTION("""COMPUTED_VALUE"""),"PPL")</f>
        <v>PPL</v>
      </c>
      <c r="I492" s="10" t="str">
        <f ca="1">IFERROR(__xludf.DUMMYFUNCTION("""COMPUTED_VALUE"""),"6102152607940002")</f>
        <v>6102152607940002</v>
      </c>
      <c r="J492" s="10" t="str">
        <f ca="1">IFERROR(__xludf.DUMMYFUNCTION("""COMPUTED_VALUE"""),"KSA JAGUNG")</f>
        <v>KSA JAGUNG</v>
      </c>
      <c r="K492" s="10" t="str">
        <f ca="1">IFERROR(__xludf.DUMMYFUNCTION("""COMPUTED_VALUE"""),"KSA24-LAPANGAN-AGUSTUS-PPL-KSA JAGUNG")</f>
        <v>KSA24-LAPANGAN-AGUSTUS-PPL-KSA JAGUNG</v>
      </c>
      <c r="L492" s="10" t="str">
        <f ca="1">IFERROR(__xludf.DUMMYFUNCTION("""COMPUTED_VALUE"""),"Segmen")</f>
        <v>Segmen</v>
      </c>
      <c r="M492" s="66">
        <f ca="1">IFERROR(__xludf.DUMMYFUNCTION("""COMPUTED_VALUE"""),59000)</f>
        <v>59000</v>
      </c>
      <c r="N492" s="10">
        <f ca="1">IFERROR(__xludf.DUMMYFUNCTION("""COMPUTED_VALUE"""),10)</f>
        <v>10</v>
      </c>
      <c r="O492" s="10">
        <f ca="1">IFERROR(__xludf.DUMMYFUNCTION("""COMPUTED_VALUE"""),590000)</f>
        <v>590000</v>
      </c>
      <c r="P492" s="10"/>
      <c r="Q492" s="67">
        <f ca="1">IFERROR(__xludf.DUMMYFUNCTION("""COMPUTED_VALUE"""),45535)</f>
        <v>45535</v>
      </c>
    </row>
    <row r="493" spans="1:17" ht="12.5">
      <c r="A493" s="82">
        <f t="array" aca="1" ref="A493" ca="1">INDEX('Database Mitra'!$R$2:$R1001,MATCH(C493,'Database Mitra'!$B$2:$B1001,0))</f>
        <v>29171</v>
      </c>
      <c r="B493" s="10" t="e">
        <f t="shared" ca="1" si="0"/>
        <v>#NAME?</v>
      </c>
      <c r="C493" s="83">
        <f ca="1">IFERROR(__xludf.DUMMYFUNCTION("""COMPUTED_VALUE"""),610423110183)</f>
        <v>610423110183</v>
      </c>
      <c r="D493" s="10" t="str">
        <f ca="1">IFERROR(__xludf.DUMMYFUNCTION("""COMPUTED_VALUE"""),"KSA24-LAPANGAN-AGUSTUS")</f>
        <v>KSA24-LAPANGAN-AGUSTUS</v>
      </c>
      <c r="E493" s="10"/>
      <c r="F493" s="10">
        <f ca="1">IFERROR(__xludf.DUMMYFUNCTION("""COMPUTED_VALUE"""),1)</f>
        <v>1</v>
      </c>
      <c r="G493" s="10" t="str">
        <f ca="1">IFERROR(__xludf.DUMMYFUNCTION("""COMPUTED_VALUE"""),"Azhar")</f>
        <v>Azhar</v>
      </c>
      <c r="H493" s="10" t="str">
        <f ca="1">IFERROR(__xludf.DUMMYFUNCTION("""COMPUTED_VALUE"""),"PPL")</f>
        <v>PPL</v>
      </c>
      <c r="I493" s="10" t="str">
        <f ca="1">IFERROR(__xludf.DUMMYFUNCTION("""COMPUTED_VALUE"""),"6102081211790004")</f>
        <v>6102081211790004</v>
      </c>
      <c r="J493" s="10" t="str">
        <f ca="1">IFERROR(__xludf.DUMMYFUNCTION("""COMPUTED_VALUE"""),"KSA JAGUNG")</f>
        <v>KSA JAGUNG</v>
      </c>
      <c r="K493" s="10" t="str">
        <f ca="1">IFERROR(__xludf.DUMMYFUNCTION("""COMPUTED_VALUE"""),"KSA24-LAPANGAN-AGUSTUS-PPL-KSA JAGUNG")</f>
        <v>KSA24-LAPANGAN-AGUSTUS-PPL-KSA JAGUNG</v>
      </c>
      <c r="L493" s="10" t="str">
        <f ca="1">IFERROR(__xludf.DUMMYFUNCTION("""COMPUTED_VALUE"""),"Segmen")</f>
        <v>Segmen</v>
      </c>
      <c r="M493" s="66">
        <f ca="1">IFERROR(__xludf.DUMMYFUNCTION("""COMPUTED_VALUE"""),59000)</f>
        <v>59000</v>
      </c>
      <c r="N493" s="10">
        <f ca="1">IFERROR(__xludf.DUMMYFUNCTION("""COMPUTED_VALUE"""),6)</f>
        <v>6</v>
      </c>
      <c r="O493" s="10">
        <f ca="1">IFERROR(__xludf.DUMMYFUNCTION("""COMPUTED_VALUE"""),354000)</f>
        <v>354000</v>
      </c>
      <c r="P493" s="10"/>
      <c r="Q493" s="67">
        <f ca="1">IFERROR(__xludf.DUMMYFUNCTION("""COMPUTED_VALUE"""),45535)</f>
        <v>45535</v>
      </c>
    </row>
    <row r="494" spans="1:17" ht="12.5">
      <c r="A494" s="82">
        <f t="array" aca="1" ref="A494" ca="1">INDEX('Database Mitra'!$R$2:$R1001,MATCH(C494,'Database Mitra'!$B$2:$B1001,0))</f>
        <v>32942</v>
      </c>
      <c r="B494" s="10" t="e">
        <f t="shared" ca="1" si="0"/>
        <v>#NAME?</v>
      </c>
      <c r="C494" s="83">
        <f ca="1">IFERROR(__xludf.DUMMYFUNCTION("""COMPUTED_VALUE"""),610422100244)</f>
        <v>610422100244</v>
      </c>
      <c r="D494" s="10" t="str">
        <f ca="1">IFERROR(__xludf.DUMMYFUNCTION("""COMPUTED_VALUE"""),"KSA24-LAPANGAN-AGUSTUS")</f>
        <v>KSA24-LAPANGAN-AGUSTUS</v>
      </c>
      <c r="E494" s="10"/>
      <c r="F494" s="10">
        <f ca="1">IFERROR(__xludf.DUMMYFUNCTION("""COMPUTED_VALUE"""),1)</f>
        <v>1</v>
      </c>
      <c r="G494" s="10" t="str">
        <f ca="1">IFERROR(__xludf.DUMMYFUNCTION("""COMPUTED_VALUE"""),"Sugianto")</f>
        <v>Sugianto</v>
      </c>
      <c r="H494" s="10" t="str">
        <f ca="1">IFERROR(__xludf.DUMMYFUNCTION("""COMPUTED_VALUE"""),"PPL")</f>
        <v>PPL</v>
      </c>
      <c r="I494" s="10" t="str">
        <f ca="1">IFERROR(__xludf.DUMMYFUNCTION("""COMPUTED_VALUE"""),"6102171003900002")</f>
        <v>6102171003900002</v>
      </c>
      <c r="J494" s="10" t="str">
        <f ca="1">IFERROR(__xludf.DUMMYFUNCTION("""COMPUTED_VALUE"""),"KSA JAGUNG")</f>
        <v>KSA JAGUNG</v>
      </c>
      <c r="K494" s="10" t="str">
        <f ca="1">IFERROR(__xludf.DUMMYFUNCTION("""COMPUTED_VALUE"""),"KSA24-LAPANGAN-AGUSTUS-PPL-KSA JAGUNG")</f>
        <v>KSA24-LAPANGAN-AGUSTUS-PPL-KSA JAGUNG</v>
      </c>
      <c r="L494" s="10" t="str">
        <f ca="1">IFERROR(__xludf.DUMMYFUNCTION("""COMPUTED_VALUE"""),"Segmen")</f>
        <v>Segmen</v>
      </c>
      <c r="M494" s="66">
        <f ca="1">IFERROR(__xludf.DUMMYFUNCTION("""COMPUTED_VALUE"""),59000)</f>
        <v>59000</v>
      </c>
      <c r="N494" s="10">
        <f ca="1">IFERROR(__xludf.DUMMYFUNCTION("""COMPUTED_VALUE"""),8)</f>
        <v>8</v>
      </c>
      <c r="O494" s="10">
        <f ca="1">IFERROR(__xludf.DUMMYFUNCTION("""COMPUTED_VALUE"""),472000)</f>
        <v>472000</v>
      </c>
      <c r="P494" s="10"/>
      <c r="Q494" s="67">
        <f ca="1">IFERROR(__xludf.DUMMYFUNCTION("""COMPUTED_VALUE"""),45535)</f>
        <v>45535</v>
      </c>
    </row>
    <row r="495" spans="1:17" ht="12.5">
      <c r="A495" s="82">
        <f t="array" aca="1" ref="A495" ca="1">INDEX('Database Mitra'!$R$2:$R1001,MATCH(C495,'Database Mitra'!$B$2:$B1001,0))</f>
        <v>29441</v>
      </c>
      <c r="B495" s="10" t="e">
        <f t="shared" ca="1" si="0"/>
        <v>#NAME?</v>
      </c>
      <c r="C495" s="83">
        <f ca="1">IFERROR(__xludf.DUMMYFUNCTION("""COMPUTED_VALUE"""),610422030001)</f>
        <v>610422030001</v>
      </c>
      <c r="D495" s="10" t="str">
        <f ca="1">IFERROR(__xludf.DUMMYFUNCTION("""COMPUTED_VALUE"""),"SAKERNAS24-LAPANGAN-SEMESTER2")</f>
        <v>SAKERNAS24-LAPANGAN-SEMESTER2</v>
      </c>
      <c r="E495" s="10"/>
      <c r="F495" s="10">
        <f ca="1">IFERROR(__xludf.DUMMYFUNCTION("""COMPUTED_VALUE"""),1)</f>
        <v>1</v>
      </c>
      <c r="G495" s="10" t="str">
        <f ca="1">IFERROR(__xludf.DUMMYFUNCTION("""COMPUTED_VALUE"""),"Pitra,Sp")</f>
        <v>Pitra,Sp</v>
      </c>
      <c r="H495" s="10" t="str">
        <f ca="1">IFERROR(__xludf.DUMMYFUNCTION("""COMPUTED_VALUE"""),"PPL")</f>
        <v>PPL</v>
      </c>
      <c r="I495" s="10" t="str">
        <f ca="1">IFERROR(__xludf.DUMMYFUNCTION("""COMPUTED_VALUE"""),"6102010808800006")</f>
        <v>6102010808800006</v>
      </c>
      <c r="J495" s="10" t="str">
        <f ca="1">IFERROR(__xludf.DUMMYFUNCTION("""COMPUTED_VALUE"""),"PENDATAAN")</f>
        <v>PENDATAAN</v>
      </c>
      <c r="K495" s="10" t="str">
        <f ca="1">IFERROR(__xludf.DUMMYFUNCTION("""COMPUTED_VALUE"""),"SAKERNAS24-LAPANGAN-SEMESTER2-PPL-PENDATAAN")</f>
        <v>SAKERNAS24-LAPANGAN-SEMESTER2-PPL-PENDATAAN</v>
      </c>
      <c r="L495" s="10" t="str">
        <f ca="1">IFERROR(__xludf.DUMMYFUNCTION("""COMPUTED_VALUE"""),"Dokumen")</f>
        <v>Dokumen</v>
      </c>
      <c r="M495" s="66">
        <f ca="1">IFERROR(__xludf.DUMMYFUNCTION("""COMPUTED_VALUE"""),66000)</f>
        <v>66000</v>
      </c>
      <c r="N495" s="10">
        <f ca="1">IFERROR(__xludf.DUMMYFUNCTION("""COMPUTED_VALUE"""),29)</f>
        <v>29</v>
      </c>
      <c r="O495" s="10">
        <f ca="1">IFERROR(__xludf.DUMMYFUNCTION("""COMPUTED_VALUE"""),1914000)</f>
        <v>1914000</v>
      </c>
      <c r="P495" s="10"/>
      <c r="Q495" s="67">
        <f ca="1">IFERROR(__xludf.DUMMYFUNCTION("""COMPUTED_VALUE"""),45535)</f>
        <v>45535</v>
      </c>
    </row>
    <row r="496" spans="1:17" ht="12.5">
      <c r="A496" s="82">
        <f t="array" aca="1" ref="A496" ca="1">INDEX('Database Mitra'!$R$2:$R1001,MATCH(C496,'Database Mitra'!$B$2:$B1001,0))</f>
        <v>31964</v>
      </c>
      <c r="B496" s="10" t="e">
        <f t="shared" ca="1" si="0"/>
        <v>#NAME?</v>
      </c>
      <c r="C496" s="83">
        <f ca="1">IFERROR(__xludf.DUMMYFUNCTION("""COMPUTED_VALUE"""),610422040029)</f>
        <v>610422040029</v>
      </c>
      <c r="D496" s="10" t="str">
        <f ca="1">IFERROR(__xludf.DUMMYFUNCTION("""COMPUTED_VALUE"""),"SAKERNAS24-LAPANGAN-SEMESTER2")</f>
        <v>SAKERNAS24-LAPANGAN-SEMESTER2</v>
      </c>
      <c r="E496" s="10"/>
      <c r="F496" s="10">
        <f ca="1">IFERROR(__xludf.DUMMYFUNCTION("""COMPUTED_VALUE"""),1)</f>
        <v>1</v>
      </c>
      <c r="G496" s="10" t="str">
        <f ca="1">IFERROR(__xludf.DUMMYFUNCTION("""COMPUTED_VALUE"""),"Zaini")</f>
        <v>Zaini</v>
      </c>
      <c r="H496" s="10" t="str">
        <f ca="1">IFERROR(__xludf.DUMMYFUNCTION("""COMPUTED_VALUE"""),"PPL")</f>
        <v>PPL</v>
      </c>
      <c r="I496" s="10" t="str">
        <f ca="1">IFERROR(__xludf.DUMMYFUNCTION("""COMPUTED_VALUE"""),"6102010607870002")</f>
        <v>6102010607870002</v>
      </c>
      <c r="J496" s="10" t="str">
        <f ca="1">IFERROR(__xludf.DUMMYFUNCTION("""COMPUTED_VALUE"""),"PENDATAAN")</f>
        <v>PENDATAAN</v>
      </c>
      <c r="K496" s="10" t="str">
        <f ca="1">IFERROR(__xludf.DUMMYFUNCTION("""COMPUTED_VALUE"""),"SAKERNAS24-LAPANGAN-SEMESTER2-PPL-PENDATAAN")</f>
        <v>SAKERNAS24-LAPANGAN-SEMESTER2-PPL-PENDATAAN</v>
      </c>
      <c r="L496" s="10" t="str">
        <f ca="1">IFERROR(__xludf.DUMMYFUNCTION("""COMPUTED_VALUE"""),"Dokumen")</f>
        <v>Dokumen</v>
      </c>
      <c r="M496" s="66">
        <f ca="1">IFERROR(__xludf.DUMMYFUNCTION("""COMPUTED_VALUE"""),66000)</f>
        <v>66000</v>
      </c>
      <c r="N496" s="10">
        <f ca="1">IFERROR(__xludf.DUMMYFUNCTION("""COMPUTED_VALUE"""),30)</f>
        <v>30</v>
      </c>
      <c r="O496" s="10">
        <f ca="1">IFERROR(__xludf.DUMMYFUNCTION("""COMPUTED_VALUE"""),1980000)</f>
        <v>1980000</v>
      </c>
      <c r="P496" s="10"/>
      <c r="Q496" s="67">
        <f ca="1">IFERROR(__xludf.DUMMYFUNCTION("""COMPUTED_VALUE"""),45535)</f>
        <v>45535</v>
      </c>
    </row>
    <row r="497" spans="1:17" ht="12.5">
      <c r="A497" s="82">
        <f t="array" aca="1" ref="A497" ca="1">INDEX('Database Mitra'!$R$2:$R1001,MATCH(C497,'Database Mitra'!$B$2:$B1001,0))</f>
        <v>34295</v>
      </c>
      <c r="B497" s="10" t="e">
        <f t="shared" ca="1" si="0"/>
        <v>#NAME?</v>
      </c>
      <c r="C497" s="83">
        <f ca="1">IFERROR(__xludf.DUMMYFUNCTION("""COMPUTED_VALUE"""),610422100086)</f>
        <v>610422100086</v>
      </c>
      <c r="D497" s="10" t="str">
        <f ca="1">IFERROR(__xludf.DUMMYFUNCTION("""COMPUTED_VALUE"""),"SAKERNAS24-LAPANGAN-SEMESTER2")</f>
        <v>SAKERNAS24-LAPANGAN-SEMESTER2</v>
      </c>
      <c r="E497" s="10"/>
      <c r="F497" s="10">
        <f ca="1">IFERROR(__xludf.DUMMYFUNCTION("""COMPUTED_VALUE"""),1)</f>
        <v>1</v>
      </c>
      <c r="G497" s="10" t="str">
        <f ca="1">IFERROR(__xludf.DUMMYFUNCTION("""COMPUTED_VALUE"""),"Imamul Akhyar")</f>
        <v>Imamul Akhyar</v>
      </c>
      <c r="H497" s="10" t="str">
        <f ca="1">IFERROR(__xludf.DUMMYFUNCTION("""COMPUTED_VALUE"""),"PPL")</f>
        <v>PPL</v>
      </c>
      <c r="I497" s="10" t="str">
        <f ca="1">IFERROR(__xludf.DUMMYFUNCTION("""COMPUTED_VALUE"""),"6102012211930002")</f>
        <v>6102012211930002</v>
      </c>
      <c r="J497" s="10" t="str">
        <f ca="1">IFERROR(__xludf.DUMMYFUNCTION("""COMPUTED_VALUE"""),"PENDATAAN")</f>
        <v>PENDATAAN</v>
      </c>
      <c r="K497" s="10" t="str">
        <f ca="1">IFERROR(__xludf.DUMMYFUNCTION("""COMPUTED_VALUE"""),"SAKERNAS24-LAPANGAN-SEMESTER2-PPL-PENDATAAN")</f>
        <v>SAKERNAS24-LAPANGAN-SEMESTER2-PPL-PENDATAAN</v>
      </c>
      <c r="L497" s="10" t="str">
        <f ca="1">IFERROR(__xludf.DUMMYFUNCTION("""COMPUTED_VALUE"""),"Dokumen")</f>
        <v>Dokumen</v>
      </c>
      <c r="M497" s="66">
        <f ca="1">IFERROR(__xludf.DUMMYFUNCTION("""COMPUTED_VALUE"""),66000)</f>
        <v>66000</v>
      </c>
      <c r="N497" s="10">
        <f ca="1">IFERROR(__xludf.DUMMYFUNCTION("""COMPUTED_VALUE"""),30)</f>
        <v>30</v>
      </c>
      <c r="O497" s="10">
        <f ca="1">IFERROR(__xludf.DUMMYFUNCTION("""COMPUTED_VALUE"""),1980000)</f>
        <v>1980000</v>
      </c>
      <c r="P497" s="10"/>
      <c r="Q497" s="67">
        <f ca="1">IFERROR(__xludf.DUMMYFUNCTION("""COMPUTED_VALUE"""),45535)</f>
        <v>45535</v>
      </c>
    </row>
    <row r="498" spans="1:17" ht="12.5">
      <c r="A498" s="82">
        <f t="array" aca="1" ref="A498" ca="1">INDEX('Database Mitra'!$R$2:$R1001,MATCH(C498,'Database Mitra'!$B$2:$B1001,0))</f>
        <v>35544</v>
      </c>
      <c r="B498" s="10" t="e">
        <f t="shared" ca="1" si="0"/>
        <v>#NAME?</v>
      </c>
      <c r="C498" s="83">
        <f ca="1">IFERROR(__xludf.DUMMYFUNCTION("""COMPUTED_VALUE"""),610422040035)</f>
        <v>610422040035</v>
      </c>
      <c r="D498" s="10" t="str">
        <f ca="1">IFERROR(__xludf.DUMMYFUNCTION("""COMPUTED_VALUE"""),"SAKERNAS24-LAPANGAN-SEMESTER2")</f>
        <v>SAKERNAS24-LAPANGAN-SEMESTER2</v>
      </c>
      <c r="E498" s="10"/>
      <c r="F498" s="10">
        <f ca="1">IFERROR(__xludf.DUMMYFUNCTION("""COMPUTED_VALUE"""),1)</f>
        <v>1</v>
      </c>
      <c r="G498" s="10" t="str">
        <f ca="1">IFERROR(__xludf.DUMMYFUNCTION("""COMPUTED_VALUE"""),"Rahmayani")</f>
        <v>Rahmayani</v>
      </c>
      <c r="H498" s="10" t="str">
        <f ca="1">IFERROR(__xludf.DUMMYFUNCTION("""COMPUTED_VALUE"""),"PPL")</f>
        <v>PPL</v>
      </c>
      <c r="I498" s="10" t="str">
        <f ca="1">IFERROR(__xludf.DUMMYFUNCTION("""COMPUTED_VALUE"""),"6102186404970003")</f>
        <v>6102186404970003</v>
      </c>
      <c r="J498" s="10" t="str">
        <f ca="1">IFERROR(__xludf.DUMMYFUNCTION("""COMPUTED_VALUE"""),"PENDATAAN")</f>
        <v>PENDATAAN</v>
      </c>
      <c r="K498" s="10" t="str">
        <f ca="1">IFERROR(__xludf.DUMMYFUNCTION("""COMPUTED_VALUE"""),"SAKERNAS24-LAPANGAN-SEMESTER2-PPL-PENDATAAN")</f>
        <v>SAKERNAS24-LAPANGAN-SEMESTER2-PPL-PENDATAAN</v>
      </c>
      <c r="L498" s="10" t="str">
        <f ca="1">IFERROR(__xludf.DUMMYFUNCTION("""COMPUTED_VALUE"""),"Dokumen")</f>
        <v>Dokumen</v>
      </c>
      <c r="M498" s="66">
        <f ca="1">IFERROR(__xludf.DUMMYFUNCTION("""COMPUTED_VALUE"""),66000)</f>
        <v>66000</v>
      </c>
      <c r="N498" s="10">
        <f ca="1">IFERROR(__xludf.DUMMYFUNCTION("""COMPUTED_VALUE"""),30)</f>
        <v>30</v>
      </c>
      <c r="O498" s="10">
        <f ca="1">IFERROR(__xludf.DUMMYFUNCTION("""COMPUTED_VALUE"""),1980000)</f>
        <v>1980000</v>
      </c>
      <c r="P498" s="10"/>
      <c r="Q498" s="67">
        <f ca="1">IFERROR(__xludf.DUMMYFUNCTION("""COMPUTED_VALUE"""),45535)</f>
        <v>45535</v>
      </c>
    </row>
    <row r="499" spans="1:17" ht="12.5">
      <c r="A499" s="82">
        <f t="array" aca="1" ref="A499" ca="1">INDEX('Database Mitra'!$R$2:$R1001,MATCH(C499,'Database Mitra'!$B$2:$B1001,0))</f>
        <v>35978</v>
      </c>
      <c r="B499" s="10" t="e">
        <f t="shared" ca="1" si="0"/>
        <v>#NAME?</v>
      </c>
      <c r="C499" s="83">
        <f ca="1">IFERROR(__xludf.DUMMYFUNCTION("""COMPUTED_VALUE"""),610422100055)</f>
        <v>610422100055</v>
      </c>
      <c r="D499" s="10" t="str">
        <f ca="1">IFERROR(__xludf.DUMMYFUNCTION("""COMPUTED_VALUE"""),"SAKERNAS24-LAPANGAN-SEMESTER2")</f>
        <v>SAKERNAS24-LAPANGAN-SEMESTER2</v>
      </c>
      <c r="E499" s="10"/>
      <c r="F499" s="10">
        <f ca="1">IFERROR(__xludf.DUMMYFUNCTION("""COMPUTED_VALUE"""),1)</f>
        <v>1</v>
      </c>
      <c r="G499" s="10" t="str">
        <f ca="1">IFERROR(__xludf.DUMMYFUNCTION("""COMPUTED_VALUE"""),"Vika Rizkiani")</f>
        <v>Vika Rizkiani</v>
      </c>
      <c r="H499" s="10" t="str">
        <f ca="1">IFERROR(__xludf.DUMMYFUNCTION("""COMPUTED_VALUE"""),"PPL")</f>
        <v>PPL</v>
      </c>
      <c r="I499" s="10" t="str">
        <f ca="1">IFERROR(__xludf.DUMMYFUNCTION("""COMPUTED_VALUE"""),"6102084207980006")</f>
        <v>6102084207980006</v>
      </c>
      <c r="J499" s="10" t="str">
        <f ca="1">IFERROR(__xludf.DUMMYFUNCTION("""COMPUTED_VALUE"""),"PENDATAAN")</f>
        <v>PENDATAAN</v>
      </c>
      <c r="K499" s="10" t="str">
        <f ca="1">IFERROR(__xludf.DUMMYFUNCTION("""COMPUTED_VALUE"""),"SAKERNAS24-LAPANGAN-SEMESTER2-PPL-PENDATAAN")</f>
        <v>SAKERNAS24-LAPANGAN-SEMESTER2-PPL-PENDATAAN</v>
      </c>
      <c r="L499" s="10" t="str">
        <f ca="1">IFERROR(__xludf.DUMMYFUNCTION("""COMPUTED_VALUE"""),"Dokumen")</f>
        <v>Dokumen</v>
      </c>
      <c r="M499" s="66">
        <f ca="1">IFERROR(__xludf.DUMMYFUNCTION("""COMPUTED_VALUE"""),66000)</f>
        <v>66000</v>
      </c>
      <c r="N499" s="10">
        <f ca="1">IFERROR(__xludf.DUMMYFUNCTION("""COMPUTED_VALUE"""),30)</f>
        <v>30</v>
      </c>
      <c r="O499" s="10">
        <f ca="1">IFERROR(__xludf.DUMMYFUNCTION("""COMPUTED_VALUE"""),1980000)</f>
        <v>1980000</v>
      </c>
      <c r="P499" s="10"/>
      <c r="Q499" s="67">
        <f ca="1">IFERROR(__xludf.DUMMYFUNCTION("""COMPUTED_VALUE"""),45535)</f>
        <v>45535</v>
      </c>
    </row>
    <row r="500" spans="1:17" ht="12.5">
      <c r="A500" s="82">
        <f t="array" aca="1" ref="A500" ca="1">INDEX('Database Mitra'!$R$2:$R1001,MATCH(C500,'Database Mitra'!$B$2:$B1001,0))</f>
        <v>28920</v>
      </c>
      <c r="B500" s="10" t="e">
        <f t="shared" ca="1" si="0"/>
        <v>#NAME?</v>
      </c>
      <c r="C500" s="83">
        <f ca="1">IFERROR(__xludf.DUMMYFUNCTION("""COMPUTED_VALUE"""),610422040052)</f>
        <v>610422040052</v>
      </c>
      <c r="D500" s="10" t="str">
        <f ca="1">IFERROR(__xludf.DUMMYFUNCTION("""COMPUTED_VALUE"""),"SAKERNAS24-LAPANGAN-SEMESTER2")</f>
        <v>SAKERNAS24-LAPANGAN-SEMESTER2</v>
      </c>
      <c r="E500" s="10"/>
      <c r="F500" s="10">
        <f ca="1">IFERROR(__xludf.DUMMYFUNCTION("""COMPUTED_VALUE"""),1)</f>
        <v>1</v>
      </c>
      <c r="G500" s="10" t="str">
        <f ca="1">IFERROR(__xludf.DUMMYFUNCTION("""COMPUTED_VALUE"""),"Yusimianto")</f>
        <v>Yusimianto</v>
      </c>
      <c r="H500" s="10" t="str">
        <f ca="1">IFERROR(__xludf.DUMMYFUNCTION("""COMPUTED_VALUE"""),"PPL")</f>
        <v>PPL</v>
      </c>
      <c r="I500" s="10" t="str">
        <f ca="1">IFERROR(__xludf.DUMMYFUNCTION("""COMPUTED_VALUE"""),"6102160603790001")</f>
        <v>6102160603790001</v>
      </c>
      <c r="J500" s="10" t="str">
        <f ca="1">IFERROR(__xludf.DUMMYFUNCTION("""COMPUTED_VALUE"""),"PENDATAAN")</f>
        <v>PENDATAAN</v>
      </c>
      <c r="K500" s="10" t="str">
        <f ca="1">IFERROR(__xludf.DUMMYFUNCTION("""COMPUTED_VALUE"""),"SAKERNAS24-LAPANGAN-SEMESTER2-PPL-PENDATAAN")</f>
        <v>SAKERNAS24-LAPANGAN-SEMESTER2-PPL-PENDATAAN</v>
      </c>
      <c r="L500" s="10" t="str">
        <f ca="1">IFERROR(__xludf.DUMMYFUNCTION("""COMPUTED_VALUE"""),"Dokumen")</f>
        <v>Dokumen</v>
      </c>
      <c r="M500" s="66">
        <f ca="1">IFERROR(__xludf.DUMMYFUNCTION("""COMPUTED_VALUE"""),66000)</f>
        <v>66000</v>
      </c>
      <c r="N500" s="10">
        <f ca="1">IFERROR(__xludf.DUMMYFUNCTION("""COMPUTED_VALUE"""),20)</f>
        <v>20</v>
      </c>
      <c r="O500" s="10">
        <f ca="1">IFERROR(__xludf.DUMMYFUNCTION("""COMPUTED_VALUE"""),1320000)</f>
        <v>1320000</v>
      </c>
      <c r="P500" s="10"/>
      <c r="Q500" s="67">
        <f ca="1">IFERROR(__xludf.DUMMYFUNCTION("""COMPUTED_VALUE"""),45535)</f>
        <v>45535</v>
      </c>
    </row>
    <row r="501" spans="1:17" ht="12.5">
      <c r="A501" s="82">
        <f t="array" aca="1" ref="A501" ca="1">INDEX('Database Mitra'!$R$2:$R1001,MATCH(C501,'Database Mitra'!$B$2:$B1001,0))</f>
        <v>38055</v>
      </c>
      <c r="B501" s="10" t="e">
        <f t="shared" ca="1" si="0"/>
        <v>#NAME?</v>
      </c>
      <c r="C501" s="83">
        <f ca="1">IFERROR(__xludf.DUMMYFUNCTION("""COMPUTED_VALUE"""),610422100099)</f>
        <v>610422100099</v>
      </c>
      <c r="D501" s="10" t="str">
        <f ca="1">IFERROR(__xludf.DUMMYFUNCTION("""COMPUTED_VALUE"""),"SAKERNAS24-LAPANGAN-SEMESTER2")</f>
        <v>SAKERNAS24-LAPANGAN-SEMESTER2</v>
      </c>
      <c r="E501" s="10"/>
      <c r="F501" s="10">
        <f ca="1">IFERROR(__xludf.DUMMYFUNCTION("""COMPUTED_VALUE"""),1)</f>
        <v>1</v>
      </c>
      <c r="G501" s="10" t="str">
        <f ca="1">IFERROR(__xludf.DUMMYFUNCTION("""COMPUTED_VALUE"""),"Difa Faradifa")</f>
        <v>Difa Faradifa</v>
      </c>
      <c r="H501" s="10" t="str">
        <f ca="1">IFERROR(__xludf.DUMMYFUNCTION("""COMPUTED_VALUE"""),"PPL")</f>
        <v>PPL</v>
      </c>
      <c r="I501" s="10" t="str">
        <f ca="1">IFERROR(__xludf.DUMMYFUNCTION("""COMPUTED_VALUE"""),"6102084903040001")</f>
        <v>6102084903040001</v>
      </c>
      <c r="J501" s="10" t="str">
        <f ca="1">IFERROR(__xludf.DUMMYFUNCTION("""COMPUTED_VALUE"""),"PENDATAAN")</f>
        <v>PENDATAAN</v>
      </c>
      <c r="K501" s="10" t="str">
        <f ca="1">IFERROR(__xludf.DUMMYFUNCTION("""COMPUTED_VALUE"""),"SAKERNAS24-LAPANGAN-SEMESTER2-PPL-PENDATAAN")</f>
        <v>SAKERNAS24-LAPANGAN-SEMESTER2-PPL-PENDATAAN</v>
      </c>
      <c r="L501" s="10" t="str">
        <f ca="1">IFERROR(__xludf.DUMMYFUNCTION("""COMPUTED_VALUE"""),"Dokumen")</f>
        <v>Dokumen</v>
      </c>
      <c r="M501" s="66">
        <f ca="1">IFERROR(__xludf.DUMMYFUNCTION("""COMPUTED_VALUE"""),66000)</f>
        <v>66000</v>
      </c>
      <c r="N501" s="10">
        <f ca="1">IFERROR(__xludf.DUMMYFUNCTION("""COMPUTED_VALUE"""),31)</f>
        <v>31</v>
      </c>
      <c r="O501" s="10">
        <f ca="1">IFERROR(__xludf.DUMMYFUNCTION("""COMPUTED_VALUE"""),2046000)</f>
        <v>2046000</v>
      </c>
      <c r="P501" s="10"/>
      <c r="Q501" s="67">
        <f ca="1">IFERROR(__xludf.DUMMYFUNCTION("""COMPUTED_VALUE"""),45535)</f>
        <v>45535</v>
      </c>
    </row>
    <row r="502" spans="1:17" ht="12.5">
      <c r="A502" s="82">
        <f t="array" aca="1" ref="A502" ca="1">INDEX('Database Mitra'!$R$2:$R1001,MATCH(C502,'Database Mitra'!$B$2:$B1001,0))</f>
        <v>34232</v>
      </c>
      <c r="B502" s="10" t="e">
        <f t="shared" ca="1" si="0"/>
        <v>#NAME?</v>
      </c>
      <c r="C502" s="83">
        <f ca="1">IFERROR(__xludf.DUMMYFUNCTION("""COMPUTED_VALUE"""),610422020045)</f>
        <v>610422020045</v>
      </c>
      <c r="D502" s="10" t="str">
        <f ca="1">IFERROR(__xludf.DUMMYFUNCTION("""COMPUTED_VALUE"""),"SAKERNAS24-LAPANGAN-SEMESTER2")</f>
        <v>SAKERNAS24-LAPANGAN-SEMESTER2</v>
      </c>
      <c r="E502" s="10"/>
      <c r="F502" s="10">
        <f ca="1">IFERROR(__xludf.DUMMYFUNCTION("""COMPUTED_VALUE"""),1)</f>
        <v>1</v>
      </c>
      <c r="G502" s="10" t="str">
        <f ca="1">IFERROR(__xludf.DUMMYFUNCTION("""COMPUTED_VALUE"""),"Herdinatara Febria")</f>
        <v>Herdinatara Febria</v>
      </c>
      <c r="H502" s="10" t="str">
        <f ca="1">IFERROR(__xludf.DUMMYFUNCTION("""COMPUTED_VALUE"""),"PPL")</f>
        <v>PPL</v>
      </c>
      <c r="I502" s="10" t="str">
        <f ca="1">IFERROR(__xludf.DUMMYFUNCTION("""COMPUTED_VALUE"""),"6107086009930002")</f>
        <v>6107086009930002</v>
      </c>
      <c r="J502" s="10" t="str">
        <f ca="1">IFERROR(__xludf.DUMMYFUNCTION("""COMPUTED_VALUE"""),"PENDATAAN")</f>
        <v>PENDATAAN</v>
      </c>
      <c r="K502" s="10" t="str">
        <f ca="1">IFERROR(__xludf.DUMMYFUNCTION("""COMPUTED_VALUE"""),"SAKERNAS24-LAPANGAN-SEMESTER2-PPL-PENDATAAN")</f>
        <v>SAKERNAS24-LAPANGAN-SEMESTER2-PPL-PENDATAAN</v>
      </c>
      <c r="L502" s="10" t="str">
        <f ca="1">IFERROR(__xludf.DUMMYFUNCTION("""COMPUTED_VALUE"""),"Dokumen")</f>
        <v>Dokumen</v>
      </c>
      <c r="M502" s="66">
        <f ca="1">IFERROR(__xludf.DUMMYFUNCTION("""COMPUTED_VALUE"""),66000)</f>
        <v>66000</v>
      </c>
      <c r="N502" s="10">
        <f ca="1">IFERROR(__xludf.DUMMYFUNCTION("""COMPUTED_VALUE"""),29)</f>
        <v>29</v>
      </c>
      <c r="O502" s="10">
        <f ca="1">IFERROR(__xludf.DUMMYFUNCTION("""COMPUTED_VALUE"""),1914000)</f>
        <v>1914000</v>
      </c>
      <c r="P502" s="10"/>
      <c r="Q502" s="67">
        <f ca="1">IFERROR(__xludf.DUMMYFUNCTION("""COMPUTED_VALUE"""),45535)</f>
        <v>45535</v>
      </c>
    </row>
    <row r="503" spans="1:17" ht="12.5">
      <c r="A503" s="11">
        <f t="array" aca="1" ref="A503" ca="1">INDEX('Database Mitra'!$R$2:$R1001,MATCH(C503,'Database Mitra'!$B$2:$B1001,0))</f>
        <v>34895</v>
      </c>
      <c r="B503" s="10" t="e">
        <f t="shared" ca="1" si="0"/>
        <v>#NAME?</v>
      </c>
      <c r="C503" s="83">
        <f ca="1">IFERROR(__xludf.DUMMYFUNCTION("""COMPUTED_VALUE"""),610422020016)</f>
        <v>610422020016</v>
      </c>
      <c r="D503" s="10" t="str">
        <f ca="1">IFERROR(__xludf.DUMMYFUNCTION("""COMPUTED_VALUE"""),"SAKERNAS24-LAPANGAN-SEMESTER2")</f>
        <v>SAKERNAS24-LAPANGAN-SEMESTER2</v>
      </c>
      <c r="E503" s="10"/>
      <c r="F503" s="10">
        <f ca="1">IFERROR(__xludf.DUMMYFUNCTION("""COMPUTED_VALUE"""),1)</f>
        <v>1</v>
      </c>
      <c r="G503" s="10" t="str">
        <f ca="1">IFERROR(__xludf.DUMMYFUNCTION("""COMPUTED_VALUE"""),"Abdul Aziz")</f>
        <v>Abdul Aziz</v>
      </c>
      <c r="H503" s="10" t="str">
        <f ca="1">IFERROR(__xludf.DUMMYFUNCTION("""COMPUTED_VALUE"""),"PPL")</f>
        <v>PPL</v>
      </c>
      <c r="I503" s="10" t="str">
        <f ca="1">IFERROR(__xludf.DUMMYFUNCTION("""COMPUTED_VALUE"""),"6102061507950006")</f>
        <v>6102061507950006</v>
      </c>
      <c r="J503" s="10" t="str">
        <f ca="1">IFERROR(__xludf.DUMMYFUNCTION("""COMPUTED_VALUE"""),"PENDATAAN")</f>
        <v>PENDATAAN</v>
      </c>
      <c r="K503" s="10" t="str">
        <f ca="1">IFERROR(__xludf.DUMMYFUNCTION("""COMPUTED_VALUE"""),"SAKERNAS24-LAPANGAN-SEMESTER2-PPL-PENDATAAN")</f>
        <v>SAKERNAS24-LAPANGAN-SEMESTER2-PPL-PENDATAAN</v>
      </c>
      <c r="L503" s="10" t="str">
        <f ca="1">IFERROR(__xludf.DUMMYFUNCTION("""COMPUTED_VALUE"""),"Dokumen")</f>
        <v>Dokumen</v>
      </c>
      <c r="M503" s="66">
        <f ca="1">IFERROR(__xludf.DUMMYFUNCTION("""COMPUTED_VALUE"""),66000)</f>
        <v>66000</v>
      </c>
      <c r="N503" s="10">
        <f ca="1">IFERROR(__xludf.DUMMYFUNCTION("""COMPUTED_VALUE"""),22)</f>
        <v>22</v>
      </c>
      <c r="O503" s="10">
        <f ca="1">IFERROR(__xludf.DUMMYFUNCTION("""COMPUTED_VALUE"""),1452000)</f>
        <v>1452000</v>
      </c>
      <c r="P503" s="10"/>
      <c r="Q503" s="67">
        <f ca="1">IFERROR(__xludf.DUMMYFUNCTION("""COMPUTED_VALUE"""),45535)</f>
        <v>45535</v>
      </c>
    </row>
    <row r="504" spans="1:17" ht="12.5">
      <c r="A504" s="82">
        <f t="array" aca="1" ref="A504" ca="1">INDEX('Database Mitra'!$R$2:$R1001,MATCH(C504,'Database Mitra'!$B$2:$B1001,0))</f>
        <v>32942</v>
      </c>
      <c r="B504" s="10" t="e">
        <f t="shared" ca="1" si="0"/>
        <v>#NAME?</v>
      </c>
      <c r="C504" s="83">
        <f ca="1">IFERROR(__xludf.DUMMYFUNCTION("""COMPUTED_VALUE"""),610422100244)</f>
        <v>610422100244</v>
      </c>
      <c r="D504" s="10" t="str">
        <f ca="1">IFERROR(__xludf.DUMMYFUNCTION("""COMPUTED_VALUE"""),"SAKERNAS24-LAPANGAN-SEMESTER2")</f>
        <v>SAKERNAS24-LAPANGAN-SEMESTER2</v>
      </c>
      <c r="E504" s="10"/>
      <c r="F504" s="10">
        <f ca="1">IFERROR(__xludf.DUMMYFUNCTION("""COMPUTED_VALUE"""),1)</f>
        <v>1</v>
      </c>
      <c r="G504" s="10" t="str">
        <f ca="1">IFERROR(__xludf.DUMMYFUNCTION("""COMPUTED_VALUE"""),"Sugianto")</f>
        <v>Sugianto</v>
      </c>
      <c r="H504" s="10" t="str">
        <f ca="1">IFERROR(__xludf.DUMMYFUNCTION("""COMPUTED_VALUE"""),"PPL")</f>
        <v>PPL</v>
      </c>
      <c r="I504" s="10" t="str">
        <f ca="1">IFERROR(__xludf.DUMMYFUNCTION("""COMPUTED_VALUE"""),"6102171003900002")</f>
        <v>6102171003900002</v>
      </c>
      <c r="J504" s="10" t="str">
        <f ca="1">IFERROR(__xludf.DUMMYFUNCTION("""COMPUTED_VALUE"""),"PENDATAAN")</f>
        <v>PENDATAAN</v>
      </c>
      <c r="K504" s="10" t="str">
        <f ca="1">IFERROR(__xludf.DUMMYFUNCTION("""COMPUTED_VALUE"""),"SAKERNAS24-LAPANGAN-SEMESTER2-PPL-PENDATAAN")</f>
        <v>SAKERNAS24-LAPANGAN-SEMESTER2-PPL-PENDATAAN</v>
      </c>
      <c r="L504" s="10" t="str">
        <f ca="1">IFERROR(__xludf.DUMMYFUNCTION("""COMPUTED_VALUE"""),"Dokumen")</f>
        <v>Dokumen</v>
      </c>
      <c r="M504" s="66">
        <f ca="1">IFERROR(__xludf.DUMMYFUNCTION("""COMPUTED_VALUE"""),66000)</f>
        <v>66000</v>
      </c>
      <c r="N504" s="10">
        <f ca="1">IFERROR(__xludf.DUMMYFUNCTION("""COMPUTED_VALUE"""),20)</f>
        <v>20</v>
      </c>
      <c r="O504" s="10">
        <f ca="1">IFERROR(__xludf.DUMMYFUNCTION("""COMPUTED_VALUE"""),1320000)</f>
        <v>1320000</v>
      </c>
      <c r="P504" s="10"/>
      <c r="Q504" s="67">
        <f ca="1">IFERROR(__xludf.DUMMYFUNCTION("""COMPUTED_VALUE"""),45535)</f>
        <v>45535</v>
      </c>
    </row>
    <row r="505" spans="1:17" ht="12.5">
      <c r="A505" s="11">
        <f t="array" aca="1" ref="A505" ca="1">INDEX('Database Mitra'!$R$2:$R1001,MATCH(C505,'Database Mitra'!$B$2:$B1001,0))</f>
        <v>33318</v>
      </c>
      <c r="B505" s="10" t="e">
        <f t="shared" ca="1" si="0"/>
        <v>#NAME?</v>
      </c>
      <c r="C505" s="83">
        <f ca="1">IFERROR(__xludf.DUMMYFUNCTION("""COMPUTED_VALUE"""),610423040014)</f>
        <v>610423040014</v>
      </c>
      <c r="D505" s="10" t="str">
        <f ca="1">IFERROR(__xludf.DUMMYFUNCTION("""COMPUTED_VALUE"""),"SAKERNAS24-LAPANGAN-SEMESTER2")</f>
        <v>SAKERNAS24-LAPANGAN-SEMESTER2</v>
      </c>
      <c r="E505" s="10"/>
      <c r="F505" s="10">
        <f ca="1">IFERROR(__xludf.DUMMYFUNCTION("""COMPUTED_VALUE"""),1)</f>
        <v>1</v>
      </c>
      <c r="G505" s="10" t="str">
        <f ca="1">IFERROR(__xludf.DUMMYFUNCTION("""COMPUTED_VALUE"""),"Fransiska Romana")</f>
        <v>Fransiska Romana</v>
      </c>
      <c r="H505" s="10" t="str">
        <f ca="1">IFERROR(__xludf.DUMMYFUNCTION("""COMPUTED_VALUE"""),"PPL")</f>
        <v>PPL</v>
      </c>
      <c r="I505" s="10" t="str">
        <f ca="1">IFERROR(__xludf.DUMMYFUNCTION("""COMPUTED_VALUE"""),"6107036103910001")</f>
        <v>6107036103910001</v>
      </c>
      <c r="J505" s="10" t="str">
        <f ca="1">IFERROR(__xludf.DUMMYFUNCTION("""COMPUTED_VALUE"""),"PENDATAAN")</f>
        <v>PENDATAAN</v>
      </c>
      <c r="K505" s="10" t="str">
        <f ca="1">IFERROR(__xludf.DUMMYFUNCTION("""COMPUTED_VALUE"""),"SAKERNAS24-LAPANGAN-SEMESTER2-PPL-PENDATAAN")</f>
        <v>SAKERNAS24-LAPANGAN-SEMESTER2-PPL-PENDATAAN</v>
      </c>
      <c r="L505" s="10" t="str">
        <f ca="1">IFERROR(__xludf.DUMMYFUNCTION("""COMPUTED_VALUE"""),"Dokumen")</f>
        <v>Dokumen</v>
      </c>
      <c r="M505" s="66">
        <f ca="1">IFERROR(__xludf.DUMMYFUNCTION("""COMPUTED_VALUE"""),66000)</f>
        <v>66000</v>
      </c>
      <c r="N505" s="10">
        <f ca="1">IFERROR(__xludf.DUMMYFUNCTION("""COMPUTED_VALUE"""),21)</f>
        <v>21</v>
      </c>
      <c r="O505" s="10">
        <f ca="1">IFERROR(__xludf.DUMMYFUNCTION("""COMPUTED_VALUE"""),1386000)</f>
        <v>1386000</v>
      </c>
      <c r="P505" s="10"/>
      <c r="Q505" s="67">
        <f ca="1">IFERROR(__xludf.DUMMYFUNCTION("""COMPUTED_VALUE"""),45535)</f>
        <v>45535</v>
      </c>
    </row>
    <row r="506" spans="1:17" ht="12.5">
      <c r="A506" s="82">
        <f t="array" aca="1" ref="A506" ca="1">INDEX('Database Mitra'!$R$2:$R1001,MATCH(C506,'Database Mitra'!$B$2:$B1001,0))</f>
        <v>29297</v>
      </c>
      <c r="B506" s="10" t="e">
        <f t="shared" ca="1" si="0"/>
        <v>#NAME?</v>
      </c>
      <c r="C506" s="83">
        <f ca="1">IFERROR(__xludf.DUMMYFUNCTION("""COMPUTED_VALUE"""),610422020040)</f>
        <v>610422020040</v>
      </c>
      <c r="D506" s="10" t="str">
        <f ca="1">IFERROR(__xludf.DUMMYFUNCTION("""COMPUTED_VALUE"""),"SAKERNAS24-LAPANGAN-SEMESTER2")</f>
        <v>SAKERNAS24-LAPANGAN-SEMESTER2</v>
      </c>
      <c r="E506" s="10"/>
      <c r="F506" s="10">
        <f ca="1">IFERROR(__xludf.DUMMYFUNCTION("""COMPUTED_VALUE"""),1)</f>
        <v>1</v>
      </c>
      <c r="G506" s="10" t="str">
        <f ca="1">IFERROR(__xludf.DUMMYFUNCTION("""COMPUTED_VALUE"""),"Shofyansyah")</f>
        <v>Shofyansyah</v>
      </c>
      <c r="H506" s="10" t="str">
        <f ca="1">IFERROR(__xludf.DUMMYFUNCTION("""COMPUTED_VALUE"""),"PPL")</f>
        <v>PPL</v>
      </c>
      <c r="I506" s="10" t="str">
        <f ca="1">IFERROR(__xludf.DUMMYFUNCTION("""COMPUTED_VALUE"""),"6102161703760001")</f>
        <v>6102161703760001</v>
      </c>
      <c r="J506" s="10" t="str">
        <f ca="1">IFERROR(__xludf.DUMMYFUNCTION("""COMPUTED_VALUE"""),"PENDATAAN")</f>
        <v>PENDATAAN</v>
      </c>
      <c r="K506" s="10" t="str">
        <f ca="1">IFERROR(__xludf.DUMMYFUNCTION("""COMPUTED_VALUE"""),"SAKERNAS24-LAPANGAN-SEMESTER2-PPL-PENDATAAN")</f>
        <v>SAKERNAS24-LAPANGAN-SEMESTER2-PPL-PENDATAAN</v>
      </c>
      <c r="L506" s="10" t="str">
        <f ca="1">IFERROR(__xludf.DUMMYFUNCTION("""COMPUTED_VALUE"""),"Dokumen")</f>
        <v>Dokumen</v>
      </c>
      <c r="M506" s="66">
        <f ca="1">IFERROR(__xludf.DUMMYFUNCTION("""COMPUTED_VALUE"""),66000)</f>
        <v>66000</v>
      </c>
      <c r="N506" s="10">
        <f ca="1">IFERROR(__xludf.DUMMYFUNCTION("""COMPUTED_VALUE"""),31)</f>
        <v>31</v>
      </c>
      <c r="O506" s="10">
        <f ca="1">IFERROR(__xludf.DUMMYFUNCTION("""COMPUTED_VALUE"""),2046000)</f>
        <v>2046000</v>
      </c>
      <c r="P506" s="10"/>
      <c r="Q506" s="67">
        <f ca="1">IFERROR(__xludf.DUMMYFUNCTION("""COMPUTED_VALUE"""),45535)</f>
        <v>45535</v>
      </c>
    </row>
    <row r="507" spans="1:17" ht="12.5">
      <c r="A507" s="82">
        <f t="array" aca="1" ref="A507" ca="1">INDEX('Database Mitra'!$R$2:$R1001,MATCH(C507,'Database Mitra'!$B$2:$B1001,0))</f>
        <v>27798</v>
      </c>
      <c r="B507" s="10" t="e">
        <f t="shared" ca="1" si="0"/>
        <v>#NAME?</v>
      </c>
      <c r="C507" s="83">
        <f ca="1">IFERROR(__xludf.DUMMYFUNCTION("""COMPUTED_VALUE"""),610422040056)</f>
        <v>610422040056</v>
      </c>
      <c r="D507" s="10" t="str">
        <f ca="1">IFERROR(__xludf.DUMMYFUNCTION("""COMPUTED_VALUE"""),"SAKERNAS24-LAPANGAN-SEMESTER2")</f>
        <v>SAKERNAS24-LAPANGAN-SEMESTER2</v>
      </c>
      <c r="E507" s="10"/>
      <c r="F507" s="10">
        <f ca="1">IFERROR(__xludf.DUMMYFUNCTION("""COMPUTED_VALUE"""),1)</f>
        <v>1</v>
      </c>
      <c r="G507" s="10" t="str">
        <f ca="1">IFERROR(__xludf.DUMMYFUNCTION("""COMPUTED_VALUE"""),"Wandi Syafari")</f>
        <v>Wandi Syafari</v>
      </c>
      <c r="H507" s="10" t="str">
        <f ca="1">IFERROR(__xludf.DUMMYFUNCTION("""COMPUTED_VALUE"""),"PPL")</f>
        <v>PPL</v>
      </c>
      <c r="I507" s="10" t="str">
        <f ca="1">IFERROR(__xludf.DUMMYFUNCTION("""COMPUTED_VALUE"""),"6102010802760001")</f>
        <v>6102010802760001</v>
      </c>
      <c r="J507" s="10" t="str">
        <f ca="1">IFERROR(__xludf.DUMMYFUNCTION("""COMPUTED_VALUE"""),"PENDATAAN")</f>
        <v>PENDATAAN</v>
      </c>
      <c r="K507" s="10" t="str">
        <f ca="1">IFERROR(__xludf.DUMMYFUNCTION("""COMPUTED_VALUE"""),"SAKERNAS24-LAPANGAN-SEMESTER2-PPL-PENDATAAN")</f>
        <v>SAKERNAS24-LAPANGAN-SEMESTER2-PPL-PENDATAAN</v>
      </c>
      <c r="L507" s="10" t="str">
        <f ca="1">IFERROR(__xludf.DUMMYFUNCTION("""COMPUTED_VALUE"""),"Dokumen")</f>
        <v>Dokumen</v>
      </c>
      <c r="M507" s="66">
        <f ca="1">IFERROR(__xludf.DUMMYFUNCTION("""COMPUTED_VALUE"""),66000)</f>
        <v>66000</v>
      </c>
      <c r="N507" s="10">
        <f ca="1">IFERROR(__xludf.DUMMYFUNCTION("""COMPUTED_VALUE"""),30)</f>
        <v>30</v>
      </c>
      <c r="O507" s="10">
        <f ca="1">IFERROR(__xludf.DUMMYFUNCTION("""COMPUTED_VALUE"""),1980000)</f>
        <v>1980000</v>
      </c>
      <c r="P507" s="10"/>
      <c r="Q507" s="67">
        <f ca="1">IFERROR(__xludf.DUMMYFUNCTION("""COMPUTED_VALUE"""),45535)</f>
        <v>45535</v>
      </c>
    </row>
    <row r="508" spans="1:17" ht="12.5">
      <c r="A508" s="82">
        <f t="array" aca="1" ref="A508" ca="1">INDEX('Database Mitra'!$R$2:$R1001,MATCH(C508,'Database Mitra'!$B$2:$B1001,0))</f>
        <v>34541</v>
      </c>
      <c r="B508" s="10" t="e">
        <f t="shared" ca="1" si="0"/>
        <v>#NAME?</v>
      </c>
      <c r="C508" s="83">
        <f ca="1">IFERROR(__xludf.DUMMYFUNCTION("""COMPUTED_VALUE"""),610422040058)</f>
        <v>610422040058</v>
      </c>
      <c r="D508" s="10" t="str">
        <f ca="1">IFERROR(__xludf.DUMMYFUNCTION("""COMPUTED_VALUE"""),"SAKERNAS24-LAPANGAN-SEMESTER2")</f>
        <v>SAKERNAS24-LAPANGAN-SEMESTER2</v>
      </c>
      <c r="E508" s="10"/>
      <c r="F508" s="10">
        <f ca="1">IFERROR(__xludf.DUMMYFUNCTION("""COMPUTED_VALUE"""),1)</f>
        <v>1</v>
      </c>
      <c r="G508" s="10" t="str">
        <f ca="1">IFERROR(__xludf.DUMMYFUNCTION("""COMPUTED_VALUE"""),"Jamaluddin, Sp")</f>
        <v>Jamaluddin, Sp</v>
      </c>
      <c r="H508" s="10" t="str">
        <f ca="1">IFERROR(__xludf.DUMMYFUNCTION("""COMPUTED_VALUE"""),"PPL")</f>
        <v>PPL</v>
      </c>
      <c r="I508" s="10" t="str">
        <f ca="1">IFERROR(__xludf.DUMMYFUNCTION("""COMPUTED_VALUE"""),"6102152607940002")</f>
        <v>6102152607940002</v>
      </c>
      <c r="J508" s="10" t="str">
        <f ca="1">IFERROR(__xludf.DUMMYFUNCTION("""COMPUTED_VALUE"""),"PENDATAAN")</f>
        <v>PENDATAAN</v>
      </c>
      <c r="K508" s="10" t="str">
        <f ca="1">IFERROR(__xludf.DUMMYFUNCTION("""COMPUTED_VALUE"""),"SAKERNAS24-LAPANGAN-SEMESTER2-PPL-PENDATAAN")</f>
        <v>SAKERNAS24-LAPANGAN-SEMESTER2-PPL-PENDATAAN</v>
      </c>
      <c r="L508" s="10" t="str">
        <f ca="1">IFERROR(__xludf.DUMMYFUNCTION("""COMPUTED_VALUE"""),"Dokumen")</f>
        <v>Dokumen</v>
      </c>
      <c r="M508" s="66">
        <f ca="1">IFERROR(__xludf.DUMMYFUNCTION("""COMPUTED_VALUE"""),66000)</f>
        <v>66000</v>
      </c>
      <c r="N508" s="10">
        <f ca="1">IFERROR(__xludf.DUMMYFUNCTION("""COMPUTED_VALUE"""),30)</f>
        <v>30</v>
      </c>
      <c r="O508" s="10">
        <f ca="1">IFERROR(__xludf.DUMMYFUNCTION("""COMPUTED_VALUE"""),1980000)</f>
        <v>1980000</v>
      </c>
      <c r="P508" s="10"/>
      <c r="Q508" s="67">
        <f ca="1">IFERROR(__xludf.DUMMYFUNCTION("""COMPUTED_VALUE"""),45535)</f>
        <v>45535</v>
      </c>
    </row>
    <row r="509" spans="1:17" ht="12.5">
      <c r="A509" s="82">
        <f t="array" aca="1" ref="A509" ca="1">INDEX('Database Mitra'!$R$2:$R1001,MATCH(C509,'Database Mitra'!$B$2:$B1001,0))</f>
        <v>32184</v>
      </c>
      <c r="B509" s="10" t="e">
        <f t="shared" ca="1" si="0"/>
        <v>#NAME?</v>
      </c>
      <c r="C509" s="83">
        <f ca="1">IFERROR(__xludf.DUMMYFUNCTION("""COMPUTED_VALUE"""),610422020032)</f>
        <v>610422020032</v>
      </c>
      <c r="D509" s="10" t="str">
        <f ca="1">IFERROR(__xludf.DUMMYFUNCTION("""COMPUTED_VALUE"""),"SAKERNAS24-LAPANGAN-SEMESTER2")</f>
        <v>SAKERNAS24-LAPANGAN-SEMESTER2</v>
      </c>
      <c r="E509" s="10"/>
      <c r="F509" s="10">
        <f ca="1">IFERROR(__xludf.DUMMYFUNCTION("""COMPUTED_VALUE"""),1)</f>
        <v>1</v>
      </c>
      <c r="G509" s="10" t="str">
        <f ca="1">IFERROR(__xludf.DUMMYFUNCTION("""COMPUTED_VALUE"""),"Lilis Suryani")</f>
        <v>Lilis Suryani</v>
      </c>
      <c r="H509" s="10" t="str">
        <f ca="1">IFERROR(__xludf.DUMMYFUNCTION("""COMPUTED_VALUE"""),"PPL")</f>
        <v>PPL</v>
      </c>
      <c r="I509" s="10" t="str">
        <f ca="1">IFERROR(__xludf.DUMMYFUNCTION("""COMPUTED_VALUE"""),"6102185102880001")</f>
        <v>6102185102880001</v>
      </c>
      <c r="J509" s="10" t="str">
        <f ca="1">IFERROR(__xludf.DUMMYFUNCTION("""COMPUTED_VALUE"""),"PENDATAAN")</f>
        <v>PENDATAAN</v>
      </c>
      <c r="K509" s="10" t="str">
        <f ca="1">IFERROR(__xludf.DUMMYFUNCTION("""COMPUTED_VALUE"""),"SAKERNAS24-LAPANGAN-SEMESTER2-PPL-PENDATAAN")</f>
        <v>SAKERNAS24-LAPANGAN-SEMESTER2-PPL-PENDATAAN</v>
      </c>
      <c r="L509" s="10" t="str">
        <f ca="1">IFERROR(__xludf.DUMMYFUNCTION("""COMPUTED_VALUE"""),"Dokumen")</f>
        <v>Dokumen</v>
      </c>
      <c r="M509" s="66">
        <f ca="1">IFERROR(__xludf.DUMMYFUNCTION("""COMPUTED_VALUE"""),66000)</f>
        <v>66000</v>
      </c>
      <c r="N509" s="10">
        <f ca="1">IFERROR(__xludf.DUMMYFUNCTION("""COMPUTED_VALUE"""),30)</f>
        <v>30</v>
      </c>
      <c r="O509" s="10">
        <f ca="1">IFERROR(__xludf.DUMMYFUNCTION("""COMPUTED_VALUE"""),1980000)</f>
        <v>1980000</v>
      </c>
      <c r="P509" s="10"/>
      <c r="Q509" s="67">
        <f ca="1">IFERROR(__xludf.DUMMYFUNCTION("""COMPUTED_VALUE"""),45535)</f>
        <v>45535</v>
      </c>
    </row>
    <row r="510" spans="1:17" ht="12.5">
      <c r="A510" s="82">
        <f t="array" aca="1" ref="A510" ca="1">INDEX('Database Mitra'!$R$2:$R1001,MATCH(C510,'Database Mitra'!$B$2:$B1001,0))</f>
        <v>32849</v>
      </c>
      <c r="B510" s="10" t="e">
        <f t="shared" ca="1" si="0"/>
        <v>#NAME?</v>
      </c>
      <c r="C510" s="83">
        <f ca="1">IFERROR(__xludf.DUMMYFUNCTION("""COMPUTED_VALUE"""),610422040034)</f>
        <v>610422040034</v>
      </c>
      <c r="D510" s="10" t="str">
        <f ca="1">IFERROR(__xludf.DUMMYFUNCTION("""COMPUTED_VALUE"""),"SAKERNAS24-LAPANGAN-SEMESTER2")</f>
        <v>SAKERNAS24-LAPANGAN-SEMESTER2</v>
      </c>
      <c r="E510" s="10"/>
      <c r="F510" s="10">
        <f ca="1">IFERROR(__xludf.DUMMYFUNCTION("""COMPUTED_VALUE"""),1)</f>
        <v>1</v>
      </c>
      <c r="G510" s="10" t="str">
        <f ca="1">IFERROR(__xludf.DUMMYFUNCTION("""COMPUTED_VALUE"""),"Nelly Nalita")</f>
        <v>Nelly Nalita</v>
      </c>
      <c r="H510" s="10" t="str">
        <f ca="1">IFERROR(__xludf.DUMMYFUNCTION("""COMPUTED_VALUE"""),"PPL")</f>
        <v>PPL</v>
      </c>
      <c r="I510" s="10" t="str">
        <f ca="1">IFERROR(__xludf.DUMMYFUNCTION("""COMPUTED_VALUE"""),"6102014712890004")</f>
        <v>6102014712890004</v>
      </c>
      <c r="J510" s="10" t="str">
        <f ca="1">IFERROR(__xludf.DUMMYFUNCTION("""COMPUTED_VALUE"""),"PENDATAAN")</f>
        <v>PENDATAAN</v>
      </c>
      <c r="K510" s="10" t="str">
        <f ca="1">IFERROR(__xludf.DUMMYFUNCTION("""COMPUTED_VALUE"""),"SAKERNAS24-LAPANGAN-SEMESTER2-PPL-PENDATAAN")</f>
        <v>SAKERNAS24-LAPANGAN-SEMESTER2-PPL-PENDATAAN</v>
      </c>
      <c r="L510" s="10" t="str">
        <f ca="1">IFERROR(__xludf.DUMMYFUNCTION("""COMPUTED_VALUE"""),"Dokumen")</f>
        <v>Dokumen</v>
      </c>
      <c r="M510" s="66">
        <f ca="1">IFERROR(__xludf.DUMMYFUNCTION("""COMPUTED_VALUE"""),66000)</f>
        <v>66000</v>
      </c>
      <c r="N510" s="10">
        <f ca="1">IFERROR(__xludf.DUMMYFUNCTION("""COMPUTED_VALUE"""),30)</f>
        <v>30</v>
      </c>
      <c r="O510" s="10">
        <f ca="1">IFERROR(__xludf.DUMMYFUNCTION("""COMPUTED_VALUE"""),1980000)</f>
        <v>1980000</v>
      </c>
      <c r="P510" s="10"/>
      <c r="Q510" s="67">
        <f ca="1">IFERROR(__xludf.DUMMYFUNCTION("""COMPUTED_VALUE"""),45535)</f>
        <v>45535</v>
      </c>
    </row>
    <row r="511" spans="1:17" ht="12.5">
      <c r="A511" s="11">
        <f t="array" aca="1" ref="A511" ca="1">INDEX('Database Mitra'!$R$2:$R1001,MATCH(C511,'Database Mitra'!$B$2:$B1001,0))</f>
        <v>37221</v>
      </c>
      <c r="B511" s="10" t="e">
        <f t="shared" ca="1" si="0"/>
        <v>#NAME?</v>
      </c>
      <c r="C511" s="83">
        <f ca="1">IFERROR(__xludf.DUMMYFUNCTION("""COMPUTED_VALUE"""),610422040051)</f>
        <v>610422040051</v>
      </c>
      <c r="D511" s="10" t="str">
        <f ca="1">IFERROR(__xludf.DUMMYFUNCTION("""COMPUTED_VALUE"""),"SAKERNAS24-LAPANGAN-SEMESTER2")</f>
        <v>SAKERNAS24-LAPANGAN-SEMESTER2</v>
      </c>
      <c r="E511" s="10"/>
      <c r="F511" s="10">
        <f ca="1">IFERROR(__xludf.DUMMYFUNCTION("""COMPUTED_VALUE"""),1)</f>
        <v>1</v>
      </c>
      <c r="G511" s="10" t="str">
        <f ca="1">IFERROR(__xludf.DUMMYFUNCTION("""COMPUTED_VALUE"""),"Dede Sri Delvey")</f>
        <v>Dede Sri Delvey</v>
      </c>
      <c r="H511" s="10" t="str">
        <f ca="1">IFERROR(__xludf.DUMMYFUNCTION("""COMPUTED_VALUE"""),"PPL")</f>
        <v>PPL</v>
      </c>
      <c r="I511" s="10" t="str">
        <f ca="1">IFERROR(__xludf.DUMMYFUNCTION("""COMPUTED_VALUE"""),"6102156611010002")</f>
        <v>6102156611010002</v>
      </c>
      <c r="J511" s="10" t="str">
        <f ca="1">IFERROR(__xludf.DUMMYFUNCTION("""COMPUTED_VALUE"""),"PENDATAAN")</f>
        <v>PENDATAAN</v>
      </c>
      <c r="K511" s="10" t="str">
        <f ca="1">IFERROR(__xludf.DUMMYFUNCTION("""COMPUTED_VALUE"""),"SAKERNAS24-LAPANGAN-SEMESTER2-PPL-PENDATAAN")</f>
        <v>SAKERNAS24-LAPANGAN-SEMESTER2-PPL-PENDATAAN</v>
      </c>
      <c r="L511" s="10" t="str">
        <f ca="1">IFERROR(__xludf.DUMMYFUNCTION("""COMPUTED_VALUE"""),"Dokumen")</f>
        <v>Dokumen</v>
      </c>
      <c r="M511" s="66">
        <f ca="1">IFERROR(__xludf.DUMMYFUNCTION("""COMPUTED_VALUE"""),66000)</f>
        <v>66000</v>
      </c>
      <c r="N511" s="10">
        <f ca="1">IFERROR(__xludf.DUMMYFUNCTION("""COMPUTED_VALUE"""),30)</f>
        <v>30</v>
      </c>
      <c r="O511" s="10">
        <f ca="1">IFERROR(__xludf.DUMMYFUNCTION("""COMPUTED_VALUE"""),1980000)</f>
        <v>1980000</v>
      </c>
      <c r="P511" s="10"/>
      <c r="Q511" s="67">
        <f ca="1">IFERROR(__xludf.DUMMYFUNCTION("""COMPUTED_VALUE"""),45535)</f>
        <v>45535</v>
      </c>
    </row>
    <row r="512" spans="1:17" ht="12.5">
      <c r="A512" s="82">
        <f t="array" aca="1" ref="A512" ca="1">INDEX('Database Mitra'!$R$2:$R1001,MATCH(C512,'Database Mitra'!$B$2:$B1001,0))</f>
        <v>36546</v>
      </c>
      <c r="B512" s="10" t="e">
        <f t="shared" ca="1" si="0"/>
        <v>#NAME?</v>
      </c>
      <c r="C512" s="83">
        <f ca="1">IFERROR(__xludf.DUMMYFUNCTION("""COMPUTED_VALUE"""),610423040013)</f>
        <v>610423040013</v>
      </c>
      <c r="D512" s="10" t="str">
        <f ca="1">IFERROR(__xludf.DUMMYFUNCTION("""COMPUTED_VALUE"""),"SAKERNAS24-LAPANGAN-SEMESTER2")</f>
        <v>SAKERNAS24-LAPANGAN-SEMESTER2</v>
      </c>
      <c r="E512" s="10"/>
      <c r="F512" s="10">
        <f ca="1">IFERROR(__xludf.DUMMYFUNCTION("""COMPUTED_VALUE"""),1)</f>
        <v>1</v>
      </c>
      <c r="G512" s="10" t="str">
        <f ca="1">IFERROR(__xludf.DUMMYFUNCTION("""COMPUTED_VALUE"""),"Lulu Gesti Gunawati")</f>
        <v>Lulu Gesti Gunawati</v>
      </c>
      <c r="H512" s="10" t="str">
        <f ca="1">IFERROR(__xludf.DUMMYFUNCTION("""COMPUTED_VALUE"""),"PPL")</f>
        <v>PPL</v>
      </c>
      <c r="I512" s="10" t="str">
        <f ca="1">IFERROR(__xludf.DUMMYFUNCTION("""COMPUTED_VALUE"""),"3314066101000001")</f>
        <v>3314066101000001</v>
      </c>
      <c r="J512" s="10" t="str">
        <f ca="1">IFERROR(__xludf.DUMMYFUNCTION("""COMPUTED_VALUE"""),"PENDATAAN")</f>
        <v>PENDATAAN</v>
      </c>
      <c r="K512" s="10" t="str">
        <f ca="1">IFERROR(__xludf.DUMMYFUNCTION("""COMPUTED_VALUE"""),"SAKERNAS24-LAPANGAN-SEMESTER2-PPL-PENDATAAN")</f>
        <v>SAKERNAS24-LAPANGAN-SEMESTER2-PPL-PENDATAAN</v>
      </c>
      <c r="L512" s="10" t="str">
        <f ca="1">IFERROR(__xludf.DUMMYFUNCTION("""COMPUTED_VALUE"""),"Dokumen")</f>
        <v>Dokumen</v>
      </c>
      <c r="M512" s="66">
        <f ca="1">IFERROR(__xludf.DUMMYFUNCTION("""COMPUTED_VALUE"""),66000)</f>
        <v>66000</v>
      </c>
      <c r="N512" s="10">
        <f ca="1">IFERROR(__xludf.DUMMYFUNCTION("""COMPUTED_VALUE"""),30)</f>
        <v>30</v>
      </c>
      <c r="O512" s="10">
        <f ca="1">IFERROR(__xludf.DUMMYFUNCTION("""COMPUTED_VALUE"""),1980000)</f>
        <v>1980000</v>
      </c>
      <c r="P512" s="10"/>
      <c r="Q512" s="67">
        <f ca="1">IFERROR(__xludf.DUMMYFUNCTION("""COMPUTED_VALUE"""),45535)</f>
        <v>45535</v>
      </c>
    </row>
    <row r="513" spans="1:17" ht="12.5">
      <c r="A513" s="82">
        <f t="array" aca="1" ref="A513" ca="1">INDEX('Database Mitra'!$R$2:$R1001,MATCH(C513,'Database Mitra'!$B$2:$B1001,0))</f>
        <v>30507</v>
      </c>
      <c r="B513" s="10" t="e">
        <f t="shared" ca="1" si="0"/>
        <v>#NAME?</v>
      </c>
      <c r="C513" s="83">
        <f ca="1">IFERROR(__xludf.DUMMYFUNCTION("""COMPUTED_VALUE"""),610422100001)</f>
        <v>610422100001</v>
      </c>
      <c r="D513" s="10" t="str">
        <f ca="1">IFERROR(__xludf.DUMMYFUNCTION("""COMPUTED_VALUE"""),"SAKERNAS24-LAPANGAN-SEMESTER2")</f>
        <v>SAKERNAS24-LAPANGAN-SEMESTER2</v>
      </c>
      <c r="E513" s="10"/>
      <c r="F513" s="10">
        <f ca="1">IFERROR(__xludf.DUMMYFUNCTION("""COMPUTED_VALUE"""),1)</f>
        <v>1</v>
      </c>
      <c r="G513" s="10" t="str">
        <f ca="1">IFERROR(__xludf.DUMMYFUNCTION("""COMPUTED_VALUE"""),"Fatmawati,S.Hut")</f>
        <v>Fatmawati,S.Hut</v>
      </c>
      <c r="H513" s="10" t="str">
        <f ca="1">IFERROR(__xludf.DUMMYFUNCTION("""COMPUTED_VALUE"""),"PPL")</f>
        <v>PPL</v>
      </c>
      <c r="I513" s="10" t="str">
        <f ca="1">IFERROR(__xludf.DUMMYFUNCTION("""COMPUTED_VALUE"""),"6102075007830003")</f>
        <v>6102075007830003</v>
      </c>
      <c r="J513" s="10" t="str">
        <f ca="1">IFERROR(__xludf.DUMMYFUNCTION("""COMPUTED_VALUE"""),"PENDATAAN")</f>
        <v>PENDATAAN</v>
      </c>
      <c r="K513" s="10" t="str">
        <f ca="1">IFERROR(__xludf.DUMMYFUNCTION("""COMPUTED_VALUE"""),"SAKERNAS24-LAPANGAN-SEMESTER2-PPL-PENDATAAN")</f>
        <v>SAKERNAS24-LAPANGAN-SEMESTER2-PPL-PENDATAAN</v>
      </c>
      <c r="L513" s="10" t="str">
        <f ca="1">IFERROR(__xludf.DUMMYFUNCTION("""COMPUTED_VALUE"""),"Dokumen")</f>
        <v>Dokumen</v>
      </c>
      <c r="M513" s="66">
        <f ca="1">IFERROR(__xludf.DUMMYFUNCTION("""COMPUTED_VALUE"""),66000)</f>
        <v>66000</v>
      </c>
      <c r="N513" s="10">
        <f ca="1">IFERROR(__xludf.DUMMYFUNCTION("""COMPUTED_VALUE"""),30)</f>
        <v>30</v>
      </c>
      <c r="O513" s="10">
        <f ca="1">IFERROR(__xludf.DUMMYFUNCTION("""COMPUTED_VALUE"""),1980000)</f>
        <v>1980000</v>
      </c>
      <c r="P513" s="10"/>
      <c r="Q513" s="67">
        <f ca="1">IFERROR(__xludf.DUMMYFUNCTION("""COMPUTED_VALUE"""),45535)</f>
        <v>45535</v>
      </c>
    </row>
    <row r="514" spans="1:17" ht="12.5">
      <c r="A514" s="82">
        <f t="array" aca="1" ref="A514" ca="1">INDEX('Database Mitra'!$R$2:$R1001,MATCH(C514,'Database Mitra'!$B$2:$B1001,0))</f>
        <v>36997</v>
      </c>
      <c r="B514" s="10" t="e">
        <f t="shared" ca="1" si="0"/>
        <v>#NAME?</v>
      </c>
      <c r="C514" s="83">
        <f ca="1">IFERROR(__xludf.DUMMYFUNCTION("""COMPUTED_VALUE"""),610422040053)</f>
        <v>610422040053</v>
      </c>
      <c r="D514" s="10" t="str">
        <f ca="1">IFERROR(__xludf.DUMMYFUNCTION("""COMPUTED_VALUE"""),"SAKERNAS24-LAPANGAN-SEMESTER2")</f>
        <v>SAKERNAS24-LAPANGAN-SEMESTER2</v>
      </c>
      <c r="E514" s="10"/>
      <c r="F514" s="10">
        <f ca="1">IFERROR(__xludf.DUMMYFUNCTION("""COMPUTED_VALUE"""),1)</f>
        <v>1</v>
      </c>
      <c r="G514" s="10" t="str">
        <f ca="1">IFERROR(__xludf.DUMMYFUNCTION("""COMPUTED_VALUE"""),"Veti Ningsi")</f>
        <v>Veti Ningsi</v>
      </c>
      <c r="H514" s="10" t="str">
        <f ca="1">IFERROR(__xludf.DUMMYFUNCTION("""COMPUTED_VALUE"""),"PPL")</f>
        <v>PPL</v>
      </c>
      <c r="I514" s="10" t="str">
        <f ca="1">IFERROR(__xludf.DUMMYFUNCTION("""COMPUTED_VALUE"""),"6102125604010002")</f>
        <v>6102125604010002</v>
      </c>
      <c r="J514" s="10" t="str">
        <f ca="1">IFERROR(__xludf.DUMMYFUNCTION("""COMPUTED_VALUE"""),"PENDATAAN")</f>
        <v>PENDATAAN</v>
      </c>
      <c r="K514" s="10" t="str">
        <f ca="1">IFERROR(__xludf.DUMMYFUNCTION("""COMPUTED_VALUE"""),"SAKERNAS24-LAPANGAN-SEMESTER2-PPL-PENDATAAN")</f>
        <v>SAKERNAS24-LAPANGAN-SEMESTER2-PPL-PENDATAAN</v>
      </c>
      <c r="L514" s="10" t="str">
        <f ca="1">IFERROR(__xludf.DUMMYFUNCTION("""COMPUTED_VALUE"""),"Dokumen")</f>
        <v>Dokumen</v>
      </c>
      <c r="M514" s="66">
        <f ca="1">IFERROR(__xludf.DUMMYFUNCTION("""COMPUTED_VALUE"""),66000)</f>
        <v>66000</v>
      </c>
      <c r="N514" s="10">
        <f ca="1">IFERROR(__xludf.DUMMYFUNCTION("""COMPUTED_VALUE"""),30)</f>
        <v>30</v>
      </c>
      <c r="O514" s="10">
        <f ca="1">IFERROR(__xludf.DUMMYFUNCTION("""COMPUTED_VALUE"""),1980000)</f>
        <v>1980000</v>
      </c>
      <c r="P514" s="10"/>
      <c r="Q514" s="67">
        <f ca="1">IFERROR(__xludf.DUMMYFUNCTION("""COMPUTED_VALUE"""),45535)</f>
        <v>45535</v>
      </c>
    </row>
    <row r="515" spans="1:17" ht="12.5">
      <c r="A515" s="82">
        <f t="array" aca="1" ref="A515" ca="1">INDEX('Database Mitra'!$R$2:$R1001,MATCH(C515,'Database Mitra'!$B$2:$B1001,0))</f>
        <v>36043</v>
      </c>
      <c r="B515" s="10" t="e">
        <f t="shared" ca="1" si="0"/>
        <v>#NAME?</v>
      </c>
      <c r="C515" s="83">
        <f ca="1">IFERROR(__xludf.DUMMYFUNCTION("""COMPUTED_VALUE"""),610422040012)</f>
        <v>610422040012</v>
      </c>
      <c r="D515" s="10" t="str">
        <f ca="1">IFERROR(__xludf.DUMMYFUNCTION("""COMPUTED_VALUE"""),"UBINAN24-LAPANGAN-SR2")</f>
        <v>UBINAN24-LAPANGAN-SR2</v>
      </c>
      <c r="E515" s="10"/>
      <c r="F515" s="10">
        <f ca="1">IFERROR(__xludf.DUMMYFUNCTION("""COMPUTED_VALUE"""),1)</f>
        <v>1</v>
      </c>
      <c r="G515" s="10" t="str">
        <f ca="1">IFERROR(__xludf.DUMMYFUNCTION("""COMPUTED_VALUE"""),"Misdi")</f>
        <v>Misdi</v>
      </c>
      <c r="H515" s="10" t="str">
        <f ca="1">IFERROR(__xludf.DUMMYFUNCTION("""COMPUTED_VALUE"""),"PPL")</f>
        <v>PPL</v>
      </c>
      <c r="I515" s="10" t="str">
        <f ca="1">IFERROR(__xludf.DUMMYFUNCTION("""COMPUTED_VALUE"""),"6102070706940001")</f>
        <v>6102070706940001</v>
      </c>
      <c r="J515" s="10" t="str">
        <f ca="1">IFERROR(__xludf.DUMMYFUNCTION("""COMPUTED_VALUE"""),"PALAWIJA")</f>
        <v>PALAWIJA</v>
      </c>
      <c r="K515" s="10" t="str">
        <f ca="1">IFERROR(__xludf.DUMMYFUNCTION("""COMPUTED_VALUE"""),"UBINAN24-LAPANGAN-SR2-PPL-PALAWIJA")</f>
        <v>UBINAN24-LAPANGAN-SR2-PPL-PALAWIJA</v>
      </c>
      <c r="L515" s="10" t="str">
        <f ca="1">IFERROR(__xludf.DUMMYFUNCTION("""COMPUTED_VALUE"""),"Dokumen")</f>
        <v>Dokumen</v>
      </c>
      <c r="M515" s="66">
        <f ca="1">IFERROR(__xludf.DUMMYFUNCTION("""COMPUTED_VALUE"""),78000)</f>
        <v>78000</v>
      </c>
      <c r="N515" s="10">
        <f ca="1">IFERROR(__xludf.DUMMYFUNCTION("""COMPUTED_VALUE"""),3)</f>
        <v>3</v>
      </c>
      <c r="O515" s="10">
        <f ca="1">IFERROR(__xludf.DUMMYFUNCTION("""COMPUTED_VALUE"""),234000)</f>
        <v>234000</v>
      </c>
      <c r="P515" s="10"/>
      <c r="Q515" s="67">
        <f ca="1">IFERROR(__xludf.DUMMYFUNCTION("""COMPUTED_VALUE"""),45535)</f>
        <v>45535</v>
      </c>
    </row>
    <row r="516" spans="1:17" ht="12.5">
      <c r="A516" s="82">
        <f t="array" aca="1" ref="A516" ca="1">INDEX('Database Mitra'!$R$2:$R1001,MATCH(C516,'Database Mitra'!$B$2:$B1001,0))</f>
        <v>32409</v>
      </c>
      <c r="B516" s="10" t="e">
        <f t="shared" ca="1" si="0"/>
        <v>#NAME?</v>
      </c>
      <c r="C516" s="83">
        <f ca="1">IFERROR(__xludf.DUMMYFUNCTION("""COMPUTED_VALUE"""),610423040018)</f>
        <v>610423040018</v>
      </c>
      <c r="D516" s="10" t="str">
        <f ca="1">IFERROR(__xludf.DUMMYFUNCTION("""COMPUTED_VALUE"""),"UBINAN24-LAPANGAN-SR2")</f>
        <v>UBINAN24-LAPANGAN-SR2</v>
      </c>
      <c r="E516" s="10"/>
      <c r="F516" s="10">
        <f ca="1">IFERROR(__xludf.DUMMYFUNCTION("""COMPUTED_VALUE"""),1)</f>
        <v>1</v>
      </c>
      <c r="G516" s="10" t="str">
        <f ca="1">IFERROR(__xludf.DUMMYFUNCTION("""COMPUTED_VALUE"""),"Handoko Tuah Sabarman Sipayung")</f>
        <v>Handoko Tuah Sabarman Sipayung</v>
      </c>
      <c r="H516" s="10" t="str">
        <f ca="1">IFERROR(__xludf.DUMMYFUNCTION("""COMPUTED_VALUE"""),"PPL")</f>
        <v>PPL</v>
      </c>
      <c r="I516" s="10" t="str">
        <f ca="1">IFERROR(__xludf.DUMMYFUNCTION("""COMPUTED_VALUE"""),"1212092309880001")</f>
        <v>1212092309880001</v>
      </c>
      <c r="J516" s="10" t="str">
        <f ca="1">IFERROR(__xludf.DUMMYFUNCTION("""COMPUTED_VALUE"""),"PADI")</f>
        <v>PADI</v>
      </c>
      <c r="K516" s="10" t="str">
        <f ca="1">IFERROR(__xludf.DUMMYFUNCTION("""COMPUTED_VALUE"""),"UBINAN24-LAPANGAN-SR2-PPL-PADI")</f>
        <v>UBINAN24-LAPANGAN-SR2-PPL-PADI</v>
      </c>
      <c r="L516" s="10" t="str">
        <f ca="1">IFERROR(__xludf.DUMMYFUNCTION("""COMPUTED_VALUE"""),"Dokumen")</f>
        <v>Dokumen</v>
      </c>
      <c r="M516" s="66">
        <f ca="1">IFERROR(__xludf.DUMMYFUNCTION("""COMPUTED_VALUE"""),78000)</f>
        <v>78000</v>
      </c>
      <c r="N516" s="10">
        <f ca="1">IFERROR(__xludf.DUMMYFUNCTION("""COMPUTED_VALUE"""),5)</f>
        <v>5</v>
      </c>
      <c r="O516" s="10">
        <f ca="1">IFERROR(__xludf.DUMMYFUNCTION("""COMPUTED_VALUE"""),390000)</f>
        <v>390000</v>
      </c>
      <c r="P516" s="10"/>
      <c r="Q516" s="67">
        <f ca="1">IFERROR(__xludf.DUMMYFUNCTION("""COMPUTED_VALUE"""),45535)</f>
        <v>45535</v>
      </c>
    </row>
    <row r="517" spans="1:17" ht="12.5">
      <c r="A517" s="82">
        <f t="array" aca="1" ref="A517" ca="1">INDEX('Database Mitra'!$R$2:$R1001,MATCH(C517,'Database Mitra'!$B$2:$B1001,0))</f>
        <v>28816</v>
      </c>
      <c r="B517" s="10" t="e">
        <f t="shared" ca="1" si="0"/>
        <v>#NAME?</v>
      </c>
      <c r="C517" s="83">
        <f ca="1">IFERROR(__xludf.DUMMYFUNCTION("""COMPUTED_VALUE"""),610422040059)</f>
        <v>610422040059</v>
      </c>
      <c r="D517" s="10" t="str">
        <f ca="1">IFERROR(__xludf.DUMMYFUNCTION("""COMPUTED_VALUE"""),"UBINAN24-LAPANGAN-SR2")</f>
        <v>UBINAN24-LAPANGAN-SR2</v>
      </c>
      <c r="E517" s="10"/>
      <c r="F517" s="10">
        <f ca="1">IFERROR(__xludf.DUMMYFUNCTION("""COMPUTED_VALUE"""),1)</f>
        <v>1</v>
      </c>
      <c r="G517" s="10" t="str">
        <f ca="1">IFERROR(__xludf.DUMMYFUNCTION("""COMPUTED_VALUE"""),"Abang Handri")</f>
        <v>Abang Handri</v>
      </c>
      <c r="H517" s="10" t="str">
        <f ca="1">IFERROR(__xludf.DUMMYFUNCTION("""COMPUTED_VALUE"""),"PPL")</f>
        <v>PPL</v>
      </c>
      <c r="I517" s="10" t="str">
        <f ca="1">IFERROR(__xludf.DUMMYFUNCTION("""COMPUTED_VALUE"""),"6102072211780002")</f>
        <v>6102072211780002</v>
      </c>
      <c r="J517" s="10" t="str">
        <f ca="1">IFERROR(__xludf.DUMMYFUNCTION("""COMPUTED_VALUE"""),"PADI")</f>
        <v>PADI</v>
      </c>
      <c r="K517" s="10" t="str">
        <f ca="1">IFERROR(__xludf.DUMMYFUNCTION("""COMPUTED_VALUE"""),"UBINAN24-LAPANGAN-SR2-PPL-PADI")</f>
        <v>UBINAN24-LAPANGAN-SR2-PPL-PADI</v>
      </c>
      <c r="L517" s="10" t="str">
        <f ca="1">IFERROR(__xludf.DUMMYFUNCTION("""COMPUTED_VALUE"""),"Dokumen")</f>
        <v>Dokumen</v>
      </c>
      <c r="M517" s="66">
        <f ca="1">IFERROR(__xludf.DUMMYFUNCTION("""COMPUTED_VALUE"""),78000)</f>
        <v>78000</v>
      </c>
      <c r="N517" s="10">
        <f ca="1">IFERROR(__xludf.DUMMYFUNCTION("""COMPUTED_VALUE"""),2)</f>
        <v>2</v>
      </c>
      <c r="O517" s="10">
        <f ca="1">IFERROR(__xludf.DUMMYFUNCTION("""COMPUTED_VALUE"""),156000)</f>
        <v>156000</v>
      </c>
      <c r="P517" s="10"/>
      <c r="Q517" s="67">
        <f ca="1">IFERROR(__xludf.DUMMYFUNCTION("""COMPUTED_VALUE"""),45535)</f>
        <v>45535</v>
      </c>
    </row>
    <row r="518" spans="1:17" ht="12.5">
      <c r="A518" s="82">
        <f t="array" aca="1" ref="A518" ca="1">INDEX('Database Mitra'!$R$2:$R1001,MATCH(C518,'Database Mitra'!$B$2:$B1001,0))</f>
        <v>36088</v>
      </c>
      <c r="B518" s="10" t="e">
        <f t="shared" ca="1" si="0"/>
        <v>#NAME?</v>
      </c>
      <c r="C518" s="83">
        <f ca="1">IFERROR(__xludf.DUMMYFUNCTION("""COMPUTED_VALUE"""),610422100006)</f>
        <v>610422100006</v>
      </c>
      <c r="D518" s="10" t="str">
        <f ca="1">IFERROR(__xludf.DUMMYFUNCTION("""COMPUTED_VALUE"""),"UBINAN24-LAPANGAN-SR2")</f>
        <v>UBINAN24-LAPANGAN-SR2</v>
      </c>
      <c r="E518" s="10"/>
      <c r="F518" s="10">
        <f ca="1">IFERROR(__xludf.DUMMYFUNCTION("""COMPUTED_VALUE"""),1)</f>
        <v>1</v>
      </c>
      <c r="G518" s="10" t="str">
        <f ca="1">IFERROR(__xludf.DUMMYFUNCTION("""COMPUTED_VALUE"""),"Dandy")</f>
        <v>Dandy</v>
      </c>
      <c r="H518" s="10" t="str">
        <f ca="1">IFERROR(__xludf.DUMMYFUNCTION("""COMPUTED_VALUE"""),"PPL")</f>
        <v>PPL</v>
      </c>
      <c r="I518" s="10" t="str">
        <f ca="1">IFERROR(__xludf.DUMMYFUNCTION("""COMPUTED_VALUE"""),"6102082010980003")</f>
        <v>6102082010980003</v>
      </c>
      <c r="J518" s="10" t="str">
        <f ca="1">IFERROR(__xludf.DUMMYFUNCTION("""COMPUTED_VALUE"""),"PALAWIJA")</f>
        <v>PALAWIJA</v>
      </c>
      <c r="K518" s="10" t="str">
        <f ca="1">IFERROR(__xludf.DUMMYFUNCTION("""COMPUTED_VALUE"""),"UBINAN24-LAPANGAN-SR2-PPL-PALAWIJA")</f>
        <v>UBINAN24-LAPANGAN-SR2-PPL-PALAWIJA</v>
      </c>
      <c r="L518" s="10" t="str">
        <f ca="1">IFERROR(__xludf.DUMMYFUNCTION("""COMPUTED_VALUE"""),"Dokumen")</f>
        <v>Dokumen</v>
      </c>
      <c r="M518" s="66">
        <f ca="1">IFERROR(__xludf.DUMMYFUNCTION("""COMPUTED_VALUE"""),78000)</f>
        <v>78000</v>
      </c>
      <c r="N518" s="10">
        <f ca="1">IFERROR(__xludf.DUMMYFUNCTION("""COMPUTED_VALUE"""),20)</f>
        <v>20</v>
      </c>
      <c r="O518" s="10">
        <f ca="1">IFERROR(__xludf.DUMMYFUNCTION("""COMPUTED_VALUE"""),1560000)</f>
        <v>1560000</v>
      </c>
      <c r="P518" s="10"/>
      <c r="Q518" s="67">
        <f ca="1">IFERROR(__xludf.DUMMYFUNCTION("""COMPUTED_VALUE"""),45535)</f>
        <v>45535</v>
      </c>
    </row>
    <row r="519" spans="1:17" ht="12.5">
      <c r="A519" s="82">
        <f t="array" aca="1" ref="A519" ca="1">INDEX('Database Mitra'!$R$2:$R1001,MATCH(C519,'Database Mitra'!$B$2:$B1001,0))</f>
        <v>32320</v>
      </c>
      <c r="B519" s="10" t="e">
        <f t="shared" ca="1" si="0"/>
        <v>#NAME?</v>
      </c>
      <c r="C519" s="83">
        <f ca="1">IFERROR(__xludf.DUMMYFUNCTION("""COMPUTED_VALUE"""),610423040021)</f>
        <v>610423040021</v>
      </c>
      <c r="D519" s="10" t="str">
        <f ca="1">IFERROR(__xludf.DUMMYFUNCTION("""COMPUTED_VALUE"""),"UBINAN24-LAPANGAN-SR2")</f>
        <v>UBINAN24-LAPANGAN-SR2</v>
      </c>
      <c r="E519" s="10"/>
      <c r="F519" s="10">
        <f ca="1">IFERROR(__xludf.DUMMYFUNCTION("""COMPUTED_VALUE"""),1)</f>
        <v>1</v>
      </c>
      <c r="G519" s="10" t="str">
        <f ca="1">IFERROR(__xludf.DUMMYFUNCTION("""COMPUTED_VALUE"""),"Seliana")</f>
        <v>Seliana</v>
      </c>
      <c r="H519" s="10" t="str">
        <f ca="1">IFERROR(__xludf.DUMMYFUNCTION("""COMPUTED_VALUE"""),"PPL")</f>
        <v>PPL</v>
      </c>
      <c r="I519" s="10" t="str">
        <f ca="1">IFERROR(__xludf.DUMMYFUNCTION("""COMPUTED_VALUE"""),"6102176606880001")</f>
        <v>6102176606880001</v>
      </c>
      <c r="J519" s="10" t="str">
        <f ca="1">IFERROR(__xludf.DUMMYFUNCTION("""COMPUTED_VALUE"""),"PALAWIJA")</f>
        <v>PALAWIJA</v>
      </c>
      <c r="K519" s="10" t="str">
        <f ca="1">IFERROR(__xludf.DUMMYFUNCTION("""COMPUTED_VALUE"""),"UBINAN24-LAPANGAN-SR2-PPL-PALAWIJA")</f>
        <v>UBINAN24-LAPANGAN-SR2-PPL-PALAWIJA</v>
      </c>
      <c r="L519" s="10" t="str">
        <f ca="1">IFERROR(__xludf.DUMMYFUNCTION("""COMPUTED_VALUE"""),"Dokumen")</f>
        <v>Dokumen</v>
      </c>
      <c r="M519" s="66">
        <f ca="1">IFERROR(__xludf.DUMMYFUNCTION("""COMPUTED_VALUE"""),78000)</f>
        <v>78000</v>
      </c>
      <c r="N519" s="10">
        <f ca="1">IFERROR(__xludf.DUMMYFUNCTION("""COMPUTED_VALUE"""),3)</f>
        <v>3</v>
      </c>
      <c r="O519" s="10">
        <f ca="1">IFERROR(__xludf.DUMMYFUNCTION("""COMPUTED_VALUE"""),234000)</f>
        <v>234000</v>
      </c>
      <c r="P519" s="10"/>
      <c r="Q519" s="67">
        <f ca="1">IFERROR(__xludf.DUMMYFUNCTION("""COMPUTED_VALUE"""),45535)</f>
        <v>45535</v>
      </c>
    </row>
    <row r="520" spans="1:17" ht="12.5">
      <c r="A520" s="11">
        <f t="array" aca="1" ref="A520" ca="1">INDEX('Database Mitra'!$R$2:$R1001,MATCH(C520,'Database Mitra'!$B$2:$B1001,0))</f>
        <v>29305</v>
      </c>
      <c r="B520" s="10" t="e">
        <f t="shared" ca="1" si="0"/>
        <v>#NAME?</v>
      </c>
      <c r="C520" s="83">
        <f ca="1">IFERROR(__xludf.DUMMYFUNCTION("""COMPUTED_VALUE"""),610422020048)</f>
        <v>610422020048</v>
      </c>
      <c r="D520" s="10" t="str">
        <f ca="1">IFERROR(__xludf.DUMMYFUNCTION("""COMPUTED_VALUE"""),"UBINAN24-LAPANGAN-SR2")</f>
        <v>UBINAN24-LAPANGAN-SR2</v>
      </c>
      <c r="E520" s="10"/>
      <c r="F520" s="10">
        <f ca="1">IFERROR(__xludf.DUMMYFUNCTION("""COMPUTED_VALUE"""),1)</f>
        <v>1</v>
      </c>
      <c r="G520" s="10" t="str">
        <f ca="1">IFERROR(__xludf.DUMMYFUNCTION("""COMPUTED_VALUE"""),"Herri Gustaman")</f>
        <v>Herri Gustaman</v>
      </c>
      <c r="H520" s="10" t="str">
        <f ca="1">IFERROR(__xludf.DUMMYFUNCTION("""COMPUTED_VALUE"""),"PPL")</f>
        <v>PPL</v>
      </c>
      <c r="I520" s="10" t="str">
        <f ca="1">IFERROR(__xludf.DUMMYFUNCTION("""COMPUTED_VALUE"""),"6102072503800001")</f>
        <v>6102072503800001</v>
      </c>
      <c r="J520" s="10" t="str">
        <f ca="1">IFERROR(__xludf.DUMMYFUNCTION("""COMPUTED_VALUE"""),"PALAWIJA")</f>
        <v>PALAWIJA</v>
      </c>
      <c r="K520" s="10" t="str">
        <f ca="1">IFERROR(__xludf.DUMMYFUNCTION("""COMPUTED_VALUE"""),"UBINAN24-LAPANGAN-SR2-PPL-PALAWIJA")</f>
        <v>UBINAN24-LAPANGAN-SR2-PPL-PALAWIJA</v>
      </c>
      <c r="L520" s="10" t="str">
        <f ca="1">IFERROR(__xludf.DUMMYFUNCTION("""COMPUTED_VALUE"""),"Dokumen")</f>
        <v>Dokumen</v>
      </c>
      <c r="M520" s="66">
        <f ca="1">IFERROR(__xludf.DUMMYFUNCTION("""COMPUTED_VALUE"""),78000)</f>
        <v>78000</v>
      </c>
      <c r="N520" s="10">
        <f ca="1">IFERROR(__xludf.DUMMYFUNCTION("""COMPUTED_VALUE"""),10)</f>
        <v>10</v>
      </c>
      <c r="O520" s="10">
        <f ca="1">IFERROR(__xludf.DUMMYFUNCTION("""COMPUTED_VALUE"""),780000)</f>
        <v>780000</v>
      </c>
      <c r="P520" s="10"/>
      <c r="Q520" s="67">
        <f ca="1">IFERROR(__xludf.DUMMYFUNCTION("""COMPUTED_VALUE"""),45535)</f>
        <v>45535</v>
      </c>
    </row>
    <row r="521" spans="1:17" ht="12.5">
      <c r="A521" s="82">
        <f t="array" aca="1" ref="A521" ca="1">INDEX('Database Mitra'!$R$2:$R1001,MATCH(C521,'Database Mitra'!$B$2:$B1001,0))</f>
        <v>32942</v>
      </c>
      <c r="B521" s="10" t="e">
        <f t="shared" ca="1" si="0"/>
        <v>#NAME?</v>
      </c>
      <c r="C521" s="83">
        <f ca="1">IFERROR(__xludf.DUMMYFUNCTION("""COMPUTED_VALUE"""),610422100244)</f>
        <v>610422100244</v>
      </c>
      <c r="D521" s="10" t="str">
        <f ca="1">IFERROR(__xludf.DUMMYFUNCTION("""COMPUTED_VALUE"""),"UBINAN24-LAPANGAN-SR2")</f>
        <v>UBINAN24-LAPANGAN-SR2</v>
      </c>
      <c r="E521" s="10"/>
      <c r="F521" s="10">
        <f ca="1">IFERROR(__xludf.DUMMYFUNCTION("""COMPUTED_VALUE"""),1)</f>
        <v>1</v>
      </c>
      <c r="G521" s="10" t="str">
        <f ca="1">IFERROR(__xludf.DUMMYFUNCTION("""COMPUTED_VALUE"""),"Sugianto")</f>
        <v>Sugianto</v>
      </c>
      <c r="H521" s="10" t="str">
        <f ca="1">IFERROR(__xludf.DUMMYFUNCTION("""COMPUTED_VALUE"""),"PPL")</f>
        <v>PPL</v>
      </c>
      <c r="I521" s="10" t="str">
        <f ca="1">IFERROR(__xludf.DUMMYFUNCTION("""COMPUTED_VALUE"""),"6102171003900002")</f>
        <v>6102171003900002</v>
      </c>
      <c r="J521" s="10" t="str">
        <f ca="1">IFERROR(__xludf.DUMMYFUNCTION("""COMPUTED_VALUE"""),"PADI")</f>
        <v>PADI</v>
      </c>
      <c r="K521" s="10" t="str">
        <f ca="1">IFERROR(__xludf.DUMMYFUNCTION("""COMPUTED_VALUE"""),"UBINAN24-LAPANGAN-SR2-PPL-PADI")</f>
        <v>UBINAN24-LAPANGAN-SR2-PPL-PADI</v>
      </c>
      <c r="L521" s="10" t="str">
        <f ca="1">IFERROR(__xludf.DUMMYFUNCTION("""COMPUTED_VALUE"""),"Dokumen")</f>
        <v>Dokumen</v>
      </c>
      <c r="M521" s="66">
        <f ca="1">IFERROR(__xludf.DUMMYFUNCTION("""COMPUTED_VALUE"""),78000)</f>
        <v>78000</v>
      </c>
      <c r="N521" s="10">
        <f ca="1">IFERROR(__xludf.DUMMYFUNCTION("""COMPUTED_VALUE"""),6)</f>
        <v>6</v>
      </c>
      <c r="O521" s="10">
        <f ca="1">IFERROR(__xludf.DUMMYFUNCTION("""COMPUTED_VALUE"""),468000)</f>
        <v>468000</v>
      </c>
      <c r="P521" s="10"/>
      <c r="Q521" s="67">
        <f ca="1">IFERROR(__xludf.DUMMYFUNCTION("""COMPUTED_VALUE"""),45535)</f>
        <v>45535</v>
      </c>
    </row>
    <row r="522" spans="1:17" ht="12.5">
      <c r="A522" s="82">
        <f t="array" aca="1" ref="A522" ca="1">INDEX('Database Mitra'!$R$2:$R1001,MATCH(C522,'Database Mitra'!$B$2:$B1001,0))</f>
        <v>28816</v>
      </c>
      <c r="B522" s="10" t="e">
        <f t="shared" ca="1" si="0"/>
        <v>#NAME?</v>
      </c>
      <c r="C522" s="83">
        <f ca="1">IFERROR(__xludf.DUMMYFUNCTION("""COMPUTED_VALUE"""),610422040059)</f>
        <v>610422040059</v>
      </c>
      <c r="D522" s="10" t="str">
        <f ca="1">IFERROR(__xludf.DUMMYFUNCTION("""COMPUTED_VALUE"""),"IMK24-LAPANGAN-TAHUNAN")</f>
        <v>IMK24-LAPANGAN-TAHUNAN</v>
      </c>
      <c r="E522" s="10"/>
      <c r="F522" s="10">
        <f ca="1">IFERROR(__xludf.DUMMYFUNCTION("""COMPUTED_VALUE"""),1)</f>
        <v>1</v>
      </c>
      <c r="G522" s="10" t="str">
        <f ca="1">IFERROR(__xludf.DUMMYFUNCTION("""COMPUTED_VALUE"""),"Abang Handri")</f>
        <v>Abang Handri</v>
      </c>
      <c r="H522" s="10" t="str">
        <f ca="1">IFERROR(__xludf.DUMMYFUNCTION("""COMPUTED_VALUE"""),"PPL")</f>
        <v>PPL</v>
      </c>
      <c r="I522" s="10" t="str">
        <f ca="1">IFERROR(__xludf.DUMMYFUNCTION("""COMPUTED_VALUE"""),"6102072211780002")</f>
        <v>6102072211780002</v>
      </c>
      <c r="J522" s="10" t="str">
        <f ca="1">IFERROR(__xludf.DUMMYFUNCTION("""COMPUTED_VALUE"""),"PENDATAAN")</f>
        <v>PENDATAAN</v>
      </c>
      <c r="K522" s="10" t="str">
        <f ca="1">IFERROR(__xludf.DUMMYFUNCTION("""COMPUTED_VALUE"""),"IMK24-LAPANGAN-TAHUNAN-PPL-PENDATAAN")</f>
        <v>IMK24-LAPANGAN-TAHUNAN-PPL-PENDATAAN</v>
      </c>
      <c r="L522" s="10" t="str">
        <f ca="1">IFERROR(__xludf.DUMMYFUNCTION("""COMPUTED_VALUE"""),"Dokumen")</f>
        <v>Dokumen</v>
      </c>
      <c r="M522" s="66">
        <f ca="1">IFERROR(__xludf.DUMMYFUNCTION("""COMPUTED_VALUE"""),55000)</f>
        <v>55000</v>
      </c>
      <c r="N522" s="10">
        <f ca="1">IFERROR(__xludf.DUMMYFUNCTION("""COMPUTED_VALUE"""),15)</f>
        <v>15</v>
      </c>
      <c r="O522" s="10">
        <f ca="1">IFERROR(__xludf.DUMMYFUNCTION("""COMPUTED_VALUE"""),825000)</f>
        <v>825000</v>
      </c>
      <c r="P522" s="10"/>
      <c r="Q522" s="67">
        <f ca="1">IFERROR(__xludf.DUMMYFUNCTION("""COMPUTED_VALUE"""),45535)</f>
        <v>45535</v>
      </c>
    </row>
    <row r="523" spans="1:17" ht="12.5">
      <c r="A523" s="82">
        <f t="array" aca="1" ref="A523" ca="1">INDEX('Database Mitra'!$R$2:$R1001,MATCH(C523,'Database Mitra'!$B$2:$B1001,0))</f>
        <v>29441</v>
      </c>
      <c r="B523" s="10" t="e">
        <f t="shared" ca="1" si="0"/>
        <v>#NAME?</v>
      </c>
      <c r="C523" s="83">
        <f ca="1">IFERROR(__xludf.DUMMYFUNCTION("""COMPUTED_VALUE"""),610422030001)</f>
        <v>610422030001</v>
      </c>
      <c r="D523" s="10" t="str">
        <f ca="1">IFERROR(__xludf.DUMMYFUNCTION("""COMPUTED_VALUE"""),"IMK24-LAPANGAN-TAHUNAN")</f>
        <v>IMK24-LAPANGAN-TAHUNAN</v>
      </c>
      <c r="E523" s="10"/>
      <c r="F523" s="10">
        <f ca="1">IFERROR(__xludf.DUMMYFUNCTION("""COMPUTED_VALUE"""),1)</f>
        <v>1</v>
      </c>
      <c r="G523" s="10" t="str">
        <f ca="1">IFERROR(__xludf.DUMMYFUNCTION("""COMPUTED_VALUE"""),"Pitra,Sp")</f>
        <v>Pitra,Sp</v>
      </c>
      <c r="H523" s="10" t="str">
        <f ca="1">IFERROR(__xludf.DUMMYFUNCTION("""COMPUTED_VALUE"""),"PPL")</f>
        <v>PPL</v>
      </c>
      <c r="I523" s="10" t="str">
        <f ca="1">IFERROR(__xludf.DUMMYFUNCTION("""COMPUTED_VALUE"""),"6102010808800006")</f>
        <v>6102010808800006</v>
      </c>
      <c r="J523" s="10" t="str">
        <f ca="1">IFERROR(__xludf.DUMMYFUNCTION("""COMPUTED_VALUE"""),"PENDATAAN")</f>
        <v>PENDATAAN</v>
      </c>
      <c r="K523" s="10" t="str">
        <f ca="1">IFERROR(__xludf.DUMMYFUNCTION("""COMPUTED_VALUE"""),"IMK24-LAPANGAN-TAHUNAN-PPL-PENDATAAN")</f>
        <v>IMK24-LAPANGAN-TAHUNAN-PPL-PENDATAAN</v>
      </c>
      <c r="L523" s="10" t="str">
        <f ca="1">IFERROR(__xludf.DUMMYFUNCTION("""COMPUTED_VALUE"""),"Dokumen")</f>
        <v>Dokumen</v>
      </c>
      <c r="M523" s="66">
        <f ca="1">IFERROR(__xludf.DUMMYFUNCTION("""COMPUTED_VALUE"""),55000)</f>
        <v>55000</v>
      </c>
      <c r="N523" s="10">
        <f ca="1">IFERROR(__xludf.DUMMYFUNCTION("""COMPUTED_VALUE"""),13)</f>
        <v>13</v>
      </c>
      <c r="O523" s="10">
        <f ca="1">IFERROR(__xludf.DUMMYFUNCTION("""COMPUTED_VALUE"""),715000)</f>
        <v>715000</v>
      </c>
      <c r="P523" s="10"/>
      <c r="Q523" s="67">
        <f ca="1">IFERROR(__xludf.DUMMYFUNCTION("""COMPUTED_VALUE"""),45535)</f>
        <v>45535</v>
      </c>
    </row>
    <row r="524" spans="1:17" ht="12.5">
      <c r="A524" s="82">
        <f t="array" aca="1" ref="A524" ca="1">INDEX('Database Mitra'!$R$2:$R1001,MATCH(C524,'Database Mitra'!$B$2:$B1001,0))</f>
        <v>34541</v>
      </c>
      <c r="B524" s="10" t="e">
        <f t="shared" ca="1" si="0"/>
        <v>#NAME?</v>
      </c>
      <c r="C524" s="83">
        <f ca="1">IFERROR(__xludf.DUMMYFUNCTION("""COMPUTED_VALUE"""),610422040058)</f>
        <v>610422040058</v>
      </c>
      <c r="D524" s="10" t="str">
        <f ca="1">IFERROR(__xludf.DUMMYFUNCTION("""COMPUTED_VALUE"""),"IMK24-LAPANGAN-TAHUNAN")</f>
        <v>IMK24-LAPANGAN-TAHUNAN</v>
      </c>
      <c r="E524" s="10"/>
      <c r="F524" s="10">
        <f ca="1">IFERROR(__xludf.DUMMYFUNCTION("""COMPUTED_VALUE"""),1)</f>
        <v>1</v>
      </c>
      <c r="G524" s="10" t="str">
        <f ca="1">IFERROR(__xludf.DUMMYFUNCTION("""COMPUTED_VALUE"""),"Jamaluddin, Sp")</f>
        <v>Jamaluddin, Sp</v>
      </c>
      <c r="H524" s="10" t="str">
        <f ca="1">IFERROR(__xludf.DUMMYFUNCTION("""COMPUTED_VALUE"""),"PPL")</f>
        <v>PPL</v>
      </c>
      <c r="I524" s="10" t="str">
        <f ca="1">IFERROR(__xludf.DUMMYFUNCTION("""COMPUTED_VALUE"""),"6102152607940002")</f>
        <v>6102152607940002</v>
      </c>
      <c r="J524" s="10" t="str">
        <f ca="1">IFERROR(__xludf.DUMMYFUNCTION("""COMPUTED_VALUE"""),"PENDATAAN")</f>
        <v>PENDATAAN</v>
      </c>
      <c r="K524" s="10" t="str">
        <f ca="1">IFERROR(__xludf.DUMMYFUNCTION("""COMPUTED_VALUE"""),"IMK24-LAPANGAN-TAHUNAN-PPL-PENDATAAN")</f>
        <v>IMK24-LAPANGAN-TAHUNAN-PPL-PENDATAAN</v>
      </c>
      <c r="L524" s="10" t="str">
        <f ca="1">IFERROR(__xludf.DUMMYFUNCTION("""COMPUTED_VALUE"""),"Dokumen")</f>
        <v>Dokumen</v>
      </c>
      <c r="M524" s="66">
        <f ca="1">IFERROR(__xludf.DUMMYFUNCTION("""COMPUTED_VALUE"""),55000)</f>
        <v>55000</v>
      </c>
      <c r="N524" s="10">
        <f ca="1">IFERROR(__xludf.DUMMYFUNCTION("""COMPUTED_VALUE"""),15)</f>
        <v>15</v>
      </c>
      <c r="O524" s="10">
        <f ca="1">IFERROR(__xludf.DUMMYFUNCTION("""COMPUTED_VALUE"""),825000)</f>
        <v>825000</v>
      </c>
      <c r="P524" s="10"/>
      <c r="Q524" s="67">
        <f ca="1">IFERROR(__xludf.DUMMYFUNCTION("""COMPUTED_VALUE"""),45535)</f>
        <v>45535</v>
      </c>
    </row>
    <row r="525" spans="1:17" ht="12.5">
      <c r="A525" s="82">
        <f t="array" aca="1" ref="A525" ca="1">INDEX('Database Mitra'!$R$2:$R1001,MATCH(C525,'Database Mitra'!$B$2:$B1001,0))</f>
        <v>29297</v>
      </c>
      <c r="B525" s="10" t="e">
        <f t="shared" ca="1" si="0"/>
        <v>#NAME?</v>
      </c>
      <c r="C525" s="83">
        <f ca="1">IFERROR(__xludf.DUMMYFUNCTION("""COMPUTED_VALUE"""),610422020040)</f>
        <v>610422020040</v>
      </c>
      <c r="D525" s="10" t="str">
        <f ca="1">IFERROR(__xludf.DUMMYFUNCTION("""COMPUTED_VALUE"""),"IMK24-LAPANGAN-TAHUNAN")</f>
        <v>IMK24-LAPANGAN-TAHUNAN</v>
      </c>
      <c r="E525" s="10"/>
      <c r="F525" s="10">
        <f ca="1">IFERROR(__xludf.DUMMYFUNCTION("""COMPUTED_VALUE"""),1)</f>
        <v>1</v>
      </c>
      <c r="G525" s="10" t="str">
        <f ca="1">IFERROR(__xludf.DUMMYFUNCTION("""COMPUTED_VALUE"""),"Shofyansyah")</f>
        <v>Shofyansyah</v>
      </c>
      <c r="H525" s="10" t="str">
        <f ca="1">IFERROR(__xludf.DUMMYFUNCTION("""COMPUTED_VALUE"""),"PPL")</f>
        <v>PPL</v>
      </c>
      <c r="I525" s="10" t="str">
        <f ca="1">IFERROR(__xludf.DUMMYFUNCTION("""COMPUTED_VALUE"""),"6102161703760001")</f>
        <v>6102161703760001</v>
      </c>
      <c r="J525" s="10" t="str">
        <f ca="1">IFERROR(__xludf.DUMMYFUNCTION("""COMPUTED_VALUE"""),"PENDATAAN")</f>
        <v>PENDATAAN</v>
      </c>
      <c r="K525" s="10" t="str">
        <f ca="1">IFERROR(__xludf.DUMMYFUNCTION("""COMPUTED_VALUE"""),"IMK24-LAPANGAN-TAHUNAN-PPL-PENDATAAN")</f>
        <v>IMK24-LAPANGAN-TAHUNAN-PPL-PENDATAAN</v>
      </c>
      <c r="L525" s="10" t="str">
        <f ca="1">IFERROR(__xludf.DUMMYFUNCTION("""COMPUTED_VALUE"""),"Dokumen")</f>
        <v>Dokumen</v>
      </c>
      <c r="M525" s="66">
        <f ca="1">IFERROR(__xludf.DUMMYFUNCTION("""COMPUTED_VALUE"""),55000)</f>
        <v>55000</v>
      </c>
      <c r="N525" s="10">
        <f ca="1">IFERROR(__xludf.DUMMYFUNCTION("""COMPUTED_VALUE"""),21)</f>
        <v>21</v>
      </c>
      <c r="O525" s="10">
        <f ca="1">IFERROR(__xludf.DUMMYFUNCTION("""COMPUTED_VALUE"""),1155000)</f>
        <v>1155000</v>
      </c>
      <c r="P525" s="10"/>
      <c r="Q525" s="67">
        <f ca="1">IFERROR(__xludf.DUMMYFUNCTION("""COMPUTED_VALUE"""),45535)</f>
        <v>45535</v>
      </c>
    </row>
    <row r="526" spans="1:17" ht="12.5">
      <c r="A526" s="82">
        <f t="array" aca="1" ref="A526" ca="1">INDEX('Database Mitra'!$R$2:$R1001,MATCH(C526,'Database Mitra'!$B$2:$B1001,0))</f>
        <v>30507</v>
      </c>
      <c r="B526" s="10" t="e">
        <f t="shared" ca="1" si="0"/>
        <v>#NAME?</v>
      </c>
      <c r="C526" s="83">
        <f ca="1">IFERROR(__xludf.DUMMYFUNCTION("""COMPUTED_VALUE"""),610422100001)</f>
        <v>610422100001</v>
      </c>
      <c r="D526" s="10" t="str">
        <f ca="1">IFERROR(__xludf.DUMMYFUNCTION("""COMPUTED_VALUE"""),"IMK24-LAPANGAN-TAHUNAN")</f>
        <v>IMK24-LAPANGAN-TAHUNAN</v>
      </c>
      <c r="E526" s="10"/>
      <c r="F526" s="10">
        <f ca="1">IFERROR(__xludf.DUMMYFUNCTION("""COMPUTED_VALUE"""),1)</f>
        <v>1</v>
      </c>
      <c r="G526" s="10" t="str">
        <f ca="1">IFERROR(__xludf.DUMMYFUNCTION("""COMPUTED_VALUE"""),"Fatmawati,S.Hut")</f>
        <v>Fatmawati,S.Hut</v>
      </c>
      <c r="H526" s="10" t="str">
        <f ca="1">IFERROR(__xludf.DUMMYFUNCTION("""COMPUTED_VALUE"""),"PPL")</f>
        <v>PPL</v>
      </c>
      <c r="I526" s="10" t="str">
        <f ca="1">IFERROR(__xludf.DUMMYFUNCTION("""COMPUTED_VALUE"""),"6102075007830003")</f>
        <v>6102075007830003</v>
      </c>
      <c r="J526" s="10" t="str">
        <f ca="1">IFERROR(__xludf.DUMMYFUNCTION("""COMPUTED_VALUE"""),"PENDATAAN")</f>
        <v>PENDATAAN</v>
      </c>
      <c r="K526" s="10" t="str">
        <f ca="1">IFERROR(__xludf.DUMMYFUNCTION("""COMPUTED_VALUE"""),"IMK24-LAPANGAN-TAHUNAN-PPL-PENDATAAN")</f>
        <v>IMK24-LAPANGAN-TAHUNAN-PPL-PENDATAAN</v>
      </c>
      <c r="L526" s="10" t="str">
        <f ca="1">IFERROR(__xludf.DUMMYFUNCTION("""COMPUTED_VALUE"""),"Dokumen")</f>
        <v>Dokumen</v>
      </c>
      <c r="M526" s="66">
        <f ca="1">IFERROR(__xludf.DUMMYFUNCTION("""COMPUTED_VALUE"""),55000)</f>
        <v>55000</v>
      </c>
      <c r="N526" s="10">
        <f ca="1">IFERROR(__xludf.DUMMYFUNCTION("""COMPUTED_VALUE"""),10)</f>
        <v>10</v>
      </c>
      <c r="O526" s="10">
        <f ca="1">IFERROR(__xludf.DUMMYFUNCTION("""COMPUTED_VALUE"""),550000)</f>
        <v>550000</v>
      </c>
      <c r="P526" s="10"/>
      <c r="Q526" s="67">
        <f ca="1">IFERROR(__xludf.DUMMYFUNCTION("""COMPUTED_VALUE"""),45535)</f>
        <v>45535</v>
      </c>
    </row>
    <row r="527" spans="1:17" ht="12.5">
      <c r="A527" s="82">
        <f t="array" aca="1" ref="A527" ca="1">INDEX('Database Mitra'!$R$2:$R1001,MATCH(C527,'Database Mitra'!$B$2:$B1001,0))</f>
        <v>30866</v>
      </c>
      <c r="B527" s="10" t="e">
        <f t="shared" ca="1" si="0"/>
        <v>#NAME?</v>
      </c>
      <c r="C527" s="83">
        <f ca="1">IFERROR(__xludf.DUMMYFUNCTION("""COMPUTED_VALUE"""),610422040049)</f>
        <v>610422040049</v>
      </c>
      <c r="D527" s="10" t="str">
        <f ca="1">IFERROR(__xludf.DUMMYFUNCTION("""COMPUTED_VALUE"""),"IMK24-LAPANGAN-TAHUNAN")</f>
        <v>IMK24-LAPANGAN-TAHUNAN</v>
      </c>
      <c r="E527" s="10"/>
      <c r="F527" s="10">
        <f ca="1">IFERROR(__xludf.DUMMYFUNCTION("""COMPUTED_VALUE"""),1)</f>
        <v>1</v>
      </c>
      <c r="G527" s="10" t="str">
        <f ca="1">IFERROR(__xludf.DUMMYFUNCTION("""COMPUTED_VALUE"""),"Sulis Tri Handayani")</f>
        <v>Sulis Tri Handayani</v>
      </c>
      <c r="H527" s="10" t="str">
        <f ca="1">IFERROR(__xludf.DUMMYFUNCTION("""COMPUTED_VALUE"""),"PPL")</f>
        <v>PPL</v>
      </c>
      <c r="I527" s="10" t="str">
        <f ca="1">IFERROR(__xludf.DUMMYFUNCTION("""COMPUTED_VALUE"""),"6102074307840004")</f>
        <v>6102074307840004</v>
      </c>
      <c r="J527" s="10" t="str">
        <f ca="1">IFERROR(__xludf.DUMMYFUNCTION("""COMPUTED_VALUE"""),"PENDATAAN")</f>
        <v>PENDATAAN</v>
      </c>
      <c r="K527" s="10" t="str">
        <f ca="1">IFERROR(__xludf.DUMMYFUNCTION("""COMPUTED_VALUE"""),"IMK24-LAPANGAN-TAHUNAN-PPL-PENDATAAN")</f>
        <v>IMK24-LAPANGAN-TAHUNAN-PPL-PENDATAAN</v>
      </c>
      <c r="L527" s="10" t="str">
        <f ca="1">IFERROR(__xludf.DUMMYFUNCTION("""COMPUTED_VALUE"""),"Dokumen")</f>
        <v>Dokumen</v>
      </c>
      <c r="M527" s="66">
        <f ca="1">IFERROR(__xludf.DUMMYFUNCTION("""COMPUTED_VALUE"""),55000)</f>
        <v>55000</v>
      </c>
      <c r="N527" s="10">
        <f ca="1">IFERROR(__xludf.DUMMYFUNCTION("""COMPUTED_VALUE"""),21)</f>
        <v>21</v>
      </c>
      <c r="O527" s="10">
        <f ca="1">IFERROR(__xludf.DUMMYFUNCTION("""COMPUTED_VALUE"""),1155000)</f>
        <v>1155000</v>
      </c>
      <c r="P527" s="10"/>
      <c r="Q527" s="67">
        <f ca="1">IFERROR(__xludf.DUMMYFUNCTION("""COMPUTED_VALUE"""),45535)</f>
        <v>45535</v>
      </c>
    </row>
    <row r="528" spans="1:17" ht="12.5">
      <c r="A528" s="82">
        <f t="array" aca="1" ref="A528" ca="1">INDEX('Database Mitra'!$R$2:$R1001,MATCH(C528,'Database Mitra'!$B$2:$B1001,0))</f>
        <v>27798</v>
      </c>
      <c r="B528" s="10" t="e">
        <f t="shared" ca="1" si="0"/>
        <v>#NAME?</v>
      </c>
      <c r="C528" s="83">
        <f ca="1">IFERROR(__xludf.DUMMYFUNCTION("""COMPUTED_VALUE"""),610422040056)</f>
        <v>610422040056</v>
      </c>
      <c r="D528" s="10" t="str">
        <f ca="1">IFERROR(__xludf.DUMMYFUNCTION("""COMPUTED_VALUE"""),"IMK24-LAPANGAN-TAHUNAN")</f>
        <v>IMK24-LAPANGAN-TAHUNAN</v>
      </c>
      <c r="E528" s="10"/>
      <c r="F528" s="10">
        <f ca="1">IFERROR(__xludf.DUMMYFUNCTION("""COMPUTED_VALUE"""),1)</f>
        <v>1</v>
      </c>
      <c r="G528" s="10" t="str">
        <f ca="1">IFERROR(__xludf.DUMMYFUNCTION("""COMPUTED_VALUE"""),"Wandi Syafari")</f>
        <v>Wandi Syafari</v>
      </c>
      <c r="H528" s="10" t="str">
        <f ca="1">IFERROR(__xludf.DUMMYFUNCTION("""COMPUTED_VALUE"""),"PPL")</f>
        <v>PPL</v>
      </c>
      <c r="I528" s="10" t="str">
        <f ca="1">IFERROR(__xludf.DUMMYFUNCTION("""COMPUTED_VALUE"""),"6102010802760001")</f>
        <v>6102010802760001</v>
      </c>
      <c r="J528" s="10" t="str">
        <f ca="1">IFERROR(__xludf.DUMMYFUNCTION("""COMPUTED_VALUE"""),"PENDATAAN")</f>
        <v>PENDATAAN</v>
      </c>
      <c r="K528" s="10" t="str">
        <f ca="1">IFERROR(__xludf.DUMMYFUNCTION("""COMPUTED_VALUE"""),"IMK24-LAPANGAN-TAHUNAN-PPL-PENDATAAN")</f>
        <v>IMK24-LAPANGAN-TAHUNAN-PPL-PENDATAAN</v>
      </c>
      <c r="L528" s="10" t="str">
        <f ca="1">IFERROR(__xludf.DUMMYFUNCTION("""COMPUTED_VALUE"""),"Dokumen")</f>
        <v>Dokumen</v>
      </c>
      <c r="M528" s="66">
        <f ca="1">IFERROR(__xludf.DUMMYFUNCTION("""COMPUTED_VALUE"""),55000)</f>
        <v>55000</v>
      </c>
      <c r="N528" s="10">
        <f ca="1">IFERROR(__xludf.DUMMYFUNCTION("""COMPUTED_VALUE"""),9)</f>
        <v>9</v>
      </c>
      <c r="O528" s="10">
        <f ca="1">IFERROR(__xludf.DUMMYFUNCTION("""COMPUTED_VALUE"""),495000)</f>
        <v>495000</v>
      </c>
      <c r="P528" s="10"/>
      <c r="Q528" s="67">
        <f ca="1">IFERROR(__xludf.DUMMYFUNCTION("""COMPUTED_VALUE"""),45535)</f>
        <v>45535</v>
      </c>
    </row>
    <row r="529" spans="1:17" ht="12.5">
      <c r="A529" s="82">
        <f t="array" aca="1" ref="A529" ca="1">INDEX('Database Mitra'!$R$2:$R1001,MATCH(C529,'Database Mitra'!$B$2:$B1001,0))</f>
        <v>29359</v>
      </c>
      <c r="B529" s="10" t="e">
        <f t="shared" ca="1" si="0"/>
        <v>#NAME?</v>
      </c>
      <c r="C529" s="83">
        <f ca="1">IFERROR(__xludf.DUMMYFUNCTION("""COMPUTED_VALUE"""),610422040062)</f>
        <v>610422040062</v>
      </c>
      <c r="D529" s="10" t="str">
        <f ca="1">IFERROR(__xludf.DUMMYFUNCTION("""COMPUTED_VALUE"""),"IMK24-LAPANGAN-TAHUNAN")</f>
        <v>IMK24-LAPANGAN-TAHUNAN</v>
      </c>
      <c r="E529" s="10"/>
      <c r="F529" s="10">
        <f ca="1">IFERROR(__xludf.DUMMYFUNCTION("""COMPUTED_VALUE"""),1)</f>
        <v>1</v>
      </c>
      <c r="G529" s="10" t="str">
        <f ca="1">IFERROR(__xludf.DUMMYFUNCTION("""COMPUTED_VALUE"""),"Yudi Wahyudi")</f>
        <v>Yudi Wahyudi</v>
      </c>
      <c r="H529" s="10" t="str">
        <f ca="1">IFERROR(__xludf.DUMMYFUNCTION("""COMPUTED_VALUE"""),"PPL")</f>
        <v>PPL</v>
      </c>
      <c r="I529" s="10" t="str">
        <f ca="1">IFERROR(__xludf.DUMMYFUNCTION("""COMPUTED_VALUE"""),"6108011805800004")</f>
        <v>6108011805800004</v>
      </c>
      <c r="J529" s="10" t="str">
        <f ca="1">IFERROR(__xludf.DUMMYFUNCTION("""COMPUTED_VALUE"""),"PENDATAAN")</f>
        <v>PENDATAAN</v>
      </c>
      <c r="K529" s="10" t="str">
        <f ca="1">IFERROR(__xludf.DUMMYFUNCTION("""COMPUTED_VALUE"""),"IMK24-LAPANGAN-TAHUNAN-PPL-PENDATAAN")</f>
        <v>IMK24-LAPANGAN-TAHUNAN-PPL-PENDATAAN</v>
      </c>
      <c r="L529" s="10" t="str">
        <f ca="1">IFERROR(__xludf.DUMMYFUNCTION("""COMPUTED_VALUE"""),"Dokumen")</f>
        <v>Dokumen</v>
      </c>
      <c r="M529" s="66">
        <f ca="1">IFERROR(__xludf.DUMMYFUNCTION("""COMPUTED_VALUE"""),55000)</f>
        <v>55000</v>
      </c>
      <c r="N529" s="10">
        <f ca="1">IFERROR(__xludf.DUMMYFUNCTION("""COMPUTED_VALUE"""),9)</f>
        <v>9</v>
      </c>
      <c r="O529" s="10">
        <f ca="1">IFERROR(__xludf.DUMMYFUNCTION("""COMPUTED_VALUE"""),495000)</f>
        <v>495000</v>
      </c>
      <c r="P529" s="10"/>
      <c r="Q529" s="67">
        <f ca="1">IFERROR(__xludf.DUMMYFUNCTION("""COMPUTED_VALUE"""),45535)</f>
        <v>45535</v>
      </c>
    </row>
    <row r="530" spans="1:17" ht="12.5">
      <c r="A530" s="82">
        <f t="array" aca="1" ref="A530" ca="1">INDEX('Database Mitra'!$R$2:$R1001,MATCH(C530,'Database Mitra'!$B$2:$B1001,0))</f>
        <v>36088</v>
      </c>
      <c r="B530" s="10" t="e">
        <f t="shared" ca="1" si="0"/>
        <v>#NAME?</v>
      </c>
      <c r="C530" s="83">
        <f ca="1">IFERROR(__xludf.DUMMYFUNCTION("""COMPUTED_VALUE"""),610422100006)</f>
        <v>610422100006</v>
      </c>
      <c r="D530" s="10" t="str">
        <f ca="1">IFERROR(__xludf.DUMMYFUNCTION("""COMPUTED_VALUE"""),"IMK24-LAPANGAN-TAHUNAN")</f>
        <v>IMK24-LAPANGAN-TAHUNAN</v>
      </c>
      <c r="E530" s="10"/>
      <c r="F530" s="10">
        <f ca="1">IFERROR(__xludf.DUMMYFUNCTION("""COMPUTED_VALUE"""),1)</f>
        <v>1</v>
      </c>
      <c r="G530" s="10" t="str">
        <f ca="1">IFERROR(__xludf.DUMMYFUNCTION("""COMPUTED_VALUE"""),"Dandy")</f>
        <v>Dandy</v>
      </c>
      <c r="H530" s="10" t="str">
        <f ca="1">IFERROR(__xludf.DUMMYFUNCTION("""COMPUTED_VALUE"""),"PPL")</f>
        <v>PPL</v>
      </c>
      <c r="I530" s="10" t="str">
        <f ca="1">IFERROR(__xludf.DUMMYFUNCTION("""COMPUTED_VALUE"""),"6102082010980003")</f>
        <v>6102082010980003</v>
      </c>
      <c r="J530" s="10" t="str">
        <f ca="1">IFERROR(__xludf.DUMMYFUNCTION("""COMPUTED_VALUE"""),"PENDATAAN")</f>
        <v>PENDATAAN</v>
      </c>
      <c r="K530" s="10" t="str">
        <f ca="1">IFERROR(__xludf.DUMMYFUNCTION("""COMPUTED_VALUE"""),"IMK24-LAPANGAN-TAHUNAN-PPL-PENDATAAN")</f>
        <v>IMK24-LAPANGAN-TAHUNAN-PPL-PENDATAAN</v>
      </c>
      <c r="L530" s="10" t="str">
        <f ca="1">IFERROR(__xludf.DUMMYFUNCTION("""COMPUTED_VALUE"""),"Dokumen")</f>
        <v>Dokumen</v>
      </c>
      <c r="M530" s="66">
        <f ca="1">IFERROR(__xludf.DUMMYFUNCTION("""COMPUTED_VALUE"""),55000)</f>
        <v>55000</v>
      </c>
      <c r="N530" s="10">
        <f ca="1">IFERROR(__xludf.DUMMYFUNCTION("""COMPUTED_VALUE"""),6)</f>
        <v>6</v>
      </c>
      <c r="O530" s="10">
        <f ca="1">IFERROR(__xludf.DUMMYFUNCTION("""COMPUTED_VALUE"""),330000)</f>
        <v>330000</v>
      </c>
      <c r="P530" s="10"/>
      <c r="Q530" s="67">
        <f ca="1">IFERROR(__xludf.DUMMYFUNCTION("""COMPUTED_VALUE"""),45535)</f>
        <v>45535</v>
      </c>
    </row>
    <row r="531" spans="1:17" ht="12.5">
      <c r="A531" s="82">
        <f t="array" aca="1" ref="A531" ca="1">INDEX('Database Mitra'!$R$2:$R1001,MATCH(C531,'Database Mitra'!$B$2:$B1001,0))</f>
        <v>37343</v>
      </c>
      <c r="B531" s="10" t="e">
        <f t="shared" ca="1" si="0"/>
        <v>#NAME?</v>
      </c>
      <c r="C531" s="83">
        <f ca="1">IFERROR(__xludf.DUMMYFUNCTION("""COMPUTED_VALUE"""),610422040006)</f>
        <v>610422040006</v>
      </c>
      <c r="D531" s="10" t="str">
        <f ca="1">IFERROR(__xludf.DUMMYFUNCTION("""COMPUTED_VALUE"""),"IMK24-LAPANGAN-TAHUNAN")</f>
        <v>IMK24-LAPANGAN-TAHUNAN</v>
      </c>
      <c r="E531" s="10"/>
      <c r="F531" s="10">
        <f ca="1">IFERROR(__xludf.DUMMYFUNCTION("""COMPUTED_VALUE"""),1)</f>
        <v>1</v>
      </c>
      <c r="G531" s="10" t="str">
        <f ca="1">IFERROR(__xludf.DUMMYFUNCTION("""COMPUTED_VALUE"""),"Ridha Nur Mitha")</f>
        <v>Ridha Nur Mitha</v>
      </c>
      <c r="H531" s="10" t="str">
        <f ca="1">IFERROR(__xludf.DUMMYFUNCTION("""COMPUTED_VALUE"""),"PPL")</f>
        <v>PPL</v>
      </c>
      <c r="I531" s="10" t="str">
        <f ca="1">IFERROR(__xludf.DUMMYFUNCTION("""COMPUTED_VALUE"""),"6102186803020002")</f>
        <v>6102186803020002</v>
      </c>
      <c r="J531" s="10" t="str">
        <f ca="1">IFERROR(__xludf.DUMMYFUNCTION("""COMPUTED_VALUE"""),"PENDATAAN")</f>
        <v>PENDATAAN</v>
      </c>
      <c r="K531" s="10" t="str">
        <f ca="1">IFERROR(__xludf.DUMMYFUNCTION("""COMPUTED_VALUE"""),"IMK24-LAPANGAN-TAHUNAN-PPL-PENDATAAN")</f>
        <v>IMK24-LAPANGAN-TAHUNAN-PPL-PENDATAAN</v>
      </c>
      <c r="L531" s="10" t="str">
        <f ca="1">IFERROR(__xludf.DUMMYFUNCTION("""COMPUTED_VALUE"""),"Dokumen")</f>
        <v>Dokumen</v>
      </c>
      <c r="M531" s="66">
        <f ca="1">IFERROR(__xludf.DUMMYFUNCTION("""COMPUTED_VALUE"""),55000)</f>
        <v>55000</v>
      </c>
      <c r="N531" s="10">
        <f ca="1">IFERROR(__xludf.DUMMYFUNCTION("""COMPUTED_VALUE"""),5)</f>
        <v>5</v>
      </c>
      <c r="O531" s="10">
        <f ca="1">IFERROR(__xludf.DUMMYFUNCTION("""COMPUTED_VALUE"""),275000)</f>
        <v>275000</v>
      </c>
      <c r="P531" s="10"/>
      <c r="Q531" s="67">
        <f ca="1">IFERROR(__xludf.DUMMYFUNCTION("""COMPUTED_VALUE"""),45535)</f>
        <v>45535</v>
      </c>
    </row>
    <row r="532" spans="1:17" ht="12.5">
      <c r="A532" s="11">
        <f t="array" aca="1" ref="A532" ca="1">INDEX('Database Mitra'!$R$2:$R1001,MATCH(C532,'Database Mitra'!$B$2:$B1001,0))</f>
        <v>29305</v>
      </c>
      <c r="B532" s="10" t="e">
        <f t="shared" ca="1" si="0"/>
        <v>#NAME?</v>
      </c>
      <c r="C532" s="83">
        <f ca="1">IFERROR(__xludf.DUMMYFUNCTION("""COMPUTED_VALUE"""),610422020048)</f>
        <v>610422020048</v>
      </c>
      <c r="D532" s="10" t="str">
        <f ca="1">IFERROR(__xludf.DUMMYFUNCTION("""COMPUTED_VALUE"""),"STPIM24-LAPANGAN-TAHUNAN")</f>
        <v>STPIM24-LAPANGAN-TAHUNAN</v>
      </c>
      <c r="E532" s="10"/>
      <c r="F532" s="10">
        <f ca="1">IFERROR(__xludf.DUMMYFUNCTION("""COMPUTED_VALUE"""),1)</f>
        <v>1</v>
      </c>
      <c r="G532" s="10" t="str">
        <f ca="1">IFERROR(__xludf.DUMMYFUNCTION("""COMPUTED_VALUE"""),"Herri Gustaman")</f>
        <v>Herri Gustaman</v>
      </c>
      <c r="H532" s="10" t="str">
        <f ca="1">IFERROR(__xludf.DUMMYFUNCTION("""COMPUTED_VALUE"""),"PPL")</f>
        <v>PPL</v>
      </c>
      <c r="I532" s="10" t="str">
        <f ca="1">IFERROR(__xludf.DUMMYFUNCTION("""COMPUTED_VALUE"""),"6102072503800001")</f>
        <v>6102072503800001</v>
      </c>
      <c r="J532" s="10" t="str">
        <f ca="1">IFERROR(__xludf.DUMMYFUNCTION("""COMPUTED_VALUE"""),"PENDATAAN")</f>
        <v>PENDATAAN</v>
      </c>
      <c r="K532" s="10" t="str">
        <f ca="1">IFERROR(__xludf.DUMMYFUNCTION("""COMPUTED_VALUE"""),"STPIM24-LAPANGAN-TAHUNAN-PPL-PENDATAAN")</f>
        <v>STPIM24-LAPANGAN-TAHUNAN-PPL-PENDATAAN</v>
      </c>
      <c r="L532" s="10" t="str">
        <f ca="1">IFERROR(__xludf.DUMMYFUNCTION("""COMPUTED_VALUE"""),"Dokumen")</f>
        <v>Dokumen</v>
      </c>
      <c r="M532" s="66">
        <f ca="1">IFERROR(__xludf.DUMMYFUNCTION("""COMPUTED_VALUE"""),78000)</f>
        <v>78000</v>
      </c>
      <c r="N532" s="10">
        <f ca="1">IFERROR(__xludf.DUMMYFUNCTION("""COMPUTED_VALUE"""),19)</f>
        <v>19</v>
      </c>
      <c r="O532" s="10">
        <f ca="1">IFERROR(__xludf.DUMMYFUNCTION("""COMPUTED_VALUE"""),1482000)</f>
        <v>1482000</v>
      </c>
      <c r="P532" s="10"/>
      <c r="Q532" s="67">
        <f ca="1">IFERROR(__xludf.DUMMYFUNCTION("""COMPUTED_VALUE"""),45535)</f>
        <v>45535</v>
      </c>
    </row>
    <row r="533" spans="1:17" ht="12.5">
      <c r="A533" s="82">
        <f t="array" aca="1" ref="A533" ca="1">INDEX('Database Mitra'!$R$2:$R1001,MATCH(C533,'Database Mitra'!$B$2:$B1001,0))</f>
        <v>35465</v>
      </c>
      <c r="B533" s="10" t="e">
        <f t="shared" ca="1" si="0"/>
        <v>#NAME?</v>
      </c>
      <c r="C533" s="83">
        <f ca="1">IFERROR(__xludf.DUMMYFUNCTION("""COMPUTED_VALUE"""),610422100153)</f>
        <v>610422100153</v>
      </c>
      <c r="D533" s="10" t="str">
        <f ca="1">IFERROR(__xludf.DUMMYFUNCTION("""COMPUTED_VALUE"""),"GALIANBH24-LAPANGAN")</f>
        <v>GALIANBH24-LAPANGAN</v>
      </c>
      <c r="E533" s="10"/>
      <c r="F533" s="10">
        <f ca="1">IFERROR(__xludf.DUMMYFUNCTION("""COMPUTED_VALUE"""),1)</f>
        <v>1</v>
      </c>
      <c r="G533" s="10" t="str">
        <f ca="1">IFERROR(__xludf.DUMMYFUNCTION("""COMPUTED_VALUE"""),"Kharim Marufah")</f>
        <v>Kharim Marufah</v>
      </c>
      <c r="H533" s="10" t="str">
        <f ca="1">IFERROR(__xludf.DUMMYFUNCTION("""COMPUTED_VALUE"""),"PPL")</f>
        <v>PPL</v>
      </c>
      <c r="I533" s="10" t="str">
        <f ca="1">IFERROR(__xludf.DUMMYFUNCTION("""COMPUTED_VALUE"""),"6102074402970005")</f>
        <v>6102074402970005</v>
      </c>
      <c r="J533" s="10" t="str">
        <f ca="1">IFERROR(__xludf.DUMMYFUNCTION("""COMPUTED_VALUE"""),"PENDATAAN")</f>
        <v>PENDATAAN</v>
      </c>
      <c r="K533" s="10" t="str">
        <f ca="1">IFERROR(__xludf.DUMMYFUNCTION("""COMPUTED_VALUE"""),"GALIANBH24-LAPANGAN-PPL-PENDATAAN")</f>
        <v>GALIANBH24-LAPANGAN-PPL-PENDATAAN</v>
      </c>
      <c r="L533" s="10" t="str">
        <f ca="1">IFERROR(__xludf.DUMMYFUNCTION("""COMPUTED_VALUE"""),"Dokumen")</f>
        <v>Dokumen</v>
      </c>
      <c r="M533" s="66">
        <f ca="1">IFERROR(__xludf.DUMMYFUNCTION("""COMPUTED_VALUE"""),75000)</f>
        <v>75000</v>
      </c>
      <c r="N533" s="10">
        <f ca="1">IFERROR(__xludf.DUMMYFUNCTION("""COMPUTED_VALUE"""),5)</f>
        <v>5</v>
      </c>
      <c r="O533" s="10">
        <f ca="1">IFERROR(__xludf.DUMMYFUNCTION("""COMPUTED_VALUE"""),375000)</f>
        <v>375000</v>
      </c>
      <c r="P533" s="10"/>
      <c r="Q533" s="67">
        <f ca="1">IFERROR(__xludf.DUMMYFUNCTION("""COMPUTED_VALUE"""),45535)</f>
        <v>45535</v>
      </c>
    </row>
    <row r="534" spans="1:17" ht="12.5">
      <c r="A534" s="82">
        <f t="array" aca="1" ref="A534" ca="1">INDEX('Database Mitra'!$R$2:$R1001,MATCH(C534,'Database Mitra'!$B$2:$B1001,0))</f>
        <v>29441</v>
      </c>
      <c r="B534" s="10" t="e">
        <f t="shared" ca="1" si="0"/>
        <v>#NAME?</v>
      </c>
      <c r="C534" s="83">
        <f ca="1">IFERROR(__xludf.DUMMYFUNCTION("""COMPUTED_VALUE"""),610422030001)</f>
        <v>610422030001</v>
      </c>
      <c r="D534" s="10" t="str">
        <f ca="1">IFERROR(__xludf.DUMMYFUNCTION("""COMPUTED_VALUE"""),"SKSPPI24-LAPANGAN-TAHUNAN")</f>
        <v>SKSPPI24-LAPANGAN-TAHUNAN</v>
      </c>
      <c r="E534" s="10"/>
      <c r="F534" s="10">
        <f ca="1">IFERROR(__xludf.DUMMYFUNCTION("""COMPUTED_VALUE"""),1)</f>
        <v>1</v>
      </c>
      <c r="G534" s="10" t="str">
        <f ca="1">IFERROR(__xludf.DUMMYFUNCTION("""COMPUTED_VALUE"""),"Pitra,Sp")</f>
        <v>Pitra,Sp</v>
      </c>
      <c r="H534" s="10" t="str">
        <f ca="1">IFERROR(__xludf.DUMMYFUNCTION("""COMPUTED_VALUE"""),"PPL")</f>
        <v>PPL</v>
      </c>
      <c r="I534" s="10" t="str">
        <f ca="1">IFERROR(__xludf.DUMMYFUNCTION("""COMPUTED_VALUE"""),"6102010808800006")</f>
        <v>6102010808800006</v>
      </c>
      <c r="J534" s="10" t="str">
        <f ca="1">IFERROR(__xludf.DUMMYFUNCTION("""COMPUTED_VALUE"""),"PENDATAAN")</f>
        <v>PENDATAAN</v>
      </c>
      <c r="K534" s="10" t="str">
        <f ca="1">IFERROR(__xludf.DUMMYFUNCTION("""COMPUTED_VALUE"""),"SKSPPI24-LAPANGAN-TAHUNAN-PPL-PENDATAAN")</f>
        <v>SKSPPI24-LAPANGAN-TAHUNAN-PPL-PENDATAAN</v>
      </c>
      <c r="L534" s="10" t="str">
        <f ca="1">IFERROR(__xludf.DUMMYFUNCTION("""COMPUTED_VALUE"""),"Dokumen")</f>
        <v>Dokumen</v>
      </c>
      <c r="M534" s="66">
        <f ca="1">IFERROR(__xludf.DUMMYFUNCTION("""COMPUTED_VALUE"""),75000)</f>
        <v>75000</v>
      </c>
      <c r="N534" s="10">
        <f ca="1">IFERROR(__xludf.DUMMYFUNCTION("""COMPUTED_VALUE"""),5)</f>
        <v>5</v>
      </c>
      <c r="O534" s="10">
        <f ca="1">IFERROR(__xludf.DUMMYFUNCTION("""COMPUTED_VALUE"""),375000)</f>
        <v>375000</v>
      </c>
      <c r="P534" s="10"/>
      <c r="Q534" s="67">
        <f ca="1">IFERROR(__xludf.DUMMYFUNCTION("""COMPUTED_VALUE"""),45565)</f>
        <v>45565</v>
      </c>
    </row>
    <row r="535" spans="1:17" ht="12.5">
      <c r="A535" s="82">
        <f t="array" aca="1" ref="A535" ca="1">INDEX('Database Mitra'!$R$2:$R1001,MATCH(C535,'Database Mitra'!$B$2:$B1001,0))</f>
        <v>32158</v>
      </c>
      <c r="B535" s="10" t="e">
        <f t="shared" ca="1" si="0"/>
        <v>#NAME?</v>
      </c>
      <c r="C535" s="83">
        <f ca="1">IFERROR(__xludf.DUMMYFUNCTION("""COMPUTED_VALUE"""),610422100101)</f>
        <v>610422100101</v>
      </c>
      <c r="D535" s="10" t="str">
        <f ca="1">IFERROR(__xludf.DUMMYFUNCTION("""COMPUTED_VALUE"""),"SKSPPI24-LAPANGAN-TAHUNAN")</f>
        <v>SKSPPI24-LAPANGAN-TAHUNAN</v>
      </c>
      <c r="E535" s="10"/>
      <c r="F535" s="10">
        <f ca="1">IFERROR(__xludf.DUMMYFUNCTION("""COMPUTED_VALUE"""),1)</f>
        <v>1</v>
      </c>
      <c r="G535" s="10" t="str">
        <f ca="1">IFERROR(__xludf.DUMMYFUNCTION("""COMPUTED_VALUE"""),"Sukmawati,S.Si")</f>
        <v>Sukmawati,S.Si</v>
      </c>
      <c r="H535" s="10" t="str">
        <f ca="1">IFERROR(__xludf.DUMMYFUNCTION("""COMPUTED_VALUE"""),"PPL")</f>
        <v>PPL</v>
      </c>
      <c r="I535" s="10" t="str">
        <f ca="1">IFERROR(__xludf.DUMMYFUNCTION("""COMPUTED_VALUE"""),"3402135601880001")</f>
        <v>3402135601880001</v>
      </c>
      <c r="J535" s="10" t="str">
        <f ca="1">IFERROR(__xludf.DUMMYFUNCTION("""COMPUTED_VALUE"""),"PENDATAAN")</f>
        <v>PENDATAAN</v>
      </c>
      <c r="K535" s="10" t="str">
        <f ca="1">IFERROR(__xludf.DUMMYFUNCTION("""COMPUTED_VALUE"""),"SKSPPI24-LAPANGAN-TAHUNAN-PPL-PENDATAAN")</f>
        <v>SKSPPI24-LAPANGAN-TAHUNAN-PPL-PENDATAAN</v>
      </c>
      <c r="L535" s="10" t="str">
        <f ca="1">IFERROR(__xludf.DUMMYFUNCTION("""COMPUTED_VALUE"""),"Dokumen")</f>
        <v>Dokumen</v>
      </c>
      <c r="M535" s="66">
        <f ca="1">IFERROR(__xludf.DUMMYFUNCTION("""COMPUTED_VALUE"""),75000)</f>
        <v>75000</v>
      </c>
      <c r="N535" s="10">
        <f ca="1">IFERROR(__xludf.DUMMYFUNCTION("""COMPUTED_VALUE"""),5)</f>
        <v>5</v>
      </c>
      <c r="O535" s="10">
        <f ca="1">IFERROR(__xludf.DUMMYFUNCTION("""COMPUTED_VALUE"""),375000)</f>
        <v>375000</v>
      </c>
      <c r="P535" s="10"/>
      <c r="Q535" s="67">
        <f ca="1">IFERROR(__xludf.DUMMYFUNCTION("""COMPUTED_VALUE"""),45565)</f>
        <v>45565</v>
      </c>
    </row>
    <row r="536" spans="1:17" ht="12.5">
      <c r="A536" s="82">
        <f t="array" aca="1" ref="A536" ca="1">INDEX('Database Mitra'!$R$2:$R1001,MATCH(C536,'Database Mitra'!$B$2:$B1001,0))</f>
        <v>31484</v>
      </c>
      <c r="B536" s="10" t="e">
        <f t="shared" ca="1" si="0"/>
        <v>#NAME?</v>
      </c>
      <c r="C536" s="83">
        <f ca="1">IFERROR(__xludf.DUMMYFUNCTION("""COMPUTED_VALUE"""),610422020044)</f>
        <v>610422020044</v>
      </c>
      <c r="D536" s="10" t="str">
        <f ca="1">IFERROR(__xludf.DUMMYFUNCTION("""COMPUTED_VALUE"""),"SKSPPI24-LAPANGAN-TAHUNAN")</f>
        <v>SKSPPI24-LAPANGAN-TAHUNAN</v>
      </c>
      <c r="E536" s="10"/>
      <c r="F536" s="10">
        <f ca="1">IFERROR(__xludf.DUMMYFUNCTION("""COMPUTED_VALUE"""),1)</f>
        <v>1</v>
      </c>
      <c r="G536" s="10" t="str">
        <f ca="1">IFERROR(__xludf.DUMMYFUNCTION("""COMPUTED_VALUE"""),"Hawasi")</f>
        <v>Hawasi</v>
      </c>
      <c r="H536" s="10" t="str">
        <f ca="1">IFERROR(__xludf.DUMMYFUNCTION("""COMPUTED_VALUE"""),"PPL")</f>
        <v>PPL</v>
      </c>
      <c r="I536" s="10" t="str">
        <f ca="1">IFERROR(__xludf.DUMMYFUNCTION("""COMPUTED_VALUE"""),"6101051303860001")</f>
        <v>6101051303860001</v>
      </c>
      <c r="J536" s="10" t="str">
        <f ca="1">IFERROR(__xludf.DUMMYFUNCTION("""COMPUTED_VALUE"""),"PENDATAAN")</f>
        <v>PENDATAAN</v>
      </c>
      <c r="K536" s="10" t="str">
        <f ca="1">IFERROR(__xludf.DUMMYFUNCTION("""COMPUTED_VALUE"""),"SKSPPI24-LAPANGAN-TAHUNAN-PPL-PENDATAAN")</f>
        <v>SKSPPI24-LAPANGAN-TAHUNAN-PPL-PENDATAAN</v>
      </c>
      <c r="L536" s="10" t="str">
        <f ca="1">IFERROR(__xludf.DUMMYFUNCTION("""COMPUTED_VALUE"""),"Dokumen")</f>
        <v>Dokumen</v>
      </c>
      <c r="M536" s="66">
        <f ca="1">IFERROR(__xludf.DUMMYFUNCTION("""COMPUTED_VALUE"""),75000)</f>
        <v>75000</v>
      </c>
      <c r="N536" s="10">
        <f ca="1">IFERROR(__xludf.DUMMYFUNCTION("""COMPUTED_VALUE"""),5)</f>
        <v>5</v>
      </c>
      <c r="O536" s="10">
        <f ca="1">IFERROR(__xludf.DUMMYFUNCTION("""COMPUTED_VALUE"""),375000)</f>
        <v>375000</v>
      </c>
      <c r="P536" s="10"/>
      <c r="Q536" s="67">
        <f ca="1">IFERROR(__xludf.DUMMYFUNCTION("""COMPUTED_VALUE"""),45565)</f>
        <v>45565</v>
      </c>
    </row>
    <row r="537" spans="1:17" ht="12.5">
      <c r="A537" s="82">
        <f t="array" aca="1" ref="A537" ca="1">INDEX('Database Mitra'!$R$2:$R1001,MATCH(C537,'Database Mitra'!$B$2:$B1001,0))</f>
        <v>29441</v>
      </c>
      <c r="B537" s="10" t="e">
        <f t="shared" ca="1" si="0"/>
        <v>#NAME?</v>
      </c>
      <c r="C537" s="83">
        <f ca="1">IFERROR(__xludf.DUMMYFUNCTION("""COMPUTED_VALUE"""),610422030001)</f>
        <v>610422030001</v>
      </c>
      <c r="D537" s="10" t="str">
        <f ca="1">IFERROR(__xludf.DUMMYFUNCTION("""COMPUTED_VALUE"""),"SAKERNAS24-LAPANGAN-SEMESTER2")</f>
        <v>SAKERNAS24-LAPANGAN-SEMESTER2</v>
      </c>
      <c r="E537" s="10"/>
      <c r="F537" s="10">
        <f ca="1">IFERROR(__xludf.DUMMYFUNCTION("""COMPUTED_VALUE"""),1)</f>
        <v>1</v>
      </c>
      <c r="G537" s="10" t="str">
        <f ca="1">IFERROR(__xludf.DUMMYFUNCTION("""COMPUTED_VALUE"""),"Pitra,Sp")</f>
        <v>Pitra,Sp</v>
      </c>
      <c r="H537" s="10" t="str">
        <f ca="1">IFERROR(__xludf.DUMMYFUNCTION("""COMPUTED_VALUE"""),"PPL")</f>
        <v>PPL</v>
      </c>
      <c r="I537" s="10" t="str">
        <f ca="1">IFERROR(__xludf.DUMMYFUNCTION("""COMPUTED_VALUE"""),"6102010808800006")</f>
        <v>6102010808800006</v>
      </c>
      <c r="J537" s="10" t="str">
        <f ca="1">IFERROR(__xludf.DUMMYFUNCTION("""COMPUTED_VALUE"""),"UPDATING LISTING")</f>
        <v>UPDATING LISTING</v>
      </c>
      <c r="K537" s="10" t="str">
        <f ca="1">IFERROR(__xludf.DUMMYFUNCTION("""COMPUTED_VALUE"""),"SAKERNAS24-LAPANGAN-SEMESTER2-PPL-UPDATING LISTING")</f>
        <v>SAKERNAS24-LAPANGAN-SEMESTER2-PPL-UPDATING LISTING</v>
      </c>
      <c r="L537" s="10" t="str">
        <f ca="1">IFERROR(__xludf.DUMMYFUNCTION("""COMPUTED_VALUE"""),"Blok Sensus")</f>
        <v>Blok Sensus</v>
      </c>
      <c r="M537" s="66">
        <f ca="1">IFERROR(__xludf.DUMMYFUNCTION("""COMPUTED_VALUE"""),168000)</f>
        <v>168000</v>
      </c>
      <c r="N537" s="10">
        <f ca="1">IFERROR(__xludf.DUMMYFUNCTION("""COMPUTED_VALUE"""),3)</f>
        <v>3</v>
      </c>
      <c r="O537" s="10">
        <f ca="1">IFERROR(__xludf.DUMMYFUNCTION("""COMPUTED_VALUE"""),504000)</f>
        <v>504000</v>
      </c>
      <c r="P537" s="10"/>
      <c r="Q537" s="67">
        <f ca="1">IFERROR(__xludf.DUMMYFUNCTION("""COMPUTED_VALUE"""),45541)</f>
        <v>45541</v>
      </c>
    </row>
    <row r="538" spans="1:17" ht="12.5">
      <c r="A538" s="82">
        <f t="array" aca="1" ref="A538" ca="1">INDEX('Database Mitra'!$R$2:$R1001,MATCH(C538,'Database Mitra'!$B$2:$B1001,0))</f>
        <v>31964</v>
      </c>
      <c r="B538" s="10" t="e">
        <f t="shared" ca="1" si="0"/>
        <v>#NAME?</v>
      </c>
      <c r="C538" s="83">
        <f ca="1">IFERROR(__xludf.DUMMYFUNCTION("""COMPUTED_VALUE"""),610422040029)</f>
        <v>610422040029</v>
      </c>
      <c r="D538" s="10" t="str">
        <f ca="1">IFERROR(__xludf.DUMMYFUNCTION("""COMPUTED_VALUE"""),"SAKERNAS24-LAPANGAN-SEMESTER2")</f>
        <v>SAKERNAS24-LAPANGAN-SEMESTER2</v>
      </c>
      <c r="E538" s="10"/>
      <c r="F538" s="10">
        <f ca="1">IFERROR(__xludf.DUMMYFUNCTION("""COMPUTED_VALUE"""),1)</f>
        <v>1</v>
      </c>
      <c r="G538" s="10" t="str">
        <f ca="1">IFERROR(__xludf.DUMMYFUNCTION("""COMPUTED_VALUE"""),"Zaini")</f>
        <v>Zaini</v>
      </c>
      <c r="H538" s="10" t="str">
        <f ca="1">IFERROR(__xludf.DUMMYFUNCTION("""COMPUTED_VALUE"""),"PPL")</f>
        <v>PPL</v>
      </c>
      <c r="I538" s="10" t="str">
        <f ca="1">IFERROR(__xludf.DUMMYFUNCTION("""COMPUTED_VALUE"""),"6102010607870002")</f>
        <v>6102010607870002</v>
      </c>
      <c r="J538" s="10" t="str">
        <f ca="1">IFERROR(__xludf.DUMMYFUNCTION("""COMPUTED_VALUE"""),"UPDATING LISTING")</f>
        <v>UPDATING LISTING</v>
      </c>
      <c r="K538" s="10" t="str">
        <f ca="1">IFERROR(__xludf.DUMMYFUNCTION("""COMPUTED_VALUE"""),"SAKERNAS24-LAPANGAN-SEMESTER2-PPL-UPDATING LISTING")</f>
        <v>SAKERNAS24-LAPANGAN-SEMESTER2-PPL-UPDATING LISTING</v>
      </c>
      <c r="L538" s="10" t="str">
        <f ca="1">IFERROR(__xludf.DUMMYFUNCTION("""COMPUTED_VALUE"""),"Blok Sensus")</f>
        <v>Blok Sensus</v>
      </c>
      <c r="M538" s="66">
        <f ca="1">IFERROR(__xludf.DUMMYFUNCTION("""COMPUTED_VALUE"""),168000)</f>
        <v>168000</v>
      </c>
      <c r="N538" s="10">
        <f ca="1">IFERROR(__xludf.DUMMYFUNCTION("""COMPUTED_VALUE"""),3)</f>
        <v>3</v>
      </c>
      <c r="O538" s="10">
        <f ca="1">IFERROR(__xludf.DUMMYFUNCTION("""COMPUTED_VALUE"""),504000)</f>
        <v>504000</v>
      </c>
      <c r="P538" s="10"/>
      <c r="Q538" s="67">
        <f ca="1">IFERROR(__xludf.DUMMYFUNCTION("""COMPUTED_VALUE"""),45541)</f>
        <v>45541</v>
      </c>
    </row>
    <row r="539" spans="1:17" ht="12.5">
      <c r="A539" s="82">
        <f t="array" aca="1" ref="A539" ca="1">INDEX('Database Mitra'!$R$2:$R1001,MATCH(C539,'Database Mitra'!$B$2:$B1001,0))</f>
        <v>34295</v>
      </c>
      <c r="B539" s="10" t="e">
        <f t="shared" ca="1" si="0"/>
        <v>#NAME?</v>
      </c>
      <c r="C539" s="83">
        <f ca="1">IFERROR(__xludf.DUMMYFUNCTION("""COMPUTED_VALUE"""),610422100086)</f>
        <v>610422100086</v>
      </c>
      <c r="D539" s="10" t="str">
        <f ca="1">IFERROR(__xludf.DUMMYFUNCTION("""COMPUTED_VALUE"""),"SAKERNAS24-LAPANGAN-SEMESTER2")</f>
        <v>SAKERNAS24-LAPANGAN-SEMESTER2</v>
      </c>
      <c r="E539" s="10"/>
      <c r="F539" s="10">
        <f ca="1">IFERROR(__xludf.DUMMYFUNCTION("""COMPUTED_VALUE"""),1)</f>
        <v>1</v>
      </c>
      <c r="G539" s="10" t="str">
        <f ca="1">IFERROR(__xludf.DUMMYFUNCTION("""COMPUTED_VALUE"""),"Imamul Akhyar")</f>
        <v>Imamul Akhyar</v>
      </c>
      <c r="H539" s="10" t="str">
        <f ca="1">IFERROR(__xludf.DUMMYFUNCTION("""COMPUTED_VALUE"""),"PPL")</f>
        <v>PPL</v>
      </c>
      <c r="I539" s="10" t="str">
        <f ca="1">IFERROR(__xludf.DUMMYFUNCTION("""COMPUTED_VALUE"""),"6102012211930002")</f>
        <v>6102012211930002</v>
      </c>
      <c r="J539" s="10" t="str">
        <f ca="1">IFERROR(__xludf.DUMMYFUNCTION("""COMPUTED_VALUE"""),"UPDATING LISTING")</f>
        <v>UPDATING LISTING</v>
      </c>
      <c r="K539" s="10" t="str">
        <f ca="1">IFERROR(__xludf.DUMMYFUNCTION("""COMPUTED_VALUE"""),"SAKERNAS24-LAPANGAN-SEMESTER2-PPL-UPDATING LISTING")</f>
        <v>SAKERNAS24-LAPANGAN-SEMESTER2-PPL-UPDATING LISTING</v>
      </c>
      <c r="L539" s="10" t="str">
        <f ca="1">IFERROR(__xludf.DUMMYFUNCTION("""COMPUTED_VALUE"""),"Blok Sensus")</f>
        <v>Blok Sensus</v>
      </c>
      <c r="M539" s="66">
        <f ca="1">IFERROR(__xludf.DUMMYFUNCTION("""COMPUTED_VALUE"""),168000)</f>
        <v>168000</v>
      </c>
      <c r="N539" s="10">
        <f ca="1">IFERROR(__xludf.DUMMYFUNCTION("""COMPUTED_VALUE"""),3)</f>
        <v>3</v>
      </c>
      <c r="O539" s="10">
        <f ca="1">IFERROR(__xludf.DUMMYFUNCTION("""COMPUTED_VALUE"""),504000)</f>
        <v>504000</v>
      </c>
      <c r="P539" s="10"/>
      <c r="Q539" s="67">
        <f ca="1">IFERROR(__xludf.DUMMYFUNCTION("""COMPUTED_VALUE"""),45541)</f>
        <v>45541</v>
      </c>
    </row>
    <row r="540" spans="1:17" ht="12.5">
      <c r="A540" s="82">
        <f t="array" aca="1" ref="A540" ca="1">INDEX('Database Mitra'!$R$2:$R1001,MATCH(C540,'Database Mitra'!$B$2:$B1001,0))</f>
        <v>35544</v>
      </c>
      <c r="B540" s="10" t="e">
        <f t="shared" ca="1" si="0"/>
        <v>#NAME?</v>
      </c>
      <c r="C540" s="83">
        <f ca="1">IFERROR(__xludf.DUMMYFUNCTION("""COMPUTED_VALUE"""),610422040035)</f>
        <v>610422040035</v>
      </c>
      <c r="D540" s="10" t="str">
        <f ca="1">IFERROR(__xludf.DUMMYFUNCTION("""COMPUTED_VALUE"""),"SAKERNAS24-LAPANGAN-SEMESTER2")</f>
        <v>SAKERNAS24-LAPANGAN-SEMESTER2</v>
      </c>
      <c r="E540" s="10"/>
      <c r="F540" s="10">
        <f ca="1">IFERROR(__xludf.DUMMYFUNCTION("""COMPUTED_VALUE"""),1)</f>
        <v>1</v>
      </c>
      <c r="G540" s="10" t="str">
        <f ca="1">IFERROR(__xludf.DUMMYFUNCTION("""COMPUTED_VALUE"""),"Rahmayani")</f>
        <v>Rahmayani</v>
      </c>
      <c r="H540" s="10" t="str">
        <f ca="1">IFERROR(__xludf.DUMMYFUNCTION("""COMPUTED_VALUE"""),"PPL")</f>
        <v>PPL</v>
      </c>
      <c r="I540" s="10" t="str">
        <f ca="1">IFERROR(__xludf.DUMMYFUNCTION("""COMPUTED_VALUE"""),"6102186404970003")</f>
        <v>6102186404970003</v>
      </c>
      <c r="J540" s="10" t="str">
        <f ca="1">IFERROR(__xludf.DUMMYFUNCTION("""COMPUTED_VALUE"""),"UPDATING LISTING")</f>
        <v>UPDATING LISTING</v>
      </c>
      <c r="K540" s="10" t="str">
        <f ca="1">IFERROR(__xludf.DUMMYFUNCTION("""COMPUTED_VALUE"""),"SAKERNAS24-LAPANGAN-SEMESTER2-PPL-UPDATING LISTING")</f>
        <v>SAKERNAS24-LAPANGAN-SEMESTER2-PPL-UPDATING LISTING</v>
      </c>
      <c r="L540" s="10" t="str">
        <f ca="1">IFERROR(__xludf.DUMMYFUNCTION("""COMPUTED_VALUE"""),"Blok Sensus")</f>
        <v>Blok Sensus</v>
      </c>
      <c r="M540" s="66">
        <f ca="1">IFERROR(__xludf.DUMMYFUNCTION("""COMPUTED_VALUE"""),168000)</f>
        <v>168000</v>
      </c>
      <c r="N540" s="10">
        <f ca="1">IFERROR(__xludf.DUMMYFUNCTION("""COMPUTED_VALUE"""),3)</f>
        <v>3</v>
      </c>
      <c r="O540" s="10">
        <f ca="1">IFERROR(__xludf.DUMMYFUNCTION("""COMPUTED_VALUE"""),504000)</f>
        <v>504000</v>
      </c>
      <c r="P540" s="10"/>
      <c r="Q540" s="67">
        <f ca="1">IFERROR(__xludf.DUMMYFUNCTION("""COMPUTED_VALUE"""),45541)</f>
        <v>45541</v>
      </c>
    </row>
    <row r="541" spans="1:17" ht="12.5">
      <c r="A541" s="82">
        <f t="array" aca="1" ref="A541" ca="1">INDEX('Database Mitra'!$R$2:$R1001,MATCH(C541,'Database Mitra'!$B$2:$B1001,0))</f>
        <v>35978</v>
      </c>
      <c r="B541" s="10" t="e">
        <f t="shared" ca="1" si="0"/>
        <v>#NAME?</v>
      </c>
      <c r="C541" s="83">
        <f ca="1">IFERROR(__xludf.DUMMYFUNCTION("""COMPUTED_VALUE"""),610422100055)</f>
        <v>610422100055</v>
      </c>
      <c r="D541" s="10" t="str">
        <f ca="1">IFERROR(__xludf.DUMMYFUNCTION("""COMPUTED_VALUE"""),"SAKERNAS24-LAPANGAN-SEMESTER2")</f>
        <v>SAKERNAS24-LAPANGAN-SEMESTER2</v>
      </c>
      <c r="E541" s="10"/>
      <c r="F541" s="10">
        <f ca="1">IFERROR(__xludf.DUMMYFUNCTION("""COMPUTED_VALUE"""),1)</f>
        <v>1</v>
      </c>
      <c r="G541" s="10" t="str">
        <f ca="1">IFERROR(__xludf.DUMMYFUNCTION("""COMPUTED_VALUE"""),"Vika Rizkiani")</f>
        <v>Vika Rizkiani</v>
      </c>
      <c r="H541" s="10" t="str">
        <f ca="1">IFERROR(__xludf.DUMMYFUNCTION("""COMPUTED_VALUE"""),"PPL")</f>
        <v>PPL</v>
      </c>
      <c r="I541" s="10" t="str">
        <f ca="1">IFERROR(__xludf.DUMMYFUNCTION("""COMPUTED_VALUE"""),"6102084207980006")</f>
        <v>6102084207980006</v>
      </c>
      <c r="J541" s="10" t="str">
        <f ca="1">IFERROR(__xludf.DUMMYFUNCTION("""COMPUTED_VALUE"""),"UPDATING LISTING")</f>
        <v>UPDATING LISTING</v>
      </c>
      <c r="K541" s="10" t="str">
        <f ca="1">IFERROR(__xludf.DUMMYFUNCTION("""COMPUTED_VALUE"""),"SAKERNAS24-LAPANGAN-SEMESTER2-PPL-UPDATING LISTING")</f>
        <v>SAKERNAS24-LAPANGAN-SEMESTER2-PPL-UPDATING LISTING</v>
      </c>
      <c r="L541" s="10" t="str">
        <f ca="1">IFERROR(__xludf.DUMMYFUNCTION("""COMPUTED_VALUE"""),"Blok Sensus")</f>
        <v>Blok Sensus</v>
      </c>
      <c r="M541" s="66">
        <f ca="1">IFERROR(__xludf.DUMMYFUNCTION("""COMPUTED_VALUE"""),168000)</f>
        <v>168000</v>
      </c>
      <c r="N541" s="10">
        <f ca="1">IFERROR(__xludf.DUMMYFUNCTION("""COMPUTED_VALUE"""),3)</f>
        <v>3</v>
      </c>
      <c r="O541" s="10">
        <f ca="1">IFERROR(__xludf.DUMMYFUNCTION("""COMPUTED_VALUE"""),504000)</f>
        <v>504000</v>
      </c>
      <c r="P541" s="10"/>
      <c r="Q541" s="67">
        <f ca="1">IFERROR(__xludf.DUMMYFUNCTION("""COMPUTED_VALUE"""),45541)</f>
        <v>45541</v>
      </c>
    </row>
    <row r="542" spans="1:17" ht="12.5">
      <c r="A542" s="82">
        <f t="array" aca="1" ref="A542" ca="1">INDEX('Database Mitra'!$R$2:$R1001,MATCH(C542,'Database Mitra'!$B$2:$B1001,0))</f>
        <v>28920</v>
      </c>
      <c r="B542" s="10" t="e">
        <f t="shared" ca="1" si="0"/>
        <v>#NAME?</v>
      </c>
      <c r="C542" s="83">
        <f ca="1">IFERROR(__xludf.DUMMYFUNCTION("""COMPUTED_VALUE"""),610422040052)</f>
        <v>610422040052</v>
      </c>
      <c r="D542" s="10" t="str">
        <f ca="1">IFERROR(__xludf.DUMMYFUNCTION("""COMPUTED_VALUE"""),"SAKERNAS24-LAPANGAN-SEMESTER2")</f>
        <v>SAKERNAS24-LAPANGAN-SEMESTER2</v>
      </c>
      <c r="E542" s="10"/>
      <c r="F542" s="10">
        <f ca="1">IFERROR(__xludf.DUMMYFUNCTION("""COMPUTED_VALUE"""),1)</f>
        <v>1</v>
      </c>
      <c r="G542" s="10" t="str">
        <f ca="1">IFERROR(__xludf.DUMMYFUNCTION("""COMPUTED_VALUE"""),"Yusimianto")</f>
        <v>Yusimianto</v>
      </c>
      <c r="H542" s="10" t="str">
        <f ca="1">IFERROR(__xludf.DUMMYFUNCTION("""COMPUTED_VALUE"""),"PPL")</f>
        <v>PPL</v>
      </c>
      <c r="I542" s="10" t="str">
        <f ca="1">IFERROR(__xludf.DUMMYFUNCTION("""COMPUTED_VALUE"""),"6102160603790001")</f>
        <v>6102160603790001</v>
      </c>
      <c r="J542" s="10" t="str">
        <f ca="1">IFERROR(__xludf.DUMMYFUNCTION("""COMPUTED_VALUE"""),"UPDATING LISTING")</f>
        <v>UPDATING LISTING</v>
      </c>
      <c r="K542" s="10" t="str">
        <f ca="1">IFERROR(__xludf.DUMMYFUNCTION("""COMPUTED_VALUE"""),"SAKERNAS24-LAPANGAN-SEMESTER2-PPL-UPDATING LISTING")</f>
        <v>SAKERNAS24-LAPANGAN-SEMESTER2-PPL-UPDATING LISTING</v>
      </c>
      <c r="L542" s="10" t="str">
        <f ca="1">IFERROR(__xludf.DUMMYFUNCTION("""COMPUTED_VALUE"""),"Blok Sensus")</f>
        <v>Blok Sensus</v>
      </c>
      <c r="M542" s="66">
        <f ca="1">IFERROR(__xludf.DUMMYFUNCTION("""COMPUTED_VALUE"""),168000)</f>
        <v>168000</v>
      </c>
      <c r="N542" s="10">
        <f ca="1">IFERROR(__xludf.DUMMYFUNCTION("""COMPUTED_VALUE"""),2)</f>
        <v>2</v>
      </c>
      <c r="O542" s="10">
        <f ca="1">IFERROR(__xludf.DUMMYFUNCTION("""COMPUTED_VALUE"""),336000)</f>
        <v>336000</v>
      </c>
      <c r="P542" s="10"/>
      <c r="Q542" s="67">
        <f ca="1">IFERROR(__xludf.DUMMYFUNCTION("""COMPUTED_VALUE"""),45541)</f>
        <v>45541</v>
      </c>
    </row>
    <row r="543" spans="1:17" ht="12.5">
      <c r="A543" s="82">
        <f t="array" aca="1" ref="A543" ca="1">INDEX('Database Mitra'!$R$2:$R1001,MATCH(C543,'Database Mitra'!$B$2:$B1001,0))</f>
        <v>38055</v>
      </c>
      <c r="B543" s="10" t="e">
        <f t="shared" ca="1" si="0"/>
        <v>#NAME?</v>
      </c>
      <c r="C543" s="83">
        <f ca="1">IFERROR(__xludf.DUMMYFUNCTION("""COMPUTED_VALUE"""),610422100099)</f>
        <v>610422100099</v>
      </c>
      <c r="D543" s="10" t="str">
        <f ca="1">IFERROR(__xludf.DUMMYFUNCTION("""COMPUTED_VALUE"""),"SAKERNAS24-LAPANGAN-SEMESTER2")</f>
        <v>SAKERNAS24-LAPANGAN-SEMESTER2</v>
      </c>
      <c r="E543" s="10"/>
      <c r="F543" s="10">
        <f ca="1">IFERROR(__xludf.DUMMYFUNCTION("""COMPUTED_VALUE"""),1)</f>
        <v>1</v>
      </c>
      <c r="G543" s="10" t="str">
        <f ca="1">IFERROR(__xludf.DUMMYFUNCTION("""COMPUTED_VALUE"""),"Difa Faradifa")</f>
        <v>Difa Faradifa</v>
      </c>
      <c r="H543" s="10" t="str">
        <f ca="1">IFERROR(__xludf.DUMMYFUNCTION("""COMPUTED_VALUE"""),"PPL")</f>
        <v>PPL</v>
      </c>
      <c r="I543" s="10" t="str">
        <f ca="1">IFERROR(__xludf.DUMMYFUNCTION("""COMPUTED_VALUE"""),"6102084903040001")</f>
        <v>6102084903040001</v>
      </c>
      <c r="J543" s="10" t="str">
        <f ca="1">IFERROR(__xludf.DUMMYFUNCTION("""COMPUTED_VALUE"""),"UPDATING LISTING")</f>
        <v>UPDATING LISTING</v>
      </c>
      <c r="K543" s="10" t="str">
        <f ca="1">IFERROR(__xludf.DUMMYFUNCTION("""COMPUTED_VALUE"""),"SAKERNAS24-LAPANGAN-SEMESTER2-PPL-UPDATING LISTING")</f>
        <v>SAKERNAS24-LAPANGAN-SEMESTER2-PPL-UPDATING LISTING</v>
      </c>
      <c r="L543" s="10" t="str">
        <f ca="1">IFERROR(__xludf.DUMMYFUNCTION("""COMPUTED_VALUE"""),"Blok Sensus")</f>
        <v>Blok Sensus</v>
      </c>
      <c r="M543" s="66">
        <f ca="1">IFERROR(__xludf.DUMMYFUNCTION("""COMPUTED_VALUE"""),168000)</f>
        <v>168000</v>
      </c>
      <c r="N543" s="10">
        <f ca="1">IFERROR(__xludf.DUMMYFUNCTION("""COMPUTED_VALUE"""),3)</f>
        <v>3</v>
      </c>
      <c r="O543" s="10">
        <f ca="1">IFERROR(__xludf.DUMMYFUNCTION("""COMPUTED_VALUE"""),504000)</f>
        <v>504000</v>
      </c>
      <c r="P543" s="10"/>
      <c r="Q543" s="67">
        <f ca="1">IFERROR(__xludf.DUMMYFUNCTION("""COMPUTED_VALUE"""),45541)</f>
        <v>45541</v>
      </c>
    </row>
    <row r="544" spans="1:17" ht="12.5">
      <c r="A544" s="82">
        <f t="array" aca="1" ref="A544" ca="1">INDEX('Database Mitra'!$R$2:$R1001,MATCH(C544,'Database Mitra'!$B$2:$B1001,0))</f>
        <v>34232</v>
      </c>
      <c r="B544" s="10" t="e">
        <f t="shared" ca="1" si="0"/>
        <v>#NAME?</v>
      </c>
      <c r="C544" s="83">
        <f ca="1">IFERROR(__xludf.DUMMYFUNCTION("""COMPUTED_VALUE"""),610422020045)</f>
        <v>610422020045</v>
      </c>
      <c r="D544" s="10" t="str">
        <f ca="1">IFERROR(__xludf.DUMMYFUNCTION("""COMPUTED_VALUE"""),"SAKERNAS24-LAPANGAN-SEMESTER2")</f>
        <v>SAKERNAS24-LAPANGAN-SEMESTER2</v>
      </c>
      <c r="E544" s="10"/>
      <c r="F544" s="10">
        <f ca="1">IFERROR(__xludf.DUMMYFUNCTION("""COMPUTED_VALUE"""),1)</f>
        <v>1</v>
      </c>
      <c r="G544" s="10" t="str">
        <f ca="1">IFERROR(__xludf.DUMMYFUNCTION("""COMPUTED_VALUE"""),"Herdinatara Febria")</f>
        <v>Herdinatara Febria</v>
      </c>
      <c r="H544" s="10" t="str">
        <f ca="1">IFERROR(__xludf.DUMMYFUNCTION("""COMPUTED_VALUE"""),"PPL")</f>
        <v>PPL</v>
      </c>
      <c r="I544" s="10" t="str">
        <f ca="1">IFERROR(__xludf.DUMMYFUNCTION("""COMPUTED_VALUE"""),"6107086009930002")</f>
        <v>6107086009930002</v>
      </c>
      <c r="J544" s="10" t="str">
        <f ca="1">IFERROR(__xludf.DUMMYFUNCTION("""COMPUTED_VALUE"""),"UPDATING LISTING")</f>
        <v>UPDATING LISTING</v>
      </c>
      <c r="K544" s="10" t="str">
        <f ca="1">IFERROR(__xludf.DUMMYFUNCTION("""COMPUTED_VALUE"""),"SAKERNAS24-LAPANGAN-SEMESTER2-PPL-UPDATING LISTING")</f>
        <v>SAKERNAS24-LAPANGAN-SEMESTER2-PPL-UPDATING LISTING</v>
      </c>
      <c r="L544" s="10" t="str">
        <f ca="1">IFERROR(__xludf.DUMMYFUNCTION("""COMPUTED_VALUE"""),"Blok Sensus")</f>
        <v>Blok Sensus</v>
      </c>
      <c r="M544" s="66">
        <f ca="1">IFERROR(__xludf.DUMMYFUNCTION("""COMPUTED_VALUE"""),168000)</f>
        <v>168000</v>
      </c>
      <c r="N544" s="10">
        <f ca="1">IFERROR(__xludf.DUMMYFUNCTION("""COMPUTED_VALUE"""),3)</f>
        <v>3</v>
      </c>
      <c r="O544" s="10">
        <f ca="1">IFERROR(__xludf.DUMMYFUNCTION("""COMPUTED_VALUE"""),504000)</f>
        <v>504000</v>
      </c>
      <c r="P544" s="10"/>
      <c r="Q544" s="67">
        <f ca="1">IFERROR(__xludf.DUMMYFUNCTION("""COMPUTED_VALUE"""),45541)</f>
        <v>45541</v>
      </c>
    </row>
    <row r="545" spans="1:17" ht="12.5">
      <c r="A545" s="11">
        <f t="array" aca="1" ref="A545" ca="1">INDEX('Database Mitra'!$R$2:$R1001,MATCH(C545,'Database Mitra'!$B$2:$B1001,0))</f>
        <v>34895</v>
      </c>
      <c r="B545" s="10" t="e">
        <f t="shared" ca="1" si="0"/>
        <v>#NAME?</v>
      </c>
      <c r="C545" s="83">
        <f ca="1">IFERROR(__xludf.DUMMYFUNCTION("""COMPUTED_VALUE"""),610422020016)</f>
        <v>610422020016</v>
      </c>
      <c r="D545" s="10" t="str">
        <f ca="1">IFERROR(__xludf.DUMMYFUNCTION("""COMPUTED_VALUE"""),"SAKERNAS24-LAPANGAN-SEMESTER2")</f>
        <v>SAKERNAS24-LAPANGAN-SEMESTER2</v>
      </c>
      <c r="E545" s="10"/>
      <c r="F545" s="10">
        <f ca="1">IFERROR(__xludf.DUMMYFUNCTION("""COMPUTED_VALUE"""),1)</f>
        <v>1</v>
      </c>
      <c r="G545" s="10" t="str">
        <f ca="1">IFERROR(__xludf.DUMMYFUNCTION("""COMPUTED_VALUE"""),"Abdul Aziz")</f>
        <v>Abdul Aziz</v>
      </c>
      <c r="H545" s="10" t="str">
        <f ca="1">IFERROR(__xludf.DUMMYFUNCTION("""COMPUTED_VALUE"""),"PPL")</f>
        <v>PPL</v>
      </c>
      <c r="I545" s="10" t="str">
        <f ca="1">IFERROR(__xludf.DUMMYFUNCTION("""COMPUTED_VALUE"""),"6102061507950006")</f>
        <v>6102061507950006</v>
      </c>
      <c r="J545" s="10" t="str">
        <f ca="1">IFERROR(__xludf.DUMMYFUNCTION("""COMPUTED_VALUE"""),"UPDATING LISTING")</f>
        <v>UPDATING LISTING</v>
      </c>
      <c r="K545" s="10" t="str">
        <f ca="1">IFERROR(__xludf.DUMMYFUNCTION("""COMPUTED_VALUE"""),"SAKERNAS24-LAPANGAN-SEMESTER2-PPL-UPDATING LISTING")</f>
        <v>SAKERNAS24-LAPANGAN-SEMESTER2-PPL-UPDATING LISTING</v>
      </c>
      <c r="L545" s="10" t="str">
        <f ca="1">IFERROR(__xludf.DUMMYFUNCTION("""COMPUTED_VALUE"""),"Blok Sensus")</f>
        <v>Blok Sensus</v>
      </c>
      <c r="M545" s="66">
        <f ca="1">IFERROR(__xludf.DUMMYFUNCTION("""COMPUTED_VALUE"""),168000)</f>
        <v>168000</v>
      </c>
      <c r="N545" s="10">
        <f ca="1">IFERROR(__xludf.DUMMYFUNCTION("""COMPUTED_VALUE"""),2)</f>
        <v>2</v>
      </c>
      <c r="O545" s="10">
        <f ca="1">IFERROR(__xludf.DUMMYFUNCTION("""COMPUTED_VALUE"""),336000)</f>
        <v>336000</v>
      </c>
      <c r="P545" s="10"/>
      <c r="Q545" s="67">
        <f ca="1">IFERROR(__xludf.DUMMYFUNCTION("""COMPUTED_VALUE"""),45541)</f>
        <v>45541</v>
      </c>
    </row>
    <row r="546" spans="1:17" ht="12.5">
      <c r="A546" s="82">
        <f t="array" aca="1" ref="A546" ca="1">INDEX('Database Mitra'!$R$2:$R1001,MATCH(C546,'Database Mitra'!$B$2:$B1001,0))</f>
        <v>32942</v>
      </c>
      <c r="B546" s="10" t="e">
        <f t="shared" ca="1" si="0"/>
        <v>#NAME?</v>
      </c>
      <c r="C546" s="83">
        <f ca="1">IFERROR(__xludf.DUMMYFUNCTION("""COMPUTED_VALUE"""),610422100244)</f>
        <v>610422100244</v>
      </c>
      <c r="D546" s="10" t="str">
        <f ca="1">IFERROR(__xludf.DUMMYFUNCTION("""COMPUTED_VALUE"""),"SAKERNAS24-LAPANGAN-SEMESTER2")</f>
        <v>SAKERNAS24-LAPANGAN-SEMESTER2</v>
      </c>
      <c r="E546" s="10"/>
      <c r="F546" s="10">
        <f ca="1">IFERROR(__xludf.DUMMYFUNCTION("""COMPUTED_VALUE"""),1)</f>
        <v>1</v>
      </c>
      <c r="G546" s="10" t="str">
        <f ca="1">IFERROR(__xludf.DUMMYFUNCTION("""COMPUTED_VALUE"""),"Sugianto")</f>
        <v>Sugianto</v>
      </c>
      <c r="H546" s="10" t="str">
        <f ca="1">IFERROR(__xludf.DUMMYFUNCTION("""COMPUTED_VALUE"""),"PPL")</f>
        <v>PPL</v>
      </c>
      <c r="I546" s="10" t="str">
        <f ca="1">IFERROR(__xludf.DUMMYFUNCTION("""COMPUTED_VALUE"""),"6102171003900002")</f>
        <v>6102171003900002</v>
      </c>
      <c r="J546" s="10" t="str">
        <f ca="1">IFERROR(__xludf.DUMMYFUNCTION("""COMPUTED_VALUE"""),"UPDATING LISTING")</f>
        <v>UPDATING LISTING</v>
      </c>
      <c r="K546" s="10" t="str">
        <f ca="1">IFERROR(__xludf.DUMMYFUNCTION("""COMPUTED_VALUE"""),"SAKERNAS24-LAPANGAN-SEMESTER2-PPL-UPDATING LISTING")</f>
        <v>SAKERNAS24-LAPANGAN-SEMESTER2-PPL-UPDATING LISTING</v>
      </c>
      <c r="L546" s="10" t="str">
        <f ca="1">IFERROR(__xludf.DUMMYFUNCTION("""COMPUTED_VALUE"""),"Blok Sensus")</f>
        <v>Blok Sensus</v>
      </c>
      <c r="M546" s="66">
        <f ca="1">IFERROR(__xludf.DUMMYFUNCTION("""COMPUTED_VALUE"""),168000)</f>
        <v>168000</v>
      </c>
      <c r="N546" s="10">
        <f ca="1">IFERROR(__xludf.DUMMYFUNCTION("""COMPUTED_VALUE"""),2)</f>
        <v>2</v>
      </c>
      <c r="O546" s="10">
        <f ca="1">IFERROR(__xludf.DUMMYFUNCTION("""COMPUTED_VALUE"""),336000)</f>
        <v>336000</v>
      </c>
      <c r="P546" s="10"/>
      <c r="Q546" s="67">
        <f ca="1">IFERROR(__xludf.DUMMYFUNCTION("""COMPUTED_VALUE"""),45541)</f>
        <v>45541</v>
      </c>
    </row>
    <row r="547" spans="1:17" ht="12.5">
      <c r="A547" s="11">
        <f t="array" aca="1" ref="A547" ca="1">INDEX('Database Mitra'!$R$2:$R1001,MATCH(C547,'Database Mitra'!$B$2:$B1001,0))</f>
        <v>33318</v>
      </c>
      <c r="B547" s="10" t="e">
        <f t="shared" ca="1" si="0"/>
        <v>#NAME?</v>
      </c>
      <c r="C547" s="83">
        <f ca="1">IFERROR(__xludf.DUMMYFUNCTION("""COMPUTED_VALUE"""),610423040014)</f>
        <v>610423040014</v>
      </c>
      <c r="D547" s="10" t="str">
        <f ca="1">IFERROR(__xludf.DUMMYFUNCTION("""COMPUTED_VALUE"""),"SAKERNAS24-LAPANGAN-SEMESTER2")</f>
        <v>SAKERNAS24-LAPANGAN-SEMESTER2</v>
      </c>
      <c r="E547" s="10"/>
      <c r="F547" s="10">
        <f ca="1">IFERROR(__xludf.DUMMYFUNCTION("""COMPUTED_VALUE"""),1)</f>
        <v>1</v>
      </c>
      <c r="G547" s="10" t="str">
        <f ca="1">IFERROR(__xludf.DUMMYFUNCTION("""COMPUTED_VALUE"""),"Fransiska Romana")</f>
        <v>Fransiska Romana</v>
      </c>
      <c r="H547" s="10" t="str">
        <f ca="1">IFERROR(__xludf.DUMMYFUNCTION("""COMPUTED_VALUE"""),"PPL")</f>
        <v>PPL</v>
      </c>
      <c r="I547" s="10" t="str">
        <f ca="1">IFERROR(__xludf.DUMMYFUNCTION("""COMPUTED_VALUE"""),"6107036103910001")</f>
        <v>6107036103910001</v>
      </c>
      <c r="J547" s="10" t="str">
        <f ca="1">IFERROR(__xludf.DUMMYFUNCTION("""COMPUTED_VALUE"""),"UPDATING LISTING")</f>
        <v>UPDATING LISTING</v>
      </c>
      <c r="K547" s="10" t="str">
        <f ca="1">IFERROR(__xludf.DUMMYFUNCTION("""COMPUTED_VALUE"""),"SAKERNAS24-LAPANGAN-SEMESTER2-PPL-UPDATING LISTING")</f>
        <v>SAKERNAS24-LAPANGAN-SEMESTER2-PPL-UPDATING LISTING</v>
      </c>
      <c r="L547" s="10" t="str">
        <f ca="1">IFERROR(__xludf.DUMMYFUNCTION("""COMPUTED_VALUE"""),"Blok Sensus")</f>
        <v>Blok Sensus</v>
      </c>
      <c r="M547" s="66">
        <f ca="1">IFERROR(__xludf.DUMMYFUNCTION("""COMPUTED_VALUE"""),168000)</f>
        <v>168000</v>
      </c>
      <c r="N547" s="10">
        <f ca="1">IFERROR(__xludf.DUMMYFUNCTION("""COMPUTED_VALUE"""),2)</f>
        <v>2</v>
      </c>
      <c r="O547" s="10">
        <f ca="1">IFERROR(__xludf.DUMMYFUNCTION("""COMPUTED_VALUE"""),336000)</f>
        <v>336000</v>
      </c>
      <c r="P547" s="10"/>
      <c r="Q547" s="67">
        <f ca="1">IFERROR(__xludf.DUMMYFUNCTION("""COMPUTED_VALUE"""),45541)</f>
        <v>45541</v>
      </c>
    </row>
    <row r="548" spans="1:17" ht="12.5">
      <c r="A548" s="82">
        <f t="array" aca="1" ref="A548" ca="1">INDEX('Database Mitra'!$R$2:$R1001,MATCH(C548,'Database Mitra'!$B$2:$B1001,0))</f>
        <v>29297</v>
      </c>
      <c r="B548" s="10" t="e">
        <f t="shared" ca="1" si="0"/>
        <v>#NAME?</v>
      </c>
      <c r="C548" s="83">
        <f ca="1">IFERROR(__xludf.DUMMYFUNCTION("""COMPUTED_VALUE"""),610422020040)</f>
        <v>610422020040</v>
      </c>
      <c r="D548" s="10" t="str">
        <f ca="1">IFERROR(__xludf.DUMMYFUNCTION("""COMPUTED_VALUE"""),"SAKERNAS24-LAPANGAN-SEMESTER2")</f>
        <v>SAKERNAS24-LAPANGAN-SEMESTER2</v>
      </c>
      <c r="E548" s="10"/>
      <c r="F548" s="10">
        <f ca="1">IFERROR(__xludf.DUMMYFUNCTION("""COMPUTED_VALUE"""),1)</f>
        <v>1</v>
      </c>
      <c r="G548" s="10" t="str">
        <f ca="1">IFERROR(__xludf.DUMMYFUNCTION("""COMPUTED_VALUE"""),"Shofyansyah")</f>
        <v>Shofyansyah</v>
      </c>
      <c r="H548" s="10" t="str">
        <f ca="1">IFERROR(__xludf.DUMMYFUNCTION("""COMPUTED_VALUE"""),"PPL")</f>
        <v>PPL</v>
      </c>
      <c r="I548" s="10" t="str">
        <f ca="1">IFERROR(__xludf.DUMMYFUNCTION("""COMPUTED_VALUE"""),"6102161703760001")</f>
        <v>6102161703760001</v>
      </c>
      <c r="J548" s="10" t="str">
        <f ca="1">IFERROR(__xludf.DUMMYFUNCTION("""COMPUTED_VALUE"""),"UPDATING LISTING")</f>
        <v>UPDATING LISTING</v>
      </c>
      <c r="K548" s="10" t="str">
        <f ca="1">IFERROR(__xludf.DUMMYFUNCTION("""COMPUTED_VALUE"""),"SAKERNAS24-LAPANGAN-SEMESTER2-PPL-UPDATING LISTING")</f>
        <v>SAKERNAS24-LAPANGAN-SEMESTER2-PPL-UPDATING LISTING</v>
      </c>
      <c r="L548" s="10" t="str">
        <f ca="1">IFERROR(__xludf.DUMMYFUNCTION("""COMPUTED_VALUE"""),"Blok Sensus")</f>
        <v>Blok Sensus</v>
      </c>
      <c r="M548" s="66">
        <f ca="1">IFERROR(__xludf.DUMMYFUNCTION("""COMPUTED_VALUE"""),168000)</f>
        <v>168000</v>
      </c>
      <c r="N548" s="10">
        <f ca="1">IFERROR(__xludf.DUMMYFUNCTION("""COMPUTED_VALUE"""),3)</f>
        <v>3</v>
      </c>
      <c r="O548" s="10">
        <f ca="1">IFERROR(__xludf.DUMMYFUNCTION("""COMPUTED_VALUE"""),504000)</f>
        <v>504000</v>
      </c>
      <c r="P548" s="10"/>
      <c r="Q548" s="67">
        <f ca="1">IFERROR(__xludf.DUMMYFUNCTION("""COMPUTED_VALUE"""),45541)</f>
        <v>45541</v>
      </c>
    </row>
    <row r="549" spans="1:17" ht="12.5">
      <c r="A549" s="82">
        <f t="array" aca="1" ref="A549" ca="1">INDEX('Database Mitra'!$R$2:$R1001,MATCH(C549,'Database Mitra'!$B$2:$B1001,0))</f>
        <v>27798</v>
      </c>
      <c r="B549" s="10" t="e">
        <f t="shared" ca="1" si="0"/>
        <v>#NAME?</v>
      </c>
      <c r="C549" s="83">
        <f ca="1">IFERROR(__xludf.DUMMYFUNCTION("""COMPUTED_VALUE"""),610422040056)</f>
        <v>610422040056</v>
      </c>
      <c r="D549" s="10" t="str">
        <f ca="1">IFERROR(__xludf.DUMMYFUNCTION("""COMPUTED_VALUE"""),"SAKERNAS24-LAPANGAN-SEMESTER2")</f>
        <v>SAKERNAS24-LAPANGAN-SEMESTER2</v>
      </c>
      <c r="E549" s="10"/>
      <c r="F549" s="10">
        <f ca="1">IFERROR(__xludf.DUMMYFUNCTION("""COMPUTED_VALUE"""),1)</f>
        <v>1</v>
      </c>
      <c r="G549" s="10" t="str">
        <f ca="1">IFERROR(__xludf.DUMMYFUNCTION("""COMPUTED_VALUE"""),"Wandi Syafari")</f>
        <v>Wandi Syafari</v>
      </c>
      <c r="H549" s="10" t="str">
        <f ca="1">IFERROR(__xludf.DUMMYFUNCTION("""COMPUTED_VALUE"""),"PPL")</f>
        <v>PPL</v>
      </c>
      <c r="I549" s="10" t="str">
        <f ca="1">IFERROR(__xludf.DUMMYFUNCTION("""COMPUTED_VALUE"""),"6102010802760001")</f>
        <v>6102010802760001</v>
      </c>
      <c r="J549" s="10" t="str">
        <f ca="1">IFERROR(__xludf.DUMMYFUNCTION("""COMPUTED_VALUE"""),"UPDATING LISTING")</f>
        <v>UPDATING LISTING</v>
      </c>
      <c r="K549" s="10" t="str">
        <f ca="1">IFERROR(__xludf.DUMMYFUNCTION("""COMPUTED_VALUE"""),"SAKERNAS24-LAPANGAN-SEMESTER2-PPL-UPDATING LISTING")</f>
        <v>SAKERNAS24-LAPANGAN-SEMESTER2-PPL-UPDATING LISTING</v>
      </c>
      <c r="L549" s="10" t="str">
        <f ca="1">IFERROR(__xludf.DUMMYFUNCTION("""COMPUTED_VALUE"""),"Blok Sensus")</f>
        <v>Blok Sensus</v>
      </c>
      <c r="M549" s="66">
        <f ca="1">IFERROR(__xludf.DUMMYFUNCTION("""COMPUTED_VALUE"""),168000)</f>
        <v>168000</v>
      </c>
      <c r="N549" s="10">
        <f ca="1">IFERROR(__xludf.DUMMYFUNCTION("""COMPUTED_VALUE"""),3)</f>
        <v>3</v>
      </c>
      <c r="O549" s="10">
        <f ca="1">IFERROR(__xludf.DUMMYFUNCTION("""COMPUTED_VALUE"""),504000)</f>
        <v>504000</v>
      </c>
      <c r="P549" s="10"/>
      <c r="Q549" s="67">
        <f ca="1">IFERROR(__xludf.DUMMYFUNCTION("""COMPUTED_VALUE"""),45541)</f>
        <v>45541</v>
      </c>
    </row>
    <row r="550" spans="1:17" ht="12.5">
      <c r="A550" s="82">
        <f t="array" aca="1" ref="A550" ca="1">INDEX('Database Mitra'!$R$2:$R1001,MATCH(C550,'Database Mitra'!$B$2:$B1001,0))</f>
        <v>34541</v>
      </c>
      <c r="B550" s="10" t="e">
        <f t="shared" ca="1" si="0"/>
        <v>#NAME?</v>
      </c>
      <c r="C550" s="83">
        <f ca="1">IFERROR(__xludf.DUMMYFUNCTION("""COMPUTED_VALUE"""),610422040058)</f>
        <v>610422040058</v>
      </c>
      <c r="D550" s="10" t="str">
        <f ca="1">IFERROR(__xludf.DUMMYFUNCTION("""COMPUTED_VALUE"""),"SAKERNAS24-LAPANGAN-SEMESTER2")</f>
        <v>SAKERNAS24-LAPANGAN-SEMESTER2</v>
      </c>
      <c r="E550" s="10"/>
      <c r="F550" s="10">
        <f ca="1">IFERROR(__xludf.DUMMYFUNCTION("""COMPUTED_VALUE"""),1)</f>
        <v>1</v>
      </c>
      <c r="G550" s="10" t="str">
        <f ca="1">IFERROR(__xludf.DUMMYFUNCTION("""COMPUTED_VALUE"""),"Jamaluddin, Sp")</f>
        <v>Jamaluddin, Sp</v>
      </c>
      <c r="H550" s="10" t="str">
        <f ca="1">IFERROR(__xludf.DUMMYFUNCTION("""COMPUTED_VALUE"""),"PPL")</f>
        <v>PPL</v>
      </c>
      <c r="I550" s="10" t="str">
        <f ca="1">IFERROR(__xludf.DUMMYFUNCTION("""COMPUTED_VALUE"""),"6102152607940002")</f>
        <v>6102152607940002</v>
      </c>
      <c r="J550" s="10" t="str">
        <f ca="1">IFERROR(__xludf.DUMMYFUNCTION("""COMPUTED_VALUE"""),"UPDATING LISTING")</f>
        <v>UPDATING LISTING</v>
      </c>
      <c r="K550" s="10" t="str">
        <f ca="1">IFERROR(__xludf.DUMMYFUNCTION("""COMPUTED_VALUE"""),"SAKERNAS24-LAPANGAN-SEMESTER2-PPL-UPDATING LISTING")</f>
        <v>SAKERNAS24-LAPANGAN-SEMESTER2-PPL-UPDATING LISTING</v>
      </c>
      <c r="L550" s="10" t="str">
        <f ca="1">IFERROR(__xludf.DUMMYFUNCTION("""COMPUTED_VALUE"""),"Blok Sensus")</f>
        <v>Blok Sensus</v>
      </c>
      <c r="M550" s="66">
        <f ca="1">IFERROR(__xludf.DUMMYFUNCTION("""COMPUTED_VALUE"""),168000)</f>
        <v>168000</v>
      </c>
      <c r="N550" s="10">
        <f ca="1">IFERROR(__xludf.DUMMYFUNCTION("""COMPUTED_VALUE"""),3)</f>
        <v>3</v>
      </c>
      <c r="O550" s="10">
        <f ca="1">IFERROR(__xludf.DUMMYFUNCTION("""COMPUTED_VALUE"""),504000)</f>
        <v>504000</v>
      </c>
      <c r="P550" s="10"/>
      <c r="Q550" s="67">
        <f ca="1">IFERROR(__xludf.DUMMYFUNCTION("""COMPUTED_VALUE"""),45541)</f>
        <v>45541</v>
      </c>
    </row>
    <row r="551" spans="1:17" ht="12.5">
      <c r="A551" s="82">
        <f t="array" aca="1" ref="A551" ca="1">INDEX('Database Mitra'!$R$2:$R1001,MATCH(C551,'Database Mitra'!$B$2:$B1001,0))</f>
        <v>32184</v>
      </c>
      <c r="B551" s="10" t="e">
        <f t="shared" ca="1" si="0"/>
        <v>#NAME?</v>
      </c>
      <c r="C551" s="83">
        <f ca="1">IFERROR(__xludf.DUMMYFUNCTION("""COMPUTED_VALUE"""),610422020032)</f>
        <v>610422020032</v>
      </c>
      <c r="D551" s="10" t="str">
        <f ca="1">IFERROR(__xludf.DUMMYFUNCTION("""COMPUTED_VALUE"""),"SAKERNAS24-LAPANGAN-SEMESTER2")</f>
        <v>SAKERNAS24-LAPANGAN-SEMESTER2</v>
      </c>
      <c r="E551" s="10"/>
      <c r="F551" s="10">
        <f ca="1">IFERROR(__xludf.DUMMYFUNCTION("""COMPUTED_VALUE"""),1)</f>
        <v>1</v>
      </c>
      <c r="G551" s="10" t="str">
        <f ca="1">IFERROR(__xludf.DUMMYFUNCTION("""COMPUTED_VALUE"""),"Lilis Suryani")</f>
        <v>Lilis Suryani</v>
      </c>
      <c r="H551" s="10" t="str">
        <f ca="1">IFERROR(__xludf.DUMMYFUNCTION("""COMPUTED_VALUE"""),"PPL")</f>
        <v>PPL</v>
      </c>
      <c r="I551" s="10" t="str">
        <f ca="1">IFERROR(__xludf.DUMMYFUNCTION("""COMPUTED_VALUE"""),"6102185102880001")</f>
        <v>6102185102880001</v>
      </c>
      <c r="J551" s="10" t="str">
        <f ca="1">IFERROR(__xludf.DUMMYFUNCTION("""COMPUTED_VALUE"""),"UPDATING LISTING")</f>
        <v>UPDATING LISTING</v>
      </c>
      <c r="K551" s="10" t="str">
        <f ca="1">IFERROR(__xludf.DUMMYFUNCTION("""COMPUTED_VALUE"""),"SAKERNAS24-LAPANGAN-SEMESTER2-PPL-UPDATING LISTING")</f>
        <v>SAKERNAS24-LAPANGAN-SEMESTER2-PPL-UPDATING LISTING</v>
      </c>
      <c r="L551" s="10" t="str">
        <f ca="1">IFERROR(__xludf.DUMMYFUNCTION("""COMPUTED_VALUE"""),"Blok Sensus")</f>
        <v>Blok Sensus</v>
      </c>
      <c r="M551" s="66">
        <f ca="1">IFERROR(__xludf.DUMMYFUNCTION("""COMPUTED_VALUE"""),168000)</f>
        <v>168000</v>
      </c>
      <c r="N551" s="10">
        <f ca="1">IFERROR(__xludf.DUMMYFUNCTION("""COMPUTED_VALUE"""),3)</f>
        <v>3</v>
      </c>
      <c r="O551" s="10">
        <f ca="1">IFERROR(__xludf.DUMMYFUNCTION("""COMPUTED_VALUE"""),504000)</f>
        <v>504000</v>
      </c>
      <c r="P551" s="10"/>
      <c r="Q551" s="67">
        <f ca="1">IFERROR(__xludf.DUMMYFUNCTION("""COMPUTED_VALUE"""),45541)</f>
        <v>45541</v>
      </c>
    </row>
    <row r="552" spans="1:17" ht="12.5">
      <c r="A552" s="82">
        <f t="array" aca="1" ref="A552" ca="1">INDEX('Database Mitra'!$R$2:$R1001,MATCH(C552,'Database Mitra'!$B$2:$B1001,0))</f>
        <v>32849</v>
      </c>
      <c r="B552" s="10" t="e">
        <f t="shared" ca="1" si="0"/>
        <v>#NAME?</v>
      </c>
      <c r="C552" s="83">
        <f ca="1">IFERROR(__xludf.DUMMYFUNCTION("""COMPUTED_VALUE"""),610422040034)</f>
        <v>610422040034</v>
      </c>
      <c r="D552" s="10" t="str">
        <f ca="1">IFERROR(__xludf.DUMMYFUNCTION("""COMPUTED_VALUE"""),"SAKERNAS24-LAPANGAN-SEMESTER2")</f>
        <v>SAKERNAS24-LAPANGAN-SEMESTER2</v>
      </c>
      <c r="E552" s="10"/>
      <c r="F552" s="10">
        <f ca="1">IFERROR(__xludf.DUMMYFUNCTION("""COMPUTED_VALUE"""),1)</f>
        <v>1</v>
      </c>
      <c r="G552" s="10" t="str">
        <f ca="1">IFERROR(__xludf.DUMMYFUNCTION("""COMPUTED_VALUE"""),"Nelly Nalita")</f>
        <v>Nelly Nalita</v>
      </c>
      <c r="H552" s="10" t="str">
        <f ca="1">IFERROR(__xludf.DUMMYFUNCTION("""COMPUTED_VALUE"""),"PPL")</f>
        <v>PPL</v>
      </c>
      <c r="I552" s="10" t="str">
        <f ca="1">IFERROR(__xludf.DUMMYFUNCTION("""COMPUTED_VALUE"""),"6102014712890004")</f>
        <v>6102014712890004</v>
      </c>
      <c r="J552" s="10" t="str">
        <f ca="1">IFERROR(__xludf.DUMMYFUNCTION("""COMPUTED_VALUE"""),"UPDATING LISTING")</f>
        <v>UPDATING LISTING</v>
      </c>
      <c r="K552" s="10" t="str">
        <f ca="1">IFERROR(__xludf.DUMMYFUNCTION("""COMPUTED_VALUE"""),"SAKERNAS24-LAPANGAN-SEMESTER2-PPL-UPDATING LISTING")</f>
        <v>SAKERNAS24-LAPANGAN-SEMESTER2-PPL-UPDATING LISTING</v>
      </c>
      <c r="L552" s="10" t="str">
        <f ca="1">IFERROR(__xludf.DUMMYFUNCTION("""COMPUTED_VALUE"""),"Blok Sensus")</f>
        <v>Blok Sensus</v>
      </c>
      <c r="M552" s="66">
        <f ca="1">IFERROR(__xludf.DUMMYFUNCTION("""COMPUTED_VALUE"""),168000)</f>
        <v>168000</v>
      </c>
      <c r="N552" s="10">
        <f ca="1">IFERROR(__xludf.DUMMYFUNCTION("""COMPUTED_VALUE"""),3)</f>
        <v>3</v>
      </c>
      <c r="O552" s="10">
        <f ca="1">IFERROR(__xludf.DUMMYFUNCTION("""COMPUTED_VALUE"""),504000)</f>
        <v>504000</v>
      </c>
      <c r="P552" s="10"/>
      <c r="Q552" s="67">
        <f ca="1">IFERROR(__xludf.DUMMYFUNCTION("""COMPUTED_VALUE"""),45541)</f>
        <v>45541</v>
      </c>
    </row>
    <row r="553" spans="1:17" ht="12.5">
      <c r="A553" s="11">
        <f t="array" aca="1" ref="A553" ca="1">INDEX('Database Mitra'!$R$2:$R1001,MATCH(C553,'Database Mitra'!$B$2:$B1001,0))</f>
        <v>37221</v>
      </c>
      <c r="B553" s="10" t="e">
        <f t="shared" ca="1" si="0"/>
        <v>#NAME?</v>
      </c>
      <c r="C553" s="83">
        <f ca="1">IFERROR(__xludf.DUMMYFUNCTION("""COMPUTED_VALUE"""),610422040051)</f>
        <v>610422040051</v>
      </c>
      <c r="D553" s="10" t="str">
        <f ca="1">IFERROR(__xludf.DUMMYFUNCTION("""COMPUTED_VALUE"""),"SAKERNAS24-LAPANGAN-SEMESTER2")</f>
        <v>SAKERNAS24-LAPANGAN-SEMESTER2</v>
      </c>
      <c r="E553" s="10"/>
      <c r="F553" s="10">
        <f ca="1">IFERROR(__xludf.DUMMYFUNCTION("""COMPUTED_VALUE"""),1)</f>
        <v>1</v>
      </c>
      <c r="G553" s="10" t="str">
        <f ca="1">IFERROR(__xludf.DUMMYFUNCTION("""COMPUTED_VALUE"""),"Dede Sri Delvey")</f>
        <v>Dede Sri Delvey</v>
      </c>
      <c r="H553" s="10" t="str">
        <f ca="1">IFERROR(__xludf.DUMMYFUNCTION("""COMPUTED_VALUE"""),"PPL")</f>
        <v>PPL</v>
      </c>
      <c r="I553" s="10" t="str">
        <f ca="1">IFERROR(__xludf.DUMMYFUNCTION("""COMPUTED_VALUE"""),"6102156611010002")</f>
        <v>6102156611010002</v>
      </c>
      <c r="J553" s="10" t="str">
        <f ca="1">IFERROR(__xludf.DUMMYFUNCTION("""COMPUTED_VALUE"""),"UPDATING LISTING")</f>
        <v>UPDATING LISTING</v>
      </c>
      <c r="K553" s="10" t="str">
        <f ca="1">IFERROR(__xludf.DUMMYFUNCTION("""COMPUTED_VALUE"""),"SAKERNAS24-LAPANGAN-SEMESTER2-PPL-UPDATING LISTING")</f>
        <v>SAKERNAS24-LAPANGAN-SEMESTER2-PPL-UPDATING LISTING</v>
      </c>
      <c r="L553" s="10" t="str">
        <f ca="1">IFERROR(__xludf.DUMMYFUNCTION("""COMPUTED_VALUE"""),"Blok Sensus")</f>
        <v>Blok Sensus</v>
      </c>
      <c r="M553" s="66">
        <f ca="1">IFERROR(__xludf.DUMMYFUNCTION("""COMPUTED_VALUE"""),168000)</f>
        <v>168000</v>
      </c>
      <c r="N553" s="10">
        <f ca="1">IFERROR(__xludf.DUMMYFUNCTION("""COMPUTED_VALUE"""),3)</f>
        <v>3</v>
      </c>
      <c r="O553" s="10">
        <f ca="1">IFERROR(__xludf.DUMMYFUNCTION("""COMPUTED_VALUE"""),504000)</f>
        <v>504000</v>
      </c>
      <c r="P553" s="10"/>
      <c r="Q553" s="67">
        <f ca="1">IFERROR(__xludf.DUMMYFUNCTION("""COMPUTED_VALUE"""),45541)</f>
        <v>45541</v>
      </c>
    </row>
    <row r="554" spans="1:17" ht="12.5">
      <c r="A554" s="82">
        <f t="array" aca="1" ref="A554" ca="1">INDEX('Database Mitra'!$R$2:$R1001,MATCH(C554,'Database Mitra'!$B$2:$B1001,0))</f>
        <v>36546</v>
      </c>
      <c r="B554" s="10" t="e">
        <f t="shared" ca="1" si="0"/>
        <v>#NAME?</v>
      </c>
      <c r="C554" s="83">
        <f ca="1">IFERROR(__xludf.DUMMYFUNCTION("""COMPUTED_VALUE"""),610423040013)</f>
        <v>610423040013</v>
      </c>
      <c r="D554" s="10" t="str">
        <f ca="1">IFERROR(__xludf.DUMMYFUNCTION("""COMPUTED_VALUE"""),"SAKERNAS24-LAPANGAN-SEMESTER2")</f>
        <v>SAKERNAS24-LAPANGAN-SEMESTER2</v>
      </c>
      <c r="E554" s="10"/>
      <c r="F554" s="10">
        <f ca="1">IFERROR(__xludf.DUMMYFUNCTION("""COMPUTED_VALUE"""),1)</f>
        <v>1</v>
      </c>
      <c r="G554" s="10" t="str">
        <f ca="1">IFERROR(__xludf.DUMMYFUNCTION("""COMPUTED_VALUE"""),"Lulu Gesti Gunawati")</f>
        <v>Lulu Gesti Gunawati</v>
      </c>
      <c r="H554" s="10" t="str">
        <f ca="1">IFERROR(__xludf.DUMMYFUNCTION("""COMPUTED_VALUE"""),"PPL")</f>
        <v>PPL</v>
      </c>
      <c r="I554" s="10" t="str">
        <f ca="1">IFERROR(__xludf.DUMMYFUNCTION("""COMPUTED_VALUE"""),"3314066101000001")</f>
        <v>3314066101000001</v>
      </c>
      <c r="J554" s="10" t="str">
        <f ca="1">IFERROR(__xludf.DUMMYFUNCTION("""COMPUTED_VALUE"""),"UPDATING LISTING")</f>
        <v>UPDATING LISTING</v>
      </c>
      <c r="K554" s="10" t="str">
        <f ca="1">IFERROR(__xludf.DUMMYFUNCTION("""COMPUTED_VALUE"""),"SAKERNAS24-LAPANGAN-SEMESTER2-PPL-UPDATING LISTING")</f>
        <v>SAKERNAS24-LAPANGAN-SEMESTER2-PPL-UPDATING LISTING</v>
      </c>
      <c r="L554" s="10" t="str">
        <f ca="1">IFERROR(__xludf.DUMMYFUNCTION("""COMPUTED_VALUE"""),"Blok Sensus")</f>
        <v>Blok Sensus</v>
      </c>
      <c r="M554" s="66">
        <f ca="1">IFERROR(__xludf.DUMMYFUNCTION("""COMPUTED_VALUE"""),168000)</f>
        <v>168000</v>
      </c>
      <c r="N554" s="10">
        <f ca="1">IFERROR(__xludf.DUMMYFUNCTION("""COMPUTED_VALUE"""),3)</f>
        <v>3</v>
      </c>
      <c r="O554" s="10">
        <f ca="1">IFERROR(__xludf.DUMMYFUNCTION("""COMPUTED_VALUE"""),504000)</f>
        <v>504000</v>
      </c>
      <c r="P554" s="10"/>
      <c r="Q554" s="67">
        <f ca="1">IFERROR(__xludf.DUMMYFUNCTION("""COMPUTED_VALUE"""),45541)</f>
        <v>45541</v>
      </c>
    </row>
    <row r="555" spans="1:17" ht="12.5">
      <c r="A555" s="82">
        <f t="array" aca="1" ref="A555" ca="1">INDEX('Database Mitra'!$R$2:$R1001,MATCH(C555,'Database Mitra'!$B$2:$B1001,0))</f>
        <v>30507</v>
      </c>
      <c r="B555" s="10" t="e">
        <f t="shared" ca="1" si="0"/>
        <v>#NAME?</v>
      </c>
      <c r="C555" s="83">
        <f ca="1">IFERROR(__xludf.DUMMYFUNCTION("""COMPUTED_VALUE"""),610422100001)</f>
        <v>610422100001</v>
      </c>
      <c r="D555" s="10" t="str">
        <f ca="1">IFERROR(__xludf.DUMMYFUNCTION("""COMPUTED_VALUE"""),"SAKERNAS24-LAPANGAN-SEMESTER2")</f>
        <v>SAKERNAS24-LAPANGAN-SEMESTER2</v>
      </c>
      <c r="E555" s="10"/>
      <c r="F555" s="10">
        <f ca="1">IFERROR(__xludf.DUMMYFUNCTION("""COMPUTED_VALUE"""),1)</f>
        <v>1</v>
      </c>
      <c r="G555" s="10" t="str">
        <f ca="1">IFERROR(__xludf.DUMMYFUNCTION("""COMPUTED_VALUE"""),"Fatmawati,S.Hut")</f>
        <v>Fatmawati,S.Hut</v>
      </c>
      <c r="H555" s="10" t="str">
        <f ca="1">IFERROR(__xludf.DUMMYFUNCTION("""COMPUTED_VALUE"""),"PPL")</f>
        <v>PPL</v>
      </c>
      <c r="I555" s="10" t="str">
        <f ca="1">IFERROR(__xludf.DUMMYFUNCTION("""COMPUTED_VALUE"""),"6102075007830003")</f>
        <v>6102075007830003</v>
      </c>
      <c r="J555" s="10" t="str">
        <f ca="1">IFERROR(__xludf.DUMMYFUNCTION("""COMPUTED_VALUE"""),"UPDATING LISTING")</f>
        <v>UPDATING LISTING</v>
      </c>
      <c r="K555" s="10" t="str">
        <f ca="1">IFERROR(__xludf.DUMMYFUNCTION("""COMPUTED_VALUE"""),"SAKERNAS24-LAPANGAN-SEMESTER2-PPL-UPDATING LISTING")</f>
        <v>SAKERNAS24-LAPANGAN-SEMESTER2-PPL-UPDATING LISTING</v>
      </c>
      <c r="L555" s="10" t="str">
        <f ca="1">IFERROR(__xludf.DUMMYFUNCTION("""COMPUTED_VALUE"""),"Blok Sensus")</f>
        <v>Blok Sensus</v>
      </c>
      <c r="M555" s="66">
        <f ca="1">IFERROR(__xludf.DUMMYFUNCTION("""COMPUTED_VALUE"""),168000)</f>
        <v>168000</v>
      </c>
      <c r="N555" s="10">
        <f ca="1">IFERROR(__xludf.DUMMYFUNCTION("""COMPUTED_VALUE"""),3)</f>
        <v>3</v>
      </c>
      <c r="O555" s="10">
        <f ca="1">IFERROR(__xludf.DUMMYFUNCTION("""COMPUTED_VALUE"""),504000)</f>
        <v>504000</v>
      </c>
      <c r="P555" s="10"/>
      <c r="Q555" s="67">
        <f ca="1">IFERROR(__xludf.DUMMYFUNCTION("""COMPUTED_VALUE"""),45541)</f>
        <v>45541</v>
      </c>
    </row>
    <row r="556" spans="1:17" ht="12.5">
      <c r="A556" s="82">
        <f t="array" aca="1" ref="A556" ca="1">INDEX('Database Mitra'!$R$2:$R1001,MATCH(C556,'Database Mitra'!$B$2:$B1001,0))</f>
        <v>36997</v>
      </c>
      <c r="B556" s="10" t="e">
        <f t="shared" ca="1" si="0"/>
        <v>#NAME?</v>
      </c>
      <c r="C556" s="83">
        <f ca="1">IFERROR(__xludf.DUMMYFUNCTION("""COMPUTED_VALUE"""),610422040053)</f>
        <v>610422040053</v>
      </c>
      <c r="D556" s="10" t="str">
        <f ca="1">IFERROR(__xludf.DUMMYFUNCTION("""COMPUTED_VALUE"""),"SAKERNAS24-LAPANGAN-SEMESTER2")</f>
        <v>SAKERNAS24-LAPANGAN-SEMESTER2</v>
      </c>
      <c r="E556" s="10"/>
      <c r="F556" s="10">
        <f ca="1">IFERROR(__xludf.DUMMYFUNCTION("""COMPUTED_VALUE"""),1)</f>
        <v>1</v>
      </c>
      <c r="G556" s="10" t="str">
        <f ca="1">IFERROR(__xludf.DUMMYFUNCTION("""COMPUTED_VALUE"""),"Veti Ningsi")</f>
        <v>Veti Ningsi</v>
      </c>
      <c r="H556" s="10" t="str">
        <f ca="1">IFERROR(__xludf.DUMMYFUNCTION("""COMPUTED_VALUE"""),"PPL")</f>
        <v>PPL</v>
      </c>
      <c r="I556" s="10" t="str">
        <f ca="1">IFERROR(__xludf.DUMMYFUNCTION("""COMPUTED_VALUE"""),"6102125604010002")</f>
        <v>6102125604010002</v>
      </c>
      <c r="J556" s="10" t="str">
        <f ca="1">IFERROR(__xludf.DUMMYFUNCTION("""COMPUTED_VALUE"""),"UPDATING LISTING")</f>
        <v>UPDATING LISTING</v>
      </c>
      <c r="K556" s="10" t="str">
        <f ca="1">IFERROR(__xludf.DUMMYFUNCTION("""COMPUTED_VALUE"""),"SAKERNAS24-LAPANGAN-SEMESTER2-PPL-UPDATING LISTING")</f>
        <v>SAKERNAS24-LAPANGAN-SEMESTER2-PPL-UPDATING LISTING</v>
      </c>
      <c r="L556" s="10" t="str">
        <f ca="1">IFERROR(__xludf.DUMMYFUNCTION("""COMPUTED_VALUE"""),"Blok Sensus")</f>
        <v>Blok Sensus</v>
      </c>
      <c r="M556" s="66">
        <f ca="1">IFERROR(__xludf.DUMMYFUNCTION("""COMPUTED_VALUE"""),168000)</f>
        <v>168000</v>
      </c>
      <c r="N556" s="10">
        <f ca="1">IFERROR(__xludf.DUMMYFUNCTION("""COMPUTED_VALUE"""),3)</f>
        <v>3</v>
      </c>
      <c r="O556" s="10">
        <f ca="1">IFERROR(__xludf.DUMMYFUNCTION("""COMPUTED_VALUE"""),504000)</f>
        <v>504000</v>
      </c>
      <c r="P556" s="10"/>
      <c r="Q556" s="67">
        <f ca="1">IFERROR(__xludf.DUMMYFUNCTION("""COMPUTED_VALUE"""),45541)</f>
        <v>45541</v>
      </c>
    </row>
    <row r="557" spans="1:17" ht="12.5">
      <c r="A557" s="11">
        <f t="array" aca="1" ref="A557" ca="1">INDEX('Database Mitra'!$R$2:$R1001,MATCH(C557,'Database Mitra'!$B$2:$B1001,0))</f>
        <v>29305</v>
      </c>
      <c r="B557" s="10" t="e">
        <f t="shared" ca="1" si="0"/>
        <v>#NAME?</v>
      </c>
      <c r="C557" s="83">
        <f ca="1">IFERROR(__xludf.DUMMYFUNCTION("""COMPUTED_VALUE"""),610422020048)</f>
        <v>610422020048</v>
      </c>
      <c r="D557" s="10" t="str">
        <f ca="1">IFERROR(__xludf.DUMMYFUNCTION("""COMPUTED_VALUE"""),"LPTB24-LAPANGAN-SEPTEMBER")</f>
        <v>LPTB24-LAPANGAN-SEPTEMBER</v>
      </c>
      <c r="E557" s="10"/>
      <c r="F557" s="10">
        <f ca="1">IFERROR(__xludf.DUMMYFUNCTION("""COMPUTED_VALUE"""),1)</f>
        <v>1</v>
      </c>
      <c r="G557" s="10" t="str">
        <f ca="1">IFERROR(__xludf.DUMMYFUNCTION("""COMPUTED_VALUE"""),"Herri Gustaman")</f>
        <v>Herri Gustaman</v>
      </c>
      <c r="H557" s="10" t="str">
        <f ca="1">IFERROR(__xludf.DUMMYFUNCTION("""COMPUTED_VALUE"""),"PPL")</f>
        <v>PPL</v>
      </c>
      <c r="I557" s="10" t="str">
        <f ca="1">IFERROR(__xludf.DUMMYFUNCTION("""COMPUTED_VALUE"""),"6102072503800001")</f>
        <v>6102072503800001</v>
      </c>
      <c r="J557" s="10" t="str">
        <f ca="1">IFERROR(__xludf.DUMMYFUNCTION("""COMPUTED_VALUE"""),"PENDATAAN")</f>
        <v>PENDATAAN</v>
      </c>
      <c r="K557" s="10" t="str">
        <f ca="1">IFERROR(__xludf.DUMMYFUNCTION("""COMPUTED_VALUE"""),"LPTB24-LAPANGAN-SEPTEMBER-PPL-PENDATAAN")</f>
        <v>LPTB24-LAPANGAN-SEPTEMBER-PPL-PENDATAAN</v>
      </c>
      <c r="L557" s="10" t="str">
        <f ca="1">IFERROR(__xludf.DUMMYFUNCTION("""COMPUTED_VALUE"""),"Dokumen")</f>
        <v>Dokumen</v>
      </c>
      <c r="M557" s="66">
        <f ca="1">IFERROR(__xludf.DUMMYFUNCTION("""COMPUTED_VALUE"""),60000)</f>
        <v>60000</v>
      </c>
      <c r="N557" s="10">
        <f ca="1">IFERROR(__xludf.DUMMYFUNCTION("""COMPUTED_VALUE"""),4)</f>
        <v>4</v>
      </c>
      <c r="O557" s="10">
        <f ca="1">IFERROR(__xludf.DUMMYFUNCTION("""COMPUTED_VALUE"""),240000)</f>
        <v>240000</v>
      </c>
      <c r="P557" s="10"/>
      <c r="Q557" s="67">
        <f ca="1">IFERROR(__xludf.DUMMYFUNCTION("""COMPUTED_VALUE"""),45541)</f>
        <v>45541</v>
      </c>
    </row>
    <row r="558" spans="1:17" ht="12.5">
      <c r="A558" s="82">
        <f t="array" aca="1" ref="A558" ca="1">INDEX('Database Mitra'!$R$2:$R1001,MATCH(C558,'Database Mitra'!$B$2:$B1001,0))</f>
        <v>35038</v>
      </c>
      <c r="B558" s="10" t="e">
        <f t="shared" ca="1" si="0"/>
        <v>#NAME?</v>
      </c>
      <c r="C558" s="83">
        <f ca="1">IFERROR(__xludf.DUMMYFUNCTION("""COMPUTED_VALUE"""),610422040030)</f>
        <v>610422040030</v>
      </c>
      <c r="D558" s="10" t="str">
        <f ca="1">IFERROR(__xludf.DUMMYFUNCTION("""COMPUTED_VALUE"""),"VPEK24-LAPANGAN")</f>
        <v>VPEK24-LAPANGAN</v>
      </c>
      <c r="E558" s="10"/>
      <c r="F558" s="10">
        <f ca="1">IFERROR(__xludf.DUMMYFUNCTION("""COMPUTED_VALUE"""),1)</f>
        <v>1</v>
      </c>
      <c r="G558" s="10" t="str">
        <f ca="1">IFERROR(__xludf.DUMMYFUNCTION("""COMPUTED_VALUE"""),"Syarifah Desti Pratiwi")</f>
        <v>Syarifah Desti Pratiwi</v>
      </c>
      <c r="H558" s="10" t="str">
        <f ca="1">IFERROR(__xludf.DUMMYFUNCTION("""COMPUTED_VALUE"""),"PPL")</f>
        <v>PPL</v>
      </c>
      <c r="I558" s="10" t="str">
        <f ca="1">IFERROR(__xludf.DUMMYFUNCTION("""COMPUTED_VALUE"""),"6102084512950002")</f>
        <v>6102084512950002</v>
      </c>
      <c r="J558" s="10" t="str">
        <f ca="1">IFERROR(__xludf.DUMMYFUNCTION("""COMPUTED_VALUE"""),"PENDATAAN")</f>
        <v>PENDATAAN</v>
      </c>
      <c r="K558" s="10" t="str">
        <f ca="1">IFERROR(__xludf.DUMMYFUNCTION("""COMPUTED_VALUE"""),"VPEK24-LAPANGAN-PPL-PERGUDANGAN")</f>
        <v>VPEK24-LAPANGAN-PPL-PERGUDANGAN</v>
      </c>
      <c r="L558" s="10" t="str">
        <f ca="1">IFERROR(__xludf.DUMMYFUNCTION("""COMPUTED_VALUE"""),"Dokumen")</f>
        <v>Dokumen</v>
      </c>
      <c r="M558" s="66">
        <f ca="1">IFERROR(__xludf.DUMMYFUNCTION("""COMPUTED_VALUE"""),73000)</f>
        <v>73000</v>
      </c>
      <c r="N558" s="10">
        <f ca="1">IFERROR(__xludf.DUMMYFUNCTION("""COMPUTED_VALUE"""),4)</f>
        <v>4</v>
      </c>
      <c r="O558" s="10">
        <f ca="1">IFERROR(__xludf.DUMMYFUNCTION("""COMPUTED_VALUE"""),292000)</f>
        <v>292000</v>
      </c>
      <c r="P558" s="10"/>
      <c r="Q558" s="67">
        <f ca="1">IFERROR(__xludf.DUMMYFUNCTION("""COMPUTED_VALUE"""),45549)</f>
        <v>45549</v>
      </c>
    </row>
    <row r="559" spans="1:17" ht="12.5">
      <c r="A559" s="82">
        <f t="array" aca="1" ref="A559" ca="1">INDEX('Database Mitra'!$R$2:$R1001,MATCH(C559,'Database Mitra'!$B$2:$B1001,0))</f>
        <v>35862</v>
      </c>
      <c r="B559" s="10" t="e">
        <f t="shared" ca="1" si="0"/>
        <v>#NAME?</v>
      </c>
      <c r="C559" s="83">
        <f ca="1">IFERROR(__xludf.DUMMYFUNCTION("""COMPUTED_VALUE"""),610422100165)</f>
        <v>610422100165</v>
      </c>
      <c r="D559" s="10" t="str">
        <f ca="1">IFERROR(__xludf.DUMMYFUNCTION("""COMPUTED_VALUE"""),"VPEK24-LAPANGAN")</f>
        <v>VPEK24-LAPANGAN</v>
      </c>
      <c r="E559" s="10"/>
      <c r="F559" s="10">
        <f ca="1">IFERROR(__xludf.DUMMYFUNCTION("""COMPUTED_VALUE"""),1)</f>
        <v>1</v>
      </c>
      <c r="G559" s="10" t="str">
        <f ca="1">IFERROR(__xludf.DUMMYFUNCTION("""COMPUTED_VALUE"""),"Yanti")</f>
        <v>Yanti</v>
      </c>
      <c r="H559" s="10" t="str">
        <f ca="1">IFERROR(__xludf.DUMMYFUNCTION("""COMPUTED_VALUE"""),"PPL")</f>
        <v>PPL</v>
      </c>
      <c r="I559" s="10" t="str">
        <f ca="1">IFERROR(__xludf.DUMMYFUNCTION("""COMPUTED_VALUE"""),"6102074803980002")</f>
        <v>6102074803980002</v>
      </c>
      <c r="J559" s="10" t="str">
        <f ca="1">IFERROR(__xludf.DUMMYFUNCTION("""COMPUTED_VALUE"""),"PENDATAAN")</f>
        <v>PENDATAAN</v>
      </c>
      <c r="K559" s="10" t="str">
        <f ca="1">IFERROR(__xludf.DUMMYFUNCTION("""COMPUTED_VALUE"""),"VPEK24-LAPANGAN-PPL-PERGUDANGAN")</f>
        <v>VPEK24-LAPANGAN-PPL-PERGUDANGAN</v>
      </c>
      <c r="L559" s="10" t="str">
        <f ca="1">IFERROR(__xludf.DUMMYFUNCTION("""COMPUTED_VALUE"""),"Dokumen")</f>
        <v>Dokumen</v>
      </c>
      <c r="M559" s="66">
        <f ca="1">IFERROR(__xludf.DUMMYFUNCTION("""COMPUTED_VALUE"""),73000)</f>
        <v>73000</v>
      </c>
      <c r="N559" s="10">
        <f ca="1">IFERROR(__xludf.DUMMYFUNCTION("""COMPUTED_VALUE"""),1)</f>
        <v>1</v>
      </c>
      <c r="O559" s="10">
        <f ca="1">IFERROR(__xludf.DUMMYFUNCTION("""COMPUTED_VALUE"""),73000)</f>
        <v>73000</v>
      </c>
      <c r="P559" s="10"/>
      <c r="Q559" s="67">
        <f ca="1">IFERROR(__xludf.DUMMYFUNCTION("""COMPUTED_VALUE"""),45549)</f>
        <v>45549</v>
      </c>
    </row>
    <row r="560" spans="1:17" ht="12.5">
      <c r="A560" s="82">
        <f t="array" aca="1" ref="A560" ca="1">INDEX('Database Mitra'!$R$2:$R1001,MATCH(C560,'Database Mitra'!$B$2:$B1001,0))</f>
        <v>31964</v>
      </c>
      <c r="B560" s="10" t="e">
        <f t="shared" ca="1" si="0"/>
        <v>#NAME?</v>
      </c>
      <c r="C560" s="83">
        <f ca="1">IFERROR(__xludf.DUMMYFUNCTION("""COMPUTED_VALUE"""),610422040029)</f>
        <v>610422040029</v>
      </c>
      <c r="D560" s="10" t="str">
        <f ca="1">IFERROR(__xludf.DUMMYFUNCTION("""COMPUTED_VALUE"""),"VPEK24-LAPANGAN")</f>
        <v>VPEK24-LAPANGAN</v>
      </c>
      <c r="E560" s="10"/>
      <c r="F560" s="10">
        <f ca="1">IFERROR(__xludf.DUMMYFUNCTION("""COMPUTED_VALUE"""),1)</f>
        <v>1</v>
      </c>
      <c r="G560" s="10" t="str">
        <f ca="1">IFERROR(__xludf.DUMMYFUNCTION("""COMPUTED_VALUE"""),"Zaini")</f>
        <v>Zaini</v>
      </c>
      <c r="H560" s="10" t="str">
        <f ca="1">IFERROR(__xludf.DUMMYFUNCTION("""COMPUTED_VALUE"""),"PPL")</f>
        <v>PPL</v>
      </c>
      <c r="I560" s="10" t="str">
        <f ca="1">IFERROR(__xludf.DUMMYFUNCTION("""COMPUTED_VALUE"""),"6102010607870002")</f>
        <v>6102010607870002</v>
      </c>
      <c r="J560" s="10" t="str">
        <f ca="1">IFERROR(__xludf.DUMMYFUNCTION("""COMPUTED_VALUE"""),"PENDATAAN")</f>
        <v>PENDATAAN</v>
      </c>
      <c r="K560" s="10" t="str">
        <f ca="1">IFERROR(__xludf.DUMMYFUNCTION("""COMPUTED_VALUE"""),"VPEK24-LAPANGAN-PPL-PERGUDANGAN")</f>
        <v>VPEK24-LAPANGAN-PPL-PERGUDANGAN</v>
      </c>
      <c r="L560" s="10" t="str">
        <f ca="1">IFERROR(__xludf.DUMMYFUNCTION("""COMPUTED_VALUE"""),"Dokumen")</f>
        <v>Dokumen</v>
      </c>
      <c r="M560" s="66">
        <f ca="1">IFERROR(__xludf.DUMMYFUNCTION("""COMPUTED_VALUE"""),73000)</f>
        <v>73000</v>
      </c>
      <c r="N560" s="10">
        <f ca="1">IFERROR(__xludf.DUMMYFUNCTION("""COMPUTED_VALUE"""),5)</f>
        <v>5</v>
      </c>
      <c r="O560" s="10">
        <f ca="1">IFERROR(__xludf.DUMMYFUNCTION("""COMPUTED_VALUE"""),365000)</f>
        <v>365000</v>
      </c>
      <c r="P560" s="10"/>
      <c r="Q560" s="67">
        <f ca="1">IFERROR(__xludf.DUMMYFUNCTION("""COMPUTED_VALUE"""),45549)</f>
        <v>45549</v>
      </c>
    </row>
    <row r="561" spans="1:17" ht="12.5">
      <c r="A561" s="82">
        <f t="array" aca="1" ref="A561" ca="1">INDEX('Database Mitra'!$R$2:$R1001,MATCH(C561,'Database Mitra'!$B$2:$B1001,0))</f>
        <v>35862</v>
      </c>
      <c r="B561" s="10" t="e">
        <f t="shared" ca="1" si="0"/>
        <v>#NAME?</v>
      </c>
      <c r="C561" s="83">
        <f ca="1">IFERROR(__xludf.DUMMYFUNCTION("""COMPUTED_VALUE"""),610422100165)</f>
        <v>610422100165</v>
      </c>
      <c r="D561" s="10" t="str">
        <f ca="1">IFERROR(__xludf.DUMMYFUNCTION("""COMPUTED_VALUE"""),"VPEK24-LAPANGAN")</f>
        <v>VPEK24-LAPANGAN</v>
      </c>
      <c r="E561" s="10"/>
      <c r="F561" s="10">
        <f ca="1">IFERROR(__xludf.DUMMYFUNCTION("""COMPUTED_VALUE"""),1)</f>
        <v>1</v>
      </c>
      <c r="G561" s="10" t="str">
        <f ca="1">IFERROR(__xludf.DUMMYFUNCTION("""COMPUTED_VALUE"""),"Yanti")</f>
        <v>Yanti</v>
      </c>
      <c r="H561" s="10" t="str">
        <f ca="1">IFERROR(__xludf.DUMMYFUNCTION("""COMPUTED_VALUE"""),"PPL")</f>
        <v>PPL</v>
      </c>
      <c r="I561" s="10" t="str">
        <f ca="1">IFERROR(__xludf.DUMMYFUNCTION("""COMPUTED_VALUE"""),"6102074803980002")</f>
        <v>6102074803980002</v>
      </c>
      <c r="J561" s="10" t="str">
        <f ca="1">IFERROR(__xludf.DUMMYFUNCTION("""COMPUTED_VALUE"""),"PENDATAAN")</f>
        <v>PENDATAAN</v>
      </c>
      <c r="K561" s="10" t="str">
        <f ca="1">IFERROR(__xludf.DUMMYFUNCTION("""COMPUTED_VALUE"""),"VPEK24-LAPANGAN-PPL-JASA PENUNJANG ANGKUTAN")</f>
        <v>VPEK24-LAPANGAN-PPL-JASA PENUNJANG ANGKUTAN</v>
      </c>
      <c r="L561" s="10" t="str">
        <f ca="1">IFERROR(__xludf.DUMMYFUNCTION("""COMPUTED_VALUE"""),"Dokumen")</f>
        <v>Dokumen</v>
      </c>
      <c r="M561" s="66">
        <f ca="1">IFERROR(__xludf.DUMMYFUNCTION("""COMPUTED_VALUE"""),73000)</f>
        <v>73000</v>
      </c>
      <c r="N561" s="10">
        <f ca="1">IFERROR(__xludf.DUMMYFUNCTION("""COMPUTED_VALUE"""),6)</f>
        <v>6</v>
      </c>
      <c r="O561" s="10">
        <f ca="1">IFERROR(__xludf.DUMMYFUNCTION("""COMPUTED_VALUE"""),438000)</f>
        <v>438000</v>
      </c>
      <c r="P561" s="10"/>
      <c r="Q561" s="67">
        <f ca="1">IFERROR(__xludf.DUMMYFUNCTION("""COMPUTED_VALUE"""),45549)</f>
        <v>45549</v>
      </c>
    </row>
    <row r="562" spans="1:17" ht="12.5">
      <c r="A562" s="82">
        <f t="array" aca="1" ref="A562" ca="1">INDEX('Database Mitra'!$R$2:$R1001,MATCH(C562,'Database Mitra'!$B$2:$B1001,0))</f>
        <v>34232</v>
      </c>
      <c r="B562" s="10" t="e">
        <f t="shared" ca="1" si="0"/>
        <v>#NAME?</v>
      </c>
      <c r="C562" s="83">
        <f ca="1">IFERROR(__xludf.DUMMYFUNCTION("""COMPUTED_VALUE"""),610422020045)</f>
        <v>610422020045</v>
      </c>
      <c r="D562" s="10" t="str">
        <f ca="1">IFERROR(__xludf.DUMMYFUNCTION("""COMPUTED_VALUE"""),"SUSENAS24-LAPANGAN-SEMESTER2")</f>
        <v>SUSENAS24-LAPANGAN-SEMESTER2</v>
      </c>
      <c r="E562" s="10"/>
      <c r="F562" s="10">
        <f ca="1">IFERROR(__xludf.DUMMYFUNCTION("""COMPUTED_VALUE"""),1)</f>
        <v>1</v>
      </c>
      <c r="G562" s="10" t="str">
        <f ca="1">IFERROR(__xludf.DUMMYFUNCTION("""COMPUTED_VALUE"""),"Herdinatara Febria")</f>
        <v>Herdinatara Febria</v>
      </c>
      <c r="H562" s="10" t="str">
        <f ca="1">IFERROR(__xludf.DUMMYFUNCTION("""COMPUTED_VALUE"""),"PPL")</f>
        <v>PPL</v>
      </c>
      <c r="I562" s="10" t="str">
        <f ca="1">IFERROR(__xludf.DUMMYFUNCTION("""COMPUTED_VALUE"""),"6107086009930002")</f>
        <v>6107086009930002</v>
      </c>
      <c r="J562" s="10" t="str">
        <f ca="1">IFERROR(__xludf.DUMMYFUNCTION("""COMPUTED_VALUE"""),"UPDATING LISTING")</f>
        <v>UPDATING LISTING</v>
      </c>
      <c r="K562" s="10" t="str">
        <f ca="1">IFERROR(__xludf.DUMMYFUNCTION("""COMPUTED_VALUE"""),"SUSENAS24-LAPANGAN-SEMESTER2-PPL-UPDATING LISTING")</f>
        <v>SUSENAS24-LAPANGAN-SEMESTER2-PPL-UPDATING LISTING</v>
      </c>
      <c r="L562" s="10" t="str">
        <f ca="1">IFERROR(__xludf.DUMMYFUNCTION("""COMPUTED_VALUE"""),"BS")</f>
        <v>BS</v>
      </c>
      <c r="M562" s="66">
        <f ca="1">IFERROR(__xludf.DUMMYFUNCTION("""COMPUTED_VALUE"""),168000)</f>
        <v>168000</v>
      </c>
      <c r="N562" s="10">
        <f ca="1">IFERROR(__xludf.DUMMYFUNCTION("""COMPUTED_VALUE"""),1)</f>
        <v>1</v>
      </c>
      <c r="O562" s="10">
        <f ca="1">IFERROR(__xludf.DUMMYFUNCTION("""COMPUTED_VALUE"""),168000)</f>
        <v>168000</v>
      </c>
      <c r="P562" s="10"/>
      <c r="Q562" s="67">
        <f ca="1">IFERROR(__xludf.DUMMYFUNCTION("""COMPUTED_VALUE"""),45550)</f>
        <v>45550</v>
      </c>
    </row>
    <row r="563" spans="1:17" ht="12.5">
      <c r="A563" s="11">
        <f t="array" aca="1" ref="A563" ca="1">INDEX('Database Mitra'!$R$2:$R1001,MATCH(C563,'Database Mitra'!$B$2:$B1001,0))</f>
        <v>34895</v>
      </c>
      <c r="B563" s="10" t="e">
        <f t="shared" ca="1" si="0"/>
        <v>#NAME?</v>
      </c>
      <c r="C563" s="83">
        <f ca="1">IFERROR(__xludf.DUMMYFUNCTION("""COMPUTED_VALUE"""),610422020016)</f>
        <v>610422020016</v>
      </c>
      <c r="D563" s="10" t="str">
        <f ca="1">IFERROR(__xludf.DUMMYFUNCTION("""COMPUTED_VALUE"""),"SUSENAS24-LAPANGAN-SEMESTER2")</f>
        <v>SUSENAS24-LAPANGAN-SEMESTER2</v>
      </c>
      <c r="E563" s="10"/>
      <c r="F563" s="10">
        <f ca="1">IFERROR(__xludf.DUMMYFUNCTION("""COMPUTED_VALUE"""),1)</f>
        <v>1</v>
      </c>
      <c r="G563" s="10" t="str">
        <f ca="1">IFERROR(__xludf.DUMMYFUNCTION("""COMPUTED_VALUE"""),"Abdul Aziz")</f>
        <v>Abdul Aziz</v>
      </c>
      <c r="H563" s="10" t="str">
        <f ca="1">IFERROR(__xludf.DUMMYFUNCTION("""COMPUTED_VALUE"""),"PPL")</f>
        <v>PPL</v>
      </c>
      <c r="I563" s="10" t="str">
        <f ca="1">IFERROR(__xludf.DUMMYFUNCTION("""COMPUTED_VALUE"""),"6102061507950006")</f>
        <v>6102061507950006</v>
      </c>
      <c r="J563" s="10" t="str">
        <f ca="1">IFERROR(__xludf.DUMMYFUNCTION("""COMPUTED_VALUE"""),"UPDATING LISTING")</f>
        <v>UPDATING LISTING</v>
      </c>
      <c r="K563" s="10" t="str">
        <f ca="1">IFERROR(__xludf.DUMMYFUNCTION("""COMPUTED_VALUE"""),"SUSENAS24-LAPANGAN-SEMESTER2-PPL-UPDATING LISTING")</f>
        <v>SUSENAS24-LAPANGAN-SEMESTER2-PPL-UPDATING LISTING</v>
      </c>
      <c r="L563" s="10" t="str">
        <f ca="1">IFERROR(__xludf.DUMMYFUNCTION("""COMPUTED_VALUE"""),"BS")</f>
        <v>BS</v>
      </c>
      <c r="M563" s="66">
        <f ca="1">IFERROR(__xludf.DUMMYFUNCTION("""COMPUTED_VALUE"""),168000)</f>
        <v>168000</v>
      </c>
      <c r="N563" s="10">
        <f ca="1">IFERROR(__xludf.DUMMYFUNCTION("""COMPUTED_VALUE"""),1)</f>
        <v>1</v>
      </c>
      <c r="O563" s="10">
        <f ca="1">IFERROR(__xludf.DUMMYFUNCTION("""COMPUTED_VALUE"""),168000)</f>
        <v>168000</v>
      </c>
      <c r="P563" s="10"/>
      <c r="Q563" s="67">
        <f ca="1">IFERROR(__xludf.DUMMYFUNCTION("""COMPUTED_VALUE"""),45550)</f>
        <v>45550</v>
      </c>
    </row>
    <row r="564" spans="1:17" ht="12.5">
      <c r="A564" s="82">
        <f t="array" aca="1" ref="A564" ca="1">INDEX('Database Mitra'!$R$2:$R1001,MATCH(C564,'Database Mitra'!$B$2:$B1001,0))</f>
        <v>32184</v>
      </c>
      <c r="B564" s="10" t="e">
        <f t="shared" ca="1" si="0"/>
        <v>#NAME?</v>
      </c>
      <c r="C564" s="83">
        <f ca="1">IFERROR(__xludf.DUMMYFUNCTION("""COMPUTED_VALUE"""),610422020032)</f>
        <v>610422020032</v>
      </c>
      <c r="D564" s="10" t="str">
        <f ca="1">IFERROR(__xludf.DUMMYFUNCTION("""COMPUTED_VALUE"""),"SUSENAS24-LAPANGAN-SEMESTER2")</f>
        <v>SUSENAS24-LAPANGAN-SEMESTER2</v>
      </c>
      <c r="E564" s="10"/>
      <c r="F564" s="10">
        <f ca="1">IFERROR(__xludf.DUMMYFUNCTION("""COMPUTED_VALUE"""),1)</f>
        <v>1</v>
      </c>
      <c r="G564" s="10" t="str">
        <f ca="1">IFERROR(__xludf.DUMMYFUNCTION("""COMPUTED_VALUE"""),"Lilis Suryani")</f>
        <v>Lilis Suryani</v>
      </c>
      <c r="H564" s="10" t="str">
        <f ca="1">IFERROR(__xludf.DUMMYFUNCTION("""COMPUTED_VALUE"""),"PPL")</f>
        <v>PPL</v>
      </c>
      <c r="I564" s="10" t="str">
        <f ca="1">IFERROR(__xludf.DUMMYFUNCTION("""COMPUTED_VALUE"""),"6102185102880001")</f>
        <v>6102185102880001</v>
      </c>
      <c r="J564" s="10" t="str">
        <f ca="1">IFERROR(__xludf.DUMMYFUNCTION("""COMPUTED_VALUE"""),"UPDATING LISTING")</f>
        <v>UPDATING LISTING</v>
      </c>
      <c r="K564" s="10" t="str">
        <f ca="1">IFERROR(__xludf.DUMMYFUNCTION("""COMPUTED_VALUE"""),"SUSENAS24-LAPANGAN-SEMESTER2-PPL-UPDATING LISTING")</f>
        <v>SUSENAS24-LAPANGAN-SEMESTER2-PPL-UPDATING LISTING</v>
      </c>
      <c r="L564" s="10" t="str">
        <f ca="1">IFERROR(__xludf.DUMMYFUNCTION("""COMPUTED_VALUE"""),"BS")</f>
        <v>BS</v>
      </c>
      <c r="M564" s="66">
        <f ca="1">IFERROR(__xludf.DUMMYFUNCTION("""COMPUTED_VALUE"""),168000)</f>
        <v>168000</v>
      </c>
      <c r="N564" s="10">
        <f ca="1">IFERROR(__xludf.DUMMYFUNCTION("""COMPUTED_VALUE"""),1)</f>
        <v>1</v>
      </c>
      <c r="O564" s="10">
        <f ca="1">IFERROR(__xludf.DUMMYFUNCTION("""COMPUTED_VALUE"""),168000)</f>
        <v>168000</v>
      </c>
      <c r="P564" s="10"/>
      <c r="Q564" s="67">
        <f ca="1">IFERROR(__xludf.DUMMYFUNCTION("""COMPUTED_VALUE"""),45550)</f>
        <v>45550</v>
      </c>
    </row>
    <row r="565" spans="1:17" ht="12.5">
      <c r="A565" s="82">
        <f t="array" aca="1" ref="A565" ca="1">INDEX('Database Mitra'!$R$2:$R1001,MATCH(C565,'Database Mitra'!$B$2:$B1001,0))</f>
        <v>31964</v>
      </c>
      <c r="B565" s="10" t="e">
        <f t="shared" ca="1" si="0"/>
        <v>#NAME?</v>
      </c>
      <c r="C565" s="83">
        <f ca="1">IFERROR(__xludf.DUMMYFUNCTION("""COMPUTED_VALUE"""),610422040029)</f>
        <v>610422040029</v>
      </c>
      <c r="D565" s="10" t="str">
        <f ca="1">IFERROR(__xludf.DUMMYFUNCTION("""COMPUTED_VALUE"""),"SUSENAS24-LAPANGAN-SEMESTER2")</f>
        <v>SUSENAS24-LAPANGAN-SEMESTER2</v>
      </c>
      <c r="E565" s="10"/>
      <c r="F565" s="10">
        <f ca="1">IFERROR(__xludf.DUMMYFUNCTION("""COMPUTED_VALUE"""),1)</f>
        <v>1</v>
      </c>
      <c r="G565" s="10" t="str">
        <f ca="1">IFERROR(__xludf.DUMMYFUNCTION("""COMPUTED_VALUE"""),"Zaini")</f>
        <v>Zaini</v>
      </c>
      <c r="H565" s="10" t="str">
        <f ca="1">IFERROR(__xludf.DUMMYFUNCTION("""COMPUTED_VALUE"""),"PPL")</f>
        <v>PPL</v>
      </c>
      <c r="I565" s="10" t="str">
        <f ca="1">IFERROR(__xludf.DUMMYFUNCTION("""COMPUTED_VALUE"""),"6102010607870002")</f>
        <v>6102010607870002</v>
      </c>
      <c r="J565" s="10" t="str">
        <f ca="1">IFERROR(__xludf.DUMMYFUNCTION("""COMPUTED_VALUE"""),"UPDATING LISTING")</f>
        <v>UPDATING LISTING</v>
      </c>
      <c r="K565" s="10" t="str">
        <f ca="1">IFERROR(__xludf.DUMMYFUNCTION("""COMPUTED_VALUE"""),"SUSENAS24-LAPANGAN-SEMESTER2-PPL-UPDATING LISTING")</f>
        <v>SUSENAS24-LAPANGAN-SEMESTER2-PPL-UPDATING LISTING</v>
      </c>
      <c r="L565" s="10" t="str">
        <f ca="1">IFERROR(__xludf.DUMMYFUNCTION("""COMPUTED_VALUE"""),"BS")</f>
        <v>BS</v>
      </c>
      <c r="M565" s="66">
        <f ca="1">IFERROR(__xludf.DUMMYFUNCTION("""COMPUTED_VALUE"""),168000)</f>
        <v>168000</v>
      </c>
      <c r="N565" s="10">
        <f ca="1">IFERROR(__xludf.DUMMYFUNCTION("""COMPUTED_VALUE"""),1)</f>
        <v>1</v>
      </c>
      <c r="O565" s="10">
        <f ca="1">IFERROR(__xludf.DUMMYFUNCTION("""COMPUTED_VALUE"""),168000)</f>
        <v>168000</v>
      </c>
      <c r="P565" s="10"/>
      <c r="Q565" s="67">
        <f ca="1">IFERROR(__xludf.DUMMYFUNCTION("""COMPUTED_VALUE"""),45550)</f>
        <v>45550</v>
      </c>
    </row>
    <row r="566" spans="1:17" ht="12.5">
      <c r="A566" s="82">
        <f t="array" aca="1" ref="A566" ca="1">INDEX('Database Mitra'!$R$2:$R1001,MATCH(C566,'Database Mitra'!$B$2:$B1001,0))</f>
        <v>36997</v>
      </c>
      <c r="B566" s="10" t="e">
        <f t="shared" ca="1" si="0"/>
        <v>#NAME?</v>
      </c>
      <c r="C566" s="83">
        <f ca="1">IFERROR(__xludf.DUMMYFUNCTION("""COMPUTED_VALUE"""),610422040053)</f>
        <v>610422040053</v>
      </c>
      <c r="D566" s="10" t="str">
        <f ca="1">IFERROR(__xludf.DUMMYFUNCTION("""COMPUTED_VALUE"""),"SUSENAS24-LAPANGAN-SEMESTER2")</f>
        <v>SUSENAS24-LAPANGAN-SEMESTER2</v>
      </c>
      <c r="E566" s="10"/>
      <c r="F566" s="10">
        <f ca="1">IFERROR(__xludf.DUMMYFUNCTION("""COMPUTED_VALUE"""),1)</f>
        <v>1</v>
      </c>
      <c r="G566" s="10" t="str">
        <f ca="1">IFERROR(__xludf.DUMMYFUNCTION("""COMPUTED_VALUE"""),"Veti Ningsi")</f>
        <v>Veti Ningsi</v>
      </c>
      <c r="H566" s="10" t="str">
        <f ca="1">IFERROR(__xludf.DUMMYFUNCTION("""COMPUTED_VALUE"""),"PPL")</f>
        <v>PPL</v>
      </c>
      <c r="I566" s="10" t="str">
        <f ca="1">IFERROR(__xludf.DUMMYFUNCTION("""COMPUTED_VALUE"""),"6102125604010002")</f>
        <v>6102125604010002</v>
      </c>
      <c r="J566" s="10" t="str">
        <f ca="1">IFERROR(__xludf.DUMMYFUNCTION("""COMPUTED_VALUE"""),"UPDATING LISTING")</f>
        <v>UPDATING LISTING</v>
      </c>
      <c r="K566" s="10" t="str">
        <f ca="1">IFERROR(__xludf.DUMMYFUNCTION("""COMPUTED_VALUE"""),"SUSENAS24-LAPANGAN-SEMESTER2-PPL-UPDATING LISTING")</f>
        <v>SUSENAS24-LAPANGAN-SEMESTER2-PPL-UPDATING LISTING</v>
      </c>
      <c r="L566" s="10" t="str">
        <f ca="1">IFERROR(__xludf.DUMMYFUNCTION("""COMPUTED_VALUE"""),"BS")</f>
        <v>BS</v>
      </c>
      <c r="M566" s="66">
        <f ca="1">IFERROR(__xludf.DUMMYFUNCTION("""COMPUTED_VALUE"""),168000)</f>
        <v>168000</v>
      </c>
      <c r="N566" s="10">
        <f ca="1">IFERROR(__xludf.DUMMYFUNCTION("""COMPUTED_VALUE"""),1)</f>
        <v>1</v>
      </c>
      <c r="O566" s="10">
        <f ca="1">IFERROR(__xludf.DUMMYFUNCTION("""COMPUTED_VALUE"""),168000)</f>
        <v>168000</v>
      </c>
      <c r="P566" s="10"/>
      <c r="Q566" s="67">
        <f ca="1">IFERROR(__xludf.DUMMYFUNCTION("""COMPUTED_VALUE"""),45550)</f>
        <v>45550</v>
      </c>
    </row>
    <row r="567" spans="1:17" ht="12.5">
      <c r="A567" s="82">
        <f t="array" aca="1" ref="A567" ca="1">INDEX('Database Mitra'!$R$2:$R1001,MATCH(C567,'Database Mitra'!$B$2:$B1001,0))</f>
        <v>27566</v>
      </c>
      <c r="B567" s="10" t="e">
        <f t="shared" ca="1" si="0"/>
        <v>#NAME?</v>
      </c>
      <c r="C567" s="83">
        <f ca="1">IFERROR(__xludf.DUMMYFUNCTION("""COMPUTED_VALUE"""),610422040038)</f>
        <v>610422040038</v>
      </c>
      <c r="D567" s="10" t="str">
        <f ca="1">IFERROR(__xludf.DUMMYFUNCTION("""COMPUTED_VALUE"""),"SUSENAS24-LAPANGAN-SEMESTER2")</f>
        <v>SUSENAS24-LAPANGAN-SEMESTER2</v>
      </c>
      <c r="E567" s="10"/>
      <c r="F567" s="10">
        <f ca="1">IFERROR(__xludf.DUMMYFUNCTION("""COMPUTED_VALUE"""),1)</f>
        <v>1</v>
      </c>
      <c r="G567" s="10" t="str">
        <f ca="1">IFERROR(__xludf.DUMMYFUNCTION("""COMPUTED_VALUE"""),"Yuyun Antoni, S.E.")</f>
        <v>Yuyun Antoni, S.E.</v>
      </c>
      <c r="H567" s="10" t="str">
        <f ca="1">IFERROR(__xludf.DUMMYFUNCTION("""COMPUTED_VALUE"""),"PPL")</f>
        <v>PPL</v>
      </c>
      <c r="I567" s="10" t="str">
        <f ca="1">IFERROR(__xludf.DUMMYFUNCTION("""COMPUTED_VALUE"""),"6102122106750003")</f>
        <v>6102122106750003</v>
      </c>
      <c r="J567" s="10" t="str">
        <f ca="1">IFERROR(__xludf.DUMMYFUNCTION("""COMPUTED_VALUE"""),"UPDATING LISTING")</f>
        <v>UPDATING LISTING</v>
      </c>
      <c r="K567" s="10" t="str">
        <f ca="1">IFERROR(__xludf.DUMMYFUNCTION("""COMPUTED_VALUE"""),"SUSENAS24-LAPANGAN-SEMESTER2-PPL-UPDATING LISTING")</f>
        <v>SUSENAS24-LAPANGAN-SEMESTER2-PPL-UPDATING LISTING</v>
      </c>
      <c r="L567" s="10" t="str">
        <f ca="1">IFERROR(__xludf.DUMMYFUNCTION("""COMPUTED_VALUE"""),"BS")</f>
        <v>BS</v>
      </c>
      <c r="M567" s="66">
        <f ca="1">IFERROR(__xludf.DUMMYFUNCTION("""COMPUTED_VALUE"""),168000)</f>
        <v>168000</v>
      </c>
      <c r="N567" s="10">
        <f ca="1">IFERROR(__xludf.DUMMYFUNCTION("""COMPUTED_VALUE"""),1)</f>
        <v>1</v>
      </c>
      <c r="O567" s="10">
        <f ca="1">IFERROR(__xludf.DUMMYFUNCTION("""COMPUTED_VALUE"""),168000)</f>
        <v>168000</v>
      </c>
      <c r="P567" s="10"/>
      <c r="Q567" s="67">
        <f ca="1">IFERROR(__xludf.DUMMYFUNCTION("""COMPUTED_VALUE"""),45550)</f>
        <v>45550</v>
      </c>
    </row>
    <row r="568" spans="1:17" ht="12.5">
      <c r="A568" s="82">
        <f t="array" aca="1" ref="A568" ca="1">INDEX('Database Mitra'!$R$2:$R1001,MATCH(C568,'Database Mitra'!$B$2:$B1001,0))</f>
        <v>32849</v>
      </c>
      <c r="B568" s="10" t="e">
        <f t="shared" ca="1" si="0"/>
        <v>#NAME?</v>
      </c>
      <c r="C568" s="83">
        <f ca="1">IFERROR(__xludf.DUMMYFUNCTION("""COMPUTED_VALUE"""),610422040034)</f>
        <v>610422040034</v>
      </c>
      <c r="D568" s="10" t="str">
        <f ca="1">IFERROR(__xludf.DUMMYFUNCTION("""COMPUTED_VALUE"""),"SUSENAS24-LAPANGAN-SEMESTER2")</f>
        <v>SUSENAS24-LAPANGAN-SEMESTER2</v>
      </c>
      <c r="E568" s="10"/>
      <c r="F568" s="10">
        <f ca="1">IFERROR(__xludf.DUMMYFUNCTION("""COMPUTED_VALUE"""),1)</f>
        <v>1</v>
      </c>
      <c r="G568" s="10" t="str">
        <f ca="1">IFERROR(__xludf.DUMMYFUNCTION("""COMPUTED_VALUE"""),"Nelly Nalita")</f>
        <v>Nelly Nalita</v>
      </c>
      <c r="H568" s="10" t="str">
        <f ca="1">IFERROR(__xludf.DUMMYFUNCTION("""COMPUTED_VALUE"""),"PPL")</f>
        <v>PPL</v>
      </c>
      <c r="I568" s="10" t="str">
        <f ca="1">IFERROR(__xludf.DUMMYFUNCTION("""COMPUTED_VALUE"""),"6102014712890004")</f>
        <v>6102014712890004</v>
      </c>
      <c r="J568" s="10" t="str">
        <f ca="1">IFERROR(__xludf.DUMMYFUNCTION("""COMPUTED_VALUE"""),"UPDATING LISTING")</f>
        <v>UPDATING LISTING</v>
      </c>
      <c r="K568" s="10" t="str">
        <f ca="1">IFERROR(__xludf.DUMMYFUNCTION("""COMPUTED_VALUE"""),"SUSENAS24-LAPANGAN-SEMESTER2-PPL-UPDATING LISTING")</f>
        <v>SUSENAS24-LAPANGAN-SEMESTER2-PPL-UPDATING LISTING</v>
      </c>
      <c r="L568" s="10" t="str">
        <f ca="1">IFERROR(__xludf.DUMMYFUNCTION("""COMPUTED_VALUE"""),"BS")</f>
        <v>BS</v>
      </c>
      <c r="M568" s="66">
        <f ca="1">IFERROR(__xludf.DUMMYFUNCTION("""COMPUTED_VALUE"""),168000)</f>
        <v>168000</v>
      </c>
      <c r="N568" s="10">
        <f ca="1">IFERROR(__xludf.DUMMYFUNCTION("""COMPUTED_VALUE"""),1)</f>
        <v>1</v>
      </c>
      <c r="O568" s="10">
        <f ca="1">IFERROR(__xludf.DUMMYFUNCTION("""COMPUTED_VALUE"""),168000)</f>
        <v>168000</v>
      </c>
      <c r="P568" s="10"/>
      <c r="Q568" s="67">
        <f ca="1">IFERROR(__xludf.DUMMYFUNCTION("""COMPUTED_VALUE"""),45550)</f>
        <v>45550</v>
      </c>
    </row>
    <row r="569" spans="1:17" ht="12.5">
      <c r="A569" s="82">
        <f t="array" aca="1" ref="A569" ca="1">INDEX('Database Mitra'!$R$2:$R1001,MATCH(C569,'Database Mitra'!$B$2:$B1001,0))</f>
        <v>34541</v>
      </c>
      <c r="B569" s="10" t="e">
        <f t="shared" ca="1" si="0"/>
        <v>#NAME?</v>
      </c>
      <c r="C569" s="83">
        <f ca="1">IFERROR(__xludf.DUMMYFUNCTION("""COMPUTED_VALUE"""),610422040058)</f>
        <v>610422040058</v>
      </c>
      <c r="D569" s="10" t="str">
        <f ca="1">IFERROR(__xludf.DUMMYFUNCTION("""COMPUTED_VALUE"""),"SUSENAS24-LAPANGAN-SEMESTER2")</f>
        <v>SUSENAS24-LAPANGAN-SEMESTER2</v>
      </c>
      <c r="E569" s="10"/>
      <c r="F569" s="10">
        <f ca="1">IFERROR(__xludf.DUMMYFUNCTION("""COMPUTED_VALUE"""),1)</f>
        <v>1</v>
      </c>
      <c r="G569" s="10" t="str">
        <f ca="1">IFERROR(__xludf.DUMMYFUNCTION("""COMPUTED_VALUE"""),"Jamaluddin, Sp")</f>
        <v>Jamaluddin, Sp</v>
      </c>
      <c r="H569" s="10" t="str">
        <f ca="1">IFERROR(__xludf.DUMMYFUNCTION("""COMPUTED_VALUE"""),"PPL")</f>
        <v>PPL</v>
      </c>
      <c r="I569" s="10" t="str">
        <f ca="1">IFERROR(__xludf.DUMMYFUNCTION("""COMPUTED_VALUE"""),"6102152607940002")</f>
        <v>6102152607940002</v>
      </c>
      <c r="J569" s="10" t="str">
        <f ca="1">IFERROR(__xludf.DUMMYFUNCTION("""COMPUTED_VALUE"""),"UPDATING LISTING")</f>
        <v>UPDATING LISTING</v>
      </c>
      <c r="K569" s="10" t="str">
        <f ca="1">IFERROR(__xludf.DUMMYFUNCTION("""COMPUTED_VALUE"""),"SUSENAS24-LAPANGAN-SEMESTER2-PPL-UPDATING LISTING")</f>
        <v>SUSENAS24-LAPANGAN-SEMESTER2-PPL-UPDATING LISTING</v>
      </c>
      <c r="L569" s="10" t="str">
        <f ca="1">IFERROR(__xludf.DUMMYFUNCTION("""COMPUTED_VALUE"""),"BS")</f>
        <v>BS</v>
      </c>
      <c r="M569" s="66">
        <f ca="1">IFERROR(__xludf.DUMMYFUNCTION("""COMPUTED_VALUE"""),168000)</f>
        <v>168000</v>
      </c>
      <c r="N569" s="10">
        <f ca="1">IFERROR(__xludf.DUMMYFUNCTION("""COMPUTED_VALUE"""),1)</f>
        <v>1</v>
      </c>
      <c r="O569" s="10">
        <f ca="1">IFERROR(__xludf.DUMMYFUNCTION("""COMPUTED_VALUE"""),168000)</f>
        <v>168000</v>
      </c>
      <c r="P569" s="10"/>
      <c r="Q569" s="67">
        <f ca="1">IFERROR(__xludf.DUMMYFUNCTION("""COMPUTED_VALUE"""),45550)</f>
        <v>45550</v>
      </c>
    </row>
    <row r="570" spans="1:17" ht="12.5">
      <c r="A570" s="82">
        <f t="array" aca="1" ref="A570" ca="1">INDEX('Database Mitra'!$R$2:$R1001,MATCH(C570,'Database Mitra'!$B$2:$B1001,0))</f>
        <v>28920</v>
      </c>
      <c r="B570" s="10" t="e">
        <f t="shared" ca="1" si="0"/>
        <v>#NAME?</v>
      </c>
      <c r="C570" s="83">
        <f ca="1">IFERROR(__xludf.DUMMYFUNCTION("""COMPUTED_VALUE"""),610422040052)</f>
        <v>610422040052</v>
      </c>
      <c r="D570" s="10" t="str">
        <f ca="1">IFERROR(__xludf.DUMMYFUNCTION("""COMPUTED_VALUE"""),"SUSENAS24-LAPANGAN-SEMESTER2")</f>
        <v>SUSENAS24-LAPANGAN-SEMESTER2</v>
      </c>
      <c r="E570" s="10"/>
      <c r="F570" s="10">
        <f ca="1">IFERROR(__xludf.DUMMYFUNCTION("""COMPUTED_VALUE"""),1)</f>
        <v>1</v>
      </c>
      <c r="G570" s="10" t="str">
        <f ca="1">IFERROR(__xludf.DUMMYFUNCTION("""COMPUTED_VALUE"""),"Yusimianto")</f>
        <v>Yusimianto</v>
      </c>
      <c r="H570" s="10" t="str">
        <f ca="1">IFERROR(__xludf.DUMMYFUNCTION("""COMPUTED_VALUE"""),"PPL")</f>
        <v>PPL</v>
      </c>
      <c r="I570" s="10" t="str">
        <f ca="1">IFERROR(__xludf.DUMMYFUNCTION("""COMPUTED_VALUE"""),"6102160603790001")</f>
        <v>6102160603790001</v>
      </c>
      <c r="J570" s="10" t="str">
        <f ca="1">IFERROR(__xludf.DUMMYFUNCTION("""COMPUTED_VALUE"""),"UPDATING LISTING")</f>
        <v>UPDATING LISTING</v>
      </c>
      <c r="K570" s="10" t="str">
        <f ca="1">IFERROR(__xludf.DUMMYFUNCTION("""COMPUTED_VALUE"""),"SUSENAS24-LAPANGAN-SEMESTER2-PPL-UPDATING LISTING")</f>
        <v>SUSENAS24-LAPANGAN-SEMESTER2-PPL-UPDATING LISTING</v>
      </c>
      <c r="L570" s="10" t="str">
        <f ca="1">IFERROR(__xludf.DUMMYFUNCTION("""COMPUTED_VALUE"""),"BS")</f>
        <v>BS</v>
      </c>
      <c r="M570" s="66">
        <f ca="1">IFERROR(__xludf.DUMMYFUNCTION("""COMPUTED_VALUE"""),168000)</f>
        <v>168000</v>
      </c>
      <c r="N570" s="10">
        <f ca="1">IFERROR(__xludf.DUMMYFUNCTION("""COMPUTED_VALUE"""),1)</f>
        <v>1</v>
      </c>
      <c r="O570" s="10">
        <f ca="1">IFERROR(__xludf.DUMMYFUNCTION("""COMPUTED_VALUE"""),168000)</f>
        <v>168000</v>
      </c>
      <c r="P570" s="10"/>
      <c r="Q570" s="67">
        <f ca="1">IFERROR(__xludf.DUMMYFUNCTION("""COMPUTED_VALUE"""),45550)</f>
        <v>45550</v>
      </c>
    </row>
    <row r="571" spans="1:17" ht="12.5">
      <c r="A571" s="82">
        <f t="array" aca="1" ref="A571" ca="1">INDEX('Database Mitra'!$R$2:$R1001,MATCH(C571,'Database Mitra'!$B$2:$B1001,0))</f>
        <v>31275</v>
      </c>
      <c r="B571" s="10" t="e">
        <f t="shared" ca="1" si="0"/>
        <v>#NAME?</v>
      </c>
      <c r="C571" s="83">
        <f ca="1">IFERROR(__xludf.DUMMYFUNCTION("""COMPUTED_VALUE"""),610422100085)</f>
        <v>610422100085</v>
      </c>
      <c r="D571" s="10" t="str">
        <f ca="1">IFERROR(__xludf.DUMMYFUNCTION("""COMPUTED_VALUE"""),"SUSENAS24-LAPANGAN-SEMESTER2")</f>
        <v>SUSENAS24-LAPANGAN-SEMESTER2</v>
      </c>
      <c r="E571" s="10"/>
      <c r="F571" s="10">
        <f ca="1">IFERROR(__xludf.DUMMYFUNCTION("""COMPUTED_VALUE"""),1)</f>
        <v>1</v>
      </c>
      <c r="G571" s="10" t="str">
        <f ca="1">IFERROR(__xludf.DUMMYFUNCTION("""COMPUTED_VALUE"""),"Lina Agustin Widya Siwi")</f>
        <v>Lina Agustin Widya Siwi</v>
      </c>
      <c r="H571" s="10" t="str">
        <f ca="1">IFERROR(__xludf.DUMMYFUNCTION("""COMPUTED_VALUE"""),"PPL")</f>
        <v>PPL</v>
      </c>
      <c r="I571" s="10" t="str">
        <f ca="1">IFERROR(__xludf.DUMMYFUNCTION("""COMPUTED_VALUE"""),"3301225608850001")</f>
        <v>3301225608850001</v>
      </c>
      <c r="J571" s="10" t="str">
        <f ca="1">IFERROR(__xludf.DUMMYFUNCTION("""COMPUTED_VALUE"""),"UPDATING LISTING")</f>
        <v>UPDATING LISTING</v>
      </c>
      <c r="K571" s="10" t="str">
        <f ca="1">IFERROR(__xludf.DUMMYFUNCTION("""COMPUTED_VALUE"""),"SUSENAS24-LAPANGAN-SEMESTER2-PPL-UPDATING LISTING")</f>
        <v>SUSENAS24-LAPANGAN-SEMESTER2-PPL-UPDATING LISTING</v>
      </c>
      <c r="L571" s="10" t="str">
        <f ca="1">IFERROR(__xludf.DUMMYFUNCTION("""COMPUTED_VALUE"""),"BS")</f>
        <v>BS</v>
      </c>
      <c r="M571" s="66">
        <f ca="1">IFERROR(__xludf.DUMMYFUNCTION("""COMPUTED_VALUE"""),168000)</f>
        <v>168000</v>
      </c>
      <c r="N571" s="10">
        <f ca="1">IFERROR(__xludf.DUMMYFUNCTION("""COMPUTED_VALUE"""),1)</f>
        <v>1</v>
      </c>
      <c r="O571" s="10">
        <f ca="1">IFERROR(__xludf.DUMMYFUNCTION("""COMPUTED_VALUE"""),168000)</f>
        <v>168000</v>
      </c>
      <c r="P571" s="10"/>
      <c r="Q571" s="67">
        <f ca="1">IFERROR(__xludf.DUMMYFUNCTION("""COMPUTED_VALUE"""),45550)</f>
        <v>45550</v>
      </c>
    </row>
    <row r="572" spans="1:17" ht="12.5">
      <c r="A572" s="82">
        <f t="array" aca="1" ref="A572" ca="1">INDEX('Database Mitra'!$R$2:$R1001,MATCH(C572,'Database Mitra'!$B$2:$B1001,0))</f>
        <v>32158</v>
      </c>
      <c r="B572" s="10" t="e">
        <f t="shared" ca="1" si="0"/>
        <v>#NAME?</v>
      </c>
      <c r="C572" s="83">
        <f ca="1">IFERROR(__xludf.DUMMYFUNCTION("""COMPUTED_VALUE"""),610422100101)</f>
        <v>610422100101</v>
      </c>
      <c r="D572" s="10" t="str">
        <f ca="1">IFERROR(__xludf.DUMMYFUNCTION("""COMPUTED_VALUE"""),"SUSENAS24-LAPANGAN-SEMESTER2")</f>
        <v>SUSENAS24-LAPANGAN-SEMESTER2</v>
      </c>
      <c r="E572" s="10"/>
      <c r="F572" s="10">
        <f ca="1">IFERROR(__xludf.DUMMYFUNCTION("""COMPUTED_VALUE"""),1)</f>
        <v>1</v>
      </c>
      <c r="G572" s="10" t="str">
        <f ca="1">IFERROR(__xludf.DUMMYFUNCTION("""COMPUTED_VALUE"""),"Sukmawati,S.Si")</f>
        <v>Sukmawati,S.Si</v>
      </c>
      <c r="H572" s="10" t="str">
        <f ca="1">IFERROR(__xludf.DUMMYFUNCTION("""COMPUTED_VALUE"""),"PPL")</f>
        <v>PPL</v>
      </c>
      <c r="I572" s="10" t="str">
        <f ca="1">IFERROR(__xludf.DUMMYFUNCTION("""COMPUTED_VALUE"""),"3402135601880001")</f>
        <v>3402135601880001</v>
      </c>
      <c r="J572" s="10" t="str">
        <f ca="1">IFERROR(__xludf.DUMMYFUNCTION("""COMPUTED_VALUE"""),"UPDATING LISTING")</f>
        <v>UPDATING LISTING</v>
      </c>
      <c r="K572" s="10" t="str">
        <f ca="1">IFERROR(__xludf.DUMMYFUNCTION("""COMPUTED_VALUE"""),"SUSENAS24-LAPANGAN-SEMESTER2-PPL-UPDATING LISTING")</f>
        <v>SUSENAS24-LAPANGAN-SEMESTER2-PPL-UPDATING LISTING</v>
      </c>
      <c r="L572" s="10" t="str">
        <f ca="1">IFERROR(__xludf.DUMMYFUNCTION("""COMPUTED_VALUE"""),"BS")</f>
        <v>BS</v>
      </c>
      <c r="M572" s="66">
        <f ca="1">IFERROR(__xludf.DUMMYFUNCTION("""COMPUTED_VALUE"""),168000)</f>
        <v>168000</v>
      </c>
      <c r="N572" s="10">
        <f ca="1">IFERROR(__xludf.DUMMYFUNCTION("""COMPUTED_VALUE"""),1)</f>
        <v>1</v>
      </c>
      <c r="O572" s="10">
        <f ca="1">IFERROR(__xludf.DUMMYFUNCTION("""COMPUTED_VALUE"""),168000)</f>
        <v>168000</v>
      </c>
      <c r="P572" s="10"/>
      <c r="Q572" s="67">
        <f ca="1">IFERROR(__xludf.DUMMYFUNCTION("""COMPUTED_VALUE"""),45550)</f>
        <v>45550</v>
      </c>
    </row>
    <row r="573" spans="1:17" ht="12.5">
      <c r="A573" s="82">
        <f t="array" aca="1" ref="A573" ca="1">INDEX('Database Mitra'!$R$2:$R1001,MATCH(C573,'Database Mitra'!$B$2:$B1001,0))</f>
        <v>35978</v>
      </c>
      <c r="B573" s="10" t="e">
        <f t="shared" ca="1" si="0"/>
        <v>#NAME?</v>
      </c>
      <c r="C573" s="83">
        <f ca="1">IFERROR(__xludf.DUMMYFUNCTION("""COMPUTED_VALUE"""),610422100055)</f>
        <v>610422100055</v>
      </c>
      <c r="D573" s="10" t="str">
        <f ca="1">IFERROR(__xludf.DUMMYFUNCTION("""COMPUTED_VALUE"""),"SUSENAS24-LAPANGAN-SEMESTER2")</f>
        <v>SUSENAS24-LAPANGAN-SEMESTER2</v>
      </c>
      <c r="E573" s="10"/>
      <c r="F573" s="10">
        <f ca="1">IFERROR(__xludf.DUMMYFUNCTION("""COMPUTED_VALUE"""),1)</f>
        <v>1</v>
      </c>
      <c r="G573" s="10" t="str">
        <f ca="1">IFERROR(__xludf.DUMMYFUNCTION("""COMPUTED_VALUE"""),"Vika Rizkiani")</f>
        <v>Vika Rizkiani</v>
      </c>
      <c r="H573" s="10" t="str">
        <f ca="1">IFERROR(__xludf.DUMMYFUNCTION("""COMPUTED_VALUE"""),"PPL")</f>
        <v>PPL</v>
      </c>
      <c r="I573" s="10" t="str">
        <f ca="1">IFERROR(__xludf.DUMMYFUNCTION("""COMPUTED_VALUE"""),"6102084207980006")</f>
        <v>6102084207980006</v>
      </c>
      <c r="J573" s="10" t="str">
        <f ca="1">IFERROR(__xludf.DUMMYFUNCTION("""COMPUTED_VALUE"""),"UPDATING LISTING")</f>
        <v>UPDATING LISTING</v>
      </c>
      <c r="K573" s="10" t="str">
        <f ca="1">IFERROR(__xludf.DUMMYFUNCTION("""COMPUTED_VALUE"""),"SUSENAS24-LAPANGAN-SEMESTER2-PPL-UPDATING LISTING")</f>
        <v>SUSENAS24-LAPANGAN-SEMESTER2-PPL-UPDATING LISTING</v>
      </c>
      <c r="L573" s="10" t="str">
        <f ca="1">IFERROR(__xludf.DUMMYFUNCTION("""COMPUTED_VALUE"""),"BS")</f>
        <v>BS</v>
      </c>
      <c r="M573" s="66">
        <f ca="1">IFERROR(__xludf.DUMMYFUNCTION("""COMPUTED_VALUE"""),168000)</f>
        <v>168000</v>
      </c>
      <c r="N573" s="10">
        <f ca="1">IFERROR(__xludf.DUMMYFUNCTION("""COMPUTED_VALUE"""),1)</f>
        <v>1</v>
      </c>
      <c r="O573" s="10">
        <f ca="1">IFERROR(__xludf.DUMMYFUNCTION("""COMPUTED_VALUE"""),168000)</f>
        <v>168000</v>
      </c>
      <c r="P573" s="10"/>
      <c r="Q573" s="67">
        <f ca="1">IFERROR(__xludf.DUMMYFUNCTION("""COMPUTED_VALUE"""),45550)</f>
        <v>45550</v>
      </c>
    </row>
    <row r="574" spans="1:17" ht="12.5">
      <c r="A574" s="82">
        <f t="array" aca="1" ref="A574" ca="1">INDEX('Database Mitra'!$R$2:$R1001,MATCH(C574,'Database Mitra'!$B$2:$B1001,0))</f>
        <v>32942</v>
      </c>
      <c r="B574" s="10" t="e">
        <f t="shared" ca="1" si="0"/>
        <v>#NAME?</v>
      </c>
      <c r="C574" s="83">
        <f ca="1">IFERROR(__xludf.DUMMYFUNCTION("""COMPUTED_VALUE"""),610422100244)</f>
        <v>610422100244</v>
      </c>
      <c r="D574" s="10" t="str">
        <f ca="1">IFERROR(__xludf.DUMMYFUNCTION("""COMPUTED_VALUE"""),"SUSENAS24-LAPANGAN-SEMESTER2")</f>
        <v>SUSENAS24-LAPANGAN-SEMESTER2</v>
      </c>
      <c r="E574" s="10"/>
      <c r="F574" s="10">
        <f ca="1">IFERROR(__xludf.DUMMYFUNCTION("""COMPUTED_VALUE"""),1)</f>
        <v>1</v>
      </c>
      <c r="G574" s="10" t="str">
        <f ca="1">IFERROR(__xludf.DUMMYFUNCTION("""COMPUTED_VALUE"""),"Sugianto")</f>
        <v>Sugianto</v>
      </c>
      <c r="H574" s="10" t="str">
        <f ca="1">IFERROR(__xludf.DUMMYFUNCTION("""COMPUTED_VALUE"""),"PPL")</f>
        <v>PPL</v>
      </c>
      <c r="I574" s="10" t="str">
        <f ca="1">IFERROR(__xludf.DUMMYFUNCTION("""COMPUTED_VALUE"""),"6102171003900002")</f>
        <v>6102171003900002</v>
      </c>
      <c r="J574" s="10" t="str">
        <f ca="1">IFERROR(__xludf.DUMMYFUNCTION("""COMPUTED_VALUE"""),"UPDATING LISTING")</f>
        <v>UPDATING LISTING</v>
      </c>
      <c r="K574" s="10" t="str">
        <f ca="1">IFERROR(__xludf.DUMMYFUNCTION("""COMPUTED_VALUE"""),"SUSENAS24-LAPANGAN-SEMESTER2-PPL-UPDATING LISTING")</f>
        <v>SUSENAS24-LAPANGAN-SEMESTER2-PPL-UPDATING LISTING</v>
      </c>
      <c r="L574" s="10" t="str">
        <f ca="1">IFERROR(__xludf.DUMMYFUNCTION("""COMPUTED_VALUE"""),"BS")</f>
        <v>BS</v>
      </c>
      <c r="M574" s="66">
        <f ca="1">IFERROR(__xludf.DUMMYFUNCTION("""COMPUTED_VALUE"""),168000)</f>
        <v>168000</v>
      </c>
      <c r="N574" s="10">
        <f ca="1">IFERROR(__xludf.DUMMYFUNCTION("""COMPUTED_VALUE"""),1)</f>
        <v>1</v>
      </c>
      <c r="O574" s="10">
        <f ca="1">IFERROR(__xludf.DUMMYFUNCTION("""COMPUTED_VALUE"""),168000)</f>
        <v>168000</v>
      </c>
      <c r="P574" s="10"/>
      <c r="Q574" s="67">
        <f ca="1">IFERROR(__xludf.DUMMYFUNCTION("""COMPUTED_VALUE"""),45550)</f>
        <v>45550</v>
      </c>
    </row>
    <row r="575" spans="1:17" ht="12.5">
      <c r="A575" s="82">
        <f t="array" aca="1" ref="A575" ca="1">INDEX('Database Mitra'!$R$2:$R1001,MATCH(C575,'Database Mitra'!$B$2:$B1001,0))</f>
        <v>36546</v>
      </c>
      <c r="B575" s="10" t="e">
        <f t="shared" ca="1" si="0"/>
        <v>#NAME?</v>
      </c>
      <c r="C575" s="83">
        <f ca="1">IFERROR(__xludf.DUMMYFUNCTION("""COMPUTED_VALUE"""),610423040013)</f>
        <v>610423040013</v>
      </c>
      <c r="D575" s="10" t="str">
        <f ca="1">IFERROR(__xludf.DUMMYFUNCTION("""COMPUTED_VALUE"""),"SUSENAS24-LAPANGAN-SEMESTER2")</f>
        <v>SUSENAS24-LAPANGAN-SEMESTER2</v>
      </c>
      <c r="E575" s="10"/>
      <c r="F575" s="10">
        <f ca="1">IFERROR(__xludf.DUMMYFUNCTION("""COMPUTED_VALUE"""),1)</f>
        <v>1</v>
      </c>
      <c r="G575" s="10" t="str">
        <f ca="1">IFERROR(__xludf.DUMMYFUNCTION("""COMPUTED_VALUE"""),"Lulu Gesti Gunawati")</f>
        <v>Lulu Gesti Gunawati</v>
      </c>
      <c r="H575" s="10" t="str">
        <f ca="1">IFERROR(__xludf.DUMMYFUNCTION("""COMPUTED_VALUE"""),"PPL")</f>
        <v>PPL</v>
      </c>
      <c r="I575" s="10" t="str">
        <f ca="1">IFERROR(__xludf.DUMMYFUNCTION("""COMPUTED_VALUE"""),"3314066101000001")</f>
        <v>3314066101000001</v>
      </c>
      <c r="J575" s="10" t="str">
        <f ca="1">IFERROR(__xludf.DUMMYFUNCTION("""COMPUTED_VALUE"""),"UPDATING LISTING")</f>
        <v>UPDATING LISTING</v>
      </c>
      <c r="K575" s="10" t="str">
        <f ca="1">IFERROR(__xludf.DUMMYFUNCTION("""COMPUTED_VALUE"""),"SUSENAS24-LAPANGAN-SEMESTER2-PPL-UPDATING LISTING")</f>
        <v>SUSENAS24-LAPANGAN-SEMESTER2-PPL-UPDATING LISTING</v>
      </c>
      <c r="L575" s="10" t="str">
        <f ca="1">IFERROR(__xludf.DUMMYFUNCTION("""COMPUTED_VALUE"""),"BS")</f>
        <v>BS</v>
      </c>
      <c r="M575" s="66">
        <f ca="1">IFERROR(__xludf.DUMMYFUNCTION("""COMPUTED_VALUE"""),168000)</f>
        <v>168000</v>
      </c>
      <c r="N575" s="10">
        <f ca="1">IFERROR(__xludf.DUMMYFUNCTION("""COMPUTED_VALUE"""),1)</f>
        <v>1</v>
      </c>
      <c r="O575" s="10">
        <f ca="1">IFERROR(__xludf.DUMMYFUNCTION("""COMPUTED_VALUE"""),168000)</f>
        <v>168000</v>
      </c>
      <c r="P575" s="10"/>
      <c r="Q575" s="67">
        <f ca="1">IFERROR(__xludf.DUMMYFUNCTION("""COMPUTED_VALUE"""),45550)</f>
        <v>45550</v>
      </c>
    </row>
    <row r="576" spans="1:17" ht="12.5">
      <c r="A576" s="82">
        <f t="array" aca="1" ref="A576" ca="1">INDEX('Database Mitra'!$R$2:$R1001,MATCH(C576,'Database Mitra'!$B$2:$B1001,0))</f>
        <v>37161</v>
      </c>
      <c r="B576" s="10" t="e">
        <f t="shared" ca="1" si="0"/>
        <v>#NAME?</v>
      </c>
      <c r="C576" s="83">
        <f ca="1">IFERROR(__xludf.DUMMYFUNCTION("""COMPUTED_VALUE"""),610423040016)</f>
        <v>610423040016</v>
      </c>
      <c r="D576" s="10" t="str">
        <f ca="1">IFERROR(__xludf.DUMMYFUNCTION("""COMPUTED_VALUE"""),"SUSENAS24-LAPANGAN-SEMESTER2")</f>
        <v>SUSENAS24-LAPANGAN-SEMESTER2</v>
      </c>
      <c r="E576" s="10"/>
      <c r="F576" s="10">
        <f ca="1">IFERROR(__xludf.DUMMYFUNCTION("""COMPUTED_VALUE"""),1)</f>
        <v>1</v>
      </c>
      <c r="G576" s="10" t="str">
        <f ca="1">IFERROR(__xludf.DUMMYFUNCTION("""COMPUTED_VALUE"""),"Fairuztia Atiqah Putri")</f>
        <v>Fairuztia Atiqah Putri</v>
      </c>
      <c r="H576" s="10" t="str">
        <f ca="1">IFERROR(__xludf.DUMMYFUNCTION("""COMPUTED_VALUE"""),"PETUGAS ENTRI")</f>
        <v>PETUGAS ENTRI</v>
      </c>
      <c r="I576" s="10" t="str">
        <f ca="1">IFERROR(__xludf.DUMMYFUNCTION("""COMPUTED_VALUE"""),"6102016709010003")</f>
        <v>6102016709010003</v>
      </c>
      <c r="J576" s="10" t="str">
        <f ca="1">IFERROR(__xludf.DUMMYFUNCTION("""COMPUTED_VALUE"""),"PENGOLAHAN LISTING")</f>
        <v>PENGOLAHAN LISTING</v>
      </c>
      <c r="K576" s="10" t="str">
        <f ca="1">IFERROR(__xludf.DUMMYFUNCTION("""COMPUTED_VALUE"""),"SUSENAS24-LAPANGAN-SEMESTER2-PETUGAS ENTRI-PENGOLAHAN LISTING")</f>
        <v>SUSENAS24-LAPANGAN-SEMESTER2-PETUGAS ENTRI-PENGOLAHAN LISTING</v>
      </c>
      <c r="L576" s="10" t="str">
        <f ca="1">IFERROR(__xludf.DUMMYFUNCTION("""COMPUTED_VALUE"""),"Dokumen")</f>
        <v>Dokumen</v>
      </c>
      <c r="M576" s="66">
        <f ca="1">IFERROR(__xludf.DUMMYFUNCTION("""COMPUTED_VALUE"""),34000)</f>
        <v>34000</v>
      </c>
      <c r="N576" s="10">
        <f ca="1">IFERROR(__xludf.DUMMYFUNCTION("""COMPUTED_VALUE"""),14)</f>
        <v>14</v>
      </c>
      <c r="O576" s="10">
        <f ca="1">IFERROR(__xludf.DUMMYFUNCTION("""COMPUTED_VALUE"""),476000)</f>
        <v>476000</v>
      </c>
      <c r="P576" s="10"/>
      <c r="Q576" s="67">
        <f ca="1">IFERROR(__xludf.DUMMYFUNCTION("""COMPUTED_VALUE"""),45553)</f>
        <v>45553</v>
      </c>
    </row>
    <row r="577" spans="1:17" ht="12.5">
      <c r="A577" s="82">
        <f t="array" aca="1" ref="A577" ca="1">INDEX('Database Mitra'!$R$2:$R1001,MATCH(C577,'Database Mitra'!$B$2:$B1001,0))</f>
        <v>31773</v>
      </c>
      <c r="B577" s="10" t="e">
        <f t="shared" ca="1" si="0"/>
        <v>#NAME?</v>
      </c>
      <c r="C577" s="83">
        <f ca="1">IFERROR(__xludf.DUMMYFUNCTION("""COMPUTED_VALUE"""),610422030002)</f>
        <v>610422030002</v>
      </c>
      <c r="D577" s="10" t="str">
        <f ca="1">IFERROR(__xludf.DUMMYFUNCTION("""COMPUTED_VALUE"""),"SHPB24-LAPANGAN-SEPTEMBER")</f>
        <v>SHPB24-LAPANGAN-SEPTEMBER</v>
      </c>
      <c r="E577" s="10"/>
      <c r="F577" s="10">
        <f ca="1">IFERROR(__xludf.DUMMYFUNCTION("""COMPUTED_VALUE"""),1)</f>
        <v>1</v>
      </c>
      <c r="G577" s="10" t="str">
        <f ca="1">IFERROR(__xludf.DUMMYFUNCTION("""COMPUTED_VALUE"""),"Deti Erni Widiastuti")</f>
        <v>Deti Erni Widiastuti</v>
      </c>
      <c r="H577" s="10" t="str">
        <f ca="1">IFERROR(__xludf.DUMMYFUNCTION("""COMPUTED_VALUE"""),"PPL")</f>
        <v>PPL</v>
      </c>
      <c r="I577" s="10" t="str">
        <f ca="1">IFERROR(__xludf.DUMMYFUNCTION("""COMPUTED_VALUE"""),"6102016712860001")</f>
        <v>6102016712860001</v>
      </c>
      <c r="J577" s="10" t="str">
        <f ca="1">IFERROR(__xludf.DUMMYFUNCTION("""COMPUTED_VALUE"""),"PENDATAAN")</f>
        <v>PENDATAAN</v>
      </c>
      <c r="K577" s="10" t="str">
        <f ca="1">IFERROR(__xludf.DUMMYFUNCTION("""COMPUTED_VALUE"""),"SHPB24-LAPANGAN-SEPTEMBER-PPL-PENDATAAN")</f>
        <v>SHPB24-LAPANGAN-SEPTEMBER-PPL-PENDATAAN</v>
      </c>
      <c r="L577" s="10" t="str">
        <f ca="1">IFERROR(__xludf.DUMMYFUNCTION("""COMPUTED_VALUE"""),"Dokumen")</f>
        <v>Dokumen</v>
      </c>
      <c r="M577" s="66">
        <f ca="1">IFERROR(__xludf.DUMMYFUNCTION("""COMPUTED_VALUE"""),50000)</f>
        <v>50000</v>
      </c>
      <c r="N577" s="10">
        <f ca="1">IFERROR(__xludf.DUMMYFUNCTION("""COMPUTED_VALUE"""),15)</f>
        <v>15</v>
      </c>
      <c r="O577" s="10">
        <f ca="1">IFERROR(__xludf.DUMMYFUNCTION("""COMPUTED_VALUE"""),750000)</f>
        <v>750000</v>
      </c>
      <c r="P577" s="10"/>
      <c r="Q577" s="67">
        <f ca="1">IFERROR(__xludf.DUMMYFUNCTION("""COMPUTED_VALUE"""),45555)</f>
        <v>45555</v>
      </c>
    </row>
    <row r="578" spans="1:17" ht="12.5">
      <c r="A578" s="82">
        <f t="array" aca="1" ref="A578" ca="1">INDEX('Database Mitra'!$R$2:$R1001,MATCH(C578,'Database Mitra'!$B$2:$B1001,0))</f>
        <v>32942</v>
      </c>
      <c r="B578" s="10" t="e">
        <f t="shared" ca="1" si="0"/>
        <v>#NAME?</v>
      </c>
      <c r="C578" s="83">
        <f ca="1">IFERROR(__xludf.DUMMYFUNCTION("""COMPUTED_VALUE"""),610422100244)</f>
        <v>610422100244</v>
      </c>
      <c r="D578" s="10" t="str">
        <f ca="1">IFERROR(__xludf.DUMMYFUNCTION("""COMPUTED_VALUE"""),"HPG24-LAPANGAN-SEPTEMBER")</f>
        <v>HPG24-LAPANGAN-SEPTEMBER</v>
      </c>
      <c r="E578" s="10"/>
      <c r="F578" s="10">
        <f ca="1">IFERROR(__xludf.DUMMYFUNCTION("""COMPUTED_VALUE"""),1)</f>
        <v>1</v>
      </c>
      <c r="G578" s="10" t="str">
        <f ca="1">IFERROR(__xludf.DUMMYFUNCTION("""COMPUTED_VALUE"""),"Sugianto")</f>
        <v>Sugianto</v>
      </c>
      <c r="H578" s="10" t="str">
        <f ca="1">IFERROR(__xludf.DUMMYFUNCTION("""COMPUTED_VALUE"""),"PPL")</f>
        <v>PPL</v>
      </c>
      <c r="I578" s="10" t="str">
        <f ca="1">IFERROR(__xludf.DUMMYFUNCTION("""COMPUTED_VALUE"""),"6102171003900002")</f>
        <v>6102171003900002</v>
      </c>
      <c r="J578" s="10" t="str">
        <f ca="1">IFERROR(__xludf.DUMMYFUNCTION("""COMPUTED_VALUE"""),"PENDATAAN")</f>
        <v>PENDATAAN</v>
      </c>
      <c r="K578" s="10" t="str">
        <f ca="1">IFERROR(__xludf.DUMMYFUNCTION("""COMPUTED_VALUE"""),"HPG24-LAPANGAN-SEPTEMBER-PPL-PENDATAAN")</f>
        <v>HPG24-LAPANGAN-SEPTEMBER-PPL-PENDATAAN</v>
      </c>
      <c r="L578" s="10" t="str">
        <f ca="1">IFERROR(__xludf.DUMMYFUNCTION("""COMPUTED_VALUE"""),"Dokumen")</f>
        <v>Dokumen</v>
      </c>
      <c r="M578" s="66">
        <f ca="1">IFERROR(__xludf.DUMMYFUNCTION("""COMPUTED_VALUE"""),50000)</f>
        <v>50000</v>
      </c>
      <c r="N578" s="10">
        <f ca="1">IFERROR(__xludf.DUMMYFUNCTION("""COMPUTED_VALUE"""),1)</f>
        <v>1</v>
      </c>
      <c r="O578" s="10">
        <f ca="1">IFERROR(__xludf.DUMMYFUNCTION("""COMPUTED_VALUE"""),50000)</f>
        <v>50000</v>
      </c>
      <c r="P578" s="10"/>
      <c r="Q578" s="67">
        <f ca="1">IFERROR(__xludf.DUMMYFUNCTION("""COMPUTED_VALUE"""),45555)</f>
        <v>45555</v>
      </c>
    </row>
    <row r="579" spans="1:17" ht="12.5">
      <c r="A579" s="82">
        <f t="array" aca="1" ref="A579" ca="1">INDEX('Database Mitra'!$R$2:$R1001,MATCH(C579,'Database Mitra'!$B$2:$B1001,0))</f>
        <v>29068</v>
      </c>
      <c r="B579" s="10" t="e">
        <f t="shared" ca="1" si="0"/>
        <v>#NAME?</v>
      </c>
      <c r="C579" s="83">
        <f ca="1">IFERROR(__xludf.DUMMYFUNCTION("""COMPUTED_VALUE"""),610422100124)</f>
        <v>610422100124</v>
      </c>
      <c r="D579" s="10" t="str">
        <f ca="1">IFERROR(__xludf.DUMMYFUNCTION("""COMPUTED_VALUE"""),"HPG24-LAPANGAN-SEPTEMBER")</f>
        <v>HPG24-LAPANGAN-SEPTEMBER</v>
      </c>
      <c r="E579" s="10"/>
      <c r="F579" s="10">
        <f ca="1">IFERROR(__xludf.DUMMYFUNCTION("""COMPUTED_VALUE"""),1)</f>
        <v>1</v>
      </c>
      <c r="G579" s="10" t="str">
        <f ca="1">IFERROR(__xludf.DUMMYFUNCTION("""COMPUTED_VALUE"""),"Prabowo")</f>
        <v>Prabowo</v>
      </c>
      <c r="H579" s="10" t="str">
        <f ca="1">IFERROR(__xludf.DUMMYFUNCTION("""COMPUTED_VALUE"""),"PPL")</f>
        <v>PPL</v>
      </c>
      <c r="I579" s="10" t="str">
        <f ca="1">IFERROR(__xludf.DUMMYFUNCTION("""COMPUTED_VALUE"""),"6171010108790015")</f>
        <v>6171010108790015</v>
      </c>
      <c r="J579" s="10" t="str">
        <f ca="1">IFERROR(__xludf.DUMMYFUNCTION("""COMPUTED_VALUE"""),"PENDATAAN")</f>
        <v>PENDATAAN</v>
      </c>
      <c r="K579" s="10" t="str">
        <f ca="1">IFERROR(__xludf.DUMMYFUNCTION("""COMPUTED_VALUE"""),"HPG24-LAPANGAN-SEPTEMBER-PPL-PENDATAAN")</f>
        <v>HPG24-LAPANGAN-SEPTEMBER-PPL-PENDATAAN</v>
      </c>
      <c r="L579" s="10" t="str">
        <f ca="1">IFERROR(__xludf.DUMMYFUNCTION("""COMPUTED_VALUE"""),"Dokumen")</f>
        <v>Dokumen</v>
      </c>
      <c r="M579" s="66">
        <f ca="1">IFERROR(__xludf.DUMMYFUNCTION("""COMPUTED_VALUE"""),50000)</f>
        <v>50000</v>
      </c>
      <c r="N579" s="10">
        <f ca="1">IFERROR(__xludf.DUMMYFUNCTION("""COMPUTED_VALUE"""),1)</f>
        <v>1</v>
      </c>
      <c r="O579" s="10">
        <f ca="1">IFERROR(__xludf.DUMMYFUNCTION("""COMPUTED_VALUE"""),50000)</f>
        <v>50000</v>
      </c>
      <c r="P579" s="10"/>
      <c r="Q579" s="67">
        <f ca="1">IFERROR(__xludf.DUMMYFUNCTION("""COMPUTED_VALUE"""),45555)</f>
        <v>45555</v>
      </c>
    </row>
    <row r="580" spans="1:17" ht="12.5">
      <c r="A580" s="82">
        <f t="array" aca="1" ref="A580" ca="1">INDEX('Database Mitra'!$R$2:$R1001,MATCH(C580,'Database Mitra'!$B$2:$B1001,0))</f>
        <v>37531</v>
      </c>
      <c r="B580" s="10" t="e">
        <f t="shared" ca="1" si="0"/>
        <v>#NAME?</v>
      </c>
      <c r="C580" s="83">
        <f ca="1">IFERROR(__xludf.DUMMYFUNCTION("""COMPUTED_VALUE"""),610422100016)</f>
        <v>610422100016</v>
      </c>
      <c r="D580" s="10" t="str">
        <f ca="1">IFERROR(__xludf.DUMMYFUNCTION("""COMPUTED_VALUE"""),"SHPED24-LAPANGAN-SEPTEMBER")</f>
        <v>SHPED24-LAPANGAN-SEPTEMBER</v>
      </c>
      <c r="E580" s="10"/>
      <c r="F580" s="10">
        <f ca="1">IFERROR(__xludf.DUMMYFUNCTION("""COMPUTED_VALUE"""),1)</f>
        <v>1</v>
      </c>
      <c r="G580" s="10" t="str">
        <f ca="1">IFERROR(__xludf.DUMMYFUNCTION("""COMPUTED_VALUE"""),"Amalia Faisya")</f>
        <v>Amalia Faisya</v>
      </c>
      <c r="H580" s="10" t="str">
        <f ca="1">IFERROR(__xludf.DUMMYFUNCTION("""COMPUTED_VALUE"""),"PPL")</f>
        <v>PPL</v>
      </c>
      <c r="I580" s="10" t="str">
        <f ca="1">IFERROR(__xludf.DUMMYFUNCTION("""COMPUTED_VALUE"""),"6102124210010005")</f>
        <v>6102124210010005</v>
      </c>
      <c r="J580" s="10" t="str">
        <f ca="1">IFERROR(__xludf.DUMMYFUNCTION("""COMPUTED_VALUE"""),"PENDATAAN KONSUMEN")</f>
        <v>PENDATAAN KONSUMEN</v>
      </c>
      <c r="K580" s="10" t="str">
        <f ca="1">IFERROR(__xludf.DUMMYFUNCTION("""COMPUTED_VALUE"""),"SHPED24-LAPANGAN-SEPTEMBER-PPL-PENDATAAN KONSUMEN")</f>
        <v>SHPED24-LAPANGAN-SEPTEMBER-PPL-PENDATAAN KONSUMEN</v>
      </c>
      <c r="L580" s="10" t="str">
        <f ca="1">IFERROR(__xludf.DUMMYFUNCTION("""COMPUTED_VALUE"""),"Dokumen")</f>
        <v>Dokumen</v>
      </c>
      <c r="M580" s="66">
        <f ca="1">IFERROR(__xludf.DUMMYFUNCTION("""COMPUTED_VALUE"""),65000)</f>
        <v>65000</v>
      </c>
      <c r="N580" s="10">
        <f ca="1">IFERROR(__xludf.DUMMYFUNCTION("""COMPUTED_VALUE"""),3)</f>
        <v>3</v>
      </c>
      <c r="O580" s="10">
        <f ca="1">IFERROR(__xludf.DUMMYFUNCTION("""COMPUTED_VALUE"""),195000)</f>
        <v>195000</v>
      </c>
      <c r="P580" s="10"/>
      <c r="Q580" s="67">
        <f ca="1">IFERROR(__xludf.DUMMYFUNCTION("""COMPUTED_VALUE"""),45555)</f>
        <v>45555</v>
      </c>
    </row>
    <row r="581" spans="1:17" ht="12.5">
      <c r="A581" s="82">
        <f t="array" aca="1" ref="A581" ca="1">INDEX('Database Mitra'!$R$2:$R1001,MATCH(C581,'Database Mitra'!$B$2:$B1001,0))</f>
        <v>30692</v>
      </c>
      <c r="B581" s="10" t="e">
        <f t="shared" ca="1" si="0"/>
        <v>#NAME?</v>
      </c>
      <c r="C581" s="83">
        <f ca="1">IFERROR(__xludf.DUMMYFUNCTION("""COMPUTED_VALUE"""),610422050001)</f>
        <v>610422050001</v>
      </c>
      <c r="D581" s="10" t="str">
        <f ca="1">IFERROR(__xludf.DUMMYFUNCTION("""COMPUTED_VALUE"""),"SHPED24-LAPANGAN-SEPTEMBER")</f>
        <v>SHPED24-LAPANGAN-SEPTEMBER</v>
      </c>
      <c r="E581" s="10"/>
      <c r="F581" s="10">
        <f ca="1">IFERROR(__xludf.DUMMYFUNCTION("""COMPUTED_VALUE"""),1)</f>
        <v>1</v>
      </c>
      <c r="G581" s="10" t="str">
        <f ca="1">IFERROR(__xludf.DUMMYFUNCTION("""COMPUTED_VALUE"""),"Evi Juniarty")</f>
        <v>Evi Juniarty</v>
      </c>
      <c r="H581" s="10" t="str">
        <f ca="1">IFERROR(__xludf.DUMMYFUNCTION("""COMPUTED_VALUE"""),"PPL")</f>
        <v>PPL</v>
      </c>
      <c r="I581" s="10" t="str">
        <f ca="1">IFERROR(__xludf.DUMMYFUNCTION("""COMPUTED_VALUE"""),"6102165101840001")</f>
        <v>6102165101840001</v>
      </c>
      <c r="J581" s="10" t="str">
        <f ca="1">IFERROR(__xludf.DUMMYFUNCTION("""COMPUTED_VALUE"""),"PENDATAAN KONSUMEN")</f>
        <v>PENDATAAN KONSUMEN</v>
      </c>
      <c r="K581" s="10" t="str">
        <f ca="1">IFERROR(__xludf.DUMMYFUNCTION("""COMPUTED_VALUE"""),"SHPED24-LAPANGAN-SEPTEMBER-PPL-PENDATAAN KONSUMEN")</f>
        <v>SHPED24-LAPANGAN-SEPTEMBER-PPL-PENDATAAN KONSUMEN</v>
      </c>
      <c r="L581" s="10" t="str">
        <f ca="1">IFERROR(__xludf.DUMMYFUNCTION("""COMPUTED_VALUE"""),"Dokumen")</f>
        <v>Dokumen</v>
      </c>
      <c r="M581" s="66">
        <f ca="1">IFERROR(__xludf.DUMMYFUNCTION("""COMPUTED_VALUE"""),65000)</f>
        <v>65000</v>
      </c>
      <c r="N581" s="10">
        <f ca="1">IFERROR(__xludf.DUMMYFUNCTION("""COMPUTED_VALUE"""),3)</f>
        <v>3</v>
      </c>
      <c r="O581" s="10">
        <f ca="1">IFERROR(__xludf.DUMMYFUNCTION("""COMPUTED_VALUE"""),195000)</f>
        <v>195000</v>
      </c>
      <c r="P581" s="10"/>
      <c r="Q581" s="67">
        <f ca="1">IFERROR(__xludf.DUMMYFUNCTION("""COMPUTED_VALUE"""),45555)</f>
        <v>45555</v>
      </c>
    </row>
    <row r="582" spans="1:17" ht="12.5">
      <c r="A582" s="82">
        <f t="array" aca="1" ref="A582" ca="1">INDEX('Database Mitra'!$R$2:$R1001,MATCH(C582,'Database Mitra'!$B$2:$B1001,0))</f>
        <v>35038</v>
      </c>
      <c r="B582" s="10" t="e">
        <f t="shared" ca="1" si="0"/>
        <v>#NAME?</v>
      </c>
      <c r="C582" s="83">
        <f ca="1">IFERROR(__xludf.DUMMYFUNCTION("""COMPUTED_VALUE"""),610422040030)</f>
        <v>610422040030</v>
      </c>
      <c r="D582" s="10" t="str">
        <f ca="1">IFERROR(__xludf.DUMMYFUNCTION("""COMPUTED_VALUE"""),"SHPED24-LAPANGAN-SEPTEMBER")</f>
        <v>SHPED24-LAPANGAN-SEPTEMBER</v>
      </c>
      <c r="E582" s="10"/>
      <c r="F582" s="10">
        <f ca="1">IFERROR(__xludf.DUMMYFUNCTION("""COMPUTED_VALUE"""),1)</f>
        <v>1</v>
      </c>
      <c r="G582" s="10" t="str">
        <f ca="1">IFERROR(__xludf.DUMMYFUNCTION("""COMPUTED_VALUE"""),"Syarifah Desti Pratiwi")</f>
        <v>Syarifah Desti Pratiwi</v>
      </c>
      <c r="H582" s="10" t="str">
        <f ca="1">IFERROR(__xludf.DUMMYFUNCTION("""COMPUTED_VALUE"""),"PPL")</f>
        <v>PPL</v>
      </c>
      <c r="I582" s="10" t="str">
        <f ca="1">IFERROR(__xludf.DUMMYFUNCTION("""COMPUTED_VALUE"""),"6102084512950002")</f>
        <v>6102084512950002</v>
      </c>
      <c r="J582" s="10" t="str">
        <f ca="1">IFERROR(__xludf.DUMMYFUNCTION("""COMPUTED_VALUE"""),"PENDATAAN PRODUSEN")</f>
        <v>PENDATAAN PRODUSEN</v>
      </c>
      <c r="K582" s="10" t="str">
        <f ca="1">IFERROR(__xludf.DUMMYFUNCTION("""COMPUTED_VALUE"""),"SHPED24-LAPANGAN-SEPTEMBER-PPL-PENDATAAN PRODUSEN")</f>
        <v>SHPED24-LAPANGAN-SEPTEMBER-PPL-PENDATAAN PRODUSEN</v>
      </c>
      <c r="L582" s="10" t="str">
        <f ca="1">IFERROR(__xludf.DUMMYFUNCTION("""COMPUTED_VALUE"""),"Dokumen")</f>
        <v>Dokumen</v>
      </c>
      <c r="M582" s="66">
        <f ca="1">IFERROR(__xludf.DUMMYFUNCTION("""COMPUTED_VALUE"""),55000)</f>
        <v>55000</v>
      </c>
      <c r="N582" s="10">
        <f ca="1">IFERROR(__xludf.DUMMYFUNCTION("""COMPUTED_VALUE"""),1)</f>
        <v>1</v>
      </c>
      <c r="O582" s="10">
        <f ca="1">IFERROR(__xludf.DUMMYFUNCTION("""COMPUTED_VALUE"""),55000)</f>
        <v>55000</v>
      </c>
      <c r="P582" s="10"/>
      <c r="Q582" s="67">
        <f ca="1">IFERROR(__xludf.DUMMYFUNCTION("""COMPUTED_VALUE"""),45555)</f>
        <v>45555</v>
      </c>
    </row>
    <row r="583" spans="1:17" ht="12.5">
      <c r="A583" s="82">
        <f t="array" aca="1" ref="A583" ca="1">INDEX('Database Mitra'!$R$2:$R1001,MATCH(C583,'Database Mitra'!$B$2:$B1001,0))</f>
        <v>29068</v>
      </c>
      <c r="B583" s="10" t="e">
        <f t="shared" ca="1" si="0"/>
        <v>#NAME?</v>
      </c>
      <c r="C583" s="83">
        <f ca="1">IFERROR(__xludf.DUMMYFUNCTION("""COMPUTED_VALUE"""),610422100124)</f>
        <v>610422100124</v>
      </c>
      <c r="D583" s="10" t="str">
        <f ca="1">IFERROR(__xludf.DUMMYFUNCTION("""COMPUTED_VALUE"""),"SHPED24-LAPANGAN-SEPTEMBER")</f>
        <v>SHPED24-LAPANGAN-SEPTEMBER</v>
      </c>
      <c r="E583" s="10"/>
      <c r="F583" s="10">
        <f ca="1">IFERROR(__xludf.DUMMYFUNCTION("""COMPUTED_VALUE"""),1)</f>
        <v>1</v>
      </c>
      <c r="G583" s="10" t="str">
        <f ca="1">IFERROR(__xludf.DUMMYFUNCTION("""COMPUTED_VALUE"""),"Prabowo")</f>
        <v>Prabowo</v>
      </c>
      <c r="H583" s="10" t="str">
        <f ca="1">IFERROR(__xludf.DUMMYFUNCTION("""COMPUTED_VALUE"""),"PPL")</f>
        <v>PPL</v>
      </c>
      <c r="I583" s="10" t="str">
        <f ca="1">IFERROR(__xludf.DUMMYFUNCTION("""COMPUTED_VALUE"""),"6171010108790015")</f>
        <v>6171010108790015</v>
      </c>
      <c r="J583" s="10" t="str">
        <f ca="1">IFERROR(__xludf.DUMMYFUNCTION("""COMPUTED_VALUE"""),"PENDATAAN PRODUSEN")</f>
        <v>PENDATAAN PRODUSEN</v>
      </c>
      <c r="K583" s="10" t="str">
        <f ca="1">IFERROR(__xludf.DUMMYFUNCTION("""COMPUTED_VALUE"""),"SHPED24-LAPANGAN-SEPTEMBER-PPL-PENDATAAN PRODUSEN")</f>
        <v>SHPED24-LAPANGAN-SEPTEMBER-PPL-PENDATAAN PRODUSEN</v>
      </c>
      <c r="L583" s="10" t="str">
        <f ca="1">IFERROR(__xludf.DUMMYFUNCTION("""COMPUTED_VALUE"""),"Dokumen")</f>
        <v>Dokumen</v>
      </c>
      <c r="M583" s="66">
        <f ca="1">IFERROR(__xludf.DUMMYFUNCTION("""COMPUTED_VALUE"""),55000)</f>
        <v>55000</v>
      </c>
      <c r="N583" s="10">
        <f ca="1">IFERROR(__xludf.DUMMYFUNCTION("""COMPUTED_VALUE"""),3)</f>
        <v>3</v>
      </c>
      <c r="O583" s="10">
        <f ca="1">IFERROR(__xludf.DUMMYFUNCTION("""COMPUTED_VALUE"""),165000)</f>
        <v>165000</v>
      </c>
      <c r="P583" s="10"/>
      <c r="Q583" s="67">
        <f ca="1">IFERROR(__xludf.DUMMYFUNCTION("""COMPUTED_VALUE"""),45555)</f>
        <v>45555</v>
      </c>
    </row>
    <row r="584" spans="1:17" ht="12.5">
      <c r="A584" s="82">
        <f t="array" aca="1" ref="A584" ca="1">INDEX('Database Mitra'!$R$2:$R1001,MATCH(C584,'Database Mitra'!$B$2:$B1001,0))</f>
        <v>32942</v>
      </c>
      <c r="B584" s="10" t="e">
        <f t="shared" ca="1" si="0"/>
        <v>#NAME?</v>
      </c>
      <c r="C584" s="83">
        <f ca="1">IFERROR(__xludf.DUMMYFUNCTION("""COMPUTED_VALUE"""),610422100244)</f>
        <v>610422100244</v>
      </c>
      <c r="D584" s="10" t="str">
        <f ca="1">IFERROR(__xludf.DUMMYFUNCTION("""COMPUTED_VALUE"""),"SHPED24-LAPANGAN-SEPTEMBER")</f>
        <v>SHPED24-LAPANGAN-SEPTEMBER</v>
      </c>
      <c r="E584" s="10"/>
      <c r="F584" s="10">
        <f ca="1">IFERROR(__xludf.DUMMYFUNCTION("""COMPUTED_VALUE"""),1)</f>
        <v>1</v>
      </c>
      <c r="G584" s="10" t="str">
        <f ca="1">IFERROR(__xludf.DUMMYFUNCTION("""COMPUTED_VALUE"""),"Sugianto")</f>
        <v>Sugianto</v>
      </c>
      <c r="H584" s="10" t="str">
        <f ca="1">IFERROR(__xludf.DUMMYFUNCTION("""COMPUTED_VALUE"""),"PPL")</f>
        <v>PPL</v>
      </c>
      <c r="I584" s="10" t="str">
        <f ca="1">IFERROR(__xludf.DUMMYFUNCTION("""COMPUTED_VALUE"""),"6102171003900002")</f>
        <v>6102171003900002</v>
      </c>
      <c r="J584" s="10" t="str">
        <f ca="1">IFERROR(__xludf.DUMMYFUNCTION("""COMPUTED_VALUE"""),"PENDATAAN PRODUSEN")</f>
        <v>PENDATAAN PRODUSEN</v>
      </c>
      <c r="K584" s="10" t="str">
        <f ca="1">IFERROR(__xludf.DUMMYFUNCTION("""COMPUTED_VALUE"""),"SHPED24-LAPANGAN-SEPTEMBER-PPL-PENDATAAN PRODUSEN")</f>
        <v>SHPED24-LAPANGAN-SEPTEMBER-PPL-PENDATAAN PRODUSEN</v>
      </c>
      <c r="L584" s="10" t="str">
        <f ca="1">IFERROR(__xludf.DUMMYFUNCTION("""COMPUTED_VALUE"""),"Dokumen")</f>
        <v>Dokumen</v>
      </c>
      <c r="M584" s="66">
        <f ca="1">IFERROR(__xludf.DUMMYFUNCTION("""COMPUTED_VALUE"""),55000)</f>
        <v>55000</v>
      </c>
      <c r="N584" s="10">
        <f ca="1">IFERROR(__xludf.DUMMYFUNCTION("""COMPUTED_VALUE"""),2)</f>
        <v>2</v>
      </c>
      <c r="O584" s="10">
        <f ca="1">IFERROR(__xludf.DUMMYFUNCTION("""COMPUTED_VALUE"""),110000)</f>
        <v>110000</v>
      </c>
      <c r="P584" s="10"/>
      <c r="Q584" s="67">
        <f ca="1">IFERROR(__xludf.DUMMYFUNCTION("""COMPUTED_VALUE"""),45555)</f>
        <v>45555</v>
      </c>
    </row>
    <row r="585" spans="1:17" ht="12.5">
      <c r="A585" s="11">
        <f t="array" aca="1" ref="A585" ca="1">INDEX('Database Mitra'!$R$2:$R1001,MATCH(C585,'Database Mitra'!$B$2:$B1001,0))</f>
        <v>34895</v>
      </c>
      <c r="B585" s="10" t="e">
        <f t="shared" ca="1" si="0"/>
        <v>#NAME?</v>
      </c>
      <c r="C585" s="83">
        <f ca="1">IFERROR(__xludf.DUMMYFUNCTION("""COMPUTED_VALUE"""),610422020016)</f>
        <v>610422020016</v>
      </c>
      <c r="D585" s="10" t="str">
        <f ca="1">IFERROR(__xludf.DUMMYFUNCTION("""COMPUTED_VALUE"""),"SHPED24-LAPANGAN-SEPTEMBER")</f>
        <v>SHPED24-LAPANGAN-SEPTEMBER</v>
      </c>
      <c r="E585" s="10"/>
      <c r="F585" s="10">
        <f ca="1">IFERROR(__xludf.DUMMYFUNCTION("""COMPUTED_VALUE"""),1)</f>
        <v>1</v>
      </c>
      <c r="G585" s="10" t="str">
        <f ca="1">IFERROR(__xludf.DUMMYFUNCTION("""COMPUTED_VALUE"""),"Abdul Aziz")</f>
        <v>Abdul Aziz</v>
      </c>
      <c r="H585" s="10" t="str">
        <f ca="1">IFERROR(__xludf.DUMMYFUNCTION("""COMPUTED_VALUE"""),"PPL")</f>
        <v>PPL</v>
      </c>
      <c r="I585" s="10" t="str">
        <f ca="1">IFERROR(__xludf.DUMMYFUNCTION("""COMPUTED_VALUE"""),"6102061507950006")</f>
        <v>6102061507950006</v>
      </c>
      <c r="J585" s="10" t="str">
        <f ca="1">IFERROR(__xludf.DUMMYFUNCTION("""COMPUTED_VALUE"""),"PENDATAAN PRODUSEN")</f>
        <v>PENDATAAN PRODUSEN</v>
      </c>
      <c r="K585" s="10" t="str">
        <f ca="1">IFERROR(__xludf.DUMMYFUNCTION("""COMPUTED_VALUE"""),"SHPED24-LAPANGAN-SEPTEMBER-PPL-PENDATAAN PRODUSEN")</f>
        <v>SHPED24-LAPANGAN-SEPTEMBER-PPL-PENDATAAN PRODUSEN</v>
      </c>
      <c r="L585" s="10" t="str">
        <f ca="1">IFERROR(__xludf.DUMMYFUNCTION("""COMPUTED_VALUE"""),"Dokumen")</f>
        <v>Dokumen</v>
      </c>
      <c r="M585" s="66">
        <f ca="1">IFERROR(__xludf.DUMMYFUNCTION("""COMPUTED_VALUE"""),55000)</f>
        <v>55000</v>
      </c>
      <c r="N585" s="10">
        <f ca="1">IFERROR(__xludf.DUMMYFUNCTION("""COMPUTED_VALUE"""),3)</f>
        <v>3</v>
      </c>
      <c r="O585" s="10">
        <f ca="1">IFERROR(__xludf.DUMMYFUNCTION("""COMPUTED_VALUE"""),165000)</f>
        <v>165000</v>
      </c>
      <c r="P585" s="10"/>
      <c r="Q585" s="67">
        <f ca="1">IFERROR(__xludf.DUMMYFUNCTION("""COMPUTED_VALUE"""),45555)</f>
        <v>45555</v>
      </c>
    </row>
    <row r="586" spans="1:17" ht="12.5">
      <c r="A586" s="82">
        <f t="array" aca="1" ref="A586" ca="1">INDEX('Database Mitra'!$R$2:$R1001,MATCH(C586,'Database Mitra'!$B$2:$B1001,0))</f>
        <v>37531</v>
      </c>
      <c r="B586" s="10" t="e">
        <f t="shared" ca="1" si="0"/>
        <v>#NAME?</v>
      </c>
      <c r="C586" s="83">
        <f ca="1">IFERROR(__xludf.DUMMYFUNCTION("""COMPUTED_VALUE"""),610422100016)</f>
        <v>610422100016</v>
      </c>
      <c r="D586" s="10" t="str">
        <f ca="1">IFERROR(__xludf.DUMMYFUNCTION("""COMPUTED_VALUE"""),"SHPED24-LAPANGAN-SEPTEMBER")</f>
        <v>SHPED24-LAPANGAN-SEPTEMBER</v>
      </c>
      <c r="E586" s="10"/>
      <c r="F586" s="10">
        <f ca="1">IFERROR(__xludf.DUMMYFUNCTION("""COMPUTED_VALUE"""),1)</f>
        <v>1</v>
      </c>
      <c r="G586" s="10" t="str">
        <f ca="1">IFERROR(__xludf.DUMMYFUNCTION("""COMPUTED_VALUE"""),"Amalia Faisya")</f>
        <v>Amalia Faisya</v>
      </c>
      <c r="H586" s="10" t="str">
        <f ca="1">IFERROR(__xludf.DUMMYFUNCTION("""COMPUTED_VALUE"""),"PPL")</f>
        <v>PPL</v>
      </c>
      <c r="I586" s="10" t="str">
        <f ca="1">IFERROR(__xludf.DUMMYFUNCTION("""COMPUTED_VALUE"""),"6102124210010005")</f>
        <v>6102124210010005</v>
      </c>
      <c r="J586" s="10" t="str">
        <f ca="1">IFERROR(__xludf.DUMMYFUNCTION("""COMPUTED_VALUE"""),"PENDATAAN PRODUSEN")</f>
        <v>PENDATAAN PRODUSEN</v>
      </c>
      <c r="K586" s="10" t="str">
        <f ca="1">IFERROR(__xludf.DUMMYFUNCTION("""COMPUTED_VALUE"""),"SHPED24-LAPANGAN-SEPTEMBER-PPL-PENDATAAN PRODUSEN")</f>
        <v>SHPED24-LAPANGAN-SEPTEMBER-PPL-PENDATAAN PRODUSEN</v>
      </c>
      <c r="L586" s="10" t="str">
        <f ca="1">IFERROR(__xludf.DUMMYFUNCTION("""COMPUTED_VALUE"""),"Dokumen")</f>
        <v>Dokumen</v>
      </c>
      <c r="M586" s="66">
        <f ca="1">IFERROR(__xludf.DUMMYFUNCTION("""COMPUTED_VALUE"""),55000)</f>
        <v>55000</v>
      </c>
      <c r="N586" s="10">
        <f ca="1">IFERROR(__xludf.DUMMYFUNCTION("""COMPUTED_VALUE"""),1)</f>
        <v>1</v>
      </c>
      <c r="O586" s="10">
        <f ca="1">IFERROR(__xludf.DUMMYFUNCTION("""COMPUTED_VALUE"""),55000)</f>
        <v>55000</v>
      </c>
      <c r="P586" s="10"/>
      <c r="Q586" s="67">
        <f ca="1">IFERROR(__xludf.DUMMYFUNCTION("""COMPUTED_VALUE"""),45555)</f>
        <v>45555</v>
      </c>
    </row>
    <row r="587" spans="1:17" ht="12.5">
      <c r="A587" s="11">
        <f t="array" aca="1" ref="A587" ca="1">INDEX('Database Mitra'!$R$2:$R1001,MATCH(C587,'Database Mitra'!$B$2:$B1001,0))</f>
        <v>29305</v>
      </c>
      <c r="B587" s="10" t="e">
        <f t="shared" ca="1" si="0"/>
        <v>#NAME?</v>
      </c>
      <c r="C587" s="83">
        <f ca="1">IFERROR(__xludf.DUMMYFUNCTION("""COMPUTED_VALUE"""),610422020048)</f>
        <v>610422020048</v>
      </c>
      <c r="D587" s="10" t="str">
        <f ca="1">IFERROR(__xludf.DUMMYFUNCTION("""COMPUTED_VALUE"""),"SHPED24-LAPANGAN-SEPTEMBER")</f>
        <v>SHPED24-LAPANGAN-SEPTEMBER</v>
      </c>
      <c r="E587" s="10"/>
      <c r="F587" s="10">
        <f ca="1">IFERROR(__xludf.DUMMYFUNCTION("""COMPUTED_VALUE"""),1)</f>
        <v>1</v>
      </c>
      <c r="G587" s="10" t="str">
        <f ca="1">IFERROR(__xludf.DUMMYFUNCTION("""COMPUTED_VALUE"""),"Herri Gustaman")</f>
        <v>Herri Gustaman</v>
      </c>
      <c r="H587" s="10" t="str">
        <f ca="1">IFERROR(__xludf.DUMMYFUNCTION("""COMPUTED_VALUE"""),"PPL")</f>
        <v>PPL</v>
      </c>
      <c r="I587" s="10" t="str">
        <f ca="1">IFERROR(__xludf.DUMMYFUNCTION("""COMPUTED_VALUE"""),"6102072503800001")</f>
        <v>6102072503800001</v>
      </c>
      <c r="J587" s="10" t="str">
        <f ca="1">IFERROR(__xludf.DUMMYFUNCTION("""COMPUTED_VALUE"""),"PENDATAAN PRODUSEN")</f>
        <v>PENDATAAN PRODUSEN</v>
      </c>
      <c r="K587" s="10" t="str">
        <f ca="1">IFERROR(__xludf.DUMMYFUNCTION("""COMPUTED_VALUE"""),"SHPED24-LAPANGAN-SEPTEMBER-PPL-PENDATAAN PRODUSEN")</f>
        <v>SHPED24-LAPANGAN-SEPTEMBER-PPL-PENDATAAN PRODUSEN</v>
      </c>
      <c r="L587" s="10" t="str">
        <f ca="1">IFERROR(__xludf.DUMMYFUNCTION("""COMPUTED_VALUE"""),"Dokumen")</f>
        <v>Dokumen</v>
      </c>
      <c r="M587" s="66">
        <f ca="1">IFERROR(__xludf.DUMMYFUNCTION("""COMPUTED_VALUE"""),55000)</f>
        <v>55000</v>
      </c>
      <c r="N587" s="10">
        <f ca="1">IFERROR(__xludf.DUMMYFUNCTION("""COMPUTED_VALUE"""),3)</f>
        <v>3</v>
      </c>
      <c r="O587" s="10">
        <f ca="1">IFERROR(__xludf.DUMMYFUNCTION("""COMPUTED_VALUE"""),165000)</f>
        <v>165000</v>
      </c>
      <c r="P587" s="10"/>
      <c r="Q587" s="67">
        <f ca="1">IFERROR(__xludf.DUMMYFUNCTION("""COMPUTED_VALUE"""),45555)</f>
        <v>45555</v>
      </c>
    </row>
    <row r="588" spans="1:17" ht="12.5">
      <c r="A588" s="82">
        <f t="array" aca="1" ref="A588" ca="1">INDEX('Database Mitra'!$R$2:$R1001,MATCH(C588,'Database Mitra'!$B$2:$B1001,0))</f>
        <v>31964</v>
      </c>
      <c r="B588" s="10" t="e">
        <f t="shared" ca="1" si="0"/>
        <v>#NAME?</v>
      </c>
      <c r="C588" s="83">
        <f ca="1">IFERROR(__xludf.DUMMYFUNCTION("""COMPUTED_VALUE"""),610422040029)</f>
        <v>610422040029</v>
      </c>
      <c r="D588" s="10" t="str">
        <f ca="1">IFERROR(__xludf.DUMMYFUNCTION("""COMPUTED_VALUE"""),"SHPED24-LAPANGAN-SEPTEMBER")</f>
        <v>SHPED24-LAPANGAN-SEPTEMBER</v>
      </c>
      <c r="E588" s="10"/>
      <c r="F588" s="10">
        <f ca="1">IFERROR(__xludf.DUMMYFUNCTION("""COMPUTED_VALUE"""),1)</f>
        <v>1</v>
      </c>
      <c r="G588" s="10" t="str">
        <f ca="1">IFERROR(__xludf.DUMMYFUNCTION("""COMPUTED_VALUE"""),"Zaini")</f>
        <v>Zaini</v>
      </c>
      <c r="H588" s="10" t="str">
        <f ca="1">IFERROR(__xludf.DUMMYFUNCTION("""COMPUTED_VALUE"""),"PPL")</f>
        <v>PPL</v>
      </c>
      <c r="I588" s="10" t="str">
        <f ca="1">IFERROR(__xludf.DUMMYFUNCTION("""COMPUTED_VALUE"""),"6102010607870002")</f>
        <v>6102010607870002</v>
      </c>
      <c r="J588" s="10" t="str">
        <f ca="1">IFERROR(__xludf.DUMMYFUNCTION("""COMPUTED_VALUE"""),"PENDATAAN PRODUSEN")</f>
        <v>PENDATAAN PRODUSEN</v>
      </c>
      <c r="K588" s="10" t="str">
        <f ca="1">IFERROR(__xludf.DUMMYFUNCTION("""COMPUTED_VALUE"""),"SHPED24-LAPANGAN-SEPTEMBER-PPL-PENDATAAN PRODUSEN")</f>
        <v>SHPED24-LAPANGAN-SEPTEMBER-PPL-PENDATAAN PRODUSEN</v>
      </c>
      <c r="L588" s="10" t="str">
        <f ca="1">IFERROR(__xludf.DUMMYFUNCTION("""COMPUTED_VALUE"""),"Dokumen")</f>
        <v>Dokumen</v>
      </c>
      <c r="M588" s="66">
        <f ca="1">IFERROR(__xludf.DUMMYFUNCTION("""COMPUTED_VALUE"""),55000)</f>
        <v>55000</v>
      </c>
      <c r="N588" s="10">
        <f ca="1">IFERROR(__xludf.DUMMYFUNCTION("""COMPUTED_VALUE"""),4)</f>
        <v>4</v>
      </c>
      <c r="O588" s="10">
        <f ca="1">IFERROR(__xludf.DUMMYFUNCTION("""COMPUTED_VALUE"""),220000)</f>
        <v>220000</v>
      </c>
      <c r="P588" s="10"/>
      <c r="Q588" s="67">
        <f ca="1">IFERROR(__xludf.DUMMYFUNCTION("""COMPUTED_VALUE"""),45555)</f>
        <v>45555</v>
      </c>
    </row>
    <row r="589" spans="1:17" ht="12.5">
      <c r="A589" s="82">
        <f t="array" aca="1" ref="A589" ca="1">INDEX('Database Mitra'!$R$2:$R1001,MATCH(C589,'Database Mitra'!$B$2:$B1001,0))</f>
        <v>30692</v>
      </c>
      <c r="B589" s="10" t="e">
        <f t="shared" ca="1" si="0"/>
        <v>#NAME?</v>
      </c>
      <c r="C589" s="83">
        <f ca="1">IFERROR(__xludf.DUMMYFUNCTION("""COMPUTED_VALUE"""),610422050001)</f>
        <v>610422050001</v>
      </c>
      <c r="D589" s="10" t="str">
        <f ca="1">IFERROR(__xludf.DUMMYFUNCTION("""COMPUTED_VALUE"""),"SHPED24-LAPANGAN-SEPTEMBER")</f>
        <v>SHPED24-LAPANGAN-SEPTEMBER</v>
      </c>
      <c r="E589" s="10"/>
      <c r="F589" s="10">
        <f ca="1">IFERROR(__xludf.DUMMYFUNCTION("""COMPUTED_VALUE"""),1)</f>
        <v>1</v>
      </c>
      <c r="G589" s="10" t="str">
        <f ca="1">IFERROR(__xludf.DUMMYFUNCTION("""COMPUTED_VALUE"""),"Evi Juniarty")</f>
        <v>Evi Juniarty</v>
      </c>
      <c r="H589" s="10" t="str">
        <f ca="1">IFERROR(__xludf.DUMMYFUNCTION("""COMPUTED_VALUE"""),"PPL")</f>
        <v>PPL</v>
      </c>
      <c r="I589" s="10" t="str">
        <f ca="1">IFERROR(__xludf.DUMMYFUNCTION("""COMPUTED_VALUE"""),"6102165101840001")</f>
        <v>6102165101840001</v>
      </c>
      <c r="J589" s="10" t="str">
        <f ca="1">IFERROR(__xludf.DUMMYFUNCTION("""COMPUTED_VALUE"""),"PENDATAAN PRODUSEN")</f>
        <v>PENDATAAN PRODUSEN</v>
      </c>
      <c r="K589" s="10" t="str">
        <f ca="1">IFERROR(__xludf.DUMMYFUNCTION("""COMPUTED_VALUE"""),"SHPED24-LAPANGAN-SEPTEMBER-PPL-PENDATAAN PRODUSEN")</f>
        <v>SHPED24-LAPANGAN-SEPTEMBER-PPL-PENDATAAN PRODUSEN</v>
      </c>
      <c r="L589" s="10" t="str">
        <f ca="1">IFERROR(__xludf.DUMMYFUNCTION("""COMPUTED_VALUE"""),"Dokumen")</f>
        <v>Dokumen</v>
      </c>
      <c r="M589" s="66">
        <f ca="1">IFERROR(__xludf.DUMMYFUNCTION("""COMPUTED_VALUE"""),55000)</f>
        <v>55000</v>
      </c>
      <c r="N589" s="10">
        <f ca="1">IFERROR(__xludf.DUMMYFUNCTION("""COMPUTED_VALUE"""),1)</f>
        <v>1</v>
      </c>
      <c r="O589" s="10">
        <f ca="1">IFERROR(__xludf.DUMMYFUNCTION("""COMPUTED_VALUE"""),55000)</f>
        <v>55000</v>
      </c>
      <c r="P589" s="10"/>
      <c r="Q589" s="67">
        <f ca="1">IFERROR(__xludf.DUMMYFUNCTION("""COMPUTED_VALUE"""),45555)</f>
        <v>45555</v>
      </c>
    </row>
    <row r="590" spans="1:17" ht="12.5">
      <c r="A590" s="82">
        <f t="array" aca="1" ref="A590" ca="1">INDEX('Database Mitra'!$R$2:$R1001,MATCH(C590,'Database Mitra'!$B$2:$B1001,0))</f>
        <v>29068</v>
      </c>
      <c r="B590" s="10" t="e">
        <f t="shared" ca="1" si="0"/>
        <v>#NAME?</v>
      </c>
      <c r="C590" s="83">
        <f ca="1">IFERROR(__xludf.DUMMYFUNCTION("""COMPUTED_VALUE"""),610422100124)</f>
        <v>610422100124</v>
      </c>
      <c r="D590" s="10" t="str">
        <f ca="1">IFERROR(__xludf.DUMMYFUNCTION("""COMPUTED_VALUE"""),"HPBG24-LAPANGAN-SEPTEMBER")</f>
        <v>HPBG24-LAPANGAN-SEPTEMBER</v>
      </c>
      <c r="E590" s="10"/>
      <c r="F590" s="10">
        <f ca="1">IFERROR(__xludf.DUMMYFUNCTION("""COMPUTED_VALUE"""),1)</f>
        <v>1</v>
      </c>
      <c r="G590" s="10" t="str">
        <f ca="1">IFERROR(__xludf.DUMMYFUNCTION("""COMPUTED_VALUE"""),"Prabowo")</f>
        <v>Prabowo</v>
      </c>
      <c r="H590" s="10" t="str">
        <f ca="1">IFERROR(__xludf.DUMMYFUNCTION("""COMPUTED_VALUE"""),"PPL")</f>
        <v>PPL</v>
      </c>
      <c r="I590" s="10" t="str">
        <f ca="1">IFERROR(__xludf.DUMMYFUNCTION("""COMPUTED_VALUE"""),"6171010108790015")</f>
        <v>6171010108790015</v>
      </c>
      <c r="J590" s="10" t="str">
        <f ca="1">IFERROR(__xludf.DUMMYFUNCTION("""COMPUTED_VALUE"""),"PENDATAAN")</f>
        <v>PENDATAAN</v>
      </c>
      <c r="K590" s="10" t="str">
        <f ca="1">IFERROR(__xludf.DUMMYFUNCTION("""COMPUTED_VALUE"""),"HPBG24-LAPANGAN-SEPTEMBER-PPL-PENDATAAN")</f>
        <v>HPBG24-LAPANGAN-SEPTEMBER-PPL-PENDATAAN</v>
      </c>
      <c r="L590" s="10" t="str">
        <f ca="1">IFERROR(__xludf.DUMMYFUNCTION("""COMPUTED_VALUE"""),"Dokumen")</f>
        <v>Dokumen</v>
      </c>
      <c r="M590" s="66">
        <f ca="1">IFERROR(__xludf.DUMMYFUNCTION("""COMPUTED_VALUE"""),55000)</f>
        <v>55000</v>
      </c>
      <c r="N590" s="10">
        <f ca="1">IFERROR(__xludf.DUMMYFUNCTION("""COMPUTED_VALUE"""),2)</f>
        <v>2</v>
      </c>
      <c r="O590" s="10">
        <f ca="1">IFERROR(__xludf.DUMMYFUNCTION("""COMPUTED_VALUE"""),110000)</f>
        <v>110000</v>
      </c>
      <c r="P590" s="10"/>
      <c r="Q590" s="67">
        <f ca="1">IFERROR(__xludf.DUMMYFUNCTION("""COMPUTED_VALUE"""),45555)</f>
        <v>45555</v>
      </c>
    </row>
    <row r="591" spans="1:17" ht="12.5">
      <c r="A591" s="82">
        <f t="array" aca="1" ref="A591" ca="1">INDEX('Database Mitra'!$R$2:$R1001,MATCH(C591,'Database Mitra'!$B$2:$B1001,0))</f>
        <v>32942</v>
      </c>
      <c r="B591" s="10" t="e">
        <f t="shared" ca="1" si="0"/>
        <v>#NAME?</v>
      </c>
      <c r="C591" s="83">
        <f ca="1">IFERROR(__xludf.DUMMYFUNCTION("""COMPUTED_VALUE"""),610422100244)</f>
        <v>610422100244</v>
      </c>
      <c r="D591" s="10" t="str">
        <f ca="1">IFERROR(__xludf.DUMMYFUNCTION("""COMPUTED_VALUE"""),"HPBG24-LAPANGAN-SEPTEMBER")</f>
        <v>HPBG24-LAPANGAN-SEPTEMBER</v>
      </c>
      <c r="E591" s="10"/>
      <c r="F591" s="10">
        <f ca="1">IFERROR(__xludf.DUMMYFUNCTION("""COMPUTED_VALUE"""),1)</f>
        <v>1</v>
      </c>
      <c r="G591" s="10" t="str">
        <f ca="1">IFERROR(__xludf.DUMMYFUNCTION("""COMPUTED_VALUE"""),"Sugianto")</f>
        <v>Sugianto</v>
      </c>
      <c r="H591" s="10" t="str">
        <f ca="1">IFERROR(__xludf.DUMMYFUNCTION("""COMPUTED_VALUE"""),"PPL")</f>
        <v>PPL</v>
      </c>
      <c r="I591" s="10" t="str">
        <f ca="1">IFERROR(__xludf.DUMMYFUNCTION("""COMPUTED_VALUE"""),"6102171003900002")</f>
        <v>6102171003900002</v>
      </c>
      <c r="J591" s="10" t="str">
        <f ca="1">IFERROR(__xludf.DUMMYFUNCTION("""COMPUTED_VALUE"""),"PENDATAAN")</f>
        <v>PENDATAAN</v>
      </c>
      <c r="K591" s="10" t="str">
        <f ca="1">IFERROR(__xludf.DUMMYFUNCTION("""COMPUTED_VALUE"""),"HPBG24-LAPANGAN-SEPTEMBER-PPL-PENDATAAN")</f>
        <v>HPBG24-LAPANGAN-SEPTEMBER-PPL-PENDATAAN</v>
      </c>
      <c r="L591" s="10" t="str">
        <f ca="1">IFERROR(__xludf.DUMMYFUNCTION("""COMPUTED_VALUE"""),"Dokumen")</f>
        <v>Dokumen</v>
      </c>
      <c r="M591" s="66">
        <f ca="1">IFERROR(__xludf.DUMMYFUNCTION("""COMPUTED_VALUE"""),55000)</f>
        <v>55000</v>
      </c>
      <c r="N591" s="10">
        <f ca="1">IFERROR(__xludf.DUMMYFUNCTION("""COMPUTED_VALUE"""),2)</f>
        <v>2</v>
      </c>
      <c r="O591" s="10">
        <f ca="1">IFERROR(__xludf.DUMMYFUNCTION("""COMPUTED_VALUE"""),110000)</f>
        <v>110000</v>
      </c>
      <c r="P591" s="10"/>
      <c r="Q591" s="67">
        <f ca="1">IFERROR(__xludf.DUMMYFUNCTION("""COMPUTED_VALUE"""),45555)</f>
        <v>45555</v>
      </c>
    </row>
    <row r="592" spans="1:17" ht="12.5">
      <c r="A592" s="82">
        <f t="array" aca="1" ref="A592" ca="1">INDEX('Database Mitra'!$R$2:$R1001,MATCH(C592,'Database Mitra'!$B$2:$B1001,0))</f>
        <v>35862</v>
      </c>
      <c r="B592" s="10" t="e">
        <f t="shared" ca="1" si="0"/>
        <v>#NAME?</v>
      </c>
      <c r="C592" s="83">
        <f ca="1">IFERROR(__xludf.DUMMYFUNCTION("""COMPUTED_VALUE"""),610422100165)</f>
        <v>610422100165</v>
      </c>
      <c r="D592" s="10" t="str">
        <f ca="1">IFERROR(__xludf.DUMMYFUNCTION("""COMPUTED_VALUE"""),"HPBG24-LAPANGAN-SEPTEMBER")</f>
        <v>HPBG24-LAPANGAN-SEPTEMBER</v>
      </c>
      <c r="E592" s="10"/>
      <c r="F592" s="10">
        <f ca="1">IFERROR(__xludf.DUMMYFUNCTION("""COMPUTED_VALUE"""),1)</f>
        <v>1</v>
      </c>
      <c r="G592" s="10" t="str">
        <f ca="1">IFERROR(__xludf.DUMMYFUNCTION("""COMPUTED_VALUE"""),"Yanti")</f>
        <v>Yanti</v>
      </c>
      <c r="H592" s="10" t="str">
        <f ca="1">IFERROR(__xludf.DUMMYFUNCTION("""COMPUTED_VALUE"""),"PPL")</f>
        <v>PPL</v>
      </c>
      <c r="I592" s="10" t="str">
        <f ca="1">IFERROR(__xludf.DUMMYFUNCTION("""COMPUTED_VALUE"""),"6102074803980002")</f>
        <v>6102074803980002</v>
      </c>
      <c r="J592" s="10" t="str">
        <f ca="1">IFERROR(__xludf.DUMMYFUNCTION("""COMPUTED_VALUE"""),"PENDATAAN")</f>
        <v>PENDATAAN</v>
      </c>
      <c r="K592" s="10" t="str">
        <f ca="1">IFERROR(__xludf.DUMMYFUNCTION("""COMPUTED_VALUE"""),"HPBG24-LAPANGAN-SEPTEMBER-PPL-PENDATAAN")</f>
        <v>HPBG24-LAPANGAN-SEPTEMBER-PPL-PENDATAAN</v>
      </c>
      <c r="L592" s="10" t="str">
        <f ca="1">IFERROR(__xludf.DUMMYFUNCTION("""COMPUTED_VALUE"""),"Dokumen")</f>
        <v>Dokumen</v>
      </c>
      <c r="M592" s="66">
        <f ca="1">IFERROR(__xludf.DUMMYFUNCTION("""COMPUTED_VALUE"""),55000)</f>
        <v>55000</v>
      </c>
      <c r="N592" s="10">
        <f ca="1">IFERROR(__xludf.DUMMYFUNCTION("""COMPUTED_VALUE"""),2)</f>
        <v>2</v>
      </c>
      <c r="O592" s="10">
        <f ca="1">IFERROR(__xludf.DUMMYFUNCTION("""COMPUTED_VALUE"""),110000)</f>
        <v>110000</v>
      </c>
      <c r="P592" s="10"/>
      <c r="Q592" s="67">
        <f ca="1">IFERROR(__xludf.DUMMYFUNCTION("""COMPUTED_VALUE"""),45555)</f>
        <v>45555</v>
      </c>
    </row>
    <row r="593" spans="1:17" ht="12.5">
      <c r="A593" s="82">
        <f t="array" aca="1" ref="A593" ca="1">INDEX('Database Mitra'!$R$2:$R1001,MATCH(C593,'Database Mitra'!$B$2:$B1001,0))</f>
        <v>35862</v>
      </c>
      <c r="B593" s="10" t="e">
        <f t="shared" ca="1" si="0"/>
        <v>#NAME?</v>
      </c>
      <c r="C593" s="83">
        <f ca="1">IFERROR(__xludf.DUMMYFUNCTION("""COMPUTED_VALUE"""),610422100165)</f>
        <v>610422100165</v>
      </c>
      <c r="D593" s="10" t="str">
        <f ca="1">IFERROR(__xludf.DUMMYFUNCTION("""COMPUTED_VALUE"""),"HPJ24-LAPANGAN-SEPTEMBER")</f>
        <v>HPJ24-LAPANGAN-SEPTEMBER</v>
      </c>
      <c r="E593" s="10"/>
      <c r="F593" s="10">
        <f ca="1">IFERROR(__xludf.DUMMYFUNCTION("""COMPUTED_VALUE"""),1)</f>
        <v>1</v>
      </c>
      <c r="G593" s="10" t="str">
        <f ca="1">IFERROR(__xludf.DUMMYFUNCTION("""COMPUTED_VALUE"""),"Yanti")</f>
        <v>Yanti</v>
      </c>
      <c r="H593" s="10" t="str">
        <f ca="1">IFERROR(__xludf.DUMMYFUNCTION("""COMPUTED_VALUE"""),"PPL")</f>
        <v>PPL</v>
      </c>
      <c r="I593" s="10" t="str">
        <f ca="1">IFERROR(__xludf.DUMMYFUNCTION("""COMPUTED_VALUE"""),"6102074803980002")</f>
        <v>6102074803980002</v>
      </c>
      <c r="J593" s="10" t="str">
        <f ca="1">IFERROR(__xludf.DUMMYFUNCTION("""COMPUTED_VALUE"""),"PENDATAAN")</f>
        <v>PENDATAAN</v>
      </c>
      <c r="K593" s="10" t="str">
        <f ca="1">IFERROR(__xludf.DUMMYFUNCTION("""COMPUTED_VALUE"""),"HPJ24-LAPANGAN-SEPTEMBER-PPL-PENDATAAN")</f>
        <v>HPJ24-LAPANGAN-SEPTEMBER-PPL-PENDATAAN</v>
      </c>
      <c r="L593" s="10" t="str">
        <f ca="1">IFERROR(__xludf.DUMMYFUNCTION("""COMPUTED_VALUE"""),"Dokumen")</f>
        <v>Dokumen</v>
      </c>
      <c r="M593" s="66">
        <f ca="1">IFERROR(__xludf.DUMMYFUNCTION("""COMPUTED_VALUE"""),50000)</f>
        <v>50000</v>
      </c>
      <c r="N593" s="10">
        <f ca="1">IFERROR(__xludf.DUMMYFUNCTION("""COMPUTED_VALUE"""),1)</f>
        <v>1</v>
      </c>
      <c r="O593" s="10">
        <f ca="1">IFERROR(__xludf.DUMMYFUNCTION("""COMPUTED_VALUE"""),50000)</f>
        <v>50000</v>
      </c>
      <c r="P593" s="10"/>
      <c r="Q593" s="67">
        <f ca="1">IFERROR(__xludf.DUMMYFUNCTION("""COMPUTED_VALUE"""),45555)</f>
        <v>45555</v>
      </c>
    </row>
    <row r="594" spans="1:17" ht="12.5">
      <c r="A594" s="82">
        <f t="array" aca="1" ref="A594" ca="1">INDEX('Database Mitra'!$R$2:$R1001,MATCH(C594,'Database Mitra'!$B$2:$B1001,0))</f>
        <v>31964</v>
      </c>
      <c r="B594" s="10" t="e">
        <f t="shared" ca="1" si="0"/>
        <v>#NAME?</v>
      </c>
      <c r="C594" s="83">
        <f ca="1">IFERROR(__xludf.DUMMYFUNCTION("""COMPUTED_VALUE"""),610422040029)</f>
        <v>610422040029</v>
      </c>
      <c r="D594" s="10" t="str">
        <f ca="1">IFERROR(__xludf.DUMMYFUNCTION("""COMPUTED_VALUE"""),"VHTS24-LAPANGAN-SEPTEMBER")</f>
        <v>VHTS24-LAPANGAN-SEPTEMBER</v>
      </c>
      <c r="E594" s="10"/>
      <c r="F594" s="10">
        <f ca="1">IFERROR(__xludf.DUMMYFUNCTION("""COMPUTED_VALUE"""),1)</f>
        <v>1</v>
      </c>
      <c r="G594" s="10" t="str">
        <f ca="1">IFERROR(__xludf.DUMMYFUNCTION("""COMPUTED_VALUE"""),"Zaini")</f>
        <v>Zaini</v>
      </c>
      <c r="H594" s="10" t="str">
        <f ca="1">IFERROR(__xludf.DUMMYFUNCTION("""COMPUTED_VALUE"""),"PPL")</f>
        <v>PPL</v>
      </c>
      <c r="I594" s="10" t="str">
        <f ca="1">IFERROR(__xludf.DUMMYFUNCTION("""COMPUTED_VALUE"""),"6102010607870002")</f>
        <v>6102010607870002</v>
      </c>
      <c r="J594" s="10" t="str">
        <f ca="1">IFERROR(__xludf.DUMMYFUNCTION("""COMPUTED_VALUE"""),"PENDATAAN")</f>
        <v>PENDATAAN</v>
      </c>
      <c r="K594" s="10" t="str">
        <f ca="1">IFERROR(__xludf.DUMMYFUNCTION("""COMPUTED_VALUE"""),"VHTS24-LAPANGAN-SEPTEMBER-PPL-PENDATAAN")</f>
        <v>VHTS24-LAPANGAN-SEPTEMBER-PPL-PENDATAAN</v>
      </c>
      <c r="L594" s="10" t="str">
        <f ca="1">IFERROR(__xludf.DUMMYFUNCTION("""COMPUTED_VALUE"""),"Dokumen")</f>
        <v>Dokumen</v>
      </c>
      <c r="M594" s="66">
        <f ca="1">IFERROR(__xludf.DUMMYFUNCTION("""COMPUTED_VALUE"""),55000)</f>
        <v>55000</v>
      </c>
      <c r="N594" s="10">
        <f ca="1">IFERROR(__xludf.DUMMYFUNCTION("""COMPUTED_VALUE"""),3)</f>
        <v>3</v>
      </c>
      <c r="O594" s="10">
        <f ca="1">IFERROR(__xludf.DUMMYFUNCTION("""COMPUTED_VALUE"""),165000)</f>
        <v>165000</v>
      </c>
      <c r="P594" s="10"/>
      <c r="Q594" s="67">
        <f ca="1">IFERROR(__xludf.DUMMYFUNCTION("""COMPUTED_VALUE"""),45555)</f>
        <v>45555</v>
      </c>
    </row>
    <row r="595" spans="1:17" ht="12.5">
      <c r="A595" s="82">
        <f t="array" aca="1" ref="A595" ca="1">INDEX('Database Mitra'!$R$2:$R1001,MATCH(C595,'Database Mitra'!$B$2:$B1001,0))</f>
        <v>35862</v>
      </c>
      <c r="B595" s="10" t="e">
        <f t="shared" ca="1" si="0"/>
        <v>#NAME?</v>
      </c>
      <c r="C595" s="83">
        <f ca="1">IFERROR(__xludf.DUMMYFUNCTION("""COMPUTED_VALUE"""),610422100165)</f>
        <v>610422100165</v>
      </c>
      <c r="D595" s="10" t="str">
        <f ca="1">IFERROR(__xludf.DUMMYFUNCTION("""COMPUTED_VALUE"""),"VHTS24-LAPANGAN-SEPTEMBER")</f>
        <v>VHTS24-LAPANGAN-SEPTEMBER</v>
      </c>
      <c r="E595" s="10"/>
      <c r="F595" s="10">
        <f ca="1">IFERROR(__xludf.DUMMYFUNCTION("""COMPUTED_VALUE"""),1)</f>
        <v>1</v>
      </c>
      <c r="G595" s="10" t="str">
        <f ca="1">IFERROR(__xludf.DUMMYFUNCTION("""COMPUTED_VALUE"""),"Yanti")</f>
        <v>Yanti</v>
      </c>
      <c r="H595" s="10" t="str">
        <f ca="1">IFERROR(__xludf.DUMMYFUNCTION("""COMPUTED_VALUE"""),"PPL")</f>
        <v>PPL</v>
      </c>
      <c r="I595" s="10" t="str">
        <f ca="1">IFERROR(__xludf.DUMMYFUNCTION("""COMPUTED_VALUE"""),"6102074803980002")</f>
        <v>6102074803980002</v>
      </c>
      <c r="J595" s="10" t="str">
        <f ca="1">IFERROR(__xludf.DUMMYFUNCTION("""COMPUTED_VALUE"""),"PENDATAAN")</f>
        <v>PENDATAAN</v>
      </c>
      <c r="K595" s="10" t="str">
        <f ca="1">IFERROR(__xludf.DUMMYFUNCTION("""COMPUTED_VALUE"""),"VHTS24-LAPANGAN-SEPTEMBER-PPL-PENDATAAN")</f>
        <v>VHTS24-LAPANGAN-SEPTEMBER-PPL-PENDATAAN</v>
      </c>
      <c r="L595" s="10" t="str">
        <f ca="1">IFERROR(__xludf.DUMMYFUNCTION("""COMPUTED_VALUE"""),"Dokumen")</f>
        <v>Dokumen</v>
      </c>
      <c r="M595" s="66">
        <f ca="1">IFERROR(__xludf.DUMMYFUNCTION("""COMPUTED_VALUE"""),55000)</f>
        <v>55000</v>
      </c>
      <c r="N595" s="10">
        <f ca="1">IFERROR(__xludf.DUMMYFUNCTION("""COMPUTED_VALUE"""),3)</f>
        <v>3</v>
      </c>
      <c r="O595" s="10">
        <f ca="1">IFERROR(__xludf.DUMMYFUNCTION("""COMPUTED_VALUE"""),165000)</f>
        <v>165000</v>
      </c>
      <c r="P595" s="10"/>
      <c r="Q595" s="67">
        <f ca="1">IFERROR(__xludf.DUMMYFUNCTION("""COMPUTED_VALUE"""),45555)</f>
        <v>45555</v>
      </c>
    </row>
    <row r="596" spans="1:17" ht="12.5">
      <c r="A596" s="82">
        <f t="array" aca="1" ref="A596" ca="1">INDEX('Database Mitra'!$R$2:$R1001,MATCH(C596,'Database Mitra'!$B$2:$B1001,0))</f>
        <v>30692</v>
      </c>
      <c r="B596" s="10" t="e">
        <f t="shared" ca="1" si="0"/>
        <v>#NAME?</v>
      </c>
      <c r="C596" s="83">
        <f ca="1">IFERROR(__xludf.DUMMYFUNCTION("""COMPUTED_VALUE"""),610422050001)</f>
        <v>610422050001</v>
      </c>
      <c r="D596" s="10" t="str">
        <f ca="1">IFERROR(__xludf.DUMMYFUNCTION("""COMPUTED_VALUE"""),"VHTS24-LAPANGAN-SEPTEMBER")</f>
        <v>VHTS24-LAPANGAN-SEPTEMBER</v>
      </c>
      <c r="E596" s="10"/>
      <c r="F596" s="10">
        <f ca="1">IFERROR(__xludf.DUMMYFUNCTION("""COMPUTED_VALUE"""),1)</f>
        <v>1</v>
      </c>
      <c r="G596" s="10" t="str">
        <f ca="1">IFERROR(__xludf.DUMMYFUNCTION("""COMPUTED_VALUE"""),"Evi Juniarty")</f>
        <v>Evi Juniarty</v>
      </c>
      <c r="H596" s="10" t="str">
        <f ca="1">IFERROR(__xludf.DUMMYFUNCTION("""COMPUTED_VALUE"""),"PPL")</f>
        <v>PPL</v>
      </c>
      <c r="I596" s="10" t="str">
        <f ca="1">IFERROR(__xludf.DUMMYFUNCTION("""COMPUTED_VALUE"""),"6102165101840001")</f>
        <v>6102165101840001</v>
      </c>
      <c r="J596" s="10" t="str">
        <f ca="1">IFERROR(__xludf.DUMMYFUNCTION("""COMPUTED_VALUE"""),"PENDATAAN")</f>
        <v>PENDATAAN</v>
      </c>
      <c r="K596" s="10" t="str">
        <f ca="1">IFERROR(__xludf.DUMMYFUNCTION("""COMPUTED_VALUE"""),"VHTS24-LAPANGAN-SEPTEMBER-PPL-PENDATAAN")</f>
        <v>VHTS24-LAPANGAN-SEPTEMBER-PPL-PENDATAAN</v>
      </c>
      <c r="L596" s="10" t="str">
        <f ca="1">IFERROR(__xludf.DUMMYFUNCTION("""COMPUTED_VALUE"""),"Dokumen")</f>
        <v>Dokumen</v>
      </c>
      <c r="M596" s="66">
        <f ca="1">IFERROR(__xludf.DUMMYFUNCTION("""COMPUTED_VALUE"""),55000)</f>
        <v>55000</v>
      </c>
      <c r="N596" s="10">
        <f ca="1">IFERROR(__xludf.DUMMYFUNCTION("""COMPUTED_VALUE"""),3)</f>
        <v>3</v>
      </c>
      <c r="O596" s="10">
        <f ca="1">IFERROR(__xludf.DUMMYFUNCTION("""COMPUTED_VALUE"""),165000)</f>
        <v>165000</v>
      </c>
      <c r="P596" s="10"/>
      <c r="Q596" s="67">
        <f ca="1">IFERROR(__xludf.DUMMYFUNCTION("""COMPUTED_VALUE"""),45555)</f>
        <v>45555</v>
      </c>
    </row>
    <row r="597" spans="1:17" ht="12.5">
      <c r="A597" s="82">
        <f t="array" aca="1" ref="A597" ca="1">INDEX('Database Mitra'!$R$2:$R1001,MATCH(C597,'Database Mitra'!$B$2:$B1001,0))</f>
        <v>27798</v>
      </c>
      <c r="B597" s="10" t="e">
        <f t="shared" ca="1" si="0"/>
        <v>#NAME?</v>
      </c>
      <c r="C597" s="83">
        <f ca="1">IFERROR(__xludf.DUMMYFUNCTION("""COMPUTED_VALUE"""),610422040056)</f>
        <v>610422040056</v>
      </c>
      <c r="D597" s="10" t="str">
        <f ca="1">IFERROR(__xludf.DUMMYFUNCTION("""COMPUTED_VALUE"""),"VHTS24-LAPANGAN-SEPTEMBER")</f>
        <v>VHTS24-LAPANGAN-SEPTEMBER</v>
      </c>
      <c r="E597" s="10"/>
      <c r="F597" s="10">
        <f ca="1">IFERROR(__xludf.DUMMYFUNCTION("""COMPUTED_VALUE"""),1)</f>
        <v>1</v>
      </c>
      <c r="G597" s="10" t="str">
        <f ca="1">IFERROR(__xludf.DUMMYFUNCTION("""COMPUTED_VALUE"""),"Wandi Syafari")</f>
        <v>Wandi Syafari</v>
      </c>
      <c r="H597" s="10" t="str">
        <f ca="1">IFERROR(__xludf.DUMMYFUNCTION("""COMPUTED_VALUE"""),"PPL")</f>
        <v>PPL</v>
      </c>
      <c r="I597" s="10" t="str">
        <f ca="1">IFERROR(__xludf.DUMMYFUNCTION("""COMPUTED_VALUE"""),"6102010802760001")</f>
        <v>6102010802760001</v>
      </c>
      <c r="J597" s="10" t="str">
        <f ca="1">IFERROR(__xludf.DUMMYFUNCTION("""COMPUTED_VALUE"""),"PENDATAAN")</f>
        <v>PENDATAAN</v>
      </c>
      <c r="K597" s="10" t="str">
        <f ca="1">IFERROR(__xludf.DUMMYFUNCTION("""COMPUTED_VALUE"""),"VHTS24-LAPANGAN-SEPTEMBER-PPL-PENDATAAN")</f>
        <v>VHTS24-LAPANGAN-SEPTEMBER-PPL-PENDATAAN</v>
      </c>
      <c r="L597" s="10" t="str">
        <f ca="1">IFERROR(__xludf.DUMMYFUNCTION("""COMPUTED_VALUE"""),"Dokumen")</f>
        <v>Dokumen</v>
      </c>
      <c r="M597" s="66">
        <f ca="1">IFERROR(__xludf.DUMMYFUNCTION("""COMPUTED_VALUE"""),55000)</f>
        <v>55000</v>
      </c>
      <c r="N597" s="10">
        <f ca="1">IFERROR(__xludf.DUMMYFUNCTION("""COMPUTED_VALUE"""),2)</f>
        <v>2</v>
      </c>
      <c r="O597" s="10">
        <f ca="1">IFERROR(__xludf.DUMMYFUNCTION("""COMPUTED_VALUE"""),110000)</f>
        <v>110000</v>
      </c>
      <c r="P597" s="10"/>
      <c r="Q597" s="67">
        <f ca="1">IFERROR(__xludf.DUMMYFUNCTION("""COMPUTED_VALUE"""),45555)</f>
        <v>45555</v>
      </c>
    </row>
    <row r="598" spans="1:17" ht="12.5">
      <c r="A598" s="82">
        <f t="array" aca="1" ref="A598" ca="1">INDEX('Database Mitra'!$R$2:$R1001,MATCH(C598,'Database Mitra'!$B$2:$B1001,0))</f>
        <v>36088</v>
      </c>
      <c r="B598" s="10" t="e">
        <f t="shared" ca="1" si="0"/>
        <v>#NAME?</v>
      </c>
      <c r="C598" s="83">
        <f ca="1">IFERROR(__xludf.DUMMYFUNCTION("""COMPUTED_VALUE"""),610422100006)</f>
        <v>610422100006</v>
      </c>
      <c r="D598" s="10" t="str">
        <f ca="1">IFERROR(__xludf.DUMMYFUNCTION("""COMPUTED_VALUE"""),"SEEA24-LAPANGAN-TAHUNAN")</f>
        <v>SEEA24-LAPANGAN-TAHUNAN</v>
      </c>
      <c r="E598" s="10"/>
      <c r="F598" s="10">
        <f ca="1">IFERROR(__xludf.DUMMYFUNCTION("""COMPUTED_VALUE"""),1)</f>
        <v>1</v>
      </c>
      <c r="G598" s="10" t="str">
        <f ca="1">IFERROR(__xludf.DUMMYFUNCTION("""COMPUTED_VALUE"""),"Dandy")</f>
        <v>Dandy</v>
      </c>
      <c r="H598" s="10"/>
      <c r="I598" s="10"/>
      <c r="J598" s="10" t="str">
        <f ca="1">IFERROR(__xludf.DUMMYFUNCTION("""COMPUTED_VALUE"""),"PENDATAAN")</f>
        <v>PENDATAAN</v>
      </c>
      <c r="K598" s="10" t="str">
        <f ca="1">IFERROR(__xludf.DUMMYFUNCTION("""COMPUTED_VALUE"""),"SEEA24-LAPANGAN-TAHUNAN-PPL-PENDATAAN")</f>
        <v>SEEA24-LAPANGAN-TAHUNAN-PPL-PENDATAAN</v>
      </c>
      <c r="L598" s="10" t="str">
        <f ca="1">IFERROR(__xludf.DUMMYFUNCTION("""COMPUTED_VALUE"""),"Dokumen")</f>
        <v>Dokumen</v>
      </c>
      <c r="M598" s="66">
        <f ca="1">IFERROR(__xludf.DUMMYFUNCTION("""COMPUTED_VALUE"""),75000)</f>
        <v>75000</v>
      </c>
      <c r="N598" s="10">
        <f ca="1">IFERROR(__xludf.DUMMYFUNCTION("""COMPUTED_VALUE"""),4)</f>
        <v>4</v>
      </c>
      <c r="O598" s="10">
        <f ca="1">IFERROR(__xludf.DUMMYFUNCTION("""COMPUTED_VALUE"""),300000)</f>
        <v>300000</v>
      </c>
      <c r="P598" s="10"/>
      <c r="Q598" s="67">
        <f ca="1">IFERROR(__xludf.DUMMYFUNCTION("""COMPUTED_VALUE"""),45535)</f>
        <v>45535</v>
      </c>
    </row>
    <row r="599" spans="1:17" ht="12.5">
      <c r="A599" s="11">
        <f t="array" aca="1" ref="A599" ca="1">INDEX('Database Mitra'!$R$2:$R1001,MATCH(C599,'Database Mitra'!$B$2:$B1001,0))</f>
        <v>34895</v>
      </c>
      <c r="B599" s="10" t="e">
        <f t="shared" ca="1" si="0"/>
        <v>#NAME?</v>
      </c>
      <c r="C599" s="83">
        <f ca="1">IFERROR(__xludf.DUMMYFUNCTION("""COMPUTED_VALUE"""),610422020016)</f>
        <v>610422020016</v>
      </c>
      <c r="D599" s="10" t="str">
        <f ca="1">IFERROR(__xludf.DUMMYFUNCTION("""COMPUTED_VALUE"""),"KSA24-LAPANGAN-SEPTEMBER")</f>
        <v>KSA24-LAPANGAN-SEPTEMBER</v>
      </c>
      <c r="E599" s="10"/>
      <c r="F599" s="10">
        <f ca="1">IFERROR(__xludf.DUMMYFUNCTION("""COMPUTED_VALUE"""),1)</f>
        <v>1</v>
      </c>
      <c r="G599" s="10" t="str">
        <f ca="1">IFERROR(__xludf.DUMMYFUNCTION("""COMPUTED_VALUE"""),"Abdul Aziz")</f>
        <v>Abdul Aziz</v>
      </c>
      <c r="H599" s="10" t="str">
        <f ca="1">IFERROR(__xludf.DUMMYFUNCTION("""COMPUTED_VALUE"""),"PPL")</f>
        <v>PPL</v>
      </c>
      <c r="I599" s="10" t="str">
        <f ca="1">IFERROR(__xludf.DUMMYFUNCTION("""COMPUTED_VALUE"""),"6102061507950006")</f>
        <v>6102061507950006</v>
      </c>
      <c r="J599" s="10" t="str">
        <f ca="1">IFERROR(__xludf.DUMMYFUNCTION("""COMPUTED_VALUE"""),"KSA PADI")</f>
        <v>KSA PADI</v>
      </c>
      <c r="K599" s="10" t="str">
        <f ca="1">IFERROR(__xludf.DUMMYFUNCTION("""COMPUTED_VALUE"""),"KSA24-LAPANGAN-SEPTEMBER-PPL-KSA PADI")</f>
        <v>KSA24-LAPANGAN-SEPTEMBER-PPL-KSA PADI</v>
      </c>
      <c r="L599" s="10" t="str">
        <f ca="1">IFERROR(__xludf.DUMMYFUNCTION("""COMPUTED_VALUE"""),"Segmen")</f>
        <v>Segmen</v>
      </c>
      <c r="M599" s="66">
        <f ca="1">IFERROR(__xludf.DUMMYFUNCTION("""COMPUTED_VALUE"""),116000)</f>
        <v>116000</v>
      </c>
      <c r="N599" s="10">
        <f ca="1">IFERROR(__xludf.DUMMYFUNCTION("""COMPUTED_VALUE"""),3)</f>
        <v>3</v>
      </c>
      <c r="O599" s="10">
        <f ca="1">IFERROR(__xludf.DUMMYFUNCTION("""COMPUTED_VALUE"""),348000)</f>
        <v>348000</v>
      </c>
      <c r="P599" s="10"/>
      <c r="Q599" s="67">
        <f ca="1">IFERROR(__xludf.DUMMYFUNCTION("""COMPUTED_VALUE"""),45565)</f>
        <v>45565</v>
      </c>
    </row>
    <row r="600" spans="1:17" ht="12.5">
      <c r="A600" s="82">
        <f t="array" aca="1" ref="A600" ca="1">INDEX('Database Mitra'!$R$2:$R1001,MATCH(C600,'Database Mitra'!$B$2:$B1001,0))</f>
        <v>36043</v>
      </c>
      <c r="B600" s="10" t="e">
        <f t="shared" ca="1" si="0"/>
        <v>#NAME?</v>
      </c>
      <c r="C600" s="83">
        <f ca="1">IFERROR(__xludf.DUMMYFUNCTION("""COMPUTED_VALUE"""),610422040012)</f>
        <v>610422040012</v>
      </c>
      <c r="D600" s="10" t="str">
        <f ca="1">IFERROR(__xludf.DUMMYFUNCTION("""COMPUTED_VALUE"""),"KSA24-LAPANGAN-SEPTEMBER")</f>
        <v>KSA24-LAPANGAN-SEPTEMBER</v>
      </c>
      <c r="E600" s="10"/>
      <c r="F600" s="10">
        <f ca="1">IFERROR(__xludf.DUMMYFUNCTION("""COMPUTED_VALUE"""),1)</f>
        <v>1</v>
      </c>
      <c r="G600" s="10" t="str">
        <f ca="1">IFERROR(__xludf.DUMMYFUNCTION("""COMPUTED_VALUE"""),"Misdi")</f>
        <v>Misdi</v>
      </c>
      <c r="H600" s="10" t="str">
        <f ca="1">IFERROR(__xludf.DUMMYFUNCTION("""COMPUTED_VALUE"""),"PPL")</f>
        <v>PPL</v>
      </c>
      <c r="I600" s="10" t="str">
        <f ca="1">IFERROR(__xludf.DUMMYFUNCTION("""COMPUTED_VALUE"""),"6102070706940001")</f>
        <v>6102070706940001</v>
      </c>
      <c r="J600" s="10" t="str">
        <f ca="1">IFERROR(__xludf.DUMMYFUNCTION("""COMPUTED_VALUE"""),"KSA PADI")</f>
        <v>KSA PADI</v>
      </c>
      <c r="K600" s="10" t="str">
        <f ca="1">IFERROR(__xludf.DUMMYFUNCTION("""COMPUTED_VALUE"""),"KSA24-LAPANGAN-SEPTEMBER-PPL-KSA PADI")</f>
        <v>KSA24-LAPANGAN-SEPTEMBER-PPL-KSA PADI</v>
      </c>
      <c r="L600" s="10" t="str">
        <f ca="1">IFERROR(__xludf.DUMMYFUNCTION("""COMPUTED_VALUE"""),"Segmen")</f>
        <v>Segmen</v>
      </c>
      <c r="M600" s="66">
        <f ca="1">IFERROR(__xludf.DUMMYFUNCTION("""COMPUTED_VALUE"""),116000)</f>
        <v>116000</v>
      </c>
      <c r="N600" s="10">
        <f ca="1">IFERROR(__xludf.DUMMYFUNCTION("""COMPUTED_VALUE"""),3)</f>
        <v>3</v>
      </c>
      <c r="O600" s="10">
        <f ca="1">IFERROR(__xludf.DUMMYFUNCTION("""COMPUTED_VALUE"""),348000)</f>
        <v>348000</v>
      </c>
      <c r="P600" s="10"/>
      <c r="Q600" s="67">
        <f ca="1">IFERROR(__xludf.DUMMYFUNCTION("""COMPUTED_VALUE"""),45565)</f>
        <v>45565</v>
      </c>
    </row>
    <row r="601" spans="1:17" ht="12.5">
      <c r="A601" s="82">
        <f t="array" aca="1" ref="A601" ca="1">INDEX('Database Mitra'!$R$2:$R1001,MATCH(C601,'Database Mitra'!$B$2:$B1001,0))</f>
        <v>28816</v>
      </c>
      <c r="B601" s="10" t="e">
        <f t="shared" ca="1" si="0"/>
        <v>#NAME?</v>
      </c>
      <c r="C601" s="83">
        <f ca="1">IFERROR(__xludf.DUMMYFUNCTION("""COMPUTED_VALUE"""),610422040059)</f>
        <v>610422040059</v>
      </c>
      <c r="D601" s="10" t="str">
        <f ca="1">IFERROR(__xludf.DUMMYFUNCTION("""COMPUTED_VALUE"""),"KSA24-LAPANGAN-SEPTEMBER")</f>
        <v>KSA24-LAPANGAN-SEPTEMBER</v>
      </c>
      <c r="E601" s="10"/>
      <c r="F601" s="10">
        <f ca="1">IFERROR(__xludf.DUMMYFUNCTION("""COMPUTED_VALUE"""),1)</f>
        <v>1</v>
      </c>
      <c r="G601" s="10" t="str">
        <f ca="1">IFERROR(__xludf.DUMMYFUNCTION("""COMPUTED_VALUE"""),"Abang Handri")</f>
        <v>Abang Handri</v>
      </c>
      <c r="H601" s="10" t="str">
        <f ca="1">IFERROR(__xludf.DUMMYFUNCTION("""COMPUTED_VALUE"""),"PPL")</f>
        <v>PPL</v>
      </c>
      <c r="I601" s="10" t="str">
        <f ca="1">IFERROR(__xludf.DUMMYFUNCTION("""COMPUTED_VALUE"""),"6102072211780002")</f>
        <v>6102072211780002</v>
      </c>
      <c r="J601" s="10" t="str">
        <f ca="1">IFERROR(__xludf.DUMMYFUNCTION("""COMPUTED_VALUE"""),"KSA PADI")</f>
        <v>KSA PADI</v>
      </c>
      <c r="K601" s="10" t="str">
        <f ca="1">IFERROR(__xludf.DUMMYFUNCTION("""COMPUTED_VALUE"""),"KSA24-LAPANGAN-SEPTEMBER-PPL-KSA PADI")</f>
        <v>KSA24-LAPANGAN-SEPTEMBER-PPL-KSA PADI</v>
      </c>
      <c r="L601" s="10" t="str">
        <f ca="1">IFERROR(__xludf.DUMMYFUNCTION("""COMPUTED_VALUE"""),"Segmen")</f>
        <v>Segmen</v>
      </c>
      <c r="M601" s="66">
        <f ca="1">IFERROR(__xludf.DUMMYFUNCTION("""COMPUTED_VALUE"""),116000)</f>
        <v>116000</v>
      </c>
      <c r="N601" s="10">
        <f ca="1">IFERROR(__xludf.DUMMYFUNCTION("""COMPUTED_VALUE"""),4)</f>
        <v>4</v>
      </c>
      <c r="O601" s="10">
        <f ca="1">IFERROR(__xludf.DUMMYFUNCTION("""COMPUTED_VALUE"""),464000)</f>
        <v>464000</v>
      </c>
      <c r="P601" s="10"/>
      <c r="Q601" s="67">
        <f ca="1">IFERROR(__xludf.DUMMYFUNCTION("""COMPUTED_VALUE"""),45565)</f>
        <v>45565</v>
      </c>
    </row>
    <row r="602" spans="1:17" ht="12.5">
      <c r="A602" s="11">
        <f t="array" aca="1" ref="A602" ca="1">INDEX('Database Mitra'!$R$2:$R1001,MATCH(C602,'Database Mitra'!$B$2:$B1001,0))</f>
        <v>31777</v>
      </c>
      <c r="B602" s="10" t="e">
        <f t="shared" ca="1" si="0"/>
        <v>#NAME?</v>
      </c>
      <c r="C602" s="83">
        <f ca="1">IFERROR(__xludf.DUMMYFUNCTION("""COMPUTED_VALUE"""),610422040061)</f>
        <v>610422040061</v>
      </c>
      <c r="D602" s="10" t="str">
        <f ca="1">IFERROR(__xludf.DUMMYFUNCTION("""COMPUTED_VALUE"""),"KSA24-LAPANGAN-SEPTEMBER")</f>
        <v>KSA24-LAPANGAN-SEPTEMBER</v>
      </c>
      <c r="E602" s="10"/>
      <c r="F602" s="10">
        <f ca="1">IFERROR(__xludf.DUMMYFUNCTION("""COMPUTED_VALUE"""),1)</f>
        <v>1</v>
      </c>
      <c r="G602" s="10" t="str">
        <f ca="1">IFERROR(__xludf.DUMMYFUNCTION("""COMPUTED_VALUE"""),"Sabani")</f>
        <v>Sabani</v>
      </c>
      <c r="H602" s="10" t="str">
        <f ca="1">IFERROR(__xludf.DUMMYFUNCTION("""COMPUTED_VALUE"""),"PPL")</f>
        <v>PPL</v>
      </c>
      <c r="I602" s="10" t="str">
        <f ca="1">IFERROR(__xludf.DUMMYFUNCTION("""COMPUTED_VALUE"""),"6102153112860003")</f>
        <v>6102153112860003</v>
      </c>
      <c r="J602" s="10" t="str">
        <f ca="1">IFERROR(__xludf.DUMMYFUNCTION("""COMPUTED_VALUE"""),"KSA PADI")</f>
        <v>KSA PADI</v>
      </c>
      <c r="K602" s="10" t="str">
        <f ca="1">IFERROR(__xludf.DUMMYFUNCTION("""COMPUTED_VALUE"""),"KSA24-LAPANGAN-SEPTEMBER-PPL-KSA PADI")</f>
        <v>KSA24-LAPANGAN-SEPTEMBER-PPL-KSA PADI</v>
      </c>
      <c r="L602" s="10" t="str">
        <f ca="1">IFERROR(__xludf.DUMMYFUNCTION("""COMPUTED_VALUE"""),"Segmen")</f>
        <v>Segmen</v>
      </c>
      <c r="M602" s="66">
        <f ca="1">IFERROR(__xludf.DUMMYFUNCTION("""COMPUTED_VALUE"""),116000)</f>
        <v>116000</v>
      </c>
      <c r="N602" s="10">
        <f ca="1">IFERROR(__xludf.DUMMYFUNCTION("""COMPUTED_VALUE"""),3)</f>
        <v>3</v>
      </c>
      <c r="O602" s="10">
        <f ca="1">IFERROR(__xludf.DUMMYFUNCTION("""COMPUTED_VALUE"""),348000)</f>
        <v>348000</v>
      </c>
      <c r="P602" s="10"/>
      <c r="Q602" s="67">
        <f ca="1">IFERROR(__xludf.DUMMYFUNCTION("""COMPUTED_VALUE"""),45565)</f>
        <v>45565</v>
      </c>
    </row>
    <row r="603" spans="1:17" ht="12.5">
      <c r="A603" s="82">
        <f t="array" aca="1" ref="A603" ca="1">INDEX('Database Mitra'!$R$2:$R1001,MATCH(C603,'Database Mitra'!$B$2:$B1001,0))</f>
        <v>31602</v>
      </c>
      <c r="B603" s="10" t="e">
        <f t="shared" ca="1" si="0"/>
        <v>#NAME?</v>
      </c>
      <c r="C603" s="83">
        <f ca="1">IFERROR(__xludf.DUMMYFUNCTION("""COMPUTED_VALUE"""),610422100131)</f>
        <v>610422100131</v>
      </c>
      <c r="D603" s="10" t="str">
        <f ca="1">IFERROR(__xludf.DUMMYFUNCTION("""COMPUTED_VALUE"""),"KSA24-LAPANGAN-SEPTEMBER")</f>
        <v>KSA24-LAPANGAN-SEPTEMBER</v>
      </c>
      <c r="E603" s="10"/>
      <c r="F603" s="10">
        <f ca="1">IFERROR(__xludf.DUMMYFUNCTION("""COMPUTED_VALUE"""),1)</f>
        <v>1</v>
      </c>
      <c r="G603" s="10" t="str">
        <f ca="1">IFERROR(__xludf.DUMMYFUNCTION("""COMPUTED_VALUE"""),"Syamsul")</f>
        <v>Syamsul</v>
      </c>
      <c r="H603" s="10" t="str">
        <f ca="1">IFERROR(__xludf.DUMMYFUNCTION("""COMPUTED_VALUE"""),"PPL")</f>
        <v>PPL</v>
      </c>
      <c r="I603" s="10" t="str">
        <f ca="1">IFERROR(__xludf.DUMMYFUNCTION("""COMPUTED_VALUE"""),"6102150907860003")</f>
        <v>6102150907860003</v>
      </c>
      <c r="J603" s="10" t="str">
        <f ca="1">IFERROR(__xludf.DUMMYFUNCTION("""COMPUTED_VALUE"""),"KSA PADI")</f>
        <v>KSA PADI</v>
      </c>
      <c r="K603" s="10" t="str">
        <f ca="1">IFERROR(__xludf.DUMMYFUNCTION("""COMPUTED_VALUE"""),"KSA24-LAPANGAN-SEPTEMBER-PPL-KSA PADI")</f>
        <v>KSA24-LAPANGAN-SEPTEMBER-PPL-KSA PADI</v>
      </c>
      <c r="L603" s="10" t="str">
        <f ca="1">IFERROR(__xludf.DUMMYFUNCTION("""COMPUTED_VALUE"""),"Segmen")</f>
        <v>Segmen</v>
      </c>
      <c r="M603" s="66">
        <f ca="1">IFERROR(__xludf.DUMMYFUNCTION("""COMPUTED_VALUE"""),116000)</f>
        <v>116000</v>
      </c>
      <c r="N603" s="10">
        <f ca="1">IFERROR(__xludf.DUMMYFUNCTION("""COMPUTED_VALUE"""),3)</f>
        <v>3</v>
      </c>
      <c r="O603" s="10">
        <f ca="1">IFERROR(__xludf.DUMMYFUNCTION("""COMPUTED_VALUE"""),348000)</f>
        <v>348000</v>
      </c>
      <c r="P603" s="10"/>
      <c r="Q603" s="67">
        <f ca="1">IFERROR(__xludf.DUMMYFUNCTION("""COMPUTED_VALUE"""),45565)</f>
        <v>45565</v>
      </c>
    </row>
    <row r="604" spans="1:17" ht="12.5">
      <c r="A604" s="82">
        <f t="array" aca="1" ref="A604" ca="1">INDEX('Database Mitra'!$R$2:$R1001,MATCH(C604,'Database Mitra'!$B$2:$B1001,0))</f>
        <v>32942</v>
      </c>
      <c r="B604" s="10" t="e">
        <f t="shared" ca="1" si="0"/>
        <v>#NAME?</v>
      </c>
      <c r="C604" s="83">
        <f ca="1">IFERROR(__xludf.DUMMYFUNCTION("""COMPUTED_VALUE"""),610422100244)</f>
        <v>610422100244</v>
      </c>
      <c r="D604" s="10" t="str">
        <f ca="1">IFERROR(__xludf.DUMMYFUNCTION("""COMPUTED_VALUE"""),"KSA24-LAPANGAN-SEPTEMBER")</f>
        <v>KSA24-LAPANGAN-SEPTEMBER</v>
      </c>
      <c r="E604" s="10"/>
      <c r="F604" s="10">
        <f ca="1">IFERROR(__xludf.DUMMYFUNCTION("""COMPUTED_VALUE"""),1)</f>
        <v>1</v>
      </c>
      <c r="G604" s="10" t="str">
        <f ca="1">IFERROR(__xludf.DUMMYFUNCTION("""COMPUTED_VALUE"""),"Sugianto")</f>
        <v>Sugianto</v>
      </c>
      <c r="H604" s="10" t="str">
        <f ca="1">IFERROR(__xludf.DUMMYFUNCTION("""COMPUTED_VALUE"""),"PPL")</f>
        <v>PPL</v>
      </c>
      <c r="I604" s="10" t="str">
        <f ca="1">IFERROR(__xludf.DUMMYFUNCTION("""COMPUTED_VALUE"""),"6102171003900002")</f>
        <v>6102171003900002</v>
      </c>
      <c r="J604" s="10" t="str">
        <f ca="1">IFERROR(__xludf.DUMMYFUNCTION("""COMPUTED_VALUE"""),"KSA PADI")</f>
        <v>KSA PADI</v>
      </c>
      <c r="K604" s="10" t="str">
        <f ca="1">IFERROR(__xludf.DUMMYFUNCTION("""COMPUTED_VALUE"""),"KSA24-LAPANGAN-SEPTEMBER-PPL-KSA PADI")</f>
        <v>KSA24-LAPANGAN-SEPTEMBER-PPL-KSA PADI</v>
      </c>
      <c r="L604" s="10" t="str">
        <f ca="1">IFERROR(__xludf.DUMMYFUNCTION("""COMPUTED_VALUE"""),"Segmen")</f>
        <v>Segmen</v>
      </c>
      <c r="M604" s="66">
        <f ca="1">IFERROR(__xludf.DUMMYFUNCTION("""COMPUTED_VALUE"""),116000)</f>
        <v>116000</v>
      </c>
      <c r="N604" s="10">
        <f ca="1">IFERROR(__xludf.DUMMYFUNCTION("""COMPUTED_VALUE"""),3)</f>
        <v>3</v>
      </c>
      <c r="O604" s="10">
        <f ca="1">IFERROR(__xludf.DUMMYFUNCTION("""COMPUTED_VALUE"""),348000)</f>
        <v>348000</v>
      </c>
      <c r="P604" s="10"/>
      <c r="Q604" s="67">
        <f ca="1">IFERROR(__xludf.DUMMYFUNCTION("""COMPUTED_VALUE"""),45565)</f>
        <v>45565</v>
      </c>
    </row>
    <row r="605" spans="1:17" ht="12.5">
      <c r="A605" s="11">
        <f t="array" aca="1" ref="A605" ca="1">INDEX('Database Mitra'!$R$2:$R1001,MATCH(C605,'Database Mitra'!$B$2:$B1001,0))</f>
        <v>32481</v>
      </c>
      <c r="B605" s="10" t="e">
        <f t="shared" ca="1" si="0"/>
        <v>#NAME?</v>
      </c>
      <c r="C605" s="83">
        <f ca="1">IFERROR(__xludf.DUMMYFUNCTION("""COMPUTED_VALUE"""),610422100176)</f>
        <v>610422100176</v>
      </c>
      <c r="D605" s="10" t="str">
        <f ca="1">IFERROR(__xludf.DUMMYFUNCTION("""COMPUTED_VALUE"""),"KSA24-LAPANGAN-SEPTEMBER")</f>
        <v>KSA24-LAPANGAN-SEPTEMBER</v>
      </c>
      <c r="E605" s="10"/>
      <c r="F605" s="10">
        <f ca="1">IFERROR(__xludf.DUMMYFUNCTION("""COMPUTED_VALUE"""),1)</f>
        <v>1</v>
      </c>
      <c r="G605" s="10" t="str">
        <f ca="1">IFERROR(__xludf.DUMMYFUNCTION("""COMPUTED_VALUE"""),"Feri Firdaus")</f>
        <v>Feri Firdaus</v>
      </c>
      <c r="H605" s="10" t="str">
        <f ca="1">IFERROR(__xludf.DUMMYFUNCTION("""COMPUTED_VALUE"""),"PPL")</f>
        <v>PPL</v>
      </c>
      <c r="I605" s="10" t="str">
        <f ca="1">IFERROR(__xludf.DUMMYFUNCTION("""COMPUTED_VALUE"""),"6102150412880001")</f>
        <v>6102150412880001</v>
      </c>
      <c r="J605" s="10" t="str">
        <f ca="1">IFERROR(__xludf.DUMMYFUNCTION("""COMPUTED_VALUE"""),"KSA PADI")</f>
        <v>KSA PADI</v>
      </c>
      <c r="K605" s="10" t="str">
        <f ca="1">IFERROR(__xludf.DUMMYFUNCTION("""COMPUTED_VALUE"""),"KSA24-LAPANGAN-SEPTEMBER-PPL-KSA PADI")</f>
        <v>KSA24-LAPANGAN-SEPTEMBER-PPL-KSA PADI</v>
      </c>
      <c r="L605" s="10" t="str">
        <f ca="1">IFERROR(__xludf.DUMMYFUNCTION("""COMPUTED_VALUE"""),"Segmen")</f>
        <v>Segmen</v>
      </c>
      <c r="M605" s="66">
        <f ca="1">IFERROR(__xludf.DUMMYFUNCTION("""COMPUTED_VALUE"""),116000)</f>
        <v>116000</v>
      </c>
      <c r="N605" s="10">
        <f ca="1">IFERROR(__xludf.DUMMYFUNCTION("""COMPUTED_VALUE"""),3)</f>
        <v>3</v>
      </c>
      <c r="O605" s="10">
        <f ca="1">IFERROR(__xludf.DUMMYFUNCTION("""COMPUTED_VALUE"""),348000)</f>
        <v>348000</v>
      </c>
      <c r="P605" s="10"/>
      <c r="Q605" s="67">
        <f ca="1">IFERROR(__xludf.DUMMYFUNCTION("""COMPUTED_VALUE"""),45565)</f>
        <v>45565</v>
      </c>
    </row>
    <row r="606" spans="1:17" ht="12.5">
      <c r="A606" s="82">
        <f t="array" aca="1" ref="A606" ca="1">INDEX('Database Mitra'!$R$2:$R1001,MATCH(C606,'Database Mitra'!$B$2:$B1001,0))</f>
        <v>29171</v>
      </c>
      <c r="B606" s="10" t="e">
        <f t="shared" ca="1" si="0"/>
        <v>#NAME?</v>
      </c>
      <c r="C606" s="83">
        <f ca="1">IFERROR(__xludf.DUMMYFUNCTION("""COMPUTED_VALUE"""),610423110183)</f>
        <v>610423110183</v>
      </c>
      <c r="D606" s="10" t="str">
        <f ca="1">IFERROR(__xludf.DUMMYFUNCTION("""COMPUTED_VALUE"""),"KSA24-LAPANGAN-SEPTEMBER")</f>
        <v>KSA24-LAPANGAN-SEPTEMBER</v>
      </c>
      <c r="E606" s="10"/>
      <c r="F606" s="10">
        <f ca="1">IFERROR(__xludf.DUMMYFUNCTION("""COMPUTED_VALUE"""),1)</f>
        <v>1</v>
      </c>
      <c r="G606" s="10" t="str">
        <f ca="1">IFERROR(__xludf.DUMMYFUNCTION("""COMPUTED_VALUE"""),"Azhar")</f>
        <v>Azhar</v>
      </c>
      <c r="H606" s="10" t="str">
        <f ca="1">IFERROR(__xludf.DUMMYFUNCTION("""COMPUTED_VALUE"""),"PPL")</f>
        <v>PPL</v>
      </c>
      <c r="I606" s="10" t="str">
        <f ca="1">IFERROR(__xludf.DUMMYFUNCTION("""COMPUTED_VALUE"""),"6102081211790004")</f>
        <v>6102081211790004</v>
      </c>
      <c r="J606" s="10" t="str">
        <f ca="1">IFERROR(__xludf.DUMMYFUNCTION("""COMPUTED_VALUE"""),"KSA PADI")</f>
        <v>KSA PADI</v>
      </c>
      <c r="K606" s="10" t="str">
        <f ca="1">IFERROR(__xludf.DUMMYFUNCTION("""COMPUTED_VALUE"""),"KSA24-LAPANGAN-SEPTEMBER-PPL-KSA PADI")</f>
        <v>KSA24-LAPANGAN-SEPTEMBER-PPL-KSA PADI</v>
      </c>
      <c r="L606" s="10" t="str">
        <f ca="1">IFERROR(__xludf.DUMMYFUNCTION("""COMPUTED_VALUE"""),"Segmen")</f>
        <v>Segmen</v>
      </c>
      <c r="M606" s="66">
        <f ca="1">IFERROR(__xludf.DUMMYFUNCTION("""COMPUTED_VALUE"""),116000)</f>
        <v>116000</v>
      </c>
      <c r="N606" s="10">
        <f ca="1">IFERROR(__xludf.DUMMYFUNCTION("""COMPUTED_VALUE"""),6)</f>
        <v>6</v>
      </c>
      <c r="O606" s="10">
        <f ca="1">IFERROR(__xludf.DUMMYFUNCTION("""COMPUTED_VALUE"""),696000)</f>
        <v>696000</v>
      </c>
      <c r="P606" s="10"/>
      <c r="Q606" s="67">
        <f ca="1">IFERROR(__xludf.DUMMYFUNCTION("""COMPUTED_VALUE"""),45565)</f>
        <v>45565</v>
      </c>
    </row>
    <row r="607" spans="1:17" ht="12.5">
      <c r="A607" s="82">
        <f t="array" aca="1" ref="A607" ca="1">INDEX('Database Mitra'!$R$2:$R1001,MATCH(C607,'Database Mitra'!$B$2:$B1001,0))</f>
        <v>32409</v>
      </c>
      <c r="B607" s="10" t="e">
        <f t="shared" ca="1" si="0"/>
        <v>#NAME?</v>
      </c>
      <c r="C607" s="83">
        <f ca="1">IFERROR(__xludf.DUMMYFUNCTION("""COMPUTED_VALUE"""),610423040018)</f>
        <v>610423040018</v>
      </c>
      <c r="D607" s="10" t="str">
        <f ca="1">IFERROR(__xludf.DUMMYFUNCTION("""COMPUTED_VALUE"""),"KSA24-LAPANGAN-SEPTEMBER")</f>
        <v>KSA24-LAPANGAN-SEPTEMBER</v>
      </c>
      <c r="E607" s="10"/>
      <c r="F607" s="10">
        <f ca="1">IFERROR(__xludf.DUMMYFUNCTION("""COMPUTED_VALUE"""),1)</f>
        <v>1</v>
      </c>
      <c r="G607" s="10" t="str">
        <f ca="1">IFERROR(__xludf.DUMMYFUNCTION("""COMPUTED_VALUE"""),"Handoko Tuah Sabarman Sipayung")</f>
        <v>Handoko Tuah Sabarman Sipayung</v>
      </c>
      <c r="H607" s="10" t="str">
        <f ca="1">IFERROR(__xludf.DUMMYFUNCTION("""COMPUTED_VALUE"""),"PPL")</f>
        <v>PPL</v>
      </c>
      <c r="I607" s="10" t="str">
        <f ca="1">IFERROR(__xludf.DUMMYFUNCTION("""COMPUTED_VALUE"""),"1212092309880001")</f>
        <v>1212092309880001</v>
      </c>
      <c r="J607" s="10" t="str">
        <f ca="1">IFERROR(__xludf.DUMMYFUNCTION("""COMPUTED_VALUE"""),"KSA PADI")</f>
        <v>KSA PADI</v>
      </c>
      <c r="K607" s="10" t="str">
        <f ca="1">IFERROR(__xludf.DUMMYFUNCTION("""COMPUTED_VALUE"""),"KSA24-LAPANGAN-SEPTEMBER-PPL-KSA PADI")</f>
        <v>KSA24-LAPANGAN-SEPTEMBER-PPL-KSA PADI</v>
      </c>
      <c r="L607" s="10" t="str">
        <f ca="1">IFERROR(__xludf.DUMMYFUNCTION("""COMPUTED_VALUE"""),"Segmen")</f>
        <v>Segmen</v>
      </c>
      <c r="M607" s="66">
        <f ca="1">IFERROR(__xludf.DUMMYFUNCTION("""COMPUTED_VALUE"""),116000)</f>
        <v>116000</v>
      </c>
      <c r="N607" s="10">
        <f ca="1">IFERROR(__xludf.DUMMYFUNCTION("""COMPUTED_VALUE"""),4)</f>
        <v>4</v>
      </c>
      <c r="O607" s="10">
        <f ca="1">IFERROR(__xludf.DUMMYFUNCTION("""COMPUTED_VALUE"""),464000)</f>
        <v>464000</v>
      </c>
      <c r="P607" s="10"/>
      <c r="Q607" s="67">
        <f ca="1">IFERROR(__xludf.DUMMYFUNCTION("""COMPUTED_VALUE"""),45565)</f>
        <v>45565</v>
      </c>
    </row>
    <row r="608" spans="1:17" ht="12.5">
      <c r="A608" s="82">
        <f t="array" aca="1" ref="A608" ca="1">INDEX('Database Mitra'!$R$2:$R1001,MATCH(C608,'Database Mitra'!$B$2:$B1001,0))</f>
        <v>28816</v>
      </c>
      <c r="B608" s="10" t="e">
        <f t="shared" ca="1" si="0"/>
        <v>#NAME?</v>
      </c>
      <c r="C608" s="83">
        <f ca="1">IFERROR(__xludf.DUMMYFUNCTION("""COMPUTED_VALUE"""),610422040059)</f>
        <v>610422040059</v>
      </c>
      <c r="D608" s="10" t="str">
        <f ca="1">IFERROR(__xludf.DUMMYFUNCTION("""COMPUTED_VALUE"""),"KSA24-LAPANGAN-SEPTEMBER")</f>
        <v>KSA24-LAPANGAN-SEPTEMBER</v>
      </c>
      <c r="E608" s="10"/>
      <c r="F608" s="10">
        <f ca="1">IFERROR(__xludf.DUMMYFUNCTION("""COMPUTED_VALUE"""),1)</f>
        <v>1</v>
      </c>
      <c r="G608" s="10" t="str">
        <f ca="1">IFERROR(__xludf.DUMMYFUNCTION("""COMPUTED_VALUE"""),"Abang Handri")</f>
        <v>Abang Handri</v>
      </c>
      <c r="H608" s="10" t="str">
        <f ca="1">IFERROR(__xludf.DUMMYFUNCTION("""COMPUTED_VALUE"""),"PPL")</f>
        <v>PPL</v>
      </c>
      <c r="I608" s="10" t="str">
        <f ca="1">IFERROR(__xludf.DUMMYFUNCTION("""COMPUTED_VALUE"""),"6102072211780002")</f>
        <v>6102072211780002</v>
      </c>
      <c r="J608" s="10" t="str">
        <f ca="1">IFERROR(__xludf.DUMMYFUNCTION("""COMPUTED_VALUE"""),"KSA JAGUNG")</f>
        <v>KSA JAGUNG</v>
      </c>
      <c r="K608" s="10" t="str">
        <f ca="1">IFERROR(__xludf.DUMMYFUNCTION("""COMPUTED_VALUE"""),"KSA24-LAPANGAN-SEPTEMBER-PPL-KSA JAGUNG")</f>
        <v>KSA24-LAPANGAN-SEPTEMBER-PPL-KSA JAGUNG</v>
      </c>
      <c r="L608" s="10" t="str">
        <f ca="1">IFERROR(__xludf.DUMMYFUNCTION("""COMPUTED_VALUE"""),"Segmen")</f>
        <v>Segmen</v>
      </c>
      <c r="M608" s="66">
        <f ca="1">IFERROR(__xludf.DUMMYFUNCTION("""COMPUTED_VALUE"""),59000)</f>
        <v>59000</v>
      </c>
      <c r="N608" s="10">
        <f ca="1">IFERROR(__xludf.DUMMYFUNCTION("""COMPUTED_VALUE"""),6)</f>
        <v>6</v>
      </c>
      <c r="O608" s="10">
        <f ca="1">IFERROR(__xludf.DUMMYFUNCTION("""COMPUTED_VALUE"""),354000)</f>
        <v>354000</v>
      </c>
      <c r="P608" s="10"/>
      <c r="Q608" s="67">
        <f ca="1">IFERROR(__xludf.DUMMYFUNCTION("""COMPUTED_VALUE"""),45565)</f>
        <v>45565</v>
      </c>
    </row>
    <row r="609" spans="1:17" ht="12.5">
      <c r="A609" s="11">
        <f t="array" aca="1" ref="A609" ca="1">INDEX('Database Mitra'!$R$2:$R1001,MATCH(C609,'Database Mitra'!$B$2:$B1001,0))</f>
        <v>29305</v>
      </c>
      <c r="B609" s="10" t="e">
        <f t="shared" ca="1" si="0"/>
        <v>#NAME?</v>
      </c>
      <c r="C609" s="83">
        <f ca="1">IFERROR(__xludf.DUMMYFUNCTION("""COMPUTED_VALUE"""),610422020048)</f>
        <v>610422020048</v>
      </c>
      <c r="D609" s="10" t="str">
        <f ca="1">IFERROR(__xludf.DUMMYFUNCTION("""COMPUTED_VALUE"""),"KSA24-LAPANGAN-SEPTEMBER")</f>
        <v>KSA24-LAPANGAN-SEPTEMBER</v>
      </c>
      <c r="E609" s="10"/>
      <c r="F609" s="10">
        <f ca="1">IFERROR(__xludf.DUMMYFUNCTION("""COMPUTED_VALUE"""),1)</f>
        <v>1</v>
      </c>
      <c r="G609" s="10" t="str">
        <f ca="1">IFERROR(__xludf.DUMMYFUNCTION("""COMPUTED_VALUE"""),"Herri Gustaman")</f>
        <v>Herri Gustaman</v>
      </c>
      <c r="H609" s="10" t="str">
        <f ca="1">IFERROR(__xludf.DUMMYFUNCTION("""COMPUTED_VALUE"""),"PPL")</f>
        <v>PPL</v>
      </c>
      <c r="I609" s="10" t="str">
        <f ca="1">IFERROR(__xludf.DUMMYFUNCTION("""COMPUTED_VALUE"""),"6102072503800001")</f>
        <v>6102072503800001</v>
      </c>
      <c r="J609" s="10" t="str">
        <f ca="1">IFERROR(__xludf.DUMMYFUNCTION("""COMPUTED_VALUE"""),"KSA JAGUNG")</f>
        <v>KSA JAGUNG</v>
      </c>
      <c r="K609" s="10" t="str">
        <f ca="1">IFERROR(__xludf.DUMMYFUNCTION("""COMPUTED_VALUE"""),"KSA24-LAPANGAN-SEPTEMBER-PPL-KSA JAGUNG")</f>
        <v>KSA24-LAPANGAN-SEPTEMBER-PPL-KSA JAGUNG</v>
      </c>
      <c r="L609" s="10" t="str">
        <f ca="1">IFERROR(__xludf.DUMMYFUNCTION("""COMPUTED_VALUE"""),"Segmen")</f>
        <v>Segmen</v>
      </c>
      <c r="M609" s="66">
        <f ca="1">IFERROR(__xludf.DUMMYFUNCTION("""COMPUTED_VALUE"""),59000)</f>
        <v>59000</v>
      </c>
      <c r="N609" s="10">
        <f ca="1">IFERROR(__xludf.DUMMYFUNCTION("""COMPUTED_VALUE"""),6)</f>
        <v>6</v>
      </c>
      <c r="O609" s="10">
        <f ca="1">IFERROR(__xludf.DUMMYFUNCTION("""COMPUTED_VALUE"""),354000)</f>
        <v>354000</v>
      </c>
      <c r="P609" s="10"/>
      <c r="Q609" s="67">
        <f ca="1">IFERROR(__xludf.DUMMYFUNCTION("""COMPUTED_VALUE"""),45565)</f>
        <v>45565</v>
      </c>
    </row>
    <row r="610" spans="1:17" ht="12.5">
      <c r="A610" s="82">
        <f t="array" aca="1" ref="A610" ca="1">INDEX('Database Mitra'!$R$2:$R1001,MATCH(C610,'Database Mitra'!$B$2:$B1001,0))</f>
        <v>34541</v>
      </c>
      <c r="B610" s="10" t="e">
        <f t="shared" ca="1" si="0"/>
        <v>#NAME?</v>
      </c>
      <c r="C610" s="83">
        <f ca="1">IFERROR(__xludf.DUMMYFUNCTION("""COMPUTED_VALUE"""),610422040058)</f>
        <v>610422040058</v>
      </c>
      <c r="D610" s="10" t="str">
        <f ca="1">IFERROR(__xludf.DUMMYFUNCTION("""COMPUTED_VALUE"""),"KSA24-LAPANGAN-SEPTEMBER")</f>
        <v>KSA24-LAPANGAN-SEPTEMBER</v>
      </c>
      <c r="E610" s="10"/>
      <c r="F610" s="10">
        <f ca="1">IFERROR(__xludf.DUMMYFUNCTION("""COMPUTED_VALUE"""),1)</f>
        <v>1</v>
      </c>
      <c r="G610" s="10" t="str">
        <f ca="1">IFERROR(__xludf.DUMMYFUNCTION("""COMPUTED_VALUE"""),"Jamaluddin, Sp")</f>
        <v>Jamaluddin, Sp</v>
      </c>
      <c r="H610" s="10" t="str">
        <f ca="1">IFERROR(__xludf.DUMMYFUNCTION("""COMPUTED_VALUE"""),"PPL")</f>
        <v>PPL</v>
      </c>
      <c r="I610" s="10" t="str">
        <f ca="1">IFERROR(__xludf.DUMMYFUNCTION("""COMPUTED_VALUE"""),"6102152607940002")</f>
        <v>6102152607940002</v>
      </c>
      <c r="J610" s="10" t="str">
        <f ca="1">IFERROR(__xludf.DUMMYFUNCTION("""COMPUTED_VALUE"""),"KSA JAGUNG")</f>
        <v>KSA JAGUNG</v>
      </c>
      <c r="K610" s="10" t="str">
        <f ca="1">IFERROR(__xludf.DUMMYFUNCTION("""COMPUTED_VALUE"""),"KSA24-LAPANGAN-SEPTEMBER-PPL-KSA JAGUNG")</f>
        <v>KSA24-LAPANGAN-SEPTEMBER-PPL-KSA JAGUNG</v>
      </c>
      <c r="L610" s="10" t="str">
        <f ca="1">IFERROR(__xludf.DUMMYFUNCTION("""COMPUTED_VALUE"""),"Segmen")</f>
        <v>Segmen</v>
      </c>
      <c r="M610" s="66">
        <f ca="1">IFERROR(__xludf.DUMMYFUNCTION("""COMPUTED_VALUE"""),59000)</f>
        <v>59000</v>
      </c>
      <c r="N610" s="10">
        <f ca="1">IFERROR(__xludf.DUMMYFUNCTION("""COMPUTED_VALUE"""),10)</f>
        <v>10</v>
      </c>
      <c r="O610" s="10">
        <f ca="1">IFERROR(__xludf.DUMMYFUNCTION("""COMPUTED_VALUE"""),590000)</f>
        <v>590000</v>
      </c>
      <c r="P610" s="10"/>
      <c r="Q610" s="67">
        <f ca="1">IFERROR(__xludf.DUMMYFUNCTION("""COMPUTED_VALUE"""),45565)</f>
        <v>45565</v>
      </c>
    </row>
    <row r="611" spans="1:17" ht="12.5">
      <c r="A611" s="82">
        <f t="array" aca="1" ref="A611" ca="1">INDEX('Database Mitra'!$R$2:$R1001,MATCH(C611,'Database Mitra'!$B$2:$B1001,0))</f>
        <v>29171</v>
      </c>
      <c r="B611" s="10" t="e">
        <f t="shared" ca="1" si="0"/>
        <v>#NAME?</v>
      </c>
      <c r="C611" s="83">
        <f ca="1">IFERROR(__xludf.DUMMYFUNCTION("""COMPUTED_VALUE"""),610423110183)</f>
        <v>610423110183</v>
      </c>
      <c r="D611" s="10" t="str">
        <f ca="1">IFERROR(__xludf.DUMMYFUNCTION("""COMPUTED_VALUE"""),"KSA24-LAPANGAN-SEPTEMBER")</f>
        <v>KSA24-LAPANGAN-SEPTEMBER</v>
      </c>
      <c r="E611" s="10"/>
      <c r="F611" s="10">
        <f ca="1">IFERROR(__xludf.DUMMYFUNCTION("""COMPUTED_VALUE"""),1)</f>
        <v>1</v>
      </c>
      <c r="G611" s="10" t="str">
        <f ca="1">IFERROR(__xludf.DUMMYFUNCTION("""COMPUTED_VALUE"""),"Azhar")</f>
        <v>Azhar</v>
      </c>
      <c r="H611" s="10" t="str">
        <f ca="1">IFERROR(__xludf.DUMMYFUNCTION("""COMPUTED_VALUE"""),"PPL")</f>
        <v>PPL</v>
      </c>
      <c r="I611" s="10" t="str">
        <f ca="1">IFERROR(__xludf.DUMMYFUNCTION("""COMPUTED_VALUE"""),"6102081211790004")</f>
        <v>6102081211790004</v>
      </c>
      <c r="J611" s="10" t="str">
        <f ca="1">IFERROR(__xludf.DUMMYFUNCTION("""COMPUTED_VALUE"""),"KSA JAGUNG")</f>
        <v>KSA JAGUNG</v>
      </c>
      <c r="K611" s="10" t="str">
        <f ca="1">IFERROR(__xludf.DUMMYFUNCTION("""COMPUTED_VALUE"""),"KSA24-LAPANGAN-SEPTEMBER-PPL-KSA JAGUNG")</f>
        <v>KSA24-LAPANGAN-SEPTEMBER-PPL-KSA JAGUNG</v>
      </c>
      <c r="L611" s="10" t="str">
        <f ca="1">IFERROR(__xludf.DUMMYFUNCTION("""COMPUTED_VALUE"""),"Segmen")</f>
        <v>Segmen</v>
      </c>
      <c r="M611" s="66">
        <f ca="1">IFERROR(__xludf.DUMMYFUNCTION("""COMPUTED_VALUE"""),59000)</f>
        <v>59000</v>
      </c>
      <c r="N611" s="10">
        <f ca="1">IFERROR(__xludf.DUMMYFUNCTION("""COMPUTED_VALUE"""),6)</f>
        <v>6</v>
      </c>
      <c r="O611" s="10">
        <f ca="1">IFERROR(__xludf.DUMMYFUNCTION("""COMPUTED_VALUE"""),354000)</f>
        <v>354000</v>
      </c>
      <c r="P611" s="10"/>
      <c r="Q611" s="67">
        <f ca="1">IFERROR(__xludf.DUMMYFUNCTION("""COMPUTED_VALUE"""),45565)</f>
        <v>45565</v>
      </c>
    </row>
    <row r="612" spans="1:17" ht="12.5">
      <c r="A612" s="82">
        <f t="array" aca="1" ref="A612" ca="1">INDEX('Database Mitra'!$R$2:$R1001,MATCH(C612,'Database Mitra'!$B$2:$B1001,0))</f>
        <v>32942</v>
      </c>
      <c r="B612" s="10" t="e">
        <f t="shared" ca="1" si="0"/>
        <v>#NAME?</v>
      </c>
      <c r="C612" s="83">
        <f ca="1">IFERROR(__xludf.DUMMYFUNCTION("""COMPUTED_VALUE"""),610422100244)</f>
        <v>610422100244</v>
      </c>
      <c r="D612" s="10" t="str">
        <f ca="1">IFERROR(__xludf.DUMMYFUNCTION("""COMPUTED_VALUE"""),"KSA24-LAPANGAN-SEPTEMBER")</f>
        <v>KSA24-LAPANGAN-SEPTEMBER</v>
      </c>
      <c r="E612" s="10"/>
      <c r="F612" s="10">
        <f ca="1">IFERROR(__xludf.DUMMYFUNCTION("""COMPUTED_VALUE"""),1)</f>
        <v>1</v>
      </c>
      <c r="G612" s="10" t="str">
        <f ca="1">IFERROR(__xludf.DUMMYFUNCTION("""COMPUTED_VALUE"""),"Sugianto")</f>
        <v>Sugianto</v>
      </c>
      <c r="H612" s="10" t="str">
        <f ca="1">IFERROR(__xludf.DUMMYFUNCTION("""COMPUTED_VALUE"""),"PPL")</f>
        <v>PPL</v>
      </c>
      <c r="I612" s="10" t="str">
        <f ca="1">IFERROR(__xludf.DUMMYFUNCTION("""COMPUTED_VALUE"""),"6102171003900002")</f>
        <v>6102171003900002</v>
      </c>
      <c r="J612" s="10" t="str">
        <f ca="1">IFERROR(__xludf.DUMMYFUNCTION("""COMPUTED_VALUE"""),"KSA JAGUNG")</f>
        <v>KSA JAGUNG</v>
      </c>
      <c r="K612" s="10" t="str">
        <f ca="1">IFERROR(__xludf.DUMMYFUNCTION("""COMPUTED_VALUE"""),"KSA24-LAPANGAN-SEPTEMBER-PPL-KSA JAGUNG")</f>
        <v>KSA24-LAPANGAN-SEPTEMBER-PPL-KSA JAGUNG</v>
      </c>
      <c r="L612" s="10" t="str">
        <f ca="1">IFERROR(__xludf.DUMMYFUNCTION("""COMPUTED_VALUE"""),"Segmen")</f>
        <v>Segmen</v>
      </c>
      <c r="M612" s="66">
        <f ca="1">IFERROR(__xludf.DUMMYFUNCTION("""COMPUTED_VALUE"""),59000)</f>
        <v>59000</v>
      </c>
      <c r="N612" s="10">
        <f ca="1">IFERROR(__xludf.DUMMYFUNCTION("""COMPUTED_VALUE"""),8)</f>
        <v>8</v>
      </c>
      <c r="O612" s="10">
        <f ca="1">IFERROR(__xludf.DUMMYFUNCTION("""COMPUTED_VALUE"""),472000)</f>
        <v>472000</v>
      </c>
      <c r="P612" s="10"/>
      <c r="Q612" s="67">
        <f ca="1">IFERROR(__xludf.DUMMYFUNCTION("""COMPUTED_VALUE"""),45565)</f>
        <v>45565</v>
      </c>
    </row>
    <row r="613" spans="1:17" ht="12.5">
      <c r="A613" s="82">
        <f t="array" aca="1" ref="A613" ca="1">INDEX('Database Mitra'!$R$2:$R1001,MATCH(C613,'Database Mitra'!$B$2:$B1001,0))</f>
        <v>34191</v>
      </c>
      <c r="B613" s="10" t="e">
        <f t="shared" ca="1" si="0"/>
        <v>#NAME?</v>
      </c>
      <c r="C613" s="83">
        <f ca="1">IFERROR(__xludf.DUMMYFUNCTION("""COMPUTED_VALUE"""),610423040004)</f>
        <v>610423040004</v>
      </c>
      <c r="D613" s="10" t="str">
        <f ca="1">IFERROR(__xludf.DUMMYFUNCTION("""COMPUTED_VALUE"""),"SERUTI24-LAPANGAN-TRI3")</f>
        <v>SERUTI24-LAPANGAN-TRI3</v>
      </c>
      <c r="E613" s="10"/>
      <c r="F613" s="10">
        <f ca="1">IFERROR(__xludf.DUMMYFUNCTION("""COMPUTED_VALUE"""),1)</f>
        <v>1</v>
      </c>
      <c r="G613" s="10" t="str">
        <f ca="1">IFERROR(__xludf.DUMMYFUNCTION("""COMPUTED_VALUE"""),"Ayu Agustin")</f>
        <v>Ayu Agustin</v>
      </c>
      <c r="H613" s="10" t="str">
        <f ca="1">IFERROR(__xludf.DUMMYFUNCTION("""COMPUTED_VALUE"""),"PPL")</f>
        <v>PPL</v>
      </c>
      <c r="I613" s="10" t="str">
        <f ca="1">IFERROR(__xludf.DUMMYFUNCTION("""COMPUTED_VALUE"""),"6111025008930002")</f>
        <v>6111025008930002</v>
      </c>
      <c r="J613" s="10" t="str">
        <f ca="1">IFERROR(__xludf.DUMMYFUNCTION("""COMPUTED_VALUE"""),"PENDATAAN")</f>
        <v>PENDATAAN</v>
      </c>
      <c r="K613" s="10" t="str">
        <f ca="1">IFERROR(__xludf.DUMMYFUNCTION("""COMPUTED_VALUE"""),"SERUTI24-LAPANGAN-TRI3-PPL-PENDATAAN")</f>
        <v>SERUTI24-LAPANGAN-TRI3-PPL-PENDATAAN</v>
      </c>
      <c r="L613" s="10" t="str">
        <f ca="1">IFERROR(__xludf.DUMMYFUNCTION("""COMPUTED_VALUE"""),"Dokumen")</f>
        <v>Dokumen</v>
      </c>
      <c r="M613" s="66">
        <f ca="1">IFERROR(__xludf.DUMMYFUNCTION("""COMPUTED_VALUE"""),60000)</f>
        <v>60000</v>
      </c>
      <c r="N613" s="10">
        <f ca="1">IFERROR(__xludf.DUMMYFUNCTION("""COMPUTED_VALUE"""),10)</f>
        <v>10</v>
      </c>
      <c r="O613" s="10">
        <f ca="1">IFERROR(__xludf.DUMMYFUNCTION("""COMPUTED_VALUE"""),600000)</f>
        <v>600000</v>
      </c>
      <c r="P613" s="10"/>
      <c r="Q613" s="67">
        <f ca="1">IFERROR(__xludf.DUMMYFUNCTION("""COMPUTED_VALUE"""),45565)</f>
        <v>45565</v>
      </c>
    </row>
    <row r="614" spans="1:17" ht="12.5">
      <c r="A614" s="82">
        <f t="array" aca="1" ref="A614" ca="1">INDEX('Database Mitra'!$R$2:$R1001,MATCH(C614,'Database Mitra'!$B$2:$B1001,0))</f>
        <v>36460</v>
      </c>
      <c r="B614" s="10" t="e">
        <f t="shared" ca="1" si="0"/>
        <v>#NAME?</v>
      </c>
      <c r="C614" s="83">
        <f ca="1">IFERROR(__xludf.DUMMYFUNCTION("""COMPUTED_VALUE"""),610422100144)</f>
        <v>610422100144</v>
      </c>
      <c r="D614" s="10" t="str">
        <f ca="1">IFERROR(__xludf.DUMMYFUNCTION("""COMPUTED_VALUE"""),"SERUTI24-LAPANGAN-TRI3")</f>
        <v>SERUTI24-LAPANGAN-TRI3</v>
      </c>
      <c r="E614" s="10"/>
      <c r="F614" s="10">
        <f ca="1">IFERROR(__xludf.DUMMYFUNCTION("""COMPUTED_VALUE"""),1)</f>
        <v>1</v>
      </c>
      <c r="G614" s="10" t="str">
        <f ca="1">IFERROR(__xludf.DUMMYFUNCTION("""COMPUTED_VALUE"""),"Irfan Faozi Sunaryo")</f>
        <v>Irfan Faozi Sunaryo</v>
      </c>
      <c r="H614" s="10" t="str">
        <f ca="1">IFERROR(__xludf.DUMMYFUNCTION("""COMPUTED_VALUE"""),"PPL")</f>
        <v>PPL</v>
      </c>
      <c r="I614" s="10" t="str">
        <f ca="1">IFERROR(__xludf.DUMMYFUNCTION("""COMPUTED_VALUE"""),"6102122710990001")</f>
        <v>6102122710990001</v>
      </c>
      <c r="J614" s="10" t="str">
        <f ca="1">IFERROR(__xludf.DUMMYFUNCTION("""COMPUTED_VALUE"""),"PENDATAAN")</f>
        <v>PENDATAAN</v>
      </c>
      <c r="K614" s="10" t="str">
        <f ca="1">IFERROR(__xludf.DUMMYFUNCTION("""COMPUTED_VALUE"""),"SERUTI24-LAPANGAN-TRI3-PPL-PENDATAAN")</f>
        <v>SERUTI24-LAPANGAN-TRI3-PPL-PENDATAAN</v>
      </c>
      <c r="L614" s="10" t="str">
        <f ca="1">IFERROR(__xludf.DUMMYFUNCTION("""COMPUTED_VALUE"""),"Dokumen")</f>
        <v>Dokumen</v>
      </c>
      <c r="M614" s="66">
        <f ca="1">IFERROR(__xludf.DUMMYFUNCTION("""COMPUTED_VALUE"""),60000)</f>
        <v>60000</v>
      </c>
      <c r="N614" s="10">
        <f ca="1">IFERROR(__xludf.DUMMYFUNCTION("""COMPUTED_VALUE"""),10)</f>
        <v>10</v>
      </c>
      <c r="O614" s="10">
        <f ca="1">IFERROR(__xludf.DUMMYFUNCTION("""COMPUTED_VALUE"""),600000)</f>
        <v>600000</v>
      </c>
      <c r="P614" s="10"/>
      <c r="Q614" s="67">
        <f ca="1">IFERROR(__xludf.DUMMYFUNCTION("""COMPUTED_VALUE"""),45565)</f>
        <v>45565</v>
      </c>
    </row>
    <row r="615" spans="1:17" ht="12.5">
      <c r="A615" s="82">
        <f t="array" aca="1" ref="A615" ca="1">INDEX('Database Mitra'!$R$2:$R1001,MATCH(C615,'Database Mitra'!$B$2:$B1001,0))</f>
        <v>32184</v>
      </c>
      <c r="B615" s="10" t="e">
        <f t="shared" ca="1" si="0"/>
        <v>#NAME?</v>
      </c>
      <c r="C615" s="83">
        <f ca="1">IFERROR(__xludf.DUMMYFUNCTION("""COMPUTED_VALUE"""),610422020032)</f>
        <v>610422020032</v>
      </c>
      <c r="D615" s="10" t="str">
        <f ca="1">IFERROR(__xludf.DUMMYFUNCTION("""COMPUTED_VALUE"""),"SERUTI24-LAPANGAN-TRI3")</f>
        <v>SERUTI24-LAPANGAN-TRI3</v>
      </c>
      <c r="E615" s="10"/>
      <c r="F615" s="10">
        <f ca="1">IFERROR(__xludf.DUMMYFUNCTION("""COMPUTED_VALUE"""),1)</f>
        <v>1</v>
      </c>
      <c r="G615" s="10" t="str">
        <f ca="1">IFERROR(__xludf.DUMMYFUNCTION("""COMPUTED_VALUE"""),"Lilis Suryani")</f>
        <v>Lilis Suryani</v>
      </c>
      <c r="H615" s="10" t="str">
        <f ca="1">IFERROR(__xludf.DUMMYFUNCTION("""COMPUTED_VALUE"""),"PPL")</f>
        <v>PPL</v>
      </c>
      <c r="I615" s="10" t="str">
        <f ca="1">IFERROR(__xludf.DUMMYFUNCTION("""COMPUTED_VALUE"""),"6102185102880001")</f>
        <v>6102185102880001</v>
      </c>
      <c r="J615" s="10" t="str">
        <f ca="1">IFERROR(__xludf.DUMMYFUNCTION("""COMPUTED_VALUE"""),"PENDATAAN")</f>
        <v>PENDATAAN</v>
      </c>
      <c r="K615" s="10" t="str">
        <f ca="1">IFERROR(__xludf.DUMMYFUNCTION("""COMPUTED_VALUE"""),"SERUTI24-LAPANGAN-TRI3-PPL-PENDATAAN")</f>
        <v>SERUTI24-LAPANGAN-TRI3-PPL-PENDATAAN</v>
      </c>
      <c r="L615" s="10" t="str">
        <f ca="1">IFERROR(__xludf.DUMMYFUNCTION("""COMPUTED_VALUE"""),"Dokumen")</f>
        <v>Dokumen</v>
      </c>
      <c r="M615" s="66">
        <f ca="1">IFERROR(__xludf.DUMMYFUNCTION("""COMPUTED_VALUE"""),60000)</f>
        <v>60000</v>
      </c>
      <c r="N615" s="10">
        <f ca="1">IFERROR(__xludf.DUMMYFUNCTION("""COMPUTED_VALUE"""),10)</f>
        <v>10</v>
      </c>
      <c r="O615" s="10">
        <f ca="1">IFERROR(__xludf.DUMMYFUNCTION("""COMPUTED_VALUE"""),600000)</f>
        <v>600000</v>
      </c>
      <c r="P615" s="10"/>
      <c r="Q615" s="67">
        <f ca="1">IFERROR(__xludf.DUMMYFUNCTION("""COMPUTED_VALUE"""),45565)</f>
        <v>45565</v>
      </c>
    </row>
    <row r="616" spans="1:17" ht="12.5">
      <c r="A616" s="82">
        <f t="array" aca="1" ref="A616" ca="1">INDEX('Database Mitra'!$R$2:$R1001,MATCH(C616,'Database Mitra'!$B$2:$B1001,0))</f>
        <v>31275</v>
      </c>
      <c r="B616" s="10" t="e">
        <f t="shared" ca="1" si="0"/>
        <v>#NAME?</v>
      </c>
      <c r="C616" s="83">
        <f ca="1">IFERROR(__xludf.DUMMYFUNCTION("""COMPUTED_VALUE"""),610422100085)</f>
        <v>610422100085</v>
      </c>
      <c r="D616" s="10" t="str">
        <f ca="1">IFERROR(__xludf.DUMMYFUNCTION("""COMPUTED_VALUE"""),"SERUTI24-LAPANGAN-TRI3")</f>
        <v>SERUTI24-LAPANGAN-TRI3</v>
      </c>
      <c r="E616" s="10"/>
      <c r="F616" s="10">
        <f ca="1">IFERROR(__xludf.DUMMYFUNCTION("""COMPUTED_VALUE"""),1)</f>
        <v>1</v>
      </c>
      <c r="G616" s="10" t="str">
        <f ca="1">IFERROR(__xludf.DUMMYFUNCTION("""COMPUTED_VALUE"""),"Lina Agustin Widya Siwi")</f>
        <v>Lina Agustin Widya Siwi</v>
      </c>
      <c r="H616" s="10" t="str">
        <f ca="1">IFERROR(__xludf.DUMMYFUNCTION("""COMPUTED_VALUE"""),"PPL")</f>
        <v>PPL</v>
      </c>
      <c r="I616" s="10" t="str">
        <f ca="1">IFERROR(__xludf.DUMMYFUNCTION("""COMPUTED_VALUE"""),"3301225608850001")</f>
        <v>3301225608850001</v>
      </c>
      <c r="J616" s="10" t="str">
        <f ca="1">IFERROR(__xludf.DUMMYFUNCTION("""COMPUTED_VALUE"""),"PENDATAAN")</f>
        <v>PENDATAAN</v>
      </c>
      <c r="K616" s="10" t="str">
        <f ca="1">IFERROR(__xludf.DUMMYFUNCTION("""COMPUTED_VALUE"""),"SERUTI24-LAPANGAN-TRI3-PPL-PENDATAAN")</f>
        <v>SERUTI24-LAPANGAN-TRI3-PPL-PENDATAAN</v>
      </c>
      <c r="L616" s="10" t="str">
        <f ca="1">IFERROR(__xludf.DUMMYFUNCTION("""COMPUTED_VALUE"""),"Dokumen")</f>
        <v>Dokumen</v>
      </c>
      <c r="M616" s="66">
        <f ca="1">IFERROR(__xludf.DUMMYFUNCTION("""COMPUTED_VALUE"""),60000)</f>
        <v>60000</v>
      </c>
      <c r="N616" s="10">
        <f ca="1">IFERROR(__xludf.DUMMYFUNCTION("""COMPUTED_VALUE"""),10)</f>
        <v>10</v>
      </c>
      <c r="O616" s="10">
        <f ca="1">IFERROR(__xludf.DUMMYFUNCTION("""COMPUTED_VALUE"""),600000)</f>
        <v>600000</v>
      </c>
      <c r="P616" s="10"/>
      <c r="Q616" s="67">
        <f ca="1">IFERROR(__xludf.DUMMYFUNCTION("""COMPUTED_VALUE"""),45565)</f>
        <v>45565</v>
      </c>
    </row>
    <row r="617" spans="1:17" ht="12.5">
      <c r="A617" s="82">
        <f t="array" aca="1" ref="A617" ca="1">INDEX('Database Mitra'!$R$2:$R1001,MATCH(C617,'Database Mitra'!$B$2:$B1001,0))</f>
        <v>36546</v>
      </c>
      <c r="B617" s="10" t="e">
        <f t="shared" ca="1" si="0"/>
        <v>#NAME?</v>
      </c>
      <c r="C617" s="83">
        <f ca="1">IFERROR(__xludf.DUMMYFUNCTION("""COMPUTED_VALUE"""),610423040013)</f>
        <v>610423040013</v>
      </c>
      <c r="D617" s="10" t="str">
        <f ca="1">IFERROR(__xludf.DUMMYFUNCTION("""COMPUTED_VALUE"""),"SERUTI24-LAPANGAN-TRI3")</f>
        <v>SERUTI24-LAPANGAN-TRI3</v>
      </c>
      <c r="E617" s="10"/>
      <c r="F617" s="10">
        <f ca="1">IFERROR(__xludf.DUMMYFUNCTION("""COMPUTED_VALUE"""),1)</f>
        <v>1</v>
      </c>
      <c r="G617" s="10" t="str">
        <f ca="1">IFERROR(__xludf.DUMMYFUNCTION("""COMPUTED_VALUE"""),"Lulu Gesti Gunawati")</f>
        <v>Lulu Gesti Gunawati</v>
      </c>
      <c r="H617" s="10" t="str">
        <f ca="1">IFERROR(__xludf.DUMMYFUNCTION("""COMPUTED_VALUE"""),"PPL")</f>
        <v>PPL</v>
      </c>
      <c r="I617" s="10" t="str">
        <f ca="1">IFERROR(__xludf.DUMMYFUNCTION("""COMPUTED_VALUE"""),"3314066101000001")</f>
        <v>3314066101000001</v>
      </c>
      <c r="J617" s="10" t="str">
        <f ca="1">IFERROR(__xludf.DUMMYFUNCTION("""COMPUTED_VALUE"""),"PENDATAAN")</f>
        <v>PENDATAAN</v>
      </c>
      <c r="K617" s="10" t="str">
        <f ca="1">IFERROR(__xludf.DUMMYFUNCTION("""COMPUTED_VALUE"""),"SERUTI24-LAPANGAN-TRI3-PPL-PENDATAAN")</f>
        <v>SERUTI24-LAPANGAN-TRI3-PPL-PENDATAAN</v>
      </c>
      <c r="L617" s="10" t="str">
        <f ca="1">IFERROR(__xludf.DUMMYFUNCTION("""COMPUTED_VALUE"""),"Dokumen")</f>
        <v>Dokumen</v>
      </c>
      <c r="M617" s="66">
        <f ca="1">IFERROR(__xludf.DUMMYFUNCTION("""COMPUTED_VALUE"""),60000)</f>
        <v>60000</v>
      </c>
      <c r="N617" s="10">
        <f ca="1">IFERROR(__xludf.DUMMYFUNCTION("""COMPUTED_VALUE"""),10)</f>
        <v>10</v>
      </c>
      <c r="O617" s="10">
        <f ca="1">IFERROR(__xludf.DUMMYFUNCTION("""COMPUTED_VALUE"""),600000)</f>
        <v>600000</v>
      </c>
      <c r="P617" s="10"/>
      <c r="Q617" s="67">
        <f ca="1">IFERROR(__xludf.DUMMYFUNCTION("""COMPUTED_VALUE"""),45565)</f>
        <v>45565</v>
      </c>
    </row>
    <row r="618" spans="1:17" ht="12.5">
      <c r="A618" s="82">
        <f t="array" aca="1" ref="A618" ca="1">INDEX('Database Mitra'!$R$2:$R1001,MATCH(C618,'Database Mitra'!$B$2:$B1001,0))</f>
        <v>32027</v>
      </c>
      <c r="B618" s="10" t="e">
        <f t="shared" ca="1" si="0"/>
        <v>#NAME?</v>
      </c>
      <c r="C618" s="83">
        <f ca="1">IFERROR(__xludf.DUMMYFUNCTION("""COMPUTED_VALUE"""),610422100137)</f>
        <v>610422100137</v>
      </c>
      <c r="D618" s="10" t="str">
        <f ca="1">IFERROR(__xludf.DUMMYFUNCTION("""COMPUTED_VALUE"""),"SERUTI24-LAPANGAN-TRI3")</f>
        <v>SERUTI24-LAPANGAN-TRI3</v>
      </c>
      <c r="E618" s="10"/>
      <c r="F618" s="10">
        <f ca="1">IFERROR(__xludf.DUMMYFUNCTION("""COMPUTED_VALUE"""),1)</f>
        <v>1</v>
      </c>
      <c r="G618" s="10" t="str">
        <f ca="1">IFERROR(__xludf.DUMMYFUNCTION("""COMPUTED_VALUE"""),"Masturi")</f>
        <v>Masturi</v>
      </c>
      <c r="H618" s="10" t="str">
        <f ca="1">IFERROR(__xludf.DUMMYFUNCTION("""COMPUTED_VALUE"""),"PPL")</f>
        <v>PPL</v>
      </c>
      <c r="I618" s="10" t="str">
        <f ca="1">IFERROR(__xludf.DUMMYFUNCTION("""COMPUTED_VALUE"""),"6102060709870002")</f>
        <v>6102060709870002</v>
      </c>
      <c r="J618" s="10" t="str">
        <f ca="1">IFERROR(__xludf.DUMMYFUNCTION("""COMPUTED_VALUE"""),"PENDATAAN")</f>
        <v>PENDATAAN</v>
      </c>
      <c r="K618" s="10" t="str">
        <f ca="1">IFERROR(__xludf.DUMMYFUNCTION("""COMPUTED_VALUE"""),"SERUTI24-LAPANGAN-TRI3-PPL-PENDATAAN")</f>
        <v>SERUTI24-LAPANGAN-TRI3-PPL-PENDATAAN</v>
      </c>
      <c r="L618" s="10" t="str">
        <f ca="1">IFERROR(__xludf.DUMMYFUNCTION("""COMPUTED_VALUE"""),"Dokumen")</f>
        <v>Dokumen</v>
      </c>
      <c r="M618" s="66">
        <f ca="1">IFERROR(__xludf.DUMMYFUNCTION("""COMPUTED_VALUE"""),60000)</f>
        <v>60000</v>
      </c>
      <c r="N618" s="10">
        <f ca="1">IFERROR(__xludf.DUMMYFUNCTION("""COMPUTED_VALUE"""),10)</f>
        <v>10</v>
      </c>
      <c r="O618" s="10">
        <f ca="1">IFERROR(__xludf.DUMMYFUNCTION("""COMPUTED_VALUE"""),600000)</f>
        <v>600000</v>
      </c>
      <c r="P618" s="10"/>
      <c r="Q618" s="67">
        <f ca="1">IFERROR(__xludf.DUMMYFUNCTION("""COMPUTED_VALUE"""),45565)</f>
        <v>45565</v>
      </c>
    </row>
    <row r="619" spans="1:17" ht="12.5">
      <c r="A619" s="82">
        <f t="array" aca="1" ref="A619" ca="1">INDEX('Database Mitra'!$R$2:$R1001,MATCH(C619,'Database Mitra'!$B$2:$B1001,0))</f>
        <v>35555</v>
      </c>
      <c r="B619" s="10" t="e">
        <f t="shared" ca="1" si="0"/>
        <v>#NAME?</v>
      </c>
      <c r="C619" s="83">
        <f ca="1">IFERROR(__xludf.DUMMYFUNCTION("""COMPUTED_VALUE"""),610422100256)</f>
        <v>610422100256</v>
      </c>
      <c r="D619" s="10" t="str">
        <f ca="1">IFERROR(__xludf.DUMMYFUNCTION("""COMPUTED_VALUE"""),"SERUTI24-LAPANGAN-TRI3")</f>
        <v>SERUTI24-LAPANGAN-TRI3</v>
      </c>
      <c r="E619" s="10"/>
      <c r="F619" s="10">
        <f ca="1">IFERROR(__xludf.DUMMYFUNCTION("""COMPUTED_VALUE"""),1)</f>
        <v>1</v>
      </c>
      <c r="G619" s="10" t="str">
        <f ca="1">IFERROR(__xludf.DUMMYFUNCTION("""COMPUTED_VALUE"""),"Meta")</f>
        <v>Meta</v>
      </c>
      <c r="H619" s="10" t="str">
        <f ca="1">IFERROR(__xludf.DUMMYFUNCTION("""COMPUTED_VALUE"""),"PPL")</f>
        <v>PPL</v>
      </c>
      <c r="I619" s="10" t="str">
        <f ca="1">IFERROR(__xludf.DUMMYFUNCTION("""COMPUTED_VALUE"""),"6102174505970001")</f>
        <v>6102174505970001</v>
      </c>
      <c r="J619" s="10" t="str">
        <f ca="1">IFERROR(__xludf.DUMMYFUNCTION("""COMPUTED_VALUE"""),"PENDATAAN")</f>
        <v>PENDATAAN</v>
      </c>
      <c r="K619" s="10" t="str">
        <f ca="1">IFERROR(__xludf.DUMMYFUNCTION("""COMPUTED_VALUE"""),"SERUTI24-LAPANGAN-TRI3-PPL-PENDATAAN")</f>
        <v>SERUTI24-LAPANGAN-TRI3-PPL-PENDATAAN</v>
      </c>
      <c r="L619" s="10" t="str">
        <f ca="1">IFERROR(__xludf.DUMMYFUNCTION("""COMPUTED_VALUE"""),"Dokumen")</f>
        <v>Dokumen</v>
      </c>
      <c r="M619" s="66">
        <f ca="1">IFERROR(__xludf.DUMMYFUNCTION("""COMPUTED_VALUE"""),60000)</f>
        <v>60000</v>
      </c>
      <c r="N619" s="10">
        <f ca="1">IFERROR(__xludf.DUMMYFUNCTION("""COMPUTED_VALUE"""),10)</f>
        <v>10</v>
      </c>
      <c r="O619" s="10">
        <f ca="1">IFERROR(__xludf.DUMMYFUNCTION("""COMPUTED_VALUE"""),600000)</f>
        <v>600000</v>
      </c>
      <c r="P619" s="10"/>
      <c r="Q619" s="67">
        <f ca="1">IFERROR(__xludf.DUMMYFUNCTION("""COMPUTED_VALUE"""),45565)</f>
        <v>45565</v>
      </c>
    </row>
    <row r="620" spans="1:17" ht="12.5">
      <c r="A620" s="82">
        <f t="array" aca="1" ref="A620" ca="1">INDEX('Database Mitra'!$R$2:$R1001,MATCH(C620,'Database Mitra'!$B$2:$B1001,0))</f>
        <v>36330</v>
      </c>
      <c r="B620" s="10" t="e">
        <f t="shared" ca="1" si="0"/>
        <v>#NAME?</v>
      </c>
      <c r="C620" s="83">
        <f ca="1">IFERROR(__xludf.DUMMYFUNCTION("""COMPUTED_VALUE"""),610422040050)</f>
        <v>610422040050</v>
      </c>
      <c r="D620" s="10" t="str">
        <f ca="1">IFERROR(__xludf.DUMMYFUNCTION("""COMPUTED_VALUE"""),"SERUTI24-LAPANGAN-TRI3")</f>
        <v>SERUTI24-LAPANGAN-TRI3</v>
      </c>
      <c r="E620" s="10"/>
      <c r="F620" s="10">
        <f ca="1">IFERROR(__xludf.DUMMYFUNCTION("""COMPUTED_VALUE"""),1)</f>
        <v>1</v>
      </c>
      <c r="G620" s="10" t="str">
        <f ca="1">IFERROR(__xludf.DUMMYFUNCTION("""COMPUTED_VALUE"""),"Novita Sari")</f>
        <v>Novita Sari</v>
      </c>
      <c r="H620" s="10" t="str">
        <f ca="1">IFERROR(__xludf.DUMMYFUNCTION("""COMPUTED_VALUE"""),"PPL")</f>
        <v>PPL</v>
      </c>
      <c r="I620" s="10" t="str">
        <f ca="1">IFERROR(__xludf.DUMMYFUNCTION("""COMPUTED_VALUE"""),"6102085906990001")</f>
        <v>6102085906990001</v>
      </c>
      <c r="J620" s="10" t="str">
        <f ca="1">IFERROR(__xludf.DUMMYFUNCTION("""COMPUTED_VALUE"""),"PENDATAAN")</f>
        <v>PENDATAAN</v>
      </c>
      <c r="K620" s="10" t="str">
        <f ca="1">IFERROR(__xludf.DUMMYFUNCTION("""COMPUTED_VALUE"""),"SERUTI24-LAPANGAN-TRI3-PPL-PENDATAAN")</f>
        <v>SERUTI24-LAPANGAN-TRI3-PPL-PENDATAAN</v>
      </c>
      <c r="L620" s="10" t="str">
        <f ca="1">IFERROR(__xludf.DUMMYFUNCTION("""COMPUTED_VALUE"""),"Dokumen")</f>
        <v>Dokumen</v>
      </c>
      <c r="M620" s="66">
        <f ca="1">IFERROR(__xludf.DUMMYFUNCTION("""COMPUTED_VALUE"""),60000)</f>
        <v>60000</v>
      </c>
      <c r="N620" s="10">
        <f ca="1">IFERROR(__xludf.DUMMYFUNCTION("""COMPUTED_VALUE"""),10)</f>
        <v>10</v>
      </c>
      <c r="O620" s="10">
        <f ca="1">IFERROR(__xludf.DUMMYFUNCTION("""COMPUTED_VALUE"""),600000)</f>
        <v>600000</v>
      </c>
      <c r="P620" s="10"/>
      <c r="Q620" s="67">
        <f ca="1">IFERROR(__xludf.DUMMYFUNCTION("""COMPUTED_VALUE"""),45565)</f>
        <v>45565</v>
      </c>
    </row>
    <row r="621" spans="1:17" ht="12.5">
      <c r="A621" s="82">
        <f t="array" aca="1" ref="A621" ca="1">INDEX('Database Mitra'!$R$2:$R1001,MATCH(C621,'Database Mitra'!$B$2:$B1001,0))</f>
        <v>35544</v>
      </c>
      <c r="B621" s="10" t="e">
        <f t="shared" ca="1" si="0"/>
        <v>#NAME?</v>
      </c>
      <c r="C621" s="83">
        <f ca="1">IFERROR(__xludf.DUMMYFUNCTION("""COMPUTED_VALUE"""),610422040035)</f>
        <v>610422040035</v>
      </c>
      <c r="D621" s="10" t="str">
        <f ca="1">IFERROR(__xludf.DUMMYFUNCTION("""COMPUTED_VALUE"""),"SERUTI24-LAPANGAN-TRI3")</f>
        <v>SERUTI24-LAPANGAN-TRI3</v>
      </c>
      <c r="E621" s="10"/>
      <c r="F621" s="10">
        <f ca="1">IFERROR(__xludf.DUMMYFUNCTION("""COMPUTED_VALUE"""),1)</f>
        <v>1</v>
      </c>
      <c r="G621" s="10" t="str">
        <f ca="1">IFERROR(__xludf.DUMMYFUNCTION("""COMPUTED_VALUE"""),"Rahmayani")</f>
        <v>Rahmayani</v>
      </c>
      <c r="H621" s="10" t="str">
        <f ca="1">IFERROR(__xludf.DUMMYFUNCTION("""COMPUTED_VALUE"""),"PPL")</f>
        <v>PPL</v>
      </c>
      <c r="I621" s="10" t="str">
        <f ca="1">IFERROR(__xludf.DUMMYFUNCTION("""COMPUTED_VALUE"""),"6102186404970003")</f>
        <v>6102186404970003</v>
      </c>
      <c r="J621" s="10" t="str">
        <f ca="1">IFERROR(__xludf.DUMMYFUNCTION("""COMPUTED_VALUE"""),"PENDATAAN")</f>
        <v>PENDATAAN</v>
      </c>
      <c r="K621" s="10" t="str">
        <f ca="1">IFERROR(__xludf.DUMMYFUNCTION("""COMPUTED_VALUE"""),"SERUTI24-LAPANGAN-TRI3-PPL-PENDATAAN")</f>
        <v>SERUTI24-LAPANGAN-TRI3-PPL-PENDATAAN</v>
      </c>
      <c r="L621" s="10" t="str">
        <f ca="1">IFERROR(__xludf.DUMMYFUNCTION("""COMPUTED_VALUE"""),"Dokumen")</f>
        <v>Dokumen</v>
      </c>
      <c r="M621" s="66">
        <f ca="1">IFERROR(__xludf.DUMMYFUNCTION("""COMPUTED_VALUE"""),60000)</f>
        <v>60000</v>
      </c>
      <c r="N621" s="10">
        <f ca="1">IFERROR(__xludf.DUMMYFUNCTION("""COMPUTED_VALUE"""),10)</f>
        <v>10</v>
      </c>
      <c r="O621" s="10">
        <f ca="1">IFERROR(__xludf.DUMMYFUNCTION("""COMPUTED_VALUE"""),600000)</f>
        <v>600000</v>
      </c>
      <c r="P621" s="10"/>
      <c r="Q621" s="67">
        <f ca="1">IFERROR(__xludf.DUMMYFUNCTION("""COMPUTED_VALUE"""),45565)</f>
        <v>45565</v>
      </c>
    </row>
    <row r="622" spans="1:17" ht="12.5">
      <c r="A622" s="11">
        <f t="array" aca="1" ref="A622" ca="1">INDEX('Database Mitra'!$R$2:$R1001,MATCH(C622,'Database Mitra'!$B$2:$B1001,0))</f>
        <v>31777</v>
      </c>
      <c r="B622" s="10" t="e">
        <f t="shared" ca="1" si="0"/>
        <v>#NAME?</v>
      </c>
      <c r="C622" s="83">
        <f ca="1">IFERROR(__xludf.DUMMYFUNCTION("""COMPUTED_VALUE"""),610422040061)</f>
        <v>610422040061</v>
      </c>
      <c r="D622" s="10" t="str">
        <f ca="1">IFERROR(__xludf.DUMMYFUNCTION("""COMPUTED_VALUE"""),"SERUTI24-LAPANGAN-TRI3")</f>
        <v>SERUTI24-LAPANGAN-TRI3</v>
      </c>
      <c r="E622" s="10"/>
      <c r="F622" s="10">
        <f ca="1">IFERROR(__xludf.DUMMYFUNCTION("""COMPUTED_VALUE"""),1)</f>
        <v>1</v>
      </c>
      <c r="G622" s="10" t="str">
        <f ca="1">IFERROR(__xludf.DUMMYFUNCTION("""COMPUTED_VALUE"""),"Sabani")</f>
        <v>Sabani</v>
      </c>
      <c r="H622" s="10" t="str">
        <f ca="1">IFERROR(__xludf.DUMMYFUNCTION("""COMPUTED_VALUE"""),"PPL")</f>
        <v>PPL</v>
      </c>
      <c r="I622" s="10" t="str">
        <f ca="1">IFERROR(__xludf.DUMMYFUNCTION("""COMPUTED_VALUE"""),"6102153112860003")</f>
        <v>6102153112860003</v>
      </c>
      <c r="J622" s="10" t="str">
        <f ca="1">IFERROR(__xludf.DUMMYFUNCTION("""COMPUTED_VALUE"""),"PENDATAAN")</f>
        <v>PENDATAAN</v>
      </c>
      <c r="K622" s="10" t="str">
        <f ca="1">IFERROR(__xludf.DUMMYFUNCTION("""COMPUTED_VALUE"""),"SERUTI24-LAPANGAN-TRI3-PPL-PENDATAAN")</f>
        <v>SERUTI24-LAPANGAN-TRI3-PPL-PENDATAAN</v>
      </c>
      <c r="L622" s="10" t="str">
        <f ca="1">IFERROR(__xludf.DUMMYFUNCTION("""COMPUTED_VALUE"""),"Dokumen")</f>
        <v>Dokumen</v>
      </c>
      <c r="M622" s="66">
        <f ca="1">IFERROR(__xludf.DUMMYFUNCTION("""COMPUTED_VALUE"""),60000)</f>
        <v>60000</v>
      </c>
      <c r="N622" s="10">
        <f ca="1">IFERROR(__xludf.DUMMYFUNCTION("""COMPUTED_VALUE"""),10)</f>
        <v>10</v>
      </c>
      <c r="O622" s="10">
        <f ca="1">IFERROR(__xludf.DUMMYFUNCTION("""COMPUTED_VALUE"""),600000)</f>
        <v>600000</v>
      </c>
      <c r="P622" s="10"/>
      <c r="Q622" s="67">
        <f ca="1">IFERROR(__xludf.DUMMYFUNCTION("""COMPUTED_VALUE"""),45565)</f>
        <v>45565</v>
      </c>
    </row>
    <row r="623" spans="1:17" ht="12.5">
      <c r="A623" s="82">
        <f t="array" aca="1" ref="A623" ca="1">INDEX('Database Mitra'!$R$2:$R1001,MATCH(C623,'Database Mitra'!$B$2:$B1001,0))</f>
        <v>36997</v>
      </c>
      <c r="B623" s="10" t="e">
        <f t="shared" ca="1" si="0"/>
        <v>#NAME?</v>
      </c>
      <c r="C623" s="83">
        <f ca="1">IFERROR(__xludf.DUMMYFUNCTION("""COMPUTED_VALUE"""),610422040053)</f>
        <v>610422040053</v>
      </c>
      <c r="D623" s="10" t="str">
        <f ca="1">IFERROR(__xludf.DUMMYFUNCTION("""COMPUTED_VALUE"""),"SERUTI24-LAPANGAN-TRI3")</f>
        <v>SERUTI24-LAPANGAN-TRI3</v>
      </c>
      <c r="E623" s="10"/>
      <c r="F623" s="10">
        <f ca="1">IFERROR(__xludf.DUMMYFUNCTION("""COMPUTED_VALUE"""),1)</f>
        <v>1</v>
      </c>
      <c r="G623" s="10" t="str">
        <f ca="1">IFERROR(__xludf.DUMMYFUNCTION("""COMPUTED_VALUE"""),"Veti Ningsi")</f>
        <v>Veti Ningsi</v>
      </c>
      <c r="H623" s="10" t="str">
        <f ca="1">IFERROR(__xludf.DUMMYFUNCTION("""COMPUTED_VALUE"""),"PPL")</f>
        <v>PPL</v>
      </c>
      <c r="I623" s="10" t="str">
        <f ca="1">IFERROR(__xludf.DUMMYFUNCTION("""COMPUTED_VALUE"""),"6102125604010002")</f>
        <v>6102125604010002</v>
      </c>
      <c r="J623" s="10" t="str">
        <f ca="1">IFERROR(__xludf.DUMMYFUNCTION("""COMPUTED_VALUE"""),"PENDATAAN")</f>
        <v>PENDATAAN</v>
      </c>
      <c r="K623" s="10" t="str">
        <f ca="1">IFERROR(__xludf.DUMMYFUNCTION("""COMPUTED_VALUE"""),"SERUTI24-LAPANGAN-TRI3-PPL-PENDATAAN")</f>
        <v>SERUTI24-LAPANGAN-TRI3-PPL-PENDATAAN</v>
      </c>
      <c r="L623" s="10" t="str">
        <f ca="1">IFERROR(__xludf.DUMMYFUNCTION("""COMPUTED_VALUE"""),"Dokumen")</f>
        <v>Dokumen</v>
      </c>
      <c r="M623" s="66">
        <f ca="1">IFERROR(__xludf.DUMMYFUNCTION("""COMPUTED_VALUE"""),60000)</f>
        <v>60000</v>
      </c>
      <c r="N623" s="10">
        <f ca="1">IFERROR(__xludf.DUMMYFUNCTION("""COMPUTED_VALUE"""),10)</f>
        <v>10</v>
      </c>
      <c r="O623" s="10">
        <f ca="1">IFERROR(__xludf.DUMMYFUNCTION("""COMPUTED_VALUE"""),600000)</f>
        <v>600000</v>
      </c>
      <c r="P623" s="10"/>
      <c r="Q623" s="67">
        <f ca="1">IFERROR(__xludf.DUMMYFUNCTION("""COMPUTED_VALUE"""),45565)</f>
        <v>45565</v>
      </c>
    </row>
    <row r="624" spans="1:17" ht="12.5">
      <c r="A624" s="82">
        <f t="array" aca="1" ref="A624" ca="1">INDEX('Database Mitra'!$R$2:$R1001,MATCH(C624,'Database Mitra'!$B$2:$B1001,0))</f>
        <v>35978</v>
      </c>
      <c r="B624" s="10" t="e">
        <f t="shared" ca="1" si="0"/>
        <v>#NAME?</v>
      </c>
      <c r="C624" s="83">
        <f ca="1">IFERROR(__xludf.DUMMYFUNCTION("""COMPUTED_VALUE"""),610422100055)</f>
        <v>610422100055</v>
      </c>
      <c r="D624" s="10" t="str">
        <f ca="1">IFERROR(__xludf.DUMMYFUNCTION("""COMPUTED_VALUE"""),"SERUTI24-LAPANGAN-TRI3")</f>
        <v>SERUTI24-LAPANGAN-TRI3</v>
      </c>
      <c r="E624" s="10"/>
      <c r="F624" s="10">
        <f ca="1">IFERROR(__xludf.DUMMYFUNCTION("""COMPUTED_VALUE"""),1)</f>
        <v>1</v>
      </c>
      <c r="G624" s="10" t="str">
        <f ca="1">IFERROR(__xludf.DUMMYFUNCTION("""COMPUTED_VALUE"""),"Vika Rizkiani")</f>
        <v>Vika Rizkiani</v>
      </c>
      <c r="H624" s="10" t="str">
        <f ca="1">IFERROR(__xludf.DUMMYFUNCTION("""COMPUTED_VALUE"""),"PPL")</f>
        <v>PPL</v>
      </c>
      <c r="I624" s="10" t="str">
        <f ca="1">IFERROR(__xludf.DUMMYFUNCTION("""COMPUTED_VALUE"""),"6102084207980006")</f>
        <v>6102084207980006</v>
      </c>
      <c r="J624" s="10" t="str">
        <f ca="1">IFERROR(__xludf.DUMMYFUNCTION("""COMPUTED_VALUE"""),"PENDATAAN")</f>
        <v>PENDATAAN</v>
      </c>
      <c r="K624" s="10" t="str">
        <f ca="1">IFERROR(__xludf.DUMMYFUNCTION("""COMPUTED_VALUE"""),"SERUTI24-LAPANGAN-TRI3-PPL-PENDATAAN")</f>
        <v>SERUTI24-LAPANGAN-TRI3-PPL-PENDATAAN</v>
      </c>
      <c r="L624" s="10" t="str">
        <f ca="1">IFERROR(__xludf.DUMMYFUNCTION("""COMPUTED_VALUE"""),"Dokumen")</f>
        <v>Dokumen</v>
      </c>
      <c r="M624" s="66">
        <f ca="1">IFERROR(__xludf.DUMMYFUNCTION("""COMPUTED_VALUE"""),60000)</f>
        <v>60000</v>
      </c>
      <c r="N624" s="10">
        <f ca="1">IFERROR(__xludf.DUMMYFUNCTION("""COMPUTED_VALUE"""),10)</f>
        <v>10</v>
      </c>
      <c r="O624" s="10">
        <f ca="1">IFERROR(__xludf.DUMMYFUNCTION("""COMPUTED_VALUE"""),600000)</f>
        <v>600000</v>
      </c>
      <c r="P624" s="10"/>
      <c r="Q624" s="67">
        <f ca="1">IFERROR(__xludf.DUMMYFUNCTION("""COMPUTED_VALUE"""),45565)</f>
        <v>45565</v>
      </c>
    </row>
    <row r="625" spans="1:17" ht="12.5">
      <c r="A625" s="11">
        <f t="array" aca="1" ref="A625" ca="1">INDEX('Database Mitra'!$R$2:$R1001,MATCH(C625,'Database Mitra'!$B$2:$B1001,0))</f>
        <v>36522</v>
      </c>
      <c r="B625" s="10" t="e">
        <f t="shared" ca="1" si="0"/>
        <v>#NAME?</v>
      </c>
      <c r="C625" s="83">
        <f ca="1">IFERROR(__xludf.DUMMYFUNCTION("""COMPUTED_VALUE"""),610422100139)</f>
        <v>610422100139</v>
      </c>
      <c r="D625" s="10" t="str">
        <f ca="1">IFERROR(__xludf.DUMMYFUNCTION("""COMPUTED_VALUE"""),"SERUTI24-LAPANGAN-TRI3")</f>
        <v>SERUTI24-LAPANGAN-TRI3</v>
      </c>
      <c r="E625" s="10"/>
      <c r="F625" s="10">
        <f ca="1">IFERROR(__xludf.DUMMYFUNCTION("""COMPUTED_VALUE"""),1)</f>
        <v>1</v>
      </c>
      <c r="G625" s="10" t="str">
        <f ca="1">IFERROR(__xludf.DUMMYFUNCTION("""COMPUTED_VALUE"""),"Winda Dwi Ananda")</f>
        <v>Winda Dwi Ananda</v>
      </c>
      <c r="H625" s="10" t="str">
        <f ca="1">IFERROR(__xludf.DUMMYFUNCTION("""COMPUTED_VALUE"""),"PPL")</f>
        <v>PPL</v>
      </c>
      <c r="I625" s="10" t="str">
        <f ca="1">IFERROR(__xludf.DUMMYFUNCTION("""COMPUTED_VALUE"""),"6102016812990001")</f>
        <v>6102016812990001</v>
      </c>
      <c r="J625" s="10" t="str">
        <f ca="1">IFERROR(__xludf.DUMMYFUNCTION("""COMPUTED_VALUE"""),"PENDATAAN")</f>
        <v>PENDATAAN</v>
      </c>
      <c r="K625" s="10" t="str">
        <f ca="1">IFERROR(__xludf.DUMMYFUNCTION("""COMPUTED_VALUE"""),"SERUTI24-LAPANGAN-TRI3-PPL-PENDATAAN")</f>
        <v>SERUTI24-LAPANGAN-TRI3-PPL-PENDATAAN</v>
      </c>
      <c r="L625" s="10" t="str">
        <f ca="1">IFERROR(__xludf.DUMMYFUNCTION("""COMPUTED_VALUE"""),"Dokumen")</f>
        <v>Dokumen</v>
      </c>
      <c r="M625" s="66">
        <f ca="1">IFERROR(__xludf.DUMMYFUNCTION("""COMPUTED_VALUE"""),60000)</f>
        <v>60000</v>
      </c>
      <c r="N625" s="10">
        <f ca="1">IFERROR(__xludf.DUMMYFUNCTION("""COMPUTED_VALUE"""),10)</f>
        <v>10</v>
      </c>
      <c r="O625" s="10">
        <f ca="1">IFERROR(__xludf.DUMMYFUNCTION("""COMPUTED_VALUE"""),600000)</f>
        <v>600000</v>
      </c>
      <c r="P625" s="10"/>
      <c r="Q625" s="67">
        <f ca="1">IFERROR(__xludf.DUMMYFUNCTION("""COMPUTED_VALUE"""),45565)</f>
        <v>45565</v>
      </c>
    </row>
    <row r="626" spans="1:17" ht="12.5">
      <c r="A626" s="82">
        <f t="array" aca="1" ref="A626" ca="1">INDEX('Database Mitra'!$R$2:$R1001,MATCH(C626,'Database Mitra'!$B$2:$B1001,0))</f>
        <v>28920</v>
      </c>
      <c r="B626" s="10" t="e">
        <f t="shared" ca="1" si="0"/>
        <v>#NAME?</v>
      </c>
      <c r="C626" s="83">
        <f ca="1">IFERROR(__xludf.DUMMYFUNCTION("""COMPUTED_VALUE"""),610422040052)</f>
        <v>610422040052</v>
      </c>
      <c r="D626" s="10" t="str">
        <f ca="1">IFERROR(__xludf.DUMMYFUNCTION("""COMPUTED_VALUE"""),"SERUTI24-LAPANGAN-TRI3")</f>
        <v>SERUTI24-LAPANGAN-TRI3</v>
      </c>
      <c r="E626" s="10"/>
      <c r="F626" s="10">
        <f ca="1">IFERROR(__xludf.DUMMYFUNCTION("""COMPUTED_VALUE"""),1)</f>
        <v>1</v>
      </c>
      <c r="G626" s="10" t="str">
        <f ca="1">IFERROR(__xludf.DUMMYFUNCTION("""COMPUTED_VALUE"""),"Yusimianto")</f>
        <v>Yusimianto</v>
      </c>
      <c r="H626" s="10" t="str">
        <f ca="1">IFERROR(__xludf.DUMMYFUNCTION("""COMPUTED_VALUE"""),"PPL")</f>
        <v>PPL</v>
      </c>
      <c r="I626" s="10" t="str">
        <f ca="1">IFERROR(__xludf.DUMMYFUNCTION("""COMPUTED_VALUE"""),"6102160603790001")</f>
        <v>6102160603790001</v>
      </c>
      <c r="J626" s="10" t="str">
        <f ca="1">IFERROR(__xludf.DUMMYFUNCTION("""COMPUTED_VALUE"""),"PENDATAAN")</f>
        <v>PENDATAAN</v>
      </c>
      <c r="K626" s="10" t="str">
        <f ca="1">IFERROR(__xludf.DUMMYFUNCTION("""COMPUTED_VALUE"""),"SERUTI24-LAPANGAN-TRI3-PPL-PENDATAAN")</f>
        <v>SERUTI24-LAPANGAN-TRI3-PPL-PENDATAAN</v>
      </c>
      <c r="L626" s="10" t="str">
        <f ca="1">IFERROR(__xludf.DUMMYFUNCTION("""COMPUTED_VALUE"""),"Dokumen")</f>
        <v>Dokumen</v>
      </c>
      <c r="M626" s="66">
        <f ca="1">IFERROR(__xludf.DUMMYFUNCTION("""COMPUTED_VALUE"""),60000)</f>
        <v>60000</v>
      </c>
      <c r="N626" s="10">
        <f ca="1">IFERROR(__xludf.DUMMYFUNCTION("""COMPUTED_VALUE"""),10)</f>
        <v>10</v>
      </c>
      <c r="O626" s="10">
        <f ca="1">IFERROR(__xludf.DUMMYFUNCTION("""COMPUTED_VALUE"""),600000)</f>
        <v>600000</v>
      </c>
      <c r="P626" s="10"/>
      <c r="Q626" s="67">
        <f ca="1">IFERROR(__xludf.DUMMYFUNCTION("""COMPUTED_VALUE"""),45565)</f>
        <v>45565</v>
      </c>
    </row>
    <row r="627" spans="1:17" ht="12.5">
      <c r="A627" s="82">
        <f t="array" aca="1" ref="A627" ca="1">INDEX('Database Mitra'!$R$2:$R1001,MATCH(C627,'Database Mitra'!$B$2:$B1001,0))</f>
        <v>32409</v>
      </c>
      <c r="B627" s="10" t="e">
        <f t="shared" ca="1" si="0"/>
        <v>#NAME?</v>
      </c>
      <c r="C627" s="83">
        <f ca="1">IFERROR(__xludf.DUMMYFUNCTION("""COMPUTED_VALUE"""),610423040018)</f>
        <v>610423040018</v>
      </c>
      <c r="D627" s="10" t="str">
        <f ca="1">IFERROR(__xludf.DUMMYFUNCTION("""COMPUTED_VALUE"""),"UBINAN24-LAPANGAN-SR3")</f>
        <v>UBINAN24-LAPANGAN-SR3</v>
      </c>
      <c r="E627" s="10"/>
      <c r="F627" s="10">
        <f ca="1">IFERROR(__xludf.DUMMYFUNCTION("""COMPUTED_VALUE"""),1)</f>
        <v>1</v>
      </c>
      <c r="G627" s="10" t="str">
        <f ca="1">IFERROR(__xludf.DUMMYFUNCTION("""COMPUTED_VALUE"""),"Handoko Tuah Sabarman Sipayung")</f>
        <v>Handoko Tuah Sabarman Sipayung</v>
      </c>
      <c r="H627" s="10" t="str">
        <f ca="1">IFERROR(__xludf.DUMMYFUNCTION("""COMPUTED_VALUE"""),"PPL")</f>
        <v>PPL</v>
      </c>
      <c r="I627" s="10" t="str">
        <f ca="1">IFERROR(__xludf.DUMMYFUNCTION("""COMPUTED_VALUE"""),"1212092309880001")</f>
        <v>1212092309880001</v>
      </c>
      <c r="J627" s="10" t="str">
        <f ca="1">IFERROR(__xludf.DUMMYFUNCTION("""COMPUTED_VALUE"""),"PADI")</f>
        <v>PADI</v>
      </c>
      <c r="K627" s="10" t="str">
        <f ca="1">IFERROR(__xludf.DUMMYFUNCTION("""COMPUTED_VALUE"""),"UBINAN24-LAPANGAN-SR3-PPL-PADI")</f>
        <v>UBINAN24-LAPANGAN-SR3-PPL-PADI</v>
      </c>
      <c r="L627" s="10" t="str">
        <f ca="1">IFERROR(__xludf.DUMMYFUNCTION("""COMPUTED_VALUE"""),"Dokumen")</f>
        <v>Dokumen</v>
      </c>
      <c r="M627" s="66">
        <f ca="1">IFERROR(__xludf.DUMMYFUNCTION("""COMPUTED_VALUE"""),78000)</f>
        <v>78000</v>
      </c>
      <c r="N627" s="10">
        <f ca="1">IFERROR(__xludf.DUMMYFUNCTION("""COMPUTED_VALUE"""),2)</f>
        <v>2</v>
      </c>
      <c r="O627" s="10">
        <f ca="1">IFERROR(__xludf.DUMMYFUNCTION("""COMPUTED_VALUE"""),156000)</f>
        <v>156000</v>
      </c>
      <c r="P627" s="10"/>
      <c r="Q627" s="67">
        <f ca="1">IFERROR(__xludf.DUMMYFUNCTION("""COMPUTED_VALUE"""),45565)</f>
        <v>45565</v>
      </c>
    </row>
    <row r="628" spans="1:17" ht="12.5">
      <c r="A628" s="82">
        <f t="array" aca="1" ref="A628" ca="1">INDEX('Database Mitra'!$R$2:$R1001,MATCH(C628,'Database Mitra'!$B$2:$B1001,0))</f>
        <v>28816</v>
      </c>
      <c r="B628" s="10" t="e">
        <f t="shared" ca="1" si="0"/>
        <v>#NAME?</v>
      </c>
      <c r="C628" s="83">
        <f ca="1">IFERROR(__xludf.DUMMYFUNCTION("""COMPUTED_VALUE"""),610422040059)</f>
        <v>610422040059</v>
      </c>
      <c r="D628" s="10" t="str">
        <f ca="1">IFERROR(__xludf.DUMMYFUNCTION("""COMPUTED_VALUE"""),"UBINAN24-LAPANGAN-SR3")</f>
        <v>UBINAN24-LAPANGAN-SR3</v>
      </c>
      <c r="E628" s="10"/>
      <c r="F628" s="10">
        <f ca="1">IFERROR(__xludf.DUMMYFUNCTION("""COMPUTED_VALUE"""),1)</f>
        <v>1</v>
      </c>
      <c r="G628" s="10" t="str">
        <f ca="1">IFERROR(__xludf.DUMMYFUNCTION("""COMPUTED_VALUE"""),"Abang Handri")</f>
        <v>Abang Handri</v>
      </c>
      <c r="H628" s="10" t="str">
        <f ca="1">IFERROR(__xludf.DUMMYFUNCTION("""COMPUTED_VALUE"""),"PPL")</f>
        <v>PPL</v>
      </c>
      <c r="I628" s="10" t="str">
        <f ca="1">IFERROR(__xludf.DUMMYFUNCTION("""COMPUTED_VALUE"""),"6102072211780002")</f>
        <v>6102072211780002</v>
      </c>
      <c r="J628" s="10" t="str">
        <f ca="1">IFERROR(__xludf.DUMMYFUNCTION("""COMPUTED_VALUE"""),"PADI")</f>
        <v>PADI</v>
      </c>
      <c r="K628" s="10" t="str">
        <f ca="1">IFERROR(__xludf.DUMMYFUNCTION("""COMPUTED_VALUE"""),"UBINAN24-LAPANGAN-SR3-PPL-PADI")</f>
        <v>UBINAN24-LAPANGAN-SR3-PPL-PADI</v>
      </c>
      <c r="L628" s="10" t="str">
        <f ca="1">IFERROR(__xludf.DUMMYFUNCTION("""COMPUTED_VALUE"""),"Dokumen")</f>
        <v>Dokumen</v>
      </c>
      <c r="M628" s="66">
        <f ca="1">IFERROR(__xludf.DUMMYFUNCTION("""COMPUTED_VALUE"""),78000)</f>
        <v>78000</v>
      </c>
      <c r="N628" s="10">
        <f ca="1">IFERROR(__xludf.DUMMYFUNCTION("""COMPUTED_VALUE"""),3)</f>
        <v>3</v>
      </c>
      <c r="O628" s="10">
        <f ca="1">IFERROR(__xludf.DUMMYFUNCTION("""COMPUTED_VALUE"""),234000)</f>
        <v>234000</v>
      </c>
      <c r="P628" s="10"/>
      <c r="Q628" s="67">
        <f ca="1">IFERROR(__xludf.DUMMYFUNCTION("""COMPUTED_VALUE"""),45565)</f>
        <v>45565</v>
      </c>
    </row>
    <row r="629" spans="1:17" ht="12.5">
      <c r="A629" s="82">
        <f t="array" aca="1" ref="A629" ca="1">INDEX('Database Mitra'!$R$2:$R1001,MATCH(C629,'Database Mitra'!$B$2:$B1001,0))</f>
        <v>32942</v>
      </c>
      <c r="B629" s="10" t="e">
        <f t="shared" ca="1" si="0"/>
        <v>#NAME?</v>
      </c>
      <c r="C629" s="83">
        <f ca="1">IFERROR(__xludf.DUMMYFUNCTION("""COMPUTED_VALUE"""),610422100244)</f>
        <v>610422100244</v>
      </c>
      <c r="D629" s="10" t="str">
        <f ca="1">IFERROR(__xludf.DUMMYFUNCTION("""COMPUTED_VALUE"""),"UBINAN24-LAPANGAN-SR3")</f>
        <v>UBINAN24-LAPANGAN-SR3</v>
      </c>
      <c r="E629" s="10"/>
      <c r="F629" s="10">
        <f ca="1">IFERROR(__xludf.DUMMYFUNCTION("""COMPUTED_VALUE"""),1)</f>
        <v>1</v>
      </c>
      <c r="G629" s="10" t="str">
        <f ca="1">IFERROR(__xludf.DUMMYFUNCTION("""COMPUTED_VALUE"""),"Sugianto")</f>
        <v>Sugianto</v>
      </c>
      <c r="H629" s="10" t="str">
        <f ca="1">IFERROR(__xludf.DUMMYFUNCTION("""COMPUTED_VALUE"""),"PPL")</f>
        <v>PPL</v>
      </c>
      <c r="I629" s="10" t="str">
        <f ca="1">IFERROR(__xludf.DUMMYFUNCTION("""COMPUTED_VALUE"""),"6102171003900002")</f>
        <v>6102171003900002</v>
      </c>
      <c r="J629" s="10" t="str">
        <f ca="1">IFERROR(__xludf.DUMMYFUNCTION("""COMPUTED_VALUE"""),"PADI")</f>
        <v>PADI</v>
      </c>
      <c r="K629" s="10" t="str">
        <f ca="1">IFERROR(__xludf.DUMMYFUNCTION("""COMPUTED_VALUE"""),"UBINAN24-LAPANGAN-SR3-PPL-PADI")</f>
        <v>UBINAN24-LAPANGAN-SR3-PPL-PADI</v>
      </c>
      <c r="L629" s="10" t="str">
        <f ca="1">IFERROR(__xludf.DUMMYFUNCTION("""COMPUTED_VALUE"""),"Dokumen")</f>
        <v>Dokumen</v>
      </c>
      <c r="M629" s="66">
        <f ca="1">IFERROR(__xludf.DUMMYFUNCTION("""COMPUTED_VALUE"""),78000)</f>
        <v>78000</v>
      </c>
      <c r="N629" s="10">
        <f ca="1">IFERROR(__xludf.DUMMYFUNCTION("""COMPUTED_VALUE"""),2)</f>
        <v>2</v>
      </c>
      <c r="O629" s="10">
        <f ca="1">IFERROR(__xludf.DUMMYFUNCTION("""COMPUTED_VALUE"""),156000)</f>
        <v>156000</v>
      </c>
      <c r="P629" s="10"/>
      <c r="Q629" s="67">
        <f ca="1">IFERROR(__xludf.DUMMYFUNCTION("""COMPUTED_VALUE"""),45565)</f>
        <v>45565</v>
      </c>
    </row>
    <row r="630" spans="1:17" ht="12.5">
      <c r="A630" s="11">
        <f t="array" aca="1" ref="A630" ca="1">INDEX('Database Mitra'!$R$2:$R1001,MATCH(C630,'Database Mitra'!$B$2:$B1001,0))</f>
        <v>31777</v>
      </c>
      <c r="B630" s="10" t="e">
        <f t="shared" ca="1" si="0"/>
        <v>#NAME?</v>
      </c>
      <c r="C630" s="83">
        <f ca="1">IFERROR(__xludf.DUMMYFUNCTION("""COMPUTED_VALUE"""),610422040061)</f>
        <v>610422040061</v>
      </c>
      <c r="D630" s="10" t="str">
        <f ca="1">IFERROR(__xludf.DUMMYFUNCTION("""COMPUTED_VALUE"""),"UBINAN24-LAPANGAN-SR3")</f>
        <v>UBINAN24-LAPANGAN-SR3</v>
      </c>
      <c r="E630" s="10"/>
      <c r="F630" s="10">
        <f ca="1">IFERROR(__xludf.DUMMYFUNCTION("""COMPUTED_VALUE"""),1)</f>
        <v>1</v>
      </c>
      <c r="G630" s="10" t="str">
        <f ca="1">IFERROR(__xludf.DUMMYFUNCTION("""COMPUTED_VALUE"""),"Sabani")</f>
        <v>Sabani</v>
      </c>
      <c r="H630" s="10" t="str">
        <f ca="1">IFERROR(__xludf.DUMMYFUNCTION("""COMPUTED_VALUE"""),"PPL")</f>
        <v>PPL</v>
      </c>
      <c r="I630" s="10" t="str">
        <f ca="1">IFERROR(__xludf.DUMMYFUNCTION("""COMPUTED_VALUE"""),"6102153112860003")</f>
        <v>6102153112860003</v>
      </c>
      <c r="J630" s="10" t="str">
        <f ca="1">IFERROR(__xludf.DUMMYFUNCTION("""COMPUTED_VALUE"""),"PADI")</f>
        <v>PADI</v>
      </c>
      <c r="K630" s="10" t="str">
        <f ca="1">IFERROR(__xludf.DUMMYFUNCTION("""COMPUTED_VALUE"""),"UBINAN24-LAPANGAN-SR3-PPL-PADI")</f>
        <v>UBINAN24-LAPANGAN-SR3-PPL-PADI</v>
      </c>
      <c r="L630" s="10" t="str">
        <f ca="1">IFERROR(__xludf.DUMMYFUNCTION("""COMPUTED_VALUE"""),"Dokumen")</f>
        <v>Dokumen</v>
      </c>
      <c r="M630" s="66">
        <f ca="1">IFERROR(__xludf.DUMMYFUNCTION("""COMPUTED_VALUE"""),78000)</f>
        <v>78000</v>
      </c>
      <c r="N630" s="10">
        <f ca="1">IFERROR(__xludf.DUMMYFUNCTION("""COMPUTED_VALUE"""),5)</f>
        <v>5</v>
      </c>
      <c r="O630" s="10">
        <f ca="1">IFERROR(__xludf.DUMMYFUNCTION("""COMPUTED_VALUE"""),390000)</f>
        <v>390000</v>
      </c>
      <c r="P630" s="10"/>
      <c r="Q630" s="67">
        <f ca="1">IFERROR(__xludf.DUMMYFUNCTION("""COMPUTED_VALUE"""),45565)</f>
        <v>45565</v>
      </c>
    </row>
    <row r="631" spans="1:17" ht="12.5">
      <c r="A631" s="82">
        <f t="array" aca="1" ref="A631" ca="1">INDEX('Database Mitra'!$R$2:$R1001,MATCH(C631,'Database Mitra'!$B$2:$B1001,0))</f>
        <v>29171</v>
      </c>
      <c r="B631" s="10" t="e">
        <f t="shared" ca="1" si="0"/>
        <v>#NAME?</v>
      </c>
      <c r="C631" s="83">
        <f ca="1">IFERROR(__xludf.DUMMYFUNCTION("""COMPUTED_VALUE"""),610423110183)</f>
        <v>610423110183</v>
      </c>
      <c r="D631" s="10" t="str">
        <f ca="1">IFERROR(__xludf.DUMMYFUNCTION("""COMPUTED_VALUE"""),"UBINAN24-LAPANGAN-SR3")</f>
        <v>UBINAN24-LAPANGAN-SR3</v>
      </c>
      <c r="E631" s="10"/>
      <c r="F631" s="10">
        <f ca="1">IFERROR(__xludf.DUMMYFUNCTION("""COMPUTED_VALUE"""),1)</f>
        <v>1</v>
      </c>
      <c r="G631" s="10" t="str">
        <f ca="1">IFERROR(__xludf.DUMMYFUNCTION("""COMPUTED_VALUE"""),"Azhar")</f>
        <v>Azhar</v>
      </c>
      <c r="H631" s="10" t="str">
        <f ca="1">IFERROR(__xludf.DUMMYFUNCTION("""COMPUTED_VALUE"""),"PPL")</f>
        <v>PPL</v>
      </c>
      <c r="I631" s="10" t="str">
        <f ca="1">IFERROR(__xludf.DUMMYFUNCTION("""COMPUTED_VALUE"""),"6102081211790004")</f>
        <v>6102081211790004</v>
      </c>
      <c r="J631" s="10" t="str">
        <f ca="1">IFERROR(__xludf.DUMMYFUNCTION("""COMPUTED_VALUE"""),"PADI")</f>
        <v>PADI</v>
      </c>
      <c r="K631" s="10" t="str">
        <f ca="1">IFERROR(__xludf.DUMMYFUNCTION("""COMPUTED_VALUE"""),"UBINAN24-LAPANGAN-SR3-PPL-PADI")</f>
        <v>UBINAN24-LAPANGAN-SR3-PPL-PADI</v>
      </c>
      <c r="L631" s="10" t="str">
        <f ca="1">IFERROR(__xludf.DUMMYFUNCTION("""COMPUTED_VALUE"""),"Dokumen")</f>
        <v>Dokumen</v>
      </c>
      <c r="M631" s="66">
        <f ca="1">IFERROR(__xludf.DUMMYFUNCTION("""COMPUTED_VALUE"""),78000)</f>
        <v>78000</v>
      </c>
      <c r="N631" s="10">
        <f ca="1">IFERROR(__xludf.DUMMYFUNCTION("""COMPUTED_VALUE"""),4)</f>
        <v>4</v>
      </c>
      <c r="O631" s="10">
        <f ca="1">IFERROR(__xludf.DUMMYFUNCTION("""COMPUTED_VALUE"""),312000)</f>
        <v>312000</v>
      </c>
      <c r="P631" s="10"/>
      <c r="Q631" s="67">
        <f ca="1">IFERROR(__xludf.DUMMYFUNCTION("""COMPUTED_VALUE"""),45565)</f>
        <v>45565</v>
      </c>
    </row>
    <row r="632" spans="1:17" ht="12.5">
      <c r="A632" s="82">
        <f t="array" aca="1" ref="A632" ca="1">INDEX('Database Mitra'!$R$2:$R1001,MATCH(C632,'Database Mitra'!$B$2:$B1001,0))</f>
        <v>31602</v>
      </c>
      <c r="B632" s="10" t="e">
        <f t="shared" ca="1" si="0"/>
        <v>#NAME?</v>
      </c>
      <c r="C632" s="83">
        <f ca="1">IFERROR(__xludf.DUMMYFUNCTION("""COMPUTED_VALUE"""),610422100131)</f>
        <v>610422100131</v>
      </c>
      <c r="D632" s="10" t="str">
        <f ca="1">IFERROR(__xludf.DUMMYFUNCTION("""COMPUTED_VALUE"""),"UBINAN24-LAPANGAN-SR3")</f>
        <v>UBINAN24-LAPANGAN-SR3</v>
      </c>
      <c r="E632" s="10"/>
      <c r="F632" s="10">
        <f ca="1">IFERROR(__xludf.DUMMYFUNCTION("""COMPUTED_VALUE"""),1)</f>
        <v>1</v>
      </c>
      <c r="G632" s="10" t="str">
        <f ca="1">IFERROR(__xludf.DUMMYFUNCTION("""COMPUTED_VALUE"""),"Syamsul")</f>
        <v>Syamsul</v>
      </c>
      <c r="H632" s="10" t="str">
        <f ca="1">IFERROR(__xludf.DUMMYFUNCTION("""COMPUTED_VALUE"""),"PPL")</f>
        <v>PPL</v>
      </c>
      <c r="I632" s="10" t="str">
        <f ca="1">IFERROR(__xludf.DUMMYFUNCTION("""COMPUTED_VALUE"""),"6102150907860003")</f>
        <v>6102150907860003</v>
      </c>
      <c r="J632" s="10" t="str">
        <f ca="1">IFERROR(__xludf.DUMMYFUNCTION("""COMPUTED_VALUE"""),"PADI")</f>
        <v>PADI</v>
      </c>
      <c r="K632" s="10" t="str">
        <f ca="1">IFERROR(__xludf.DUMMYFUNCTION("""COMPUTED_VALUE"""),"UBINAN24-LAPANGAN-SR3-PPL-PADI")</f>
        <v>UBINAN24-LAPANGAN-SR3-PPL-PADI</v>
      </c>
      <c r="L632" s="10" t="str">
        <f ca="1">IFERROR(__xludf.DUMMYFUNCTION("""COMPUTED_VALUE"""),"Dokumen")</f>
        <v>Dokumen</v>
      </c>
      <c r="M632" s="66">
        <f ca="1">IFERROR(__xludf.DUMMYFUNCTION("""COMPUTED_VALUE"""),78000)</f>
        <v>78000</v>
      </c>
      <c r="N632" s="10">
        <f ca="1">IFERROR(__xludf.DUMMYFUNCTION("""COMPUTED_VALUE"""),7)</f>
        <v>7</v>
      </c>
      <c r="O632" s="10">
        <f ca="1">IFERROR(__xludf.DUMMYFUNCTION("""COMPUTED_VALUE"""),546000)</f>
        <v>546000</v>
      </c>
      <c r="P632" s="10"/>
      <c r="Q632" s="67">
        <f ca="1">IFERROR(__xludf.DUMMYFUNCTION("""COMPUTED_VALUE"""),45565)</f>
        <v>45565</v>
      </c>
    </row>
    <row r="633" spans="1:17" ht="12.5">
      <c r="A633" s="82">
        <f t="array" aca="1" ref="A633" ca="1">INDEX('Database Mitra'!$R$2:$R1001,MATCH(C633,'Database Mitra'!$B$2:$B1001,0))</f>
        <v>31602</v>
      </c>
      <c r="B633" s="10" t="e">
        <f t="shared" ca="1" si="0"/>
        <v>#NAME?</v>
      </c>
      <c r="C633" s="83">
        <f ca="1">IFERROR(__xludf.DUMMYFUNCTION("""COMPUTED_VALUE"""),610422100131)</f>
        <v>610422100131</v>
      </c>
      <c r="D633" s="10" t="str">
        <f ca="1">IFERROR(__xludf.DUMMYFUNCTION("""COMPUTED_VALUE"""),"UBINAN24-LAPANGAN-SR3")</f>
        <v>UBINAN24-LAPANGAN-SR3</v>
      </c>
      <c r="E633" s="10"/>
      <c r="F633" s="10">
        <f ca="1">IFERROR(__xludf.DUMMYFUNCTION("""COMPUTED_VALUE"""),1)</f>
        <v>1</v>
      </c>
      <c r="G633" s="10" t="str">
        <f ca="1">IFERROR(__xludf.DUMMYFUNCTION("""COMPUTED_VALUE"""),"Syamsul")</f>
        <v>Syamsul</v>
      </c>
      <c r="H633" s="10" t="str">
        <f ca="1">IFERROR(__xludf.DUMMYFUNCTION("""COMPUTED_VALUE"""),"PPL")</f>
        <v>PPL</v>
      </c>
      <c r="I633" s="10" t="str">
        <f ca="1">IFERROR(__xludf.DUMMYFUNCTION("""COMPUTED_VALUE"""),"6102150907860003")</f>
        <v>6102150907860003</v>
      </c>
      <c r="J633" s="10" t="str">
        <f ca="1">IFERROR(__xludf.DUMMYFUNCTION("""COMPUTED_VALUE"""),"PALAWIJA")</f>
        <v>PALAWIJA</v>
      </c>
      <c r="K633" s="10" t="str">
        <f ca="1">IFERROR(__xludf.DUMMYFUNCTION("""COMPUTED_VALUE"""),"UBINAN24-LAPANGAN-SR3-PPL-PALAWIJA")</f>
        <v>UBINAN24-LAPANGAN-SR3-PPL-PALAWIJA</v>
      </c>
      <c r="L633" s="10" t="str">
        <f ca="1">IFERROR(__xludf.DUMMYFUNCTION("""COMPUTED_VALUE"""),"Dokumen")</f>
        <v>Dokumen</v>
      </c>
      <c r="M633" s="66">
        <f ca="1">IFERROR(__xludf.DUMMYFUNCTION("""COMPUTED_VALUE"""),78000)</f>
        <v>78000</v>
      </c>
      <c r="N633" s="10">
        <f ca="1">IFERROR(__xludf.DUMMYFUNCTION("""COMPUTED_VALUE"""),17)</f>
        <v>17</v>
      </c>
      <c r="O633" s="10">
        <f ca="1">IFERROR(__xludf.DUMMYFUNCTION("""COMPUTED_VALUE"""),1326000)</f>
        <v>1326000</v>
      </c>
      <c r="P633" s="10"/>
      <c r="Q633" s="67">
        <f ca="1">IFERROR(__xludf.DUMMYFUNCTION("""COMPUTED_VALUE"""),45565)</f>
        <v>45565</v>
      </c>
    </row>
    <row r="634" spans="1:17" ht="12.5">
      <c r="A634" s="82">
        <f t="array" aca="1" ref="A634" ca="1">INDEX('Database Mitra'!$R$2:$R1001,MATCH(C634,'Database Mitra'!$B$2:$B1001,0))</f>
        <v>36043</v>
      </c>
      <c r="B634" s="10" t="e">
        <f t="shared" ca="1" si="0"/>
        <v>#NAME?</v>
      </c>
      <c r="C634" s="83">
        <f ca="1">IFERROR(__xludf.DUMMYFUNCTION("""COMPUTED_VALUE"""),610422040012)</f>
        <v>610422040012</v>
      </c>
      <c r="D634" s="10" t="str">
        <f ca="1">IFERROR(__xludf.DUMMYFUNCTION("""COMPUTED_VALUE"""),"UBINAN24-LAPANGAN-SR3")</f>
        <v>UBINAN24-LAPANGAN-SR3</v>
      </c>
      <c r="E634" s="10"/>
      <c r="F634" s="10">
        <f ca="1">IFERROR(__xludf.DUMMYFUNCTION("""COMPUTED_VALUE"""),1)</f>
        <v>1</v>
      </c>
      <c r="G634" s="10" t="str">
        <f ca="1">IFERROR(__xludf.DUMMYFUNCTION("""COMPUTED_VALUE"""),"Misdi")</f>
        <v>Misdi</v>
      </c>
      <c r="H634" s="10" t="str">
        <f ca="1">IFERROR(__xludf.DUMMYFUNCTION("""COMPUTED_VALUE"""),"PPL")</f>
        <v>PPL</v>
      </c>
      <c r="I634" s="10" t="str">
        <f ca="1">IFERROR(__xludf.DUMMYFUNCTION("""COMPUTED_VALUE"""),"6102070706940001")</f>
        <v>6102070706940001</v>
      </c>
      <c r="J634" s="10" t="str">
        <f ca="1">IFERROR(__xludf.DUMMYFUNCTION("""COMPUTED_VALUE"""),"PALAWIJA")</f>
        <v>PALAWIJA</v>
      </c>
      <c r="K634" s="10" t="str">
        <f ca="1">IFERROR(__xludf.DUMMYFUNCTION("""COMPUTED_VALUE"""),"UBINAN24-LAPANGAN-SR3-PPL-PALAWIJA")</f>
        <v>UBINAN24-LAPANGAN-SR3-PPL-PALAWIJA</v>
      </c>
      <c r="L634" s="10" t="str">
        <f ca="1">IFERROR(__xludf.DUMMYFUNCTION("""COMPUTED_VALUE"""),"Dokumen")</f>
        <v>Dokumen</v>
      </c>
      <c r="M634" s="66">
        <f ca="1">IFERROR(__xludf.DUMMYFUNCTION("""COMPUTED_VALUE"""),78000)</f>
        <v>78000</v>
      </c>
      <c r="N634" s="10">
        <f ca="1">IFERROR(__xludf.DUMMYFUNCTION("""COMPUTED_VALUE"""),17)</f>
        <v>17</v>
      </c>
      <c r="O634" s="10">
        <f ca="1">IFERROR(__xludf.DUMMYFUNCTION("""COMPUTED_VALUE"""),1326000)</f>
        <v>1326000</v>
      </c>
      <c r="P634" s="10"/>
      <c r="Q634" s="67">
        <f ca="1">IFERROR(__xludf.DUMMYFUNCTION("""COMPUTED_VALUE"""),45565)</f>
        <v>45565</v>
      </c>
    </row>
    <row r="635" spans="1:17" ht="12.5">
      <c r="A635" s="82">
        <f t="array" aca="1" ref="A635" ca="1">INDEX('Database Mitra'!$R$2:$R1001,MATCH(C635,'Database Mitra'!$B$2:$B1001,0))</f>
        <v>34232</v>
      </c>
      <c r="B635" s="10" t="e">
        <f t="shared" ca="1" si="0"/>
        <v>#NAME?</v>
      </c>
      <c r="C635" s="83">
        <f ca="1">IFERROR(__xludf.DUMMYFUNCTION("""COMPUTED_VALUE"""),610422020045)</f>
        <v>610422020045</v>
      </c>
      <c r="D635" s="10" t="str">
        <f ca="1">IFERROR(__xludf.DUMMYFUNCTION("""COMPUTED_VALUE"""),"SUSENAS24-LAPANGAN-SEMESTER2")</f>
        <v>SUSENAS24-LAPANGAN-SEMESTER2</v>
      </c>
      <c r="E635" s="10"/>
      <c r="F635" s="10">
        <f ca="1">IFERROR(__xludf.DUMMYFUNCTION("""COMPUTED_VALUE"""),1)</f>
        <v>1</v>
      </c>
      <c r="G635" s="10" t="str">
        <f ca="1">IFERROR(__xludf.DUMMYFUNCTION("""COMPUTED_VALUE"""),"Herdinatara Febria")</f>
        <v>Herdinatara Febria</v>
      </c>
      <c r="H635" s="10"/>
      <c r="I635" s="10"/>
      <c r="J635" s="10" t="str">
        <f ca="1">IFERROR(__xludf.DUMMYFUNCTION("""COMPUTED_VALUE"""),"PENDATAAN")</f>
        <v>PENDATAAN</v>
      </c>
      <c r="K635" s="10" t="str">
        <f ca="1">IFERROR(__xludf.DUMMYFUNCTION("""COMPUTED_VALUE"""),"SUSENAS24-LAPANGAN-SEMESTER2-PPL-PENDATAAN")</f>
        <v>SUSENAS24-LAPANGAN-SEMESTER2-PPL-PENDATAAN</v>
      </c>
      <c r="L635" s="10" t="str">
        <f ca="1">IFERROR(__xludf.DUMMYFUNCTION("""COMPUTED_VALUE"""),"Dokumen")</f>
        <v>Dokumen</v>
      </c>
      <c r="M635" s="66">
        <f ca="1">IFERROR(__xludf.DUMMYFUNCTION("""COMPUTED_VALUE"""),119000)</f>
        <v>119000</v>
      </c>
      <c r="N635" s="10">
        <f ca="1">IFERROR(__xludf.DUMMYFUNCTION("""COMPUTED_VALUE"""),10)</f>
        <v>10</v>
      </c>
      <c r="O635" s="10">
        <f ca="1">IFERROR(__xludf.DUMMYFUNCTION("""COMPUTED_VALUE"""),1190000)</f>
        <v>1190000</v>
      </c>
      <c r="P635" s="10"/>
      <c r="Q635" s="67">
        <f ca="1">IFERROR(__xludf.DUMMYFUNCTION("""COMPUTED_VALUE"""),45565)</f>
        <v>45565</v>
      </c>
    </row>
    <row r="636" spans="1:17" ht="12.5">
      <c r="A636" s="11">
        <f t="array" aca="1" ref="A636" ca="1">INDEX('Database Mitra'!$R$2:$R1001,MATCH(C636,'Database Mitra'!$B$2:$B1001,0))</f>
        <v>34895</v>
      </c>
      <c r="B636" s="10" t="e">
        <f t="shared" ca="1" si="0"/>
        <v>#NAME?</v>
      </c>
      <c r="C636" s="83">
        <f ca="1">IFERROR(__xludf.DUMMYFUNCTION("""COMPUTED_VALUE"""),610422020016)</f>
        <v>610422020016</v>
      </c>
      <c r="D636" s="10" t="str">
        <f ca="1">IFERROR(__xludf.DUMMYFUNCTION("""COMPUTED_VALUE"""),"SUSENAS24-LAPANGAN-SEMESTER2")</f>
        <v>SUSENAS24-LAPANGAN-SEMESTER2</v>
      </c>
      <c r="E636" s="10"/>
      <c r="F636" s="10">
        <f ca="1">IFERROR(__xludf.DUMMYFUNCTION("""COMPUTED_VALUE"""),1)</f>
        <v>1</v>
      </c>
      <c r="G636" s="10" t="str">
        <f ca="1">IFERROR(__xludf.DUMMYFUNCTION("""COMPUTED_VALUE"""),"Abdul Aziz")</f>
        <v>Abdul Aziz</v>
      </c>
      <c r="H636" s="10"/>
      <c r="I636" s="10"/>
      <c r="J636" s="10" t="str">
        <f ca="1">IFERROR(__xludf.DUMMYFUNCTION("""COMPUTED_VALUE"""),"PENDATAAN")</f>
        <v>PENDATAAN</v>
      </c>
      <c r="K636" s="10" t="str">
        <f ca="1">IFERROR(__xludf.DUMMYFUNCTION("""COMPUTED_VALUE"""),"SUSENAS24-LAPANGAN-SEMESTER2-PPL-PENDATAAN")</f>
        <v>SUSENAS24-LAPANGAN-SEMESTER2-PPL-PENDATAAN</v>
      </c>
      <c r="L636" s="10" t="str">
        <f ca="1">IFERROR(__xludf.DUMMYFUNCTION("""COMPUTED_VALUE"""),"Dokumen")</f>
        <v>Dokumen</v>
      </c>
      <c r="M636" s="66">
        <f ca="1">IFERROR(__xludf.DUMMYFUNCTION("""COMPUTED_VALUE"""),119000)</f>
        <v>119000</v>
      </c>
      <c r="N636" s="10">
        <f ca="1">IFERROR(__xludf.DUMMYFUNCTION("""COMPUTED_VALUE"""),10)</f>
        <v>10</v>
      </c>
      <c r="O636" s="10">
        <f ca="1">IFERROR(__xludf.DUMMYFUNCTION("""COMPUTED_VALUE"""),1190000)</f>
        <v>1190000</v>
      </c>
      <c r="P636" s="10"/>
      <c r="Q636" s="67">
        <f ca="1">IFERROR(__xludf.DUMMYFUNCTION("""COMPUTED_VALUE"""),45565)</f>
        <v>45565</v>
      </c>
    </row>
    <row r="637" spans="1:17" ht="12.5">
      <c r="A637" s="82">
        <f t="array" aca="1" ref="A637" ca="1">INDEX('Database Mitra'!$R$2:$R1001,MATCH(C637,'Database Mitra'!$B$2:$B1001,0))</f>
        <v>32184</v>
      </c>
      <c r="B637" s="10" t="e">
        <f t="shared" ca="1" si="0"/>
        <v>#NAME?</v>
      </c>
      <c r="C637" s="83">
        <f ca="1">IFERROR(__xludf.DUMMYFUNCTION("""COMPUTED_VALUE"""),610422020032)</f>
        <v>610422020032</v>
      </c>
      <c r="D637" s="10" t="str">
        <f ca="1">IFERROR(__xludf.DUMMYFUNCTION("""COMPUTED_VALUE"""),"SUSENAS24-LAPANGAN-SEMESTER2")</f>
        <v>SUSENAS24-LAPANGAN-SEMESTER2</v>
      </c>
      <c r="E637" s="10"/>
      <c r="F637" s="10">
        <f ca="1">IFERROR(__xludf.DUMMYFUNCTION("""COMPUTED_VALUE"""),1)</f>
        <v>1</v>
      </c>
      <c r="G637" s="10" t="str">
        <f ca="1">IFERROR(__xludf.DUMMYFUNCTION("""COMPUTED_VALUE"""),"Lilis Suryani")</f>
        <v>Lilis Suryani</v>
      </c>
      <c r="H637" s="10"/>
      <c r="I637" s="10"/>
      <c r="J637" s="10" t="str">
        <f ca="1">IFERROR(__xludf.DUMMYFUNCTION("""COMPUTED_VALUE"""),"PENDATAAN")</f>
        <v>PENDATAAN</v>
      </c>
      <c r="K637" s="10" t="str">
        <f ca="1">IFERROR(__xludf.DUMMYFUNCTION("""COMPUTED_VALUE"""),"SUSENAS24-LAPANGAN-SEMESTER2-PPL-PENDATAAN")</f>
        <v>SUSENAS24-LAPANGAN-SEMESTER2-PPL-PENDATAAN</v>
      </c>
      <c r="L637" s="10" t="str">
        <f ca="1">IFERROR(__xludf.DUMMYFUNCTION("""COMPUTED_VALUE"""),"Dokumen")</f>
        <v>Dokumen</v>
      </c>
      <c r="M637" s="66">
        <f ca="1">IFERROR(__xludf.DUMMYFUNCTION("""COMPUTED_VALUE"""),119000)</f>
        <v>119000</v>
      </c>
      <c r="N637" s="10">
        <f ca="1">IFERROR(__xludf.DUMMYFUNCTION("""COMPUTED_VALUE"""),10)</f>
        <v>10</v>
      </c>
      <c r="O637" s="10">
        <f ca="1">IFERROR(__xludf.DUMMYFUNCTION("""COMPUTED_VALUE"""),1190000)</f>
        <v>1190000</v>
      </c>
      <c r="P637" s="10"/>
      <c r="Q637" s="67">
        <f ca="1">IFERROR(__xludf.DUMMYFUNCTION("""COMPUTED_VALUE"""),45565)</f>
        <v>45565</v>
      </c>
    </row>
    <row r="638" spans="1:17" ht="12.5">
      <c r="A638" s="82">
        <f t="array" aca="1" ref="A638" ca="1">INDEX('Database Mitra'!$R$2:$R1001,MATCH(C638,'Database Mitra'!$B$2:$B1001,0))</f>
        <v>31964</v>
      </c>
      <c r="B638" s="10" t="e">
        <f t="shared" ca="1" si="0"/>
        <v>#NAME?</v>
      </c>
      <c r="C638" s="83">
        <f ca="1">IFERROR(__xludf.DUMMYFUNCTION("""COMPUTED_VALUE"""),610422040029)</f>
        <v>610422040029</v>
      </c>
      <c r="D638" s="10" t="str">
        <f ca="1">IFERROR(__xludf.DUMMYFUNCTION("""COMPUTED_VALUE"""),"SUSENAS24-LAPANGAN-SEMESTER2")</f>
        <v>SUSENAS24-LAPANGAN-SEMESTER2</v>
      </c>
      <c r="E638" s="10"/>
      <c r="F638" s="10">
        <f ca="1">IFERROR(__xludf.DUMMYFUNCTION("""COMPUTED_VALUE"""),1)</f>
        <v>1</v>
      </c>
      <c r="G638" s="10" t="str">
        <f ca="1">IFERROR(__xludf.DUMMYFUNCTION("""COMPUTED_VALUE"""),"Zaini")</f>
        <v>Zaini</v>
      </c>
      <c r="H638" s="10"/>
      <c r="I638" s="10"/>
      <c r="J638" s="10" t="str">
        <f ca="1">IFERROR(__xludf.DUMMYFUNCTION("""COMPUTED_VALUE"""),"PENDATAAN")</f>
        <v>PENDATAAN</v>
      </c>
      <c r="K638" s="10" t="str">
        <f ca="1">IFERROR(__xludf.DUMMYFUNCTION("""COMPUTED_VALUE"""),"SUSENAS24-LAPANGAN-SEMESTER2-PPL-PENDATAAN")</f>
        <v>SUSENAS24-LAPANGAN-SEMESTER2-PPL-PENDATAAN</v>
      </c>
      <c r="L638" s="10" t="str">
        <f ca="1">IFERROR(__xludf.DUMMYFUNCTION("""COMPUTED_VALUE"""),"Dokumen")</f>
        <v>Dokumen</v>
      </c>
      <c r="M638" s="66">
        <f ca="1">IFERROR(__xludf.DUMMYFUNCTION("""COMPUTED_VALUE"""),119000)</f>
        <v>119000</v>
      </c>
      <c r="N638" s="10">
        <f ca="1">IFERROR(__xludf.DUMMYFUNCTION("""COMPUTED_VALUE"""),10)</f>
        <v>10</v>
      </c>
      <c r="O638" s="10">
        <f ca="1">IFERROR(__xludf.DUMMYFUNCTION("""COMPUTED_VALUE"""),1190000)</f>
        <v>1190000</v>
      </c>
      <c r="P638" s="10"/>
      <c r="Q638" s="67">
        <f ca="1">IFERROR(__xludf.DUMMYFUNCTION("""COMPUTED_VALUE"""),45565)</f>
        <v>45565</v>
      </c>
    </row>
    <row r="639" spans="1:17" ht="12.5">
      <c r="A639" s="82">
        <f t="array" aca="1" ref="A639" ca="1">INDEX('Database Mitra'!$R$2:$R1001,MATCH(C639,'Database Mitra'!$B$2:$B1001,0))</f>
        <v>36997</v>
      </c>
      <c r="B639" s="10" t="e">
        <f t="shared" ca="1" si="0"/>
        <v>#NAME?</v>
      </c>
      <c r="C639" s="83">
        <f ca="1">IFERROR(__xludf.DUMMYFUNCTION("""COMPUTED_VALUE"""),610422040053)</f>
        <v>610422040053</v>
      </c>
      <c r="D639" s="10" t="str">
        <f ca="1">IFERROR(__xludf.DUMMYFUNCTION("""COMPUTED_VALUE"""),"SUSENAS24-LAPANGAN-SEMESTER2")</f>
        <v>SUSENAS24-LAPANGAN-SEMESTER2</v>
      </c>
      <c r="E639" s="10"/>
      <c r="F639" s="10">
        <f ca="1">IFERROR(__xludf.DUMMYFUNCTION("""COMPUTED_VALUE"""),1)</f>
        <v>1</v>
      </c>
      <c r="G639" s="10" t="str">
        <f ca="1">IFERROR(__xludf.DUMMYFUNCTION("""COMPUTED_VALUE"""),"Veti Ningsi")</f>
        <v>Veti Ningsi</v>
      </c>
      <c r="H639" s="10"/>
      <c r="I639" s="10"/>
      <c r="J639" s="10" t="str">
        <f ca="1">IFERROR(__xludf.DUMMYFUNCTION("""COMPUTED_VALUE"""),"PENDATAAN")</f>
        <v>PENDATAAN</v>
      </c>
      <c r="K639" s="10" t="str">
        <f ca="1">IFERROR(__xludf.DUMMYFUNCTION("""COMPUTED_VALUE"""),"SUSENAS24-LAPANGAN-SEMESTER2-PPL-PENDATAAN")</f>
        <v>SUSENAS24-LAPANGAN-SEMESTER2-PPL-PENDATAAN</v>
      </c>
      <c r="L639" s="10" t="str">
        <f ca="1">IFERROR(__xludf.DUMMYFUNCTION("""COMPUTED_VALUE"""),"Dokumen")</f>
        <v>Dokumen</v>
      </c>
      <c r="M639" s="66">
        <f ca="1">IFERROR(__xludf.DUMMYFUNCTION("""COMPUTED_VALUE"""),119000)</f>
        <v>119000</v>
      </c>
      <c r="N639" s="10">
        <f ca="1">IFERROR(__xludf.DUMMYFUNCTION("""COMPUTED_VALUE"""),10)</f>
        <v>10</v>
      </c>
      <c r="O639" s="10">
        <f ca="1">IFERROR(__xludf.DUMMYFUNCTION("""COMPUTED_VALUE"""),1190000)</f>
        <v>1190000</v>
      </c>
      <c r="P639" s="10"/>
      <c r="Q639" s="67">
        <f ca="1">IFERROR(__xludf.DUMMYFUNCTION("""COMPUTED_VALUE"""),45565)</f>
        <v>45565</v>
      </c>
    </row>
    <row r="640" spans="1:17" ht="12.5">
      <c r="A640" s="82">
        <f t="array" aca="1" ref="A640" ca="1">INDEX('Database Mitra'!$R$2:$R1001,MATCH(C640,'Database Mitra'!$B$2:$B1001,0))</f>
        <v>27566</v>
      </c>
      <c r="B640" s="10" t="e">
        <f t="shared" ca="1" si="0"/>
        <v>#NAME?</v>
      </c>
      <c r="C640" s="83">
        <f ca="1">IFERROR(__xludf.DUMMYFUNCTION("""COMPUTED_VALUE"""),610422040038)</f>
        <v>610422040038</v>
      </c>
      <c r="D640" s="10" t="str">
        <f ca="1">IFERROR(__xludf.DUMMYFUNCTION("""COMPUTED_VALUE"""),"SUSENAS24-LAPANGAN-SEMESTER2")</f>
        <v>SUSENAS24-LAPANGAN-SEMESTER2</v>
      </c>
      <c r="E640" s="10"/>
      <c r="F640" s="10">
        <f ca="1">IFERROR(__xludf.DUMMYFUNCTION("""COMPUTED_VALUE"""),1)</f>
        <v>1</v>
      </c>
      <c r="G640" s="10" t="str">
        <f ca="1">IFERROR(__xludf.DUMMYFUNCTION("""COMPUTED_VALUE"""),"Yuyun Antoni, S.E.")</f>
        <v>Yuyun Antoni, S.E.</v>
      </c>
      <c r="H640" s="10"/>
      <c r="I640" s="10"/>
      <c r="J640" s="10" t="str">
        <f ca="1">IFERROR(__xludf.DUMMYFUNCTION("""COMPUTED_VALUE"""),"PENDATAAN")</f>
        <v>PENDATAAN</v>
      </c>
      <c r="K640" s="10" t="str">
        <f ca="1">IFERROR(__xludf.DUMMYFUNCTION("""COMPUTED_VALUE"""),"SUSENAS24-LAPANGAN-SEMESTER2-PPL-PENDATAAN")</f>
        <v>SUSENAS24-LAPANGAN-SEMESTER2-PPL-PENDATAAN</v>
      </c>
      <c r="L640" s="10" t="str">
        <f ca="1">IFERROR(__xludf.DUMMYFUNCTION("""COMPUTED_VALUE"""),"Dokumen")</f>
        <v>Dokumen</v>
      </c>
      <c r="M640" s="66">
        <f ca="1">IFERROR(__xludf.DUMMYFUNCTION("""COMPUTED_VALUE"""),119000)</f>
        <v>119000</v>
      </c>
      <c r="N640" s="10">
        <f ca="1">IFERROR(__xludf.DUMMYFUNCTION("""COMPUTED_VALUE"""),10)</f>
        <v>10</v>
      </c>
      <c r="O640" s="10">
        <f ca="1">IFERROR(__xludf.DUMMYFUNCTION("""COMPUTED_VALUE"""),1190000)</f>
        <v>1190000</v>
      </c>
      <c r="P640" s="10"/>
      <c r="Q640" s="67">
        <f ca="1">IFERROR(__xludf.DUMMYFUNCTION("""COMPUTED_VALUE"""),45565)</f>
        <v>45565</v>
      </c>
    </row>
    <row r="641" spans="1:17" ht="12.5">
      <c r="A641" s="82">
        <f t="array" aca="1" ref="A641" ca="1">INDEX('Database Mitra'!$R$2:$R1001,MATCH(C641,'Database Mitra'!$B$2:$B1001,0))</f>
        <v>32849</v>
      </c>
      <c r="B641" s="10" t="e">
        <f t="shared" ca="1" si="0"/>
        <v>#NAME?</v>
      </c>
      <c r="C641" s="83">
        <f ca="1">IFERROR(__xludf.DUMMYFUNCTION("""COMPUTED_VALUE"""),610422040034)</f>
        <v>610422040034</v>
      </c>
      <c r="D641" s="10" t="str">
        <f ca="1">IFERROR(__xludf.DUMMYFUNCTION("""COMPUTED_VALUE"""),"SUSENAS24-LAPANGAN-SEMESTER2")</f>
        <v>SUSENAS24-LAPANGAN-SEMESTER2</v>
      </c>
      <c r="E641" s="10"/>
      <c r="F641" s="10">
        <f ca="1">IFERROR(__xludf.DUMMYFUNCTION("""COMPUTED_VALUE"""),1)</f>
        <v>1</v>
      </c>
      <c r="G641" s="10" t="str">
        <f ca="1">IFERROR(__xludf.DUMMYFUNCTION("""COMPUTED_VALUE"""),"Nelly Nalita")</f>
        <v>Nelly Nalita</v>
      </c>
      <c r="H641" s="10"/>
      <c r="I641" s="10"/>
      <c r="J641" s="10" t="str">
        <f ca="1">IFERROR(__xludf.DUMMYFUNCTION("""COMPUTED_VALUE"""),"PENDATAAN")</f>
        <v>PENDATAAN</v>
      </c>
      <c r="K641" s="10" t="str">
        <f ca="1">IFERROR(__xludf.DUMMYFUNCTION("""COMPUTED_VALUE"""),"SUSENAS24-LAPANGAN-SEMESTER2-PPL-PENDATAAN")</f>
        <v>SUSENAS24-LAPANGAN-SEMESTER2-PPL-PENDATAAN</v>
      </c>
      <c r="L641" s="10" t="str">
        <f ca="1">IFERROR(__xludf.DUMMYFUNCTION("""COMPUTED_VALUE"""),"Dokumen")</f>
        <v>Dokumen</v>
      </c>
      <c r="M641" s="66">
        <f ca="1">IFERROR(__xludf.DUMMYFUNCTION("""COMPUTED_VALUE"""),119000)</f>
        <v>119000</v>
      </c>
      <c r="N641" s="10">
        <f ca="1">IFERROR(__xludf.DUMMYFUNCTION("""COMPUTED_VALUE"""),10)</f>
        <v>10</v>
      </c>
      <c r="O641" s="10">
        <f ca="1">IFERROR(__xludf.DUMMYFUNCTION("""COMPUTED_VALUE"""),1190000)</f>
        <v>1190000</v>
      </c>
      <c r="P641" s="10"/>
      <c r="Q641" s="67">
        <f ca="1">IFERROR(__xludf.DUMMYFUNCTION("""COMPUTED_VALUE"""),45565)</f>
        <v>45565</v>
      </c>
    </row>
    <row r="642" spans="1:17" ht="12.5">
      <c r="A642" s="82">
        <f t="array" aca="1" ref="A642" ca="1">INDEX('Database Mitra'!$R$2:$R1001,MATCH(C642,'Database Mitra'!$B$2:$B1001,0))</f>
        <v>34541</v>
      </c>
      <c r="B642" s="10" t="e">
        <f t="shared" ca="1" si="0"/>
        <v>#NAME?</v>
      </c>
      <c r="C642" s="83">
        <f ca="1">IFERROR(__xludf.DUMMYFUNCTION("""COMPUTED_VALUE"""),610422040058)</f>
        <v>610422040058</v>
      </c>
      <c r="D642" s="10" t="str">
        <f ca="1">IFERROR(__xludf.DUMMYFUNCTION("""COMPUTED_VALUE"""),"SUSENAS24-LAPANGAN-SEMESTER2")</f>
        <v>SUSENAS24-LAPANGAN-SEMESTER2</v>
      </c>
      <c r="E642" s="10"/>
      <c r="F642" s="10">
        <f ca="1">IFERROR(__xludf.DUMMYFUNCTION("""COMPUTED_VALUE"""),1)</f>
        <v>1</v>
      </c>
      <c r="G642" s="10" t="str">
        <f ca="1">IFERROR(__xludf.DUMMYFUNCTION("""COMPUTED_VALUE"""),"Jamaluddin, Sp")</f>
        <v>Jamaluddin, Sp</v>
      </c>
      <c r="H642" s="10"/>
      <c r="I642" s="10"/>
      <c r="J642" s="10" t="str">
        <f ca="1">IFERROR(__xludf.DUMMYFUNCTION("""COMPUTED_VALUE"""),"PENDATAAN")</f>
        <v>PENDATAAN</v>
      </c>
      <c r="K642" s="10" t="str">
        <f ca="1">IFERROR(__xludf.DUMMYFUNCTION("""COMPUTED_VALUE"""),"SUSENAS24-LAPANGAN-SEMESTER2-PPL-PENDATAAN")</f>
        <v>SUSENAS24-LAPANGAN-SEMESTER2-PPL-PENDATAAN</v>
      </c>
      <c r="L642" s="10" t="str">
        <f ca="1">IFERROR(__xludf.DUMMYFUNCTION("""COMPUTED_VALUE"""),"Dokumen")</f>
        <v>Dokumen</v>
      </c>
      <c r="M642" s="66">
        <f ca="1">IFERROR(__xludf.DUMMYFUNCTION("""COMPUTED_VALUE"""),119000)</f>
        <v>119000</v>
      </c>
      <c r="N642" s="10">
        <f ca="1">IFERROR(__xludf.DUMMYFUNCTION("""COMPUTED_VALUE"""),10)</f>
        <v>10</v>
      </c>
      <c r="O642" s="10">
        <f ca="1">IFERROR(__xludf.DUMMYFUNCTION("""COMPUTED_VALUE"""),1190000)</f>
        <v>1190000</v>
      </c>
      <c r="P642" s="10"/>
      <c r="Q642" s="67">
        <f ca="1">IFERROR(__xludf.DUMMYFUNCTION("""COMPUTED_VALUE"""),45565)</f>
        <v>45565</v>
      </c>
    </row>
    <row r="643" spans="1:17" ht="12.5">
      <c r="A643" s="82">
        <f t="array" aca="1" ref="A643" ca="1">INDEX('Database Mitra'!$R$2:$R1001,MATCH(C643,'Database Mitra'!$B$2:$B1001,0))</f>
        <v>28920</v>
      </c>
      <c r="B643" s="10" t="e">
        <f t="shared" ca="1" si="0"/>
        <v>#NAME?</v>
      </c>
      <c r="C643" s="83">
        <f ca="1">IFERROR(__xludf.DUMMYFUNCTION("""COMPUTED_VALUE"""),610422040052)</f>
        <v>610422040052</v>
      </c>
      <c r="D643" s="10" t="str">
        <f ca="1">IFERROR(__xludf.DUMMYFUNCTION("""COMPUTED_VALUE"""),"SUSENAS24-LAPANGAN-SEMESTER2")</f>
        <v>SUSENAS24-LAPANGAN-SEMESTER2</v>
      </c>
      <c r="E643" s="10"/>
      <c r="F643" s="10">
        <f ca="1">IFERROR(__xludf.DUMMYFUNCTION("""COMPUTED_VALUE"""),1)</f>
        <v>1</v>
      </c>
      <c r="G643" s="10" t="str">
        <f ca="1">IFERROR(__xludf.DUMMYFUNCTION("""COMPUTED_VALUE"""),"Yusimianto")</f>
        <v>Yusimianto</v>
      </c>
      <c r="H643" s="10"/>
      <c r="I643" s="10"/>
      <c r="J643" s="10" t="str">
        <f ca="1">IFERROR(__xludf.DUMMYFUNCTION("""COMPUTED_VALUE"""),"PENDATAAN")</f>
        <v>PENDATAAN</v>
      </c>
      <c r="K643" s="10" t="str">
        <f ca="1">IFERROR(__xludf.DUMMYFUNCTION("""COMPUTED_VALUE"""),"SUSENAS24-LAPANGAN-SEMESTER2-PPL-PENDATAAN")</f>
        <v>SUSENAS24-LAPANGAN-SEMESTER2-PPL-PENDATAAN</v>
      </c>
      <c r="L643" s="10" t="str">
        <f ca="1">IFERROR(__xludf.DUMMYFUNCTION("""COMPUTED_VALUE"""),"Dokumen")</f>
        <v>Dokumen</v>
      </c>
      <c r="M643" s="66">
        <f ca="1">IFERROR(__xludf.DUMMYFUNCTION("""COMPUTED_VALUE"""),119000)</f>
        <v>119000</v>
      </c>
      <c r="N643" s="10">
        <f ca="1">IFERROR(__xludf.DUMMYFUNCTION("""COMPUTED_VALUE"""),10)</f>
        <v>10</v>
      </c>
      <c r="O643" s="10">
        <f ca="1">IFERROR(__xludf.DUMMYFUNCTION("""COMPUTED_VALUE"""),1190000)</f>
        <v>1190000</v>
      </c>
      <c r="P643" s="10"/>
      <c r="Q643" s="67">
        <f ca="1">IFERROR(__xludf.DUMMYFUNCTION("""COMPUTED_VALUE"""),45565)</f>
        <v>45565</v>
      </c>
    </row>
    <row r="644" spans="1:17" ht="12.5">
      <c r="A644" s="82">
        <f t="array" aca="1" ref="A644" ca="1">INDEX('Database Mitra'!$R$2:$R1001,MATCH(C644,'Database Mitra'!$B$2:$B1001,0))</f>
        <v>31275</v>
      </c>
      <c r="B644" s="10" t="e">
        <f t="shared" ca="1" si="0"/>
        <v>#NAME?</v>
      </c>
      <c r="C644" s="83">
        <f ca="1">IFERROR(__xludf.DUMMYFUNCTION("""COMPUTED_VALUE"""),610422100085)</f>
        <v>610422100085</v>
      </c>
      <c r="D644" s="10" t="str">
        <f ca="1">IFERROR(__xludf.DUMMYFUNCTION("""COMPUTED_VALUE"""),"SUSENAS24-LAPANGAN-SEMESTER2")</f>
        <v>SUSENAS24-LAPANGAN-SEMESTER2</v>
      </c>
      <c r="E644" s="10"/>
      <c r="F644" s="10">
        <f ca="1">IFERROR(__xludf.DUMMYFUNCTION("""COMPUTED_VALUE"""),1)</f>
        <v>1</v>
      </c>
      <c r="G644" s="10" t="str">
        <f ca="1">IFERROR(__xludf.DUMMYFUNCTION("""COMPUTED_VALUE"""),"Lina Agustin Widya Siwi")</f>
        <v>Lina Agustin Widya Siwi</v>
      </c>
      <c r="H644" s="10"/>
      <c r="I644" s="10"/>
      <c r="J644" s="10" t="str">
        <f ca="1">IFERROR(__xludf.DUMMYFUNCTION("""COMPUTED_VALUE"""),"PENDATAAN")</f>
        <v>PENDATAAN</v>
      </c>
      <c r="K644" s="10" t="str">
        <f ca="1">IFERROR(__xludf.DUMMYFUNCTION("""COMPUTED_VALUE"""),"SUSENAS24-LAPANGAN-SEMESTER2-PPL-PENDATAAN")</f>
        <v>SUSENAS24-LAPANGAN-SEMESTER2-PPL-PENDATAAN</v>
      </c>
      <c r="L644" s="10" t="str">
        <f ca="1">IFERROR(__xludf.DUMMYFUNCTION("""COMPUTED_VALUE"""),"Dokumen")</f>
        <v>Dokumen</v>
      </c>
      <c r="M644" s="66">
        <f ca="1">IFERROR(__xludf.DUMMYFUNCTION("""COMPUTED_VALUE"""),119000)</f>
        <v>119000</v>
      </c>
      <c r="N644" s="10">
        <f ca="1">IFERROR(__xludf.DUMMYFUNCTION("""COMPUTED_VALUE"""),10)</f>
        <v>10</v>
      </c>
      <c r="O644" s="10">
        <f ca="1">IFERROR(__xludf.DUMMYFUNCTION("""COMPUTED_VALUE"""),1190000)</f>
        <v>1190000</v>
      </c>
      <c r="P644" s="10"/>
      <c r="Q644" s="67">
        <f ca="1">IFERROR(__xludf.DUMMYFUNCTION("""COMPUTED_VALUE"""),45565)</f>
        <v>45565</v>
      </c>
    </row>
    <row r="645" spans="1:17" ht="12.5">
      <c r="A645" s="82">
        <f t="array" aca="1" ref="A645" ca="1">INDEX('Database Mitra'!$R$2:$R1001,MATCH(C645,'Database Mitra'!$B$2:$B1001,0))</f>
        <v>32158</v>
      </c>
      <c r="B645" s="10" t="e">
        <f t="shared" ca="1" si="0"/>
        <v>#NAME?</v>
      </c>
      <c r="C645" s="83">
        <f ca="1">IFERROR(__xludf.DUMMYFUNCTION("""COMPUTED_VALUE"""),610422100101)</f>
        <v>610422100101</v>
      </c>
      <c r="D645" s="10" t="str">
        <f ca="1">IFERROR(__xludf.DUMMYFUNCTION("""COMPUTED_VALUE"""),"SUSENAS24-LAPANGAN-SEMESTER2")</f>
        <v>SUSENAS24-LAPANGAN-SEMESTER2</v>
      </c>
      <c r="E645" s="10"/>
      <c r="F645" s="10">
        <f ca="1">IFERROR(__xludf.DUMMYFUNCTION("""COMPUTED_VALUE"""),1)</f>
        <v>1</v>
      </c>
      <c r="G645" s="10" t="str">
        <f ca="1">IFERROR(__xludf.DUMMYFUNCTION("""COMPUTED_VALUE"""),"Sukmawati,S.Si")</f>
        <v>Sukmawati,S.Si</v>
      </c>
      <c r="H645" s="10"/>
      <c r="I645" s="10"/>
      <c r="J645" s="10" t="str">
        <f ca="1">IFERROR(__xludf.DUMMYFUNCTION("""COMPUTED_VALUE"""),"PENDATAAN")</f>
        <v>PENDATAAN</v>
      </c>
      <c r="K645" s="10" t="str">
        <f ca="1">IFERROR(__xludf.DUMMYFUNCTION("""COMPUTED_VALUE"""),"SUSENAS24-LAPANGAN-SEMESTER2-PPL-PENDATAAN")</f>
        <v>SUSENAS24-LAPANGAN-SEMESTER2-PPL-PENDATAAN</v>
      </c>
      <c r="L645" s="10" t="str">
        <f ca="1">IFERROR(__xludf.DUMMYFUNCTION("""COMPUTED_VALUE"""),"Dokumen")</f>
        <v>Dokumen</v>
      </c>
      <c r="M645" s="66">
        <f ca="1">IFERROR(__xludf.DUMMYFUNCTION("""COMPUTED_VALUE"""),119000)</f>
        <v>119000</v>
      </c>
      <c r="N645" s="10">
        <f ca="1">IFERROR(__xludf.DUMMYFUNCTION("""COMPUTED_VALUE"""),10)</f>
        <v>10</v>
      </c>
      <c r="O645" s="10">
        <f ca="1">IFERROR(__xludf.DUMMYFUNCTION("""COMPUTED_VALUE"""),1190000)</f>
        <v>1190000</v>
      </c>
      <c r="P645" s="10"/>
      <c r="Q645" s="67">
        <f ca="1">IFERROR(__xludf.DUMMYFUNCTION("""COMPUTED_VALUE"""),45565)</f>
        <v>45565</v>
      </c>
    </row>
    <row r="646" spans="1:17" ht="12.5">
      <c r="A646" s="82">
        <f t="array" aca="1" ref="A646" ca="1">INDEX('Database Mitra'!$R$2:$R1001,MATCH(C646,'Database Mitra'!$B$2:$B1001,0))</f>
        <v>35978</v>
      </c>
      <c r="B646" s="10" t="e">
        <f t="shared" ca="1" si="0"/>
        <v>#NAME?</v>
      </c>
      <c r="C646" s="83">
        <f ca="1">IFERROR(__xludf.DUMMYFUNCTION("""COMPUTED_VALUE"""),610422100055)</f>
        <v>610422100055</v>
      </c>
      <c r="D646" s="10" t="str">
        <f ca="1">IFERROR(__xludf.DUMMYFUNCTION("""COMPUTED_VALUE"""),"SUSENAS24-LAPANGAN-SEMESTER2")</f>
        <v>SUSENAS24-LAPANGAN-SEMESTER2</v>
      </c>
      <c r="E646" s="10"/>
      <c r="F646" s="10">
        <f ca="1">IFERROR(__xludf.DUMMYFUNCTION("""COMPUTED_VALUE"""),1)</f>
        <v>1</v>
      </c>
      <c r="G646" s="10" t="str">
        <f ca="1">IFERROR(__xludf.DUMMYFUNCTION("""COMPUTED_VALUE"""),"Vika Rizkiani")</f>
        <v>Vika Rizkiani</v>
      </c>
      <c r="H646" s="10"/>
      <c r="I646" s="10"/>
      <c r="J646" s="10" t="str">
        <f ca="1">IFERROR(__xludf.DUMMYFUNCTION("""COMPUTED_VALUE"""),"PENDATAAN")</f>
        <v>PENDATAAN</v>
      </c>
      <c r="K646" s="10" t="str">
        <f ca="1">IFERROR(__xludf.DUMMYFUNCTION("""COMPUTED_VALUE"""),"SUSENAS24-LAPANGAN-SEMESTER2-PPL-PENDATAAN")</f>
        <v>SUSENAS24-LAPANGAN-SEMESTER2-PPL-PENDATAAN</v>
      </c>
      <c r="L646" s="10" t="str">
        <f ca="1">IFERROR(__xludf.DUMMYFUNCTION("""COMPUTED_VALUE"""),"Dokumen")</f>
        <v>Dokumen</v>
      </c>
      <c r="M646" s="66">
        <f ca="1">IFERROR(__xludf.DUMMYFUNCTION("""COMPUTED_VALUE"""),119000)</f>
        <v>119000</v>
      </c>
      <c r="N646" s="10">
        <f ca="1">IFERROR(__xludf.DUMMYFUNCTION("""COMPUTED_VALUE"""),10)</f>
        <v>10</v>
      </c>
      <c r="O646" s="10">
        <f ca="1">IFERROR(__xludf.DUMMYFUNCTION("""COMPUTED_VALUE"""),1190000)</f>
        <v>1190000</v>
      </c>
      <c r="P646" s="10"/>
      <c r="Q646" s="67">
        <f ca="1">IFERROR(__xludf.DUMMYFUNCTION("""COMPUTED_VALUE"""),45565)</f>
        <v>45565</v>
      </c>
    </row>
    <row r="647" spans="1:17" ht="12.5">
      <c r="A647" s="82">
        <f t="array" aca="1" ref="A647" ca="1">INDEX('Database Mitra'!$R$2:$R1001,MATCH(C647,'Database Mitra'!$B$2:$B1001,0))</f>
        <v>32942</v>
      </c>
      <c r="B647" s="10" t="e">
        <f t="shared" ca="1" si="0"/>
        <v>#NAME?</v>
      </c>
      <c r="C647" s="83">
        <f ca="1">IFERROR(__xludf.DUMMYFUNCTION("""COMPUTED_VALUE"""),610422100244)</f>
        <v>610422100244</v>
      </c>
      <c r="D647" s="10" t="str">
        <f ca="1">IFERROR(__xludf.DUMMYFUNCTION("""COMPUTED_VALUE"""),"SUSENAS24-LAPANGAN-SEMESTER2")</f>
        <v>SUSENAS24-LAPANGAN-SEMESTER2</v>
      </c>
      <c r="E647" s="10"/>
      <c r="F647" s="10">
        <f ca="1">IFERROR(__xludf.DUMMYFUNCTION("""COMPUTED_VALUE"""),1)</f>
        <v>1</v>
      </c>
      <c r="G647" s="10" t="str">
        <f ca="1">IFERROR(__xludf.DUMMYFUNCTION("""COMPUTED_VALUE"""),"Sugianto")</f>
        <v>Sugianto</v>
      </c>
      <c r="H647" s="10"/>
      <c r="I647" s="10"/>
      <c r="J647" s="10" t="str">
        <f ca="1">IFERROR(__xludf.DUMMYFUNCTION("""COMPUTED_VALUE"""),"PENDATAAN")</f>
        <v>PENDATAAN</v>
      </c>
      <c r="K647" s="10" t="str">
        <f ca="1">IFERROR(__xludf.DUMMYFUNCTION("""COMPUTED_VALUE"""),"SUSENAS24-LAPANGAN-SEMESTER2-PPL-PENDATAAN")</f>
        <v>SUSENAS24-LAPANGAN-SEMESTER2-PPL-PENDATAAN</v>
      </c>
      <c r="L647" s="10" t="str">
        <f ca="1">IFERROR(__xludf.DUMMYFUNCTION("""COMPUTED_VALUE"""),"Dokumen")</f>
        <v>Dokumen</v>
      </c>
      <c r="M647" s="66">
        <f ca="1">IFERROR(__xludf.DUMMYFUNCTION("""COMPUTED_VALUE"""),119000)</f>
        <v>119000</v>
      </c>
      <c r="N647" s="10">
        <f ca="1">IFERROR(__xludf.DUMMYFUNCTION("""COMPUTED_VALUE"""),10)</f>
        <v>10</v>
      </c>
      <c r="O647" s="10">
        <f ca="1">IFERROR(__xludf.DUMMYFUNCTION("""COMPUTED_VALUE"""),1190000)</f>
        <v>1190000</v>
      </c>
      <c r="P647" s="10"/>
      <c r="Q647" s="67">
        <f ca="1">IFERROR(__xludf.DUMMYFUNCTION("""COMPUTED_VALUE"""),45565)</f>
        <v>45565</v>
      </c>
    </row>
    <row r="648" spans="1:17" ht="12.5">
      <c r="A648" s="82">
        <f t="array" aca="1" ref="A648" ca="1">INDEX('Database Mitra'!$R$2:$R1001,MATCH(C648,'Database Mitra'!$B$2:$B1001,0))</f>
        <v>36546</v>
      </c>
      <c r="B648" s="10" t="e">
        <f t="shared" ca="1" si="0"/>
        <v>#NAME?</v>
      </c>
      <c r="C648" s="83">
        <f ca="1">IFERROR(__xludf.DUMMYFUNCTION("""COMPUTED_VALUE"""),610423040013)</f>
        <v>610423040013</v>
      </c>
      <c r="D648" s="10" t="str">
        <f ca="1">IFERROR(__xludf.DUMMYFUNCTION("""COMPUTED_VALUE"""),"SUSENAS24-LAPANGAN-SEMESTER2")</f>
        <v>SUSENAS24-LAPANGAN-SEMESTER2</v>
      </c>
      <c r="E648" s="10"/>
      <c r="F648" s="10">
        <f ca="1">IFERROR(__xludf.DUMMYFUNCTION("""COMPUTED_VALUE"""),1)</f>
        <v>1</v>
      </c>
      <c r="G648" s="10" t="str">
        <f ca="1">IFERROR(__xludf.DUMMYFUNCTION("""COMPUTED_VALUE"""),"Lulu Gesti Gunawati")</f>
        <v>Lulu Gesti Gunawati</v>
      </c>
      <c r="H648" s="10"/>
      <c r="I648" s="10"/>
      <c r="J648" s="10" t="str">
        <f ca="1">IFERROR(__xludf.DUMMYFUNCTION("""COMPUTED_VALUE"""),"PENDATAAN")</f>
        <v>PENDATAAN</v>
      </c>
      <c r="K648" s="10" t="str">
        <f ca="1">IFERROR(__xludf.DUMMYFUNCTION("""COMPUTED_VALUE"""),"SUSENAS24-LAPANGAN-SEMESTER2-PPL-PENDATAAN")</f>
        <v>SUSENAS24-LAPANGAN-SEMESTER2-PPL-PENDATAAN</v>
      </c>
      <c r="L648" s="10" t="str">
        <f ca="1">IFERROR(__xludf.DUMMYFUNCTION("""COMPUTED_VALUE"""),"Dokumen")</f>
        <v>Dokumen</v>
      </c>
      <c r="M648" s="66">
        <f ca="1">IFERROR(__xludf.DUMMYFUNCTION("""COMPUTED_VALUE"""),119000)</f>
        <v>119000</v>
      </c>
      <c r="N648" s="10">
        <f ca="1">IFERROR(__xludf.DUMMYFUNCTION("""COMPUTED_VALUE"""),10)</f>
        <v>10</v>
      </c>
      <c r="O648" s="10">
        <f ca="1">IFERROR(__xludf.DUMMYFUNCTION("""COMPUTED_VALUE"""),1190000)</f>
        <v>1190000</v>
      </c>
      <c r="P648" s="10"/>
      <c r="Q648" s="67">
        <f ca="1">IFERROR(__xludf.DUMMYFUNCTION("""COMPUTED_VALUE"""),45565)</f>
        <v>45565</v>
      </c>
    </row>
    <row r="649" spans="1:17" ht="12.5">
      <c r="A649" s="82">
        <f t="array" aca="1" ref="A649" ca="1">INDEX('Database Mitra'!$R$2:$R1001,MATCH(C649,'Database Mitra'!$B$2:$B1001,0))</f>
        <v>37161</v>
      </c>
      <c r="B649" s="10" t="e">
        <f t="shared" ca="1" si="0"/>
        <v>#NAME?</v>
      </c>
      <c r="C649" s="83">
        <f ca="1">IFERROR(__xludf.DUMMYFUNCTION("""COMPUTED_VALUE"""),610423040016)</f>
        <v>610423040016</v>
      </c>
      <c r="D649" s="10" t="str">
        <f ca="1">IFERROR(__xludf.DUMMYFUNCTION("""COMPUTED_VALUE"""),"SERUTI24-PENGOLAHAN-TRI3")</f>
        <v>SERUTI24-PENGOLAHAN-TRI3</v>
      </c>
      <c r="E649" s="10"/>
      <c r="F649" s="10">
        <f ca="1">IFERROR(__xludf.DUMMYFUNCTION("""COMPUTED_VALUE"""),1)</f>
        <v>1</v>
      </c>
      <c r="G649" s="10" t="str">
        <f ca="1">IFERROR(__xludf.DUMMYFUNCTION("""COMPUTED_VALUE"""),"Fairuztia Atiqah Putri")</f>
        <v>Fairuztia Atiqah Putri</v>
      </c>
      <c r="H649" s="10" t="str">
        <f ca="1">IFERROR(__xludf.DUMMYFUNCTION("""COMPUTED_VALUE"""),"PETUGAS ENTRI")</f>
        <v>PETUGAS ENTRI</v>
      </c>
      <c r="I649" s="10" t="str">
        <f ca="1">IFERROR(__xludf.DUMMYFUNCTION("""COMPUTED_VALUE"""),"6102016709010003")</f>
        <v>6102016709010003</v>
      </c>
      <c r="J649" s="10" t="str">
        <f ca="1">IFERROR(__xludf.DUMMYFUNCTION("""COMPUTED_VALUE"""),"PENGOLAHAN")</f>
        <v>PENGOLAHAN</v>
      </c>
      <c r="K649" s="10" t="str">
        <f ca="1">IFERROR(__xludf.DUMMYFUNCTION("""COMPUTED_VALUE"""),"SERUTI24-PENGOLAHAN-TRI3-PETUGAS ENTRI-PENGOLAHAN")</f>
        <v>SERUTI24-PENGOLAHAN-TRI3-PETUGAS ENTRI-PENGOLAHAN</v>
      </c>
      <c r="L649" s="10" t="str">
        <f ca="1">IFERROR(__xludf.DUMMYFUNCTION("""COMPUTED_VALUE"""),"Dokumen")</f>
        <v>Dokumen</v>
      </c>
      <c r="M649" s="66">
        <f ca="1">IFERROR(__xludf.DUMMYFUNCTION("""COMPUTED_VALUE"""),12000)</f>
        <v>12000</v>
      </c>
      <c r="N649" s="10">
        <f ca="1">IFERROR(__xludf.DUMMYFUNCTION("""COMPUTED_VALUE"""),35)</f>
        <v>35</v>
      </c>
      <c r="O649" s="10">
        <f ca="1">IFERROR(__xludf.DUMMYFUNCTION("""COMPUTED_VALUE"""),420000)</f>
        <v>420000</v>
      </c>
      <c r="P649" s="10"/>
      <c r="Q649" s="67">
        <f ca="1">IFERROR(__xludf.DUMMYFUNCTION("""COMPUTED_VALUE"""),45574)</f>
        <v>45574</v>
      </c>
    </row>
    <row r="650" spans="1:17" ht="12.5">
      <c r="A650" s="82">
        <f t="array" aca="1" ref="A650" ca="1">INDEX('Database Mitra'!$R$2:$R1001,MATCH(C650,'Database Mitra'!$B$2:$B1001,0))</f>
        <v>36154</v>
      </c>
      <c r="B650" s="10" t="e">
        <f t="shared" ca="1" si="0"/>
        <v>#NAME?</v>
      </c>
      <c r="C650" s="83">
        <f ca="1">IFERROR(__xludf.DUMMYFUNCTION("""COMPUTED_VALUE"""),610422100108)</f>
        <v>610422100108</v>
      </c>
      <c r="D650" s="10" t="str">
        <f ca="1">IFERROR(__xludf.DUMMYFUNCTION("""COMPUTED_VALUE"""),"SERUTI24-PENGOLAHAN-TRI3")</f>
        <v>SERUTI24-PENGOLAHAN-TRI3</v>
      </c>
      <c r="E650" s="10"/>
      <c r="F650" s="10">
        <f ca="1">IFERROR(__xludf.DUMMYFUNCTION("""COMPUTED_VALUE"""),1)</f>
        <v>1</v>
      </c>
      <c r="G650" s="10" t="str">
        <f ca="1">IFERROR(__xludf.DUMMYFUNCTION("""COMPUTED_VALUE"""),"Ermi Tiyarni")</f>
        <v>Ermi Tiyarni</v>
      </c>
      <c r="H650" s="10" t="str">
        <f ca="1">IFERROR(__xludf.DUMMYFUNCTION("""COMPUTED_VALUE"""),"PETUGAS ENTRI")</f>
        <v>PETUGAS ENTRI</v>
      </c>
      <c r="I650" s="10" t="str">
        <f ca="1">IFERROR(__xludf.DUMMYFUNCTION("""COMPUTED_VALUE"""),"6102016512980004")</f>
        <v>6102016512980004</v>
      </c>
      <c r="J650" s="10" t="str">
        <f ca="1">IFERROR(__xludf.DUMMYFUNCTION("""COMPUTED_VALUE"""),"PENGOLAHAN")</f>
        <v>PENGOLAHAN</v>
      </c>
      <c r="K650" s="10" t="str">
        <f ca="1">IFERROR(__xludf.DUMMYFUNCTION("""COMPUTED_VALUE"""),"SERUTI24-PENGOLAHAN-TRI3-PETUGAS ENTRI-PENGOLAHAN")</f>
        <v>SERUTI24-PENGOLAHAN-TRI3-PETUGAS ENTRI-PENGOLAHAN</v>
      </c>
      <c r="L650" s="10" t="str">
        <f ca="1">IFERROR(__xludf.DUMMYFUNCTION("""COMPUTED_VALUE"""),"Dokumen")</f>
        <v>Dokumen</v>
      </c>
      <c r="M650" s="66">
        <f ca="1">IFERROR(__xludf.DUMMYFUNCTION("""COMPUTED_VALUE"""),12000)</f>
        <v>12000</v>
      </c>
      <c r="N650" s="10">
        <f ca="1">IFERROR(__xludf.DUMMYFUNCTION("""COMPUTED_VALUE"""),35)</f>
        <v>35</v>
      </c>
      <c r="O650" s="10">
        <f ca="1">IFERROR(__xludf.DUMMYFUNCTION("""COMPUTED_VALUE"""),420000)</f>
        <v>420000</v>
      </c>
      <c r="P650" s="10"/>
      <c r="Q650" s="67">
        <f ca="1">IFERROR(__xludf.DUMMYFUNCTION("""COMPUTED_VALUE"""),45574)</f>
        <v>45574</v>
      </c>
    </row>
    <row r="651" spans="1:17" ht="12.5">
      <c r="A651" s="82">
        <f t="array" aca="1" ref="A651" ca="1">INDEX('Database Mitra'!$R$2:$R1001,MATCH(C651,'Database Mitra'!$B$2:$B1001,0))</f>
        <v>37531</v>
      </c>
      <c r="B651" s="10" t="e">
        <f t="shared" ca="1" si="0"/>
        <v>#NAME?</v>
      </c>
      <c r="C651" s="83">
        <f ca="1">IFERROR(__xludf.DUMMYFUNCTION("""COMPUTED_VALUE"""),610422100016)</f>
        <v>610422100016</v>
      </c>
      <c r="D651" s="10" t="str">
        <f ca="1">IFERROR(__xludf.DUMMYFUNCTION("""COMPUTED_VALUE"""),"SERUTI24-PENGOLAHAN-TRI3")</f>
        <v>SERUTI24-PENGOLAHAN-TRI3</v>
      </c>
      <c r="E651" s="10"/>
      <c r="F651" s="10">
        <f ca="1">IFERROR(__xludf.DUMMYFUNCTION("""COMPUTED_VALUE"""),1)</f>
        <v>1</v>
      </c>
      <c r="G651" s="10" t="str">
        <f ca="1">IFERROR(__xludf.DUMMYFUNCTION("""COMPUTED_VALUE"""),"Amalia Faisya")</f>
        <v>Amalia Faisya</v>
      </c>
      <c r="H651" s="10" t="str">
        <f ca="1">IFERROR(__xludf.DUMMYFUNCTION("""COMPUTED_VALUE"""),"PETUGAS ENTRI")</f>
        <v>PETUGAS ENTRI</v>
      </c>
      <c r="I651" s="10" t="str">
        <f ca="1">IFERROR(__xludf.DUMMYFUNCTION("""COMPUTED_VALUE"""),"6102124210010005")</f>
        <v>6102124210010005</v>
      </c>
      <c r="J651" s="10" t="str">
        <f ca="1">IFERROR(__xludf.DUMMYFUNCTION("""COMPUTED_VALUE"""),"PENGOLAHAN")</f>
        <v>PENGOLAHAN</v>
      </c>
      <c r="K651" s="10" t="str">
        <f ca="1">IFERROR(__xludf.DUMMYFUNCTION("""COMPUTED_VALUE"""),"SERUTI24-PENGOLAHAN-TRI3-PETUGAS ENTRI-PENGOLAHAN")</f>
        <v>SERUTI24-PENGOLAHAN-TRI3-PETUGAS ENTRI-PENGOLAHAN</v>
      </c>
      <c r="L651" s="10" t="str">
        <f ca="1">IFERROR(__xludf.DUMMYFUNCTION("""COMPUTED_VALUE"""),"Dokumen")</f>
        <v>Dokumen</v>
      </c>
      <c r="M651" s="66">
        <f ca="1">IFERROR(__xludf.DUMMYFUNCTION("""COMPUTED_VALUE"""),12000)</f>
        <v>12000</v>
      </c>
      <c r="N651" s="10">
        <f ca="1">IFERROR(__xludf.DUMMYFUNCTION("""COMPUTED_VALUE"""),35)</f>
        <v>35</v>
      </c>
      <c r="O651" s="10">
        <f ca="1">IFERROR(__xludf.DUMMYFUNCTION("""COMPUTED_VALUE"""),420000)</f>
        <v>420000</v>
      </c>
      <c r="P651" s="10"/>
      <c r="Q651" s="67">
        <f ca="1">IFERROR(__xludf.DUMMYFUNCTION("""COMPUTED_VALUE"""),45574)</f>
        <v>45574</v>
      </c>
    </row>
    <row r="652" spans="1:17" ht="12.5">
      <c r="A652" s="82">
        <f t="array" aca="1" ref="A652" ca="1">INDEX('Database Mitra'!$R$2:$R1001,MATCH(C652,'Database Mitra'!$B$2:$B1001,0))</f>
        <v>36436</v>
      </c>
      <c r="B652" s="10" t="e">
        <f t="shared" ca="1" si="0"/>
        <v>#NAME?</v>
      </c>
      <c r="C652" s="83">
        <f ca="1">IFERROR(__xludf.DUMMYFUNCTION("""COMPUTED_VALUE"""),610422100274)</f>
        <v>610422100274</v>
      </c>
      <c r="D652" s="10" t="str">
        <f ca="1">IFERROR(__xludf.DUMMYFUNCTION("""COMPUTED_VALUE"""),"SERUTI24-PENGOLAHAN-TRI3")</f>
        <v>SERUTI24-PENGOLAHAN-TRI3</v>
      </c>
      <c r="E652" s="10"/>
      <c r="F652" s="10">
        <f ca="1">IFERROR(__xludf.DUMMYFUNCTION("""COMPUTED_VALUE"""),1)</f>
        <v>1</v>
      </c>
      <c r="G652" s="10" t="str">
        <f ca="1">IFERROR(__xludf.DUMMYFUNCTION("""COMPUTED_VALUE"""),"Anisatunnabilah")</f>
        <v>Anisatunnabilah</v>
      </c>
      <c r="H652" s="10" t="str">
        <f ca="1">IFERROR(__xludf.DUMMYFUNCTION("""COMPUTED_VALUE"""),"PETUGAS ENTRI")</f>
        <v>PETUGAS ENTRI</v>
      </c>
      <c r="I652" s="10" t="str">
        <f ca="1">IFERROR(__xludf.DUMMYFUNCTION("""COMPUTED_VALUE"""),"6102184310990001")</f>
        <v>6102184310990001</v>
      </c>
      <c r="J652" s="10" t="str">
        <f ca="1">IFERROR(__xludf.DUMMYFUNCTION("""COMPUTED_VALUE"""),"PENGOLAHAN")</f>
        <v>PENGOLAHAN</v>
      </c>
      <c r="K652" s="10" t="str">
        <f ca="1">IFERROR(__xludf.DUMMYFUNCTION("""COMPUTED_VALUE"""),"SERUTI24-PENGOLAHAN-TRI3-PETUGAS ENTRI-PENGOLAHAN")</f>
        <v>SERUTI24-PENGOLAHAN-TRI3-PETUGAS ENTRI-PENGOLAHAN</v>
      </c>
      <c r="L652" s="10" t="str">
        <f ca="1">IFERROR(__xludf.DUMMYFUNCTION("""COMPUTED_VALUE"""),"Dokumen")</f>
        <v>Dokumen</v>
      </c>
      <c r="M652" s="66">
        <f ca="1">IFERROR(__xludf.DUMMYFUNCTION("""COMPUTED_VALUE"""),12000)</f>
        <v>12000</v>
      </c>
      <c r="N652" s="10">
        <f ca="1">IFERROR(__xludf.DUMMYFUNCTION("""COMPUTED_VALUE"""),35)</f>
        <v>35</v>
      </c>
      <c r="O652" s="10">
        <f ca="1">IFERROR(__xludf.DUMMYFUNCTION("""COMPUTED_VALUE"""),420000)</f>
        <v>420000</v>
      </c>
      <c r="P652" s="10"/>
      <c r="Q652" s="67">
        <f ca="1">IFERROR(__xludf.DUMMYFUNCTION("""COMPUTED_VALUE"""),45574)</f>
        <v>45574</v>
      </c>
    </row>
    <row r="653" spans="1:17" ht="12.5">
      <c r="A653" s="10" t="e">
        <f t="array" ref="A653">INDEX('Database Mitra'!$R$2:$R1001,MATCH(C653,'Database Mitra'!$B$2:$B1001,0))</f>
        <v>#N/A</v>
      </c>
      <c r="B653" s="10" t="e">
        <f t="shared" ca="1" si="0"/>
        <v>#NAME?</v>
      </c>
      <c r="C653" s="83"/>
      <c r="D653" s="10"/>
      <c r="E653" s="10"/>
      <c r="F653" s="10"/>
      <c r="G653" s="10"/>
      <c r="H653" s="10"/>
      <c r="I653" s="10"/>
      <c r="J653" s="10"/>
      <c r="K653" s="10"/>
      <c r="L653" s="10"/>
      <c r="M653" s="66"/>
      <c r="N653" s="10"/>
      <c r="O653" s="10"/>
      <c r="P653" s="70"/>
      <c r="Q653" s="67"/>
    </row>
    <row r="654" spans="1:17" ht="12.5">
      <c r="A654" s="10" t="e">
        <f t="array" ref="A654">INDEX('Database Mitra'!$R$2:$R1001,MATCH(C654,'Database Mitra'!$B$2:$B1001,0))</f>
        <v>#N/A</v>
      </c>
      <c r="B654" s="10" t="e">
        <f t="shared" ca="1" si="0"/>
        <v>#NAME?</v>
      </c>
      <c r="C654" s="83"/>
      <c r="D654" s="10"/>
      <c r="E654" s="10"/>
      <c r="F654" s="10"/>
      <c r="G654" s="10"/>
      <c r="H654" s="10"/>
      <c r="I654" s="10"/>
      <c r="J654" s="10"/>
      <c r="K654" s="10"/>
      <c r="L654" s="10"/>
      <c r="M654" s="66"/>
      <c r="N654" s="10"/>
      <c r="O654" s="10"/>
      <c r="P654" s="70"/>
      <c r="Q654" s="67"/>
    </row>
    <row r="655" spans="1:17" ht="12.5">
      <c r="A655" s="10" t="e">
        <f t="array" ref="A655">INDEX('Database Mitra'!$R$2:$R1001,MATCH(C655,'Database Mitra'!$B$2:$B1001,0))</f>
        <v>#N/A</v>
      </c>
      <c r="B655" s="10" t="e">
        <f t="shared" ca="1" si="0"/>
        <v>#NAME?</v>
      </c>
      <c r="C655" s="83"/>
      <c r="D655" s="10"/>
      <c r="E655" s="10"/>
      <c r="F655" s="10"/>
      <c r="G655" s="10"/>
      <c r="H655" s="10"/>
      <c r="I655" s="10"/>
      <c r="J655" s="10"/>
      <c r="K655" s="10"/>
      <c r="L655" s="10"/>
      <c r="M655" s="66"/>
      <c r="N655" s="10"/>
      <c r="O655" s="10"/>
      <c r="P655" s="70"/>
      <c r="Q655" s="67"/>
    </row>
    <row r="656" spans="1:17" ht="12.5">
      <c r="A656" s="10" t="e">
        <f t="array" ref="A656">INDEX('Database Mitra'!$R$2:$R1001,MATCH(C656,'Database Mitra'!$B$2:$B1001,0))</f>
        <v>#N/A</v>
      </c>
      <c r="B656" s="10" t="e">
        <f t="shared" ca="1" si="0"/>
        <v>#NAME?</v>
      </c>
      <c r="C656" s="83"/>
      <c r="D656" s="10"/>
      <c r="E656" s="10"/>
      <c r="F656" s="10"/>
      <c r="G656" s="10"/>
      <c r="H656" s="10"/>
      <c r="I656" s="10"/>
      <c r="J656" s="10"/>
      <c r="K656" s="10"/>
      <c r="L656" s="10"/>
      <c r="M656" s="66"/>
      <c r="N656" s="10"/>
      <c r="O656" s="10"/>
      <c r="P656" s="70"/>
      <c r="Q656" s="67"/>
    </row>
    <row r="657" spans="1:17" ht="12.5">
      <c r="A657" s="10" t="e">
        <f t="array" ref="A657">INDEX('Database Mitra'!$R$2:$R1001,MATCH(C657,'Database Mitra'!$B$2:$B1001,0))</f>
        <v>#N/A</v>
      </c>
      <c r="B657" s="10" t="e">
        <f t="shared" ca="1" si="0"/>
        <v>#NAME?</v>
      </c>
      <c r="C657" s="83"/>
      <c r="D657" s="10"/>
      <c r="E657" s="10"/>
      <c r="F657" s="10"/>
      <c r="G657" s="10"/>
      <c r="H657" s="10"/>
      <c r="I657" s="10"/>
      <c r="J657" s="10"/>
      <c r="K657" s="10"/>
      <c r="L657" s="10"/>
      <c r="M657" s="66"/>
      <c r="N657" s="10"/>
      <c r="O657" s="10"/>
      <c r="P657" s="70"/>
      <c r="Q657" s="67"/>
    </row>
    <row r="658" spans="1:17" ht="12.5">
      <c r="A658" s="10" t="e">
        <f t="array" ref="A658">INDEX('Database Mitra'!$R$2:$R1001,MATCH(C658,'Database Mitra'!$B$2:$B1001,0))</f>
        <v>#N/A</v>
      </c>
      <c r="B658" s="10" t="e">
        <f t="shared" ca="1" si="0"/>
        <v>#NAME?</v>
      </c>
      <c r="C658" s="83"/>
    </row>
    <row r="659" spans="1:17" ht="12.5">
      <c r="A659" s="10" t="e">
        <f t="array" ref="A659">INDEX('Database Mitra'!$R$2:$R1001,MATCH(C659,'Database Mitra'!$B$2:$B1001,0))</f>
        <v>#N/A</v>
      </c>
      <c r="B659" s="10" t="e">
        <f t="shared" ca="1" si="0"/>
        <v>#NAME?</v>
      </c>
      <c r="C659" s="83"/>
    </row>
    <row r="660" spans="1:17" ht="12.5">
      <c r="A660" s="10" t="e">
        <f t="array" ref="A660">INDEX('Database Mitra'!$R$2:$R1001,MATCH(C660,'Database Mitra'!$B$2:$B1001,0))</f>
        <v>#N/A</v>
      </c>
      <c r="B660" s="10" t="e">
        <f t="shared" ca="1" si="0"/>
        <v>#NAME?</v>
      </c>
      <c r="C660" s="83"/>
    </row>
    <row r="661" spans="1:17" ht="12.5">
      <c r="A661" s="10" t="e">
        <f t="array" ref="A661">INDEX('Database Mitra'!$R$2:$R1001,MATCH(C661,'Database Mitra'!$B$2:$B1001,0))</f>
        <v>#N/A</v>
      </c>
      <c r="B661" s="10" t="e">
        <f t="shared" ca="1" si="0"/>
        <v>#NAME?</v>
      </c>
      <c r="C661" s="83"/>
    </row>
    <row r="662" spans="1:17" ht="12.5">
      <c r="A662" s="10" t="e">
        <f t="array" ref="A662">INDEX('Database Mitra'!$R$2:$R1001,MATCH(C662,'Database Mitra'!$B$2:$B1001,0))</f>
        <v>#N/A</v>
      </c>
      <c r="B662" s="10" t="e">
        <f t="shared" ca="1" si="0"/>
        <v>#NAME?</v>
      </c>
      <c r="C662" s="83"/>
    </row>
    <row r="663" spans="1:17" ht="12.5">
      <c r="A663" s="10" t="e">
        <f t="array" ref="A663">INDEX('Database Mitra'!$R$2:$R1001,MATCH(C663,'Database Mitra'!$B$2:$B1001,0))</f>
        <v>#N/A</v>
      </c>
      <c r="B663" s="10" t="e">
        <f t="shared" ca="1" si="0"/>
        <v>#NAME?</v>
      </c>
      <c r="C663" s="83"/>
    </row>
    <row r="664" spans="1:17" ht="12.5">
      <c r="A664" s="10" t="e">
        <f t="array" ref="A664">INDEX('Database Mitra'!$R$2:$R1001,MATCH(C664,'Database Mitra'!$B$2:$B1001,0))</f>
        <v>#N/A</v>
      </c>
      <c r="B664" s="10" t="e">
        <f t="shared" ca="1" si="0"/>
        <v>#NAME?</v>
      </c>
      <c r="C664" s="83"/>
    </row>
    <row r="665" spans="1:17" ht="12.5">
      <c r="A665" s="10" t="e">
        <f t="array" ref="A665">INDEX('Database Mitra'!$R$2:$R1001,MATCH(C665,'Database Mitra'!$B$2:$B1001,0))</f>
        <v>#N/A</v>
      </c>
      <c r="B665" s="10" t="e">
        <f t="shared" ca="1" si="0"/>
        <v>#NAME?</v>
      </c>
      <c r="C665" s="83"/>
    </row>
    <row r="666" spans="1:17" ht="12.5">
      <c r="A666" s="10" t="e">
        <f t="array" ref="A666">INDEX('Database Mitra'!$R$2:$R1001,MATCH(C666,'Database Mitra'!$B$2:$B1001,0))</f>
        <v>#N/A</v>
      </c>
      <c r="B666" s="10" t="e">
        <f t="shared" ca="1" si="0"/>
        <v>#NAME?</v>
      </c>
      <c r="C666" s="83"/>
    </row>
    <row r="667" spans="1:17" ht="12.5">
      <c r="A667" s="10" t="e">
        <f t="array" ref="A667">INDEX('Database Mitra'!$R$2:$R1001,MATCH(C667,'Database Mitra'!$B$2:$B1001,0))</f>
        <v>#N/A</v>
      </c>
      <c r="B667" s="10" t="e">
        <f t="shared" ca="1" si="0"/>
        <v>#NAME?</v>
      </c>
      <c r="C667" s="83"/>
    </row>
    <row r="668" spans="1:17" ht="12.5">
      <c r="A668" s="10" t="e">
        <f t="array" ref="A668">INDEX('Database Mitra'!$R$2:$R1001,MATCH(C668,'Database Mitra'!$B$2:$B1001,0))</f>
        <v>#N/A</v>
      </c>
      <c r="B668" s="10" t="e">
        <f t="shared" ca="1" si="0"/>
        <v>#NAME?</v>
      </c>
      <c r="C668" s="83"/>
    </row>
    <row r="669" spans="1:17" ht="12.5">
      <c r="A669" s="10" t="e">
        <f t="array" ref="A669">INDEX('Database Mitra'!$R$2:$R1001,MATCH(C669,'Database Mitra'!$B$2:$B1001,0))</f>
        <v>#N/A</v>
      </c>
      <c r="B669" s="10" t="e">
        <f t="shared" ca="1" si="0"/>
        <v>#NAME?</v>
      </c>
      <c r="C669" s="83"/>
    </row>
    <row r="670" spans="1:17" ht="12.5">
      <c r="A670" s="10" t="e">
        <f t="array" ref="A670">INDEX('Database Mitra'!$R$2:$R1001,MATCH(C670,'Database Mitra'!$B$2:$B1001,0))</f>
        <v>#N/A</v>
      </c>
      <c r="B670" s="10" t="e">
        <f t="shared" ca="1" si="0"/>
        <v>#NAME?</v>
      </c>
      <c r="C670" s="83"/>
    </row>
    <row r="671" spans="1:17" ht="12.5">
      <c r="A671" s="10" t="e">
        <f t="array" ref="A671">INDEX('Database Mitra'!$R$2:$R1001,MATCH(C671,'Database Mitra'!$B$2:$B1001,0))</f>
        <v>#N/A</v>
      </c>
      <c r="B671" s="10" t="e">
        <f t="shared" ca="1" si="0"/>
        <v>#NAME?</v>
      </c>
      <c r="C671" s="83"/>
    </row>
    <row r="672" spans="1:17" ht="12.5">
      <c r="A672" s="10" t="e">
        <f t="array" ref="A672">INDEX('Database Mitra'!$R$2:$R1001,MATCH(C672,'Database Mitra'!$B$2:$B1001,0))</f>
        <v>#N/A</v>
      </c>
      <c r="B672" s="10" t="e">
        <f t="shared" ca="1" si="0"/>
        <v>#NAME?</v>
      </c>
      <c r="C672" s="83"/>
    </row>
    <row r="673" spans="1:3" ht="12.5">
      <c r="A673" s="10" t="e">
        <f t="array" ref="A673">INDEX('Database Mitra'!$R$2:$R1001,MATCH(C673,'Database Mitra'!$B$2:$B1001,0))</f>
        <v>#N/A</v>
      </c>
      <c r="B673" s="10" t="e">
        <f t="shared" ca="1" si="0"/>
        <v>#NAME?</v>
      </c>
      <c r="C673" s="83"/>
    </row>
    <row r="674" spans="1:3" ht="12.5">
      <c r="A674" s="10" t="e">
        <f t="array" ref="A674">INDEX('Database Mitra'!$R$2:$R1001,MATCH(C674,'Database Mitra'!$B$2:$B1001,0))</f>
        <v>#N/A</v>
      </c>
      <c r="B674" s="10" t="e">
        <f t="shared" ca="1" si="0"/>
        <v>#NAME?</v>
      </c>
      <c r="C674" s="83"/>
    </row>
    <row r="675" spans="1:3" ht="12.5">
      <c r="A675" s="10" t="e">
        <f t="array" ref="A675">INDEX('Database Mitra'!$R$2:$R1001,MATCH(C675,'Database Mitra'!$B$2:$B1001,0))</f>
        <v>#N/A</v>
      </c>
      <c r="B675" s="10" t="e">
        <f t="shared" ca="1" si="0"/>
        <v>#NAME?</v>
      </c>
      <c r="C675" s="83"/>
    </row>
    <row r="676" spans="1:3" ht="12.5">
      <c r="A676" s="10" t="e">
        <f t="array" ref="A676">INDEX('Database Mitra'!$R$2:$R1001,MATCH(C676,'Database Mitra'!$B$2:$B1001,0))</f>
        <v>#N/A</v>
      </c>
      <c r="B676" s="10" t="e">
        <f t="shared" ca="1" si="0"/>
        <v>#NAME?</v>
      </c>
      <c r="C676" s="83"/>
    </row>
    <row r="677" spans="1:3" ht="12.5">
      <c r="A677" s="10" t="e">
        <f t="array" ref="A677">INDEX('Database Mitra'!$R$2:$R1001,MATCH(C677,'Database Mitra'!$B$2:$B1001,0))</f>
        <v>#N/A</v>
      </c>
      <c r="B677" s="10" t="e">
        <f t="shared" ca="1" si="0"/>
        <v>#NAME?</v>
      </c>
      <c r="C677" s="83"/>
    </row>
    <row r="678" spans="1:3" ht="12.5">
      <c r="A678" s="10" t="e">
        <f t="array" ref="A678">INDEX('Database Mitra'!$R$2:$R1001,MATCH(C678,'Database Mitra'!$B$2:$B1001,0))</f>
        <v>#N/A</v>
      </c>
      <c r="B678" s="10" t="e">
        <f t="shared" ca="1" si="0"/>
        <v>#NAME?</v>
      </c>
      <c r="C678" s="83"/>
    </row>
    <row r="679" spans="1:3" ht="12.5">
      <c r="A679" s="10" t="e">
        <f t="array" ref="A679">INDEX('Database Mitra'!$R$2:$R1001,MATCH(C679,'Database Mitra'!$B$2:$B1001,0))</f>
        <v>#N/A</v>
      </c>
      <c r="B679" s="10" t="e">
        <f t="shared" ca="1" si="0"/>
        <v>#NAME?</v>
      </c>
      <c r="C679" s="83"/>
    </row>
    <row r="680" spans="1:3" ht="12.5">
      <c r="A680" s="10" t="e">
        <f t="array" ref="A680">INDEX('Database Mitra'!$R$2:$R1001,MATCH(C680,'Database Mitra'!$B$2:$B1001,0))</f>
        <v>#N/A</v>
      </c>
      <c r="B680" s="10" t="e">
        <f t="shared" ca="1" si="0"/>
        <v>#NAME?</v>
      </c>
      <c r="C680" s="83"/>
    </row>
    <row r="681" spans="1:3" ht="12.5">
      <c r="A681" s="10" t="e">
        <f t="array" ref="A681">INDEX('Database Mitra'!$R$2:$R1001,MATCH(C681,'Database Mitra'!$B$2:$B1001,0))</f>
        <v>#N/A</v>
      </c>
      <c r="B681" s="10" t="e">
        <f t="shared" ca="1" si="0"/>
        <v>#NAME?</v>
      </c>
      <c r="C681" s="83"/>
    </row>
    <row r="682" spans="1:3" ht="12.5">
      <c r="A682" s="10" t="e">
        <f t="array" ref="A682">INDEX('Database Mitra'!$R$2:$R1001,MATCH(C682,'Database Mitra'!$B$2:$B1001,0))</f>
        <v>#N/A</v>
      </c>
      <c r="B682" s="10" t="e">
        <f t="shared" ca="1" si="0"/>
        <v>#NAME?</v>
      </c>
      <c r="C682" s="83"/>
    </row>
    <row r="683" spans="1:3" ht="12.5">
      <c r="A683" s="10" t="e">
        <f t="array" ref="A683">INDEX('Database Mitra'!$R$2:$R1001,MATCH(C683,'Database Mitra'!$B$2:$B1001,0))</f>
        <v>#N/A</v>
      </c>
      <c r="B683" s="10" t="e">
        <f t="shared" ca="1" si="0"/>
        <v>#NAME?</v>
      </c>
      <c r="C683" s="83"/>
    </row>
    <row r="684" spans="1:3" ht="12.5">
      <c r="A684" s="10" t="e">
        <f t="array" ref="A684">INDEX('Database Mitra'!$R$2:$R1001,MATCH(C684,'Database Mitra'!$B$2:$B1001,0))</f>
        <v>#N/A</v>
      </c>
      <c r="B684" s="10" t="e">
        <f t="shared" ca="1" si="0"/>
        <v>#NAME?</v>
      </c>
      <c r="C684" s="83"/>
    </row>
    <row r="685" spans="1:3" ht="12.5">
      <c r="A685" s="10" t="e">
        <f t="array" ref="A685">INDEX('Database Mitra'!$R$2:$R1001,MATCH(C685,'Database Mitra'!$B$2:$B1001,0))</f>
        <v>#N/A</v>
      </c>
      <c r="B685" s="10" t="e">
        <f t="shared" ca="1" si="0"/>
        <v>#NAME?</v>
      </c>
      <c r="C685" s="83"/>
    </row>
    <row r="686" spans="1:3" ht="12.5">
      <c r="A686" s="10" t="e">
        <f t="array" ref="A686">INDEX('Database Mitra'!$R$2:$R1001,MATCH(C686,'Database Mitra'!$B$2:$B1001,0))</f>
        <v>#N/A</v>
      </c>
      <c r="B686" s="10" t="e">
        <f t="shared" ca="1" si="0"/>
        <v>#NAME?</v>
      </c>
      <c r="C686" s="83"/>
    </row>
    <row r="687" spans="1:3" ht="12.5">
      <c r="A687" s="10" t="e">
        <f t="array" ref="A687">INDEX('Database Mitra'!$R$2:$R1001,MATCH(C687,'Database Mitra'!$B$2:$B1001,0))</f>
        <v>#N/A</v>
      </c>
      <c r="B687" s="10" t="e">
        <f t="shared" ca="1" si="0"/>
        <v>#NAME?</v>
      </c>
      <c r="C687" s="83"/>
    </row>
    <row r="688" spans="1:3" ht="12.5">
      <c r="A688" s="10" t="e">
        <f t="array" ref="A688">INDEX('Database Mitra'!$R$2:$R1001,MATCH(C688,'Database Mitra'!$B$2:$B1001,0))</f>
        <v>#N/A</v>
      </c>
      <c r="B688" s="10" t="e">
        <f t="shared" ca="1" si="0"/>
        <v>#NAME?</v>
      </c>
      <c r="C688" s="83"/>
    </row>
    <row r="689" spans="1:3" ht="12.5">
      <c r="A689" s="10" t="e">
        <f t="array" ref="A689">INDEX('Database Mitra'!$R$2:$R1001,MATCH(C689,'Database Mitra'!$B$2:$B1001,0))</f>
        <v>#N/A</v>
      </c>
      <c r="B689" s="10" t="e">
        <f t="shared" ca="1" si="0"/>
        <v>#NAME?</v>
      </c>
      <c r="C689" s="83"/>
    </row>
    <row r="690" spans="1:3" ht="12.5">
      <c r="A690" s="10" t="e">
        <f t="array" ref="A690">INDEX('Database Mitra'!$R$2:$R1001,MATCH(C690,'Database Mitra'!$B$2:$B1001,0))</f>
        <v>#N/A</v>
      </c>
      <c r="B690" s="10" t="e">
        <f t="shared" ca="1" si="0"/>
        <v>#NAME?</v>
      </c>
      <c r="C690" s="83"/>
    </row>
    <row r="691" spans="1:3" ht="12.5">
      <c r="A691" s="10" t="e">
        <f t="array" ref="A691">INDEX('Database Mitra'!$R$2:$R1001,MATCH(C691,'Database Mitra'!$B$2:$B1001,0))</f>
        <v>#N/A</v>
      </c>
      <c r="B691" s="10" t="e">
        <f t="shared" ca="1" si="0"/>
        <v>#NAME?</v>
      </c>
      <c r="C691" s="83"/>
    </row>
    <row r="692" spans="1:3" ht="12.5">
      <c r="A692" s="10" t="e">
        <f t="array" ref="A692">INDEX('Database Mitra'!$R$2:$R1001,MATCH(C692,'Database Mitra'!$B$2:$B1001,0))</f>
        <v>#N/A</v>
      </c>
      <c r="B692" s="10" t="e">
        <f t="shared" ca="1" si="0"/>
        <v>#NAME?</v>
      </c>
      <c r="C692" s="83"/>
    </row>
    <row r="693" spans="1:3" ht="12.5">
      <c r="A693" s="10" t="e">
        <f t="array" ref="A693">INDEX('Database Mitra'!$R$2:$R1001,MATCH(C693,'Database Mitra'!$B$2:$B1001,0))</f>
        <v>#N/A</v>
      </c>
      <c r="B693" s="10" t="e">
        <f t="shared" ca="1" si="0"/>
        <v>#NAME?</v>
      </c>
      <c r="C693" s="83"/>
    </row>
    <row r="694" spans="1:3" ht="12.5">
      <c r="A694" s="10" t="e">
        <f t="array" ref="A694">INDEX('Database Mitra'!$R$2:$R1001,MATCH(C694,'Database Mitra'!$B$2:$B1001,0))</f>
        <v>#N/A</v>
      </c>
      <c r="B694" s="10" t="e">
        <f t="shared" ca="1" si="0"/>
        <v>#NAME?</v>
      </c>
      <c r="C694" s="83"/>
    </row>
    <row r="695" spans="1:3" ht="12.5">
      <c r="A695" s="10" t="e">
        <f t="array" ref="A695">INDEX('Database Mitra'!$R$2:$R1001,MATCH(C695,'Database Mitra'!$B$2:$B1001,0))</f>
        <v>#N/A</v>
      </c>
      <c r="B695" s="10" t="e">
        <f t="shared" ca="1" si="0"/>
        <v>#NAME?</v>
      </c>
      <c r="C695" s="83"/>
    </row>
    <row r="696" spans="1:3" ht="12.5">
      <c r="A696" s="10" t="e">
        <f t="array" ref="A696">INDEX('Database Mitra'!$R$2:$R1001,MATCH(C696,'Database Mitra'!$B$2:$B1001,0))</f>
        <v>#N/A</v>
      </c>
      <c r="B696" s="10" t="e">
        <f t="shared" ca="1" si="0"/>
        <v>#NAME?</v>
      </c>
      <c r="C696" s="83"/>
    </row>
    <row r="697" spans="1:3" ht="12.5">
      <c r="A697" s="10" t="e">
        <f t="array" ref="A697">INDEX('Database Mitra'!$R$2:$R1001,MATCH(C697,'Database Mitra'!$B$2:$B1001,0))</f>
        <v>#N/A</v>
      </c>
      <c r="B697" s="10" t="e">
        <f t="shared" ca="1" si="0"/>
        <v>#NAME?</v>
      </c>
      <c r="C697" s="83"/>
    </row>
    <row r="698" spans="1:3" ht="12.5">
      <c r="A698" s="10" t="e">
        <f t="array" ref="A698">INDEX('Database Mitra'!$R$2:$R1001,MATCH(C698,'Database Mitra'!$B$2:$B1001,0))</f>
        <v>#N/A</v>
      </c>
      <c r="B698" s="10" t="e">
        <f t="shared" ca="1" si="0"/>
        <v>#NAME?</v>
      </c>
      <c r="C698" s="83"/>
    </row>
    <row r="699" spans="1:3" ht="12.5">
      <c r="A699" s="10" t="e">
        <f t="array" ref="A699">INDEX('Database Mitra'!$R$2:$R1001,MATCH(C699,'Database Mitra'!$B$2:$B1001,0))</f>
        <v>#N/A</v>
      </c>
      <c r="B699" s="10" t="e">
        <f t="shared" ca="1" si="0"/>
        <v>#NAME?</v>
      </c>
      <c r="C699" s="83"/>
    </row>
    <row r="700" spans="1:3" ht="12.5">
      <c r="A700" s="10" t="e">
        <f t="array" ref="A700">INDEX('Database Mitra'!$R$2:$R1001,MATCH(C700,'Database Mitra'!$B$2:$B1001,0))</f>
        <v>#N/A</v>
      </c>
      <c r="B700" s="10" t="e">
        <f t="shared" ca="1" si="0"/>
        <v>#NAME?</v>
      </c>
      <c r="C700" s="83"/>
    </row>
    <row r="701" spans="1:3" ht="12.5">
      <c r="A701" s="10" t="e">
        <f t="array" ref="A701">INDEX('Database Mitra'!$R$2:$R1001,MATCH(C701,'Database Mitra'!$B$2:$B1001,0))</f>
        <v>#N/A</v>
      </c>
      <c r="B701" s="10" t="e">
        <f t="shared" ca="1" si="0"/>
        <v>#NAME?</v>
      </c>
      <c r="C701" s="83"/>
    </row>
    <row r="702" spans="1:3" ht="12.5">
      <c r="A702" s="10" t="e">
        <f t="array" ref="A702">INDEX('Database Mitra'!$R$2:$R1001,MATCH(C702,'Database Mitra'!$B$2:$B1001,0))</f>
        <v>#N/A</v>
      </c>
      <c r="B702" s="10" t="e">
        <f t="shared" ca="1" si="0"/>
        <v>#NAME?</v>
      </c>
      <c r="C702" s="83"/>
    </row>
    <row r="703" spans="1:3" ht="12.5">
      <c r="A703" s="10" t="e">
        <f t="array" ref="A703">INDEX('Database Mitra'!$R$2:$R1001,MATCH(C703,'Database Mitra'!$B$2:$B1001,0))</f>
        <v>#N/A</v>
      </c>
      <c r="B703" s="10" t="e">
        <f t="shared" ca="1" si="0"/>
        <v>#NAME?</v>
      </c>
      <c r="C703" s="83"/>
    </row>
    <row r="704" spans="1:3" ht="12.5">
      <c r="A704" s="10" t="e">
        <f t="array" ref="A704">INDEX('Database Mitra'!$R$2:$R1001,MATCH(C704,'Database Mitra'!$B$2:$B1001,0))</f>
        <v>#N/A</v>
      </c>
      <c r="B704" s="10" t="e">
        <f t="shared" ca="1" si="0"/>
        <v>#NAME?</v>
      </c>
      <c r="C704" s="83"/>
    </row>
    <row r="705" spans="1:3" ht="12.5">
      <c r="A705" s="10" t="e">
        <f t="array" ref="A705">INDEX('Database Mitra'!$R$2:$R1001,MATCH(C705,'Database Mitra'!$B$2:$B1001,0))</f>
        <v>#N/A</v>
      </c>
      <c r="B705" s="10" t="e">
        <f t="shared" ca="1" si="0"/>
        <v>#NAME?</v>
      </c>
      <c r="C705" s="83"/>
    </row>
    <row r="706" spans="1:3" ht="12.5">
      <c r="A706" s="10" t="e">
        <f t="array" ref="A706">INDEX('Database Mitra'!$R$2:$R1001,MATCH(C706,'Database Mitra'!$B$2:$B1001,0))</f>
        <v>#N/A</v>
      </c>
      <c r="B706" s="10" t="e">
        <f t="shared" ca="1" si="0"/>
        <v>#NAME?</v>
      </c>
      <c r="C706" s="83"/>
    </row>
    <row r="707" spans="1:3" ht="12.5">
      <c r="A707" s="10" t="e">
        <f t="array" ref="A707">INDEX('Database Mitra'!$R$2:$R1001,MATCH(C707,'Database Mitra'!$B$2:$B1001,0))</f>
        <v>#N/A</v>
      </c>
      <c r="B707" s="10" t="e">
        <f t="shared" ca="1" si="0"/>
        <v>#NAME?</v>
      </c>
      <c r="C707" s="83"/>
    </row>
    <row r="708" spans="1:3" ht="12.5">
      <c r="A708" s="10" t="e">
        <f t="array" ref="A708">INDEX('Database Mitra'!$R$2:$R1001,MATCH(C708,'Database Mitra'!$B$2:$B1001,0))</f>
        <v>#N/A</v>
      </c>
      <c r="B708" s="10" t="e">
        <f t="shared" ca="1" si="0"/>
        <v>#NAME?</v>
      </c>
      <c r="C708" s="83"/>
    </row>
    <row r="709" spans="1:3" ht="12.5">
      <c r="A709" s="10" t="e">
        <f t="array" ref="A709">INDEX('Database Mitra'!$R$2:$R1001,MATCH(C709,'Database Mitra'!$B$2:$B1001,0))</f>
        <v>#N/A</v>
      </c>
      <c r="B709" s="10" t="e">
        <f t="shared" ca="1" si="0"/>
        <v>#NAME?</v>
      </c>
      <c r="C709" s="83"/>
    </row>
    <row r="710" spans="1:3" ht="12.5">
      <c r="A710" s="10" t="e">
        <f t="array" ref="A710">INDEX('Database Mitra'!$R$2:$R1001,MATCH(C710,'Database Mitra'!$B$2:$B1001,0))</f>
        <v>#N/A</v>
      </c>
      <c r="B710" s="10" t="e">
        <f t="shared" ca="1" si="0"/>
        <v>#NAME?</v>
      </c>
      <c r="C710" s="83"/>
    </row>
    <row r="711" spans="1:3" ht="12.5">
      <c r="A711" s="10" t="e">
        <f t="array" ref="A711">INDEX('Database Mitra'!$R$2:$R1001,MATCH(C711,'Database Mitra'!$B$2:$B1001,0))</f>
        <v>#N/A</v>
      </c>
      <c r="B711" s="10" t="e">
        <f t="shared" ca="1" si="0"/>
        <v>#NAME?</v>
      </c>
      <c r="C711" s="83"/>
    </row>
    <row r="712" spans="1:3" ht="12.5">
      <c r="A712" s="10" t="e">
        <f t="array" ref="A712">INDEX('Database Mitra'!$R$2:$R1001,MATCH(C712,'Database Mitra'!$B$2:$B1001,0))</f>
        <v>#N/A</v>
      </c>
      <c r="B712" s="10" t="e">
        <f t="shared" ca="1" si="0"/>
        <v>#NAME?</v>
      </c>
      <c r="C712" s="83"/>
    </row>
    <row r="713" spans="1:3" ht="12.5">
      <c r="A713" s="10" t="e">
        <f t="array" ref="A713">INDEX('Database Mitra'!$R$2:$R1001,MATCH(C713,'Database Mitra'!$B$2:$B1001,0))</f>
        <v>#N/A</v>
      </c>
      <c r="B713" s="10" t="e">
        <f t="shared" ca="1" si="0"/>
        <v>#NAME?</v>
      </c>
      <c r="C713" s="83"/>
    </row>
    <row r="714" spans="1:3" ht="12.5">
      <c r="A714" s="10" t="e">
        <f t="array" ref="A714">INDEX('Database Mitra'!$R$2:$R1001,MATCH(C714,'Database Mitra'!$B$2:$B1001,0))</f>
        <v>#N/A</v>
      </c>
      <c r="B714" s="10" t="e">
        <f t="shared" ca="1" si="0"/>
        <v>#NAME?</v>
      </c>
      <c r="C714" s="83"/>
    </row>
    <row r="715" spans="1:3" ht="12.5">
      <c r="A715" s="10" t="e">
        <f t="array" ref="A715">INDEX('Database Mitra'!$R$2:$R1001,MATCH(C715,'Database Mitra'!$B$2:$B1001,0))</f>
        <v>#N/A</v>
      </c>
      <c r="B715" s="10" t="e">
        <f t="shared" ca="1" si="0"/>
        <v>#NAME?</v>
      </c>
      <c r="C715" s="83"/>
    </row>
    <row r="716" spans="1:3" ht="12.5">
      <c r="A716" s="10" t="e">
        <f t="array" ref="A716">INDEX('Database Mitra'!$R$2:$R1001,MATCH(C716,'Database Mitra'!$B$2:$B1001,0))</f>
        <v>#N/A</v>
      </c>
      <c r="B716" s="10" t="e">
        <f t="shared" ca="1" si="0"/>
        <v>#NAME?</v>
      </c>
      <c r="C716" s="83"/>
    </row>
    <row r="717" spans="1:3" ht="12.5">
      <c r="A717" s="10" t="e">
        <f t="array" ref="A717">INDEX('Database Mitra'!$R$2:$R1001,MATCH(C717,'Database Mitra'!$B$2:$B1001,0))</f>
        <v>#N/A</v>
      </c>
      <c r="B717" s="10" t="e">
        <f t="shared" ca="1" si="0"/>
        <v>#NAME?</v>
      </c>
      <c r="C717" s="83"/>
    </row>
    <row r="718" spans="1:3" ht="12.5">
      <c r="A718" s="10" t="e">
        <f t="array" ref="A718">INDEX('Database Mitra'!$R$2:$R1001,MATCH(C718,'Database Mitra'!$B$2:$B1001,0))</f>
        <v>#N/A</v>
      </c>
      <c r="B718" s="10" t="e">
        <f t="shared" ca="1" si="0"/>
        <v>#NAME?</v>
      </c>
      <c r="C718" s="83"/>
    </row>
    <row r="719" spans="1:3" ht="12.5">
      <c r="A719" s="10" t="e">
        <f t="array" ref="A719">INDEX('Database Mitra'!$R$2:$R1001,MATCH(C719,'Database Mitra'!$B$2:$B1001,0))</f>
        <v>#N/A</v>
      </c>
      <c r="B719" s="10" t="e">
        <f t="shared" ca="1" si="0"/>
        <v>#NAME?</v>
      </c>
      <c r="C719" s="83"/>
    </row>
    <row r="720" spans="1:3" ht="12.5">
      <c r="A720" s="10" t="e">
        <f t="array" ref="A720">INDEX('Database Mitra'!$R$2:$R1001,MATCH(C720,'Database Mitra'!$B$2:$B1001,0))</f>
        <v>#N/A</v>
      </c>
      <c r="B720" s="10" t="e">
        <f t="shared" ca="1" si="0"/>
        <v>#NAME?</v>
      </c>
      <c r="C720" s="83"/>
    </row>
    <row r="721" spans="1:3" ht="12.5">
      <c r="A721" s="10" t="e">
        <f t="array" ref="A721">INDEX('Database Mitra'!$R$2:$R1001,MATCH(C721,'Database Mitra'!$B$2:$B1001,0))</f>
        <v>#N/A</v>
      </c>
      <c r="B721" s="10" t="e">
        <f t="shared" ca="1" si="0"/>
        <v>#NAME?</v>
      </c>
      <c r="C721" s="83"/>
    </row>
    <row r="722" spans="1:3" ht="12.5">
      <c r="A722" s="10" t="e">
        <f t="array" ref="A722">INDEX('Database Mitra'!$R$2:$R1001,MATCH(C722,'Database Mitra'!$B$2:$B1001,0))</f>
        <v>#N/A</v>
      </c>
      <c r="B722" s="10" t="e">
        <f t="shared" ca="1" si="0"/>
        <v>#NAME?</v>
      </c>
      <c r="C722" s="83"/>
    </row>
    <row r="723" spans="1:3" ht="12.5">
      <c r="A723" s="10" t="e">
        <f t="array" ref="A723">INDEX('Database Mitra'!$R$2:$R1001,MATCH(C723,'Database Mitra'!$B$2:$B1001,0))</f>
        <v>#N/A</v>
      </c>
      <c r="B723" s="10" t="e">
        <f t="shared" ca="1" si="0"/>
        <v>#NAME?</v>
      </c>
      <c r="C723" s="83"/>
    </row>
    <row r="724" spans="1:3" ht="12.5">
      <c r="A724" s="10" t="e">
        <f t="array" ref="A724">INDEX('Database Mitra'!$R$2:$R1001,MATCH(C724,'Database Mitra'!$B$2:$B1001,0))</f>
        <v>#N/A</v>
      </c>
      <c r="B724" s="10" t="e">
        <f t="shared" ca="1" si="0"/>
        <v>#NAME?</v>
      </c>
      <c r="C724" s="83"/>
    </row>
    <row r="725" spans="1:3" ht="12.5">
      <c r="A725" s="10" t="e">
        <f t="array" ref="A725">INDEX('Database Mitra'!$R$2:$R1001,MATCH(C725,'Database Mitra'!$B$2:$B1001,0))</f>
        <v>#N/A</v>
      </c>
      <c r="B725" s="10" t="e">
        <f t="shared" ca="1" si="0"/>
        <v>#NAME?</v>
      </c>
      <c r="C725" s="83"/>
    </row>
    <row r="726" spans="1:3" ht="12.5">
      <c r="A726" s="10" t="e">
        <f t="array" ref="A726">INDEX('Database Mitra'!$R$2:$R1001,MATCH(C726,'Database Mitra'!$B$2:$B1001,0))</f>
        <v>#N/A</v>
      </c>
      <c r="B726" s="10" t="e">
        <f t="shared" ca="1" si="0"/>
        <v>#NAME?</v>
      </c>
      <c r="C726" s="83"/>
    </row>
    <row r="727" spans="1:3" ht="12.5">
      <c r="A727" s="10" t="e">
        <f t="array" ref="A727">INDEX('Database Mitra'!$R$2:$R1001,MATCH(C727,'Database Mitra'!$B$2:$B1001,0))</f>
        <v>#N/A</v>
      </c>
      <c r="B727" s="10" t="e">
        <f t="shared" ca="1" si="0"/>
        <v>#NAME?</v>
      </c>
      <c r="C727" s="83"/>
    </row>
    <row r="728" spans="1:3" ht="12.5">
      <c r="A728" s="10" t="e">
        <f t="array" ref="A728">INDEX('Database Mitra'!$R$2:$R1001,MATCH(C728,'Database Mitra'!$B$2:$B1001,0))</f>
        <v>#N/A</v>
      </c>
      <c r="B728" s="10" t="e">
        <f t="shared" ca="1" si="0"/>
        <v>#NAME?</v>
      </c>
      <c r="C728" s="83"/>
    </row>
    <row r="729" spans="1:3" ht="12.5">
      <c r="A729" s="10" t="e">
        <f t="array" ref="A729">INDEX('Database Mitra'!$R$2:$R1001,MATCH(C729,'Database Mitra'!$B$2:$B1001,0))</f>
        <v>#N/A</v>
      </c>
      <c r="B729" s="10" t="e">
        <f t="shared" ca="1" si="0"/>
        <v>#NAME?</v>
      </c>
      <c r="C729" s="83"/>
    </row>
    <row r="730" spans="1:3" ht="12.5">
      <c r="A730" s="10" t="e">
        <f t="array" ref="A730">INDEX('Database Mitra'!$R$2:$R1001,MATCH(C730,'Database Mitra'!$B$2:$B1001,0))</f>
        <v>#N/A</v>
      </c>
      <c r="B730" s="10" t="e">
        <f t="shared" ca="1" si="0"/>
        <v>#NAME?</v>
      </c>
      <c r="C730" s="83"/>
    </row>
    <row r="731" spans="1:3" ht="12.5">
      <c r="A731" s="10" t="e">
        <f t="array" ref="A731">INDEX('Database Mitra'!$R$2:$R1001,MATCH(C731,'Database Mitra'!$B$2:$B1001,0))</f>
        <v>#N/A</v>
      </c>
      <c r="B731" s="10" t="e">
        <f t="shared" ca="1" si="0"/>
        <v>#NAME?</v>
      </c>
      <c r="C731" s="83"/>
    </row>
    <row r="732" spans="1:3" ht="12.5">
      <c r="A732" s="10" t="e">
        <f t="array" ref="A732">INDEX('Database Mitra'!$R$2:$R1001,MATCH(C732,'Database Mitra'!$B$2:$B1001,0))</f>
        <v>#N/A</v>
      </c>
      <c r="B732" s="10" t="e">
        <f t="shared" ca="1" si="0"/>
        <v>#NAME?</v>
      </c>
      <c r="C732" s="83"/>
    </row>
    <row r="733" spans="1:3" ht="12.5">
      <c r="A733" s="10" t="e">
        <f t="array" ref="A733">INDEX('Database Mitra'!$R$2:$R1001,MATCH(C733,'Database Mitra'!$B$2:$B1001,0))</f>
        <v>#N/A</v>
      </c>
      <c r="B733" s="10" t="e">
        <f t="shared" ca="1" si="0"/>
        <v>#NAME?</v>
      </c>
      <c r="C733" s="83"/>
    </row>
    <row r="734" spans="1:3" ht="12.5">
      <c r="A734" s="10" t="e">
        <f t="array" ref="A734">INDEX('Database Mitra'!$R$2:$R1001,MATCH(C734,'Database Mitra'!$B$2:$B1001,0))</f>
        <v>#N/A</v>
      </c>
      <c r="B734" s="10" t="e">
        <f t="shared" ca="1" si="0"/>
        <v>#NAME?</v>
      </c>
      <c r="C734" s="83"/>
    </row>
    <row r="735" spans="1:3" ht="12.5">
      <c r="A735" s="10" t="e">
        <f t="array" ref="A735">INDEX('Database Mitra'!$R$2:$R1001,MATCH(C735,'Database Mitra'!$B$2:$B1001,0))</f>
        <v>#N/A</v>
      </c>
      <c r="B735" s="10" t="e">
        <f t="shared" ca="1" si="0"/>
        <v>#NAME?</v>
      </c>
      <c r="C735" s="83"/>
    </row>
    <row r="736" spans="1:3" ht="12.5">
      <c r="A736" s="10" t="e">
        <f t="array" ref="A736">INDEX('Database Mitra'!$R$2:$R1001,MATCH(C736,'Database Mitra'!$B$2:$B1001,0))</f>
        <v>#N/A</v>
      </c>
      <c r="B736" s="10" t="e">
        <f t="shared" ca="1" si="0"/>
        <v>#NAME?</v>
      </c>
      <c r="C736" s="83"/>
    </row>
    <row r="737" spans="1:3" ht="12.5">
      <c r="A737" s="10" t="e">
        <f t="array" ref="A737">INDEX('Database Mitra'!$R$2:$R1001,MATCH(C737,'Database Mitra'!$B$2:$B1001,0))</f>
        <v>#N/A</v>
      </c>
      <c r="B737" s="10" t="e">
        <f t="shared" ca="1" si="0"/>
        <v>#NAME?</v>
      </c>
      <c r="C737" s="83"/>
    </row>
    <row r="738" spans="1:3" ht="12.5">
      <c r="A738" s="10" t="e">
        <f t="array" ref="A738">INDEX('Database Mitra'!$R$2:$R1001,MATCH(C738,'Database Mitra'!$B$2:$B1001,0))</f>
        <v>#N/A</v>
      </c>
      <c r="B738" s="10" t="e">
        <f t="shared" ca="1" si="0"/>
        <v>#NAME?</v>
      </c>
      <c r="C738" s="83"/>
    </row>
    <row r="739" spans="1:3" ht="12.5">
      <c r="A739" s="10" t="e">
        <f t="array" ref="A739">INDEX('Database Mitra'!$R$2:$R1001,MATCH(C739,'Database Mitra'!$B$2:$B1001,0))</f>
        <v>#N/A</v>
      </c>
      <c r="B739" s="10" t="e">
        <f t="shared" ca="1" si="0"/>
        <v>#NAME?</v>
      </c>
      <c r="C739" s="83"/>
    </row>
    <row r="740" spans="1:3" ht="12.5">
      <c r="A740" s="10" t="e">
        <f t="array" ref="A740">INDEX('Database Mitra'!$R$2:$R1001,MATCH(C740,'Database Mitra'!$B$2:$B1001,0))</f>
        <v>#N/A</v>
      </c>
      <c r="B740" s="10" t="e">
        <f t="shared" ca="1" si="0"/>
        <v>#NAME?</v>
      </c>
      <c r="C740" s="83"/>
    </row>
    <row r="741" spans="1:3" ht="12.5">
      <c r="A741" s="10" t="e">
        <f t="array" ref="A741">INDEX('Database Mitra'!$R$2:$R1001,MATCH(C741,'Database Mitra'!$B$2:$B1001,0))</f>
        <v>#N/A</v>
      </c>
      <c r="B741" s="10" t="e">
        <f t="shared" ca="1" si="0"/>
        <v>#NAME?</v>
      </c>
      <c r="C741" s="83"/>
    </row>
    <row r="742" spans="1:3" ht="12.5">
      <c r="A742" s="10" t="e">
        <f t="array" ref="A742">INDEX('Database Mitra'!$R$2:$R1001,MATCH(C742,'Database Mitra'!$B$2:$B1001,0))</f>
        <v>#N/A</v>
      </c>
      <c r="B742" s="10" t="e">
        <f t="shared" ca="1" si="0"/>
        <v>#NAME?</v>
      </c>
      <c r="C742" s="83"/>
    </row>
    <row r="743" spans="1:3" ht="12.5">
      <c r="A743" s="10" t="e">
        <f t="array" ref="A743">INDEX('Database Mitra'!$R$2:$R1001,MATCH(C743,'Database Mitra'!$B$2:$B1001,0))</f>
        <v>#N/A</v>
      </c>
      <c r="B743" s="10" t="e">
        <f t="shared" ca="1" si="0"/>
        <v>#NAME?</v>
      </c>
      <c r="C743" s="83"/>
    </row>
    <row r="744" spans="1:3" ht="12.5">
      <c r="A744" s="10" t="e">
        <f t="array" ref="A744">INDEX('Database Mitra'!$R$2:$R1001,MATCH(C744,'Database Mitra'!$B$2:$B1001,0))</f>
        <v>#N/A</v>
      </c>
      <c r="B744" s="10" t="e">
        <f t="shared" ca="1" si="0"/>
        <v>#NAME?</v>
      </c>
      <c r="C744" s="83"/>
    </row>
    <row r="745" spans="1:3" ht="12.5">
      <c r="A745" s="10" t="e">
        <f t="array" ref="A745">INDEX('Database Mitra'!$R$2:$R1001,MATCH(C745,'Database Mitra'!$B$2:$B1001,0))</f>
        <v>#N/A</v>
      </c>
      <c r="B745" s="10" t="e">
        <f t="shared" ca="1" si="0"/>
        <v>#NAME?</v>
      </c>
      <c r="C745" s="83"/>
    </row>
    <row r="746" spans="1:3" ht="12.5">
      <c r="A746" s="10" t="e">
        <f t="array" ref="A746">INDEX('Database Mitra'!$R$2:$R1001,MATCH(C746,'Database Mitra'!$B$2:$B1001,0))</f>
        <v>#N/A</v>
      </c>
      <c r="B746" s="10" t="e">
        <f t="shared" ca="1" si="0"/>
        <v>#NAME?</v>
      </c>
      <c r="C746" s="83"/>
    </row>
    <row r="747" spans="1:3" ht="12.5">
      <c r="A747" s="10" t="e">
        <f t="array" ref="A747">INDEX('Database Mitra'!$R$2:$R1001,MATCH(C747,'Database Mitra'!$B$2:$B1001,0))</f>
        <v>#N/A</v>
      </c>
      <c r="B747" s="10" t="e">
        <f t="shared" ca="1" si="0"/>
        <v>#NAME?</v>
      </c>
      <c r="C747" s="83"/>
    </row>
    <row r="748" spans="1:3" ht="12.5">
      <c r="A748" s="10" t="e">
        <f t="array" ref="A748">INDEX('Database Mitra'!$R$2:$R1001,MATCH(C748,'Database Mitra'!$B$2:$B1001,0))</f>
        <v>#N/A</v>
      </c>
      <c r="B748" s="10" t="e">
        <f t="shared" ca="1" si="0"/>
        <v>#NAME?</v>
      </c>
      <c r="C748" s="83"/>
    </row>
    <row r="749" spans="1:3" ht="12.5">
      <c r="A749" s="10" t="e">
        <f t="array" ref="A749">INDEX('Database Mitra'!$R$2:$R1001,MATCH(C749,'Database Mitra'!$B$2:$B1001,0))</f>
        <v>#N/A</v>
      </c>
      <c r="B749" s="10" t="e">
        <f t="shared" ca="1" si="0"/>
        <v>#NAME?</v>
      </c>
      <c r="C749" s="83"/>
    </row>
    <row r="750" spans="1:3" ht="12.5">
      <c r="A750" s="10" t="e">
        <f t="array" ref="A750">INDEX('Database Mitra'!$R$2:$R1001,MATCH(C750,'Database Mitra'!$B$2:$B1001,0))</f>
        <v>#N/A</v>
      </c>
      <c r="B750" s="10" t="e">
        <f t="shared" ca="1" si="0"/>
        <v>#NAME?</v>
      </c>
      <c r="C750" s="83"/>
    </row>
    <row r="751" spans="1:3" ht="12.5">
      <c r="A751" s="10" t="e">
        <f t="array" ref="A751">INDEX('Database Mitra'!$R$2:$R1001,MATCH(C751,'Database Mitra'!$B$2:$B1001,0))</f>
        <v>#N/A</v>
      </c>
      <c r="B751" s="10" t="e">
        <f t="shared" ca="1" si="0"/>
        <v>#NAME?</v>
      </c>
      <c r="C751" s="83"/>
    </row>
    <row r="752" spans="1:3" ht="12.5">
      <c r="A752" s="10" t="e">
        <f t="array" ref="A752">INDEX('Database Mitra'!$R$2:$R1001,MATCH(C752,'Database Mitra'!$B$2:$B1001,0))</f>
        <v>#N/A</v>
      </c>
      <c r="B752" s="10" t="e">
        <f t="shared" ca="1" si="0"/>
        <v>#NAME?</v>
      </c>
      <c r="C752" s="83"/>
    </row>
    <row r="753" spans="1:3" ht="12.5">
      <c r="A753" s="10" t="e">
        <f t="array" ref="A753">INDEX('Database Mitra'!$R$2:$R1001,MATCH(C753,'Database Mitra'!$B$2:$B1001,0))</f>
        <v>#N/A</v>
      </c>
      <c r="B753" s="10" t="e">
        <f t="shared" ca="1" si="0"/>
        <v>#NAME?</v>
      </c>
      <c r="C753" s="83"/>
    </row>
    <row r="754" spans="1:3" ht="12.5">
      <c r="A754" s="10" t="e">
        <f t="array" ref="A754">INDEX('Database Mitra'!$R$2:$R1001,MATCH(C754,'Database Mitra'!$B$2:$B1001,0))</f>
        <v>#N/A</v>
      </c>
      <c r="B754" s="10" t="e">
        <f t="shared" ca="1" si="0"/>
        <v>#NAME?</v>
      </c>
      <c r="C754" s="83"/>
    </row>
    <row r="755" spans="1:3" ht="12.5">
      <c r="A755" s="10" t="e">
        <f t="array" ref="A755">INDEX('Database Mitra'!$R$2:$R1001,MATCH(C755,'Database Mitra'!$B$2:$B1001,0))</f>
        <v>#N/A</v>
      </c>
      <c r="B755" s="10" t="e">
        <f t="shared" ca="1" si="0"/>
        <v>#NAME?</v>
      </c>
      <c r="C755" s="83"/>
    </row>
    <row r="756" spans="1:3" ht="12.5">
      <c r="A756" s="10" t="e">
        <f t="array" ref="A756">INDEX('Database Mitra'!$R$2:$R1001,MATCH(C756,'Database Mitra'!$B$2:$B1001,0))</f>
        <v>#N/A</v>
      </c>
      <c r="B756" s="10" t="e">
        <f t="shared" ca="1" si="0"/>
        <v>#NAME?</v>
      </c>
      <c r="C756" s="83"/>
    </row>
    <row r="757" spans="1:3" ht="12.5">
      <c r="A757" s="10" t="e">
        <f t="array" ref="A757">INDEX('Database Mitra'!$R$2:$R1001,MATCH(C757,'Database Mitra'!$B$2:$B1001,0))</f>
        <v>#N/A</v>
      </c>
      <c r="B757" s="10" t="e">
        <f t="shared" ca="1" si="0"/>
        <v>#NAME?</v>
      </c>
      <c r="C757" s="83"/>
    </row>
    <row r="758" spans="1:3" ht="12.5">
      <c r="A758" s="10" t="e">
        <f t="array" ref="A758">INDEX('Database Mitra'!$R$2:$R1001,MATCH(C758,'Database Mitra'!$B$2:$B1001,0))</f>
        <v>#N/A</v>
      </c>
      <c r="B758" s="10" t="e">
        <f t="shared" ca="1" si="0"/>
        <v>#NAME?</v>
      </c>
      <c r="C758" s="83"/>
    </row>
    <row r="759" spans="1:3" ht="12.5">
      <c r="A759" s="10" t="e">
        <f t="array" ref="A759">INDEX('Database Mitra'!$R$2:$R1001,MATCH(C759,'Database Mitra'!$B$2:$B1001,0))</f>
        <v>#N/A</v>
      </c>
      <c r="B759" s="10" t="e">
        <f t="shared" ca="1" si="0"/>
        <v>#NAME?</v>
      </c>
      <c r="C759" s="83"/>
    </row>
    <row r="760" spans="1:3" ht="12.5">
      <c r="A760" s="10" t="e">
        <f t="array" ref="A760">INDEX('Database Mitra'!$R$2:$R1001,MATCH(C760,'Database Mitra'!$B$2:$B1001,0))</f>
        <v>#N/A</v>
      </c>
      <c r="B760" s="10" t="e">
        <f t="shared" ca="1" si="0"/>
        <v>#NAME?</v>
      </c>
      <c r="C760" s="83"/>
    </row>
    <row r="761" spans="1:3" ht="12.5">
      <c r="A761" s="10" t="e">
        <f t="array" ref="A761">INDEX('Database Mitra'!$R$2:$R1001,MATCH(C761,'Database Mitra'!$B$2:$B1001,0))</f>
        <v>#N/A</v>
      </c>
      <c r="B761" s="10" t="e">
        <f t="shared" ca="1" si="0"/>
        <v>#NAME?</v>
      </c>
      <c r="C761" s="83"/>
    </row>
    <row r="762" spans="1:3" ht="12.5">
      <c r="A762" s="10" t="e">
        <f t="array" ref="A762">INDEX('Database Mitra'!$R$2:$R1001,MATCH(C762,'Database Mitra'!$B$2:$B1001,0))</f>
        <v>#N/A</v>
      </c>
      <c r="B762" s="10" t="e">
        <f t="shared" ca="1" si="0"/>
        <v>#NAME?</v>
      </c>
      <c r="C762" s="83"/>
    </row>
    <row r="763" spans="1:3" ht="12.5">
      <c r="A763" s="10" t="e">
        <f t="array" ref="A763">INDEX('Database Mitra'!$R$2:$R1001,MATCH(C763,'Database Mitra'!$B$2:$B1001,0))</f>
        <v>#N/A</v>
      </c>
      <c r="B763" s="10" t="e">
        <f t="shared" ca="1" si="0"/>
        <v>#NAME?</v>
      </c>
      <c r="C763" s="83"/>
    </row>
    <row r="764" spans="1:3" ht="12.5">
      <c r="A764" s="10" t="e">
        <f t="array" ref="A764">INDEX('Database Mitra'!$R$2:$R1001,MATCH(C764,'Database Mitra'!$B$2:$B1001,0))</f>
        <v>#N/A</v>
      </c>
      <c r="B764" s="10" t="e">
        <f t="shared" ca="1" si="0"/>
        <v>#NAME?</v>
      </c>
      <c r="C764" s="83"/>
    </row>
    <row r="765" spans="1:3" ht="12.5">
      <c r="A765" s="10" t="e">
        <f t="array" ref="A765">INDEX('Database Mitra'!$R$2:$R1001,MATCH(C765,'Database Mitra'!$B$2:$B1001,0))</f>
        <v>#N/A</v>
      </c>
      <c r="B765" s="10" t="e">
        <f t="shared" ca="1" si="0"/>
        <v>#NAME?</v>
      </c>
      <c r="C765" s="83"/>
    </row>
    <row r="766" spans="1:3" ht="12.5">
      <c r="A766" s="10" t="e">
        <f t="array" ref="A766">INDEX('Database Mitra'!$R$2:$R1001,MATCH(C766,'Database Mitra'!$B$2:$B1001,0))</f>
        <v>#N/A</v>
      </c>
      <c r="B766" s="10" t="e">
        <f t="shared" ca="1" si="0"/>
        <v>#NAME?</v>
      </c>
      <c r="C766" s="83"/>
    </row>
    <row r="767" spans="1:3" ht="12.5">
      <c r="A767" s="10" t="e">
        <f t="array" ref="A767">INDEX('Database Mitra'!$R$2:$R1001,MATCH(C767,'Database Mitra'!$B$2:$B1001,0))</f>
        <v>#N/A</v>
      </c>
      <c r="B767" s="10" t="e">
        <f t="shared" ca="1" si="0"/>
        <v>#NAME?</v>
      </c>
      <c r="C767" s="83"/>
    </row>
    <row r="768" spans="1:3" ht="12.5">
      <c r="A768" s="10" t="e">
        <f t="array" ref="A768">INDEX('Database Mitra'!$R$2:$R1001,MATCH(C768,'Database Mitra'!$B$2:$B1001,0))</f>
        <v>#N/A</v>
      </c>
      <c r="B768" s="10" t="e">
        <f t="shared" ca="1" si="0"/>
        <v>#NAME?</v>
      </c>
      <c r="C768" s="83"/>
    </row>
    <row r="769" spans="1:3" ht="12.5">
      <c r="A769" s="10" t="e">
        <f t="array" ref="A769">INDEX('Database Mitra'!$R$2:$R1001,MATCH(C769,'Database Mitra'!$B$2:$B1001,0))</f>
        <v>#N/A</v>
      </c>
      <c r="B769" s="10" t="e">
        <f t="shared" ca="1" si="0"/>
        <v>#NAME?</v>
      </c>
      <c r="C769" s="83"/>
    </row>
    <row r="770" spans="1:3" ht="12.5">
      <c r="A770" s="10" t="e">
        <f t="array" ref="A770">INDEX('Database Mitra'!$R$2:$R1001,MATCH(C770,'Database Mitra'!$B$2:$B1001,0))</f>
        <v>#N/A</v>
      </c>
      <c r="B770" s="10" t="e">
        <f t="shared" ca="1" si="0"/>
        <v>#NAME?</v>
      </c>
      <c r="C770" s="83"/>
    </row>
    <row r="771" spans="1:3" ht="12.5">
      <c r="A771" s="10" t="e">
        <f t="array" ref="A771">INDEX('Database Mitra'!$R$2:$R1001,MATCH(C771,'Database Mitra'!$B$2:$B1001,0))</f>
        <v>#N/A</v>
      </c>
      <c r="B771" s="10" t="e">
        <f t="shared" ca="1" si="0"/>
        <v>#NAME?</v>
      </c>
      <c r="C771" s="83"/>
    </row>
    <row r="772" spans="1:3" ht="12.5">
      <c r="A772" s="10" t="e">
        <f t="array" ref="A772">INDEX('Database Mitra'!$R$2:$R1001,MATCH(C772,'Database Mitra'!$B$2:$B1001,0))</f>
        <v>#N/A</v>
      </c>
      <c r="B772" s="10" t="e">
        <f t="shared" ca="1" si="0"/>
        <v>#NAME?</v>
      </c>
      <c r="C772" s="83"/>
    </row>
    <row r="773" spans="1:3" ht="12.5">
      <c r="A773" s="10" t="e">
        <f t="array" ref="A773">INDEX('Database Mitra'!$R$2:$R1001,MATCH(C773,'Database Mitra'!$B$2:$B1001,0))</f>
        <v>#N/A</v>
      </c>
      <c r="B773" s="10" t="e">
        <f t="shared" ca="1" si="0"/>
        <v>#NAME?</v>
      </c>
      <c r="C773" s="83"/>
    </row>
    <row r="774" spans="1:3" ht="12.5">
      <c r="A774" s="10" t="e">
        <f t="array" ref="A774">INDEX('Database Mitra'!$R$2:$R1001,MATCH(C774,'Database Mitra'!$B$2:$B1001,0))</f>
        <v>#N/A</v>
      </c>
      <c r="B774" s="10" t="e">
        <f t="shared" ca="1" si="0"/>
        <v>#NAME?</v>
      </c>
      <c r="C774" s="83"/>
    </row>
    <row r="775" spans="1:3" ht="12.5">
      <c r="A775" s="10" t="e">
        <f t="array" ref="A775">INDEX('Database Mitra'!$R$2:$R1001,MATCH(C775,'Database Mitra'!$B$2:$B1001,0))</f>
        <v>#N/A</v>
      </c>
      <c r="B775" s="10" t="e">
        <f t="shared" ca="1" si="0"/>
        <v>#NAME?</v>
      </c>
      <c r="C775" s="83"/>
    </row>
    <row r="776" spans="1:3" ht="12.5">
      <c r="A776" s="10" t="e">
        <f t="array" ref="A776">INDEX('Database Mitra'!$R$2:$R1001,MATCH(C776,'Database Mitra'!$B$2:$B1001,0))</f>
        <v>#N/A</v>
      </c>
      <c r="B776" s="10" t="e">
        <f t="shared" ca="1" si="0"/>
        <v>#NAME?</v>
      </c>
      <c r="C776" s="83"/>
    </row>
    <row r="777" spans="1:3" ht="12.5">
      <c r="A777" s="10" t="e">
        <f t="array" ref="A777">INDEX('Database Mitra'!$R$2:$R1001,MATCH(C777,'Database Mitra'!$B$2:$B1001,0))</f>
        <v>#N/A</v>
      </c>
      <c r="B777" s="10" t="e">
        <f t="shared" ca="1" si="0"/>
        <v>#NAME?</v>
      </c>
      <c r="C777" s="83"/>
    </row>
    <row r="778" spans="1:3" ht="12.5">
      <c r="A778" s="10" t="e">
        <f t="array" ref="A778">INDEX('Database Mitra'!$R$2:$R1001,MATCH(C778,'Database Mitra'!$B$2:$B1001,0))</f>
        <v>#N/A</v>
      </c>
      <c r="B778" s="10" t="e">
        <f t="shared" ca="1" si="0"/>
        <v>#NAME?</v>
      </c>
      <c r="C778" s="83"/>
    </row>
    <row r="779" spans="1:3" ht="12.5">
      <c r="A779" s="10" t="e">
        <f t="array" ref="A779">INDEX('Database Mitra'!$R$2:$R1001,MATCH(C779,'Database Mitra'!$B$2:$B1001,0))</f>
        <v>#N/A</v>
      </c>
      <c r="B779" s="10" t="e">
        <f t="shared" ca="1" si="0"/>
        <v>#NAME?</v>
      </c>
      <c r="C779" s="83"/>
    </row>
    <row r="780" spans="1:3" ht="12.5">
      <c r="A780" s="10" t="e">
        <f t="array" ref="A780">INDEX('Database Mitra'!$R$2:$R1001,MATCH(C780,'Database Mitra'!$B$2:$B1001,0))</f>
        <v>#N/A</v>
      </c>
      <c r="B780" s="10" t="e">
        <f t="shared" ca="1" si="0"/>
        <v>#NAME?</v>
      </c>
      <c r="C780" s="83"/>
    </row>
    <row r="781" spans="1:3" ht="12.5">
      <c r="A781" s="10" t="e">
        <f t="array" ref="A781">INDEX('Database Mitra'!$R$2:$R1001,MATCH(C781,'Database Mitra'!$B$2:$B1001,0))</f>
        <v>#N/A</v>
      </c>
      <c r="B781" s="10" t="e">
        <f t="shared" ca="1" si="0"/>
        <v>#NAME?</v>
      </c>
      <c r="C781" s="83"/>
    </row>
    <row r="782" spans="1:3" ht="12.5">
      <c r="A782" s="10" t="e">
        <f t="array" ref="A782">INDEX('Database Mitra'!$R$2:$R1001,MATCH(C782,'Database Mitra'!$B$2:$B1001,0))</f>
        <v>#N/A</v>
      </c>
      <c r="B782" s="10" t="e">
        <f t="shared" ca="1" si="0"/>
        <v>#NAME?</v>
      </c>
      <c r="C782" s="83"/>
    </row>
    <row r="783" spans="1:3" ht="12.5">
      <c r="A783" s="10" t="e">
        <f t="array" ref="A783">INDEX('Database Mitra'!$R$2:$R1001,MATCH(C783,'Database Mitra'!$B$2:$B1001,0))</f>
        <v>#N/A</v>
      </c>
      <c r="B783" s="10" t="e">
        <f t="shared" ca="1" si="0"/>
        <v>#NAME?</v>
      </c>
      <c r="C783" s="83"/>
    </row>
    <row r="784" spans="1:3" ht="12.5">
      <c r="A784" s="10" t="e">
        <f t="array" ref="A784">INDEX('Database Mitra'!$R$2:$R1001,MATCH(C784,'Database Mitra'!$B$2:$B1001,0))</f>
        <v>#N/A</v>
      </c>
      <c r="B784" s="10" t="e">
        <f t="shared" ca="1" si="0"/>
        <v>#NAME?</v>
      </c>
      <c r="C784" s="83"/>
    </row>
    <row r="785" spans="1:3" ht="12.5">
      <c r="A785" s="10" t="e">
        <f t="array" ref="A785">INDEX('Database Mitra'!$R$2:$R1001,MATCH(C785,'Database Mitra'!$B$2:$B1001,0))</f>
        <v>#N/A</v>
      </c>
      <c r="B785" s="10" t="e">
        <f t="shared" ca="1" si="0"/>
        <v>#NAME?</v>
      </c>
      <c r="C785" s="83"/>
    </row>
    <row r="786" spans="1:3" ht="12.5">
      <c r="A786" s="10" t="e">
        <f t="array" ref="A786">INDEX('Database Mitra'!$R$2:$R1001,MATCH(C786,'Database Mitra'!$B$2:$B1001,0))</f>
        <v>#N/A</v>
      </c>
      <c r="B786" s="10" t="e">
        <f t="shared" ca="1" si="0"/>
        <v>#NAME?</v>
      </c>
      <c r="C786" s="83"/>
    </row>
    <row r="787" spans="1:3" ht="12.5">
      <c r="A787" s="10" t="e">
        <f t="array" ref="A787">INDEX('Database Mitra'!$R$2:$R1001,MATCH(C787,'Database Mitra'!$B$2:$B1001,0))</f>
        <v>#N/A</v>
      </c>
      <c r="B787" s="10" t="e">
        <f t="shared" ca="1" si="0"/>
        <v>#NAME?</v>
      </c>
      <c r="C787" s="83"/>
    </row>
    <row r="788" spans="1:3" ht="12.5">
      <c r="A788" s="10" t="e">
        <f t="array" ref="A788">INDEX('Database Mitra'!$R$2:$R1001,MATCH(C788,'Database Mitra'!$B$2:$B1001,0))</f>
        <v>#N/A</v>
      </c>
      <c r="B788" s="10" t="e">
        <f t="shared" ca="1" si="0"/>
        <v>#NAME?</v>
      </c>
      <c r="C788" s="83"/>
    </row>
    <row r="789" spans="1:3" ht="12.5">
      <c r="A789" s="10" t="e">
        <f t="array" ref="A789">INDEX('Database Mitra'!$R$2:$R1001,MATCH(C789,'Database Mitra'!$B$2:$B1001,0))</f>
        <v>#N/A</v>
      </c>
      <c r="B789" s="10" t="e">
        <f t="shared" ca="1" si="0"/>
        <v>#NAME?</v>
      </c>
      <c r="C789" s="83"/>
    </row>
    <row r="790" spans="1:3" ht="12.5">
      <c r="A790" s="10" t="e">
        <f t="array" ref="A790">INDEX('Database Mitra'!$R$2:$R1001,MATCH(C790,'Database Mitra'!$B$2:$B1001,0))</f>
        <v>#N/A</v>
      </c>
      <c r="B790" s="10" t="e">
        <f t="shared" ca="1" si="0"/>
        <v>#NAME?</v>
      </c>
      <c r="C790" s="83"/>
    </row>
    <row r="791" spans="1:3" ht="12.5">
      <c r="A791" s="10" t="e">
        <f t="array" ref="A791">INDEX('Database Mitra'!$R$2:$R1001,MATCH(C791,'Database Mitra'!$B$2:$B1001,0))</f>
        <v>#N/A</v>
      </c>
      <c r="B791" s="10" t="e">
        <f t="shared" ca="1" si="0"/>
        <v>#NAME?</v>
      </c>
      <c r="C791" s="83"/>
    </row>
    <row r="792" spans="1:3" ht="12.5">
      <c r="A792" s="10" t="e">
        <f t="array" ref="A792">INDEX('Database Mitra'!$R$2:$R1001,MATCH(C792,'Database Mitra'!$B$2:$B1001,0))</f>
        <v>#N/A</v>
      </c>
      <c r="B792" s="10" t="e">
        <f t="shared" ca="1" si="0"/>
        <v>#NAME?</v>
      </c>
      <c r="C792" s="83"/>
    </row>
    <row r="793" spans="1:3" ht="12.5">
      <c r="A793" s="10" t="e">
        <f t="array" ref="A793">INDEX('Database Mitra'!$R$2:$R1001,MATCH(C793,'Database Mitra'!$B$2:$B1001,0))</f>
        <v>#N/A</v>
      </c>
      <c r="B793" s="10" t="e">
        <f t="shared" ca="1" si="0"/>
        <v>#NAME?</v>
      </c>
      <c r="C793" s="83"/>
    </row>
    <row r="794" spans="1:3" ht="12.5">
      <c r="A794" s="10" t="e">
        <f t="array" ref="A794">INDEX('Database Mitra'!$R$2:$R1001,MATCH(C794,'Database Mitra'!$B$2:$B1001,0))</f>
        <v>#N/A</v>
      </c>
      <c r="B794" s="10" t="e">
        <f t="shared" ca="1" si="0"/>
        <v>#NAME?</v>
      </c>
      <c r="C794" s="83"/>
    </row>
    <row r="795" spans="1:3" ht="12.5">
      <c r="A795" s="10" t="e">
        <f t="array" ref="A795">INDEX('Database Mitra'!$R$2:$R1001,MATCH(C795,'Database Mitra'!$B$2:$B1001,0))</f>
        <v>#N/A</v>
      </c>
      <c r="B795" s="10" t="e">
        <f t="shared" ca="1" si="0"/>
        <v>#NAME?</v>
      </c>
      <c r="C795" s="83"/>
    </row>
    <row r="796" spans="1:3" ht="12.5">
      <c r="A796" s="10" t="e">
        <f t="array" ref="A796">INDEX('Database Mitra'!$R$2:$R1001,MATCH(C796,'Database Mitra'!$B$2:$B1001,0))</f>
        <v>#N/A</v>
      </c>
      <c r="B796" s="10" t="e">
        <f t="shared" ca="1" si="0"/>
        <v>#NAME?</v>
      </c>
      <c r="C796" s="83"/>
    </row>
    <row r="797" spans="1:3" ht="12.5">
      <c r="A797" s="10" t="e">
        <f t="array" ref="A797">INDEX('Database Mitra'!$R$2:$R1001,MATCH(C797,'Database Mitra'!$B$2:$B1001,0))</f>
        <v>#N/A</v>
      </c>
      <c r="B797" s="10" t="e">
        <f t="shared" ca="1" si="0"/>
        <v>#NAME?</v>
      </c>
      <c r="C797" s="83"/>
    </row>
    <row r="798" spans="1:3" ht="12.5">
      <c r="A798" s="10" t="e">
        <f t="array" ref="A798">INDEX('Database Mitra'!$R$2:$R1001,MATCH(C798,'Database Mitra'!$B$2:$B1001,0))</f>
        <v>#N/A</v>
      </c>
      <c r="B798" s="10" t="e">
        <f t="shared" ca="1" si="0"/>
        <v>#NAME?</v>
      </c>
      <c r="C798" s="83"/>
    </row>
    <row r="799" spans="1:3" ht="12.5">
      <c r="A799" s="10" t="e">
        <f t="array" ref="A799">INDEX('Database Mitra'!$R$2:$R1001,MATCH(C799,'Database Mitra'!$B$2:$B1001,0))</f>
        <v>#N/A</v>
      </c>
      <c r="B799" s="10" t="e">
        <f t="shared" ca="1" si="0"/>
        <v>#NAME?</v>
      </c>
      <c r="C799" s="83"/>
    </row>
    <row r="800" spans="1:3" ht="12.5">
      <c r="A800" s="10" t="e">
        <f t="array" ref="A800">INDEX('Database Mitra'!$R$2:$R1001,MATCH(C800,'Database Mitra'!$B$2:$B1001,0))</f>
        <v>#N/A</v>
      </c>
      <c r="B800" s="10" t="e">
        <f t="shared" ca="1" si="0"/>
        <v>#NAME?</v>
      </c>
      <c r="C800" s="83"/>
    </row>
    <row r="801" spans="1:3" ht="12.5">
      <c r="A801" s="10" t="e">
        <f t="array" ref="A801">INDEX('Database Mitra'!$R$2:$R1001,MATCH(C801,'Database Mitra'!$B$2:$B1001,0))</f>
        <v>#N/A</v>
      </c>
      <c r="B801" s="10" t="e">
        <f t="shared" ca="1" si="0"/>
        <v>#NAME?</v>
      </c>
      <c r="C801" s="83"/>
    </row>
    <row r="802" spans="1:3" ht="12.5">
      <c r="A802" s="10" t="e">
        <f t="array" ref="A802">INDEX('Database Mitra'!$R$2:$R1001,MATCH(C802,'Database Mitra'!$B$2:$B1001,0))</f>
        <v>#N/A</v>
      </c>
      <c r="B802" s="10" t="e">
        <f t="shared" ca="1" si="0"/>
        <v>#NAME?</v>
      </c>
      <c r="C802" s="83"/>
    </row>
    <row r="803" spans="1:3" ht="12.5">
      <c r="A803" s="10" t="e">
        <f t="array" ref="A803">INDEX('Database Mitra'!$R$2:$R1001,MATCH(C803,'Database Mitra'!$B$2:$B1001,0))</f>
        <v>#N/A</v>
      </c>
      <c r="B803" s="10" t="e">
        <f t="shared" ca="1" si="0"/>
        <v>#NAME?</v>
      </c>
      <c r="C803" s="83"/>
    </row>
    <row r="804" spans="1:3" ht="12.5">
      <c r="A804" s="10" t="e">
        <f t="array" ref="A804">INDEX('Database Mitra'!$R$2:$R1001,MATCH(C804,'Database Mitra'!$B$2:$B1001,0))</f>
        <v>#N/A</v>
      </c>
      <c r="B804" s="10" t="e">
        <f t="shared" ca="1" si="0"/>
        <v>#NAME?</v>
      </c>
      <c r="C804" s="83"/>
    </row>
    <row r="805" spans="1:3" ht="12.5">
      <c r="A805" s="10" t="e">
        <f t="array" ref="A805">INDEX('Database Mitra'!$R$2:$R1001,MATCH(C805,'Database Mitra'!$B$2:$B1001,0))</f>
        <v>#N/A</v>
      </c>
      <c r="B805" s="10" t="e">
        <f t="shared" ca="1" si="0"/>
        <v>#NAME?</v>
      </c>
      <c r="C805" s="83"/>
    </row>
    <row r="806" spans="1:3" ht="12.5">
      <c r="A806" s="10" t="e">
        <f t="array" ref="A806">INDEX('Database Mitra'!$R$2:$R1001,MATCH(C806,'Database Mitra'!$B$2:$B1001,0))</f>
        <v>#N/A</v>
      </c>
      <c r="B806" s="10" t="e">
        <f t="shared" ca="1" si="0"/>
        <v>#NAME?</v>
      </c>
      <c r="C806" s="83"/>
    </row>
    <row r="807" spans="1:3" ht="12.5">
      <c r="A807" s="10" t="e">
        <f t="array" ref="A807">INDEX('Database Mitra'!$R$2:$R1001,MATCH(C807,'Database Mitra'!$B$2:$B1001,0))</f>
        <v>#N/A</v>
      </c>
      <c r="B807" s="10" t="e">
        <f t="shared" ca="1" si="0"/>
        <v>#NAME?</v>
      </c>
      <c r="C807" s="83"/>
    </row>
    <row r="808" spans="1:3" ht="12.5">
      <c r="A808" s="10" t="e">
        <f t="array" ref="A808">INDEX('Database Mitra'!$R$2:$R1001,MATCH(C808,'Database Mitra'!$B$2:$B1001,0))</f>
        <v>#N/A</v>
      </c>
      <c r="B808" s="10" t="e">
        <f t="shared" ca="1" si="0"/>
        <v>#NAME?</v>
      </c>
      <c r="C808" s="83"/>
    </row>
    <row r="809" spans="1:3" ht="12.5">
      <c r="A809" s="10" t="e">
        <f t="array" ref="A809">INDEX('Database Mitra'!$R$2:$R1001,MATCH(C809,'Database Mitra'!$B$2:$B1001,0))</f>
        <v>#N/A</v>
      </c>
      <c r="B809" s="10" t="e">
        <f t="shared" ca="1" si="0"/>
        <v>#NAME?</v>
      </c>
      <c r="C809" s="83"/>
    </row>
    <row r="810" spans="1:3" ht="12.5">
      <c r="A810" s="10" t="e">
        <f t="array" ref="A810">INDEX('Database Mitra'!$R$2:$R1001,MATCH(C810,'Database Mitra'!$B$2:$B1001,0))</f>
        <v>#N/A</v>
      </c>
      <c r="B810" s="10" t="e">
        <f t="shared" ca="1" si="0"/>
        <v>#NAME?</v>
      </c>
      <c r="C810" s="83"/>
    </row>
    <row r="811" spans="1:3" ht="12.5">
      <c r="A811" s="10" t="e">
        <f t="array" ref="A811">INDEX('Database Mitra'!$R$2:$R1001,MATCH(C811,'Database Mitra'!$B$2:$B1001,0))</f>
        <v>#N/A</v>
      </c>
      <c r="B811" s="10" t="e">
        <f t="shared" ca="1" si="0"/>
        <v>#NAME?</v>
      </c>
      <c r="C811" s="83"/>
    </row>
    <row r="812" spans="1:3" ht="12.5">
      <c r="A812" s="10" t="e">
        <f t="array" ref="A812">INDEX('Database Mitra'!$R$2:$R1001,MATCH(C812,'Database Mitra'!$B$2:$B1001,0))</f>
        <v>#N/A</v>
      </c>
      <c r="B812" s="10" t="e">
        <f t="shared" ca="1" si="0"/>
        <v>#NAME?</v>
      </c>
      <c r="C812" s="83"/>
    </row>
    <row r="813" spans="1:3" ht="12.5">
      <c r="A813" s="10" t="e">
        <f t="array" ref="A813">INDEX('Database Mitra'!$R$2:$R1001,MATCH(C813,'Database Mitra'!$B$2:$B1001,0))</f>
        <v>#N/A</v>
      </c>
      <c r="B813" s="10" t="e">
        <f t="shared" ca="1" si="0"/>
        <v>#NAME?</v>
      </c>
      <c r="C813" s="83"/>
    </row>
    <row r="814" spans="1:3" ht="12.5">
      <c r="A814" s="10" t="e">
        <f t="array" ref="A814">INDEX('Database Mitra'!$R$2:$R1001,MATCH(C814,'Database Mitra'!$B$2:$B1001,0))</f>
        <v>#N/A</v>
      </c>
      <c r="B814" s="10" t="e">
        <f t="shared" ca="1" si="0"/>
        <v>#NAME?</v>
      </c>
      <c r="C814" s="83"/>
    </row>
    <row r="815" spans="1:3" ht="12.5">
      <c r="A815" s="10" t="e">
        <f t="array" ref="A815">INDEX('Database Mitra'!$R$2:$R1001,MATCH(C815,'Database Mitra'!$B$2:$B1001,0))</f>
        <v>#N/A</v>
      </c>
      <c r="B815" s="10" t="e">
        <f t="shared" ca="1" si="0"/>
        <v>#NAME?</v>
      </c>
      <c r="C815" s="83"/>
    </row>
    <row r="816" spans="1:3" ht="12.5">
      <c r="A816" s="10" t="e">
        <f t="array" ref="A816">INDEX('Database Mitra'!$R$2:$R1001,MATCH(C816,'Database Mitra'!$B$2:$B1001,0))</f>
        <v>#N/A</v>
      </c>
      <c r="B816" s="10" t="e">
        <f t="shared" ca="1" si="0"/>
        <v>#NAME?</v>
      </c>
      <c r="C816" s="83"/>
    </row>
    <row r="817" spans="1:3" ht="12.5">
      <c r="A817" s="10" t="e">
        <f t="array" ref="A817">INDEX('Database Mitra'!$R$2:$R1001,MATCH(C817,'Database Mitra'!$B$2:$B1001,0))</f>
        <v>#N/A</v>
      </c>
      <c r="B817" s="10" t="e">
        <f t="shared" ca="1" si="0"/>
        <v>#NAME?</v>
      </c>
      <c r="C817" s="83"/>
    </row>
    <row r="818" spans="1:3" ht="12.5">
      <c r="A818" s="10" t="e">
        <f t="array" ref="A818">INDEX('Database Mitra'!$R$2:$R1001,MATCH(C818,'Database Mitra'!$B$2:$B1001,0))</f>
        <v>#N/A</v>
      </c>
      <c r="B818" s="10" t="e">
        <f t="shared" ca="1" si="0"/>
        <v>#NAME?</v>
      </c>
      <c r="C818" s="83"/>
    </row>
    <row r="819" spans="1:3" ht="12.5">
      <c r="A819" s="10" t="e">
        <f t="array" ref="A819">INDEX('Database Mitra'!$R$2:$R1001,MATCH(C819,'Database Mitra'!$B$2:$B1001,0))</f>
        <v>#N/A</v>
      </c>
      <c r="B819" s="10" t="e">
        <f t="shared" ca="1" si="0"/>
        <v>#NAME?</v>
      </c>
      <c r="C819" s="83"/>
    </row>
    <row r="820" spans="1:3" ht="12.5">
      <c r="A820" s="10" t="e">
        <f t="array" ref="A820">INDEX('Database Mitra'!$R$2:$R1001,MATCH(C820,'Database Mitra'!$B$2:$B1001,0))</f>
        <v>#N/A</v>
      </c>
      <c r="B820" s="10" t="e">
        <f t="shared" ca="1" si="0"/>
        <v>#NAME?</v>
      </c>
      <c r="C820" s="83"/>
    </row>
    <row r="821" spans="1:3" ht="12.5">
      <c r="A821" s="10" t="e">
        <f t="array" ref="A821">INDEX('Database Mitra'!$R$2:$R1001,MATCH(C821,'Database Mitra'!$B$2:$B1001,0))</f>
        <v>#N/A</v>
      </c>
      <c r="B821" s="10" t="e">
        <f t="shared" ca="1" si="0"/>
        <v>#NAME?</v>
      </c>
      <c r="C821" s="83"/>
    </row>
    <row r="822" spans="1:3" ht="12.5">
      <c r="A822" s="10" t="e">
        <f t="array" ref="A822">INDEX('Database Mitra'!$R$2:$R1001,MATCH(C822,'Database Mitra'!$B$2:$B1001,0))</f>
        <v>#N/A</v>
      </c>
      <c r="B822" s="10" t="e">
        <f t="shared" ca="1" si="0"/>
        <v>#NAME?</v>
      </c>
      <c r="C822" s="83"/>
    </row>
    <row r="823" spans="1:3" ht="12.5">
      <c r="A823" s="10" t="e">
        <f t="array" ref="A823">INDEX('Database Mitra'!$R$2:$R1001,MATCH(C823,'Database Mitra'!$B$2:$B1001,0))</f>
        <v>#N/A</v>
      </c>
      <c r="B823" s="10" t="e">
        <f t="shared" ca="1" si="0"/>
        <v>#NAME?</v>
      </c>
      <c r="C823" s="83"/>
    </row>
    <row r="824" spans="1:3" ht="12.5">
      <c r="A824" s="10" t="e">
        <f t="array" ref="A824">INDEX('Database Mitra'!$R$2:$R1001,MATCH(C824,'Database Mitra'!$B$2:$B1001,0))</f>
        <v>#N/A</v>
      </c>
      <c r="B824" s="10" t="e">
        <f t="shared" ca="1" si="0"/>
        <v>#NAME?</v>
      </c>
      <c r="C824" s="83"/>
    </row>
    <row r="825" spans="1:3" ht="12.5">
      <c r="A825" s="10" t="e">
        <f t="array" ref="A825">INDEX('Database Mitra'!$R$2:$R1001,MATCH(C825,'Database Mitra'!$B$2:$B1001,0))</f>
        <v>#N/A</v>
      </c>
      <c r="B825" s="10" t="e">
        <f t="shared" ca="1" si="0"/>
        <v>#NAME?</v>
      </c>
      <c r="C825" s="83"/>
    </row>
    <row r="826" spans="1:3" ht="12.5">
      <c r="A826" s="10" t="e">
        <f t="array" ref="A826">INDEX('Database Mitra'!$R$2:$R1001,MATCH(C826,'Database Mitra'!$B$2:$B1001,0))</f>
        <v>#N/A</v>
      </c>
      <c r="B826" s="10" t="e">
        <f t="shared" ca="1" si="0"/>
        <v>#NAME?</v>
      </c>
      <c r="C826" s="83"/>
    </row>
    <row r="827" spans="1:3" ht="12.5">
      <c r="A827" s="10" t="e">
        <f t="array" ref="A827">INDEX('Database Mitra'!$R$2:$R1001,MATCH(C827,'Database Mitra'!$B$2:$B1001,0))</f>
        <v>#N/A</v>
      </c>
      <c r="B827" s="10" t="e">
        <f t="shared" ca="1" si="0"/>
        <v>#NAME?</v>
      </c>
      <c r="C827" s="83"/>
    </row>
    <row r="828" spans="1:3" ht="12.5">
      <c r="A828" s="10" t="e">
        <f t="array" ref="A828">INDEX('Database Mitra'!$R$2:$R1001,MATCH(C828,'Database Mitra'!$B$2:$B1001,0))</f>
        <v>#N/A</v>
      </c>
      <c r="B828" s="10" t="e">
        <f t="shared" ca="1" si="0"/>
        <v>#NAME?</v>
      </c>
      <c r="C828" s="83"/>
    </row>
    <row r="829" spans="1:3" ht="12.5">
      <c r="A829" s="10" t="e">
        <f t="array" ref="A829">INDEX('Database Mitra'!$R$2:$R1001,MATCH(C829,'Database Mitra'!$B$2:$B1001,0))</f>
        <v>#N/A</v>
      </c>
      <c r="B829" s="10" t="e">
        <f t="shared" ca="1" si="0"/>
        <v>#NAME?</v>
      </c>
      <c r="C829" s="83"/>
    </row>
    <row r="830" spans="1:3" ht="12.5">
      <c r="A830" s="10" t="e">
        <f t="array" ref="A830">INDEX('Database Mitra'!$R$2:$R1001,MATCH(C830,'Database Mitra'!$B$2:$B1001,0))</f>
        <v>#N/A</v>
      </c>
      <c r="B830" s="10" t="e">
        <f t="shared" ca="1" si="0"/>
        <v>#NAME?</v>
      </c>
      <c r="C830" s="83"/>
    </row>
    <row r="831" spans="1:3" ht="12.5">
      <c r="A831" s="10" t="e">
        <f t="array" ref="A831">INDEX('Database Mitra'!$R$2:$R1001,MATCH(C831,'Database Mitra'!$B$2:$B1001,0))</f>
        <v>#N/A</v>
      </c>
      <c r="B831" s="10" t="e">
        <f t="shared" ca="1" si="0"/>
        <v>#NAME?</v>
      </c>
      <c r="C831" s="83"/>
    </row>
    <row r="832" spans="1:3" ht="12.5">
      <c r="A832" s="10" t="e">
        <f t="array" ref="A832">INDEX('Database Mitra'!$R$2:$R1001,MATCH(C832,'Database Mitra'!$B$2:$B1001,0))</f>
        <v>#N/A</v>
      </c>
      <c r="B832" s="10" t="e">
        <f t="shared" ca="1" si="0"/>
        <v>#NAME?</v>
      </c>
      <c r="C832" s="83"/>
    </row>
    <row r="833" spans="1:3" ht="12.5">
      <c r="A833" s="10" t="e">
        <f t="array" ref="A833">INDEX('Database Mitra'!$R$2:$R1001,MATCH(C833,'Database Mitra'!$B$2:$B1001,0))</f>
        <v>#N/A</v>
      </c>
      <c r="B833" s="10" t="e">
        <f t="shared" ca="1" si="0"/>
        <v>#NAME?</v>
      </c>
      <c r="C833" s="83"/>
    </row>
    <row r="834" spans="1:3" ht="12.5">
      <c r="A834" s="10" t="e">
        <f t="array" ref="A834">INDEX('Database Mitra'!$R$2:$R1001,MATCH(C834,'Database Mitra'!$B$2:$B1001,0))</f>
        <v>#N/A</v>
      </c>
      <c r="B834" s="10" t="e">
        <f t="shared" ca="1" si="0"/>
        <v>#NAME?</v>
      </c>
      <c r="C834" s="83"/>
    </row>
    <row r="835" spans="1:3" ht="12.5">
      <c r="A835" s="10" t="e">
        <f t="array" ref="A835">INDEX('Database Mitra'!$R$2:$R1001,MATCH(C835,'Database Mitra'!$B$2:$B1001,0))</f>
        <v>#N/A</v>
      </c>
      <c r="B835" s="10" t="e">
        <f t="shared" ca="1" si="0"/>
        <v>#NAME?</v>
      </c>
      <c r="C835" s="83"/>
    </row>
    <row r="836" spans="1:3" ht="12.5">
      <c r="A836" s="10" t="e">
        <f t="array" ref="A836">INDEX('Database Mitra'!$R$2:$R1001,MATCH(C836,'Database Mitra'!$B$2:$B1001,0))</f>
        <v>#N/A</v>
      </c>
      <c r="B836" s="10" t="e">
        <f t="shared" ca="1" si="0"/>
        <v>#NAME?</v>
      </c>
      <c r="C836" s="83"/>
    </row>
    <row r="837" spans="1:3" ht="12.5">
      <c r="A837" s="10" t="e">
        <f t="array" ref="A837">INDEX('Database Mitra'!$R$2:$R1001,MATCH(C837,'Database Mitra'!$B$2:$B1001,0))</f>
        <v>#N/A</v>
      </c>
      <c r="B837" s="10" t="e">
        <f t="shared" ca="1" si="0"/>
        <v>#NAME?</v>
      </c>
      <c r="C837" s="83"/>
    </row>
    <row r="838" spans="1:3" ht="12.5">
      <c r="A838" s="10" t="e">
        <f t="array" ref="A838">INDEX('Database Mitra'!$R$2:$R1001,MATCH(C838,'Database Mitra'!$B$2:$B1001,0))</f>
        <v>#N/A</v>
      </c>
      <c r="B838" s="10" t="e">
        <f t="shared" ca="1" si="0"/>
        <v>#NAME?</v>
      </c>
      <c r="C838" s="83"/>
    </row>
    <row r="839" spans="1:3" ht="12.5">
      <c r="A839" s="10" t="e">
        <f t="array" ref="A839">INDEX('Database Mitra'!$R$2:$R1001,MATCH(C839,'Database Mitra'!$B$2:$B1001,0))</f>
        <v>#N/A</v>
      </c>
      <c r="B839" s="10" t="e">
        <f t="shared" ca="1" si="0"/>
        <v>#NAME?</v>
      </c>
      <c r="C839" s="83"/>
    </row>
    <row r="840" spans="1:3" ht="12.5">
      <c r="A840" s="10" t="e">
        <f t="array" ref="A840">INDEX('Database Mitra'!$R$2:$R1001,MATCH(C840,'Database Mitra'!$B$2:$B1001,0))</f>
        <v>#N/A</v>
      </c>
      <c r="B840" s="10" t="e">
        <f t="shared" ca="1" si="0"/>
        <v>#NAME?</v>
      </c>
      <c r="C840" s="83"/>
    </row>
    <row r="841" spans="1:3" ht="12.5">
      <c r="A841" s="10" t="e">
        <f t="array" ref="A841">INDEX('Database Mitra'!$R$2:$R1001,MATCH(C841,'Database Mitra'!$B$2:$B1001,0))</f>
        <v>#N/A</v>
      </c>
      <c r="B841" s="10" t="e">
        <f t="shared" ca="1" si="0"/>
        <v>#NAME?</v>
      </c>
      <c r="C841" s="83"/>
    </row>
    <row r="842" spans="1:3" ht="12.5">
      <c r="A842" s="10" t="e">
        <f t="array" ref="A842">INDEX('Database Mitra'!$R$2:$R1001,MATCH(C842,'Database Mitra'!$B$2:$B1001,0))</f>
        <v>#N/A</v>
      </c>
      <c r="B842" s="10" t="e">
        <f t="shared" ca="1" si="0"/>
        <v>#NAME?</v>
      </c>
      <c r="C842" s="83"/>
    </row>
    <row r="843" spans="1:3" ht="12.5">
      <c r="A843" s="10" t="e">
        <f t="array" ref="A843">INDEX('Database Mitra'!$R$2:$R1001,MATCH(C843,'Database Mitra'!$B$2:$B1001,0))</f>
        <v>#N/A</v>
      </c>
      <c r="B843" s="10" t="e">
        <f t="shared" ca="1" si="0"/>
        <v>#NAME?</v>
      </c>
      <c r="C843" s="83"/>
    </row>
    <row r="844" spans="1:3" ht="12.5">
      <c r="A844" s="10" t="e">
        <f t="array" ref="A844">INDEX('Database Mitra'!$R$2:$R1001,MATCH(C844,'Database Mitra'!$B$2:$B1001,0))</f>
        <v>#N/A</v>
      </c>
      <c r="B844" s="10" t="e">
        <f t="shared" ca="1" si="0"/>
        <v>#NAME?</v>
      </c>
      <c r="C844" s="83"/>
    </row>
    <row r="845" spans="1:3" ht="12.5">
      <c r="A845" s="10" t="e">
        <f t="array" ref="A845">INDEX('Database Mitra'!$R$2:$R1001,MATCH(C845,'Database Mitra'!$B$2:$B1001,0))</f>
        <v>#N/A</v>
      </c>
      <c r="B845" s="10" t="e">
        <f t="shared" ca="1" si="0"/>
        <v>#NAME?</v>
      </c>
      <c r="C845" s="83"/>
    </row>
    <row r="846" spans="1:3" ht="12.5">
      <c r="A846" s="10" t="e">
        <f t="array" ref="A846">INDEX('Database Mitra'!$R$2:$R1001,MATCH(C846,'Database Mitra'!$B$2:$B1001,0))</f>
        <v>#N/A</v>
      </c>
      <c r="B846" s="10" t="e">
        <f t="shared" ca="1" si="0"/>
        <v>#NAME?</v>
      </c>
      <c r="C846" s="83"/>
    </row>
    <row r="847" spans="1:3" ht="12.5">
      <c r="A847" s="10" t="e">
        <f t="array" ref="A847">INDEX('Database Mitra'!$R$2:$R1001,MATCH(C847,'Database Mitra'!$B$2:$B1001,0))</f>
        <v>#N/A</v>
      </c>
      <c r="B847" s="10" t="e">
        <f t="shared" ca="1" si="0"/>
        <v>#NAME?</v>
      </c>
      <c r="C847" s="83"/>
    </row>
    <row r="848" spans="1:3" ht="12.5">
      <c r="A848" s="10" t="e">
        <f t="array" ref="A848">INDEX('Database Mitra'!$R$2:$R1001,MATCH(C848,'Database Mitra'!$B$2:$B1001,0))</f>
        <v>#N/A</v>
      </c>
      <c r="B848" s="10" t="e">
        <f t="shared" ca="1" si="0"/>
        <v>#NAME?</v>
      </c>
      <c r="C848" s="83"/>
    </row>
    <row r="849" spans="1:3" ht="12.5">
      <c r="A849" s="10" t="e">
        <f t="array" ref="A849">INDEX('Database Mitra'!$R$2:$R1001,MATCH(C849,'Database Mitra'!$B$2:$B1001,0))</f>
        <v>#N/A</v>
      </c>
      <c r="B849" s="10" t="e">
        <f t="shared" ca="1" si="0"/>
        <v>#NAME?</v>
      </c>
      <c r="C849" s="83"/>
    </row>
    <row r="850" spans="1:3" ht="12.5">
      <c r="A850" s="10" t="e">
        <f t="array" ref="A850">INDEX('Database Mitra'!$R$2:$R1001,MATCH(C850,'Database Mitra'!$B$2:$B1001,0))</f>
        <v>#N/A</v>
      </c>
      <c r="B850" s="10" t="e">
        <f t="shared" ca="1" si="0"/>
        <v>#NAME?</v>
      </c>
      <c r="C850" s="83"/>
    </row>
    <row r="851" spans="1:3" ht="12.5">
      <c r="A851" s="10" t="e">
        <f t="array" ref="A851">INDEX('Database Mitra'!$R$2:$R1001,MATCH(C851,'Database Mitra'!$B$2:$B1001,0))</f>
        <v>#N/A</v>
      </c>
      <c r="B851" s="10" t="e">
        <f t="shared" ca="1" si="0"/>
        <v>#NAME?</v>
      </c>
      <c r="C851" s="83"/>
    </row>
    <row r="852" spans="1:3" ht="12.5">
      <c r="A852" s="10" t="e">
        <f t="array" ref="A852">INDEX('Database Mitra'!$R$2:$R1001,MATCH(C852,'Database Mitra'!$B$2:$B1001,0))</f>
        <v>#N/A</v>
      </c>
      <c r="B852" s="10" t="e">
        <f t="shared" ca="1" si="0"/>
        <v>#NAME?</v>
      </c>
      <c r="C852" s="83"/>
    </row>
    <row r="853" spans="1:3" ht="12.5">
      <c r="A853" s="10" t="e">
        <f t="array" ref="A853">INDEX('Database Mitra'!$R$2:$R1001,MATCH(C853,'Database Mitra'!$B$2:$B1001,0))</f>
        <v>#N/A</v>
      </c>
      <c r="B853" s="10" t="e">
        <f t="shared" ca="1" si="0"/>
        <v>#NAME?</v>
      </c>
      <c r="C853" s="83"/>
    </row>
    <row r="854" spans="1:3" ht="12.5">
      <c r="A854" s="10" t="e">
        <f t="array" ref="A854">INDEX('Database Mitra'!$R$2:$R1001,MATCH(C854,'Database Mitra'!$B$2:$B1001,0))</f>
        <v>#N/A</v>
      </c>
      <c r="B854" s="10" t="e">
        <f t="shared" ca="1" si="0"/>
        <v>#NAME?</v>
      </c>
      <c r="C854" s="83"/>
    </row>
    <row r="855" spans="1:3" ht="12.5">
      <c r="A855" s="10" t="e">
        <f t="array" ref="A855">INDEX('Database Mitra'!$R$2:$R1001,MATCH(C855,'Database Mitra'!$B$2:$B1001,0))</f>
        <v>#N/A</v>
      </c>
      <c r="B855" s="10" t="e">
        <f t="shared" ca="1" si="0"/>
        <v>#NAME?</v>
      </c>
      <c r="C855" s="83"/>
    </row>
    <row r="856" spans="1:3" ht="12.5">
      <c r="A856" s="10" t="e">
        <f t="array" ref="A856">INDEX('Database Mitra'!$R$2:$R1001,MATCH(C856,'Database Mitra'!$B$2:$B1001,0))</f>
        <v>#N/A</v>
      </c>
      <c r="B856" s="10" t="e">
        <f t="shared" ca="1" si="0"/>
        <v>#NAME?</v>
      </c>
      <c r="C856" s="83"/>
    </row>
    <row r="857" spans="1:3" ht="12.5">
      <c r="A857" s="10" t="e">
        <f t="array" ref="A857">INDEX('Database Mitra'!$R$2:$R1001,MATCH(C857,'Database Mitra'!$B$2:$B1001,0))</f>
        <v>#N/A</v>
      </c>
      <c r="B857" s="10" t="e">
        <f t="shared" ca="1" si="0"/>
        <v>#NAME?</v>
      </c>
      <c r="C857" s="83"/>
    </row>
    <row r="858" spans="1:3" ht="12.5">
      <c r="A858" s="10" t="e">
        <f t="array" ref="A858">INDEX('Database Mitra'!$R$2:$R1001,MATCH(C858,'Database Mitra'!$B$2:$B1001,0))</f>
        <v>#N/A</v>
      </c>
      <c r="B858" s="10" t="e">
        <f t="shared" ca="1" si="0"/>
        <v>#NAME?</v>
      </c>
      <c r="C858" s="83"/>
    </row>
    <row r="859" spans="1:3" ht="12.5">
      <c r="A859" s="10" t="e">
        <f t="array" ref="A859">INDEX('Database Mitra'!$R$2:$R1001,MATCH(C859,'Database Mitra'!$B$2:$B1001,0))</f>
        <v>#N/A</v>
      </c>
      <c r="B859" s="10" t="e">
        <f t="shared" ca="1" si="0"/>
        <v>#NAME?</v>
      </c>
      <c r="C859" s="83"/>
    </row>
    <row r="860" spans="1:3" ht="12.5">
      <c r="A860" s="10" t="e">
        <f t="array" ref="A860">INDEX('Database Mitra'!$R$2:$R1001,MATCH(C860,'Database Mitra'!$B$2:$B1001,0))</f>
        <v>#N/A</v>
      </c>
      <c r="B860" s="10" t="e">
        <f t="shared" ca="1" si="0"/>
        <v>#NAME?</v>
      </c>
      <c r="C860" s="83"/>
    </row>
    <row r="861" spans="1:3" ht="12.5">
      <c r="A861" s="10" t="e">
        <f t="array" ref="A861">INDEX('Database Mitra'!$R$2:$R1001,MATCH(C861,'Database Mitra'!$B$2:$B1001,0))</f>
        <v>#N/A</v>
      </c>
      <c r="B861" s="10" t="e">
        <f t="shared" ca="1" si="0"/>
        <v>#NAME?</v>
      </c>
      <c r="C861" s="83"/>
    </row>
    <row r="862" spans="1:3" ht="12.5">
      <c r="A862" s="10" t="e">
        <f t="array" ref="A862">INDEX('Database Mitra'!$R$2:$R1001,MATCH(C862,'Database Mitra'!$B$2:$B1001,0))</f>
        <v>#N/A</v>
      </c>
      <c r="B862" s="10" t="e">
        <f t="shared" ca="1" si="0"/>
        <v>#NAME?</v>
      </c>
      <c r="C862" s="83"/>
    </row>
    <row r="863" spans="1:3" ht="12.5">
      <c r="A863" s="10" t="e">
        <f t="array" ref="A863">INDEX('Database Mitra'!$R$2:$R1001,MATCH(C863,'Database Mitra'!$B$2:$B1001,0))</f>
        <v>#N/A</v>
      </c>
      <c r="B863" s="10" t="e">
        <f t="shared" ca="1" si="0"/>
        <v>#NAME?</v>
      </c>
      <c r="C863" s="83"/>
    </row>
    <row r="864" spans="1:3" ht="12.5">
      <c r="A864" s="10" t="e">
        <f t="array" ref="A864">INDEX('Database Mitra'!$R$2:$R1001,MATCH(C864,'Database Mitra'!$B$2:$B1001,0))</f>
        <v>#N/A</v>
      </c>
      <c r="B864" s="10" t="e">
        <f t="shared" ca="1" si="0"/>
        <v>#NAME?</v>
      </c>
      <c r="C864" s="83"/>
    </row>
    <row r="865" spans="1:3" ht="12.5">
      <c r="A865" s="10" t="e">
        <f t="array" ref="A865">INDEX('Database Mitra'!$R$2:$R1001,MATCH(C865,'Database Mitra'!$B$2:$B1001,0))</f>
        <v>#N/A</v>
      </c>
      <c r="B865" s="10" t="e">
        <f t="shared" ca="1" si="0"/>
        <v>#NAME?</v>
      </c>
      <c r="C865" s="83"/>
    </row>
    <row r="866" spans="1:3" ht="12.5">
      <c r="A866" s="10" t="e">
        <f t="array" ref="A866">INDEX('Database Mitra'!$R$2:$R1001,MATCH(C866,'Database Mitra'!$B$2:$B1001,0))</f>
        <v>#N/A</v>
      </c>
      <c r="B866" s="10" t="e">
        <f t="shared" ca="1" si="0"/>
        <v>#NAME?</v>
      </c>
      <c r="C866" s="83"/>
    </row>
    <row r="867" spans="1:3" ht="12.5">
      <c r="A867" s="10" t="e">
        <f t="array" ref="A867">INDEX('Database Mitra'!$R$2:$R1001,MATCH(C867,'Database Mitra'!$B$2:$B1001,0))</f>
        <v>#N/A</v>
      </c>
      <c r="B867" s="10" t="e">
        <f t="shared" ca="1" si="0"/>
        <v>#NAME?</v>
      </c>
      <c r="C867" s="83"/>
    </row>
    <row r="868" spans="1:3" ht="12.5">
      <c r="A868" s="10" t="e">
        <f t="array" ref="A868">INDEX('Database Mitra'!$R$2:$R1001,MATCH(C868,'Database Mitra'!$B$2:$B1001,0))</f>
        <v>#N/A</v>
      </c>
      <c r="B868" s="10" t="e">
        <f t="shared" ca="1" si="0"/>
        <v>#NAME?</v>
      </c>
      <c r="C868" s="83"/>
    </row>
    <row r="869" spans="1:3" ht="12.5">
      <c r="A869" s="10" t="e">
        <f t="array" ref="A869">INDEX('Database Mitra'!$R$2:$R1001,MATCH(C869,'Database Mitra'!$B$2:$B1001,0))</f>
        <v>#N/A</v>
      </c>
      <c r="B869" s="10" t="e">
        <f t="shared" ca="1" si="0"/>
        <v>#NAME?</v>
      </c>
      <c r="C869" s="83"/>
    </row>
    <row r="870" spans="1:3" ht="12.5">
      <c r="A870" s="10" t="e">
        <f t="array" ref="A870">INDEX('Database Mitra'!$R$2:$R1001,MATCH(C870,'Database Mitra'!$B$2:$B1001,0))</f>
        <v>#N/A</v>
      </c>
      <c r="B870" s="10" t="e">
        <f t="shared" ca="1" si="0"/>
        <v>#NAME?</v>
      </c>
      <c r="C870" s="83"/>
    </row>
    <row r="871" spans="1:3" ht="12.5">
      <c r="A871" s="10" t="e">
        <f t="array" ref="A871">INDEX('Database Mitra'!$R$2:$R1001,MATCH(C871,'Database Mitra'!$B$2:$B1001,0))</f>
        <v>#N/A</v>
      </c>
      <c r="B871" s="10" t="e">
        <f t="shared" ca="1" si="0"/>
        <v>#NAME?</v>
      </c>
      <c r="C871" s="83"/>
    </row>
    <row r="872" spans="1:3" ht="12.5">
      <c r="A872" s="10" t="e">
        <f t="array" ref="A872">INDEX('Database Mitra'!$R$2:$R1001,MATCH(C872,'Database Mitra'!$B$2:$B1001,0))</f>
        <v>#N/A</v>
      </c>
      <c r="B872" s="10" t="e">
        <f t="shared" ca="1" si="0"/>
        <v>#NAME?</v>
      </c>
      <c r="C872" s="83"/>
    </row>
    <row r="873" spans="1:3" ht="12.5">
      <c r="A873" s="10" t="e">
        <f t="array" ref="A873">INDEX('Database Mitra'!$R$2:$R1001,MATCH(C873,'Database Mitra'!$B$2:$B1001,0))</f>
        <v>#N/A</v>
      </c>
      <c r="B873" s="10" t="e">
        <f t="shared" ca="1" si="0"/>
        <v>#NAME?</v>
      </c>
      <c r="C873" s="83"/>
    </row>
    <row r="874" spans="1:3" ht="12.5">
      <c r="A874" s="10" t="e">
        <f t="array" ref="A874">INDEX('Database Mitra'!$R$2:$R1001,MATCH(C874,'Database Mitra'!$B$2:$B1001,0))</f>
        <v>#N/A</v>
      </c>
      <c r="B874" s="10" t="e">
        <f t="shared" ca="1" si="0"/>
        <v>#NAME?</v>
      </c>
      <c r="C874" s="83"/>
    </row>
    <row r="875" spans="1:3" ht="12.5">
      <c r="A875" s="10" t="e">
        <f t="array" ref="A875">INDEX('Database Mitra'!$R$2:$R1001,MATCH(C875,'Database Mitra'!$B$2:$B1001,0))</f>
        <v>#N/A</v>
      </c>
      <c r="B875" s="10" t="e">
        <f t="shared" ca="1" si="0"/>
        <v>#NAME?</v>
      </c>
      <c r="C875" s="83"/>
    </row>
    <row r="876" spans="1:3" ht="12.5">
      <c r="A876" s="10" t="e">
        <f t="array" ref="A876">INDEX('Database Mitra'!$R$2:$R1001,MATCH(C876,'Database Mitra'!$B$2:$B1001,0))</f>
        <v>#N/A</v>
      </c>
      <c r="B876" s="10" t="e">
        <f t="shared" ca="1" si="0"/>
        <v>#NAME?</v>
      </c>
      <c r="C876" s="83"/>
    </row>
    <row r="877" spans="1:3" ht="12.5">
      <c r="A877" s="10" t="e">
        <f t="array" ref="A877">INDEX('Database Mitra'!$R$2:$R1001,MATCH(C877,'Database Mitra'!$B$2:$B1001,0))</f>
        <v>#N/A</v>
      </c>
      <c r="B877" s="10" t="e">
        <f t="shared" ca="1" si="0"/>
        <v>#NAME?</v>
      </c>
      <c r="C877" s="83"/>
    </row>
    <row r="878" spans="1:3" ht="12.5">
      <c r="A878" s="10" t="e">
        <f t="array" ref="A878">INDEX('Database Mitra'!$R$2:$R1001,MATCH(C878,'Database Mitra'!$B$2:$B1001,0))</f>
        <v>#N/A</v>
      </c>
      <c r="B878" s="10" t="e">
        <f t="shared" ca="1" si="0"/>
        <v>#NAME?</v>
      </c>
      <c r="C878" s="83"/>
    </row>
    <row r="879" spans="1:3" ht="12.5">
      <c r="A879" s="10" t="e">
        <f t="array" ref="A879">INDEX('Database Mitra'!$R$2:$R1001,MATCH(C879,'Database Mitra'!$B$2:$B1001,0))</f>
        <v>#N/A</v>
      </c>
      <c r="B879" s="10" t="e">
        <f t="shared" ca="1" si="0"/>
        <v>#NAME?</v>
      </c>
      <c r="C879" s="83"/>
    </row>
    <row r="880" spans="1:3" ht="12.5">
      <c r="A880" s="10" t="e">
        <f t="array" ref="A880">INDEX('Database Mitra'!$R$2:$R1001,MATCH(C880,'Database Mitra'!$B$2:$B1001,0))</f>
        <v>#N/A</v>
      </c>
      <c r="B880" s="10" t="e">
        <f t="shared" ca="1" si="0"/>
        <v>#NAME?</v>
      </c>
      <c r="C880" s="83"/>
    </row>
    <row r="881" spans="1:3" ht="12.5">
      <c r="A881" s="10" t="e">
        <f t="array" ref="A881">INDEX('Database Mitra'!$R$2:$R1001,MATCH(C881,'Database Mitra'!$B$2:$B1001,0))</f>
        <v>#N/A</v>
      </c>
      <c r="B881" s="10" t="e">
        <f t="shared" ca="1" si="0"/>
        <v>#NAME?</v>
      </c>
      <c r="C881" s="83"/>
    </row>
    <row r="882" spans="1:3" ht="12.5">
      <c r="A882" s="10" t="e">
        <f t="array" ref="A882">INDEX('Database Mitra'!$R$2:$R1001,MATCH(C882,'Database Mitra'!$B$2:$B1001,0))</f>
        <v>#N/A</v>
      </c>
      <c r="B882" s="10" t="e">
        <f t="shared" ca="1" si="0"/>
        <v>#NAME?</v>
      </c>
      <c r="C882" s="83"/>
    </row>
    <row r="883" spans="1:3" ht="12.5">
      <c r="A883" s="10" t="e">
        <f t="array" ref="A883">INDEX('Database Mitra'!$R$2:$R1001,MATCH(C883,'Database Mitra'!$B$2:$B1001,0))</f>
        <v>#N/A</v>
      </c>
      <c r="B883" s="10" t="e">
        <f t="shared" ca="1" si="0"/>
        <v>#NAME?</v>
      </c>
      <c r="C883" s="83"/>
    </row>
    <row r="884" spans="1:3" ht="12.5">
      <c r="A884" s="10" t="e">
        <f t="array" ref="A884">INDEX('Database Mitra'!$R$2:$R1001,MATCH(C884,'Database Mitra'!$B$2:$B1001,0))</f>
        <v>#N/A</v>
      </c>
      <c r="B884" s="10" t="e">
        <f t="shared" ca="1" si="0"/>
        <v>#NAME?</v>
      </c>
      <c r="C884" s="83"/>
    </row>
    <row r="885" spans="1:3" ht="12.5">
      <c r="A885" s="10" t="e">
        <f t="array" ref="A885">INDEX('Database Mitra'!$R$2:$R1001,MATCH(C885,'Database Mitra'!$B$2:$B1001,0))</f>
        <v>#N/A</v>
      </c>
      <c r="B885" s="10" t="e">
        <f t="shared" ca="1" si="0"/>
        <v>#NAME?</v>
      </c>
      <c r="C885" s="83"/>
    </row>
    <row r="886" spans="1:3" ht="12.5">
      <c r="A886" s="10" t="e">
        <f t="array" ref="A886">INDEX('Database Mitra'!$R$2:$R1001,MATCH(C886,'Database Mitra'!$B$2:$B1001,0))</f>
        <v>#N/A</v>
      </c>
      <c r="B886" s="10" t="e">
        <f t="shared" ca="1" si="0"/>
        <v>#NAME?</v>
      </c>
      <c r="C886" s="83"/>
    </row>
    <row r="887" spans="1:3" ht="12.5">
      <c r="A887" s="10" t="e">
        <f t="array" ref="A887">INDEX('Database Mitra'!$R$2:$R1001,MATCH(C887,'Database Mitra'!$B$2:$B1001,0))</f>
        <v>#N/A</v>
      </c>
      <c r="B887" s="10" t="e">
        <f t="shared" ca="1" si="0"/>
        <v>#NAME?</v>
      </c>
      <c r="C887" s="83"/>
    </row>
    <row r="888" spans="1:3" ht="12.5">
      <c r="A888" s="10" t="e">
        <f t="array" ref="A888">INDEX('Database Mitra'!$R$2:$R1001,MATCH(C888,'Database Mitra'!$B$2:$B1001,0))</f>
        <v>#N/A</v>
      </c>
      <c r="B888" s="10" t="e">
        <f t="shared" ca="1" si="0"/>
        <v>#NAME?</v>
      </c>
      <c r="C888" s="83"/>
    </row>
    <row r="889" spans="1:3" ht="12.5">
      <c r="A889" s="10" t="e">
        <f t="array" ref="A889">INDEX('Database Mitra'!$R$2:$R1001,MATCH(C889,'Database Mitra'!$B$2:$B1001,0))</f>
        <v>#N/A</v>
      </c>
      <c r="B889" s="10" t="e">
        <f t="shared" ca="1" si="0"/>
        <v>#NAME?</v>
      </c>
      <c r="C889" s="83"/>
    </row>
    <row r="890" spans="1:3" ht="12.5">
      <c r="A890" s="10" t="e">
        <f t="array" ref="A890">INDEX('Database Mitra'!$R$2:$R1001,MATCH(C890,'Database Mitra'!$B$2:$B1001,0))</f>
        <v>#N/A</v>
      </c>
      <c r="B890" s="10" t="e">
        <f t="shared" ca="1" si="0"/>
        <v>#NAME?</v>
      </c>
      <c r="C890" s="83"/>
    </row>
    <row r="891" spans="1:3" ht="12.5">
      <c r="A891" s="10" t="e">
        <f t="array" ref="A891">INDEX('Database Mitra'!$R$2:$R1001,MATCH(C891,'Database Mitra'!$B$2:$B1001,0))</f>
        <v>#N/A</v>
      </c>
      <c r="B891" s="10" t="e">
        <f t="shared" ca="1" si="0"/>
        <v>#NAME?</v>
      </c>
      <c r="C891" s="83"/>
    </row>
    <row r="892" spans="1:3" ht="12.5">
      <c r="A892" s="10" t="e">
        <f t="array" ref="A892">INDEX('Database Mitra'!$R$2:$R1001,MATCH(C892,'Database Mitra'!$B$2:$B1001,0))</f>
        <v>#N/A</v>
      </c>
      <c r="B892" s="10" t="e">
        <f t="shared" ca="1" si="0"/>
        <v>#NAME?</v>
      </c>
      <c r="C892" s="83"/>
    </row>
    <row r="893" spans="1:3" ht="12.5">
      <c r="A893" s="10" t="e">
        <f t="array" ref="A893">INDEX('Database Mitra'!$R$2:$R1001,MATCH(C893,'Database Mitra'!$B$2:$B1001,0))</f>
        <v>#N/A</v>
      </c>
      <c r="B893" s="10" t="e">
        <f t="shared" ca="1" si="0"/>
        <v>#NAME?</v>
      </c>
      <c r="C893" s="83"/>
    </row>
    <row r="894" spans="1:3" ht="12.5">
      <c r="A894" s="10" t="e">
        <f t="array" ref="A894">INDEX('Database Mitra'!$R$2:$R1001,MATCH(C894,'Database Mitra'!$B$2:$B1001,0))</f>
        <v>#N/A</v>
      </c>
      <c r="B894" s="10" t="e">
        <f t="shared" ca="1" si="0"/>
        <v>#NAME?</v>
      </c>
      <c r="C894" s="83"/>
    </row>
    <row r="895" spans="1:3" ht="12.5">
      <c r="A895" s="10" t="e">
        <f t="array" ref="A895">INDEX('Database Mitra'!$R$2:$R1001,MATCH(C895,'Database Mitra'!$B$2:$B1001,0))</f>
        <v>#N/A</v>
      </c>
      <c r="B895" s="10" t="e">
        <f t="shared" ca="1" si="0"/>
        <v>#NAME?</v>
      </c>
      <c r="C895" s="83"/>
    </row>
    <row r="896" spans="1:3" ht="12.5">
      <c r="A896" s="10" t="e">
        <f t="array" ref="A896">INDEX('Database Mitra'!$R$2:$R1001,MATCH(C896,'Database Mitra'!$B$2:$B1001,0))</f>
        <v>#N/A</v>
      </c>
      <c r="B896" s="10" t="e">
        <f t="shared" ca="1" si="0"/>
        <v>#NAME?</v>
      </c>
      <c r="C896" s="83"/>
    </row>
    <row r="897" spans="1:3" ht="12.5">
      <c r="A897" s="10" t="e">
        <f t="array" ref="A897">INDEX('Database Mitra'!$R$2:$R1001,MATCH(C897,'Database Mitra'!$B$2:$B1001,0))</f>
        <v>#N/A</v>
      </c>
      <c r="B897" s="10" t="e">
        <f t="shared" ca="1" si="0"/>
        <v>#NAME?</v>
      </c>
      <c r="C897" s="83"/>
    </row>
    <row r="898" spans="1:3" ht="12.5">
      <c r="A898" s="10" t="e">
        <f t="array" ref="A898">INDEX('Database Mitra'!$R$2:$R1001,MATCH(C898,'Database Mitra'!$B$2:$B1001,0))</f>
        <v>#N/A</v>
      </c>
      <c r="B898" s="10" t="e">
        <f t="shared" ca="1" si="0"/>
        <v>#NAME?</v>
      </c>
      <c r="C898" s="83"/>
    </row>
    <row r="899" spans="1:3" ht="12.5">
      <c r="A899" s="10" t="e">
        <f t="array" ref="A899">INDEX('Database Mitra'!$R$2:$R1001,MATCH(C899,'Database Mitra'!$B$2:$B1001,0))</f>
        <v>#N/A</v>
      </c>
      <c r="B899" s="10" t="e">
        <f t="shared" ca="1" si="0"/>
        <v>#NAME?</v>
      </c>
      <c r="C899" s="83"/>
    </row>
    <row r="900" spans="1:3" ht="12.5">
      <c r="A900" s="10" t="e">
        <f t="array" ref="A900">INDEX('Database Mitra'!$R$2:$R1001,MATCH(C900,'Database Mitra'!$B$2:$B1001,0))</f>
        <v>#N/A</v>
      </c>
      <c r="B900" s="10" t="e">
        <f t="shared" ca="1" si="0"/>
        <v>#NAME?</v>
      </c>
      <c r="C900" s="83"/>
    </row>
    <row r="901" spans="1:3" ht="12.5">
      <c r="A901" s="10" t="e">
        <f t="array" ref="A901">INDEX('Database Mitra'!$R$2:$R1001,MATCH(C901,'Database Mitra'!$B$2:$B1001,0))</f>
        <v>#N/A</v>
      </c>
      <c r="B901" s="10" t="e">
        <f t="shared" ca="1" si="0"/>
        <v>#NAME?</v>
      </c>
      <c r="C901" s="83"/>
    </row>
    <row r="902" spans="1:3" ht="12.5">
      <c r="A902" s="10" t="e">
        <f t="array" ref="A902">INDEX('Database Mitra'!$R$2:$R1001,MATCH(C902,'Database Mitra'!$B$2:$B1001,0))</f>
        <v>#N/A</v>
      </c>
      <c r="B902" s="10" t="e">
        <f t="shared" ca="1" si="0"/>
        <v>#NAME?</v>
      </c>
      <c r="C902" s="83"/>
    </row>
    <row r="903" spans="1:3" ht="12.5">
      <c r="A903" s="10" t="e">
        <f t="array" ref="A903">INDEX('Database Mitra'!$R$2:$R1001,MATCH(C903,'Database Mitra'!$B$2:$B1001,0))</f>
        <v>#N/A</v>
      </c>
      <c r="B903" s="10" t="e">
        <f t="shared" ca="1" si="0"/>
        <v>#NAME?</v>
      </c>
      <c r="C903" s="83"/>
    </row>
    <row r="904" spans="1:3" ht="12.5">
      <c r="A904" s="10" t="e">
        <f t="array" ref="A904">INDEX('Database Mitra'!$R$2:$R1001,MATCH(C904,'Database Mitra'!$B$2:$B1001,0))</f>
        <v>#N/A</v>
      </c>
      <c r="B904" s="10" t="e">
        <f t="shared" ca="1" si="0"/>
        <v>#NAME?</v>
      </c>
      <c r="C904" s="83"/>
    </row>
    <row r="905" spans="1:3" ht="12.5">
      <c r="A905" s="10" t="e">
        <f t="array" ref="A905">INDEX('Database Mitra'!$R$2:$R1001,MATCH(C905,'Database Mitra'!$B$2:$B1001,0))</f>
        <v>#N/A</v>
      </c>
      <c r="B905" s="10" t="e">
        <f t="shared" ca="1" si="0"/>
        <v>#NAME?</v>
      </c>
      <c r="C905" s="83"/>
    </row>
    <row r="906" spans="1:3" ht="12.5">
      <c r="A906" s="10" t="e">
        <f t="array" ref="A906">INDEX('Database Mitra'!$R$2:$R1001,MATCH(C906,'Database Mitra'!$B$2:$B1001,0))</f>
        <v>#N/A</v>
      </c>
      <c r="B906" s="10" t="e">
        <f t="shared" ca="1" si="0"/>
        <v>#NAME?</v>
      </c>
      <c r="C906" s="83"/>
    </row>
    <row r="907" spans="1:3" ht="12.5">
      <c r="A907" s="10" t="e">
        <f t="array" ref="A907">INDEX('Database Mitra'!$R$2:$R1001,MATCH(C907,'Database Mitra'!$B$2:$B1001,0))</f>
        <v>#N/A</v>
      </c>
      <c r="B907" s="10" t="e">
        <f t="shared" ca="1" si="0"/>
        <v>#NAME?</v>
      </c>
      <c r="C907" s="83"/>
    </row>
    <row r="908" spans="1:3" ht="12.5">
      <c r="A908" s="10" t="e">
        <f t="array" ref="A908">INDEX('Database Mitra'!$R$2:$R1001,MATCH(C908,'Database Mitra'!$B$2:$B1001,0))</f>
        <v>#N/A</v>
      </c>
      <c r="B908" s="10" t="e">
        <f t="shared" ca="1" si="0"/>
        <v>#NAME?</v>
      </c>
      <c r="C908" s="83"/>
    </row>
    <row r="909" spans="1:3" ht="12.5">
      <c r="A909" s="10" t="e">
        <f t="array" ref="A909">INDEX('Database Mitra'!$R$2:$R1001,MATCH(C909,'Database Mitra'!$B$2:$B1001,0))</f>
        <v>#N/A</v>
      </c>
      <c r="B909" s="10" t="e">
        <f t="shared" ca="1" si="0"/>
        <v>#NAME?</v>
      </c>
      <c r="C909" s="83"/>
    </row>
    <row r="910" spans="1:3" ht="12.5">
      <c r="A910" s="10" t="e">
        <f t="array" ref="A910">INDEX('Database Mitra'!$R$2:$R1001,MATCH(C910,'Database Mitra'!$B$2:$B1001,0))</f>
        <v>#N/A</v>
      </c>
      <c r="B910" s="10" t="e">
        <f t="shared" ca="1" si="0"/>
        <v>#NAME?</v>
      </c>
      <c r="C910" s="83"/>
    </row>
    <row r="911" spans="1:3" ht="12.5">
      <c r="A911" s="10" t="e">
        <f t="array" ref="A911">INDEX('Database Mitra'!$R$2:$R1001,MATCH(C911,'Database Mitra'!$B$2:$B1001,0))</f>
        <v>#N/A</v>
      </c>
      <c r="B911" s="10" t="e">
        <f t="shared" ca="1" si="0"/>
        <v>#NAME?</v>
      </c>
      <c r="C911" s="83"/>
    </row>
    <row r="912" spans="1:3" ht="12.5">
      <c r="A912" s="10" t="e">
        <f t="array" ref="A912">INDEX('Database Mitra'!$R$2:$R1001,MATCH(C912,'Database Mitra'!$B$2:$B1001,0))</f>
        <v>#N/A</v>
      </c>
      <c r="B912" s="10" t="e">
        <f t="shared" ca="1" si="0"/>
        <v>#NAME?</v>
      </c>
      <c r="C912" s="83"/>
    </row>
    <row r="913" spans="1:3" ht="12.5">
      <c r="A913" s="10" t="e">
        <f t="array" ref="A913">INDEX('Database Mitra'!$R$2:$R1001,MATCH(C913,'Database Mitra'!$B$2:$B1001,0))</f>
        <v>#N/A</v>
      </c>
      <c r="B913" s="10" t="e">
        <f t="shared" ca="1" si="0"/>
        <v>#NAME?</v>
      </c>
      <c r="C913" s="83"/>
    </row>
    <row r="914" spans="1:3" ht="12.5">
      <c r="A914" s="10" t="e">
        <f t="array" ref="A914">INDEX('Database Mitra'!$R$2:$R1001,MATCH(C914,'Database Mitra'!$B$2:$B1001,0))</f>
        <v>#N/A</v>
      </c>
      <c r="B914" s="10" t="e">
        <f t="shared" ca="1" si="0"/>
        <v>#NAME?</v>
      </c>
      <c r="C914" s="83"/>
    </row>
    <row r="915" spans="1:3" ht="12.5">
      <c r="A915" s="10" t="e">
        <f t="array" ref="A915">INDEX('Database Mitra'!$R$2:$R1001,MATCH(C915,'Database Mitra'!$B$2:$B1001,0))</f>
        <v>#N/A</v>
      </c>
      <c r="B915" s="10" t="e">
        <f t="shared" ca="1" si="0"/>
        <v>#NAME?</v>
      </c>
      <c r="C915" s="83"/>
    </row>
    <row r="916" spans="1:3" ht="12.5">
      <c r="A916" s="10" t="e">
        <f t="array" ref="A916">INDEX('Database Mitra'!$R$2:$R1001,MATCH(C916,'Database Mitra'!$B$2:$B1001,0))</f>
        <v>#N/A</v>
      </c>
      <c r="B916" s="10" t="e">
        <f t="shared" ca="1" si="0"/>
        <v>#NAME?</v>
      </c>
      <c r="C916" s="83"/>
    </row>
    <row r="917" spans="1:3" ht="12.5">
      <c r="A917" s="10" t="e">
        <f t="array" ref="A917">INDEX('Database Mitra'!$R$2:$R1001,MATCH(C917,'Database Mitra'!$B$2:$B1001,0))</f>
        <v>#N/A</v>
      </c>
      <c r="B917" s="10" t="e">
        <f t="shared" ca="1" si="0"/>
        <v>#NAME?</v>
      </c>
      <c r="C917" s="83"/>
    </row>
    <row r="918" spans="1:3" ht="12.5">
      <c r="A918" s="10" t="e">
        <f t="array" ref="A918">INDEX('Database Mitra'!$R$2:$R1001,MATCH(C918,'Database Mitra'!$B$2:$B1001,0))</f>
        <v>#N/A</v>
      </c>
      <c r="B918" s="10" t="e">
        <f t="shared" ca="1" si="0"/>
        <v>#NAME?</v>
      </c>
      <c r="C918" s="83"/>
    </row>
    <row r="919" spans="1:3" ht="12.5">
      <c r="A919" s="10" t="e">
        <f t="array" ref="A919">INDEX('Database Mitra'!$R$2:$R1001,MATCH(C919,'Database Mitra'!$B$2:$B1001,0))</f>
        <v>#N/A</v>
      </c>
      <c r="B919" s="10" t="e">
        <f t="shared" ca="1" si="0"/>
        <v>#NAME?</v>
      </c>
      <c r="C919" s="83"/>
    </row>
    <row r="920" spans="1:3" ht="12.5">
      <c r="A920" s="10" t="e">
        <f t="array" ref="A920">INDEX('Database Mitra'!$R$2:$R1001,MATCH(C920,'Database Mitra'!$B$2:$B1001,0))</f>
        <v>#N/A</v>
      </c>
      <c r="B920" s="10" t="e">
        <f t="shared" ca="1" si="0"/>
        <v>#NAME?</v>
      </c>
      <c r="C920" s="83"/>
    </row>
    <row r="921" spans="1:3" ht="12.5">
      <c r="A921" s="10" t="e">
        <f t="array" ref="A921">INDEX('Database Mitra'!$R$2:$R1001,MATCH(C921,'Database Mitra'!$B$2:$B1001,0))</f>
        <v>#N/A</v>
      </c>
      <c r="B921" s="10" t="e">
        <f t="shared" ca="1" si="0"/>
        <v>#NAME?</v>
      </c>
      <c r="C921" s="83"/>
    </row>
    <row r="922" spans="1:3" ht="12.5">
      <c r="A922" s="10" t="e">
        <f t="array" ref="A922">INDEX('Database Mitra'!$R$2:$R1001,MATCH(C922,'Database Mitra'!$B$2:$B1001,0))</f>
        <v>#N/A</v>
      </c>
      <c r="B922" s="10" t="e">
        <f t="shared" ca="1" si="0"/>
        <v>#NAME?</v>
      </c>
      <c r="C922" s="83"/>
    </row>
    <row r="923" spans="1:3" ht="12.5">
      <c r="A923" s="10" t="e">
        <f t="array" ref="A923">INDEX('Database Mitra'!$R$2:$R1001,MATCH(C923,'Database Mitra'!$B$2:$B1001,0))</f>
        <v>#N/A</v>
      </c>
      <c r="B923" s="10" t="e">
        <f t="shared" ca="1" si="0"/>
        <v>#NAME?</v>
      </c>
      <c r="C923" s="83"/>
    </row>
    <row r="924" spans="1:3" ht="12.5">
      <c r="A924" s="10" t="e">
        <f t="array" ref="A924">INDEX('Database Mitra'!$R$2:$R1001,MATCH(C924,'Database Mitra'!$B$2:$B1001,0))</f>
        <v>#N/A</v>
      </c>
      <c r="B924" s="10" t="e">
        <f t="shared" ca="1" si="0"/>
        <v>#NAME?</v>
      </c>
      <c r="C924" s="83"/>
    </row>
    <row r="925" spans="1:3" ht="12.5">
      <c r="A925" s="10" t="e">
        <f t="array" ref="A925">INDEX('Database Mitra'!$R$2:$R1001,MATCH(C925,'Database Mitra'!$B$2:$B1001,0))</f>
        <v>#N/A</v>
      </c>
      <c r="B925" s="10" t="e">
        <f t="shared" ca="1" si="0"/>
        <v>#NAME?</v>
      </c>
      <c r="C925" s="83"/>
    </row>
    <row r="926" spans="1:3" ht="12.5">
      <c r="A926" s="10" t="e">
        <f t="array" ref="A926">INDEX('Database Mitra'!$R$2:$R1001,MATCH(C926,'Database Mitra'!$B$2:$B1001,0))</f>
        <v>#N/A</v>
      </c>
      <c r="B926" s="10" t="e">
        <f t="shared" ca="1" si="0"/>
        <v>#NAME?</v>
      </c>
      <c r="C926" s="83"/>
    </row>
    <row r="927" spans="1:3" ht="12.5">
      <c r="A927" s="10" t="e">
        <f t="array" ref="A927">INDEX('Database Mitra'!$R$2:$R1001,MATCH(C927,'Database Mitra'!$B$2:$B1001,0))</f>
        <v>#N/A</v>
      </c>
      <c r="B927" s="10" t="e">
        <f t="shared" ca="1" si="0"/>
        <v>#NAME?</v>
      </c>
      <c r="C927" s="83"/>
    </row>
    <row r="928" spans="1:3" ht="12.5">
      <c r="A928" s="10" t="e">
        <f t="array" ref="A928">INDEX('Database Mitra'!$R$2:$R1001,MATCH(C928,'Database Mitra'!$B$2:$B1001,0))</f>
        <v>#N/A</v>
      </c>
      <c r="B928" s="10" t="e">
        <f t="shared" ca="1" si="0"/>
        <v>#NAME?</v>
      </c>
      <c r="C928" s="83"/>
    </row>
    <row r="929" spans="1:3" ht="12.5">
      <c r="A929" s="10" t="e">
        <f t="array" ref="A929">INDEX('Database Mitra'!$R$2:$R1001,MATCH(C929,'Database Mitra'!$B$2:$B1001,0))</f>
        <v>#N/A</v>
      </c>
      <c r="B929" s="10" t="e">
        <f t="shared" ca="1" si="0"/>
        <v>#NAME?</v>
      </c>
      <c r="C929" s="83"/>
    </row>
    <row r="930" spans="1:3" ht="12.5">
      <c r="A930" s="10" t="e">
        <f t="array" ref="A930">INDEX('Database Mitra'!$R$2:$R1001,MATCH(C930,'Database Mitra'!$B$2:$B1001,0))</f>
        <v>#N/A</v>
      </c>
      <c r="B930" s="10" t="e">
        <f t="shared" ca="1" si="0"/>
        <v>#NAME?</v>
      </c>
      <c r="C930" s="83"/>
    </row>
    <row r="931" spans="1:3" ht="12.5">
      <c r="A931" s="10" t="e">
        <f t="array" ref="A931">INDEX('Database Mitra'!$R$2:$R1001,MATCH(C931,'Database Mitra'!$B$2:$B1001,0))</f>
        <v>#N/A</v>
      </c>
      <c r="B931" s="10" t="e">
        <f t="shared" ca="1" si="0"/>
        <v>#NAME?</v>
      </c>
      <c r="C931" s="83"/>
    </row>
    <row r="932" spans="1:3" ht="12.5">
      <c r="A932" s="10" t="e">
        <f t="array" ref="A932">INDEX('Database Mitra'!$R$2:$R1001,MATCH(C932,'Database Mitra'!$B$2:$B1001,0))</f>
        <v>#N/A</v>
      </c>
      <c r="B932" s="10" t="e">
        <f t="shared" ca="1" si="0"/>
        <v>#NAME?</v>
      </c>
      <c r="C932" s="83"/>
    </row>
    <row r="933" spans="1:3" ht="12.5">
      <c r="A933" s="10" t="e">
        <f t="array" ref="A933">INDEX('Database Mitra'!$R$2:$R1001,MATCH(C933,'Database Mitra'!$B$2:$B1001,0))</f>
        <v>#N/A</v>
      </c>
      <c r="B933" s="10" t="e">
        <f t="shared" ca="1" si="0"/>
        <v>#NAME?</v>
      </c>
      <c r="C933" s="83"/>
    </row>
    <row r="934" spans="1:3" ht="12.5">
      <c r="A934" s="10" t="e">
        <f t="array" ref="A934">INDEX('Database Mitra'!$R$2:$R1001,MATCH(C934,'Database Mitra'!$B$2:$B1001,0))</f>
        <v>#N/A</v>
      </c>
      <c r="B934" s="10" t="e">
        <f t="shared" ca="1" si="0"/>
        <v>#NAME?</v>
      </c>
      <c r="C934" s="83"/>
    </row>
    <row r="935" spans="1:3" ht="12.5">
      <c r="A935" s="10" t="e">
        <f t="array" ref="A935">INDEX('Database Mitra'!$R$2:$R1001,MATCH(C935,'Database Mitra'!$B$2:$B1001,0))</f>
        <v>#N/A</v>
      </c>
      <c r="B935" s="10" t="e">
        <f t="shared" ca="1" si="0"/>
        <v>#NAME?</v>
      </c>
      <c r="C935" s="83"/>
    </row>
    <row r="936" spans="1:3" ht="12.5">
      <c r="A936" s="10" t="e">
        <f t="array" ref="A936">INDEX('Database Mitra'!$R$2:$R1001,MATCH(C936,'Database Mitra'!$B$2:$B1001,0))</f>
        <v>#N/A</v>
      </c>
      <c r="B936" s="10" t="e">
        <f t="shared" ca="1" si="0"/>
        <v>#NAME?</v>
      </c>
      <c r="C936" s="83"/>
    </row>
    <row r="937" spans="1:3" ht="12.5">
      <c r="A937" s="10" t="e">
        <f t="array" ref="A937">INDEX('Database Mitra'!$R$2:$R1001,MATCH(C937,'Database Mitra'!$B$2:$B1001,0))</f>
        <v>#N/A</v>
      </c>
      <c r="B937" s="10" t="e">
        <f t="shared" ca="1" si="0"/>
        <v>#NAME?</v>
      </c>
      <c r="C937" s="83"/>
    </row>
    <row r="938" spans="1:3" ht="12.5">
      <c r="A938" s="10" t="e">
        <f t="array" ref="A938">INDEX('Database Mitra'!$R$2:$R1001,MATCH(C938,'Database Mitra'!$B$2:$B1001,0))</f>
        <v>#N/A</v>
      </c>
      <c r="B938" s="10" t="e">
        <f t="shared" ca="1" si="0"/>
        <v>#NAME?</v>
      </c>
      <c r="C938" s="83"/>
    </row>
    <row r="939" spans="1:3" ht="12.5">
      <c r="A939" s="10" t="e">
        <f t="array" ref="A939">INDEX('Database Mitra'!$R$2:$R1001,MATCH(C939,'Database Mitra'!$B$2:$B1001,0))</f>
        <v>#N/A</v>
      </c>
      <c r="B939" s="10" t="e">
        <f t="shared" ca="1" si="0"/>
        <v>#NAME?</v>
      </c>
      <c r="C939" s="83"/>
    </row>
    <row r="940" spans="1:3" ht="12.5">
      <c r="A940" s="10" t="e">
        <f t="array" ref="A940">INDEX('Database Mitra'!$R$2:$R1001,MATCH(C940,'Database Mitra'!$B$2:$B1001,0))</f>
        <v>#N/A</v>
      </c>
      <c r="B940" s="10" t="e">
        <f t="shared" ca="1" si="0"/>
        <v>#NAME?</v>
      </c>
      <c r="C940" s="83"/>
    </row>
    <row r="941" spans="1:3" ht="12.5">
      <c r="A941" s="10" t="e">
        <f t="array" ref="A941">INDEX('Database Mitra'!$R$2:$R1001,MATCH(C941,'Database Mitra'!$B$2:$B1001,0))</f>
        <v>#N/A</v>
      </c>
      <c r="B941" s="10" t="e">
        <f t="shared" ca="1" si="0"/>
        <v>#NAME?</v>
      </c>
      <c r="C941" s="83"/>
    </row>
    <row r="942" spans="1:3" ht="12.5">
      <c r="A942" s="10" t="e">
        <f t="array" ref="A942">INDEX('Database Mitra'!$R$2:$R1001,MATCH(C942,'Database Mitra'!$B$2:$B1001,0))</f>
        <v>#N/A</v>
      </c>
      <c r="B942" s="10" t="e">
        <f t="shared" ca="1" si="0"/>
        <v>#NAME?</v>
      </c>
      <c r="C942" s="83"/>
    </row>
    <row r="943" spans="1:3" ht="12.5">
      <c r="A943" s="10" t="e">
        <f t="array" ref="A943">INDEX('Database Mitra'!$R$2:$R1001,MATCH(C943,'Database Mitra'!$B$2:$B1001,0))</f>
        <v>#N/A</v>
      </c>
      <c r="B943" s="10" t="e">
        <f t="shared" ca="1" si="0"/>
        <v>#NAME?</v>
      </c>
      <c r="C943" s="83"/>
    </row>
    <row r="944" spans="1:3" ht="12.5">
      <c r="A944" s="10" t="e">
        <f t="array" ref="A944">INDEX('Database Mitra'!$R$2:$R1001,MATCH(C944,'Database Mitra'!$B$2:$B1001,0))</f>
        <v>#N/A</v>
      </c>
      <c r="B944" s="10" t="e">
        <f t="shared" ca="1" si="0"/>
        <v>#NAME?</v>
      </c>
      <c r="C944" s="83"/>
    </row>
    <row r="945" spans="1:3" ht="12.5">
      <c r="A945" s="10" t="e">
        <f t="array" ref="A945">INDEX('Database Mitra'!$R$2:$R1001,MATCH(C945,'Database Mitra'!$B$2:$B1001,0))</f>
        <v>#N/A</v>
      </c>
      <c r="B945" s="10" t="e">
        <f t="shared" ca="1" si="0"/>
        <v>#NAME?</v>
      </c>
      <c r="C945" s="83"/>
    </row>
    <row r="946" spans="1:3" ht="12.5">
      <c r="A946" s="10" t="e">
        <f t="array" ref="A946">INDEX('Database Mitra'!$R$2:$R1001,MATCH(C946,'Database Mitra'!$B$2:$B1001,0))</f>
        <v>#N/A</v>
      </c>
      <c r="B946" s="10" t="e">
        <f t="shared" ca="1" si="0"/>
        <v>#NAME?</v>
      </c>
      <c r="C946" s="83"/>
    </row>
    <row r="947" spans="1:3" ht="12.5">
      <c r="A947" s="10" t="e">
        <f t="array" ref="A947">INDEX('Database Mitra'!$R$2:$R1001,MATCH(C947,'Database Mitra'!$B$2:$B1001,0))</f>
        <v>#N/A</v>
      </c>
      <c r="B947" s="10" t="e">
        <f t="shared" ca="1" si="0"/>
        <v>#NAME?</v>
      </c>
      <c r="C947" s="83"/>
    </row>
    <row r="948" spans="1:3" ht="12.5">
      <c r="A948" s="10" t="e">
        <f t="array" ref="A948">INDEX('Database Mitra'!$R$2:$R1001,MATCH(C948,'Database Mitra'!$B$2:$B1001,0))</f>
        <v>#N/A</v>
      </c>
      <c r="B948" s="10" t="e">
        <f t="shared" ca="1" si="0"/>
        <v>#NAME?</v>
      </c>
      <c r="C948" s="83"/>
    </row>
    <row r="949" spans="1:3" ht="12.5">
      <c r="A949" s="10" t="e">
        <f t="array" ref="A949">INDEX('Database Mitra'!$R$2:$R1001,MATCH(C949,'Database Mitra'!$B$2:$B1001,0))</f>
        <v>#N/A</v>
      </c>
      <c r="B949" s="10" t="e">
        <f t="shared" ca="1" si="0"/>
        <v>#NAME?</v>
      </c>
      <c r="C949" s="83"/>
    </row>
    <row r="950" spans="1:3" ht="12.5">
      <c r="A950" s="10" t="e">
        <f t="array" ref="A950">INDEX('Database Mitra'!$R$2:$R1001,MATCH(C950,'Database Mitra'!$B$2:$B1001,0))</f>
        <v>#N/A</v>
      </c>
      <c r="B950" s="10" t="e">
        <f t="shared" ca="1" si="0"/>
        <v>#NAME?</v>
      </c>
      <c r="C950" s="83"/>
    </row>
    <row r="951" spans="1:3" ht="12.5">
      <c r="A951" s="10" t="e">
        <f t="array" ref="A951">INDEX('Database Mitra'!$R$2:$R1001,MATCH(C951,'Database Mitra'!$B$2:$B1001,0))</f>
        <v>#N/A</v>
      </c>
      <c r="B951" s="10" t="e">
        <f t="shared" ca="1" si="0"/>
        <v>#NAME?</v>
      </c>
      <c r="C951" s="83"/>
    </row>
    <row r="952" spans="1:3" ht="12.5">
      <c r="A952" s="10" t="e">
        <f t="array" ref="A952">INDEX('Database Mitra'!$R$2:$R1001,MATCH(C952,'Database Mitra'!$B$2:$B1001,0))</f>
        <v>#N/A</v>
      </c>
      <c r="B952" s="10" t="e">
        <f t="shared" ca="1" si="0"/>
        <v>#NAME?</v>
      </c>
      <c r="C952" s="83"/>
    </row>
    <row r="953" spans="1:3" ht="12.5">
      <c r="A953" s="10" t="e">
        <f t="array" ref="A953">INDEX('Database Mitra'!$R$2:$R1001,MATCH(C953,'Database Mitra'!$B$2:$B1001,0))</f>
        <v>#N/A</v>
      </c>
      <c r="B953" s="10" t="e">
        <f t="shared" ca="1" si="0"/>
        <v>#NAME?</v>
      </c>
      <c r="C953" s="83"/>
    </row>
    <row r="954" spans="1:3" ht="12.5">
      <c r="A954" s="10" t="e">
        <f t="array" ref="A954">INDEX('Database Mitra'!$R$2:$R1001,MATCH(C954,'Database Mitra'!$B$2:$B1001,0))</f>
        <v>#N/A</v>
      </c>
      <c r="B954" s="10" t="e">
        <f t="shared" ca="1" si="0"/>
        <v>#NAME?</v>
      </c>
      <c r="C954" s="83"/>
    </row>
    <row r="955" spans="1:3" ht="12.5">
      <c r="A955" s="10" t="e">
        <f t="array" ref="A955">INDEX('Database Mitra'!$R$2:$R1001,MATCH(C955,'Database Mitra'!$B$2:$B1001,0))</f>
        <v>#N/A</v>
      </c>
      <c r="B955" s="10" t="e">
        <f t="shared" ca="1" si="0"/>
        <v>#NAME?</v>
      </c>
      <c r="C955" s="83"/>
    </row>
    <row r="956" spans="1:3" ht="12.5">
      <c r="A956" s="10" t="e">
        <f t="array" ref="A956">INDEX('Database Mitra'!$R$2:$R1001,MATCH(C956,'Database Mitra'!$B$2:$B1001,0))</f>
        <v>#N/A</v>
      </c>
      <c r="B956" s="10" t="e">
        <f t="shared" ca="1" si="0"/>
        <v>#NAME?</v>
      </c>
      <c r="C956" s="83"/>
    </row>
    <row r="957" spans="1:3" ht="12.5">
      <c r="A957" s="10" t="e">
        <f t="array" ref="A957">INDEX('Database Mitra'!$R$2:$R1001,MATCH(C957,'Database Mitra'!$B$2:$B1001,0))</f>
        <v>#N/A</v>
      </c>
      <c r="B957" s="10" t="e">
        <f t="shared" ca="1" si="0"/>
        <v>#NAME?</v>
      </c>
      <c r="C957" s="83"/>
    </row>
    <row r="958" spans="1:3" ht="12.5">
      <c r="A958" s="10" t="e">
        <f t="array" ref="A958">INDEX('Database Mitra'!$R$2:$R1001,MATCH(C958,'Database Mitra'!$B$2:$B1001,0))</f>
        <v>#N/A</v>
      </c>
      <c r="B958" s="10" t="e">
        <f t="shared" ca="1" si="0"/>
        <v>#NAME?</v>
      </c>
      <c r="C958" s="83"/>
    </row>
    <row r="959" spans="1:3" ht="12.5">
      <c r="A959" s="10" t="e">
        <f t="array" ref="A959">INDEX('Database Mitra'!$R$2:$R1001,MATCH(C959,'Database Mitra'!$B$2:$B1001,0))</f>
        <v>#N/A</v>
      </c>
      <c r="B959" s="10" t="e">
        <f t="shared" ca="1" si="0"/>
        <v>#NAME?</v>
      </c>
      <c r="C959" s="83"/>
    </row>
    <row r="960" spans="1:3" ht="12.5">
      <c r="A960" s="10" t="e">
        <f t="array" ref="A960">INDEX('Database Mitra'!$R$2:$R1001,MATCH(C960,'Database Mitra'!$B$2:$B1001,0))</f>
        <v>#N/A</v>
      </c>
      <c r="B960" s="10" t="e">
        <f t="shared" ca="1" si="0"/>
        <v>#NAME?</v>
      </c>
      <c r="C960" s="83"/>
    </row>
    <row r="961" spans="1:3" ht="12.5">
      <c r="A961" s="10" t="e">
        <f t="array" ref="A961">INDEX('Database Mitra'!$R$2:$R1001,MATCH(C961,'Database Mitra'!$B$2:$B1001,0))</f>
        <v>#N/A</v>
      </c>
      <c r="B961" s="10" t="e">
        <f t="shared" ca="1" si="0"/>
        <v>#NAME?</v>
      </c>
      <c r="C961" s="83"/>
    </row>
    <row r="962" spans="1:3" ht="12.5">
      <c r="A962" s="10" t="e">
        <f t="array" ref="A962">INDEX('Database Mitra'!$R$2:$R1001,MATCH(C962,'Database Mitra'!$B$2:$B1001,0))</f>
        <v>#N/A</v>
      </c>
      <c r="B962" s="10" t="e">
        <f t="shared" ca="1" si="0"/>
        <v>#NAME?</v>
      </c>
      <c r="C962" s="83"/>
    </row>
    <row r="963" spans="1:3" ht="12.5">
      <c r="A963" s="10" t="e">
        <f t="array" ref="A963">INDEX('Database Mitra'!$R$2:$R1001,MATCH(C963,'Database Mitra'!$B$2:$B1001,0))</f>
        <v>#N/A</v>
      </c>
      <c r="B963" s="10" t="e">
        <f t="shared" ca="1" si="0"/>
        <v>#NAME?</v>
      </c>
      <c r="C963" s="83"/>
    </row>
    <row r="964" spans="1:3" ht="12.5">
      <c r="A964" s="10" t="e">
        <f t="array" ref="A964">INDEX('Database Mitra'!$R$2:$R1001,MATCH(C964,'Database Mitra'!$B$2:$B1001,0))</f>
        <v>#N/A</v>
      </c>
      <c r="B964" s="10" t="e">
        <f t="shared" ca="1" si="0"/>
        <v>#NAME?</v>
      </c>
      <c r="C964" s="83"/>
    </row>
    <row r="965" spans="1:3" ht="12.5">
      <c r="A965" s="10" t="e">
        <f t="array" ref="A965">INDEX('Database Mitra'!$R$2:$R1001,MATCH(C965,'Database Mitra'!$B$2:$B1001,0))</f>
        <v>#N/A</v>
      </c>
      <c r="B965" s="10" t="e">
        <f t="shared" ca="1" si="0"/>
        <v>#NAME?</v>
      </c>
      <c r="C965" s="83"/>
    </row>
    <row r="966" spans="1:3" ht="12.5">
      <c r="A966" s="10" t="e">
        <f t="array" ref="A966">INDEX('Database Mitra'!$R$2:$R1001,MATCH(C966,'Database Mitra'!$B$2:$B1001,0))</f>
        <v>#N/A</v>
      </c>
      <c r="B966" s="10" t="e">
        <f t="shared" ca="1" si="0"/>
        <v>#NAME?</v>
      </c>
      <c r="C966" s="83"/>
    </row>
    <row r="967" spans="1:3" ht="12.5">
      <c r="A967" s="10" t="e">
        <f t="array" ref="A967">INDEX('Database Mitra'!$R$2:$R1001,MATCH(C967,'Database Mitra'!$B$2:$B1001,0))</f>
        <v>#N/A</v>
      </c>
      <c r="B967" s="10" t="e">
        <f t="shared" ca="1" si="0"/>
        <v>#NAME?</v>
      </c>
      <c r="C967" s="83"/>
    </row>
    <row r="968" spans="1:3" ht="12.5">
      <c r="A968" s="10" t="e">
        <f t="array" ref="A968">INDEX('Database Mitra'!$R$2:$R1001,MATCH(C968,'Database Mitra'!$B$2:$B1001,0))</f>
        <v>#N/A</v>
      </c>
      <c r="B968" s="10" t="e">
        <f t="shared" ca="1" si="0"/>
        <v>#NAME?</v>
      </c>
      <c r="C968" s="83"/>
    </row>
    <row r="969" spans="1:3" ht="12.5">
      <c r="A969" s="10" t="e">
        <f t="array" ref="A969">INDEX('Database Mitra'!$R$2:$R1001,MATCH(C969,'Database Mitra'!$B$2:$B1001,0))</f>
        <v>#N/A</v>
      </c>
      <c r="B969" s="10" t="e">
        <f t="shared" ca="1" si="0"/>
        <v>#NAME?</v>
      </c>
      <c r="C969" s="83"/>
    </row>
    <row r="970" spans="1:3" ht="12.5">
      <c r="A970" s="10" t="e">
        <f t="array" ref="A970">INDEX('Database Mitra'!$R$2:$R1001,MATCH(C970,'Database Mitra'!$B$2:$B1001,0))</f>
        <v>#N/A</v>
      </c>
      <c r="B970" s="10" t="e">
        <f t="shared" ca="1" si="0"/>
        <v>#NAME?</v>
      </c>
      <c r="C970" s="83"/>
    </row>
    <row r="971" spans="1:3" ht="12.5">
      <c r="A971" s="10" t="e">
        <f t="array" ref="A971">INDEX('Database Mitra'!$R$2:$R1001,MATCH(C971,'Database Mitra'!$B$2:$B1001,0))</f>
        <v>#N/A</v>
      </c>
      <c r="B971" s="10" t="e">
        <f t="shared" ca="1" si="0"/>
        <v>#NAME?</v>
      </c>
      <c r="C971" s="83"/>
    </row>
    <row r="972" spans="1:3" ht="12.5">
      <c r="A972" s="10" t="e">
        <f t="array" ref="A972">INDEX('Database Mitra'!$R$2:$R1001,MATCH(C972,'Database Mitra'!$B$2:$B1001,0))</f>
        <v>#N/A</v>
      </c>
      <c r="B972" s="10" t="e">
        <f t="shared" ca="1" si="0"/>
        <v>#NAME?</v>
      </c>
      <c r="C972" s="83"/>
    </row>
    <row r="973" spans="1:3" ht="12.5">
      <c r="A973" s="10" t="e">
        <f t="array" ref="A973">INDEX('Database Mitra'!$R$2:$R1001,MATCH(C973,'Database Mitra'!$B$2:$B1001,0))</f>
        <v>#N/A</v>
      </c>
      <c r="B973" s="10" t="e">
        <f t="shared" ca="1" si="0"/>
        <v>#NAME?</v>
      </c>
      <c r="C973" s="83"/>
    </row>
    <row r="974" spans="1:3" ht="12.5">
      <c r="A974" s="10" t="e">
        <f t="array" ref="A974">INDEX('Database Mitra'!$R$2:$R1001,MATCH(C974,'Database Mitra'!$B$2:$B1001,0))</f>
        <v>#N/A</v>
      </c>
      <c r="B974" s="10" t="e">
        <f t="shared" ca="1" si="0"/>
        <v>#NAME?</v>
      </c>
      <c r="C974" s="83"/>
    </row>
    <row r="975" spans="1:3" ht="12.5">
      <c r="A975" s="10" t="e">
        <f t="array" ref="A975">INDEX('Database Mitra'!$R$2:$R1001,MATCH(C975,'Database Mitra'!$B$2:$B1001,0))</f>
        <v>#N/A</v>
      </c>
      <c r="B975" s="10" t="e">
        <f t="shared" ca="1" si="0"/>
        <v>#NAME?</v>
      </c>
      <c r="C975" s="83"/>
    </row>
    <row r="976" spans="1:3" ht="12.5">
      <c r="A976" s="10" t="e">
        <f t="array" ref="A976">INDEX('Database Mitra'!$R$2:$R1001,MATCH(C976,'Database Mitra'!$B$2:$B1001,0))</f>
        <v>#N/A</v>
      </c>
      <c r="B976" s="10" t="e">
        <f t="shared" ca="1" si="0"/>
        <v>#NAME?</v>
      </c>
      <c r="C976" s="83"/>
    </row>
    <row r="977" spans="1:3" ht="12.5">
      <c r="A977" s="10" t="e">
        <f t="array" ref="A977">INDEX('Database Mitra'!$R$2:$R1001,MATCH(C977,'Database Mitra'!$B$2:$B1001,0))</f>
        <v>#N/A</v>
      </c>
      <c r="B977" s="10" t="e">
        <f t="shared" ca="1" si="0"/>
        <v>#NAME?</v>
      </c>
      <c r="C977" s="83"/>
    </row>
    <row r="978" spans="1:3" ht="12.5">
      <c r="A978" s="10" t="e">
        <f t="array" ref="A978">INDEX('Database Mitra'!$R$2:$R1001,MATCH(C978,'Database Mitra'!$B$2:$B1001,0))</f>
        <v>#N/A</v>
      </c>
      <c r="B978" s="10" t="e">
        <f t="shared" ca="1" si="0"/>
        <v>#NAME?</v>
      </c>
      <c r="C978" s="83"/>
    </row>
    <row r="979" spans="1:3" ht="12.5">
      <c r="A979" s="10" t="e">
        <f t="array" ref="A979">INDEX('Database Mitra'!$R$2:$R1001,MATCH(C979,'Database Mitra'!$B$2:$B1001,0))</f>
        <v>#N/A</v>
      </c>
      <c r="B979" s="10" t="e">
        <f t="shared" ca="1" si="0"/>
        <v>#NAME?</v>
      </c>
      <c r="C979" s="83"/>
    </row>
    <row r="980" spans="1:3" ht="12.5">
      <c r="A980" s="10" t="e">
        <f t="array" ref="A980">INDEX('Database Mitra'!$R$2:$R1001,MATCH(C980,'Database Mitra'!$B$2:$B1001,0))</f>
        <v>#N/A</v>
      </c>
      <c r="B980" s="10" t="e">
        <f t="shared" ca="1" si="0"/>
        <v>#NAME?</v>
      </c>
      <c r="C980" s="83"/>
    </row>
    <row r="981" spans="1:3" ht="12.5">
      <c r="A981" s="10" t="e">
        <f t="array" ref="A981">INDEX('Database Mitra'!$R$2:$R1001,MATCH(C981,'Database Mitra'!$B$2:$B1001,0))</f>
        <v>#N/A</v>
      </c>
      <c r="B981" s="10" t="e">
        <f t="shared" ca="1" si="0"/>
        <v>#NAME?</v>
      </c>
      <c r="C981" s="83"/>
    </row>
    <row r="982" spans="1:3" ht="12.5">
      <c r="A982" s="10" t="e">
        <f t="array" ref="A982">INDEX('Database Mitra'!$R$2:$R1001,MATCH(C982,'Database Mitra'!$B$2:$B1001,0))</f>
        <v>#N/A</v>
      </c>
      <c r="B982" s="10" t="e">
        <f t="shared" ca="1" si="0"/>
        <v>#NAME?</v>
      </c>
      <c r="C982" s="83"/>
    </row>
    <row r="983" spans="1:3" ht="12.5">
      <c r="A983" s="10" t="e">
        <f t="array" ref="A983">INDEX('Database Mitra'!$R$2:$R1001,MATCH(C983,'Database Mitra'!$B$2:$B1001,0))</f>
        <v>#N/A</v>
      </c>
      <c r="B983" s="10" t="e">
        <f t="shared" ca="1" si="0"/>
        <v>#NAME?</v>
      </c>
      <c r="C983" s="83"/>
    </row>
    <row r="984" spans="1:3" ht="12.5">
      <c r="A984" s="10" t="e">
        <f t="array" ref="A984">INDEX('Database Mitra'!$R$2:$R1001,MATCH(C984,'Database Mitra'!$B$2:$B1001,0))</f>
        <v>#N/A</v>
      </c>
      <c r="B984" s="10" t="e">
        <f t="shared" ca="1" si="0"/>
        <v>#NAME?</v>
      </c>
      <c r="C984" s="83"/>
    </row>
    <row r="985" spans="1:3" ht="12.5">
      <c r="A985" s="10" t="e">
        <f t="array" ref="A985">INDEX('Database Mitra'!$R$2:$R1001,MATCH(C985,'Database Mitra'!$B$2:$B1001,0))</f>
        <v>#N/A</v>
      </c>
      <c r="B985" s="10" t="e">
        <f t="shared" ca="1" si="0"/>
        <v>#NAME?</v>
      </c>
      <c r="C985" s="83"/>
    </row>
    <row r="986" spans="1:3" ht="12.5">
      <c r="A986" s="10" t="e">
        <f t="array" ref="A986">INDEX('Database Mitra'!$R$2:$R1001,MATCH(C986,'Database Mitra'!$B$2:$B1001,0))</f>
        <v>#N/A</v>
      </c>
      <c r="B986" s="10" t="e">
        <f t="shared" ca="1" si="0"/>
        <v>#NAME?</v>
      </c>
      <c r="C986" s="83"/>
    </row>
    <row r="987" spans="1:3" ht="12.5">
      <c r="A987" s="10" t="e">
        <f t="array" ref="A987">INDEX('Database Mitra'!$R$2:$R1001,MATCH(C987,'Database Mitra'!$B$2:$B1001,0))</f>
        <v>#N/A</v>
      </c>
      <c r="B987" s="10" t="e">
        <f t="shared" ca="1" si="0"/>
        <v>#NAME?</v>
      </c>
      <c r="C987" s="83"/>
    </row>
    <row r="988" spans="1:3" ht="12.5">
      <c r="A988" s="10" t="e">
        <f t="array" ref="A988">INDEX('Database Mitra'!$R$2:$R1001,MATCH(C988,'Database Mitra'!$B$2:$B1001,0))</f>
        <v>#N/A</v>
      </c>
      <c r="B988" s="10" t="e">
        <f t="shared" ca="1" si="0"/>
        <v>#NAME?</v>
      </c>
      <c r="C988" s="83"/>
    </row>
    <row r="989" spans="1:3" ht="12.5">
      <c r="A989" s="10" t="e">
        <f t="array" ref="A989">INDEX('Database Mitra'!$R$2:$R1001,MATCH(C989,'Database Mitra'!$B$2:$B1001,0))</f>
        <v>#N/A</v>
      </c>
      <c r="B989" s="10" t="e">
        <f t="shared" ca="1" si="0"/>
        <v>#NAME?</v>
      </c>
      <c r="C989" s="83"/>
    </row>
    <row r="990" spans="1:3" ht="12.5">
      <c r="A990" s="10" t="e">
        <f t="array" ref="A990">INDEX('Database Mitra'!$R$2:$R1001,MATCH(C990,'Database Mitra'!$B$2:$B1001,0))</f>
        <v>#N/A</v>
      </c>
      <c r="B990" s="10" t="e">
        <f t="shared" ca="1" si="0"/>
        <v>#NAME?</v>
      </c>
      <c r="C990" s="83"/>
    </row>
    <row r="991" spans="1:3" ht="12.5">
      <c r="A991" s="10" t="e">
        <f t="array" ref="A991">INDEX('Database Mitra'!$R$2:$R1001,MATCH(C991,'Database Mitra'!$B$2:$B1001,0))</f>
        <v>#N/A</v>
      </c>
      <c r="B991" s="10" t="e">
        <f t="shared" ca="1" si="0"/>
        <v>#NAME?</v>
      </c>
      <c r="C991" s="83"/>
    </row>
    <row r="992" spans="1:3" ht="12.5">
      <c r="A992" s="10" t="e">
        <f t="array" ref="A992">INDEX('Database Mitra'!$R$2:$R1001,MATCH(C992,'Database Mitra'!$B$2:$B1001,0))</f>
        <v>#N/A</v>
      </c>
      <c r="B992" s="10" t="e">
        <f t="shared" ca="1" si="0"/>
        <v>#NAME?</v>
      </c>
      <c r="C992" s="83"/>
    </row>
    <row r="993" spans="1:3" ht="12.5">
      <c r="A993" s="10" t="e">
        <f t="array" ref="A993">INDEX('Database Mitra'!$R$2:$R1001,MATCH(C993,'Database Mitra'!$B$2:$B1001,0))</f>
        <v>#N/A</v>
      </c>
      <c r="B993" s="10" t="e">
        <f t="shared" ca="1" si="0"/>
        <v>#NAME?</v>
      </c>
      <c r="C993" s="83"/>
    </row>
    <row r="994" spans="1:3" ht="12.5">
      <c r="A994" s="10" t="e">
        <f t="array" ref="A994">INDEX('Database Mitra'!$R$2:$R1001,MATCH(C994,'Database Mitra'!$B$2:$B1001,0))</f>
        <v>#N/A</v>
      </c>
      <c r="B994" s="10" t="e">
        <f t="shared" ca="1" si="0"/>
        <v>#NAME?</v>
      </c>
      <c r="C994" s="83"/>
    </row>
    <row r="995" spans="1:3" ht="12.5">
      <c r="A995" s="10" t="e">
        <f t="array" ref="A995">INDEX('Database Mitra'!$R$2:$R1001,MATCH(C995,'Database Mitra'!$B$2:$B1001,0))</f>
        <v>#N/A</v>
      </c>
      <c r="B995" s="10" t="e">
        <f t="shared" ca="1" si="0"/>
        <v>#NAME?</v>
      </c>
      <c r="C995" s="83"/>
    </row>
    <row r="996" spans="1:3" ht="12.5">
      <c r="A996" s="10" t="e">
        <f t="array" ref="A996">INDEX('Database Mitra'!$R$2:$R1001,MATCH(C996,'Database Mitra'!$B$2:$B1001,0))</f>
        <v>#N/A</v>
      </c>
      <c r="B996" s="10" t="e">
        <f t="shared" ca="1" si="0"/>
        <v>#NAME?</v>
      </c>
      <c r="C996" s="83"/>
    </row>
    <row r="997" spans="1:3" ht="12.5">
      <c r="A997" s="10" t="e">
        <f t="array" ref="A997">INDEX('Database Mitra'!$R$2:$R1001,MATCH(C997,'Database Mitra'!$B$2:$B1001,0))</f>
        <v>#N/A</v>
      </c>
      <c r="B997" s="10" t="e">
        <f t="shared" ca="1" si="0"/>
        <v>#NAME?</v>
      </c>
      <c r="C997" s="83"/>
    </row>
    <row r="998" spans="1:3" ht="12.5">
      <c r="A998" s="10" t="e">
        <f t="array" ref="A998">INDEX('Database Mitra'!$R$2:$R1001,MATCH(C998,'Database Mitra'!$B$2:$B1001,0))</f>
        <v>#N/A</v>
      </c>
      <c r="B998" s="10" t="e">
        <f t="shared" ca="1" si="0"/>
        <v>#NAME?</v>
      </c>
      <c r="C998" s="83"/>
    </row>
    <row r="999" spans="1:3" ht="12.5">
      <c r="A999" s="10" t="e">
        <f t="array" ref="A999">INDEX('Database Mitra'!$R$2:$R1001,MATCH(C999,'Database Mitra'!$B$2:$B1001,0))</f>
        <v>#N/A</v>
      </c>
      <c r="B999" s="10" t="e">
        <f t="shared" ca="1" si="0"/>
        <v>#NAME?</v>
      </c>
      <c r="C999" s="83"/>
    </row>
    <row r="1000" spans="1:3" ht="12.5">
      <c r="A1000" s="10" t="e">
        <f t="array" ref="A1000">INDEX('Database Mitra'!$R$2:$R1001,MATCH(C1000,'Database Mitra'!$B$2:$B1001,0))</f>
        <v>#N/A</v>
      </c>
      <c r="B1000" s="10" t="e">
        <f t="shared" ca="1" si="0"/>
        <v>#NAME?</v>
      </c>
      <c r="C1000" s="83"/>
    </row>
    <row r="1001" spans="1:3" ht="12.5">
      <c r="C1001" s="83"/>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outlinePr summaryBelow="0" summaryRight="0"/>
  </sheetPr>
  <dimension ref="A1:Q990"/>
  <sheetViews>
    <sheetView workbookViewId="0">
      <pane ySplit="1" topLeftCell="A2" activePane="bottomLeft" state="frozen"/>
      <selection pane="bottomLeft" activeCell="B3" sqref="B3"/>
    </sheetView>
  </sheetViews>
  <sheetFormatPr defaultColWidth="12.6328125" defaultRowHeight="15.75" customHeight="1"/>
  <cols>
    <col min="1" max="1" width="82.453125" customWidth="1"/>
    <col min="2" max="2" width="28.453125" customWidth="1"/>
    <col min="3" max="4" width="37.453125" customWidth="1"/>
    <col min="5" max="5" width="18.08984375" customWidth="1"/>
    <col min="6" max="6" width="54.26953125" customWidth="1"/>
    <col min="7" max="7" width="18.08984375" customWidth="1"/>
    <col min="9" max="9" width="27.90625" customWidth="1"/>
    <col min="10" max="10" width="29.6328125" customWidth="1"/>
    <col min="11" max="11" width="49.453125" customWidth="1"/>
    <col min="12" max="12" width="20.7265625" customWidth="1"/>
    <col min="13" max="13" width="19.36328125" customWidth="1"/>
    <col min="14" max="14" width="87" customWidth="1"/>
    <col min="17" max="17" width="21.7265625" customWidth="1"/>
  </cols>
  <sheetData>
    <row r="1" spans="1:17">
      <c r="A1" s="2" t="s">
        <v>62</v>
      </c>
      <c r="B1" s="2" t="s">
        <v>3027</v>
      </c>
      <c r="C1" s="2" t="s">
        <v>3028</v>
      </c>
      <c r="D1" s="2" t="s">
        <v>3029</v>
      </c>
      <c r="E1" s="2" t="s">
        <v>3030</v>
      </c>
      <c r="F1" s="3" t="s">
        <v>3</v>
      </c>
      <c r="G1" s="3" t="s">
        <v>17</v>
      </c>
      <c r="H1" s="3" t="s">
        <v>7</v>
      </c>
      <c r="I1" s="84" t="s">
        <v>3031</v>
      </c>
      <c r="J1" s="3" t="s">
        <v>61</v>
      </c>
      <c r="K1" s="2" t="s">
        <v>3032</v>
      </c>
      <c r="L1" s="3" t="s">
        <v>6</v>
      </c>
      <c r="M1" s="3" t="s">
        <v>11</v>
      </c>
      <c r="N1" s="2" t="s">
        <v>50</v>
      </c>
      <c r="O1" s="2" t="s">
        <v>56</v>
      </c>
      <c r="P1" s="2" t="s">
        <v>3033</v>
      </c>
      <c r="Q1" s="2" t="s">
        <v>64</v>
      </c>
    </row>
    <row r="2" spans="1:17" ht="15.75" customHeight="1">
      <c r="A2" s="10" t="str">
        <f t="shared" ref="A2:A171" si="0">CONCATENATE(F2,"-",G2,"-",J2)</f>
        <v>SAKERNAS24-LAPANGAN-SEMESTER1-PPL-PENDATAAN</v>
      </c>
      <c r="B2" s="10">
        <f>COUNTIFS('Alokasi Honor'!$I$2:$I990,$A2)</f>
        <v>7</v>
      </c>
      <c r="C2" s="10">
        <f>COUNTIFS('Alokasi Honor'!$I$2:$I990,$A2,'Alokasi Honor'!$U$2:$U990,1)</f>
        <v>7</v>
      </c>
      <c r="D2" s="10">
        <f t="shared" ref="D2:D171" si="1">IF(AND(B2=C2,B2&gt;0),1,0)</f>
        <v>1</v>
      </c>
      <c r="E2" s="10">
        <f t="shared" ref="E2:E171" si="2">IF(D2=0,1,0)</f>
        <v>0</v>
      </c>
      <c r="F2" s="9" t="s">
        <v>23</v>
      </c>
      <c r="G2" s="9" t="s">
        <v>25</v>
      </c>
      <c r="H2" s="9" t="s">
        <v>3034</v>
      </c>
      <c r="I2" s="85">
        <v>66000</v>
      </c>
      <c r="J2" s="9" t="s">
        <v>67</v>
      </c>
      <c r="K2" s="10" t="str">
        <f t="shared" ref="K2:K171" si="3">CONCATENATE(F2,"-",G2)</f>
        <v>SAKERNAS24-LAPANGAN-SEMESTER1-PPL</v>
      </c>
      <c r="L2" s="86">
        <v>45359</v>
      </c>
      <c r="M2" s="87">
        <f t="shared" ref="M2:M150" si="4">L2+20</f>
        <v>45379</v>
      </c>
      <c r="N2" s="10" t="str">
        <f t="array" ref="N2">INDEX('Input Kegiatan'!$B$2:$B990,MATCH(F2,'Input Kegiatan'!$A$2:$A990,0))&amp;" ("&amp;J2&amp;")"</f>
        <v>Sakernas Februari 2024 (PENDATAAN)</v>
      </c>
      <c r="O2" s="10" t="e">
        <f t="shared" ref="O2:O166" ca="1" si="5">_xludf.DAYS(M2,NOW())</f>
        <v>#NAME?</v>
      </c>
      <c r="P2" s="10" t="str">
        <f t="array" ref="P2">INDEX('Input Kegiatan'!$C$2:$C990,MATCH($F2,'Input Kegiatan'!$A$2:$A990,0))</f>
        <v>SURVEI</v>
      </c>
      <c r="Q2" s="10" t="str">
        <f t="shared" ref="Q2:Q166" si="6">P2&amp;"-"&amp;G2</f>
        <v>SURVEI-PPL</v>
      </c>
    </row>
    <row r="3" spans="1:17" ht="15.75" customHeight="1">
      <c r="A3" s="10" t="str">
        <f t="shared" si="0"/>
        <v>SAKERNAS24-LAPANGAN-SEMESTER1-PML-PENDATAAN</v>
      </c>
      <c r="B3" s="10">
        <f>COUNTIFS('Alokasi Honor'!$I$2:$I990,$A3)</f>
        <v>3</v>
      </c>
      <c r="C3" s="10">
        <f>COUNTIFS('Alokasi Honor'!$I$2:$I990,$A3,'Alokasi Honor'!$U$2:$U990,1)</f>
        <v>3</v>
      </c>
      <c r="D3" s="10">
        <f t="shared" si="1"/>
        <v>1</v>
      </c>
      <c r="E3" s="10">
        <f t="shared" si="2"/>
        <v>0</v>
      </c>
      <c r="F3" s="9" t="s">
        <v>23</v>
      </c>
      <c r="G3" s="9" t="s">
        <v>24</v>
      </c>
      <c r="H3" s="9" t="s">
        <v>164</v>
      </c>
      <c r="I3" s="85">
        <v>23000</v>
      </c>
      <c r="J3" s="9" t="s">
        <v>67</v>
      </c>
      <c r="K3" s="10" t="str">
        <f t="shared" si="3"/>
        <v>SAKERNAS24-LAPANGAN-SEMESTER1-PML</v>
      </c>
      <c r="L3" s="86">
        <v>45359</v>
      </c>
      <c r="M3" s="87">
        <f t="shared" si="4"/>
        <v>45379</v>
      </c>
      <c r="N3" s="10" t="str">
        <f t="array" ref="N3">INDEX('Input Kegiatan'!$B$2:$B990,MATCH(F3,'Input Kegiatan'!$A$2:$A990,0))&amp;" ("&amp;J3&amp;")"</f>
        <v>Sakernas Februari 2024 (PENDATAAN)</v>
      </c>
      <c r="O3" s="10" t="e">
        <f t="shared" ca="1" si="5"/>
        <v>#NAME?</v>
      </c>
      <c r="P3" s="10" t="str">
        <f t="array" ref="P3">INDEX('Input Kegiatan'!$C$2:$C990,MATCH($F3,'Input Kegiatan'!$A$2:$A990,0))</f>
        <v>SURVEI</v>
      </c>
      <c r="Q3" s="10" t="str">
        <f t="shared" si="6"/>
        <v>SURVEI-PML</v>
      </c>
    </row>
    <row r="4" spans="1:17" ht="15.75" customHeight="1">
      <c r="A4" s="10" t="str">
        <f t="shared" si="0"/>
        <v>SUSENAS24-LAPANGAN-SEMESTER1-PPL-PENDATAAN</v>
      </c>
      <c r="B4" s="10">
        <f>COUNTIFS('Alokasi Honor'!$I$2:$I990,$A4)</f>
        <v>38</v>
      </c>
      <c r="C4" s="10">
        <f>COUNTIFS('Alokasi Honor'!$I$2:$I990,$A4,'Alokasi Honor'!$U$2:$U990,1)</f>
        <v>38</v>
      </c>
      <c r="D4" s="10">
        <f t="shared" si="1"/>
        <v>1</v>
      </c>
      <c r="E4" s="10">
        <f t="shared" si="2"/>
        <v>0</v>
      </c>
      <c r="F4" s="9" t="s">
        <v>26</v>
      </c>
      <c r="G4" s="9" t="s">
        <v>25</v>
      </c>
      <c r="H4" s="9" t="s">
        <v>3034</v>
      </c>
      <c r="I4" s="88">
        <v>119000</v>
      </c>
      <c r="J4" s="9" t="s">
        <v>67</v>
      </c>
      <c r="K4" s="10" t="str">
        <f t="shared" si="3"/>
        <v>SUSENAS24-LAPANGAN-SEMESTER1-PPL</v>
      </c>
      <c r="L4" s="86">
        <v>45367</v>
      </c>
      <c r="M4" s="87">
        <f t="shared" si="4"/>
        <v>45387</v>
      </c>
      <c r="N4" s="10" t="str">
        <f t="array" ref="N4">INDEX('Input Kegiatan'!$B$2:$B990,MATCH(F4,'Input Kegiatan'!$A$2:$A990,0))&amp;" ("&amp;J4&amp;")"</f>
        <v>Susenas Maret 2024 (PENDATAAN)</v>
      </c>
      <c r="O4" s="10" t="e">
        <f t="shared" ca="1" si="5"/>
        <v>#NAME?</v>
      </c>
      <c r="P4" s="10" t="str">
        <f t="array" ref="P4">INDEX('Input Kegiatan'!$C$2:$C990,MATCH($F4,'Input Kegiatan'!$A$2:$A990,0))</f>
        <v>SURVEI</v>
      </c>
      <c r="Q4" s="10" t="str">
        <f t="shared" si="6"/>
        <v>SURVEI-PPL</v>
      </c>
    </row>
    <row r="5" spans="1:17" ht="15.75" customHeight="1">
      <c r="A5" s="10" t="str">
        <f t="shared" si="0"/>
        <v>SUSENAS24-LAPANGAN-SEMESTER1-PML-PENDATAAN</v>
      </c>
      <c r="B5" s="10">
        <f>COUNTIFS('Alokasi Honor'!$I$2:$I990,$A5)</f>
        <v>12</v>
      </c>
      <c r="C5" s="10">
        <f>COUNTIFS('Alokasi Honor'!$I$2:$I990,$A5,'Alokasi Honor'!$U$2:$U990,1)</f>
        <v>12</v>
      </c>
      <c r="D5" s="10">
        <f t="shared" si="1"/>
        <v>1</v>
      </c>
      <c r="E5" s="10">
        <f t="shared" si="2"/>
        <v>0</v>
      </c>
      <c r="F5" s="9" t="s">
        <v>26</v>
      </c>
      <c r="G5" s="9" t="s">
        <v>24</v>
      </c>
      <c r="H5" s="9" t="s">
        <v>3034</v>
      </c>
      <c r="I5" s="89">
        <v>62000</v>
      </c>
      <c r="J5" s="9" t="s">
        <v>67</v>
      </c>
      <c r="K5" s="10" t="str">
        <f t="shared" si="3"/>
        <v>SUSENAS24-LAPANGAN-SEMESTER1-PML</v>
      </c>
      <c r="L5" s="86">
        <v>45367</v>
      </c>
      <c r="M5" s="87">
        <f t="shared" si="4"/>
        <v>45387</v>
      </c>
      <c r="N5" s="10" t="str">
        <f t="array" ref="N5">INDEX('Input Kegiatan'!$B$2:$B990,MATCH(F5,'Input Kegiatan'!$A$2:$A990,0))&amp;" ("&amp;J5&amp;")"</f>
        <v>Susenas Maret 2024 (PENDATAAN)</v>
      </c>
      <c r="O5" s="10" t="e">
        <f t="shared" ca="1" si="5"/>
        <v>#NAME?</v>
      </c>
      <c r="P5" s="10" t="str">
        <f t="array" ref="P5">INDEX('Input Kegiatan'!$C$2:$C990,MATCH($F5,'Input Kegiatan'!$A$2:$A990,0))</f>
        <v>SURVEI</v>
      </c>
      <c r="Q5" s="10" t="str">
        <f t="shared" si="6"/>
        <v>SURVEI-PML</v>
      </c>
    </row>
    <row r="6" spans="1:17" ht="15.75" customHeight="1">
      <c r="A6" s="10" t="str">
        <f t="shared" si="0"/>
        <v>SUSENAS24-LAPANGAN-SEMESTER1-PETUGAS ENTRI-PENGOLAHAN PENDATAAN</v>
      </c>
      <c r="B6" s="10">
        <f>COUNTIFS('Alokasi Honor'!$I$2:$I990,$A6)</f>
        <v>10</v>
      </c>
      <c r="C6" s="10">
        <f>COUNTIFS('Alokasi Honor'!$I$2:$I990,$A6,'Alokasi Honor'!$U$2:$U990,1)</f>
        <v>10</v>
      </c>
      <c r="D6" s="10">
        <f t="shared" si="1"/>
        <v>1</v>
      </c>
      <c r="E6" s="10">
        <f t="shared" si="2"/>
        <v>0</v>
      </c>
      <c r="F6" s="9" t="s">
        <v>26</v>
      </c>
      <c r="G6" s="9" t="s">
        <v>90</v>
      </c>
      <c r="H6" s="9" t="s">
        <v>3034</v>
      </c>
      <c r="I6" s="90">
        <v>27500</v>
      </c>
      <c r="J6" s="9" t="s">
        <v>125</v>
      </c>
      <c r="K6" s="10" t="str">
        <f t="shared" si="3"/>
        <v>SUSENAS24-LAPANGAN-SEMESTER1-PETUGAS ENTRI</v>
      </c>
      <c r="L6" s="86">
        <v>45373</v>
      </c>
      <c r="M6" s="87">
        <f t="shared" si="4"/>
        <v>45393</v>
      </c>
      <c r="N6" s="10" t="str">
        <f t="array" ref="N6">INDEX('Input Kegiatan'!$B$2:$B990,MATCH(F6,'Input Kegiatan'!$A$2:$A990,0))&amp;" ("&amp;J6&amp;")"</f>
        <v>Susenas Maret 2024 (PENGOLAHAN PENDATAAN)</v>
      </c>
      <c r="O6" s="10" t="e">
        <f t="shared" ca="1" si="5"/>
        <v>#NAME?</v>
      </c>
      <c r="P6" s="10" t="str">
        <f t="array" ref="P6">INDEX('Input Kegiatan'!$C$2:$C990,MATCH($F6,'Input Kegiatan'!$A$2:$A990,0))</f>
        <v>SURVEI</v>
      </c>
      <c r="Q6" s="10" t="str">
        <f t="shared" si="6"/>
        <v>SURVEI-PETUGAS ENTRI</v>
      </c>
    </row>
    <row r="7" spans="1:17" ht="15.75" customHeight="1">
      <c r="A7" s="10" t="str">
        <f t="shared" si="0"/>
        <v>SUSENAS24-LAPANGAN-SEMESTER1-PPL-UPDATING LISTING</v>
      </c>
      <c r="B7" s="10">
        <f>COUNTIFS('Alokasi Honor'!$I$2:$I990,$A7)</f>
        <v>38</v>
      </c>
      <c r="C7" s="10">
        <f>COUNTIFS('Alokasi Honor'!$I$2:$I990,$A7,'Alokasi Honor'!$U$2:$U990,1)</f>
        <v>38</v>
      </c>
      <c r="D7" s="10">
        <f t="shared" si="1"/>
        <v>1</v>
      </c>
      <c r="E7" s="10">
        <f t="shared" si="2"/>
        <v>0</v>
      </c>
      <c r="F7" s="9" t="s">
        <v>26</v>
      </c>
      <c r="G7" s="9" t="s">
        <v>25</v>
      </c>
      <c r="H7" s="9" t="s">
        <v>3035</v>
      </c>
      <c r="I7" s="91">
        <v>168000</v>
      </c>
      <c r="J7" s="9" t="s">
        <v>89</v>
      </c>
      <c r="K7" s="10" t="str">
        <f t="shared" si="3"/>
        <v>SUSENAS24-LAPANGAN-SEMESTER1-PPL</v>
      </c>
      <c r="L7" s="86">
        <v>45335</v>
      </c>
      <c r="M7" s="87">
        <f t="shared" si="4"/>
        <v>45355</v>
      </c>
      <c r="N7" s="10" t="str">
        <f t="array" ref="N7">INDEX('Input Kegiatan'!$B$2:$B990,MATCH(F7,'Input Kegiatan'!$A$2:$A990,0))&amp;" ("&amp;J7&amp;")"</f>
        <v>Susenas Maret 2024 (UPDATING LISTING)</v>
      </c>
      <c r="O7" s="10" t="e">
        <f t="shared" ca="1" si="5"/>
        <v>#NAME?</v>
      </c>
      <c r="P7" s="10" t="str">
        <f t="array" ref="P7">INDEX('Input Kegiatan'!$C$2:$C990,MATCH($F7,'Input Kegiatan'!$A$2:$A990,0))</f>
        <v>SURVEI</v>
      </c>
      <c r="Q7" s="10" t="str">
        <f t="shared" si="6"/>
        <v>SURVEI-PPL</v>
      </c>
    </row>
    <row r="8" spans="1:17" ht="15.75" customHeight="1">
      <c r="A8" s="10" t="str">
        <f t="shared" si="0"/>
        <v>SUSENAS24-LAPANGAN-SEMESTER1-PML-UPDATING LISTING</v>
      </c>
      <c r="B8" s="10">
        <f>COUNTIFS('Alokasi Honor'!$I$2:$I990,$A8)</f>
        <v>12</v>
      </c>
      <c r="C8" s="10">
        <f>COUNTIFS('Alokasi Honor'!$I$2:$I990,$A8,'Alokasi Honor'!$U$2:$U990,1)</f>
        <v>12</v>
      </c>
      <c r="D8" s="10">
        <f t="shared" si="1"/>
        <v>1</v>
      </c>
      <c r="E8" s="10">
        <f t="shared" si="2"/>
        <v>0</v>
      </c>
      <c r="F8" s="9" t="s">
        <v>26</v>
      </c>
      <c r="G8" s="9" t="s">
        <v>24</v>
      </c>
      <c r="H8" s="9" t="s">
        <v>3035</v>
      </c>
      <c r="I8" s="92">
        <v>55000</v>
      </c>
      <c r="J8" s="9" t="s">
        <v>89</v>
      </c>
      <c r="K8" s="10" t="str">
        <f t="shared" si="3"/>
        <v>SUSENAS24-LAPANGAN-SEMESTER1-PML</v>
      </c>
      <c r="L8" s="86">
        <v>45335</v>
      </c>
      <c r="M8" s="87">
        <f t="shared" si="4"/>
        <v>45355</v>
      </c>
      <c r="N8" s="10" t="str">
        <f t="array" ref="N8">INDEX('Input Kegiatan'!$B$2:$B990,MATCH(F8,'Input Kegiatan'!$A$2:$A990,0))&amp;" ("&amp;J8&amp;")"</f>
        <v>Susenas Maret 2024 (UPDATING LISTING)</v>
      </c>
      <c r="O8" s="10" t="e">
        <f t="shared" ca="1" si="5"/>
        <v>#NAME?</v>
      </c>
      <c r="P8" s="10" t="str">
        <f t="array" ref="P8">INDEX('Input Kegiatan'!$C$2:$C990,MATCH($F8,'Input Kegiatan'!$A$2:$A990,0))</f>
        <v>SURVEI</v>
      </c>
      <c r="Q8" s="10" t="str">
        <f t="shared" si="6"/>
        <v>SURVEI-PML</v>
      </c>
    </row>
    <row r="9" spans="1:17" ht="15.75" customHeight="1">
      <c r="A9" s="10" t="str">
        <f t="shared" si="0"/>
        <v>SAKERNAS24-LAPANGAN-SEMESTER1-PPL-UPDATING LISTING</v>
      </c>
      <c r="B9" s="10">
        <f>COUNTIFS('Alokasi Honor'!$I$2:$I990,$A9)</f>
        <v>7</v>
      </c>
      <c r="C9" s="10">
        <f>COUNTIFS('Alokasi Honor'!$I$2:$I990,$A9,'Alokasi Honor'!$U$2:$U990,1)</f>
        <v>7</v>
      </c>
      <c r="D9" s="10">
        <f t="shared" si="1"/>
        <v>1</v>
      </c>
      <c r="E9" s="10">
        <f t="shared" si="2"/>
        <v>0</v>
      </c>
      <c r="F9" s="9" t="s">
        <v>23</v>
      </c>
      <c r="G9" s="9" t="s">
        <v>25</v>
      </c>
      <c r="H9" s="9" t="s">
        <v>3035</v>
      </c>
      <c r="I9" s="85">
        <v>168000</v>
      </c>
      <c r="J9" s="9" t="s">
        <v>89</v>
      </c>
      <c r="K9" s="10" t="str">
        <f t="shared" si="3"/>
        <v>SAKERNAS24-LAPANGAN-SEMESTER1-PPL</v>
      </c>
      <c r="L9" s="86">
        <v>45330</v>
      </c>
      <c r="M9" s="87">
        <f t="shared" si="4"/>
        <v>45350</v>
      </c>
      <c r="N9" s="10" t="str">
        <f t="array" ref="N9">INDEX('Input Kegiatan'!$B$2:$B990,MATCH(F9,'Input Kegiatan'!$A$2:$A990,0))&amp;" ("&amp;J9&amp;")"</f>
        <v>Sakernas Februari 2024 (UPDATING LISTING)</v>
      </c>
      <c r="O9" s="10" t="e">
        <f t="shared" ca="1" si="5"/>
        <v>#NAME?</v>
      </c>
      <c r="P9" s="10" t="str">
        <f t="array" ref="P9">INDEX('Input Kegiatan'!$C$2:$C990,MATCH($F9,'Input Kegiatan'!$A$2:$A990,0))</f>
        <v>SURVEI</v>
      </c>
      <c r="Q9" s="10" t="str">
        <f t="shared" si="6"/>
        <v>SURVEI-PPL</v>
      </c>
    </row>
    <row r="10" spans="1:17" ht="15.75" customHeight="1">
      <c r="A10" s="10" t="str">
        <f t="shared" si="0"/>
        <v>SAKERNAS24-LAPANGAN-SEMESTER1-PML-UPDATING LISTING</v>
      </c>
      <c r="B10" s="10">
        <f>COUNTIFS('Alokasi Honor'!$I$2:$I990,$A10)</f>
        <v>3</v>
      </c>
      <c r="C10" s="10">
        <f>COUNTIFS('Alokasi Honor'!$I$2:$I990,$A10,'Alokasi Honor'!$U$2:$U990,1)</f>
        <v>3</v>
      </c>
      <c r="D10" s="10">
        <f t="shared" si="1"/>
        <v>1</v>
      </c>
      <c r="E10" s="10">
        <f t="shared" si="2"/>
        <v>0</v>
      </c>
      <c r="F10" s="9" t="s">
        <v>23</v>
      </c>
      <c r="G10" s="9" t="s">
        <v>24</v>
      </c>
      <c r="H10" s="9" t="s">
        <v>164</v>
      </c>
      <c r="I10" s="85">
        <v>55000</v>
      </c>
      <c r="J10" s="9" t="s">
        <v>89</v>
      </c>
      <c r="K10" s="10" t="str">
        <f t="shared" si="3"/>
        <v>SAKERNAS24-LAPANGAN-SEMESTER1-PML</v>
      </c>
      <c r="L10" s="86">
        <v>45330</v>
      </c>
      <c r="M10" s="87">
        <f t="shared" si="4"/>
        <v>45350</v>
      </c>
      <c r="N10" s="10" t="str">
        <f t="array" ref="N10">INDEX('Input Kegiatan'!$B$2:$B990,MATCH(F10,'Input Kegiatan'!$A$2:$A990,0))&amp;" ("&amp;J10&amp;")"</f>
        <v>Sakernas Februari 2024 (UPDATING LISTING)</v>
      </c>
      <c r="O10" s="10" t="e">
        <f t="shared" ca="1" si="5"/>
        <v>#NAME?</v>
      </c>
      <c r="P10" s="10" t="str">
        <f t="array" ref="P10">INDEX('Input Kegiatan'!$C$2:$C990,MATCH($F10,'Input Kegiatan'!$A$2:$A990,0))</f>
        <v>SURVEI</v>
      </c>
      <c r="Q10" s="10" t="str">
        <f t="shared" si="6"/>
        <v>SURVEI-PML</v>
      </c>
    </row>
    <row r="11" spans="1:17" ht="15.75" customHeight="1">
      <c r="A11" s="10" t="str">
        <f t="shared" si="0"/>
        <v>KSA24-LAPANGAN-FEBRUARI-PPL-KSA JAGUNG</v>
      </c>
      <c r="B11" s="10">
        <f>COUNTIFS('Alokasi Honor'!$I$2:$I990,$A11)</f>
        <v>5</v>
      </c>
      <c r="C11" s="10">
        <f>COUNTIFS('Alokasi Honor'!$I$2:$I990,$A11,'Alokasi Honor'!$U$2:$U990,1)</f>
        <v>5</v>
      </c>
      <c r="D11" s="10">
        <f t="shared" si="1"/>
        <v>1</v>
      </c>
      <c r="E11" s="10">
        <f t="shared" si="2"/>
        <v>0</v>
      </c>
      <c r="F11" s="9" t="s">
        <v>28</v>
      </c>
      <c r="G11" s="9" t="s">
        <v>25</v>
      </c>
      <c r="H11" s="9" t="s">
        <v>3036</v>
      </c>
      <c r="I11" s="85">
        <v>59000</v>
      </c>
      <c r="J11" s="9" t="s">
        <v>85</v>
      </c>
      <c r="K11" s="10" t="str">
        <f t="shared" si="3"/>
        <v>KSA24-LAPANGAN-FEBRUARI-PPL</v>
      </c>
      <c r="L11" s="93">
        <v>45351</v>
      </c>
      <c r="M11" s="93">
        <f t="shared" si="4"/>
        <v>45371</v>
      </c>
      <c r="N11" s="10" t="str">
        <f t="array" ref="N11">INDEX('Input Kegiatan'!$B$2:$B990,MATCH(F11,'Input Kegiatan'!$A$2:$A990,0))&amp;" ("&amp;J11&amp;")"</f>
        <v>Kerangka Sampel Area (KSA) 2024 Februari (KSA JAGUNG)</v>
      </c>
      <c r="O11" s="10" t="e">
        <f t="shared" ca="1" si="5"/>
        <v>#NAME?</v>
      </c>
      <c r="P11" s="10" t="str">
        <f t="array" ref="P11">INDEX('Input Kegiatan'!$C$2:$C990,MATCH($F11,'Input Kegiatan'!$A$2:$A990,0))</f>
        <v>SURVEI</v>
      </c>
      <c r="Q11" s="10" t="str">
        <f t="shared" si="6"/>
        <v>SURVEI-PPL</v>
      </c>
    </row>
    <row r="12" spans="1:17" ht="15.75" customHeight="1">
      <c r="A12" s="10" t="str">
        <f t="shared" si="0"/>
        <v>KSA24-LAPANGAN-FEBRUARI-PPL-KSA PADI</v>
      </c>
      <c r="B12" s="10">
        <f>COUNTIFS('Alokasi Honor'!$I$2:$I990,$A12)</f>
        <v>9</v>
      </c>
      <c r="C12" s="10">
        <f>COUNTIFS('Alokasi Honor'!$I$2:$I990,$A12,'Alokasi Honor'!$U$2:$U990,1)</f>
        <v>9</v>
      </c>
      <c r="D12" s="10">
        <f t="shared" si="1"/>
        <v>1</v>
      </c>
      <c r="E12" s="10">
        <f t="shared" si="2"/>
        <v>0</v>
      </c>
      <c r="F12" s="9" t="s">
        <v>28</v>
      </c>
      <c r="G12" s="9" t="s">
        <v>25</v>
      </c>
      <c r="H12" s="9" t="s">
        <v>3036</v>
      </c>
      <c r="I12" s="85">
        <v>116000</v>
      </c>
      <c r="J12" s="9" t="s">
        <v>84</v>
      </c>
      <c r="K12" s="10" t="str">
        <f t="shared" si="3"/>
        <v>KSA24-LAPANGAN-FEBRUARI-PPL</v>
      </c>
      <c r="L12" s="93">
        <v>45351</v>
      </c>
      <c r="M12" s="93">
        <f t="shared" si="4"/>
        <v>45371</v>
      </c>
      <c r="N12" s="10" t="str">
        <f t="array" ref="N12">INDEX('Input Kegiatan'!$B$2:$B990,MATCH(F12,'Input Kegiatan'!$A$2:$A990,0))&amp;" ("&amp;J12&amp;")"</f>
        <v>Kerangka Sampel Area (KSA) 2024 Februari (KSA PADI)</v>
      </c>
      <c r="O12" s="10" t="e">
        <f t="shared" ca="1" si="5"/>
        <v>#NAME?</v>
      </c>
      <c r="P12" s="10" t="str">
        <f t="array" ref="P12">INDEX('Input Kegiatan'!$C$2:$C990,MATCH($F12,'Input Kegiatan'!$A$2:$A990,0))</f>
        <v>SURVEI</v>
      </c>
      <c r="Q12" s="10" t="str">
        <f t="shared" si="6"/>
        <v>SURVEI-PPL</v>
      </c>
    </row>
    <row r="13" spans="1:17" ht="15.75" customHeight="1">
      <c r="A13" s="10" t="str">
        <f t="shared" si="0"/>
        <v>SUSENAS24-LAPANGAN-SEMESTER1-PETUGAS ENTRI-PENGOLAHAN LISTING</v>
      </c>
      <c r="B13" s="10">
        <f>COUNTIFS('Alokasi Honor'!$I$2:$I990,$A13)</f>
        <v>4</v>
      </c>
      <c r="C13" s="10">
        <f>COUNTIFS('Alokasi Honor'!$I$2:$I990,$A13,'Alokasi Honor'!$U$2:$U990,1)</f>
        <v>4</v>
      </c>
      <c r="D13" s="10">
        <f t="shared" si="1"/>
        <v>1</v>
      </c>
      <c r="E13" s="10">
        <f t="shared" si="2"/>
        <v>0</v>
      </c>
      <c r="F13" s="9" t="s">
        <v>26</v>
      </c>
      <c r="G13" s="9" t="s">
        <v>90</v>
      </c>
      <c r="H13" s="9" t="s">
        <v>164</v>
      </c>
      <c r="I13" s="94">
        <v>34000</v>
      </c>
      <c r="J13" s="9" t="s">
        <v>91</v>
      </c>
      <c r="K13" s="10" t="str">
        <f t="shared" si="3"/>
        <v>SUSENAS24-LAPANGAN-SEMESTER1-PETUGAS ENTRI</v>
      </c>
      <c r="L13" s="86">
        <v>45340</v>
      </c>
      <c r="M13" s="87">
        <f t="shared" si="4"/>
        <v>45360</v>
      </c>
      <c r="N13" s="10" t="str">
        <f t="array" ref="N13">INDEX('Input Kegiatan'!$B$2:$B990,MATCH(F13,'Input Kegiatan'!$A$2:$A990,0))&amp;" ("&amp;J13&amp;")"</f>
        <v>Susenas Maret 2024 (PENGOLAHAN LISTING)</v>
      </c>
      <c r="O13" s="10" t="e">
        <f t="shared" ca="1" si="5"/>
        <v>#NAME?</v>
      </c>
      <c r="P13" s="10" t="str">
        <f t="array" ref="P13">INDEX('Input Kegiatan'!$C$2:$C990,MATCH($F13,'Input Kegiatan'!$A$2:$A990,0))</f>
        <v>SURVEI</v>
      </c>
      <c r="Q13" s="10" t="str">
        <f t="shared" si="6"/>
        <v>SURVEI-PETUGAS ENTRI</v>
      </c>
    </row>
    <row r="14" spans="1:17" ht="15.75" customHeight="1">
      <c r="A14" s="10" t="str">
        <f t="shared" si="0"/>
        <v>KSA24-LAPANGAN-JANUARI-PPL-KSA JAGUNG</v>
      </c>
      <c r="B14" s="10">
        <f>COUNTIFS('Alokasi Honor'!$I$2:$I990,$A14)</f>
        <v>5</v>
      </c>
      <c r="C14" s="10">
        <f>COUNTIFS('Alokasi Honor'!$I$2:$I990,$A14,'Alokasi Honor'!$U$2:$U990,1)</f>
        <v>5</v>
      </c>
      <c r="D14" s="10">
        <f t="shared" si="1"/>
        <v>1</v>
      </c>
      <c r="E14" s="10">
        <f t="shared" si="2"/>
        <v>0</v>
      </c>
      <c r="F14" s="9" t="s">
        <v>29</v>
      </c>
      <c r="G14" s="9" t="s">
        <v>25</v>
      </c>
      <c r="H14" s="9" t="s">
        <v>3036</v>
      </c>
      <c r="I14" s="85">
        <v>59000</v>
      </c>
      <c r="J14" s="9" t="s">
        <v>85</v>
      </c>
      <c r="K14" s="10" t="str">
        <f t="shared" si="3"/>
        <v>KSA24-LAPANGAN-JANUARI-PPL</v>
      </c>
      <c r="L14" s="93">
        <v>45322</v>
      </c>
      <c r="M14" s="93">
        <f t="shared" si="4"/>
        <v>45342</v>
      </c>
      <c r="N14" s="10" t="str">
        <f t="array" ref="N14">INDEX('Input Kegiatan'!$B$2:$B990,MATCH(F14,'Input Kegiatan'!$A$2:$A990,0))&amp;" ("&amp;J14&amp;")"</f>
        <v>Kerangka Sampel Area (KSA) 2024 Januari (KSA JAGUNG)</v>
      </c>
      <c r="O14" s="10" t="e">
        <f t="shared" ca="1" si="5"/>
        <v>#NAME?</v>
      </c>
      <c r="P14" s="10" t="str">
        <f t="array" ref="P14">INDEX('Input Kegiatan'!$C$2:$C990,MATCH($F14,'Input Kegiatan'!$A$2:$A990,0))</f>
        <v>SURVEI</v>
      </c>
      <c r="Q14" s="10" t="str">
        <f t="shared" si="6"/>
        <v>SURVEI-PPL</v>
      </c>
    </row>
    <row r="15" spans="1:17" ht="15.75" customHeight="1">
      <c r="A15" s="10" t="str">
        <f t="shared" si="0"/>
        <v>KSA24-LAPANGAN-JANUARI-PPL-KSA PADI</v>
      </c>
      <c r="B15" s="10">
        <f>COUNTIFS('Alokasi Honor'!$I$2:$I990,$A15)</f>
        <v>9</v>
      </c>
      <c r="C15" s="10">
        <f>COUNTIFS('Alokasi Honor'!$I$2:$I990,$A15,'Alokasi Honor'!$U$2:$U990,1)</f>
        <v>9</v>
      </c>
      <c r="D15" s="10">
        <f t="shared" si="1"/>
        <v>1</v>
      </c>
      <c r="E15" s="10">
        <f t="shared" si="2"/>
        <v>0</v>
      </c>
      <c r="F15" s="9" t="s">
        <v>29</v>
      </c>
      <c r="G15" s="9" t="s">
        <v>25</v>
      </c>
      <c r="H15" s="9" t="s">
        <v>3036</v>
      </c>
      <c r="I15" s="85">
        <v>116000</v>
      </c>
      <c r="J15" s="9" t="s">
        <v>84</v>
      </c>
      <c r="K15" s="10" t="str">
        <f t="shared" si="3"/>
        <v>KSA24-LAPANGAN-JANUARI-PPL</v>
      </c>
      <c r="L15" s="93">
        <v>45322</v>
      </c>
      <c r="M15" s="93">
        <f t="shared" si="4"/>
        <v>45342</v>
      </c>
      <c r="N15" s="10" t="str">
        <f t="array" ref="N15">INDEX('Input Kegiatan'!$B$2:$B990,MATCH(F15,'Input Kegiatan'!$A$2:$A990,0))&amp;" ("&amp;J15&amp;")"</f>
        <v>Kerangka Sampel Area (KSA) 2024 Januari (KSA PADI)</v>
      </c>
      <c r="O15" s="10" t="e">
        <f t="shared" ca="1" si="5"/>
        <v>#NAME?</v>
      </c>
      <c r="P15" s="10" t="str">
        <f t="array" ref="P15">INDEX('Input Kegiatan'!$C$2:$C990,MATCH($F15,'Input Kegiatan'!$A$2:$A990,0))</f>
        <v>SURVEI</v>
      </c>
      <c r="Q15" s="10" t="str">
        <f t="shared" si="6"/>
        <v>SURVEI-PPL</v>
      </c>
    </row>
    <row r="16" spans="1:17" ht="15.75" customHeight="1">
      <c r="A16" s="10" t="str">
        <f t="shared" si="0"/>
        <v>KSA24-LAPANGAN-MARET-PPL-KSA JAGUNG</v>
      </c>
      <c r="B16" s="10">
        <f>COUNTIFS('Alokasi Honor'!$I$2:$I990,$A16)</f>
        <v>5</v>
      </c>
      <c r="C16" s="10">
        <f>COUNTIFS('Alokasi Honor'!$I$2:$I990,$A16,'Alokasi Honor'!$U$2:$U990,1)</f>
        <v>5</v>
      </c>
      <c r="D16" s="10">
        <f t="shared" si="1"/>
        <v>1</v>
      </c>
      <c r="E16" s="10">
        <f t="shared" si="2"/>
        <v>0</v>
      </c>
      <c r="F16" s="9" t="s">
        <v>30</v>
      </c>
      <c r="G16" s="9" t="s">
        <v>25</v>
      </c>
      <c r="H16" s="9" t="s">
        <v>3036</v>
      </c>
      <c r="I16" s="85">
        <v>59000</v>
      </c>
      <c r="J16" s="9" t="s">
        <v>85</v>
      </c>
      <c r="K16" s="10" t="str">
        <f t="shared" si="3"/>
        <v>KSA24-LAPANGAN-MARET-PPL</v>
      </c>
      <c r="L16" s="93">
        <v>45382</v>
      </c>
      <c r="M16" s="93">
        <f t="shared" si="4"/>
        <v>45402</v>
      </c>
      <c r="N16" s="10" t="str">
        <f t="array" ref="N16">INDEX('Input Kegiatan'!$B$2:$B990,MATCH(F16,'Input Kegiatan'!$A$2:$A990,0))&amp;" ("&amp;J16&amp;")"</f>
        <v>Kerangka Sampel Area (KSA) 2024 Maret (KSA JAGUNG)</v>
      </c>
      <c r="O16" s="10" t="e">
        <f t="shared" ca="1" si="5"/>
        <v>#NAME?</v>
      </c>
      <c r="P16" s="10" t="str">
        <f t="array" ref="P16">INDEX('Input Kegiatan'!$C$2:$C990,MATCH($F16,'Input Kegiatan'!$A$2:$A990,0))</f>
        <v>SURVEI</v>
      </c>
      <c r="Q16" s="10" t="str">
        <f t="shared" si="6"/>
        <v>SURVEI-PPL</v>
      </c>
    </row>
    <row r="17" spans="1:17" ht="15.75" customHeight="1">
      <c r="A17" s="10" t="str">
        <f t="shared" si="0"/>
        <v>KSA24-LAPANGAN-MARET-PPL-KSA PADI</v>
      </c>
      <c r="B17" s="10">
        <f>COUNTIFS('Alokasi Honor'!$I$2:$I990,$A17)</f>
        <v>9</v>
      </c>
      <c r="C17" s="10">
        <f>COUNTIFS('Alokasi Honor'!$I$2:$I990,$A17,'Alokasi Honor'!$U$2:$U990,1)</f>
        <v>9</v>
      </c>
      <c r="D17" s="10">
        <f t="shared" si="1"/>
        <v>1</v>
      </c>
      <c r="E17" s="10">
        <f t="shared" si="2"/>
        <v>0</v>
      </c>
      <c r="F17" s="9" t="s">
        <v>30</v>
      </c>
      <c r="G17" s="9" t="s">
        <v>25</v>
      </c>
      <c r="H17" s="9" t="s">
        <v>3036</v>
      </c>
      <c r="I17" s="85">
        <v>116000</v>
      </c>
      <c r="J17" s="9" t="s">
        <v>84</v>
      </c>
      <c r="K17" s="10" t="str">
        <f t="shared" si="3"/>
        <v>KSA24-LAPANGAN-MARET-PPL</v>
      </c>
      <c r="L17" s="93">
        <v>45382</v>
      </c>
      <c r="M17" s="93">
        <f t="shared" si="4"/>
        <v>45402</v>
      </c>
      <c r="N17" s="10" t="str">
        <f t="array" ref="N17">INDEX('Input Kegiatan'!$B$2:$B990,MATCH(F17,'Input Kegiatan'!$A$2:$A990,0))&amp;" ("&amp;J17&amp;")"</f>
        <v>Kerangka Sampel Area (KSA) 2024 Maret (KSA PADI)</v>
      </c>
      <c r="O17" s="10" t="e">
        <f t="shared" ca="1" si="5"/>
        <v>#NAME?</v>
      </c>
      <c r="P17" s="10" t="str">
        <f t="array" ref="P17">INDEX('Input Kegiatan'!$C$2:$C990,MATCH($F17,'Input Kegiatan'!$A$2:$A990,0))</f>
        <v>SURVEI</v>
      </c>
      <c r="Q17" s="10" t="str">
        <f t="shared" si="6"/>
        <v>SURVEI-PPL</v>
      </c>
    </row>
    <row r="18" spans="1:17" ht="15.75" customHeight="1">
      <c r="A18" s="10" t="str">
        <f t="shared" si="0"/>
        <v>KSA24-LAPANGAN-APRIL-PPL-KSA JAGUNG</v>
      </c>
      <c r="B18" s="10">
        <f>COUNTIFS('Alokasi Honor'!$I$2:$I990,$A18)</f>
        <v>5</v>
      </c>
      <c r="C18" s="10">
        <f>COUNTIFS('Alokasi Honor'!$I$2:$I990,$A18,'Alokasi Honor'!$U$2:$U990,1)</f>
        <v>5</v>
      </c>
      <c r="D18" s="10">
        <f t="shared" si="1"/>
        <v>1</v>
      </c>
      <c r="E18" s="10">
        <f t="shared" si="2"/>
        <v>0</v>
      </c>
      <c r="F18" s="9" t="s">
        <v>31</v>
      </c>
      <c r="G18" s="9" t="s">
        <v>25</v>
      </c>
      <c r="H18" s="9" t="s">
        <v>3036</v>
      </c>
      <c r="I18" s="85">
        <v>59000</v>
      </c>
      <c r="J18" s="9" t="s">
        <v>85</v>
      </c>
      <c r="K18" s="10" t="str">
        <f t="shared" si="3"/>
        <v>KSA24-LAPANGAN-APRIL-PPL</v>
      </c>
      <c r="L18" s="93">
        <v>45412</v>
      </c>
      <c r="M18" s="93">
        <f t="shared" si="4"/>
        <v>45432</v>
      </c>
      <c r="N18" s="10" t="str">
        <f t="array" ref="N18">INDEX('Input Kegiatan'!$B$2:$B990,MATCH(F18,'Input Kegiatan'!$A$2:$A990,0))&amp;" ("&amp;J18&amp;")"</f>
        <v>Kerangka Sampel Area (KSA) 2024 April (KSA JAGUNG)</v>
      </c>
      <c r="O18" s="10" t="e">
        <f t="shared" ca="1" si="5"/>
        <v>#NAME?</v>
      </c>
      <c r="P18" s="10" t="str">
        <f t="array" ref="P18">INDEX('Input Kegiatan'!$C$2:$C990,MATCH($F18,'Input Kegiatan'!$A$2:$A990,0))</f>
        <v>SURVEI</v>
      </c>
      <c r="Q18" s="10" t="str">
        <f t="shared" si="6"/>
        <v>SURVEI-PPL</v>
      </c>
    </row>
    <row r="19" spans="1:17" ht="15.75" customHeight="1">
      <c r="A19" s="10" t="str">
        <f t="shared" si="0"/>
        <v>KSA24-LAPANGAN-APRIL-PPL-KSA PADI</v>
      </c>
      <c r="B19" s="10">
        <f>COUNTIFS('Alokasi Honor'!$I$2:$I990,$A19)</f>
        <v>9</v>
      </c>
      <c r="C19" s="10">
        <f>COUNTIFS('Alokasi Honor'!$I$2:$I990,$A19,'Alokasi Honor'!$U$2:$U990,1)</f>
        <v>9</v>
      </c>
      <c r="D19" s="10">
        <f t="shared" si="1"/>
        <v>1</v>
      </c>
      <c r="E19" s="10">
        <f t="shared" si="2"/>
        <v>0</v>
      </c>
      <c r="F19" s="9" t="s">
        <v>31</v>
      </c>
      <c r="G19" s="9" t="s">
        <v>25</v>
      </c>
      <c r="H19" s="9" t="s">
        <v>3036</v>
      </c>
      <c r="I19" s="85">
        <v>116000</v>
      </c>
      <c r="J19" s="9" t="s">
        <v>84</v>
      </c>
      <c r="K19" s="10" t="str">
        <f t="shared" si="3"/>
        <v>KSA24-LAPANGAN-APRIL-PPL</v>
      </c>
      <c r="L19" s="93">
        <v>45412</v>
      </c>
      <c r="M19" s="93">
        <f t="shared" si="4"/>
        <v>45432</v>
      </c>
      <c r="N19" s="10" t="str">
        <f t="array" ref="N19">INDEX('Input Kegiatan'!$B$2:$B990,MATCH(F19,'Input Kegiatan'!$A$2:$A990,0))&amp;" ("&amp;J19&amp;")"</f>
        <v>Kerangka Sampel Area (KSA) 2024 April (KSA PADI)</v>
      </c>
      <c r="O19" s="10" t="e">
        <f t="shared" ca="1" si="5"/>
        <v>#NAME?</v>
      </c>
      <c r="P19" s="10" t="str">
        <f t="array" ref="P19">INDEX('Input Kegiatan'!$C$2:$C990,MATCH($F19,'Input Kegiatan'!$A$2:$A990,0))</f>
        <v>SURVEI</v>
      </c>
      <c r="Q19" s="10" t="str">
        <f t="shared" si="6"/>
        <v>SURVEI-PPL</v>
      </c>
    </row>
    <row r="20" spans="1:17" ht="15.75" customHeight="1">
      <c r="A20" s="10" t="str">
        <f t="shared" si="0"/>
        <v>KSA24-LAPANGAN-MEI-PPL-KSA JAGUNG</v>
      </c>
      <c r="B20" s="10">
        <f>COUNTIFS('Alokasi Honor'!$I$2:$I990,$A20)</f>
        <v>5</v>
      </c>
      <c r="C20" s="10">
        <f>COUNTIFS('Alokasi Honor'!$I$2:$I990,$A20,'Alokasi Honor'!$U$2:$U990,1)</f>
        <v>5</v>
      </c>
      <c r="D20" s="10">
        <f t="shared" si="1"/>
        <v>1</v>
      </c>
      <c r="E20" s="10">
        <f t="shared" si="2"/>
        <v>0</v>
      </c>
      <c r="F20" s="9" t="s">
        <v>32</v>
      </c>
      <c r="G20" s="9" t="s">
        <v>25</v>
      </c>
      <c r="H20" s="9" t="s">
        <v>3036</v>
      </c>
      <c r="I20" s="85">
        <v>59000</v>
      </c>
      <c r="J20" s="9" t="s">
        <v>85</v>
      </c>
      <c r="K20" s="10" t="str">
        <f t="shared" si="3"/>
        <v>KSA24-LAPANGAN-MEI-PPL</v>
      </c>
      <c r="L20" s="93">
        <v>45443</v>
      </c>
      <c r="M20" s="93">
        <f t="shared" si="4"/>
        <v>45463</v>
      </c>
      <c r="N20" s="10" t="str">
        <f t="array" ref="N20">INDEX('Input Kegiatan'!$B$2:$B990,MATCH(F20,'Input Kegiatan'!$A$2:$A990,0))&amp;" ("&amp;J20&amp;")"</f>
        <v>Kerangka Sampel Area (KSA) 2024 Mei (KSA JAGUNG)</v>
      </c>
      <c r="O20" s="10" t="e">
        <f t="shared" ca="1" si="5"/>
        <v>#NAME?</v>
      </c>
      <c r="P20" s="10" t="str">
        <f t="array" ref="P20">INDEX('Input Kegiatan'!$C$2:$C990,MATCH($F20,'Input Kegiatan'!$A$2:$A990,0))</f>
        <v>SURVEI</v>
      </c>
      <c r="Q20" s="10" t="str">
        <f t="shared" si="6"/>
        <v>SURVEI-PPL</v>
      </c>
    </row>
    <row r="21" spans="1:17" ht="15.75" customHeight="1">
      <c r="A21" s="10" t="str">
        <f t="shared" si="0"/>
        <v>KSA24-LAPANGAN-MEI-PPL-KSA PADI</v>
      </c>
      <c r="B21" s="10">
        <f>COUNTIFS('Alokasi Honor'!$I$2:$I990,$A21)</f>
        <v>9</v>
      </c>
      <c r="C21" s="10">
        <f>COUNTIFS('Alokasi Honor'!$I$2:$I990,$A21,'Alokasi Honor'!$U$2:$U990,1)</f>
        <v>9</v>
      </c>
      <c r="D21" s="10">
        <f t="shared" si="1"/>
        <v>1</v>
      </c>
      <c r="E21" s="10">
        <f t="shared" si="2"/>
        <v>0</v>
      </c>
      <c r="F21" s="9" t="s">
        <v>32</v>
      </c>
      <c r="G21" s="9" t="s">
        <v>25</v>
      </c>
      <c r="H21" s="9" t="s">
        <v>3036</v>
      </c>
      <c r="I21" s="85">
        <v>116000</v>
      </c>
      <c r="J21" s="9" t="s">
        <v>84</v>
      </c>
      <c r="K21" s="10" t="str">
        <f t="shared" si="3"/>
        <v>KSA24-LAPANGAN-MEI-PPL</v>
      </c>
      <c r="L21" s="93">
        <v>45443</v>
      </c>
      <c r="M21" s="93">
        <f t="shared" si="4"/>
        <v>45463</v>
      </c>
      <c r="N21" s="10" t="str">
        <f t="array" ref="N21">INDEX('Input Kegiatan'!$B$2:$B990,MATCH(F21,'Input Kegiatan'!$A$2:$A990,0))&amp;" ("&amp;J21&amp;")"</f>
        <v>Kerangka Sampel Area (KSA) 2024 Mei (KSA PADI)</v>
      </c>
      <c r="O21" s="10" t="e">
        <f t="shared" ca="1" si="5"/>
        <v>#NAME?</v>
      </c>
      <c r="P21" s="10" t="str">
        <f t="array" ref="P21">INDEX('Input Kegiatan'!$C$2:$C990,MATCH($F21,'Input Kegiatan'!$A$2:$A990,0))</f>
        <v>SURVEI</v>
      </c>
      <c r="Q21" s="10" t="str">
        <f t="shared" si="6"/>
        <v>SURVEI-PPL</v>
      </c>
    </row>
    <row r="22" spans="1:17" ht="15.75" customHeight="1">
      <c r="A22" s="10" t="str">
        <f t="shared" si="0"/>
        <v>KSA24-LAPANGAN-JUNI-PPL-KSA JAGUNG</v>
      </c>
      <c r="B22" s="10">
        <f>COUNTIFS('Alokasi Honor'!$I$2:$I990,$A22)</f>
        <v>4</v>
      </c>
      <c r="C22" s="10">
        <f>COUNTIFS('Alokasi Honor'!$I$2:$I990,$A22,'Alokasi Honor'!$U$2:$U990,1)</f>
        <v>4</v>
      </c>
      <c r="D22" s="10">
        <f t="shared" si="1"/>
        <v>1</v>
      </c>
      <c r="E22" s="10">
        <f t="shared" si="2"/>
        <v>0</v>
      </c>
      <c r="F22" s="9" t="s">
        <v>180</v>
      </c>
      <c r="G22" s="9" t="s">
        <v>25</v>
      </c>
      <c r="H22" s="9" t="s">
        <v>3036</v>
      </c>
      <c r="I22" s="85">
        <v>59000</v>
      </c>
      <c r="J22" s="9" t="s">
        <v>85</v>
      </c>
      <c r="K22" s="10" t="str">
        <f t="shared" si="3"/>
        <v>KSA24-LAPANGAN-JUNI-PPL</v>
      </c>
      <c r="L22" s="93">
        <v>45473</v>
      </c>
      <c r="M22" s="93">
        <f t="shared" si="4"/>
        <v>45493</v>
      </c>
      <c r="N22" s="10" t="str">
        <f t="array" ref="N22">INDEX('Input Kegiatan'!$B$2:$B990,MATCH(F22,'Input Kegiatan'!$A$2:$A990,0))&amp;" ("&amp;J22&amp;")"</f>
        <v>Kerangka Sampel Area (KSA) 2024 Juni (KSA JAGUNG)</v>
      </c>
      <c r="O22" s="10" t="e">
        <f t="shared" ca="1" si="5"/>
        <v>#NAME?</v>
      </c>
      <c r="P22" s="10" t="str">
        <f t="array" ref="P22">INDEX('Input Kegiatan'!$C$2:$C990,MATCH($F22,'Input Kegiatan'!$A$2:$A990,0))</f>
        <v>SURVEI</v>
      </c>
      <c r="Q22" s="10" t="str">
        <f t="shared" si="6"/>
        <v>SURVEI-PPL</v>
      </c>
    </row>
    <row r="23" spans="1:17" ht="15.75" customHeight="1">
      <c r="A23" s="10" t="str">
        <f t="shared" si="0"/>
        <v>KSA24-LAPANGAN-JUNI-PPL-KSA PADI</v>
      </c>
      <c r="B23" s="10">
        <f>COUNTIFS('Alokasi Honor'!$I$2:$I990,$A23)</f>
        <v>7</v>
      </c>
      <c r="C23" s="10">
        <f>COUNTIFS('Alokasi Honor'!$I$2:$I990,$A23,'Alokasi Honor'!$U$2:$U990,1)</f>
        <v>7</v>
      </c>
      <c r="D23" s="10">
        <f t="shared" si="1"/>
        <v>1</v>
      </c>
      <c r="E23" s="10">
        <f t="shared" si="2"/>
        <v>0</v>
      </c>
      <c r="F23" s="9" t="s">
        <v>180</v>
      </c>
      <c r="G23" s="9" t="s">
        <v>25</v>
      </c>
      <c r="H23" s="9" t="s">
        <v>3036</v>
      </c>
      <c r="I23" s="85">
        <v>116000</v>
      </c>
      <c r="J23" s="9" t="s">
        <v>84</v>
      </c>
      <c r="K23" s="10" t="str">
        <f t="shared" si="3"/>
        <v>KSA24-LAPANGAN-JUNI-PPL</v>
      </c>
      <c r="L23" s="93">
        <v>45473</v>
      </c>
      <c r="M23" s="93">
        <f t="shared" si="4"/>
        <v>45493</v>
      </c>
      <c r="N23" s="10" t="str">
        <f t="array" ref="N23">INDEX('Input Kegiatan'!$B$2:$B990,MATCH(F23,'Input Kegiatan'!$A$2:$A990,0))&amp;" ("&amp;J23&amp;")"</f>
        <v>Kerangka Sampel Area (KSA) 2024 Juni (KSA PADI)</v>
      </c>
      <c r="O23" s="10" t="e">
        <f t="shared" ca="1" si="5"/>
        <v>#NAME?</v>
      </c>
      <c r="P23" s="10" t="str">
        <f t="array" ref="P23">INDEX('Input Kegiatan'!$C$2:$C990,MATCH($F23,'Input Kegiatan'!$A$2:$A990,0))</f>
        <v>SURVEI</v>
      </c>
      <c r="Q23" s="10" t="str">
        <f t="shared" si="6"/>
        <v>SURVEI-PPL</v>
      </c>
    </row>
    <row r="24" spans="1:17" ht="15.75" customHeight="1">
      <c r="A24" s="10" t="str">
        <f t="shared" si="0"/>
        <v>KSA24-LAPANGAN-JULI-PPL-KSA JAGUNG</v>
      </c>
      <c r="B24" s="10">
        <f>COUNTIFS('Alokasi Honor'!$I$2:$I990,$A24)</f>
        <v>5</v>
      </c>
      <c r="C24" s="10">
        <f>COUNTIFS('Alokasi Honor'!$I$2:$I990,$A24,'Alokasi Honor'!$U$2:$U990,1)</f>
        <v>5</v>
      </c>
      <c r="D24" s="10">
        <f t="shared" si="1"/>
        <v>1</v>
      </c>
      <c r="E24" s="10">
        <f t="shared" si="2"/>
        <v>0</v>
      </c>
      <c r="F24" s="9" t="s">
        <v>33</v>
      </c>
      <c r="G24" s="9" t="s">
        <v>25</v>
      </c>
      <c r="H24" s="9" t="s">
        <v>3036</v>
      </c>
      <c r="I24" s="85">
        <v>59000</v>
      </c>
      <c r="J24" s="9" t="s">
        <v>85</v>
      </c>
      <c r="K24" s="10" t="str">
        <f t="shared" si="3"/>
        <v>KSA24-LAPANGAN-JULI-PPL</v>
      </c>
      <c r="L24" s="93">
        <v>45504</v>
      </c>
      <c r="M24" s="93">
        <f t="shared" si="4"/>
        <v>45524</v>
      </c>
      <c r="N24" s="10" t="str">
        <f t="array" ref="N24">INDEX('Input Kegiatan'!$B$2:$B990,MATCH(F24,'Input Kegiatan'!$A$2:$A990,0))&amp;" ("&amp;J24&amp;")"</f>
        <v>Kerangka Sampel Area (KSA) 2024 Juli (KSA JAGUNG)</v>
      </c>
      <c r="O24" s="10" t="e">
        <f t="shared" ca="1" si="5"/>
        <v>#NAME?</v>
      </c>
      <c r="P24" s="10" t="str">
        <f t="array" ref="P24">INDEX('Input Kegiatan'!$C$2:$C990,MATCH($F24,'Input Kegiatan'!$A$2:$A990,0))</f>
        <v>SURVEI</v>
      </c>
      <c r="Q24" s="10" t="str">
        <f t="shared" si="6"/>
        <v>SURVEI-PPL</v>
      </c>
    </row>
    <row r="25" spans="1:17" ht="15.75" customHeight="1">
      <c r="A25" s="10" t="str">
        <f t="shared" si="0"/>
        <v>KSA24-LAPANGAN-JULI-PPL-KSA PADI</v>
      </c>
      <c r="B25" s="10">
        <f>COUNTIFS('Alokasi Honor'!$I$2:$I990,$A25)</f>
        <v>8</v>
      </c>
      <c r="C25" s="10">
        <f>COUNTIFS('Alokasi Honor'!$I$2:$I990,$A25,'Alokasi Honor'!$U$2:$U990,1)</f>
        <v>8</v>
      </c>
      <c r="D25" s="10">
        <f t="shared" si="1"/>
        <v>1</v>
      </c>
      <c r="E25" s="10">
        <f t="shared" si="2"/>
        <v>0</v>
      </c>
      <c r="F25" s="9" t="s">
        <v>33</v>
      </c>
      <c r="G25" s="9" t="s">
        <v>25</v>
      </c>
      <c r="H25" s="9" t="s">
        <v>3036</v>
      </c>
      <c r="I25" s="85">
        <v>116000</v>
      </c>
      <c r="J25" s="9" t="s">
        <v>84</v>
      </c>
      <c r="K25" s="10" t="str">
        <f t="shared" si="3"/>
        <v>KSA24-LAPANGAN-JULI-PPL</v>
      </c>
      <c r="L25" s="93">
        <v>45504</v>
      </c>
      <c r="M25" s="93">
        <f t="shared" si="4"/>
        <v>45524</v>
      </c>
      <c r="N25" s="10" t="str">
        <f t="array" ref="N25">INDEX('Input Kegiatan'!$B$2:$B990,MATCH(F25,'Input Kegiatan'!$A$2:$A990,0))&amp;" ("&amp;J25&amp;")"</f>
        <v>Kerangka Sampel Area (KSA) 2024 Juli (KSA PADI)</v>
      </c>
      <c r="O25" s="10" t="e">
        <f t="shared" ca="1" si="5"/>
        <v>#NAME?</v>
      </c>
      <c r="P25" s="10" t="str">
        <f t="array" ref="P25">INDEX('Input Kegiatan'!$C$2:$C990,MATCH($F25,'Input Kegiatan'!$A$2:$A990,0))</f>
        <v>SURVEI</v>
      </c>
      <c r="Q25" s="10" t="str">
        <f t="shared" si="6"/>
        <v>SURVEI-PPL</v>
      </c>
    </row>
    <row r="26" spans="1:17" ht="15.75" customHeight="1">
      <c r="A26" s="10" t="str">
        <f t="shared" si="0"/>
        <v>KSA24-LAPANGAN-AGUSTUS-PPL-KSA JAGUNG</v>
      </c>
      <c r="B26" s="10">
        <f>COUNTIFS('Alokasi Honor'!$I$2:$I990,$A26)</f>
        <v>5</v>
      </c>
      <c r="C26" s="10">
        <f>COUNTIFS('Alokasi Honor'!$I$2:$I990,$A26,'Alokasi Honor'!$U$2:$U990,1)</f>
        <v>0</v>
      </c>
      <c r="D26" s="10">
        <f t="shared" si="1"/>
        <v>0</v>
      </c>
      <c r="E26" s="10">
        <f t="shared" si="2"/>
        <v>1</v>
      </c>
      <c r="F26" s="9" t="s">
        <v>34</v>
      </c>
      <c r="G26" s="9" t="s">
        <v>25</v>
      </c>
      <c r="H26" s="9" t="s">
        <v>3036</v>
      </c>
      <c r="I26" s="85">
        <v>59000</v>
      </c>
      <c r="J26" s="9" t="s">
        <v>85</v>
      </c>
      <c r="K26" s="10" t="str">
        <f t="shared" si="3"/>
        <v>KSA24-LAPANGAN-AGUSTUS-PPL</v>
      </c>
      <c r="L26" s="93">
        <v>45535</v>
      </c>
      <c r="M26" s="93">
        <f t="shared" si="4"/>
        <v>45555</v>
      </c>
      <c r="N26" s="10" t="str">
        <f t="array" ref="N26">INDEX('Input Kegiatan'!$B$2:$B990,MATCH(F26,'Input Kegiatan'!$A$2:$A990,0))&amp;" ("&amp;J26&amp;")"</f>
        <v>Kerangka Sampel Area (KSA) 2024 Agustus (KSA JAGUNG)</v>
      </c>
      <c r="O26" s="10" t="e">
        <f t="shared" ca="1" si="5"/>
        <v>#NAME?</v>
      </c>
      <c r="P26" s="10" t="str">
        <f t="array" ref="P26">INDEX('Input Kegiatan'!$C$2:$C990,MATCH($F26,'Input Kegiatan'!$A$2:$A990,0))</f>
        <v>SURVEI</v>
      </c>
      <c r="Q26" s="10" t="str">
        <f t="shared" si="6"/>
        <v>SURVEI-PPL</v>
      </c>
    </row>
    <row r="27" spans="1:17" ht="15.75" customHeight="1">
      <c r="A27" s="10" t="str">
        <f t="shared" si="0"/>
        <v>KSA24-LAPANGAN-AGUSTUS-PPL-KSA PADI</v>
      </c>
      <c r="B27" s="10">
        <f>COUNTIFS('Alokasi Honor'!$I$2:$I990,$A27)</f>
        <v>8</v>
      </c>
      <c r="C27" s="10">
        <f>COUNTIFS('Alokasi Honor'!$I$2:$I990,$A27,'Alokasi Honor'!$U$2:$U990,1)</f>
        <v>0</v>
      </c>
      <c r="D27" s="10">
        <f t="shared" si="1"/>
        <v>0</v>
      </c>
      <c r="E27" s="10">
        <f t="shared" si="2"/>
        <v>1</v>
      </c>
      <c r="F27" s="9" t="s">
        <v>34</v>
      </c>
      <c r="G27" s="9" t="s">
        <v>25</v>
      </c>
      <c r="H27" s="9" t="s">
        <v>3036</v>
      </c>
      <c r="I27" s="85">
        <v>116000</v>
      </c>
      <c r="J27" s="9" t="s">
        <v>84</v>
      </c>
      <c r="K27" s="10" t="str">
        <f t="shared" si="3"/>
        <v>KSA24-LAPANGAN-AGUSTUS-PPL</v>
      </c>
      <c r="L27" s="93">
        <v>45535</v>
      </c>
      <c r="M27" s="93">
        <f t="shared" si="4"/>
        <v>45555</v>
      </c>
      <c r="N27" s="10" t="str">
        <f t="array" ref="N27">INDEX('Input Kegiatan'!$B$2:$B990,MATCH(F27,'Input Kegiatan'!$A$2:$A990,0))&amp;" ("&amp;J27&amp;")"</f>
        <v>Kerangka Sampel Area (KSA) 2024 Agustus (KSA PADI)</v>
      </c>
      <c r="O27" s="10" t="e">
        <f t="shared" ca="1" si="5"/>
        <v>#NAME?</v>
      </c>
      <c r="P27" s="10" t="str">
        <f t="array" ref="P27">INDEX('Input Kegiatan'!$C$2:$C990,MATCH($F27,'Input Kegiatan'!$A$2:$A990,0))</f>
        <v>SURVEI</v>
      </c>
      <c r="Q27" s="10" t="str">
        <f t="shared" si="6"/>
        <v>SURVEI-PPL</v>
      </c>
    </row>
    <row r="28" spans="1:17" ht="15.75" customHeight="1">
      <c r="A28" s="10" t="str">
        <f t="shared" si="0"/>
        <v>KSA24-LAPANGAN-SEPTEMBER-PPL-KSA JAGUNG</v>
      </c>
      <c r="B28" s="10">
        <f>COUNTIFS('Alokasi Honor'!$I$2:$I990,$A28)</f>
        <v>5</v>
      </c>
      <c r="C28" s="10">
        <f>COUNTIFS('Alokasi Honor'!$I$2:$I990,$A28,'Alokasi Honor'!$U$2:$U990,1)</f>
        <v>0</v>
      </c>
      <c r="D28" s="10">
        <f t="shared" si="1"/>
        <v>0</v>
      </c>
      <c r="E28" s="10">
        <f t="shared" si="2"/>
        <v>1</v>
      </c>
      <c r="F28" s="9" t="s">
        <v>35</v>
      </c>
      <c r="G28" s="9" t="s">
        <v>25</v>
      </c>
      <c r="H28" s="9" t="s">
        <v>3036</v>
      </c>
      <c r="I28" s="85">
        <v>59000</v>
      </c>
      <c r="J28" s="9" t="s">
        <v>85</v>
      </c>
      <c r="K28" s="10" t="str">
        <f t="shared" si="3"/>
        <v>KSA24-LAPANGAN-SEPTEMBER-PPL</v>
      </c>
      <c r="L28" s="93">
        <v>45565</v>
      </c>
      <c r="M28" s="93">
        <f t="shared" si="4"/>
        <v>45585</v>
      </c>
      <c r="N28" s="10" t="str">
        <f t="array" ref="N28">INDEX('Input Kegiatan'!$B$2:$B990,MATCH(F28,'Input Kegiatan'!$A$2:$A990,0))&amp;" ("&amp;J28&amp;")"</f>
        <v>Kerangka Sampel Area (KSA) 2024 September (KSA JAGUNG)</v>
      </c>
      <c r="O28" s="10" t="e">
        <f t="shared" ca="1" si="5"/>
        <v>#NAME?</v>
      </c>
      <c r="P28" s="10" t="str">
        <f t="array" ref="P28">INDEX('Input Kegiatan'!$C$2:$C990,MATCH($F28,'Input Kegiatan'!$A$2:$A990,0))</f>
        <v>SURVEI</v>
      </c>
      <c r="Q28" s="10" t="str">
        <f t="shared" si="6"/>
        <v>SURVEI-PPL</v>
      </c>
    </row>
    <row r="29" spans="1:17" ht="15.75" customHeight="1">
      <c r="A29" s="10" t="str">
        <f t="shared" si="0"/>
        <v>KSA24-LAPANGAN-SEPTEMBER-PPL-KSA PADI</v>
      </c>
      <c r="B29" s="10">
        <f>COUNTIFS('Alokasi Honor'!$I$2:$I990,$A29)</f>
        <v>9</v>
      </c>
      <c r="C29" s="10">
        <f>COUNTIFS('Alokasi Honor'!$I$2:$I990,$A29,'Alokasi Honor'!$U$2:$U990,1)</f>
        <v>0</v>
      </c>
      <c r="D29" s="10">
        <f t="shared" si="1"/>
        <v>0</v>
      </c>
      <c r="E29" s="10">
        <f t="shared" si="2"/>
        <v>1</v>
      </c>
      <c r="F29" s="9" t="s">
        <v>35</v>
      </c>
      <c r="G29" s="9" t="s">
        <v>25</v>
      </c>
      <c r="H29" s="9" t="s">
        <v>3036</v>
      </c>
      <c r="I29" s="85">
        <v>116000</v>
      </c>
      <c r="J29" s="9" t="s">
        <v>84</v>
      </c>
      <c r="K29" s="10" t="str">
        <f t="shared" si="3"/>
        <v>KSA24-LAPANGAN-SEPTEMBER-PPL</v>
      </c>
      <c r="L29" s="93">
        <v>45565</v>
      </c>
      <c r="M29" s="93">
        <f t="shared" si="4"/>
        <v>45585</v>
      </c>
      <c r="N29" s="10" t="str">
        <f t="array" ref="N29">INDEX('Input Kegiatan'!$B$2:$B990,MATCH(F29,'Input Kegiatan'!$A$2:$A990,0))&amp;" ("&amp;J29&amp;")"</f>
        <v>Kerangka Sampel Area (KSA) 2024 September (KSA PADI)</v>
      </c>
      <c r="O29" s="10" t="e">
        <f t="shared" ca="1" si="5"/>
        <v>#NAME?</v>
      </c>
      <c r="P29" s="10" t="str">
        <f t="array" ref="P29">INDEX('Input Kegiatan'!$C$2:$C990,MATCH($F29,'Input Kegiatan'!$A$2:$A990,0))</f>
        <v>SURVEI</v>
      </c>
      <c r="Q29" s="10" t="str">
        <f t="shared" si="6"/>
        <v>SURVEI-PPL</v>
      </c>
    </row>
    <row r="30" spans="1:17" ht="15.75" customHeight="1">
      <c r="A30" s="10" t="str">
        <f t="shared" si="0"/>
        <v>KSA24-LAPANGAN-OKTOBER-PPL-KSA JAGUNG</v>
      </c>
      <c r="B30" s="10">
        <f>COUNTIFS('Alokasi Honor'!$I$2:$I990,$A30)</f>
        <v>5</v>
      </c>
      <c r="C30" s="10">
        <f>COUNTIFS('Alokasi Honor'!$I$2:$I990,$A30,'Alokasi Honor'!$U$2:$U990,1)</f>
        <v>0</v>
      </c>
      <c r="D30" s="10">
        <f t="shared" si="1"/>
        <v>0</v>
      </c>
      <c r="E30" s="10">
        <f t="shared" si="2"/>
        <v>1</v>
      </c>
      <c r="F30" s="9" t="s">
        <v>36</v>
      </c>
      <c r="G30" s="9" t="s">
        <v>25</v>
      </c>
      <c r="H30" s="9" t="s">
        <v>3036</v>
      </c>
      <c r="I30" s="85">
        <v>59000</v>
      </c>
      <c r="J30" s="9" t="s">
        <v>85</v>
      </c>
      <c r="K30" s="10" t="str">
        <f t="shared" si="3"/>
        <v>KSA24-LAPANGAN-OKTOBER-PPL</v>
      </c>
      <c r="L30" s="93">
        <v>45596</v>
      </c>
      <c r="M30" s="93">
        <f t="shared" si="4"/>
        <v>45616</v>
      </c>
      <c r="N30" s="10" t="str">
        <f t="array" ref="N30">INDEX('Input Kegiatan'!$B$2:$B990,MATCH(F30,'Input Kegiatan'!$A$2:$A990,0))&amp;" ("&amp;J30&amp;")"</f>
        <v>Kerangka Sampel Area (KSA) 2024 Oktober (KSA JAGUNG)</v>
      </c>
      <c r="O30" s="10" t="e">
        <f t="shared" ca="1" si="5"/>
        <v>#NAME?</v>
      </c>
      <c r="P30" s="10" t="str">
        <f t="array" ref="P30">INDEX('Input Kegiatan'!$C$2:$C990,MATCH($F30,'Input Kegiatan'!$A$2:$A990,0))</f>
        <v>SURVEI</v>
      </c>
      <c r="Q30" s="10" t="str">
        <f t="shared" si="6"/>
        <v>SURVEI-PPL</v>
      </c>
    </row>
    <row r="31" spans="1:17" ht="12.5">
      <c r="A31" s="10" t="str">
        <f t="shared" si="0"/>
        <v>KSA24-LAPANGAN-OKTOBER-PPL-KSA PADI</v>
      </c>
      <c r="B31" s="10">
        <f>COUNTIFS('Alokasi Honor'!$I$2:$I990,$A31)</f>
        <v>9</v>
      </c>
      <c r="C31" s="10">
        <f>COUNTIFS('Alokasi Honor'!$I$2:$I990,$A31,'Alokasi Honor'!$U$2:$U990,1)</f>
        <v>0</v>
      </c>
      <c r="D31" s="10">
        <f t="shared" si="1"/>
        <v>0</v>
      </c>
      <c r="E31" s="10">
        <f t="shared" si="2"/>
        <v>1</v>
      </c>
      <c r="F31" s="9" t="s">
        <v>36</v>
      </c>
      <c r="G31" s="9" t="s">
        <v>25</v>
      </c>
      <c r="H31" s="9" t="s">
        <v>3036</v>
      </c>
      <c r="I31" s="85">
        <v>116000</v>
      </c>
      <c r="J31" s="9" t="s">
        <v>84</v>
      </c>
      <c r="K31" s="10" t="str">
        <f t="shared" si="3"/>
        <v>KSA24-LAPANGAN-OKTOBER-PPL</v>
      </c>
      <c r="L31" s="93">
        <v>45596</v>
      </c>
      <c r="M31" s="93">
        <f t="shared" si="4"/>
        <v>45616</v>
      </c>
      <c r="N31" s="10" t="str">
        <f t="array" ref="N31">INDEX('Input Kegiatan'!$B$2:$B990,MATCH(F31,'Input Kegiatan'!$A$2:$A990,0))&amp;" ("&amp;J31&amp;")"</f>
        <v>Kerangka Sampel Area (KSA) 2024 Oktober (KSA PADI)</v>
      </c>
      <c r="O31" s="10" t="e">
        <f t="shared" ca="1" si="5"/>
        <v>#NAME?</v>
      </c>
      <c r="P31" s="10" t="str">
        <f t="array" ref="P31">INDEX('Input Kegiatan'!$C$2:$C990,MATCH($F31,'Input Kegiatan'!$A$2:$A990,0))</f>
        <v>SURVEI</v>
      </c>
      <c r="Q31" s="10" t="str">
        <f t="shared" si="6"/>
        <v>SURVEI-PPL</v>
      </c>
    </row>
    <row r="32" spans="1:17" ht="12.5">
      <c r="A32" s="10" t="str">
        <f t="shared" si="0"/>
        <v>KSA24-LAPANGAN-NOVEMBER-PPL-KSA JAGUNG</v>
      </c>
      <c r="B32" s="10">
        <f>COUNTIFS('Alokasi Honor'!$I$2:$I990,$A32)</f>
        <v>5</v>
      </c>
      <c r="C32" s="10">
        <f>COUNTIFS('Alokasi Honor'!$I$2:$I990,$A32,'Alokasi Honor'!$U$2:$U990,1)</f>
        <v>0</v>
      </c>
      <c r="D32" s="10">
        <f t="shared" si="1"/>
        <v>0</v>
      </c>
      <c r="E32" s="10">
        <f t="shared" si="2"/>
        <v>1</v>
      </c>
      <c r="F32" s="9" t="s">
        <v>37</v>
      </c>
      <c r="G32" s="9" t="s">
        <v>25</v>
      </c>
      <c r="H32" s="9" t="s">
        <v>3036</v>
      </c>
      <c r="I32" s="85">
        <v>59000</v>
      </c>
      <c r="J32" s="9" t="s">
        <v>85</v>
      </c>
      <c r="K32" s="10" t="str">
        <f t="shared" si="3"/>
        <v>KSA24-LAPANGAN-NOVEMBER-PPL</v>
      </c>
      <c r="L32" s="93">
        <v>45626</v>
      </c>
      <c r="M32" s="93">
        <f t="shared" si="4"/>
        <v>45646</v>
      </c>
      <c r="N32" s="10" t="str">
        <f t="array" ref="N32">INDEX('Input Kegiatan'!$B$2:$B990,MATCH(F32,'Input Kegiatan'!$A$2:$A990,0))&amp;" ("&amp;J32&amp;")"</f>
        <v>Kerangka Sampel Area (KSA) 2024 November (KSA JAGUNG)</v>
      </c>
      <c r="O32" s="10" t="e">
        <f t="shared" ca="1" si="5"/>
        <v>#NAME?</v>
      </c>
      <c r="P32" s="10" t="str">
        <f t="array" ref="P32">INDEX('Input Kegiatan'!$C$2:$C990,MATCH($F32,'Input Kegiatan'!$A$2:$A990,0))</f>
        <v>SURVEI</v>
      </c>
      <c r="Q32" s="10" t="str">
        <f t="shared" si="6"/>
        <v>SURVEI-PPL</v>
      </c>
    </row>
    <row r="33" spans="1:17" ht="12.5">
      <c r="A33" s="10" t="str">
        <f t="shared" si="0"/>
        <v>KSA24-LAPANGAN-NOVEMBER-PPL-KSA PADI</v>
      </c>
      <c r="B33" s="10">
        <f>COUNTIFS('Alokasi Honor'!$I$2:$I990,$A33)</f>
        <v>9</v>
      </c>
      <c r="C33" s="10">
        <f>COUNTIFS('Alokasi Honor'!$I$2:$I990,$A33,'Alokasi Honor'!$U$2:$U990,1)</f>
        <v>0</v>
      </c>
      <c r="D33" s="10">
        <f t="shared" si="1"/>
        <v>0</v>
      </c>
      <c r="E33" s="10">
        <f t="shared" si="2"/>
        <v>1</v>
      </c>
      <c r="F33" s="9" t="s">
        <v>37</v>
      </c>
      <c r="G33" s="9" t="s">
        <v>25</v>
      </c>
      <c r="H33" s="9" t="s">
        <v>3036</v>
      </c>
      <c r="I33" s="85">
        <v>116000</v>
      </c>
      <c r="J33" s="9" t="s">
        <v>84</v>
      </c>
      <c r="K33" s="10" t="str">
        <f t="shared" si="3"/>
        <v>KSA24-LAPANGAN-NOVEMBER-PPL</v>
      </c>
      <c r="L33" s="93">
        <v>45626</v>
      </c>
      <c r="M33" s="93">
        <f t="shared" si="4"/>
        <v>45646</v>
      </c>
      <c r="N33" s="10" t="str">
        <f t="array" ref="N33">INDEX('Input Kegiatan'!$B$2:$B990,MATCH(F33,'Input Kegiatan'!$A$2:$A990,0))&amp;" ("&amp;J33&amp;")"</f>
        <v>Kerangka Sampel Area (KSA) 2024 November (KSA PADI)</v>
      </c>
      <c r="O33" s="10" t="e">
        <f t="shared" ca="1" si="5"/>
        <v>#NAME?</v>
      </c>
      <c r="P33" s="10" t="str">
        <f t="array" ref="P33">INDEX('Input Kegiatan'!$C$2:$C990,MATCH($F33,'Input Kegiatan'!$A$2:$A990,0))</f>
        <v>SURVEI</v>
      </c>
      <c r="Q33" s="10" t="str">
        <f t="shared" si="6"/>
        <v>SURVEI-PPL</v>
      </c>
    </row>
    <row r="34" spans="1:17" ht="12.5">
      <c r="A34" s="10" t="str">
        <f t="shared" si="0"/>
        <v>KSA24-LAPANGAN-DESEMBER-PPL-KSA JAGUNG</v>
      </c>
      <c r="B34" s="10">
        <f>COUNTIFS('Alokasi Honor'!$I$2:$I990,$A34)</f>
        <v>5</v>
      </c>
      <c r="C34" s="10">
        <f>COUNTIFS('Alokasi Honor'!$I$2:$I990,$A34,'Alokasi Honor'!$U$2:$U990,1)</f>
        <v>0</v>
      </c>
      <c r="D34" s="10">
        <f t="shared" si="1"/>
        <v>0</v>
      </c>
      <c r="E34" s="10">
        <f t="shared" si="2"/>
        <v>1</v>
      </c>
      <c r="F34" s="9" t="s">
        <v>38</v>
      </c>
      <c r="G34" s="9" t="s">
        <v>25</v>
      </c>
      <c r="H34" s="9" t="s">
        <v>3036</v>
      </c>
      <c r="I34" s="85">
        <v>59000</v>
      </c>
      <c r="J34" s="9" t="s">
        <v>85</v>
      </c>
      <c r="K34" s="10" t="str">
        <f t="shared" si="3"/>
        <v>KSA24-LAPANGAN-DESEMBER-PPL</v>
      </c>
      <c r="L34" s="93">
        <v>45657</v>
      </c>
      <c r="M34" s="93">
        <f t="shared" si="4"/>
        <v>45677</v>
      </c>
      <c r="N34" s="10" t="str">
        <f t="array" ref="N34">INDEX('Input Kegiatan'!$B$2:$B990,MATCH(F34,'Input Kegiatan'!$A$2:$A990,0))&amp;" ("&amp;J34&amp;")"</f>
        <v>Kerangka Sampel Area (KSA) 2024 Desember (KSA JAGUNG)</v>
      </c>
      <c r="O34" s="10" t="e">
        <f t="shared" ca="1" si="5"/>
        <v>#NAME?</v>
      </c>
      <c r="P34" s="10" t="str">
        <f t="array" ref="P34">INDEX('Input Kegiatan'!$C$2:$C990,MATCH($F34,'Input Kegiatan'!$A$2:$A990,0))</f>
        <v>SURVEI</v>
      </c>
      <c r="Q34" s="10" t="str">
        <f t="shared" si="6"/>
        <v>SURVEI-PPL</v>
      </c>
    </row>
    <row r="35" spans="1:17" ht="12.5">
      <c r="A35" s="10" t="str">
        <f t="shared" si="0"/>
        <v>KSA24-LAPANGAN-DESEMBER-PPL-KSA PADI</v>
      </c>
      <c r="B35" s="10">
        <f>COUNTIFS('Alokasi Honor'!$I$2:$I990,$A35)</f>
        <v>9</v>
      </c>
      <c r="C35" s="10">
        <f>COUNTIFS('Alokasi Honor'!$I$2:$I990,$A35,'Alokasi Honor'!$U$2:$U990,1)</f>
        <v>0</v>
      </c>
      <c r="D35" s="10">
        <f t="shared" si="1"/>
        <v>0</v>
      </c>
      <c r="E35" s="10">
        <f t="shared" si="2"/>
        <v>1</v>
      </c>
      <c r="F35" s="9" t="s">
        <v>38</v>
      </c>
      <c r="G35" s="9" t="s">
        <v>25</v>
      </c>
      <c r="H35" s="9" t="s">
        <v>3036</v>
      </c>
      <c r="I35" s="85">
        <v>116000</v>
      </c>
      <c r="J35" s="9" t="s">
        <v>84</v>
      </c>
      <c r="K35" s="10" t="str">
        <f t="shared" si="3"/>
        <v>KSA24-LAPANGAN-DESEMBER-PPL</v>
      </c>
      <c r="L35" s="93">
        <v>45657</v>
      </c>
      <c r="M35" s="93">
        <f t="shared" si="4"/>
        <v>45677</v>
      </c>
      <c r="N35" s="10" t="str">
        <f t="array" ref="N35">INDEX('Input Kegiatan'!$B$2:$B990,MATCH(F35,'Input Kegiatan'!$A$2:$A990,0))&amp;" ("&amp;J35&amp;")"</f>
        <v>Kerangka Sampel Area (KSA) 2024 Desember (KSA PADI)</v>
      </c>
      <c r="O35" s="10" t="e">
        <f t="shared" ca="1" si="5"/>
        <v>#NAME?</v>
      </c>
      <c r="P35" s="10" t="str">
        <f t="array" ref="P35">INDEX('Input Kegiatan'!$C$2:$C990,MATCH($F35,'Input Kegiatan'!$A$2:$A990,0))</f>
        <v>SURVEI</v>
      </c>
      <c r="Q35" s="10" t="str">
        <f t="shared" si="6"/>
        <v>SURVEI-PPL</v>
      </c>
    </row>
    <row r="36" spans="1:17" ht="12.5">
      <c r="A36" s="10" t="str">
        <f t="shared" si="0"/>
        <v>HPG24-LAPANGAN-JANUARI-PPL-PENDATAAN</v>
      </c>
      <c r="B36" s="10">
        <f>COUNTIFS('Alokasi Honor'!$I$2:$I990,$A36)</f>
        <v>2</v>
      </c>
      <c r="C36" s="10">
        <f>COUNTIFS('Alokasi Honor'!$I$2:$I990,$A36,'Alokasi Honor'!$U$2:$U990,1)</f>
        <v>2</v>
      </c>
      <c r="D36" s="10">
        <f t="shared" si="1"/>
        <v>1</v>
      </c>
      <c r="E36" s="10">
        <f t="shared" si="2"/>
        <v>0</v>
      </c>
      <c r="F36" s="9" t="s">
        <v>69</v>
      </c>
      <c r="G36" s="9" t="s">
        <v>25</v>
      </c>
      <c r="H36" s="9" t="s">
        <v>164</v>
      </c>
      <c r="I36" s="85">
        <v>50000</v>
      </c>
      <c r="J36" s="9" t="s">
        <v>67</v>
      </c>
      <c r="K36" s="10" t="str">
        <f t="shared" si="3"/>
        <v>HPG24-LAPANGAN-JANUARI-PPL</v>
      </c>
      <c r="L36" s="95">
        <v>45311</v>
      </c>
      <c r="M36" s="93">
        <f t="shared" si="4"/>
        <v>45331</v>
      </c>
      <c r="N36" s="10" t="str">
        <f t="array" ref="N36">INDEX('Input Kegiatan'!$B$2:$B990,MATCH(F36,'Input Kegiatan'!$A$2:$A990,0))&amp;" ("&amp;J36&amp;")"</f>
        <v>Survei Harga Produsen Gabah (HPG24) Januari (PENDATAAN)</v>
      </c>
      <c r="O36" s="10" t="e">
        <f t="shared" ca="1" si="5"/>
        <v>#NAME?</v>
      </c>
      <c r="P36" s="10" t="str">
        <f t="array" ref="P36">INDEX('Input Kegiatan'!$C$2:$C990,MATCH($F36,'Input Kegiatan'!$A$2:$A990,0))</f>
        <v>SURVEI</v>
      </c>
      <c r="Q36" s="10" t="str">
        <f t="shared" si="6"/>
        <v>SURVEI-PPL</v>
      </c>
    </row>
    <row r="37" spans="1:17" ht="12.5">
      <c r="A37" s="10" t="str">
        <f t="shared" si="0"/>
        <v>HPG24-LAPANGAN-FEBRUARI-PPL-PENDATAAN</v>
      </c>
      <c r="B37" s="10">
        <f>COUNTIFS('Alokasi Honor'!$I$2:$I990,$A37)</f>
        <v>2</v>
      </c>
      <c r="C37" s="10">
        <f>COUNTIFS('Alokasi Honor'!$I$2:$I990,$A37,'Alokasi Honor'!$U$2:$U990,1)</f>
        <v>2</v>
      </c>
      <c r="D37" s="10">
        <f t="shared" si="1"/>
        <v>1</v>
      </c>
      <c r="E37" s="10">
        <f t="shared" si="2"/>
        <v>0</v>
      </c>
      <c r="F37" s="9" t="s">
        <v>94</v>
      </c>
      <c r="G37" s="9" t="s">
        <v>25</v>
      </c>
      <c r="H37" s="9" t="s">
        <v>164</v>
      </c>
      <c r="I37" s="85">
        <v>50000</v>
      </c>
      <c r="J37" s="9" t="s">
        <v>67</v>
      </c>
      <c r="K37" s="10" t="str">
        <f t="shared" si="3"/>
        <v>HPG24-LAPANGAN-FEBRUARI-PPL</v>
      </c>
      <c r="L37" s="86">
        <v>45342</v>
      </c>
      <c r="M37" s="87">
        <f t="shared" si="4"/>
        <v>45362</v>
      </c>
      <c r="N37" s="10" t="str">
        <f t="array" ref="N37">INDEX('Input Kegiatan'!$B$2:$B990,MATCH(F37,'Input Kegiatan'!$A$2:$A990,0))&amp;" ("&amp;J37&amp;")"</f>
        <v>Survei Harga Produsen Gabah (HPG24) Februari (PENDATAAN)</v>
      </c>
      <c r="O37" s="10" t="e">
        <f t="shared" ca="1" si="5"/>
        <v>#NAME?</v>
      </c>
      <c r="P37" s="10" t="str">
        <f t="array" ref="P37">INDEX('Input Kegiatan'!$C$2:$C990,MATCH($F37,'Input Kegiatan'!$A$2:$A990,0))</f>
        <v>SURVEI</v>
      </c>
      <c r="Q37" s="10" t="str">
        <f t="shared" si="6"/>
        <v>SURVEI-PPL</v>
      </c>
    </row>
    <row r="38" spans="1:17" ht="12.5">
      <c r="A38" s="10" t="str">
        <f t="shared" si="0"/>
        <v>HPG24-LAPANGAN-MARET-PPL-PENDATAAN</v>
      </c>
      <c r="B38" s="10">
        <f>COUNTIFS('Alokasi Honor'!$I$2:$I990,$A38)</f>
        <v>2</v>
      </c>
      <c r="C38" s="10">
        <f>COUNTIFS('Alokasi Honor'!$I$2:$I990,$A38,'Alokasi Honor'!$U$2:$U990,1)</f>
        <v>2</v>
      </c>
      <c r="D38" s="10">
        <f t="shared" si="1"/>
        <v>1</v>
      </c>
      <c r="E38" s="10">
        <f t="shared" si="2"/>
        <v>0</v>
      </c>
      <c r="F38" s="9" t="s">
        <v>112</v>
      </c>
      <c r="G38" s="9" t="s">
        <v>25</v>
      </c>
      <c r="H38" s="9" t="s">
        <v>164</v>
      </c>
      <c r="I38" s="85">
        <v>50000</v>
      </c>
      <c r="J38" s="9" t="s">
        <v>67</v>
      </c>
      <c r="K38" s="10" t="str">
        <f t="shared" si="3"/>
        <v>HPG24-LAPANGAN-MARET-PPL</v>
      </c>
      <c r="L38" s="95">
        <v>45371</v>
      </c>
      <c r="M38" s="93">
        <f t="shared" si="4"/>
        <v>45391</v>
      </c>
      <c r="N38" s="10" t="str">
        <f t="array" ref="N38">INDEX('Input Kegiatan'!$B$2:$B990,MATCH(F38,'Input Kegiatan'!$A$2:$A990,0))&amp;" ("&amp;J38&amp;")"</f>
        <v>Survei Harga Produsen Gabah (HPG24) Maret (PENDATAAN)</v>
      </c>
      <c r="O38" s="10" t="e">
        <f t="shared" ca="1" si="5"/>
        <v>#NAME?</v>
      </c>
      <c r="P38" s="10" t="str">
        <f t="array" ref="P38">INDEX('Input Kegiatan'!$C$2:$C990,MATCH($F38,'Input Kegiatan'!$A$2:$A990,0))</f>
        <v>SURVEI</v>
      </c>
      <c r="Q38" s="10" t="str">
        <f t="shared" si="6"/>
        <v>SURVEI-PPL</v>
      </c>
    </row>
    <row r="39" spans="1:17" ht="12.5">
      <c r="A39" s="10" t="str">
        <f t="shared" si="0"/>
        <v>HPG24-LAPANGAN-APRIL-PPL-PENDATAAN</v>
      </c>
      <c r="B39" s="10">
        <f>COUNTIFS('Alokasi Honor'!$I$2:$I990,$A39)</f>
        <v>2</v>
      </c>
      <c r="C39" s="10">
        <f>COUNTIFS('Alokasi Honor'!$I$2:$I990,$A39,'Alokasi Honor'!$U$2:$U990,1)</f>
        <v>2</v>
      </c>
      <c r="D39" s="10">
        <f t="shared" si="1"/>
        <v>1</v>
      </c>
      <c r="E39" s="10">
        <f t="shared" si="2"/>
        <v>0</v>
      </c>
      <c r="F39" s="9" t="s">
        <v>130</v>
      </c>
      <c r="G39" s="9" t="s">
        <v>25</v>
      </c>
      <c r="H39" s="9" t="s">
        <v>164</v>
      </c>
      <c r="I39" s="85">
        <v>50000</v>
      </c>
      <c r="J39" s="9" t="s">
        <v>67</v>
      </c>
      <c r="K39" s="10" t="str">
        <f t="shared" si="3"/>
        <v>HPG24-LAPANGAN-APRIL-PPL</v>
      </c>
      <c r="L39" s="95">
        <v>45402</v>
      </c>
      <c r="M39" s="93">
        <f t="shared" si="4"/>
        <v>45422</v>
      </c>
      <c r="N39" s="10" t="str">
        <f t="array" ref="N39">INDEX('Input Kegiatan'!$B$2:$B990,MATCH(F39,'Input Kegiatan'!$A$2:$A990,0))&amp;" ("&amp;J39&amp;")"</f>
        <v>Survei Harga Produsen Gabah (HPG24) April (PENDATAAN)</v>
      </c>
      <c r="O39" s="10" t="e">
        <f t="shared" ca="1" si="5"/>
        <v>#NAME?</v>
      </c>
      <c r="P39" s="10" t="str">
        <f t="array" ref="P39">INDEX('Input Kegiatan'!$C$2:$C990,MATCH($F39,'Input Kegiatan'!$A$2:$A990,0))</f>
        <v>SURVEI</v>
      </c>
      <c r="Q39" s="10" t="str">
        <f t="shared" si="6"/>
        <v>SURVEI-PPL</v>
      </c>
    </row>
    <row r="40" spans="1:17" ht="12.5">
      <c r="A40" s="10" t="str">
        <f t="shared" si="0"/>
        <v>HPG24-LAPANGAN-MEI-PPL-PENDATAAN</v>
      </c>
      <c r="B40" s="10">
        <f>COUNTIFS('Alokasi Honor'!$I$2:$I990,$A40)</f>
        <v>2</v>
      </c>
      <c r="C40" s="10">
        <f>COUNTIFS('Alokasi Honor'!$I$2:$I990,$A40,'Alokasi Honor'!$U$2:$U990,1)</f>
        <v>2</v>
      </c>
      <c r="D40" s="10">
        <f t="shared" si="1"/>
        <v>1</v>
      </c>
      <c r="E40" s="10">
        <f t="shared" si="2"/>
        <v>0</v>
      </c>
      <c r="F40" s="9" t="s">
        <v>152</v>
      </c>
      <c r="G40" s="9" t="s">
        <v>25</v>
      </c>
      <c r="H40" s="9" t="s">
        <v>164</v>
      </c>
      <c r="I40" s="85">
        <v>50000</v>
      </c>
      <c r="J40" s="9" t="s">
        <v>67</v>
      </c>
      <c r="K40" s="10" t="str">
        <f t="shared" si="3"/>
        <v>HPG24-LAPANGAN-MEI-PPL</v>
      </c>
      <c r="L40" s="95">
        <v>45432</v>
      </c>
      <c r="M40" s="93">
        <f t="shared" si="4"/>
        <v>45452</v>
      </c>
      <c r="N40" s="10" t="str">
        <f t="array" ref="N40">INDEX('Input Kegiatan'!$B$2:$B990,MATCH(F40,'Input Kegiatan'!$A$2:$A990,0))&amp;" ("&amp;J40&amp;")"</f>
        <v>Survei Harga Produsen Gabah (HPG24) Mei (PENDATAAN)</v>
      </c>
      <c r="O40" s="10" t="e">
        <f t="shared" ca="1" si="5"/>
        <v>#NAME?</v>
      </c>
      <c r="P40" s="10" t="str">
        <f t="array" ref="P40">INDEX('Input Kegiatan'!$C$2:$C990,MATCH($F40,'Input Kegiatan'!$A$2:$A990,0))</f>
        <v>SURVEI</v>
      </c>
      <c r="Q40" s="10" t="str">
        <f t="shared" si="6"/>
        <v>SURVEI-PPL</v>
      </c>
    </row>
    <row r="41" spans="1:17" ht="12.5">
      <c r="A41" s="10" t="str">
        <f t="shared" si="0"/>
        <v>HPG24-LAPANGAN-JUNI-PPL-PENDATAAN</v>
      </c>
      <c r="B41" s="10">
        <f>COUNTIFS('Alokasi Honor'!$I$2:$I990,$A41)</f>
        <v>2</v>
      </c>
      <c r="C41" s="10">
        <f>COUNTIFS('Alokasi Honor'!$I$2:$I990,$A41,'Alokasi Honor'!$U$2:$U990,1)</f>
        <v>2</v>
      </c>
      <c r="D41" s="10">
        <f t="shared" si="1"/>
        <v>1</v>
      </c>
      <c r="E41" s="10">
        <f t="shared" si="2"/>
        <v>0</v>
      </c>
      <c r="F41" s="9" t="s">
        <v>169</v>
      </c>
      <c r="G41" s="9" t="s">
        <v>25</v>
      </c>
      <c r="H41" s="9" t="s">
        <v>164</v>
      </c>
      <c r="I41" s="85">
        <v>50000</v>
      </c>
      <c r="J41" s="9" t="s">
        <v>67</v>
      </c>
      <c r="K41" s="10" t="str">
        <f t="shared" si="3"/>
        <v>HPG24-LAPANGAN-JUNI-PPL</v>
      </c>
      <c r="L41" s="95">
        <v>45463</v>
      </c>
      <c r="M41" s="93">
        <f t="shared" si="4"/>
        <v>45483</v>
      </c>
      <c r="N41" s="10" t="str">
        <f t="array" ref="N41">INDEX('Input Kegiatan'!$B$2:$B990,MATCH(F41,'Input Kegiatan'!$A$2:$A990,0))&amp;" ("&amp;J41&amp;")"</f>
        <v>Survei Harga Produsen Gabah (HPG24) Juni (PENDATAAN)</v>
      </c>
      <c r="O41" s="10" t="e">
        <f t="shared" ca="1" si="5"/>
        <v>#NAME?</v>
      </c>
      <c r="P41" s="10" t="str">
        <f t="array" ref="P41">INDEX('Input Kegiatan'!$C$2:$C990,MATCH($F41,'Input Kegiatan'!$A$2:$A990,0))</f>
        <v>SURVEI</v>
      </c>
      <c r="Q41" s="10" t="str">
        <f t="shared" si="6"/>
        <v>SURVEI-PPL</v>
      </c>
    </row>
    <row r="42" spans="1:17" ht="12.5">
      <c r="A42" s="10" t="str">
        <f t="shared" si="0"/>
        <v>HPG24-LAPANGAN-JULI-PPL-PENDATAAN</v>
      </c>
      <c r="B42" s="10">
        <f>COUNTIFS('Alokasi Honor'!$I$2:$I990,$A42)</f>
        <v>2</v>
      </c>
      <c r="C42" s="10">
        <f>COUNTIFS('Alokasi Honor'!$I$2:$I990,$A42,'Alokasi Honor'!$U$2:$U990,1)</f>
        <v>2</v>
      </c>
      <c r="D42" s="10">
        <f t="shared" si="1"/>
        <v>1</v>
      </c>
      <c r="E42" s="10">
        <f t="shared" si="2"/>
        <v>0</v>
      </c>
      <c r="F42" s="9" t="s">
        <v>192</v>
      </c>
      <c r="G42" s="9" t="s">
        <v>25</v>
      </c>
      <c r="H42" s="9" t="s">
        <v>164</v>
      </c>
      <c r="I42" s="85">
        <v>50000</v>
      </c>
      <c r="J42" s="9" t="s">
        <v>67</v>
      </c>
      <c r="K42" s="10" t="str">
        <f t="shared" si="3"/>
        <v>HPG24-LAPANGAN-JULI-PPL</v>
      </c>
      <c r="L42" s="95">
        <v>45493</v>
      </c>
      <c r="M42" s="93">
        <f t="shared" si="4"/>
        <v>45513</v>
      </c>
      <c r="N42" s="10" t="str">
        <f t="array" ref="N42">INDEX('Input Kegiatan'!$B$2:$B990,MATCH(F42,'Input Kegiatan'!$A$2:$A990,0))&amp;" ("&amp;J42&amp;")"</f>
        <v>Survei Harga Produsen Gabah (HPG24) Juli (PENDATAAN)</v>
      </c>
      <c r="O42" s="10" t="e">
        <f t="shared" ca="1" si="5"/>
        <v>#NAME?</v>
      </c>
      <c r="P42" s="10" t="str">
        <f t="array" ref="P42">INDEX('Input Kegiatan'!$C$2:$C990,MATCH($F42,'Input Kegiatan'!$A$2:$A990,0))</f>
        <v>SURVEI</v>
      </c>
      <c r="Q42" s="10" t="str">
        <f t="shared" si="6"/>
        <v>SURVEI-PPL</v>
      </c>
    </row>
    <row r="43" spans="1:17" ht="12.5">
      <c r="A43" s="10" t="str">
        <f t="shared" si="0"/>
        <v>HPG24-LAPANGAN-AGUSTUS-PPL-PENDATAAN</v>
      </c>
      <c r="B43" s="10">
        <f>COUNTIFS('Alokasi Honor'!$I$2:$I990,$A43)</f>
        <v>2</v>
      </c>
      <c r="C43" s="10">
        <f>COUNTIFS('Alokasi Honor'!$I$2:$I990,$A43,'Alokasi Honor'!$U$2:$U990,1)</f>
        <v>0</v>
      </c>
      <c r="D43" s="10">
        <f t="shared" si="1"/>
        <v>0</v>
      </c>
      <c r="E43" s="10">
        <f t="shared" si="2"/>
        <v>1</v>
      </c>
      <c r="F43" s="9" t="s">
        <v>216</v>
      </c>
      <c r="G43" s="9" t="s">
        <v>25</v>
      </c>
      <c r="H43" s="9" t="s">
        <v>164</v>
      </c>
      <c r="I43" s="85">
        <v>50000</v>
      </c>
      <c r="J43" s="9" t="s">
        <v>67</v>
      </c>
      <c r="K43" s="10" t="str">
        <f t="shared" si="3"/>
        <v>HPG24-LAPANGAN-AGUSTUS-PPL</v>
      </c>
      <c r="L43" s="95">
        <v>45524</v>
      </c>
      <c r="M43" s="93">
        <f t="shared" si="4"/>
        <v>45544</v>
      </c>
      <c r="N43" s="10" t="str">
        <f t="array" ref="N43">INDEX('Input Kegiatan'!$B$2:$B990,MATCH(F43,'Input Kegiatan'!$A$2:$A990,0))&amp;" ("&amp;J43&amp;")"</f>
        <v>Survei Harga Produsen Gabah (HPG24) Agustus (PENDATAAN)</v>
      </c>
      <c r="O43" s="10" t="e">
        <f t="shared" ca="1" si="5"/>
        <v>#NAME?</v>
      </c>
      <c r="P43" s="10" t="str">
        <f t="array" ref="P43">INDEX('Input Kegiatan'!$C$2:$C990,MATCH($F43,'Input Kegiatan'!$A$2:$A990,0))</f>
        <v>SURVEI</v>
      </c>
      <c r="Q43" s="10" t="str">
        <f t="shared" si="6"/>
        <v>SURVEI-PPL</v>
      </c>
    </row>
    <row r="44" spans="1:17" ht="12.5">
      <c r="A44" s="10" t="str">
        <f t="shared" si="0"/>
        <v>HPG24-LAPANGAN-SEPTEMBER-PPL-PENDATAAN</v>
      </c>
      <c r="B44" s="10">
        <f>COUNTIFS('Alokasi Honor'!$I$2:$I990,$A44)</f>
        <v>2</v>
      </c>
      <c r="C44" s="10">
        <f>COUNTIFS('Alokasi Honor'!$I$2:$I990,$A44,'Alokasi Honor'!$U$2:$U990,1)</f>
        <v>0</v>
      </c>
      <c r="D44" s="10">
        <f t="shared" si="1"/>
        <v>0</v>
      </c>
      <c r="E44" s="10">
        <f t="shared" si="2"/>
        <v>1</v>
      </c>
      <c r="F44" s="9" t="s">
        <v>253</v>
      </c>
      <c r="G44" s="9" t="s">
        <v>25</v>
      </c>
      <c r="H44" s="9" t="s">
        <v>164</v>
      </c>
      <c r="I44" s="85">
        <v>50000</v>
      </c>
      <c r="J44" s="9" t="s">
        <v>67</v>
      </c>
      <c r="K44" s="10" t="str">
        <f t="shared" si="3"/>
        <v>HPG24-LAPANGAN-SEPTEMBER-PPL</v>
      </c>
      <c r="L44" s="95">
        <v>45555</v>
      </c>
      <c r="M44" s="93">
        <f t="shared" si="4"/>
        <v>45575</v>
      </c>
      <c r="N44" s="10" t="str">
        <f t="array" ref="N44">INDEX('Input Kegiatan'!$B$2:$B990,MATCH(F44,'Input Kegiatan'!$A$2:$A990,0))&amp;" ("&amp;J44&amp;")"</f>
        <v>Survei Harga Produsen Gabah (HPG24) September (PENDATAAN)</v>
      </c>
      <c r="O44" s="10" t="e">
        <f t="shared" ca="1" si="5"/>
        <v>#NAME?</v>
      </c>
      <c r="P44" s="10" t="str">
        <f t="array" ref="P44">INDEX('Input Kegiatan'!$C$2:$C990,MATCH($F44,'Input Kegiatan'!$A$2:$A990,0))</f>
        <v>SURVEI</v>
      </c>
      <c r="Q44" s="10" t="str">
        <f t="shared" si="6"/>
        <v>SURVEI-PPL</v>
      </c>
    </row>
    <row r="45" spans="1:17" ht="12.5">
      <c r="A45" s="10" t="str">
        <f t="shared" si="0"/>
        <v>HPG24-LAPANGAN-OKTOBER-PPL-PENDATAAN</v>
      </c>
      <c r="B45" s="10">
        <f>COUNTIFS('Alokasi Honor'!$I$2:$I990,$A45)</f>
        <v>2</v>
      </c>
      <c r="C45" s="10">
        <f>COUNTIFS('Alokasi Honor'!$I$2:$I990,$A45,'Alokasi Honor'!$U$2:$U990,1)</f>
        <v>0</v>
      </c>
      <c r="D45" s="10">
        <f t="shared" si="1"/>
        <v>0</v>
      </c>
      <c r="E45" s="10">
        <f t="shared" si="2"/>
        <v>1</v>
      </c>
      <c r="F45" s="9" t="s">
        <v>277</v>
      </c>
      <c r="G45" s="9" t="s">
        <v>25</v>
      </c>
      <c r="H45" s="9" t="s">
        <v>164</v>
      </c>
      <c r="I45" s="85">
        <v>50000</v>
      </c>
      <c r="J45" s="9" t="s">
        <v>67</v>
      </c>
      <c r="K45" s="10" t="str">
        <f t="shared" si="3"/>
        <v>HPG24-LAPANGAN-OKTOBER-PPL</v>
      </c>
      <c r="L45" s="95">
        <v>45585</v>
      </c>
      <c r="M45" s="93">
        <f t="shared" si="4"/>
        <v>45605</v>
      </c>
      <c r="N45" s="10" t="str">
        <f t="array" ref="N45">INDEX('Input Kegiatan'!$B$2:$B990,MATCH(F45,'Input Kegiatan'!$A$2:$A990,0))&amp;" ("&amp;J45&amp;")"</f>
        <v>Survei Harga Produsen Gabah (HPG24) Oktober (PENDATAAN)</v>
      </c>
      <c r="O45" s="10" t="e">
        <f t="shared" ca="1" si="5"/>
        <v>#NAME?</v>
      </c>
      <c r="P45" s="10" t="str">
        <f t="array" ref="P45">INDEX('Input Kegiatan'!$C$2:$C990,MATCH($F45,'Input Kegiatan'!$A$2:$A990,0))</f>
        <v>SURVEI</v>
      </c>
      <c r="Q45" s="10" t="str">
        <f t="shared" si="6"/>
        <v>SURVEI-PPL</v>
      </c>
    </row>
    <row r="46" spans="1:17" ht="12.5">
      <c r="A46" s="10" t="str">
        <f t="shared" si="0"/>
        <v>HPG24-LAPANGAN-NOVEMBER-PPL-PENDATAAN</v>
      </c>
      <c r="B46" s="10">
        <f>COUNTIFS('Alokasi Honor'!$I$2:$I990,$A46)</f>
        <v>2</v>
      </c>
      <c r="C46" s="10">
        <f>COUNTIFS('Alokasi Honor'!$I$2:$I990,$A46,'Alokasi Honor'!$U$2:$U990,1)</f>
        <v>0</v>
      </c>
      <c r="D46" s="10">
        <f t="shared" si="1"/>
        <v>0</v>
      </c>
      <c r="E46" s="10">
        <f t="shared" si="2"/>
        <v>1</v>
      </c>
      <c r="F46" s="9" t="s">
        <v>297</v>
      </c>
      <c r="G46" s="9" t="s">
        <v>25</v>
      </c>
      <c r="H46" s="9" t="s">
        <v>164</v>
      </c>
      <c r="I46" s="85">
        <v>50000</v>
      </c>
      <c r="J46" s="9" t="s">
        <v>67</v>
      </c>
      <c r="K46" s="10" t="str">
        <f t="shared" si="3"/>
        <v>HPG24-LAPANGAN-NOVEMBER-PPL</v>
      </c>
      <c r="L46" s="95">
        <v>45616</v>
      </c>
      <c r="M46" s="93">
        <f t="shared" si="4"/>
        <v>45636</v>
      </c>
      <c r="N46" s="10" t="str">
        <f t="array" ref="N46">INDEX('Input Kegiatan'!$B$2:$B990,MATCH(F46,'Input Kegiatan'!$A$2:$A990,0))&amp;" ("&amp;J46&amp;")"</f>
        <v>Survei Harga Produsen Gabah (HPG24) November (PENDATAAN)</v>
      </c>
      <c r="O46" s="10" t="e">
        <f t="shared" ca="1" si="5"/>
        <v>#NAME?</v>
      </c>
      <c r="P46" s="10" t="str">
        <f t="array" ref="P46">INDEX('Input Kegiatan'!$C$2:$C990,MATCH($F46,'Input Kegiatan'!$A$2:$A990,0))</f>
        <v>SURVEI</v>
      </c>
      <c r="Q46" s="10" t="str">
        <f t="shared" si="6"/>
        <v>SURVEI-PPL</v>
      </c>
    </row>
    <row r="47" spans="1:17" ht="12.5">
      <c r="A47" s="10" t="str">
        <f t="shared" si="0"/>
        <v>HPG24-LAPANGAN-DESEMBER-PPL-PENDATAAN</v>
      </c>
      <c r="B47" s="10">
        <f>COUNTIFS('Alokasi Honor'!$I$2:$I990,$A47)</f>
        <v>2</v>
      </c>
      <c r="C47" s="10">
        <f>COUNTIFS('Alokasi Honor'!$I$2:$I990,$A47,'Alokasi Honor'!$U$2:$U990,1)</f>
        <v>0</v>
      </c>
      <c r="D47" s="10">
        <f t="shared" si="1"/>
        <v>0</v>
      </c>
      <c r="E47" s="10">
        <f t="shared" si="2"/>
        <v>1</v>
      </c>
      <c r="F47" s="9" t="s">
        <v>312</v>
      </c>
      <c r="G47" s="9" t="s">
        <v>25</v>
      </c>
      <c r="H47" s="9" t="s">
        <v>164</v>
      </c>
      <c r="I47" s="85">
        <v>50000</v>
      </c>
      <c r="J47" s="9" t="s">
        <v>67</v>
      </c>
      <c r="K47" s="10" t="str">
        <f t="shared" si="3"/>
        <v>HPG24-LAPANGAN-DESEMBER-PPL</v>
      </c>
      <c r="L47" s="95">
        <v>45646</v>
      </c>
      <c r="M47" s="93">
        <f t="shared" si="4"/>
        <v>45666</v>
      </c>
      <c r="N47" s="10" t="str">
        <f t="array" ref="N47">INDEX('Input Kegiatan'!$B$2:$B990,MATCH(F47,'Input Kegiatan'!$A$2:$A990,0))&amp;" ("&amp;J47&amp;")"</f>
        <v>Survei Harga Produsen Gabah (HPG24) Desember (PENDATAAN)</v>
      </c>
      <c r="O47" s="10" t="e">
        <f t="shared" ca="1" si="5"/>
        <v>#NAME?</v>
      </c>
      <c r="P47" s="10" t="str">
        <f t="array" ref="P47">INDEX('Input Kegiatan'!$C$2:$C990,MATCH($F47,'Input Kegiatan'!$A$2:$A990,0))</f>
        <v>SURVEI</v>
      </c>
      <c r="Q47" s="10" t="str">
        <f t="shared" si="6"/>
        <v>SURVEI-PPL</v>
      </c>
    </row>
    <row r="48" spans="1:17" ht="12.5">
      <c r="A48" s="10" t="str">
        <f t="shared" si="0"/>
        <v>SHPB24-LAPANGAN-JANUARI-PPL-PENDATAAN</v>
      </c>
      <c r="B48" s="10">
        <f>COUNTIFS('Alokasi Honor'!$I$2:$I990,$A48)</f>
        <v>1</v>
      </c>
      <c r="C48" s="10">
        <f>COUNTIFS('Alokasi Honor'!$I$2:$I990,$A48,'Alokasi Honor'!$U$2:$U990,1)</f>
        <v>1</v>
      </c>
      <c r="D48" s="10">
        <f t="shared" si="1"/>
        <v>1</v>
      </c>
      <c r="E48" s="10">
        <f t="shared" si="2"/>
        <v>0</v>
      </c>
      <c r="F48" s="96" t="s">
        <v>66</v>
      </c>
      <c r="G48" s="9" t="s">
        <v>25</v>
      </c>
      <c r="H48" s="9" t="s">
        <v>164</v>
      </c>
      <c r="I48" s="85">
        <v>50000</v>
      </c>
      <c r="J48" s="9" t="s">
        <v>67</v>
      </c>
      <c r="K48" s="10" t="str">
        <f t="shared" si="3"/>
        <v>SHPB24-LAPANGAN-JANUARI-PPL</v>
      </c>
      <c r="L48" s="95">
        <v>45311</v>
      </c>
      <c r="M48" s="93">
        <f t="shared" si="4"/>
        <v>45331</v>
      </c>
      <c r="N48" s="10" t="str">
        <f t="array" ref="N48">INDEX('Input Kegiatan'!$B$2:$B990,MATCH(F48,'Input Kegiatan'!$A$2:$A990,0))&amp;" ("&amp;J48&amp;")"</f>
        <v>Survei Harga Perdagangan Besar (SHPB24) Januari (PENDATAAN)</v>
      </c>
      <c r="O48" s="10" t="e">
        <f t="shared" ca="1" si="5"/>
        <v>#NAME?</v>
      </c>
      <c r="P48" s="10" t="str">
        <f t="array" ref="P48">INDEX('Input Kegiatan'!$C$2:$C990,MATCH($F48,'Input Kegiatan'!$A$2:$A990,0))</f>
        <v>SURVEI</v>
      </c>
      <c r="Q48" s="10" t="str">
        <f t="shared" si="6"/>
        <v>SURVEI-PPL</v>
      </c>
    </row>
    <row r="49" spans="1:17" ht="12.5">
      <c r="A49" s="10" t="str">
        <f t="shared" si="0"/>
        <v>SHPB24-LAPANGAN-FEBRUARI-PPL-PENDATAAN</v>
      </c>
      <c r="B49" s="10">
        <f>COUNTIFS('Alokasi Honor'!$I$2:$I990,$A49)</f>
        <v>1</v>
      </c>
      <c r="C49" s="10">
        <f>COUNTIFS('Alokasi Honor'!$I$2:$I990,$A49,'Alokasi Honor'!$U$2:$U990,1)</f>
        <v>1</v>
      </c>
      <c r="D49" s="10">
        <f t="shared" si="1"/>
        <v>1</v>
      </c>
      <c r="E49" s="10">
        <f t="shared" si="2"/>
        <v>0</v>
      </c>
      <c r="F49" s="96" t="s">
        <v>92</v>
      </c>
      <c r="G49" s="9" t="s">
        <v>25</v>
      </c>
      <c r="H49" s="9" t="s">
        <v>164</v>
      </c>
      <c r="I49" s="85">
        <v>50000</v>
      </c>
      <c r="J49" s="9" t="s">
        <v>67</v>
      </c>
      <c r="K49" s="10" t="str">
        <f t="shared" si="3"/>
        <v>SHPB24-LAPANGAN-FEBRUARI-PPL</v>
      </c>
      <c r="L49" s="86">
        <v>45342</v>
      </c>
      <c r="M49" s="87">
        <f t="shared" si="4"/>
        <v>45362</v>
      </c>
      <c r="N49" s="10" t="str">
        <f t="array" ref="N49">INDEX('Input Kegiatan'!$B$2:$B990,MATCH(F49,'Input Kegiatan'!$A$2:$A990,0))&amp;" ("&amp;J49&amp;")"</f>
        <v>Survei Harga Perdagangan Besar (SHPB24) Februari (PENDATAAN)</v>
      </c>
      <c r="O49" s="10" t="e">
        <f t="shared" ca="1" si="5"/>
        <v>#NAME?</v>
      </c>
      <c r="P49" s="10" t="str">
        <f t="array" ref="P49">INDEX('Input Kegiatan'!$C$2:$C990,MATCH($F49,'Input Kegiatan'!$A$2:$A990,0))</f>
        <v>SURVEI</v>
      </c>
      <c r="Q49" s="10" t="str">
        <f t="shared" si="6"/>
        <v>SURVEI-PPL</v>
      </c>
    </row>
    <row r="50" spans="1:17" ht="12.5">
      <c r="A50" s="10" t="str">
        <f t="shared" si="0"/>
        <v>SHPB24-LAPANGAN-MARET-PPL-PENDATAAN</v>
      </c>
      <c r="B50" s="10">
        <f>COUNTIFS('Alokasi Honor'!$I$2:$I990,$A50)</f>
        <v>1</v>
      </c>
      <c r="C50" s="10">
        <f>COUNTIFS('Alokasi Honor'!$I$2:$I990,$A50,'Alokasi Honor'!$U$2:$U990,1)</f>
        <v>1</v>
      </c>
      <c r="D50" s="10">
        <f t="shared" si="1"/>
        <v>1</v>
      </c>
      <c r="E50" s="10">
        <f t="shared" si="2"/>
        <v>0</v>
      </c>
      <c r="F50" s="96" t="s">
        <v>110</v>
      </c>
      <c r="G50" s="9" t="s">
        <v>25</v>
      </c>
      <c r="H50" s="9" t="s">
        <v>164</v>
      </c>
      <c r="I50" s="85">
        <v>50000</v>
      </c>
      <c r="J50" s="9" t="s">
        <v>67</v>
      </c>
      <c r="K50" s="10" t="str">
        <f t="shared" si="3"/>
        <v>SHPB24-LAPANGAN-MARET-PPL</v>
      </c>
      <c r="L50" s="95">
        <v>45371</v>
      </c>
      <c r="M50" s="93">
        <f t="shared" si="4"/>
        <v>45391</v>
      </c>
      <c r="N50" s="10" t="str">
        <f t="array" ref="N50">INDEX('Input Kegiatan'!$B$2:$B990,MATCH(F50,'Input Kegiatan'!$A$2:$A990,0))&amp;" ("&amp;J50&amp;")"</f>
        <v>Survei Harga Perdagangan Besar (SHPB24) Maret (PENDATAAN)</v>
      </c>
      <c r="O50" s="10" t="e">
        <f t="shared" ca="1" si="5"/>
        <v>#NAME?</v>
      </c>
      <c r="P50" s="10" t="str">
        <f t="array" ref="P50">INDEX('Input Kegiatan'!$C$2:$C990,MATCH($F50,'Input Kegiatan'!$A$2:$A990,0))</f>
        <v>SURVEI</v>
      </c>
      <c r="Q50" s="10" t="str">
        <f t="shared" si="6"/>
        <v>SURVEI-PPL</v>
      </c>
    </row>
    <row r="51" spans="1:17" ht="12.5">
      <c r="A51" s="10" t="str">
        <f t="shared" si="0"/>
        <v>SHPB24-LAPANGAN-APRIL-PPL-PENDATAAN</v>
      </c>
      <c r="B51" s="10">
        <f>COUNTIFS('Alokasi Honor'!$I$2:$I990,$A51)</f>
        <v>1</v>
      </c>
      <c r="C51" s="10">
        <f>COUNTIFS('Alokasi Honor'!$I$2:$I990,$A51,'Alokasi Honor'!$U$2:$U990,1)</f>
        <v>1</v>
      </c>
      <c r="D51" s="10">
        <f t="shared" si="1"/>
        <v>1</v>
      </c>
      <c r="E51" s="10">
        <f t="shared" si="2"/>
        <v>0</v>
      </c>
      <c r="F51" s="96" t="s">
        <v>128</v>
      </c>
      <c r="G51" s="9" t="s">
        <v>25</v>
      </c>
      <c r="H51" s="9" t="s">
        <v>164</v>
      </c>
      <c r="I51" s="85">
        <v>50000</v>
      </c>
      <c r="J51" s="9" t="s">
        <v>67</v>
      </c>
      <c r="K51" s="10" t="str">
        <f t="shared" si="3"/>
        <v>SHPB24-LAPANGAN-APRIL-PPL</v>
      </c>
      <c r="L51" s="95">
        <v>45402</v>
      </c>
      <c r="M51" s="93">
        <f t="shared" si="4"/>
        <v>45422</v>
      </c>
      <c r="N51" s="10" t="str">
        <f t="array" ref="N51">INDEX('Input Kegiatan'!$B$2:$B990,MATCH(F51,'Input Kegiatan'!$A$2:$A990,0))&amp;" ("&amp;J51&amp;")"</f>
        <v>Survei Harga Perdagangan Besar (SHPB24) April (PENDATAAN)</v>
      </c>
      <c r="O51" s="10" t="e">
        <f t="shared" ca="1" si="5"/>
        <v>#NAME?</v>
      </c>
      <c r="P51" s="10" t="str">
        <f t="array" ref="P51">INDEX('Input Kegiatan'!$C$2:$C990,MATCH($F51,'Input Kegiatan'!$A$2:$A990,0))</f>
        <v>SURVEI</v>
      </c>
      <c r="Q51" s="10" t="str">
        <f t="shared" si="6"/>
        <v>SURVEI-PPL</v>
      </c>
    </row>
    <row r="52" spans="1:17" ht="12.5">
      <c r="A52" s="10" t="str">
        <f t="shared" si="0"/>
        <v>SHPB24-LAPANGAN-MEI-PPL-PENDATAAN</v>
      </c>
      <c r="B52" s="10">
        <f>COUNTIFS('Alokasi Honor'!$I$2:$I990,$A52)</f>
        <v>1</v>
      </c>
      <c r="C52" s="10">
        <f>COUNTIFS('Alokasi Honor'!$I$2:$I990,$A52,'Alokasi Honor'!$U$2:$U990,1)</f>
        <v>1</v>
      </c>
      <c r="D52" s="10">
        <f t="shared" si="1"/>
        <v>1</v>
      </c>
      <c r="E52" s="10">
        <f t="shared" si="2"/>
        <v>0</v>
      </c>
      <c r="F52" s="96" t="s">
        <v>150</v>
      </c>
      <c r="G52" s="9" t="s">
        <v>25</v>
      </c>
      <c r="H52" s="9" t="s">
        <v>164</v>
      </c>
      <c r="I52" s="85">
        <v>50000</v>
      </c>
      <c r="J52" s="9" t="s">
        <v>67</v>
      </c>
      <c r="K52" s="10" t="str">
        <f t="shared" si="3"/>
        <v>SHPB24-LAPANGAN-MEI-PPL</v>
      </c>
      <c r="L52" s="95">
        <v>45432</v>
      </c>
      <c r="M52" s="93">
        <f t="shared" si="4"/>
        <v>45452</v>
      </c>
      <c r="N52" s="10" t="str">
        <f t="array" ref="N52">INDEX('Input Kegiatan'!$B$2:$B990,MATCH(F52,'Input Kegiatan'!$A$2:$A990,0))&amp;" ("&amp;J52&amp;")"</f>
        <v>Survei Harga Perdagangan Besar (SHPB24) Mei (PENDATAAN)</v>
      </c>
      <c r="O52" s="10" t="e">
        <f t="shared" ca="1" si="5"/>
        <v>#NAME?</v>
      </c>
      <c r="P52" s="10" t="str">
        <f t="array" ref="P52">INDEX('Input Kegiatan'!$C$2:$C990,MATCH($F52,'Input Kegiatan'!$A$2:$A990,0))</f>
        <v>SURVEI</v>
      </c>
      <c r="Q52" s="10" t="str">
        <f t="shared" si="6"/>
        <v>SURVEI-PPL</v>
      </c>
    </row>
    <row r="53" spans="1:17" ht="12.5">
      <c r="A53" s="10" t="str">
        <f t="shared" si="0"/>
        <v>SHPB24-LAPANGAN-JUNI-PPL-PENDATAAN</v>
      </c>
      <c r="B53" s="10">
        <f>COUNTIFS('Alokasi Honor'!$I$2:$I990,$A53)</f>
        <v>1</v>
      </c>
      <c r="C53" s="10">
        <f>COUNTIFS('Alokasi Honor'!$I$2:$I990,$A53,'Alokasi Honor'!$U$2:$U990,1)</f>
        <v>1</v>
      </c>
      <c r="D53" s="10">
        <f t="shared" si="1"/>
        <v>1</v>
      </c>
      <c r="E53" s="10">
        <f t="shared" si="2"/>
        <v>0</v>
      </c>
      <c r="F53" s="96" t="s">
        <v>167</v>
      </c>
      <c r="G53" s="9" t="s">
        <v>25</v>
      </c>
      <c r="H53" s="9" t="s">
        <v>164</v>
      </c>
      <c r="I53" s="85">
        <v>50000</v>
      </c>
      <c r="J53" s="9" t="s">
        <v>67</v>
      </c>
      <c r="K53" s="10" t="str">
        <f t="shared" si="3"/>
        <v>SHPB24-LAPANGAN-JUNI-PPL</v>
      </c>
      <c r="L53" s="95">
        <v>45463</v>
      </c>
      <c r="M53" s="93">
        <f t="shared" si="4"/>
        <v>45483</v>
      </c>
      <c r="N53" s="10" t="str">
        <f t="array" ref="N53">INDEX('Input Kegiatan'!$B$2:$B990,MATCH(F53,'Input Kegiatan'!$A$2:$A990,0))&amp;" ("&amp;J53&amp;")"</f>
        <v>Survei Harga Perdagangan Besar (SHPB24) Juni (PENDATAAN)</v>
      </c>
      <c r="O53" s="10" t="e">
        <f t="shared" ca="1" si="5"/>
        <v>#NAME?</v>
      </c>
      <c r="P53" s="10" t="str">
        <f t="array" ref="P53">INDEX('Input Kegiatan'!$C$2:$C990,MATCH($F53,'Input Kegiatan'!$A$2:$A990,0))</f>
        <v>SURVEI</v>
      </c>
      <c r="Q53" s="10" t="str">
        <f t="shared" si="6"/>
        <v>SURVEI-PPL</v>
      </c>
    </row>
    <row r="54" spans="1:17" ht="12.5">
      <c r="A54" s="10" t="str">
        <f t="shared" si="0"/>
        <v>SHPB24-LAPANGAN-JULI-PPL-PENDATAAN</v>
      </c>
      <c r="B54" s="10">
        <f>COUNTIFS('Alokasi Honor'!$I$2:$I990,$A54)</f>
        <v>1</v>
      </c>
      <c r="C54" s="10">
        <f>COUNTIFS('Alokasi Honor'!$I$2:$I990,$A54,'Alokasi Honor'!$U$2:$U990,1)</f>
        <v>1</v>
      </c>
      <c r="D54" s="10">
        <f t="shared" si="1"/>
        <v>1</v>
      </c>
      <c r="E54" s="10">
        <f t="shared" si="2"/>
        <v>0</v>
      </c>
      <c r="F54" s="96" t="s">
        <v>190</v>
      </c>
      <c r="G54" s="9" t="s">
        <v>25</v>
      </c>
      <c r="H54" s="9" t="s">
        <v>164</v>
      </c>
      <c r="I54" s="85">
        <v>50000</v>
      </c>
      <c r="J54" s="9" t="s">
        <v>67</v>
      </c>
      <c r="K54" s="10" t="str">
        <f t="shared" si="3"/>
        <v>SHPB24-LAPANGAN-JULI-PPL</v>
      </c>
      <c r="L54" s="95">
        <v>45493</v>
      </c>
      <c r="M54" s="93">
        <f t="shared" si="4"/>
        <v>45513</v>
      </c>
      <c r="N54" s="10" t="str">
        <f t="array" ref="N54">INDEX('Input Kegiatan'!$B$2:$B990,MATCH(F54,'Input Kegiatan'!$A$2:$A990,0))&amp;" ("&amp;J54&amp;")"</f>
        <v>Survei Harga Perdagangan Besar (SHPB24) Juli (PENDATAAN)</v>
      </c>
      <c r="O54" s="10" t="e">
        <f t="shared" ca="1" si="5"/>
        <v>#NAME?</v>
      </c>
      <c r="P54" s="10" t="str">
        <f t="array" ref="P54">INDEX('Input Kegiatan'!$C$2:$C990,MATCH($F54,'Input Kegiatan'!$A$2:$A990,0))</f>
        <v>SURVEI</v>
      </c>
      <c r="Q54" s="10" t="str">
        <f t="shared" si="6"/>
        <v>SURVEI-PPL</v>
      </c>
    </row>
    <row r="55" spans="1:17" ht="12.5">
      <c r="A55" s="10" t="str">
        <f t="shared" si="0"/>
        <v>SHPB24-LAPANGAN-AGUSTUS-PPL-PENDATAAN</v>
      </c>
      <c r="B55" s="10">
        <f>COUNTIFS('Alokasi Honor'!$I$2:$I990,$A55)</f>
        <v>1</v>
      </c>
      <c r="C55" s="10">
        <f>COUNTIFS('Alokasi Honor'!$I$2:$I990,$A55,'Alokasi Honor'!$U$2:$U990,1)</f>
        <v>0</v>
      </c>
      <c r="D55" s="10">
        <f t="shared" si="1"/>
        <v>0</v>
      </c>
      <c r="E55" s="10">
        <f t="shared" si="2"/>
        <v>1</v>
      </c>
      <c r="F55" s="96" t="s">
        <v>214</v>
      </c>
      <c r="G55" s="9" t="s">
        <v>25</v>
      </c>
      <c r="H55" s="9" t="s">
        <v>164</v>
      </c>
      <c r="I55" s="85">
        <v>50000</v>
      </c>
      <c r="J55" s="9" t="s">
        <v>67</v>
      </c>
      <c r="K55" s="10" t="str">
        <f t="shared" si="3"/>
        <v>SHPB24-LAPANGAN-AGUSTUS-PPL</v>
      </c>
      <c r="L55" s="95">
        <v>45524</v>
      </c>
      <c r="M55" s="93">
        <f t="shared" si="4"/>
        <v>45544</v>
      </c>
      <c r="N55" s="10" t="str">
        <f t="array" ref="N55">INDEX('Input Kegiatan'!$B$2:$B990,MATCH(F55,'Input Kegiatan'!$A$2:$A990,0))&amp;" ("&amp;J55&amp;")"</f>
        <v>Survei Harga Perdagangan Besar (SHPB24) Agustus (PENDATAAN)</v>
      </c>
      <c r="O55" s="10" t="e">
        <f t="shared" ca="1" si="5"/>
        <v>#NAME?</v>
      </c>
      <c r="P55" s="10" t="str">
        <f t="array" ref="P55">INDEX('Input Kegiatan'!$C$2:$C990,MATCH($F55,'Input Kegiatan'!$A$2:$A990,0))</f>
        <v>SURVEI</v>
      </c>
      <c r="Q55" s="10" t="str">
        <f t="shared" si="6"/>
        <v>SURVEI-PPL</v>
      </c>
    </row>
    <row r="56" spans="1:17" ht="12.5">
      <c r="A56" s="10" t="str">
        <f t="shared" si="0"/>
        <v>SHPB24-LAPANGAN-SEPTEMBER-PPL-PENDATAAN</v>
      </c>
      <c r="B56" s="10">
        <f>COUNTIFS('Alokasi Honor'!$I$2:$I990,$A56)</f>
        <v>1</v>
      </c>
      <c r="C56" s="10">
        <f>COUNTIFS('Alokasi Honor'!$I$2:$I990,$A56,'Alokasi Honor'!$U$2:$U990,1)</f>
        <v>0</v>
      </c>
      <c r="D56" s="10">
        <f t="shared" si="1"/>
        <v>0</v>
      </c>
      <c r="E56" s="10">
        <f t="shared" si="2"/>
        <v>1</v>
      </c>
      <c r="F56" s="96" t="s">
        <v>251</v>
      </c>
      <c r="G56" s="9" t="s">
        <v>25</v>
      </c>
      <c r="H56" s="9" t="s">
        <v>164</v>
      </c>
      <c r="I56" s="85">
        <v>50000</v>
      </c>
      <c r="J56" s="9" t="s">
        <v>67</v>
      </c>
      <c r="K56" s="10" t="str">
        <f t="shared" si="3"/>
        <v>SHPB24-LAPANGAN-SEPTEMBER-PPL</v>
      </c>
      <c r="L56" s="95">
        <v>45555</v>
      </c>
      <c r="M56" s="93">
        <f t="shared" si="4"/>
        <v>45575</v>
      </c>
      <c r="N56" s="10" t="str">
        <f t="array" ref="N56">INDEX('Input Kegiatan'!$B$2:$B990,MATCH(F56,'Input Kegiatan'!$A$2:$A990,0))&amp;" ("&amp;J56&amp;")"</f>
        <v>Survei Harga Perdagangan Besar (SHPB24) September (PENDATAAN)</v>
      </c>
      <c r="O56" s="10" t="e">
        <f t="shared" ca="1" si="5"/>
        <v>#NAME?</v>
      </c>
      <c r="P56" s="10" t="str">
        <f t="array" ref="P56">INDEX('Input Kegiatan'!$C$2:$C990,MATCH($F56,'Input Kegiatan'!$A$2:$A990,0))</f>
        <v>SURVEI</v>
      </c>
      <c r="Q56" s="10" t="str">
        <f t="shared" si="6"/>
        <v>SURVEI-PPL</v>
      </c>
    </row>
    <row r="57" spans="1:17" ht="12.5">
      <c r="A57" s="10" t="str">
        <f t="shared" si="0"/>
        <v>SHPB24-LAPANGAN-OKTOBER-PPL-PENDATAAN</v>
      </c>
      <c r="B57" s="10">
        <f>COUNTIFS('Alokasi Honor'!$I$2:$I990,$A57)</f>
        <v>1</v>
      </c>
      <c r="C57" s="10">
        <f>COUNTIFS('Alokasi Honor'!$I$2:$I990,$A57,'Alokasi Honor'!$U$2:$U990,1)</f>
        <v>0</v>
      </c>
      <c r="D57" s="10">
        <f t="shared" si="1"/>
        <v>0</v>
      </c>
      <c r="E57" s="10">
        <f t="shared" si="2"/>
        <v>1</v>
      </c>
      <c r="F57" s="96" t="s">
        <v>275</v>
      </c>
      <c r="G57" s="9" t="s">
        <v>25</v>
      </c>
      <c r="H57" s="9" t="s">
        <v>164</v>
      </c>
      <c r="I57" s="85">
        <v>50000</v>
      </c>
      <c r="J57" s="9" t="s">
        <v>67</v>
      </c>
      <c r="K57" s="10" t="str">
        <f t="shared" si="3"/>
        <v>SHPB24-LAPANGAN-OKTOBER-PPL</v>
      </c>
      <c r="L57" s="95">
        <v>45585</v>
      </c>
      <c r="M57" s="93">
        <f t="shared" si="4"/>
        <v>45605</v>
      </c>
      <c r="N57" s="10" t="str">
        <f t="array" ref="N57">INDEX('Input Kegiatan'!$B$2:$B990,MATCH(F57,'Input Kegiatan'!$A$2:$A990,0))&amp;" ("&amp;J57&amp;")"</f>
        <v>Survei Harga Perdagangan Besar (SHPB24) Oktober (PENDATAAN)</v>
      </c>
      <c r="O57" s="10" t="e">
        <f t="shared" ca="1" si="5"/>
        <v>#NAME?</v>
      </c>
      <c r="P57" s="10" t="str">
        <f t="array" ref="P57">INDEX('Input Kegiatan'!$C$2:$C990,MATCH($F57,'Input Kegiatan'!$A$2:$A990,0))</f>
        <v>SURVEI</v>
      </c>
      <c r="Q57" s="10" t="str">
        <f t="shared" si="6"/>
        <v>SURVEI-PPL</v>
      </c>
    </row>
    <row r="58" spans="1:17" ht="12.5">
      <c r="A58" s="10" t="str">
        <f t="shared" si="0"/>
        <v>SHPB24-LAPANGAN-NOVEMBER-PPL-PENDATAAN</v>
      </c>
      <c r="B58" s="10">
        <f>COUNTIFS('Alokasi Honor'!$I$2:$I990,$A58)</f>
        <v>1</v>
      </c>
      <c r="C58" s="10">
        <f>COUNTIFS('Alokasi Honor'!$I$2:$I990,$A58,'Alokasi Honor'!$U$2:$U990,1)</f>
        <v>0</v>
      </c>
      <c r="D58" s="10">
        <f t="shared" si="1"/>
        <v>0</v>
      </c>
      <c r="E58" s="10">
        <f t="shared" si="2"/>
        <v>1</v>
      </c>
      <c r="F58" s="96" t="s">
        <v>295</v>
      </c>
      <c r="G58" s="9" t="s">
        <v>25</v>
      </c>
      <c r="H58" s="9" t="s">
        <v>164</v>
      </c>
      <c r="I58" s="85">
        <v>50000</v>
      </c>
      <c r="J58" s="9" t="s">
        <v>67</v>
      </c>
      <c r="K58" s="10" t="str">
        <f t="shared" si="3"/>
        <v>SHPB24-LAPANGAN-NOVEMBER-PPL</v>
      </c>
      <c r="L58" s="95">
        <v>45616</v>
      </c>
      <c r="M58" s="93">
        <f t="shared" si="4"/>
        <v>45636</v>
      </c>
      <c r="N58" s="10" t="str">
        <f t="array" ref="N58">INDEX('Input Kegiatan'!$B$2:$B990,MATCH(F58,'Input Kegiatan'!$A$2:$A990,0))&amp;" ("&amp;J58&amp;")"</f>
        <v>Survei Harga Perdagangan Besar (SHPB24) November (PENDATAAN)</v>
      </c>
      <c r="O58" s="10" t="e">
        <f t="shared" ca="1" si="5"/>
        <v>#NAME?</v>
      </c>
      <c r="P58" s="10" t="str">
        <f t="array" ref="P58">INDEX('Input Kegiatan'!$C$2:$C990,MATCH($F58,'Input Kegiatan'!$A$2:$A990,0))</f>
        <v>SURVEI</v>
      </c>
      <c r="Q58" s="10" t="str">
        <f t="shared" si="6"/>
        <v>SURVEI-PPL</v>
      </c>
    </row>
    <row r="59" spans="1:17" ht="12.5">
      <c r="A59" s="10" t="str">
        <f t="shared" si="0"/>
        <v>SHPB24-LAPANGAN-DESEMBER-PPL-PENDATAAN</v>
      </c>
      <c r="B59" s="10">
        <f>COUNTIFS('Alokasi Honor'!$I$2:$I990,$A59)</f>
        <v>1</v>
      </c>
      <c r="C59" s="10">
        <f>COUNTIFS('Alokasi Honor'!$I$2:$I990,$A59,'Alokasi Honor'!$U$2:$U990,1)</f>
        <v>0</v>
      </c>
      <c r="D59" s="10">
        <f t="shared" si="1"/>
        <v>0</v>
      </c>
      <c r="E59" s="10">
        <f t="shared" si="2"/>
        <v>1</v>
      </c>
      <c r="F59" s="96" t="s">
        <v>310</v>
      </c>
      <c r="G59" s="9" t="s">
        <v>25</v>
      </c>
      <c r="H59" s="9" t="s">
        <v>164</v>
      </c>
      <c r="I59" s="85">
        <v>50000</v>
      </c>
      <c r="J59" s="9" t="s">
        <v>67</v>
      </c>
      <c r="K59" s="10" t="str">
        <f t="shared" si="3"/>
        <v>SHPB24-LAPANGAN-DESEMBER-PPL</v>
      </c>
      <c r="L59" s="95">
        <v>45646</v>
      </c>
      <c r="M59" s="93">
        <f t="shared" si="4"/>
        <v>45666</v>
      </c>
      <c r="N59" s="10" t="str">
        <f t="array" ref="N59">INDEX('Input Kegiatan'!$B$2:$B990,MATCH(F59,'Input Kegiatan'!$A$2:$A990,0))&amp;" ("&amp;J59&amp;")"</f>
        <v>Survei Harga Perdagangan Besar (SHPB24) Desember (PENDATAAN)</v>
      </c>
      <c r="O59" s="10" t="e">
        <f t="shared" ca="1" si="5"/>
        <v>#NAME?</v>
      </c>
      <c r="P59" s="10" t="str">
        <f t="array" ref="P59">INDEX('Input Kegiatan'!$C$2:$C990,MATCH($F59,'Input Kegiatan'!$A$2:$A990,0))</f>
        <v>SURVEI</v>
      </c>
      <c r="Q59" s="10" t="str">
        <f t="shared" si="6"/>
        <v>SURVEI-PPL</v>
      </c>
    </row>
    <row r="60" spans="1:17" ht="12.5">
      <c r="A60" s="10" t="str">
        <f t="shared" si="0"/>
        <v>SHKK24-LAPANGAN-JANUARI-PPL-PENDATAAN</v>
      </c>
      <c r="B60" s="10">
        <f>COUNTIFS('Alokasi Honor'!$I$2:$I990,$A60)</f>
        <v>4</v>
      </c>
      <c r="C60" s="10">
        <f>COUNTIFS('Alokasi Honor'!$I$2:$I990,$A60,'Alokasi Honor'!$U$2:$U990,1)</f>
        <v>4</v>
      </c>
      <c r="D60" s="10">
        <f t="shared" si="1"/>
        <v>1</v>
      </c>
      <c r="E60" s="10">
        <f t="shared" si="2"/>
        <v>0</v>
      </c>
      <c r="F60" s="96" t="s">
        <v>82</v>
      </c>
      <c r="G60" s="9" t="s">
        <v>25</v>
      </c>
      <c r="H60" s="9" t="s">
        <v>164</v>
      </c>
      <c r="I60" s="85">
        <v>60000</v>
      </c>
      <c r="J60" s="9" t="s">
        <v>67</v>
      </c>
      <c r="K60" s="10" t="str">
        <f t="shared" si="3"/>
        <v>SHKK24-LAPANGAN-JANUARI-PPL</v>
      </c>
      <c r="L60" s="95">
        <v>45311</v>
      </c>
      <c r="M60" s="93">
        <f t="shared" si="4"/>
        <v>45331</v>
      </c>
      <c r="N60" s="10" t="str">
        <f t="array" ref="N60">INDEX('Input Kegiatan'!$B$2:$B990,MATCH(F60,'Input Kegiatan'!$A$2:$A990,0))&amp;" ("&amp;J60&amp;")"</f>
        <v>Survei Harga Kemahalan Konstruksi (SHKK24) Januari (PENDATAAN)</v>
      </c>
      <c r="O60" s="10" t="e">
        <f t="shared" ca="1" si="5"/>
        <v>#NAME?</v>
      </c>
      <c r="P60" s="10" t="str">
        <f t="array" ref="P60">INDEX('Input Kegiatan'!$C$2:$C990,MATCH($F60,'Input Kegiatan'!$A$2:$A990,0))</f>
        <v>SURVEI</v>
      </c>
      <c r="Q60" s="10" t="str">
        <f t="shared" si="6"/>
        <v>SURVEI-PPL</v>
      </c>
    </row>
    <row r="61" spans="1:17" ht="12.5">
      <c r="A61" s="10" t="str">
        <f t="shared" si="0"/>
        <v>SHKK24-LAPANGAN-APRIL-PPL-PENDATAAN</v>
      </c>
      <c r="B61" s="10">
        <f>COUNTIFS('Alokasi Honor'!$I$2:$I990,$A61)</f>
        <v>4</v>
      </c>
      <c r="C61" s="10">
        <f>COUNTIFS('Alokasi Honor'!$I$2:$I990,$A61,'Alokasi Honor'!$U$2:$U990,1)</f>
        <v>4</v>
      </c>
      <c r="D61" s="10">
        <f t="shared" si="1"/>
        <v>1</v>
      </c>
      <c r="E61" s="10">
        <f t="shared" si="2"/>
        <v>0</v>
      </c>
      <c r="F61" s="96" t="s">
        <v>132</v>
      </c>
      <c r="G61" s="9" t="s">
        <v>25</v>
      </c>
      <c r="H61" s="9" t="s">
        <v>164</v>
      </c>
      <c r="I61" s="85">
        <v>60000</v>
      </c>
      <c r="J61" s="9" t="s">
        <v>67</v>
      </c>
      <c r="K61" s="10" t="str">
        <f t="shared" si="3"/>
        <v>SHKK24-LAPANGAN-APRIL-PPL</v>
      </c>
      <c r="L61" s="95">
        <v>45402</v>
      </c>
      <c r="M61" s="93">
        <f t="shared" si="4"/>
        <v>45422</v>
      </c>
      <c r="N61" s="10" t="str">
        <f t="array" ref="N61">INDEX('Input Kegiatan'!$B$2:$B990,MATCH(F61,'Input Kegiatan'!$A$2:$A990,0))&amp;" ("&amp;J61&amp;")"</f>
        <v>Survei Harga Kemahalan Konstruksi (SHKK24) April (PENDATAAN)</v>
      </c>
      <c r="O61" s="10" t="e">
        <f t="shared" ca="1" si="5"/>
        <v>#NAME?</v>
      </c>
      <c r="P61" s="10" t="str">
        <f t="array" ref="P61">INDEX('Input Kegiatan'!$C$2:$C990,MATCH($F61,'Input Kegiatan'!$A$2:$A990,0))</f>
        <v>SURVEI</v>
      </c>
      <c r="Q61" s="10" t="str">
        <f t="shared" si="6"/>
        <v>SURVEI-PPL</v>
      </c>
    </row>
    <row r="62" spans="1:17" ht="12.5">
      <c r="A62" s="10" t="str">
        <f t="shared" si="0"/>
        <v>SHKK24-LAPANGAN-JULI-PPL-PENDATAAN</v>
      </c>
      <c r="B62" s="10">
        <f>COUNTIFS('Alokasi Honor'!$I$2:$I990,$A62)</f>
        <v>4</v>
      </c>
      <c r="C62" s="10">
        <f>COUNTIFS('Alokasi Honor'!$I$2:$I990,$A62,'Alokasi Honor'!$U$2:$U990,1)</f>
        <v>4</v>
      </c>
      <c r="D62" s="10">
        <f t="shared" si="1"/>
        <v>1</v>
      </c>
      <c r="E62" s="10">
        <f t="shared" si="2"/>
        <v>0</v>
      </c>
      <c r="F62" s="96" t="s">
        <v>194</v>
      </c>
      <c r="G62" s="9" t="s">
        <v>25</v>
      </c>
      <c r="H62" s="9" t="s">
        <v>164</v>
      </c>
      <c r="I62" s="85">
        <v>60000</v>
      </c>
      <c r="J62" s="9" t="s">
        <v>67</v>
      </c>
      <c r="K62" s="10" t="str">
        <f t="shared" si="3"/>
        <v>SHKK24-LAPANGAN-JULI-PPL</v>
      </c>
      <c r="L62" s="95">
        <v>45493</v>
      </c>
      <c r="M62" s="93">
        <f t="shared" si="4"/>
        <v>45513</v>
      </c>
      <c r="N62" s="10" t="str">
        <f t="array" ref="N62">INDEX('Input Kegiatan'!$B$2:$B990,MATCH(F62,'Input Kegiatan'!$A$2:$A990,0))&amp;" ("&amp;J62&amp;")"</f>
        <v>Survei Harga Kemahalan Konstruksi (SHKK24) Juli (PENDATAAN)</v>
      </c>
      <c r="O62" s="10" t="e">
        <f t="shared" ca="1" si="5"/>
        <v>#NAME?</v>
      </c>
      <c r="P62" s="10" t="str">
        <f t="array" ref="P62">INDEX('Input Kegiatan'!$C$2:$C990,MATCH($F62,'Input Kegiatan'!$A$2:$A990,0))</f>
        <v>SURVEI</v>
      </c>
      <c r="Q62" s="10" t="str">
        <f t="shared" si="6"/>
        <v>SURVEI-PPL</v>
      </c>
    </row>
    <row r="63" spans="1:17" ht="12.5">
      <c r="A63" s="10" t="str">
        <f t="shared" si="0"/>
        <v>SHKK24-LAPANGAN-OKTOBER-PPL-PENDATAAN</v>
      </c>
      <c r="B63" s="10">
        <f>COUNTIFS('Alokasi Honor'!$I$2:$I990,$A63)</f>
        <v>4</v>
      </c>
      <c r="C63" s="10">
        <f>COUNTIFS('Alokasi Honor'!$I$2:$I990,$A63,'Alokasi Honor'!$U$2:$U990,1)</f>
        <v>0</v>
      </c>
      <c r="D63" s="10">
        <f t="shared" si="1"/>
        <v>0</v>
      </c>
      <c r="E63" s="10">
        <f t="shared" si="2"/>
        <v>1</v>
      </c>
      <c r="F63" s="96" t="s">
        <v>279</v>
      </c>
      <c r="G63" s="9" t="s">
        <v>25</v>
      </c>
      <c r="H63" s="9" t="s">
        <v>164</v>
      </c>
      <c r="I63" s="85">
        <v>60000</v>
      </c>
      <c r="J63" s="9" t="s">
        <v>67</v>
      </c>
      <c r="K63" s="10" t="str">
        <f t="shared" si="3"/>
        <v>SHKK24-LAPANGAN-OKTOBER-PPL</v>
      </c>
      <c r="L63" s="95">
        <v>45585</v>
      </c>
      <c r="M63" s="93">
        <f t="shared" si="4"/>
        <v>45605</v>
      </c>
      <c r="N63" s="10" t="str">
        <f t="array" ref="N63">INDEX('Input Kegiatan'!$B$2:$B990,MATCH(F63,'Input Kegiatan'!$A$2:$A990,0))&amp;" ("&amp;J63&amp;")"</f>
        <v>Survei Harga Kemahalan Konstruksi (SHKK24) Oktober (PENDATAAN)</v>
      </c>
      <c r="O63" s="10" t="e">
        <f t="shared" ca="1" si="5"/>
        <v>#NAME?</v>
      </c>
      <c r="P63" s="10" t="str">
        <f t="array" ref="P63">INDEX('Input Kegiatan'!$C$2:$C990,MATCH($F63,'Input Kegiatan'!$A$2:$A990,0))</f>
        <v>SURVEI</v>
      </c>
      <c r="Q63" s="10" t="str">
        <f t="shared" si="6"/>
        <v>SURVEI-PPL</v>
      </c>
    </row>
    <row r="64" spans="1:17" ht="12.5">
      <c r="A64" s="10" t="str">
        <f t="shared" si="0"/>
        <v>SHPED24-LAPANGAN-JANUARI-PPL-PENDATAAN KONSUMEN</v>
      </c>
      <c r="B64" s="10">
        <f>COUNTIFS('Alokasi Honor'!$I$2:$I990,$A64)</f>
        <v>2</v>
      </c>
      <c r="C64" s="10">
        <f>COUNTIFS('Alokasi Honor'!$I$2:$I990,$A64,'Alokasi Honor'!$U$2:$U990,1)</f>
        <v>2</v>
      </c>
      <c r="D64" s="10">
        <f t="shared" si="1"/>
        <v>1</v>
      </c>
      <c r="E64" s="10">
        <f t="shared" si="2"/>
        <v>0</v>
      </c>
      <c r="F64" s="96" t="s">
        <v>71</v>
      </c>
      <c r="G64" s="9" t="s">
        <v>25</v>
      </c>
      <c r="H64" s="9" t="s">
        <v>164</v>
      </c>
      <c r="I64" s="85">
        <v>65000</v>
      </c>
      <c r="J64" s="9" t="s">
        <v>72</v>
      </c>
      <c r="K64" s="10" t="str">
        <f t="shared" si="3"/>
        <v>SHPED24-LAPANGAN-JANUARI-PPL</v>
      </c>
      <c r="L64" s="95">
        <v>45311</v>
      </c>
      <c r="M64" s="93">
        <f t="shared" si="4"/>
        <v>45331</v>
      </c>
      <c r="N64" s="10" t="str">
        <f t="array" ref="N64">INDEX('Input Kegiatan'!$B$2:$B990,MATCH(F64,'Input Kegiatan'!$A$2:$A990,0))&amp;" ("&amp;J64&amp;")"</f>
        <v>Survei Harga Perdesaan (SHPED24) Januari (PENDATAAN KONSUMEN)</v>
      </c>
      <c r="O64" s="10" t="e">
        <f t="shared" ca="1" si="5"/>
        <v>#NAME?</v>
      </c>
      <c r="P64" s="10" t="str">
        <f t="array" ref="P64">INDEX('Input Kegiatan'!$C$2:$C990,MATCH($F64,'Input Kegiatan'!$A$2:$A990,0))</f>
        <v>SURVEI</v>
      </c>
      <c r="Q64" s="10" t="str">
        <f t="shared" si="6"/>
        <v>SURVEI-PPL</v>
      </c>
    </row>
    <row r="65" spans="1:17" ht="12.5">
      <c r="A65" s="10" t="str">
        <f t="shared" si="0"/>
        <v>SHPED24-LAPANGAN-FEBRUARI-PPL-PENDATAAN KONSUMEN</v>
      </c>
      <c r="B65" s="10">
        <f>COUNTIFS('Alokasi Honor'!$I$2:$I990,$A65)</f>
        <v>2</v>
      </c>
      <c r="C65" s="10">
        <f>COUNTIFS('Alokasi Honor'!$I$2:$I990,$A65,'Alokasi Honor'!$U$2:$U990,1)</f>
        <v>2</v>
      </c>
      <c r="D65" s="10">
        <f t="shared" si="1"/>
        <v>1</v>
      </c>
      <c r="E65" s="10">
        <f t="shared" si="2"/>
        <v>0</v>
      </c>
      <c r="F65" s="96" t="s">
        <v>96</v>
      </c>
      <c r="G65" s="9" t="s">
        <v>25</v>
      </c>
      <c r="H65" s="9" t="s">
        <v>164</v>
      </c>
      <c r="I65" s="85">
        <v>65000</v>
      </c>
      <c r="J65" s="9" t="s">
        <v>72</v>
      </c>
      <c r="K65" s="10" t="str">
        <f t="shared" si="3"/>
        <v>SHPED24-LAPANGAN-FEBRUARI-PPL</v>
      </c>
      <c r="L65" s="86">
        <v>45342</v>
      </c>
      <c r="M65" s="87">
        <f t="shared" si="4"/>
        <v>45362</v>
      </c>
      <c r="N65" s="10" t="str">
        <f t="array" ref="N65">INDEX('Input Kegiatan'!$B$2:$B990,MATCH(F65,'Input Kegiatan'!$A$2:$A990,0))&amp;" ("&amp;J65&amp;")"</f>
        <v>Survei Harga Perdesaan (SHPED24) Februari (PENDATAAN KONSUMEN)</v>
      </c>
      <c r="O65" s="10" t="e">
        <f t="shared" ca="1" si="5"/>
        <v>#NAME?</v>
      </c>
      <c r="P65" s="10" t="str">
        <f t="array" ref="P65">INDEX('Input Kegiatan'!$C$2:$C990,MATCH($F65,'Input Kegiatan'!$A$2:$A990,0))</f>
        <v>SURVEI</v>
      </c>
      <c r="Q65" s="10" t="str">
        <f t="shared" si="6"/>
        <v>SURVEI-PPL</v>
      </c>
    </row>
    <row r="66" spans="1:17" ht="12.5">
      <c r="A66" s="10" t="str">
        <f t="shared" si="0"/>
        <v>SHPED24-LAPANGAN-MARET-PPL-PENDATAAN KONSUMEN</v>
      </c>
      <c r="B66" s="10">
        <f>COUNTIFS('Alokasi Honor'!$I$2:$I990,$A66)</f>
        <v>2</v>
      </c>
      <c r="C66" s="10">
        <f>COUNTIFS('Alokasi Honor'!$I$2:$I990,$A66,'Alokasi Honor'!$U$2:$U990,1)</f>
        <v>2</v>
      </c>
      <c r="D66" s="10">
        <f t="shared" si="1"/>
        <v>1</v>
      </c>
      <c r="E66" s="10">
        <f t="shared" si="2"/>
        <v>0</v>
      </c>
      <c r="F66" s="96" t="s">
        <v>114</v>
      </c>
      <c r="G66" s="9" t="s">
        <v>25</v>
      </c>
      <c r="H66" s="9" t="s">
        <v>164</v>
      </c>
      <c r="I66" s="85">
        <v>65000</v>
      </c>
      <c r="J66" s="9" t="s">
        <v>72</v>
      </c>
      <c r="K66" s="10" t="str">
        <f t="shared" si="3"/>
        <v>SHPED24-LAPANGAN-MARET-PPL</v>
      </c>
      <c r="L66" s="95">
        <v>45371</v>
      </c>
      <c r="M66" s="93">
        <f t="shared" si="4"/>
        <v>45391</v>
      </c>
      <c r="N66" s="10" t="str">
        <f t="array" ref="N66">INDEX('Input Kegiatan'!$B$2:$B990,MATCH(F66,'Input Kegiatan'!$A$2:$A990,0))&amp;" ("&amp;J66&amp;")"</f>
        <v>Survei Harga Perdesaan (SHPED24) Maret (PENDATAAN KONSUMEN)</v>
      </c>
      <c r="O66" s="10" t="e">
        <f t="shared" ca="1" si="5"/>
        <v>#NAME?</v>
      </c>
      <c r="P66" s="10" t="str">
        <f t="array" ref="P66">INDEX('Input Kegiatan'!$C$2:$C990,MATCH($F66,'Input Kegiatan'!$A$2:$A990,0))</f>
        <v>SURVEI</v>
      </c>
      <c r="Q66" s="10" t="str">
        <f t="shared" si="6"/>
        <v>SURVEI-PPL</v>
      </c>
    </row>
    <row r="67" spans="1:17" ht="12.5">
      <c r="A67" s="10" t="str">
        <f t="shared" si="0"/>
        <v>SHPED24-LAPANGAN-APRIL-PPL-PENDATAAN KONSUMEN</v>
      </c>
      <c r="B67" s="10">
        <f>COUNTIFS('Alokasi Honor'!$I$2:$I990,$A67)</f>
        <v>2</v>
      </c>
      <c r="C67" s="10">
        <f>COUNTIFS('Alokasi Honor'!$I$2:$I990,$A67,'Alokasi Honor'!$U$2:$U990,1)</f>
        <v>2</v>
      </c>
      <c r="D67" s="10">
        <f t="shared" si="1"/>
        <v>1</v>
      </c>
      <c r="E67" s="10">
        <f t="shared" si="2"/>
        <v>0</v>
      </c>
      <c r="F67" s="96" t="s">
        <v>134</v>
      </c>
      <c r="G67" s="9" t="s">
        <v>25</v>
      </c>
      <c r="H67" s="9" t="s">
        <v>164</v>
      </c>
      <c r="I67" s="85">
        <v>65000</v>
      </c>
      <c r="J67" s="9" t="s">
        <v>72</v>
      </c>
      <c r="K67" s="10" t="str">
        <f t="shared" si="3"/>
        <v>SHPED24-LAPANGAN-APRIL-PPL</v>
      </c>
      <c r="L67" s="95">
        <v>45402</v>
      </c>
      <c r="M67" s="93">
        <f t="shared" si="4"/>
        <v>45422</v>
      </c>
      <c r="N67" s="10" t="str">
        <f t="array" ref="N67">INDEX('Input Kegiatan'!$B$2:$B990,MATCH(F67,'Input Kegiatan'!$A$2:$A990,0))&amp;" ("&amp;J67&amp;")"</f>
        <v>Survei Harga Perdesaan (SHPED24) April (PENDATAAN KONSUMEN)</v>
      </c>
      <c r="O67" s="10" t="e">
        <f t="shared" ca="1" si="5"/>
        <v>#NAME?</v>
      </c>
      <c r="P67" s="10" t="str">
        <f t="array" ref="P67">INDEX('Input Kegiatan'!$C$2:$C990,MATCH($F67,'Input Kegiatan'!$A$2:$A990,0))</f>
        <v>SURVEI</v>
      </c>
      <c r="Q67" s="10" t="str">
        <f t="shared" si="6"/>
        <v>SURVEI-PPL</v>
      </c>
    </row>
    <row r="68" spans="1:17" ht="12.5">
      <c r="A68" s="10" t="str">
        <f t="shared" si="0"/>
        <v>SHPED24-LAPANGAN-MEI-PPL-PENDATAAN KONSUMEN</v>
      </c>
      <c r="B68" s="10">
        <f>COUNTIFS('Alokasi Honor'!$I$2:$I990,$A68)</f>
        <v>2</v>
      </c>
      <c r="C68" s="10">
        <f>COUNTIFS('Alokasi Honor'!$I$2:$I990,$A68,'Alokasi Honor'!$U$2:$U990,1)</f>
        <v>2</v>
      </c>
      <c r="D68" s="10">
        <f t="shared" si="1"/>
        <v>1</v>
      </c>
      <c r="E68" s="10">
        <f t="shared" si="2"/>
        <v>0</v>
      </c>
      <c r="F68" s="96" t="s">
        <v>154</v>
      </c>
      <c r="G68" s="9" t="s">
        <v>25</v>
      </c>
      <c r="H68" s="9" t="s">
        <v>164</v>
      </c>
      <c r="I68" s="85">
        <v>65000</v>
      </c>
      <c r="J68" s="9" t="s">
        <v>72</v>
      </c>
      <c r="K68" s="10" t="str">
        <f t="shared" si="3"/>
        <v>SHPED24-LAPANGAN-MEI-PPL</v>
      </c>
      <c r="L68" s="95">
        <v>45432</v>
      </c>
      <c r="M68" s="93">
        <f t="shared" si="4"/>
        <v>45452</v>
      </c>
      <c r="N68" s="10" t="str">
        <f t="array" ref="N68">INDEX('Input Kegiatan'!$B$2:$B990,MATCH(F68,'Input Kegiatan'!$A$2:$A990,0))&amp;" ("&amp;J68&amp;")"</f>
        <v>Survei Harga Perdesaan (SHPED24) Mei (PENDATAAN KONSUMEN)</v>
      </c>
      <c r="O68" s="10" t="e">
        <f t="shared" ca="1" si="5"/>
        <v>#NAME?</v>
      </c>
      <c r="P68" s="10" t="str">
        <f t="array" ref="P68">INDEX('Input Kegiatan'!$C$2:$C990,MATCH($F68,'Input Kegiatan'!$A$2:$A990,0))</f>
        <v>SURVEI</v>
      </c>
      <c r="Q68" s="10" t="str">
        <f t="shared" si="6"/>
        <v>SURVEI-PPL</v>
      </c>
    </row>
    <row r="69" spans="1:17" ht="12.5">
      <c r="A69" s="10" t="str">
        <f t="shared" si="0"/>
        <v>SHPED24-LAPANGAN-JUNI-PPL-PENDATAAN KONSUMEN</v>
      </c>
      <c r="B69" s="10">
        <f>COUNTIFS('Alokasi Honor'!$I$2:$I990,$A69)</f>
        <v>2</v>
      </c>
      <c r="C69" s="10">
        <f>COUNTIFS('Alokasi Honor'!$I$2:$I990,$A69,'Alokasi Honor'!$U$2:$U990,1)</f>
        <v>2</v>
      </c>
      <c r="D69" s="10">
        <f t="shared" si="1"/>
        <v>1</v>
      </c>
      <c r="E69" s="10">
        <f t="shared" si="2"/>
        <v>0</v>
      </c>
      <c r="F69" s="96" t="s">
        <v>171</v>
      </c>
      <c r="G69" s="9" t="s">
        <v>25</v>
      </c>
      <c r="H69" s="9" t="s">
        <v>164</v>
      </c>
      <c r="I69" s="85">
        <v>65000</v>
      </c>
      <c r="J69" s="9" t="s">
        <v>72</v>
      </c>
      <c r="K69" s="10" t="str">
        <f t="shared" si="3"/>
        <v>SHPED24-LAPANGAN-JUNI-PPL</v>
      </c>
      <c r="L69" s="95">
        <v>45463</v>
      </c>
      <c r="M69" s="93">
        <f t="shared" si="4"/>
        <v>45483</v>
      </c>
      <c r="N69" s="10" t="str">
        <f t="array" ref="N69">INDEX('Input Kegiatan'!$B$2:$B990,MATCH(F69,'Input Kegiatan'!$A$2:$A990,0))&amp;" ("&amp;J69&amp;")"</f>
        <v>Survei Harga Perdesaan (SHPED24) Juni (PENDATAAN KONSUMEN)</v>
      </c>
      <c r="O69" s="10" t="e">
        <f t="shared" ca="1" si="5"/>
        <v>#NAME?</v>
      </c>
      <c r="P69" s="10" t="str">
        <f t="array" ref="P69">INDEX('Input Kegiatan'!$C$2:$C990,MATCH($F69,'Input Kegiatan'!$A$2:$A990,0))</f>
        <v>SURVEI</v>
      </c>
      <c r="Q69" s="10" t="str">
        <f t="shared" si="6"/>
        <v>SURVEI-PPL</v>
      </c>
    </row>
    <row r="70" spans="1:17" ht="12.5">
      <c r="A70" s="10" t="str">
        <f t="shared" si="0"/>
        <v>SHPED24-LAPANGAN-JULI-PPL-PENDATAAN KONSUMEN</v>
      </c>
      <c r="B70" s="10">
        <f>COUNTIFS('Alokasi Honor'!$I$2:$I990,$A70)</f>
        <v>2</v>
      </c>
      <c r="C70" s="10">
        <f>COUNTIFS('Alokasi Honor'!$I$2:$I990,$A70,'Alokasi Honor'!$U$2:$U990,1)</f>
        <v>2</v>
      </c>
      <c r="D70" s="10">
        <f t="shared" si="1"/>
        <v>1</v>
      </c>
      <c r="E70" s="10">
        <f t="shared" si="2"/>
        <v>0</v>
      </c>
      <c r="F70" s="96" t="s">
        <v>196</v>
      </c>
      <c r="G70" s="9" t="s">
        <v>25</v>
      </c>
      <c r="H70" s="9" t="s">
        <v>164</v>
      </c>
      <c r="I70" s="85">
        <v>65000</v>
      </c>
      <c r="J70" s="9" t="s">
        <v>72</v>
      </c>
      <c r="K70" s="10" t="str">
        <f t="shared" si="3"/>
        <v>SHPED24-LAPANGAN-JULI-PPL</v>
      </c>
      <c r="L70" s="95">
        <v>45493</v>
      </c>
      <c r="M70" s="93">
        <f t="shared" si="4"/>
        <v>45513</v>
      </c>
      <c r="N70" s="10" t="str">
        <f t="array" ref="N70">INDEX('Input Kegiatan'!$B$2:$B990,MATCH(F70,'Input Kegiatan'!$A$2:$A990,0))&amp;" ("&amp;J70&amp;")"</f>
        <v>Survei Harga Perdesaan (SHPED24) Juli (PENDATAAN KONSUMEN)</v>
      </c>
      <c r="O70" s="10" t="e">
        <f t="shared" ca="1" si="5"/>
        <v>#NAME?</v>
      </c>
      <c r="P70" s="10" t="str">
        <f t="array" ref="P70">INDEX('Input Kegiatan'!$C$2:$C990,MATCH($F70,'Input Kegiatan'!$A$2:$A990,0))</f>
        <v>SURVEI</v>
      </c>
      <c r="Q70" s="10" t="str">
        <f t="shared" si="6"/>
        <v>SURVEI-PPL</v>
      </c>
    </row>
    <row r="71" spans="1:17" ht="12.5">
      <c r="A71" s="10" t="str">
        <f t="shared" si="0"/>
        <v>SHPED24-LAPANGAN-AGUSTUS-PPL-PENDATAAN KONSUMEN</v>
      </c>
      <c r="B71" s="10">
        <f>COUNTIFS('Alokasi Honor'!$I$2:$I990,$A71)</f>
        <v>2</v>
      </c>
      <c r="C71" s="10">
        <f>COUNTIFS('Alokasi Honor'!$I$2:$I990,$A71,'Alokasi Honor'!$U$2:$U990,1)</f>
        <v>0</v>
      </c>
      <c r="D71" s="10">
        <f t="shared" si="1"/>
        <v>0</v>
      </c>
      <c r="E71" s="10">
        <f t="shared" si="2"/>
        <v>1</v>
      </c>
      <c r="F71" s="96" t="s">
        <v>218</v>
      </c>
      <c r="G71" s="9" t="s">
        <v>25</v>
      </c>
      <c r="H71" s="9" t="s">
        <v>164</v>
      </c>
      <c r="I71" s="85">
        <v>65000</v>
      </c>
      <c r="J71" s="9" t="s">
        <v>72</v>
      </c>
      <c r="K71" s="10" t="str">
        <f t="shared" si="3"/>
        <v>SHPED24-LAPANGAN-AGUSTUS-PPL</v>
      </c>
      <c r="L71" s="95">
        <v>45524</v>
      </c>
      <c r="M71" s="93">
        <f t="shared" si="4"/>
        <v>45544</v>
      </c>
      <c r="N71" s="10" t="str">
        <f t="array" ref="N71">INDEX('Input Kegiatan'!$B$2:$B990,MATCH(F71,'Input Kegiatan'!$A$2:$A990,0))&amp;" ("&amp;J71&amp;")"</f>
        <v>Survei Harga Perdesaan (SHPED24) Agustus (PENDATAAN KONSUMEN)</v>
      </c>
      <c r="O71" s="10" t="e">
        <f t="shared" ca="1" si="5"/>
        <v>#NAME?</v>
      </c>
      <c r="P71" s="10" t="str">
        <f t="array" ref="P71">INDEX('Input Kegiatan'!$C$2:$C990,MATCH($F71,'Input Kegiatan'!$A$2:$A990,0))</f>
        <v>SURVEI</v>
      </c>
      <c r="Q71" s="10" t="str">
        <f t="shared" si="6"/>
        <v>SURVEI-PPL</v>
      </c>
    </row>
    <row r="72" spans="1:17" ht="12.5">
      <c r="A72" s="10" t="str">
        <f t="shared" si="0"/>
        <v>SHPED24-LAPANGAN-SEPTEMBER-PPL-PENDATAAN KONSUMEN</v>
      </c>
      <c r="B72" s="10">
        <f>COUNTIFS('Alokasi Honor'!$I$2:$I990,$A72)</f>
        <v>2</v>
      </c>
      <c r="C72" s="10">
        <f>COUNTIFS('Alokasi Honor'!$I$2:$I990,$A72,'Alokasi Honor'!$U$2:$U990,1)</f>
        <v>0</v>
      </c>
      <c r="D72" s="10">
        <f t="shared" si="1"/>
        <v>0</v>
      </c>
      <c r="E72" s="10">
        <f t="shared" si="2"/>
        <v>1</v>
      </c>
      <c r="F72" s="96" t="s">
        <v>255</v>
      </c>
      <c r="G72" s="9" t="s">
        <v>25</v>
      </c>
      <c r="H72" s="9" t="s">
        <v>164</v>
      </c>
      <c r="I72" s="85">
        <v>65000</v>
      </c>
      <c r="J72" s="9" t="s">
        <v>72</v>
      </c>
      <c r="K72" s="10" t="str">
        <f t="shared" si="3"/>
        <v>SHPED24-LAPANGAN-SEPTEMBER-PPL</v>
      </c>
      <c r="L72" s="95">
        <v>45555</v>
      </c>
      <c r="M72" s="93">
        <f t="shared" si="4"/>
        <v>45575</v>
      </c>
      <c r="N72" s="10" t="str">
        <f t="array" ref="N72">INDEX('Input Kegiatan'!$B$2:$B990,MATCH(F72,'Input Kegiatan'!$A$2:$A990,0))&amp;" ("&amp;J72&amp;")"</f>
        <v>Survei Harga Perdesaan (SHPED24) September (PENDATAAN KONSUMEN)</v>
      </c>
      <c r="O72" s="10" t="e">
        <f t="shared" ca="1" si="5"/>
        <v>#NAME?</v>
      </c>
      <c r="P72" s="10" t="str">
        <f t="array" ref="P72">INDEX('Input Kegiatan'!$C$2:$C990,MATCH($F72,'Input Kegiatan'!$A$2:$A990,0))</f>
        <v>SURVEI</v>
      </c>
      <c r="Q72" s="10" t="str">
        <f t="shared" si="6"/>
        <v>SURVEI-PPL</v>
      </c>
    </row>
    <row r="73" spans="1:17" ht="12.5">
      <c r="A73" s="10" t="str">
        <f t="shared" si="0"/>
        <v>SHPED24-LAPANGAN-OKTOBER-PPL-PENDATAAN KONSUMEN</v>
      </c>
      <c r="B73" s="10">
        <f>COUNTIFS('Alokasi Honor'!$I$2:$I990,$A73)</f>
        <v>2</v>
      </c>
      <c r="C73" s="10">
        <f>COUNTIFS('Alokasi Honor'!$I$2:$I990,$A73,'Alokasi Honor'!$U$2:$U990,1)</f>
        <v>0</v>
      </c>
      <c r="D73" s="10">
        <f t="shared" si="1"/>
        <v>0</v>
      </c>
      <c r="E73" s="10">
        <f t="shared" si="2"/>
        <v>1</v>
      </c>
      <c r="F73" s="96" t="s">
        <v>281</v>
      </c>
      <c r="G73" s="9" t="s">
        <v>25</v>
      </c>
      <c r="H73" s="9" t="s">
        <v>164</v>
      </c>
      <c r="I73" s="85">
        <v>65000</v>
      </c>
      <c r="J73" s="9" t="s">
        <v>72</v>
      </c>
      <c r="K73" s="10" t="str">
        <f t="shared" si="3"/>
        <v>SHPED24-LAPANGAN-OKTOBER-PPL</v>
      </c>
      <c r="L73" s="95">
        <v>45585</v>
      </c>
      <c r="M73" s="93">
        <f t="shared" si="4"/>
        <v>45605</v>
      </c>
      <c r="N73" s="10" t="str">
        <f t="array" ref="N73">INDEX('Input Kegiatan'!$B$2:$B990,MATCH(F73,'Input Kegiatan'!$A$2:$A990,0))&amp;" ("&amp;J73&amp;")"</f>
        <v>Survei Harga Perdesaan (SHPED24) Oktober (PENDATAAN KONSUMEN)</v>
      </c>
      <c r="O73" s="10" t="e">
        <f t="shared" ca="1" si="5"/>
        <v>#NAME?</v>
      </c>
      <c r="P73" s="10" t="str">
        <f t="array" ref="P73">INDEX('Input Kegiatan'!$C$2:$C990,MATCH($F73,'Input Kegiatan'!$A$2:$A990,0))</f>
        <v>SURVEI</v>
      </c>
      <c r="Q73" s="10" t="str">
        <f t="shared" si="6"/>
        <v>SURVEI-PPL</v>
      </c>
    </row>
    <row r="74" spans="1:17" ht="12.5">
      <c r="A74" s="10" t="str">
        <f t="shared" si="0"/>
        <v>SHPED24-LAPANGAN-NOVEMBER-PPL-PENDATAAN KONSUMEN</v>
      </c>
      <c r="B74" s="10">
        <f>COUNTIFS('Alokasi Honor'!$I$2:$I990,$A74)</f>
        <v>2</v>
      </c>
      <c r="C74" s="10">
        <f>COUNTIFS('Alokasi Honor'!$I$2:$I990,$A74,'Alokasi Honor'!$U$2:$U990,1)</f>
        <v>0</v>
      </c>
      <c r="D74" s="10">
        <f t="shared" si="1"/>
        <v>0</v>
      </c>
      <c r="E74" s="10">
        <f t="shared" si="2"/>
        <v>1</v>
      </c>
      <c r="F74" s="96" t="s">
        <v>299</v>
      </c>
      <c r="G74" s="9" t="s">
        <v>25</v>
      </c>
      <c r="H74" s="9" t="s">
        <v>164</v>
      </c>
      <c r="I74" s="85">
        <v>65000</v>
      </c>
      <c r="J74" s="9" t="s">
        <v>72</v>
      </c>
      <c r="K74" s="10" t="str">
        <f t="shared" si="3"/>
        <v>SHPED24-LAPANGAN-NOVEMBER-PPL</v>
      </c>
      <c r="L74" s="95">
        <v>45616</v>
      </c>
      <c r="M74" s="93">
        <f t="shared" si="4"/>
        <v>45636</v>
      </c>
      <c r="N74" s="10" t="str">
        <f t="array" ref="N74">INDEX('Input Kegiatan'!$B$2:$B990,MATCH(F74,'Input Kegiatan'!$A$2:$A990,0))&amp;" ("&amp;J74&amp;")"</f>
        <v>Survei Harga Perdesaan (SHPED24) November (PENDATAAN KONSUMEN)</v>
      </c>
      <c r="O74" s="10" t="e">
        <f t="shared" ca="1" si="5"/>
        <v>#NAME?</v>
      </c>
      <c r="P74" s="10" t="str">
        <f t="array" ref="P74">INDEX('Input Kegiatan'!$C$2:$C990,MATCH($F74,'Input Kegiatan'!$A$2:$A990,0))</f>
        <v>SURVEI</v>
      </c>
      <c r="Q74" s="10" t="str">
        <f t="shared" si="6"/>
        <v>SURVEI-PPL</v>
      </c>
    </row>
    <row r="75" spans="1:17" ht="12.5">
      <c r="A75" s="10" t="str">
        <f t="shared" si="0"/>
        <v>SHPED24-LAPANGAN-DESEMBER-PPL-PENDATAAN KONSUMEN</v>
      </c>
      <c r="B75" s="10">
        <f>COUNTIFS('Alokasi Honor'!$I$2:$I990,$A75)</f>
        <v>2</v>
      </c>
      <c r="C75" s="10">
        <f>COUNTIFS('Alokasi Honor'!$I$2:$I990,$A75,'Alokasi Honor'!$U$2:$U990,1)</f>
        <v>0</v>
      </c>
      <c r="D75" s="10">
        <f t="shared" si="1"/>
        <v>0</v>
      </c>
      <c r="E75" s="10">
        <f t="shared" si="2"/>
        <v>1</v>
      </c>
      <c r="F75" s="96" t="s">
        <v>314</v>
      </c>
      <c r="G75" s="9" t="s">
        <v>25</v>
      </c>
      <c r="H75" s="9" t="s">
        <v>164</v>
      </c>
      <c r="I75" s="85">
        <v>65000</v>
      </c>
      <c r="J75" s="9" t="s">
        <v>72</v>
      </c>
      <c r="K75" s="10" t="str">
        <f t="shared" si="3"/>
        <v>SHPED24-LAPANGAN-DESEMBER-PPL</v>
      </c>
      <c r="L75" s="95">
        <v>45646</v>
      </c>
      <c r="M75" s="93">
        <f t="shared" si="4"/>
        <v>45666</v>
      </c>
      <c r="N75" s="10" t="str">
        <f t="array" ref="N75">INDEX('Input Kegiatan'!$B$2:$B990,MATCH(F75,'Input Kegiatan'!$A$2:$A990,0))&amp;" ("&amp;J75&amp;")"</f>
        <v>Survei Harga Perdesaan (SHPED24) Desember (PENDATAAN KONSUMEN)</v>
      </c>
      <c r="O75" s="10" t="e">
        <f t="shared" ca="1" si="5"/>
        <v>#NAME?</v>
      </c>
      <c r="P75" s="10" t="str">
        <f t="array" ref="P75">INDEX('Input Kegiatan'!$C$2:$C990,MATCH($F75,'Input Kegiatan'!$A$2:$A990,0))</f>
        <v>SURVEI</v>
      </c>
      <c r="Q75" s="10" t="str">
        <f t="shared" si="6"/>
        <v>SURVEI-PPL</v>
      </c>
    </row>
    <row r="76" spans="1:17" ht="12.5">
      <c r="A76" s="10" t="str">
        <f t="shared" si="0"/>
        <v>HPBG24-LAPANGAN-JANUARI-PPL-PENDATAAN</v>
      </c>
      <c r="B76" s="10">
        <f>COUNTIFS('Alokasi Honor'!$I$2:$I990,$A76)</f>
        <v>3</v>
      </c>
      <c r="C76" s="10">
        <f>COUNTIFS('Alokasi Honor'!$I$2:$I990,$A76,'Alokasi Honor'!$U$2:$U990,1)</f>
        <v>3</v>
      </c>
      <c r="D76" s="10">
        <f t="shared" si="1"/>
        <v>1</v>
      </c>
      <c r="E76" s="10">
        <f t="shared" si="2"/>
        <v>0</v>
      </c>
      <c r="F76" s="96" t="s">
        <v>76</v>
      </c>
      <c r="G76" s="9" t="s">
        <v>25</v>
      </c>
      <c r="H76" s="9" t="s">
        <v>164</v>
      </c>
      <c r="I76" s="85">
        <v>55000</v>
      </c>
      <c r="J76" s="9" t="s">
        <v>67</v>
      </c>
      <c r="K76" s="10" t="str">
        <f t="shared" si="3"/>
        <v>HPBG24-LAPANGAN-JANUARI-PPL</v>
      </c>
      <c r="L76" s="95">
        <v>45311</v>
      </c>
      <c r="M76" s="93">
        <f t="shared" si="4"/>
        <v>45331</v>
      </c>
      <c r="N76" s="10" t="str">
        <f t="array" ref="N76">INDEX('Input Kegiatan'!$B$2:$B990,MATCH(F76,'Input Kegiatan'!$A$2:$A990,0))&amp;" ("&amp;J76&amp;")"</f>
        <v>Survei Harga Produsen Beras di Penggilingan 2024 (HPBG24) Januari (PENDATAAN)</v>
      </c>
      <c r="O76" s="10" t="e">
        <f t="shared" ca="1" si="5"/>
        <v>#NAME?</v>
      </c>
      <c r="P76" s="10" t="str">
        <f t="array" ref="P76">INDEX('Input Kegiatan'!$C$2:$C990,MATCH($F76,'Input Kegiatan'!$A$2:$A990,0))</f>
        <v>SURVEI</v>
      </c>
      <c r="Q76" s="10" t="str">
        <f t="shared" si="6"/>
        <v>SURVEI-PPL</v>
      </c>
    </row>
    <row r="77" spans="1:17" ht="12.5">
      <c r="A77" s="10" t="str">
        <f t="shared" si="0"/>
        <v>HPBG24-LAPANGAN-FEBRUARI-PPL-PENDATAAN</v>
      </c>
      <c r="B77" s="10">
        <f>COUNTIFS('Alokasi Honor'!$I$2:$I990,$A77)</f>
        <v>3</v>
      </c>
      <c r="C77" s="10">
        <f>COUNTIFS('Alokasi Honor'!$I$2:$I990,$A77,'Alokasi Honor'!$U$2:$U990,1)</f>
        <v>3</v>
      </c>
      <c r="D77" s="10">
        <f t="shared" si="1"/>
        <v>1</v>
      </c>
      <c r="E77" s="10">
        <f t="shared" si="2"/>
        <v>0</v>
      </c>
      <c r="F77" s="96" t="s">
        <v>99</v>
      </c>
      <c r="G77" s="9" t="s">
        <v>25</v>
      </c>
      <c r="H77" s="9" t="s">
        <v>164</v>
      </c>
      <c r="I77" s="85">
        <v>55000</v>
      </c>
      <c r="J77" s="9" t="s">
        <v>67</v>
      </c>
      <c r="K77" s="10" t="str">
        <f t="shared" si="3"/>
        <v>HPBG24-LAPANGAN-FEBRUARI-PPL</v>
      </c>
      <c r="L77" s="86">
        <v>45342</v>
      </c>
      <c r="M77" s="87">
        <f t="shared" si="4"/>
        <v>45362</v>
      </c>
      <c r="N77" s="10" t="str">
        <f t="array" ref="N77">INDEX('Input Kegiatan'!$B$2:$B990,MATCH(F77,'Input Kegiatan'!$A$2:$A990,0))&amp;" ("&amp;J77&amp;")"</f>
        <v>Survei Harga Produsen Beras di Penggilingan 2024 (HPBG24) Februari (PENDATAAN)</v>
      </c>
      <c r="O77" s="10" t="e">
        <f t="shared" ca="1" si="5"/>
        <v>#NAME?</v>
      </c>
      <c r="P77" s="10" t="str">
        <f t="array" ref="P77">INDEX('Input Kegiatan'!$C$2:$C990,MATCH($F77,'Input Kegiatan'!$A$2:$A990,0))</f>
        <v>SURVEI</v>
      </c>
      <c r="Q77" s="10" t="str">
        <f t="shared" si="6"/>
        <v>SURVEI-PPL</v>
      </c>
    </row>
    <row r="78" spans="1:17" ht="12.5">
      <c r="A78" s="10" t="str">
        <f t="shared" si="0"/>
        <v>HPBG24-LAPANGAN-MARET-PPL-PENDATAAN</v>
      </c>
      <c r="B78" s="10">
        <f>COUNTIFS('Alokasi Honor'!$I$2:$I990,$A78)</f>
        <v>3</v>
      </c>
      <c r="C78" s="10">
        <f>COUNTIFS('Alokasi Honor'!$I$2:$I990,$A78,'Alokasi Honor'!$U$2:$U990,1)</f>
        <v>3</v>
      </c>
      <c r="D78" s="10">
        <f t="shared" si="1"/>
        <v>1</v>
      </c>
      <c r="E78" s="10">
        <f t="shared" si="2"/>
        <v>0</v>
      </c>
      <c r="F78" s="96" t="s">
        <v>117</v>
      </c>
      <c r="G78" s="9" t="s">
        <v>25</v>
      </c>
      <c r="H78" s="9" t="s">
        <v>164</v>
      </c>
      <c r="I78" s="85">
        <v>55000</v>
      </c>
      <c r="J78" s="9" t="s">
        <v>67</v>
      </c>
      <c r="K78" s="10" t="str">
        <f t="shared" si="3"/>
        <v>HPBG24-LAPANGAN-MARET-PPL</v>
      </c>
      <c r="L78" s="95">
        <v>45371</v>
      </c>
      <c r="M78" s="93">
        <f t="shared" si="4"/>
        <v>45391</v>
      </c>
      <c r="N78" s="10" t="str">
        <f t="array" ref="N78">INDEX('Input Kegiatan'!$B$2:$B990,MATCH(F78,'Input Kegiatan'!$A$2:$A990,0))&amp;" ("&amp;J78&amp;")"</f>
        <v>Survei Harga Produsen Beras di Penggilingan 2024 (HPBG24) Maret (PENDATAAN)</v>
      </c>
      <c r="O78" s="10" t="e">
        <f t="shared" ca="1" si="5"/>
        <v>#NAME?</v>
      </c>
      <c r="P78" s="10" t="str">
        <f t="array" ref="P78">INDEX('Input Kegiatan'!$C$2:$C990,MATCH($F78,'Input Kegiatan'!$A$2:$A990,0))</f>
        <v>SURVEI</v>
      </c>
      <c r="Q78" s="10" t="str">
        <f t="shared" si="6"/>
        <v>SURVEI-PPL</v>
      </c>
    </row>
    <row r="79" spans="1:17" ht="12.5">
      <c r="A79" s="10" t="str">
        <f t="shared" si="0"/>
        <v>HPBG24-LAPANGAN-APRIL-PPL-PENDATAAN</v>
      </c>
      <c r="B79" s="10">
        <f>COUNTIFS('Alokasi Honor'!$I$2:$I990,$A79)</f>
        <v>3</v>
      </c>
      <c r="C79" s="10">
        <f>COUNTIFS('Alokasi Honor'!$I$2:$I990,$A79,'Alokasi Honor'!$U$2:$U990,1)</f>
        <v>3</v>
      </c>
      <c r="D79" s="10">
        <f t="shared" si="1"/>
        <v>1</v>
      </c>
      <c r="E79" s="10">
        <f t="shared" si="2"/>
        <v>0</v>
      </c>
      <c r="F79" s="96" t="s">
        <v>137</v>
      </c>
      <c r="G79" s="9" t="s">
        <v>25</v>
      </c>
      <c r="H79" s="9" t="s">
        <v>164</v>
      </c>
      <c r="I79" s="85">
        <v>55000</v>
      </c>
      <c r="J79" s="9" t="s">
        <v>67</v>
      </c>
      <c r="K79" s="10" t="str">
        <f t="shared" si="3"/>
        <v>HPBG24-LAPANGAN-APRIL-PPL</v>
      </c>
      <c r="L79" s="95">
        <v>45402</v>
      </c>
      <c r="M79" s="93">
        <f t="shared" si="4"/>
        <v>45422</v>
      </c>
      <c r="N79" s="10" t="str">
        <f t="array" ref="N79">INDEX('Input Kegiatan'!$B$2:$B990,MATCH(F79,'Input Kegiatan'!$A$2:$A990,0))&amp;" ("&amp;J79&amp;")"</f>
        <v>Survei Harga Produsen Beras di Penggilingan 2024 (HPBG24) April (PENDATAAN)</v>
      </c>
      <c r="O79" s="10" t="e">
        <f t="shared" ca="1" si="5"/>
        <v>#NAME?</v>
      </c>
      <c r="P79" s="10" t="str">
        <f t="array" ref="P79">INDEX('Input Kegiatan'!$C$2:$C990,MATCH($F79,'Input Kegiatan'!$A$2:$A990,0))</f>
        <v>SURVEI</v>
      </c>
      <c r="Q79" s="10" t="str">
        <f t="shared" si="6"/>
        <v>SURVEI-PPL</v>
      </c>
    </row>
    <row r="80" spans="1:17" ht="12.5">
      <c r="A80" s="10" t="str">
        <f t="shared" si="0"/>
        <v>HPBG24-LAPANGAN-MEI-PPL-PENDATAAN</v>
      </c>
      <c r="B80" s="10">
        <f>COUNTIFS('Alokasi Honor'!$I$2:$I990,$A80)</f>
        <v>3</v>
      </c>
      <c r="C80" s="10">
        <f>COUNTIFS('Alokasi Honor'!$I$2:$I990,$A80,'Alokasi Honor'!$U$2:$U990,1)</f>
        <v>3</v>
      </c>
      <c r="D80" s="10">
        <f t="shared" si="1"/>
        <v>1</v>
      </c>
      <c r="E80" s="10">
        <f t="shared" si="2"/>
        <v>0</v>
      </c>
      <c r="F80" s="96" t="s">
        <v>157</v>
      </c>
      <c r="G80" s="9" t="s">
        <v>25</v>
      </c>
      <c r="H80" s="9" t="s">
        <v>164</v>
      </c>
      <c r="I80" s="85">
        <v>55000</v>
      </c>
      <c r="J80" s="9" t="s">
        <v>67</v>
      </c>
      <c r="K80" s="10" t="str">
        <f t="shared" si="3"/>
        <v>HPBG24-LAPANGAN-MEI-PPL</v>
      </c>
      <c r="L80" s="95">
        <v>45432</v>
      </c>
      <c r="M80" s="93">
        <f t="shared" si="4"/>
        <v>45452</v>
      </c>
      <c r="N80" s="10" t="str">
        <f t="array" ref="N80">INDEX('Input Kegiatan'!$B$2:$B990,MATCH(F80,'Input Kegiatan'!$A$2:$A990,0))&amp;" ("&amp;J80&amp;")"</f>
        <v>Survei Harga Produsen Beras di Penggilingan 2024 (HPBG24) Mei (PENDATAAN)</v>
      </c>
      <c r="O80" s="10" t="e">
        <f t="shared" ca="1" si="5"/>
        <v>#NAME?</v>
      </c>
      <c r="P80" s="10" t="str">
        <f t="array" ref="P80">INDEX('Input Kegiatan'!$C$2:$C990,MATCH($F80,'Input Kegiatan'!$A$2:$A990,0))</f>
        <v>SURVEI</v>
      </c>
      <c r="Q80" s="10" t="str">
        <f t="shared" si="6"/>
        <v>SURVEI-PPL</v>
      </c>
    </row>
    <row r="81" spans="1:17" ht="12.5">
      <c r="A81" s="10" t="str">
        <f t="shared" si="0"/>
        <v>HPBG24-LAPANGAN-JUNI-PPL-PENDATAAN</v>
      </c>
      <c r="B81" s="10">
        <f>COUNTIFS('Alokasi Honor'!$I$2:$I990,$A81)</f>
        <v>3</v>
      </c>
      <c r="C81" s="10">
        <f>COUNTIFS('Alokasi Honor'!$I$2:$I990,$A81,'Alokasi Honor'!$U$2:$U990,1)</f>
        <v>3</v>
      </c>
      <c r="D81" s="10">
        <f t="shared" si="1"/>
        <v>1</v>
      </c>
      <c r="E81" s="10">
        <f t="shared" si="2"/>
        <v>0</v>
      </c>
      <c r="F81" s="96" t="s">
        <v>174</v>
      </c>
      <c r="G81" s="9" t="s">
        <v>25</v>
      </c>
      <c r="H81" s="9" t="s">
        <v>164</v>
      </c>
      <c r="I81" s="85">
        <v>55000</v>
      </c>
      <c r="J81" s="9" t="s">
        <v>67</v>
      </c>
      <c r="K81" s="10" t="str">
        <f t="shared" si="3"/>
        <v>HPBG24-LAPANGAN-JUNI-PPL</v>
      </c>
      <c r="L81" s="95">
        <v>45463</v>
      </c>
      <c r="M81" s="93">
        <f t="shared" si="4"/>
        <v>45483</v>
      </c>
      <c r="N81" s="10" t="str">
        <f t="array" ref="N81">INDEX('Input Kegiatan'!$B$2:$B990,MATCH(F81,'Input Kegiatan'!$A$2:$A990,0))&amp;" ("&amp;J81&amp;")"</f>
        <v>Survei Harga Produsen Beras di Penggilingan 2024 (HPBG24) Juni (PENDATAAN)</v>
      </c>
      <c r="O81" s="10" t="e">
        <f t="shared" ca="1" si="5"/>
        <v>#NAME?</v>
      </c>
      <c r="P81" s="10" t="str">
        <f t="array" ref="P81">INDEX('Input Kegiatan'!$C$2:$C990,MATCH($F81,'Input Kegiatan'!$A$2:$A990,0))</f>
        <v>SURVEI</v>
      </c>
      <c r="Q81" s="10" t="str">
        <f t="shared" si="6"/>
        <v>SURVEI-PPL</v>
      </c>
    </row>
    <row r="82" spans="1:17" ht="12.5">
      <c r="A82" s="10" t="str">
        <f t="shared" si="0"/>
        <v>HPBG24-LAPANGAN-JULI-PPL-PENDATAAN</v>
      </c>
      <c r="B82" s="10">
        <f>COUNTIFS('Alokasi Honor'!$I$2:$I990,$A82)</f>
        <v>3</v>
      </c>
      <c r="C82" s="10">
        <f>COUNTIFS('Alokasi Honor'!$I$2:$I990,$A82,'Alokasi Honor'!$U$2:$U990,1)</f>
        <v>3</v>
      </c>
      <c r="D82" s="10">
        <f t="shared" si="1"/>
        <v>1</v>
      </c>
      <c r="E82" s="10">
        <f t="shared" si="2"/>
        <v>0</v>
      </c>
      <c r="F82" s="96" t="s">
        <v>199</v>
      </c>
      <c r="G82" s="9" t="s">
        <v>25</v>
      </c>
      <c r="H82" s="9" t="s">
        <v>164</v>
      </c>
      <c r="I82" s="85">
        <v>55000</v>
      </c>
      <c r="J82" s="9" t="s">
        <v>67</v>
      </c>
      <c r="K82" s="10" t="str">
        <f t="shared" si="3"/>
        <v>HPBG24-LAPANGAN-JULI-PPL</v>
      </c>
      <c r="L82" s="95">
        <v>45493</v>
      </c>
      <c r="M82" s="93">
        <f t="shared" si="4"/>
        <v>45513</v>
      </c>
      <c r="N82" s="10" t="str">
        <f t="array" ref="N82">INDEX('Input Kegiatan'!$B$2:$B990,MATCH(F82,'Input Kegiatan'!$A$2:$A990,0))&amp;" ("&amp;J82&amp;")"</f>
        <v>Survei Harga Produsen Beras di Penggilingan 2024 (HPBG24) Juli (PENDATAAN)</v>
      </c>
      <c r="O82" s="10" t="e">
        <f t="shared" ca="1" si="5"/>
        <v>#NAME?</v>
      </c>
      <c r="P82" s="10" t="str">
        <f t="array" ref="P82">INDEX('Input Kegiatan'!$C$2:$C990,MATCH($F82,'Input Kegiatan'!$A$2:$A990,0))</f>
        <v>SURVEI</v>
      </c>
      <c r="Q82" s="10" t="str">
        <f t="shared" si="6"/>
        <v>SURVEI-PPL</v>
      </c>
    </row>
    <row r="83" spans="1:17" ht="12.5">
      <c r="A83" s="10" t="str">
        <f t="shared" si="0"/>
        <v>HPBG24-LAPANGAN-AGUSTUS-PPL-PENDATAAN</v>
      </c>
      <c r="B83" s="10">
        <f>COUNTIFS('Alokasi Honor'!$I$2:$I990,$A83)</f>
        <v>3</v>
      </c>
      <c r="C83" s="10">
        <f>COUNTIFS('Alokasi Honor'!$I$2:$I990,$A83,'Alokasi Honor'!$U$2:$U990,1)</f>
        <v>0</v>
      </c>
      <c r="D83" s="10">
        <f t="shared" si="1"/>
        <v>0</v>
      </c>
      <c r="E83" s="10">
        <f t="shared" si="2"/>
        <v>1</v>
      </c>
      <c r="F83" s="96" t="s">
        <v>221</v>
      </c>
      <c r="G83" s="9" t="s">
        <v>25</v>
      </c>
      <c r="H83" s="9" t="s">
        <v>164</v>
      </c>
      <c r="I83" s="85">
        <v>55000</v>
      </c>
      <c r="J83" s="9" t="s">
        <v>67</v>
      </c>
      <c r="K83" s="10" t="str">
        <f t="shared" si="3"/>
        <v>HPBG24-LAPANGAN-AGUSTUS-PPL</v>
      </c>
      <c r="L83" s="95">
        <v>45524</v>
      </c>
      <c r="M83" s="93">
        <f t="shared" si="4"/>
        <v>45544</v>
      </c>
      <c r="N83" s="10" t="str">
        <f t="array" ref="N83">INDEX('Input Kegiatan'!$B$2:$B990,MATCH(F83,'Input Kegiatan'!$A$2:$A990,0))&amp;" ("&amp;J83&amp;")"</f>
        <v>Survei Harga Produsen Beras di Penggilingan 2024 (HPBG24) Agustus (PENDATAAN)</v>
      </c>
      <c r="O83" s="10" t="e">
        <f t="shared" ca="1" si="5"/>
        <v>#NAME?</v>
      </c>
      <c r="P83" s="10" t="str">
        <f t="array" ref="P83">INDEX('Input Kegiatan'!$C$2:$C990,MATCH($F83,'Input Kegiatan'!$A$2:$A990,0))</f>
        <v>SURVEI</v>
      </c>
      <c r="Q83" s="10" t="str">
        <f t="shared" si="6"/>
        <v>SURVEI-PPL</v>
      </c>
    </row>
    <row r="84" spans="1:17" ht="12.5">
      <c r="A84" s="10" t="str">
        <f t="shared" si="0"/>
        <v>HPBG24-LAPANGAN-SEPTEMBER-PPL-PENDATAAN</v>
      </c>
      <c r="B84" s="10">
        <f>COUNTIFS('Alokasi Honor'!$I$2:$I990,$A84)</f>
        <v>3</v>
      </c>
      <c r="C84" s="10">
        <f>COUNTIFS('Alokasi Honor'!$I$2:$I990,$A84,'Alokasi Honor'!$U$2:$U990,1)</f>
        <v>0</v>
      </c>
      <c r="D84" s="10">
        <f t="shared" si="1"/>
        <v>0</v>
      </c>
      <c r="E84" s="10">
        <f t="shared" si="2"/>
        <v>1</v>
      </c>
      <c r="F84" s="96" t="s">
        <v>258</v>
      </c>
      <c r="G84" s="9" t="s">
        <v>25</v>
      </c>
      <c r="H84" s="9" t="s">
        <v>164</v>
      </c>
      <c r="I84" s="85">
        <v>55000</v>
      </c>
      <c r="J84" s="9" t="s">
        <v>67</v>
      </c>
      <c r="K84" s="10" t="str">
        <f t="shared" si="3"/>
        <v>HPBG24-LAPANGAN-SEPTEMBER-PPL</v>
      </c>
      <c r="L84" s="95">
        <v>45555</v>
      </c>
      <c r="M84" s="93">
        <f t="shared" si="4"/>
        <v>45575</v>
      </c>
      <c r="N84" s="10" t="str">
        <f t="array" ref="N84">INDEX('Input Kegiatan'!$B$2:$B990,MATCH(F84,'Input Kegiatan'!$A$2:$A990,0))&amp;" ("&amp;J84&amp;")"</f>
        <v>Survei Harga Produsen Beras di Penggilingan 2024 (HPBG24) September (PENDATAAN)</v>
      </c>
      <c r="O84" s="10" t="e">
        <f t="shared" ca="1" si="5"/>
        <v>#NAME?</v>
      </c>
      <c r="P84" s="10" t="str">
        <f t="array" ref="P84">INDEX('Input Kegiatan'!$C$2:$C990,MATCH($F84,'Input Kegiatan'!$A$2:$A990,0))</f>
        <v>SURVEI</v>
      </c>
      <c r="Q84" s="10" t="str">
        <f t="shared" si="6"/>
        <v>SURVEI-PPL</v>
      </c>
    </row>
    <row r="85" spans="1:17" ht="12.5">
      <c r="A85" s="10" t="str">
        <f t="shared" si="0"/>
        <v>HPBG24-LAPANGAN-OKTOBER-PPL-PENDATAAN</v>
      </c>
      <c r="B85" s="10">
        <f>COUNTIFS('Alokasi Honor'!$I$2:$I990,$A85)</f>
        <v>3</v>
      </c>
      <c r="C85" s="10">
        <f>COUNTIFS('Alokasi Honor'!$I$2:$I990,$A85,'Alokasi Honor'!$U$2:$U990,1)</f>
        <v>0</v>
      </c>
      <c r="D85" s="10">
        <f t="shared" si="1"/>
        <v>0</v>
      </c>
      <c r="E85" s="10">
        <f t="shared" si="2"/>
        <v>1</v>
      </c>
      <c r="F85" s="96" t="s">
        <v>284</v>
      </c>
      <c r="G85" s="9" t="s">
        <v>25</v>
      </c>
      <c r="H85" s="9" t="s">
        <v>164</v>
      </c>
      <c r="I85" s="85">
        <v>55000</v>
      </c>
      <c r="J85" s="9" t="s">
        <v>67</v>
      </c>
      <c r="K85" s="10" t="str">
        <f t="shared" si="3"/>
        <v>HPBG24-LAPANGAN-OKTOBER-PPL</v>
      </c>
      <c r="L85" s="95">
        <v>45585</v>
      </c>
      <c r="M85" s="93">
        <f t="shared" si="4"/>
        <v>45605</v>
      </c>
      <c r="N85" s="10" t="str">
        <f t="array" ref="N85">INDEX('Input Kegiatan'!$B$2:$B990,MATCH(F85,'Input Kegiatan'!$A$2:$A990,0))&amp;" ("&amp;J85&amp;")"</f>
        <v>Survei Harga Produsen Beras di Penggilingan 2024 (HPBG24) Oktober (PENDATAAN)</v>
      </c>
      <c r="O85" s="10" t="e">
        <f t="shared" ca="1" si="5"/>
        <v>#NAME?</v>
      </c>
      <c r="P85" s="10" t="str">
        <f t="array" ref="P85">INDEX('Input Kegiatan'!$C$2:$C990,MATCH($F85,'Input Kegiatan'!$A$2:$A990,0))</f>
        <v>SURVEI</v>
      </c>
      <c r="Q85" s="10" t="str">
        <f t="shared" si="6"/>
        <v>SURVEI-PPL</v>
      </c>
    </row>
    <row r="86" spans="1:17" ht="12.5">
      <c r="A86" s="10" t="str">
        <f t="shared" si="0"/>
        <v>HPBG24-LAPANGAN-NOVEMBER-PPL-PENDATAAN</v>
      </c>
      <c r="B86" s="10">
        <f>COUNTIFS('Alokasi Honor'!$I$2:$I990,$A86)</f>
        <v>3</v>
      </c>
      <c r="C86" s="10">
        <f>COUNTIFS('Alokasi Honor'!$I$2:$I990,$A86,'Alokasi Honor'!$U$2:$U990,1)</f>
        <v>0</v>
      </c>
      <c r="D86" s="10">
        <f t="shared" si="1"/>
        <v>0</v>
      </c>
      <c r="E86" s="10">
        <f t="shared" si="2"/>
        <v>1</v>
      </c>
      <c r="F86" s="96" t="s">
        <v>302</v>
      </c>
      <c r="G86" s="9" t="s">
        <v>25</v>
      </c>
      <c r="H86" s="9" t="s">
        <v>164</v>
      </c>
      <c r="I86" s="85">
        <v>55000</v>
      </c>
      <c r="J86" s="9" t="s">
        <v>67</v>
      </c>
      <c r="K86" s="10" t="str">
        <f t="shared" si="3"/>
        <v>HPBG24-LAPANGAN-NOVEMBER-PPL</v>
      </c>
      <c r="L86" s="95">
        <v>45616</v>
      </c>
      <c r="M86" s="93">
        <f t="shared" si="4"/>
        <v>45636</v>
      </c>
      <c r="N86" s="10" t="str">
        <f t="array" ref="N86">INDEX('Input Kegiatan'!$B$2:$B990,MATCH(F86,'Input Kegiatan'!$A$2:$A990,0))&amp;" ("&amp;J86&amp;")"</f>
        <v>Survei Harga Produsen Beras di Penggilingan 2024 (HPBG24) November (PENDATAAN)</v>
      </c>
      <c r="O86" s="10" t="e">
        <f t="shared" ca="1" si="5"/>
        <v>#NAME?</v>
      </c>
      <c r="P86" s="10" t="str">
        <f t="array" ref="P86">INDEX('Input Kegiatan'!$C$2:$C990,MATCH($F86,'Input Kegiatan'!$A$2:$A990,0))</f>
        <v>SURVEI</v>
      </c>
      <c r="Q86" s="10" t="str">
        <f t="shared" si="6"/>
        <v>SURVEI-PPL</v>
      </c>
    </row>
    <row r="87" spans="1:17" ht="12.5">
      <c r="A87" s="10" t="str">
        <f t="shared" si="0"/>
        <v>HPBG24-LAPANGAN-DESEMBER-PPL-PENDATAAN</v>
      </c>
      <c r="B87" s="10">
        <f>COUNTIFS('Alokasi Honor'!$I$2:$I990,$A87)</f>
        <v>3</v>
      </c>
      <c r="C87" s="10">
        <f>COUNTIFS('Alokasi Honor'!$I$2:$I990,$A87,'Alokasi Honor'!$U$2:$U990,1)</f>
        <v>0</v>
      </c>
      <c r="D87" s="10">
        <f t="shared" si="1"/>
        <v>0</v>
      </c>
      <c r="E87" s="10">
        <f t="shared" si="2"/>
        <v>1</v>
      </c>
      <c r="F87" s="96" t="s">
        <v>317</v>
      </c>
      <c r="G87" s="9" t="s">
        <v>25</v>
      </c>
      <c r="H87" s="9" t="s">
        <v>164</v>
      </c>
      <c r="I87" s="85">
        <v>55000</v>
      </c>
      <c r="J87" s="9" t="s">
        <v>67</v>
      </c>
      <c r="K87" s="10" t="str">
        <f t="shared" si="3"/>
        <v>HPBG24-LAPANGAN-DESEMBER-PPL</v>
      </c>
      <c r="L87" s="95">
        <v>45646</v>
      </c>
      <c r="M87" s="93">
        <f t="shared" si="4"/>
        <v>45666</v>
      </c>
      <c r="N87" s="10" t="str">
        <f t="array" ref="N87">INDEX('Input Kegiatan'!$B$2:$B990,MATCH(F87,'Input Kegiatan'!$A$2:$A990,0))&amp;" ("&amp;J87&amp;")"</f>
        <v>Survei Harga Produsen Beras di Penggilingan 2024 (HPBG24) Desember (PENDATAAN)</v>
      </c>
      <c r="O87" s="10" t="e">
        <f t="shared" ca="1" si="5"/>
        <v>#NAME?</v>
      </c>
      <c r="P87" s="10" t="str">
        <f t="array" ref="P87">INDEX('Input Kegiatan'!$C$2:$C990,MATCH($F87,'Input Kegiatan'!$A$2:$A990,0))</f>
        <v>SURVEI</v>
      </c>
      <c r="Q87" s="10" t="str">
        <f t="shared" si="6"/>
        <v>SURVEI-PPL</v>
      </c>
    </row>
    <row r="88" spans="1:17" ht="12.5">
      <c r="A88" s="10" t="str">
        <f t="shared" si="0"/>
        <v>HPJ24-LAPANGAN-JANUARI-PPL-PENDATAAN</v>
      </c>
      <c r="B88" s="10">
        <f>COUNTIFS('Alokasi Honor'!$I$2:$I990,$A88)</f>
        <v>1</v>
      </c>
      <c r="C88" s="10">
        <f>COUNTIFS('Alokasi Honor'!$I$2:$I990,$A88,'Alokasi Honor'!$U$2:$U990,1)</f>
        <v>1</v>
      </c>
      <c r="D88" s="10">
        <f t="shared" si="1"/>
        <v>1</v>
      </c>
      <c r="E88" s="10">
        <f t="shared" si="2"/>
        <v>0</v>
      </c>
      <c r="F88" s="96" t="s">
        <v>78</v>
      </c>
      <c r="G88" s="9" t="s">
        <v>25</v>
      </c>
      <c r="H88" s="9" t="s">
        <v>164</v>
      </c>
      <c r="I88" s="85">
        <v>50000</v>
      </c>
      <c r="J88" s="9" t="s">
        <v>67</v>
      </c>
      <c r="K88" s="10" t="str">
        <f t="shared" si="3"/>
        <v>HPJ24-LAPANGAN-JANUARI-PPL</v>
      </c>
      <c r="L88" s="95">
        <v>45311</v>
      </c>
      <c r="M88" s="93">
        <f t="shared" si="4"/>
        <v>45331</v>
      </c>
      <c r="N88" s="10" t="str">
        <f t="array" ref="N88">INDEX('Input Kegiatan'!$B$2:$B990,MATCH(F88,'Input Kegiatan'!$A$2:$A990,0))&amp;" ("&amp;J88&amp;")"</f>
        <v>Survei Harga Produsen Jasa (HPJ24) Januari (PENDATAAN)</v>
      </c>
      <c r="O88" s="10" t="e">
        <f t="shared" ca="1" si="5"/>
        <v>#NAME?</v>
      </c>
      <c r="P88" s="10" t="str">
        <f t="array" ref="P88">INDEX('Input Kegiatan'!$C$2:$C990,MATCH($F88,'Input Kegiatan'!$A$2:$A990,0))</f>
        <v>SURVEI</v>
      </c>
      <c r="Q88" s="10" t="str">
        <f t="shared" si="6"/>
        <v>SURVEI-PPL</v>
      </c>
    </row>
    <row r="89" spans="1:17" ht="12.5">
      <c r="A89" s="10" t="str">
        <f t="shared" si="0"/>
        <v>HPJ24-LAPANGAN-FEBRUARI-PPL-PENDATAAN</v>
      </c>
      <c r="B89" s="10">
        <f>COUNTIFS('Alokasi Honor'!$I$2:$I990,$A89)</f>
        <v>1</v>
      </c>
      <c r="C89" s="10">
        <f>COUNTIFS('Alokasi Honor'!$I$2:$I990,$A89,'Alokasi Honor'!$U$2:$U990,1)</f>
        <v>1</v>
      </c>
      <c r="D89" s="10">
        <f t="shared" si="1"/>
        <v>1</v>
      </c>
      <c r="E89" s="10">
        <f t="shared" si="2"/>
        <v>0</v>
      </c>
      <c r="F89" s="96" t="s">
        <v>101</v>
      </c>
      <c r="G89" s="9" t="s">
        <v>25</v>
      </c>
      <c r="H89" s="9" t="s">
        <v>164</v>
      </c>
      <c r="I89" s="85">
        <v>50000</v>
      </c>
      <c r="J89" s="9" t="s">
        <v>67</v>
      </c>
      <c r="K89" s="10" t="str">
        <f t="shared" si="3"/>
        <v>HPJ24-LAPANGAN-FEBRUARI-PPL</v>
      </c>
      <c r="L89" s="86">
        <v>45342</v>
      </c>
      <c r="M89" s="87">
        <f t="shared" si="4"/>
        <v>45362</v>
      </c>
      <c r="N89" s="10" t="str">
        <f t="array" ref="N89">INDEX('Input Kegiatan'!$B$2:$B990,MATCH(F89,'Input Kegiatan'!$A$2:$A990,0))&amp;" ("&amp;J89&amp;")"</f>
        <v>Survei Harga Produsen Jasa (HPJ24) Februari (PENDATAAN)</v>
      </c>
      <c r="O89" s="10" t="e">
        <f t="shared" ca="1" si="5"/>
        <v>#NAME?</v>
      </c>
      <c r="P89" s="10" t="str">
        <f t="array" ref="P89">INDEX('Input Kegiatan'!$C$2:$C990,MATCH($F89,'Input Kegiatan'!$A$2:$A990,0))</f>
        <v>SURVEI</v>
      </c>
      <c r="Q89" s="10" t="str">
        <f t="shared" si="6"/>
        <v>SURVEI-PPL</v>
      </c>
    </row>
    <row r="90" spans="1:17" ht="12.5">
      <c r="A90" s="10" t="str">
        <f t="shared" si="0"/>
        <v>HPJ24-LAPANGAN-MARET-PPL-PENDATAAN</v>
      </c>
      <c r="B90" s="10">
        <f>COUNTIFS('Alokasi Honor'!$I$2:$I990,$A90)</f>
        <v>1</v>
      </c>
      <c r="C90" s="10">
        <f>COUNTIFS('Alokasi Honor'!$I$2:$I990,$A90,'Alokasi Honor'!$U$2:$U990,1)</f>
        <v>1</v>
      </c>
      <c r="D90" s="10">
        <f t="shared" si="1"/>
        <v>1</v>
      </c>
      <c r="E90" s="10">
        <f t="shared" si="2"/>
        <v>0</v>
      </c>
      <c r="F90" s="96" t="s">
        <v>119</v>
      </c>
      <c r="G90" s="9" t="s">
        <v>25</v>
      </c>
      <c r="H90" s="9" t="s">
        <v>164</v>
      </c>
      <c r="I90" s="85">
        <v>50000</v>
      </c>
      <c r="J90" s="9" t="s">
        <v>67</v>
      </c>
      <c r="K90" s="10" t="str">
        <f t="shared" si="3"/>
        <v>HPJ24-LAPANGAN-MARET-PPL</v>
      </c>
      <c r="L90" s="95">
        <v>45371</v>
      </c>
      <c r="M90" s="93">
        <f t="shared" si="4"/>
        <v>45391</v>
      </c>
      <c r="N90" s="10" t="str">
        <f t="array" ref="N90">INDEX('Input Kegiatan'!$B$2:$B990,MATCH(F90,'Input Kegiatan'!$A$2:$A990,0))&amp;" ("&amp;J90&amp;")"</f>
        <v>Survei Harga Produsen Jasa (HPJ24) Maret (PENDATAAN)</v>
      </c>
      <c r="O90" s="10" t="e">
        <f t="shared" ca="1" si="5"/>
        <v>#NAME?</v>
      </c>
      <c r="P90" s="10" t="str">
        <f t="array" ref="P90">INDEX('Input Kegiatan'!$C$2:$C990,MATCH($F90,'Input Kegiatan'!$A$2:$A990,0))</f>
        <v>SURVEI</v>
      </c>
      <c r="Q90" s="10" t="str">
        <f t="shared" si="6"/>
        <v>SURVEI-PPL</v>
      </c>
    </row>
    <row r="91" spans="1:17" ht="12.5">
      <c r="A91" s="10" t="str">
        <f t="shared" si="0"/>
        <v>HPJ24-LAPANGAN-APRIL-PPL-PENDATAAN</v>
      </c>
      <c r="B91" s="10">
        <f>COUNTIFS('Alokasi Honor'!$I$2:$I990,$A91)</f>
        <v>1</v>
      </c>
      <c r="C91" s="10">
        <f>COUNTIFS('Alokasi Honor'!$I$2:$I990,$A91,'Alokasi Honor'!$U$2:$U990,1)</f>
        <v>1</v>
      </c>
      <c r="D91" s="10">
        <f t="shared" si="1"/>
        <v>1</v>
      </c>
      <c r="E91" s="10">
        <f t="shared" si="2"/>
        <v>0</v>
      </c>
      <c r="F91" s="96" t="s">
        <v>139</v>
      </c>
      <c r="G91" s="9" t="s">
        <v>25</v>
      </c>
      <c r="H91" s="9" t="s">
        <v>164</v>
      </c>
      <c r="I91" s="85">
        <v>50000</v>
      </c>
      <c r="J91" s="9" t="s">
        <v>67</v>
      </c>
      <c r="K91" s="10" t="str">
        <f t="shared" si="3"/>
        <v>HPJ24-LAPANGAN-APRIL-PPL</v>
      </c>
      <c r="L91" s="95">
        <v>45402</v>
      </c>
      <c r="M91" s="93">
        <f t="shared" si="4"/>
        <v>45422</v>
      </c>
      <c r="N91" s="10" t="str">
        <f t="array" ref="N91">INDEX('Input Kegiatan'!$B$2:$B990,MATCH(F91,'Input Kegiatan'!$A$2:$A990,0))&amp;" ("&amp;J91&amp;")"</f>
        <v>Survei Harga Produsen Jasa (HPJ24) April (PENDATAAN)</v>
      </c>
      <c r="O91" s="10" t="e">
        <f t="shared" ca="1" si="5"/>
        <v>#NAME?</v>
      </c>
      <c r="P91" s="10" t="str">
        <f t="array" ref="P91">INDEX('Input Kegiatan'!$C$2:$C990,MATCH($F91,'Input Kegiatan'!$A$2:$A990,0))</f>
        <v>SURVEI</v>
      </c>
      <c r="Q91" s="10" t="str">
        <f t="shared" si="6"/>
        <v>SURVEI-PPL</v>
      </c>
    </row>
    <row r="92" spans="1:17" ht="12.5">
      <c r="A92" s="10" t="str">
        <f t="shared" si="0"/>
        <v>HPJ24-LAPANGAN-MEI-PPL-PENDATAAN</v>
      </c>
      <c r="B92" s="10">
        <f>COUNTIFS('Alokasi Honor'!$I$2:$I990,$A92)</f>
        <v>1</v>
      </c>
      <c r="C92" s="10">
        <f>COUNTIFS('Alokasi Honor'!$I$2:$I990,$A92,'Alokasi Honor'!$U$2:$U990,1)</f>
        <v>1</v>
      </c>
      <c r="D92" s="10">
        <f t="shared" si="1"/>
        <v>1</v>
      </c>
      <c r="E92" s="10">
        <f t="shared" si="2"/>
        <v>0</v>
      </c>
      <c r="F92" s="96" t="s">
        <v>159</v>
      </c>
      <c r="G92" s="9" t="s">
        <v>25</v>
      </c>
      <c r="H92" s="9" t="s">
        <v>164</v>
      </c>
      <c r="I92" s="85">
        <v>50000</v>
      </c>
      <c r="J92" s="9" t="s">
        <v>67</v>
      </c>
      <c r="K92" s="10" t="str">
        <f t="shared" si="3"/>
        <v>HPJ24-LAPANGAN-MEI-PPL</v>
      </c>
      <c r="L92" s="95">
        <v>45432</v>
      </c>
      <c r="M92" s="93">
        <f t="shared" si="4"/>
        <v>45452</v>
      </c>
      <c r="N92" s="10" t="str">
        <f t="array" ref="N92">INDEX('Input Kegiatan'!$B$2:$B990,MATCH(F92,'Input Kegiatan'!$A$2:$A990,0))&amp;" ("&amp;J92&amp;")"</f>
        <v>Survei Harga Produsen Jasa (HPJ24) Mei (PENDATAAN)</v>
      </c>
      <c r="O92" s="10" t="e">
        <f t="shared" ca="1" si="5"/>
        <v>#NAME?</v>
      </c>
      <c r="P92" s="10" t="str">
        <f t="array" ref="P92">INDEX('Input Kegiatan'!$C$2:$C990,MATCH($F92,'Input Kegiatan'!$A$2:$A990,0))</f>
        <v>SURVEI</v>
      </c>
      <c r="Q92" s="10" t="str">
        <f t="shared" si="6"/>
        <v>SURVEI-PPL</v>
      </c>
    </row>
    <row r="93" spans="1:17" ht="12.5">
      <c r="A93" s="10" t="str">
        <f t="shared" si="0"/>
        <v>HPJ24-LAPANGAN-JUNI-PPL-PENDATAAN</v>
      </c>
      <c r="B93" s="10">
        <f>COUNTIFS('Alokasi Honor'!$I$2:$I990,$A93)</f>
        <v>1</v>
      </c>
      <c r="C93" s="10">
        <f>COUNTIFS('Alokasi Honor'!$I$2:$I990,$A93,'Alokasi Honor'!$U$2:$U990,1)</f>
        <v>1</v>
      </c>
      <c r="D93" s="10">
        <f t="shared" si="1"/>
        <v>1</v>
      </c>
      <c r="E93" s="10">
        <f t="shared" si="2"/>
        <v>0</v>
      </c>
      <c r="F93" s="96" t="s">
        <v>176</v>
      </c>
      <c r="G93" s="9" t="s">
        <v>25</v>
      </c>
      <c r="H93" s="9" t="s">
        <v>164</v>
      </c>
      <c r="I93" s="85">
        <v>50000</v>
      </c>
      <c r="J93" s="9" t="s">
        <v>67</v>
      </c>
      <c r="K93" s="10" t="str">
        <f t="shared" si="3"/>
        <v>HPJ24-LAPANGAN-JUNI-PPL</v>
      </c>
      <c r="L93" s="95">
        <v>45463</v>
      </c>
      <c r="M93" s="93">
        <f t="shared" si="4"/>
        <v>45483</v>
      </c>
      <c r="N93" s="10" t="str">
        <f t="array" ref="N93">INDEX('Input Kegiatan'!$B$2:$B990,MATCH(F93,'Input Kegiatan'!$A$2:$A990,0))&amp;" ("&amp;J93&amp;")"</f>
        <v>Survei Harga Produsen Jasa (HPJ24) Juni (PENDATAAN)</v>
      </c>
      <c r="O93" s="10" t="e">
        <f t="shared" ca="1" si="5"/>
        <v>#NAME?</v>
      </c>
      <c r="P93" s="10" t="str">
        <f t="array" ref="P93">INDEX('Input Kegiatan'!$C$2:$C990,MATCH($F93,'Input Kegiatan'!$A$2:$A990,0))</f>
        <v>SURVEI</v>
      </c>
      <c r="Q93" s="10" t="str">
        <f t="shared" si="6"/>
        <v>SURVEI-PPL</v>
      </c>
    </row>
    <row r="94" spans="1:17" ht="12.5">
      <c r="A94" s="10" t="str">
        <f t="shared" si="0"/>
        <v>HPJ24-LAPANGAN-JULI-PPL-PENDATAAN</v>
      </c>
      <c r="B94" s="10">
        <f>COUNTIFS('Alokasi Honor'!$I$2:$I990,$A94)</f>
        <v>1</v>
      </c>
      <c r="C94" s="10">
        <f>COUNTIFS('Alokasi Honor'!$I$2:$I990,$A94,'Alokasi Honor'!$U$2:$U990,1)</f>
        <v>1</v>
      </c>
      <c r="D94" s="10">
        <f t="shared" si="1"/>
        <v>1</v>
      </c>
      <c r="E94" s="10">
        <f t="shared" si="2"/>
        <v>0</v>
      </c>
      <c r="F94" s="96" t="s">
        <v>201</v>
      </c>
      <c r="G94" s="9" t="s">
        <v>25</v>
      </c>
      <c r="H94" s="9" t="s">
        <v>164</v>
      </c>
      <c r="I94" s="85">
        <v>50000</v>
      </c>
      <c r="J94" s="9" t="s">
        <v>67</v>
      </c>
      <c r="K94" s="10" t="str">
        <f t="shared" si="3"/>
        <v>HPJ24-LAPANGAN-JULI-PPL</v>
      </c>
      <c r="L94" s="95">
        <v>45493</v>
      </c>
      <c r="M94" s="93">
        <f t="shared" si="4"/>
        <v>45513</v>
      </c>
      <c r="N94" s="10" t="str">
        <f t="array" ref="N94">INDEX('Input Kegiatan'!$B$2:$B990,MATCH(F94,'Input Kegiatan'!$A$2:$A990,0))&amp;" ("&amp;J94&amp;")"</f>
        <v>Survei Harga Produsen Jasa (HPJ24) Juli (PENDATAAN)</v>
      </c>
      <c r="O94" s="10" t="e">
        <f t="shared" ca="1" si="5"/>
        <v>#NAME?</v>
      </c>
      <c r="P94" s="10" t="str">
        <f t="array" ref="P94">INDEX('Input Kegiatan'!$C$2:$C990,MATCH($F94,'Input Kegiatan'!$A$2:$A990,0))</f>
        <v>SURVEI</v>
      </c>
      <c r="Q94" s="10" t="str">
        <f t="shared" si="6"/>
        <v>SURVEI-PPL</v>
      </c>
    </row>
    <row r="95" spans="1:17" ht="12.5">
      <c r="A95" s="10" t="str">
        <f t="shared" si="0"/>
        <v>HPJ24-LAPANGAN-AGUSTUS-PPL-PENDATAAN</v>
      </c>
      <c r="B95" s="10">
        <f>COUNTIFS('Alokasi Honor'!$I$2:$I990,$A95)</f>
        <v>1</v>
      </c>
      <c r="C95" s="10">
        <f>COUNTIFS('Alokasi Honor'!$I$2:$I990,$A95,'Alokasi Honor'!$U$2:$U990,1)</f>
        <v>0</v>
      </c>
      <c r="D95" s="10">
        <f t="shared" si="1"/>
        <v>0</v>
      </c>
      <c r="E95" s="10">
        <f t="shared" si="2"/>
        <v>1</v>
      </c>
      <c r="F95" s="96" t="s">
        <v>223</v>
      </c>
      <c r="G95" s="9" t="s">
        <v>25</v>
      </c>
      <c r="H95" s="9" t="s">
        <v>164</v>
      </c>
      <c r="I95" s="85">
        <v>50000</v>
      </c>
      <c r="J95" s="9" t="s">
        <v>67</v>
      </c>
      <c r="K95" s="10" t="str">
        <f t="shared" si="3"/>
        <v>HPJ24-LAPANGAN-AGUSTUS-PPL</v>
      </c>
      <c r="L95" s="95">
        <v>45524</v>
      </c>
      <c r="M95" s="93">
        <f t="shared" si="4"/>
        <v>45544</v>
      </c>
      <c r="N95" s="10" t="str">
        <f t="array" ref="N95">INDEX('Input Kegiatan'!$B$2:$B990,MATCH(F95,'Input Kegiatan'!$A$2:$A990,0))&amp;" ("&amp;J95&amp;")"</f>
        <v>Survei Harga Produsen Jasa (HPJ24) Agustus (PENDATAAN)</v>
      </c>
      <c r="O95" s="10" t="e">
        <f t="shared" ca="1" si="5"/>
        <v>#NAME?</v>
      </c>
      <c r="P95" s="10" t="str">
        <f t="array" ref="P95">INDEX('Input Kegiatan'!$C$2:$C990,MATCH($F95,'Input Kegiatan'!$A$2:$A990,0))</f>
        <v>SURVEI</v>
      </c>
      <c r="Q95" s="10" t="str">
        <f t="shared" si="6"/>
        <v>SURVEI-PPL</v>
      </c>
    </row>
    <row r="96" spans="1:17" ht="12.5">
      <c r="A96" s="10" t="str">
        <f t="shared" si="0"/>
        <v>HPJ24-LAPANGAN-SEPTEMBER-PPL-PENDATAAN</v>
      </c>
      <c r="B96" s="10">
        <f>COUNTIFS('Alokasi Honor'!$I$2:$I990,$A96)</f>
        <v>1</v>
      </c>
      <c r="C96" s="10">
        <f>COUNTIFS('Alokasi Honor'!$I$2:$I990,$A96,'Alokasi Honor'!$U$2:$U990,1)</f>
        <v>0</v>
      </c>
      <c r="D96" s="10">
        <f t="shared" si="1"/>
        <v>0</v>
      </c>
      <c r="E96" s="10">
        <f t="shared" si="2"/>
        <v>1</v>
      </c>
      <c r="F96" s="96" t="s">
        <v>260</v>
      </c>
      <c r="G96" s="9" t="s">
        <v>25</v>
      </c>
      <c r="H96" s="9" t="s">
        <v>164</v>
      </c>
      <c r="I96" s="85">
        <v>50000</v>
      </c>
      <c r="J96" s="9" t="s">
        <v>67</v>
      </c>
      <c r="K96" s="10" t="str">
        <f t="shared" si="3"/>
        <v>HPJ24-LAPANGAN-SEPTEMBER-PPL</v>
      </c>
      <c r="L96" s="95">
        <v>45555</v>
      </c>
      <c r="M96" s="93">
        <f t="shared" si="4"/>
        <v>45575</v>
      </c>
      <c r="N96" s="10" t="str">
        <f t="array" ref="N96">INDEX('Input Kegiatan'!$B$2:$B990,MATCH(F96,'Input Kegiatan'!$A$2:$A990,0))&amp;" ("&amp;J96&amp;")"</f>
        <v>Survei Harga Produsen Jasa (HPJ24) September (PENDATAAN)</v>
      </c>
      <c r="O96" s="10" t="e">
        <f t="shared" ca="1" si="5"/>
        <v>#NAME?</v>
      </c>
      <c r="P96" s="10" t="str">
        <f t="array" ref="P96">INDEX('Input Kegiatan'!$C$2:$C990,MATCH($F96,'Input Kegiatan'!$A$2:$A990,0))</f>
        <v>SURVEI</v>
      </c>
      <c r="Q96" s="10" t="str">
        <f t="shared" si="6"/>
        <v>SURVEI-PPL</v>
      </c>
    </row>
    <row r="97" spans="1:17" ht="12.5">
      <c r="A97" s="10" t="str">
        <f t="shared" si="0"/>
        <v>HPJ24-LAPANGAN-OKTOBER-PPL-PENDATAAN</v>
      </c>
      <c r="B97" s="10">
        <f>COUNTIFS('Alokasi Honor'!$I$2:$I990,$A97)</f>
        <v>1</v>
      </c>
      <c r="C97" s="10">
        <f>COUNTIFS('Alokasi Honor'!$I$2:$I990,$A97,'Alokasi Honor'!$U$2:$U990,1)</f>
        <v>0</v>
      </c>
      <c r="D97" s="10">
        <f t="shared" si="1"/>
        <v>0</v>
      </c>
      <c r="E97" s="10">
        <f t="shared" si="2"/>
        <v>1</v>
      </c>
      <c r="F97" s="96" t="s">
        <v>286</v>
      </c>
      <c r="G97" s="9" t="s">
        <v>25</v>
      </c>
      <c r="H97" s="9" t="s">
        <v>164</v>
      </c>
      <c r="I97" s="85">
        <v>50000</v>
      </c>
      <c r="J97" s="9" t="s">
        <v>67</v>
      </c>
      <c r="K97" s="10" t="str">
        <f t="shared" si="3"/>
        <v>HPJ24-LAPANGAN-OKTOBER-PPL</v>
      </c>
      <c r="L97" s="95">
        <v>45585</v>
      </c>
      <c r="M97" s="93">
        <f t="shared" si="4"/>
        <v>45605</v>
      </c>
      <c r="N97" s="10" t="str">
        <f t="array" ref="N97">INDEX('Input Kegiatan'!$B$2:$B990,MATCH(F97,'Input Kegiatan'!$A$2:$A990,0))&amp;" ("&amp;J97&amp;")"</f>
        <v>Survei Harga Produsen Jasa (HPJ24) Oktober (PENDATAAN)</v>
      </c>
      <c r="O97" s="10" t="e">
        <f t="shared" ca="1" si="5"/>
        <v>#NAME?</v>
      </c>
      <c r="P97" s="10" t="str">
        <f t="array" ref="P97">INDEX('Input Kegiatan'!$C$2:$C990,MATCH($F97,'Input Kegiatan'!$A$2:$A990,0))</f>
        <v>SURVEI</v>
      </c>
      <c r="Q97" s="10" t="str">
        <f t="shared" si="6"/>
        <v>SURVEI-PPL</v>
      </c>
    </row>
    <row r="98" spans="1:17" ht="12.5">
      <c r="A98" s="10" t="str">
        <f t="shared" si="0"/>
        <v>HPJ24-LAPANGAN-NOVEMBER-PPL-PENDATAAN</v>
      </c>
      <c r="B98" s="10">
        <f>COUNTIFS('Alokasi Honor'!$I$2:$I990,$A98)</f>
        <v>1</v>
      </c>
      <c r="C98" s="10">
        <f>COUNTIFS('Alokasi Honor'!$I$2:$I990,$A98,'Alokasi Honor'!$U$2:$U990,1)</f>
        <v>0</v>
      </c>
      <c r="D98" s="10">
        <f t="shared" si="1"/>
        <v>0</v>
      </c>
      <c r="E98" s="10">
        <f t="shared" si="2"/>
        <v>1</v>
      </c>
      <c r="F98" s="96" t="s">
        <v>304</v>
      </c>
      <c r="G98" s="9" t="s">
        <v>25</v>
      </c>
      <c r="H98" s="9" t="s">
        <v>164</v>
      </c>
      <c r="I98" s="85">
        <v>50000</v>
      </c>
      <c r="J98" s="9" t="s">
        <v>67</v>
      </c>
      <c r="K98" s="10" t="str">
        <f t="shared" si="3"/>
        <v>HPJ24-LAPANGAN-NOVEMBER-PPL</v>
      </c>
      <c r="L98" s="95">
        <v>45616</v>
      </c>
      <c r="M98" s="93">
        <f t="shared" si="4"/>
        <v>45636</v>
      </c>
      <c r="N98" s="10" t="str">
        <f t="array" ref="N98">INDEX('Input Kegiatan'!$B$2:$B990,MATCH(F98,'Input Kegiatan'!$A$2:$A990,0))&amp;" ("&amp;J98&amp;")"</f>
        <v>Survei Harga Produsen Jasa (HPJ24) November (PENDATAAN)</v>
      </c>
      <c r="O98" s="10" t="e">
        <f t="shared" ca="1" si="5"/>
        <v>#NAME?</v>
      </c>
      <c r="P98" s="10" t="str">
        <f t="array" ref="P98">INDEX('Input Kegiatan'!$C$2:$C990,MATCH($F98,'Input Kegiatan'!$A$2:$A990,0))</f>
        <v>SURVEI</v>
      </c>
      <c r="Q98" s="10" t="str">
        <f t="shared" si="6"/>
        <v>SURVEI-PPL</v>
      </c>
    </row>
    <row r="99" spans="1:17" ht="12.5">
      <c r="A99" s="10" t="str">
        <f t="shared" si="0"/>
        <v>HPJ24-LAPANGAN-DESEMBER-PPL-PENDATAAN</v>
      </c>
      <c r="B99" s="10">
        <f>COUNTIFS('Alokasi Honor'!$I$2:$I990,$A99)</f>
        <v>1</v>
      </c>
      <c r="C99" s="10">
        <f>COUNTIFS('Alokasi Honor'!$I$2:$I990,$A99,'Alokasi Honor'!$U$2:$U990,1)</f>
        <v>0</v>
      </c>
      <c r="D99" s="10">
        <f t="shared" si="1"/>
        <v>0</v>
      </c>
      <c r="E99" s="10">
        <f t="shared" si="2"/>
        <v>1</v>
      </c>
      <c r="F99" s="96" t="s">
        <v>319</v>
      </c>
      <c r="G99" s="9" t="s">
        <v>25</v>
      </c>
      <c r="H99" s="9" t="s">
        <v>164</v>
      </c>
      <c r="I99" s="85">
        <v>50000</v>
      </c>
      <c r="J99" s="9" t="s">
        <v>67</v>
      </c>
      <c r="K99" s="10" t="str">
        <f t="shared" si="3"/>
        <v>HPJ24-LAPANGAN-DESEMBER-PPL</v>
      </c>
      <c r="L99" s="95">
        <v>45646</v>
      </c>
      <c r="M99" s="93">
        <f t="shared" si="4"/>
        <v>45666</v>
      </c>
      <c r="N99" s="10" t="str">
        <f t="array" ref="N99">INDEX('Input Kegiatan'!$B$2:$B990,MATCH(F99,'Input Kegiatan'!$A$2:$A990,0))&amp;" ("&amp;J99&amp;")"</f>
        <v>Survei Harga Produsen Jasa (HPJ24) Desember (PENDATAAN)</v>
      </c>
      <c r="O99" s="10" t="e">
        <f t="shared" ca="1" si="5"/>
        <v>#NAME?</v>
      </c>
      <c r="P99" s="10" t="str">
        <f t="array" ref="P99">INDEX('Input Kegiatan'!$C$2:$C990,MATCH($F99,'Input Kegiatan'!$A$2:$A990,0))</f>
        <v>SURVEI</v>
      </c>
      <c r="Q99" s="10" t="str">
        <f t="shared" si="6"/>
        <v>SURVEI-PPL</v>
      </c>
    </row>
    <row r="100" spans="1:17" ht="12.5">
      <c r="A100" s="10" t="str">
        <f t="shared" si="0"/>
        <v>SHPED24-LAPANGAN-JANUARI-PPL-PENDATAAN PRODUSEN</v>
      </c>
      <c r="B100" s="10">
        <f>COUNTIFS('Alokasi Honor'!$I$2:$I990,$A100)</f>
        <v>8</v>
      </c>
      <c r="C100" s="10">
        <f>COUNTIFS('Alokasi Honor'!$I$2:$I990,$A100,'Alokasi Honor'!$U$2:$U990,1)</f>
        <v>8</v>
      </c>
      <c r="D100" s="10">
        <f t="shared" si="1"/>
        <v>1</v>
      </c>
      <c r="E100" s="10">
        <f t="shared" si="2"/>
        <v>0</v>
      </c>
      <c r="F100" s="96" t="s">
        <v>71</v>
      </c>
      <c r="G100" s="9" t="s">
        <v>25</v>
      </c>
      <c r="H100" s="9" t="s">
        <v>164</v>
      </c>
      <c r="I100" s="85">
        <v>55000</v>
      </c>
      <c r="J100" s="9" t="s">
        <v>74</v>
      </c>
      <c r="K100" s="10" t="str">
        <f t="shared" si="3"/>
        <v>SHPED24-LAPANGAN-JANUARI-PPL</v>
      </c>
      <c r="L100" s="95">
        <v>45311</v>
      </c>
      <c r="M100" s="93">
        <f t="shared" si="4"/>
        <v>45331</v>
      </c>
      <c r="N100" s="10" t="str">
        <f t="array" ref="N100">INDEX('Input Kegiatan'!$B$2:$B990,MATCH(F100,'Input Kegiatan'!$A$2:$A990,0))&amp;" ("&amp;J100&amp;")"</f>
        <v>Survei Harga Perdesaan (SHPED24) Januari (PENDATAAN PRODUSEN)</v>
      </c>
      <c r="O100" s="10" t="e">
        <f t="shared" ca="1" si="5"/>
        <v>#NAME?</v>
      </c>
      <c r="P100" s="10" t="str">
        <f t="array" ref="P100">INDEX('Input Kegiatan'!$C$2:$C990,MATCH($F100,'Input Kegiatan'!$A$2:$A990,0))</f>
        <v>SURVEI</v>
      </c>
      <c r="Q100" s="10" t="str">
        <f t="shared" si="6"/>
        <v>SURVEI-PPL</v>
      </c>
    </row>
    <row r="101" spans="1:17" ht="12.5">
      <c r="A101" s="10" t="str">
        <f t="shared" si="0"/>
        <v>SHPED24-LAPANGAN-FEBRUARI-PPL-PENDATAAN PRODUSEN</v>
      </c>
      <c r="B101" s="10">
        <f>COUNTIFS('Alokasi Honor'!$I$2:$I990,$A101)</f>
        <v>8</v>
      </c>
      <c r="C101" s="10">
        <f>COUNTIFS('Alokasi Honor'!$I$2:$I990,$A101,'Alokasi Honor'!$U$2:$U990,1)</f>
        <v>8</v>
      </c>
      <c r="D101" s="10">
        <f t="shared" si="1"/>
        <v>1</v>
      </c>
      <c r="E101" s="10">
        <f t="shared" si="2"/>
        <v>0</v>
      </c>
      <c r="F101" s="96" t="s">
        <v>96</v>
      </c>
      <c r="G101" s="9" t="s">
        <v>25</v>
      </c>
      <c r="H101" s="9" t="s">
        <v>164</v>
      </c>
      <c r="I101" s="85">
        <v>55000</v>
      </c>
      <c r="J101" s="9" t="s">
        <v>74</v>
      </c>
      <c r="K101" s="10" t="str">
        <f t="shared" si="3"/>
        <v>SHPED24-LAPANGAN-FEBRUARI-PPL</v>
      </c>
      <c r="L101" s="86">
        <v>45342</v>
      </c>
      <c r="M101" s="87">
        <f t="shared" si="4"/>
        <v>45362</v>
      </c>
      <c r="N101" s="10" t="str">
        <f t="array" ref="N101">INDEX('Input Kegiatan'!$B$2:$B990,MATCH(F101,'Input Kegiatan'!$A$2:$A990,0))&amp;" ("&amp;J101&amp;")"</f>
        <v>Survei Harga Perdesaan (SHPED24) Februari (PENDATAAN PRODUSEN)</v>
      </c>
      <c r="O101" s="10" t="e">
        <f t="shared" ca="1" si="5"/>
        <v>#NAME?</v>
      </c>
      <c r="P101" s="10" t="str">
        <f t="array" ref="P101">INDEX('Input Kegiatan'!$C$2:$C990,MATCH($F101,'Input Kegiatan'!$A$2:$A990,0))</f>
        <v>SURVEI</v>
      </c>
      <c r="Q101" s="10" t="str">
        <f t="shared" si="6"/>
        <v>SURVEI-PPL</v>
      </c>
    </row>
    <row r="102" spans="1:17" ht="12.5">
      <c r="A102" s="10" t="str">
        <f t="shared" si="0"/>
        <v>SHPED24-LAPANGAN-MARET-PPL-PENDATAAN PRODUSEN</v>
      </c>
      <c r="B102" s="10">
        <f>COUNTIFS('Alokasi Honor'!$I$2:$I990,$A102)</f>
        <v>8</v>
      </c>
      <c r="C102" s="10">
        <f>COUNTIFS('Alokasi Honor'!$I$2:$I990,$A102,'Alokasi Honor'!$U$2:$U990,1)</f>
        <v>8</v>
      </c>
      <c r="D102" s="10">
        <f t="shared" si="1"/>
        <v>1</v>
      </c>
      <c r="E102" s="10">
        <f t="shared" si="2"/>
        <v>0</v>
      </c>
      <c r="F102" s="96" t="s">
        <v>114</v>
      </c>
      <c r="G102" s="9" t="s">
        <v>25</v>
      </c>
      <c r="H102" s="9" t="s">
        <v>164</v>
      </c>
      <c r="I102" s="85">
        <v>55000</v>
      </c>
      <c r="J102" s="9" t="s">
        <v>74</v>
      </c>
      <c r="K102" s="10" t="str">
        <f t="shared" si="3"/>
        <v>SHPED24-LAPANGAN-MARET-PPL</v>
      </c>
      <c r="L102" s="95">
        <v>45371</v>
      </c>
      <c r="M102" s="93">
        <f t="shared" si="4"/>
        <v>45391</v>
      </c>
      <c r="N102" s="10" t="str">
        <f t="array" ref="N102">INDEX('Input Kegiatan'!$B$2:$B990,MATCH(F102,'Input Kegiatan'!$A$2:$A990,0))&amp;" ("&amp;J102&amp;")"</f>
        <v>Survei Harga Perdesaan (SHPED24) Maret (PENDATAAN PRODUSEN)</v>
      </c>
      <c r="O102" s="10" t="e">
        <f t="shared" ca="1" si="5"/>
        <v>#NAME?</v>
      </c>
      <c r="P102" s="10" t="str">
        <f t="array" ref="P102">INDEX('Input Kegiatan'!$C$2:$C990,MATCH($F102,'Input Kegiatan'!$A$2:$A990,0))</f>
        <v>SURVEI</v>
      </c>
      <c r="Q102" s="10" t="str">
        <f t="shared" si="6"/>
        <v>SURVEI-PPL</v>
      </c>
    </row>
    <row r="103" spans="1:17" ht="12.5">
      <c r="A103" s="10" t="str">
        <f t="shared" si="0"/>
        <v>SHPED24-LAPANGAN-APRIL-PPL-PENDATAAN PRODUSEN</v>
      </c>
      <c r="B103" s="10">
        <f>COUNTIFS('Alokasi Honor'!$I$2:$I990,$A103)</f>
        <v>8</v>
      </c>
      <c r="C103" s="10">
        <f>COUNTIFS('Alokasi Honor'!$I$2:$I990,$A103,'Alokasi Honor'!$U$2:$U990,1)</f>
        <v>8</v>
      </c>
      <c r="D103" s="10">
        <f t="shared" si="1"/>
        <v>1</v>
      </c>
      <c r="E103" s="10">
        <f t="shared" si="2"/>
        <v>0</v>
      </c>
      <c r="F103" s="96" t="s">
        <v>134</v>
      </c>
      <c r="G103" s="9" t="s">
        <v>25</v>
      </c>
      <c r="H103" s="9" t="s">
        <v>164</v>
      </c>
      <c r="I103" s="85">
        <v>55000</v>
      </c>
      <c r="J103" s="9" t="s">
        <v>74</v>
      </c>
      <c r="K103" s="10" t="str">
        <f t="shared" si="3"/>
        <v>SHPED24-LAPANGAN-APRIL-PPL</v>
      </c>
      <c r="L103" s="95">
        <v>45402</v>
      </c>
      <c r="M103" s="93">
        <f t="shared" si="4"/>
        <v>45422</v>
      </c>
      <c r="N103" s="10" t="str">
        <f t="array" ref="N103">INDEX('Input Kegiatan'!$B$2:$B990,MATCH(F103,'Input Kegiatan'!$A$2:$A990,0))&amp;" ("&amp;J103&amp;")"</f>
        <v>Survei Harga Perdesaan (SHPED24) April (PENDATAAN PRODUSEN)</v>
      </c>
      <c r="O103" s="10" t="e">
        <f t="shared" ca="1" si="5"/>
        <v>#NAME?</v>
      </c>
      <c r="P103" s="10" t="str">
        <f t="array" ref="P103">INDEX('Input Kegiatan'!$C$2:$C990,MATCH($F103,'Input Kegiatan'!$A$2:$A990,0))</f>
        <v>SURVEI</v>
      </c>
      <c r="Q103" s="10" t="str">
        <f t="shared" si="6"/>
        <v>SURVEI-PPL</v>
      </c>
    </row>
    <row r="104" spans="1:17" ht="12.5">
      <c r="A104" s="10" t="str">
        <f t="shared" si="0"/>
        <v>SHPED24-LAPANGAN-MEI-PPL-PENDATAAN PRODUSEN</v>
      </c>
      <c r="B104" s="10">
        <f>COUNTIFS('Alokasi Honor'!$I$2:$I990,$A104)</f>
        <v>8</v>
      </c>
      <c r="C104" s="10">
        <f>COUNTIFS('Alokasi Honor'!$I$2:$I990,$A104,'Alokasi Honor'!$U$2:$U990,1)</f>
        <v>8</v>
      </c>
      <c r="D104" s="10">
        <f t="shared" si="1"/>
        <v>1</v>
      </c>
      <c r="E104" s="10">
        <f t="shared" si="2"/>
        <v>0</v>
      </c>
      <c r="F104" s="96" t="s">
        <v>154</v>
      </c>
      <c r="G104" s="9" t="s">
        <v>25</v>
      </c>
      <c r="H104" s="9" t="s">
        <v>164</v>
      </c>
      <c r="I104" s="85">
        <v>55000</v>
      </c>
      <c r="J104" s="9" t="s">
        <v>74</v>
      </c>
      <c r="K104" s="10" t="str">
        <f t="shared" si="3"/>
        <v>SHPED24-LAPANGAN-MEI-PPL</v>
      </c>
      <c r="L104" s="95">
        <v>45432</v>
      </c>
      <c r="M104" s="93">
        <f t="shared" si="4"/>
        <v>45452</v>
      </c>
      <c r="N104" s="10" t="str">
        <f t="array" ref="N104">INDEX('Input Kegiatan'!$B$2:$B990,MATCH(F104,'Input Kegiatan'!$A$2:$A990,0))&amp;" ("&amp;J104&amp;")"</f>
        <v>Survei Harga Perdesaan (SHPED24) Mei (PENDATAAN PRODUSEN)</v>
      </c>
      <c r="O104" s="10" t="e">
        <f t="shared" ca="1" si="5"/>
        <v>#NAME?</v>
      </c>
      <c r="P104" s="10" t="str">
        <f t="array" ref="P104">INDEX('Input Kegiatan'!$C$2:$C990,MATCH($F104,'Input Kegiatan'!$A$2:$A990,0))</f>
        <v>SURVEI</v>
      </c>
      <c r="Q104" s="10" t="str">
        <f t="shared" si="6"/>
        <v>SURVEI-PPL</v>
      </c>
    </row>
    <row r="105" spans="1:17" ht="12.5">
      <c r="A105" s="10" t="str">
        <f t="shared" si="0"/>
        <v>SHPED24-LAPANGAN-JUNI-PPL-PENDATAAN PRODUSEN</v>
      </c>
      <c r="B105" s="10">
        <f>COUNTIFS('Alokasi Honor'!$I$2:$I990,$A105)</f>
        <v>8</v>
      </c>
      <c r="C105" s="10">
        <f>COUNTIFS('Alokasi Honor'!$I$2:$I990,$A105,'Alokasi Honor'!$U$2:$U990,1)</f>
        <v>8</v>
      </c>
      <c r="D105" s="10">
        <f t="shared" si="1"/>
        <v>1</v>
      </c>
      <c r="E105" s="10">
        <f t="shared" si="2"/>
        <v>0</v>
      </c>
      <c r="F105" s="96" t="s">
        <v>171</v>
      </c>
      <c r="G105" s="9" t="s">
        <v>25</v>
      </c>
      <c r="H105" s="9" t="s">
        <v>164</v>
      </c>
      <c r="I105" s="85">
        <v>55000</v>
      </c>
      <c r="J105" s="9" t="s">
        <v>74</v>
      </c>
      <c r="K105" s="10" t="str">
        <f t="shared" si="3"/>
        <v>SHPED24-LAPANGAN-JUNI-PPL</v>
      </c>
      <c r="L105" s="95">
        <v>45463</v>
      </c>
      <c r="M105" s="93">
        <f t="shared" si="4"/>
        <v>45483</v>
      </c>
      <c r="N105" s="10" t="str">
        <f t="array" ref="N105">INDEX('Input Kegiatan'!$B$2:$B990,MATCH(F105,'Input Kegiatan'!$A$2:$A990,0))&amp;" ("&amp;J105&amp;")"</f>
        <v>Survei Harga Perdesaan (SHPED24) Juni (PENDATAAN PRODUSEN)</v>
      </c>
      <c r="O105" s="10" t="e">
        <f t="shared" ca="1" si="5"/>
        <v>#NAME?</v>
      </c>
      <c r="P105" s="10" t="str">
        <f t="array" ref="P105">INDEX('Input Kegiatan'!$C$2:$C990,MATCH($F105,'Input Kegiatan'!$A$2:$A990,0))</f>
        <v>SURVEI</v>
      </c>
      <c r="Q105" s="10" t="str">
        <f t="shared" si="6"/>
        <v>SURVEI-PPL</v>
      </c>
    </row>
    <row r="106" spans="1:17" ht="12.5">
      <c r="A106" s="10" t="str">
        <f t="shared" si="0"/>
        <v>SHPED24-LAPANGAN-JULI-PPL-PENDATAAN PRODUSEN</v>
      </c>
      <c r="B106" s="10">
        <f>COUNTIFS('Alokasi Honor'!$I$2:$I990,$A106)</f>
        <v>8</v>
      </c>
      <c r="C106" s="10">
        <f>COUNTIFS('Alokasi Honor'!$I$2:$I990,$A106,'Alokasi Honor'!$U$2:$U990,1)</f>
        <v>8</v>
      </c>
      <c r="D106" s="10">
        <f t="shared" si="1"/>
        <v>1</v>
      </c>
      <c r="E106" s="10">
        <f t="shared" si="2"/>
        <v>0</v>
      </c>
      <c r="F106" s="96" t="s">
        <v>196</v>
      </c>
      <c r="G106" s="9" t="s">
        <v>25</v>
      </c>
      <c r="H106" s="9" t="s">
        <v>164</v>
      </c>
      <c r="I106" s="85">
        <v>55000</v>
      </c>
      <c r="J106" s="9" t="s">
        <v>74</v>
      </c>
      <c r="K106" s="10" t="str">
        <f t="shared" si="3"/>
        <v>SHPED24-LAPANGAN-JULI-PPL</v>
      </c>
      <c r="L106" s="95">
        <v>45493</v>
      </c>
      <c r="M106" s="93">
        <f t="shared" si="4"/>
        <v>45513</v>
      </c>
      <c r="N106" s="10" t="str">
        <f t="array" ref="N106">INDEX('Input Kegiatan'!$B$2:$B990,MATCH(F106,'Input Kegiatan'!$A$2:$A990,0))&amp;" ("&amp;J106&amp;")"</f>
        <v>Survei Harga Perdesaan (SHPED24) Juli (PENDATAAN PRODUSEN)</v>
      </c>
      <c r="O106" s="10" t="e">
        <f t="shared" ca="1" si="5"/>
        <v>#NAME?</v>
      </c>
      <c r="P106" s="10" t="str">
        <f t="array" ref="P106">INDEX('Input Kegiatan'!$C$2:$C990,MATCH($F106,'Input Kegiatan'!$A$2:$A990,0))</f>
        <v>SURVEI</v>
      </c>
      <c r="Q106" s="10" t="str">
        <f t="shared" si="6"/>
        <v>SURVEI-PPL</v>
      </c>
    </row>
    <row r="107" spans="1:17" ht="12.5">
      <c r="A107" s="10" t="str">
        <f t="shared" si="0"/>
        <v>SHPED24-LAPANGAN-AGUSTUS-PPL-PENDATAAN PRODUSEN</v>
      </c>
      <c r="B107" s="10">
        <f>COUNTIFS('Alokasi Honor'!$I$2:$I990,$A107)</f>
        <v>8</v>
      </c>
      <c r="C107" s="10">
        <f>COUNTIFS('Alokasi Honor'!$I$2:$I990,$A107,'Alokasi Honor'!$U$2:$U990,1)</f>
        <v>0</v>
      </c>
      <c r="D107" s="10">
        <f t="shared" si="1"/>
        <v>0</v>
      </c>
      <c r="E107" s="10">
        <f t="shared" si="2"/>
        <v>1</v>
      </c>
      <c r="F107" s="96" t="s">
        <v>218</v>
      </c>
      <c r="G107" s="9" t="s">
        <v>25</v>
      </c>
      <c r="H107" s="9" t="s">
        <v>164</v>
      </c>
      <c r="I107" s="85">
        <v>55000</v>
      </c>
      <c r="J107" s="9" t="s">
        <v>74</v>
      </c>
      <c r="K107" s="10" t="str">
        <f t="shared" si="3"/>
        <v>SHPED24-LAPANGAN-AGUSTUS-PPL</v>
      </c>
      <c r="L107" s="95">
        <v>45524</v>
      </c>
      <c r="M107" s="93">
        <f t="shared" si="4"/>
        <v>45544</v>
      </c>
      <c r="N107" s="10" t="str">
        <f t="array" ref="N107">INDEX('Input Kegiatan'!$B$2:$B990,MATCH(F107,'Input Kegiatan'!$A$2:$A990,0))&amp;" ("&amp;J107&amp;")"</f>
        <v>Survei Harga Perdesaan (SHPED24) Agustus (PENDATAAN PRODUSEN)</v>
      </c>
      <c r="O107" s="10" t="e">
        <f t="shared" ca="1" si="5"/>
        <v>#NAME?</v>
      </c>
      <c r="P107" s="10" t="str">
        <f t="array" ref="P107">INDEX('Input Kegiatan'!$C$2:$C990,MATCH($F107,'Input Kegiatan'!$A$2:$A990,0))</f>
        <v>SURVEI</v>
      </c>
      <c r="Q107" s="10" t="str">
        <f t="shared" si="6"/>
        <v>SURVEI-PPL</v>
      </c>
    </row>
    <row r="108" spans="1:17" ht="12.5">
      <c r="A108" s="10" t="str">
        <f t="shared" si="0"/>
        <v>SHPED24-LAPANGAN-SEPTEMBER-PPL-PENDATAAN PRODUSEN</v>
      </c>
      <c r="B108" s="10">
        <f>COUNTIFS('Alokasi Honor'!$I$2:$I990,$A108)</f>
        <v>8</v>
      </c>
      <c r="C108" s="10">
        <f>COUNTIFS('Alokasi Honor'!$I$2:$I990,$A108,'Alokasi Honor'!$U$2:$U990,1)</f>
        <v>0</v>
      </c>
      <c r="D108" s="10">
        <f t="shared" si="1"/>
        <v>0</v>
      </c>
      <c r="E108" s="10">
        <f t="shared" si="2"/>
        <v>1</v>
      </c>
      <c r="F108" s="96" t="s">
        <v>255</v>
      </c>
      <c r="G108" s="9" t="s">
        <v>25</v>
      </c>
      <c r="H108" s="9" t="s">
        <v>164</v>
      </c>
      <c r="I108" s="85">
        <v>55000</v>
      </c>
      <c r="J108" s="9" t="s">
        <v>74</v>
      </c>
      <c r="K108" s="10" t="str">
        <f t="shared" si="3"/>
        <v>SHPED24-LAPANGAN-SEPTEMBER-PPL</v>
      </c>
      <c r="L108" s="95">
        <v>45555</v>
      </c>
      <c r="M108" s="93">
        <f t="shared" si="4"/>
        <v>45575</v>
      </c>
      <c r="N108" s="10" t="str">
        <f t="array" ref="N108">INDEX('Input Kegiatan'!$B$2:$B990,MATCH(F108,'Input Kegiatan'!$A$2:$A990,0))&amp;" ("&amp;J108&amp;")"</f>
        <v>Survei Harga Perdesaan (SHPED24) September (PENDATAAN PRODUSEN)</v>
      </c>
      <c r="O108" s="10" t="e">
        <f t="shared" ca="1" si="5"/>
        <v>#NAME?</v>
      </c>
      <c r="P108" s="10" t="str">
        <f t="array" ref="P108">INDEX('Input Kegiatan'!$C$2:$C990,MATCH($F108,'Input Kegiatan'!$A$2:$A990,0))</f>
        <v>SURVEI</v>
      </c>
      <c r="Q108" s="10" t="str">
        <f t="shared" si="6"/>
        <v>SURVEI-PPL</v>
      </c>
    </row>
    <row r="109" spans="1:17" ht="12.5">
      <c r="A109" s="10" t="str">
        <f t="shared" si="0"/>
        <v>SHPED24-LAPANGAN-OKTOBER-PPL-PENDATAAN PRODUSEN</v>
      </c>
      <c r="B109" s="10">
        <f>COUNTIFS('Alokasi Honor'!$I$2:$I990,$A109)</f>
        <v>8</v>
      </c>
      <c r="C109" s="10">
        <f>COUNTIFS('Alokasi Honor'!$I$2:$I990,$A109,'Alokasi Honor'!$U$2:$U990,1)</f>
        <v>0</v>
      </c>
      <c r="D109" s="10">
        <f t="shared" si="1"/>
        <v>0</v>
      </c>
      <c r="E109" s="10">
        <f t="shared" si="2"/>
        <v>1</v>
      </c>
      <c r="F109" s="96" t="s">
        <v>281</v>
      </c>
      <c r="G109" s="9" t="s">
        <v>25</v>
      </c>
      <c r="H109" s="9" t="s">
        <v>164</v>
      </c>
      <c r="I109" s="85">
        <v>55000</v>
      </c>
      <c r="J109" s="9" t="s">
        <v>74</v>
      </c>
      <c r="K109" s="10" t="str">
        <f t="shared" si="3"/>
        <v>SHPED24-LAPANGAN-OKTOBER-PPL</v>
      </c>
      <c r="L109" s="95">
        <v>45585</v>
      </c>
      <c r="M109" s="93">
        <f t="shared" si="4"/>
        <v>45605</v>
      </c>
      <c r="N109" s="10" t="str">
        <f t="array" ref="N109">INDEX('Input Kegiatan'!$B$2:$B990,MATCH(F109,'Input Kegiatan'!$A$2:$A990,0))&amp;" ("&amp;J109&amp;")"</f>
        <v>Survei Harga Perdesaan (SHPED24) Oktober (PENDATAAN PRODUSEN)</v>
      </c>
      <c r="O109" s="10" t="e">
        <f t="shared" ca="1" si="5"/>
        <v>#NAME?</v>
      </c>
      <c r="P109" s="10" t="str">
        <f t="array" ref="P109">INDEX('Input Kegiatan'!$C$2:$C990,MATCH($F109,'Input Kegiatan'!$A$2:$A990,0))</f>
        <v>SURVEI</v>
      </c>
      <c r="Q109" s="10" t="str">
        <f t="shared" si="6"/>
        <v>SURVEI-PPL</v>
      </c>
    </row>
    <row r="110" spans="1:17" ht="12.5">
      <c r="A110" s="10" t="str">
        <f t="shared" si="0"/>
        <v>SHPED24-LAPANGAN-NOVEMBER-PPL-PENDATAAN PRODUSEN</v>
      </c>
      <c r="B110" s="10">
        <f>COUNTIFS('Alokasi Honor'!$I$2:$I990,$A110)</f>
        <v>8</v>
      </c>
      <c r="C110" s="10">
        <f>COUNTIFS('Alokasi Honor'!$I$2:$I990,$A110,'Alokasi Honor'!$U$2:$U990,1)</f>
        <v>0</v>
      </c>
      <c r="D110" s="10">
        <f t="shared" si="1"/>
        <v>0</v>
      </c>
      <c r="E110" s="10">
        <f t="shared" si="2"/>
        <v>1</v>
      </c>
      <c r="F110" s="96" t="s">
        <v>299</v>
      </c>
      <c r="G110" s="9" t="s">
        <v>25</v>
      </c>
      <c r="H110" s="9" t="s">
        <v>164</v>
      </c>
      <c r="I110" s="85">
        <v>55000</v>
      </c>
      <c r="J110" s="9" t="s">
        <v>74</v>
      </c>
      <c r="K110" s="10" t="str">
        <f t="shared" si="3"/>
        <v>SHPED24-LAPANGAN-NOVEMBER-PPL</v>
      </c>
      <c r="L110" s="95">
        <v>45616</v>
      </c>
      <c r="M110" s="93">
        <f t="shared" si="4"/>
        <v>45636</v>
      </c>
      <c r="N110" s="10" t="str">
        <f t="array" ref="N110">INDEX('Input Kegiatan'!$B$2:$B990,MATCH(F110,'Input Kegiatan'!$A$2:$A990,0))&amp;" ("&amp;J110&amp;")"</f>
        <v>Survei Harga Perdesaan (SHPED24) November (PENDATAAN PRODUSEN)</v>
      </c>
      <c r="O110" s="10" t="e">
        <f t="shared" ca="1" si="5"/>
        <v>#NAME?</v>
      </c>
      <c r="P110" s="10" t="str">
        <f t="array" ref="P110">INDEX('Input Kegiatan'!$C$2:$C990,MATCH($F110,'Input Kegiatan'!$A$2:$A990,0))</f>
        <v>SURVEI</v>
      </c>
      <c r="Q110" s="10" t="str">
        <f t="shared" si="6"/>
        <v>SURVEI-PPL</v>
      </c>
    </row>
    <row r="111" spans="1:17" ht="12.5">
      <c r="A111" s="10" t="str">
        <f t="shared" si="0"/>
        <v>SHPED24-LAPANGAN-DESEMBER-PPL-PENDATAAN PRODUSEN</v>
      </c>
      <c r="B111" s="10">
        <f>COUNTIFS('Alokasi Honor'!$I$2:$I990,$A111)</f>
        <v>8</v>
      </c>
      <c r="C111" s="10">
        <f>COUNTIFS('Alokasi Honor'!$I$2:$I990,$A111,'Alokasi Honor'!$U$2:$U990,1)</f>
        <v>0</v>
      </c>
      <c r="D111" s="10">
        <f t="shared" si="1"/>
        <v>0</v>
      </c>
      <c r="E111" s="10">
        <f t="shared" si="2"/>
        <v>1</v>
      </c>
      <c r="F111" s="96" t="s">
        <v>314</v>
      </c>
      <c r="G111" s="9" t="s">
        <v>25</v>
      </c>
      <c r="H111" s="9" t="s">
        <v>164</v>
      </c>
      <c r="I111" s="85">
        <v>55000</v>
      </c>
      <c r="J111" s="9" t="s">
        <v>74</v>
      </c>
      <c r="K111" s="10" t="str">
        <f t="shared" si="3"/>
        <v>SHPED24-LAPANGAN-DESEMBER-PPL</v>
      </c>
      <c r="L111" s="95">
        <v>45646</v>
      </c>
      <c r="M111" s="93">
        <f t="shared" si="4"/>
        <v>45666</v>
      </c>
      <c r="N111" s="10" t="str">
        <f t="array" ref="N111">INDEX('Input Kegiatan'!$B$2:$B990,MATCH(F111,'Input Kegiatan'!$A$2:$A990,0))&amp;" ("&amp;J111&amp;")"</f>
        <v>Survei Harga Perdesaan (SHPED24) Desember (PENDATAAN PRODUSEN)</v>
      </c>
      <c r="O111" s="10" t="e">
        <f t="shared" ca="1" si="5"/>
        <v>#NAME?</v>
      </c>
      <c r="P111" s="10" t="str">
        <f t="array" ref="P111">INDEX('Input Kegiatan'!$C$2:$C990,MATCH($F111,'Input Kegiatan'!$A$2:$A990,0))</f>
        <v>SURVEI</v>
      </c>
      <c r="Q111" s="10" t="str">
        <f t="shared" si="6"/>
        <v>SURVEI-PPL</v>
      </c>
    </row>
    <row r="112" spans="1:17" ht="12.5">
      <c r="A112" s="10" t="str">
        <f t="shared" si="0"/>
        <v>HPSJT-UPDATING-PPL-PAKET UPDATING LISTING</v>
      </c>
      <c r="B112" s="10">
        <f>COUNTIFS('Alokasi Honor'!$I$2:$I990,$A112)</f>
        <v>1</v>
      </c>
      <c r="C112" s="10">
        <f>COUNTIFS('Alokasi Honor'!$I$2:$I990,$A112,'Alokasi Honor'!$U$2:$U990,1)</f>
        <v>1</v>
      </c>
      <c r="D112" s="10">
        <f t="shared" si="1"/>
        <v>1</v>
      </c>
      <c r="E112" s="10">
        <f t="shared" si="2"/>
        <v>0</v>
      </c>
      <c r="F112" s="9" t="s">
        <v>86</v>
      </c>
      <c r="G112" s="9" t="s">
        <v>25</v>
      </c>
      <c r="H112" s="9" t="s">
        <v>164</v>
      </c>
      <c r="I112" s="85">
        <v>50000</v>
      </c>
      <c r="J112" s="9" t="s">
        <v>87</v>
      </c>
      <c r="K112" s="10" t="str">
        <f t="shared" si="3"/>
        <v>HPSJT-UPDATING-PPL</v>
      </c>
      <c r="L112" s="93">
        <v>45322</v>
      </c>
      <c r="M112" s="93">
        <f t="shared" si="4"/>
        <v>45342</v>
      </c>
      <c r="N112" s="10" t="str">
        <f t="array" ref="N112">INDEX('Input Kegiatan'!$B$2:$B990,MATCH(F112,'Input Kegiatan'!$A$2:$A990,0))&amp;" ("&amp;J112&amp;")"</f>
        <v>Updating Paket HPS, HPJ, dan HPT Kabupaten (PAKET UPDATING LISTING)</v>
      </c>
      <c r="O112" s="10" t="e">
        <f t="shared" ca="1" si="5"/>
        <v>#NAME?</v>
      </c>
      <c r="P112" s="10" t="str">
        <f t="array" ref="P112">INDEX('Input Kegiatan'!$C$2:$C990,MATCH($F112,'Input Kegiatan'!$A$2:$A990,0))</f>
        <v>SURVEI</v>
      </c>
      <c r="Q112" s="10" t="str">
        <f t="shared" si="6"/>
        <v>SURVEI-PPL</v>
      </c>
    </row>
    <row r="113" spans="1:17" ht="12.5">
      <c r="A113" s="10" t="str">
        <f t="shared" si="0"/>
        <v>SERUTI24-LAPANGAN-TRI1-PPL-PENDATAAN</v>
      </c>
      <c r="B113" s="10">
        <f>COUNTIFS('Alokasi Honor'!$I$2:$I990,$A113)</f>
        <v>14</v>
      </c>
      <c r="C113" s="10">
        <f>COUNTIFS('Alokasi Honor'!$I$2:$I990,$A113,'Alokasi Honor'!$U$2:$U990,1)</f>
        <v>14</v>
      </c>
      <c r="D113" s="10">
        <f t="shared" si="1"/>
        <v>1</v>
      </c>
      <c r="E113" s="10">
        <f t="shared" si="2"/>
        <v>0</v>
      </c>
      <c r="F113" s="9" t="s">
        <v>105</v>
      </c>
      <c r="G113" s="9" t="s">
        <v>25</v>
      </c>
      <c r="H113" s="9" t="s">
        <v>164</v>
      </c>
      <c r="I113" s="85">
        <v>60000</v>
      </c>
      <c r="J113" s="9" t="s">
        <v>67</v>
      </c>
      <c r="K113" s="10" t="str">
        <f t="shared" si="3"/>
        <v>SERUTI24-LAPANGAN-TRI1-PPL</v>
      </c>
      <c r="L113" s="86">
        <v>45350</v>
      </c>
      <c r="M113" s="87">
        <f t="shared" si="4"/>
        <v>45370</v>
      </c>
      <c r="N113" s="10" t="str">
        <f t="array" ref="N113">INDEX('Input Kegiatan'!$B$2:$B990,MATCH(F113,'Input Kegiatan'!$A$2:$A990,0))&amp;" ("&amp;J113&amp;")"</f>
        <v>Survei Ekonomi Rumah Tangga Triwulanan (SERUTI24) Triwulan I Kegiatan Lapangan (PENDATAAN)</v>
      </c>
      <c r="O113" s="10" t="e">
        <f t="shared" ca="1" si="5"/>
        <v>#NAME?</v>
      </c>
      <c r="P113" s="10" t="str">
        <f t="array" ref="P113">INDEX('Input Kegiatan'!$C$2:$C990,MATCH($F113,'Input Kegiatan'!$A$2:$A990,0))</f>
        <v>SURVEI</v>
      </c>
      <c r="Q113" s="10" t="str">
        <f t="shared" si="6"/>
        <v>SURVEI-PPL</v>
      </c>
    </row>
    <row r="114" spans="1:17" ht="12.5">
      <c r="A114" s="10" t="str">
        <f t="shared" si="0"/>
        <v>SERUTI24-LAPANGAN-TRI2-PPL-PENDATAAN</v>
      </c>
      <c r="B114" s="10">
        <f>COUNTIFS('Alokasi Honor'!$I$2:$I990,$A114)</f>
        <v>14</v>
      </c>
      <c r="C114" s="10">
        <f>COUNTIFS('Alokasi Honor'!$I$2:$I990,$A114,'Alokasi Honor'!$U$2:$U990,1)</f>
        <v>14</v>
      </c>
      <c r="D114" s="10">
        <f t="shared" si="1"/>
        <v>1</v>
      </c>
      <c r="E114" s="10">
        <f t="shared" si="2"/>
        <v>0</v>
      </c>
      <c r="F114" s="9" t="s">
        <v>186</v>
      </c>
      <c r="G114" s="9" t="s">
        <v>25</v>
      </c>
      <c r="H114" s="9" t="s">
        <v>164</v>
      </c>
      <c r="I114" s="85">
        <v>91000</v>
      </c>
      <c r="J114" s="9" t="s">
        <v>67</v>
      </c>
      <c r="K114" s="10" t="str">
        <f t="shared" si="3"/>
        <v>SERUTI24-LAPANGAN-TRI2-PPL</v>
      </c>
      <c r="L114" s="97">
        <v>45482</v>
      </c>
      <c r="M114" s="98">
        <f t="shared" si="4"/>
        <v>45502</v>
      </c>
      <c r="N114" s="10" t="str">
        <f t="array" ref="N114">INDEX('Input Kegiatan'!$B$2:$B990,MATCH(F114,'Input Kegiatan'!$A$2:$A990,0))&amp;" ("&amp;J114&amp;")"</f>
        <v>Survei Ekonomi Rumah Tangga Triwulanan (SERUTI24) Triwulan II Kegiatan Lapangan (PENDATAAN)</v>
      </c>
      <c r="O114" s="10" t="e">
        <f t="shared" ca="1" si="5"/>
        <v>#NAME?</v>
      </c>
      <c r="P114" s="10" t="str">
        <f t="array" ref="P114">INDEX('Input Kegiatan'!$C$2:$C990,MATCH($F114,'Input Kegiatan'!$A$2:$A990,0))</f>
        <v>SURVEI</v>
      </c>
      <c r="Q114" s="10" t="str">
        <f t="shared" si="6"/>
        <v>SURVEI-PPL</v>
      </c>
    </row>
    <row r="115" spans="1:17" ht="12.5">
      <c r="A115" s="10" t="str">
        <f t="shared" si="0"/>
        <v>SERUTI24-LAPANGAN-TRI3-PPL-PENDATAAN</v>
      </c>
      <c r="B115" s="10">
        <f>COUNTIFS('Alokasi Honor'!$I$2:$I990,$A115)</f>
        <v>14</v>
      </c>
      <c r="C115" s="10">
        <f>COUNTIFS('Alokasi Honor'!$I$2:$I990,$A115,'Alokasi Honor'!$U$2:$U990,1)</f>
        <v>0</v>
      </c>
      <c r="D115" s="10">
        <f t="shared" si="1"/>
        <v>0</v>
      </c>
      <c r="E115" s="10">
        <f t="shared" si="2"/>
        <v>1</v>
      </c>
      <c r="F115" s="9" t="s">
        <v>266</v>
      </c>
      <c r="G115" s="9" t="s">
        <v>25</v>
      </c>
      <c r="H115" s="9" t="s">
        <v>164</v>
      </c>
      <c r="I115" s="85">
        <v>60000</v>
      </c>
      <c r="J115" s="9" t="s">
        <v>67</v>
      </c>
      <c r="K115" s="10" t="str">
        <f t="shared" si="3"/>
        <v>SERUTI24-LAPANGAN-TRI3-PPL</v>
      </c>
      <c r="L115" s="97">
        <v>45565</v>
      </c>
      <c r="M115" s="98">
        <f t="shared" si="4"/>
        <v>45585</v>
      </c>
      <c r="N115" s="10" t="str">
        <f t="array" ref="N115">INDEX('Input Kegiatan'!$B$2:$B990,MATCH(F115,'Input Kegiatan'!$A$2:$A990,0))&amp;" ("&amp;J115&amp;")"</f>
        <v>Survei Ekonomi Rumah Tangga Triwulanan (SERUTI24) Triwulan III Kegiatan Lapangan (PENDATAAN)</v>
      </c>
      <c r="O115" s="10" t="e">
        <f t="shared" ca="1" si="5"/>
        <v>#NAME?</v>
      </c>
      <c r="P115" s="10" t="str">
        <f t="array" ref="P115">INDEX('Input Kegiatan'!$C$2:$C990,MATCH($F115,'Input Kegiatan'!$A$2:$A990,0))</f>
        <v>SURVEI</v>
      </c>
      <c r="Q115" s="10" t="str">
        <f t="shared" si="6"/>
        <v>SURVEI-PPL</v>
      </c>
    </row>
    <row r="116" spans="1:17" ht="12.5">
      <c r="A116" s="10" t="str">
        <f t="shared" si="0"/>
        <v>SERUTI24-LAPANGAN-TRI4-PPL-PENDATAAN</v>
      </c>
      <c r="B116" s="10">
        <f>COUNTIFS('Alokasi Honor'!$I$2:$I990,$A116)</f>
        <v>14</v>
      </c>
      <c r="C116" s="10">
        <f>COUNTIFS('Alokasi Honor'!$I$2:$I990,$A116,'Alokasi Honor'!$U$2:$U990,1)</f>
        <v>0</v>
      </c>
      <c r="D116" s="10">
        <f t="shared" si="1"/>
        <v>0</v>
      </c>
      <c r="E116" s="10">
        <f t="shared" si="2"/>
        <v>1</v>
      </c>
      <c r="F116" s="9" t="s">
        <v>308</v>
      </c>
      <c r="G116" s="9" t="s">
        <v>25</v>
      </c>
      <c r="H116" s="9" t="s">
        <v>164</v>
      </c>
      <c r="I116" s="85">
        <v>91000</v>
      </c>
      <c r="J116" s="9" t="s">
        <v>67</v>
      </c>
      <c r="K116" s="10" t="str">
        <f t="shared" si="3"/>
        <v>SERUTI24-LAPANGAN-TRI4-PPL</v>
      </c>
      <c r="L116" s="86">
        <v>45626</v>
      </c>
      <c r="M116" s="87">
        <f t="shared" si="4"/>
        <v>45646</v>
      </c>
      <c r="N116" s="10" t="str">
        <f t="array" ref="N116">INDEX('Input Kegiatan'!$B$2:$B990,MATCH(F116,'Input Kegiatan'!$A$2:$A990,0))&amp;" ("&amp;J116&amp;")"</f>
        <v>Survei Ekonomi Rumah Tangga Triwulanan (SERUTI24) Triwulan IV Kegiatan Lapangan (PENDATAAN)</v>
      </c>
      <c r="O116" s="10" t="e">
        <f t="shared" ca="1" si="5"/>
        <v>#NAME?</v>
      </c>
      <c r="P116" s="10" t="str">
        <f t="array" ref="P116">INDEX('Input Kegiatan'!$C$2:$C990,MATCH($F116,'Input Kegiatan'!$A$2:$A990,0))</f>
        <v>SURVEI</v>
      </c>
      <c r="Q116" s="10" t="str">
        <f t="shared" si="6"/>
        <v>SURVEI-PPL</v>
      </c>
    </row>
    <row r="117" spans="1:17" ht="12.5">
      <c r="A117" s="10" t="str">
        <f t="shared" si="0"/>
        <v>SERUTI24-PENGOLAHAN-TRI1-PETUGAS ENTRI-PENGOLAHAN</v>
      </c>
      <c r="B117" s="10">
        <f>COUNTIFS('Alokasi Honor'!$I$2:$I990,$A117)</f>
        <v>3</v>
      </c>
      <c r="C117" s="10">
        <f>COUNTIFS('Alokasi Honor'!$I$2:$I990,$A117,'Alokasi Honor'!$U$2:$U990,1)</f>
        <v>3</v>
      </c>
      <c r="D117" s="10">
        <f t="shared" si="1"/>
        <v>1</v>
      </c>
      <c r="E117" s="10">
        <f t="shared" si="2"/>
        <v>0</v>
      </c>
      <c r="F117" s="9" t="s">
        <v>107</v>
      </c>
      <c r="G117" s="9" t="s">
        <v>90</v>
      </c>
      <c r="H117" s="9" t="s">
        <v>164</v>
      </c>
      <c r="I117" s="85">
        <v>12000</v>
      </c>
      <c r="J117" s="9" t="s">
        <v>108</v>
      </c>
      <c r="K117" s="10" t="str">
        <f t="shared" si="3"/>
        <v>SERUTI24-PENGOLAHAN-TRI1-PETUGAS ENTRI</v>
      </c>
      <c r="L117" s="86">
        <v>45366</v>
      </c>
      <c r="M117" s="87">
        <f t="shared" si="4"/>
        <v>45386</v>
      </c>
      <c r="N117" s="10" t="str">
        <f t="array" ref="N117">INDEX('Input Kegiatan'!$B$2:$B990,MATCH(F117,'Input Kegiatan'!$A$2:$A990,0))&amp;" ("&amp;J117&amp;")"</f>
        <v>Survei Ekonomi Rumah Tangga Triwulanan (SERUTI24) Triwulan I Kegiatan Pengolahan (PENGOLAHAN)</v>
      </c>
      <c r="O117" s="10" t="e">
        <f t="shared" ca="1" si="5"/>
        <v>#NAME?</v>
      </c>
      <c r="P117" s="10" t="str">
        <f t="array" ref="P117">INDEX('Input Kegiatan'!$C$2:$C990,MATCH($F117,'Input Kegiatan'!$A$2:$A990,0))</f>
        <v>SURVEI</v>
      </c>
      <c r="Q117" s="10" t="str">
        <f t="shared" si="6"/>
        <v>SURVEI-PETUGAS ENTRI</v>
      </c>
    </row>
    <row r="118" spans="1:17" ht="12.5">
      <c r="A118" s="10" t="str">
        <f t="shared" si="0"/>
        <v>SERUTI24-PENGOLAHAN-TRI2-PETUGAS ENTRI-PENGOLAHAN</v>
      </c>
      <c r="B118" s="10">
        <f>COUNTIFS('Alokasi Honor'!$I$2:$I990,$A118)</f>
        <v>1</v>
      </c>
      <c r="C118" s="10">
        <f>COUNTIFS('Alokasi Honor'!$I$2:$I990,$A118,'Alokasi Honor'!$U$2:$U990,1)</f>
        <v>1</v>
      </c>
      <c r="D118" s="10">
        <f t="shared" si="1"/>
        <v>1</v>
      </c>
      <c r="E118" s="10">
        <f t="shared" si="2"/>
        <v>0</v>
      </c>
      <c r="F118" s="9" t="s">
        <v>188</v>
      </c>
      <c r="G118" s="9" t="s">
        <v>90</v>
      </c>
      <c r="H118" s="9" t="s">
        <v>164</v>
      </c>
      <c r="I118" s="85">
        <v>17000</v>
      </c>
      <c r="J118" s="9" t="s">
        <v>108</v>
      </c>
      <c r="K118" s="10" t="str">
        <f t="shared" si="3"/>
        <v>SERUTI24-PENGOLAHAN-TRI2-PETUGAS ENTRI</v>
      </c>
      <c r="L118" s="97">
        <v>45482</v>
      </c>
      <c r="M118" s="98">
        <f t="shared" si="4"/>
        <v>45502</v>
      </c>
      <c r="N118" s="10" t="str">
        <f t="array" ref="N118">INDEX('Input Kegiatan'!$B$2:$B990,MATCH(F118,'Input Kegiatan'!$A$2:$A990,0))&amp;" ("&amp;J118&amp;")"</f>
        <v>Survei Ekonomi Rumah Tangga Triwulanan (SERUTI24) Triwulan II Kegiatan Pengolahan (PENGOLAHAN)</v>
      </c>
      <c r="O118" s="10" t="e">
        <f t="shared" ca="1" si="5"/>
        <v>#NAME?</v>
      </c>
      <c r="P118" s="10" t="str">
        <f t="array" ref="P118">INDEX('Input Kegiatan'!$C$2:$C990,MATCH($F118,'Input Kegiatan'!$A$2:$A990,0))</f>
        <v>SURVEI</v>
      </c>
      <c r="Q118" s="10" t="str">
        <f t="shared" si="6"/>
        <v>SURVEI-PETUGAS ENTRI</v>
      </c>
    </row>
    <row r="119" spans="1:17" ht="12.5">
      <c r="A119" s="10" t="str">
        <f t="shared" si="0"/>
        <v>SERUTI24-PENGOLAHAN-TRI3-PETUGAS ENTRI-PENGOLAHAN</v>
      </c>
      <c r="B119" s="10">
        <f>COUNTIFS('Alokasi Honor'!$I$2:$I990,$A119)</f>
        <v>4</v>
      </c>
      <c r="C119" s="10">
        <f>COUNTIFS('Alokasi Honor'!$I$2:$I990,$A119,'Alokasi Honor'!$U$2:$U990,1)</f>
        <v>0</v>
      </c>
      <c r="D119" s="10">
        <f t="shared" si="1"/>
        <v>0</v>
      </c>
      <c r="E119" s="10">
        <f t="shared" si="2"/>
        <v>1</v>
      </c>
      <c r="F119" s="9" t="s">
        <v>273</v>
      </c>
      <c r="G119" s="9" t="s">
        <v>90</v>
      </c>
      <c r="H119" s="9" t="s">
        <v>164</v>
      </c>
      <c r="I119" s="85">
        <v>12000</v>
      </c>
      <c r="J119" s="9" t="s">
        <v>108</v>
      </c>
      <c r="K119" s="10" t="str">
        <f t="shared" si="3"/>
        <v>SERUTI24-PENGOLAHAN-TRI3-PETUGAS ENTRI</v>
      </c>
      <c r="L119" s="97">
        <v>45574</v>
      </c>
      <c r="M119" s="98">
        <f t="shared" si="4"/>
        <v>45594</v>
      </c>
      <c r="N119" s="10" t="str">
        <f t="array" ref="N119">INDEX('Input Kegiatan'!$B$2:$B990,MATCH(F119,'Input Kegiatan'!$A$2:$A990,0))&amp;" ("&amp;J119&amp;")"</f>
        <v>Survei Ekonomi Rumah Tangga Triwulanan (SERUTI24) Triwulan III Kegiatan Pengolahan (PENGOLAHAN)</v>
      </c>
      <c r="O119" s="10" t="e">
        <f t="shared" ca="1" si="5"/>
        <v>#NAME?</v>
      </c>
      <c r="P119" s="10" t="str">
        <f t="array" ref="P119">INDEX('Input Kegiatan'!$C$2:$C990,MATCH($F119,'Input Kegiatan'!$A$2:$A990,0))</f>
        <v>SURVEI</v>
      </c>
      <c r="Q119" s="10" t="str">
        <f t="shared" si="6"/>
        <v>SURVEI-PETUGAS ENTRI</v>
      </c>
    </row>
    <row r="120" spans="1:17" ht="12.5">
      <c r="A120" s="10" t="str">
        <f t="shared" si="0"/>
        <v>SERUTI24-PENGOLAHAN-TRI4-PETUGAS ENTRI-PENGOLAHAN</v>
      </c>
      <c r="B120" s="10">
        <f>COUNTIFS('Alokasi Honor'!$I$2:$I990,$A120)</f>
        <v>10</v>
      </c>
      <c r="C120" s="10">
        <f>COUNTIFS('Alokasi Honor'!$I$2:$I990,$A120,'Alokasi Honor'!$U$2:$U990,1)</f>
        <v>0</v>
      </c>
      <c r="D120" s="10">
        <f t="shared" si="1"/>
        <v>0</v>
      </c>
      <c r="E120" s="10">
        <f t="shared" si="2"/>
        <v>1</v>
      </c>
      <c r="F120" s="9" t="s">
        <v>323</v>
      </c>
      <c r="G120" s="9" t="s">
        <v>90</v>
      </c>
      <c r="H120" s="9" t="s">
        <v>164</v>
      </c>
      <c r="I120" s="85">
        <v>17000</v>
      </c>
      <c r="J120" s="9" t="s">
        <v>108</v>
      </c>
      <c r="K120" s="10" t="str">
        <f t="shared" si="3"/>
        <v>SERUTI24-PENGOLAHAN-TRI4-PETUGAS ENTRI</v>
      </c>
      <c r="L120" s="86">
        <v>45649</v>
      </c>
      <c r="M120" s="87">
        <f t="shared" si="4"/>
        <v>45669</v>
      </c>
      <c r="N120" s="10" t="str">
        <f t="array" ref="N120">INDEX('Input Kegiatan'!$B$2:$B990,MATCH(F120,'Input Kegiatan'!$A$2:$A990,0))&amp;" ("&amp;J120&amp;")"</f>
        <v>Survei Ekonomi Rumah Tangga Triwulanan (SERUTI24) Triwulan IV Kegiatan Pengolahan (PENGOLAHAN)</v>
      </c>
      <c r="O120" s="10" t="e">
        <f t="shared" ca="1" si="5"/>
        <v>#NAME?</v>
      </c>
      <c r="P120" s="10" t="str">
        <f t="array" ref="P120">INDEX('Input Kegiatan'!$C$2:$C990,MATCH($F120,'Input Kegiatan'!$A$2:$A990,0))</f>
        <v>SURVEI</v>
      </c>
      <c r="Q120" s="10" t="str">
        <f t="shared" si="6"/>
        <v>SURVEI-PETUGAS ENTRI</v>
      </c>
    </row>
    <row r="121" spans="1:17" ht="12.5">
      <c r="A121" s="10" t="str">
        <f t="shared" si="0"/>
        <v>VHTS24-LAPANGAN-JANUARI-PPL-PENDATAAN</v>
      </c>
      <c r="B121" s="10">
        <f>COUNTIFS('Alokasi Honor'!$I$2:$I990,$A121)</f>
        <v>4</v>
      </c>
      <c r="C121" s="10">
        <f>COUNTIFS('Alokasi Honor'!$I$2:$I990,$A121,'Alokasi Honor'!$U$2:$U990,1)</f>
        <v>4</v>
      </c>
      <c r="D121" s="10">
        <f t="shared" si="1"/>
        <v>1</v>
      </c>
      <c r="E121" s="10">
        <f t="shared" si="2"/>
        <v>0</v>
      </c>
      <c r="F121" s="99" t="s">
        <v>80</v>
      </c>
      <c r="G121" s="9" t="s">
        <v>25</v>
      </c>
      <c r="H121" s="9" t="s">
        <v>164</v>
      </c>
      <c r="I121" s="85">
        <v>55000</v>
      </c>
      <c r="J121" s="9" t="s">
        <v>67</v>
      </c>
      <c r="K121" s="10" t="str">
        <f t="shared" si="3"/>
        <v>VHTS24-LAPANGAN-JANUARI-PPL</v>
      </c>
      <c r="L121" s="95">
        <v>45311</v>
      </c>
      <c r="M121" s="93">
        <f t="shared" si="4"/>
        <v>45331</v>
      </c>
      <c r="N121" s="10" t="str">
        <f t="array" ref="N121">INDEX('Input Kegiatan'!$B$2:$B990,MATCH(F121,'Input Kegiatan'!$A$2:$A990,0))&amp;" ("&amp;J121&amp;")"</f>
        <v>Survei Hotel dan Jasa Akomodasi Bulanan (VHTS) 2024 Januari (PENDATAAN)</v>
      </c>
      <c r="O121" s="10" t="e">
        <f t="shared" ca="1" si="5"/>
        <v>#NAME?</v>
      </c>
      <c r="P121" s="10" t="str">
        <f t="array" ref="P121">INDEX('Input Kegiatan'!$C$2:$C990,MATCH($F121,'Input Kegiatan'!$A$2:$A990,0))</f>
        <v>SURVEI</v>
      </c>
      <c r="Q121" s="10" t="str">
        <f t="shared" si="6"/>
        <v>SURVEI-PPL</v>
      </c>
    </row>
    <row r="122" spans="1:17" ht="12.5">
      <c r="A122" s="10" t="str">
        <f t="shared" si="0"/>
        <v>VHTS24-LAPANGAN-FEBRUARI-PPL-PENDATAAN</v>
      </c>
      <c r="B122" s="10">
        <f>COUNTIFS('Alokasi Honor'!$I$2:$I990,$A122)</f>
        <v>4</v>
      </c>
      <c r="C122" s="10">
        <f>COUNTIFS('Alokasi Honor'!$I$2:$I990,$A122,'Alokasi Honor'!$U$2:$U990,1)</f>
        <v>4</v>
      </c>
      <c r="D122" s="10">
        <f t="shared" si="1"/>
        <v>1</v>
      </c>
      <c r="E122" s="10">
        <f t="shared" si="2"/>
        <v>0</v>
      </c>
      <c r="F122" s="99" t="s">
        <v>103</v>
      </c>
      <c r="G122" s="9" t="s">
        <v>25</v>
      </c>
      <c r="H122" s="9" t="s">
        <v>164</v>
      </c>
      <c r="I122" s="85">
        <v>55000</v>
      </c>
      <c r="J122" s="9" t="s">
        <v>67</v>
      </c>
      <c r="K122" s="10" t="str">
        <f t="shared" si="3"/>
        <v>VHTS24-LAPANGAN-FEBRUARI-PPL</v>
      </c>
      <c r="L122" s="86">
        <v>45342</v>
      </c>
      <c r="M122" s="87">
        <f t="shared" si="4"/>
        <v>45362</v>
      </c>
      <c r="N122" s="10" t="str">
        <f t="array" ref="N122">INDEX('Input Kegiatan'!$B$2:$B990,MATCH(F122,'Input Kegiatan'!$A$2:$A990,0))&amp;" ("&amp;J122&amp;")"</f>
        <v>Survei Hotel dan Jasa Akomodasi Bulanan (VHTS) 2024 Februari (PENDATAAN)</v>
      </c>
      <c r="O122" s="10" t="e">
        <f t="shared" ca="1" si="5"/>
        <v>#NAME?</v>
      </c>
      <c r="P122" s="10" t="str">
        <f t="array" ref="P122">INDEX('Input Kegiatan'!$C$2:$C990,MATCH($F122,'Input Kegiatan'!$A$2:$A990,0))</f>
        <v>SURVEI</v>
      </c>
      <c r="Q122" s="10" t="str">
        <f t="shared" si="6"/>
        <v>SURVEI-PPL</v>
      </c>
    </row>
    <row r="123" spans="1:17" ht="12.5">
      <c r="A123" s="10" t="str">
        <f t="shared" si="0"/>
        <v>VHTS24-LAPANGAN-MARET-PPL-PENDATAAN</v>
      </c>
      <c r="B123" s="10">
        <f>COUNTIFS('Alokasi Honor'!$I$2:$I990,$A123)</f>
        <v>4</v>
      </c>
      <c r="C123" s="10">
        <f>COUNTIFS('Alokasi Honor'!$I$2:$I990,$A123,'Alokasi Honor'!$U$2:$U990,1)</f>
        <v>4</v>
      </c>
      <c r="D123" s="10">
        <f t="shared" si="1"/>
        <v>1</v>
      </c>
      <c r="E123" s="10">
        <f t="shared" si="2"/>
        <v>0</v>
      </c>
      <c r="F123" s="99" t="s">
        <v>121</v>
      </c>
      <c r="G123" s="9" t="s">
        <v>25</v>
      </c>
      <c r="H123" s="9" t="s">
        <v>164</v>
      </c>
      <c r="I123" s="85">
        <v>55000</v>
      </c>
      <c r="J123" s="9" t="s">
        <v>67</v>
      </c>
      <c r="K123" s="10" t="str">
        <f t="shared" si="3"/>
        <v>VHTS24-LAPANGAN-MARET-PPL</v>
      </c>
      <c r="L123" s="95">
        <v>45371</v>
      </c>
      <c r="M123" s="93">
        <f t="shared" si="4"/>
        <v>45391</v>
      </c>
      <c r="N123" s="10" t="str">
        <f t="array" ref="N123">INDEX('Input Kegiatan'!$B$2:$B990,MATCH(F123,'Input Kegiatan'!$A$2:$A990,0))&amp;" ("&amp;J123&amp;")"</f>
        <v>Survei Hotel dan Jasa Akomodasi Bulanan (VHTS) 2024 Maret (PENDATAAN)</v>
      </c>
      <c r="O123" s="10" t="e">
        <f t="shared" ca="1" si="5"/>
        <v>#NAME?</v>
      </c>
      <c r="P123" s="10" t="str">
        <f t="array" ref="P123">INDEX('Input Kegiatan'!$C$2:$C990,MATCH($F123,'Input Kegiatan'!$A$2:$A990,0))</f>
        <v>SURVEI</v>
      </c>
      <c r="Q123" s="10" t="str">
        <f t="shared" si="6"/>
        <v>SURVEI-PPL</v>
      </c>
    </row>
    <row r="124" spans="1:17" ht="12.5">
      <c r="A124" s="10" t="str">
        <f t="shared" si="0"/>
        <v>VHTS24-LAPANGAN-APRIL-PPL-PENDATAAN</v>
      </c>
      <c r="B124" s="10">
        <f>COUNTIFS('Alokasi Honor'!$I$2:$I990,$A124)</f>
        <v>4</v>
      </c>
      <c r="C124" s="10">
        <f>COUNTIFS('Alokasi Honor'!$I$2:$I990,$A124,'Alokasi Honor'!$U$2:$U990,1)</f>
        <v>4</v>
      </c>
      <c r="D124" s="10">
        <f t="shared" si="1"/>
        <v>1</v>
      </c>
      <c r="E124" s="10">
        <f t="shared" si="2"/>
        <v>0</v>
      </c>
      <c r="F124" s="99" t="s">
        <v>141</v>
      </c>
      <c r="G124" s="9" t="s">
        <v>25</v>
      </c>
      <c r="H124" s="9" t="s">
        <v>164</v>
      </c>
      <c r="I124" s="85">
        <v>55000</v>
      </c>
      <c r="J124" s="9" t="s">
        <v>67</v>
      </c>
      <c r="K124" s="10" t="str">
        <f t="shared" si="3"/>
        <v>VHTS24-LAPANGAN-APRIL-PPL</v>
      </c>
      <c r="L124" s="95">
        <v>45402</v>
      </c>
      <c r="M124" s="93">
        <f t="shared" si="4"/>
        <v>45422</v>
      </c>
      <c r="N124" s="10" t="str">
        <f t="array" ref="N124">INDEX('Input Kegiatan'!$B$2:$B990,MATCH(F124,'Input Kegiatan'!$A$2:$A990,0))&amp;" ("&amp;J124&amp;")"</f>
        <v>Survei Hotel dan Jasa Akomodasi Bulanan (VHTS) 2024 April (PENDATAAN)</v>
      </c>
      <c r="O124" s="10" t="e">
        <f t="shared" ca="1" si="5"/>
        <v>#NAME?</v>
      </c>
      <c r="P124" s="10" t="str">
        <f t="array" ref="P124">INDEX('Input Kegiatan'!$C$2:$C990,MATCH($F124,'Input Kegiatan'!$A$2:$A990,0))</f>
        <v>SURVEI</v>
      </c>
      <c r="Q124" s="10" t="str">
        <f t="shared" si="6"/>
        <v>SURVEI-PPL</v>
      </c>
    </row>
    <row r="125" spans="1:17" ht="12.5">
      <c r="A125" s="10" t="str">
        <f t="shared" si="0"/>
        <v>VHTS24-LAPANGAN-MEI-PPL-PENDATAAN</v>
      </c>
      <c r="B125" s="10">
        <f>COUNTIFS('Alokasi Honor'!$I$2:$I990,$A125)</f>
        <v>4</v>
      </c>
      <c r="C125" s="10">
        <f>COUNTIFS('Alokasi Honor'!$I$2:$I990,$A125,'Alokasi Honor'!$U$2:$U990,1)</f>
        <v>4</v>
      </c>
      <c r="D125" s="10">
        <f t="shared" si="1"/>
        <v>1</v>
      </c>
      <c r="E125" s="10">
        <f t="shared" si="2"/>
        <v>0</v>
      </c>
      <c r="F125" s="99" t="s">
        <v>161</v>
      </c>
      <c r="G125" s="9" t="s">
        <v>25</v>
      </c>
      <c r="H125" s="9" t="s">
        <v>164</v>
      </c>
      <c r="I125" s="85">
        <v>55000</v>
      </c>
      <c r="J125" s="9" t="s">
        <v>67</v>
      </c>
      <c r="K125" s="10" t="str">
        <f t="shared" si="3"/>
        <v>VHTS24-LAPANGAN-MEI-PPL</v>
      </c>
      <c r="L125" s="95">
        <v>45432</v>
      </c>
      <c r="M125" s="93">
        <f t="shared" si="4"/>
        <v>45452</v>
      </c>
      <c r="N125" s="10" t="str">
        <f t="array" ref="N125">INDEX('Input Kegiatan'!$B$2:$B990,MATCH(F125,'Input Kegiatan'!$A$2:$A990,0))&amp;" ("&amp;J125&amp;")"</f>
        <v>Survei Hotel dan Jasa Akomodasi Bulanan (VHTS) 2024 Mei (PENDATAAN)</v>
      </c>
      <c r="O125" s="10" t="e">
        <f t="shared" ca="1" si="5"/>
        <v>#NAME?</v>
      </c>
      <c r="P125" s="10" t="str">
        <f t="array" ref="P125">INDEX('Input Kegiatan'!$C$2:$C990,MATCH($F125,'Input Kegiatan'!$A$2:$A990,0))</f>
        <v>SURVEI</v>
      </c>
      <c r="Q125" s="10" t="str">
        <f t="shared" si="6"/>
        <v>SURVEI-PPL</v>
      </c>
    </row>
    <row r="126" spans="1:17" ht="12.5">
      <c r="A126" s="10" t="str">
        <f t="shared" si="0"/>
        <v>VHTS24-LAPANGAN-JUNI-PPL-PENDATAAN</v>
      </c>
      <c r="B126" s="10">
        <f>COUNTIFS('Alokasi Honor'!$I$2:$I990,$A126)</f>
        <v>4</v>
      </c>
      <c r="C126" s="10">
        <f>COUNTIFS('Alokasi Honor'!$I$2:$I990,$A126,'Alokasi Honor'!$U$2:$U990,1)</f>
        <v>4</v>
      </c>
      <c r="D126" s="10">
        <f t="shared" si="1"/>
        <v>1</v>
      </c>
      <c r="E126" s="10">
        <f t="shared" si="2"/>
        <v>0</v>
      </c>
      <c r="F126" s="99" t="s">
        <v>178</v>
      </c>
      <c r="G126" s="9" t="s">
        <v>25</v>
      </c>
      <c r="H126" s="9" t="s">
        <v>164</v>
      </c>
      <c r="I126" s="85">
        <v>55000</v>
      </c>
      <c r="J126" s="9" t="s">
        <v>67</v>
      </c>
      <c r="K126" s="10" t="str">
        <f t="shared" si="3"/>
        <v>VHTS24-LAPANGAN-JUNI-PPL</v>
      </c>
      <c r="L126" s="95">
        <v>45463</v>
      </c>
      <c r="M126" s="93">
        <f t="shared" si="4"/>
        <v>45483</v>
      </c>
      <c r="N126" s="10" t="str">
        <f t="array" ref="N126">INDEX('Input Kegiatan'!$B$2:$B990,MATCH(F126,'Input Kegiatan'!$A$2:$A990,0))&amp;" ("&amp;J126&amp;")"</f>
        <v>Survei Hotel dan Jasa Akomodasi Bulanan (VHTS) 2024 Juni (PENDATAAN)</v>
      </c>
      <c r="O126" s="10" t="e">
        <f t="shared" ca="1" si="5"/>
        <v>#NAME?</v>
      </c>
      <c r="P126" s="10" t="str">
        <f t="array" ref="P126">INDEX('Input Kegiatan'!$C$2:$C990,MATCH($F126,'Input Kegiatan'!$A$2:$A990,0))</f>
        <v>SURVEI</v>
      </c>
      <c r="Q126" s="10" t="str">
        <f t="shared" si="6"/>
        <v>SURVEI-PPL</v>
      </c>
    </row>
    <row r="127" spans="1:17" ht="12.5">
      <c r="A127" s="10" t="str">
        <f t="shared" si="0"/>
        <v>VHTS24-LAPANGAN-JULI-PPL-PENDATAAN</v>
      </c>
      <c r="B127" s="10">
        <f>COUNTIFS('Alokasi Honor'!$I$2:$I990,$A127)</f>
        <v>4</v>
      </c>
      <c r="C127" s="10">
        <f>COUNTIFS('Alokasi Honor'!$I$2:$I990,$A127,'Alokasi Honor'!$U$2:$U990,1)</f>
        <v>4</v>
      </c>
      <c r="D127" s="10">
        <f t="shared" si="1"/>
        <v>1</v>
      </c>
      <c r="E127" s="10">
        <f t="shared" si="2"/>
        <v>0</v>
      </c>
      <c r="F127" s="99" t="s">
        <v>203</v>
      </c>
      <c r="G127" s="9" t="s">
        <v>25</v>
      </c>
      <c r="H127" s="9" t="s">
        <v>164</v>
      </c>
      <c r="I127" s="85">
        <v>55000</v>
      </c>
      <c r="J127" s="9" t="s">
        <v>67</v>
      </c>
      <c r="K127" s="10" t="str">
        <f t="shared" si="3"/>
        <v>VHTS24-LAPANGAN-JULI-PPL</v>
      </c>
      <c r="L127" s="95">
        <v>45493</v>
      </c>
      <c r="M127" s="93">
        <f t="shared" si="4"/>
        <v>45513</v>
      </c>
      <c r="N127" s="10" t="str">
        <f t="array" ref="N127">INDEX('Input Kegiatan'!$B$2:$B990,MATCH(F127,'Input Kegiatan'!$A$2:$A990,0))&amp;" ("&amp;J127&amp;")"</f>
        <v>Survei Hotel dan Jasa Akomodasi Bulanan (VHTS) 2024 Juli (PENDATAAN)</v>
      </c>
      <c r="O127" s="10" t="e">
        <f t="shared" ca="1" si="5"/>
        <v>#NAME?</v>
      </c>
      <c r="P127" s="10" t="str">
        <f t="array" ref="P127">INDEX('Input Kegiatan'!$C$2:$C990,MATCH($F127,'Input Kegiatan'!$A$2:$A990,0))</f>
        <v>SURVEI</v>
      </c>
      <c r="Q127" s="10" t="str">
        <f t="shared" si="6"/>
        <v>SURVEI-PPL</v>
      </c>
    </row>
    <row r="128" spans="1:17" ht="12.5">
      <c r="A128" s="10" t="str">
        <f t="shared" si="0"/>
        <v>VHTS24-LAPANGAN-AGUSTUS-PPL-PENDATAAN</v>
      </c>
      <c r="B128" s="10">
        <f>COUNTIFS('Alokasi Honor'!$I$2:$I990,$A128)</f>
        <v>4</v>
      </c>
      <c r="C128" s="10">
        <f>COUNTIFS('Alokasi Honor'!$I$2:$I990,$A128,'Alokasi Honor'!$U$2:$U990,1)</f>
        <v>0</v>
      </c>
      <c r="D128" s="10">
        <f t="shared" si="1"/>
        <v>0</v>
      </c>
      <c r="E128" s="10">
        <f t="shared" si="2"/>
        <v>1</v>
      </c>
      <c r="F128" s="99" t="s">
        <v>225</v>
      </c>
      <c r="G128" s="9" t="s">
        <v>25</v>
      </c>
      <c r="H128" s="9" t="s">
        <v>164</v>
      </c>
      <c r="I128" s="85">
        <v>55000</v>
      </c>
      <c r="J128" s="9" t="s">
        <v>67</v>
      </c>
      <c r="K128" s="10" t="str">
        <f t="shared" si="3"/>
        <v>VHTS24-LAPANGAN-AGUSTUS-PPL</v>
      </c>
      <c r="L128" s="95">
        <v>45524</v>
      </c>
      <c r="M128" s="93">
        <f t="shared" si="4"/>
        <v>45544</v>
      </c>
      <c r="N128" s="10" t="str">
        <f t="array" ref="N128">INDEX('Input Kegiatan'!$B$2:$B990,MATCH(F128,'Input Kegiatan'!$A$2:$A990,0))&amp;" ("&amp;J128&amp;")"</f>
        <v>Survei Hotel dan Jasa Akomodasi Bulanan (VHTS) 2024 Agustus (PENDATAAN)</v>
      </c>
      <c r="O128" s="10" t="e">
        <f t="shared" ca="1" si="5"/>
        <v>#NAME?</v>
      </c>
      <c r="P128" s="10" t="str">
        <f t="array" ref="P128">INDEX('Input Kegiatan'!$C$2:$C990,MATCH($F128,'Input Kegiatan'!$A$2:$A990,0))</f>
        <v>SURVEI</v>
      </c>
      <c r="Q128" s="10" t="str">
        <f t="shared" si="6"/>
        <v>SURVEI-PPL</v>
      </c>
    </row>
    <row r="129" spans="1:17" ht="12.5">
      <c r="A129" s="10" t="str">
        <f t="shared" si="0"/>
        <v>VHTS24-LAPANGAN-SEPTEMBER-PPL-PENDATAAN</v>
      </c>
      <c r="B129" s="10">
        <f>COUNTIFS('Alokasi Honor'!$I$2:$I990,$A129)</f>
        <v>4</v>
      </c>
      <c r="C129" s="10">
        <f>COUNTIFS('Alokasi Honor'!$I$2:$I990,$A129,'Alokasi Honor'!$U$2:$U990,1)</f>
        <v>0</v>
      </c>
      <c r="D129" s="10">
        <f t="shared" si="1"/>
        <v>0</v>
      </c>
      <c r="E129" s="10">
        <f t="shared" si="2"/>
        <v>1</v>
      </c>
      <c r="F129" s="99" t="s">
        <v>262</v>
      </c>
      <c r="G129" s="9" t="s">
        <v>25</v>
      </c>
      <c r="H129" s="9" t="s">
        <v>164</v>
      </c>
      <c r="I129" s="85">
        <v>55000</v>
      </c>
      <c r="J129" s="9" t="s">
        <v>67</v>
      </c>
      <c r="K129" s="10" t="str">
        <f t="shared" si="3"/>
        <v>VHTS24-LAPANGAN-SEPTEMBER-PPL</v>
      </c>
      <c r="L129" s="95">
        <v>45555</v>
      </c>
      <c r="M129" s="93">
        <f t="shared" si="4"/>
        <v>45575</v>
      </c>
      <c r="N129" s="10" t="str">
        <f t="array" ref="N129">INDEX('Input Kegiatan'!$B$2:$B990,MATCH(F129,'Input Kegiatan'!$A$2:$A990,0))&amp;" ("&amp;J129&amp;")"</f>
        <v>Survei Hotel dan Jasa Akomodasi Bulanan (VHTS) 2024 September (PENDATAAN)</v>
      </c>
      <c r="O129" s="10" t="e">
        <f t="shared" ca="1" si="5"/>
        <v>#NAME?</v>
      </c>
      <c r="P129" s="10" t="str">
        <f t="array" ref="P129">INDEX('Input Kegiatan'!$C$2:$C990,MATCH($F129,'Input Kegiatan'!$A$2:$A990,0))</f>
        <v>SURVEI</v>
      </c>
      <c r="Q129" s="10" t="str">
        <f t="shared" si="6"/>
        <v>SURVEI-PPL</v>
      </c>
    </row>
    <row r="130" spans="1:17" ht="12.5">
      <c r="A130" s="10" t="str">
        <f t="shared" si="0"/>
        <v>VHTS24-LAPANGAN-OKTOBER-PPL-PENDATAAN</v>
      </c>
      <c r="B130" s="10">
        <f>COUNTIFS('Alokasi Honor'!$I$2:$I990,$A130)</f>
        <v>4</v>
      </c>
      <c r="C130" s="10">
        <f>COUNTIFS('Alokasi Honor'!$I$2:$I990,$A130,'Alokasi Honor'!$U$2:$U990,1)</f>
        <v>0</v>
      </c>
      <c r="D130" s="10">
        <f t="shared" si="1"/>
        <v>0</v>
      </c>
      <c r="E130" s="10">
        <f t="shared" si="2"/>
        <v>1</v>
      </c>
      <c r="F130" s="99" t="s">
        <v>288</v>
      </c>
      <c r="G130" s="9" t="s">
        <v>25</v>
      </c>
      <c r="H130" s="9" t="s">
        <v>164</v>
      </c>
      <c r="I130" s="85">
        <v>55000</v>
      </c>
      <c r="J130" s="9" t="s">
        <v>67</v>
      </c>
      <c r="K130" s="10" t="str">
        <f t="shared" si="3"/>
        <v>VHTS24-LAPANGAN-OKTOBER-PPL</v>
      </c>
      <c r="L130" s="95">
        <v>45585</v>
      </c>
      <c r="M130" s="93">
        <f t="shared" si="4"/>
        <v>45605</v>
      </c>
      <c r="N130" s="10" t="str">
        <f t="array" ref="N130">INDEX('Input Kegiatan'!$B$2:$B990,MATCH(F130,'Input Kegiatan'!$A$2:$A990,0))&amp;" ("&amp;J130&amp;")"</f>
        <v>Survei Hotel dan Jasa Akomodasi Bulanan (VHTS) 2024 Oktober (PENDATAAN)</v>
      </c>
      <c r="O130" s="10" t="e">
        <f t="shared" ca="1" si="5"/>
        <v>#NAME?</v>
      </c>
      <c r="P130" s="10" t="str">
        <f t="array" ref="P130">INDEX('Input Kegiatan'!$C$2:$C990,MATCH($F130,'Input Kegiatan'!$A$2:$A990,0))</f>
        <v>SURVEI</v>
      </c>
      <c r="Q130" s="10" t="str">
        <f t="shared" si="6"/>
        <v>SURVEI-PPL</v>
      </c>
    </row>
    <row r="131" spans="1:17" ht="12.5">
      <c r="A131" s="10" t="str">
        <f t="shared" si="0"/>
        <v>VHTS24-LAPANGAN-NOVEMBER-PPL-PENDATAAN</v>
      </c>
      <c r="B131" s="10">
        <f>COUNTIFS('Alokasi Honor'!$I$2:$I990,$A131)</f>
        <v>4</v>
      </c>
      <c r="C131" s="10">
        <f>COUNTIFS('Alokasi Honor'!$I$2:$I990,$A131,'Alokasi Honor'!$U$2:$U990,1)</f>
        <v>0</v>
      </c>
      <c r="D131" s="10">
        <f t="shared" si="1"/>
        <v>0</v>
      </c>
      <c r="E131" s="10">
        <f t="shared" si="2"/>
        <v>1</v>
      </c>
      <c r="F131" s="99" t="s">
        <v>306</v>
      </c>
      <c r="G131" s="9" t="s">
        <v>25</v>
      </c>
      <c r="H131" s="9" t="s">
        <v>164</v>
      </c>
      <c r="I131" s="85">
        <v>55000</v>
      </c>
      <c r="J131" s="9" t="s">
        <v>67</v>
      </c>
      <c r="K131" s="10" t="str">
        <f t="shared" si="3"/>
        <v>VHTS24-LAPANGAN-NOVEMBER-PPL</v>
      </c>
      <c r="L131" s="95">
        <v>45616</v>
      </c>
      <c r="M131" s="93">
        <f t="shared" si="4"/>
        <v>45636</v>
      </c>
      <c r="N131" s="10" t="str">
        <f t="array" ref="N131">INDEX('Input Kegiatan'!$B$2:$B990,MATCH(F131,'Input Kegiatan'!$A$2:$A990,0))&amp;" ("&amp;J131&amp;")"</f>
        <v>Survei Hotel dan Jasa Akomodasi Bulanan (VHTS) 2024 November (PENDATAAN)</v>
      </c>
      <c r="O131" s="10" t="e">
        <f t="shared" ca="1" si="5"/>
        <v>#NAME?</v>
      </c>
      <c r="P131" s="10" t="str">
        <f t="array" ref="P131">INDEX('Input Kegiatan'!$C$2:$C990,MATCH($F131,'Input Kegiatan'!$A$2:$A990,0))</f>
        <v>SURVEI</v>
      </c>
      <c r="Q131" s="10" t="str">
        <f t="shared" si="6"/>
        <v>SURVEI-PPL</v>
      </c>
    </row>
    <row r="132" spans="1:17" ht="12.5">
      <c r="A132" s="10" t="str">
        <f t="shared" si="0"/>
        <v>VHTS24-LAPANGAN-DESEMBER-PPL-PENDATAAN</v>
      </c>
      <c r="B132" s="10">
        <f>COUNTIFS('Alokasi Honor'!$I$2:$I990,$A132)</f>
        <v>4</v>
      </c>
      <c r="C132" s="10">
        <f>COUNTIFS('Alokasi Honor'!$I$2:$I990,$A132,'Alokasi Honor'!$U$2:$U990,1)</f>
        <v>0</v>
      </c>
      <c r="D132" s="10">
        <f t="shared" si="1"/>
        <v>0</v>
      </c>
      <c r="E132" s="10">
        <f t="shared" si="2"/>
        <v>1</v>
      </c>
      <c r="F132" s="99" t="s">
        <v>321</v>
      </c>
      <c r="G132" s="9" t="s">
        <v>25</v>
      </c>
      <c r="H132" s="9" t="s">
        <v>164</v>
      </c>
      <c r="I132" s="85">
        <v>55000</v>
      </c>
      <c r="J132" s="9" t="s">
        <v>67</v>
      </c>
      <c r="K132" s="10" t="str">
        <f t="shared" si="3"/>
        <v>VHTS24-LAPANGAN-DESEMBER-PPL</v>
      </c>
      <c r="L132" s="95">
        <v>45646</v>
      </c>
      <c r="M132" s="93">
        <f t="shared" si="4"/>
        <v>45666</v>
      </c>
      <c r="N132" s="10" t="str">
        <f t="array" ref="N132">INDEX('Input Kegiatan'!$B$2:$B990,MATCH(F132,'Input Kegiatan'!$A$2:$A990,0))&amp;" ("&amp;J132&amp;")"</f>
        <v>Survei Hotel dan Jasa Akomodasi Bulanan (VHTS) 2024 Desember (PENDATAAN)</v>
      </c>
      <c r="O132" s="10" t="e">
        <f t="shared" ca="1" si="5"/>
        <v>#NAME?</v>
      </c>
      <c r="P132" s="10" t="str">
        <f t="array" ref="P132">INDEX('Input Kegiatan'!$C$2:$C990,MATCH($F132,'Input Kegiatan'!$A$2:$A990,0))</f>
        <v>SURVEI</v>
      </c>
      <c r="Q132" s="10" t="str">
        <f t="shared" si="6"/>
        <v>SURVEI-PPL</v>
      </c>
    </row>
    <row r="133" spans="1:17" ht="12.5">
      <c r="A133" s="10" t="str">
        <f t="shared" si="0"/>
        <v>SKLNPT24-LAPANGAN-TRI1-PPL-PENDATAAN</v>
      </c>
      <c r="B133" s="10">
        <f>COUNTIFS('Alokasi Honor'!$I$2:$I990,$A133)</f>
        <v>1</v>
      </c>
      <c r="C133" s="10">
        <f>COUNTIFS('Alokasi Honor'!$I$2:$I990,$A133,'Alokasi Honor'!$U$2:$U990,1)</f>
        <v>1</v>
      </c>
      <c r="D133" s="10">
        <f t="shared" si="1"/>
        <v>1</v>
      </c>
      <c r="E133" s="10">
        <f t="shared" si="2"/>
        <v>0</v>
      </c>
      <c r="F133" s="9" t="s">
        <v>145</v>
      </c>
      <c r="G133" s="9" t="s">
        <v>25</v>
      </c>
      <c r="H133" s="9" t="s">
        <v>164</v>
      </c>
      <c r="I133" s="85">
        <v>65000</v>
      </c>
      <c r="J133" s="9" t="s">
        <v>67</v>
      </c>
      <c r="K133" s="10" t="str">
        <f t="shared" si="3"/>
        <v>SKLNPT24-LAPANGAN-TRI1-PPL</v>
      </c>
      <c r="L133" s="86">
        <v>45412</v>
      </c>
      <c r="M133" s="87">
        <f t="shared" si="4"/>
        <v>45432</v>
      </c>
      <c r="N133" s="10" t="str">
        <f t="array" ref="N133">INDEX('Input Kegiatan'!$B$2:$B990,MATCH(F133,'Input Kegiatan'!$A$2:$A990,0))&amp;" ("&amp;J133&amp;")"</f>
        <v>Survei Khusus Lembaga Nonprofit yang Melayani Rumah Tangga 2024 (SKLNPT24) Triwulan I (PENDATAAN)</v>
      </c>
      <c r="O133" s="10" t="e">
        <f t="shared" ca="1" si="5"/>
        <v>#NAME?</v>
      </c>
      <c r="P133" s="10" t="str">
        <f t="array" ref="P133">INDEX('Input Kegiatan'!$C$2:$C990,MATCH($F133,'Input Kegiatan'!$A$2:$A990,0))</f>
        <v>SURVEI</v>
      </c>
      <c r="Q133" s="10" t="str">
        <f t="shared" si="6"/>
        <v>SURVEI-PPL</v>
      </c>
    </row>
    <row r="134" spans="1:17" ht="12.5">
      <c r="A134" s="10" t="str">
        <f t="shared" si="0"/>
        <v>SKLNPT24-LAPANGAN-TRI2-PPL-PENDATAAN</v>
      </c>
      <c r="B134" s="10">
        <f>COUNTIFS('Alokasi Honor'!$I$2:$I990,$A134)</f>
        <v>1</v>
      </c>
      <c r="C134" s="10">
        <f>COUNTIFS('Alokasi Honor'!$I$2:$I990,$A134,'Alokasi Honor'!$U$2:$U990,1)</f>
        <v>1</v>
      </c>
      <c r="D134" s="10">
        <f t="shared" si="1"/>
        <v>1</v>
      </c>
      <c r="E134" s="10">
        <f t="shared" si="2"/>
        <v>0</v>
      </c>
      <c r="F134" s="9" t="s">
        <v>205</v>
      </c>
      <c r="G134" s="9" t="s">
        <v>25</v>
      </c>
      <c r="H134" s="9" t="s">
        <v>164</v>
      </c>
      <c r="I134" s="85">
        <v>65000</v>
      </c>
      <c r="J134" s="9" t="s">
        <v>67</v>
      </c>
      <c r="K134" s="10" t="str">
        <f t="shared" si="3"/>
        <v>SKLNPT24-LAPANGAN-TRI2-PPL</v>
      </c>
      <c r="L134" s="86">
        <v>45504</v>
      </c>
      <c r="M134" s="87">
        <f t="shared" si="4"/>
        <v>45524</v>
      </c>
      <c r="N134" s="10" t="str">
        <f t="array" ref="N134">INDEX('Input Kegiatan'!$B$2:$B990,MATCH(F134,'Input Kegiatan'!$A$2:$A990,0))&amp;" ("&amp;J134&amp;")"</f>
        <v>Survei Khusus Lembaga Nonprofit yang Melayani Rumah Tangga 2024 (SKLNPT24) Triwulan II (PENDATAAN)</v>
      </c>
      <c r="O134" s="10" t="e">
        <f t="shared" ca="1" si="5"/>
        <v>#NAME?</v>
      </c>
      <c r="P134" s="10" t="str">
        <f t="array" ref="P134">INDEX('Input Kegiatan'!$C$2:$C990,MATCH($F134,'Input Kegiatan'!$A$2:$A990,0))</f>
        <v>SURVEI</v>
      </c>
      <c r="Q134" s="10" t="str">
        <f t="shared" si="6"/>
        <v>SURVEI-PPL</v>
      </c>
    </row>
    <row r="135" spans="1:17" ht="12.5">
      <c r="A135" s="10" t="str">
        <f t="shared" si="0"/>
        <v>SKLNPT24-LAPANGAN-TRI3-PPL-PENDATAAN</v>
      </c>
      <c r="B135" s="10">
        <f>COUNTIFS('Alokasi Honor'!$I$2:$I990,$A135)</f>
        <v>1</v>
      </c>
      <c r="C135" s="10">
        <f>COUNTIFS('Alokasi Honor'!$I$2:$I990,$A135,'Alokasi Honor'!$U$2:$U990,1)</f>
        <v>1</v>
      </c>
      <c r="D135" s="10">
        <f t="shared" si="1"/>
        <v>1</v>
      </c>
      <c r="E135" s="10">
        <f t="shared" si="2"/>
        <v>0</v>
      </c>
      <c r="F135" s="9" t="s">
        <v>290</v>
      </c>
      <c r="G135" s="9" t="s">
        <v>25</v>
      </c>
      <c r="H135" s="9" t="s">
        <v>164</v>
      </c>
      <c r="I135" s="85">
        <v>65000</v>
      </c>
      <c r="J135" s="9" t="s">
        <v>67</v>
      </c>
      <c r="K135" s="10" t="str">
        <f t="shared" si="3"/>
        <v>SKLNPT24-LAPANGAN-TRI3-PPL</v>
      </c>
      <c r="L135" s="86">
        <v>45596</v>
      </c>
      <c r="M135" s="87">
        <f t="shared" si="4"/>
        <v>45616</v>
      </c>
      <c r="N135" s="10" t="str">
        <f t="array" ref="N135">INDEX('Input Kegiatan'!$B$2:$B990,MATCH(F135,'Input Kegiatan'!$A$2:$A990,0))&amp;" ("&amp;J135&amp;")"</f>
        <v>Survei Khusus Lembaga Nonprofit yang Melayani Rumah Tangga 2024 (SKLNPT24) Triwulan III (PENDATAAN)</v>
      </c>
      <c r="O135" s="10" t="e">
        <f t="shared" ca="1" si="5"/>
        <v>#NAME?</v>
      </c>
      <c r="P135" s="10" t="str">
        <f t="array" ref="P135">INDEX('Input Kegiatan'!$C$2:$C990,MATCH($F135,'Input Kegiatan'!$A$2:$A990,0))</f>
        <v>SURVEI</v>
      </c>
      <c r="Q135" s="10" t="str">
        <f t="shared" si="6"/>
        <v>SURVEI-PPL</v>
      </c>
    </row>
    <row r="136" spans="1:17" ht="12.5">
      <c r="A136" s="10" t="str">
        <f t="shared" si="0"/>
        <v>SKLNPT24-LAPANGAN-TRI4-PPL-PENDATAAN</v>
      </c>
      <c r="B136" s="10">
        <f>COUNTIFS('Alokasi Honor'!$I$2:$I990,$A136)</f>
        <v>1</v>
      </c>
      <c r="C136" s="10">
        <f>COUNTIFS('Alokasi Honor'!$I$2:$I990,$A136,'Alokasi Honor'!$U$2:$U990,1)</f>
        <v>1</v>
      </c>
      <c r="D136" s="10">
        <f t="shared" si="1"/>
        <v>1</v>
      </c>
      <c r="E136" s="10">
        <f t="shared" si="2"/>
        <v>0</v>
      </c>
      <c r="F136" s="9" t="s">
        <v>325</v>
      </c>
      <c r="G136" s="9" t="s">
        <v>25</v>
      </c>
      <c r="H136" s="9" t="s">
        <v>164</v>
      </c>
      <c r="I136" s="85">
        <v>65000</v>
      </c>
      <c r="J136" s="9" t="s">
        <v>67</v>
      </c>
      <c r="K136" s="10" t="str">
        <f t="shared" si="3"/>
        <v>SKLNPT24-LAPANGAN-TRI4-PPL</v>
      </c>
      <c r="L136" s="86">
        <v>45657</v>
      </c>
      <c r="M136" s="87">
        <f t="shared" si="4"/>
        <v>45677</v>
      </c>
      <c r="N136" s="10" t="str">
        <f t="array" ref="N136">INDEX('Input Kegiatan'!$B$2:$B990,MATCH(F136,'Input Kegiatan'!$A$2:$A990,0))&amp;" ("&amp;J136&amp;")"</f>
        <v>Survei Khusus Lembaga Nonprofit yang Melayani Rumah Tangga 2024 (SKLNPT24) Triwulan IV (PENDATAAN)</v>
      </c>
      <c r="O136" s="10" t="e">
        <f t="shared" ca="1" si="5"/>
        <v>#NAME?</v>
      </c>
      <c r="P136" s="10" t="str">
        <f t="array" ref="P136">INDEX('Input Kegiatan'!$C$2:$C990,MATCH($F136,'Input Kegiatan'!$A$2:$A990,0))</f>
        <v>SURVEI</v>
      </c>
      <c r="Q136" s="10" t="str">
        <f t="shared" si="6"/>
        <v>SURVEI-PPL</v>
      </c>
    </row>
    <row r="137" spans="1:17" ht="12.5">
      <c r="A137" s="10" t="str">
        <f t="shared" si="0"/>
        <v>SKTNP24-LAPANGAN-TRI1-PPL-PENDATAAN BARANG</v>
      </c>
      <c r="B137" s="10">
        <f>COUNTIFS('Alokasi Honor'!$I$2:$I990,$A137)</f>
        <v>1</v>
      </c>
      <c r="C137" s="10">
        <f>COUNTIFS('Alokasi Honor'!$I$2:$I990,$A137,'Alokasi Honor'!$U$2:$U990,1)</f>
        <v>1</v>
      </c>
      <c r="D137" s="10">
        <f t="shared" si="1"/>
        <v>1</v>
      </c>
      <c r="E137" s="10">
        <f t="shared" si="2"/>
        <v>0</v>
      </c>
      <c r="F137" s="9" t="s">
        <v>147</v>
      </c>
      <c r="G137" s="9" t="s">
        <v>25</v>
      </c>
      <c r="H137" s="9" t="s">
        <v>164</v>
      </c>
      <c r="I137" s="85">
        <v>55000</v>
      </c>
      <c r="J137" s="9" t="s">
        <v>3037</v>
      </c>
      <c r="K137" s="10" t="str">
        <f t="shared" si="3"/>
        <v>SKTNP24-LAPANGAN-TRI1-PPL</v>
      </c>
      <c r="L137" s="86">
        <v>45412</v>
      </c>
      <c r="M137" s="87">
        <f t="shared" si="4"/>
        <v>45432</v>
      </c>
      <c r="N137" s="10" t="str">
        <f t="array" ref="N137">INDEX('Input Kegiatan'!$B$2:$B990,MATCH(F137,'Input Kegiatan'!$A$2:$A990,0))&amp;" ("&amp;J137&amp;")"</f>
        <v>Survei Khusus Triwulan Neraca Produksi Barang Jasa (SKTNP) 2024 Triwulan I (PENDATAAN BARANG)</v>
      </c>
      <c r="O137" s="10" t="e">
        <f t="shared" ca="1" si="5"/>
        <v>#NAME?</v>
      </c>
      <c r="P137" s="10" t="str">
        <f t="array" ref="P137">INDEX('Input Kegiatan'!$C$2:$C990,MATCH($F137,'Input Kegiatan'!$A$2:$A990,0))</f>
        <v>SURVEI</v>
      </c>
      <c r="Q137" s="10" t="str">
        <f t="shared" si="6"/>
        <v>SURVEI-PPL</v>
      </c>
    </row>
    <row r="138" spans="1:17" ht="12.5">
      <c r="A138" s="10" t="str">
        <f t="shared" si="0"/>
        <v>SKTNP24-LAPANGAN-TRI2-PPL-PENDATAAN BARANG</v>
      </c>
      <c r="B138" s="10">
        <f>COUNTIFS('Alokasi Honor'!$I$2:$I990,$A138)</f>
        <v>1</v>
      </c>
      <c r="C138" s="10">
        <f>COUNTIFS('Alokasi Honor'!$I$2:$I990,$A138,'Alokasi Honor'!$U$2:$U990,1)</f>
        <v>0</v>
      </c>
      <c r="D138" s="10">
        <f t="shared" si="1"/>
        <v>0</v>
      </c>
      <c r="E138" s="10">
        <f t="shared" si="2"/>
        <v>1</v>
      </c>
      <c r="F138" s="9" t="s">
        <v>207</v>
      </c>
      <c r="G138" s="9" t="s">
        <v>25</v>
      </c>
      <c r="H138" s="9" t="s">
        <v>164</v>
      </c>
      <c r="I138" s="85">
        <v>55000</v>
      </c>
      <c r="J138" s="9" t="s">
        <v>3037</v>
      </c>
      <c r="K138" s="10" t="str">
        <f t="shared" si="3"/>
        <v>SKTNP24-LAPANGAN-TRI2-PPL</v>
      </c>
      <c r="L138" s="86">
        <v>45504</v>
      </c>
      <c r="M138" s="87">
        <f t="shared" si="4"/>
        <v>45524</v>
      </c>
      <c r="N138" s="10" t="str">
        <f t="array" ref="N138">INDEX('Input Kegiatan'!$B$2:$B990,MATCH(F138,'Input Kegiatan'!$A$2:$A990,0))&amp;" ("&amp;J138&amp;")"</f>
        <v>Survei Khusus Triwulan Neraca Produksi Barang Jasa (SKTNP) 2024 Triwulan II (PENDATAAN BARANG)</v>
      </c>
      <c r="O138" s="10" t="e">
        <f t="shared" ca="1" si="5"/>
        <v>#NAME?</v>
      </c>
      <c r="P138" s="10" t="str">
        <f t="array" ref="P138">INDEX('Input Kegiatan'!$C$2:$C990,MATCH($F138,'Input Kegiatan'!$A$2:$A990,0))</f>
        <v>SURVEI</v>
      </c>
      <c r="Q138" s="10" t="str">
        <f t="shared" si="6"/>
        <v>SURVEI-PPL</v>
      </c>
    </row>
    <row r="139" spans="1:17" ht="12.5">
      <c r="A139" s="10" t="str">
        <f t="shared" si="0"/>
        <v>SKTNP24-LAPANGAN-TRI3-PPL-PENDATAAN BARANG</v>
      </c>
      <c r="B139" s="10">
        <f>COUNTIFS('Alokasi Honor'!$I$2:$I990,$A139)</f>
        <v>1</v>
      </c>
      <c r="C139" s="10">
        <f>COUNTIFS('Alokasi Honor'!$I$2:$I990,$A139,'Alokasi Honor'!$U$2:$U990,1)</f>
        <v>0</v>
      </c>
      <c r="D139" s="10">
        <f t="shared" si="1"/>
        <v>0</v>
      </c>
      <c r="E139" s="10">
        <f t="shared" si="2"/>
        <v>1</v>
      </c>
      <c r="F139" s="9" t="s">
        <v>292</v>
      </c>
      <c r="G139" s="9" t="s">
        <v>25</v>
      </c>
      <c r="H139" s="9" t="s">
        <v>164</v>
      </c>
      <c r="I139" s="85">
        <v>55000</v>
      </c>
      <c r="J139" s="9" t="s">
        <v>3037</v>
      </c>
      <c r="K139" s="10" t="str">
        <f t="shared" si="3"/>
        <v>SKTNP24-LAPANGAN-TRI3-PPL</v>
      </c>
      <c r="L139" s="86">
        <v>45596</v>
      </c>
      <c r="M139" s="87">
        <f t="shared" si="4"/>
        <v>45616</v>
      </c>
      <c r="N139" s="10" t="str">
        <f t="array" ref="N139">INDEX('Input Kegiatan'!$B$2:$B990,MATCH(F139,'Input Kegiatan'!$A$2:$A990,0))&amp;" ("&amp;J139&amp;")"</f>
        <v>Survei Khusus Triwulan Neraca Produksi Barang Jasa (SKTNP) 2024 Triwulan III (PENDATAAN BARANG)</v>
      </c>
      <c r="O139" s="10" t="e">
        <f t="shared" ca="1" si="5"/>
        <v>#NAME?</v>
      </c>
      <c r="P139" s="10" t="str">
        <f t="array" ref="P139">INDEX('Input Kegiatan'!$C$2:$C990,MATCH($F139,'Input Kegiatan'!$A$2:$A990,0))</f>
        <v>SURVEI</v>
      </c>
      <c r="Q139" s="10" t="str">
        <f t="shared" si="6"/>
        <v>SURVEI-PPL</v>
      </c>
    </row>
    <row r="140" spans="1:17" ht="12.5">
      <c r="A140" s="10" t="str">
        <f t="shared" si="0"/>
        <v>SKTNP24-LAPANGAN-TRI4-PPL-PENDATAAN BARANG</v>
      </c>
      <c r="B140" s="10">
        <f>COUNTIFS('Alokasi Honor'!$I$2:$I990,$A140)</f>
        <v>1</v>
      </c>
      <c r="C140" s="10">
        <f>COUNTIFS('Alokasi Honor'!$I$2:$I990,$A140,'Alokasi Honor'!$U$2:$U990,1)</f>
        <v>0</v>
      </c>
      <c r="D140" s="10">
        <f t="shared" si="1"/>
        <v>0</v>
      </c>
      <c r="E140" s="10">
        <f t="shared" si="2"/>
        <v>1</v>
      </c>
      <c r="F140" s="9" t="s">
        <v>327</v>
      </c>
      <c r="G140" s="9" t="s">
        <v>25</v>
      </c>
      <c r="H140" s="9" t="s">
        <v>164</v>
      </c>
      <c r="I140" s="85">
        <v>55000</v>
      </c>
      <c r="J140" s="9" t="s">
        <v>3037</v>
      </c>
      <c r="K140" s="10" t="str">
        <f t="shared" si="3"/>
        <v>SKTNP24-LAPANGAN-TRI4-PPL</v>
      </c>
      <c r="L140" s="86">
        <v>45688</v>
      </c>
      <c r="M140" s="87">
        <f t="shared" si="4"/>
        <v>45708</v>
      </c>
      <c r="N140" s="10" t="str">
        <f t="array" ref="N140">INDEX('Input Kegiatan'!$B$2:$B990,MATCH(F140,'Input Kegiatan'!$A$2:$A990,0))&amp;" ("&amp;J140&amp;")"</f>
        <v>Survei Khusus Triwulan Neraca Produksi Barang Jasa (SKTNP) 2024 Triwulan IV (PENDATAAN BARANG)</v>
      </c>
      <c r="O140" s="10" t="e">
        <f t="shared" ca="1" si="5"/>
        <v>#NAME?</v>
      </c>
      <c r="P140" s="10" t="str">
        <f t="array" ref="P140">INDEX('Input Kegiatan'!$C$2:$C990,MATCH($F140,'Input Kegiatan'!$A$2:$A990,0))</f>
        <v>SURVEI</v>
      </c>
      <c r="Q140" s="10" t="str">
        <f t="shared" si="6"/>
        <v>SURVEI-PPL</v>
      </c>
    </row>
    <row r="141" spans="1:17" ht="12.5">
      <c r="A141" s="10" t="str">
        <f t="shared" si="0"/>
        <v>SKTNP24-LAPANGAN-TRI1-PPL-PENDATAAN JASA</v>
      </c>
      <c r="B141" s="10">
        <f>COUNTIFS('Alokasi Honor'!$I$2:$I990,$A141)</f>
        <v>1</v>
      </c>
      <c r="C141" s="10">
        <f>COUNTIFS('Alokasi Honor'!$I$2:$I990,$A141,'Alokasi Honor'!$U$2:$U990,1)</f>
        <v>1</v>
      </c>
      <c r="D141" s="10">
        <f t="shared" si="1"/>
        <v>1</v>
      </c>
      <c r="E141" s="10">
        <f t="shared" si="2"/>
        <v>0</v>
      </c>
      <c r="F141" s="9" t="s">
        <v>147</v>
      </c>
      <c r="G141" s="9" t="s">
        <v>25</v>
      </c>
      <c r="H141" s="9" t="s">
        <v>164</v>
      </c>
      <c r="I141" s="85">
        <v>55000</v>
      </c>
      <c r="J141" s="9" t="s">
        <v>3038</v>
      </c>
      <c r="K141" s="10" t="str">
        <f t="shared" si="3"/>
        <v>SKTNP24-LAPANGAN-TRI1-PPL</v>
      </c>
      <c r="L141" s="86">
        <v>45412</v>
      </c>
      <c r="M141" s="87">
        <f t="shared" si="4"/>
        <v>45432</v>
      </c>
      <c r="N141" s="10" t="str">
        <f t="array" ref="N141">INDEX('Input Kegiatan'!$B$2:$B990,MATCH(F141,'Input Kegiatan'!$A$2:$A990,0))&amp;" ("&amp;J141&amp;")"</f>
        <v>Survei Khusus Triwulan Neraca Produksi Barang Jasa (SKTNP) 2024 Triwulan I (PENDATAAN JASA)</v>
      </c>
      <c r="O141" s="10" t="e">
        <f t="shared" ca="1" si="5"/>
        <v>#NAME?</v>
      </c>
      <c r="P141" s="10" t="str">
        <f t="array" ref="P141">INDEX('Input Kegiatan'!$C$2:$C990,MATCH($F141,'Input Kegiatan'!$A$2:$A990,0))</f>
        <v>SURVEI</v>
      </c>
      <c r="Q141" s="10" t="str">
        <f t="shared" si="6"/>
        <v>SURVEI-PPL</v>
      </c>
    </row>
    <row r="142" spans="1:17" ht="12.5">
      <c r="A142" s="10" t="str">
        <f t="shared" si="0"/>
        <v>SKTNP24-LAPANGAN-TRI2-PPL-PENDATAAN JASA</v>
      </c>
      <c r="B142" s="10">
        <f>COUNTIFS('Alokasi Honor'!$I$2:$I990,$A142)</f>
        <v>1</v>
      </c>
      <c r="C142" s="10">
        <f>COUNTIFS('Alokasi Honor'!$I$2:$I990,$A142,'Alokasi Honor'!$U$2:$U990,1)</f>
        <v>0</v>
      </c>
      <c r="D142" s="10">
        <f t="shared" si="1"/>
        <v>0</v>
      </c>
      <c r="E142" s="10">
        <f t="shared" si="2"/>
        <v>1</v>
      </c>
      <c r="F142" s="9" t="s">
        <v>207</v>
      </c>
      <c r="G142" s="9" t="s">
        <v>25</v>
      </c>
      <c r="H142" s="9" t="s">
        <v>164</v>
      </c>
      <c r="I142" s="85">
        <v>55000</v>
      </c>
      <c r="J142" s="9" t="s">
        <v>3038</v>
      </c>
      <c r="K142" s="10" t="str">
        <f t="shared" si="3"/>
        <v>SKTNP24-LAPANGAN-TRI2-PPL</v>
      </c>
      <c r="L142" s="86">
        <v>45504</v>
      </c>
      <c r="M142" s="87">
        <f t="shared" si="4"/>
        <v>45524</v>
      </c>
      <c r="N142" s="10" t="str">
        <f t="array" ref="N142">INDEX('Input Kegiatan'!$B$2:$B990,MATCH(F142,'Input Kegiatan'!$A$2:$A990,0))&amp;" ("&amp;J142&amp;")"</f>
        <v>Survei Khusus Triwulan Neraca Produksi Barang Jasa (SKTNP) 2024 Triwulan II (PENDATAAN JASA)</v>
      </c>
      <c r="O142" s="10" t="e">
        <f t="shared" ca="1" si="5"/>
        <v>#NAME?</v>
      </c>
      <c r="P142" s="10" t="str">
        <f t="array" ref="P142">INDEX('Input Kegiatan'!$C$2:$C990,MATCH($F142,'Input Kegiatan'!$A$2:$A990,0))</f>
        <v>SURVEI</v>
      </c>
      <c r="Q142" s="10" t="str">
        <f t="shared" si="6"/>
        <v>SURVEI-PPL</v>
      </c>
    </row>
    <row r="143" spans="1:17" ht="12.5">
      <c r="A143" s="10" t="str">
        <f t="shared" si="0"/>
        <v>SKTNP24-LAPANGAN-TRI3-PPL-PENDATAAN JASA</v>
      </c>
      <c r="B143" s="10">
        <f>COUNTIFS('Alokasi Honor'!$I$2:$I990,$A143)</f>
        <v>1</v>
      </c>
      <c r="C143" s="10">
        <f>COUNTIFS('Alokasi Honor'!$I$2:$I990,$A143,'Alokasi Honor'!$U$2:$U990,1)</f>
        <v>0</v>
      </c>
      <c r="D143" s="10">
        <f t="shared" si="1"/>
        <v>0</v>
      </c>
      <c r="E143" s="10">
        <f t="shared" si="2"/>
        <v>1</v>
      </c>
      <c r="F143" s="9" t="s">
        <v>292</v>
      </c>
      <c r="G143" s="9" t="s">
        <v>25</v>
      </c>
      <c r="H143" s="9" t="s">
        <v>164</v>
      </c>
      <c r="I143" s="85">
        <v>55000</v>
      </c>
      <c r="J143" s="9" t="s">
        <v>3038</v>
      </c>
      <c r="K143" s="10" t="str">
        <f t="shared" si="3"/>
        <v>SKTNP24-LAPANGAN-TRI3-PPL</v>
      </c>
      <c r="L143" s="86">
        <v>45596</v>
      </c>
      <c r="M143" s="87">
        <f t="shared" si="4"/>
        <v>45616</v>
      </c>
      <c r="N143" s="10" t="str">
        <f t="array" ref="N143">INDEX('Input Kegiatan'!$B$2:$B990,MATCH(F143,'Input Kegiatan'!$A$2:$A990,0))&amp;" ("&amp;J143&amp;")"</f>
        <v>Survei Khusus Triwulan Neraca Produksi Barang Jasa (SKTNP) 2024 Triwulan III (PENDATAAN JASA)</v>
      </c>
      <c r="O143" s="10" t="e">
        <f t="shared" ca="1" si="5"/>
        <v>#NAME?</v>
      </c>
      <c r="P143" s="10" t="str">
        <f t="array" ref="P143">INDEX('Input Kegiatan'!$C$2:$C990,MATCH($F143,'Input Kegiatan'!$A$2:$A990,0))</f>
        <v>SURVEI</v>
      </c>
      <c r="Q143" s="10" t="str">
        <f t="shared" si="6"/>
        <v>SURVEI-PPL</v>
      </c>
    </row>
    <row r="144" spans="1:17" ht="12.5">
      <c r="A144" s="10" t="str">
        <f t="shared" si="0"/>
        <v>SKTNP24-LAPANGAN-TRI4-PPL-PENDATAAN JASA</v>
      </c>
      <c r="B144" s="10">
        <f>COUNTIFS('Alokasi Honor'!$I$2:$I990,$A144)</f>
        <v>1</v>
      </c>
      <c r="C144" s="10">
        <f>COUNTIFS('Alokasi Honor'!$I$2:$I990,$A144,'Alokasi Honor'!$U$2:$U990,1)</f>
        <v>0</v>
      </c>
      <c r="D144" s="10">
        <f t="shared" si="1"/>
        <v>0</v>
      </c>
      <c r="E144" s="10">
        <f t="shared" si="2"/>
        <v>1</v>
      </c>
      <c r="F144" s="9" t="s">
        <v>327</v>
      </c>
      <c r="G144" s="9" t="s">
        <v>25</v>
      </c>
      <c r="H144" s="9" t="s">
        <v>164</v>
      </c>
      <c r="I144" s="85">
        <v>55000</v>
      </c>
      <c r="J144" s="9" t="s">
        <v>3038</v>
      </c>
      <c r="K144" s="10" t="str">
        <f t="shared" si="3"/>
        <v>SKTNP24-LAPANGAN-TRI4-PPL</v>
      </c>
      <c r="L144" s="86">
        <v>45688</v>
      </c>
      <c r="M144" s="87">
        <f t="shared" si="4"/>
        <v>45708</v>
      </c>
      <c r="N144" s="10" t="str">
        <f t="array" ref="N144">INDEX('Input Kegiatan'!$B$2:$B990,MATCH(F144,'Input Kegiatan'!$A$2:$A990,0))&amp;" ("&amp;J144&amp;")"</f>
        <v>Survei Khusus Triwulan Neraca Produksi Barang Jasa (SKTNP) 2024 Triwulan IV (PENDATAAN JASA)</v>
      </c>
      <c r="O144" s="10" t="e">
        <f t="shared" ca="1" si="5"/>
        <v>#NAME?</v>
      </c>
      <c r="P144" s="10" t="str">
        <f t="array" ref="P144">INDEX('Input Kegiatan'!$C$2:$C990,MATCH($F144,'Input Kegiatan'!$A$2:$A990,0))</f>
        <v>SURVEI</v>
      </c>
      <c r="Q144" s="10" t="str">
        <f t="shared" si="6"/>
        <v>SURVEI-PPL</v>
      </c>
    </row>
    <row r="145" spans="1:17" ht="12.5">
      <c r="A145" s="10" t="str">
        <f t="shared" si="0"/>
        <v>SPAK24-LAPANGAN-PPL-PENDATAAN</v>
      </c>
      <c r="B145" s="10">
        <f>COUNTIFS('Alokasi Honor'!$I$2:$I990,$A145)</f>
        <v>1</v>
      </c>
      <c r="C145" s="10">
        <f>COUNTIFS('Alokasi Honor'!$I$2:$I990,$A145,'Alokasi Honor'!$U$2:$U990,1)</f>
        <v>1</v>
      </c>
      <c r="D145" s="10">
        <f t="shared" si="1"/>
        <v>1</v>
      </c>
      <c r="E145" s="10">
        <f t="shared" si="2"/>
        <v>0</v>
      </c>
      <c r="F145" s="9" t="s">
        <v>143</v>
      </c>
      <c r="G145" s="9" t="s">
        <v>25</v>
      </c>
      <c r="H145" s="9" t="s">
        <v>164</v>
      </c>
      <c r="I145" s="85">
        <v>55000</v>
      </c>
      <c r="J145" s="9" t="s">
        <v>67</v>
      </c>
      <c r="K145" s="10" t="str">
        <f t="shared" si="3"/>
        <v>SPAK24-LAPANGAN-PPL</v>
      </c>
      <c r="L145" s="100">
        <v>45404</v>
      </c>
      <c r="M145" s="101">
        <f t="shared" si="4"/>
        <v>45424</v>
      </c>
      <c r="N145" s="10" t="str">
        <f t="array" ref="N145">INDEX('Input Kegiatan'!$B$2:$B990,MATCH(F145,'Input Kegiatan'!$A$2:$A990,0))&amp;" ("&amp;J145&amp;")"</f>
        <v>(SPAK24) Survei Perilaku Anti Korupsi 2024 (PENDATAAN)</v>
      </c>
      <c r="O145" s="10" t="e">
        <f t="shared" ca="1" si="5"/>
        <v>#NAME?</v>
      </c>
      <c r="P145" s="10" t="str">
        <f t="array" ref="P145">INDEX('Input Kegiatan'!$C$2:$C990,MATCH($F145,'Input Kegiatan'!$A$2:$A990,0))</f>
        <v>SURVEI</v>
      </c>
      <c r="Q145" s="10" t="str">
        <f t="shared" si="6"/>
        <v>SURVEI-PPL</v>
      </c>
    </row>
    <row r="146" spans="1:17" ht="12.5">
      <c r="A146" s="10" t="str">
        <f t="shared" si="0"/>
        <v>SKTH24-LAPANGAN-TAHUNAN-PPL-PENDATAAN</v>
      </c>
      <c r="B146" s="10">
        <f>COUNTIFS('Alokasi Honor'!$I$2:$I990,$A146)</f>
        <v>1</v>
      </c>
      <c r="C146" s="10">
        <f>COUNTIFS('Alokasi Honor'!$I$2:$I990,$A146,'Alokasi Honor'!$U$2:$U990,1)</f>
        <v>1</v>
      </c>
      <c r="D146" s="10">
        <f t="shared" si="1"/>
        <v>1</v>
      </c>
      <c r="E146" s="10">
        <f t="shared" si="2"/>
        <v>0</v>
      </c>
      <c r="F146" s="9" t="s">
        <v>123</v>
      </c>
      <c r="G146" s="9" t="s">
        <v>25</v>
      </c>
      <c r="H146" s="9" t="s">
        <v>164</v>
      </c>
      <c r="I146" s="85">
        <v>73000</v>
      </c>
      <c r="J146" s="9" t="s">
        <v>67</v>
      </c>
      <c r="K146" s="10" t="str">
        <f t="shared" si="3"/>
        <v>SKTH24-LAPANGAN-TAHUNAN-PPL</v>
      </c>
      <c r="L146" s="100">
        <v>45371</v>
      </c>
      <c r="M146" s="101">
        <f t="shared" si="4"/>
        <v>45391</v>
      </c>
      <c r="N146" s="10" t="str">
        <f t="array" ref="N146">INDEX('Input Kegiatan'!$B$2:$B990,MATCH(F146,'Input Kegiatan'!$A$2:$A990,0))&amp;" ("&amp;J146&amp;")"</f>
        <v>(SKTH24) Survei Perusahaan Konstruksi Tahunan 2024 (PENDATAAN)</v>
      </c>
      <c r="O146" s="10" t="e">
        <f t="shared" ca="1" si="5"/>
        <v>#NAME?</v>
      </c>
      <c r="P146" s="10" t="str">
        <f t="array" ref="P146">INDEX('Input Kegiatan'!$C$2:$C990,MATCH($F146,'Input Kegiatan'!$A$2:$A990,0))</f>
        <v>SURVEI</v>
      </c>
      <c r="Q146" s="10" t="str">
        <f t="shared" si="6"/>
        <v>SURVEI-PPL</v>
      </c>
    </row>
    <row r="147" spans="1:17" ht="12.5">
      <c r="A147" s="10" t="str">
        <f t="shared" si="0"/>
        <v>SKTR24-LAPANGAN-TRI1-PPL-PENDATAAN</v>
      </c>
      <c r="B147" s="10">
        <f>COUNTIFS('Alokasi Honor'!$I$2:$I990,$A147)</f>
        <v>1</v>
      </c>
      <c r="C147" s="10">
        <f>COUNTIFS('Alokasi Honor'!$I$2:$I990,$A147,'Alokasi Honor'!$U$2:$U990,1)</f>
        <v>1</v>
      </c>
      <c r="D147" s="10">
        <f t="shared" si="1"/>
        <v>1</v>
      </c>
      <c r="E147" s="10">
        <f t="shared" si="2"/>
        <v>0</v>
      </c>
      <c r="F147" s="9" t="s">
        <v>126</v>
      </c>
      <c r="G147" s="9" t="s">
        <v>25</v>
      </c>
      <c r="H147" s="9" t="s">
        <v>164</v>
      </c>
      <c r="I147" s="85">
        <v>60000</v>
      </c>
      <c r="J147" s="9" t="s">
        <v>67</v>
      </c>
      <c r="K147" s="10" t="str">
        <f t="shared" si="3"/>
        <v>SKTR24-LAPANGAN-TRI1-PPL</v>
      </c>
      <c r="L147" s="100">
        <v>45383</v>
      </c>
      <c r="M147" s="101">
        <f t="shared" si="4"/>
        <v>45403</v>
      </c>
      <c r="N147" s="10" t="str">
        <f t="array" ref="N147">INDEX('Input Kegiatan'!$B$2:$B990,MATCH(F147,'Input Kegiatan'!$A$2:$A990,0))&amp;" ("&amp;J147&amp;")"</f>
        <v>Survei Perusahaan Konstruksi Triwulan (SKTR) 2024 (PENDATAAN)</v>
      </c>
      <c r="O147" s="10" t="e">
        <f t="shared" ca="1" si="5"/>
        <v>#NAME?</v>
      </c>
      <c r="P147" s="10" t="str">
        <f t="array" ref="P147">INDEX('Input Kegiatan'!$C$2:$C990,MATCH($F147,'Input Kegiatan'!$A$2:$A990,0))</f>
        <v>SURVEI</v>
      </c>
      <c r="Q147" s="10" t="str">
        <f t="shared" si="6"/>
        <v>SURVEI-PPL</v>
      </c>
    </row>
    <row r="148" spans="1:17" ht="12.5">
      <c r="A148" s="10" t="str">
        <f t="shared" si="0"/>
        <v>SEP24-LAPANGAN-PPL-PENDATAAN</v>
      </c>
      <c r="B148" s="10">
        <f>COUNTIFS('Alokasi Honor'!$I$2:$I990,$A148)</f>
        <v>16</v>
      </c>
      <c r="C148" s="10">
        <f>COUNTIFS('Alokasi Honor'!$I$2:$I990,$A148,'Alokasi Honor'!$U$2:$U990,1)</f>
        <v>16</v>
      </c>
      <c r="D148" s="10">
        <f t="shared" si="1"/>
        <v>1</v>
      </c>
      <c r="E148" s="10">
        <f t="shared" si="2"/>
        <v>0</v>
      </c>
      <c r="F148" s="9" t="s">
        <v>181</v>
      </c>
      <c r="G148" s="9" t="s">
        <v>25</v>
      </c>
      <c r="H148" s="9" t="s">
        <v>182</v>
      </c>
      <c r="I148" s="85">
        <v>4694000</v>
      </c>
      <c r="J148" s="9" t="s">
        <v>67</v>
      </c>
      <c r="K148" s="10" t="str">
        <f t="shared" si="3"/>
        <v>SEP24-LAPANGAN-PPL</v>
      </c>
      <c r="L148" s="86">
        <v>45473</v>
      </c>
      <c r="M148" s="87">
        <f t="shared" si="4"/>
        <v>45493</v>
      </c>
      <c r="N148" s="10" t="str">
        <f t="array" ref="N148">INDEX('Input Kegiatan'!$B$2:$B990,MATCH(F148,'Input Kegiatan'!$A$2:$A990,0))&amp;" ("&amp;J148&amp;")"</f>
        <v>Survei Ekonomi Pertanian 2024 (PENDATAAN)</v>
      </c>
      <c r="O148" s="10" t="e">
        <f t="shared" ca="1" si="5"/>
        <v>#NAME?</v>
      </c>
      <c r="P148" s="10" t="str">
        <f t="array" ref="P148">INDEX('Input Kegiatan'!$C$2:$C990,MATCH($F148,'Input Kegiatan'!$A$2:$A990,0))</f>
        <v>SENSUS</v>
      </c>
      <c r="Q148" s="10" t="str">
        <f t="shared" si="6"/>
        <v>SENSUS-PPL</v>
      </c>
    </row>
    <row r="149" spans="1:17" ht="12.5">
      <c r="A149" s="10" t="str">
        <f t="shared" si="0"/>
        <v>UBINAN24-LAPANGAN-SR1-2-PPL-PALAWIJA</v>
      </c>
      <c r="B149" s="10">
        <f>COUNTIFS('Alokasi Honor'!$I$2:$I990,$A149)</f>
        <v>1</v>
      </c>
      <c r="C149" s="10">
        <f>COUNTIFS('Alokasi Honor'!$I$2:$I990,$A149,'Alokasi Honor'!$U$2:$U990,1)</f>
        <v>1</v>
      </c>
      <c r="D149" s="10">
        <f t="shared" si="1"/>
        <v>1</v>
      </c>
      <c r="E149" s="10">
        <f t="shared" si="2"/>
        <v>0</v>
      </c>
      <c r="F149" s="9" t="s">
        <v>163</v>
      </c>
      <c r="G149" s="9" t="s">
        <v>25</v>
      </c>
      <c r="H149" s="9" t="s">
        <v>164</v>
      </c>
      <c r="I149" s="85">
        <v>78000</v>
      </c>
      <c r="J149" s="9" t="s">
        <v>230</v>
      </c>
      <c r="K149" s="10" t="str">
        <f t="shared" si="3"/>
        <v>UBINAN24-LAPANGAN-SR1-2-PPL</v>
      </c>
      <c r="L149" s="100">
        <v>45443</v>
      </c>
      <c r="M149" s="101">
        <f t="shared" si="4"/>
        <v>45463</v>
      </c>
      <c r="N149" s="10" t="str">
        <f t="array" ref="N149">INDEX('Input Kegiatan'!$B$2:$B990,MATCH(F149,'Input Kegiatan'!$A$2:$A990,0))&amp;" ("&amp;J149&amp;")"</f>
        <v>Survei Ubinan 2024 Subround 1 dan 2 (PALAWIJA)</v>
      </c>
      <c r="O149" s="10" t="e">
        <f t="shared" ca="1" si="5"/>
        <v>#NAME?</v>
      </c>
      <c r="P149" s="10" t="str">
        <f t="array" ref="P149">INDEX('Input Kegiatan'!$C$2:$C990,MATCH($F149,'Input Kegiatan'!$A$2:$A990,0))</f>
        <v>SURVEI</v>
      </c>
      <c r="Q149" s="10" t="str">
        <f t="shared" si="6"/>
        <v>SURVEI-PPL</v>
      </c>
    </row>
    <row r="150" spans="1:17" ht="12.5">
      <c r="A150" s="10" t="str">
        <f t="shared" si="0"/>
        <v>UBINAN24-LAPANGAN-SR1-2-PPL-PADI</v>
      </c>
      <c r="B150" s="10">
        <f>COUNTIFS('Alokasi Honor'!$I$2:$I990,$A150)</f>
        <v>7</v>
      </c>
      <c r="C150" s="10">
        <f>COUNTIFS('Alokasi Honor'!$I$2:$I990,$A150,'Alokasi Honor'!$U$2:$U990,1)</f>
        <v>7</v>
      </c>
      <c r="D150" s="10">
        <f t="shared" si="1"/>
        <v>1</v>
      </c>
      <c r="E150" s="10">
        <f t="shared" si="2"/>
        <v>0</v>
      </c>
      <c r="F150" s="9" t="s">
        <v>163</v>
      </c>
      <c r="G150" s="9" t="s">
        <v>25</v>
      </c>
      <c r="H150" s="9" t="s">
        <v>164</v>
      </c>
      <c r="I150" s="85">
        <v>78000</v>
      </c>
      <c r="J150" s="9" t="s">
        <v>232</v>
      </c>
      <c r="K150" s="10" t="str">
        <f t="shared" si="3"/>
        <v>UBINAN24-LAPANGAN-SR1-2-PPL</v>
      </c>
      <c r="L150" s="100">
        <v>45443</v>
      </c>
      <c r="M150" s="101">
        <f t="shared" si="4"/>
        <v>45463</v>
      </c>
      <c r="N150" s="10" t="str">
        <f t="array" ref="N150">INDEX('Input Kegiatan'!$B$2:$B990,MATCH(F150,'Input Kegiatan'!$A$2:$A990,0))&amp;" ("&amp;J150&amp;")"</f>
        <v>Survei Ubinan 2024 Subround 1 dan 2 (PADI)</v>
      </c>
      <c r="O150" s="10" t="e">
        <f t="shared" ca="1" si="5"/>
        <v>#NAME?</v>
      </c>
      <c r="P150" s="10" t="str">
        <f t="array" ref="P150">INDEX('Input Kegiatan'!$C$2:$C990,MATCH($F150,'Input Kegiatan'!$A$2:$A990,0))</f>
        <v>SURVEI</v>
      </c>
      <c r="Q150" s="10" t="str">
        <f t="shared" si="6"/>
        <v>SURVEI-PPL</v>
      </c>
    </row>
    <row r="151" spans="1:17" ht="12.5">
      <c r="A151" s="10" t="str">
        <f t="shared" si="0"/>
        <v>LPTB24-LAPANGAN-AGUSTUS-PPL-PENDATAAN</v>
      </c>
      <c r="B151" s="10">
        <f>COUNTIFS('Alokasi Honor'!$I$2:$I990,$A151)</f>
        <v>1</v>
      </c>
      <c r="C151" s="10">
        <f>COUNTIFS('Alokasi Honor'!$I$2:$I990,$A151,'Alokasi Honor'!$U$2:$U990,1)</f>
        <v>1</v>
      </c>
      <c r="D151" s="10">
        <f t="shared" si="1"/>
        <v>1</v>
      </c>
      <c r="E151" s="10">
        <f t="shared" si="2"/>
        <v>0</v>
      </c>
      <c r="F151" s="9" t="s">
        <v>212</v>
      </c>
      <c r="G151" s="9" t="s">
        <v>25</v>
      </c>
      <c r="H151" s="9" t="s">
        <v>164</v>
      </c>
      <c r="I151" s="85">
        <v>60000</v>
      </c>
      <c r="J151" s="9" t="s">
        <v>67</v>
      </c>
      <c r="K151" s="10" t="str">
        <f t="shared" si="3"/>
        <v>LPTB24-LAPANGAN-AGUSTUS-PPL</v>
      </c>
      <c r="L151" s="93">
        <v>45505</v>
      </c>
      <c r="M151" s="95">
        <v>45510</v>
      </c>
      <c r="N151" s="10" t="str">
        <f t="array" ref="N151">INDEX('Input Kegiatan'!$B$2:$B990,MATCH(F151,'Input Kegiatan'!$A$2:$A990,0))&amp;" ("&amp;J151&amp;")"</f>
        <v>Laporan Pemotongan Ternak Bulanan 2024 Agustus (PENDATAAN)</v>
      </c>
      <c r="O151" s="10" t="e">
        <f t="shared" ca="1" si="5"/>
        <v>#NAME?</v>
      </c>
      <c r="P151" s="10" t="str">
        <f t="array" ref="P151">INDEX('Input Kegiatan'!$C$2:$C990,MATCH($F151,'Input Kegiatan'!$A$2:$A990,0))</f>
        <v>SURVEI</v>
      </c>
      <c r="Q151" s="10" t="str">
        <f t="shared" si="6"/>
        <v>SURVEI-PPL</v>
      </c>
    </row>
    <row r="152" spans="1:17" ht="12.5">
      <c r="A152" s="10" t="str">
        <f t="shared" si="0"/>
        <v>SEP24-PENGOLAHAN-PETUGAS ENTRI-PENDATAAN</v>
      </c>
      <c r="B152" s="10">
        <f>COUNTIFS('Alokasi Honor'!$I$2:$I990,$A152)</f>
        <v>4</v>
      </c>
      <c r="C152" s="10">
        <f>COUNTIFS('Alokasi Honor'!$I$2:$I990,$A152,'Alokasi Honor'!$U$2:$U990,1)</f>
        <v>4</v>
      </c>
      <c r="D152" s="10">
        <f t="shared" si="1"/>
        <v>1</v>
      </c>
      <c r="E152" s="10">
        <f t="shared" si="2"/>
        <v>0</v>
      </c>
      <c r="F152" s="9" t="s">
        <v>184</v>
      </c>
      <c r="G152" s="9" t="s">
        <v>90</v>
      </c>
      <c r="H152" s="9" t="s">
        <v>182</v>
      </c>
      <c r="I152" s="85">
        <v>3298000</v>
      </c>
      <c r="J152" s="9" t="s">
        <v>67</v>
      </c>
      <c r="K152" s="10" t="str">
        <f t="shared" si="3"/>
        <v>SEP24-PENGOLAHAN-PETUGAS ENTRI</v>
      </c>
      <c r="L152" s="95">
        <v>45476</v>
      </c>
      <c r="M152" s="95">
        <v>45512</v>
      </c>
      <c r="N152" s="10" t="str">
        <f t="array" ref="N152">INDEX('Input Kegiatan'!$B$2:$B990,MATCH(F152,'Input Kegiatan'!$A$2:$A990,0))&amp;" ("&amp;J152&amp;")"</f>
        <v>Survei Ekonomi Pertanian 2024 (PENDATAAN)</v>
      </c>
      <c r="O152" s="10" t="e">
        <f t="shared" ca="1" si="5"/>
        <v>#NAME?</v>
      </c>
      <c r="P152" s="10" t="str">
        <f t="array" ref="P152">INDEX('Input Kegiatan'!$C$2:$C990,MATCH($F152,'Input Kegiatan'!$A$2:$A990,0))</f>
        <v>SENSUS</v>
      </c>
      <c r="Q152" s="10" t="str">
        <f t="shared" si="6"/>
        <v>SENSUS-PETUGAS ENTRI</v>
      </c>
    </row>
    <row r="153" spans="1:17" ht="12.5">
      <c r="A153" s="10" t="str">
        <f t="shared" si="0"/>
        <v>SAKERNAS24-LAPANGAN-SEMESTER2-PPL-UPDATING LISTING</v>
      </c>
      <c r="B153" s="10">
        <f>COUNTIFS('Alokasi Honor'!$I$2:$I990,$A153)</f>
        <v>20</v>
      </c>
      <c r="C153" s="10">
        <f>COUNTIFS('Alokasi Honor'!$I$2:$I990,$A153,'Alokasi Honor'!$U$2:$U990,1)</f>
        <v>0</v>
      </c>
      <c r="D153" s="10">
        <f t="shared" si="1"/>
        <v>0</v>
      </c>
      <c r="E153" s="10">
        <f t="shared" si="2"/>
        <v>1</v>
      </c>
      <c r="F153" s="9" t="s">
        <v>227</v>
      </c>
      <c r="G153" s="9" t="s">
        <v>25</v>
      </c>
      <c r="H153" s="9" t="s">
        <v>3035</v>
      </c>
      <c r="I153" s="85">
        <v>168000</v>
      </c>
      <c r="J153" s="9" t="s">
        <v>89</v>
      </c>
      <c r="K153" s="10" t="str">
        <f t="shared" si="3"/>
        <v>SAKERNAS24-LAPANGAN-SEMESTER2-PPL</v>
      </c>
      <c r="L153" s="95">
        <v>45541</v>
      </c>
      <c r="M153" s="93">
        <f t="shared" ref="M153:M156" si="7">L153+20</f>
        <v>45561</v>
      </c>
      <c r="N153" s="10" t="str">
        <f t="array" ref="N153">INDEX('Input Kegiatan'!$B$2:$B990,MATCH(F153,'Input Kegiatan'!$A$2:$A990,0))&amp;" ("&amp;J153&amp;")"</f>
        <v>Sakernas Agustus 2024 (UPDATING LISTING)</v>
      </c>
      <c r="O153" s="10" t="e">
        <f t="shared" ca="1" si="5"/>
        <v>#NAME?</v>
      </c>
      <c r="P153" s="10" t="str">
        <f t="array" ref="P153">INDEX('Input Kegiatan'!$C$2:$C990,MATCH($F153,'Input Kegiatan'!$A$2:$A990,0))</f>
        <v>SURVEI</v>
      </c>
      <c r="Q153" s="10" t="str">
        <f t="shared" si="6"/>
        <v>SURVEI-PPL</v>
      </c>
    </row>
    <row r="154" spans="1:17" ht="12.5">
      <c r="A154" s="10" t="str">
        <f t="shared" si="0"/>
        <v>SAKERNAS24-LAPANGAN-SEMESTER2-PPL-PENDATAAN</v>
      </c>
      <c r="B154" s="10">
        <f>COUNTIFS('Alokasi Honor'!$I$2:$I990,$A154)</f>
        <v>20</v>
      </c>
      <c r="C154" s="10">
        <f>COUNTIFS('Alokasi Honor'!$I$2:$I990,$A154,'Alokasi Honor'!$U$2:$U990,1)</f>
        <v>0</v>
      </c>
      <c r="D154" s="10">
        <f t="shared" si="1"/>
        <v>0</v>
      </c>
      <c r="E154" s="10">
        <f t="shared" si="2"/>
        <v>1</v>
      </c>
      <c r="F154" s="9" t="s">
        <v>227</v>
      </c>
      <c r="G154" s="9" t="s">
        <v>25</v>
      </c>
      <c r="H154" s="9" t="s">
        <v>164</v>
      </c>
      <c r="I154" s="85">
        <v>66000</v>
      </c>
      <c r="J154" s="9" t="s">
        <v>67</v>
      </c>
      <c r="K154" s="10" t="str">
        <f t="shared" si="3"/>
        <v>SAKERNAS24-LAPANGAN-SEMESTER2-PPL</v>
      </c>
      <c r="L154" s="95">
        <v>45535</v>
      </c>
      <c r="M154" s="93">
        <f t="shared" si="7"/>
        <v>45555</v>
      </c>
      <c r="N154" s="10" t="str">
        <f t="array" ref="N154">INDEX('Input Kegiatan'!$B$2:$B990,MATCH(F154,'Input Kegiatan'!$A$2:$A990,0))&amp;" ("&amp;J154&amp;")"</f>
        <v>Sakernas Agustus 2024 (PENDATAAN)</v>
      </c>
      <c r="O154" s="10" t="e">
        <f t="shared" ca="1" si="5"/>
        <v>#NAME?</v>
      </c>
      <c r="P154" s="10" t="str">
        <f t="array" ref="P154">INDEX('Input Kegiatan'!$C$2:$C990,MATCH($F154,'Input Kegiatan'!$A$2:$A990,0))</f>
        <v>SURVEI</v>
      </c>
      <c r="Q154" s="10" t="str">
        <f t="shared" si="6"/>
        <v>SURVEI-PPL</v>
      </c>
    </row>
    <row r="155" spans="1:17" ht="12.5">
      <c r="A155" s="10" t="str">
        <f t="shared" si="0"/>
        <v>VPEK24-LAPANGAN-PPL-PERGUDANGAN</v>
      </c>
      <c r="B155" s="10">
        <f>COUNTIFS('Alokasi Honor'!$I$2:$I990,$A155)</f>
        <v>3</v>
      </c>
      <c r="C155" s="10">
        <f>COUNTIFS('Alokasi Honor'!$I$2:$I990,$A155,'Alokasi Honor'!$U$2:$U990,1)</f>
        <v>0</v>
      </c>
      <c r="D155" s="10">
        <f t="shared" si="1"/>
        <v>0</v>
      </c>
      <c r="E155" s="10">
        <f t="shared" si="2"/>
        <v>1</v>
      </c>
      <c r="F155" s="9" t="s">
        <v>245</v>
      </c>
      <c r="G155" s="9" t="s">
        <v>25</v>
      </c>
      <c r="H155" s="9" t="s">
        <v>164</v>
      </c>
      <c r="I155" s="85">
        <v>73000</v>
      </c>
      <c r="J155" s="9" t="s">
        <v>3039</v>
      </c>
      <c r="K155" s="10" t="str">
        <f t="shared" si="3"/>
        <v>VPEK24-LAPANGAN-PPL</v>
      </c>
      <c r="L155" s="95">
        <v>45549</v>
      </c>
      <c r="M155" s="93">
        <f t="shared" si="7"/>
        <v>45569</v>
      </c>
      <c r="N155" s="10" t="str">
        <f t="array" ref="N155">INDEX('Input Kegiatan'!$B$2:$B990,MATCH(F155,'Input Kegiatan'!$A$2:$A990,0))&amp;" ("&amp;J155&amp;")"</f>
        <v>(VPEK24) Survei Pergudangan, Ekspedisi, dan Kurir 2024 (PERGUDANGAN)</v>
      </c>
      <c r="O155" s="10" t="e">
        <f t="shared" ca="1" si="5"/>
        <v>#NAME?</v>
      </c>
      <c r="P155" s="10" t="str">
        <f t="array" ref="P155">INDEX('Input Kegiatan'!$C$2:$C990,MATCH($F155,'Input Kegiatan'!$A$2:$A990,0))</f>
        <v>SURVEI</v>
      </c>
      <c r="Q155" s="10" t="str">
        <f t="shared" si="6"/>
        <v>SURVEI-PPL</v>
      </c>
    </row>
    <row r="156" spans="1:17" ht="12.5">
      <c r="A156" s="10" t="str">
        <f t="shared" si="0"/>
        <v>VPEK24-LAPANGAN-PPL-JASA PENUNJANG ANGKUTAN</v>
      </c>
      <c r="B156" s="10">
        <f>COUNTIFS('Alokasi Honor'!$I$2:$I990,$A156)</f>
        <v>1</v>
      </c>
      <c r="C156" s="10">
        <f>COUNTIFS('Alokasi Honor'!$I$2:$I990,$A156,'Alokasi Honor'!$U$2:$U990,1)</f>
        <v>0</v>
      </c>
      <c r="D156" s="10">
        <f t="shared" si="1"/>
        <v>0</v>
      </c>
      <c r="E156" s="10">
        <f t="shared" si="2"/>
        <v>1</v>
      </c>
      <c r="F156" s="9" t="s">
        <v>245</v>
      </c>
      <c r="G156" s="9" t="s">
        <v>25</v>
      </c>
      <c r="H156" s="9" t="s">
        <v>164</v>
      </c>
      <c r="I156" s="85">
        <v>73000</v>
      </c>
      <c r="J156" s="9" t="s">
        <v>3040</v>
      </c>
      <c r="K156" s="10" t="str">
        <f t="shared" si="3"/>
        <v>VPEK24-LAPANGAN-PPL</v>
      </c>
      <c r="L156" s="95">
        <v>45549</v>
      </c>
      <c r="M156" s="93">
        <f t="shared" si="7"/>
        <v>45569</v>
      </c>
      <c r="N156" s="10" t="str">
        <f t="array" ref="N156">INDEX('Input Kegiatan'!$B$2:$B990,MATCH(F156,'Input Kegiatan'!$A$2:$A990,0))&amp;" ("&amp;J156&amp;")"</f>
        <v>(VPEK24) Survei Pergudangan, Ekspedisi, dan Kurir 2024 (JASA PENUNJANG ANGKUTAN)</v>
      </c>
      <c r="O156" s="10" t="e">
        <f t="shared" ca="1" si="5"/>
        <v>#NAME?</v>
      </c>
      <c r="P156" s="10" t="str">
        <f t="array" ref="P156">INDEX('Input Kegiatan'!$C$2:$C990,MATCH($F156,'Input Kegiatan'!$A$2:$A990,0))</f>
        <v>SURVEI</v>
      </c>
      <c r="Q156" s="10" t="str">
        <f t="shared" si="6"/>
        <v>SURVEI-PPL</v>
      </c>
    </row>
    <row r="157" spans="1:17" ht="12.5">
      <c r="A157" s="10" t="str">
        <f t="shared" si="0"/>
        <v>LPTB24-LAPANGAN-SEPTEMBER-PPL-PENDATAAN</v>
      </c>
      <c r="B157" s="10">
        <f>COUNTIFS('Alokasi Honor'!$I$2:$I990,$A157)</f>
        <v>1</v>
      </c>
      <c r="C157" s="10">
        <f>COUNTIFS('Alokasi Honor'!$I$2:$I990,$A157,'Alokasi Honor'!$U$2:$U990,1)</f>
        <v>0</v>
      </c>
      <c r="D157" s="10">
        <f t="shared" si="1"/>
        <v>0</v>
      </c>
      <c r="E157" s="10">
        <f t="shared" si="2"/>
        <v>1</v>
      </c>
      <c r="F157" s="9" t="s">
        <v>243</v>
      </c>
      <c r="G157" s="9" t="s">
        <v>25</v>
      </c>
      <c r="H157" s="9" t="s">
        <v>164</v>
      </c>
      <c r="I157" s="85">
        <v>60000</v>
      </c>
      <c r="J157" s="9" t="s">
        <v>67</v>
      </c>
      <c r="K157" s="10" t="str">
        <f t="shared" si="3"/>
        <v>LPTB24-LAPANGAN-SEPTEMBER-PPL</v>
      </c>
      <c r="L157" s="95">
        <v>45541</v>
      </c>
      <c r="M157" s="97">
        <v>45564</v>
      </c>
      <c r="N157" s="10" t="str">
        <f t="array" ref="N157">INDEX('Input Kegiatan'!$B$2:$B990,MATCH(F157,'Input Kegiatan'!$A$2:$A990,0))&amp;" ("&amp;J157&amp;")"</f>
        <v>Laporan Pemotongan Ternak Bulanan 2024 September (PENDATAAN)</v>
      </c>
      <c r="O157" s="10" t="e">
        <f t="shared" ca="1" si="5"/>
        <v>#NAME?</v>
      </c>
      <c r="P157" s="10" t="str">
        <f t="array" ref="P157">INDEX('Input Kegiatan'!$C$2:$C990,MATCH($F157,'Input Kegiatan'!$A$2:$A990,0))</f>
        <v>SURVEI</v>
      </c>
      <c r="Q157" s="10" t="str">
        <f t="shared" si="6"/>
        <v>SURVEI-PPL</v>
      </c>
    </row>
    <row r="158" spans="1:17" ht="12.5">
      <c r="A158" s="10" t="str">
        <f t="shared" si="0"/>
        <v>UBINAN24-LAPANGAN-SR2-PPL-PALAWIJA</v>
      </c>
      <c r="B158" s="10">
        <f>COUNTIFS('Alokasi Honor'!$I$2:$I990,$A158)</f>
        <v>4</v>
      </c>
      <c r="C158" s="10">
        <f>COUNTIFS('Alokasi Honor'!$I$2:$I990,$A158,'Alokasi Honor'!$U$2:$U990,1)</f>
        <v>0</v>
      </c>
      <c r="D158" s="10">
        <f t="shared" si="1"/>
        <v>0</v>
      </c>
      <c r="E158" s="10">
        <f t="shared" si="2"/>
        <v>1</v>
      </c>
      <c r="F158" s="9" t="s">
        <v>229</v>
      </c>
      <c r="G158" s="9" t="s">
        <v>25</v>
      </c>
      <c r="H158" s="9" t="s">
        <v>164</v>
      </c>
      <c r="I158" s="85">
        <v>78000</v>
      </c>
      <c r="J158" s="9" t="s">
        <v>230</v>
      </c>
      <c r="K158" s="10" t="str">
        <f t="shared" si="3"/>
        <v>UBINAN24-LAPANGAN-SR2-PPL</v>
      </c>
      <c r="L158" s="95">
        <v>45535</v>
      </c>
      <c r="M158" s="93">
        <f t="shared" ref="M158:M163" si="8">L158+20</f>
        <v>45555</v>
      </c>
      <c r="N158" s="10" t="str">
        <f t="array" ref="N158">INDEX('Input Kegiatan'!$B$2:$B990,MATCH(F158,'Input Kegiatan'!$A$2:$A990,0))&amp;" ("&amp;J158&amp;")"</f>
        <v>Survei Ubinan 2024 Subround 2 (PALAWIJA)</v>
      </c>
      <c r="O158" s="10" t="e">
        <f t="shared" ca="1" si="5"/>
        <v>#NAME?</v>
      </c>
      <c r="P158" s="10" t="str">
        <f t="array" ref="P158">INDEX('Input Kegiatan'!$C$2:$C990,MATCH($F158,'Input Kegiatan'!$A$2:$A990,0))</f>
        <v>SURVEI</v>
      </c>
      <c r="Q158" s="10" t="str">
        <f t="shared" si="6"/>
        <v>SURVEI-PPL</v>
      </c>
    </row>
    <row r="159" spans="1:17" ht="12.5">
      <c r="A159" s="10" t="str">
        <f t="shared" si="0"/>
        <v>UBINAN24-LAPANGAN-SR2-PPL-PADI</v>
      </c>
      <c r="B159" s="10">
        <f>COUNTIFS('Alokasi Honor'!$I$2:$I990,$A159)</f>
        <v>3</v>
      </c>
      <c r="C159" s="10">
        <f>COUNTIFS('Alokasi Honor'!$I$2:$I990,$A159,'Alokasi Honor'!$U$2:$U990,1)</f>
        <v>0</v>
      </c>
      <c r="D159" s="10">
        <f t="shared" si="1"/>
        <v>0</v>
      </c>
      <c r="E159" s="10">
        <f t="shared" si="2"/>
        <v>1</v>
      </c>
      <c r="F159" s="9" t="s">
        <v>229</v>
      </c>
      <c r="G159" s="9" t="s">
        <v>25</v>
      </c>
      <c r="H159" s="9" t="s">
        <v>164</v>
      </c>
      <c r="I159" s="85">
        <v>78000</v>
      </c>
      <c r="J159" s="9" t="s">
        <v>232</v>
      </c>
      <c r="K159" s="10" t="str">
        <f t="shared" si="3"/>
        <v>UBINAN24-LAPANGAN-SR2-PPL</v>
      </c>
      <c r="L159" s="95">
        <v>45535</v>
      </c>
      <c r="M159" s="93">
        <f t="shared" si="8"/>
        <v>45555</v>
      </c>
      <c r="N159" s="10" t="str">
        <f t="array" ref="N159">INDEX('Input Kegiatan'!$B$2:$B990,MATCH(F159,'Input Kegiatan'!$A$2:$A990,0))&amp;" ("&amp;J159&amp;")"</f>
        <v>Survei Ubinan 2024 Subround 2 (PADI)</v>
      </c>
      <c r="O159" s="10" t="e">
        <f t="shared" ca="1" si="5"/>
        <v>#NAME?</v>
      </c>
      <c r="P159" s="10" t="str">
        <f t="array" ref="P159">INDEX('Input Kegiatan'!$C$2:$C990,MATCH($F159,'Input Kegiatan'!$A$2:$A990,0))</f>
        <v>SURVEI</v>
      </c>
      <c r="Q159" s="10" t="str">
        <f t="shared" si="6"/>
        <v>SURVEI-PPL</v>
      </c>
    </row>
    <row r="160" spans="1:17" ht="12.5">
      <c r="A160" s="10" t="str">
        <f t="shared" si="0"/>
        <v>IMK24-LAPANGAN-TAHUNAN-PPL-PENDATAAN</v>
      </c>
      <c r="B160" s="10">
        <f>COUNTIFS('Alokasi Honor'!$I$2:$I990,$A160)</f>
        <v>10</v>
      </c>
      <c r="C160" s="10">
        <f>COUNTIFS('Alokasi Honor'!$I$2:$I990,$A160,'Alokasi Honor'!$U$2:$U990,1)</f>
        <v>0</v>
      </c>
      <c r="D160" s="10">
        <f t="shared" si="1"/>
        <v>0</v>
      </c>
      <c r="E160" s="10">
        <f t="shared" si="2"/>
        <v>1</v>
      </c>
      <c r="F160" s="9" t="s">
        <v>234</v>
      </c>
      <c r="G160" s="9" t="s">
        <v>25</v>
      </c>
      <c r="H160" s="9" t="s">
        <v>164</v>
      </c>
      <c r="I160" s="85">
        <v>55000</v>
      </c>
      <c r="J160" s="9" t="s">
        <v>67</v>
      </c>
      <c r="K160" s="10" t="str">
        <f t="shared" si="3"/>
        <v>IMK24-LAPANGAN-TAHUNAN-PPL</v>
      </c>
      <c r="L160" s="95">
        <v>45535</v>
      </c>
      <c r="M160" s="93">
        <f t="shared" si="8"/>
        <v>45555</v>
      </c>
      <c r="N160" s="10" t="str">
        <f t="array" ref="N160">INDEX('Input Kegiatan'!$B$2:$B990,MATCH(F160,'Input Kegiatan'!$A$2:$A990,0))&amp;" ("&amp;J160&amp;")"</f>
        <v>Survei Industri Mikro dan Kecil (IMK) Tahunan 2024 (PENDATAAN)</v>
      </c>
      <c r="O160" s="10" t="e">
        <f t="shared" ca="1" si="5"/>
        <v>#NAME?</v>
      </c>
      <c r="P160" s="10" t="str">
        <f t="array" ref="P160">INDEX('Input Kegiatan'!$C$2:$C990,MATCH($F160,'Input Kegiatan'!$A$2:$A990,0))</f>
        <v>SURVEI</v>
      </c>
      <c r="Q160" s="10" t="str">
        <f t="shared" si="6"/>
        <v>SURVEI-PPL</v>
      </c>
    </row>
    <row r="161" spans="1:17" ht="12.5">
      <c r="A161" s="10" t="str">
        <f t="shared" si="0"/>
        <v>SUSENAS24-LAPANGAN-SEMESTER2-PETUGAS ENTRI-PENGOLAHAN LISTING</v>
      </c>
      <c r="B161" s="10">
        <f>COUNTIFS('Alokasi Honor'!$I$2:$I990,$A161)</f>
        <v>1</v>
      </c>
      <c r="C161" s="10">
        <f>COUNTIFS('Alokasi Honor'!$I$2:$I990,$A161,'Alokasi Honor'!$U$2:$U990,1)</f>
        <v>0</v>
      </c>
      <c r="D161" s="10">
        <f t="shared" si="1"/>
        <v>0</v>
      </c>
      <c r="E161" s="10">
        <f t="shared" si="2"/>
        <v>1</v>
      </c>
      <c r="F161" s="9" t="s">
        <v>248</v>
      </c>
      <c r="G161" s="9" t="s">
        <v>90</v>
      </c>
      <c r="H161" s="9" t="s">
        <v>164</v>
      </c>
      <c r="I161" s="85">
        <v>34000</v>
      </c>
      <c r="J161" s="9" t="s">
        <v>91</v>
      </c>
      <c r="K161" s="10" t="str">
        <f t="shared" si="3"/>
        <v>SUSENAS24-LAPANGAN-SEMESTER2-PETUGAS ENTRI</v>
      </c>
      <c r="L161" s="95">
        <v>45553</v>
      </c>
      <c r="M161" s="93">
        <f t="shared" si="8"/>
        <v>45573</v>
      </c>
      <c r="N161" s="10" t="str">
        <f t="array" ref="N161">INDEX('Input Kegiatan'!$B$2:$B990,MATCH(F161,'Input Kegiatan'!$A$2:$A990,0))&amp;" ("&amp;J161&amp;")"</f>
        <v>Susenas September 2024 (PENGOLAHAN LISTING)</v>
      </c>
      <c r="O161" s="10" t="e">
        <f t="shared" ca="1" si="5"/>
        <v>#NAME?</v>
      </c>
      <c r="P161" s="10" t="str">
        <f t="array" ref="P161">INDEX('Input Kegiatan'!$C$2:$C990,MATCH($F161,'Input Kegiatan'!$A$2:$A990,0))</f>
        <v>SURVEI</v>
      </c>
      <c r="Q161" s="10" t="str">
        <f t="shared" si="6"/>
        <v>SURVEI-PETUGAS ENTRI</v>
      </c>
    </row>
    <row r="162" spans="1:17" ht="12.5">
      <c r="A162" s="10" t="str">
        <f t="shared" si="0"/>
        <v>SUSENAS24-LAPANGAN-SEMESTER2-PPL-UPDATING LISTING</v>
      </c>
      <c r="B162" s="10">
        <f>COUNTIFS('Alokasi Honor'!$I$2:$I990,$A162)</f>
        <v>14</v>
      </c>
      <c r="C162" s="10">
        <f>COUNTIFS('Alokasi Honor'!$I$2:$I990,$A162,'Alokasi Honor'!$U$2:$U990,1)</f>
        <v>0</v>
      </c>
      <c r="D162" s="10">
        <f t="shared" si="1"/>
        <v>0</v>
      </c>
      <c r="E162" s="10">
        <f t="shared" si="2"/>
        <v>1</v>
      </c>
      <c r="F162" s="5" t="s">
        <v>248</v>
      </c>
      <c r="G162" s="9" t="s">
        <v>25</v>
      </c>
      <c r="H162" s="9" t="s">
        <v>3041</v>
      </c>
      <c r="I162" s="85">
        <v>168000</v>
      </c>
      <c r="J162" s="9" t="s">
        <v>89</v>
      </c>
      <c r="K162" s="10" t="str">
        <f t="shared" si="3"/>
        <v>SUSENAS24-LAPANGAN-SEMESTER2-PPL</v>
      </c>
      <c r="L162" s="95">
        <v>45550</v>
      </c>
      <c r="M162" s="93">
        <f t="shared" si="8"/>
        <v>45570</v>
      </c>
      <c r="N162" s="10" t="str">
        <f t="array" ref="N162">INDEX('Input Kegiatan'!$B$2:$B990,MATCH(F162,'Input Kegiatan'!$A$2:$A990,0))&amp;" ("&amp;J162&amp;")"</f>
        <v>Susenas September 2024 (UPDATING LISTING)</v>
      </c>
      <c r="O162" s="10" t="e">
        <f t="shared" ca="1" si="5"/>
        <v>#NAME?</v>
      </c>
      <c r="P162" s="10" t="str">
        <f t="array" ref="P162">INDEX('Input Kegiatan'!$C$2:$C990,MATCH($F162,'Input Kegiatan'!$A$2:$A990,0))</f>
        <v>SURVEI</v>
      </c>
      <c r="Q162" s="10" t="str">
        <f t="shared" si="6"/>
        <v>SURVEI-PPL</v>
      </c>
    </row>
    <row r="163" spans="1:17" ht="12.5">
      <c r="A163" s="10" t="str">
        <f t="shared" si="0"/>
        <v>STPIM24-LAPANGAN-TAHUNAN-PPL-PENDATAAN</v>
      </c>
      <c r="B163" s="10">
        <f>COUNTIFS('Alokasi Honor'!$I$2:$I990,$A163)</f>
        <v>1</v>
      </c>
      <c r="C163" s="10">
        <f>COUNTIFS('Alokasi Honor'!$I$2:$I990,$A163,'Alokasi Honor'!$U$2:$U990,1)</f>
        <v>0</v>
      </c>
      <c r="D163" s="10">
        <f t="shared" si="1"/>
        <v>0</v>
      </c>
      <c r="E163" s="10">
        <f t="shared" si="2"/>
        <v>1</v>
      </c>
      <c r="F163" s="9" t="s">
        <v>236</v>
      </c>
      <c r="G163" s="9" t="s">
        <v>25</v>
      </c>
      <c r="H163" s="9" t="s">
        <v>164</v>
      </c>
      <c r="I163" s="85">
        <v>78000</v>
      </c>
      <c r="J163" s="9" t="s">
        <v>67</v>
      </c>
      <c r="K163" s="10" t="str">
        <f t="shared" si="3"/>
        <v>STPIM24-LAPANGAN-TAHUNAN-PPL</v>
      </c>
      <c r="L163" s="95">
        <v>45535</v>
      </c>
      <c r="M163" s="93">
        <f t="shared" si="8"/>
        <v>45555</v>
      </c>
      <c r="N163" s="10" t="str">
        <f t="array" ref="N163">INDEX('Input Kegiatan'!$B$2:$B990,MATCH(F163,'Input Kegiatan'!$A$2:$A990,0))&amp;" ("&amp;J163&amp;")"</f>
        <v>(STPIM24) SURVEI IBS TAHUNAN (STPIM) 2024 (PENDATAAN)</v>
      </c>
      <c r="O163" s="10" t="e">
        <f t="shared" ca="1" si="5"/>
        <v>#NAME?</v>
      </c>
      <c r="P163" s="10" t="str">
        <f t="array" ref="P163">INDEX('Input Kegiatan'!$C$2:$C990,MATCH($F163,'Input Kegiatan'!$A$2:$A990,0))</f>
        <v>SURVEI</v>
      </c>
      <c r="Q163" s="10" t="str">
        <f t="shared" si="6"/>
        <v>SURVEI-PPL</v>
      </c>
    </row>
    <row r="164" spans="1:17" ht="12.5">
      <c r="A164" s="10" t="str">
        <f t="shared" si="0"/>
        <v>UBINAN24-LAPANGAN-SR3-PPL-PALAWIJA</v>
      </c>
      <c r="B164" s="10">
        <f>COUNTIFS('Alokasi Honor'!$I$2:$I990,$A164)</f>
        <v>2</v>
      </c>
      <c r="C164" s="10">
        <f>COUNTIFS('Alokasi Honor'!$I$2:$I990,$A164,'Alokasi Honor'!$U$2:$U990,1)</f>
        <v>0</v>
      </c>
      <c r="D164" s="10">
        <f t="shared" si="1"/>
        <v>0</v>
      </c>
      <c r="E164" s="10">
        <f t="shared" si="2"/>
        <v>1</v>
      </c>
      <c r="F164" s="9" t="s">
        <v>268</v>
      </c>
      <c r="G164" s="9" t="s">
        <v>25</v>
      </c>
      <c r="H164" s="9" t="s">
        <v>164</v>
      </c>
      <c r="I164" s="85">
        <v>78000</v>
      </c>
      <c r="J164" s="9" t="s">
        <v>230</v>
      </c>
      <c r="K164" s="10" t="str">
        <f t="shared" si="3"/>
        <v>UBINAN24-LAPANGAN-SR3-PPL</v>
      </c>
      <c r="L164" s="95">
        <v>45565</v>
      </c>
      <c r="M164" s="93">
        <f t="shared" ref="M164:M165" si="9">L164+10</f>
        <v>45575</v>
      </c>
      <c r="N164" s="10" t="str">
        <f t="array" ref="N164">INDEX('Input Kegiatan'!$B$2:$B990,MATCH(F164,'Input Kegiatan'!$A$2:$A990,0))&amp;" ("&amp;J164&amp;")"</f>
        <v>Survei Ubinan 2024 Subround 3 (PALAWIJA)</v>
      </c>
      <c r="O164" s="10" t="e">
        <f t="shared" ca="1" si="5"/>
        <v>#NAME?</v>
      </c>
      <c r="P164" s="10" t="str">
        <f t="array" ref="P164">INDEX('Input Kegiatan'!$C$2:$C990,MATCH($F164,'Input Kegiatan'!$A$2:$A990,0))</f>
        <v>SURVEI</v>
      </c>
      <c r="Q164" s="10" t="str">
        <f t="shared" si="6"/>
        <v>SURVEI-PPL</v>
      </c>
    </row>
    <row r="165" spans="1:17" ht="12.5">
      <c r="A165" s="10" t="str">
        <f t="shared" si="0"/>
        <v>UBINAN24-LAPANGAN-SR3-PPL-PADI</v>
      </c>
      <c r="B165" s="10">
        <f>COUNTIFS('Alokasi Honor'!$I$2:$I990,$A165)</f>
        <v>6</v>
      </c>
      <c r="C165" s="10">
        <f>COUNTIFS('Alokasi Honor'!$I$2:$I990,$A165,'Alokasi Honor'!$U$2:$U990,1)</f>
        <v>0</v>
      </c>
      <c r="D165" s="10">
        <f t="shared" si="1"/>
        <v>0</v>
      </c>
      <c r="E165" s="10">
        <f t="shared" si="2"/>
        <v>1</v>
      </c>
      <c r="F165" s="9" t="s">
        <v>268</v>
      </c>
      <c r="G165" s="9" t="s">
        <v>25</v>
      </c>
      <c r="H165" s="9" t="s">
        <v>164</v>
      </c>
      <c r="I165" s="85">
        <v>78000</v>
      </c>
      <c r="J165" s="9" t="s">
        <v>232</v>
      </c>
      <c r="K165" s="10" t="str">
        <f t="shared" si="3"/>
        <v>UBINAN24-LAPANGAN-SR3-PPL</v>
      </c>
      <c r="L165" s="95">
        <v>45565</v>
      </c>
      <c r="M165" s="93">
        <f t="shared" si="9"/>
        <v>45575</v>
      </c>
      <c r="N165" s="10" t="str">
        <f t="array" ref="N165">INDEX('Input Kegiatan'!$B$2:$B990,MATCH(F165,'Input Kegiatan'!$A$2:$A990,0))&amp;" ("&amp;J165&amp;")"</f>
        <v>Survei Ubinan 2024 Subround 3 (PADI)</v>
      </c>
      <c r="O165" s="10" t="e">
        <f t="shared" ca="1" si="5"/>
        <v>#NAME?</v>
      </c>
      <c r="P165" s="10" t="str">
        <f t="array" ref="P165">INDEX('Input Kegiatan'!$C$2:$C990,MATCH($F165,'Input Kegiatan'!$A$2:$A990,0))</f>
        <v>SURVEI</v>
      </c>
      <c r="Q165" s="10" t="str">
        <f t="shared" si="6"/>
        <v>SURVEI-PPL</v>
      </c>
    </row>
    <row r="166" spans="1:17" ht="12.5">
      <c r="A166" s="10" t="str">
        <f t="shared" si="0"/>
        <v>SEEA24-LAPANGAN-TAHUNAN-PPL-PENDATAAN</v>
      </c>
      <c r="B166" s="10">
        <f>COUNTIFS('Alokasi Honor'!$I$2:$I990,$A166)</f>
        <v>1</v>
      </c>
      <c r="C166" s="10">
        <f>COUNTIFS('Alokasi Honor'!$I$2:$I990,$A166,'Alokasi Honor'!$U$2:$U990,1)</f>
        <v>0</v>
      </c>
      <c r="D166" s="10">
        <f t="shared" si="1"/>
        <v>0</v>
      </c>
      <c r="E166" s="10">
        <f t="shared" si="2"/>
        <v>1</v>
      </c>
      <c r="F166" s="9" t="s">
        <v>264</v>
      </c>
      <c r="G166" s="9" t="s">
        <v>25</v>
      </c>
      <c r="H166" s="9" t="s">
        <v>164</v>
      </c>
      <c r="I166" s="85">
        <v>75000</v>
      </c>
      <c r="J166" s="9" t="s">
        <v>67</v>
      </c>
      <c r="K166" s="10" t="str">
        <f t="shared" si="3"/>
        <v>SEEA24-LAPANGAN-TAHUNAN-PPL</v>
      </c>
      <c r="L166" s="95">
        <v>45535</v>
      </c>
      <c r="M166" s="93">
        <v>45555</v>
      </c>
      <c r="N166" s="10" t="str">
        <f t="array" ref="N166">INDEX('Input Kegiatan'!$B$2:$B990,MATCH(F166,'Input Kegiatan'!$A$2:$A990,0))&amp;" ("&amp;J166&amp;")"</f>
        <v>(SEEA24) IN-DEPTH STUDY SYSTEM OF ENVIRONMENTAL ECONOMIC ACCOUNTING (SEEA) 2024 (PENDATAAN)</v>
      </c>
      <c r="O166" s="10" t="e">
        <f t="shared" ca="1" si="5"/>
        <v>#NAME?</v>
      </c>
      <c r="P166" s="10" t="str">
        <f t="array" ref="P166">INDEX('Input Kegiatan'!$C$2:$C990,MATCH($F166,'Input Kegiatan'!$A$2:$A990,0))</f>
        <v>SURVEI</v>
      </c>
      <c r="Q166" s="10" t="str">
        <f t="shared" si="6"/>
        <v>SURVEI-PPL</v>
      </c>
    </row>
    <row r="167" spans="1:17" ht="12.5">
      <c r="A167" s="10" t="str">
        <f t="shared" si="0"/>
        <v>SKSPPI24-LAPANGAN-TAHUNAN-PPL-PENDATAAN</v>
      </c>
      <c r="B167" s="10">
        <f>COUNTIFS('Alokasi Honor'!$I$2:$I990,$A167)</f>
        <v>3</v>
      </c>
      <c r="C167" s="10">
        <f>COUNTIFS('Alokasi Honor'!$I$2:$I990,$A167,'Alokasi Honor'!$U$2:$U990,1)</f>
        <v>0</v>
      </c>
      <c r="D167" s="10">
        <f t="shared" si="1"/>
        <v>0</v>
      </c>
      <c r="E167" s="10">
        <f t="shared" si="2"/>
        <v>1</v>
      </c>
      <c r="F167" s="9" t="s">
        <v>240</v>
      </c>
      <c r="G167" s="9" t="s">
        <v>25</v>
      </c>
      <c r="H167" s="9" t="s">
        <v>164</v>
      </c>
      <c r="I167" s="85">
        <v>75000</v>
      </c>
      <c r="J167" s="9" t="s">
        <v>67</v>
      </c>
      <c r="K167" s="10" t="str">
        <f t="shared" si="3"/>
        <v>SKSPPI24-LAPANGAN-TAHUNAN-PPL</v>
      </c>
      <c r="L167" s="95">
        <v>45565</v>
      </c>
      <c r="M167" s="93">
        <f>L167+20</f>
        <v>45585</v>
      </c>
      <c r="N167" s="10" t="str">
        <f t="array" ref="N167">INDEX('Input Kegiatan'!$B$2:$B990,MATCH(F167,'Input Kegiatan'!$A$2:$A990,0))&amp;" ("&amp;J167&amp;")"</f>
        <v>(SKSPPI24) SURVEI KHUSUS STUDI PENYUSUNAN PERUBAHAN INVENTORI 2024 (PENDATAAN)</v>
      </c>
      <c r="O167" s="10">
        <v>-19</v>
      </c>
      <c r="P167" s="10" t="s">
        <v>3042</v>
      </c>
      <c r="Q167" s="10" t="s">
        <v>3043</v>
      </c>
    </row>
    <row r="168" spans="1:17" ht="12.5">
      <c r="A168" s="10" t="str">
        <f t="shared" si="0"/>
        <v>SUSENAS24-LAPANGAN-SEMESTER2-PETUGAS ENTRI-PENGOLAHAN PENDATAAN</v>
      </c>
      <c r="B168" s="10">
        <f>COUNTIFS('Alokasi Honor'!$I$2:$I990,$A168)</f>
        <v>4</v>
      </c>
      <c r="C168" s="10">
        <f>COUNTIFS('Alokasi Honor'!$I$2:$I990,$A168,'Alokasi Honor'!$U$2:$U990,1)</f>
        <v>0</v>
      </c>
      <c r="D168" s="10">
        <f t="shared" si="1"/>
        <v>0</v>
      </c>
      <c r="E168" s="10">
        <f t="shared" si="2"/>
        <v>1</v>
      </c>
      <c r="F168" s="9" t="s">
        <v>248</v>
      </c>
      <c r="G168" s="9" t="s">
        <v>90</v>
      </c>
      <c r="H168" s="9" t="s">
        <v>164</v>
      </c>
      <c r="I168" s="85">
        <v>27500</v>
      </c>
      <c r="J168" s="9" t="s">
        <v>125</v>
      </c>
      <c r="K168" s="10" t="str">
        <f t="shared" si="3"/>
        <v>SUSENAS24-LAPANGAN-SEMESTER2-PETUGAS ENTRI</v>
      </c>
      <c r="L168" s="95">
        <v>45576</v>
      </c>
      <c r="M168" s="95">
        <v>45579</v>
      </c>
      <c r="N168" s="10" t="str">
        <f t="array" ref="N168">INDEX('Input Kegiatan'!$B$2:$B990,MATCH(F168,'Input Kegiatan'!$A$2:$A990,0))&amp;" ("&amp;J168&amp;")"</f>
        <v>Susenas September 2024 (PENGOLAHAN PENDATAAN)</v>
      </c>
      <c r="O168" s="10">
        <v>-19</v>
      </c>
      <c r="P168" s="10" t="s">
        <v>3042</v>
      </c>
      <c r="Q168" s="10" t="s">
        <v>3043</v>
      </c>
    </row>
    <row r="169" spans="1:17" ht="12.5">
      <c r="A169" s="10" t="str">
        <f t="shared" si="0"/>
        <v>SUSENAS24-LAPANGAN-SEMESTER2-PPL-PENDATAAN</v>
      </c>
      <c r="B169" s="10">
        <f>COUNTIFS('Alokasi Honor'!$I$2:$I990,$A169)</f>
        <v>14</v>
      </c>
      <c r="C169" s="10">
        <f>COUNTIFS('Alokasi Honor'!$I$2:$I990,$A169,'Alokasi Honor'!$U$2:$U990,1)</f>
        <v>0</v>
      </c>
      <c r="D169" s="10">
        <f t="shared" si="1"/>
        <v>0</v>
      </c>
      <c r="E169" s="10">
        <f t="shared" si="2"/>
        <v>1</v>
      </c>
      <c r="F169" s="9" t="s">
        <v>248</v>
      </c>
      <c r="G169" s="9" t="s">
        <v>25</v>
      </c>
      <c r="H169" s="9" t="s">
        <v>164</v>
      </c>
      <c r="I169" s="85">
        <v>119000</v>
      </c>
      <c r="J169" s="9" t="s">
        <v>67</v>
      </c>
      <c r="K169" s="10" t="str">
        <f t="shared" si="3"/>
        <v>SUSENAS24-LAPANGAN-SEMESTER2-PPL</v>
      </c>
      <c r="L169" s="95">
        <v>45565</v>
      </c>
      <c r="M169" s="95">
        <v>45579</v>
      </c>
      <c r="N169" s="10" t="str">
        <f t="array" ref="N169">INDEX('Input Kegiatan'!$B$2:$B990,MATCH(F169,'Input Kegiatan'!$A$2:$A990,0))&amp;" ("&amp;J169&amp;")"</f>
        <v>Susenas September 2024 (PENDATAAN)</v>
      </c>
      <c r="O169" s="10">
        <v>-19</v>
      </c>
      <c r="P169" s="10" t="s">
        <v>3042</v>
      </c>
      <c r="Q169" s="10" t="s">
        <v>3043</v>
      </c>
    </row>
    <row r="170" spans="1:17" ht="12.5">
      <c r="A170" s="10" t="str">
        <f t="shared" si="0"/>
        <v>GALIANBH24-LAPANGAN-TRI2-PPL-PENDATAAN</v>
      </c>
      <c r="B170" s="10">
        <f>COUNTIFS('Alokasi Honor'!$I$2:$I990,$A170)</f>
        <v>1</v>
      </c>
      <c r="C170" s="10">
        <f>COUNTIFS('Alokasi Honor'!$I$2:$I990,$A170,'Alokasi Honor'!$U$2:$U990,1)</f>
        <v>0</v>
      </c>
      <c r="D170" s="10">
        <f t="shared" si="1"/>
        <v>0</v>
      </c>
      <c r="E170" s="10">
        <f t="shared" si="2"/>
        <v>1</v>
      </c>
      <c r="F170" s="9" t="s">
        <v>210</v>
      </c>
      <c r="G170" s="9" t="s">
        <v>25</v>
      </c>
      <c r="H170" s="9" t="s">
        <v>164</v>
      </c>
      <c r="I170" s="85">
        <v>50000</v>
      </c>
      <c r="J170" s="9" t="s">
        <v>67</v>
      </c>
      <c r="K170" s="10" t="str">
        <f t="shared" si="3"/>
        <v>GALIANBH24-LAPANGAN-TRI2-PPL</v>
      </c>
      <c r="L170" s="100">
        <v>45504</v>
      </c>
      <c r="M170" s="101">
        <f t="shared" ref="M170:M171" si="10">L170+20</f>
        <v>45524</v>
      </c>
      <c r="N170" s="10" t="str">
        <f t="array" ref="N170">INDEX('Input Kegiatan'!$B$2:$B990,MATCH(F170,'Input Kegiatan'!$A$2:$A990,0))&amp;" ("&amp;J170&amp;")"</f>
        <v>(GALIAN-BH24-TW) SURVEI PENGGALIAN BERBADAN HUKUM TRIWULANAN 2024 TRIWULAN 2 (PENDATAAN)</v>
      </c>
      <c r="O170" s="10">
        <v>-19</v>
      </c>
      <c r="P170" s="10" t="s">
        <v>3042</v>
      </c>
      <c r="Q170" s="10" t="s">
        <v>3043</v>
      </c>
    </row>
    <row r="171" spans="1:17" ht="12.5">
      <c r="A171" s="10" t="str">
        <f t="shared" si="0"/>
        <v>GALIANBH24-LAPANGAN-PPL-PENDATAAN</v>
      </c>
      <c r="B171" s="10">
        <f>COUNTIFS('Alokasi Honor'!$I$2:$I990,$A171)</f>
        <v>1</v>
      </c>
      <c r="C171" s="10">
        <f>COUNTIFS('Alokasi Honor'!$I$2:$I990,$A171,'Alokasi Honor'!$U$2:$U990,1)</f>
        <v>0</v>
      </c>
      <c r="D171" s="10">
        <f t="shared" si="1"/>
        <v>0</v>
      </c>
      <c r="E171" s="10">
        <f t="shared" si="2"/>
        <v>1</v>
      </c>
      <c r="F171" s="9" t="s">
        <v>238</v>
      </c>
      <c r="G171" s="9" t="s">
        <v>25</v>
      </c>
      <c r="H171" s="9" t="s">
        <v>164</v>
      </c>
      <c r="I171" s="85">
        <v>75000</v>
      </c>
      <c r="J171" s="9" t="s">
        <v>67</v>
      </c>
      <c r="K171" s="10" t="str">
        <f t="shared" si="3"/>
        <v>GALIANBH24-LAPANGAN-PPL</v>
      </c>
      <c r="L171" s="100">
        <v>45535</v>
      </c>
      <c r="M171" s="101">
        <f t="shared" si="10"/>
        <v>45555</v>
      </c>
      <c r="N171" s="10" t="str">
        <f t="array" ref="N171">INDEX('Input Kegiatan'!$B$2:$B990,MATCH(F171,'Input Kegiatan'!$A$2:$A990,0))&amp;" ("&amp;J171&amp;")"</f>
        <v>(GALIAN-BH24) SURVEI TAHUNAN PERUSAHAAN PENGGALIAN BERBADAN HUKUM 2024 (PENDATAAN)</v>
      </c>
      <c r="O171" s="10">
        <v>-19</v>
      </c>
      <c r="P171" s="10" t="s">
        <v>3042</v>
      </c>
      <c r="Q171" s="10" t="s">
        <v>3043</v>
      </c>
    </row>
    <row r="172" spans="1:17" ht="12.5">
      <c r="F172" s="96"/>
      <c r="G172" s="96"/>
      <c r="H172" s="96"/>
      <c r="I172" s="102"/>
      <c r="J172" s="96"/>
      <c r="L172" s="96"/>
      <c r="M172" s="96"/>
    </row>
    <row r="173" spans="1:17" ht="12.5">
      <c r="F173" s="96"/>
      <c r="G173" s="96"/>
      <c r="H173" s="96"/>
      <c r="I173" s="102"/>
      <c r="J173" s="96"/>
      <c r="L173" s="96"/>
      <c r="M173" s="96"/>
    </row>
    <row r="174" spans="1:17" ht="12.5">
      <c r="F174" s="96"/>
      <c r="G174" s="96"/>
      <c r="H174" s="96"/>
      <c r="I174" s="102"/>
      <c r="J174" s="96"/>
      <c r="L174" s="96"/>
      <c r="M174" s="96"/>
    </row>
    <row r="175" spans="1:17" ht="12.5">
      <c r="F175" s="96"/>
      <c r="G175" s="96"/>
      <c r="H175" s="96"/>
      <c r="I175" s="102"/>
      <c r="J175" s="96"/>
      <c r="L175" s="96"/>
      <c r="M175" s="96"/>
    </row>
    <row r="176" spans="1:17" ht="12.5">
      <c r="F176" s="96"/>
      <c r="G176" s="96"/>
      <c r="H176" s="96"/>
      <c r="I176" s="102"/>
      <c r="J176" s="96"/>
      <c r="L176" s="96"/>
      <c r="M176" s="96"/>
    </row>
    <row r="177" spans="6:13" ht="12.5">
      <c r="F177" s="96"/>
      <c r="G177" s="96"/>
      <c r="H177" s="96"/>
      <c r="I177" s="102"/>
      <c r="J177" s="96"/>
      <c r="L177" s="96"/>
      <c r="M177" s="96"/>
    </row>
    <row r="178" spans="6:13" ht="12.5">
      <c r="F178" s="96"/>
      <c r="G178" s="96"/>
      <c r="H178" s="96"/>
      <c r="I178" s="102"/>
      <c r="J178" s="96"/>
      <c r="L178" s="96"/>
      <c r="M178" s="96"/>
    </row>
    <row r="179" spans="6:13" ht="12.5">
      <c r="F179" s="96"/>
      <c r="G179" s="96"/>
      <c r="H179" s="96"/>
      <c r="I179" s="102"/>
      <c r="J179" s="96"/>
      <c r="L179" s="96"/>
      <c r="M179" s="96"/>
    </row>
    <row r="180" spans="6:13" ht="12.5">
      <c r="F180" s="96"/>
      <c r="G180" s="96"/>
      <c r="H180" s="96"/>
      <c r="I180" s="102"/>
      <c r="J180" s="96"/>
      <c r="L180" s="96"/>
      <c r="M180" s="96"/>
    </row>
    <row r="181" spans="6:13" ht="12.5">
      <c r="F181" s="96"/>
      <c r="G181" s="96"/>
      <c r="H181" s="96"/>
      <c r="I181" s="102"/>
      <c r="J181" s="96"/>
      <c r="L181" s="96"/>
      <c r="M181" s="96"/>
    </row>
    <row r="182" spans="6:13" ht="12.5">
      <c r="F182" s="96"/>
      <c r="G182" s="96"/>
      <c r="H182" s="96"/>
      <c r="I182" s="102"/>
      <c r="J182" s="96"/>
      <c r="L182" s="96"/>
      <c r="M182" s="96"/>
    </row>
    <row r="183" spans="6:13" ht="12.5">
      <c r="F183" s="96"/>
      <c r="G183" s="96"/>
      <c r="H183" s="96"/>
      <c r="I183" s="102"/>
      <c r="J183" s="96"/>
      <c r="L183" s="96"/>
      <c r="M183" s="96"/>
    </row>
    <row r="184" spans="6:13" ht="12.5">
      <c r="F184" s="96"/>
      <c r="G184" s="96"/>
      <c r="H184" s="96"/>
      <c r="I184" s="102"/>
      <c r="J184" s="96"/>
      <c r="L184" s="96"/>
      <c r="M184" s="96"/>
    </row>
    <row r="185" spans="6:13" ht="12.5">
      <c r="F185" s="96"/>
      <c r="G185" s="96"/>
      <c r="H185" s="96"/>
      <c r="I185" s="102"/>
      <c r="J185" s="96"/>
      <c r="L185" s="96"/>
      <c r="M185" s="96"/>
    </row>
    <row r="186" spans="6:13" ht="12.5">
      <c r="F186" s="96"/>
      <c r="G186" s="96"/>
      <c r="H186" s="96"/>
      <c r="I186" s="102"/>
      <c r="J186" s="96"/>
      <c r="L186" s="96"/>
      <c r="M186" s="96"/>
    </row>
    <row r="187" spans="6:13" ht="12.5">
      <c r="F187" s="96"/>
      <c r="G187" s="96"/>
      <c r="H187" s="96"/>
      <c r="I187" s="102"/>
      <c r="J187" s="96"/>
      <c r="L187" s="96"/>
      <c r="M187" s="96"/>
    </row>
    <row r="188" spans="6:13" ht="12.5">
      <c r="F188" s="96"/>
      <c r="G188" s="96"/>
      <c r="H188" s="96"/>
      <c r="I188" s="102"/>
      <c r="J188" s="96"/>
      <c r="L188" s="96"/>
      <c r="M188" s="96"/>
    </row>
    <row r="189" spans="6:13" ht="12.5">
      <c r="F189" s="96"/>
      <c r="G189" s="96"/>
      <c r="H189" s="96"/>
      <c r="I189" s="102"/>
      <c r="J189" s="96"/>
      <c r="L189" s="96"/>
      <c r="M189" s="96"/>
    </row>
    <row r="190" spans="6:13" ht="12.5">
      <c r="F190" s="96"/>
      <c r="G190" s="96"/>
      <c r="H190" s="96"/>
      <c r="I190" s="102"/>
      <c r="J190" s="96"/>
      <c r="L190" s="96"/>
      <c r="M190" s="96"/>
    </row>
    <row r="191" spans="6:13" ht="12.5">
      <c r="F191" s="96"/>
      <c r="G191" s="96"/>
      <c r="H191" s="96"/>
      <c r="I191" s="102"/>
      <c r="J191" s="96"/>
      <c r="L191" s="96"/>
      <c r="M191" s="96"/>
    </row>
    <row r="192" spans="6:13" ht="12.5">
      <c r="F192" s="96"/>
      <c r="G192" s="96"/>
      <c r="H192" s="96"/>
      <c r="I192" s="102"/>
      <c r="J192" s="96"/>
      <c r="L192" s="96"/>
      <c r="M192" s="96"/>
    </row>
    <row r="193" spans="6:13" ht="12.5">
      <c r="F193" s="96"/>
      <c r="G193" s="96"/>
      <c r="H193" s="96"/>
      <c r="I193" s="102"/>
      <c r="J193" s="96"/>
      <c r="L193" s="96"/>
      <c r="M193" s="96"/>
    </row>
    <row r="194" spans="6:13" ht="12.5">
      <c r="F194" s="96"/>
      <c r="G194" s="96"/>
      <c r="H194" s="96"/>
      <c r="I194" s="102"/>
      <c r="J194" s="96"/>
      <c r="L194" s="96"/>
      <c r="M194" s="96"/>
    </row>
    <row r="195" spans="6:13" ht="12.5">
      <c r="F195" s="96"/>
      <c r="G195" s="96"/>
      <c r="H195" s="96"/>
      <c r="I195" s="102"/>
      <c r="J195" s="96"/>
      <c r="L195" s="96"/>
      <c r="M195" s="96"/>
    </row>
    <row r="196" spans="6:13" ht="12.5">
      <c r="F196" s="96"/>
      <c r="G196" s="96"/>
      <c r="H196" s="96"/>
      <c r="I196" s="102"/>
      <c r="J196" s="96"/>
      <c r="L196" s="96"/>
      <c r="M196" s="96"/>
    </row>
    <row r="197" spans="6:13" ht="12.5">
      <c r="F197" s="96"/>
      <c r="G197" s="96"/>
      <c r="H197" s="96"/>
      <c r="I197" s="102"/>
      <c r="J197" s="96"/>
      <c r="L197" s="96"/>
      <c r="M197" s="96"/>
    </row>
    <row r="198" spans="6:13" ht="12.5">
      <c r="F198" s="96"/>
      <c r="G198" s="96"/>
      <c r="H198" s="96"/>
      <c r="I198" s="102"/>
      <c r="J198" s="96"/>
      <c r="L198" s="96"/>
      <c r="M198" s="96"/>
    </row>
    <row r="199" spans="6:13" ht="12.5">
      <c r="F199" s="96"/>
      <c r="G199" s="96"/>
      <c r="H199" s="96"/>
      <c r="I199" s="102"/>
      <c r="J199" s="96"/>
      <c r="L199" s="96"/>
      <c r="M199" s="96"/>
    </row>
    <row r="200" spans="6:13" ht="12.5">
      <c r="F200" s="96"/>
      <c r="G200" s="96"/>
      <c r="H200" s="96"/>
      <c r="I200" s="102"/>
      <c r="J200" s="96"/>
      <c r="L200" s="96"/>
      <c r="M200" s="96"/>
    </row>
    <row r="201" spans="6:13" ht="12.5">
      <c r="F201" s="96"/>
      <c r="G201" s="96"/>
      <c r="H201" s="96"/>
      <c r="I201" s="102"/>
      <c r="J201" s="96"/>
      <c r="L201" s="96"/>
      <c r="M201" s="96"/>
    </row>
    <row r="202" spans="6:13" ht="12.5">
      <c r="F202" s="96"/>
      <c r="G202" s="96"/>
      <c r="H202" s="96"/>
      <c r="I202" s="102"/>
      <c r="J202" s="96"/>
      <c r="L202" s="96"/>
      <c r="M202" s="96"/>
    </row>
    <row r="203" spans="6:13" ht="12.5">
      <c r="F203" s="96"/>
      <c r="G203" s="96"/>
      <c r="H203" s="96"/>
      <c r="I203" s="102"/>
      <c r="J203" s="96"/>
      <c r="L203" s="96"/>
      <c r="M203" s="96"/>
    </row>
    <row r="204" spans="6:13" ht="12.5">
      <c r="F204" s="96"/>
      <c r="G204" s="96"/>
      <c r="H204" s="96"/>
      <c r="I204" s="102"/>
      <c r="J204" s="96"/>
      <c r="L204" s="96"/>
      <c r="M204" s="96"/>
    </row>
    <row r="205" spans="6:13" ht="12.5">
      <c r="F205" s="96"/>
      <c r="G205" s="96"/>
      <c r="H205" s="96"/>
      <c r="I205" s="102"/>
      <c r="J205" s="96"/>
      <c r="L205" s="96"/>
      <c r="M205" s="96"/>
    </row>
    <row r="206" spans="6:13" ht="12.5">
      <c r="F206" s="96"/>
      <c r="G206" s="96"/>
      <c r="H206" s="96"/>
      <c r="I206" s="102"/>
      <c r="J206" s="96"/>
      <c r="L206" s="96"/>
      <c r="M206" s="96"/>
    </row>
    <row r="207" spans="6:13" ht="12.5">
      <c r="F207" s="96"/>
      <c r="G207" s="96"/>
      <c r="H207" s="96"/>
      <c r="I207" s="102"/>
      <c r="J207" s="96"/>
      <c r="L207" s="96"/>
      <c r="M207" s="96"/>
    </row>
    <row r="208" spans="6:13" ht="12.5">
      <c r="F208" s="96"/>
      <c r="G208" s="96"/>
      <c r="H208" s="96"/>
      <c r="I208" s="102"/>
      <c r="J208" s="96"/>
      <c r="L208" s="96"/>
      <c r="M208" s="96"/>
    </row>
    <row r="209" spans="6:13" ht="12.5">
      <c r="F209" s="96"/>
      <c r="G209" s="96"/>
      <c r="H209" s="96"/>
      <c r="I209" s="102"/>
      <c r="J209" s="96"/>
      <c r="L209" s="96"/>
      <c r="M209" s="96"/>
    </row>
    <row r="210" spans="6:13" ht="12.5">
      <c r="F210" s="96"/>
      <c r="G210" s="96"/>
      <c r="H210" s="96"/>
      <c r="I210" s="102"/>
      <c r="J210" s="96"/>
      <c r="L210" s="96"/>
      <c r="M210" s="96"/>
    </row>
    <row r="211" spans="6:13" ht="12.5">
      <c r="F211" s="96"/>
      <c r="G211" s="96"/>
      <c r="H211" s="96"/>
      <c r="I211" s="102"/>
      <c r="J211" s="96"/>
      <c r="L211" s="96"/>
      <c r="M211" s="96"/>
    </row>
    <row r="212" spans="6:13" ht="12.5">
      <c r="F212" s="96"/>
      <c r="G212" s="96"/>
      <c r="H212" s="96"/>
      <c r="I212" s="102"/>
      <c r="J212" s="96"/>
      <c r="L212" s="96"/>
      <c r="M212" s="96"/>
    </row>
    <row r="213" spans="6:13" ht="12.5">
      <c r="F213" s="96"/>
      <c r="G213" s="96"/>
      <c r="H213" s="96"/>
      <c r="I213" s="102"/>
      <c r="J213" s="96"/>
      <c r="L213" s="96"/>
      <c r="M213" s="96"/>
    </row>
    <row r="214" spans="6:13" ht="12.5">
      <c r="F214" s="96"/>
      <c r="G214" s="96"/>
      <c r="H214" s="96"/>
      <c r="I214" s="102"/>
      <c r="J214" s="96"/>
      <c r="L214" s="96"/>
      <c r="M214" s="96"/>
    </row>
    <row r="215" spans="6:13" ht="12.5">
      <c r="F215" s="96"/>
      <c r="G215" s="96"/>
      <c r="H215" s="96"/>
      <c r="I215" s="102"/>
      <c r="J215" s="96"/>
      <c r="L215" s="96"/>
      <c r="M215" s="96"/>
    </row>
    <row r="216" spans="6:13" ht="12.5">
      <c r="F216" s="96"/>
      <c r="G216" s="96"/>
      <c r="H216" s="96"/>
      <c r="I216" s="102"/>
      <c r="J216" s="96"/>
      <c r="L216" s="96"/>
      <c r="M216" s="96"/>
    </row>
    <row r="217" spans="6:13" ht="12.5">
      <c r="F217" s="96"/>
      <c r="G217" s="96"/>
      <c r="H217" s="96"/>
      <c r="I217" s="102"/>
      <c r="J217" s="96"/>
      <c r="L217" s="96"/>
      <c r="M217" s="96"/>
    </row>
    <row r="218" spans="6:13" ht="12.5">
      <c r="F218" s="96"/>
      <c r="G218" s="96"/>
      <c r="H218" s="96"/>
      <c r="I218" s="102"/>
      <c r="J218" s="96"/>
      <c r="L218" s="96"/>
      <c r="M218" s="96"/>
    </row>
    <row r="219" spans="6:13" ht="12.5">
      <c r="F219" s="96"/>
      <c r="G219" s="96"/>
      <c r="H219" s="96"/>
      <c r="I219" s="102"/>
      <c r="J219" s="96"/>
      <c r="L219" s="96"/>
      <c r="M219" s="96"/>
    </row>
    <row r="220" spans="6:13" ht="12.5">
      <c r="F220" s="96"/>
      <c r="G220" s="96"/>
      <c r="H220" s="96"/>
      <c r="I220" s="102"/>
      <c r="J220" s="96"/>
      <c r="L220" s="96"/>
      <c r="M220" s="96"/>
    </row>
    <row r="221" spans="6:13" ht="12.5">
      <c r="F221" s="96"/>
      <c r="G221" s="96"/>
      <c r="H221" s="96"/>
      <c r="I221" s="102"/>
      <c r="J221" s="96"/>
      <c r="L221" s="96"/>
      <c r="M221" s="96"/>
    </row>
    <row r="222" spans="6:13" ht="12.5">
      <c r="F222" s="96"/>
      <c r="G222" s="96"/>
      <c r="H222" s="96"/>
      <c r="I222" s="102"/>
      <c r="J222" s="96"/>
      <c r="L222" s="96"/>
      <c r="M222" s="96"/>
    </row>
    <row r="223" spans="6:13" ht="12.5">
      <c r="F223" s="96"/>
      <c r="G223" s="96"/>
      <c r="H223" s="96"/>
      <c r="I223" s="102"/>
      <c r="J223" s="96"/>
      <c r="L223" s="96"/>
      <c r="M223" s="96"/>
    </row>
    <row r="224" spans="6:13" ht="12.5">
      <c r="F224" s="96"/>
      <c r="G224" s="96"/>
      <c r="H224" s="96"/>
      <c r="I224" s="102"/>
      <c r="J224" s="96"/>
      <c r="L224" s="96"/>
      <c r="M224" s="96"/>
    </row>
    <row r="225" spans="6:13" ht="12.5">
      <c r="F225" s="96"/>
      <c r="G225" s="96"/>
      <c r="H225" s="96"/>
      <c r="I225" s="102"/>
      <c r="J225" s="96"/>
      <c r="L225" s="96"/>
      <c r="M225" s="96"/>
    </row>
    <row r="226" spans="6:13" ht="12.5">
      <c r="F226" s="96"/>
      <c r="G226" s="96"/>
      <c r="H226" s="96"/>
      <c r="I226" s="102"/>
      <c r="J226" s="96"/>
      <c r="L226" s="96"/>
      <c r="M226" s="96"/>
    </row>
    <row r="227" spans="6:13" ht="12.5">
      <c r="F227" s="96"/>
      <c r="G227" s="96"/>
      <c r="H227" s="96"/>
      <c r="I227" s="102"/>
      <c r="J227" s="96"/>
      <c r="L227" s="96"/>
      <c r="M227" s="96"/>
    </row>
    <row r="228" spans="6:13" ht="12.5">
      <c r="F228" s="96"/>
      <c r="G228" s="96"/>
      <c r="H228" s="96"/>
      <c r="I228" s="102"/>
      <c r="J228" s="96"/>
      <c r="L228" s="96"/>
      <c r="M228" s="96"/>
    </row>
    <row r="229" spans="6:13" ht="12.5">
      <c r="F229" s="96"/>
      <c r="G229" s="96"/>
      <c r="H229" s="96"/>
      <c r="I229" s="102"/>
      <c r="J229" s="96"/>
      <c r="L229" s="96"/>
      <c r="M229" s="96"/>
    </row>
    <row r="230" spans="6:13" ht="12.5">
      <c r="F230" s="96"/>
      <c r="G230" s="96"/>
      <c r="H230" s="96"/>
      <c r="I230" s="102"/>
      <c r="J230" s="96"/>
      <c r="L230" s="96"/>
      <c r="M230" s="96"/>
    </row>
    <row r="231" spans="6:13" ht="12.5">
      <c r="F231" s="96"/>
      <c r="G231" s="96"/>
      <c r="H231" s="96"/>
      <c r="I231" s="102"/>
      <c r="J231" s="96"/>
      <c r="L231" s="96"/>
      <c r="M231" s="96"/>
    </row>
    <row r="232" spans="6:13" ht="12.5">
      <c r="F232" s="96"/>
      <c r="G232" s="96"/>
      <c r="H232" s="96"/>
      <c r="I232" s="102"/>
      <c r="J232" s="96"/>
      <c r="L232" s="96"/>
      <c r="M232" s="96"/>
    </row>
    <row r="233" spans="6:13" ht="12.5">
      <c r="F233" s="96"/>
      <c r="G233" s="96"/>
      <c r="H233" s="96"/>
      <c r="I233" s="102"/>
      <c r="J233" s="96"/>
      <c r="L233" s="96"/>
      <c r="M233" s="96"/>
    </row>
    <row r="234" spans="6:13" ht="12.5">
      <c r="F234" s="96"/>
      <c r="G234" s="96"/>
      <c r="H234" s="96"/>
      <c r="I234" s="102"/>
      <c r="J234" s="96"/>
      <c r="L234" s="96"/>
      <c r="M234" s="96"/>
    </row>
    <row r="235" spans="6:13" ht="12.5">
      <c r="F235" s="96"/>
      <c r="G235" s="96"/>
      <c r="H235" s="96"/>
      <c r="I235" s="102"/>
      <c r="J235" s="96"/>
      <c r="L235" s="96"/>
      <c r="M235" s="96"/>
    </row>
    <row r="236" spans="6:13" ht="12.5">
      <c r="F236" s="96"/>
      <c r="G236" s="96"/>
      <c r="H236" s="96"/>
      <c r="I236" s="102"/>
      <c r="J236" s="96"/>
      <c r="L236" s="96"/>
      <c r="M236" s="96"/>
    </row>
    <row r="237" spans="6:13" ht="12.5">
      <c r="F237" s="96"/>
      <c r="G237" s="96"/>
      <c r="H237" s="96"/>
      <c r="I237" s="102"/>
      <c r="J237" s="96"/>
      <c r="L237" s="96"/>
      <c r="M237" s="96"/>
    </row>
    <row r="238" spans="6:13" ht="12.5">
      <c r="F238" s="96"/>
      <c r="G238" s="96"/>
      <c r="H238" s="96"/>
      <c r="I238" s="102"/>
      <c r="J238" s="96"/>
      <c r="L238" s="96"/>
      <c r="M238" s="96"/>
    </row>
    <row r="239" spans="6:13" ht="12.5">
      <c r="F239" s="96"/>
      <c r="G239" s="96"/>
      <c r="H239" s="96"/>
      <c r="I239" s="102"/>
      <c r="J239" s="96"/>
      <c r="L239" s="96"/>
      <c r="M239" s="96"/>
    </row>
    <row r="240" spans="6:13" ht="12.5">
      <c r="F240" s="96"/>
      <c r="G240" s="96"/>
      <c r="H240" s="96"/>
      <c r="I240" s="102"/>
      <c r="J240" s="96"/>
      <c r="L240" s="96"/>
      <c r="M240" s="96"/>
    </row>
    <row r="241" spans="6:13" ht="12.5">
      <c r="F241" s="96"/>
      <c r="G241" s="96"/>
      <c r="H241" s="96"/>
      <c r="I241" s="102"/>
      <c r="J241" s="96"/>
      <c r="L241" s="96"/>
      <c r="M241" s="96"/>
    </row>
    <row r="242" spans="6:13" ht="12.5">
      <c r="F242" s="96"/>
      <c r="G242" s="96"/>
      <c r="H242" s="96"/>
      <c r="I242" s="102"/>
      <c r="J242" s="96"/>
      <c r="L242" s="96"/>
      <c r="M242" s="96"/>
    </row>
    <row r="243" spans="6:13" ht="12.5">
      <c r="F243" s="96"/>
      <c r="G243" s="96"/>
      <c r="H243" s="96"/>
      <c r="I243" s="102"/>
      <c r="J243" s="96"/>
      <c r="L243" s="96"/>
      <c r="M243" s="96"/>
    </row>
    <row r="244" spans="6:13" ht="12.5">
      <c r="F244" s="96"/>
      <c r="G244" s="96"/>
      <c r="H244" s="96"/>
      <c r="I244" s="102"/>
      <c r="J244" s="96"/>
      <c r="L244" s="96"/>
      <c r="M244" s="96"/>
    </row>
    <row r="245" spans="6:13" ht="12.5">
      <c r="F245" s="96"/>
      <c r="G245" s="96"/>
      <c r="H245" s="96"/>
      <c r="I245" s="102"/>
      <c r="J245" s="96"/>
      <c r="L245" s="96"/>
      <c r="M245" s="96"/>
    </row>
    <row r="246" spans="6:13" ht="12.5">
      <c r="F246" s="96"/>
      <c r="G246" s="96"/>
      <c r="H246" s="96"/>
      <c r="I246" s="102"/>
      <c r="J246" s="96"/>
      <c r="L246" s="96"/>
      <c r="M246" s="96"/>
    </row>
    <row r="247" spans="6:13" ht="12.5">
      <c r="F247" s="96"/>
      <c r="G247" s="96"/>
      <c r="H247" s="96"/>
      <c r="I247" s="102"/>
      <c r="J247" s="96"/>
      <c r="L247" s="96"/>
      <c r="M247" s="96"/>
    </row>
    <row r="248" spans="6:13" ht="12.5">
      <c r="F248" s="96"/>
      <c r="G248" s="96"/>
      <c r="H248" s="96"/>
      <c r="I248" s="102"/>
      <c r="J248" s="96"/>
      <c r="L248" s="96"/>
      <c r="M248" s="96"/>
    </row>
    <row r="249" spans="6:13" ht="12.5">
      <c r="F249" s="96"/>
      <c r="G249" s="96"/>
      <c r="H249" s="96"/>
      <c r="I249" s="102"/>
      <c r="J249" s="96"/>
      <c r="L249" s="96"/>
      <c r="M249" s="96"/>
    </row>
    <row r="250" spans="6:13" ht="12.5">
      <c r="F250" s="96"/>
      <c r="G250" s="96"/>
      <c r="H250" s="96"/>
      <c r="I250" s="102"/>
      <c r="J250" s="96"/>
      <c r="L250" s="96"/>
      <c r="M250" s="96"/>
    </row>
    <row r="251" spans="6:13" ht="12.5">
      <c r="F251" s="96"/>
      <c r="G251" s="96"/>
      <c r="H251" s="96"/>
      <c r="I251" s="102"/>
      <c r="J251" s="96"/>
      <c r="L251" s="96"/>
      <c r="M251" s="96"/>
    </row>
    <row r="252" spans="6:13" ht="12.5">
      <c r="F252" s="96"/>
      <c r="G252" s="96"/>
      <c r="H252" s="96"/>
      <c r="I252" s="102"/>
      <c r="J252" s="96"/>
      <c r="L252" s="96"/>
      <c r="M252" s="96"/>
    </row>
    <row r="253" spans="6:13" ht="12.5">
      <c r="F253" s="96"/>
      <c r="G253" s="96"/>
      <c r="H253" s="96"/>
      <c r="I253" s="102"/>
      <c r="J253" s="96"/>
      <c r="L253" s="96"/>
      <c r="M253" s="96"/>
    </row>
    <row r="254" spans="6:13" ht="12.5">
      <c r="F254" s="96"/>
      <c r="G254" s="96"/>
      <c r="H254" s="96"/>
      <c r="I254" s="102"/>
      <c r="J254" s="96"/>
      <c r="L254" s="96"/>
      <c r="M254" s="96"/>
    </row>
    <row r="255" spans="6:13" ht="12.5">
      <c r="F255" s="96"/>
      <c r="G255" s="96"/>
      <c r="H255" s="96"/>
      <c r="I255" s="102"/>
      <c r="J255" s="96"/>
      <c r="L255" s="96"/>
      <c r="M255" s="96"/>
    </row>
    <row r="256" spans="6:13" ht="12.5">
      <c r="F256" s="96"/>
      <c r="G256" s="96"/>
      <c r="H256" s="96"/>
      <c r="I256" s="102"/>
      <c r="J256" s="96"/>
      <c r="L256" s="96"/>
      <c r="M256" s="96"/>
    </row>
    <row r="257" spans="6:13" ht="12.5">
      <c r="F257" s="96"/>
      <c r="G257" s="96"/>
      <c r="H257" s="96"/>
      <c r="I257" s="102"/>
      <c r="J257" s="96"/>
      <c r="L257" s="96"/>
      <c r="M257" s="96"/>
    </row>
    <row r="258" spans="6:13" ht="12.5">
      <c r="F258" s="96"/>
      <c r="G258" s="96"/>
      <c r="H258" s="96"/>
      <c r="I258" s="102"/>
      <c r="J258" s="96"/>
      <c r="L258" s="96"/>
      <c r="M258" s="96"/>
    </row>
    <row r="259" spans="6:13" ht="12.5">
      <c r="F259" s="96"/>
      <c r="G259" s="96"/>
      <c r="H259" s="96"/>
      <c r="I259" s="102"/>
      <c r="J259" s="96"/>
      <c r="L259" s="96"/>
      <c r="M259" s="96"/>
    </row>
    <row r="260" spans="6:13" ht="12.5">
      <c r="F260" s="96"/>
      <c r="G260" s="96"/>
      <c r="H260" s="96"/>
      <c r="I260" s="102"/>
      <c r="J260" s="96"/>
      <c r="L260" s="96"/>
      <c r="M260" s="96"/>
    </row>
    <row r="261" spans="6:13" ht="12.5">
      <c r="F261" s="96"/>
      <c r="G261" s="96"/>
      <c r="H261" s="96"/>
      <c r="I261" s="102"/>
      <c r="J261" s="96"/>
      <c r="L261" s="96"/>
      <c r="M261" s="96"/>
    </row>
    <row r="262" spans="6:13" ht="12.5">
      <c r="F262" s="96"/>
      <c r="G262" s="96"/>
      <c r="H262" s="96"/>
      <c r="I262" s="102"/>
      <c r="J262" s="96"/>
      <c r="L262" s="96"/>
      <c r="M262" s="96"/>
    </row>
    <row r="263" spans="6:13" ht="12.5">
      <c r="F263" s="96"/>
      <c r="G263" s="96"/>
      <c r="H263" s="96"/>
      <c r="I263" s="102"/>
      <c r="J263" s="96"/>
      <c r="L263" s="96"/>
      <c r="M263" s="96"/>
    </row>
    <row r="264" spans="6:13" ht="12.5">
      <c r="F264" s="96"/>
      <c r="G264" s="96"/>
      <c r="H264" s="96"/>
      <c r="I264" s="102"/>
      <c r="J264" s="96"/>
      <c r="L264" s="96"/>
      <c r="M264" s="96"/>
    </row>
    <row r="265" spans="6:13" ht="12.5">
      <c r="F265" s="96"/>
      <c r="G265" s="96"/>
      <c r="H265" s="96"/>
      <c r="I265" s="102"/>
      <c r="J265" s="96"/>
      <c r="L265" s="96"/>
      <c r="M265" s="96"/>
    </row>
    <row r="266" spans="6:13" ht="12.5">
      <c r="F266" s="96"/>
      <c r="G266" s="96"/>
      <c r="H266" s="96"/>
      <c r="I266" s="102"/>
      <c r="J266" s="96"/>
      <c r="L266" s="96"/>
      <c r="M266" s="96"/>
    </row>
    <row r="267" spans="6:13" ht="12.5">
      <c r="F267" s="96"/>
      <c r="G267" s="96"/>
      <c r="H267" s="96"/>
      <c r="I267" s="102"/>
      <c r="J267" s="96"/>
      <c r="L267" s="96"/>
      <c r="M267" s="96"/>
    </row>
    <row r="268" spans="6:13" ht="12.5">
      <c r="F268" s="96"/>
      <c r="G268" s="96"/>
      <c r="H268" s="96"/>
      <c r="I268" s="102"/>
      <c r="J268" s="96"/>
      <c r="L268" s="96"/>
      <c r="M268" s="96"/>
    </row>
    <row r="269" spans="6:13" ht="12.5">
      <c r="F269" s="96"/>
      <c r="G269" s="96"/>
      <c r="H269" s="96"/>
      <c r="I269" s="102"/>
      <c r="J269" s="96"/>
      <c r="L269" s="96"/>
      <c r="M269" s="96"/>
    </row>
    <row r="270" spans="6:13" ht="12.5">
      <c r="F270" s="96"/>
      <c r="G270" s="96"/>
      <c r="H270" s="96"/>
      <c r="I270" s="102"/>
      <c r="J270" s="96"/>
      <c r="L270" s="96"/>
      <c r="M270" s="96"/>
    </row>
    <row r="271" spans="6:13" ht="12.5">
      <c r="F271" s="96"/>
      <c r="G271" s="96"/>
      <c r="H271" s="96"/>
      <c r="I271" s="102"/>
      <c r="J271" s="96"/>
      <c r="L271" s="96"/>
      <c r="M271" s="96"/>
    </row>
    <row r="272" spans="6:13" ht="12.5">
      <c r="F272" s="96"/>
      <c r="G272" s="96"/>
      <c r="H272" s="96"/>
      <c r="I272" s="102"/>
      <c r="J272" s="96"/>
      <c r="L272" s="96"/>
      <c r="M272" s="96"/>
    </row>
    <row r="273" spans="6:13" ht="12.5">
      <c r="F273" s="96"/>
      <c r="G273" s="96"/>
      <c r="H273" s="96"/>
      <c r="I273" s="102"/>
      <c r="J273" s="96"/>
      <c r="L273" s="96"/>
      <c r="M273" s="96"/>
    </row>
    <row r="274" spans="6:13" ht="12.5">
      <c r="F274" s="96"/>
      <c r="G274" s="96"/>
      <c r="H274" s="96"/>
      <c r="I274" s="102"/>
      <c r="J274" s="96"/>
      <c r="L274" s="96"/>
      <c r="M274" s="96"/>
    </row>
    <row r="275" spans="6:13" ht="12.5">
      <c r="F275" s="96"/>
      <c r="G275" s="96"/>
      <c r="H275" s="96"/>
      <c r="I275" s="102"/>
      <c r="J275" s="96"/>
      <c r="L275" s="96"/>
      <c r="M275" s="96"/>
    </row>
    <row r="276" spans="6:13" ht="12.5">
      <c r="F276" s="96"/>
      <c r="G276" s="96"/>
      <c r="H276" s="96"/>
      <c r="I276" s="102"/>
      <c r="J276" s="96"/>
      <c r="L276" s="96"/>
      <c r="M276" s="96"/>
    </row>
    <row r="277" spans="6:13" ht="12.5">
      <c r="F277" s="96"/>
      <c r="G277" s="96"/>
      <c r="H277" s="96"/>
      <c r="I277" s="102"/>
      <c r="J277" s="96"/>
      <c r="L277" s="96"/>
      <c r="M277" s="96"/>
    </row>
    <row r="278" spans="6:13" ht="12.5">
      <c r="F278" s="96"/>
      <c r="G278" s="96"/>
      <c r="H278" s="96"/>
      <c r="I278" s="102"/>
      <c r="J278" s="96"/>
      <c r="L278" s="96"/>
      <c r="M278" s="96"/>
    </row>
    <row r="279" spans="6:13" ht="12.5">
      <c r="F279" s="96"/>
      <c r="G279" s="96"/>
      <c r="H279" s="96"/>
      <c r="I279" s="102"/>
      <c r="J279" s="96"/>
      <c r="L279" s="96"/>
      <c r="M279" s="96"/>
    </row>
    <row r="280" spans="6:13" ht="12.5">
      <c r="F280" s="96"/>
      <c r="G280" s="96"/>
      <c r="H280" s="96"/>
      <c r="I280" s="102"/>
      <c r="J280" s="96"/>
      <c r="L280" s="96"/>
      <c r="M280" s="96"/>
    </row>
    <row r="281" spans="6:13" ht="12.5">
      <c r="F281" s="96"/>
      <c r="G281" s="96"/>
      <c r="H281" s="96"/>
      <c r="I281" s="102"/>
      <c r="J281" s="96"/>
      <c r="L281" s="96"/>
      <c r="M281" s="96"/>
    </row>
    <row r="282" spans="6:13" ht="12.5">
      <c r="F282" s="96"/>
      <c r="G282" s="96"/>
      <c r="H282" s="96"/>
      <c r="I282" s="102"/>
      <c r="J282" s="96"/>
      <c r="L282" s="96"/>
      <c r="M282" s="96"/>
    </row>
    <row r="283" spans="6:13" ht="12.5">
      <c r="F283" s="96"/>
      <c r="G283" s="96"/>
      <c r="H283" s="96"/>
      <c r="I283" s="102"/>
      <c r="J283" s="96"/>
      <c r="L283" s="96"/>
      <c r="M283" s="96"/>
    </row>
    <row r="284" spans="6:13" ht="12.5">
      <c r="F284" s="96"/>
      <c r="G284" s="96"/>
      <c r="H284" s="96"/>
      <c r="I284" s="102"/>
      <c r="J284" s="96"/>
      <c r="L284" s="96"/>
      <c r="M284" s="96"/>
    </row>
    <row r="285" spans="6:13" ht="12.5">
      <c r="F285" s="96"/>
      <c r="G285" s="96"/>
      <c r="H285" s="96"/>
      <c r="I285" s="102"/>
      <c r="J285" s="96"/>
      <c r="L285" s="96"/>
      <c r="M285" s="96"/>
    </row>
    <row r="286" spans="6:13" ht="12.5">
      <c r="F286" s="96"/>
      <c r="G286" s="96"/>
      <c r="H286" s="96"/>
      <c r="I286" s="102"/>
      <c r="J286" s="96"/>
      <c r="L286" s="96"/>
      <c r="M286" s="96"/>
    </row>
    <row r="287" spans="6:13" ht="12.5">
      <c r="F287" s="96"/>
      <c r="G287" s="96"/>
      <c r="H287" s="96"/>
      <c r="I287" s="102"/>
      <c r="J287" s="96"/>
      <c r="L287" s="96"/>
      <c r="M287" s="96"/>
    </row>
    <row r="288" spans="6:13" ht="12.5">
      <c r="F288" s="96"/>
      <c r="G288" s="96"/>
      <c r="H288" s="96"/>
      <c r="I288" s="102"/>
      <c r="J288" s="96"/>
      <c r="L288" s="96"/>
      <c r="M288" s="96"/>
    </row>
    <row r="289" spans="6:13" ht="12.5">
      <c r="F289" s="96"/>
      <c r="G289" s="96"/>
      <c r="H289" s="96"/>
      <c r="I289" s="102"/>
      <c r="J289" s="96"/>
      <c r="L289" s="96"/>
      <c r="M289" s="96"/>
    </row>
    <row r="290" spans="6:13" ht="12.5">
      <c r="F290" s="96"/>
      <c r="G290" s="96"/>
      <c r="H290" s="96"/>
      <c r="I290" s="102"/>
      <c r="J290" s="96"/>
      <c r="L290" s="96"/>
      <c r="M290" s="96"/>
    </row>
    <row r="291" spans="6:13" ht="12.5">
      <c r="F291" s="96"/>
      <c r="G291" s="96"/>
      <c r="H291" s="96"/>
      <c r="I291" s="102"/>
      <c r="J291" s="96"/>
      <c r="L291" s="96"/>
      <c r="M291" s="96"/>
    </row>
    <row r="292" spans="6:13" ht="12.5">
      <c r="F292" s="96"/>
      <c r="G292" s="96"/>
      <c r="H292" s="96"/>
      <c r="I292" s="102"/>
      <c r="J292" s="96"/>
      <c r="L292" s="96"/>
      <c r="M292" s="96"/>
    </row>
    <row r="293" spans="6:13" ht="12.5">
      <c r="F293" s="96"/>
      <c r="G293" s="96"/>
      <c r="H293" s="96"/>
      <c r="I293" s="102"/>
      <c r="J293" s="96"/>
      <c r="L293" s="96"/>
      <c r="M293" s="96"/>
    </row>
    <row r="294" spans="6:13" ht="12.5">
      <c r="F294" s="96"/>
      <c r="G294" s="96"/>
      <c r="H294" s="96"/>
      <c r="I294" s="102"/>
      <c r="J294" s="96"/>
      <c r="L294" s="96"/>
      <c r="M294" s="96"/>
    </row>
    <row r="295" spans="6:13" ht="12.5">
      <c r="F295" s="96"/>
      <c r="G295" s="96"/>
      <c r="H295" s="96"/>
      <c r="I295" s="102"/>
      <c r="J295" s="96"/>
      <c r="L295" s="96"/>
      <c r="M295" s="96"/>
    </row>
    <row r="296" spans="6:13" ht="12.5">
      <c r="F296" s="96"/>
      <c r="G296" s="96"/>
      <c r="H296" s="96"/>
      <c r="I296" s="102"/>
      <c r="J296" s="96"/>
      <c r="L296" s="96"/>
      <c r="M296" s="96"/>
    </row>
    <row r="297" spans="6:13" ht="12.5">
      <c r="F297" s="96"/>
      <c r="G297" s="96"/>
      <c r="H297" s="96"/>
      <c r="I297" s="102"/>
      <c r="J297" s="96"/>
      <c r="L297" s="96"/>
      <c r="M297" s="96"/>
    </row>
    <row r="298" spans="6:13" ht="12.5">
      <c r="F298" s="96"/>
      <c r="G298" s="96"/>
      <c r="H298" s="96"/>
      <c r="I298" s="102"/>
      <c r="J298" s="96"/>
      <c r="L298" s="96"/>
      <c r="M298" s="96"/>
    </row>
    <row r="299" spans="6:13" ht="12.5">
      <c r="F299" s="96"/>
      <c r="G299" s="96"/>
      <c r="H299" s="96"/>
      <c r="I299" s="102"/>
      <c r="J299" s="96"/>
      <c r="L299" s="96"/>
      <c r="M299" s="96"/>
    </row>
    <row r="300" spans="6:13" ht="12.5">
      <c r="F300" s="96"/>
      <c r="G300" s="96"/>
      <c r="H300" s="96"/>
      <c r="I300" s="102"/>
      <c r="J300" s="96"/>
      <c r="L300" s="96"/>
      <c r="M300" s="96"/>
    </row>
    <row r="301" spans="6:13" ht="12.5">
      <c r="F301" s="96"/>
      <c r="G301" s="96"/>
      <c r="H301" s="96"/>
      <c r="I301" s="102"/>
      <c r="J301" s="96"/>
      <c r="L301" s="96"/>
      <c r="M301" s="96"/>
    </row>
    <row r="302" spans="6:13" ht="12.5">
      <c r="F302" s="96"/>
      <c r="G302" s="96"/>
      <c r="H302" s="96"/>
      <c r="I302" s="102"/>
      <c r="J302" s="96"/>
      <c r="L302" s="96"/>
      <c r="M302" s="96"/>
    </row>
    <row r="303" spans="6:13" ht="12.5">
      <c r="F303" s="96"/>
      <c r="G303" s="96"/>
      <c r="H303" s="96"/>
      <c r="I303" s="102"/>
      <c r="J303" s="96"/>
      <c r="L303" s="96"/>
      <c r="M303" s="96"/>
    </row>
    <row r="304" spans="6:13" ht="12.5">
      <c r="F304" s="96"/>
      <c r="G304" s="96"/>
      <c r="H304" s="96"/>
      <c r="I304" s="102"/>
      <c r="J304" s="96"/>
      <c r="L304" s="96"/>
      <c r="M304" s="96"/>
    </row>
    <row r="305" spans="6:13" ht="12.5">
      <c r="F305" s="96"/>
      <c r="G305" s="96"/>
      <c r="H305" s="96"/>
      <c r="I305" s="102"/>
      <c r="J305" s="96"/>
      <c r="L305" s="96"/>
      <c r="M305" s="96"/>
    </row>
    <row r="306" spans="6:13" ht="12.5">
      <c r="F306" s="96"/>
      <c r="G306" s="96"/>
      <c r="H306" s="96"/>
      <c r="I306" s="102"/>
      <c r="J306" s="96"/>
      <c r="L306" s="96"/>
      <c r="M306" s="96"/>
    </row>
    <row r="307" spans="6:13" ht="12.5">
      <c r="F307" s="96"/>
      <c r="G307" s="96"/>
      <c r="H307" s="96"/>
      <c r="I307" s="102"/>
      <c r="J307" s="96"/>
      <c r="L307" s="96"/>
      <c r="M307" s="96"/>
    </row>
    <row r="308" spans="6:13" ht="12.5">
      <c r="F308" s="96"/>
      <c r="G308" s="96"/>
      <c r="H308" s="96"/>
      <c r="I308" s="102"/>
      <c r="J308" s="96"/>
      <c r="L308" s="96"/>
      <c r="M308" s="96"/>
    </row>
    <row r="309" spans="6:13" ht="12.5">
      <c r="F309" s="96"/>
      <c r="G309" s="96"/>
      <c r="H309" s="96"/>
      <c r="I309" s="102"/>
      <c r="J309" s="96"/>
      <c r="L309" s="96"/>
      <c r="M309" s="96"/>
    </row>
    <row r="310" spans="6:13" ht="12.5">
      <c r="F310" s="96"/>
      <c r="G310" s="96"/>
      <c r="H310" s="96"/>
      <c r="I310" s="102"/>
      <c r="J310" s="96"/>
      <c r="L310" s="96"/>
      <c r="M310" s="96"/>
    </row>
    <row r="311" spans="6:13" ht="12.5">
      <c r="F311" s="96"/>
      <c r="G311" s="96"/>
      <c r="H311" s="96"/>
      <c r="I311" s="102"/>
      <c r="J311" s="96"/>
      <c r="L311" s="96"/>
      <c r="M311" s="96"/>
    </row>
    <row r="312" spans="6:13" ht="12.5">
      <c r="F312" s="96"/>
      <c r="G312" s="96"/>
      <c r="H312" s="96"/>
      <c r="I312" s="102"/>
      <c r="J312" s="96"/>
      <c r="L312" s="96"/>
      <c r="M312" s="96"/>
    </row>
    <row r="313" spans="6:13" ht="12.5">
      <c r="F313" s="96"/>
      <c r="G313" s="96"/>
      <c r="H313" s="96"/>
      <c r="I313" s="102"/>
      <c r="J313" s="96"/>
      <c r="L313" s="96"/>
      <c r="M313" s="96"/>
    </row>
    <row r="314" spans="6:13" ht="12.5">
      <c r="F314" s="96"/>
      <c r="G314" s="96"/>
      <c r="H314" s="96"/>
      <c r="I314" s="102"/>
      <c r="J314" s="96"/>
      <c r="L314" s="96"/>
      <c r="M314" s="96"/>
    </row>
    <row r="315" spans="6:13" ht="12.5">
      <c r="F315" s="96"/>
      <c r="G315" s="96"/>
      <c r="H315" s="96"/>
      <c r="I315" s="102"/>
      <c r="J315" s="96"/>
      <c r="L315" s="96"/>
      <c r="M315" s="96"/>
    </row>
    <row r="316" spans="6:13" ht="12.5">
      <c r="F316" s="96"/>
      <c r="G316" s="96"/>
      <c r="H316" s="96"/>
      <c r="I316" s="102"/>
      <c r="J316" s="96"/>
      <c r="L316" s="96"/>
      <c r="M316" s="96"/>
    </row>
    <row r="317" spans="6:13" ht="12.5">
      <c r="F317" s="96"/>
      <c r="G317" s="96"/>
      <c r="H317" s="96"/>
      <c r="I317" s="102"/>
      <c r="J317" s="96"/>
      <c r="L317" s="96"/>
      <c r="M317" s="96"/>
    </row>
    <row r="318" spans="6:13" ht="12.5">
      <c r="F318" s="96"/>
      <c r="G318" s="96"/>
      <c r="H318" s="96"/>
      <c r="I318" s="102"/>
      <c r="J318" s="96"/>
      <c r="L318" s="96"/>
      <c r="M318" s="96"/>
    </row>
    <row r="319" spans="6:13" ht="12.5">
      <c r="F319" s="96"/>
      <c r="G319" s="96"/>
      <c r="H319" s="96"/>
      <c r="I319" s="102"/>
      <c r="J319" s="96"/>
      <c r="L319" s="96"/>
      <c r="M319" s="96"/>
    </row>
    <row r="320" spans="6:13" ht="12.5">
      <c r="F320" s="96"/>
      <c r="G320" s="96"/>
      <c r="H320" s="96"/>
      <c r="I320" s="102"/>
      <c r="J320" s="96"/>
      <c r="L320" s="96"/>
      <c r="M320" s="96"/>
    </row>
    <row r="321" spans="6:13" ht="12.5">
      <c r="F321" s="96"/>
      <c r="G321" s="96"/>
      <c r="H321" s="96"/>
      <c r="I321" s="102"/>
      <c r="J321" s="96"/>
      <c r="L321" s="96"/>
      <c r="M321" s="96"/>
    </row>
    <row r="322" spans="6:13" ht="12.5">
      <c r="F322" s="96"/>
      <c r="G322" s="96"/>
      <c r="H322" s="96"/>
      <c r="I322" s="102"/>
      <c r="J322" s="96"/>
      <c r="L322" s="96"/>
      <c r="M322" s="96"/>
    </row>
    <row r="323" spans="6:13" ht="12.5">
      <c r="F323" s="96"/>
      <c r="G323" s="96"/>
      <c r="H323" s="96"/>
      <c r="I323" s="102"/>
      <c r="J323" s="96"/>
      <c r="L323" s="96"/>
      <c r="M323" s="96"/>
    </row>
    <row r="324" spans="6:13" ht="12.5">
      <c r="F324" s="96"/>
      <c r="G324" s="96"/>
      <c r="H324" s="96"/>
      <c r="I324" s="102"/>
      <c r="J324" s="96"/>
      <c r="L324" s="96"/>
      <c r="M324" s="96"/>
    </row>
    <row r="325" spans="6:13" ht="12.5">
      <c r="F325" s="96"/>
      <c r="G325" s="96"/>
      <c r="H325" s="96"/>
      <c r="I325" s="102"/>
      <c r="J325" s="96"/>
      <c r="L325" s="96"/>
      <c r="M325" s="96"/>
    </row>
    <row r="326" spans="6:13" ht="12.5">
      <c r="F326" s="96"/>
      <c r="G326" s="96"/>
      <c r="H326" s="96"/>
      <c r="I326" s="102"/>
      <c r="J326" s="96"/>
      <c r="L326" s="96"/>
      <c r="M326" s="96"/>
    </row>
    <row r="327" spans="6:13" ht="12.5">
      <c r="F327" s="96"/>
      <c r="G327" s="96"/>
      <c r="H327" s="96"/>
      <c r="I327" s="102"/>
      <c r="J327" s="96"/>
      <c r="L327" s="96"/>
      <c r="M327" s="96"/>
    </row>
    <row r="328" spans="6:13" ht="12.5">
      <c r="F328" s="96"/>
      <c r="G328" s="96"/>
      <c r="H328" s="96"/>
      <c r="I328" s="102"/>
      <c r="J328" s="96"/>
      <c r="L328" s="96"/>
      <c r="M328" s="96"/>
    </row>
    <row r="329" spans="6:13" ht="12.5">
      <c r="F329" s="96"/>
      <c r="G329" s="96"/>
      <c r="H329" s="96"/>
      <c r="I329" s="102"/>
      <c r="J329" s="96"/>
      <c r="L329" s="96"/>
      <c r="M329" s="96"/>
    </row>
    <row r="330" spans="6:13" ht="12.5">
      <c r="F330" s="96"/>
      <c r="G330" s="96"/>
      <c r="H330" s="96"/>
      <c r="I330" s="102"/>
      <c r="J330" s="96"/>
      <c r="L330" s="96"/>
      <c r="M330" s="96"/>
    </row>
    <row r="331" spans="6:13" ht="12.5">
      <c r="F331" s="96"/>
      <c r="G331" s="96"/>
      <c r="H331" s="96"/>
      <c r="I331" s="102"/>
      <c r="J331" s="96"/>
      <c r="L331" s="96"/>
      <c r="M331" s="96"/>
    </row>
    <row r="332" spans="6:13" ht="12.5">
      <c r="F332" s="96"/>
      <c r="G332" s="96"/>
      <c r="H332" s="96"/>
      <c r="I332" s="102"/>
      <c r="J332" s="96"/>
      <c r="L332" s="96"/>
      <c r="M332" s="96"/>
    </row>
    <row r="333" spans="6:13" ht="12.5">
      <c r="F333" s="96"/>
      <c r="G333" s="96"/>
      <c r="H333" s="96"/>
      <c r="I333" s="102"/>
      <c r="J333" s="96"/>
      <c r="L333" s="96"/>
      <c r="M333" s="96"/>
    </row>
    <row r="334" spans="6:13" ht="12.5">
      <c r="F334" s="96"/>
      <c r="G334" s="96"/>
      <c r="H334" s="96"/>
      <c r="I334" s="102"/>
      <c r="J334" s="96"/>
      <c r="L334" s="96"/>
      <c r="M334" s="96"/>
    </row>
    <row r="335" spans="6:13" ht="12.5">
      <c r="F335" s="96"/>
      <c r="G335" s="96"/>
      <c r="H335" s="96"/>
      <c r="I335" s="102"/>
      <c r="J335" s="96"/>
      <c r="L335" s="96"/>
      <c r="M335" s="96"/>
    </row>
    <row r="336" spans="6:13" ht="12.5">
      <c r="F336" s="96"/>
      <c r="G336" s="96"/>
      <c r="H336" s="96"/>
      <c r="I336" s="102"/>
      <c r="J336" s="96"/>
      <c r="L336" s="96"/>
      <c r="M336" s="96"/>
    </row>
    <row r="337" spans="6:13" ht="12.5">
      <c r="F337" s="96"/>
      <c r="G337" s="96"/>
      <c r="H337" s="96"/>
      <c r="I337" s="102"/>
      <c r="J337" s="96"/>
      <c r="L337" s="96"/>
      <c r="M337" s="96"/>
    </row>
    <row r="338" spans="6:13" ht="12.5">
      <c r="F338" s="96"/>
      <c r="G338" s="96"/>
      <c r="H338" s="96"/>
      <c r="I338" s="102"/>
      <c r="J338" s="96"/>
      <c r="L338" s="96"/>
      <c r="M338" s="96"/>
    </row>
    <row r="339" spans="6:13" ht="12.5">
      <c r="F339" s="96"/>
      <c r="G339" s="96"/>
      <c r="H339" s="96"/>
      <c r="I339" s="102"/>
      <c r="J339" s="96"/>
      <c r="L339" s="96"/>
      <c r="M339" s="96"/>
    </row>
    <row r="340" spans="6:13" ht="12.5">
      <c r="F340" s="96"/>
      <c r="G340" s="96"/>
      <c r="H340" s="96"/>
      <c r="I340" s="102"/>
      <c r="J340" s="96"/>
      <c r="L340" s="96"/>
      <c r="M340" s="96"/>
    </row>
    <row r="341" spans="6:13" ht="12.5">
      <c r="F341" s="96"/>
      <c r="G341" s="96"/>
      <c r="H341" s="96"/>
      <c r="I341" s="102"/>
      <c r="J341" s="96"/>
      <c r="L341" s="96"/>
      <c r="M341" s="96"/>
    </row>
    <row r="342" spans="6:13" ht="12.5">
      <c r="F342" s="96"/>
      <c r="G342" s="96"/>
      <c r="H342" s="96"/>
      <c r="I342" s="102"/>
      <c r="J342" s="96"/>
      <c r="L342" s="96"/>
      <c r="M342" s="96"/>
    </row>
    <row r="343" spans="6:13" ht="12.5">
      <c r="F343" s="96"/>
      <c r="G343" s="96"/>
      <c r="H343" s="96"/>
      <c r="I343" s="102"/>
      <c r="J343" s="96"/>
      <c r="L343" s="96"/>
      <c r="M343" s="96"/>
    </row>
    <row r="344" spans="6:13" ht="12.5">
      <c r="F344" s="96"/>
      <c r="G344" s="96"/>
      <c r="H344" s="96"/>
      <c r="I344" s="102"/>
      <c r="J344" s="96"/>
      <c r="L344" s="96"/>
      <c r="M344" s="96"/>
    </row>
    <row r="345" spans="6:13" ht="12.5">
      <c r="F345" s="96"/>
      <c r="G345" s="96"/>
      <c r="H345" s="96"/>
      <c r="I345" s="102"/>
      <c r="J345" s="96"/>
      <c r="L345" s="96"/>
      <c r="M345" s="96"/>
    </row>
    <row r="346" spans="6:13" ht="12.5">
      <c r="F346" s="96"/>
      <c r="G346" s="96"/>
      <c r="H346" s="96"/>
      <c r="I346" s="102"/>
      <c r="J346" s="96"/>
      <c r="L346" s="96"/>
      <c r="M346" s="96"/>
    </row>
    <row r="347" spans="6:13" ht="12.5">
      <c r="F347" s="96"/>
      <c r="G347" s="96"/>
      <c r="H347" s="96"/>
      <c r="I347" s="102"/>
      <c r="J347" s="96"/>
      <c r="L347" s="96"/>
      <c r="M347" s="96"/>
    </row>
    <row r="348" spans="6:13" ht="12.5">
      <c r="F348" s="96"/>
      <c r="G348" s="96"/>
      <c r="H348" s="96"/>
      <c r="I348" s="102"/>
      <c r="J348" s="96"/>
      <c r="L348" s="96"/>
      <c r="M348" s="96"/>
    </row>
    <row r="349" spans="6:13" ht="12.5">
      <c r="F349" s="96"/>
      <c r="G349" s="96"/>
      <c r="H349" s="96"/>
      <c r="I349" s="102"/>
      <c r="J349" s="96"/>
      <c r="L349" s="96"/>
      <c r="M349" s="96"/>
    </row>
    <row r="350" spans="6:13" ht="12.5">
      <c r="F350" s="96"/>
      <c r="G350" s="96"/>
      <c r="H350" s="96"/>
      <c r="I350" s="102"/>
      <c r="J350" s="96"/>
      <c r="L350" s="96"/>
      <c r="M350" s="96"/>
    </row>
    <row r="351" spans="6:13" ht="12.5">
      <c r="F351" s="96"/>
      <c r="G351" s="96"/>
      <c r="H351" s="96"/>
      <c r="I351" s="102"/>
      <c r="J351" s="96"/>
      <c r="L351" s="96"/>
      <c r="M351" s="96"/>
    </row>
    <row r="352" spans="6:13" ht="12.5">
      <c r="F352" s="96"/>
      <c r="G352" s="96"/>
      <c r="H352" s="96"/>
      <c r="I352" s="102"/>
      <c r="J352" s="96"/>
      <c r="L352" s="96"/>
      <c r="M352" s="96"/>
    </row>
    <row r="353" spans="6:13" ht="12.5">
      <c r="F353" s="96"/>
      <c r="G353" s="96"/>
      <c r="H353" s="96"/>
      <c r="I353" s="102"/>
      <c r="J353" s="96"/>
      <c r="L353" s="96"/>
      <c r="M353" s="96"/>
    </row>
    <row r="354" spans="6:13" ht="12.5">
      <c r="F354" s="96"/>
      <c r="G354" s="96"/>
      <c r="H354" s="96"/>
      <c r="I354" s="102"/>
      <c r="J354" s="96"/>
      <c r="L354" s="96"/>
      <c r="M354" s="96"/>
    </row>
    <row r="355" spans="6:13" ht="12.5">
      <c r="F355" s="96"/>
      <c r="G355" s="96"/>
      <c r="H355" s="96"/>
      <c r="I355" s="102"/>
      <c r="J355" s="96"/>
      <c r="L355" s="96"/>
      <c r="M355" s="96"/>
    </row>
    <row r="356" spans="6:13" ht="12.5">
      <c r="F356" s="96"/>
      <c r="G356" s="96"/>
      <c r="H356" s="96"/>
      <c r="I356" s="102"/>
      <c r="J356" s="96"/>
      <c r="L356" s="96"/>
      <c r="M356" s="96"/>
    </row>
    <row r="357" spans="6:13" ht="12.5">
      <c r="F357" s="96"/>
      <c r="G357" s="96"/>
      <c r="H357" s="96"/>
      <c r="I357" s="102"/>
      <c r="J357" s="96"/>
      <c r="L357" s="96"/>
      <c r="M357" s="96"/>
    </row>
    <row r="358" spans="6:13" ht="12.5">
      <c r="F358" s="96"/>
      <c r="G358" s="96"/>
      <c r="H358" s="96"/>
      <c r="I358" s="102"/>
      <c r="J358" s="96"/>
      <c r="L358" s="96"/>
      <c r="M358" s="96"/>
    </row>
    <row r="359" spans="6:13" ht="12.5">
      <c r="F359" s="96"/>
      <c r="G359" s="96"/>
      <c r="H359" s="96"/>
      <c r="I359" s="102"/>
      <c r="J359" s="96"/>
      <c r="L359" s="96"/>
      <c r="M359" s="96"/>
    </row>
    <row r="360" spans="6:13" ht="12.5">
      <c r="F360" s="96"/>
      <c r="G360" s="96"/>
      <c r="H360" s="96"/>
      <c r="I360" s="102"/>
      <c r="J360" s="96"/>
      <c r="L360" s="96"/>
      <c r="M360" s="96"/>
    </row>
    <row r="361" spans="6:13" ht="12.5">
      <c r="F361" s="96"/>
      <c r="G361" s="96"/>
      <c r="H361" s="96"/>
      <c r="I361" s="102"/>
      <c r="J361" s="96"/>
      <c r="L361" s="96"/>
      <c r="M361" s="96"/>
    </row>
    <row r="362" spans="6:13" ht="12.5">
      <c r="F362" s="96"/>
      <c r="G362" s="96"/>
      <c r="H362" s="96"/>
      <c r="I362" s="102"/>
      <c r="J362" s="96"/>
      <c r="L362" s="96"/>
      <c r="M362" s="96"/>
    </row>
    <row r="363" spans="6:13" ht="12.5">
      <c r="F363" s="96"/>
      <c r="G363" s="96"/>
      <c r="H363" s="96"/>
      <c r="I363" s="102"/>
      <c r="J363" s="96"/>
      <c r="L363" s="96"/>
      <c r="M363" s="96"/>
    </row>
    <row r="364" spans="6:13" ht="12.5">
      <c r="F364" s="96"/>
      <c r="G364" s="96"/>
      <c r="H364" s="96"/>
      <c r="I364" s="102"/>
      <c r="J364" s="96"/>
      <c r="L364" s="96"/>
      <c r="M364" s="96"/>
    </row>
    <row r="365" spans="6:13" ht="12.5">
      <c r="F365" s="96"/>
      <c r="G365" s="96"/>
      <c r="H365" s="96"/>
      <c r="I365" s="102"/>
      <c r="J365" s="96"/>
      <c r="L365" s="96"/>
      <c r="M365" s="96"/>
    </row>
    <row r="366" spans="6:13" ht="12.5">
      <c r="F366" s="96"/>
      <c r="G366" s="96"/>
      <c r="H366" s="96"/>
      <c r="I366" s="102"/>
      <c r="J366" s="96"/>
      <c r="L366" s="96"/>
      <c r="M366" s="96"/>
    </row>
    <row r="367" spans="6:13" ht="12.5">
      <c r="F367" s="96"/>
      <c r="G367" s="96"/>
      <c r="H367" s="96"/>
      <c r="I367" s="102"/>
      <c r="J367" s="96"/>
      <c r="L367" s="96"/>
      <c r="M367" s="96"/>
    </row>
    <row r="368" spans="6:13" ht="12.5">
      <c r="F368" s="96"/>
      <c r="G368" s="96"/>
      <c r="H368" s="96"/>
      <c r="I368" s="102"/>
      <c r="J368" s="96"/>
      <c r="L368" s="96"/>
      <c r="M368" s="96"/>
    </row>
    <row r="369" spans="6:13" ht="12.5">
      <c r="F369" s="96"/>
      <c r="G369" s="96"/>
      <c r="H369" s="96"/>
      <c r="I369" s="102"/>
      <c r="J369" s="96"/>
      <c r="L369" s="96"/>
      <c r="M369" s="96"/>
    </row>
    <row r="370" spans="6:13" ht="12.5">
      <c r="F370" s="96"/>
      <c r="G370" s="96"/>
      <c r="H370" s="96"/>
      <c r="I370" s="102"/>
      <c r="J370" s="96"/>
      <c r="L370" s="96"/>
      <c r="M370" s="96"/>
    </row>
    <row r="371" spans="6:13" ht="12.5">
      <c r="F371" s="96"/>
      <c r="G371" s="96"/>
      <c r="H371" s="96"/>
      <c r="I371" s="102"/>
      <c r="J371" s="96"/>
      <c r="L371" s="96"/>
      <c r="M371" s="96"/>
    </row>
    <row r="372" spans="6:13" ht="12.5">
      <c r="F372" s="96"/>
      <c r="G372" s="96"/>
      <c r="H372" s="96"/>
      <c r="I372" s="102"/>
      <c r="J372" s="96"/>
      <c r="L372" s="96"/>
      <c r="M372" s="96"/>
    </row>
    <row r="373" spans="6:13" ht="12.5">
      <c r="F373" s="96"/>
      <c r="G373" s="96"/>
      <c r="H373" s="96"/>
      <c r="I373" s="102"/>
      <c r="J373" s="96"/>
      <c r="L373" s="96"/>
      <c r="M373" s="96"/>
    </row>
    <row r="374" spans="6:13" ht="12.5">
      <c r="F374" s="96"/>
      <c r="G374" s="96"/>
      <c r="H374" s="96"/>
      <c r="I374" s="102"/>
      <c r="J374" s="96"/>
      <c r="L374" s="96"/>
      <c r="M374" s="96"/>
    </row>
    <row r="375" spans="6:13" ht="12.5">
      <c r="F375" s="96"/>
      <c r="G375" s="96"/>
      <c r="H375" s="96"/>
      <c r="I375" s="102"/>
      <c r="J375" s="96"/>
      <c r="L375" s="96"/>
      <c r="M375" s="96"/>
    </row>
    <row r="376" spans="6:13" ht="12.5">
      <c r="F376" s="96"/>
      <c r="G376" s="96"/>
      <c r="H376" s="96"/>
      <c r="I376" s="102"/>
      <c r="J376" s="96"/>
      <c r="L376" s="96"/>
      <c r="M376" s="96"/>
    </row>
    <row r="377" spans="6:13" ht="12.5">
      <c r="F377" s="96"/>
      <c r="G377" s="96"/>
      <c r="H377" s="96"/>
      <c r="I377" s="102"/>
      <c r="J377" s="96"/>
      <c r="L377" s="96"/>
      <c r="M377" s="96"/>
    </row>
    <row r="378" spans="6:13" ht="12.5">
      <c r="F378" s="96"/>
      <c r="G378" s="96"/>
      <c r="H378" s="96"/>
      <c r="I378" s="102"/>
      <c r="J378" s="96"/>
      <c r="L378" s="96"/>
      <c r="M378" s="96"/>
    </row>
    <row r="379" spans="6:13" ht="12.5">
      <c r="F379" s="96"/>
      <c r="G379" s="96"/>
      <c r="H379" s="96"/>
      <c r="I379" s="102"/>
      <c r="J379" s="96"/>
      <c r="L379" s="96"/>
      <c r="M379" s="96"/>
    </row>
    <row r="380" spans="6:13" ht="12.5">
      <c r="F380" s="96"/>
      <c r="G380" s="96"/>
      <c r="H380" s="96"/>
      <c r="I380" s="102"/>
      <c r="J380" s="96"/>
      <c r="L380" s="96"/>
      <c r="M380" s="96"/>
    </row>
    <row r="381" spans="6:13" ht="12.5">
      <c r="F381" s="96"/>
      <c r="G381" s="96"/>
      <c r="H381" s="96"/>
      <c r="I381" s="102"/>
      <c r="J381" s="96"/>
      <c r="L381" s="96"/>
      <c r="M381" s="96"/>
    </row>
    <row r="382" spans="6:13" ht="12.5">
      <c r="F382" s="96"/>
      <c r="G382" s="96"/>
      <c r="H382" s="96"/>
      <c r="I382" s="102"/>
      <c r="J382" s="96"/>
      <c r="L382" s="96"/>
      <c r="M382" s="96"/>
    </row>
    <row r="383" spans="6:13" ht="12.5">
      <c r="F383" s="96"/>
      <c r="G383" s="96"/>
      <c r="H383" s="96"/>
      <c r="I383" s="102"/>
      <c r="J383" s="96"/>
      <c r="L383" s="96"/>
      <c r="M383" s="96"/>
    </row>
    <row r="384" spans="6:13" ht="12.5">
      <c r="F384" s="96"/>
      <c r="G384" s="96"/>
      <c r="H384" s="96"/>
      <c r="I384" s="102"/>
      <c r="J384" s="96"/>
      <c r="L384" s="96"/>
      <c r="M384" s="96"/>
    </row>
    <row r="385" spans="6:13" ht="12.5">
      <c r="F385" s="96"/>
      <c r="G385" s="96"/>
      <c r="H385" s="96"/>
      <c r="I385" s="102"/>
      <c r="J385" s="96"/>
      <c r="L385" s="96"/>
      <c r="M385" s="96"/>
    </row>
    <row r="386" spans="6:13" ht="12.5">
      <c r="F386" s="96"/>
      <c r="G386" s="96"/>
      <c r="H386" s="96"/>
      <c r="I386" s="102"/>
      <c r="J386" s="96"/>
      <c r="L386" s="96"/>
      <c r="M386" s="96"/>
    </row>
    <row r="387" spans="6:13" ht="12.5">
      <c r="F387" s="96"/>
      <c r="G387" s="96"/>
      <c r="H387" s="96"/>
      <c r="I387" s="102"/>
      <c r="J387" s="96"/>
      <c r="L387" s="96"/>
      <c r="M387" s="96"/>
    </row>
    <row r="388" spans="6:13" ht="12.5">
      <c r="F388" s="96"/>
      <c r="G388" s="96"/>
      <c r="H388" s="96"/>
      <c r="I388" s="102"/>
      <c r="J388" s="96"/>
      <c r="L388" s="96"/>
      <c r="M388" s="96"/>
    </row>
    <row r="389" spans="6:13" ht="12.5">
      <c r="F389" s="96"/>
      <c r="G389" s="96"/>
      <c r="H389" s="96"/>
      <c r="I389" s="102"/>
      <c r="J389" s="96"/>
      <c r="L389" s="96"/>
      <c r="M389" s="96"/>
    </row>
    <row r="390" spans="6:13" ht="12.5">
      <c r="F390" s="96"/>
      <c r="G390" s="96"/>
      <c r="H390" s="96"/>
      <c r="I390" s="102"/>
      <c r="J390" s="96"/>
      <c r="L390" s="96"/>
      <c r="M390" s="96"/>
    </row>
    <row r="391" spans="6:13" ht="12.5">
      <c r="F391" s="96"/>
      <c r="G391" s="96"/>
      <c r="H391" s="96"/>
      <c r="I391" s="102"/>
      <c r="J391" s="96"/>
      <c r="L391" s="96"/>
      <c r="M391" s="96"/>
    </row>
    <row r="392" spans="6:13" ht="12.5">
      <c r="F392" s="96"/>
      <c r="G392" s="96"/>
      <c r="H392" s="96"/>
      <c r="I392" s="102"/>
      <c r="J392" s="96"/>
      <c r="L392" s="96"/>
      <c r="M392" s="96"/>
    </row>
    <row r="393" spans="6:13" ht="12.5">
      <c r="F393" s="96"/>
      <c r="G393" s="96"/>
      <c r="H393" s="96"/>
      <c r="I393" s="102"/>
      <c r="J393" s="96"/>
      <c r="L393" s="96"/>
      <c r="M393" s="96"/>
    </row>
    <row r="394" spans="6:13" ht="12.5">
      <c r="F394" s="96"/>
      <c r="G394" s="96"/>
      <c r="H394" s="96"/>
      <c r="I394" s="102"/>
      <c r="J394" s="96"/>
      <c r="L394" s="96"/>
      <c r="M394" s="96"/>
    </row>
    <row r="395" spans="6:13" ht="12.5">
      <c r="F395" s="96"/>
      <c r="G395" s="96"/>
      <c r="H395" s="96"/>
      <c r="I395" s="102"/>
      <c r="J395" s="96"/>
      <c r="L395" s="96"/>
      <c r="M395" s="96"/>
    </row>
    <row r="396" spans="6:13" ht="12.5">
      <c r="F396" s="96"/>
      <c r="G396" s="96"/>
      <c r="H396" s="96"/>
      <c r="I396" s="102"/>
      <c r="J396" s="96"/>
      <c r="L396" s="96"/>
      <c r="M396" s="96"/>
    </row>
    <row r="397" spans="6:13" ht="12.5">
      <c r="F397" s="96"/>
      <c r="G397" s="96"/>
      <c r="H397" s="96"/>
      <c r="I397" s="102"/>
      <c r="J397" s="96"/>
      <c r="L397" s="96"/>
      <c r="M397" s="96"/>
    </row>
    <row r="398" spans="6:13" ht="12.5">
      <c r="F398" s="96"/>
      <c r="G398" s="96"/>
      <c r="H398" s="96"/>
      <c r="I398" s="102"/>
      <c r="J398" s="96"/>
      <c r="L398" s="96"/>
      <c r="M398" s="96"/>
    </row>
    <row r="399" spans="6:13" ht="12.5">
      <c r="F399" s="96"/>
      <c r="G399" s="96"/>
      <c r="H399" s="96"/>
      <c r="I399" s="102"/>
      <c r="J399" s="96"/>
      <c r="L399" s="96"/>
      <c r="M399" s="96"/>
    </row>
    <row r="400" spans="6:13" ht="12.5">
      <c r="F400" s="96"/>
      <c r="G400" s="96"/>
      <c r="H400" s="96"/>
      <c r="I400" s="102"/>
      <c r="J400" s="96"/>
      <c r="L400" s="96"/>
      <c r="M400" s="96"/>
    </row>
    <row r="401" spans="6:13" ht="12.5">
      <c r="F401" s="96"/>
      <c r="G401" s="96"/>
      <c r="H401" s="96"/>
      <c r="I401" s="102"/>
      <c r="J401" s="96"/>
      <c r="L401" s="96"/>
      <c r="M401" s="96"/>
    </row>
    <row r="402" spans="6:13" ht="12.5">
      <c r="F402" s="96"/>
      <c r="G402" s="96"/>
      <c r="H402" s="96"/>
      <c r="I402" s="102"/>
      <c r="J402" s="96"/>
      <c r="L402" s="96"/>
      <c r="M402" s="96"/>
    </row>
    <row r="403" spans="6:13" ht="12.5">
      <c r="F403" s="96"/>
      <c r="G403" s="96"/>
      <c r="H403" s="96"/>
      <c r="I403" s="102"/>
      <c r="J403" s="96"/>
      <c r="L403" s="96"/>
      <c r="M403" s="96"/>
    </row>
    <row r="404" spans="6:13" ht="12.5">
      <c r="F404" s="96"/>
      <c r="G404" s="96"/>
      <c r="H404" s="96"/>
      <c r="I404" s="102"/>
      <c r="J404" s="96"/>
      <c r="L404" s="96"/>
      <c r="M404" s="96"/>
    </row>
    <row r="405" spans="6:13" ht="12.5">
      <c r="F405" s="96"/>
      <c r="G405" s="96"/>
      <c r="H405" s="96"/>
      <c r="I405" s="102"/>
      <c r="J405" s="96"/>
      <c r="L405" s="96"/>
      <c r="M405" s="96"/>
    </row>
    <row r="406" spans="6:13" ht="12.5">
      <c r="F406" s="96"/>
      <c r="G406" s="96"/>
      <c r="H406" s="96"/>
      <c r="I406" s="102"/>
      <c r="J406" s="96"/>
      <c r="L406" s="96"/>
      <c r="M406" s="96"/>
    </row>
    <row r="407" spans="6:13" ht="12.5">
      <c r="F407" s="96"/>
      <c r="G407" s="96"/>
      <c r="H407" s="96"/>
      <c r="I407" s="102"/>
      <c r="J407" s="96"/>
      <c r="L407" s="96"/>
      <c r="M407" s="96"/>
    </row>
    <row r="408" spans="6:13" ht="12.5">
      <c r="F408" s="96"/>
      <c r="G408" s="96"/>
      <c r="H408" s="96"/>
      <c r="I408" s="102"/>
      <c r="J408" s="96"/>
      <c r="L408" s="96"/>
      <c r="M408" s="96"/>
    </row>
    <row r="409" spans="6:13" ht="12.5">
      <c r="F409" s="96"/>
      <c r="G409" s="96"/>
      <c r="H409" s="96"/>
      <c r="I409" s="102"/>
      <c r="J409" s="96"/>
      <c r="L409" s="96"/>
      <c r="M409" s="96"/>
    </row>
    <row r="410" spans="6:13" ht="12.5">
      <c r="F410" s="96"/>
      <c r="G410" s="96"/>
      <c r="H410" s="96"/>
      <c r="I410" s="102"/>
      <c r="J410" s="96"/>
      <c r="L410" s="96"/>
      <c r="M410" s="96"/>
    </row>
    <row r="411" spans="6:13" ht="12.5">
      <c r="F411" s="96"/>
      <c r="G411" s="96"/>
      <c r="H411" s="96"/>
      <c r="I411" s="102"/>
      <c r="J411" s="96"/>
      <c r="L411" s="96"/>
      <c r="M411" s="96"/>
    </row>
    <row r="412" spans="6:13" ht="12.5">
      <c r="F412" s="96"/>
      <c r="G412" s="96"/>
      <c r="H412" s="96"/>
      <c r="I412" s="102"/>
      <c r="J412" s="96"/>
      <c r="L412" s="96"/>
      <c r="M412" s="96"/>
    </row>
    <row r="413" spans="6:13" ht="12.5">
      <c r="F413" s="96"/>
      <c r="G413" s="96"/>
      <c r="H413" s="96"/>
      <c r="I413" s="102"/>
      <c r="J413" s="96"/>
      <c r="L413" s="96"/>
      <c r="M413" s="96"/>
    </row>
    <row r="414" spans="6:13" ht="12.5">
      <c r="F414" s="96"/>
      <c r="G414" s="96"/>
      <c r="H414" s="96"/>
      <c r="I414" s="102"/>
      <c r="J414" s="96"/>
      <c r="L414" s="96"/>
      <c r="M414" s="96"/>
    </row>
    <row r="415" spans="6:13" ht="12.5">
      <c r="F415" s="96"/>
      <c r="G415" s="96"/>
      <c r="H415" s="96"/>
      <c r="I415" s="102"/>
      <c r="J415" s="96"/>
      <c r="L415" s="96"/>
      <c r="M415" s="96"/>
    </row>
    <row r="416" spans="6:13" ht="12.5">
      <c r="F416" s="96"/>
      <c r="G416" s="96"/>
      <c r="H416" s="96"/>
      <c r="I416" s="102"/>
      <c r="J416" s="96"/>
      <c r="L416" s="96"/>
      <c r="M416" s="96"/>
    </row>
    <row r="417" spans="6:13" ht="12.5">
      <c r="F417" s="96"/>
      <c r="G417" s="96"/>
      <c r="H417" s="96"/>
      <c r="I417" s="102"/>
      <c r="J417" s="96"/>
      <c r="L417" s="96"/>
      <c r="M417" s="96"/>
    </row>
    <row r="418" spans="6:13" ht="12.5">
      <c r="F418" s="96"/>
      <c r="G418" s="96"/>
      <c r="H418" s="96"/>
      <c r="I418" s="102"/>
      <c r="J418" s="96"/>
      <c r="L418" s="96"/>
      <c r="M418" s="96"/>
    </row>
    <row r="419" spans="6:13" ht="12.5">
      <c r="F419" s="96"/>
      <c r="G419" s="96"/>
      <c r="H419" s="96"/>
      <c r="I419" s="102"/>
      <c r="J419" s="96"/>
      <c r="L419" s="96"/>
      <c r="M419" s="96"/>
    </row>
    <row r="420" spans="6:13" ht="12.5">
      <c r="F420" s="96"/>
      <c r="G420" s="96"/>
      <c r="H420" s="96"/>
      <c r="I420" s="102"/>
      <c r="J420" s="96"/>
      <c r="L420" s="96"/>
      <c r="M420" s="96"/>
    </row>
    <row r="421" spans="6:13" ht="12.5">
      <c r="F421" s="96"/>
      <c r="G421" s="96"/>
      <c r="H421" s="96"/>
      <c r="I421" s="102"/>
      <c r="J421" s="96"/>
      <c r="L421" s="96"/>
      <c r="M421" s="96"/>
    </row>
    <row r="422" spans="6:13" ht="12.5">
      <c r="F422" s="96"/>
      <c r="G422" s="96"/>
      <c r="H422" s="96"/>
      <c r="I422" s="102"/>
      <c r="J422" s="96"/>
      <c r="L422" s="96"/>
      <c r="M422" s="96"/>
    </row>
    <row r="423" spans="6:13" ht="12.5">
      <c r="F423" s="96"/>
      <c r="G423" s="96"/>
      <c r="H423" s="96"/>
      <c r="I423" s="102"/>
      <c r="J423" s="96"/>
      <c r="L423" s="96"/>
      <c r="M423" s="96"/>
    </row>
    <row r="424" spans="6:13" ht="12.5">
      <c r="F424" s="96"/>
      <c r="G424" s="96"/>
      <c r="H424" s="96"/>
      <c r="I424" s="102"/>
      <c r="J424" s="96"/>
      <c r="L424" s="96"/>
      <c r="M424" s="96"/>
    </row>
    <row r="425" spans="6:13" ht="12.5">
      <c r="F425" s="96"/>
      <c r="G425" s="96"/>
      <c r="H425" s="96"/>
      <c r="I425" s="102"/>
      <c r="J425" s="96"/>
      <c r="L425" s="96"/>
      <c r="M425" s="96"/>
    </row>
    <row r="426" spans="6:13" ht="12.5">
      <c r="F426" s="96"/>
      <c r="G426" s="96"/>
      <c r="H426" s="96"/>
      <c r="I426" s="102"/>
      <c r="J426" s="96"/>
      <c r="L426" s="96"/>
      <c r="M426" s="96"/>
    </row>
    <row r="427" spans="6:13" ht="12.5">
      <c r="F427" s="96"/>
      <c r="G427" s="96"/>
      <c r="H427" s="96"/>
      <c r="I427" s="102"/>
      <c r="J427" s="96"/>
      <c r="L427" s="96"/>
      <c r="M427" s="96"/>
    </row>
    <row r="428" spans="6:13" ht="12.5">
      <c r="F428" s="96"/>
      <c r="G428" s="96"/>
      <c r="H428" s="96"/>
      <c r="I428" s="102"/>
      <c r="J428" s="96"/>
      <c r="L428" s="96"/>
      <c r="M428" s="96"/>
    </row>
    <row r="429" spans="6:13" ht="12.5">
      <c r="F429" s="96"/>
      <c r="G429" s="96"/>
      <c r="H429" s="96"/>
      <c r="I429" s="102"/>
      <c r="J429" s="96"/>
      <c r="L429" s="96"/>
      <c r="M429" s="96"/>
    </row>
    <row r="430" spans="6:13" ht="12.5">
      <c r="F430" s="96"/>
      <c r="G430" s="96"/>
      <c r="H430" s="96"/>
      <c r="I430" s="102"/>
      <c r="J430" s="96"/>
      <c r="L430" s="96"/>
      <c r="M430" s="96"/>
    </row>
    <row r="431" spans="6:13" ht="12.5">
      <c r="F431" s="96"/>
      <c r="G431" s="96"/>
      <c r="H431" s="96"/>
      <c r="I431" s="102"/>
      <c r="J431" s="96"/>
      <c r="L431" s="96"/>
      <c r="M431" s="96"/>
    </row>
    <row r="432" spans="6:13" ht="12.5">
      <c r="F432" s="96"/>
      <c r="G432" s="96"/>
      <c r="H432" s="96"/>
      <c r="I432" s="102"/>
      <c r="J432" s="96"/>
      <c r="L432" s="96"/>
      <c r="M432" s="96"/>
    </row>
    <row r="433" spans="6:13" ht="12.5">
      <c r="F433" s="96"/>
      <c r="G433" s="96"/>
      <c r="H433" s="96"/>
      <c r="I433" s="102"/>
      <c r="J433" s="96"/>
      <c r="L433" s="96"/>
      <c r="M433" s="96"/>
    </row>
    <row r="434" spans="6:13" ht="12.5">
      <c r="F434" s="96"/>
      <c r="G434" s="96"/>
      <c r="H434" s="96"/>
      <c r="I434" s="102"/>
      <c r="J434" s="96"/>
      <c r="L434" s="96"/>
      <c r="M434" s="96"/>
    </row>
    <row r="435" spans="6:13" ht="12.5">
      <c r="F435" s="96"/>
      <c r="G435" s="96"/>
      <c r="H435" s="96"/>
      <c r="I435" s="102"/>
      <c r="J435" s="96"/>
      <c r="L435" s="96"/>
      <c r="M435" s="96"/>
    </row>
    <row r="436" spans="6:13" ht="12.5">
      <c r="F436" s="96"/>
      <c r="G436" s="96"/>
      <c r="H436" s="96"/>
      <c r="I436" s="102"/>
      <c r="J436" s="96"/>
      <c r="L436" s="96"/>
      <c r="M436" s="96"/>
    </row>
    <row r="437" spans="6:13" ht="12.5">
      <c r="F437" s="96"/>
      <c r="G437" s="96"/>
      <c r="H437" s="96"/>
      <c r="I437" s="102"/>
      <c r="J437" s="96"/>
      <c r="L437" s="96"/>
      <c r="M437" s="96"/>
    </row>
    <row r="438" spans="6:13" ht="12.5">
      <c r="F438" s="96"/>
      <c r="G438" s="96"/>
      <c r="H438" s="96"/>
      <c r="I438" s="102"/>
      <c r="J438" s="96"/>
      <c r="L438" s="96"/>
      <c r="M438" s="96"/>
    </row>
    <row r="439" spans="6:13" ht="12.5">
      <c r="F439" s="96"/>
      <c r="G439" s="96"/>
      <c r="H439" s="96"/>
      <c r="I439" s="102"/>
      <c r="J439" s="96"/>
      <c r="L439" s="96"/>
      <c r="M439" s="96"/>
    </row>
    <row r="440" spans="6:13" ht="12.5">
      <c r="F440" s="96"/>
      <c r="G440" s="96"/>
      <c r="H440" s="96"/>
      <c r="I440" s="102"/>
      <c r="J440" s="96"/>
      <c r="L440" s="96"/>
      <c r="M440" s="96"/>
    </row>
    <row r="441" spans="6:13" ht="12.5">
      <c r="F441" s="96"/>
      <c r="G441" s="96"/>
      <c r="H441" s="96"/>
      <c r="I441" s="102"/>
      <c r="J441" s="96"/>
      <c r="L441" s="96"/>
      <c r="M441" s="96"/>
    </row>
    <row r="442" spans="6:13" ht="12.5">
      <c r="F442" s="96"/>
      <c r="G442" s="96"/>
      <c r="H442" s="96"/>
      <c r="I442" s="102"/>
      <c r="J442" s="96"/>
      <c r="L442" s="96"/>
      <c r="M442" s="96"/>
    </row>
    <row r="443" spans="6:13" ht="12.5">
      <c r="F443" s="96"/>
      <c r="G443" s="96"/>
      <c r="H443" s="96"/>
      <c r="I443" s="102"/>
      <c r="J443" s="96"/>
      <c r="L443" s="96"/>
      <c r="M443" s="96"/>
    </row>
    <row r="444" spans="6:13" ht="12.5">
      <c r="F444" s="96"/>
      <c r="G444" s="96"/>
      <c r="H444" s="96"/>
      <c r="I444" s="102"/>
      <c r="J444" s="96"/>
      <c r="L444" s="96"/>
      <c r="M444" s="96"/>
    </row>
    <row r="445" spans="6:13" ht="12.5">
      <c r="F445" s="96"/>
      <c r="G445" s="96"/>
      <c r="H445" s="96"/>
      <c r="I445" s="102"/>
      <c r="J445" s="96"/>
      <c r="L445" s="96"/>
      <c r="M445" s="96"/>
    </row>
    <row r="446" spans="6:13" ht="12.5">
      <c r="F446" s="96"/>
      <c r="G446" s="96"/>
      <c r="H446" s="96"/>
      <c r="I446" s="102"/>
      <c r="J446" s="96"/>
      <c r="L446" s="96"/>
      <c r="M446" s="96"/>
    </row>
    <row r="447" spans="6:13" ht="12.5">
      <c r="F447" s="96"/>
      <c r="G447" s="96"/>
      <c r="H447" s="96"/>
      <c r="I447" s="102"/>
      <c r="J447" s="96"/>
      <c r="L447" s="96"/>
      <c r="M447" s="96"/>
    </row>
    <row r="448" spans="6:13" ht="12.5">
      <c r="F448" s="96"/>
      <c r="G448" s="96"/>
      <c r="H448" s="96"/>
      <c r="I448" s="102"/>
      <c r="J448" s="96"/>
      <c r="L448" s="96"/>
      <c r="M448" s="96"/>
    </row>
    <row r="449" spans="6:13" ht="12.5">
      <c r="F449" s="96"/>
      <c r="G449" s="96"/>
      <c r="H449" s="96"/>
      <c r="I449" s="102"/>
      <c r="J449" s="96"/>
      <c r="L449" s="96"/>
      <c r="M449" s="96"/>
    </row>
    <row r="450" spans="6:13" ht="12.5">
      <c r="F450" s="96"/>
      <c r="G450" s="96"/>
      <c r="H450" s="96"/>
      <c r="I450" s="102"/>
      <c r="J450" s="96"/>
      <c r="L450" s="96"/>
      <c r="M450" s="96"/>
    </row>
    <row r="451" spans="6:13" ht="12.5">
      <c r="F451" s="96"/>
      <c r="G451" s="96"/>
      <c r="H451" s="96"/>
      <c r="I451" s="102"/>
      <c r="J451" s="96"/>
      <c r="L451" s="96"/>
      <c r="M451" s="96"/>
    </row>
    <row r="452" spans="6:13" ht="12.5">
      <c r="F452" s="96"/>
      <c r="G452" s="96"/>
      <c r="H452" s="96"/>
      <c r="I452" s="102"/>
      <c r="J452" s="96"/>
      <c r="L452" s="96"/>
      <c r="M452" s="96"/>
    </row>
    <row r="453" spans="6:13" ht="12.5">
      <c r="F453" s="96"/>
      <c r="G453" s="96"/>
      <c r="H453" s="96"/>
      <c r="I453" s="102"/>
      <c r="J453" s="96"/>
      <c r="L453" s="96"/>
      <c r="M453" s="96"/>
    </row>
    <row r="454" spans="6:13" ht="12.5">
      <c r="F454" s="96"/>
      <c r="G454" s="96"/>
      <c r="H454" s="96"/>
      <c r="I454" s="102"/>
      <c r="J454" s="96"/>
      <c r="L454" s="96"/>
      <c r="M454" s="96"/>
    </row>
    <row r="455" spans="6:13" ht="12.5">
      <c r="F455" s="96"/>
      <c r="G455" s="96"/>
      <c r="H455" s="96"/>
      <c r="I455" s="102"/>
      <c r="J455" s="96"/>
      <c r="L455" s="96"/>
      <c r="M455" s="96"/>
    </row>
    <row r="456" spans="6:13" ht="12.5">
      <c r="F456" s="96"/>
      <c r="G456" s="96"/>
      <c r="H456" s="96"/>
      <c r="I456" s="102"/>
      <c r="J456" s="96"/>
      <c r="L456" s="96"/>
      <c r="M456" s="96"/>
    </row>
    <row r="457" spans="6:13" ht="12.5">
      <c r="F457" s="96"/>
      <c r="G457" s="96"/>
      <c r="H457" s="96"/>
      <c r="I457" s="102"/>
      <c r="J457" s="96"/>
      <c r="L457" s="96"/>
      <c r="M457" s="96"/>
    </row>
    <row r="458" spans="6:13" ht="12.5">
      <c r="F458" s="96"/>
      <c r="G458" s="96"/>
      <c r="H458" s="96"/>
      <c r="I458" s="102"/>
      <c r="J458" s="96"/>
      <c r="L458" s="96"/>
      <c r="M458" s="96"/>
    </row>
    <row r="459" spans="6:13" ht="12.5">
      <c r="F459" s="96"/>
      <c r="G459" s="96"/>
      <c r="H459" s="96"/>
      <c r="I459" s="102"/>
      <c r="J459" s="96"/>
      <c r="L459" s="96"/>
      <c r="M459" s="96"/>
    </row>
    <row r="460" spans="6:13" ht="12.5">
      <c r="F460" s="96"/>
      <c r="G460" s="96"/>
      <c r="H460" s="96"/>
      <c r="I460" s="102"/>
      <c r="J460" s="96"/>
      <c r="L460" s="96"/>
      <c r="M460" s="96"/>
    </row>
    <row r="461" spans="6:13" ht="12.5">
      <c r="F461" s="96"/>
      <c r="G461" s="96"/>
      <c r="H461" s="96"/>
      <c r="I461" s="102"/>
      <c r="J461" s="96"/>
      <c r="L461" s="96"/>
      <c r="M461" s="96"/>
    </row>
    <row r="462" spans="6:13" ht="12.5">
      <c r="F462" s="96"/>
      <c r="G462" s="96"/>
      <c r="H462" s="96"/>
      <c r="I462" s="102"/>
      <c r="J462" s="96"/>
      <c r="L462" s="96"/>
      <c r="M462" s="96"/>
    </row>
    <row r="463" spans="6:13" ht="12.5">
      <c r="F463" s="96"/>
      <c r="G463" s="96"/>
      <c r="H463" s="96"/>
      <c r="I463" s="102"/>
      <c r="J463" s="96"/>
      <c r="L463" s="96"/>
      <c r="M463" s="96"/>
    </row>
    <row r="464" spans="6:13" ht="12.5">
      <c r="F464" s="96"/>
      <c r="G464" s="96"/>
      <c r="H464" s="96"/>
      <c r="I464" s="102"/>
      <c r="J464" s="96"/>
      <c r="L464" s="96"/>
      <c r="M464" s="96"/>
    </row>
    <row r="465" spans="6:13" ht="12.5">
      <c r="F465" s="96"/>
      <c r="G465" s="96"/>
      <c r="H465" s="96"/>
      <c r="I465" s="102"/>
      <c r="J465" s="96"/>
      <c r="L465" s="96"/>
      <c r="M465" s="96"/>
    </row>
    <row r="466" spans="6:13" ht="12.5">
      <c r="F466" s="96"/>
      <c r="G466" s="96"/>
      <c r="H466" s="96"/>
      <c r="I466" s="102"/>
      <c r="J466" s="96"/>
      <c r="L466" s="96"/>
      <c r="M466" s="96"/>
    </row>
    <row r="467" spans="6:13" ht="12.5">
      <c r="F467" s="96"/>
      <c r="G467" s="96"/>
      <c r="H467" s="96"/>
      <c r="I467" s="102"/>
      <c r="J467" s="96"/>
      <c r="L467" s="96"/>
      <c r="M467" s="96"/>
    </row>
    <row r="468" spans="6:13" ht="12.5">
      <c r="F468" s="96"/>
      <c r="G468" s="96"/>
      <c r="H468" s="96"/>
      <c r="I468" s="102"/>
      <c r="J468" s="96"/>
      <c r="L468" s="96"/>
      <c r="M468" s="96"/>
    </row>
    <row r="469" spans="6:13" ht="12.5">
      <c r="F469" s="96"/>
      <c r="G469" s="96"/>
      <c r="H469" s="96"/>
      <c r="I469" s="102"/>
      <c r="J469" s="96"/>
      <c r="L469" s="96"/>
      <c r="M469" s="96"/>
    </row>
    <row r="470" spans="6:13" ht="12.5">
      <c r="F470" s="96"/>
      <c r="G470" s="96"/>
      <c r="H470" s="96"/>
      <c r="I470" s="102"/>
      <c r="J470" s="96"/>
      <c r="L470" s="96"/>
      <c r="M470" s="96"/>
    </row>
    <row r="471" spans="6:13" ht="12.5">
      <c r="F471" s="96"/>
      <c r="G471" s="96"/>
      <c r="H471" s="96"/>
      <c r="I471" s="102"/>
      <c r="J471" s="96"/>
      <c r="L471" s="96"/>
      <c r="M471" s="96"/>
    </row>
    <row r="472" spans="6:13" ht="12.5">
      <c r="F472" s="96"/>
      <c r="G472" s="96"/>
      <c r="H472" s="96"/>
      <c r="I472" s="102"/>
      <c r="J472" s="96"/>
      <c r="L472" s="96"/>
      <c r="M472" s="96"/>
    </row>
    <row r="473" spans="6:13" ht="12.5">
      <c r="F473" s="96"/>
      <c r="G473" s="96"/>
      <c r="H473" s="96"/>
      <c r="I473" s="102"/>
      <c r="J473" s="96"/>
      <c r="L473" s="96"/>
      <c r="M473" s="96"/>
    </row>
    <row r="474" spans="6:13" ht="12.5">
      <c r="F474" s="96"/>
      <c r="G474" s="96"/>
      <c r="H474" s="96"/>
      <c r="I474" s="102"/>
      <c r="J474" s="96"/>
      <c r="L474" s="96"/>
      <c r="M474" s="96"/>
    </row>
    <row r="475" spans="6:13" ht="12.5">
      <c r="F475" s="96"/>
      <c r="G475" s="96"/>
      <c r="H475" s="96"/>
      <c r="I475" s="102"/>
      <c r="J475" s="96"/>
      <c r="L475" s="96"/>
      <c r="M475" s="96"/>
    </row>
    <row r="476" spans="6:13" ht="12.5">
      <c r="F476" s="96"/>
      <c r="G476" s="96"/>
      <c r="H476" s="96"/>
      <c r="I476" s="102"/>
      <c r="J476" s="96"/>
      <c r="L476" s="96"/>
      <c r="M476" s="96"/>
    </row>
    <row r="477" spans="6:13" ht="12.5">
      <c r="F477" s="96"/>
      <c r="G477" s="96"/>
      <c r="H477" s="96"/>
      <c r="I477" s="102"/>
      <c r="J477" s="96"/>
      <c r="L477" s="96"/>
      <c r="M477" s="96"/>
    </row>
    <row r="478" spans="6:13" ht="12.5">
      <c r="F478" s="96"/>
      <c r="G478" s="96"/>
      <c r="H478" s="96"/>
      <c r="I478" s="102"/>
      <c r="J478" s="96"/>
      <c r="L478" s="96"/>
      <c r="M478" s="96"/>
    </row>
    <row r="479" spans="6:13" ht="12.5">
      <c r="F479" s="96"/>
      <c r="G479" s="96"/>
      <c r="H479" s="96"/>
      <c r="I479" s="102"/>
      <c r="J479" s="96"/>
      <c r="L479" s="96"/>
      <c r="M479" s="96"/>
    </row>
    <row r="480" spans="6:13" ht="12.5">
      <c r="F480" s="96"/>
      <c r="G480" s="96"/>
      <c r="H480" s="96"/>
      <c r="I480" s="102"/>
      <c r="J480" s="96"/>
      <c r="L480" s="96"/>
      <c r="M480" s="96"/>
    </row>
    <row r="481" spans="6:13" ht="12.5">
      <c r="F481" s="96"/>
      <c r="G481" s="96"/>
      <c r="H481" s="96"/>
      <c r="I481" s="102"/>
      <c r="J481" s="96"/>
      <c r="L481" s="96"/>
      <c r="M481" s="96"/>
    </row>
    <row r="482" spans="6:13" ht="12.5">
      <c r="F482" s="96"/>
      <c r="G482" s="96"/>
      <c r="H482" s="96"/>
      <c r="I482" s="102"/>
      <c r="J482" s="96"/>
      <c r="L482" s="96"/>
      <c r="M482" s="96"/>
    </row>
    <row r="483" spans="6:13" ht="12.5">
      <c r="F483" s="96"/>
      <c r="G483" s="96"/>
      <c r="H483" s="96"/>
      <c r="I483" s="102"/>
      <c r="J483" s="96"/>
      <c r="L483" s="96"/>
      <c r="M483" s="96"/>
    </row>
    <row r="484" spans="6:13" ht="12.5">
      <c r="F484" s="96"/>
      <c r="G484" s="96"/>
      <c r="H484" s="96"/>
      <c r="I484" s="102"/>
      <c r="J484" s="96"/>
      <c r="L484" s="96"/>
      <c r="M484" s="96"/>
    </row>
    <row r="485" spans="6:13" ht="12.5">
      <c r="F485" s="96"/>
      <c r="G485" s="96"/>
      <c r="H485" s="96"/>
      <c r="I485" s="102"/>
      <c r="J485" s="96"/>
      <c r="L485" s="96"/>
      <c r="M485" s="96"/>
    </row>
    <row r="486" spans="6:13" ht="12.5">
      <c r="F486" s="96"/>
      <c r="G486" s="96"/>
      <c r="H486" s="96"/>
      <c r="I486" s="102"/>
      <c r="J486" s="96"/>
      <c r="L486" s="96"/>
      <c r="M486" s="96"/>
    </row>
    <row r="487" spans="6:13" ht="12.5">
      <c r="F487" s="96"/>
      <c r="G487" s="96"/>
      <c r="H487" s="96"/>
      <c r="I487" s="102"/>
      <c r="J487" s="96"/>
      <c r="L487" s="96"/>
      <c r="M487" s="96"/>
    </row>
    <row r="488" spans="6:13" ht="12.5">
      <c r="F488" s="96"/>
      <c r="G488" s="96"/>
      <c r="H488" s="96"/>
      <c r="I488" s="102"/>
      <c r="J488" s="96"/>
      <c r="L488" s="96"/>
      <c r="M488" s="96"/>
    </row>
    <row r="489" spans="6:13" ht="12.5">
      <c r="F489" s="96"/>
      <c r="G489" s="96"/>
      <c r="H489" s="96"/>
      <c r="I489" s="102"/>
      <c r="J489" s="96"/>
      <c r="L489" s="96"/>
      <c r="M489" s="96"/>
    </row>
    <row r="490" spans="6:13" ht="12.5">
      <c r="F490" s="96"/>
      <c r="G490" s="96"/>
      <c r="H490" s="96"/>
      <c r="I490" s="102"/>
      <c r="J490" s="96"/>
      <c r="L490" s="96"/>
      <c r="M490" s="96"/>
    </row>
    <row r="491" spans="6:13" ht="12.5">
      <c r="F491" s="96"/>
      <c r="G491" s="96"/>
      <c r="H491" s="96"/>
      <c r="I491" s="102"/>
      <c r="J491" s="96"/>
      <c r="L491" s="96"/>
      <c r="M491" s="96"/>
    </row>
    <row r="492" spans="6:13" ht="12.5">
      <c r="F492" s="96"/>
      <c r="G492" s="96"/>
      <c r="H492" s="96"/>
      <c r="I492" s="102"/>
      <c r="J492" s="96"/>
      <c r="L492" s="96"/>
      <c r="M492" s="96"/>
    </row>
    <row r="493" spans="6:13" ht="12.5">
      <c r="F493" s="96"/>
      <c r="G493" s="96"/>
      <c r="H493" s="96"/>
      <c r="I493" s="102"/>
      <c r="J493" s="96"/>
      <c r="L493" s="96"/>
      <c r="M493" s="96"/>
    </row>
    <row r="494" spans="6:13" ht="12.5">
      <c r="F494" s="96"/>
      <c r="G494" s="96"/>
      <c r="H494" s="96"/>
      <c r="I494" s="102"/>
      <c r="J494" s="96"/>
      <c r="L494" s="96"/>
      <c r="M494" s="96"/>
    </row>
    <row r="495" spans="6:13" ht="12.5">
      <c r="F495" s="96"/>
      <c r="G495" s="96"/>
      <c r="H495" s="96"/>
      <c r="I495" s="102"/>
      <c r="J495" s="96"/>
      <c r="L495" s="96"/>
      <c r="M495" s="96"/>
    </row>
    <row r="496" spans="6:13" ht="12.5">
      <c r="F496" s="96"/>
      <c r="G496" s="96"/>
      <c r="H496" s="96"/>
      <c r="I496" s="102"/>
      <c r="J496" s="96"/>
      <c r="L496" s="96"/>
      <c r="M496" s="96"/>
    </row>
    <row r="497" spans="6:13" ht="12.5">
      <c r="F497" s="96"/>
      <c r="G497" s="96"/>
      <c r="H497" s="96"/>
      <c r="I497" s="102"/>
      <c r="J497" s="96"/>
      <c r="L497" s="96"/>
      <c r="M497" s="96"/>
    </row>
    <row r="498" spans="6:13" ht="12.5">
      <c r="F498" s="96"/>
      <c r="G498" s="96"/>
      <c r="H498" s="96"/>
      <c r="I498" s="102"/>
      <c r="J498" s="96"/>
      <c r="L498" s="96"/>
      <c r="M498" s="96"/>
    </row>
    <row r="499" spans="6:13" ht="12.5">
      <c r="F499" s="96"/>
      <c r="G499" s="96"/>
      <c r="H499" s="96"/>
      <c r="I499" s="102"/>
      <c r="J499" s="96"/>
      <c r="L499" s="96"/>
      <c r="M499" s="96"/>
    </row>
    <row r="500" spans="6:13" ht="12.5">
      <c r="F500" s="96"/>
      <c r="G500" s="96"/>
      <c r="H500" s="96"/>
      <c r="I500" s="102"/>
      <c r="J500" s="96"/>
      <c r="L500" s="96"/>
      <c r="M500" s="96"/>
    </row>
    <row r="501" spans="6:13" ht="12.5">
      <c r="F501" s="96"/>
      <c r="G501" s="96"/>
      <c r="H501" s="96"/>
      <c r="I501" s="102"/>
      <c r="J501" s="96"/>
      <c r="L501" s="96"/>
      <c r="M501" s="96"/>
    </row>
    <row r="502" spans="6:13" ht="12.5">
      <c r="F502" s="96"/>
      <c r="G502" s="96"/>
      <c r="H502" s="96"/>
      <c r="I502" s="102"/>
      <c r="J502" s="96"/>
      <c r="L502" s="96"/>
      <c r="M502" s="96"/>
    </row>
    <row r="503" spans="6:13" ht="12.5">
      <c r="F503" s="96"/>
      <c r="G503" s="96"/>
      <c r="H503" s="96"/>
      <c r="I503" s="102"/>
      <c r="J503" s="96"/>
      <c r="L503" s="96"/>
      <c r="M503" s="96"/>
    </row>
    <row r="504" spans="6:13" ht="12.5">
      <c r="F504" s="96"/>
      <c r="G504" s="96"/>
      <c r="H504" s="96"/>
      <c r="I504" s="102"/>
      <c r="J504" s="96"/>
      <c r="L504" s="96"/>
      <c r="M504" s="96"/>
    </row>
    <row r="505" spans="6:13" ht="12.5">
      <c r="F505" s="96"/>
      <c r="G505" s="96"/>
      <c r="H505" s="96"/>
      <c r="I505" s="102"/>
      <c r="J505" s="96"/>
      <c r="L505" s="96"/>
      <c r="M505" s="96"/>
    </row>
    <row r="506" spans="6:13" ht="12.5">
      <c r="F506" s="96"/>
      <c r="G506" s="96"/>
      <c r="H506" s="96"/>
      <c r="I506" s="102"/>
      <c r="J506" s="96"/>
      <c r="L506" s="96"/>
      <c r="M506" s="96"/>
    </row>
    <row r="507" spans="6:13" ht="12.5">
      <c r="F507" s="96"/>
      <c r="G507" s="96"/>
      <c r="H507" s="96"/>
      <c r="I507" s="102"/>
      <c r="J507" s="96"/>
      <c r="L507" s="96"/>
      <c r="M507" s="96"/>
    </row>
    <row r="508" spans="6:13" ht="12.5">
      <c r="F508" s="96"/>
      <c r="G508" s="96"/>
      <c r="H508" s="96"/>
      <c r="I508" s="102"/>
      <c r="J508" s="96"/>
      <c r="L508" s="96"/>
      <c r="M508" s="96"/>
    </row>
    <row r="509" spans="6:13" ht="12.5">
      <c r="F509" s="96"/>
      <c r="G509" s="96"/>
      <c r="H509" s="96"/>
      <c r="I509" s="102"/>
      <c r="J509" s="96"/>
      <c r="L509" s="96"/>
      <c r="M509" s="96"/>
    </row>
    <row r="510" spans="6:13" ht="12.5">
      <c r="F510" s="96"/>
      <c r="G510" s="96"/>
      <c r="H510" s="96"/>
      <c r="I510" s="102"/>
      <c r="J510" s="96"/>
      <c r="L510" s="96"/>
      <c r="M510" s="96"/>
    </row>
    <row r="511" spans="6:13" ht="12.5">
      <c r="F511" s="96"/>
      <c r="G511" s="96"/>
      <c r="H511" s="96"/>
      <c r="I511" s="102"/>
      <c r="J511" s="96"/>
      <c r="L511" s="96"/>
      <c r="M511" s="96"/>
    </row>
    <row r="512" spans="6:13" ht="12.5">
      <c r="F512" s="96"/>
      <c r="G512" s="96"/>
      <c r="H512" s="96"/>
      <c r="I512" s="102"/>
      <c r="J512" s="96"/>
      <c r="L512" s="96"/>
      <c r="M512" s="96"/>
    </row>
    <row r="513" spans="6:13" ht="12.5">
      <c r="F513" s="96"/>
      <c r="G513" s="96"/>
      <c r="H513" s="96"/>
      <c r="I513" s="102"/>
      <c r="J513" s="96"/>
      <c r="L513" s="96"/>
      <c r="M513" s="96"/>
    </row>
    <row r="514" spans="6:13" ht="12.5">
      <c r="F514" s="96"/>
      <c r="G514" s="96"/>
      <c r="H514" s="96"/>
      <c r="I514" s="102"/>
      <c r="J514" s="96"/>
      <c r="L514" s="96"/>
      <c r="M514" s="96"/>
    </row>
    <row r="515" spans="6:13" ht="12.5">
      <c r="F515" s="96"/>
      <c r="G515" s="96"/>
      <c r="H515" s="96"/>
      <c r="I515" s="102"/>
      <c r="J515" s="96"/>
      <c r="L515" s="96"/>
      <c r="M515" s="96"/>
    </row>
    <row r="516" spans="6:13" ht="12.5">
      <c r="F516" s="96"/>
      <c r="G516" s="96"/>
      <c r="H516" s="96"/>
      <c r="I516" s="102"/>
      <c r="J516" s="96"/>
      <c r="L516" s="96"/>
      <c r="M516" s="96"/>
    </row>
    <row r="517" spans="6:13" ht="12.5">
      <c r="F517" s="96"/>
      <c r="G517" s="96"/>
      <c r="H517" s="96"/>
      <c r="I517" s="102"/>
      <c r="J517" s="96"/>
      <c r="L517" s="96"/>
      <c r="M517" s="96"/>
    </row>
    <row r="518" spans="6:13" ht="12.5">
      <c r="F518" s="96"/>
      <c r="G518" s="96"/>
      <c r="H518" s="96"/>
      <c r="I518" s="102"/>
      <c r="J518" s="96"/>
      <c r="L518" s="96"/>
      <c r="M518" s="96"/>
    </row>
    <row r="519" spans="6:13" ht="12.5">
      <c r="F519" s="96"/>
      <c r="G519" s="96"/>
      <c r="H519" s="96"/>
      <c r="I519" s="102"/>
      <c r="J519" s="96"/>
      <c r="L519" s="96"/>
      <c r="M519" s="96"/>
    </row>
    <row r="520" spans="6:13" ht="12.5">
      <c r="F520" s="96"/>
      <c r="G520" s="96"/>
      <c r="H520" s="96"/>
      <c r="I520" s="102"/>
      <c r="J520" s="96"/>
      <c r="L520" s="96"/>
      <c r="M520" s="96"/>
    </row>
    <row r="521" spans="6:13" ht="12.5">
      <c r="F521" s="96"/>
      <c r="G521" s="96"/>
      <c r="H521" s="96"/>
      <c r="I521" s="102"/>
      <c r="J521" s="96"/>
      <c r="L521" s="96"/>
      <c r="M521" s="96"/>
    </row>
    <row r="522" spans="6:13" ht="12.5">
      <c r="F522" s="96"/>
      <c r="G522" s="96"/>
      <c r="H522" s="96"/>
      <c r="I522" s="102"/>
      <c r="J522" s="96"/>
      <c r="L522" s="96"/>
      <c r="M522" s="96"/>
    </row>
    <row r="523" spans="6:13" ht="12.5">
      <c r="F523" s="96"/>
      <c r="G523" s="96"/>
      <c r="H523" s="96"/>
      <c r="I523" s="102"/>
      <c r="J523" s="96"/>
      <c r="L523" s="96"/>
      <c r="M523" s="96"/>
    </row>
    <row r="524" spans="6:13" ht="12.5">
      <c r="F524" s="96"/>
      <c r="G524" s="96"/>
      <c r="H524" s="96"/>
      <c r="I524" s="102"/>
      <c r="J524" s="96"/>
      <c r="L524" s="96"/>
      <c r="M524" s="96"/>
    </row>
    <row r="525" spans="6:13" ht="12.5">
      <c r="F525" s="96"/>
      <c r="G525" s="96"/>
      <c r="H525" s="96"/>
      <c r="I525" s="102"/>
      <c r="J525" s="96"/>
      <c r="L525" s="96"/>
      <c r="M525" s="96"/>
    </row>
    <row r="526" spans="6:13" ht="12.5">
      <c r="F526" s="96"/>
      <c r="G526" s="96"/>
      <c r="H526" s="96"/>
      <c r="I526" s="102"/>
      <c r="J526" s="96"/>
      <c r="L526" s="96"/>
      <c r="M526" s="96"/>
    </row>
    <row r="527" spans="6:13" ht="12.5">
      <c r="F527" s="96"/>
      <c r="G527" s="96"/>
      <c r="H527" s="96"/>
      <c r="I527" s="102"/>
      <c r="J527" s="96"/>
      <c r="L527" s="96"/>
      <c r="M527" s="96"/>
    </row>
    <row r="528" spans="6:13" ht="12.5">
      <c r="F528" s="96"/>
      <c r="G528" s="96"/>
      <c r="H528" s="96"/>
      <c r="I528" s="102"/>
      <c r="J528" s="96"/>
      <c r="L528" s="96"/>
      <c r="M528" s="96"/>
    </row>
    <row r="529" spans="6:13" ht="12.5">
      <c r="F529" s="96"/>
      <c r="G529" s="96"/>
      <c r="H529" s="96"/>
      <c r="I529" s="102"/>
      <c r="J529" s="96"/>
      <c r="L529" s="96"/>
      <c r="M529" s="96"/>
    </row>
    <row r="530" spans="6:13" ht="12.5">
      <c r="F530" s="96"/>
      <c r="G530" s="96"/>
      <c r="H530" s="96"/>
      <c r="I530" s="102"/>
      <c r="J530" s="96"/>
      <c r="L530" s="96"/>
      <c r="M530" s="96"/>
    </row>
    <row r="531" spans="6:13" ht="12.5">
      <c r="F531" s="96"/>
      <c r="G531" s="96"/>
      <c r="H531" s="96"/>
      <c r="I531" s="102"/>
      <c r="J531" s="96"/>
      <c r="L531" s="96"/>
      <c r="M531" s="96"/>
    </row>
    <row r="532" spans="6:13" ht="12.5">
      <c r="F532" s="96"/>
      <c r="G532" s="96"/>
      <c r="H532" s="96"/>
      <c r="I532" s="102"/>
      <c r="J532" s="96"/>
      <c r="L532" s="96"/>
      <c r="M532" s="96"/>
    </row>
    <row r="533" spans="6:13" ht="12.5">
      <c r="F533" s="96"/>
      <c r="G533" s="96"/>
      <c r="H533" s="96"/>
      <c r="I533" s="102"/>
      <c r="J533" s="96"/>
      <c r="L533" s="96"/>
      <c r="M533" s="96"/>
    </row>
    <row r="534" spans="6:13" ht="12.5">
      <c r="F534" s="96"/>
      <c r="G534" s="96"/>
      <c r="H534" s="96"/>
      <c r="I534" s="102"/>
      <c r="J534" s="96"/>
      <c r="L534" s="96"/>
      <c r="M534" s="96"/>
    </row>
    <row r="535" spans="6:13" ht="12.5">
      <c r="F535" s="96"/>
      <c r="G535" s="96"/>
      <c r="H535" s="96"/>
      <c r="I535" s="102"/>
      <c r="J535" s="96"/>
      <c r="L535" s="96"/>
      <c r="M535" s="96"/>
    </row>
    <row r="536" spans="6:13" ht="12.5">
      <c r="F536" s="96"/>
      <c r="G536" s="96"/>
      <c r="H536" s="96"/>
      <c r="I536" s="102"/>
      <c r="J536" s="96"/>
      <c r="L536" s="96"/>
      <c r="M536" s="96"/>
    </row>
    <row r="537" spans="6:13" ht="12.5">
      <c r="F537" s="96"/>
      <c r="G537" s="96"/>
      <c r="H537" s="96"/>
      <c r="I537" s="102"/>
      <c r="J537" s="96"/>
      <c r="L537" s="96"/>
      <c r="M537" s="96"/>
    </row>
    <row r="538" spans="6:13" ht="12.5">
      <c r="F538" s="96"/>
      <c r="G538" s="96"/>
      <c r="H538" s="96"/>
      <c r="I538" s="102"/>
      <c r="J538" s="96"/>
      <c r="L538" s="96"/>
      <c r="M538" s="96"/>
    </row>
    <row r="539" spans="6:13" ht="12.5">
      <c r="F539" s="96"/>
      <c r="G539" s="96"/>
      <c r="H539" s="96"/>
      <c r="I539" s="102"/>
      <c r="J539" s="96"/>
      <c r="L539" s="96"/>
      <c r="M539" s="96"/>
    </row>
    <row r="540" spans="6:13" ht="12.5">
      <c r="F540" s="96"/>
      <c r="G540" s="96"/>
      <c r="H540" s="96"/>
      <c r="I540" s="102"/>
      <c r="J540" s="96"/>
      <c r="L540" s="96"/>
      <c r="M540" s="96"/>
    </row>
    <row r="541" spans="6:13" ht="12.5">
      <c r="F541" s="96"/>
      <c r="G541" s="96"/>
      <c r="H541" s="96"/>
      <c r="I541" s="102"/>
      <c r="J541" s="96"/>
      <c r="L541" s="96"/>
      <c r="M541" s="96"/>
    </row>
    <row r="542" spans="6:13" ht="12.5">
      <c r="F542" s="96"/>
      <c r="G542" s="96"/>
      <c r="H542" s="96"/>
      <c r="I542" s="102"/>
      <c r="J542" s="96"/>
      <c r="L542" s="96"/>
      <c r="M542" s="96"/>
    </row>
    <row r="543" spans="6:13" ht="12.5">
      <c r="F543" s="96"/>
      <c r="G543" s="96"/>
      <c r="H543" s="96"/>
      <c r="I543" s="102"/>
      <c r="J543" s="96"/>
      <c r="L543" s="96"/>
      <c r="M543" s="96"/>
    </row>
    <row r="544" spans="6:13" ht="12.5">
      <c r="F544" s="96"/>
      <c r="G544" s="96"/>
      <c r="H544" s="96"/>
      <c r="I544" s="102"/>
      <c r="J544" s="96"/>
      <c r="L544" s="96"/>
      <c r="M544" s="96"/>
    </row>
    <row r="545" spans="6:13" ht="12.5">
      <c r="F545" s="96"/>
      <c r="G545" s="96"/>
      <c r="H545" s="96"/>
      <c r="I545" s="102"/>
      <c r="J545" s="96"/>
      <c r="L545" s="96"/>
      <c r="M545" s="96"/>
    </row>
    <row r="546" spans="6:13" ht="12.5">
      <c r="F546" s="96"/>
      <c r="G546" s="96"/>
      <c r="H546" s="96"/>
      <c r="I546" s="102"/>
      <c r="J546" s="96"/>
      <c r="L546" s="96"/>
      <c r="M546" s="96"/>
    </row>
    <row r="547" spans="6:13" ht="12.5">
      <c r="F547" s="96"/>
      <c r="G547" s="96"/>
      <c r="H547" s="96"/>
      <c r="I547" s="102"/>
      <c r="J547" s="96"/>
      <c r="L547" s="96"/>
      <c r="M547" s="96"/>
    </row>
    <row r="548" spans="6:13" ht="12.5">
      <c r="F548" s="96"/>
      <c r="G548" s="96"/>
      <c r="H548" s="96"/>
      <c r="I548" s="102"/>
      <c r="J548" s="96"/>
      <c r="L548" s="96"/>
      <c r="M548" s="96"/>
    </row>
    <row r="549" spans="6:13" ht="12.5">
      <c r="F549" s="96"/>
      <c r="G549" s="96"/>
      <c r="H549" s="96"/>
      <c r="I549" s="102"/>
      <c r="J549" s="96"/>
      <c r="L549" s="96"/>
      <c r="M549" s="96"/>
    </row>
    <row r="550" spans="6:13" ht="12.5">
      <c r="F550" s="96"/>
      <c r="G550" s="96"/>
      <c r="H550" s="96"/>
      <c r="I550" s="102"/>
      <c r="J550" s="96"/>
      <c r="L550" s="96"/>
      <c r="M550" s="96"/>
    </row>
    <row r="551" spans="6:13" ht="12.5">
      <c r="F551" s="96"/>
      <c r="G551" s="96"/>
      <c r="H551" s="96"/>
      <c r="I551" s="102"/>
      <c r="J551" s="96"/>
      <c r="L551" s="96"/>
      <c r="M551" s="96"/>
    </row>
    <row r="552" spans="6:13" ht="12.5">
      <c r="F552" s="96"/>
      <c r="G552" s="96"/>
      <c r="H552" s="96"/>
      <c r="I552" s="102"/>
      <c r="J552" s="96"/>
      <c r="L552" s="96"/>
      <c r="M552" s="96"/>
    </row>
    <row r="553" spans="6:13" ht="12.5">
      <c r="F553" s="96"/>
      <c r="G553" s="96"/>
      <c r="H553" s="96"/>
      <c r="I553" s="102"/>
      <c r="J553" s="96"/>
      <c r="L553" s="96"/>
      <c r="M553" s="96"/>
    </row>
    <row r="554" spans="6:13" ht="12.5">
      <c r="F554" s="96"/>
      <c r="G554" s="96"/>
      <c r="H554" s="96"/>
      <c r="I554" s="102"/>
      <c r="J554" s="96"/>
      <c r="L554" s="96"/>
      <c r="M554" s="96"/>
    </row>
    <row r="555" spans="6:13" ht="12.5">
      <c r="F555" s="96"/>
      <c r="G555" s="96"/>
      <c r="H555" s="96"/>
      <c r="I555" s="102"/>
      <c r="J555" s="96"/>
      <c r="L555" s="96"/>
      <c r="M555" s="96"/>
    </row>
    <row r="556" spans="6:13" ht="12.5">
      <c r="F556" s="96"/>
      <c r="G556" s="96"/>
      <c r="H556" s="96"/>
      <c r="I556" s="102"/>
      <c r="J556" s="96"/>
      <c r="L556" s="96"/>
      <c r="M556" s="96"/>
    </row>
    <row r="557" spans="6:13" ht="12.5">
      <c r="F557" s="96"/>
      <c r="G557" s="96"/>
      <c r="H557" s="96"/>
      <c r="I557" s="102"/>
      <c r="J557" s="96"/>
      <c r="L557" s="96"/>
      <c r="M557" s="96"/>
    </row>
    <row r="558" spans="6:13" ht="12.5">
      <c r="F558" s="96"/>
      <c r="G558" s="96"/>
      <c r="H558" s="96"/>
      <c r="I558" s="102"/>
      <c r="J558" s="96"/>
      <c r="L558" s="96"/>
      <c r="M558" s="96"/>
    </row>
    <row r="559" spans="6:13" ht="12.5">
      <c r="F559" s="96"/>
      <c r="G559" s="96"/>
      <c r="H559" s="96"/>
      <c r="I559" s="102"/>
      <c r="J559" s="96"/>
      <c r="L559" s="96"/>
      <c r="M559" s="96"/>
    </row>
    <row r="560" spans="6:13" ht="12.5">
      <c r="F560" s="96"/>
      <c r="G560" s="96"/>
      <c r="H560" s="96"/>
      <c r="I560" s="102"/>
      <c r="J560" s="96"/>
      <c r="L560" s="96"/>
      <c r="M560" s="96"/>
    </row>
    <row r="561" spans="6:13" ht="12.5">
      <c r="F561" s="96"/>
      <c r="G561" s="96"/>
      <c r="H561" s="96"/>
      <c r="I561" s="102"/>
      <c r="J561" s="96"/>
      <c r="L561" s="96"/>
      <c r="M561" s="96"/>
    </row>
    <row r="562" spans="6:13" ht="12.5">
      <c r="F562" s="96"/>
      <c r="G562" s="96"/>
      <c r="H562" s="96"/>
      <c r="I562" s="102"/>
      <c r="J562" s="96"/>
      <c r="L562" s="96"/>
      <c r="M562" s="96"/>
    </row>
    <row r="563" spans="6:13" ht="12.5">
      <c r="F563" s="96"/>
      <c r="G563" s="96"/>
      <c r="H563" s="96"/>
      <c r="I563" s="102"/>
      <c r="J563" s="96"/>
      <c r="L563" s="96"/>
      <c r="M563" s="96"/>
    </row>
    <row r="564" spans="6:13" ht="12.5">
      <c r="F564" s="96"/>
      <c r="G564" s="96"/>
      <c r="H564" s="96"/>
      <c r="I564" s="102"/>
      <c r="J564" s="96"/>
      <c r="L564" s="96"/>
      <c r="M564" s="96"/>
    </row>
    <row r="565" spans="6:13" ht="12.5">
      <c r="F565" s="96"/>
      <c r="G565" s="96"/>
      <c r="H565" s="96"/>
      <c r="I565" s="102"/>
      <c r="J565" s="96"/>
      <c r="L565" s="96"/>
      <c r="M565" s="96"/>
    </row>
    <row r="566" spans="6:13" ht="12.5">
      <c r="F566" s="96"/>
      <c r="G566" s="96"/>
      <c r="H566" s="96"/>
      <c r="I566" s="102"/>
      <c r="J566" s="96"/>
      <c r="L566" s="96"/>
      <c r="M566" s="96"/>
    </row>
    <row r="567" spans="6:13" ht="12.5">
      <c r="F567" s="96"/>
      <c r="G567" s="96"/>
      <c r="H567" s="96"/>
      <c r="I567" s="102"/>
      <c r="J567" s="96"/>
      <c r="L567" s="96"/>
      <c r="M567" s="96"/>
    </row>
    <row r="568" spans="6:13" ht="12.5">
      <c r="F568" s="96"/>
      <c r="G568" s="96"/>
      <c r="H568" s="96"/>
      <c r="I568" s="102"/>
      <c r="J568" s="96"/>
      <c r="L568" s="96"/>
      <c r="M568" s="96"/>
    </row>
    <row r="569" spans="6:13" ht="12.5">
      <c r="F569" s="96"/>
      <c r="G569" s="96"/>
      <c r="H569" s="96"/>
      <c r="I569" s="102"/>
      <c r="J569" s="96"/>
      <c r="L569" s="96"/>
      <c r="M569" s="96"/>
    </row>
    <row r="570" spans="6:13" ht="12.5">
      <c r="F570" s="96"/>
      <c r="G570" s="96"/>
      <c r="H570" s="96"/>
      <c r="I570" s="102"/>
      <c r="J570" s="96"/>
      <c r="L570" s="96"/>
      <c r="M570" s="96"/>
    </row>
    <row r="571" spans="6:13" ht="12.5">
      <c r="F571" s="96"/>
      <c r="G571" s="96"/>
      <c r="H571" s="96"/>
      <c r="I571" s="102"/>
      <c r="J571" s="96"/>
      <c r="L571" s="96"/>
      <c r="M571" s="96"/>
    </row>
    <row r="572" spans="6:13" ht="12.5">
      <c r="F572" s="96"/>
      <c r="G572" s="96"/>
      <c r="H572" s="96"/>
      <c r="I572" s="102"/>
      <c r="J572" s="96"/>
      <c r="L572" s="96"/>
      <c r="M572" s="96"/>
    </row>
    <row r="573" spans="6:13" ht="12.5">
      <c r="F573" s="96"/>
      <c r="G573" s="96"/>
      <c r="H573" s="96"/>
      <c r="I573" s="102"/>
      <c r="J573" s="96"/>
      <c r="L573" s="96"/>
      <c r="M573" s="96"/>
    </row>
    <row r="574" spans="6:13" ht="12.5">
      <c r="F574" s="96"/>
      <c r="G574" s="96"/>
      <c r="H574" s="96"/>
      <c r="I574" s="102"/>
      <c r="J574" s="96"/>
      <c r="L574" s="96"/>
      <c r="M574" s="96"/>
    </row>
    <row r="575" spans="6:13" ht="12.5">
      <c r="F575" s="96"/>
      <c r="G575" s="96"/>
      <c r="H575" s="96"/>
      <c r="I575" s="102"/>
      <c r="J575" s="96"/>
      <c r="L575" s="96"/>
      <c r="M575" s="96"/>
    </row>
    <row r="576" spans="6:13" ht="12.5">
      <c r="F576" s="96"/>
      <c r="G576" s="96"/>
      <c r="H576" s="96"/>
      <c r="I576" s="102"/>
      <c r="J576" s="96"/>
      <c r="L576" s="96"/>
      <c r="M576" s="96"/>
    </row>
    <row r="577" spans="6:13" ht="12.5">
      <c r="F577" s="96"/>
      <c r="G577" s="96"/>
      <c r="H577" s="96"/>
      <c r="I577" s="102"/>
      <c r="J577" s="96"/>
      <c r="L577" s="96"/>
      <c r="M577" s="96"/>
    </row>
    <row r="578" spans="6:13" ht="12.5">
      <c r="F578" s="96"/>
      <c r="G578" s="96"/>
      <c r="H578" s="96"/>
      <c r="I578" s="102"/>
      <c r="J578" s="96"/>
      <c r="L578" s="96"/>
      <c r="M578" s="96"/>
    </row>
    <row r="579" spans="6:13" ht="12.5">
      <c r="F579" s="96"/>
      <c r="G579" s="96"/>
      <c r="H579" s="96"/>
      <c r="I579" s="102"/>
      <c r="J579" s="96"/>
      <c r="L579" s="96"/>
      <c r="M579" s="96"/>
    </row>
    <row r="580" spans="6:13" ht="12.5">
      <c r="F580" s="96"/>
      <c r="G580" s="96"/>
      <c r="H580" s="96"/>
      <c r="I580" s="102"/>
      <c r="J580" s="96"/>
      <c r="L580" s="96"/>
      <c r="M580" s="96"/>
    </row>
    <row r="581" spans="6:13" ht="12.5">
      <c r="F581" s="96"/>
      <c r="G581" s="96"/>
      <c r="H581" s="96"/>
      <c r="I581" s="102"/>
      <c r="J581" s="96"/>
      <c r="L581" s="96"/>
      <c r="M581" s="96"/>
    </row>
    <row r="582" spans="6:13" ht="12.5">
      <c r="F582" s="96"/>
      <c r="G582" s="96"/>
      <c r="H582" s="96"/>
      <c r="I582" s="102"/>
      <c r="J582" s="96"/>
      <c r="L582" s="96"/>
      <c r="M582" s="96"/>
    </row>
    <row r="583" spans="6:13" ht="12.5">
      <c r="F583" s="96"/>
      <c r="G583" s="96"/>
      <c r="H583" s="96"/>
      <c r="I583" s="102"/>
      <c r="J583" s="96"/>
      <c r="L583" s="96"/>
      <c r="M583" s="96"/>
    </row>
    <row r="584" spans="6:13" ht="12.5">
      <c r="F584" s="96"/>
      <c r="G584" s="96"/>
      <c r="H584" s="96"/>
      <c r="I584" s="102"/>
      <c r="J584" s="96"/>
      <c r="L584" s="96"/>
      <c r="M584" s="96"/>
    </row>
    <row r="585" spans="6:13" ht="12.5">
      <c r="F585" s="96"/>
      <c r="G585" s="96"/>
      <c r="H585" s="96"/>
      <c r="I585" s="102"/>
      <c r="J585" s="96"/>
      <c r="L585" s="96"/>
      <c r="M585" s="96"/>
    </row>
    <row r="586" spans="6:13" ht="12.5">
      <c r="F586" s="96"/>
      <c r="G586" s="96"/>
      <c r="H586" s="96"/>
      <c r="I586" s="102"/>
      <c r="J586" s="96"/>
      <c r="L586" s="96"/>
      <c r="M586" s="96"/>
    </row>
    <row r="587" spans="6:13" ht="12.5">
      <c r="F587" s="96"/>
      <c r="G587" s="96"/>
      <c r="H587" s="96"/>
      <c r="I587" s="102"/>
      <c r="J587" s="96"/>
      <c r="L587" s="96"/>
      <c r="M587" s="96"/>
    </row>
    <row r="588" spans="6:13" ht="12.5">
      <c r="F588" s="96"/>
      <c r="G588" s="96"/>
      <c r="H588" s="96"/>
      <c r="I588" s="102"/>
      <c r="J588" s="96"/>
      <c r="L588" s="96"/>
      <c r="M588" s="96"/>
    </row>
    <row r="589" spans="6:13" ht="12.5">
      <c r="F589" s="96"/>
      <c r="G589" s="96"/>
      <c r="H589" s="96"/>
      <c r="I589" s="102"/>
      <c r="J589" s="96"/>
      <c r="L589" s="96"/>
      <c r="M589" s="96"/>
    </row>
    <row r="590" spans="6:13" ht="12.5">
      <c r="F590" s="96"/>
      <c r="G590" s="96"/>
      <c r="H590" s="96"/>
      <c r="I590" s="102"/>
      <c r="J590" s="96"/>
      <c r="L590" s="96"/>
      <c r="M590" s="96"/>
    </row>
    <row r="591" spans="6:13" ht="12.5">
      <c r="F591" s="96"/>
      <c r="G591" s="96"/>
      <c r="H591" s="96"/>
      <c r="I591" s="102"/>
      <c r="J591" s="96"/>
      <c r="L591" s="96"/>
      <c r="M591" s="96"/>
    </row>
    <row r="592" spans="6:13" ht="12.5">
      <c r="F592" s="96"/>
      <c r="G592" s="96"/>
      <c r="H592" s="96"/>
      <c r="I592" s="102"/>
      <c r="J592" s="96"/>
      <c r="L592" s="96"/>
      <c r="M592" s="96"/>
    </row>
    <row r="593" spans="6:13" ht="12.5">
      <c r="F593" s="96"/>
      <c r="G593" s="96"/>
      <c r="H593" s="96"/>
      <c r="I593" s="102"/>
      <c r="J593" s="96"/>
      <c r="L593" s="96"/>
      <c r="M593" s="96"/>
    </row>
    <row r="594" spans="6:13" ht="12.5">
      <c r="F594" s="96"/>
      <c r="G594" s="96"/>
      <c r="H594" s="96"/>
      <c r="I594" s="102"/>
      <c r="J594" s="96"/>
      <c r="L594" s="96"/>
      <c r="M594" s="96"/>
    </row>
    <row r="595" spans="6:13" ht="12.5">
      <c r="F595" s="96"/>
      <c r="G595" s="96"/>
      <c r="H595" s="96"/>
      <c r="I595" s="102"/>
      <c r="J595" s="96"/>
      <c r="L595" s="96"/>
      <c r="M595" s="96"/>
    </row>
    <row r="596" spans="6:13" ht="12.5">
      <c r="F596" s="96"/>
      <c r="G596" s="96"/>
      <c r="H596" s="96"/>
      <c r="I596" s="102"/>
      <c r="J596" s="96"/>
      <c r="L596" s="96"/>
      <c r="M596" s="96"/>
    </row>
    <row r="597" spans="6:13" ht="12.5">
      <c r="F597" s="96"/>
      <c r="G597" s="96"/>
      <c r="H597" s="96"/>
      <c r="I597" s="102"/>
      <c r="J597" s="96"/>
      <c r="L597" s="96"/>
      <c r="M597" s="96"/>
    </row>
    <row r="598" spans="6:13" ht="12.5">
      <c r="F598" s="96"/>
      <c r="G598" s="96"/>
      <c r="H598" s="96"/>
      <c r="I598" s="102"/>
      <c r="J598" s="96"/>
      <c r="L598" s="96"/>
      <c r="M598" s="96"/>
    </row>
    <row r="599" spans="6:13" ht="12.5">
      <c r="F599" s="96"/>
      <c r="G599" s="96"/>
      <c r="H599" s="96"/>
      <c r="I599" s="102"/>
      <c r="J599" s="96"/>
      <c r="L599" s="96"/>
      <c r="M599" s="96"/>
    </row>
    <row r="600" spans="6:13" ht="12.5">
      <c r="F600" s="96"/>
      <c r="G600" s="96"/>
      <c r="H600" s="96"/>
      <c r="I600" s="102"/>
      <c r="J600" s="96"/>
      <c r="L600" s="96"/>
      <c r="M600" s="96"/>
    </row>
    <row r="601" spans="6:13" ht="12.5">
      <c r="F601" s="96"/>
      <c r="G601" s="96"/>
      <c r="H601" s="96"/>
      <c r="I601" s="102"/>
      <c r="J601" s="96"/>
      <c r="L601" s="96"/>
      <c r="M601" s="96"/>
    </row>
    <row r="602" spans="6:13" ht="12.5">
      <c r="F602" s="96"/>
      <c r="G602" s="96"/>
      <c r="H602" s="96"/>
      <c r="I602" s="102"/>
      <c r="J602" s="96"/>
      <c r="L602" s="96"/>
      <c r="M602" s="96"/>
    </row>
    <row r="603" spans="6:13" ht="12.5">
      <c r="F603" s="96"/>
      <c r="G603" s="96"/>
      <c r="H603" s="96"/>
      <c r="I603" s="102"/>
      <c r="J603" s="96"/>
      <c r="L603" s="96"/>
      <c r="M603" s="96"/>
    </row>
    <row r="604" spans="6:13" ht="12.5">
      <c r="F604" s="96"/>
      <c r="G604" s="96"/>
      <c r="H604" s="96"/>
      <c r="I604" s="102"/>
      <c r="J604" s="96"/>
      <c r="L604" s="96"/>
      <c r="M604" s="96"/>
    </row>
    <row r="605" spans="6:13" ht="12.5">
      <c r="F605" s="96"/>
      <c r="G605" s="96"/>
      <c r="H605" s="96"/>
      <c r="I605" s="102"/>
      <c r="J605" s="96"/>
      <c r="L605" s="96"/>
      <c r="M605" s="96"/>
    </row>
    <row r="606" spans="6:13" ht="12.5">
      <c r="F606" s="96"/>
      <c r="G606" s="96"/>
      <c r="H606" s="96"/>
      <c r="I606" s="102"/>
      <c r="J606" s="96"/>
      <c r="L606" s="96"/>
      <c r="M606" s="96"/>
    </row>
    <row r="607" spans="6:13" ht="12.5">
      <c r="F607" s="96"/>
      <c r="G607" s="96"/>
      <c r="H607" s="96"/>
      <c r="I607" s="102"/>
      <c r="J607" s="96"/>
      <c r="L607" s="96"/>
      <c r="M607" s="96"/>
    </row>
    <row r="608" spans="6:13" ht="12.5">
      <c r="F608" s="96"/>
      <c r="G608" s="96"/>
      <c r="H608" s="96"/>
      <c r="I608" s="102"/>
      <c r="J608" s="96"/>
      <c r="L608" s="96"/>
      <c r="M608" s="96"/>
    </row>
    <row r="609" spans="6:13" ht="12.5">
      <c r="F609" s="96"/>
      <c r="G609" s="96"/>
      <c r="H609" s="96"/>
      <c r="I609" s="102"/>
      <c r="J609" s="96"/>
      <c r="L609" s="96"/>
      <c r="M609" s="96"/>
    </row>
    <row r="610" spans="6:13" ht="12.5">
      <c r="F610" s="96"/>
      <c r="G610" s="96"/>
      <c r="H610" s="96"/>
      <c r="I610" s="102"/>
      <c r="J610" s="96"/>
      <c r="L610" s="96"/>
      <c r="M610" s="96"/>
    </row>
    <row r="611" spans="6:13" ht="12.5">
      <c r="F611" s="96"/>
      <c r="G611" s="96"/>
      <c r="H611" s="96"/>
      <c r="I611" s="102"/>
      <c r="J611" s="96"/>
      <c r="L611" s="96"/>
      <c r="M611" s="96"/>
    </row>
    <row r="612" spans="6:13" ht="12.5">
      <c r="F612" s="96"/>
      <c r="G612" s="96"/>
      <c r="H612" s="96"/>
      <c r="I612" s="102"/>
      <c r="J612" s="96"/>
      <c r="L612" s="96"/>
      <c r="M612" s="96"/>
    </row>
    <row r="613" spans="6:13" ht="12.5">
      <c r="F613" s="96"/>
      <c r="G613" s="96"/>
      <c r="H613" s="96"/>
      <c r="I613" s="102"/>
      <c r="J613" s="96"/>
      <c r="L613" s="96"/>
      <c r="M613" s="96"/>
    </row>
    <row r="614" spans="6:13" ht="12.5">
      <c r="F614" s="96"/>
      <c r="G614" s="96"/>
      <c r="H614" s="96"/>
      <c r="I614" s="102"/>
      <c r="J614" s="96"/>
      <c r="L614" s="96"/>
      <c r="M614" s="96"/>
    </row>
    <row r="615" spans="6:13" ht="12.5">
      <c r="F615" s="96"/>
      <c r="G615" s="96"/>
      <c r="H615" s="96"/>
      <c r="I615" s="102"/>
      <c r="J615" s="96"/>
      <c r="L615" s="96"/>
      <c r="M615" s="96"/>
    </row>
    <row r="616" spans="6:13" ht="12.5">
      <c r="F616" s="96"/>
      <c r="G616" s="96"/>
      <c r="H616" s="96"/>
      <c r="I616" s="102"/>
      <c r="J616" s="96"/>
      <c r="L616" s="96"/>
      <c r="M616" s="96"/>
    </row>
    <row r="617" spans="6:13" ht="12.5">
      <c r="F617" s="96"/>
      <c r="G617" s="96"/>
      <c r="H617" s="96"/>
      <c r="I617" s="102"/>
      <c r="J617" s="96"/>
      <c r="L617" s="96"/>
      <c r="M617" s="96"/>
    </row>
    <row r="618" spans="6:13" ht="12.5">
      <c r="F618" s="96"/>
      <c r="G618" s="96"/>
      <c r="H618" s="96"/>
      <c r="I618" s="102"/>
      <c r="J618" s="96"/>
      <c r="L618" s="96"/>
      <c r="M618" s="96"/>
    </row>
    <row r="619" spans="6:13" ht="12.5">
      <c r="F619" s="96"/>
      <c r="G619" s="96"/>
      <c r="H619" s="96"/>
      <c r="I619" s="102"/>
      <c r="J619" s="96"/>
      <c r="L619" s="96"/>
      <c r="M619" s="96"/>
    </row>
    <row r="620" spans="6:13" ht="12.5">
      <c r="F620" s="96"/>
      <c r="G620" s="96"/>
      <c r="H620" s="96"/>
      <c r="I620" s="102"/>
      <c r="J620" s="96"/>
      <c r="L620" s="96"/>
      <c r="M620" s="96"/>
    </row>
    <row r="621" spans="6:13" ht="12.5">
      <c r="F621" s="96"/>
      <c r="G621" s="96"/>
      <c r="H621" s="96"/>
      <c r="I621" s="102"/>
      <c r="J621" s="96"/>
      <c r="L621" s="96"/>
      <c r="M621" s="96"/>
    </row>
    <row r="622" spans="6:13" ht="12.5">
      <c r="F622" s="96"/>
      <c r="G622" s="96"/>
      <c r="H622" s="96"/>
      <c r="I622" s="102"/>
      <c r="J622" s="96"/>
      <c r="L622" s="96"/>
      <c r="M622" s="96"/>
    </row>
    <row r="623" spans="6:13" ht="12.5">
      <c r="F623" s="96"/>
      <c r="G623" s="96"/>
      <c r="H623" s="96"/>
      <c r="I623" s="102"/>
      <c r="J623" s="96"/>
      <c r="L623" s="96"/>
      <c r="M623" s="96"/>
    </row>
    <row r="624" spans="6:13" ht="12.5">
      <c r="F624" s="96"/>
      <c r="G624" s="96"/>
      <c r="H624" s="96"/>
      <c r="I624" s="102"/>
      <c r="J624" s="96"/>
      <c r="L624" s="96"/>
      <c r="M624" s="96"/>
    </row>
    <row r="625" spans="6:13" ht="12.5">
      <c r="F625" s="96"/>
      <c r="G625" s="96"/>
      <c r="H625" s="96"/>
      <c r="I625" s="102"/>
      <c r="J625" s="96"/>
      <c r="L625" s="96"/>
      <c r="M625" s="96"/>
    </row>
    <row r="626" spans="6:13" ht="12.5">
      <c r="F626" s="96"/>
      <c r="G626" s="96"/>
      <c r="H626" s="96"/>
      <c r="I626" s="102"/>
      <c r="J626" s="96"/>
      <c r="L626" s="96"/>
      <c r="M626" s="96"/>
    </row>
    <row r="627" spans="6:13" ht="12.5">
      <c r="F627" s="96"/>
      <c r="G627" s="96"/>
      <c r="H627" s="96"/>
      <c r="I627" s="102"/>
      <c r="J627" s="96"/>
      <c r="L627" s="96"/>
      <c r="M627" s="96"/>
    </row>
    <row r="628" spans="6:13" ht="12.5">
      <c r="F628" s="96"/>
      <c r="G628" s="96"/>
      <c r="H628" s="96"/>
      <c r="I628" s="102"/>
      <c r="J628" s="96"/>
      <c r="L628" s="96"/>
      <c r="M628" s="96"/>
    </row>
    <row r="629" spans="6:13" ht="12.5">
      <c r="F629" s="96"/>
      <c r="G629" s="96"/>
      <c r="H629" s="96"/>
      <c r="I629" s="102"/>
      <c r="J629" s="96"/>
      <c r="L629" s="96"/>
      <c r="M629" s="96"/>
    </row>
    <row r="630" spans="6:13" ht="12.5">
      <c r="F630" s="96"/>
      <c r="G630" s="96"/>
      <c r="H630" s="96"/>
      <c r="I630" s="102"/>
      <c r="J630" s="96"/>
      <c r="L630" s="96"/>
      <c r="M630" s="96"/>
    </row>
    <row r="631" spans="6:13" ht="12.5">
      <c r="F631" s="96"/>
      <c r="G631" s="96"/>
      <c r="H631" s="96"/>
      <c r="I631" s="102"/>
      <c r="J631" s="96"/>
      <c r="L631" s="96"/>
      <c r="M631" s="96"/>
    </row>
    <row r="632" spans="6:13" ht="12.5">
      <c r="F632" s="96"/>
      <c r="G632" s="96"/>
      <c r="H632" s="96"/>
      <c r="I632" s="102"/>
      <c r="J632" s="96"/>
      <c r="L632" s="96"/>
      <c r="M632" s="96"/>
    </row>
    <row r="633" spans="6:13" ht="12.5">
      <c r="F633" s="96"/>
      <c r="G633" s="96"/>
      <c r="H633" s="96"/>
      <c r="I633" s="102"/>
      <c r="J633" s="96"/>
      <c r="L633" s="96"/>
      <c r="M633" s="96"/>
    </row>
    <row r="634" spans="6:13" ht="12.5">
      <c r="F634" s="96"/>
      <c r="G634" s="96"/>
      <c r="H634" s="96"/>
      <c r="I634" s="102"/>
      <c r="J634" s="96"/>
      <c r="L634" s="96"/>
      <c r="M634" s="96"/>
    </row>
    <row r="635" spans="6:13" ht="12.5">
      <c r="F635" s="96"/>
      <c r="G635" s="96"/>
      <c r="H635" s="96"/>
      <c r="I635" s="102"/>
      <c r="J635" s="96"/>
      <c r="L635" s="96"/>
      <c r="M635" s="96"/>
    </row>
    <row r="636" spans="6:13" ht="12.5">
      <c r="F636" s="96"/>
      <c r="G636" s="96"/>
      <c r="H636" s="96"/>
      <c r="I636" s="102"/>
      <c r="J636" s="96"/>
      <c r="L636" s="96"/>
      <c r="M636" s="96"/>
    </row>
    <row r="637" spans="6:13" ht="12.5">
      <c r="F637" s="96"/>
      <c r="G637" s="96"/>
      <c r="H637" s="96"/>
      <c r="I637" s="102"/>
      <c r="J637" s="96"/>
      <c r="L637" s="96"/>
      <c r="M637" s="96"/>
    </row>
    <row r="638" spans="6:13" ht="12.5">
      <c r="F638" s="96"/>
      <c r="G638" s="96"/>
      <c r="H638" s="96"/>
      <c r="I638" s="102"/>
      <c r="J638" s="96"/>
      <c r="L638" s="96"/>
      <c r="M638" s="96"/>
    </row>
    <row r="639" spans="6:13" ht="12.5">
      <c r="F639" s="96"/>
      <c r="G639" s="96"/>
      <c r="H639" s="96"/>
      <c r="I639" s="102"/>
      <c r="J639" s="96"/>
      <c r="L639" s="96"/>
      <c r="M639" s="96"/>
    </row>
    <row r="640" spans="6:13" ht="12.5">
      <c r="F640" s="96"/>
      <c r="G640" s="96"/>
      <c r="H640" s="96"/>
      <c r="I640" s="102"/>
      <c r="J640" s="96"/>
      <c r="L640" s="96"/>
      <c r="M640" s="96"/>
    </row>
    <row r="641" spans="6:13" ht="12.5">
      <c r="F641" s="96"/>
      <c r="G641" s="96"/>
      <c r="H641" s="96"/>
      <c r="I641" s="102"/>
      <c r="J641" s="96"/>
      <c r="L641" s="96"/>
      <c r="M641" s="96"/>
    </row>
    <row r="642" spans="6:13" ht="12.5">
      <c r="F642" s="96"/>
      <c r="G642" s="96"/>
      <c r="H642" s="96"/>
      <c r="I642" s="102"/>
      <c r="J642" s="96"/>
      <c r="L642" s="96"/>
      <c r="M642" s="96"/>
    </row>
    <row r="643" spans="6:13" ht="12.5">
      <c r="F643" s="96"/>
      <c r="G643" s="96"/>
      <c r="H643" s="96"/>
      <c r="I643" s="102"/>
      <c r="J643" s="96"/>
      <c r="L643" s="96"/>
      <c r="M643" s="96"/>
    </row>
    <row r="644" spans="6:13" ht="12.5">
      <c r="F644" s="96"/>
      <c r="G644" s="96"/>
      <c r="H644" s="96"/>
      <c r="I644" s="102"/>
      <c r="J644" s="96"/>
      <c r="L644" s="96"/>
      <c r="M644" s="96"/>
    </row>
    <row r="645" spans="6:13" ht="12.5">
      <c r="F645" s="96"/>
      <c r="G645" s="96"/>
      <c r="H645" s="96"/>
      <c r="I645" s="102"/>
      <c r="J645" s="96"/>
      <c r="L645" s="96"/>
      <c r="M645" s="96"/>
    </row>
    <row r="646" spans="6:13" ht="12.5">
      <c r="F646" s="96"/>
      <c r="G646" s="96"/>
      <c r="H646" s="96"/>
      <c r="I646" s="102"/>
      <c r="J646" s="96"/>
      <c r="L646" s="96"/>
      <c r="M646" s="96"/>
    </row>
    <row r="647" spans="6:13" ht="12.5">
      <c r="F647" s="96"/>
      <c r="G647" s="96"/>
      <c r="H647" s="96"/>
      <c r="I647" s="102"/>
      <c r="J647" s="96"/>
      <c r="L647" s="96"/>
      <c r="M647" s="96"/>
    </row>
    <row r="648" spans="6:13" ht="12.5">
      <c r="F648" s="96"/>
      <c r="G648" s="96"/>
      <c r="H648" s="96"/>
      <c r="I648" s="102"/>
      <c r="J648" s="96"/>
      <c r="L648" s="96"/>
      <c r="M648" s="96"/>
    </row>
    <row r="649" spans="6:13" ht="12.5">
      <c r="F649" s="96"/>
      <c r="G649" s="96"/>
      <c r="H649" s="96"/>
      <c r="I649" s="102"/>
      <c r="J649" s="96"/>
      <c r="L649" s="96"/>
      <c r="M649" s="96"/>
    </row>
    <row r="650" spans="6:13" ht="12.5">
      <c r="F650" s="96"/>
      <c r="G650" s="96"/>
      <c r="H650" s="96"/>
      <c r="I650" s="102"/>
      <c r="J650" s="96"/>
      <c r="L650" s="96"/>
      <c r="M650" s="96"/>
    </row>
    <row r="651" spans="6:13" ht="12.5">
      <c r="F651" s="96"/>
      <c r="G651" s="96"/>
      <c r="H651" s="96"/>
      <c r="I651" s="102"/>
      <c r="J651" s="96"/>
      <c r="L651" s="96"/>
      <c r="M651" s="96"/>
    </row>
    <row r="652" spans="6:13" ht="12.5">
      <c r="F652" s="96"/>
      <c r="G652" s="96"/>
      <c r="H652" s="96"/>
      <c r="I652" s="102"/>
      <c r="J652" s="96"/>
      <c r="L652" s="96"/>
      <c r="M652" s="96"/>
    </row>
    <row r="653" spans="6:13" ht="12.5">
      <c r="F653" s="96"/>
      <c r="G653" s="96"/>
      <c r="H653" s="96"/>
      <c r="I653" s="102"/>
      <c r="J653" s="96"/>
      <c r="L653" s="96"/>
      <c r="M653" s="96"/>
    </row>
    <row r="654" spans="6:13" ht="12.5">
      <c r="F654" s="96"/>
      <c r="G654" s="96"/>
      <c r="H654" s="96"/>
      <c r="I654" s="102"/>
      <c r="J654" s="96"/>
      <c r="L654" s="96"/>
      <c r="M654" s="96"/>
    </row>
    <row r="655" spans="6:13" ht="12.5">
      <c r="F655" s="96"/>
      <c r="G655" s="96"/>
      <c r="H655" s="96"/>
      <c r="I655" s="102"/>
      <c r="J655" s="96"/>
      <c r="L655" s="96"/>
      <c r="M655" s="96"/>
    </row>
    <row r="656" spans="6:13" ht="12.5">
      <c r="F656" s="96"/>
      <c r="G656" s="96"/>
      <c r="H656" s="96"/>
      <c r="I656" s="102"/>
      <c r="J656" s="96"/>
      <c r="L656" s="96"/>
      <c r="M656" s="96"/>
    </row>
    <row r="657" spans="6:13" ht="12.5">
      <c r="F657" s="96"/>
      <c r="G657" s="96"/>
      <c r="H657" s="96"/>
      <c r="I657" s="102"/>
      <c r="J657" s="96"/>
      <c r="L657" s="96"/>
      <c r="M657" s="96"/>
    </row>
    <row r="658" spans="6:13" ht="12.5">
      <c r="F658" s="96"/>
      <c r="G658" s="96"/>
      <c r="H658" s="96"/>
      <c r="I658" s="102"/>
      <c r="J658" s="96"/>
      <c r="L658" s="96"/>
      <c r="M658" s="96"/>
    </row>
    <row r="659" spans="6:13" ht="12.5">
      <c r="F659" s="96"/>
      <c r="G659" s="96"/>
      <c r="H659" s="96"/>
      <c r="I659" s="102"/>
      <c r="J659" s="96"/>
      <c r="L659" s="96"/>
      <c r="M659" s="96"/>
    </row>
    <row r="660" spans="6:13" ht="12.5">
      <c r="F660" s="96"/>
      <c r="G660" s="96"/>
      <c r="H660" s="96"/>
      <c r="I660" s="102"/>
      <c r="J660" s="96"/>
      <c r="L660" s="96"/>
      <c r="M660" s="96"/>
    </row>
    <row r="661" spans="6:13" ht="12.5">
      <c r="F661" s="96"/>
      <c r="G661" s="96"/>
      <c r="H661" s="96"/>
      <c r="I661" s="102"/>
      <c r="J661" s="96"/>
      <c r="L661" s="96"/>
      <c r="M661" s="96"/>
    </row>
    <row r="662" spans="6:13" ht="12.5">
      <c r="F662" s="96"/>
      <c r="G662" s="96"/>
      <c r="H662" s="96"/>
      <c r="I662" s="102"/>
      <c r="J662" s="96"/>
      <c r="L662" s="96"/>
      <c r="M662" s="96"/>
    </row>
    <row r="663" spans="6:13" ht="12.5">
      <c r="F663" s="96"/>
      <c r="G663" s="96"/>
      <c r="H663" s="96"/>
      <c r="I663" s="102"/>
      <c r="J663" s="96"/>
      <c r="L663" s="96"/>
      <c r="M663" s="96"/>
    </row>
    <row r="664" spans="6:13" ht="12.5">
      <c r="F664" s="96"/>
      <c r="G664" s="96"/>
      <c r="H664" s="96"/>
      <c r="I664" s="102"/>
      <c r="J664" s="96"/>
      <c r="L664" s="96"/>
      <c r="M664" s="96"/>
    </row>
    <row r="665" spans="6:13" ht="12.5">
      <c r="F665" s="96"/>
      <c r="G665" s="96"/>
      <c r="H665" s="96"/>
      <c r="I665" s="102"/>
      <c r="J665" s="96"/>
      <c r="L665" s="96"/>
      <c r="M665" s="96"/>
    </row>
    <row r="666" spans="6:13" ht="12.5">
      <c r="F666" s="96"/>
      <c r="G666" s="96"/>
      <c r="H666" s="96"/>
      <c r="I666" s="102"/>
      <c r="J666" s="96"/>
      <c r="L666" s="96"/>
      <c r="M666" s="96"/>
    </row>
    <row r="667" spans="6:13" ht="12.5">
      <c r="F667" s="96"/>
      <c r="G667" s="96"/>
      <c r="H667" s="96"/>
      <c r="I667" s="102"/>
      <c r="J667" s="96"/>
      <c r="L667" s="96"/>
      <c r="M667" s="96"/>
    </row>
    <row r="668" spans="6:13" ht="12.5">
      <c r="F668" s="96"/>
      <c r="G668" s="96"/>
      <c r="H668" s="96"/>
      <c r="I668" s="102"/>
      <c r="J668" s="96"/>
      <c r="L668" s="96"/>
      <c r="M668" s="96"/>
    </row>
    <row r="669" spans="6:13" ht="12.5">
      <c r="F669" s="96"/>
      <c r="G669" s="96"/>
      <c r="H669" s="96"/>
      <c r="I669" s="102"/>
      <c r="J669" s="96"/>
      <c r="L669" s="96"/>
      <c r="M669" s="96"/>
    </row>
    <row r="670" spans="6:13" ht="12.5">
      <c r="F670" s="96"/>
      <c r="G670" s="96"/>
      <c r="H670" s="96"/>
      <c r="I670" s="102"/>
      <c r="J670" s="96"/>
      <c r="L670" s="96"/>
      <c r="M670" s="96"/>
    </row>
    <row r="671" spans="6:13" ht="12.5">
      <c r="F671" s="96"/>
      <c r="G671" s="96"/>
      <c r="H671" s="96"/>
      <c r="I671" s="102"/>
      <c r="J671" s="96"/>
      <c r="L671" s="96"/>
      <c r="M671" s="96"/>
    </row>
    <row r="672" spans="6:13" ht="12.5">
      <c r="F672" s="96"/>
      <c r="G672" s="96"/>
      <c r="H672" s="96"/>
      <c r="I672" s="102"/>
      <c r="J672" s="96"/>
      <c r="L672" s="96"/>
      <c r="M672" s="96"/>
    </row>
    <row r="673" spans="6:13" ht="12.5">
      <c r="F673" s="96"/>
      <c r="G673" s="96"/>
      <c r="H673" s="96"/>
      <c r="I673" s="102"/>
      <c r="J673" s="96"/>
      <c r="L673" s="96"/>
      <c r="M673" s="96"/>
    </row>
    <row r="674" spans="6:13" ht="12.5">
      <c r="F674" s="96"/>
      <c r="G674" s="96"/>
      <c r="H674" s="96"/>
      <c r="I674" s="102"/>
      <c r="J674" s="96"/>
      <c r="L674" s="96"/>
      <c r="M674" s="96"/>
    </row>
    <row r="675" spans="6:13" ht="12.5">
      <c r="F675" s="96"/>
      <c r="G675" s="96"/>
      <c r="H675" s="96"/>
      <c r="I675" s="102"/>
      <c r="J675" s="96"/>
      <c r="L675" s="96"/>
      <c r="M675" s="96"/>
    </row>
    <row r="676" spans="6:13" ht="12.5">
      <c r="F676" s="96"/>
      <c r="G676" s="96"/>
      <c r="H676" s="96"/>
      <c r="I676" s="102"/>
      <c r="J676" s="96"/>
      <c r="L676" s="96"/>
      <c r="M676" s="96"/>
    </row>
    <row r="677" spans="6:13" ht="12.5">
      <c r="F677" s="96"/>
      <c r="G677" s="96"/>
      <c r="H677" s="96"/>
      <c r="I677" s="102"/>
      <c r="J677" s="96"/>
      <c r="L677" s="96"/>
      <c r="M677" s="96"/>
    </row>
    <row r="678" spans="6:13" ht="12.5">
      <c r="F678" s="96"/>
      <c r="G678" s="96"/>
      <c r="H678" s="96"/>
      <c r="I678" s="102"/>
      <c r="J678" s="96"/>
      <c r="L678" s="96"/>
      <c r="M678" s="96"/>
    </row>
    <row r="679" spans="6:13" ht="12.5">
      <c r="F679" s="96"/>
      <c r="G679" s="96"/>
      <c r="H679" s="96"/>
      <c r="I679" s="102"/>
      <c r="J679" s="96"/>
      <c r="L679" s="96"/>
      <c r="M679" s="96"/>
    </row>
    <row r="680" spans="6:13" ht="12.5">
      <c r="F680" s="96"/>
      <c r="G680" s="96"/>
      <c r="H680" s="96"/>
      <c r="I680" s="102"/>
      <c r="J680" s="96"/>
      <c r="L680" s="96"/>
      <c r="M680" s="96"/>
    </row>
    <row r="681" spans="6:13" ht="12.5">
      <c r="F681" s="96"/>
      <c r="G681" s="96"/>
      <c r="H681" s="96"/>
      <c r="I681" s="102"/>
      <c r="J681" s="96"/>
      <c r="L681" s="96"/>
      <c r="M681" s="96"/>
    </row>
    <row r="682" spans="6:13" ht="12.5">
      <c r="F682" s="96"/>
      <c r="G682" s="96"/>
      <c r="H682" s="96"/>
      <c r="I682" s="102"/>
      <c r="J682" s="96"/>
      <c r="L682" s="96"/>
      <c r="M682" s="96"/>
    </row>
    <row r="683" spans="6:13" ht="12.5">
      <c r="F683" s="96"/>
      <c r="G683" s="96"/>
      <c r="H683" s="96"/>
      <c r="I683" s="102"/>
      <c r="J683" s="96"/>
      <c r="L683" s="96"/>
      <c r="M683" s="96"/>
    </row>
    <row r="684" spans="6:13" ht="12.5">
      <c r="F684" s="96"/>
      <c r="G684" s="96"/>
      <c r="H684" s="96"/>
      <c r="I684" s="102"/>
      <c r="J684" s="96"/>
      <c r="L684" s="96"/>
      <c r="M684" s="96"/>
    </row>
    <row r="685" spans="6:13" ht="12.5">
      <c r="F685" s="96"/>
      <c r="G685" s="96"/>
      <c r="H685" s="96"/>
      <c r="I685" s="102"/>
      <c r="J685" s="96"/>
      <c r="L685" s="96"/>
      <c r="M685" s="96"/>
    </row>
    <row r="686" spans="6:13" ht="12.5">
      <c r="F686" s="96"/>
      <c r="G686" s="96"/>
      <c r="H686" s="96"/>
      <c r="I686" s="102"/>
      <c r="J686" s="96"/>
      <c r="L686" s="96"/>
      <c r="M686" s="96"/>
    </row>
    <row r="687" spans="6:13" ht="12.5">
      <c r="F687" s="96"/>
      <c r="G687" s="96"/>
      <c r="H687" s="96"/>
      <c r="I687" s="102"/>
      <c r="J687" s="96"/>
      <c r="L687" s="96"/>
      <c r="M687" s="96"/>
    </row>
    <row r="688" spans="6:13" ht="12.5">
      <c r="F688" s="96"/>
      <c r="G688" s="96"/>
      <c r="H688" s="96"/>
      <c r="I688" s="102"/>
      <c r="J688" s="96"/>
      <c r="L688" s="96"/>
      <c r="M688" s="96"/>
    </row>
    <row r="689" spans="6:13" ht="12.5">
      <c r="F689" s="96"/>
      <c r="G689" s="96"/>
      <c r="H689" s="96"/>
      <c r="I689" s="102"/>
      <c r="J689" s="96"/>
      <c r="L689" s="96"/>
      <c r="M689" s="96"/>
    </row>
    <row r="690" spans="6:13" ht="12.5">
      <c r="F690" s="96"/>
      <c r="G690" s="96"/>
      <c r="H690" s="96"/>
      <c r="I690" s="102"/>
      <c r="J690" s="96"/>
      <c r="L690" s="96"/>
      <c r="M690" s="96"/>
    </row>
    <row r="691" spans="6:13" ht="12.5">
      <c r="F691" s="96"/>
      <c r="G691" s="96"/>
      <c r="H691" s="96"/>
      <c r="I691" s="102"/>
      <c r="J691" s="96"/>
      <c r="L691" s="96"/>
      <c r="M691" s="96"/>
    </row>
    <row r="692" spans="6:13" ht="12.5">
      <c r="F692" s="96"/>
      <c r="G692" s="96"/>
      <c r="H692" s="96"/>
      <c r="I692" s="102"/>
      <c r="J692" s="96"/>
      <c r="L692" s="96"/>
      <c r="M692" s="96"/>
    </row>
    <row r="693" spans="6:13" ht="12.5">
      <c r="F693" s="96"/>
      <c r="G693" s="96"/>
      <c r="H693" s="96"/>
      <c r="I693" s="102"/>
      <c r="J693" s="96"/>
      <c r="L693" s="96"/>
      <c r="M693" s="96"/>
    </row>
    <row r="694" spans="6:13" ht="12.5">
      <c r="F694" s="96"/>
      <c r="G694" s="96"/>
      <c r="H694" s="96"/>
      <c r="I694" s="102"/>
      <c r="J694" s="96"/>
      <c r="L694" s="96"/>
      <c r="M694" s="96"/>
    </row>
    <row r="695" spans="6:13" ht="12.5">
      <c r="F695" s="96"/>
      <c r="G695" s="96"/>
      <c r="H695" s="96"/>
      <c r="I695" s="102"/>
      <c r="J695" s="96"/>
      <c r="L695" s="96"/>
      <c r="M695" s="96"/>
    </row>
    <row r="696" spans="6:13" ht="12.5">
      <c r="F696" s="96"/>
      <c r="G696" s="96"/>
      <c r="H696" s="96"/>
      <c r="I696" s="102"/>
      <c r="J696" s="96"/>
      <c r="L696" s="96"/>
      <c r="M696" s="96"/>
    </row>
    <row r="697" spans="6:13" ht="12.5">
      <c r="F697" s="96"/>
      <c r="G697" s="96"/>
      <c r="H697" s="96"/>
      <c r="I697" s="102"/>
      <c r="J697" s="96"/>
      <c r="L697" s="96"/>
      <c r="M697" s="96"/>
    </row>
    <row r="698" spans="6:13" ht="12.5">
      <c r="F698" s="96"/>
      <c r="G698" s="96"/>
      <c r="H698" s="96"/>
      <c r="I698" s="102"/>
      <c r="J698" s="96"/>
      <c r="L698" s="96"/>
      <c r="M698" s="96"/>
    </row>
    <row r="699" spans="6:13" ht="12.5">
      <c r="F699" s="96"/>
      <c r="G699" s="96"/>
      <c r="H699" s="96"/>
      <c r="I699" s="102"/>
      <c r="J699" s="96"/>
      <c r="L699" s="96"/>
      <c r="M699" s="96"/>
    </row>
    <row r="700" spans="6:13" ht="12.5">
      <c r="F700" s="96"/>
      <c r="G700" s="96"/>
      <c r="H700" s="96"/>
      <c r="I700" s="102"/>
      <c r="J700" s="96"/>
      <c r="L700" s="96"/>
      <c r="M700" s="96"/>
    </row>
    <row r="701" spans="6:13" ht="12.5">
      <c r="F701" s="96"/>
      <c r="G701" s="96"/>
      <c r="H701" s="96"/>
      <c r="I701" s="102"/>
      <c r="J701" s="96"/>
      <c r="L701" s="96"/>
      <c r="M701" s="96"/>
    </row>
    <row r="702" spans="6:13" ht="12.5">
      <c r="F702" s="96"/>
      <c r="G702" s="96"/>
      <c r="H702" s="96"/>
      <c r="I702" s="102"/>
      <c r="J702" s="96"/>
      <c r="L702" s="96"/>
      <c r="M702" s="96"/>
    </row>
    <row r="703" spans="6:13" ht="12.5">
      <c r="F703" s="96"/>
      <c r="G703" s="96"/>
      <c r="H703" s="96"/>
      <c r="I703" s="102"/>
      <c r="J703" s="96"/>
      <c r="L703" s="96"/>
      <c r="M703" s="96"/>
    </row>
    <row r="704" spans="6:13" ht="12.5">
      <c r="F704" s="96"/>
      <c r="G704" s="96"/>
      <c r="H704" s="96"/>
      <c r="I704" s="102"/>
      <c r="J704" s="96"/>
      <c r="L704" s="96"/>
      <c r="M704" s="96"/>
    </row>
    <row r="705" spans="6:13" ht="12.5">
      <c r="F705" s="96"/>
      <c r="G705" s="96"/>
      <c r="H705" s="96"/>
      <c r="I705" s="102"/>
      <c r="J705" s="96"/>
      <c r="L705" s="96"/>
      <c r="M705" s="96"/>
    </row>
    <row r="706" spans="6:13" ht="12.5">
      <c r="F706" s="96"/>
      <c r="G706" s="96"/>
      <c r="H706" s="96"/>
      <c r="I706" s="102"/>
      <c r="J706" s="96"/>
      <c r="L706" s="96"/>
      <c r="M706" s="96"/>
    </row>
    <row r="707" spans="6:13" ht="12.5">
      <c r="F707" s="96"/>
      <c r="G707" s="96"/>
      <c r="H707" s="96"/>
      <c r="I707" s="102"/>
      <c r="J707" s="96"/>
      <c r="L707" s="96"/>
      <c r="M707" s="96"/>
    </row>
    <row r="708" spans="6:13" ht="12.5">
      <c r="F708" s="96"/>
      <c r="G708" s="96"/>
      <c r="H708" s="96"/>
      <c r="I708" s="102"/>
      <c r="J708" s="96"/>
      <c r="L708" s="96"/>
      <c r="M708" s="96"/>
    </row>
    <row r="709" spans="6:13" ht="12.5">
      <c r="F709" s="96"/>
      <c r="G709" s="96"/>
      <c r="H709" s="96"/>
      <c r="I709" s="102"/>
      <c r="J709" s="96"/>
      <c r="L709" s="96"/>
      <c r="M709" s="96"/>
    </row>
    <row r="710" spans="6:13" ht="12.5">
      <c r="F710" s="96"/>
      <c r="G710" s="96"/>
      <c r="H710" s="96"/>
      <c r="I710" s="102"/>
      <c r="J710" s="96"/>
      <c r="L710" s="96"/>
      <c r="M710" s="96"/>
    </row>
    <row r="711" spans="6:13" ht="12.5">
      <c r="F711" s="96"/>
      <c r="G711" s="96"/>
      <c r="H711" s="96"/>
      <c r="I711" s="102"/>
      <c r="J711" s="96"/>
      <c r="L711" s="96"/>
      <c r="M711" s="96"/>
    </row>
    <row r="712" spans="6:13" ht="12.5">
      <c r="F712" s="96"/>
      <c r="G712" s="96"/>
      <c r="H712" s="96"/>
      <c r="I712" s="102"/>
      <c r="J712" s="96"/>
      <c r="L712" s="96"/>
      <c r="M712" s="96"/>
    </row>
    <row r="713" spans="6:13" ht="12.5">
      <c r="F713" s="96"/>
      <c r="G713" s="96"/>
      <c r="H713" s="96"/>
      <c r="I713" s="102"/>
      <c r="J713" s="96"/>
      <c r="L713" s="96"/>
      <c r="M713" s="96"/>
    </row>
    <row r="714" spans="6:13" ht="12.5">
      <c r="F714" s="96"/>
      <c r="G714" s="96"/>
      <c r="H714" s="96"/>
      <c r="I714" s="102"/>
      <c r="J714" s="96"/>
      <c r="L714" s="96"/>
      <c r="M714" s="96"/>
    </row>
    <row r="715" spans="6:13" ht="12.5">
      <c r="F715" s="96"/>
      <c r="G715" s="96"/>
      <c r="H715" s="96"/>
      <c r="I715" s="102"/>
      <c r="J715" s="96"/>
      <c r="L715" s="96"/>
      <c r="M715" s="96"/>
    </row>
    <row r="716" spans="6:13" ht="12.5">
      <c r="F716" s="96"/>
      <c r="G716" s="96"/>
      <c r="H716" s="96"/>
      <c r="I716" s="102"/>
      <c r="J716" s="96"/>
      <c r="L716" s="96"/>
      <c r="M716" s="96"/>
    </row>
    <row r="717" spans="6:13" ht="12.5">
      <c r="F717" s="96"/>
      <c r="G717" s="96"/>
      <c r="H717" s="96"/>
      <c r="I717" s="102"/>
      <c r="J717" s="96"/>
      <c r="L717" s="96"/>
      <c r="M717" s="96"/>
    </row>
    <row r="718" spans="6:13" ht="12.5">
      <c r="F718" s="96"/>
      <c r="G718" s="96"/>
      <c r="H718" s="96"/>
      <c r="I718" s="102"/>
      <c r="J718" s="96"/>
      <c r="L718" s="96"/>
      <c r="M718" s="96"/>
    </row>
    <row r="719" spans="6:13" ht="12.5">
      <c r="F719" s="96"/>
      <c r="G719" s="96"/>
      <c r="H719" s="96"/>
      <c r="I719" s="102"/>
      <c r="J719" s="96"/>
      <c r="L719" s="96"/>
      <c r="M719" s="96"/>
    </row>
    <row r="720" spans="6:13" ht="12.5">
      <c r="F720" s="96"/>
      <c r="G720" s="96"/>
      <c r="H720" s="96"/>
      <c r="I720" s="102"/>
      <c r="J720" s="96"/>
      <c r="L720" s="96"/>
      <c r="M720" s="96"/>
    </row>
    <row r="721" spans="6:13" ht="12.5">
      <c r="F721" s="96"/>
      <c r="G721" s="96"/>
      <c r="H721" s="96"/>
      <c r="I721" s="102"/>
      <c r="J721" s="96"/>
      <c r="L721" s="96"/>
      <c r="M721" s="96"/>
    </row>
    <row r="722" spans="6:13" ht="12.5">
      <c r="F722" s="96"/>
      <c r="G722" s="96"/>
      <c r="H722" s="96"/>
      <c r="I722" s="102"/>
      <c r="J722" s="96"/>
      <c r="L722" s="96"/>
      <c r="M722" s="96"/>
    </row>
    <row r="723" spans="6:13" ht="12.5">
      <c r="F723" s="96"/>
      <c r="G723" s="96"/>
      <c r="H723" s="96"/>
      <c r="I723" s="102"/>
      <c r="J723" s="96"/>
      <c r="L723" s="96"/>
      <c r="M723" s="96"/>
    </row>
    <row r="724" spans="6:13" ht="12.5">
      <c r="F724" s="96"/>
      <c r="G724" s="96"/>
      <c r="H724" s="96"/>
      <c r="I724" s="102"/>
      <c r="J724" s="96"/>
      <c r="L724" s="96"/>
      <c r="M724" s="96"/>
    </row>
    <row r="725" spans="6:13" ht="12.5">
      <c r="F725" s="96"/>
      <c r="G725" s="96"/>
      <c r="H725" s="96"/>
      <c r="I725" s="102"/>
      <c r="J725" s="96"/>
      <c r="L725" s="96"/>
      <c r="M725" s="96"/>
    </row>
    <row r="726" spans="6:13" ht="12.5">
      <c r="F726" s="96"/>
      <c r="G726" s="96"/>
      <c r="H726" s="96"/>
      <c r="I726" s="102"/>
      <c r="J726" s="96"/>
      <c r="L726" s="96"/>
      <c r="M726" s="96"/>
    </row>
    <row r="727" spans="6:13" ht="12.5">
      <c r="F727" s="96"/>
      <c r="G727" s="96"/>
      <c r="H727" s="96"/>
      <c r="I727" s="102"/>
      <c r="J727" s="96"/>
      <c r="L727" s="96"/>
      <c r="M727" s="96"/>
    </row>
    <row r="728" spans="6:13" ht="12.5">
      <c r="F728" s="96"/>
      <c r="G728" s="96"/>
      <c r="H728" s="96"/>
      <c r="I728" s="102"/>
      <c r="J728" s="96"/>
      <c r="L728" s="96"/>
      <c r="M728" s="96"/>
    </row>
    <row r="729" spans="6:13" ht="12.5">
      <c r="F729" s="96"/>
      <c r="G729" s="96"/>
      <c r="H729" s="96"/>
      <c r="I729" s="102"/>
      <c r="J729" s="96"/>
      <c r="L729" s="96"/>
      <c r="M729" s="96"/>
    </row>
    <row r="730" spans="6:13" ht="12.5">
      <c r="F730" s="96"/>
      <c r="G730" s="96"/>
      <c r="H730" s="96"/>
      <c r="I730" s="102"/>
      <c r="J730" s="96"/>
      <c r="L730" s="96"/>
      <c r="M730" s="96"/>
    </row>
    <row r="731" spans="6:13" ht="12.5">
      <c r="F731" s="96"/>
      <c r="G731" s="96"/>
      <c r="H731" s="96"/>
      <c r="I731" s="102"/>
      <c r="J731" s="96"/>
      <c r="L731" s="96"/>
      <c r="M731" s="96"/>
    </row>
    <row r="732" spans="6:13" ht="12.5">
      <c r="F732" s="96"/>
      <c r="G732" s="96"/>
      <c r="H732" s="96"/>
      <c r="I732" s="102"/>
      <c r="J732" s="96"/>
      <c r="L732" s="96"/>
      <c r="M732" s="96"/>
    </row>
    <row r="733" spans="6:13" ht="12.5">
      <c r="F733" s="96"/>
      <c r="G733" s="96"/>
      <c r="H733" s="96"/>
      <c r="I733" s="102"/>
      <c r="J733" s="96"/>
      <c r="L733" s="96"/>
      <c r="M733" s="96"/>
    </row>
    <row r="734" spans="6:13" ht="12.5">
      <c r="F734" s="96"/>
      <c r="G734" s="96"/>
      <c r="H734" s="96"/>
      <c r="I734" s="102"/>
      <c r="J734" s="96"/>
      <c r="L734" s="96"/>
      <c r="M734" s="96"/>
    </row>
    <row r="735" spans="6:13" ht="12.5">
      <c r="F735" s="96"/>
      <c r="G735" s="96"/>
      <c r="H735" s="96"/>
      <c r="I735" s="102"/>
      <c r="J735" s="96"/>
      <c r="L735" s="96"/>
      <c r="M735" s="96"/>
    </row>
    <row r="736" spans="6:13" ht="12.5">
      <c r="F736" s="96"/>
      <c r="G736" s="96"/>
      <c r="H736" s="96"/>
      <c r="I736" s="102"/>
      <c r="J736" s="96"/>
      <c r="L736" s="96"/>
      <c r="M736" s="96"/>
    </row>
    <row r="737" spans="6:13" ht="12.5">
      <c r="F737" s="96"/>
      <c r="G737" s="96"/>
      <c r="H737" s="96"/>
      <c r="I737" s="102"/>
      <c r="J737" s="96"/>
      <c r="L737" s="96"/>
      <c r="M737" s="96"/>
    </row>
    <row r="738" spans="6:13" ht="12.5">
      <c r="F738" s="96"/>
      <c r="G738" s="96"/>
      <c r="H738" s="96"/>
      <c r="I738" s="102"/>
      <c r="J738" s="96"/>
      <c r="L738" s="96"/>
      <c r="M738" s="96"/>
    </row>
    <row r="739" spans="6:13" ht="12.5">
      <c r="F739" s="96"/>
      <c r="G739" s="96"/>
      <c r="H739" s="96"/>
      <c r="I739" s="102"/>
      <c r="J739" s="96"/>
      <c r="L739" s="96"/>
      <c r="M739" s="96"/>
    </row>
    <row r="740" spans="6:13" ht="12.5">
      <c r="F740" s="96"/>
      <c r="G740" s="96"/>
      <c r="H740" s="96"/>
      <c r="I740" s="102"/>
      <c r="J740" s="96"/>
      <c r="L740" s="96"/>
      <c r="M740" s="96"/>
    </row>
    <row r="741" spans="6:13" ht="12.5">
      <c r="F741" s="96"/>
      <c r="G741" s="96"/>
      <c r="H741" s="96"/>
      <c r="I741" s="102"/>
      <c r="J741" s="96"/>
      <c r="L741" s="96"/>
      <c r="M741" s="96"/>
    </row>
    <row r="742" spans="6:13" ht="12.5">
      <c r="F742" s="96"/>
      <c r="G742" s="96"/>
      <c r="H742" s="96"/>
      <c r="I742" s="102"/>
      <c r="J742" s="96"/>
      <c r="L742" s="96"/>
      <c r="M742" s="96"/>
    </row>
    <row r="743" spans="6:13" ht="12.5">
      <c r="F743" s="96"/>
      <c r="G743" s="96"/>
      <c r="H743" s="96"/>
      <c r="I743" s="102"/>
      <c r="J743" s="96"/>
      <c r="L743" s="96"/>
      <c r="M743" s="96"/>
    </row>
    <row r="744" spans="6:13" ht="12.5">
      <c r="F744" s="96"/>
      <c r="G744" s="96"/>
      <c r="H744" s="96"/>
      <c r="I744" s="102"/>
      <c r="J744" s="96"/>
      <c r="L744" s="96"/>
      <c r="M744" s="96"/>
    </row>
    <row r="745" spans="6:13" ht="12.5">
      <c r="F745" s="96"/>
      <c r="G745" s="96"/>
      <c r="H745" s="96"/>
      <c r="I745" s="102"/>
      <c r="J745" s="96"/>
      <c r="L745" s="96"/>
      <c r="M745" s="96"/>
    </row>
    <row r="746" spans="6:13" ht="12.5">
      <c r="F746" s="96"/>
      <c r="G746" s="96"/>
      <c r="H746" s="96"/>
      <c r="I746" s="102"/>
      <c r="J746" s="96"/>
      <c r="L746" s="96"/>
      <c r="M746" s="96"/>
    </row>
    <row r="747" spans="6:13" ht="12.5">
      <c r="F747" s="96"/>
      <c r="G747" s="96"/>
      <c r="H747" s="96"/>
      <c r="I747" s="102"/>
      <c r="J747" s="96"/>
      <c r="L747" s="96"/>
      <c r="M747" s="96"/>
    </row>
    <row r="748" spans="6:13" ht="12.5">
      <c r="F748" s="96"/>
      <c r="G748" s="96"/>
      <c r="H748" s="96"/>
      <c r="I748" s="102"/>
      <c r="J748" s="96"/>
      <c r="L748" s="96"/>
      <c r="M748" s="96"/>
    </row>
    <row r="749" spans="6:13" ht="12.5">
      <c r="F749" s="96"/>
      <c r="G749" s="96"/>
      <c r="H749" s="96"/>
      <c r="I749" s="102"/>
      <c r="J749" s="96"/>
      <c r="L749" s="96"/>
      <c r="M749" s="96"/>
    </row>
    <row r="750" spans="6:13" ht="12.5">
      <c r="F750" s="96"/>
      <c r="G750" s="96"/>
      <c r="H750" s="96"/>
      <c r="I750" s="102"/>
      <c r="J750" s="96"/>
      <c r="L750" s="96"/>
      <c r="M750" s="96"/>
    </row>
    <row r="751" spans="6:13" ht="12.5">
      <c r="F751" s="96"/>
      <c r="G751" s="96"/>
      <c r="H751" s="96"/>
      <c r="I751" s="102"/>
      <c r="J751" s="96"/>
      <c r="L751" s="96"/>
      <c r="M751" s="96"/>
    </row>
    <row r="752" spans="6:13" ht="12.5">
      <c r="F752" s="96"/>
      <c r="G752" s="96"/>
      <c r="H752" s="96"/>
      <c r="I752" s="102"/>
      <c r="J752" s="96"/>
      <c r="L752" s="96"/>
      <c r="M752" s="96"/>
    </row>
    <row r="753" spans="6:13" ht="12.5">
      <c r="F753" s="96"/>
      <c r="G753" s="96"/>
      <c r="H753" s="96"/>
      <c r="I753" s="102"/>
      <c r="J753" s="96"/>
      <c r="L753" s="96"/>
      <c r="M753" s="96"/>
    </row>
    <row r="754" spans="6:13" ht="12.5">
      <c r="F754" s="96"/>
      <c r="G754" s="96"/>
      <c r="H754" s="96"/>
      <c r="I754" s="102"/>
      <c r="J754" s="96"/>
      <c r="L754" s="96"/>
      <c r="M754" s="96"/>
    </row>
    <row r="755" spans="6:13" ht="12.5">
      <c r="F755" s="96"/>
      <c r="G755" s="96"/>
      <c r="H755" s="96"/>
      <c r="I755" s="102"/>
      <c r="J755" s="96"/>
      <c r="L755" s="96"/>
      <c r="M755" s="96"/>
    </row>
    <row r="756" spans="6:13" ht="12.5">
      <c r="F756" s="96"/>
      <c r="G756" s="96"/>
      <c r="H756" s="96"/>
      <c r="I756" s="102"/>
      <c r="J756" s="96"/>
      <c r="L756" s="96"/>
      <c r="M756" s="96"/>
    </row>
    <row r="757" spans="6:13" ht="12.5">
      <c r="F757" s="96"/>
      <c r="G757" s="96"/>
      <c r="H757" s="96"/>
      <c r="I757" s="102"/>
      <c r="J757" s="96"/>
      <c r="L757" s="96"/>
      <c r="M757" s="96"/>
    </row>
    <row r="758" spans="6:13" ht="12.5">
      <c r="F758" s="96"/>
      <c r="G758" s="96"/>
      <c r="H758" s="96"/>
      <c r="I758" s="102"/>
      <c r="J758" s="96"/>
      <c r="L758" s="96"/>
      <c r="M758" s="96"/>
    </row>
    <row r="759" spans="6:13" ht="12.5">
      <c r="F759" s="96"/>
      <c r="G759" s="96"/>
      <c r="H759" s="96"/>
      <c r="I759" s="102"/>
      <c r="J759" s="96"/>
      <c r="L759" s="96"/>
      <c r="M759" s="96"/>
    </row>
    <row r="760" spans="6:13" ht="12.5">
      <c r="F760" s="96"/>
      <c r="G760" s="96"/>
      <c r="H760" s="96"/>
      <c r="I760" s="102"/>
      <c r="J760" s="96"/>
      <c r="L760" s="96"/>
      <c r="M760" s="96"/>
    </row>
    <row r="761" spans="6:13" ht="12.5">
      <c r="F761" s="96"/>
      <c r="G761" s="96"/>
      <c r="H761" s="96"/>
      <c r="I761" s="102"/>
      <c r="J761" s="96"/>
      <c r="L761" s="96"/>
      <c r="M761" s="96"/>
    </row>
    <row r="762" spans="6:13" ht="12.5">
      <c r="F762" s="96"/>
      <c r="G762" s="96"/>
      <c r="H762" s="96"/>
      <c r="I762" s="102"/>
      <c r="J762" s="96"/>
      <c r="L762" s="96"/>
      <c r="M762" s="96"/>
    </row>
    <row r="763" spans="6:13" ht="12.5">
      <c r="F763" s="96"/>
      <c r="G763" s="96"/>
      <c r="H763" s="96"/>
      <c r="I763" s="102"/>
      <c r="J763" s="96"/>
      <c r="L763" s="96"/>
      <c r="M763" s="96"/>
    </row>
    <row r="764" spans="6:13" ht="12.5">
      <c r="F764" s="96"/>
      <c r="G764" s="96"/>
      <c r="H764" s="96"/>
      <c r="I764" s="102"/>
      <c r="J764" s="96"/>
      <c r="L764" s="96"/>
      <c r="M764" s="96"/>
    </row>
    <row r="765" spans="6:13" ht="12.5">
      <c r="F765" s="96"/>
      <c r="G765" s="96"/>
      <c r="H765" s="96"/>
      <c r="I765" s="102"/>
      <c r="J765" s="96"/>
      <c r="L765" s="96"/>
      <c r="M765" s="96"/>
    </row>
    <row r="766" spans="6:13" ht="12.5">
      <c r="F766" s="96"/>
      <c r="G766" s="96"/>
      <c r="H766" s="96"/>
      <c r="I766" s="102"/>
      <c r="J766" s="96"/>
      <c r="L766" s="96"/>
      <c r="M766" s="96"/>
    </row>
    <row r="767" spans="6:13" ht="12.5">
      <c r="F767" s="96"/>
      <c r="G767" s="96"/>
      <c r="H767" s="96"/>
      <c r="I767" s="102"/>
      <c r="J767" s="96"/>
      <c r="L767" s="96"/>
      <c r="M767" s="96"/>
    </row>
    <row r="768" spans="6:13" ht="12.5">
      <c r="F768" s="96"/>
      <c r="G768" s="96"/>
      <c r="H768" s="96"/>
      <c r="I768" s="102"/>
      <c r="J768" s="96"/>
      <c r="L768" s="96"/>
      <c r="M768" s="96"/>
    </row>
    <row r="769" spans="6:13" ht="12.5">
      <c r="F769" s="96"/>
      <c r="G769" s="96"/>
      <c r="H769" s="96"/>
      <c r="I769" s="102"/>
      <c r="J769" s="96"/>
      <c r="L769" s="96"/>
      <c r="M769" s="96"/>
    </row>
    <row r="770" spans="6:13" ht="12.5">
      <c r="F770" s="96"/>
      <c r="G770" s="96"/>
      <c r="H770" s="96"/>
      <c r="I770" s="102"/>
      <c r="J770" s="96"/>
      <c r="L770" s="96"/>
      <c r="M770" s="96"/>
    </row>
    <row r="771" spans="6:13" ht="12.5">
      <c r="F771" s="96"/>
      <c r="G771" s="96"/>
      <c r="H771" s="96"/>
      <c r="I771" s="102"/>
      <c r="J771" s="96"/>
      <c r="L771" s="96"/>
      <c r="M771" s="96"/>
    </row>
    <row r="772" spans="6:13" ht="12.5">
      <c r="F772" s="96"/>
      <c r="G772" s="96"/>
      <c r="H772" s="96"/>
      <c r="I772" s="102"/>
      <c r="J772" s="96"/>
      <c r="L772" s="96"/>
      <c r="M772" s="96"/>
    </row>
    <row r="773" spans="6:13" ht="12.5">
      <c r="F773" s="96"/>
      <c r="G773" s="96"/>
      <c r="H773" s="96"/>
      <c r="I773" s="102"/>
      <c r="J773" s="96"/>
      <c r="L773" s="96"/>
      <c r="M773" s="96"/>
    </row>
    <row r="774" spans="6:13" ht="12.5">
      <c r="F774" s="96"/>
      <c r="G774" s="96"/>
      <c r="H774" s="96"/>
      <c r="I774" s="102"/>
      <c r="J774" s="96"/>
      <c r="L774" s="96"/>
      <c r="M774" s="96"/>
    </row>
    <row r="775" spans="6:13" ht="12.5">
      <c r="F775" s="96"/>
      <c r="G775" s="96"/>
      <c r="H775" s="96"/>
      <c r="I775" s="102"/>
      <c r="J775" s="96"/>
      <c r="L775" s="96"/>
      <c r="M775" s="96"/>
    </row>
    <row r="776" spans="6:13" ht="12.5">
      <c r="F776" s="96"/>
      <c r="G776" s="96"/>
      <c r="H776" s="96"/>
      <c r="I776" s="102"/>
      <c r="J776" s="96"/>
      <c r="L776" s="96"/>
      <c r="M776" s="96"/>
    </row>
    <row r="777" spans="6:13" ht="12.5">
      <c r="F777" s="96"/>
      <c r="G777" s="96"/>
      <c r="H777" s="96"/>
      <c r="I777" s="102"/>
      <c r="J777" s="96"/>
      <c r="L777" s="96"/>
      <c r="M777" s="96"/>
    </row>
    <row r="778" spans="6:13" ht="12.5">
      <c r="F778" s="96"/>
      <c r="G778" s="96"/>
      <c r="H778" s="96"/>
      <c r="I778" s="102"/>
      <c r="J778" s="96"/>
      <c r="L778" s="96"/>
      <c r="M778" s="96"/>
    </row>
    <row r="779" spans="6:13" ht="12.5">
      <c r="F779" s="96"/>
      <c r="G779" s="96"/>
      <c r="H779" s="96"/>
      <c r="I779" s="102"/>
      <c r="J779" s="96"/>
      <c r="L779" s="96"/>
      <c r="M779" s="96"/>
    </row>
    <row r="780" spans="6:13" ht="12.5">
      <c r="F780" s="96"/>
      <c r="G780" s="96"/>
      <c r="H780" s="96"/>
      <c r="I780" s="102"/>
      <c r="J780" s="96"/>
      <c r="L780" s="96"/>
      <c r="M780" s="96"/>
    </row>
    <row r="781" spans="6:13" ht="12.5">
      <c r="F781" s="96"/>
      <c r="G781" s="96"/>
      <c r="H781" s="96"/>
      <c r="I781" s="102"/>
      <c r="J781" s="96"/>
      <c r="L781" s="96"/>
      <c r="M781" s="96"/>
    </row>
    <row r="782" spans="6:13" ht="12.5">
      <c r="F782" s="96"/>
      <c r="G782" s="96"/>
      <c r="H782" s="96"/>
      <c r="I782" s="102"/>
      <c r="J782" s="96"/>
      <c r="L782" s="96"/>
      <c r="M782" s="96"/>
    </row>
    <row r="783" spans="6:13" ht="12.5">
      <c r="F783" s="96"/>
      <c r="G783" s="96"/>
      <c r="H783" s="96"/>
      <c r="I783" s="102"/>
      <c r="J783" s="96"/>
      <c r="L783" s="96"/>
      <c r="M783" s="96"/>
    </row>
    <row r="784" spans="6:13" ht="12.5">
      <c r="F784" s="96"/>
      <c r="G784" s="96"/>
      <c r="H784" s="96"/>
      <c r="I784" s="102"/>
      <c r="J784" s="96"/>
      <c r="L784" s="96"/>
      <c r="M784" s="96"/>
    </row>
    <row r="785" spans="6:13" ht="12.5">
      <c r="F785" s="96"/>
      <c r="G785" s="96"/>
      <c r="H785" s="96"/>
      <c r="I785" s="102"/>
      <c r="J785" s="96"/>
      <c r="L785" s="96"/>
      <c r="M785" s="96"/>
    </row>
    <row r="786" spans="6:13" ht="12.5">
      <c r="F786" s="96"/>
      <c r="G786" s="96"/>
      <c r="H786" s="96"/>
      <c r="I786" s="102"/>
      <c r="J786" s="96"/>
      <c r="L786" s="96"/>
      <c r="M786" s="96"/>
    </row>
    <row r="787" spans="6:13" ht="12.5">
      <c r="F787" s="96"/>
      <c r="G787" s="96"/>
      <c r="H787" s="96"/>
      <c r="I787" s="102"/>
      <c r="J787" s="96"/>
      <c r="L787" s="96"/>
      <c r="M787" s="96"/>
    </row>
    <row r="788" spans="6:13" ht="12.5">
      <c r="F788" s="96"/>
      <c r="G788" s="96"/>
      <c r="H788" s="96"/>
      <c r="I788" s="102"/>
      <c r="J788" s="96"/>
      <c r="L788" s="96"/>
      <c r="M788" s="96"/>
    </row>
    <row r="789" spans="6:13" ht="12.5">
      <c r="F789" s="96"/>
      <c r="G789" s="96"/>
      <c r="H789" s="96"/>
      <c r="I789" s="102"/>
      <c r="J789" s="96"/>
      <c r="L789" s="96"/>
      <c r="M789" s="96"/>
    </row>
    <row r="790" spans="6:13" ht="12.5">
      <c r="F790" s="96"/>
      <c r="G790" s="96"/>
      <c r="H790" s="96"/>
      <c r="I790" s="102"/>
      <c r="J790" s="96"/>
      <c r="L790" s="96"/>
      <c r="M790" s="96"/>
    </row>
    <row r="791" spans="6:13" ht="12.5">
      <c r="F791" s="96"/>
      <c r="G791" s="96"/>
      <c r="H791" s="96"/>
      <c r="I791" s="102"/>
      <c r="J791" s="96"/>
      <c r="L791" s="96"/>
      <c r="M791" s="96"/>
    </row>
    <row r="792" spans="6:13" ht="12.5">
      <c r="F792" s="96"/>
      <c r="G792" s="96"/>
      <c r="H792" s="96"/>
      <c r="I792" s="102"/>
      <c r="J792" s="96"/>
      <c r="L792" s="96"/>
      <c r="M792" s="96"/>
    </row>
    <row r="793" spans="6:13" ht="12.5">
      <c r="F793" s="96"/>
      <c r="G793" s="96"/>
      <c r="H793" s="96"/>
      <c r="I793" s="102"/>
      <c r="J793" s="96"/>
      <c r="L793" s="96"/>
      <c r="M793" s="96"/>
    </row>
    <row r="794" spans="6:13" ht="12.5">
      <c r="F794" s="96"/>
      <c r="G794" s="96"/>
      <c r="H794" s="96"/>
      <c r="I794" s="102"/>
      <c r="J794" s="96"/>
      <c r="L794" s="96"/>
      <c r="M794" s="96"/>
    </row>
    <row r="795" spans="6:13" ht="12.5">
      <c r="F795" s="96"/>
      <c r="G795" s="96"/>
      <c r="H795" s="96"/>
      <c r="I795" s="102"/>
      <c r="J795" s="96"/>
      <c r="L795" s="96"/>
      <c r="M795" s="96"/>
    </row>
    <row r="796" spans="6:13" ht="12.5">
      <c r="F796" s="96"/>
      <c r="G796" s="96"/>
      <c r="H796" s="96"/>
      <c r="I796" s="102"/>
      <c r="J796" s="96"/>
      <c r="L796" s="96"/>
      <c r="M796" s="96"/>
    </row>
    <row r="797" spans="6:13" ht="12.5">
      <c r="F797" s="96"/>
      <c r="G797" s="96"/>
      <c r="H797" s="96"/>
      <c r="I797" s="102"/>
      <c r="J797" s="96"/>
      <c r="L797" s="96"/>
      <c r="M797" s="96"/>
    </row>
    <row r="798" spans="6:13" ht="12.5">
      <c r="F798" s="96"/>
      <c r="G798" s="96"/>
      <c r="H798" s="96"/>
      <c r="I798" s="102"/>
      <c r="J798" s="96"/>
      <c r="L798" s="96"/>
      <c r="M798" s="96"/>
    </row>
    <row r="799" spans="6:13" ht="12.5">
      <c r="F799" s="96"/>
      <c r="G799" s="96"/>
      <c r="H799" s="96"/>
      <c r="I799" s="102"/>
      <c r="J799" s="96"/>
      <c r="L799" s="96"/>
      <c r="M799" s="96"/>
    </row>
    <row r="800" spans="6:13" ht="12.5">
      <c r="F800" s="96"/>
      <c r="G800" s="96"/>
      <c r="H800" s="96"/>
      <c r="I800" s="102"/>
      <c r="J800" s="96"/>
      <c r="L800" s="96"/>
      <c r="M800" s="96"/>
    </row>
    <row r="801" spans="6:13" ht="12.5">
      <c r="F801" s="96"/>
      <c r="G801" s="96"/>
      <c r="H801" s="96"/>
      <c r="I801" s="102"/>
      <c r="J801" s="96"/>
      <c r="L801" s="96"/>
      <c r="M801" s="96"/>
    </row>
    <row r="802" spans="6:13" ht="12.5">
      <c r="F802" s="96"/>
      <c r="G802" s="96"/>
      <c r="H802" s="96"/>
      <c r="I802" s="102"/>
      <c r="J802" s="96"/>
      <c r="L802" s="96"/>
      <c r="M802" s="96"/>
    </row>
    <row r="803" spans="6:13" ht="12.5">
      <c r="F803" s="96"/>
      <c r="G803" s="96"/>
      <c r="H803" s="96"/>
      <c r="I803" s="102"/>
      <c r="J803" s="96"/>
      <c r="L803" s="96"/>
      <c r="M803" s="96"/>
    </row>
    <row r="804" spans="6:13" ht="12.5">
      <c r="F804" s="96"/>
      <c r="G804" s="96"/>
      <c r="H804" s="96"/>
      <c r="I804" s="102"/>
      <c r="J804" s="96"/>
      <c r="L804" s="96"/>
      <c r="M804" s="96"/>
    </row>
    <row r="805" spans="6:13" ht="12.5">
      <c r="F805" s="96"/>
      <c r="G805" s="96"/>
      <c r="H805" s="96"/>
      <c r="I805" s="102"/>
      <c r="J805" s="96"/>
      <c r="L805" s="96"/>
      <c r="M805" s="96"/>
    </row>
    <row r="806" spans="6:13" ht="12.5">
      <c r="F806" s="96"/>
      <c r="G806" s="96"/>
      <c r="H806" s="96"/>
      <c r="I806" s="102"/>
      <c r="J806" s="96"/>
      <c r="L806" s="96"/>
      <c r="M806" s="96"/>
    </row>
    <row r="807" spans="6:13" ht="12.5">
      <c r="F807" s="96"/>
      <c r="G807" s="96"/>
      <c r="H807" s="96"/>
      <c r="I807" s="102"/>
      <c r="J807" s="96"/>
      <c r="L807" s="96"/>
      <c r="M807" s="96"/>
    </row>
    <row r="808" spans="6:13" ht="12.5">
      <c r="F808" s="96"/>
      <c r="G808" s="96"/>
      <c r="H808" s="96"/>
      <c r="I808" s="102"/>
      <c r="J808" s="96"/>
      <c r="L808" s="96"/>
      <c r="M808" s="96"/>
    </row>
    <row r="809" spans="6:13" ht="12.5">
      <c r="F809" s="96"/>
      <c r="G809" s="96"/>
      <c r="H809" s="96"/>
      <c r="I809" s="102"/>
      <c r="J809" s="96"/>
      <c r="L809" s="96"/>
      <c r="M809" s="96"/>
    </row>
    <row r="810" spans="6:13" ht="12.5">
      <c r="F810" s="96"/>
      <c r="G810" s="96"/>
      <c r="H810" s="96"/>
      <c r="I810" s="102"/>
      <c r="J810" s="96"/>
      <c r="L810" s="96"/>
      <c r="M810" s="96"/>
    </row>
    <row r="811" spans="6:13" ht="12.5">
      <c r="F811" s="96"/>
      <c r="G811" s="96"/>
      <c r="H811" s="96"/>
      <c r="I811" s="102"/>
      <c r="J811" s="96"/>
      <c r="L811" s="96"/>
      <c r="M811" s="96"/>
    </row>
    <row r="812" spans="6:13" ht="12.5">
      <c r="F812" s="96"/>
      <c r="G812" s="96"/>
      <c r="H812" s="96"/>
      <c r="I812" s="102"/>
      <c r="J812" s="96"/>
      <c r="L812" s="96"/>
      <c r="M812" s="96"/>
    </row>
    <row r="813" spans="6:13" ht="12.5">
      <c r="F813" s="96"/>
      <c r="G813" s="96"/>
      <c r="H813" s="96"/>
      <c r="I813" s="102"/>
      <c r="J813" s="96"/>
      <c r="L813" s="96"/>
      <c r="M813" s="96"/>
    </row>
    <row r="814" spans="6:13" ht="12.5">
      <c r="F814" s="96"/>
      <c r="G814" s="96"/>
      <c r="H814" s="96"/>
      <c r="I814" s="102"/>
      <c r="J814" s="96"/>
      <c r="L814" s="96"/>
      <c r="M814" s="96"/>
    </row>
    <row r="815" spans="6:13" ht="12.5">
      <c r="F815" s="96"/>
      <c r="G815" s="96"/>
      <c r="H815" s="96"/>
      <c r="I815" s="102"/>
      <c r="J815" s="96"/>
      <c r="L815" s="96"/>
      <c r="M815" s="96"/>
    </row>
    <row r="816" spans="6:13" ht="12.5">
      <c r="F816" s="96"/>
      <c r="G816" s="96"/>
      <c r="H816" s="96"/>
      <c r="I816" s="102"/>
      <c r="J816" s="96"/>
      <c r="L816" s="96"/>
      <c r="M816" s="96"/>
    </row>
    <row r="817" spans="6:13" ht="12.5">
      <c r="F817" s="96"/>
      <c r="G817" s="96"/>
      <c r="H817" s="96"/>
      <c r="I817" s="102"/>
      <c r="J817" s="96"/>
      <c r="L817" s="96"/>
      <c r="M817" s="96"/>
    </row>
    <row r="818" spans="6:13" ht="12.5">
      <c r="F818" s="96"/>
      <c r="G818" s="96"/>
      <c r="H818" s="96"/>
      <c r="I818" s="102"/>
      <c r="J818" s="96"/>
      <c r="L818" s="96"/>
      <c r="M818" s="96"/>
    </row>
    <row r="819" spans="6:13" ht="12.5">
      <c r="F819" s="96"/>
      <c r="G819" s="96"/>
      <c r="H819" s="96"/>
      <c r="I819" s="102"/>
      <c r="J819" s="96"/>
      <c r="L819" s="96"/>
      <c r="M819" s="96"/>
    </row>
    <row r="820" spans="6:13" ht="12.5">
      <c r="F820" s="96"/>
      <c r="G820" s="96"/>
      <c r="H820" s="96"/>
      <c r="I820" s="102"/>
      <c r="J820" s="96"/>
      <c r="L820" s="96"/>
      <c r="M820" s="96"/>
    </row>
    <row r="821" spans="6:13" ht="12.5">
      <c r="F821" s="96"/>
      <c r="G821" s="96"/>
      <c r="H821" s="96"/>
      <c r="I821" s="102"/>
      <c r="J821" s="96"/>
      <c r="L821" s="96"/>
      <c r="M821" s="96"/>
    </row>
    <row r="822" spans="6:13" ht="12.5">
      <c r="F822" s="96"/>
      <c r="G822" s="96"/>
      <c r="H822" s="96"/>
      <c r="I822" s="102"/>
      <c r="J822" s="96"/>
      <c r="L822" s="96"/>
      <c r="M822" s="96"/>
    </row>
    <row r="823" spans="6:13" ht="12.5">
      <c r="F823" s="96"/>
      <c r="G823" s="96"/>
      <c r="H823" s="96"/>
      <c r="I823" s="102"/>
      <c r="J823" s="96"/>
      <c r="L823" s="96"/>
      <c r="M823" s="96"/>
    </row>
    <row r="824" spans="6:13" ht="12.5">
      <c r="F824" s="96"/>
      <c r="G824" s="96"/>
      <c r="H824" s="96"/>
      <c r="I824" s="102"/>
      <c r="J824" s="96"/>
      <c r="L824" s="96"/>
      <c r="M824" s="96"/>
    </row>
    <row r="825" spans="6:13" ht="12.5">
      <c r="F825" s="96"/>
      <c r="G825" s="96"/>
      <c r="H825" s="96"/>
      <c r="I825" s="102"/>
      <c r="J825" s="96"/>
      <c r="L825" s="96"/>
      <c r="M825" s="96"/>
    </row>
    <row r="826" spans="6:13" ht="12.5">
      <c r="F826" s="96"/>
      <c r="G826" s="96"/>
      <c r="H826" s="96"/>
      <c r="I826" s="102"/>
      <c r="J826" s="96"/>
      <c r="L826" s="96"/>
      <c r="M826" s="96"/>
    </row>
    <row r="827" spans="6:13" ht="12.5">
      <c r="F827" s="96"/>
      <c r="G827" s="96"/>
      <c r="H827" s="96"/>
      <c r="I827" s="102"/>
      <c r="J827" s="96"/>
      <c r="L827" s="96"/>
      <c r="M827" s="96"/>
    </row>
    <row r="828" spans="6:13" ht="12.5">
      <c r="F828" s="96"/>
      <c r="G828" s="96"/>
      <c r="H828" s="96"/>
      <c r="I828" s="102"/>
      <c r="J828" s="96"/>
      <c r="L828" s="96"/>
      <c r="M828" s="96"/>
    </row>
    <row r="829" spans="6:13" ht="12.5">
      <c r="F829" s="96"/>
      <c r="G829" s="96"/>
      <c r="H829" s="96"/>
      <c r="I829" s="102"/>
      <c r="J829" s="96"/>
      <c r="L829" s="96"/>
      <c r="M829" s="96"/>
    </row>
    <row r="830" spans="6:13" ht="12.5">
      <c r="F830" s="96"/>
      <c r="G830" s="96"/>
      <c r="H830" s="96"/>
      <c r="I830" s="102"/>
      <c r="J830" s="96"/>
      <c r="L830" s="96"/>
      <c r="M830" s="96"/>
    </row>
    <row r="831" spans="6:13" ht="12.5">
      <c r="F831" s="96"/>
      <c r="G831" s="96"/>
      <c r="H831" s="96"/>
      <c r="I831" s="102"/>
      <c r="J831" s="96"/>
      <c r="L831" s="96"/>
      <c r="M831" s="96"/>
    </row>
    <row r="832" spans="6:13" ht="12.5">
      <c r="F832" s="96"/>
      <c r="G832" s="96"/>
      <c r="H832" s="96"/>
      <c r="I832" s="102"/>
      <c r="J832" s="96"/>
      <c r="L832" s="96"/>
      <c r="M832" s="96"/>
    </row>
    <row r="833" spans="6:13" ht="12.5">
      <c r="F833" s="96"/>
      <c r="G833" s="96"/>
      <c r="H833" s="96"/>
      <c r="I833" s="102"/>
      <c r="J833" s="96"/>
      <c r="L833" s="96"/>
      <c r="M833" s="96"/>
    </row>
    <row r="834" spans="6:13" ht="12.5">
      <c r="F834" s="96"/>
      <c r="G834" s="96"/>
      <c r="H834" s="96"/>
      <c r="I834" s="102"/>
      <c r="J834" s="96"/>
      <c r="L834" s="96"/>
      <c r="M834" s="96"/>
    </row>
    <row r="835" spans="6:13" ht="12.5">
      <c r="F835" s="96"/>
      <c r="G835" s="96"/>
      <c r="H835" s="96"/>
      <c r="I835" s="102"/>
      <c r="J835" s="96"/>
      <c r="L835" s="96"/>
      <c r="M835" s="96"/>
    </row>
    <row r="836" spans="6:13" ht="12.5">
      <c r="F836" s="96"/>
      <c r="G836" s="96"/>
      <c r="H836" s="96"/>
      <c r="I836" s="102"/>
      <c r="J836" s="96"/>
      <c r="L836" s="96"/>
      <c r="M836" s="96"/>
    </row>
    <row r="837" spans="6:13" ht="12.5">
      <c r="F837" s="96"/>
      <c r="G837" s="96"/>
      <c r="H837" s="96"/>
      <c r="I837" s="102"/>
      <c r="J837" s="96"/>
      <c r="L837" s="96"/>
      <c r="M837" s="96"/>
    </row>
    <row r="838" spans="6:13" ht="12.5">
      <c r="F838" s="96"/>
      <c r="G838" s="96"/>
      <c r="H838" s="96"/>
      <c r="I838" s="102"/>
      <c r="J838" s="96"/>
      <c r="L838" s="96"/>
      <c r="M838" s="96"/>
    </row>
    <row r="839" spans="6:13" ht="12.5">
      <c r="F839" s="96"/>
      <c r="G839" s="96"/>
      <c r="H839" s="96"/>
      <c r="I839" s="102"/>
      <c r="J839" s="96"/>
      <c r="L839" s="96"/>
      <c r="M839" s="96"/>
    </row>
    <row r="840" spans="6:13" ht="12.5">
      <c r="F840" s="96"/>
      <c r="G840" s="96"/>
      <c r="H840" s="96"/>
      <c r="I840" s="102"/>
      <c r="J840" s="96"/>
      <c r="L840" s="96"/>
      <c r="M840" s="96"/>
    </row>
    <row r="841" spans="6:13" ht="12.5">
      <c r="F841" s="96"/>
      <c r="G841" s="96"/>
      <c r="H841" s="96"/>
      <c r="I841" s="102"/>
      <c r="J841" s="96"/>
      <c r="L841" s="96"/>
      <c r="M841" s="96"/>
    </row>
    <row r="842" spans="6:13" ht="12.5">
      <c r="F842" s="96"/>
      <c r="G842" s="96"/>
      <c r="H842" s="96"/>
      <c r="I842" s="102"/>
      <c r="J842" s="96"/>
      <c r="L842" s="96"/>
      <c r="M842" s="96"/>
    </row>
    <row r="843" spans="6:13" ht="12.5">
      <c r="F843" s="96"/>
      <c r="G843" s="96"/>
      <c r="H843" s="96"/>
      <c r="I843" s="102"/>
      <c r="J843" s="96"/>
      <c r="L843" s="96"/>
      <c r="M843" s="96"/>
    </row>
    <row r="844" spans="6:13" ht="12.5">
      <c r="F844" s="96"/>
      <c r="G844" s="96"/>
      <c r="H844" s="96"/>
      <c r="I844" s="102"/>
      <c r="J844" s="96"/>
      <c r="L844" s="96"/>
      <c r="M844" s="96"/>
    </row>
    <row r="845" spans="6:13" ht="12.5">
      <c r="F845" s="96"/>
      <c r="G845" s="96"/>
      <c r="H845" s="96"/>
      <c r="I845" s="102"/>
      <c r="J845" s="96"/>
      <c r="L845" s="96"/>
      <c r="M845" s="96"/>
    </row>
    <row r="846" spans="6:13" ht="12.5">
      <c r="F846" s="96"/>
      <c r="G846" s="96"/>
      <c r="H846" s="96"/>
      <c r="I846" s="102"/>
      <c r="J846" s="96"/>
      <c r="L846" s="96"/>
      <c r="M846" s="96"/>
    </row>
    <row r="847" spans="6:13" ht="12.5">
      <c r="F847" s="96"/>
      <c r="G847" s="96"/>
      <c r="H847" s="96"/>
      <c r="I847" s="102"/>
      <c r="J847" s="96"/>
      <c r="L847" s="96"/>
      <c r="M847" s="96"/>
    </row>
    <row r="848" spans="6:13" ht="12.5">
      <c r="F848" s="96"/>
      <c r="G848" s="96"/>
      <c r="H848" s="96"/>
      <c r="I848" s="102"/>
      <c r="J848" s="96"/>
      <c r="L848" s="96"/>
      <c r="M848" s="96"/>
    </row>
    <row r="849" spans="6:13" ht="12.5">
      <c r="F849" s="96"/>
      <c r="G849" s="96"/>
      <c r="H849" s="96"/>
      <c r="I849" s="102"/>
      <c r="J849" s="96"/>
      <c r="L849" s="96"/>
      <c r="M849" s="96"/>
    </row>
    <row r="850" spans="6:13" ht="12.5">
      <c r="F850" s="96"/>
      <c r="G850" s="96"/>
      <c r="H850" s="96"/>
      <c r="I850" s="102"/>
      <c r="J850" s="96"/>
      <c r="L850" s="96"/>
      <c r="M850" s="96"/>
    </row>
    <row r="851" spans="6:13" ht="12.5">
      <c r="F851" s="96"/>
      <c r="G851" s="96"/>
      <c r="H851" s="96"/>
      <c r="I851" s="102"/>
      <c r="J851" s="96"/>
      <c r="L851" s="96"/>
      <c r="M851" s="96"/>
    </row>
    <row r="852" spans="6:13" ht="12.5">
      <c r="F852" s="96"/>
      <c r="G852" s="96"/>
      <c r="H852" s="96"/>
      <c r="I852" s="102"/>
      <c r="J852" s="96"/>
      <c r="L852" s="96"/>
      <c r="M852" s="96"/>
    </row>
    <row r="853" spans="6:13" ht="12.5">
      <c r="F853" s="96"/>
      <c r="G853" s="96"/>
      <c r="H853" s="96"/>
      <c r="I853" s="102"/>
      <c r="J853" s="96"/>
      <c r="L853" s="96"/>
      <c r="M853" s="96"/>
    </row>
    <row r="854" spans="6:13" ht="12.5">
      <c r="F854" s="96"/>
      <c r="G854" s="96"/>
      <c r="H854" s="96"/>
      <c r="I854" s="102"/>
      <c r="J854" s="96"/>
      <c r="L854" s="96"/>
      <c r="M854" s="96"/>
    </row>
    <row r="855" spans="6:13" ht="12.5">
      <c r="F855" s="96"/>
      <c r="G855" s="96"/>
      <c r="H855" s="96"/>
      <c r="I855" s="102"/>
      <c r="J855" s="96"/>
      <c r="L855" s="96"/>
      <c r="M855" s="96"/>
    </row>
    <row r="856" spans="6:13" ht="12.5">
      <c r="F856" s="96"/>
      <c r="G856" s="96"/>
      <c r="H856" s="96"/>
      <c r="I856" s="102"/>
      <c r="J856" s="96"/>
      <c r="L856" s="96"/>
      <c r="M856" s="96"/>
    </row>
    <row r="857" spans="6:13" ht="12.5">
      <c r="F857" s="96"/>
      <c r="G857" s="96"/>
      <c r="H857" s="96"/>
      <c r="I857" s="102"/>
      <c r="J857" s="96"/>
      <c r="L857" s="96"/>
      <c r="M857" s="96"/>
    </row>
    <row r="858" spans="6:13" ht="12.5">
      <c r="F858" s="96"/>
      <c r="G858" s="96"/>
      <c r="H858" s="96"/>
      <c r="I858" s="102"/>
      <c r="J858" s="96"/>
      <c r="L858" s="96"/>
      <c r="M858" s="96"/>
    </row>
    <row r="859" spans="6:13" ht="12.5">
      <c r="F859" s="96"/>
      <c r="G859" s="96"/>
      <c r="H859" s="96"/>
      <c r="I859" s="102"/>
      <c r="J859" s="96"/>
      <c r="L859" s="96"/>
      <c r="M859" s="96"/>
    </row>
    <row r="860" spans="6:13" ht="12.5">
      <c r="F860" s="96"/>
      <c r="G860" s="96"/>
      <c r="H860" s="96"/>
      <c r="I860" s="102"/>
      <c r="J860" s="96"/>
      <c r="L860" s="96"/>
      <c r="M860" s="96"/>
    </row>
    <row r="861" spans="6:13" ht="12.5">
      <c r="F861" s="96"/>
      <c r="G861" s="96"/>
      <c r="H861" s="96"/>
      <c r="I861" s="102"/>
      <c r="J861" s="96"/>
      <c r="L861" s="96"/>
      <c r="M861" s="96"/>
    </row>
    <row r="862" spans="6:13" ht="12.5">
      <c r="F862" s="96"/>
      <c r="G862" s="96"/>
      <c r="H862" s="96"/>
      <c r="I862" s="102"/>
      <c r="J862" s="96"/>
      <c r="L862" s="96"/>
      <c r="M862" s="96"/>
    </row>
    <row r="863" spans="6:13" ht="12.5">
      <c r="F863" s="96"/>
      <c r="G863" s="96"/>
      <c r="H863" s="96"/>
      <c r="I863" s="102"/>
      <c r="J863" s="96"/>
      <c r="L863" s="96"/>
      <c r="M863" s="96"/>
    </row>
    <row r="864" spans="6:13" ht="12.5">
      <c r="F864" s="96"/>
      <c r="G864" s="96"/>
      <c r="H864" s="96"/>
      <c r="I864" s="102"/>
      <c r="J864" s="96"/>
      <c r="L864" s="96"/>
      <c r="M864" s="96"/>
    </row>
    <row r="865" spans="6:13" ht="12.5">
      <c r="F865" s="96"/>
      <c r="G865" s="96"/>
      <c r="H865" s="96"/>
      <c r="I865" s="102"/>
      <c r="J865" s="96"/>
      <c r="L865" s="96"/>
      <c r="M865" s="96"/>
    </row>
    <row r="866" spans="6:13" ht="12.5">
      <c r="F866" s="96"/>
      <c r="G866" s="96"/>
      <c r="H866" s="96"/>
      <c r="I866" s="102"/>
      <c r="J866" s="96"/>
      <c r="L866" s="96"/>
      <c r="M866" s="96"/>
    </row>
    <row r="867" spans="6:13" ht="12.5">
      <c r="F867" s="96"/>
      <c r="G867" s="96"/>
      <c r="H867" s="96"/>
      <c r="I867" s="102"/>
      <c r="J867" s="96"/>
      <c r="L867" s="96"/>
      <c r="M867" s="96"/>
    </row>
    <row r="868" spans="6:13" ht="12.5">
      <c r="F868" s="96"/>
      <c r="G868" s="96"/>
      <c r="H868" s="96"/>
      <c r="I868" s="102"/>
      <c r="J868" s="96"/>
      <c r="L868" s="96"/>
      <c r="M868" s="96"/>
    </row>
    <row r="869" spans="6:13" ht="12.5">
      <c r="F869" s="96"/>
      <c r="G869" s="96"/>
      <c r="H869" s="96"/>
      <c r="I869" s="102"/>
      <c r="J869" s="96"/>
      <c r="L869" s="96"/>
      <c r="M869" s="96"/>
    </row>
    <row r="870" spans="6:13" ht="12.5">
      <c r="F870" s="96"/>
      <c r="G870" s="96"/>
      <c r="H870" s="96"/>
      <c r="I870" s="102"/>
      <c r="J870" s="96"/>
      <c r="L870" s="96"/>
      <c r="M870" s="96"/>
    </row>
    <row r="871" spans="6:13" ht="12.5">
      <c r="F871" s="96"/>
      <c r="G871" s="96"/>
      <c r="H871" s="96"/>
      <c r="I871" s="102"/>
      <c r="J871" s="96"/>
      <c r="L871" s="96"/>
      <c r="M871" s="96"/>
    </row>
    <row r="872" spans="6:13" ht="12.5">
      <c r="F872" s="96"/>
      <c r="G872" s="96"/>
      <c r="H872" s="96"/>
      <c r="I872" s="102"/>
      <c r="J872" s="96"/>
      <c r="L872" s="96"/>
      <c r="M872" s="96"/>
    </row>
    <row r="873" spans="6:13" ht="12.5">
      <c r="F873" s="96"/>
      <c r="G873" s="96"/>
      <c r="H873" s="96"/>
      <c r="I873" s="102"/>
      <c r="J873" s="96"/>
      <c r="L873" s="96"/>
      <c r="M873" s="96"/>
    </row>
    <row r="874" spans="6:13" ht="12.5">
      <c r="F874" s="96"/>
      <c r="G874" s="96"/>
      <c r="H874" s="96"/>
      <c r="I874" s="102"/>
      <c r="J874" s="96"/>
      <c r="L874" s="96"/>
      <c r="M874" s="96"/>
    </row>
    <row r="875" spans="6:13" ht="12.5">
      <c r="F875" s="96"/>
      <c r="G875" s="96"/>
      <c r="H875" s="96"/>
      <c r="I875" s="102"/>
      <c r="J875" s="96"/>
      <c r="L875" s="96"/>
      <c r="M875" s="96"/>
    </row>
    <row r="876" spans="6:13" ht="12.5">
      <c r="F876" s="96"/>
      <c r="G876" s="96"/>
      <c r="H876" s="96"/>
      <c r="I876" s="102"/>
      <c r="J876" s="96"/>
      <c r="L876" s="96"/>
      <c r="M876" s="96"/>
    </row>
    <row r="877" spans="6:13" ht="12.5">
      <c r="F877" s="96"/>
      <c r="G877" s="96"/>
      <c r="H877" s="96"/>
      <c r="I877" s="102"/>
      <c r="J877" s="96"/>
      <c r="L877" s="96"/>
      <c r="M877" s="96"/>
    </row>
    <row r="878" spans="6:13" ht="12.5">
      <c r="F878" s="96"/>
      <c r="G878" s="96"/>
      <c r="H878" s="96"/>
      <c r="I878" s="102"/>
      <c r="J878" s="96"/>
      <c r="L878" s="96"/>
      <c r="M878" s="96"/>
    </row>
    <row r="879" spans="6:13" ht="12.5">
      <c r="F879" s="96"/>
      <c r="G879" s="96"/>
      <c r="H879" s="96"/>
      <c r="I879" s="102"/>
      <c r="J879" s="96"/>
      <c r="L879" s="96"/>
      <c r="M879" s="96"/>
    </row>
    <row r="880" spans="6:13" ht="12.5">
      <c r="F880" s="96"/>
      <c r="G880" s="96"/>
      <c r="H880" s="96"/>
      <c r="I880" s="102"/>
      <c r="J880" s="96"/>
      <c r="L880" s="96"/>
      <c r="M880" s="96"/>
    </row>
    <row r="881" spans="6:13" ht="12.5">
      <c r="F881" s="96"/>
      <c r="G881" s="96"/>
      <c r="H881" s="96"/>
      <c r="I881" s="102"/>
      <c r="J881" s="96"/>
      <c r="L881" s="96"/>
      <c r="M881" s="96"/>
    </row>
    <row r="882" spans="6:13" ht="12.5">
      <c r="F882" s="96"/>
      <c r="G882" s="96"/>
      <c r="H882" s="96"/>
      <c r="I882" s="102"/>
      <c r="J882" s="96"/>
      <c r="L882" s="96"/>
      <c r="M882" s="96"/>
    </row>
    <row r="883" spans="6:13" ht="12.5">
      <c r="F883" s="96"/>
      <c r="G883" s="96"/>
      <c r="H883" s="96"/>
      <c r="I883" s="102"/>
      <c r="J883" s="96"/>
      <c r="L883" s="96"/>
      <c r="M883" s="96"/>
    </row>
    <row r="884" spans="6:13" ht="12.5">
      <c r="F884" s="96"/>
      <c r="G884" s="96"/>
      <c r="H884" s="96"/>
      <c r="I884" s="102"/>
      <c r="J884" s="96"/>
      <c r="L884" s="96"/>
      <c r="M884" s="96"/>
    </row>
    <row r="885" spans="6:13" ht="12.5">
      <c r="F885" s="96"/>
      <c r="G885" s="96"/>
      <c r="H885" s="96"/>
      <c r="I885" s="102"/>
      <c r="J885" s="96"/>
      <c r="L885" s="96"/>
      <c r="M885" s="96"/>
    </row>
    <row r="886" spans="6:13" ht="12.5">
      <c r="F886" s="96"/>
      <c r="G886" s="96"/>
      <c r="H886" s="96"/>
      <c r="I886" s="102"/>
      <c r="J886" s="96"/>
      <c r="L886" s="96"/>
      <c r="M886" s="96"/>
    </row>
    <row r="887" spans="6:13" ht="12.5">
      <c r="F887" s="96"/>
      <c r="G887" s="96"/>
      <c r="H887" s="96"/>
      <c r="I887" s="102"/>
      <c r="J887" s="96"/>
      <c r="L887" s="96"/>
      <c r="M887" s="96"/>
    </row>
    <row r="888" spans="6:13" ht="12.5">
      <c r="F888" s="96"/>
      <c r="G888" s="96"/>
      <c r="H888" s="96"/>
      <c r="I888" s="102"/>
      <c r="J888" s="96"/>
      <c r="L888" s="96"/>
      <c r="M888" s="96"/>
    </row>
    <row r="889" spans="6:13" ht="12.5">
      <c r="F889" s="96"/>
      <c r="G889" s="96"/>
      <c r="H889" s="96"/>
      <c r="I889" s="102"/>
      <c r="J889" s="96"/>
      <c r="L889" s="96"/>
      <c r="M889" s="96"/>
    </row>
    <row r="890" spans="6:13" ht="12.5">
      <c r="F890" s="96"/>
      <c r="G890" s="96"/>
      <c r="H890" s="96"/>
      <c r="I890" s="102"/>
      <c r="J890" s="96"/>
      <c r="L890" s="96"/>
      <c r="M890" s="96"/>
    </row>
    <row r="891" spans="6:13" ht="12.5">
      <c r="F891" s="96"/>
      <c r="G891" s="96"/>
      <c r="H891" s="96"/>
      <c r="I891" s="102"/>
      <c r="J891" s="96"/>
      <c r="L891" s="96"/>
      <c r="M891" s="96"/>
    </row>
    <row r="892" spans="6:13" ht="12.5">
      <c r="F892" s="96"/>
      <c r="G892" s="96"/>
      <c r="H892" s="96"/>
      <c r="I892" s="102"/>
      <c r="J892" s="96"/>
      <c r="L892" s="96"/>
      <c r="M892" s="96"/>
    </row>
    <row r="893" spans="6:13" ht="12.5">
      <c r="F893" s="96"/>
      <c r="G893" s="96"/>
      <c r="H893" s="96"/>
      <c r="I893" s="102"/>
      <c r="J893" s="96"/>
      <c r="L893" s="96"/>
      <c r="M893" s="96"/>
    </row>
    <row r="894" spans="6:13" ht="12.5">
      <c r="F894" s="96"/>
      <c r="G894" s="96"/>
      <c r="H894" s="96"/>
      <c r="I894" s="102"/>
      <c r="J894" s="96"/>
      <c r="L894" s="96"/>
      <c r="M894" s="96"/>
    </row>
    <row r="895" spans="6:13" ht="12.5">
      <c r="F895" s="96"/>
      <c r="G895" s="96"/>
      <c r="H895" s="96"/>
      <c r="I895" s="102"/>
      <c r="J895" s="96"/>
      <c r="L895" s="96"/>
      <c r="M895" s="96"/>
    </row>
    <row r="896" spans="6:13" ht="12.5">
      <c r="F896" s="96"/>
      <c r="G896" s="96"/>
      <c r="H896" s="96"/>
      <c r="I896" s="102"/>
      <c r="J896" s="96"/>
      <c r="L896" s="96"/>
      <c r="M896" s="96"/>
    </row>
    <row r="897" spans="6:13" ht="12.5">
      <c r="F897" s="96"/>
      <c r="G897" s="96"/>
      <c r="H897" s="96"/>
      <c r="I897" s="102"/>
      <c r="J897" s="96"/>
      <c r="L897" s="96"/>
      <c r="M897" s="96"/>
    </row>
    <row r="898" spans="6:13" ht="12.5">
      <c r="F898" s="96"/>
      <c r="G898" s="96"/>
      <c r="H898" s="96"/>
      <c r="I898" s="102"/>
      <c r="J898" s="96"/>
      <c r="L898" s="96"/>
      <c r="M898" s="96"/>
    </row>
    <row r="899" spans="6:13" ht="12.5">
      <c r="F899" s="96"/>
      <c r="G899" s="96"/>
      <c r="H899" s="96"/>
      <c r="I899" s="102"/>
      <c r="J899" s="96"/>
      <c r="L899" s="96"/>
      <c r="M899" s="96"/>
    </row>
    <row r="900" spans="6:13" ht="12.5">
      <c r="F900" s="96"/>
      <c r="G900" s="96"/>
      <c r="H900" s="96"/>
      <c r="I900" s="102"/>
      <c r="J900" s="96"/>
      <c r="L900" s="96"/>
      <c r="M900" s="96"/>
    </row>
    <row r="901" spans="6:13" ht="12.5">
      <c r="F901" s="96"/>
      <c r="G901" s="96"/>
      <c r="H901" s="96"/>
      <c r="I901" s="102"/>
      <c r="J901" s="96"/>
      <c r="L901" s="96"/>
      <c r="M901" s="96"/>
    </row>
    <row r="902" spans="6:13" ht="12.5">
      <c r="F902" s="96"/>
      <c r="G902" s="96"/>
      <c r="H902" s="96"/>
      <c r="I902" s="102"/>
      <c r="J902" s="96"/>
      <c r="L902" s="96"/>
      <c r="M902" s="96"/>
    </row>
    <row r="903" spans="6:13" ht="12.5">
      <c r="F903" s="96"/>
      <c r="G903" s="96"/>
      <c r="H903" s="96"/>
      <c r="I903" s="102"/>
      <c r="J903" s="96"/>
      <c r="L903" s="96"/>
      <c r="M903" s="96"/>
    </row>
    <row r="904" spans="6:13" ht="12.5">
      <c r="F904" s="96"/>
      <c r="G904" s="96"/>
      <c r="H904" s="96"/>
      <c r="I904" s="102"/>
      <c r="J904" s="96"/>
      <c r="L904" s="96"/>
      <c r="M904" s="96"/>
    </row>
    <row r="905" spans="6:13" ht="12.5">
      <c r="F905" s="96"/>
      <c r="G905" s="96"/>
      <c r="H905" s="96"/>
      <c r="I905" s="102"/>
      <c r="J905" s="96"/>
      <c r="L905" s="96"/>
      <c r="M905" s="96"/>
    </row>
    <row r="906" spans="6:13" ht="12.5">
      <c r="F906" s="96"/>
      <c r="G906" s="96"/>
      <c r="H906" s="96"/>
      <c r="I906" s="102"/>
      <c r="J906" s="96"/>
      <c r="L906" s="96"/>
      <c r="M906" s="96"/>
    </row>
    <row r="907" spans="6:13" ht="12.5">
      <c r="F907" s="96"/>
      <c r="G907" s="96"/>
      <c r="H907" s="96"/>
      <c r="I907" s="102"/>
      <c r="J907" s="96"/>
      <c r="L907" s="96"/>
      <c r="M907" s="96"/>
    </row>
    <row r="908" spans="6:13" ht="12.5">
      <c r="F908" s="96"/>
      <c r="G908" s="96"/>
      <c r="H908" s="96"/>
      <c r="I908" s="102"/>
      <c r="J908" s="96"/>
      <c r="L908" s="96"/>
      <c r="M908" s="96"/>
    </row>
    <row r="909" spans="6:13" ht="12.5">
      <c r="F909" s="96"/>
      <c r="G909" s="96"/>
      <c r="H909" s="96"/>
      <c r="I909" s="102"/>
      <c r="J909" s="96"/>
      <c r="L909" s="96"/>
      <c r="M909" s="96"/>
    </row>
    <row r="910" spans="6:13" ht="12.5">
      <c r="F910" s="96"/>
      <c r="G910" s="96"/>
      <c r="H910" s="96"/>
      <c r="I910" s="102"/>
      <c r="J910" s="96"/>
      <c r="L910" s="96"/>
      <c r="M910" s="96"/>
    </row>
    <row r="911" spans="6:13" ht="12.5">
      <c r="F911" s="96"/>
      <c r="G911" s="96"/>
      <c r="H911" s="96"/>
      <c r="I911" s="102"/>
      <c r="J911" s="96"/>
      <c r="L911" s="96"/>
      <c r="M911" s="96"/>
    </row>
    <row r="912" spans="6:13" ht="12.5">
      <c r="F912" s="96"/>
      <c r="G912" s="96"/>
      <c r="H912" s="96"/>
      <c r="I912" s="102"/>
      <c r="J912" s="96"/>
      <c r="L912" s="96"/>
      <c r="M912" s="96"/>
    </row>
    <row r="913" spans="6:13" ht="12.5">
      <c r="F913" s="96"/>
      <c r="G913" s="96"/>
      <c r="H913" s="96"/>
      <c r="I913" s="102"/>
      <c r="J913" s="96"/>
      <c r="L913" s="96"/>
      <c r="M913" s="96"/>
    </row>
    <row r="914" spans="6:13" ht="12.5">
      <c r="F914" s="96"/>
      <c r="G914" s="96"/>
      <c r="H914" s="96"/>
      <c r="I914" s="102"/>
      <c r="J914" s="96"/>
      <c r="L914" s="96"/>
      <c r="M914" s="96"/>
    </row>
    <row r="915" spans="6:13" ht="12.5">
      <c r="F915" s="96"/>
      <c r="G915" s="96"/>
      <c r="H915" s="96"/>
      <c r="I915" s="102"/>
      <c r="J915" s="96"/>
      <c r="L915" s="96"/>
      <c r="M915" s="96"/>
    </row>
    <row r="916" spans="6:13" ht="12.5">
      <c r="F916" s="96"/>
      <c r="G916" s="96"/>
      <c r="H916" s="96"/>
      <c r="I916" s="102"/>
      <c r="J916" s="96"/>
      <c r="L916" s="96"/>
      <c r="M916" s="96"/>
    </row>
    <row r="917" spans="6:13" ht="12.5">
      <c r="F917" s="96"/>
      <c r="G917" s="96"/>
      <c r="H917" s="96"/>
      <c r="I917" s="102"/>
      <c r="J917" s="96"/>
      <c r="L917" s="96"/>
      <c r="M917" s="96"/>
    </row>
    <row r="918" spans="6:13" ht="12.5">
      <c r="F918" s="96"/>
      <c r="G918" s="96"/>
      <c r="H918" s="96"/>
      <c r="I918" s="102"/>
      <c r="J918" s="96"/>
      <c r="L918" s="96"/>
      <c r="M918" s="96"/>
    </row>
    <row r="919" spans="6:13" ht="12.5">
      <c r="F919" s="96"/>
      <c r="G919" s="96"/>
      <c r="H919" s="96"/>
      <c r="I919" s="102"/>
      <c r="J919" s="96"/>
      <c r="L919" s="96"/>
      <c r="M919" s="96"/>
    </row>
    <row r="920" spans="6:13" ht="12.5">
      <c r="F920" s="96"/>
      <c r="G920" s="96"/>
      <c r="H920" s="96"/>
      <c r="I920" s="102"/>
      <c r="J920" s="96"/>
      <c r="L920" s="96"/>
      <c r="M920" s="96"/>
    </row>
    <row r="921" spans="6:13" ht="12.5">
      <c r="F921" s="96"/>
      <c r="G921" s="96"/>
      <c r="H921" s="96"/>
      <c r="I921" s="102"/>
      <c r="J921" s="96"/>
      <c r="L921" s="96"/>
      <c r="M921" s="96"/>
    </row>
    <row r="922" spans="6:13" ht="12.5">
      <c r="F922" s="96"/>
      <c r="G922" s="96"/>
      <c r="H922" s="96"/>
      <c r="I922" s="102"/>
      <c r="J922" s="96"/>
      <c r="L922" s="96"/>
      <c r="M922" s="96"/>
    </row>
    <row r="923" spans="6:13" ht="12.5">
      <c r="F923" s="96"/>
      <c r="G923" s="96"/>
      <c r="H923" s="96"/>
      <c r="I923" s="102"/>
      <c r="J923" s="96"/>
      <c r="L923" s="96"/>
      <c r="M923" s="96"/>
    </row>
    <row r="924" spans="6:13" ht="12.5">
      <c r="F924" s="96"/>
      <c r="G924" s="96"/>
      <c r="H924" s="96"/>
      <c r="I924" s="102"/>
      <c r="J924" s="96"/>
      <c r="L924" s="96"/>
      <c r="M924" s="96"/>
    </row>
    <row r="925" spans="6:13" ht="12.5">
      <c r="F925" s="96"/>
      <c r="G925" s="96"/>
      <c r="H925" s="96"/>
      <c r="I925" s="102"/>
      <c r="J925" s="96"/>
      <c r="L925" s="96"/>
      <c r="M925" s="96"/>
    </row>
    <row r="926" spans="6:13" ht="12.5">
      <c r="F926" s="96"/>
      <c r="G926" s="96"/>
      <c r="H926" s="96"/>
      <c r="I926" s="102"/>
      <c r="J926" s="96"/>
      <c r="L926" s="96"/>
      <c r="M926" s="96"/>
    </row>
    <row r="927" spans="6:13" ht="12.5">
      <c r="F927" s="96"/>
      <c r="G927" s="96"/>
      <c r="H927" s="96"/>
      <c r="I927" s="102"/>
      <c r="J927" s="96"/>
      <c r="L927" s="96"/>
      <c r="M927" s="96"/>
    </row>
    <row r="928" spans="6:13" ht="12.5">
      <c r="F928" s="96"/>
      <c r="G928" s="96"/>
      <c r="H928" s="96"/>
      <c r="I928" s="102"/>
      <c r="J928" s="96"/>
      <c r="L928" s="96"/>
      <c r="M928" s="96"/>
    </row>
    <row r="929" spans="6:13" ht="12.5">
      <c r="F929" s="96"/>
      <c r="G929" s="96"/>
      <c r="H929" s="96"/>
      <c r="I929" s="102"/>
      <c r="J929" s="96"/>
      <c r="L929" s="96"/>
      <c r="M929" s="96"/>
    </row>
    <row r="930" spans="6:13" ht="12.5">
      <c r="F930" s="96"/>
      <c r="G930" s="96"/>
      <c r="H930" s="96"/>
      <c r="I930" s="102"/>
      <c r="J930" s="96"/>
      <c r="L930" s="96"/>
      <c r="M930" s="96"/>
    </row>
    <row r="931" spans="6:13" ht="12.5">
      <c r="F931" s="96"/>
      <c r="G931" s="96"/>
      <c r="H931" s="96"/>
      <c r="I931" s="102"/>
      <c r="J931" s="96"/>
      <c r="L931" s="96"/>
      <c r="M931" s="96"/>
    </row>
    <row r="932" spans="6:13" ht="12.5">
      <c r="F932" s="96"/>
      <c r="G932" s="96"/>
      <c r="H932" s="96"/>
      <c r="I932" s="102"/>
      <c r="J932" s="96"/>
      <c r="L932" s="96"/>
      <c r="M932" s="96"/>
    </row>
    <row r="933" spans="6:13" ht="12.5">
      <c r="F933" s="96"/>
      <c r="G933" s="96"/>
      <c r="H933" s="96"/>
      <c r="I933" s="102"/>
      <c r="J933" s="96"/>
      <c r="L933" s="96"/>
      <c r="M933" s="96"/>
    </row>
    <row r="934" spans="6:13" ht="12.5">
      <c r="F934" s="96"/>
      <c r="G934" s="96"/>
      <c r="H934" s="96"/>
      <c r="I934" s="102"/>
      <c r="J934" s="96"/>
      <c r="L934" s="96"/>
      <c r="M934" s="96"/>
    </row>
    <row r="935" spans="6:13" ht="12.5">
      <c r="F935" s="96"/>
      <c r="G935" s="96"/>
      <c r="H935" s="96"/>
      <c r="I935" s="102"/>
      <c r="J935" s="96"/>
      <c r="L935" s="96"/>
      <c r="M935" s="96"/>
    </row>
    <row r="936" spans="6:13" ht="12.5">
      <c r="F936" s="96"/>
      <c r="G936" s="96"/>
      <c r="H936" s="96"/>
      <c r="I936" s="102"/>
      <c r="J936" s="96"/>
      <c r="L936" s="96"/>
      <c r="M936" s="96"/>
    </row>
    <row r="937" spans="6:13" ht="12.5">
      <c r="F937" s="96"/>
      <c r="G937" s="96"/>
      <c r="H937" s="96"/>
      <c r="I937" s="102"/>
      <c r="J937" s="96"/>
      <c r="L937" s="96"/>
      <c r="M937" s="96"/>
    </row>
    <row r="938" spans="6:13" ht="12.5">
      <c r="F938" s="96"/>
      <c r="G938" s="96"/>
      <c r="H938" s="96"/>
      <c r="I938" s="102"/>
      <c r="J938" s="96"/>
      <c r="L938" s="96"/>
      <c r="M938" s="96"/>
    </row>
    <row r="939" spans="6:13" ht="12.5">
      <c r="F939" s="96"/>
      <c r="G939" s="96"/>
      <c r="H939" s="96"/>
      <c r="I939" s="102"/>
      <c r="J939" s="96"/>
      <c r="L939" s="96"/>
      <c r="M939" s="96"/>
    </row>
    <row r="940" spans="6:13" ht="12.5">
      <c r="F940" s="96"/>
      <c r="G940" s="96"/>
      <c r="H940" s="96"/>
      <c r="I940" s="102"/>
      <c r="J940" s="96"/>
      <c r="L940" s="96"/>
      <c r="M940" s="96"/>
    </row>
    <row r="941" spans="6:13" ht="12.5">
      <c r="F941" s="96"/>
      <c r="G941" s="96"/>
      <c r="H941" s="96"/>
      <c r="I941" s="102"/>
      <c r="J941" s="96"/>
      <c r="L941" s="96"/>
      <c r="M941" s="96"/>
    </row>
    <row r="942" spans="6:13" ht="12.5">
      <c r="F942" s="96"/>
      <c r="G942" s="96"/>
      <c r="H942" s="96"/>
      <c r="I942" s="102"/>
      <c r="J942" s="96"/>
      <c r="L942" s="96"/>
      <c r="M942" s="96"/>
    </row>
    <row r="943" spans="6:13" ht="12.5">
      <c r="F943" s="96"/>
      <c r="G943" s="96"/>
      <c r="H943" s="96"/>
      <c r="I943" s="102"/>
      <c r="J943" s="96"/>
      <c r="L943" s="96"/>
      <c r="M943" s="96"/>
    </row>
    <row r="944" spans="6:13" ht="12.5">
      <c r="F944" s="96"/>
      <c r="G944" s="96"/>
      <c r="H944" s="96"/>
      <c r="I944" s="102"/>
      <c r="J944" s="96"/>
      <c r="L944" s="96"/>
      <c r="M944" s="96"/>
    </row>
    <row r="945" spans="6:13" ht="12.5">
      <c r="F945" s="96"/>
      <c r="G945" s="96"/>
      <c r="H945" s="96"/>
      <c r="I945" s="102"/>
      <c r="J945" s="96"/>
      <c r="L945" s="96"/>
      <c r="M945" s="96"/>
    </row>
    <row r="946" spans="6:13" ht="12.5">
      <c r="F946" s="96"/>
      <c r="G946" s="96"/>
      <c r="H946" s="96"/>
      <c r="I946" s="102"/>
      <c r="J946" s="96"/>
      <c r="L946" s="96"/>
      <c r="M946" s="96"/>
    </row>
    <row r="947" spans="6:13" ht="12.5">
      <c r="F947" s="96"/>
      <c r="G947" s="96"/>
      <c r="H947" s="96"/>
      <c r="I947" s="102"/>
      <c r="J947" s="96"/>
      <c r="L947" s="96"/>
      <c r="M947" s="96"/>
    </row>
    <row r="948" spans="6:13" ht="12.5">
      <c r="F948" s="96"/>
      <c r="G948" s="96"/>
      <c r="H948" s="96"/>
      <c r="I948" s="102"/>
      <c r="J948" s="96"/>
      <c r="L948" s="96"/>
      <c r="M948" s="96"/>
    </row>
    <row r="949" spans="6:13" ht="12.5">
      <c r="F949" s="96"/>
      <c r="G949" s="96"/>
      <c r="H949" s="96"/>
      <c r="I949" s="102"/>
      <c r="J949" s="96"/>
      <c r="L949" s="96"/>
      <c r="M949" s="96"/>
    </row>
    <row r="950" spans="6:13" ht="12.5">
      <c r="F950" s="96"/>
      <c r="G950" s="96"/>
      <c r="H950" s="96"/>
      <c r="I950" s="102"/>
      <c r="J950" s="96"/>
      <c r="L950" s="96"/>
      <c r="M950" s="96"/>
    </row>
    <row r="951" spans="6:13" ht="12.5">
      <c r="F951" s="96"/>
      <c r="G951" s="96"/>
      <c r="H951" s="96"/>
      <c r="I951" s="102"/>
      <c r="J951" s="96"/>
      <c r="L951" s="96"/>
      <c r="M951" s="96"/>
    </row>
    <row r="952" spans="6:13" ht="12.5">
      <c r="F952" s="96"/>
      <c r="G952" s="96"/>
      <c r="H952" s="96"/>
      <c r="I952" s="102"/>
      <c r="J952" s="96"/>
      <c r="L952" s="96"/>
      <c r="M952" s="96"/>
    </row>
    <row r="953" spans="6:13" ht="12.5">
      <c r="F953" s="96"/>
      <c r="G953" s="96"/>
      <c r="H953" s="96"/>
      <c r="I953" s="102"/>
      <c r="J953" s="96"/>
      <c r="L953" s="96"/>
      <c r="M953" s="96"/>
    </row>
    <row r="954" spans="6:13" ht="12.5">
      <c r="F954" s="96"/>
      <c r="G954" s="96"/>
      <c r="H954" s="96"/>
      <c r="I954" s="102"/>
      <c r="J954" s="96"/>
      <c r="L954" s="96"/>
      <c r="M954" s="96"/>
    </row>
    <row r="955" spans="6:13" ht="12.5">
      <c r="F955" s="96"/>
      <c r="G955" s="96"/>
      <c r="H955" s="96"/>
      <c r="I955" s="102"/>
      <c r="J955" s="96"/>
      <c r="L955" s="96"/>
      <c r="M955" s="96"/>
    </row>
    <row r="956" spans="6:13" ht="12.5">
      <c r="F956" s="96"/>
      <c r="G956" s="96"/>
      <c r="H956" s="96"/>
      <c r="I956" s="102"/>
      <c r="J956" s="96"/>
      <c r="L956" s="96"/>
      <c r="M956" s="96"/>
    </row>
    <row r="957" spans="6:13" ht="12.5">
      <c r="F957" s="96"/>
      <c r="G957" s="96"/>
      <c r="H957" s="96"/>
      <c r="I957" s="102"/>
      <c r="J957" s="96"/>
      <c r="L957" s="96"/>
      <c r="M957" s="96"/>
    </row>
    <row r="958" spans="6:13" ht="12.5">
      <c r="F958" s="96"/>
      <c r="G958" s="96"/>
      <c r="H958" s="96"/>
      <c r="I958" s="102"/>
      <c r="J958" s="96"/>
      <c r="L958" s="96"/>
      <c r="M958" s="96"/>
    </row>
    <row r="959" spans="6:13" ht="12.5">
      <c r="F959" s="96"/>
      <c r="G959" s="96"/>
      <c r="H959" s="96"/>
      <c r="I959" s="102"/>
      <c r="J959" s="96"/>
      <c r="L959" s="96"/>
      <c r="M959" s="96"/>
    </row>
    <row r="960" spans="6:13" ht="12.5">
      <c r="F960" s="96"/>
      <c r="G960" s="96"/>
      <c r="H960" s="96"/>
      <c r="I960" s="102"/>
      <c r="J960" s="96"/>
      <c r="L960" s="96"/>
      <c r="M960" s="96"/>
    </row>
    <row r="961" spans="6:13" ht="12.5">
      <c r="F961" s="96"/>
      <c r="G961" s="96"/>
      <c r="H961" s="96"/>
      <c r="I961" s="102"/>
      <c r="J961" s="96"/>
      <c r="L961" s="96"/>
      <c r="M961" s="96"/>
    </row>
    <row r="962" spans="6:13" ht="12.5">
      <c r="F962" s="96"/>
      <c r="G962" s="96"/>
      <c r="H962" s="96"/>
      <c r="I962" s="102"/>
      <c r="J962" s="96"/>
      <c r="L962" s="96"/>
      <c r="M962" s="96"/>
    </row>
    <row r="963" spans="6:13" ht="12.5">
      <c r="F963" s="96"/>
      <c r="G963" s="96"/>
      <c r="H963" s="96"/>
      <c r="I963" s="102"/>
      <c r="J963" s="96"/>
      <c r="L963" s="96"/>
      <c r="M963" s="96"/>
    </row>
    <row r="964" spans="6:13" ht="12.5">
      <c r="F964" s="96"/>
      <c r="G964" s="96"/>
      <c r="H964" s="96"/>
      <c r="I964" s="102"/>
      <c r="J964" s="96"/>
      <c r="L964" s="96"/>
      <c r="M964" s="96"/>
    </row>
    <row r="965" spans="6:13" ht="12.5">
      <c r="F965" s="96"/>
      <c r="G965" s="96"/>
      <c r="H965" s="96"/>
      <c r="I965" s="102"/>
      <c r="J965" s="96"/>
      <c r="L965" s="96"/>
      <c r="M965" s="96"/>
    </row>
    <row r="966" spans="6:13" ht="12.5">
      <c r="F966" s="96"/>
      <c r="G966" s="96"/>
      <c r="H966" s="96"/>
      <c r="I966" s="102"/>
      <c r="J966" s="96"/>
      <c r="L966" s="96"/>
      <c r="M966" s="96"/>
    </row>
    <row r="967" spans="6:13" ht="12.5">
      <c r="F967" s="96"/>
      <c r="G967" s="96"/>
      <c r="H967" s="96"/>
      <c r="I967" s="102"/>
      <c r="J967" s="96"/>
      <c r="L967" s="96"/>
      <c r="M967" s="96"/>
    </row>
    <row r="968" spans="6:13" ht="12.5">
      <c r="F968" s="96"/>
      <c r="G968" s="96"/>
      <c r="H968" s="96"/>
      <c r="I968" s="102"/>
      <c r="J968" s="96"/>
      <c r="L968" s="96"/>
      <c r="M968" s="96"/>
    </row>
    <row r="969" spans="6:13" ht="12.5">
      <c r="F969" s="96"/>
      <c r="G969" s="96"/>
      <c r="H969" s="96"/>
      <c r="I969" s="102"/>
      <c r="J969" s="96"/>
      <c r="L969" s="96"/>
      <c r="M969" s="96"/>
    </row>
    <row r="970" spans="6:13" ht="12.5">
      <c r="F970" s="96"/>
      <c r="G970" s="96"/>
      <c r="H970" s="96"/>
      <c r="I970" s="102"/>
      <c r="J970" s="96"/>
      <c r="L970" s="96"/>
      <c r="M970" s="96"/>
    </row>
    <row r="971" spans="6:13" ht="12.5">
      <c r="F971" s="96"/>
      <c r="G971" s="96"/>
      <c r="H971" s="96"/>
      <c r="I971" s="102"/>
      <c r="J971" s="96"/>
      <c r="L971" s="96"/>
      <c r="M971" s="96"/>
    </row>
    <row r="972" spans="6:13" ht="12.5">
      <c r="F972" s="96"/>
      <c r="G972" s="96"/>
      <c r="H972" s="96"/>
      <c r="I972" s="102"/>
      <c r="J972" s="96"/>
      <c r="L972" s="96"/>
      <c r="M972" s="96"/>
    </row>
    <row r="973" spans="6:13" ht="12.5">
      <c r="F973" s="96"/>
      <c r="G973" s="96"/>
      <c r="H973" s="96"/>
      <c r="I973" s="102"/>
      <c r="J973" s="96"/>
      <c r="L973" s="96"/>
      <c r="M973" s="96"/>
    </row>
    <row r="974" spans="6:13" ht="12.5">
      <c r="F974" s="96"/>
      <c r="G974" s="96"/>
      <c r="H974" s="96"/>
      <c r="I974" s="102"/>
      <c r="J974" s="96"/>
      <c r="L974" s="96"/>
      <c r="M974" s="96"/>
    </row>
    <row r="975" spans="6:13" ht="12.5">
      <c r="F975" s="96"/>
      <c r="G975" s="96"/>
      <c r="H975" s="96"/>
      <c r="I975" s="102"/>
      <c r="J975" s="96"/>
      <c r="L975" s="96"/>
      <c r="M975" s="96"/>
    </row>
    <row r="976" spans="6:13" ht="12.5">
      <c r="F976" s="96"/>
      <c r="G976" s="96"/>
      <c r="H976" s="96"/>
      <c r="I976" s="102"/>
      <c r="J976" s="96"/>
      <c r="L976" s="96"/>
      <c r="M976" s="96"/>
    </row>
    <row r="977" spans="6:13" ht="12.5">
      <c r="F977" s="96"/>
      <c r="G977" s="96"/>
      <c r="H977" s="96"/>
      <c r="I977" s="102"/>
      <c r="J977" s="96"/>
      <c r="L977" s="96"/>
      <c r="M977" s="96"/>
    </row>
    <row r="978" spans="6:13" ht="12.5">
      <c r="F978" s="96"/>
      <c r="G978" s="96"/>
      <c r="H978" s="96"/>
      <c r="I978" s="102"/>
      <c r="J978" s="96"/>
      <c r="L978" s="96"/>
      <c r="M978" s="96"/>
    </row>
    <row r="979" spans="6:13" ht="12.5">
      <c r="F979" s="96"/>
      <c r="G979" s="96"/>
      <c r="H979" s="96"/>
      <c r="I979" s="102"/>
      <c r="J979" s="96"/>
      <c r="L979" s="96"/>
      <c r="M979" s="96"/>
    </row>
    <row r="980" spans="6:13" ht="12.5">
      <c r="F980" s="96"/>
      <c r="G980" s="96"/>
      <c r="H980" s="96"/>
      <c r="I980" s="102"/>
      <c r="J980" s="96"/>
      <c r="L980" s="96"/>
      <c r="M980" s="96"/>
    </row>
    <row r="981" spans="6:13" ht="12.5">
      <c r="F981" s="96"/>
      <c r="G981" s="96"/>
      <c r="H981" s="96"/>
      <c r="I981" s="102"/>
      <c r="J981" s="96"/>
      <c r="L981" s="96"/>
      <c r="M981" s="96"/>
    </row>
    <row r="982" spans="6:13" ht="12.5">
      <c r="F982" s="96"/>
      <c r="G982" s="96"/>
      <c r="H982" s="96"/>
      <c r="I982" s="102"/>
      <c r="J982" s="96"/>
      <c r="L982" s="96"/>
      <c r="M982" s="96"/>
    </row>
    <row r="983" spans="6:13" ht="12.5">
      <c r="F983" s="96"/>
      <c r="G983" s="96"/>
      <c r="H983" s="96"/>
      <c r="I983" s="102"/>
      <c r="J983" s="96"/>
      <c r="L983" s="96"/>
      <c r="M983" s="96"/>
    </row>
    <row r="984" spans="6:13" ht="12.5">
      <c r="F984" s="96"/>
      <c r="G984" s="96"/>
      <c r="H984" s="96"/>
      <c r="I984" s="102"/>
      <c r="J984" s="96"/>
      <c r="L984" s="96"/>
      <c r="M984" s="96"/>
    </row>
    <row r="985" spans="6:13" ht="12.5">
      <c r="F985" s="96"/>
      <c r="G985" s="96"/>
      <c r="H985" s="96"/>
      <c r="I985" s="102"/>
      <c r="J985" s="96"/>
      <c r="L985" s="96"/>
      <c r="M985" s="96"/>
    </row>
    <row r="986" spans="6:13" ht="12.5">
      <c r="F986" s="96"/>
      <c r="G986" s="96"/>
      <c r="H986" s="96"/>
      <c r="I986" s="102"/>
      <c r="J986" s="96"/>
      <c r="L986" s="96"/>
      <c r="M986" s="96"/>
    </row>
    <row r="987" spans="6:13" ht="12.5">
      <c r="F987" s="96"/>
      <c r="G987" s="96"/>
      <c r="H987" s="96"/>
      <c r="I987" s="102"/>
      <c r="J987" s="96"/>
      <c r="L987" s="96"/>
      <c r="M987" s="96"/>
    </row>
    <row r="988" spans="6:13" ht="12.5">
      <c r="F988" s="96"/>
      <c r="G988" s="96"/>
      <c r="H988" s="96"/>
      <c r="I988" s="102"/>
      <c r="J988" s="96"/>
      <c r="L988" s="96"/>
      <c r="M988" s="96"/>
    </row>
    <row r="989" spans="6:13" ht="12.5">
      <c r="F989" s="96"/>
      <c r="G989" s="96"/>
      <c r="H989" s="96"/>
      <c r="I989" s="102"/>
      <c r="J989" s="96"/>
      <c r="L989" s="96"/>
      <c r="M989" s="96"/>
    </row>
    <row r="990" spans="6:13" ht="12.5">
      <c r="F990" s="96"/>
      <c r="G990" s="96"/>
      <c r="H990" s="96"/>
      <c r="I990" s="102"/>
      <c r="J990" s="96"/>
      <c r="L990" s="96"/>
      <c r="M990" s="96"/>
    </row>
  </sheetData>
  <autoFilter ref="A1:Q171" xr:uid="{00000000-0009-0000-0000-000005000000}"/>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outlinePr summaryBelow="0" summaryRight="0"/>
  </sheetPr>
  <dimension ref="A1:N131"/>
  <sheetViews>
    <sheetView workbookViewId="0">
      <pane ySplit="1" topLeftCell="A2" activePane="bottomLeft" state="frozen"/>
      <selection pane="bottomLeft" activeCell="B3" sqref="B3"/>
    </sheetView>
  </sheetViews>
  <sheetFormatPr defaultColWidth="12.6328125" defaultRowHeight="15.75" customHeight="1"/>
  <cols>
    <col min="1" max="1" width="40.90625" customWidth="1"/>
    <col min="2" max="2" width="76.90625" customWidth="1"/>
    <col min="5" max="5" width="22" customWidth="1"/>
    <col min="6" max="6" width="15" customWidth="1"/>
    <col min="11" max="11" width="44.7265625" customWidth="1"/>
  </cols>
  <sheetData>
    <row r="1" spans="1:14">
      <c r="A1" s="2" t="s">
        <v>3</v>
      </c>
      <c r="B1" s="2" t="s">
        <v>4</v>
      </c>
      <c r="C1" s="2" t="s">
        <v>3033</v>
      </c>
      <c r="D1" s="2" t="s">
        <v>53</v>
      </c>
      <c r="E1" s="2" t="s">
        <v>54</v>
      </c>
      <c r="F1" s="2" t="s">
        <v>3044</v>
      </c>
      <c r="G1" s="2" t="s">
        <v>3045</v>
      </c>
      <c r="H1" s="2" t="s">
        <v>3046</v>
      </c>
    </row>
    <row r="2" spans="1:14" ht="15.75" customHeight="1">
      <c r="A2" s="5" t="s">
        <v>23</v>
      </c>
      <c r="B2" s="5" t="s">
        <v>3047</v>
      </c>
      <c r="C2" s="5" t="s">
        <v>3042</v>
      </c>
      <c r="D2" s="7">
        <v>45316</v>
      </c>
      <c r="E2" s="7">
        <v>45359</v>
      </c>
      <c r="F2" s="5" t="s">
        <v>3048</v>
      </c>
      <c r="G2" s="10">
        <f t="shared" ref="G2:G131" ca="1" si="0">IF(D2&lt;=NOW(),1,0)</f>
        <v>1</v>
      </c>
      <c r="H2" s="103">
        <f t="shared" ref="H2:H131" ca="1" si="1">IF(NOW()&gt;E2,1,0)</f>
        <v>1</v>
      </c>
      <c r="M2" s="10" t="str">
        <f t="shared" ref="M2:N2" si="2">CONCATENATE(TEXT(D2,"DD-MM-YYYY"))</f>
        <v>25-01-2024</v>
      </c>
      <c r="N2" s="10" t="str">
        <f t="shared" si="2"/>
        <v>08-03-2024</v>
      </c>
    </row>
    <row r="3" spans="1:14" ht="15.75" customHeight="1">
      <c r="A3" s="5" t="s">
        <v>26</v>
      </c>
      <c r="B3" s="5" t="s">
        <v>3049</v>
      </c>
      <c r="C3" s="5" t="s">
        <v>3042</v>
      </c>
      <c r="D3" s="7">
        <v>45334</v>
      </c>
      <c r="E3" s="7">
        <v>45367</v>
      </c>
      <c r="F3" s="5" t="s">
        <v>3048</v>
      </c>
      <c r="G3" s="10">
        <f t="shared" ca="1" si="0"/>
        <v>1</v>
      </c>
      <c r="H3" s="103">
        <f t="shared" ca="1" si="1"/>
        <v>1</v>
      </c>
      <c r="M3" s="10" t="str">
        <f t="shared" ref="M3:N3" si="3">CONCATENATE(TEXT(D3,"DD-MM-YYYY"))</f>
        <v>12-02-2024</v>
      </c>
      <c r="N3" s="10" t="str">
        <f t="shared" si="3"/>
        <v>16-03-2024</v>
      </c>
    </row>
    <row r="4" spans="1:14" ht="15.75" customHeight="1">
      <c r="A4" s="5" t="s">
        <v>28</v>
      </c>
      <c r="B4" s="5" t="s">
        <v>3050</v>
      </c>
      <c r="C4" s="5" t="s">
        <v>3042</v>
      </c>
      <c r="D4" s="7">
        <v>45323</v>
      </c>
      <c r="E4" s="7">
        <v>45351</v>
      </c>
      <c r="F4" s="5" t="s">
        <v>3051</v>
      </c>
      <c r="G4" s="10">
        <f t="shared" ca="1" si="0"/>
        <v>1</v>
      </c>
      <c r="H4" s="103">
        <f t="shared" ca="1" si="1"/>
        <v>1</v>
      </c>
      <c r="M4" s="10" t="str">
        <f t="shared" ref="M4:N4" si="4">CONCATENATE(TEXT(D4,"DD-MM-YYYY"))</f>
        <v>01-02-2024</v>
      </c>
      <c r="N4" s="10" t="str">
        <f t="shared" si="4"/>
        <v>29-02-2024</v>
      </c>
    </row>
    <row r="5" spans="1:14" ht="15.75" customHeight="1">
      <c r="A5" s="10" t="s">
        <v>29</v>
      </c>
      <c r="B5" s="5" t="s">
        <v>3052</v>
      </c>
      <c r="C5" s="5" t="s">
        <v>3042</v>
      </c>
      <c r="D5" s="13">
        <f t="shared" ref="D5:D16" si="5">DATE(2024,MONTH(E5),1)</f>
        <v>45292</v>
      </c>
      <c r="E5" s="13">
        <v>45322</v>
      </c>
      <c r="F5" s="5" t="s">
        <v>3051</v>
      </c>
      <c r="G5" s="10">
        <f t="shared" ca="1" si="0"/>
        <v>1</v>
      </c>
      <c r="H5" s="103">
        <f t="shared" ca="1" si="1"/>
        <v>1</v>
      </c>
      <c r="M5" s="10" t="str">
        <f t="shared" ref="M5:N5" si="6">CONCATENATE(TEXT(D5,"DD-MM-YYYY"))</f>
        <v>01-01-2024</v>
      </c>
      <c r="N5" s="10" t="str">
        <f t="shared" si="6"/>
        <v>31-01-2024</v>
      </c>
    </row>
    <row r="6" spans="1:14" ht="15.75" customHeight="1">
      <c r="A6" s="10" t="s">
        <v>30</v>
      </c>
      <c r="B6" s="5" t="s">
        <v>3053</v>
      </c>
      <c r="C6" s="5" t="s">
        <v>3042</v>
      </c>
      <c r="D6" s="13">
        <f t="shared" si="5"/>
        <v>45352</v>
      </c>
      <c r="E6" s="13">
        <v>45382</v>
      </c>
      <c r="F6" s="5" t="s">
        <v>3051</v>
      </c>
      <c r="G6" s="10">
        <f t="shared" ca="1" si="0"/>
        <v>1</v>
      </c>
      <c r="H6" s="103">
        <f t="shared" ca="1" si="1"/>
        <v>1</v>
      </c>
      <c r="M6" s="10" t="str">
        <f t="shared" ref="M6:N6" si="7">CONCATENATE(TEXT(D6,"DD-MM-YYYY"))</f>
        <v>01-03-2024</v>
      </c>
      <c r="N6" s="10" t="str">
        <f t="shared" si="7"/>
        <v>31-03-2024</v>
      </c>
    </row>
    <row r="7" spans="1:14" ht="15.75" customHeight="1">
      <c r="A7" s="10" t="s">
        <v>31</v>
      </c>
      <c r="B7" s="5" t="s">
        <v>3054</v>
      </c>
      <c r="C7" s="5" t="s">
        <v>3042</v>
      </c>
      <c r="D7" s="13">
        <f t="shared" si="5"/>
        <v>45383</v>
      </c>
      <c r="E7" s="13">
        <v>45412</v>
      </c>
      <c r="F7" s="5" t="s">
        <v>3051</v>
      </c>
      <c r="G7" s="10">
        <f t="shared" ca="1" si="0"/>
        <v>1</v>
      </c>
      <c r="H7" s="103">
        <f t="shared" ca="1" si="1"/>
        <v>1</v>
      </c>
      <c r="M7" s="10" t="str">
        <f t="shared" ref="M7:N7" si="8">CONCATENATE(TEXT(D7,"DD-MM-YYYY"))</f>
        <v>01-04-2024</v>
      </c>
      <c r="N7" s="10" t="str">
        <f t="shared" si="8"/>
        <v>30-04-2024</v>
      </c>
    </row>
    <row r="8" spans="1:14" ht="15.75" customHeight="1">
      <c r="A8" s="10" t="s">
        <v>32</v>
      </c>
      <c r="B8" s="5" t="s">
        <v>3055</v>
      </c>
      <c r="C8" s="5" t="s">
        <v>3042</v>
      </c>
      <c r="D8" s="13">
        <f t="shared" si="5"/>
        <v>45413</v>
      </c>
      <c r="E8" s="13">
        <v>45443</v>
      </c>
      <c r="F8" s="5" t="s">
        <v>3051</v>
      </c>
      <c r="G8" s="10">
        <f t="shared" ca="1" si="0"/>
        <v>1</v>
      </c>
      <c r="H8" s="103">
        <f t="shared" ca="1" si="1"/>
        <v>1</v>
      </c>
      <c r="M8" s="10" t="str">
        <f t="shared" ref="M8:N8" si="9">CONCATENATE(TEXT(D8,"DD-MM-YYYY"))</f>
        <v>01-05-2024</v>
      </c>
      <c r="N8" s="10" t="str">
        <f t="shared" si="9"/>
        <v>31-05-2024</v>
      </c>
    </row>
    <row r="9" spans="1:14" ht="15.75" customHeight="1">
      <c r="A9" s="10" t="s">
        <v>180</v>
      </c>
      <c r="B9" s="5" t="s">
        <v>3056</v>
      </c>
      <c r="C9" s="5" t="s">
        <v>3042</v>
      </c>
      <c r="D9" s="13">
        <f t="shared" si="5"/>
        <v>45444</v>
      </c>
      <c r="E9" s="13">
        <v>45473</v>
      </c>
      <c r="F9" s="5" t="s">
        <v>3051</v>
      </c>
      <c r="G9" s="10">
        <f t="shared" ca="1" si="0"/>
        <v>1</v>
      </c>
      <c r="H9" s="103">
        <f t="shared" ca="1" si="1"/>
        <v>1</v>
      </c>
      <c r="M9" s="10" t="str">
        <f t="shared" ref="M9:N9" si="10">CONCATENATE(TEXT(D9,"DD-MM-YYYY"))</f>
        <v>01-06-2024</v>
      </c>
      <c r="N9" s="10" t="str">
        <f t="shared" si="10"/>
        <v>30-06-2024</v>
      </c>
    </row>
    <row r="10" spans="1:14" ht="15.75" customHeight="1">
      <c r="A10" s="10" t="s">
        <v>33</v>
      </c>
      <c r="B10" s="5" t="s">
        <v>3057</v>
      </c>
      <c r="C10" s="5" t="s">
        <v>3042</v>
      </c>
      <c r="D10" s="13">
        <f t="shared" si="5"/>
        <v>45474</v>
      </c>
      <c r="E10" s="13">
        <v>45504</v>
      </c>
      <c r="F10" s="5" t="s">
        <v>3051</v>
      </c>
      <c r="G10" s="10">
        <f t="shared" ca="1" si="0"/>
        <v>1</v>
      </c>
      <c r="H10" s="103">
        <f t="shared" ca="1" si="1"/>
        <v>1</v>
      </c>
      <c r="M10" s="10" t="str">
        <f t="shared" ref="M10:N10" si="11">CONCATENATE(TEXT(D10,"DD-MM-YYYY"))</f>
        <v>01-07-2024</v>
      </c>
      <c r="N10" s="10" t="str">
        <f t="shared" si="11"/>
        <v>31-07-2024</v>
      </c>
    </row>
    <row r="11" spans="1:14" ht="15.75" customHeight="1">
      <c r="A11" s="10" t="s">
        <v>34</v>
      </c>
      <c r="B11" s="5" t="s">
        <v>3058</v>
      </c>
      <c r="C11" s="5" t="s">
        <v>3042</v>
      </c>
      <c r="D11" s="13">
        <f t="shared" si="5"/>
        <v>45505</v>
      </c>
      <c r="E11" s="13">
        <v>45535</v>
      </c>
      <c r="F11" s="5" t="s">
        <v>3051</v>
      </c>
      <c r="G11" s="10">
        <f t="shared" ca="1" si="0"/>
        <v>1</v>
      </c>
      <c r="H11" s="103">
        <f t="shared" ca="1" si="1"/>
        <v>1</v>
      </c>
      <c r="K11" s="10" t="s">
        <v>3059</v>
      </c>
      <c r="L11" s="10" t="str">
        <f t="shared" ref="L11:L22" si="12">UPPER(K11)</f>
        <v>JANUARI</v>
      </c>
      <c r="M11" s="10" t="str">
        <f t="shared" ref="M11:N11" si="13">CONCATENATE(TEXT(D11,"DD-MM-YYYY"))</f>
        <v>01-08-2024</v>
      </c>
      <c r="N11" s="10" t="str">
        <f t="shared" si="13"/>
        <v>31-08-2024</v>
      </c>
    </row>
    <row r="12" spans="1:14" ht="15.75" customHeight="1">
      <c r="A12" s="10" t="s">
        <v>35</v>
      </c>
      <c r="B12" s="5" t="s">
        <v>3060</v>
      </c>
      <c r="C12" s="5" t="s">
        <v>3042</v>
      </c>
      <c r="D12" s="13">
        <f t="shared" si="5"/>
        <v>45536</v>
      </c>
      <c r="E12" s="13">
        <v>45565</v>
      </c>
      <c r="F12" s="5" t="s">
        <v>3051</v>
      </c>
      <c r="G12" s="10">
        <f t="shared" ca="1" si="0"/>
        <v>1</v>
      </c>
      <c r="H12" s="103">
        <f t="shared" ca="1" si="1"/>
        <v>1</v>
      </c>
      <c r="K12" s="10" t="s">
        <v>3061</v>
      </c>
      <c r="L12" s="10" t="str">
        <f t="shared" si="12"/>
        <v>FEBRUARI</v>
      </c>
      <c r="M12" s="10" t="str">
        <f t="shared" ref="M12:N12" si="14">CONCATENATE(TEXT(D12,"DD-MM-YYYY"))</f>
        <v>01-09-2024</v>
      </c>
      <c r="N12" s="10" t="str">
        <f t="shared" si="14"/>
        <v>30-09-2024</v>
      </c>
    </row>
    <row r="13" spans="1:14" ht="15.75" customHeight="1">
      <c r="A13" s="10" t="s">
        <v>36</v>
      </c>
      <c r="B13" s="5" t="s">
        <v>3062</v>
      </c>
      <c r="C13" s="5" t="s">
        <v>3042</v>
      </c>
      <c r="D13" s="13">
        <f t="shared" si="5"/>
        <v>45566</v>
      </c>
      <c r="E13" s="13">
        <v>45596</v>
      </c>
      <c r="F13" s="5" t="s">
        <v>3051</v>
      </c>
      <c r="G13" s="10">
        <f t="shared" ca="1" si="0"/>
        <v>1</v>
      </c>
      <c r="H13" s="103">
        <f t="shared" ca="1" si="1"/>
        <v>0</v>
      </c>
      <c r="K13" s="10" t="s">
        <v>3063</v>
      </c>
      <c r="L13" s="10" t="str">
        <f t="shared" si="12"/>
        <v>MARET</v>
      </c>
      <c r="M13" s="10" t="str">
        <f t="shared" ref="M13:N13" si="15">CONCATENATE(TEXT(D13,"DD-MM-YYYY"))</f>
        <v>01-10-2024</v>
      </c>
      <c r="N13" s="10" t="str">
        <f t="shared" si="15"/>
        <v>31-10-2024</v>
      </c>
    </row>
    <row r="14" spans="1:14" ht="15.75" customHeight="1">
      <c r="A14" s="10" t="s">
        <v>37</v>
      </c>
      <c r="B14" s="5" t="s">
        <v>3064</v>
      </c>
      <c r="C14" s="5" t="s">
        <v>3042</v>
      </c>
      <c r="D14" s="13">
        <f t="shared" si="5"/>
        <v>45597</v>
      </c>
      <c r="E14" s="13">
        <v>45626</v>
      </c>
      <c r="F14" s="5" t="s">
        <v>3051</v>
      </c>
      <c r="G14" s="10">
        <f t="shared" ca="1" si="0"/>
        <v>0</v>
      </c>
      <c r="H14" s="103">
        <f t="shared" ca="1" si="1"/>
        <v>0</v>
      </c>
      <c r="K14" s="10" t="s">
        <v>3065</v>
      </c>
      <c r="L14" s="10" t="str">
        <f t="shared" si="12"/>
        <v>APRIL</v>
      </c>
      <c r="M14" s="10" t="str">
        <f t="shared" ref="M14:N14" si="16">CONCATENATE(TEXT(D14,"DD-MM-YYYY"))</f>
        <v>01-11-2024</v>
      </c>
      <c r="N14" s="10" t="str">
        <f t="shared" si="16"/>
        <v>30-11-2024</v>
      </c>
    </row>
    <row r="15" spans="1:14" ht="15.75" customHeight="1">
      <c r="A15" s="10" t="s">
        <v>38</v>
      </c>
      <c r="B15" s="5" t="s">
        <v>3066</v>
      </c>
      <c r="C15" s="5" t="s">
        <v>3042</v>
      </c>
      <c r="D15" s="13">
        <f t="shared" si="5"/>
        <v>45627</v>
      </c>
      <c r="E15" s="13">
        <v>45657</v>
      </c>
      <c r="F15" s="5" t="s">
        <v>3051</v>
      </c>
      <c r="G15" s="10">
        <f t="shared" ca="1" si="0"/>
        <v>0</v>
      </c>
      <c r="H15" s="103">
        <f t="shared" ca="1" si="1"/>
        <v>0</v>
      </c>
      <c r="K15" s="10" t="s">
        <v>3067</v>
      </c>
      <c r="L15" s="10" t="str">
        <f t="shared" si="12"/>
        <v>MEI</v>
      </c>
      <c r="M15" s="10" t="str">
        <f t="shared" ref="M15:N15" si="17">CONCATENATE(TEXT(D15,"DD-MM-YYYY"))</f>
        <v>01-12-2024</v>
      </c>
      <c r="N15" s="10" t="str">
        <f t="shared" si="17"/>
        <v>31-12-2024</v>
      </c>
    </row>
    <row r="16" spans="1:14" ht="15.75" customHeight="1">
      <c r="A16" s="5" t="str">
        <f t="shared" ref="A16:A27" si="18">CONCATENATE("HPG24-LAPANGAN-",L11)</f>
        <v>HPG24-LAPANGAN-JANUARI</v>
      </c>
      <c r="B16" s="10" t="s">
        <v>3068</v>
      </c>
      <c r="C16" s="5" t="s">
        <v>3042</v>
      </c>
      <c r="D16" s="13">
        <f t="shared" si="5"/>
        <v>45292</v>
      </c>
      <c r="E16" s="12">
        <v>45311</v>
      </c>
      <c r="F16" s="5" t="s">
        <v>3051</v>
      </c>
      <c r="G16" s="10">
        <f t="shared" ca="1" si="0"/>
        <v>1</v>
      </c>
      <c r="H16" s="103">
        <f t="shared" ca="1" si="1"/>
        <v>1</v>
      </c>
      <c r="K16" s="10" t="s">
        <v>3069</v>
      </c>
      <c r="L16" s="10" t="str">
        <f t="shared" si="12"/>
        <v>JUNI</v>
      </c>
      <c r="M16" s="10" t="str">
        <f t="shared" ref="M16:N16" si="19">CONCATENATE(TEXT(D16,"DD-MM-YYYY"))</f>
        <v>01-01-2024</v>
      </c>
      <c r="N16" s="10" t="str">
        <f t="shared" si="19"/>
        <v>20-01-2024</v>
      </c>
    </row>
    <row r="17" spans="1:14" ht="15.75" customHeight="1">
      <c r="A17" s="5" t="str">
        <f t="shared" si="18"/>
        <v>HPG24-LAPANGAN-FEBRUARI</v>
      </c>
      <c r="B17" s="10" t="s">
        <v>3070</v>
      </c>
      <c r="C17" s="5" t="s">
        <v>3042</v>
      </c>
      <c r="D17" s="7">
        <v>45323</v>
      </c>
      <c r="E17" s="7">
        <v>45342</v>
      </c>
      <c r="F17" s="5" t="s">
        <v>3051</v>
      </c>
      <c r="G17" s="10">
        <f t="shared" ca="1" si="0"/>
        <v>1</v>
      </c>
      <c r="H17" s="103">
        <f t="shared" ca="1" si="1"/>
        <v>1</v>
      </c>
      <c r="K17" s="10" t="s">
        <v>3071</v>
      </c>
      <c r="L17" s="10" t="str">
        <f t="shared" si="12"/>
        <v>JULI</v>
      </c>
      <c r="M17" s="10" t="str">
        <f t="shared" ref="M17:N17" si="20">CONCATENATE(TEXT(D17,"DD-MM-YYYY"))</f>
        <v>01-02-2024</v>
      </c>
      <c r="N17" s="10" t="str">
        <f t="shared" si="20"/>
        <v>20-02-2024</v>
      </c>
    </row>
    <row r="18" spans="1:14" ht="15.75" customHeight="1">
      <c r="A18" s="5" t="str">
        <f t="shared" si="18"/>
        <v>HPG24-LAPANGAN-MARET</v>
      </c>
      <c r="B18" s="10" t="s">
        <v>3072</v>
      </c>
      <c r="C18" s="5" t="s">
        <v>3042</v>
      </c>
      <c r="D18" s="13">
        <f t="shared" ref="D18:D28" si="21">DATE(2024,MONTH(E18),1)</f>
        <v>45352</v>
      </c>
      <c r="E18" s="12">
        <v>45371</v>
      </c>
      <c r="F18" s="5" t="s">
        <v>3051</v>
      </c>
      <c r="G18" s="10">
        <f t="shared" ca="1" si="0"/>
        <v>1</v>
      </c>
      <c r="H18" s="103">
        <f t="shared" ca="1" si="1"/>
        <v>1</v>
      </c>
      <c r="K18" s="10" t="s">
        <v>3073</v>
      </c>
      <c r="L18" s="10" t="str">
        <f t="shared" si="12"/>
        <v>AGUSTUS</v>
      </c>
      <c r="M18" s="10" t="str">
        <f t="shared" ref="M18:N18" si="22">CONCATENATE(TEXT(D18,"DD-MM-YYYY"))</f>
        <v>01-03-2024</v>
      </c>
      <c r="N18" s="10" t="str">
        <f t="shared" si="22"/>
        <v>20-03-2024</v>
      </c>
    </row>
    <row r="19" spans="1:14" ht="15.75" customHeight="1">
      <c r="A19" s="5" t="str">
        <f t="shared" si="18"/>
        <v>HPG24-LAPANGAN-APRIL</v>
      </c>
      <c r="B19" s="10" t="s">
        <v>3074</v>
      </c>
      <c r="C19" s="5" t="s">
        <v>3042</v>
      </c>
      <c r="D19" s="13">
        <f t="shared" si="21"/>
        <v>45383</v>
      </c>
      <c r="E19" s="12">
        <v>45402</v>
      </c>
      <c r="F19" s="5" t="s">
        <v>3051</v>
      </c>
      <c r="G19" s="10">
        <f t="shared" ca="1" si="0"/>
        <v>1</v>
      </c>
      <c r="H19" s="103">
        <f t="shared" ca="1" si="1"/>
        <v>1</v>
      </c>
      <c r="K19" s="10" t="s">
        <v>3075</v>
      </c>
      <c r="L19" s="10" t="str">
        <f t="shared" si="12"/>
        <v>SEPTEMBER</v>
      </c>
      <c r="M19" s="10" t="str">
        <f t="shared" ref="M19:N19" si="23">CONCATENATE(TEXT(D19,"DD-MM-YYYY"))</f>
        <v>01-04-2024</v>
      </c>
      <c r="N19" s="10" t="str">
        <f t="shared" si="23"/>
        <v>20-04-2024</v>
      </c>
    </row>
    <row r="20" spans="1:14" ht="15.75" customHeight="1">
      <c r="A20" s="5" t="str">
        <f t="shared" si="18"/>
        <v>HPG24-LAPANGAN-MEI</v>
      </c>
      <c r="B20" s="10" t="s">
        <v>3076</v>
      </c>
      <c r="C20" s="5" t="s">
        <v>3042</v>
      </c>
      <c r="D20" s="13">
        <f t="shared" si="21"/>
        <v>45413</v>
      </c>
      <c r="E20" s="12">
        <v>45432</v>
      </c>
      <c r="F20" s="5" t="s">
        <v>3051</v>
      </c>
      <c r="G20" s="10">
        <f t="shared" ca="1" si="0"/>
        <v>1</v>
      </c>
      <c r="H20" s="103">
        <f t="shared" ca="1" si="1"/>
        <v>1</v>
      </c>
      <c r="K20" s="10" t="s">
        <v>3077</v>
      </c>
      <c r="L20" s="10" t="str">
        <f t="shared" si="12"/>
        <v>OKTOBER</v>
      </c>
      <c r="M20" s="10" t="str">
        <f t="shared" ref="M20:N20" si="24">CONCATENATE(TEXT(D20,"DD-MM-YYYY"))</f>
        <v>01-05-2024</v>
      </c>
      <c r="N20" s="10" t="str">
        <f t="shared" si="24"/>
        <v>20-05-2024</v>
      </c>
    </row>
    <row r="21" spans="1:14" ht="15.75" customHeight="1">
      <c r="A21" s="5" t="str">
        <f t="shared" si="18"/>
        <v>HPG24-LAPANGAN-JUNI</v>
      </c>
      <c r="B21" s="10" t="s">
        <v>3078</v>
      </c>
      <c r="C21" s="5" t="s">
        <v>3042</v>
      </c>
      <c r="D21" s="13">
        <f t="shared" si="21"/>
        <v>45444</v>
      </c>
      <c r="E21" s="12">
        <v>45463</v>
      </c>
      <c r="F21" s="5" t="s">
        <v>3051</v>
      </c>
      <c r="G21" s="10">
        <f t="shared" ca="1" si="0"/>
        <v>1</v>
      </c>
      <c r="H21" s="103">
        <f t="shared" ca="1" si="1"/>
        <v>1</v>
      </c>
      <c r="K21" s="10" t="s">
        <v>3079</v>
      </c>
      <c r="L21" s="10" t="str">
        <f t="shared" si="12"/>
        <v>NOVEMBER</v>
      </c>
      <c r="M21" s="10" t="str">
        <f t="shared" ref="M21:N21" si="25">CONCATENATE(TEXT(D21,"DD-MM-YYYY"))</f>
        <v>01-06-2024</v>
      </c>
      <c r="N21" s="10" t="str">
        <f t="shared" si="25"/>
        <v>20-06-2024</v>
      </c>
    </row>
    <row r="22" spans="1:14" ht="15.75" customHeight="1">
      <c r="A22" s="5" t="str">
        <f t="shared" si="18"/>
        <v>HPG24-LAPANGAN-JULI</v>
      </c>
      <c r="B22" s="10" t="s">
        <v>3080</v>
      </c>
      <c r="C22" s="5" t="s">
        <v>3042</v>
      </c>
      <c r="D22" s="13">
        <f t="shared" si="21"/>
        <v>45474</v>
      </c>
      <c r="E22" s="12">
        <v>45493</v>
      </c>
      <c r="F22" s="5" t="s">
        <v>3051</v>
      </c>
      <c r="G22" s="10">
        <f t="shared" ca="1" si="0"/>
        <v>1</v>
      </c>
      <c r="H22" s="103">
        <f t="shared" ca="1" si="1"/>
        <v>1</v>
      </c>
      <c r="K22" s="10" t="s">
        <v>3081</v>
      </c>
      <c r="L22" s="10" t="str">
        <f t="shared" si="12"/>
        <v>DESEMBER</v>
      </c>
      <c r="M22" s="10" t="str">
        <f t="shared" ref="M22:N22" si="26">CONCATENATE(TEXT(D22,"DD-MM-YYYY"))</f>
        <v>01-07-2024</v>
      </c>
      <c r="N22" s="10" t="str">
        <f t="shared" si="26"/>
        <v>20-07-2024</v>
      </c>
    </row>
    <row r="23" spans="1:14" ht="15.75" customHeight="1">
      <c r="A23" s="5" t="str">
        <f t="shared" si="18"/>
        <v>HPG24-LAPANGAN-AGUSTUS</v>
      </c>
      <c r="B23" s="10" t="s">
        <v>3082</v>
      </c>
      <c r="C23" s="5" t="s">
        <v>3042</v>
      </c>
      <c r="D23" s="13">
        <f t="shared" si="21"/>
        <v>45505</v>
      </c>
      <c r="E23" s="12">
        <v>45524</v>
      </c>
      <c r="F23" s="5" t="s">
        <v>3051</v>
      </c>
      <c r="G23" s="10">
        <f t="shared" ca="1" si="0"/>
        <v>1</v>
      </c>
      <c r="H23" s="103">
        <f t="shared" ca="1" si="1"/>
        <v>1</v>
      </c>
      <c r="M23" s="10" t="str">
        <f t="shared" ref="M23:N23" si="27">CONCATENATE(TEXT(D23,"DD-MM-YYYY"))</f>
        <v>01-08-2024</v>
      </c>
      <c r="N23" s="10" t="str">
        <f t="shared" si="27"/>
        <v>20-08-2024</v>
      </c>
    </row>
    <row r="24" spans="1:14" ht="15.75" customHeight="1">
      <c r="A24" s="5" t="str">
        <f t="shared" si="18"/>
        <v>HPG24-LAPANGAN-SEPTEMBER</v>
      </c>
      <c r="B24" s="10" t="s">
        <v>3083</v>
      </c>
      <c r="C24" s="5" t="s">
        <v>3042</v>
      </c>
      <c r="D24" s="13">
        <f t="shared" si="21"/>
        <v>45536</v>
      </c>
      <c r="E24" s="12">
        <v>45555</v>
      </c>
      <c r="F24" s="5" t="s">
        <v>3051</v>
      </c>
      <c r="G24" s="10">
        <f t="shared" ca="1" si="0"/>
        <v>1</v>
      </c>
      <c r="H24" s="103">
        <f t="shared" ca="1" si="1"/>
        <v>1</v>
      </c>
      <c r="M24" s="10" t="str">
        <f t="shared" ref="M24:N24" si="28">CONCATENATE(TEXT(D24,"DD-MM-YYYY"))</f>
        <v>01-09-2024</v>
      </c>
      <c r="N24" s="10" t="str">
        <f t="shared" si="28"/>
        <v>20-09-2024</v>
      </c>
    </row>
    <row r="25" spans="1:14" ht="15.75" customHeight="1">
      <c r="A25" s="5" t="str">
        <f t="shared" si="18"/>
        <v>HPG24-LAPANGAN-OKTOBER</v>
      </c>
      <c r="B25" s="10" t="s">
        <v>3084</v>
      </c>
      <c r="C25" s="5" t="s">
        <v>3042</v>
      </c>
      <c r="D25" s="13">
        <f t="shared" si="21"/>
        <v>45566</v>
      </c>
      <c r="E25" s="12">
        <v>45585</v>
      </c>
      <c r="F25" s="5" t="s">
        <v>3051</v>
      </c>
      <c r="G25" s="10">
        <f t="shared" ca="1" si="0"/>
        <v>1</v>
      </c>
      <c r="H25" s="103">
        <f t="shared" ca="1" si="1"/>
        <v>0</v>
      </c>
      <c r="M25" s="10" t="str">
        <f t="shared" ref="M25:N25" si="29">CONCATENATE(TEXT(D25,"DD-MM-YYYY"))</f>
        <v>01-10-2024</v>
      </c>
      <c r="N25" s="10" t="str">
        <f t="shared" si="29"/>
        <v>20-10-2024</v>
      </c>
    </row>
    <row r="26" spans="1:14" ht="15.75" customHeight="1">
      <c r="A26" s="5" t="str">
        <f t="shared" si="18"/>
        <v>HPG24-LAPANGAN-NOVEMBER</v>
      </c>
      <c r="B26" s="10" t="s">
        <v>3085</v>
      </c>
      <c r="C26" s="5" t="s">
        <v>3042</v>
      </c>
      <c r="D26" s="13">
        <f t="shared" si="21"/>
        <v>45597</v>
      </c>
      <c r="E26" s="12">
        <v>45616</v>
      </c>
      <c r="F26" s="5" t="s">
        <v>3051</v>
      </c>
      <c r="G26" s="10">
        <f t="shared" ca="1" si="0"/>
        <v>0</v>
      </c>
      <c r="H26" s="103">
        <f t="shared" ca="1" si="1"/>
        <v>0</v>
      </c>
      <c r="M26" s="10" t="str">
        <f t="shared" ref="M26:N26" si="30">CONCATENATE(TEXT(D26,"DD-MM-YYYY"))</f>
        <v>01-11-2024</v>
      </c>
      <c r="N26" s="10" t="str">
        <f t="shared" si="30"/>
        <v>20-11-2024</v>
      </c>
    </row>
    <row r="27" spans="1:14" ht="15.75" customHeight="1">
      <c r="A27" s="5" t="str">
        <f t="shared" si="18"/>
        <v>HPG24-LAPANGAN-DESEMBER</v>
      </c>
      <c r="B27" s="10" t="s">
        <v>3086</v>
      </c>
      <c r="C27" s="5" t="s">
        <v>3042</v>
      </c>
      <c r="D27" s="13">
        <f t="shared" si="21"/>
        <v>45627</v>
      </c>
      <c r="E27" s="12">
        <v>45646</v>
      </c>
      <c r="F27" s="5" t="s">
        <v>3051</v>
      </c>
      <c r="G27" s="10">
        <f t="shared" ca="1" si="0"/>
        <v>0</v>
      </c>
      <c r="H27" s="103">
        <f t="shared" ca="1" si="1"/>
        <v>0</v>
      </c>
      <c r="M27" s="10" t="str">
        <f t="shared" ref="M27:N27" si="31">CONCATENATE(TEXT(D27,"DD-MM-YYYY"))</f>
        <v>01-12-2024</v>
      </c>
      <c r="N27" s="10" t="str">
        <f t="shared" si="31"/>
        <v>20-12-2024</v>
      </c>
    </row>
    <row r="28" spans="1:14" ht="15.75" customHeight="1">
      <c r="A28" s="10" t="str">
        <f t="shared" ref="A28:A39" si="32">CONCATENATE("SHPB24-LAPANGAN-",J28)</f>
        <v>SHPB24-LAPANGAN-JANUARI</v>
      </c>
      <c r="B28" s="10" t="s">
        <v>3087</v>
      </c>
      <c r="C28" s="5" t="s">
        <v>3042</v>
      </c>
      <c r="D28" s="13">
        <f t="shared" si="21"/>
        <v>45292</v>
      </c>
      <c r="E28" s="12">
        <v>45311</v>
      </c>
      <c r="F28" s="5" t="s">
        <v>3051</v>
      </c>
      <c r="G28" s="10">
        <f t="shared" ca="1" si="0"/>
        <v>1</v>
      </c>
      <c r="H28" s="103">
        <f t="shared" ca="1" si="1"/>
        <v>1</v>
      </c>
      <c r="I28" s="10" t="s">
        <v>3059</v>
      </c>
      <c r="J28" s="10" t="str">
        <f t="shared" ref="J28:J79" si="33">UPPER(I28)</f>
        <v>JANUARI</v>
      </c>
      <c r="K28" s="10" t="str">
        <f t="shared" ref="K28:K79" si="34">CONCATENATE(B28," ",I28)</f>
        <v>Survei Harga Perdagangan Besar (SHPB24) Januari Januari</v>
      </c>
      <c r="M28" s="10" t="str">
        <f t="shared" ref="M28:N28" si="35">CONCATENATE(TEXT(D28,"DD-MM-YYYY"))</f>
        <v>01-01-2024</v>
      </c>
      <c r="N28" s="10" t="str">
        <f t="shared" si="35"/>
        <v>20-01-2024</v>
      </c>
    </row>
    <row r="29" spans="1:14" ht="15.75" customHeight="1">
      <c r="A29" s="10" t="str">
        <f t="shared" si="32"/>
        <v>SHPB24-LAPANGAN-FEBRUARI</v>
      </c>
      <c r="B29" s="10" t="s">
        <v>3088</v>
      </c>
      <c r="C29" s="5" t="s">
        <v>3042</v>
      </c>
      <c r="D29" s="7">
        <v>45323</v>
      </c>
      <c r="E29" s="7">
        <v>45342</v>
      </c>
      <c r="F29" s="5" t="s">
        <v>3051</v>
      </c>
      <c r="G29" s="10">
        <f t="shared" ca="1" si="0"/>
        <v>1</v>
      </c>
      <c r="H29" s="103">
        <f t="shared" ca="1" si="1"/>
        <v>1</v>
      </c>
      <c r="I29" s="10" t="s">
        <v>3061</v>
      </c>
      <c r="J29" s="10" t="str">
        <f t="shared" si="33"/>
        <v>FEBRUARI</v>
      </c>
      <c r="K29" s="10" t="str">
        <f t="shared" si="34"/>
        <v>Survei Harga Perdagangan Besar (SHPB24) Februari Februari</v>
      </c>
      <c r="M29" s="10" t="str">
        <f t="shared" ref="M29:N29" si="36">CONCATENATE(TEXT(D29,"DD-MM-YYYY"))</f>
        <v>01-02-2024</v>
      </c>
      <c r="N29" s="10" t="str">
        <f t="shared" si="36"/>
        <v>20-02-2024</v>
      </c>
    </row>
    <row r="30" spans="1:14" ht="15.75" customHeight="1">
      <c r="A30" s="10" t="str">
        <f t="shared" si="32"/>
        <v>SHPB24-LAPANGAN-MARET</v>
      </c>
      <c r="B30" s="10" t="s">
        <v>3089</v>
      </c>
      <c r="C30" s="5" t="s">
        <v>3042</v>
      </c>
      <c r="D30" s="13">
        <f t="shared" ref="D30:D44" si="37">DATE(2024,MONTH(E30),1)</f>
        <v>45352</v>
      </c>
      <c r="E30" s="12">
        <v>45371</v>
      </c>
      <c r="F30" s="5" t="s">
        <v>3051</v>
      </c>
      <c r="G30" s="10">
        <f t="shared" ca="1" si="0"/>
        <v>1</v>
      </c>
      <c r="H30" s="103">
        <f t="shared" ca="1" si="1"/>
        <v>1</v>
      </c>
      <c r="I30" s="10" t="s">
        <v>3063</v>
      </c>
      <c r="J30" s="10" t="str">
        <f t="shared" si="33"/>
        <v>MARET</v>
      </c>
      <c r="K30" s="10" t="str">
        <f t="shared" si="34"/>
        <v>Survei Harga Perdagangan Besar (SHPB24) Maret Maret</v>
      </c>
      <c r="M30" s="10" t="str">
        <f t="shared" ref="M30:N30" si="38">CONCATENATE(TEXT(D30,"DD-MM-YYYY"))</f>
        <v>01-03-2024</v>
      </c>
      <c r="N30" s="10" t="str">
        <f t="shared" si="38"/>
        <v>20-03-2024</v>
      </c>
    </row>
    <row r="31" spans="1:14" ht="12.5">
      <c r="A31" s="10" t="str">
        <f t="shared" si="32"/>
        <v>SHPB24-LAPANGAN-APRIL</v>
      </c>
      <c r="B31" s="10" t="s">
        <v>3090</v>
      </c>
      <c r="C31" s="5" t="s">
        <v>3042</v>
      </c>
      <c r="D31" s="13">
        <f t="shared" si="37"/>
        <v>45383</v>
      </c>
      <c r="E31" s="12">
        <v>45402</v>
      </c>
      <c r="F31" s="5" t="s">
        <v>3051</v>
      </c>
      <c r="G31" s="10">
        <f t="shared" ca="1" si="0"/>
        <v>1</v>
      </c>
      <c r="H31" s="103">
        <f t="shared" ca="1" si="1"/>
        <v>1</v>
      </c>
      <c r="I31" s="10" t="s">
        <v>3065</v>
      </c>
      <c r="J31" s="10" t="str">
        <f t="shared" si="33"/>
        <v>APRIL</v>
      </c>
      <c r="K31" s="10" t="str">
        <f t="shared" si="34"/>
        <v>Survei Harga Perdagangan Besar (SHPB24) April April</v>
      </c>
      <c r="M31" s="10" t="str">
        <f t="shared" ref="M31:N31" si="39">CONCATENATE(TEXT(D31,"DD-MM-YYYY"))</f>
        <v>01-04-2024</v>
      </c>
      <c r="N31" s="10" t="str">
        <f t="shared" si="39"/>
        <v>20-04-2024</v>
      </c>
    </row>
    <row r="32" spans="1:14" ht="12.5">
      <c r="A32" s="10" t="str">
        <f t="shared" si="32"/>
        <v>SHPB24-LAPANGAN-MEI</v>
      </c>
      <c r="B32" s="10" t="s">
        <v>3091</v>
      </c>
      <c r="C32" s="5" t="s">
        <v>3042</v>
      </c>
      <c r="D32" s="13">
        <f t="shared" si="37"/>
        <v>45413</v>
      </c>
      <c r="E32" s="12">
        <v>45432</v>
      </c>
      <c r="F32" s="5" t="s">
        <v>3051</v>
      </c>
      <c r="G32" s="10">
        <f t="shared" ca="1" si="0"/>
        <v>1</v>
      </c>
      <c r="H32" s="103">
        <f t="shared" ca="1" si="1"/>
        <v>1</v>
      </c>
      <c r="I32" s="10" t="s">
        <v>3067</v>
      </c>
      <c r="J32" s="10" t="str">
        <f t="shared" si="33"/>
        <v>MEI</v>
      </c>
      <c r="K32" s="10" t="str">
        <f t="shared" si="34"/>
        <v>Survei Harga Perdagangan Besar (SHPB24) Mei Mei</v>
      </c>
      <c r="M32" s="10" t="str">
        <f t="shared" ref="M32:N32" si="40">CONCATENATE(TEXT(D32,"DD-MM-YYYY"))</f>
        <v>01-05-2024</v>
      </c>
      <c r="N32" s="10" t="str">
        <f t="shared" si="40"/>
        <v>20-05-2024</v>
      </c>
    </row>
    <row r="33" spans="1:14" ht="12.5">
      <c r="A33" s="10" t="str">
        <f t="shared" si="32"/>
        <v>SHPB24-LAPANGAN-JUNI</v>
      </c>
      <c r="B33" s="10" t="s">
        <v>3092</v>
      </c>
      <c r="C33" s="5" t="s">
        <v>3042</v>
      </c>
      <c r="D33" s="13">
        <f t="shared" si="37"/>
        <v>45444</v>
      </c>
      <c r="E33" s="12">
        <v>45463</v>
      </c>
      <c r="F33" s="5" t="s">
        <v>3051</v>
      </c>
      <c r="G33" s="10">
        <f t="shared" ca="1" si="0"/>
        <v>1</v>
      </c>
      <c r="H33" s="103">
        <f t="shared" ca="1" si="1"/>
        <v>1</v>
      </c>
      <c r="I33" s="10" t="s">
        <v>3069</v>
      </c>
      <c r="J33" s="10" t="str">
        <f t="shared" si="33"/>
        <v>JUNI</v>
      </c>
      <c r="K33" s="10" t="str">
        <f t="shared" si="34"/>
        <v>Survei Harga Perdagangan Besar (SHPB24) Juni Juni</v>
      </c>
      <c r="M33" s="10" t="str">
        <f t="shared" ref="M33:N33" si="41">CONCATENATE(TEXT(D33,"DD-MM-YYYY"))</f>
        <v>01-06-2024</v>
      </c>
      <c r="N33" s="10" t="str">
        <f t="shared" si="41"/>
        <v>20-06-2024</v>
      </c>
    </row>
    <row r="34" spans="1:14" ht="12.5">
      <c r="A34" s="10" t="str">
        <f t="shared" si="32"/>
        <v>SHPB24-LAPANGAN-JULI</v>
      </c>
      <c r="B34" s="10" t="s">
        <v>3093</v>
      </c>
      <c r="C34" s="5" t="s">
        <v>3042</v>
      </c>
      <c r="D34" s="13">
        <f t="shared" si="37"/>
        <v>45474</v>
      </c>
      <c r="E34" s="12">
        <v>45493</v>
      </c>
      <c r="F34" s="5" t="s">
        <v>3051</v>
      </c>
      <c r="G34" s="10">
        <f t="shared" ca="1" si="0"/>
        <v>1</v>
      </c>
      <c r="H34" s="103">
        <f t="shared" ca="1" si="1"/>
        <v>1</v>
      </c>
      <c r="I34" s="10" t="s">
        <v>3071</v>
      </c>
      <c r="J34" s="10" t="str">
        <f t="shared" si="33"/>
        <v>JULI</v>
      </c>
      <c r="K34" s="10" t="str">
        <f t="shared" si="34"/>
        <v>Survei Harga Perdagangan Besar (SHPB24) Juli Juli</v>
      </c>
      <c r="M34" s="10" t="str">
        <f t="shared" ref="M34:N34" si="42">CONCATENATE(TEXT(D34,"DD-MM-YYYY"))</f>
        <v>01-07-2024</v>
      </c>
      <c r="N34" s="10" t="str">
        <f t="shared" si="42"/>
        <v>20-07-2024</v>
      </c>
    </row>
    <row r="35" spans="1:14" ht="12.5">
      <c r="A35" s="10" t="str">
        <f t="shared" si="32"/>
        <v>SHPB24-LAPANGAN-AGUSTUS</v>
      </c>
      <c r="B35" s="10" t="s">
        <v>3094</v>
      </c>
      <c r="C35" s="5" t="s">
        <v>3042</v>
      </c>
      <c r="D35" s="13">
        <f t="shared" si="37"/>
        <v>45505</v>
      </c>
      <c r="E35" s="12">
        <v>45524</v>
      </c>
      <c r="F35" s="5" t="s">
        <v>3051</v>
      </c>
      <c r="G35" s="10">
        <f t="shared" ca="1" si="0"/>
        <v>1</v>
      </c>
      <c r="H35" s="103">
        <f t="shared" ca="1" si="1"/>
        <v>1</v>
      </c>
      <c r="I35" s="10" t="s">
        <v>3073</v>
      </c>
      <c r="J35" s="10" t="str">
        <f t="shared" si="33"/>
        <v>AGUSTUS</v>
      </c>
      <c r="K35" s="10" t="str">
        <f t="shared" si="34"/>
        <v>Survei Harga Perdagangan Besar (SHPB24) Agustus Agustus</v>
      </c>
      <c r="M35" s="10" t="str">
        <f t="shared" ref="M35:N35" si="43">CONCATENATE(TEXT(D35,"DD-MM-YYYY"))</f>
        <v>01-08-2024</v>
      </c>
      <c r="N35" s="10" t="str">
        <f t="shared" si="43"/>
        <v>20-08-2024</v>
      </c>
    </row>
    <row r="36" spans="1:14" ht="12.5">
      <c r="A36" s="10" t="str">
        <f t="shared" si="32"/>
        <v>SHPB24-LAPANGAN-SEPTEMBER</v>
      </c>
      <c r="B36" s="10" t="s">
        <v>3095</v>
      </c>
      <c r="C36" s="5" t="s">
        <v>3042</v>
      </c>
      <c r="D36" s="13">
        <f t="shared" si="37"/>
        <v>45536</v>
      </c>
      <c r="E36" s="12">
        <v>45555</v>
      </c>
      <c r="F36" s="5" t="s">
        <v>3051</v>
      </c>
      <c r="G36" s="10">
        <f t="shared" ca="1" si="0"/>
        <v>1</v>
      </c>
      <c r="H36" s="103">
        <f t="shared" ca="1" si="1"/>
        <v>1</v>
      </c>
      <c r="I36" s="10" t="s">
        <v>3075</v>
      </c>
      <c r="J36" s="10" t="str">
        <f t="shared" si="33"/>
        <v>SEPTEMBER</v>
      </c>
      <c r="K36" s="10" t="str">
        <f t="shared" si="34"/>
        <v>Survei Harga Perdagangan Besar (SHPB24) September September</v>
      </c>
      <c r="M36" s="10" t="str">
        <f t="shared" ref="M36:N36" si="44">CONCATENATE(TEXT(D36,"DD-MM-YYYY"))</f>
        <v>01-09-2024</v>
      </c>
      <c r="N36" s="10" t="str">
        <f t="shared" si="44"/>
        <v>20-09-2024</v>
      </c>
    </row>
    <row r="37" spans="1:14" ht="12.5">
      <c r="A37" s="10" t="str">
        <f t="shared" si="32"/>
        <v>SHPB24-LAPANGAN-OKTOBER</v>
      </c>
      <c r="B37" s="10" t="s">
        <v>3096</v>
      </c>
      <c r="C37" s="5" t="s">
        <v>3042</v>
      </c>
      <c r="D37" s="13">
        <f t="shared" si="37"/>
        <v>45566</v>
      </c>
      <c r="E37" s="12">
        <v>45585</v>
      </c>
      <c r="F37" s="5" t="s">
        <v>3051</v>
      </c>
      <c r="G37" s="10">
        <f t="shared" ca="1" si="0"/>
        <v>1</v>
      </c>
      <c r="H37" s="103">
        <f t="shared" ca="1" si="1"/>
        <v>0</v>
      </c>
      <c r="I37" s="10" t="s">
        <v>3077</v>
      </c>
      <c r="J37" s="10" t="str">
        <f t="shared" si="33"/>
        <v>OKTOBER</v>
      </c>
      <c r="K37" s="10" t="str">
        <f t="shared" si="34"/>
        <v>Survei Harga Perdagangan Besar (SHPB24) Oktober Oktober</v>
      </c>
      <c r="M37" s="10" t="str">
        <f t="shared" ref="M37:N37" si="45">CONCATENATE(TEXT(D37,"DD-MM-YYYY"))</f>
        <v>01-10-2024</v>
      </c>
      <c r="N37" s="10" t="str">
        <f t="shared" si="45"/>
        <v>20-10-2024</v>
      </c>
    </row>
    <row r="38" spans="1:14" ht="12.5">
      <c r="A38" s="10" t="str">
        <f t="shared" si="32"/>
        <v>SHPB24-LAPANGAN-NOVEMBER</v>
      </c>
      <c r="B38" s="10" t="s">
        <v>3097</v>
      </c>
      <c r="C38" s="5" t="s">
        <v>3042</v>
      </c>
      <c r="D38" s="13">
        <f t="shared" si="37"/>
        <v>45597</v>
      </c>
      <c r="E38" s="12">
        <v>45616</v>
      </c>
      <c r="F38" s="5" t="s">
        <v>3051</v>
      </c>
      <c r="G38" s="10">
        <f t="shared" ca="1" si="0"/>
        <v>0</v>
      </c>
      <c r="H38" s="103">
        <f t="shared" ca="1" si="1"/>
        <v>0</v>
      </c>
      <c r="I38" s="10" t="s">
        <v>3079</v>
      </c>
      <c r="J38" s="10" t="str">
        <f t="shared" si="33"/>
        <v>NOVEMBER</v>
      </c>
      <c r="K38" s="10" t="str">
        <f t="shared" si="34"/>
        <v>Survei Harga Perdagangan Besar (SHPB24) November November</v>
      </c>
      <c r="M38" s="10" t="str">
        <f t="shared" ref="M38:N38" si="46">CONCATENATE(TEXT(D38,"DD-MM-YYYY"))</f>
        <v>01-11-2024</v>
      </c>
      <c r="N38" s="10" t="str">
        <f t="shared" si="46"/>
        <v>20-11-2024</v>
      </c>
    </row>
    <row r="39" spans="1:14" ht="12.5">
      <c r="A39" s="10" t="str">
        <f t="shared" si="32"/>
        <v>SHPB24-LAPANGAN-DESEMBER</v>
      </c>
      <c r="B39" s="10" t="s">
        <v>3098</v>
      </c>
      <c r="C39" s="5" t="s">
        <v>3042</v>
      </c>
      <c r="D39" s="13">
        <f t="shared" si="37"/>
        <v>45627</v>
      </c>
      <c r="E39" s="12">
        <v>45646</v>
      </c>
      <c r="F39" s="5" t="s">
        <v>3051</v>
      </c>
      <c r="G39" s="10">
        <f t="shared" ca="1" si="0"/>
        <v>0</v>
      </c>
      <c r="H39" s="103">
        <f t="shared" ca="1" si="1"/>
        <v>0</v>
      </c>
      <c r="I39" s="10" t="s">
        <v>3081</v>
      </c>
      <c r="J39" s="10" t="str">
        <f t="shared" si="33"/>
        <v>DESEMBER</v>
      </c>
      <c r="K39" s="10" t="str">
        <f t="shared" si="34"/>
        <v>Survei Harga Perdagangan Besar (SHPB24) Desember Desember</v>
      </c>
      <c r="M39" s="10" t="str">
        <f t="shared" ref="M39:N39" si="47">CONCATENATE(TEXT(D39,"DD-MM-YYYY"))</f>
        <v>01-12-2024</v>
      </c>
      <c r="N39" s="10" t="str">
        <f t="shared" si="47"/>
        <v>20-12-2024</v>
      </c>
    </row>
    <row r="40" spans="1:14" ht="12.5">
      <c r="A40" s="10" t="s">
        <v>82</v>
      </c>
      <c r="B40" s="10" t="s">
        <v>3099</v>
      </c>
      <c r="C40" s="5" t="s">
        <v>3042</v>
      </c>
      <c r="D40" s="13">
        <f t="shared" si="37"/>
        <v>45292</v>
      </c>
      <c r="E40" s="12">
        <v>45311</v>
      </c>
      <c r="F40" s="5" t="s">
        <v>3100</v>
      </c>
      <c r="G40" s="10">
        <f t="shared" ca="1" si="0"/>
        <v>1</v>
      </c>
      <c r="H40" s="103">
        <f t="shared" ca="1" si="1"/>
        <v>1</v>
      </c>
      <c r="I40" s="10" t="s">
        <v>3059</v>
      </c>
      <c r="J40" s="10" t="str">
        <f t="shared" si="33"/>
        <v>JANUARI</v>
      </c>
      <c r="K40" s="10" t="str">
        <f t="shared" si="34"/>
        <v>Survei Harga Kemahalan Konstruksi (SHKK24) Januari Januari</v>
      </c>
      <c r="L40" s="10" t="str">
        <f t="shared" ref="L40:L79" si="48">CONCATENATE(A40,"-",J40)</f>
        <v>SHKK24-LAPANGAN-JANUARI-JANUARI</v>
      </c>
      <c r="M40" s="10" t="str">
        <f t="shared" ref="M40:N40" si="49">CONCATENATE(TEXT(D40,"DD-MM-YYYY"))</f>
        <v>01-01-2024</v>
      </c>
      <c r="N40" s="10" t="str">
        <f t="shared" si="49"/>
        <v>20-01-2024</v>
      </c>
    </row>
    <row r="41" spans="1:14" ht="12.5">
      <c r="A41" s="10" t="s">
        <v>132</v>
      </c>
      <c r="B41" s="10" t="s">
        <v>3101</v>
      </c>
      <c r="C41" s="5" t="s">
        <v>3042</v>
      </c>
      <c r="D41" s="13">
        <f t="shared" si="37"/>
        <v>45383</v>
      </c>
      <c r="E41" s="12">
        <v>45402</v>
      </c>
      <c r="F41" s="5" t="s">
        <v>3100</v>
      </c>
      <c r="G41" s="10">
        <f t="shared" ca="1" si="0"/>
        <v>1</v>
      </c>
      <c r="H41" s="103">
        <f t="shared" ca="1" si="1"/>
        <v>1</v>
      </c>
      <c r="I41" s="10" t="s">
        <v>3065</v>
      </c>
      <c r="J41" s="10" t="str">
        <f t="shared" si="33"/>
        <v>APRIL</v>
      </c>
      <c r="K41" s="10" t="str">
        <f t="shared" si="34"/>
        <v>Survei Harga Kemahalan Konstruksi (SHKK24) April April</v>
      </c>
      <c r="L41" s="10" t="str">
        <f t="shared" si="48"/>
        <v>SHKK24-LAPANGAN-APRIL-APRIL</v>
      </c>
      <c r="M41" s="10" t="str">
        <f t="shared" ref="M41:N41" si="50">CONCATENATE(TEXT(D41,"DD-MM-YYYY"))</f>
        <v>01-04-2024</v>
      </c>
      <c r="N41" s="10" t="str">
        <f t="shared" si="50"/>
        <v>20-04-2024</v>
      </c>
    </row>
    <row r="42" spans="1:14" ht="12.5">
      <c r="A42" s="10" t="s">
        <v>194</v>
      </c>
      <c r="B42" s="10" t="s">
        <v>3102</v>
      </c>
      <c r="C42" s="5" t="s">
        <v>3042</v>
      </c>
      <c r="D42" s="13">
        <f t="shared" si="37"/>
        <v>45474</v>
      </c>
      <c r="E42" s="12">
        <v>45493</v>
      </c>
      <c r="F42" s="5" t="s">
        <v>3100</v>
      </c>
      <c r="G42" s="10">
        <f t="shared" ca="1" si="0"/>
        <v>1</v>
      </c>
      <c r="H42" s="103">
        <f t="shared" ca="1" si="1"/>
        <v>1</v>
      </c>
      <c r="I42" s="10" t="s">
        <v>3071</v>
      </c>
      <c r="J42" s="10" t="str">
        <f t="shared" si="33"/>
        <v>JULI</v>
      </c>
      <c r="K42" s="10" t="str">
        <f t="shared" si="34"/>
        <v>Survei Harga Kemahalan Konstruksi (SHKK24) Juli Juli</v>
      </c>
      <c r="L42" s="10" t="str">
        <f t="shared" si="48"/>
        <v>SHKK24-LAPANGAN-JULI-JULI</v>
      </c>
      <c r="M42" s="10" t="str">
        <f t="shared" ref="M42:N42" si="51">CONCATENATE(TEXT(D42,"DD-MM-YYYY"))</f>
        <v>01-07-2024</v>
      </c>
      <c r="N42" s="10" t="str">
        <f t="shared" si="51"/>
        <v>20-07-2024</v>
      </c>
    </row>
    <row r="43" spans="1:14" ht="12.5">
      <c r="A43" s="10" t="s">
        <v>279</v>
      </c>
      <c r="B43" s="10" t="s">
        <v>3103</v>
      </c>
      <c r="C43" s="5" t="s">
        <v>3042</v>
      </c>
      <c r="D43" s="13">
        <f t="shared" si="37"/>
        <v>45566</v>
      </c>
      <c r="E43" s="12">
        <v>45585</v>
      </c>
      <c r="F43" s="5" t="s">
        <v>3100</v>
      </c>
      <c r="G43" s="10">
        <f t="shared" ca="1" si="0"/>
        <v>1</v>
      </c>
      <c r="H43" s="103">
        <f t="shared" ca="1" si="1"/>
        <v>0</v>
      </c>
      <c r="I43" s="10" t="s">
        <v>3077</v>
      </c>
      <c r="J43" s="10" t="str">
        <f t="shared" si="33"/>
        <v>OKTOBER</v>
      </c>
      <c r="K43" s="10" t="str">
        <f t="shared" si="34"/>
        <v>Survei Harga Kemahalan Konstruksi (SHKK24) Oktober Oktober</v>
      </c>
      <c r="L43" s="10" t="str">
        <f t="shared" si="48"/>
        <v>SHKK24-LAPANGAN-OKTOBER-OKTOBER</v>
      </c>
      <c r="M43" s="10" t="str">
        <f t="shared" ref="M43:N43" si="52">CONCATENATE(TEXT(D43,"DD-MM-YYYY"))</f>
        <v>01-10-2024</v>
      </c>
      <c r="N43" s="10" t="str">
        <f t="shared" si="52"/>
        <v>20-10-2024</v>
      </c>
    </row>
    <row r="44" spans="1:14" ht="12.5">
      <c r="A44" s="10" t="s">
        <v>71</v>
      </c>
      <c r="B44" s="10" t="s">
        <v>3104</v>
      </c>
      <c r="C44" s="5" t="s">
        <v>3042</v>
      </c>
      <c r="D44" s="13">
        <f t="shared" si="37"/>
        <v>45292</v>
      </c>
      <c r="E44" s="12">
        <v>45311</v>
      </c>
      <c r="F44" s="5" t="s">
        <v>3051</v>
      </c>
      <c r="G44" s="10">
        <f t="shared" ca="1" si="0"/>
        <v>1</v>
      </c>
      <c r="H44" s="103">
        <f t="shared" ca="1" si="1"/>
        <v>1</v>
      </c>
      <c r="I44" s="10" t="s">
        <v>3059</v>
      </c>
      <c r="J44" s="10" t="str">
        <f t="shared" si="33"/>
        <v>JANUARI</v>
      </c>
      <c r="K44" s="10" t="str">
        <f t="shared" si="34"/>
        <v>Survei Harga Perdesaan (SHPED24) Januari Januari</v>
      </c>
      <c r="L44" s="10" t="str">
        <f t="shared" si="48"/>
        <v>SHPED24-LAPANGAN-JANUARI-JANUARI</v>
      </c>
      <c r="M44" s="10" t="str">
        <f t="shared" ref="M44:N44" si="53">CONCATENATE(TEXT(D44,"DD-MM-YYYY"))</f>
        <v>01-01-2024</v>
      </c>
      <c r="N44" s="10" t="str">
        <f t="shared" si="53"/>
        <v>20-01-2024</v>
      </c>
    </row>
    <row r="45" spans="1:14" ht="12.5">
      <c r="A45" s="10" t="s">
        <v>96</v>
      </c>
      <c r="B45" s="10" t="s">
        <v>3105</v>
      </c>
      <c r="C45" s="5" t="s">
        <v>3042</v>
      </c>
      <c r="D45" s="7">
        <v>45323</v>
      </c>
      <c r="E45" s="7">
        <v>45342</v>
      </c>
      <c r="F45" s="5" t="s">
        <v>3051</v>
      </c>
      <c r="G45" s="10">
        <f t="shared" ca="1" si="0"/>
        <v>1</v>
      </c>
      <c r="H45" s="103">
        <f t="shared" ca="1" si="1"/>
        <v>1</v>
      </c>
      <c r="I45" s="10" t="s">
        <v>3061</v>
      </c>
      <c r="J45" s="10" t="str">
        <f t="shared" si="33"/>
        <v>FEBRUARI</v>
      </c>
      <c r="K45" s="10" t="str">
        <f t="shared" si="34"/>
        <v>Survei Harga Perdesaan (SHPED24) Februari Februari</v>
      </c>
      <c r="L45" s="10" t="str">
        <f t="shared" si="48"/>
        <v>SHPED24-LAPANGAN-FEBRUARI-FEBRUARI</v>
      </c>
      <c r="M45" s="10" t="str">
        <f t="shared" ref="M45:N45" si="54">CONCATENATE(TEXT(D45,"DD-MM-YYYY"))</f>
        <v>01-02-2024</v>
      </c>
      <c r="N45" s="10" t="str">
        <f t="shared" si="54"/>
        <v>20-02-2024</v>
      </c>
    </row>
    <row r="46" spans="1:14" ht="12.5">
      <c r="A46" s="10" t="s">
        <v>114</v>
      </c>
      <c r="B46" s="10" t="s">
        <v>3106</v>
      </c>
      <c r="C46" s="5" t="s">
        <v>3042</v>
      </c>
      <c r="D46" s="13">
        <f t="shared" ref="D46:D56" si="55">DATE(2024,MONTH(E46),1)</f>
        <v>45352</v>
      </c>
      <c r="E46" s="12">
        <v>45371</v>
      </c>
      <c r="F46" s="5" t="s">
        <v>3051</v>
      </c>
      <c r="G46" s="10">
        <f t="shared" ca="1" si="0"/>
        <v>1</v>
      </c>
      <c r="H46" s="103">
        <f t="shared" ca="1" si="1"/>
        <v>1</v>
      </c>
      <c r="I46" s="10" t="s">
        <v>3063</v>
      </c>
      <c r="J46" s="10" t="str">
        <f t="shared" si="33"/>
        <v>MARET</v>
      </c>
      <c r="K46" s="10" t="str">
        <f t="shared" si="34"/>
        <v>Survei Harga Perdesaan (SHPED24) Maret Maret</v>
      </c>
      <c r="L46" s="10" t="str">
        <f t="shared" si="48"/>
        <v>SHPED24-LAPANGAN-MARET-MARET</v>
      </c>
      <c r="M46" s="10" t="str">
        <f t="shared" ref="M46:N46" si="56">CONCATENATE(TEXT(D46,"DD-MM-YYYY"))</f>
        <v>01-03-2024</v>
      </c>
      <c r="N46" s="10" t="str">
        <f t="shared" si="56"/>
        <v>20-03-2024</v>
      </c>
    </row>
    <row r="47" spans="1:14" ht="12.5">
      <c r="A47" s="10" t="s">
        <v>134</v>
      </c>
      <c r="B47" s="10" t="s">
        <v>3107</v>
      </c>
      <c r="C47" s="5" t="s">
        <v>3042</v>
      </c>
      <c r="D47" s="13">
        <f t="shared" si="55"/>
        <v>45383</v>
      </c>
      <c r="E47" s="12">
        <v>45402</v>
      </c>
      <c r="F47" s="5" t="s">
        <v>3051</v>
      </c>
      <c r="G47" s="10">
        <f t="shared" ca="1" si="0"/>
        <v>1</v>
      </c>
      <c r="H47" s="103">
        <f t="shared" ca="1" si="1"/>
        <v>1</v>
      </c>
      <c r="I47" s="10" t="s">
        <v>3065</v>
      </c>
      <c r="J47" s="10" t="str">
        <f t="shared" si="33"/>
        <v>APRIL</v>
      </c>
      <c r="K47" s="10" t="str">
        <f t="shared" si="34"/>
        <v>Survei Harga Perdesaan (SHPED24) April April</v>
      </c>
      <c r="L47" s="10" t="str">
        <f t="shared" si="48"/>
        <v>SHPED24-LAPANGAN-APRIL-APRIL</v>
      </c>
      <c r="M47" s="10" t="str">
        <f t="shared" ref="M47:N47" si="57">CONCATENATE(TEXT(D47,"DD-MM-YYYY"))</f>
        <v>01-04-2024</v>
      </c>
      <c r="N47" s="10" t="str">
        <f t="shared" si="57"/>
        <v>20-04-2024</v>
      </c>
    </row>
    <row r="48" spans="1:14" ht="12.5">
      <c r="A48" s="10" t="s">
        <v>154</v>
      </c>
      <c r="B48" s="10" t="s">
        <v>3108</v>
      </c>
      <c r="C48" s="5" t="s">
        <v>3042</v>
      </c>
      <c r="D48" s="13">
        <f t="shared" si="55"/>
        <v>45413</v>
      </c>
      <c r="E48" s="12">
        <v>45432</v>
      </c>
      <c r="F48" s="5" t="s">
        <v>3051</v>
      </c>
      <c r="G48" s="10">
        <f t="shared" ca="1" si="0"/>
        <v>1</v>
      </c>
      <c r="H48" s="103">
        <f t="shared" ca="1" si="1"/>
        <v>1</v>
      </c>
      <c r="I48" s="10" t="s">
        <v>3067</v>
      </c>
      <c r="J48" s="10" t="str">
        <f t="shared" si="33"/>
        <v>MEI</v>
      </c>
      <c r="K48" s="10" t="str">
        <f t="shared" si="34"/>
        <v>Survei Harga Perdesaan (SHPED24) Mei Mei</v>
      </c>
      <c r="L48" s="10" t="str">
        <f t="shared" si="48"/>
        <v>SHPED24-LAPANGAN-MEI-MEI</v>
      </c>
      <c r="M48" s="10" t="str">
        <f t="shared" ref="M48:N48" si="58">CONCATENATE(TEXT(D48,"DD-MM-YYYY"))</f>
        <v>01-05-2024</v>
      </c>
      <c r="N48" s="10" t="str">
        <f t="shared" si="58"/>
        <v>20-05-2024</v>
      </c>
    </row>
    <row r="49" spans="1:14" ht="12.5">
      <c r="A49" s="10" t="s">
        <v>171</v>
      </c>
      <c r="B49" s="10" t="s">
        <v>3109</v>
      </c>
      <c r="C49" s="5" t="s">
        <v>3042</v>
      </c>
      <c r="D49" s="13">
        <f t="shared" si="55"/>
        <v>45444</v>
      </c>
      <c r="E49" s="12">
        <v>45463</v>
      </c>
      <c r="F49" s="5" t="s">
        <v>3051</v>
      </c>
      <c r="G49" s="10">
        <f t="shared" ca="1" si="0"/>
        <v>1</v>
      </c>
      <c r="H49" s="103">
        <f t="shared" ca="1" si="1"/>
        <v>1</v>
      </c>
      <c r="I49" s="10" t="s">
        <v>3069</v>
      </c>
      <c r="J49" s="10" t="str">
        <f t="shared" si="33"/>
        <v>JUNI</v>
      </c>
      <c r="K49" s="10" t="str">
        <f t="shared" si="34"/>
        <v>Survei Harga Perdesaan (SHPED24) Juni Juni</v>
      </c>
      <c r="L49" s="10" t="str">
        <f t="shared" si="48"/>
        <v>SHPED24-LAPANGAN-JUNI-JUNI</v>
      </c>
      <c r="M49" s="10" t="str">
        <f t="shared" ref="M49:N49" si="59">CONCATENATE(TEXT(D49,"DD-MM-YYYY"))</f>
        <v>01-06-2024</v>
      </c>
      <c r="N49" s="10" t="str">
        <f t="shared" si="59"/>
        <v>20-06-2024</v>
      </c>
    </row>
    <row r="50" spans="1:14" ht="12.5">
      <c r="A50" s="10" t="s">
        <v>196</v>
      </c>
      <c r="B50" s="10" t="s">
        <v>3110</v>
      </c>
      <c r="C50" s="5" t="s">
        <v>3042</v>
      </c>
      <c r="D50" s="13">
        <f t="shared" si="55"/>
        <v>45474</v>
      </c>
      <c r="E50" s="12">
        <v>45493</v>
      </c>
      <c r="F50" s="5" t="s">
        <v>3051</v>
      </c>
      <c r="G50" s="10">
        <f t="shared" ca="1" si="0"/>
        <v>1</v>
      </c>
      <c r="H50" s="103">
        <f t="shared" ca="1" si="1"/>
        <v>1</v>
      </c>
      <c r="I50" s="10" t="s">
        <v>3071</v>
      </c>
      <c r="J50" s="10" t="str">
        <f t="shared" si="33"/>
        <v>JULI</v>
      </c>
      <c r="K50" s="10" t="str">
        <f t="shared" si="34"/>
        <v>Survei Harga Perdesaan (SHPED24) Juli Juli</v>
      </c>
      <c r="L50" s="10" t="str">
        <f t="shared" si="48"/>
        <v>SHPED24-LAPANGAN-JULI-JULI</v>
      </c>
      <c r="M50" s="10" t="str">
        <f t="shared" ref="M50:N50" si="60">CONCATENATE(TEXT(D50,"DD-MM-YYYY"))</f>
        <v>01-07-2024</v>
      </c>
      <c r="N50" s="10" t="str">
        <f t="shared" si="60"/>
        <v>20-07-2024</v>
      </c>
    </row>
    <row r="51" spans="1:14" ht="12.5">
      <c r="A51" s="10" t="s">
        <v>218</v>
      </c>
      <c r="B51" s="10" t="s">
        <v>3111</v>
      </c>
      <c r="C51" s="5" t="s">
        <v>3042</v>
      </c>
      <c r="D51" s="13">
        <f t="shared" si="55"/>
        <v>45505</v>
      </c>
      <c r="E51" s="12">
        <v>45524</v>
      </c>
      <c r="F51" s="5" t="s">
        <v>3051</v>
      </c>
      <c r="G51" s="10">
        <f t="shared" ca="1" si="0"/>
        <v>1</v>
      </c>
      <c r="H51" s="103">
        <f t="shared" ca="1" si="1"/>
        <v>1</v>
      </c>
      <c r="I51" s="10" t="s">
        <v>3073</v>
      </c>
      <c r="J51" s="10" t="str">
        <f t="shared" si="33"/>
        <v>AGUSTUS</v>
      </c>
      <c r="K51" s="10" t="str">
        <f t="shared" si="34"/>
        <v>Survei Harga Perdesaan (SHPED24) Agustus Agustus</v>
      </c>
      <c r="L51" s="10" t="str">
        <f t="shared" si="48"/>
        <v>SHPED24-LAPANGAN-AGUSTUS-AGUSTUS</v>
      </c>
      <c r="M51" s="10" t="str">
        <f t="shared" ref="M51:N51" si="61">CONCATENATE(TEXT(D51,"DD-MM-YYYY"))</f>
        <v>01-08-2024</v>
      </c>
      <c r="N51" s="10" t="str">
        <f t="shared" si="61"/>
        <v>20-08-2024</v>
      </c>
    </row>
    <row r="52" spans="1:14" ht="12.5">
      <c r="A52" s="10" t="s">
        <v>255</v>
      </c>
      <c r="B52" s="10" t="s">
        <v>3112</v>
      </c>
      <c r="C52" s="5" t="s">
        <v>3042</v>
      </c>
      <c r="D52" s="13">
        <f t="shared" si="55"/>
        <v>45536</v>
      </c>
      <c r="E52" s="12">
        <v>45555</v>
      </c>
      <c r="F52" s="5" t="s">
        <v>3051</v>
      </c>
      <c r="G52" s="10">
        <f t="shared" ca="1" si="0"/>
        <v>1</v>
      </c>
      <c r="H52" s="103">
        <f t="shared" ca="1" si="1"/>
        <v>1</v>
      </c>
      <c r="I52" s="10" t="s">
        <v>3075</v>
      </c>
      <c r="J52" s="10" t="str">
        <f t="shared" si="33"/>
        <v>SEPTEMBER</v>
      </c>
      <c r="K52" s="10" t="str">
        <f t="shared" si="34"/>
        <v>Survei Harga Perdesaan (SHPED24) September September</v>
      </c>
      <c r="L52" s="10" t="str">
        <f t="shared" si="48"/>
        <v>SHPED24-LAPANGAN-SEPTEMBER-SEPTEMBER</v>
      </c>
      <c r="M52" s="10" t="str">
        <f t="shared" ref="M52:N52" si="62">CONCATENATE(TEXT(D52,"DD-MM-YYYY"))</f>
        <v>01-09-2024</v>
      </c>
      <c r="N52" s="10" t="str">
        <f t="shared" si="62"/>
        <v>20-09-2024</v>
      </c>
    </row>
    <row r="53" spans="1:14" ht="12.5">
      <c r="A53" s="10" t="s">
        <v>281</v>
      </c>
      <c r="B53" s="10" t="s">
        <v>3113</v>
      </c>
      <c r="C53" s="5" t="s">
        <v>3042</v>
      </c>
      <c r="D53" s="13">
        <f t="shared" si="55"/>
        <v>45566</v>
      </c>
      <c r="E53" s="12">
        <v>45585</v>
      </c>
      <c r="F53" s="5" t="s">
        <v>3051</v>
      </c>
      <c r="G53" s="10">
        <f t="shared" ca="1" si="0"/>
        <v>1</v>
      </c>
      <c r="H53" s="103">
        <f t="shared" ca="1" si="1"/>
        <v>0</v>
      </c>
      <c r="I53" s="10" t="s">
        <v>3077</v>
      </c>
      <c r="J53" s="10" t="str">
        <f t="shared" si="33"/>
        <v>OKTOBER</v>
      </c>
      <c r="K53" s="10" t="str">
        <f t="shared" si="34"/>
        <v>Survei Harga Perdesaan (SHPED24) Oktober Oktober</v>
      </c>
      <c r="L53" s="10" t="str">
        <f t="shared" si="48"/>
        <v>SHPED24-LAPANGAN-OKTOBER-OKTOBER</v>
      </c>
      <c r="M53" s="10" t="str">
        <f t="shared" ref="M53:N53" si="63">CONCATENATE(TEXT(D53,"DD-MM-YYYY"))</f>
        <v>01-10-2024</v>
      </c>
      <c r="N53" s="10" t="str">
        <f t="shared" si="63"/>
        <v>20-10-2024</v>
      </c>
    </row>
    <row r="54" spans="1:14" ht="12.5">
      <c r="A54" s="10" t="s">
        <v>299</v>
      </c>
      <c r="B54" s="10" t="s">
        <v>3114</v>
      </c>
      <c r="C54" s="5" t="s">
        <v>3042</v>
      </c>
      <c r="D54" s="13">
        <f t="shared" si="55"/>
        <v>45597</v>
      </c>
      <c r="E54" s="12">
        <v>45616</v>
      </c>
      <c r="F54" s="5" t="s">
        <v>3051</v>
      </c>
      <c r="G54" s="10">
        <f t="shared" ca="1" si="0"/>
        <v>0</v>
      </c>
      <c r="H54" s="103">
        <f t="shared" ca="1" si="1"/>
        <v>0</v>
      </c>
      <c r="I54" s="10" t="s">
        <v>3079</v>
      </c>
      <c r="J54" s="10" t="str">
        <f t="shared" si="33"/>
        <v>NOVEMBER</v>
      </c>
      <c r="K54" s="10" t="str">
        <f t="shared" si="34"/>
        <v>Survei Harga Perdesaan (SHPED24) November November</v>
      </c>
      <c r="L54" s="10" t="str">
        <f t="shared" si="48"/>
        <v>SHPED24-LAPANGAN-NOVEMBER-NOVEMBER</v>
      </c>
      <c r="M54" s="10" t="str">
        <f t="shared" ref="M54:N54" si="64">CONCATENATE(TEXT(D54,"DD-MM-YYYY"))</f>
        <v>01-11-2024</v>
      </c>
      <c r="N54" s="10" t="str">
        <f t="shared" si="64"/>
        <v>20-11-2024</v>
      </c>
    </row>
    <row r="55" spans="1:14" ht="12.5">
      <c r="A55" s="10" t="s">
        <v>314</v>
      </c>
      <c r="B55" s="10" t="s">
        <v>3115</v>
      </c>
      <c r="C55" s="5" t="s">
        <v>3042</v>
      </c>
      <c r="D55" s="13">
        <f t="shared" si="55"/>
        <v>45627</v>
      </c>
      <c r="E55" s="12">
        <v>45646</v>
      </c>
      <c r="F55" s="5" t="s">
        <v>3051</v>
      </c>
      <c r="G55" s="10">
        <f t="shared" ca="1" si="0"/>
        <v>0</v>
      </c>
      <c r="H55" s="103">
        <f t="shared" ca="1" si="1"/>
        <v>0</v>
      </c>
      <c r="I55" s="10" t="s">
        <v>3081</v>
      </c>
      <c r="J55" s="10" t="str">
        <f t="shared" si="33"/>
        <v>DESEMBER</v>
      </c>
      <c r="K55" s="10" t="str">
        <f t="shared" si="34"/>
        <v>Survei Harga Perdesaan (SHPED24) Desember Desember</v>
      </c>
      <c r="L55" s="10" t="str">
        <f t="shared" si="48"/>
        <v>SHPED24-LAPANGAN-DESEMBER-DESEMBER</v>
      </c>
      <c r="M55" s="10" t="str">
        <f t="shared" ref="M55:N55" si="65">CONCATENATE(TEXT(D55,"DD-MM-YYYY"))</f>
        <v>01-12-2024</v>
      </c>
      <c r="N55" s="10" t="str">
        <f t="shared" si="65"/>
        <v>20-12-2024</v>
      </c>
    </row>
    <row r="56" spans="1:14" ht="12.5">
      <c r="A56" s="10" t="s">
        <v>76</v>
      </c>
      <c r="B56" s="5" t="s">
        <v>3116</v>
      </c>
      <c r="C56" s="5" t="s">
        <v>3042</v>
      </c>
      <c r="D56" s="13">
        <f t="shared" si="55"/>
        <v>45292</v>
      </c>
      <c r="E56" s="12">
        <v>45311</v>
      </c>
      <c r="F56" s="5" t="s">
        <v>3051</v>
      </c>
      <c r="G56" s="10">
        <f t="shared" ca="1" si="0"/>
        <v>1</v>
      </c>
      <c r="H56" s="103">
        <f t="shared" ca="1" si="1"/>
        <v>1</v>
      </c>
      <c r="I56" s="10" t="s">
        <v>3059</v>
      </c>
      <c r="J56" s="10" t="str">
        <f t="shared" si="33"/>
        <v>JANUARI</v>
      </c>
      <c r="K56" s="10" t="str">
        <f t="shared" si="34"/>
        <v>Survei Harga Produsen Beras di Penggilingan 2024 (HPBG24) Januari Januari</v>
      </c>
      <c r="L56" s="10" t="str">
        <f t="shared" si="48"/>
        <v>HPBG24-LAPANGAN-JANUARI-JANUARI</v>
      </c>
      <c r="M56" s="10" t="str">
        <f t="shared" ref="M56:N56" si="66">CONCATENATE(TEXT(D56,"DD-MM-YYYY"))</f>
        <v>01-01-2024</v>
      </c>
      <c r="N56" s="10" t="str">
        <f t="shared" si="66"/>
        <v>20-01-2024</v>
      </c>
    </row>
    <row r="57" spans="1:14" ht="12.5">
      <c r="A57" s="10" t="s">
        <v>99</v>
      </c>
      <c r="B57" s="5" t="s">
        <v>3117</v>
      </c>
      <c r="C57" s="5" t="s">
        <v>3042</v>
      </c>
      <c r="D57" s="7">
        <v>45323</v>
      </c>
      <c r="E57" s="7">
        <v>45342</v>
      </c>
      <c r="F57" s="5" t="s">
        <v>3051</v>
      </c>
      <c r="G57" s="10">
        <f t="shared" ca="1" si="0"/>
        <v>1</v>
      </c>
      <c r="H57" s="103">
        <f t="shared" ca="1" si="1"/>
        <v>1</v>
      </c>
      <c r="I57" s="10" t="s">
        <v>3061</v>
      </c>
      <c r="J57" s="10" t="str">
        <f t="shared" si="33"/>
        <v>FEBRUARI</v>
      </c>
      <c r="K57" s="10" t="str">
        <f t="shared" si="34"/>
        <v>Survei Harga Produsen Beras di Penggilingan 2024 (HPBG24) Februari Februari</v>
      </c>
      <c r="L57" s="10" t="str">
        <f t="shared" si="48"/>
        <v>HPBG24-LAPANGAN-FEBRUARI-FEBRUARI</v>
      </c>
      <c r="M57" s="10" t="str">
        <f t="shared" ref="M57:N57" si="67">CONCATENATE(TEXT(D57,"DD-MM-YYYY"))</f>
        <v>01-02-2024</v>
      </c>
      <c r="N57" s="10" t="str">
        <f t="shared" si="67"/>
        <v>20-02-2024</v>
      </c>
    </row>
    <row r="58" spans="1:14" ht="12.5">
      <c r="A58" s="10" t="s">
        <v>117</v>
      </c>
      <c r="B58" s="5" t="s">
        <v>3118</v>
      </c>
      <c r="C58" s="5" t="s">
        <v>3042</v>
      </c>
      <c r="D58" s="13">
        <f t="shared" ref="D58:D68" si="68">DATE(2024,MONTH(E58),1)</f>
        <v>45352</v>
      </c>
      <c r="E58" s="12">
        <v>45371</v>
      </c>
      <c r="F58" s="5" t="s">
        <v>3051</v>
      </c>
      <c r="G58" s="10">
        <f t="shared" ca="1" si="0"/>
        <v>1</v>
      </c>
      <c r="H58" s="103">
        <f t="shared" ca="1" si="1"/>
        <v>1</v>
      </c>
      <c r="I58" s="10" t="s">
        <v>3063</v>
      </c>
      <c r="J58" s="10" t="str">
        <f t="shared" si="33"/>
        <v>MARET</v>
      </c>
      <c r="K58" s="10" t="str">
        <f t="shared" si="34"/>
        <v>Survei Harga Produsen Beras di Penggilingan 2024 (HPBG24) Maret Maret</v>
      </c>
      <c r="L58" s="10" t="str">
        <f t="shared" si="48"/>
        <v>HPBG24-LAPANGAN-MARET-MARET</v>
      </c>
      <c r="M58" s="10" t="str">
        <f t="shared" ref="M58:N58" si="69">CONCATENATE(TEXT(D58,"DD-MM-YYYY"))</f>
        <v>01-03-2024</v>
      </c>
      <c r="N58" s="10" t="str">
        <f t="shared" si="69"/>
        <v>20-03-2024</v>
      </c>
    </row>
    <row r="59" spans="1:14" ht="12.5">
      <c r="A59" s="10" t="s">
        <v>137</v>
      </c>
      <c r="B59" s="5" t="s">
        <v>3119</v>
      </c>
      <c r="C59" s="5" t="s">
        <v>3042</v>
      </c>
      <c r="D59" s="13">
        <f t="shared" si="68"/>
        <v>45383</v>
      </c>
      <c r="E59" s="12">
        <v>45402</v>
      </c>
      <c r="F59" s="5" t="s">
        <v>3051</v>
      </c>
      <c r="G59" s="10">
        <f t="shared" ca="1" si="0"/>
        <v>1</v>
      </c>
      <c r="H59" s="103">
        <f t="shared" ca="1" si="1"/>
        <v>1</v>
      </c>
      <c r="I59" s="10" t="s">
        <v>3065</v>
      </c>
      <c r="J59" s="10" t="str">
        <f t="shared" si="33"/>
        <v>APRIL</v>
      </c>
      <c r="K59" s="10" t="str">
        <f t="shared" si="34"/>
        <v>Survei Harga Produsen Beras di Penggilingan 2024 (HPBG24) April April</v>
      </c>
      <c r="L59" s="10" t="str">
        <f t="shared" si="48"/>
        <v>HPBG24-LAPANGAN-APRIL-APRIL</v>
      </c>
      <c r="M59" s="10" t="str">
        <f t="shared" ref="M59:N59" si="70">CONCATENATE(TEXT(D59,"DD-MM-YYYY"))</f>
        <v>01-04-2024</v>
      </c>
      <c r="N59" s="10" t="str">
        <f t="shared" si="70"/>
        <v>20-04-2024</v>
      </c>
    </row>
    <row r="60" spans="1:14" ht="12.5">
      <c r="A60" s="10" t="s">
        <v>157</v>
      </c>
      <c r="B60" s="5" t="s">
        <v>3120</v>
      </c>
      <c r="C60" s="5" t="s">
        <v>3042</v>
      </c>
      <c r="D60" s="13">
        <f t="shared" si="68"/>
        <v>45413</v>
      </c>
      <c r="E60" s="12">
        <v>45432</v>
      </c>
      <c r="F60" s="5" t="s">
        <v>3051</v>
      </c>
      <c r="G60" s="10">
        <f t="shared" ca="1" si="0"/>
        <v>1</v>
      </c>
      <c r="H60" s="103">
        <f t="shared" ca="1" si="1"/>
        <v>1</v>
      </c>
      <c r="I60" s="10" t="s">
        <v>3067</v>
      </c>
      <c r="J60" s="10" t="str">
        <f t="shared" si="33"/>
        <v>MEI</v>
      </c>
      <c r="K60" s="10" t="str">
        <f t="shared" si="34"/>
        <v>Survei Harga Produsen Beras di Penggilingan 2024 (HPBG24) Mei Mei</v>
      </c>
      <c r="L60" s="10" t="str">
        <f t="shared" si="48"/>
        <v>HPBG24-LAPANGAN-MEI-MEI</v>
      </c>
      <c r="M60" s="10" t="str">
        <f t="shared" ref="M60:N60" si="71">CONCATENATE(TEXT(D60,"DD-MM-YYYY"))</f>
        <v>01-05-2024</v>
      </c>
      <c r="N60" s="10" t="str">
        <f t="shared" si="71"/>
        <v>20-05-2024</v>
      </c>
    </row>
    <row r="61" spans="1:14" ht="12.5">
      <c r="A61" s="10" t="s">
        <v>174</v>
      </c>
      <c r="B61" s="5" t="s">
        <v>3121</v>
      </c>
      <c r="C61" s="5" t="s">
        <v>3042</v>
      </c>
      <c r="D61" s="13">
        <f t="shared" si="68"/>
        <v>45444</v>
      </c>
      <c r="E61" s="12">
        <v>45463</v>
      </c>
      <c r="F61" s="5" t="s">
        <v>3051</v>
      </c>
      <c r="G61" s="10">
        <f t="shared" ca="1" si="0"/>
        <v>1</v>
      </c>
      <c r="H61" s="103">
        <f t="shared" ca="1" si="1"/>
        <v>1</v>
      </c>
      <c r="I61" s="10" t="s">
        <v>3069</v>
      </c>
      <c r="J61" s="10" t="str">
        <f t="shared" si="33"/>
        <v>JUNI</v>
      </c>
      <c r="K61" s="10" t="str">
        <f t="shared" si="34"/>
        <v>Survei Harga Produsen Beras di Penggilingan 2024 (HPBG24) Juni Juni</v>
      </c>
      <c r="L61" s="10" t="str">
        <f t="shared" si="48"/>
        <v>HPBG24-LAPANGAN-JUNI-JUNI</v>
      </c>
      <c r="M61" s="10" t="str">
        <f t="shared" ref="M61:N61" si="72">CONCATENATE(TEXT(D61,"DD-MM-YYYY"))</f>
        <v>01-06-2024</v>
      </c>
      <c r="N61" s="10" t="str">
        <f t="shared" si="72"/>
        <v>20-06-2024</v>
      </c>
    </row>
    <row r="62" spans="1:14" ht="12.5">
      <c r="A62" s="10" t="s">
        <v>199</v>
      </c>
      <c r="B62" s="5" t="s">
        <v>3122</v>
      </c>
      <c r="C62" s="5" t="s">
        <v>3042</v>
      </c>
      <c r="D62" s="13">
        <f t="shared" si="68"/>
        <v>45474</v>
      </c>
      <c r="E62" s="12">
        <v>45493</v>
      </c>
      <c r="F62" s="5" t="s">
        <v>3051</v>
      </c>
      <c r="G62" s="10">
        <f t="shared" ca="1" si="0"/>
        <v>1</v>
      </c>
      <c r="H62" s="103">
        <f t="shared" ca="1" si="1"/>
        <v>1</v>
      </c>
      <c r="I62" s="10" t="s">
        <v>3071</v>
      </c>
      <c r="J62" s="10" t="str">
        <f t="shared" si="33"/>
        <v>JULI</v>
      </c>
      <c r="K62" s="10" t="str">
        <f t="shared" si="34"/>
        <v>Survei Harga Produsen Beras di Penggilingan 2024 (HPBG24) Juli Juli</v>
      </c>
      <c r="L62" s="10" t="str">
        <f t="shared" si="48"/>
        <v>HPBG24-LAPANGAN-JULI-JULI</v>
      </c>
      <c r="M62" s="10" t="str">
        <f t="shared" ref="M62:N62" si="73">CONCATENATE(TEXT(D62,"DD-MM-YYYY"))</f>
        <v>01-07-2024</v>
      </c>
      <c r="N62" s="10" t="str">
        <f t="shared" si="73"/>
        <v>20-07-2024</v>
      </c>
    </row>
    <row r="63" spans="1:14" ht="12.5">
      <c r="A63" s="10" t="s">
        <v>221</v>
      </c>
      <c r="B63" s="5" t="s">
        <v>3123</v>
      </c>
      <c r="C63" s="5" t="s">
        <v>3042</v>
      </c>
      <c r="D63" s="13">
        <f t="shared" si="68"/>
        <v>45505</v>
      </c>
      <c r="E63" s="12">
        <v>45524</v>
      </c>
      <c r="F63" s="5" t="s">
        <v>3051</v>
      </c>
      <c r="G63" s="10">
        <f t="shared" ca="1" si="0"/>
        <v>1</v>
      </c>
      <c r="H63" s="103">
        <f t="shared" ca="1" si="1"/>
        <v>1</v>
      </c>
      <c r="I63" s="10" t="s">
        <v>3073</v>
      </c>
      <c r="J63" s="10" t="str">
        <f t="shared" si="33"/>
        <v>AGUSTUS</v>
      </c>
      <c r="K63" s="10" t="str">
        <f t="shared" si="34"/>
        <v>Survei Harga Produsen Beras di Penggilingan 2024 (HPBG24) Agustus Agustus</v>
      </c>
      <c r="L63" s="10" t="str">
        <f t="shared" si="48"/>
        <v>HPBG24-LAPANGAN-AGUSTUS-AGUSTUS</v>
      </c>
      <c r="M63" s="10" t="str">
        <f t="shared" ref="M63:N63" si="74">CONCATENATE(TEXT(D63,"DD-MM-YYYY"))</f>
        <v>01-08-2024</v>
      </c>
      <c r="N63" s="10" t="str">
        <f t="shared" si="74"/>
        <v>20-08-2024</v>
      </c>
    </row>
    <row r="64" spans="1:14" ht="12.5">
      <c r="A64" s="10" t="s">
        <v>258</v>
      </c>
      <c r="B64" s="5" t="s">
        <v>3124</v>
      </c>
      <c r="C64" s="5" t="s">
        <v>3042</v>
      </c>
      <c r="D64" s="13">
        <f t="shared" si="68"/>
        <v>45536</v>
      </c>
      <c r="E64" s="12">
        <v>45555</v>
      </c>
      <c r="F64" s="5" t="s">
        <v>3051</v>
      </c>
      <c r="G64" s="10">
        <f t="shared" ca="1" si="0"/>
        <v>1</v>
      </c>
      <c r="H64" s="103">
        <f t="shared" ca="1" si="1"/>
        <v>1</v>
      </c>
      <c r="I64" s="10" t="s">
        <v>3075</v>
      </c>
      <c r="J64" s="10" t="str">
        <f t="shared" si="33"/>
        <v>SEPTEMBER</v>
      </c>
      <c r="K64" s="10" t="str">
        <f t="shared" si="34"/>
        <v>Survei Harga Produsen Beras di Penggilingan 2024 (HPBG24) September September</v>
      </c>
      <c r="L64" s="10" t="str">
        <f t="shared" si="48"/>
        <v>HPBG24-LAPANGAN-SEPTEMBER-SEPTEMBER</v>
      </c>
      <c r="M64" s="10" t="str">
        <f t="shared" ref="M64:N64" si="75">CONCATENATE(TEXT(D64,"DD-MM-YYYY"))</f>
        <v>01-09-2024</v>
      </c>
      <c r="N64" s="10" t="str">
        <f t="shared" si="75"/>
        <v>20-09-2024</v>
      </c>
    </row>
    <row r="65" spans="1:14" ht="12.5">
      <c r="A65" s="10" t="s">
        <v>284</v>
      </c>
      <c r="B65" s="5" t="s">
        <v>3125</v>
      </c>
      <c r="C65" s="5" t="s">
        <v>3042</v>
      </c>
      <c r="D65" s="13">
        <f t="shared" si="68"/>
        <v>45566</v>
      </c>
      <c r="E65" s="12">
        <v>45585</v>
      </c>
      <c r="F65" s="5" t="s">
        <v>3051</v>
      </c>
      <c r="G65" s="10">
        <f t="shared" ca="1" si="0"/>
        <v>1</v>
      </c>
      <c r="H65" s="103">
        <f t="shared" ca="1" si="1"/>
        <v>0</v>
      </c>
      <c r="I65" s="10" t="s">
        <v>3077</v>
      </c>
      <c r="J65" s="10" t="str">
        <f t="shared" si="33"/>
        <v>OKTOBER</v>
      </c>
      <c r="K65" s="10" t="str">
        <f t="shared" si="34"/>
        <v>Survei Harga Produsen Beras di Penggilingan 2024 (HPBG24) Oktober Oktober</v>
      </c>
      <c r="L65" s="10" t="str">
        <f t="shared" si="48"/>
        <v>HPBG24-LAPANGAN-OKTOBER-OKTOBER</v>
      </c>
      <c r="M65" s="10" t="str">
        <f t="shared" ref="M65:N65" si="76">CONCATENATE(TEXT(D65,"DD-MM-YYYY"))</f>
        <v>01-10-2024</v>
      </c>
      <c r="N65" s="10" t="str">
        <f t="shared" si="76"/>
        <v>20-10-2024</v>
      </c>
    </row>
    <row r="66" spans="1:14" ht="12.5">
      <c r="A66" s="10" t="s">
        <v>302</v>
      </c>
      <c r="B66" s="5" t="s">
        <v>3126</v>
      </c>
      <c r="C66" s="5" t="s">
        <v>3042</v>
      </c>
      <c r="D66" s="13">
        <f t="shared" si="68"/>
        <v>45597</v>
      </c>
      <c r="E66" s="12">
        <v>45616</v>
      </c>
      <c r="F66" s="5" t="s">
        <v>3051</v>
      </c>
      <c r="G66" s="10">
        <f t="shared" ca="1" si="0"/>
        <v>0</v>
      </c>
      <c r="H66" s="103">
        <f t="shared" ca="1" si="1"/>
        <v>0</v>
      </c>
      <c r="I66" s="10" t="s">
        <v>3079</v>
      </c>
      <c r="J66" s="10" t="str">
        <f t="shared" si="33"/>
        <v>NOVEMBER</v>
      </c>
      <c r="K66" s="10" t="str">
        <f t="shared" si="34"/>
        <v>Survei Harga Produsen Beras di Penggilingan 2024 (HPBG24) November November</v>
      </c>
      <c r="L66" s="10" t="str">
        <f t="shared" si="48"/>
        <v>HPBG24-LAPANGAN-NOVEMBER-NOVEMBER</v>
      </c>
      <c r="M66" s="10" t="str">
        <f t="shared" ref="M66:N66" si="77">CONCATENATE(TEXT(D66,"DD-MM-YYYY"))</f>
        <v>01-11-2024</v>
      </c>
      <c r="N66" s="10" t="str">
        <f t="shared" si="77"/>
        <v>20-11-2024</v>
      </c>
    </row>
    <row r="67" spans="1:14" ht="12.5">
      <c r="A67" s="10" t="s">
        <v>317</v>
      </c>
      <c r="B67" s="5" t="s">
        <v>3127</v>
      </c>
      <c r="C67" s="5" t="s">
        <v>3042</v>
      </c>
      <c r="D67" s="13">
        <f t="shared" si="68"/>
        <v>45627</v>
      </c>
      <c r="E67" s="12">
        <v>45646</v>
      </c>
      <c r="F67" s="5" t="s">
        <v>3051</v>
      </c>
      <c r="G67" s="10">
        <f t="shared" ca="1" si="0"/>
        <v>0</v>
      </c>
      <c r="H67" s="103">
        <f t="shared" ca="1" si="1"/>
        <v>0</v>
      </c>
      <c r="I67" s="10" t="s">
        <v>3081</v>
      </c>
      <c r="J67" s="10" t="str">
        <f t="shared" si="33"/>
        <v>DESEMBER</v>
      </c>
      <c r="K67" s="10" t="str">
        <f t="shared" si="34"/>
        <v>Survei Harga Produsen Beras di Penggilingan 2024 (HPBG24) Desember Desember</v>
      </c>
      <c r="L67" s="10" t="str">
        <f t="shared" si="48"/>
        <v>HPBG24-LAPANGAN-DESEMBER-DESEMBER</v>
      </c>
      <c r="M67" s="10" t="str">
        <f t="shared" ref="M67:N67" si="78">CONCATENATE(TEXT(D67,"DD-MM-YYYY"))</f>
        <v>01-12-2024</v>
      </c>
      <c r="N67" s="10" t="str">
        <f t="shared" si="78"/>
        <v>20-12-2024</v>
      </c>
    </row>
    <row r="68" spans="1:14" ht="12.5">
      <c r="A68" s="10" t="s">
        <v>78</v>
      </c>
      <c r="B68" s="5" t="s">
        <v>3128</v>
      </c>
      <c r="C68" s="5" t="s">
        <v>3042</v>
      </c>
      <c r="D68" s="13">
        <f t="shared" si="68"/>
        <v>45292</v>
      </c>
      <c r="E68" s="12">
        <v>45311</v>
      </c>
      <c r="F68" s="5" t="s">
        <v>3051</v>
      </c>
      <c r="G68" s="10">
        <f t="shared" ca="1" si="0"/>
        <v>1</v>
      </c>
      <c r="H68" s="103">
        <f t="shared" ca="1" si="1"/>
        <v>1</v>
      </c>
      <c r="I68" s="10" t="s">
        <v>3059</v>
      </c>
      <c r="J68" s="10" t="str">
        <f t="shared" si="33"/>
        <v>JANUARI</v>
      </c>
      <c r="K68" s="10" t="str">
        <f t="shared" si="34"/>
        <v>Survei Harga Produsen Jasa (HPJ24) Januari Januari</v>
      </c>
      <c r="L68" s="10" t="str">
        <f t="shared" si="48"/>
        <v>HPJ24-LAPANGAN-JANUARI-JANUARI</v>
      </c>
      <c r="M68" s="10" t="str">
        <f t="shared" ref="M68:N68" si="79">CONCATENATE(TEXT(D68,"DD-MM-YYYY"))</f>
        <v>01-01-2024</v>
      </c>
      <c r="N68" s="10" t="str">
        <f t="shared" si="79"/>
        <v>20-01-2024</v>
      </c>
    </row>
    <row r="69" spans="1:14" ht="12.5">
      <c r="A69" s="10" t="s">
        <v>101</v>
      </c>
      <c r="B69" s="5" t="s">
        <v>3129</v>
      </c>
      <c r="C69" s="5" t="s">
        <v>3042</v>
      </c>
      <c r="D69" s="7">
        <v>45323</v>
      </c>
      <c r="E69" s="7">
        <v>45342</v>
      </c>
      <c r="F69" s="5" t="s">
        <v>3051</v>
      </c>
      <c r="G69" s="10">
        <f t="shared" ca="1" si="0"/>
        <v>1</v>
      </c>
      <c r="H69" s="103">
        <f t="shared" ca="1" si="1"/>
        <v>1</v>
      </c>
      <c r="I69" s="10" t="s">
        <v>3061</v>
      </c>
      <c r="J69" s="10" t="str">
        <f t="shared" si="33"/>
        <v>FEBRUARI</v>
      </c>
      <c r="K69" s="10" t="str">
        <f t="shared" si="34"/>
        <v>Survei Harga Produsen Jasa (HPJ24) Februari Februari</v>
      </c>
      <c r="L69" s="10" t="str">
        <f t="shared" si="48"/>
        <v>HPJ24-LAPANGAN-FEBRUARI-FEBRUARI</v>
      </c>
      <c r="M69" s="10" t="str">
        <f t="shared" ref="M69:N69" si="80">CONCATENATE(TEXT(D69,"DD-MM-YYYY"))</f>
        <v>01-02-2024</v>
      </c>
      <c r="N69" s="10" t="str">
        <f t="shared" si="80"/>
        <v>20-02-2024</v>
      </c>
    </row>
    <row r="70" spans="1:14" ht="12.5">
      <c r="A70" s="10" t="s">
        <v>119</v>
      </c>
      <c r="B70" s="5" t="s">
        <v>3130</v>
      </c>
      <c r="C70" s="5" t="s">
        <v>3042</v>
      </c>
      <c r="D70" s="13">
        <f t="shared" ref="D70:D79" si="81">DATE(2024,MONTH(E70),1)</f>
        <v>45352</v>
      </c>
      <c r="E70" s="12">
        <v>45371</v>
      </c>
      <c r="F70" s="5" t="s">
        <v>3051</v>
      </c>
      <c r="G70" s="10">
        <f t="shared" ca="1" si="0"/>
        <v>1</v>
      </c>
      <c r="H70" s="103">
        <f t="shared" ca="1" si="1"/>
        <v>1</v>
      </c>
      <c r="I70" s="10" t="s">
        <v>3063</v>
      </c>
      <c r="J70" s="10" t="str">
        <f t="shared" si="33"/>
        <v>MARET</v>
      </c>
      <c r="K70" s="10" t="str">
        <f t="shared" si="34"/>
        <v>Survei Harga Produsen Jasa (HPJ24) Maret Maret</v>
      </c>
      <c r="L70" s="10" t="str">
        <f t="shared" si="48"/>
        <v>HPJ24-LAPANGAN-MARET-MARET</v>
      </c>
      <c r="M70" s="10" t="str">
        <f t="shared" ref="M70:N70" si="82">CONCATENATE(TEXT(D70,"DD-MM-YYYY"))</f>
        <v>01-03-2024</v>
      </c>
      <c r="N70" s="10" t="str">
        <f t="shared" si="82"/>
        <v>20-03-2024</v>
      </c>
    </row>
    <row r="71" spans="1:14" ht="12.5">
      <c r="A71" s="10" t="s">
        <v>139</v>
      </c>
      <c r="B71" s="5" t="s">
        <v>3131</v>
      </c>
      <c r="C71" s="5" t="s">
        <v>3042</v>
      </c>
      <c r="D71" s="13">
        <f t="shared" si="81"/>
        <v>45383</v>
      </c>
      <c r="E71" s="12">
        <v>45402</v>
      </c>
      <c r="F71" s="5" t="s">
        <v>3051</v>
      </c>
      <c r="G71" s="10">
        <f t="shared" ca="1" si="0"/>
        <v>1</v>
      </c>
      <c r="H71" s="103">
        <f t="shared" ca="1" si="1"/>
        <v>1</v>
      </c>
      <c r="I71" s="10" t="s">
        <v>3065</v>
      </c>
      <c r="J71" s="10" t="str">
        <f t="shared" si="33"/>
        <v>APRIL</v>
      </c>
      <c r="K71" s="10" t="str">
        <f t="shared" si="34"/>
        <v>Survei Harga Produsen Jasa (HPJ24) April April</v>
      </c>
      <c r="L71" s="10" t="str">
        <f t="shared" si="48"/>
        <v>HPJ24-LAPANGAN-APRIL-APRIL</v>
      </c>
      <c r="M71" s="10" t="str">
        <f t="shared" ref="M71:N71" si="83">CONCATENATE(TEXT(D71,"DD-MM-YYYY"))</f>
        <v>01-04-2024</v>
      </c>
      <c r="N71" s="10" t="str">
        <f t="shared" si="83"/>
        <v>20-04-2024</v>
      </c>
    </row>
    <row r="72" spans="1:14" ht="12.5">
      <c r="A72" s="10" t="s">
        <v>159</v>
      </c>
      <c r="B72" s="5" t="s">
        <v>3132</v>
      </c>
      <c r="C72" s="5" t="s">
        <v>3042</v>
      </c>
      <c r="D72" s="13">
        <f t="shared" si="81"/>
        <v>45413</v>
      </c>
      <c r="E72" s="12">
        <v>45432</v>
      </c>
      <c r="F72" s="5" t="s">
        <v>3051</v>
      </c>
      <c r="G72" s="10">
        <f t="shared" ca="1" si="0"/>
        <v>1</v>
      </c>
      <c r="H72" s="103">
        <f t="shared" ca="1" si="1"/>
        <v>1</v>
      </c>
      <c r="I72" s="10" t="s">
        <v>3067</v>
      </c>
      <c r="J72" s="10" t="str">
        <f t="shared" si="33"/>
        <v>MEI</v>
      </c>
      <c r="K72" s="10" t="str">
        <f t="shared" si="34"/>
        <v>Survei Harga Produsen Jasa (HPJ24) Mei Mei</v>
      </c>
      <c r="L72" s="10" t="str">
        <f t="shared" si="48"/>
        <v>HPJ24-LAPANGAN-MEI-MEI</v>
      </c>
      <c r="M72" s="10" t="str">
        <f t="shared" ref="M72:N72" si="84">CONCATENATE(TEXT(D72,"DD-MM-YYYY"))</f>
        <v>01-05-2024</v>
      </c>
      <c r="N72" s="10" t="str">
        <f t="shared" si="84"/>
        <v>20-05-2024</v>
      </c>
    </row>
    <row r="73" spans="1:14" ht="12.5">
      <c r="A73" s="10" t="s">
        <v>176</v>
      </c>
      <c r="B73" s="5" t="s">
        <v>3133</v>
      </c>
      <c r="C73" s="5" t="s">
        <v>3042</v>
      </c>
      <c r="D73" s="13">
        <f t="shared" si="81"/>
        <v>45444</v>
      </c>
      <c r="E73" s="12">
        <v>45463</v>
      </c>
      <c r="F73" s="5" t="s">
        <v>3051</v>
      </c>
      <c r="G73" s="10">
        <f t="shared" ca="1" si="0"/>
        <v>1</v>
      </c>
      <c r="H73" s="103">
        <f t="shared" ca="1" si="1"/>
        <v>1</v>
      </c>
      <c r="I73" s="10" t="s">
        <v>3069</v>
      </c>
      <c r="J73" s="10" t="str">
        <f t="shared" si="33"/>
        <v>JUNI</v>
      </c>
      <c r="K73" s="10" t="str">
        <f t="shared" si="34"/>
        <v>Survei Harga Produsen Jasa (HPJ24) Juni Juni</v>
      </c>
      <c r="L73" s="10" t="str">
        <f t="shared" si="48"/>
        <v>HPJ24-LAPANGAN-JUNI-JUNI</v>
      </c>
      <c r="M73" s="10" t="str">
        <f t="shared" ref="M73:N73" si="85">CONCATENATE(TEXT(D73,"DD-MM-YYYY"))</f>
        <v>01-06-2024</v>
      </c>
      <c r="N73" s="10" t="str">
        <f t="shared" si="85"/>
        <v>20-06-2024</v>
      </c>
    </row>
    <row r="74" spans="1:14" ht="12.5">
      <c r="A74" s="10" t="s">
        <v>201</v>
      </c>
      <c r="B74" s="5" t="s">
        <v>3134</v>
      </c>
      <c r="C74" s="5" t="s">
        <v>3042</v>
      </c>
      <c r="D74" s="13">
        <f t="shared" si="81"/>
        <v>45474</v>
      </c>
      <c r="E74" s="12">
        <v>45493</v>
      </c>
      <c r="F74" s="5" t="s">
        <v>3051</v>
      </c>
      <c r="G74" s="10">
        <f t="shared" ca="1" si="0"/>
        <v>1</v>
      </c>
      <c r="H74" s="103">
        <f t="shared" ca="1" si="1"/>
        <v>1</v>
      </c>
      <c r="I74" s="10" t="s">
        <v>3071</v>
      </c>
      <c r="J74" s="10" t="str">
        <f t="shared" si="33"/>
        <v>JULI</v>
      </c>
      <c r="K74" s="10" t="str">
        <f t="shared" si="34"/>
        <v>Survei Harga Produsen Jasa (HPJ24) Juli Juli</v>
      </c>
      <c r="L74" s="10" t="str">
        <f t="shared" si="48"/>
        <v>HPJ24-LAPANGAN-JULI-JULI</v>
      </c>
      <c r="M74" s="10" t="str">
        <f t="shared" ref="M74:N74" si="86">CONCATENATE(TEXT(D74,"DD-MM-YYYY"))</f>
        <v>01-07-2024</v>
      </c>
      <c r="N74" s="10" t="str">
        <f t="shared" si="86"/>
        <v>20-07-2024</v>
      </c>
    </row>
    <row r="75" spans="1:14" ht="12.5">
      <c r="A75" s="10" t="s">
        <v>223</v>
      </c>
      <c r="B75" s="5" t="s">
        <v>3135</v>
      </c>
      <c r="C75" s="5" t="s">
        <v>3042</v>
      </c>
      <c r="D75" s="13">
        <f t="shared" si="81"/>
        <v>45505</v>
      </c>
      <c r="E75" s="12">
        <v>45524</v>
      </c>
      <c r="F75" s="5" t="s">
        <v>3051</v>
      </c>
      <c r="G75" s="10">
        <f t="shared" ca="1" si="0"/>
        <v>1</v>
      </c>
      <c r="H75" s="103">
        <f t="shared" ca="1" si="1"/>
        <v>1</v>
      </c>
      <c r="I75" s="10" t="s">
        <v>3073</v>
      </c>
      <c r="J75" s="10" t="str">
        <f t="shared" si="33"/>
        <v>AGUSTUS</v>
      </c>
      <c r="K75" s="10" t="str">
        <f t="shared" si="34"/>
        <v>Survei Harga Produsen Jasa (HPJ24) Agustus Agustus</v>
      </c>
      <c r="L75" s="10" t="str">
        <f t="shared" si="48"/>
        <v>HPJ24-LAPANGAN-AGUSTUS-AGUSTUS</v>
      </c>
      <c r="M75" s="10" t="str">
        <f t="shared" ref="M75:N75" si="87">CONCATENATE(TEXT(D75,"DD-MM-YYYY"))</f>
        <v>01-08-2024</v>
      </c>
      <c r="N75" s="10" t="str">
        <f t="shared" si="87"/>
        <v>20-08-2024</v>
      </c>
    </row>
    <row r="76" spans="1:14" ht="12.5">
      <c r="A76" s="10" t="s">
        <v>260</v>
      </c>
      <c r="B76" s="5" t="s">
        <v>3136</v>
      </c>
      <c r="C76" s="5" t="s">
        <v>3042</v>
      </c>
      <c r="D76" s="13">
        <f t="shared" si="81"/>
        <v>45536</v>
      </c>
      <c r="E76" s="12">
        <v>45555</v>
      </c>
      <c r="F76" s="5" t="s">
        <v>3051</v>
      </c>
      <c r="G76" s="10">
        <f t="shared" ca="1" si="0"/>
        <v>1</v>
      </c>
      <c r="H76" s="103">
        <f t="shared" ca="1" si="1"/>
        <v>1</v>
      </c>
      <c r="I76" s="10" t="s">
        <v>3075</v>
      </c>
      <c r="J76" s="10" t="str">
        <f t="shared" si="33"/>
        <v>SEPTEMBER</v>
      </c>
      <c r="K76" s="10" t="str">
        <f t="shared" si="34"/>
        <v>Survei Harga Produsen Jasa (HPJ24) September September</v>
      </c>
      <c r="L76" s="10" t="str">
        <f t="shared" si="48"/>
        <v>HPJ24-LAPANGAN-SEPTEMBER-SEPTEMBER</v>
      </c>
      <c r="M76" s="10" t="str">
        <f t="shared" ref="M76:N76" si="88">CONCATENATE(TEXT(D76,"DD-MM-YYYY"))</f>
        <v>01-09-2024</v>
      </c>
      <c r="N76" s="10" t="str">
        <f t="shared" si="88"/>
        <v>20-09-2024</v>
      </c>
    </row>
    <row r="77" spans="1:14" ht="12.5">
      <c r="A77" s="10" t="s">
        <v>286</v>
      </c>
      <c r="B77" s="5" t="s">
        <v>3137</v>
      </c>
      <c r="C77" s="5" t="s">
        <v>3042</v>
      </c>
      <c r="D77" s="13">
        <f t="shared" si="81"/>
        <v>45566</v>
      </c>
      <c r="E77" s="12">
        <v>45585</v>
      </c>
      <c r="F77" s="5" t="s">
        <v>3051</v>
      </c>
      <c r="G77" s="10">
        <f t="shared" ca="1" si="0"/>
        <v>1</v>
      </c>
      <c r="H77" s="103">
        <f t="shared" ca="1" si="1"/>
        <v>0</v>
      </c>
      <c r="I77" s="10" t="s">
        <v>3077</v>
      </c>
      <c r="J77" s="10" t="str">
        <f t="shared" si="33"/>
        <v>OKTOBER</v>
      </c>
      <c r="K77" s="10" t="str">
        <f t="shared" si="34"/>
        <v>Survei Harga Produsen Jasa (HPJ24) Oktober Oktober</v>
      </c>
      <c r="L77" s="10" t="str">
        <f t="shared" si="48"/>
        <v>HPJ24-LAPANGAN-OKTOBER-OKTOBER</v>
      </c>
      <c r="M77" s="10" t="str">
        <f t="shared" ref="M77:N77" si="89">CONCATENATE(TEXT(D77,"DD-MM-YYYY"))</f>
        <v>01-10-2024</v>
      </c>
      <c r="N77" s="10" t="str">
        <f t="shared" si="89"/>
        <v>20-10-2024</v>
      </c>
    </row>
    <row r="78" spans="1:14" ht="12.5">
      <c r="A78" s="10" t="s">
        <v>304</v>
      </c>
      <c r="B78" s="5" t="s">
        <v>3138</v>
      </c>
      <c r="C78" s="5" t="s">
        <v>3042</v>
      </c>
      <c r="D78" s="13">
        <f t="shared" si="81"/>
        <v>45597</v>
      </c>
      <c r="E78" s="12">
        <v>45616</v>
      </c>
      <c r="F78" s="5" t="s">
        <v>3051</v>
      </c>
      <c r="G78" s="10">
        <f t="shared" ca="1" si="0"/>
        <v>0</v>
      </c>
      <c r="H78" s="103">
        <f t="shared" ca="1" si="1"/>
        <v>0</v>
      </c>
      <c r="I78" s="10" t="s">
        <v>3079</v>
      </c>
      <c r="J78" s="10" t="str">
        <f t="shared" si="33"/>
        <v>NOVEMBER</v>
      </c>
      <c r="K78" s="10" t="str">
        <f t="shared" si="34"/>
        <v>Survei Harga Produsen Jasa (HPJ24) November November</v>
      </c>
      <c r="L78" s="10" t="str">
        <f t="shared" si="48"/>
        <v>HPJ24-LAPANGAN-NOVEMBER-NOVEMBER</v>
      </c>
      <c r="M78" s="10" t="str">
        <f t="shared" ref="M78:N78" si="90">CONCATENATE(TEXT(D78,"DD-MM-YYYY"))</f>
        <v>01-11-2024</v>
      </c>
      <c r="N78" s="10" t="str">
        <f t="shared" si="90"/>
        <v>20-11-2024</v>
      </c>
    </row>
    <row r="79" spans="1:14" ht="12.5">
      <c r="A79" s="10" t="s">
        <v>319</v>
      </c>
      <c r="B79" s="5" t="s">
        <v>3139</v>
      </c>
      <c r="C79" s="5" t="s">
        <v>3042</v>
      </c>
      <c r="D79" s="13">
        <f t="shared" si="81"/>
        <v>45627</v>
      </c>
      <c r="E79" s="12">
        <v>45646</v>
      </c>
      <c r="F79" s="5" t="s">
        <v>3051</v>
      </c>
      <c r="G79" s="10">
        <f t="shared" ca="1" si="0"/>
        <v>0</v>
      </c>
      <c r="H79" s="103">
        <f t="shared" ca="1" si="1"/>
        <v>0</v>
      </c>
      <c r="I79" s="10" t="s">
        <v>3081</v>
      </c>
      <c r="J79" s="10" t="str">
        <f t="shared" si="33"/>
        <v>DESEMBER</v>
      </c>
      <c r="K79" s="10" t="str">
        <f t="shared" si="34"/>
        <v>Survei Harga Produsen Jasa (HPJ24) Desember Desember</v>
      </c>
      <c r="L79" s="10" t="str">
        <f t="shared" si="48"/>
        <v>HPJ24-LAPANGAN-DESEMBER-DESEMBER</v>
      </c>
      <c r="M79" s="10" t="str">
        <f t="shared" ref="M79:N79" si="91">CONCATENATE(TEXT(D79,"DD-MM-YYYY"))</f>
        <v>01-12-2024</v>
      </c>
      <c r="N79" s="10" t="str">
        <f t="shared" si="91"/>
        <v>20-12-2024</v>
      </c>
    </row>
    <row r="80" spans="1:14" ht="12.5">
      <c r="A80" s="5" t="s">
        <v>86</v>
      </c>
      <c r="B80" s="5" t="s">
        <v>3140</v>
      </c>
      <c r="C80" s="5" t="s">
        <v>3042</v>
      </c>
      <c r="D80" s="74">
        <v>45292</v>
      </c>
      <c r="E80" s="74">
        <v>45311</v>
      </c>
      <c r="F80" s="5" t="s">
        <v>3141</v>
      </c>
      <c r="G80" s="10">
        <f t="shared" ca="1" si="0"/>
        <v>1</v>
      </c>
      <c r="H80" s="103">
        <f t="shared" ca="1" si="1"/>
        <v>1</v>
      </c>
      <c r="M80" s="10" t="str">
        <f t="shared" ref="M80:N80" si="92">CONCATENATE(TEXT(D80,"DD-MM-YYYY"))</f>
        <v>01-01-2024</v>
      </c>
      <c r="N80" s="10" t="str">
        <f t="shared" si="92"/>
        <v>20-01-2024</v>
      </c>
    </row>
    <row r="81" spans="1:14" ht="12.5">
      <c r="A81" s="5" t="s">
        <v>105</v>
      </c>
      <c r="B81" s="5" t="s">
        <v>3142</v>
      </c>
      <c r="C81" s="5" t="s">
        <v>3042</v>
      </c>
      <c r="D81" s="7">
        <v>45323</v>
      </c>
      <c r="E81" s="7">
        <v>45350</v>
      </c>
      <c r="F81" s="5" t="s">
        <v>3100</v>
      </c>
      <c r="G81" s="10">
        <f t="shared" ca="1" si="0"/>
        <v>1</v>
      </c>
      <c r="H81" s="103">
        <f t="shared" ca="1" si="1"/>
        <v>1</v>
      </c>
      <c r="M81" s="10" t="str">
        <f t="shared" ref="M81:N81" si="93">CONCATENATE(TEXT(D81,"DD-MM-YYYY"))</f>
        <v>01-02-2024</v>
      </c>
      <c r="N81" s="10" t="str">
        <f t="shared" si="93"/>
        <v>28-02-2024</v>
      </c>
    </row>
    <row r="82" spans="1:14" ht="12.5">
      <c r="A82" s="5" t="s">
        <v>186</v>
      </c>
      <c r="B82" s="5" t="s">
        <v>3143</v>
      </c>
      <c r="C82" s="5" t="s">
        <v>3042</v>
      </c>
      <c r="D82" s="74">
        <v>45454</v>
      </c>
      <c r="E82" s="74">
        <v>45473</v>
      </c>
      <c r="F82" s="5" t="s">
        <v>3100</v>
      </c>
      <c r="G82" s="10">
        <f t="shared" ca="1" si="0"/>
        <v>1</v>
      </c>
      <c r="H82" s="103">
        <f t="shared" ca="1" si="1"/>
        <v>1</v>
      </c>
      <c r="M82" s="10" t="str">
        <f t="shared" ref="M82:N82" si="94">CONCATENATE(TEXT(D82,"DD-MM-YYYY"))</f>
        <v>11-06-2024</v>
      </c>
      <c r="N82" s="10" t="str">
        <f t="shared" si="94"/>
        <v>30-06-2024</v>
      </c>
    </row>
    <row r="83" spans="1:14" ht="12.5">
      <c r="A83" s="5" t="s">
        <v>266</v>
      </c>
      <c r="B83" s="5" t="s">
        <v>3144</v>
      </c>
      <c r="C83" s="5" t="s">
        <v>3042</v>
      </c>
      <c r="D83" s="74">
        <v>45536</v>
      </c>
      <c r="E83" s="74">
        <v>45565</v>
      </c>
      <c r="F83" s="5" t="s">
        <v>3100</v>
      </c>
      <c r="G83" s="10">
        <f t="shared" ca="1" si="0"/>
        <v>1</v>
      </c>
      <c r="H83" s="103">
        <f t="shared" ca="1" si="1"/>
        <v>1</v>
      </c>
      <c r="M83" s="10" t="str">
        <f t="shared" ref="M83:N83" si="95">CONCATENATE(TEXT(D83,"DD-MM-YYYY"))</f>
        <v>01-09-2024</v>
      </c>
      <c r="N83" s="10" t="str">
        <f t="shared" si="95"/>
        <v>30-09-2024</v>
      </c>
    </row>
    <row r="84" spans="1:14" ht="12.5">
      <c r="A84" s="5" t="s">
        <v>308</v>
      </c>
      <c r="B84" s="5" t="s">
        <v>3145</v>
      </c>
      <c r="C84" s="5" t="s">
        <v>3042</v>
      </c>
      <c r="D84" s="7">
        <v>45607</v>
      </c>
      <c r="E84" s="7">
        <v>45626</v>
      </c>
      <c r="F84" s="5" t="s">
        <v>3100</v>
      </c>
      <c r="G84" s="10">
        <f t="shared" ca="1" si="0"/>
        <v>0</v>
      </c>
      <c r="H84" s="103">
        <f t="shared" ca="1" si="1"/>
        <v>0</v>
      </c>
      <c r="M84" s="10" t="str">
        <f t="shared" ref="M84:N84" si="96">CONCATENATE(TEXT(D84,"DD-MM-YYYY"))</f>
        <v>11-11-2024</v>
      </c>
      <c r="N84" s="10" t="str">
        <f t="shared" si="96"/>
        <v>30-11-2024</v>
      </c>
    </row>
    <row r="85" spans="1:14" ht="12.5">
      <c r="A85" s="5" t="s">
        <v>107</v>
      </c>
      <c r="B85" s="5" t="s">
        <v>3146</v>
      </c>
      <c r="C85" s="5" t="s">
        <v>3042</v>
      </c>
      <c r="D85" s="7">
        <v>45348</v>
      </c>
      <c r="E85" s="7">
        <v>45366</v>
      </c>
      <c r="F85" s="5" t="s">
        <v>3100</v>
      </c>
      <c r="G85" s="10">
        <f t="shared" ca="1" si="0"/>
        <v>1</v>
      </c>
      <c r="H85" s="103">
        <f t="shared" ca="1" si="1"/>
        <v>1</v>
      </c>
      <c r="M85" s="10" t="str">
        <f t="shared" ref="M85:N85" si="97">CONCATENATE(TEXT(D85,"DD-MM-YYYY"))</f>
        <v>26-02-2024</v>
      </c>
      <c r="N85" s="10" t="str">
        <f t="shared" si="97"/>
        <v>15-03-2024</v>
      </c>
    </row>
    <row r="86" spans="1:14" ht="12.5">
      <c r="A86" s="5" t="s">
        <v>188</v>
      </c>
      <c r="B86" s="5" t="s">
        <v>3147</v>
      </c>
      <c r="C86" s="5" t="s">
        <v>3042</v>
      </c>
      <c r="D86" s="74">
        <v>45459</v>
      </c>
      <c r="E86" s="74">
        <v>45482</v>
      </c>
      <c r="F86" s="5" t="s">
        <v>3100</v>
      </c>
      <c r="G86" s="10">
        <f t="shared" ca="1" si="0"/>
        <v>1</v>
      </c>
      <c r="H86" s="103">
        <f t="shared" ca="1" si="1"/>
        <v>1</v>
      </c>
      <c r="M86" s="10" t="str">
        <f t="shared" ref="M86:N86" si="98">CONCATENATE(TEXT(D86,"DD-MM-YYYY"))</f>
        <v>16-06-2024</v>
      </c>
      <c r="N86" s="10" t="str">
        <f t="shared" si="98"/>
        <v>09-07-2024</v>
      </c>
    </row>
    <row r="87" spans="1:14" ht="12.5">
      <c r="A87" s="5" t="s">
        <v>273</v>
      </c>
      <c r="B87" s="5" t="s">
        <v>3148</v>
      </c>
      <c r="C87" s="5" t="s">
        <v>3042</v>
      </c>
      <c r="D87" s="74">
        <v>45551</v>
      </c>
      <c r="E87" s="74">
        <v>45574</v>
      </c>
      <c r="F87" s="5" t="s">
        <v>3100</v>
      </c>
      <c r="G87" s="10">
        <f t="shared" ca="1" si="0"/>
        <v>1</v>
      </c>
      <c r="H87" s="103">
        <f t="shared" ca="1" si="1"/>
        <v>1</v>
      </c>
      <c r="M87" s="10" t="str">
        <f t="shared" ref="M87:N87" si="99">CONCATENATE(TEXT(D87,"DD-MM-YYYY"))</f>
        <v>16-09-2024</v>
      </c>
      <c r="N87" s="10" t="str">
        <f t="shared" si="99"/>
        <v>09-10-2024</v>
      </c>
    </row>
    <row r="88" spans="1:14" ht="12.5">
      <c r="A88" s="5" t="s">
        <v>323</v>
      </c>
      <c r="B88" s="5" t="s">
        <v>3149</v>
      </c>
      <c r="C88" s="5" t="s">
        <v>3042</v>
      </c>
      <c r="D88" s="7">
        <v>45612</v>
      </c>
      <c r="E88" s="7">
        <v>45649</v>
      </c>
      <c r="F88" s="5" t="s">
        <v>3100</v>
      </c>
      <c r="G88" s="10">
        <f t="shared" ca="1" si="0"/>
        <v>0</v>
      </c>
      <c r="H88" s="103">
        <f t="shared" ca="1" si="1"/>
        <v>0</v>
      </c>
      <c r="M88" s="10" t="str">
        <f t="shared" ref="M88:N88" si="100">CONCATENATE(TEXT(D88,"DD-MM-YYYY"))</f>
        <v>16-11-2024</v>
      </c>
      <c r="N88" s="10" t="str">
        <f t="shared" si="100"/>
        <v>23-12-2024</v>
      </c>
    </row>
    <row r="89" spans="1:14" ht="12.5">
      <c r="A89" s="104" t="s">
        <v>80</v>
      </c>
      <c r="B89" s="10" t="s">
        <v>3150</v>
      </c>
      <c r="C89" s="5" t="s">
        <v>3042</v>
      </c>
      <c r="D89" s="13">
        <f>DATE(2024,MONTH(E89),1)</f>
        <v>45292</v>
      </c>
      <c r="E89" s="12">
        <v>45311</v>
      </c>
      <c r="F89" s="5" t="s">
        <v>3051</v>
      </c>
      <c r="G89" s="10">
        <f t="shared" ca="1" si="0"/>
        <v>1</v>
      </c>
      <c r="H89" s="103">
        <f t="shared" ca="1" si="1"/>
        <v>1</v>
      </c>
      <c r="I89" s="10" t="s">
        <v>3059</v>
      </c>
      <c r="J89" s="10" t="str">
        <f t="shared" ref="J89:J100" si="101">UPPER(I89)</f>
        <v>JANUARI</v>
      </c>
      <c r="K89" s="10" t="str">
        <f t="shared" ref="K89:K100" si="102">CONCATENATE(B89," ",I89)</f>
        <v>Survei Hotel dan Jasa Akomodasi Bulanan (VHTS) 2024 Januari Januari</v>
      </c>
      <c r="L89" s="10" t="str">
        <f t="shared" ref="L89:L100" si="103">CONCATENATE(A89,"-",J89)</f>
        <v>VHTS24-LAPANGAN-JANUARI-JANUARI</v>
      </c>
      <c r="M89" s="10" t="str">
        <f t="shared" ref="M89:N89" si="104">CONCATENATE(TEXT(D89,"DD-MM-YYYY"))</f>
        <v>01-01-2024</v>
      </c>
      <c r="N89" s="10" t="str">
        <f t="shared" si="104"/>
        <v>20-01-2024</v>
      </c>
    </row>
    <row r="90" spans="1:14" ht="12.5">
      <c r="A90" s="104" t="s">
        <v>103</v>
      </c>
      <c r="B90" s="10" t="s">
        <v>3151</v>
      </c>
      <c r="C90" s="5" t="s">
        <v>3042</v>
      </c>
      <c r="D90" s="7">
        <v>45323</v>
      </c>
      <c r="E90" s="7">
        <v>45342</v>
      </c>
      <c r="F90" s="5" t="s">
        <v>3051</v>
      </c>
      <c r="G90" s="10">
        <f t="shared" ca="1" si="0"/>
        <v>1</v>
      </c>
      <c r="H90" s="103">
        <f t="shared" ca="1" si="1"/>
        <v>1</v>
      </c>
      <c r="I90" s="10" t="s">
        <v>3061</v>
      </c>
      <c r="J90" s="10" t="str">
        <f t="shared" si="101"/>
        <v>FEBRUARI</v>
      </c>
      <c r="K90" s="10" t="str">
        <f t="shared" si="102"/>
        <v>Survei Hotel dan Jasa Akomodasi Bulanan (VHTS) 2024 Februari Februari</v>
      </c>
      <c r="L90" s="10" t="str">
        <f t="shared" si="103"/>
        <v>VHTS24-LAPANGAN-FEBRUARI-FEBRUARI</v>
      </c>
      <c r="M90" s="10" t="str">
        <f t="shared" ref="M90:N90" si="105">CONCATENATE(TEXT(D90,"DD-MM-YYYY"))</f>
        <v>01-02-2024</v>
      </c>
      <c r="N90" s="10" t="str">
        <f t="shared" si="105"/>
        <v>20-02-2024</v>
      </c>
    </row>
    <row r="91" spans="1:14" ht="12.5">
      <c r="A91" s="104" t="s">
        <v>121</v>
      </c>
      <c r="B91" s="10" t="s">
        <v>3152</v>
      </c>
      <c r="C91" s="5" t="s">
        <v>3042</v>
      </c>
      <c r="D91" s="13">
        <f t="shared" ref="D91:D100" si="106">DATE(2024,MONTH(E91),1)</f>
        <v>45352</v>
      </c>
      <c r="E91" s="12">
        <v>45371</v>
      </c>
      <c r="F91" s="5" t="s">
        <v>3051</v>
      </c>
      <c r="G91" s="10">
        <f t="shared" ca="1" si="0"/>
        <v>1</v>
      </c>
      <c r="H91" s="103">
        <f t="shared" ca="1" si="1"/>
        <v>1</v>
      </c>
      <c r="I91" s="10" t="s">
        <v>3063</v>
      </c>
      <c r="J91" s="10" t="str">
        <f t="shared" si="101"/>
        <v>MARET</v>
      </c>
      <c r="K91" s="10" t="str">
        <f t="shared" si="102"/>
        <v>Survei Hotel dan Jasa Akomodasi Bulanan (VHTS) 2024 Maret Maret</v>
      </c>
      <c r="L91" s="10" t="str">
        <f t="shared" si="103"/>
        <v>VHTS24-LAPANGAN-MARET-MARET</v>
      </c>
      <c r="M91" s="10" t="str">
        <f t="shared" ref="M91:N91" si="107">CONCATENATE(TEXT(D91,"DD-MM-YYYY"))</f>
        <v>01-03-2024</v>
      </c>
      <c r="N91" s="10" t="str">
        <f t="shared" si="107"/>
        <v>20-03-2024</v>
      </c>
    </row>
    <row r="92" spans="1:14" ht="12.5">
      <c r="A92" s="104" t="s">
        <v>141</v>
      </c>
      <c r="B92" s="10" t="s">
        <v>3153</v>
      </c>
      <c r="C92" s="5" t="s">
        <v>3042</v>
      </c>
      <c r="D92" s="13">
        <f t="shared" si="106"/>
        <v>45383</v>
      </c>
      <c r="E92" s="12">
        <v>45402</v>
      </c>
      <c r="F92" s="5" t="s">
        <v>3051</v>
      </c>
      <c r="G92" s="10">
        <f t="shared" ca="1" si="0"/>
        <v>1</v>
      </c>
      <c r="H92" s="103">
        <f t="shared" ca="1" si="1"/>
        <v>1</v>
      </c>
      <c r="I92" s="10" t="s">
        <v>3065</v>
      </c>
      <c r="J92" s="10" t="str">
        <f t="shared" si="101"/>
        <v>APRIL</v>
      </c>
      <c r="K92" s="10" t="str">
        <f t="shared" si="102"/>
        <v>Survei Hotel dan Jasa Akomodasi Bulanan (VHTS) 2024 April April</v>
      </c>
      <c r="L92" s="10" t="str">
        <f t="shared" si="103"/>
        <v>VHTS24-LAPANGAN-APRIL-APRIL</v>
      </c>
      <c r="M92" s="10" t="str">
        <f t="shared" ref="M92:N92" si="108">CONCATENATE(TEXT(D92,"DD-MM-YYYY"))</f>
        <v>01-04-2024</v>
      </c>
      <c r="N92" s="10" t="str">
        <f t="shared" si="108"/>
        <v>20-04-2024</v>
      </c>
    </row>
    <row r="93" spans="1:14" ht="12.5">
      <c r="A93" s="104" t="s">
        <v>161</v>
      </c>
      <c r="B93" s="10" t="s">
        <v>3154</v>
      </c>
      <c r="C93" s="5" t="s">
        <v>3042</v>
      </c>
      <c r="D93" s="13">
        <f t="shared" si="106"/>
        <v>45413</v>
      </c>
      <c r="E93" s="12">
        <v>45432</v>
      </c>
      <c r="F93" s="5" t="s">
        <v>3051</v>
      </c>
      <c r="G93" s="10">
        <f t="shared" ca="1" si="0"/>
        <v>1</v>
      </c>
      <c r="H93" s="103">
        <f t="shared" ca="1" si="1"/>
        <v>1</v>
      </c>
      <c r="I93" s="10" t="s">
        <v>3067</v>
      </c>
      <c r="J93" s="10" t="str">
        <f t="shared" si="101"/>
        <v>MEI</v>
      </c>
      <c r="K93" s="10" t="str">
        <f t="shared" si="102"/>
        <v>Survei Hotel dan Jasa Akomodasi Bulanan (VHTS) 2024 Mei Mei</v>
      </c>
      <c r="L93" s="10" t="str">
        <f t="shared" si="103"/>
        <v>VHTS24-LAPANGAN-MEI-MEI</v>
      </c>
      <c r="M93" s="10" t="str">
        <f t="shared" ref="M93:N93" si="109">CONCATENATE(TEXT(D93,"DD-MM-YYYY"))</f>
        <v>01-05-2024</v>
      </c>
      <c r="N93" s="10" t="str">
        <f t="shared" si="109"/>
        <v>20-05-2024</v>
      </c>
    </row>
    <row r="94" spans="1:14" ht="12.5">
      <c r="A94" s="104" t="s">
        <v>178</v>
      </c>
      <c r="B94" s="10" t="s">
        <v>3155</v>
      </c>
      <c r="C94" s="5" t="s">
        <v>3042</v>
      </c>
      <c r="D94" s="13">
        <f t="shared" si="106"/>
        <v>45444</v>
      </c>
      <c r="E94" s="12">
        <v>45463</v>
      </c>
      <c r="F94" s="5" t="s">
        <v>3051</v>
      </c>
      <c r="G94" s="10">
        <f t="shared" ca="1" si="0"/>
        <v>1</v>
      </c>
      <c r="H94" s="103">
        <f t="shared" ca="1" si="1"/>
        <v>1</v>
      </c>
      <c r="I94" s="10" t="s">
        <v>3069</v>
      </c>
      <c r="J94" s="10" t="str">
        <f t="shared" si="101"/>
        <v>JUNI</v>
      </c>
      <c r="K94" s="10" t="str">
        <f t="shared" si="102"/>
        <v>Survei Hotel dan Jasa Akomodasi Bulanan (VHTS) 2024 Juni Juni</v>
      </c>
      <c r="L94" s="10" t="str">
        <f t="shared" si="103"/>
        <v>VHTS24-LAPANGAN-JUNI-JUNI</v>
      </c>
      <c r="M94" s="10" t="str">
        <f t="shared" ref="M94:N94" si="110">CONCATENATE(TEXT(D94,"DD-MM-YYYY"))</f>
        <v>01-06-2024</v>
      </c>
      <c r="N94" s="10" t="str">
        <f t="shared" si="110"/>
        <v>20-06-2024</v>
      </c>
    </row>
    <row r="95" spans="1:14" ht="12.5">
      <c r="A95" s="104" t="s">
        <v>203</v>
      </c>
      <c r="B95" s="10" t="s">
        <v>3156</v>
      </c>
      <c r="C95" s="5" t="s">
        <v>3042</v>
      </c>
      <c r="D95" s="13">
        <f t="shared" si="106"/>
        <v>45474</v>
      </c>
      <c r="E95" s="12">
        <v>45493</v>
      </c>
      <c r="F95" s="5" t="s">
        <v>3051</v>
      </c>
      <c r="G95" s="10">
        <f t="shared" ca="1" si="0"/>
        <v>1</v>
      </c>
      <c r="H95" s="103">
        <f t="shared" ca="1" si="1"/>
        <v>1</v>
      </c>
      <c r="I95" s="10" t="s">
        <v>3071</v>
      </c>
      <c r="J95" s="10" t="str">
        <f t="shared" si="101"/>
        <v>JULI</v>
      </c>
      <c r="K95" s="10" t="str">
        <f t="shared" si="102"/>
        <v>Survei Hotel dan Jasa Akomodasi Bulanan (VHTS) 2024 Juli Juli</v>
      </c>
      <c r="L95" s="10" t="str">
        <f t="shared" si="103"/>
        <v>VHTS24-LAPANGAN-JULI-JULI</v>
      </c>
      <c r="M95" s="10" t="str">
        <f t="shared" ref="M95:N95" si="111">CONCATENATE(TEXT(D95,"DD-MM-YYYY"))</f>
        <v>01-07-2024</v>
      </c>
      <c r="N95" s="10" t="str">
        <f t="shared" si="111"/>
        <v>20-07-2024</v>
      </c>
    </row>
    <row r="96" spans="1:14" ht="12.5">
      <c r="A96" s="104" t="s">
        <v>225</v>
      </c>
      <c r="B96" s="10" t="s">
        <v>3157</v>
      </c>
      <c r="C96" s="5" t="s">
        <v>3042</v>
      </c>
      <c r="D96" s="13">
        <f t="shared" si="106"/>
        <v>45505</v>
      </c>
      <c r="E96" s="12">
        <v>45524</v>
      </c>
      <c r="F96" s="5" t="s">
        <v>3051</v>
      </c>
      <c r="G96" s="10">
        <f t="shared" ca="1" si="0"/>
        <v>1</v>
      </c>
      <c r="H96" s="103">
        <f t="shared" ca="1" si="1"/>
        <v>1</v>
      </c>
      <c r="I96" s="10" t="s">
        <v>3073</v>
      </c>
      <c r="J96" s="10" t="str">
        <f t="shared" si="101"/>
        <v>AGUSTUS</v>
      </c>
      <c r="K96" s="10" t="str">
        <f t="shared" si="102"/>
        <v>Survei Hotel dan Jasa Akomodasi Bulanan (VHTS) 2024 Agustus Agustus</v>
      </c>
      <c r="L96" s="10" t="str">
        <f t="shared" si="103"/>
        <v>VHTS24-LAPANGAN-AGUSTUS-AGUSTUS</v>
      </c>
      <c r="M96" s="10" t="str">
        <f t="shared" ref="M96:N96" si="112">CONCATENATE(TEXT(D96,"DD-MM-YYYY"))</f>
        <v>01-08-2024</v>
      </c>
      <c r="N96" s="10" t="str">
        <f t="shared" si="112"/>
        <v>20-08-2024</v>
      </c>
    </row>
    <row r="97" spans="1:14" ht="12.5">
      <c r="A97" s="104" t="s">
        <v>262</v>
      </c>
      <c r="B97" s="10" t="s">
        <v>3158</v>
      </c>
      <c r="C97" s="5" t="s">
        <v>3042</v>
      </c>
      <c r="D97" s="13">
        <f t="shared" si="106"/>
        <v>45536</v>
      </c>
      <c r="E97" s="12">
        <v>45555</v>
      </c>
      <c r="F97" s="5" t="s">
        <v>3051</v>
      </c>
      <c r="G97" s="10">
        <f t="shared" ca="1" si="0"/>
        <v>1</v>
      </c>
      <c r="H97" s="103">
        <f t="shared" ca="1" si="1"/>
        <v>1</v>
      </c>
      <c r="I97" s="10" t="s">
        <v>3075</v>
      </c>
      <c r="J97" s="10" t="str">
        <f t="shared" si="101"/>
        <v>SEPTEMBER</v>
      </c>
      <c r="K97" s="10" t="str">
        <f t="shared" si="102"/>
        <v>Survei Hotel dan Jasa Akomodasi Bulanan (VHTS) 2024 September September</v>
      </c>
      <c r="L97" s="10" t="str">
        <f t="shared" si="103"/>
        <v>VHTS24-LAPANGAN-SEPTEMBER-SEPTEMBER</v>
      </c>
      <c r="M97" s="10" t="str">
        <f t="shared" ref="M97:N97" si="113">CONCATENATE(TEXT(D97,"DD-MM-YYYY"))</f>
        <v>01-09-2024</v>
      </c>
      <c r="N97" s="10" t="str">
        <f t="shared" si="113"/>
        <v>20-09-2024</v>
      </c>
    </row>
    <row r="98" spans="1:14" ht="12.5">
      <c r="A98" s="104" t="s">
        <v>288</v>
      </c>
      <c r="B98" s="10" t="s">
        <v>3159</v>
      </c>
      <c r="C98" s="5" t="s">
        <v>3042</v>
      </c>
      <c r="D98" s="13">
        <f t="shared" si="106"/>
        <v>45566</v>
      </c>
      <c r="E98" s="12">
        <v>45585</v>
      </c>
      <c r="F98" s="5" t="s">
        <v>3051</v>
      </c>
      <c r="G98" s="10">
        <f t="shared" ca="1" si="0"/>
        <v>1</v>
      </c>
      <c r="H98" s="103">
        <f t="shared" ca="1" si="1"/>
        <v>0</v>
      </c>
      <c r="I98" s="10" t="s">
        <v>3077</v>
      </c>
      <c r="J98" s="10" t="str">
        <f t="shared" si="101"/>
        <v>OKTOBER</v>
      </c>
      <c r="K98" s="10" t="str">
        <f t="shared" si="102"/>
        <v>Survei Hotel dan Jasa Akomodasi Bulanan (VHTS) 2024 Oktober Oktober</v>
      </c>
      <c r="L98" s="10" t="str">
        <f t="shared" si="103"/>
        <v>VHTS24-LAPANGAN-OKTOBER-OKTOBER</v>
      </c>
      <c r="M98" s="10" t="str">
        <f t="shared" ref="M98:N98" si="114">CONCATENATE(TEXT(D98,"DD-MM-YYYY"))</f>
        <v>01-10-2024</v>
      </c>
      <c r="N98" s="10" t="str">
        <f t="shared" si="114"/>
        <v>20-10-2024</v>
      </c>
    </row>
    <row r="99" spans="1:14" ht="12.5">
      <c r="A99" s="104" t="s">
        <v>306</v>
      </c>
      <c r="B99" s="10" t="s">
        <v>3160</v>
      </c>
      <c r="C99" s="5" t="s">
        <v>3042</v>
      </c>
      <c r="D99" s="13">
        <f t="shared" si="106"/>
        <v>45597</v>
      </c>
      <c r="E99" s="12">
        <v>45616</v>
      </c>
      <c r="F99" s="5" t="s">
        <v>3051</v>
      </c>
      <c r="G99" s="10">
        <f t="shared" ca="1" si="0"/>
        <v>0</v>
      </c>
      <c r="H99" s="103">
        <f t="shared" ca="1" si="1"/>
        <v>0</v>
      </c>
      <c r="I99" s="10" t="s">
        <v>3079</v>
      </c>
      <c r="J99" s="10" t="str">
        <f t="shared" si="101"/>
        <v>NOVEMBER</v>
      </c>
      <c r="K99" s="10" t="str">
        <f t="shared" si="102"/>
        <v>Survei Hotel dan Jasa Akomodasi Bulanan (VHTS) 2024 November November</v>
      </c>
      <c r="L99" s="10" t="str">
        <f t="shared" si="103"/>
        <v>VHTS24-LAPANGAN-NOVEMBER-NOVEMBER</v>
      </c>
      <c r="M99" s="10" t="str">
        <f t="shared" ref="M99:N99" si="115">CONCATENATE(TEXT(D99,"DD-MM-YYYY"))</f>
        <v>01-11-2024</v>
      </c>
      <c r="N99" s="10" t="str">
        <f t="shared" si="115"/>
        <v>20-11-2024</v>
      </c>
    </row>
    <row r="100" spans="1:14" ht="12.5">
      <c r="A100" s="104" t="s">
        <v>321</v>
      </c>
      <c r="B100" s="10" t="s">
        <v>3161</v>
      </c>
      <c r="C100" s="5" t="s">
        <v>3042</v>
      </c>
      <c r="D100" s="13">
        <f t="shared" si="106"/>
        <v>45627</v>
      </c>
      <c r="E100" s="12">
        <v>45646</v>
      </c>
      <c r="F100" s="5" t="s">
        <v>3051</v>
      </c>
      <c r="G100" s="10">
        <f t="shared" ca="1" si="0"/>
        <v>0</v>
      </c>
      <c r="H100" s="103">
        <f t="shared" ca="1" si="1"/>
        <v>0</v>
      </c>
      <c r="I100" s="10" t="s">
        <v>3081</v>
      </c>
      <c r="J100" s="10" t="str">
        <f t="shared" si="101"/>
        <v>DESEMBER</v>
      </c>
      <c r="K100" s="10" t="str">
        <f t="shared" si="102"/>
        <v>Survei Hotel dan Jasa Akomodasi Bulanan (VHTS) 2024 Desember Desember</v>
      </c>
      <c r="L100" s="10" t="str">
        <f t="shared" si="103"/>
        <v>VHTS24-LAPANGAN-DESEMBER-DESEMBER</v>
      </c>
      <c r="M100" s="10" t="str">
        <f t="shared" ref="M100:N100" si="116">CONCATENATE(TEXT(D100,"DD-MM-YYYY"))</f>
        <v>01-12-2024</v>
      </c>
      <c r="N100" s="10" t="str">
        <f t="shared" si="116"/>
        <v>20-12-2024</v>
      </c>
    </row>
    <row r="101" spans="1:14" ht="12.5">
      <c r="A101" s="5" t="s">
        <v>145</v>
      </c>
      <c r="B101" s="5" t="s">
        <v>3162</v>
      </c>
      <c r="C101" s="5" t="s">
        <v>3042</v>
      </c>
      <c r="D101" s="7">
        <v>45383</v>
      </c>
      <c r="E101" s="7">
        <v>45412</v>
      </c>
      <c r="F101" s="5" t="s">
        <v>3100</v>
      </c>
      <c r="G101" s="10">
        <f t="shared" ca="1" si="0"/>
        <v>1</v>
      </c>
      <c r="H101" s="103">
        <f t="shared" ca="1" si="1"/>
        <v>1</v>
      </c>
      <c r="M101" s="10" t="str">
        <f t="shared" ref="M101:N101" si="117">CONCATENATE(TEXT(D101,"DD-MM-YYYY"))</f>
        <v>01-04-2024</v>
      </c>
      <c r="N101" s="10" t="str">
        <f t="shared" si="117"/>
        <v>30-04-2024</v>
      </c>
    </row>
    <row r="102" spans="1:14" ht="12.5">
      <c r="A102" s="5" t="s">
        <v>205</v>
      </c>
      <c r="B102" s="5" t="s">
        <v>3163</v>
      </c>
      <c r="C102" s="5" t="s">
        <v>3042</v>
      </c>
      <c r="D102" s="7">
        <v>45474</v>
      </c>
      <c r="E102" s="7">
        <v>45504</v>
      </c>
      <c r="F102" s="5" t="s">
        <v>3100</v>
      </c>
      <c r="G102" s="10">
        <f t="shared" ca="1" si="0"/>
        <v>1</v>
      </c>
      <c r="H102" s="103">
        <f t="shared" ca="1" si="1"/>
        <v>1</v>
      </c>
      <c r="M102" s="10" t="str">
        <f t="shared" ref="M102:N102" si="118">CONCATENATE(TEXT(D102,"DD-MM-YYYY"))</f>
        <v>01-07-2024</v>
      </c>
      <c r="N102" s="10" t="str">
        <f t="shared" si="118"/>
        <v>31-07-2024</v>
      </c>
    </row>
    <row r="103" spans="1:14" ht="12.5">
      <c r="A103" s="5" t="s">
        <v>290</v>
      </c>
      <c r="B103" s="5" t="s">
        <v>3164</v>
      </c>
      <c r="C103" s="5" t="s">
        <v>3042</v>
      </c>
      <c r="D103" s="7">
        <v>45566</v>
      </c>
      <c r="E103" s="7">
        <v>45596</v>
      </c>
      <c r="F103" s="5" t="s">
        <v>3100</v>
      </c>
      <c r="G103" s="10">
        <f t="shared" ca="1" si="0"/>
        <v>1</v>
      </c>
      <c r="H103" s="103">
        <f t="shared" ca="1" si="1"/>
        <v>0</v>
      </c>
      <c r="M103" s="10" t="str">
        <f t="shared" ref="M103:N103" si="119">CONCATENATE(TEXT(D103,"DD-MM-YYYY"))</f>
        <v>01-10-2024</v>
      </c>
      <c r="N103" s="10" t="str">
        <f t="shared" si="119"/>
        <v>31-10-2024</v>
      </c>
    </row>
    <row r="104" spans="1:14" ht="12.5">
      <c r="A104" s="5" t="s">
        <v>325</v>
      </c>
      <c r="B104" s="5" t="s">
        <v>3165</v>
      </c>
      <c r="C104" s="5" t="s">
        <v>3042</v>
      </c>
      <c r="D104" s="7">
        <v>45627</v>
      </c>
      <c r="E104" s="7">
        <v>45657</v>
      </c>
      <c r="F104" s="5" t="s">
        <v>3100</v>
      </c>
      <c r="G104" s="10">
        <f t="shared" ca="1" si="0"/>
        <v>0</v>
      </c>
      <c r="H104" s="103">
        <f t="shared" ca="1" si="1"/>
        <v>0</v>
      </c>
      <c r="M104" s="10" t="str">
        <f t="shared" ref="M104:N104" si="120">CONCATENATE(TEXT(D104,"DD-MM-YYYY"))</f>
        <v>01-12-2024</v>
      </c>
      <c r="N104" s="10" t="str">
        <f t="shared" si="120"/>
        <v>31-12-2024</v>
      </c>
    </row>
    <row r="105" spans="1:14" ht="12.5">
      <c r="A105" s="5" t="s">
        <v>147</v>
      </c>
      <c r="B105" s="5" t="s">
        <v>3166</v>
      </c>
      <c r="C105" s="5" t="s">
        <v>3042</v>
      </c>
      <c r="D105" s="7">
        <v>45383</v>
      </c>
      <c r="E105" s="7">
        <v>45412</v>
      </c>
      <c r="F105" s="5" t="s">
        <v>3100</v>
      </c>
      <c r="G105" s="10">
        <f t="shared" ca="1" si="0"/>
        <v>1</v>
      </c>
      <c r="H105" s="103">
        <f t="shared" ca="1" si="1"/>
        <v>1</v>
      </c>
      <c r="M105" s="10" t="str">
        <f t="shared" ref="M105:N105" si="121">CONCATENATE(TEXT(D105,"DD-MM-YYYY"))</f>
        <v>01-04-2024</v>
      </c>
      <c r="N105" s="10" t="str">
        <f t="shared" si="121"/>
        <v>30-04-2024</v>
      </c>
    </row>
    <row r="106" spans="1:14" ht="12.5">
      <c r="A106" s="5" t="s">
        <v>207</v>
      </c>
      <c r="B106" s="5" t="s">
        <v>3167</v>
      </c>
      <c r="C106" s="5" t="s">
        <v>3042</v>
      </c>
      <c r="D106" s="7">
        <v>45474</v>
      </c>
      <c r="E106" s="7">
        <v>45504</v>
      </c>
      <c r="F106" s="5" t="s">
        <v>3100</v>
      </c>
      <c r="G106" s="10">
        <f t="shared" ca="1" si="0"/>
        <v>1</v>
      </c>
      <c r="H106" s="103">
        <f t="shared" ca="1" si="1"/>
        <v>1</v>
      </c>
      <c r="M106" s="10" t="str">
        <f t="shared" ref="M106:N106" si="122">CONCATENATE(TEXT(D106,"DD-MM-YYYY"))</f>
        <v>01-07-2024</v>
      </c>
      <c r="N106" s="10" t="str">
        <f t="shared" si="122"/>
        <v>31-07-2024</v>
      </c>
    </row>
    <row r="107" spans="1:14" ht="12.5">
      <c r="A107" s="5" t="s">
        <v>292</v>
      </c>
      <c r="B107" s="5" t="s">
        <v>3168</v>
      </c>
      <c r="C107" s="5" t="s">
        <v>3042</v>
      </c>
      <c r="D107" s="7">
        <v>45566</v>
      </c>
      <c r="E107" s="7">
        <v>45596</v>
      </c>
      <c r="F107" s="5" t="s">
        <v>3100</v>
      </c>
      <c r="G107" s="10">
        <f t="shared" ca="1" si="0"/>
        <v>1</v>
      </c>
      <c r="H107" s="103">
        <f t="shared" ca="1" si="1"/>
        <v>0</v>
      </c>
      <c r="M107" s="10" t="str">
        <f t="shared" ref="M107:N107" si="123">CONCATENATE(TEXT(D107,"DD-MM-YYYY"))</f>
        <v>01-10-2024</v>
      </c>
      <c r="N107" s="10" t="str">
        <f t="shared" si="123"/>
        <v>31-10-2024</v>
      </c>
    </row>
    <row r="108" spans="1:14" ht="12.5">
      <c r="A108" s="5" t="s">
        <v>327</v>
      </c>
      <c r="B108" s="5" t="s">
        <v>3169</v>
      </c>
      <c r="C108" s="5" t="s">
        <v>3042</v>
      </c>
      <c r="D108" s="7">
        <v>45658</v>
      </c>
      <c r="E108" s="7">
        <v>45688</v>
      </c>
      <c r="F108" s="5" t="s">
        <v>3100</v>
      </c>
      <c r="G108" s="10">
        <f t="shared" ca="1" si="0"/>
        <v>0</v>
      </c>
      <c r="H108" s="103">
        <f t="shared" ca="1" si="1"/>
        <v>0</v>
      </c>
      <c r="M108" s="10" t="str">
        <f t="shared" ref="M108:N108" si="124">CONCATENATE(TEXT(D108,"DD-MM-YYYY"))</f>
        <v>01-01-2025</v>
      </c>
      <c r="N108" s="10" t="str">
        <f t="shared" si="124"/>
        <v>31-01-2025</v>
      </c>
    </row>
    <row r="109" spans="1:14" ht="12.5">
      <c r="A109" s="5" t="s">
        <v>3170</v>
      </c>
      <c r="B109" s="5" t="s">
        <v>3171</v>
      </c>
      <c r="C109" s="5" t="s">
        <v>3042</v>
      </c>
      <c r="D109" s="74">
        <v>45414</v>
      </c>
      <c r="E109" s="74">
        <v>45443</v>
      </c>
      <c r="F109" s="5" t="s">
        <v>3141</v>
      </c>
      <c r="G109" s="10">
        <f t="shared" ca="1" si="0"/>
        <v>1</v>
      </c>
      <c r="H109" s="103">
        <f t="shared" ca="1" si="1"/>
        <v>1</v>
      </c>
    </row>
    <row r="110" spans="1:14" ht="12.5">
      <c r="A110" s="5" t="s">
        <v>143</v>
      </c>
      <c r="B110" s="5" t="s">
        <v>3172</v>
      </c>
      <c r="C110" s="5" t="s">
        <v>3042</v>
      </c>
      <c r="D110" s="105">
        <v>45404</v>
      </c>
      <c r="E110" s="105">
        <v>45434</v>
      </c>
      <c r="F110" s="5" t="s">
        <v>3141</v>
      </c>
      <c r="G110" s="10">
        <f t="shared" ca="1" si="0"/>
        <v>1</v>
      </c>
      <c r="H110" s="103">
        <f t="shared" ca="1" si="1"/>
        <v>1</v>
      </c>
    </row>
    <row r="111" spans="1:14" ht="12.5">
      <c r="A111" s="5" t="s">
        <v>123</v>
      </c>
      <c r="B111" s="5" t="s">
        <v>3173</v>
      </c>
      <c r="C111" s="5" t="s">
        <v>3042</v>
      </c>
      <c r="D111" s="105">
        <v>45371</v>
      </c>
      <c r="E111" s="105">
        <v>45387</v>
      </c>
      <c r="F111" s="5" t="s">
        <v>3141</v>
      </c>
      <c r="G111" s="10">
        <f t="shared" ca="1" si="0"/>
        <v>1</v>
      </c>
      <c r="H111" s="103">
        <f t="shared" ca="1" si="1"/>
        <v>1</v>
      </c>
    </row>
    <row r="112" spans="1:14" ht="12.5">
      <c r="A112" s="5" t="s">
        <v>126</v>
      </c>
      <c r="B112" s="5" t="s">
        <v>3174</v>
      </c>
      <c r="C112" s="5" t="s">
        <v>3042</v>
      </c>
      <c r="D112" s="105">
        <v>45383</v>
      </c>
      <c r="E112" s="105">
        <v>45412</v>
      </c>
      <c r="F112" s="5" t="s">
        <v>3100</v>
      </c>
      <c r="G112" s="10">
        <f t="shared" ca="1" si="0"/>
        <v>1</v>
      </c>
      <c r="H112" s="103">
        <f t="shared" ca="1" si="1"/>
        <v>1</v>
      </c>
    </row>
    <row r="113" spans="1:10" ht="12.5">
      <c r="A113" s="5" t="s">
        <v>181</v>
      </c>
      <c r="B113" s="5" t="s">
        <v>3175</v>
      </c>
      <c r="C113" s="5" t="s">
        <v>3176</v>
      </c>
      <c r="D113" s="105">
        <v>45444</v>
      </c>
      <c r="E113" s="105">
        <v>45473</v>
      </c>
      <c r="F113" s="5" t="s">
        <v>3177</v>
      </c>
      <c r="G113" s="10">
        <f t="shared" ca="1" si="0"/>
        <v>1</v>
      </c>
      <c r="H113" s="103">
        <f t="shared" ca="1" si="1"/>
        <v>1</v>
      </c>
    </row>
    <row r="114" spans="1:10" ht="12.5">
      <c r="A114" s="5" t="s">
        <v>163</v>
      </c>
      <c r="B114" s="5" t="s">
        <v>3178</v>
      </c>
      <c r="C114" s="5" t="s">
        <v>3042</v>
      </c>
      <c r="D114" s="105">
        <v>45383</v>
      </c>
      <c r="E114" s="105">
        <v>45443</v>
      </c>
      <c r="F114" s="5" t="s">
        <v>3179</v>
      </c>
      <c r="G114" s="10">
        <f t="shared" ca="1" si="0"/>
        <v>1</v>
      </c>
      <c r="H114" s="103">
        <f t="shared" ca="1" si="1"/>
        <v>1</v>
      </c>
    </row>
    <row r="115" spans="1:10" ht="12.5">
      <c r="A115" s="5" t="str">
        <f t="shared" ref="A115:A119" si="125">CONCATENATE("LPTB24-LAPANGAN-",J115)</f>
        <v>LPTB24-LAPANGAN-AGUSTUS</v>
      </c>
      <c r="B115" s="5" t="str">
        <f t="shared" ref="B115:B119" si="126">"Laporan Pemotongan Ternak Bulanan 2024 "&amp;I115</f>
        <v>Laporan Pemotongan Ternak Bulanan 2024 Agustus</v>
      </c>
      <c r="C115" s="5" t="s">
        <v>3042</v>
      </c>
      <c r="D115" s="13">
        <v>45505</v>
      </c>
      <c r="E115" s="12">
        <f>D115+14</f>
        <v>45519</v>
      </c>
      <c r="F115" s="5" t="s">
        <v>3051</v>
      </c>
      <c r="G115" s="10">
        <f t="shared" ca="1" si="0"/>
        <v>1</v>
      </c>
      <c r="H115" s="103">
        <f t="shared" ca="1" si="1"/>
        <v>1</v>
      </c>
      <c r="I115" s="10" t="s">
        <v>3073</v>
      </c>
      <c r="J115" s="10" t="s">
        <v>3180</v>
      </c>
    </row>
    <row r="116" spans="1:10" ht="12.5">
      <c r="A116" s="5" t="str">
        <f t="shared" si="125"/>
        <v>LPTB24-LAPANGAN-SEPTEMBER</v>
      </c>
      <c r="B116" s="5" t="str">
        <f t="shared" si="126"/>
        <v>Laporan Pemotongan Ternak Bulanan 2024 September</v>
      </c>
      <c r="C116" s="5" t="s">
        <v>3042</v>
      </c>
      <c r="D116" s="13">
        <v>45536</v>
      </c>
      <c r="E116" s="12">
        <f>D116+5</f>
        <v>45541</v>
      </c>
      <c r="F116" s="5" t="s">
        <v>3051</v>
      </c>
      <c r="G116" s="10">
        <f t="shared" ca="1" si="0"/>
        <v>1</v>
      </c>
      <c r="H116" s="103">
        <f t="shared" ca="1" si="1"/>
        <v>1</v>
      </c>
      <c r="I116" s="10" t="s">
        <v>3075</v>
      </c>
      <c r="J116" s="10" t="s">
        <v>3181</v>
      </c>
    </row>
    <row r="117" spans="1:10" ht="12.5">
      <c r="A117" s="5" t="str">
        <f t="shared" si="125"/>
        <v>LPTB24-LAPANGAN-OKTOBER</v>
      </c>
      <c r="B117" s="5" t="str">
        <f t="shared" si="126"/>
        <v>Laporan Pemotongan Ternak Bulanan 2024 Oktober</v>
      </c>
      <c r="C117" s="5" t="s">
        <v>3042</v>
      </c>
      <c r="D117" s="13">
        <v>45566</v>
      </c>
      <c r="E117" s="12">
        <f t="shared" ref="E117:E119" si="127">D117+14</f>
        <v>45580</v>
      </c>
      <c r="F117" s="5" t="s">
        <v>3051</v>
      </c>
      <c r="G117" s="10">
        <f t="shared" ca="1" si="0"/>
        <v>1</v>
      </c>
      <c r="H117" s="103">
        <f t="shared" ca="1" si="1"/>
        <v>0</v>
      </c>
      <c r="I117" s="10" t="s">
        <v>3077</v>
      </c>
      <c r="J117" s="10" t="s">
        <v>3182</v>
      </c>
    </row>
    <row r="118" spans="1:10" ht="12.5">
      <c r="A118" s="5" t="str">
        <f t="shared" si="125"/>
        <v>LPTB24-LAPANGAN-NOVEMBER</v>
      </c>
      <c r="B118" s="5" t="str">
        <f t="shared" si="126"/>
        <v>Laporan Pemotongan Ternak Bulanan 2024 November</v>
      </c>
      <c r="C118" s="5" t="s">
        <v>3042</v>
      </c>
      <c r="D118" s="13">
        <v>45597</v>
      </c>
      <c r="E118" s="12">
        <f t="shared" si="127"/>
        <v>45611</v>
      </c>
      <c r="F118" s="5" t="s">
        <v>3051</v>
      </c>
      <c r="G118" s="10">
        <f t="shared" ca="1" si="0"/>
        <v>0</v>
      </c>
      <c r="H118" s="103">
        <f t="shared" ca="1" si="1"/>
        <v>0</v>
      </c>
      <c r="I118" s="10" t="s">
        <v>3079</v>
      </c>
      <c r="J118" s="10" t="s">
        <v>3183</v>
      </c>
    </row>
    <row r="119" spans="1:10" ht="12.5">
      <c r="A119" s="5" t="str">
        <f t="shared" si="125"/>
        <v>LPTB24-LAPANGAN-DESEMBER</v>
      </c>
      <c r="B119" s="5" t="str">
        <f t="shared" si="126"/>
        <v>Laporan Pemotongan Ternak Bulanan 2024 Desember</v>
      </c>
      <c r="C119" s="5" t="s">
        <v>3042</v>
      </c>
      <c r="D119" s="13">
        <v>45627</v>
      </c>
      <c r="E119" s="12">
        <f t="shared" si="127"/>
        <v>45641</v>
      </c>
      <c r="F119" s="5" t="s">
        <v>3051</v>
      </c>
      <c r="G119" s="10">
        <f t="shared" ca="1" si="0"/>
        <v>0</v>
      </c>
      <c r="H119" s="103">
        <f t="shared" ca="1" si="1"/>
        <v>0</v>
      </c>
      <c r="I119" s="10" t="s">
        <v>3081</v>
      </c>
      <c r="J119" s="10" t="s">
        <v>3184</v>
      </c>
    </row>
    <row r="120" spans="1:10" ht="12.5">
      <c r="A120" s="5" t="s">
        <v>184</v>
      </c>
      <c r="B120" s="5" t="s">
        <v>3175</v>
      </c>
      <c r="C120" s="5" t="s">
        <v>3176</v>
      </c>
      <c r="D120" s="12">
        <v>45476</v>
      </c>
      <c r="E120" s="12">
        <f>D120+30</f>
        <v>45506</v>
      </c>
      <c r="F120" s="5" t="s">
        <v>3177</v>
      </c>
      <c r="G120" s="10">
        <f t="shared" ca="1" si="0"/>
        <v>1</v>
      </c>
      <c r="H120" s="103">
        <f t="shared" ca="1" si="1"/>
        <v>1</v>
      </c>
    </row>
    <row r="121" spans="1:10" ht="12.5">
      <c r="A121" s="5" t="s">
        <v>227</v>
      </c>
      <c r="B121" s="5" t="s">
        <v>3185</v>
      </c>
      <c r="C121" s="5" t="s">
        <v>3042</v>
      </c>
      <c r="D121" s="74">
        <v>45498</v>
      </c>
      <c r="E121" s="74">
        <v>45535</v>
      </c>
      <c r="F121" s="5" t="s">
        <v>3048</v>
      </c>
      <c r="G121" s="10">
        <f t="shared" ca="1" si="0"/>
        <v>1</v>
      </c>
      <c r="H121" s="103">
        <f t="shared" ca="1" si="1"/>
        <v>1</v>
      </c>
    </row>
    <row r="122" spans="1:10" ht="12.5">
      <c r="A122" s="5" t="s">
        <v>245</v>
      </c>
      <c r="B122" s="5" t="s">
        <v>3186</v>
      </c>
      <c r="C122" s="5" t="s">
        <v>3042</v>
      </c>
      <c r="D122" s="74">
        <v>45505</v>
      </c>
      <c r="E122" s="74">
        <v>45549</v>
      </c>
      <c r="F122" s="5" t="s">
        <v>3141</v>
      </c>
      <c r="G122" s="10">
        <f t="shared" ca="1" si="0"/>
        <v>1</v>
      </c>
      <c r="H122" s="103">
        <f t="shared" ca="1" si="1"/>
        <v>1</v>
      </c>
    </row>
    <row r="123" spans="1:10" ht="12.5">
      <c r="A123" s="5" t="s">
        <v>229</v>
      </c>
      <c r="B123" s="5" t="s">
        <v>3187</v>
      </c>
      <c r="C123" s="5" t="s">
        <v>3042</v>
      </c>
      <c r="D123" s="105">
        <v>45444</v>
      </c>
      <c r="E123" s="105">
        <v>45535</v>
      </c>
      <c r="F123" s="5" t="s">
        <v>3179</v>
      </c>
      <c r="G123" s="10">
        <f t="shared" ca="1" si="0"/>
        <v>1</v>
      </c>
      <c r="H123" s="103">
        <f t="shared" ca="1" si="1"/>
        <v>1</v>
      </c>
    </row>
    <row r="124" spans="1:10" ht="12.5">
      <c r="A124" s="5" t="s">
        <v>234</v>
      </c>
      <c r="B124" s="5" t="s">
        <v>3188</v>
      </c>
      <c r="C124" s="5" t="s">
        <v>3042</v>
      </c>
      <c r="D124" s="105">
        <v>45505</v>
      </c>
      <c r="E124" s="105">
        <v>45535</v>
      </c>
      <c r="F124" s="5" t="s">
        <v>3141</v>
      </c>
      <c r="G124" s="10">
        <f t="shared" ca="1" si="0"/>
        <v>1</v>
      </c>
      <c r="H124" s="103">
        <f t="shared" ca="1" si="1"/>
        <v>1</v>
      </c>
    </row>
    <row r="125" spans="1:10" ht="12.5">
      <c r="A125" s="5" t="s">
        <v>248</v>
      </c>
      <c r="B125" s="5" t="s">
        <v>3189</v>
      </c>
      <c r="C125" s="5" t="s">
        <v>3042</v>
      </c>
      <c r="D125" s="105">
        <v>45546</v>
      </c>
      <c r="E125" s="105">
        <v>45593</v>
      </c>
      <c r="F125" s="5" t="s">
        <v>3048</v>
      </c>
      <c r="G125" s="10">
        <f t="shared" ca="1" si="0"/>
        <v>1</v>
      </c>
      <c r="H125" s="103">
        <f t="shared" ca="1" si="1"/>
        <v>0</v>
      </c>
    </row>
    <row r="126" spans="1:10" ht="12.5">
      <c r="A126" s="5" t="s">
        <v>236</v>
      </c>
      <c r="B126" s="5" t="s">
        <v>3190</v>
      </c>
      <c r="C126" s="5" t="s">
        <v>3042</v>
      </c>
      <c r="D126" s="105">
        <v>45474</v>
      </c>
      <c r="E126" s="105">
        <v>45535</v>
      </c>
      <c r="F126" s="5" t="s">
        <v>3141</v>
      </c>
      <c r="G126" s="10">
        <f t="shared" ca="1" si="0"/>
        <v>1</v>
      </c>
      <c r="H126" s="103">
        <f t="shared" ca="1" si="1"/>
        <v>1</v>
      </c>
    </row>
    <row r="127" spans="1:10" ht="12.5">
      <c r="A127" s="5" t="s">
        <v>240</v>
      </c>
      <c r="B127" s="5" t="s">
        <v>3191</v>
      </c>
      <c r="C127" s="5" t="s">
        <v>3042</v>
      </c>
      <c r="D127" s="105">
        <v>45536</v>
      </c>
      <c r="E127" s="5" t="s">
        <v>3192</v>
      </c>
      <c r="F127" s="5" t="s">
        <v>3141</v>
      </c>
      <c r="G127" s="10">
        <f t="shared" ca="1" si="0"/>
        <v>1</v>
      </c>
      <c r="H127" s="103">
        <f t="shared" ca="1" si="1"/>
        <v>0</v>
      </c>
    </row>
    <row r="128" spans="1:10" ht="12.5">
      <c r="A128" s="5" t="s">
        <v>268</v>
      </c>
      <c r="B128" s="5" t="s">
        <v>3193</v>
      </c>
      <c r="C128" s="5" t="s">
        <v>3042</v>
      </c>
      <c r="D128" s="105">
        <v>45536</v>
      </c>
      <c r="E128" s="5" t="s">
        <v>3192</v>
      </c>
      <c r="F128" s="5" t="s">
        <v>3179</v>
      </c>
      <c r="G128" s="10">
        <f t="shared" ca="1" si="0"/>
        <v>1</v>
      </c>
      <c r="H128" s="103">
        <f t="shared" ca="1" si="1"/>
        <v>0</v>
      </c>
    </row>
    <row r="129" spans="1:8" ht="12.5">
      <c r="A129" s="5" t="s">
        <v>264</v>
      </c>
      <c r="B129" s="5" t="s">
        <v>3194</v>
      </c>
      <c r="C129" s="5" t="s">
        <v>3042</v>
      </c>
      <c r="D129" s="105">
        <v>45505</v>
      </c>
      <c r="E129" s="105">
        <v>45535</v>
      </c>
      <c r="F129" s="5" t="s">
        <v>3141</v>
      </c>
      <c r="G129" s="10">
        <f t="shared" ca="1" si="0"/>
        <v>1</v>
      </c>
      <c r="H129" s="103">
        <f t="shared" ca="1" si="1"/>
        <v>1</v>
      </c>
    </row>
    <row r="130" spans="1:8" ht="12.5">
      <c r="A130" s="5" t="s">
        <v>210</v>
      </c>
      <c r="B130" s="5" t="s">
        <v>3195</v>
      </c>
      <c r="C130" s="5" t="s">
        <v>3042</v>
      </c>
      <c r="D130" s="105">
        <v>45474</v>
      </c>
      <c r="E130" s="105">
        <v>45504</v>
      </c>
      <c r="F130" s="5" t="s">
        <v>3100</v>
      </c>
      <c r="G130" s="10">
        <f t="shared" ca="1" si="0"/>
        <v>1</v>
      </c>
      <c r="H130" s="103">
        <f t="shared" ca="1" si="1"/>
        <v>1</v>
      </c>
    </row>
    <row r="131" spans="1:8" ht="12.5">
      <c r="A131" s="5" t="s">
        <v>238</v>
      </c>
      <c r="B131" s="5" t="s">
        <v>3196</v>
      </c>
      <c r="C131" s="5" t="s">
        <v>3042</v>
      </c>
      <c r="D131" s="105">
        <v>45505</v>
      </c>
      <c r="E131" s="105">
        <v>45535</v>
      </c>
      <c r="F131" s="5" t="s">
        <v>3141</v>
      </c>
      <c r="G131" s="10">
        <f t="shared" ca="1" si="0"/>
        <v>1</v>
      </c>
      <c r="H131" s="103">
        <f t="shared" ca="1" si="1"/>
        <v>1</v>
      </c>
    </row>
  </sheetData>
  <autoFilter ref="A1:H131" xr:uid="{00000000-0009-0000-0000-000006000000}"/>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outlinePr summaryBelow="0" summaryRight="0"/>
  </sheetPr>
  <dimension ref="A1:G8"/>
  <sheetViews>
    <sheetView workbookViewId="0"/>
  </sheetViews>
  <sheetFormatPr defaultColWidth="12.6328125" defaultRowHeight="15.75" customHeight="1"/>
  <cols>
    <col min="1" max="1" width="23.26953125" customWidth="1"/>
    <col min="3" max="3" width="22.453125" customWidth="1"/>
    <col min="4" max="4" width="21.08984375" customWidth="1"/>
    <col min="7" max="7" width="26.36328125" customWidth="1"/>
  </cols>
  <sheetData>
    <row r="1" spans="1:7">
      <c r="A1" s="2" t="s">
        <v>3197</v>
      </c>
      <c r="B1" s="2" t="s">
        <v>3198</v>
      </c>
      <c r="C1" s="2" t="s">
        <v>17</v>
      </c>
      <c r="D1" s="2" t="s">
        <v>3199</v>
      </c>
      <c r="E1" s="2" t="s">
        <v>3200</v>
      </c>
      <c r="F1" s="2" t="s">
        <v>3201</v>
      </c>
      <c r="G1" s="2" t="s">
        <v>64</v>
      </c>
    </row>
    <row r="2" spans="1:7" ht="15.75" customHeight="1">
      <c r="A2" s="5" t="s">
        <v>3202</v>
      </c>
      <c r="B2" s="71">
        <v>5400000</v>
      </c>
      <c r="C2" s="5" t="s">
        <v>3203</v>
      </c>
      <c r="D2" s="5" t="s">
        <v>25</v>
      </c>
      <c r="E2" s="5" t="s">
        <v>3042</v>
      </c>
      <c r="F2" s="5" t="s">
        <v>3051</v>
      </c>
      <c r="G2" s="10" t="str">
        <f t="shared" ref="G2:G8" si="0">CONCATENATE(E2,"-",D2)</f>
        <v>SURVEI-PPL</v>
      </c>
    </row>
    <row r="3" spans="1:7" ht="15.75" customHeight="1">
      <c r="A3" s="5" t="s">
        <v>3204</v>
      </c>
      <c r="B3" s="71">
        <v>5400000</v>
      </c>
      <c r="C3" s="5" t="s">
        <v>3203</v>
      </c>
      <c r="D3" s="5" t="s">
        <v>25</v>
      </c>
      <c r="E3" s="5" t="s">
        <v>3176</v>
      </c>
      <c r="F3" s="5" t="s">
        <v>3051</v>
      </c>
      <c r="G3" s="10" t="str">
        <f t="shared" si="0"/>
        <v>SENSUS-PPL</v>
      </c>
    </row>
    <row r="4" spans="1:7" ht="15.75" customHeight="1">
      <c r="A4" s="5" t="s">
        <v>3202</v>
      </c>
      <c r="B4" s="71">
        <v>5400000</v>
      </c>
      <c r="C4" s="5" t="s">
        <v>3205</v>
      </c>
      <c r="D4" s="5" t="s">
        <v>24</v>
      </c>
      <c r="E4" s="5" t="s">
        <v>3042</v>
      </c>
      <c r="F4" s="5" t="s">
        <v>3051</v>
      </c>
      <c r="G4" s="10" t="str">
        <f t="shared" si="0"/>
        <v>SURVEI-PML</v>
      </c>
    </row>
    <row r="5" spans="1:7" ht="15.75" customHeight="1">
      <c r="A5" s="5" t="s">
        <v>3204</v>
      </c>
      <c r="B5" s="71">
        <v>5400000</v>
      </c>
      <c r="C5" s="5" t="s">
        <v>3205</v>
      </c>
      <c r="D5" s="5" t="s">
        <v>24</v>
      </c>
      <c r="E5" s="5" t="s">
        <v>3176</v>
      </c>
      <c r="F5" s="5" t="s">
        <v>3051</v>
      </c>
      <c r="G5" s="10" t="str">
        <f t="shared" si="0"/>
        <v>SENSUS-PML</v>
      </c>
    </row>
    <row r="6" spans="1:7" ht="15.75" customHeight="1">
      <c r="A6" s="5" t="s">
        <v>3206</v>
      </c>
      <c r="B6" s="71">
        <v>5400000</v>
      </c>
      <c r="C6" s="5" t="s">
        <v>3207</v>
      </c>
      <c r="D6" s="5" t="s">
        <v>90</v>
      </c>
      <c r="E6" s="5" t="s">
        <v>3042</v>
      </c>
      <c r="F6" s="5" t="s">
        <v>3051</v>
      </c>
      <c r="G6" s="10" t="str">
        <f t="shared" si="0"/>
        <v>SURVEI-PETUGAS ENTRI</v>
      </c>
    </row>
    <row r="7" spans="1:7" ht="15.75" customHeight="1">
      <c r="A7" s="5" t="s">
        <v>3204</v>
      </c>
      <c r="B7" s="71">
        <v>5400000</v>
      </c>
      <c r="C7" s="5" t="s">
        <v>3207</v>
      </c>
      <c r="D7" s="5" t="s">
        <v>90</v>
      </c>
      <c r="E7" s="5" t="s">
        <v>3176</v>
      </c>
      <c r="F7" s="5" t="s">
        <v>3051</v>
      </c>
      <c r="G7" s="10" t="str">
        <f t="shared" si="0"/>
        <v>SENSUS-PETUGAS ENTRI</v>
      </c>
    </row>
    <row r="8" spans="1:7" ht="15.75" customHeight="1">
      <c r="A8" s="5" t="s">
        <v>3204</v>
      </c>
      <c r="B8" s="71">
        <v>5400000</v>
      </c>
      <c r="C8" s="5" t="s">
        <v>3208</v>
      </c>
      <c r="D8" s="5" t="s">
        <v>3209</v>
      </c>
      <c r="E8" s="5" t="s">
        <v>3176</v>
      </c>
      <c r="F8" s="5" t="s">
        <v>3051</v>
      </c>
      <c r="G8" s="10" t="str">
        <f t="shared" si="0"/>
        <v>SENSUS-PENGAWAS ENTRI</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outlinePr summaryBelow="0" summaryRight="0"/>
  </sheetPr>
  <dimension ref="A1:G8"/>
  <sheetViews>
    <sheetView workbookViewId="0"/>
  </sheetViews>
  <sheetFormatPr defaultColWidth="12.6328125" defaultRowHeight="15.75" customHeight="1"/>
  <cols>
    <col min="1" max="1" width="23.26953125" customWidth="1"/>
    <col min="3" max="3" width="22.453125" customWidth="1"/>
    <col min="4" max="4" width="21.08984375" customWidth="1"/>
    <col min="7" max="7" width="26.36328125" customWidth="1"/>
  </cols>
  <sheetData>
    <row r="1" spans="1:7">
      <c r="A1" s="2" t="s">
        <v>3197</v>
      </c>
      <c r="B1" s="2" t="s">
        <v>3198</v>
      </c>
      <c r="C1" s="2" t="s">
        <v>17</v>
      </c>
      <c r="D1" s="2" t="s">
        <v>3199</v>
      </c>
      <c r="E1" s="2" t="s">
        <v>3200</v>
      </c>
      <c r="F1" s="2" t="s">
        <v>3201</v>
      </c>
      <c r="G1" s="2" t="s">
        <v>64</v>
      </c>
    </row>
    <row r="2" spans="1:7" ht="15.75" customHeight="1">
      <c r="A2" s="5" t="s">
        <v>3202</v>
      </c>
      <c r="B2" s="71">
        <v>3353000</v>
      </c>
      <c r="C2" s="5" t="s">
        <v>3203</v>
      </c>
      <c r="D2" s="5" t="s">
        <v>25</v>
      </c>
      <c r="E2" s="5" t="s">
        <v>3042</v>
      </c>
      <c r="F2" s="5" t="s">
        <v>3051</v>
      </c>
      <c r="G2" s="10" t="str">
        <f t="shared" ref="G2:G8" si="0">CONCATENATE(E2,"-",D2)</f>
        <v>SURVEI-PPL</v>
      </c>
    </row>
    <row r="3" spans="1:7" ht="15.75" customHeight="1">
      <c r="A3" s="5" t="s">
        <v>3204</v>
      </c>
      <c r="B3" s="71">
        <v>4694000</v>
      </c>
      <c r="C3" s="5" t="s">
        <v>3203</v>
      </c>
      <c r="D3" s="5" t="s">
        <v>25</v>
      </c>
      <c r="E3" s="5" t="s">
        <v>3176</v>
      </c>
      <c r="F3" s="5" t="s">
        <v>3051</v>
      </c>
      <c r="G3" s="10" t="str">
        <f t="shared" si="0"/>
        <v>SENSUS-PPL</v>
      </c>
    </row>
    <row r="4" spans="1:7" ht="15.75" customHeight="1">
      <c r="A4" s="5" t="s">
        <v>3202</v>
      </c>
      <c r="B4" s="71">
        <v>3353000</v>
      </c>
      <c r="C4" s="5" t="s">
        <v>3205</v>
      </c>
      <c r="D4" s="5" t="s">
        <v>24</v>
      </c>
      <c r="E4" s="5" t="s">
        <v>3042</v>
      </c>
      <c r="F4" s="5" t="s">
        <v>3051</v>
      </c>
      <c r="G4" s="10" t="str">
        <f t="shared" si="0"/>
        <v>SURVEI-PML</v>
      </c>
    </row>
    <row r="5" spans="1:7" ht="15.75" customHeight="1">
      <c r="A5" s="5" t="s">
        <v>3204</v>
      </c>
      <c r="B5" s="71">
        <v>5197000</v>
      </c>
      <c r="C5" s="5" t="s">
        <v>3205</v>
      </c>
      <c r="D5" s="5" t="s">
        <v>24</v>
      </c>
      <c r="E5" s="5" t="s">
        <v>3176</v>
      </c>
      <c r="F5" s="5" t="s">
        <v>3051</v>
      </c>
      <c r="G5" s="10" t="str">
        <f t="shared" si="0"/>
        <v>SENSUS-PML</v>
      </c>
    </row>
    <row r="6" spans="1:7" ht="15.75" customHeight="1">
      <c r="A6" s="5" t="s">
        <v>3206</v>
      </c>
      <c r="B6" s="71">
        <v>3101000</v>
      </c>
      <c r="C6" s="5" t="s">
        <v>3207</v>
      </c>
      <c r="D6" s="5" t="s">
        <v>90</v>
      </c>
      <c r="E6" s="5" t="s">
        <v>3042</v>
      </c>
      <c r="F6" s="5" t="s">
        <v>3051</v>
      </c>
      <c r="G6" s="10" t="str">
        <f t="shared" si="0"/>
        <v>SURVEI-PETUGAS ENTRI</v>
      </c>
    </row>
    <row r="7" spans="1:7" ht="15.75" customHeight="1">
      <c r="A7" s="5" t="s">
        <v>3204</v>
      </c>
      <c r="B7" s="71">
        <v>3437000</v>
      </c>
      <c r="C7" s="5" t="s">
        <v>3207</v>
      </c>
      <c r="D7" s="5" t="s">
        <v>90</v>
      </c>
      <c r="E7" s="5" t="s">
        <v>3176</v>
      </c>
      <c r="F7" s="5" t="s">
        <v>3051</v>
      </c>
      <c r="G7" s="10" t="str">
        <f t="shared" si="0"/>
        <v>SENSUS-PETUGAS ENTRI</v>
      </c>
    </row>
    <row r="8" spans="1:7" ht="15.75" customHeight="1">
      <c r="A8" s="5" t="s">
        <v>3204</v>
      </c>
      <c r="B8" s="71">
        <v>3437000</v>
      </c>
      <c r="C8" s="5" t="s">
        <v>3208</v>
      </c>
      <c r="D8" s="5" t="s">
        <v>3209</v>
      </c>
      <c r="E8" s="5" t="s">
        <v>3176</v>
      </c>
      <c r="F8" s="5" t="s">
        <v>3051</v>
      </c>
      <c r="G8" s="10" t="str">
        <f t="shared" si="0"/>
        <v>SENSUS-PENGAWAS ENTRI</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outlinePr summaryBelow="0" summaryRight="0"/>
  </sheetPr>
  <dimension ref="A1:P91"/>
  <sheetViews>
    <sheetView workbookViewId="0">
      <pane xSplit="2" ySplit="2" topLeftCell="C3" activePane="bottomRight" state="frozen"/>
      <selection pane="topRight" activeCell="C1" sqref="C1"/>
      <selection pane="bottomLeft" activeCell="A3" sqref="A3"/>
      <selection pane="bottomRight" activeCell="C3" sqref="C3"/>
    </sheetView>
  </sheetViews>
  <sheetFormatPr defaultColWidth="12.6328125" defaultRowHeight="15.75" customHeight="1"/>
  <cols>
    <col min="2" max="2" width="33.7265625" customWidth="1"/>
    <col min="3" max="3" width="13.90625" customWidth="1"/>
    <col min="4" max="4" width="18.90625" customWidth="1"/>
  </cols>
  <sheetData>
    <row r="1" spans="1:16" ht="43.5" customHeight="1">
      <c r="A1" s="106" t="s">
        <v>3210</v>
      </c>
      <c r="B1" s="107">
        <f ca="1">COUNTA($A$3:$A1000)/COUNTA('Database Mitra'!$B$2:$B1000)</f>
        <v>0.20554272517321015</v>
      </c>
      <c r="C1" s="106" t="s">
        <v>3211</v>
      </c>
      <c r="D1" s="108">
        <f ca="1">SUM($D$2:$D1000)</f>
        <v>500706000</v>
      </c>
      <c r="E1" s="109" t="s">
        <v>3059</v>
      </c>
      <c r="F1" s="109" t="s">
        <v>3061</v>
      </c>
      <c r="G1" s="109" t="s">
        <v>3063</v>
      </c>
      <c r="H1" s="109" t="s">
        <v>3065</v>
      </c>
      <c r="I1" s="109" t="s">
        <v>3067</v>
      </c>
      <c r="J1" s="109" t="s">
        <v>3069</v>
      </c>
      <c r="K1" s="109" t="s">
        <v>3071</v>
      </c>
      <c r="L1" s="109" t="s">
        <v>3073</v>
      </c>
      <c r="M1" s="109" t="s">
        <v>3075</v>
      </c>
      <c r="N1" s="109" t="s">
        <v>3077</v>
      </c>
      <c r="O1" s="109" t="s">
        <v>3079</v>
      </c>
      <c r="P1" s="109" t="s">
        <v>3081</v>
      </c>
    </row>
    <row r="2" spans="1:16" ht="29.25" customHeight="1">
      <c r="A2" s="109" t="s">
        <v>57</v>
      </c>
      <c r="B2" s="109" t="s">
        <v>330</v>
      </c>
      <c r="C2" s="109"/>
      <c r="D2" s="109" t="s">
        <v>3212</v>
      </c>
      <c r="E2" s="109">
        <v>1</v>
      </c>
      <c r="F2" s="109">
        <v>2</v>
      </c>
      <c r="G2" s="109">
        <v>3</v>
      </c>
      <c r="H2" s="109">
        <v>4</v>
      </c>
      <c r="I2" s="109">
        <v>5</v>
      </c>
      <c r="J2" s="109">
        <v>6</v>
      </c>
      <c r="K2" s="109">
        <v>7</v>
      </c>
      <c r="L2" s="109">
        <v>8</v>
      </c>
      <c r="M2" s="109">
        <v>9</v>
      </c>
      <c r="N2" s="109">
        <v>10</v>
      </c>
      <c r="O2" s="109">
        <v>11</v>
      </c>
      <c r="P2" s="109">
        <v>12</v>
      </c>
    </row>
    <row r="3" spans="1:16" ht="12.5">
      <c r="A3" s="10">
        <f ca="1">IFERROR(__xludf.DUMMYFUNCTION("UNIQUE('Mitra per Bulan'!C2:C1000)"),610422030002)</f>
        <v>610422030002</v>
      </c>
      <c r="B3" s="10" t="str">
        <f t="array" aca="1" ref="B3" ca="1">INDEX('Database Mitra'!$C$2:$C1000,MATCH(A3,'Database Mitra'!$B$2:$B1000,0))</f>
        <v>Deti erni widiastuti</v>
      </c>
      <c r="C3" s="110"/>
      <c r="D3" s="110">
        <f t="shared" ref="D3:D88" ca="1" si="0">SUM(E3:P3)</f>
        <v>11716000</v>
      </c>
      <c r="E3" s="110">
        <f ca="1">SUMIFS('Mitra per Bulan'!$I$2:$I1000,'Mitra per Bulan'!$E$2:$E1000,E$2,'Mitra per Bulan'!$C$2:$C1000,$A3)</f>
        <v>750000</v>
      </c>
      <c r="F3" s="110">
        <f ca="1">SUMIFS('Mitra per Bulan'!$I$2:$I1000,'Mitra per Bulan'!$E$2:$E1000,F$2,'Mitra per Bulan'!$C$2:$C1000,$A3)</f>
        <v>1086000</v>
      </c>
      <c r="G3" s="110">
        <f ca="1">SUMIFS('Mitra per Bulan'!$I$2:$I1000,'Mitra per Bulan'!$E$2:$E1000,G$2,'Mitra per Bulan'!$C$2:$C1000,$A3)</f>
        <v>3130000</v>
      </c>
      <c r="H3" s="110">
        <f ca="1">SUMIFS('Mitra per Bulan'!$I$2:$I1000,'Mitra per Bulan'!$E$2:$E1000,H$2,'Mitra per Bulan'!$C$2:$C1000,$A3)</f>
        <v>750000</v>
      </c>
      <c r="I3" s="110">
        <f ca="1">SUMIFS('Mitra per Bulan'!$I$2:$I1000,'Mitra per Bulan'!$E$2:$E1000,I$2,'Mitra per Bulan'!$C$2:$C1000,$A3)</f>
        <v>750000</v>
      </c>
      <c r="J3" s="110">
        <f ca="1">SUMIFS('Mitra per Bulan'!$I$2:$I1000,'Mitra per Bulan'!$E$2:$E1000,J$2,'Mitra per Bulan'!$C$2:$C1000,$A3)</f>
        <v>750000</v>
      </c>
      <c r="K3" s="110">
        <f ca="1">SUMIFS('Mitra per Bulan'!$I$2:$I1000,'Mitra per Bulan'!$E$2:$E1000,K$2,'Mitra per Bulan'!$C$2:$C1000,$A3)</f>
        <v>750000</v>
      </c>
      <c r="L3" s="110">
        <f ca="1">SUMIFS('Mitra per Bulan'!$I$2:$I1000,'Mitra per Bulan'!$E$2:$E1000,L$2,'Mitra per Bulan'!$C$2:$C1000,$A3)</f>
        <v>750000</v>
      </c>
      <c r="M3" s="110">
        <f ca="1">SUMIFS('Mitra per Bulan'!$I$2:$I1000,'Mitra per Bulan'!$E$2:$E1000,M$2,'Mitra per Bulan'!$C$2:$C1000,$A3)</f>
        <v>750000</v>
      </c>
      <c r="N3" s="110">
        <f ca="1">SUMIFS('Mitra per Bulan'!$I$2:$I1000,'Mitra per Bulan'!$E$2:$E1000,N$2,'Mitra per Bulan'!$C$2:$C1000,$A3)</f>
        <v>750000</v>
      </c>
      <c r="O3" s="110">
        <f ca="1">SUMIFS('Mitra per Bulan'!$I$2:$I1000,'Mitra per Bulan'!$E$2:$E1000,O$2,'Mitra per Bulan'!$C$2:$C1000,$A3)</f>
        <v>750000</v>
      </c>
      <c r="P3" s="110">
        <f ca="1">SUMIFS('Mitra per Bulan'!$I$2:$I1000,'Mitra per Bulan'!$E$2:$E1000,P$2,'Mitra per Bulan'!$C$2:$C1000,$A3)</f>
        <v>750000</v>
      </c>
    </row>
    <row r="4" spans="1:16" ht="12.5">
      <c r="A4" s="10">
        <f ca="1">IFERROR(__xludf.DUMMYFUNCTION("""COMPUTED_VALUE"""),610422100244)</f>
        <v>610422100244</v>
      </c>
      <c r="B4" s="10" t="str">
        <f t="array" aca="1" ref="B4" ca="1">INDEX('Database Mitra'!$C$2:$C1000,MATCH(A4,'Database Mitra'!$B$2:$B1000,0))</f>
        <v>Sugianto</v>
      </c>
      <c r="C4" s="110"/>
      <c r="D4" s="110">
        <f t="shared" ca="1" si="0"/>
        <v>19882000</v>
      </c>
      <c r="E4" s="110">
        <f ca="1">SUMIFS('Mitra per Bulan'!$I$2:$I1000,'Mitra per Bulan'!$E$2:$E1000,E$2,'Mitra per Bulan'!$C$2:$C1000,$A4)</f>
        <v>1090000</v>
      </c>
      <c r="F4" s="110">
        <f ca="1">SUMIFS('Mitra per Bulan'!$I$2:$I1000,'Mitra per Bulan'!$E$2:$E1000,F$2,'Mitra per Bulan'!$C$2:$C1000,$A4)</f>
        <v>1310000</v>
      </c>
      <c r="G4" s="110">
        <f ca="1">SUMIFS('Mitra per Bulan'!$I$2:$I1000,'Mitra per Bulan'!$E$2:$E1000,G$2,'Mitra per Bulan'!$C$2:$C1000,$A4)</f>
        <v>3570000</v>
      </c>
      <c r="H4" s="110">
        <f ca="1">SUMIFS('Mitra per Bulan'!$I$2:$I1000,'Mitra per Bulan'!$E$2:$E1000,H$2,'Mitra per Bulan'!$C$2:$C1000,$A4)</f>
        <v>1090000</v>
      </c>
      <c r="I4" s="110">
        <f ca="1">SUMIFS('Mitra per Bulan'!$I$2:$I1000,'Mitra per Bulan'!$E$2:$E1000,I$2,'Mitra per Bulan'!$C$2:$C1000,$A4)</f>
        <v>1090000</v>
      </c>
      <c r="J4" s="110">
        <f ca="1">SUMIFS('Mitra per Bulan'!$I$2:$I1000,'Mitra per Bulan'!$E$2:$E1000,J$2,'Mitra per Bulan'!$C$2:$C1000,$A4)</f>
        <v>1554000</v>
      </c>
      <c r="K4" s="110">
        <f ca="1">SUMIFS('Mitra per Bulan'!$I$2:$I1000,'Mitra per Bulan'!$E$2:$E1000,K$2,'Mitra per Bulan'!$C$2:$C1000,$A4)</f>
        <v>1090000</v>
      </c>
      <c r="L4" s="110">
        <f ca="1">SUMIFS('Mitra per Bulan'!$I$2:$I1000,'Mitra per Bulan'!$E$2:$E1000,L$2,'Mitra per Bulan'!$C$2:$C1000,$A4)</f>
        <v>2878000</v>
      </c>
      <c r="M4" s="110">
        <f ca="1">SUMIFS('Mitra per Bulan'!$I$2:$I1000,'Mitra per Bulan'!$E$2:$E1000,M$2,'Mitra per Bulan'!$C$2:$C1000,$A4)</f>
        <v>2940000</v>
      </c>
      <c r="N4" s="110">
        <f ca="1">SUMIFS('Mitra per Bulan'!$I$2:$I1000,'Mitra per Bulan'!$E$2:$E1000,N$2,'Mitra per Bulan'!$C$2:$C1000,$A4)</f>
        <v>1090000</v>
      </c>
      <c r="O4" s="110">
        <f ca="1">SUMIFS('Mitra per Bulan'!$I$2:$I1000,'Mitra per Bulan'!$E$2:$E1000,O$2,'Mitra per Bulan'!$C$2:$C1000,$A4)</f>
        <v>1090000</v>
      </c>
      <c r="P4" s="110">
        <f ca="1">SUMIFS('Mitra per Bulan'!$I$2:$I1000,'Mitra per Bulan'!$E$2:$E1000,P$2,'Mitra per Bulan'!$C$2:$C1000,$A4)</f>
        <v>1090000</v>
      </c>
    </row>
    <row r="5" spans="1:16" ht="12.5">
      <c r="A5" s="10">
        <f ca="1">IFERROR(__xludf.DUMMYFUNCTION("""COMPUTED_VALUE"""),610422100124)</f>
        <v>610422100124</v>
      </c>
      <c r="B5" s="10" t="str">
        <f t="array" aca="1" ref="B5" ca="1">INDEX('Database Mitra'!$C$2:$C1000,MATCH(A5,'Database Mitra'!$B$2:$B1000,0))</f>
        <v>Prabowo</v>
      </c>
      <c r="C5" s="110"/>
      <c r="D5" s="110">
        <f t="shared" ca="1" si="0"/>
        <v>3900000</v>
      </c>
      <c r="E5" s="110">
        <f ca="1">SUMIFS('Mitra per Bulan'!$I$2:$I1000,'Mitra per Bulan'!$E$2:$E1000,E$2,'Mitra per Bulan'!$C$2:$C1000,$A5)</f>
        <v>325000</v>
      </c>
      <c r="F5" s="110">
        <f ca="1">SUMIFS('Mitra per Bulan'!$I$2:$I1000,'Mitra per Bulan'!$E$2:$E1000,F$2,'Mitra per Bulan'!$C$2:$C1000,$A5)</f>
        <v>325000</v>
      </c>
      <c r="G5" s="110">
        <f ca="1">SUMIFS('Mitra per Bulan'!$I$2:$I1000,'Mitra per Bulan'!$E$2:$E1000,G$2,'Mitra per Bulan'!$C$2:$C1000,$A5)</f>
        <v>325000</v>
      </c>
      <c r="H5" s="110">
        <f ca="1">SUMIFS('Mitra per Bulan'!$I$2:$I1000,'Mitra per Bulan'!$E$2:$E1000,H$2,'Mitra per Bulan'!$C$2:$C1000,$A5)</f>
        <v>325000</v>
      </c>
      <c r="I5" s="110">
        <f ca="1">SUMIFS('Mitra per Bulan'!$I$2:$I1000,'Mitra per Bulan'!$E$2:$E1000,I$2,'Mitra per Bulan'!$C$2:$C1000,$A5)</f>
        <v>325000</v>
      </c>
      <c r="J5" s="110">
        <f ca="1">SUMIFS('Mitra per Bulan'!$I$2:$I1000,'Mitra per Bulan'!$E$2:$E1000,J$2,'Mitra per Bulan'!$C$2:$C1000,$A5)</f>
        <v>325000</v>
      </c>
      <c r="K5" s="110">
        <f ca="1">SUMIFS('Mitra per Bulan'!$I$2:$I1000,'Mitra per Bulan'!$E$2:$E1000,K$2,'Mitra per Bulan'!$C$2:$C1000,$A5)</f>
        <v>325000</v>
      </c>
      <c r="L5" s="110">
        <f ca="1">SUMIFS('Mitra per Bulan'!$I$2:$I1000,'Mitra per Bulan'!$E$2:$E1000,L$2,'Mitra per Bulan'!$C$2:$C1000,$A5)</f>
        <v>325000</v>
      </c>
      <c r="M5" s="110">
        <f ca="1">SUMIFS('Mitra per Bulan'!$I$2:$I1000,'Mitra per Bulan'!$E$2:$E1000,M$2,'Mitra per Bulan'!$C$2:$C1000,$A5)</f>
        <v>325000</v>
      </c>
      <c r="N5" s="110">
        <f ca="1">SUMIFS('Mitra per Bulan'!$I$2:$I1000,'Mitra per Bulan'!$E$2:$E1000,N$2,'Mitra per Bulan'!$C$2:$C1000,$A5)</f>
        <v>325000</v>
      </c>
      <c r="O5" s="110">
        <f ca="1">SUMIFS('Mitra per Bulan'!$I$2:$I1000,'Mitra per Bulan'!$E$2:$E1000,O$2,'Mitra per Bulan'!$C$2:$C1000,$A5)</f>
        <v>325000</v>
      </c>
      <c r="P5" s="110">
        <f ca="1">SUMIFS('Mitra per Bulan'!$I$2:$I1000,'Mitra per Bulan'!$E$2:$E1000,P$2,'Mitra per Bulan'!$C$2:$C1000,$A5)</f>
        <v>325000</v>
      </c>
    </row>
    <row r="6" spans="1:16" ht="12.5">
      <c r="A6" s="10">
        <f ca="1">IFERROR(__xludf.DUMMYFUNCTION("""COMPUTED_VALUE"""),610422020008)</f>
        <v>610422020008</v>
      </c>
      <c r="B6" s="10" t="str">
        <f t="array" aca="1" ref="B6" ca="1">INDEX('Database Mitra'!$C$2:$C1000,MATCH(A6,'Database Mitra'!$B$2:$B1000,0))</f>
        <v>Ilfi Nur Diana</v>
      </c>
      <c r="C6" s="110"/>
      <c r="D6" s="110">
        <f t="shared" ca="1" si="0"/>
        <v>2966000</v>
      </c>
      <c r="E6" s="110">
        <f ca="1">SUMIFS('Mitra per Bulan'!$I$2:$I1000,'Mitra per Bulan'!$E$2:$E1000,E$2,'Mitra per Bulan'!$C$2:$C1000,$A6)</f>
        <v>250000</v>
      </c>
      <c r="F6" s="110">
        <f ca="1">SUMIFS('Mitra per Bulan'!$I$2:$I1000,'Mitra per Bulan'!$E$2:$E1000,F$2,'Mitra per Bulan'!$C$2:$C1000,$A6)</f>
        <v>336000</v>
      </c>
      <c r="G6" s="110">
        <f ca="1">SUMIFS('Mitra per Bulan'!$I$2:$I1000,'Mitra per Bulan'!$E$2:$E1000,G$2,'Mitra per Bulan'!$C$2:$C1000,$A6)</f>
        <v>2380000</v>
      </c>
      <c r="H6" s="110">
        <f ca="1">SUMIFS('Mitra per Bulan'!$I$2:$I1000,'Mitra per Bulan'!$E$2:$E1000,H$2,'Mitra per Bulan'!$C$2:$C1000,$A6)</f>
        <v>0</v>
      </c>
      <c r="I6" s="110">
        <f ca="1">SUMIFS('Mitra per Bulan'!$I$2:$I1000,'Mitra per Bulan'!$E$2:$E1000,I$2,'Mitra per Bulan'!$C$2:$C1000,$A6)</f>
        <v>0</v>
      </c>
      <c r="J6" s="110">
        <f ca="1">SUMIFS('Mitra per Bulan'!$I$2:$I1000,'Mitra per Bulan'!$E$2:$E1000,J$2,'Mitra per Bulan'!$C$2:$C1000,$A6)</f>
        <v>0</v>
      </c>
      <c r="K6" s="110">
        <f ca="1">SUMIFS('Mitra per Bulan'!$I$2:$I1000,'Mitra per Bulan'!$E$2:$E1000,K$2,'Mitra per Bulan'!$C$2:$C1000,$A6)</f>
        <v>0</v>
      </c>
      <c r="L6" s="110">
        <f ca="1">SUMIFS('Mitra per Bulan'!$I$2:$I1000,'Mitra per Bulan'!$E$2:$E1000,L$2,'Mitra per Bulan'!$C$2:$C1000,$A6)</f>
        <v>0</v>
      </c>
      <c r="M6" s="110">
        <f ca="1">SUMIFS('Mitra per Bulan'!$I$2:$I1000,'Mitra per Bulan'!$E$2:$E1000,M$2,'Mitra per Bulan'!$C$2:$C1000,$A6)</f>
        <v>0</v>
      </c>
      <c r="N6" s="110">
        <f ca="1">SUMIFS('Mitra per Bulan'!$I$2:$I1000,'Mitra per Bulan'!$E$2:$E1000,N$2,'Mitra per Bulan'!$C$2:$C1000,$A6)</f>
        <v>0</v>
      </c>
      <c r="O6" s="110">
        <f ca="1">SUMIFS('Mitra per Bulan'!$I$2:$I1000,'Mitra per Bulan'!$E$2:$E1000,O$2,'Mitra per Bulan'!$C$2:$C1000,$A6)</f>
        <v>0</v>
      </c>
      <c r="P6" s="110">
        <f ca="1">SUMIFS('Mitra per Bulan'!$I$2:$I1000,'Mitra per Bulan'!$E$2:$E1000,P$2,'Mitra per Bulan'!$C$2:$C1000,$A6)</f>
        <v>0</v>
      </c>
    </row>
    <row r="7" spans="1:16" ht="12.5">
      <c r="A7" s="10">
        <f ca="1">IFERROR(__xludf.DUMMYFUNCTION("""COMPUTED_VALUE"""),610422050001)</f>
        <v>610422050001</v>
      </c>
      <c r="B7" s="10" t="str">
        <f t="array" aca="1" ref="B7" ca="1">INDEX('Database Mitra'!$C$2:$C1000,MATCH(A7,'Database Mitra'!$B$2:$B1000,0))</f>
        <v>EVI JUNIARTY</v>
      </c>
      <c r="C7" s="110"/>
      <c r="D7" s="110">
        <f t="shared" ca="1" si="0"/>
        <v>9509000</v>
      </c>
      <c r="E7" s="110">
        <f ca="1">SUMIFS('Mitra per Bulan'!$I$2:$I1000,'Mitra per Bulan'!$E$2:$E1000,E$2,'Mitra per Bulan'!$C$2:$C1000,$A7)</f>
        <v>415000</v>
      </c>
      <c r="F7" s="110">
        <f ca="1">SUMIFS('Mitra per Bulan'!$I$2:$I1000,'Mitra per Bulan'!$E$2:$E1000,F$2,'Mitra per Bulan'!$C$2:$C1000,$A7)</f>
        <v>415000</v>
      </c>
      <c r="G7" s="110">
        <f ca="1">SUMIFS('Mitra per Bulan'!$I$2:$I1000,'Mitra per Bulan'!$E$2:$E1000,G$2,'Mitra per Bulan'!$C$2:$C1000,$A7)</f>
        <v>415000</v>
      </c>
      <c r="H7" s="110">
        <f ca="1">SUMIFS('Mitra per Bulan'!$I$2:$I1000,'Mitra per Bulan'!$E$2:$E1000,H$2,'Mitra per Bulan'!$C$2:$C1000,$A7)</f>
        <v>415000</v>
      </c>
      <c r="I7" s="110">
        <f ca="1">SUMIFS('Mitra per Bulan'!$I$2:$I1000,'Mitra per Bulan'!$E$2:$E1000,I$2,'Mitra per Bulan'!$C$2:$C1000,$A7)</f>
        <v>415000</v>
      </c>
      <c r="J7" s="110">
        <f ca="1">SUMIFS('Mitra per Bulan'!$I$2:$I1000,'Mitra per Bulan'!$E$2:$E1000,J$2,'Mitra per Bulan'!$C$2:$C1000,$A7)</f>
        <v>4944000</v>
      </c>
      <c r="K7" s="110">
        <f ca="1">SUMIFS('Mitra per Bulan'!$I$2:$I1000,'Mitra per Bulan'!$E$2:$E1000,K$2,'Mitra per Bulan'!$C$2:$C1000,$A7)</f>
        <v>415000</v>
      </c>
      <c r="L7" s="110">
        <f ca="1">SUMIFS('Mitra per Bulan'!$I$2:$I1000,'Mitra per Bulan'!$E$2:$E1000,L$2,'Mitra per Bulan'!$C$2:$C1000,$A7)</f>
        <v>415000</v>
      </c>
      <c r="M7" s="110">
        <f ca="1">SUMIFS('Mitra per Bulan'!$I$2:$I1000,'Mitra per Bulan'!$E$2:$E1000,M$2,'Mitra per Bulan'!$C$2:$C1000,$A7)</f>
        <v>415000</v>
      </c>
      <c r="N7" s="110">
        <f ca="1">SUMIFS('Mitra per Bulan'!$I$2:$I1000,'Mitra per Bulan'!$E$2:$E1000,N$2,'Mitra per Bulan'!$C$2:$C1000,$A7)</f>
        <v>415000</v>
      </c>
      <c r="O7" s="110">
        <f ca="1">SUMIFS('Mitra per Bulan'!$I$2:$I1000,'Mitra per Bulan'!$E$2:$E1000,O$2,'Mitra per Bulan'!$C$2:$C1000,$A7)</f>
        <v>415000</v>
      </c>
      <c r="P7" s="110">
        <f ca="1">SUMIFS('Mitra per Bulan'!$I$2:$I1000,'Mitra per Bulan'!$E$2:$E1000,P$2,'Mitra per Bulan'!$C$2:$C1000,$A7)</f>
        <v>415000</v>
      </c>
    </row>
    <row r="8" spans="1:16" ht="12.5">
      <c r="A8" s="10">
        <f ca="1">IFERROR(__xludf.DUMMYFUNCTION("""COMPUTED_VALUE"""),610422040030)</f>
        <v>610422040030</v>
      </c>
      <c r="B8" s="10" t="str">
        <f t="array" aca="1" ref="B8" ca="1">INDEX('Database Mitra'!$C$2:$C1000,MATCH(A8,'Database Mitra'!$B$2:$B1000,0))</f>
        <v>Syarifah Desti Pratiwi</v>
      </c>
      <c r="C8" s="110"/>
      <c r="D8" s="110">
        <f t="shared" ca="1" si="0"/>
        <v>3652000</v>
      </c>
      <c r="E8" s="110">
        <f ca="1">SUMIFS('Mitra per Bulan'!$I$2:$I1000,'Mitra per Bulan'!$E$2:$E1000,E$2,'Mitra per Bulan'!$C$2:$C1000,$A8)</f>
        <v>55000</v>
      </c>
      <c r="F8" s="110">
        <f ca="1">SUMIFS('Mitra per Bulan'!$I$2:$I1000,'Mitra per Bulan'!$E$2:$E1000,F$2,'Mitra per Bulan'!$C$2:$C1000,$A8)</f>
        <v>275000</v>
      </c>
      <c r="G8" s="110">
        <f ca="1">SUMIFS('Mitra per Bulan'!$I$2:$I1000,'Mitra per Bulan'!$E$2:$E1000,G$2,'Mitra per Bulan'!$C$2:$C1000,$A8)</f>
        <v>2535000</v>
      </c>
      <c r="H8" s="110">
        <f ca="1">SUMIFS('Mitra per Bulan'!$I$2:$I1000,'Mitra per Bulan'!$E$2:$E1000,H$2,'Mitra per Bulan'!$C$2:$C1000,$A8)</f>
        <v>55000</v>
      </c>
      <c r="I8" s="110">
        <f ca="1">SUMIFS('Mitra per Bulan'!$I$2:$I1000,'Mitra per Bulan'!$E$2:$E1000,I$2,'Mitra per Bulan'!$C$2:$C1000,$A8)</f>
        <v>55000</v>
      </c>
      <c r="J8" s="110">
        <f ca="1">SUMIFS('Mitra per Bulan'!$I$2:$I1000,'Mitra per Bulan'!$E$2:$E1000,J$2,'Mitra per Bulan'!$C$2:$C1000,$A8)</f>
        <v>55000</v>
      </c>
      <c r="K8" s="110">
        <f ca="1">SUMIFS('Mitra per Bulan'!$I$2:$I1000,'Mitra per Bulan'!$E$2:$E1000,K$2,'Mitra per Bulan'!$C$2:$C1000,$A8)</f>
        <v>55000</v>
      </c>
      <c r="L8" s="110">
        <f ca="1">SUMIFS('Mitra per Bulan'!$I$2:$I1000,'Mitra per Bulan'!$E$2:$E1000,L$2,'Mitra per Bulan'!$C$2:$C1000,$A8)</f>
        <v>55000</v>
      </c>
      <c r="M8" s="110">
        <f ca="1">SUMIFS('Mitra per Bulan'!$I$2:$I1000,'Mitra per Bulan'!$E$2:$E1000,M$2,'Mitra per Bulan'!$C$2:$C1000,$A8)</f>
        <v>347000</v>
      </c>
      <c r="N8" s="110">
        <f ca="1">SUMIFS('Mitra per Bulan'!$I$2:$I1000,'Mitra per Bulan'!$E$2:$E1000,N$2,'Mitra per Bulan'!$C$2:$C1000,$A8)</f>
        <v>55000</v>
      </c>
      <c r="O8" s="110">
        <f ca="1">SUMIFS('Mitra per Bulan'!$I$2:$I1000,'Mitra per Bulan'!$E$2:$E1000,O$2,'Mitra per Bulan'!$C$2:$C1000,$A8)</f>
        <v>55000</v>
      </c>
      <c r="P8" s="110">
        <f ca="1">SUMIFS('Mitra per Bulan'!$I$2:$I1000,'Mitra per Bulan'!$E$2:$E1000,P$2,'Mitra per Bulan'!$C$2:$C1000,$A8)</f>
        <v>55000</v>
      </c>
    </row>
    <row r="9" spans="1:16" ht="12.5">
      <c r="A9" s="10">
        <f ca="1">IFERROR(__xludf.DUMMYFUNCTION("""COMPUTED_VALUE"""),610422020016)</f>
        <v>610422020016</v>
      </c>
      <c r="B9" s="10" t="str">
        <f t="array" aca="1" ref="B9" ca="1">INDEX('Database Mitra'!$C$2:$C1000,MATCH(A9,'Database Mitra'!$B$2:$B1000,0))</f>
        <v>Abdul Aziz</v>
      </c>
      <c r="C9" s="110"/>
      <c r="D9" s="110">
        <f t="shared" ca="1" si="0"/>
        <v>12138000</v>
      </c>
      <c r="E9" s="110">
        <f ca="1">SUMIFS('Mitra per Bulan'!$I$2:$I1000,'Mitra per Bulan'!$E$2:$E1000,E$2,'Mitra per Bulan'!$C$2:$C1000,$A9)</f>
        <v>513000</v>
      </c>
      <c r="F9" s="110">
        <f ca="1">SUMIFS('Mitra per Bulan'!$I$2:$I1000,'Mitra per Bulan'!$E$2:$E1000,F$2,'Mitra per Bulan'!$C$2:$C1000,$A9)</f>
        <v>733000</v>
      </c>
      <c r="G9" s="110">
        <f ca="1">SUMIFS('Mitra per Bulan'!$I$2:$I1000,'Mitra per Bulan'!$E$2:$E1000,G$2,'Mitra per Bulan'!$C$2:$C1000,$A9)</f>
        <v>2993000</v>
      </c>
      <c r="H9" s="110">
        <f ca="1">SUMIFS('Mitra per Bulan'!$I$2:$I1000,'Mitra per Bulan'!$E$2:$E1000,H$2,'Mitra per Bulan'!$C$2:$C1000,$A9)</f>
        <v>513000</v>
      </c>
      <c r="I9" s="110">
        <f ca="1">SUMIFS('Mitra per Bulan'!$I$2:$I1000,'Mitra per Bulan'!$E$2:$E1000,I$2,'Mitra per Bulan'!$C$2:$C1000,$A9)</f>
        <v>747000</v>
      </c>
      <c r="J9" s="110">
        <f ca="1">SUMIFS('Mitra per Bulan'!$I$2:$I1000,'Mitra per Bulan'!$E$2:$E1000,J$2,'Mitra per Bulan'!$C$2:$C1000,$A9)</f>
        <v>763000</v>
      </c>
      <c r="K9" s="110">
        <f ca="1">SUMIFS('Mitra per Bulan'!$I$2:$I1000,'Mitra per Bulan'!$E$2:$E1000,K$2,'Mitra per Bulan'!$C$2:$C1000,$A9)</f>
        <v>513000</v>
      </c>
      <c r="L9" s="110">
        <f ca="1">SUMIFS('Mitra per Bulan'!$I$2:$I1000,'Mitra per Bulan'!$E$2:$E1000,L$2,'Mitra per Bulan'!$C$2:$C1000,$A9)</f>
        <v>1617000</v>
      </c>
      <c r="M9" s="110">
        <f ca="1">SUMIFS('Mitra per Bulan'!$I$2:$I1000,'Mitra per Bulan'!$E$2:$E1000,M$2,'Mitra per Bulan'!$C$2:$C1000,$A9)</f>
        <v>2207000</v>
      </c>
      <c r="N9" s="110">
        <f ca="1">SUMIFS('Mitra per Bulan'!$I$2:$I1000,'Mitra per Bulan'!$E$2:$E1000,N$2,'Mitra per Bulan'!$C$2:$C1000,$A9)</f>
        <v>513000</v>
      </c>
      <c r="O9" s="110">
        <f ca="1">SUMIFS('Mitra per Bulan'!$I$2:$I1000,'Mitra per Bulan'!$E$2:$E1000,O$2,'Mitra per Bulan'!$C$2:$C1000,$A9)</f>
        <v>513000</v>
      </c>
      <c r="P9" s="110">
        <f ca="1">SUMIFS('Mitra per Bulan'!$I$2:$I1000,'Mitra per Bulan'!$E$2:$E1000,P$2,'Mitra per Bulan'!$C$2:$C1000,$A9)</f>
        <v>513000</v>
      </c>
    </row>
    <row r="10" spans="1:16" ht="12.5">
      <c r="A10" s="10">
        <f ca="1">IFERROR(__xludf.DUMMYFUNCTION("""COMPUTED_VALUE"""),610422020048)</f>
        <v>610422020048</v>
      </c>
      <c r="B10" s="10" t="str">
        <f t="array" aca="1" ref="B10" ca="1">INDEX('Database Mitra'!$C$2:$C1000,MATCH(A10,'Database Mitra'!$B$2:$B1000,0))</f>
        <v>Herri Gustaman</v>
      </c>
      <c r="C10" s="110"/>
      <c r="D10" s="110">
        <f t="shared" ca="1" si="0"/>
        <v>12542000</v>
      </c>
      <c r="E10" s="110">
        <f ca="1">SUMIFS('Mitra per Bulan'!$I$2:$I1000,'Mitra per Bulan'!$E$2:$E1000,E$2,'Mitra per Bulan'!$C$2:$C1000,$A10)</f>
        <v>1119000</v>
      </c>
      <c r="F10" s="110">
        <f ca="1">SUMIFS('Mitra per Bulan'!$I$2:$I1000,'Mitra per Bulan'!$E$2:$E1000,F$2,'Mitra per Bulan'!$C$2:$C1000,$A10)</f>
        <v>519000</v>
      </c>
      <c r="G10" s="110">
        <f ca="1">SUMIFS('Mitra per Bulan'!$I$2:$I1000,'Mitra per Bulan'!$E$2:$E1000,G$2,'Mitra per Bulan'!$C$2:$C1000,$A10)</f>
        <v>519000</v>
      </c>
      <c r="H10" s="110">
        <f ca="1">SUMIFS('Mitra per Bulan'!$I$2:$I1000,'Mitra per Bulan'!$E$2:$E1000,H$2,'Mitra per Bulan'!$C$2:$C1000,$A10)</f>
        <v>1119000</v>
      </c>
      <c r="I10" s="110">
        <f ca="1">SUMIFS('Mitra per Bulan'!$I$2:$I1000,'Mitra per Bulan'!$E$2:$E1000,I$2,'Mitra per Bulan'!$C$2:$C1000,$A10)</f>
        <v>519000</v>
      </c>
      <c r="J10" s="110">
        <f ca="1">SUMIFS('Mitra per Bulan'!$I$2:$I1000,'Mitra per Bulan'!$E$2:$E1000,J$2,'Mitra per Bulan'!$C$2:$C1000,$A10)</f>
        <v>1337000</v>
      </c>
      <c r="K10" s="110">
        <f ca="1">SUMIFS('Mitra per Bulan'!$I$2:$I1000,'Mitra per Bulan'!$E$2:$E1000,K$2,'Mitra per Bulan'!$C$2:$C1000,$A10)</f>
        <v>1473000</v>
      </c>
      <c r="L10" s="110">
        <f ca="1">SUMIFS('Mitra per Bulan'!$I$2:$I1000,'Mitra per Bulan'!$E$2:$E1000,L$2,'Mitra per Bulan'!$C$2:$C1000,$A10)</f>
        <v>3021000</v>
      </c>
      <c r="M10" s="110">
        <f ca="1">SUMIFS('Mitra per Bulan'!$I$2:$I1000,'Mitra per Bulan'!$E$2:$E1000,M$2,'Mitra per Bulan'!$C$2:$C1000,$A10)</f>
        <v>759000</v>
      </c>
      <c r="N10" s="110">
        <f ca="1">SUMIFS('Mitra per Bulan'!$I$2:$I1000,'Mitra per Bulan'!$E$2:$E1000,N$2,'Mitra per Bulan'!$C$2:$C1000,$A10)</f>
        <v>1119000</v>
      </c>
      <c r="O10" s="110">
        <f ca="1">SUMIFS('Mitra per Bulan'!$I$2:$I1000,'Mitra per Bulan'!$E$2:$E1000,O$2,'Mitra per Bulan'!$C$2:$C1000,$A10)</f>
        <v>519000</v>
      </c>
      <c r="P10" s="110">
        <f ca="1">SUMIFS('Mitra per Bulan'!$I$2:$I1000,'Mitra per Bulan'!$E$2:$E1000,P$2,'Mitra per Bulan'!$C$2:$C1000,$A10)</f>
        <v>519000</v>
      </c>
    </row>
    <row r="11" spans="1:16" ht="12.5">
      <c r="A11" s="10">
        <f ca="1">IFERROR(__xludf.DUMMYFUNCTION("""COMPUTED_VALUE"""),610422040029)</f>
        <v>610422040029</v>
      </c>
      <c r="B11" s="10" t="str">
        <f t="array" aca="1" ref="B11" ca="1">INDEX('Database Mitra'!$C$2:$C1000,MATCH(A11,'Database Mitra'!$B$2:$B1000,0))</f>
        <v>Zaini</v>
      </c>
      <c r="C11" s="110"/>
      <c r="D11" s="110">
        <f t="shared" ca="1" si="0"/>
        <v>17143000</v>
      </c>
      <c r="E11" s="110">
        <f ca="1">SUMIFS('Mitra per Bulan'!$I$2:$I1000,'Mitra per Bulan'!$E$2:$E1000,E$2,'Mitra per Bulan'!$C$2:$C1000,$A11)</f>
        <v>1510000</v>
      </c>
      <c r="F11" s="110">
        <f ca="1">SUMIFS('Mitra per Bulan'!$I$2:$I1000,'Mitra per Bulan'!$E$2:$E1000,F$2,'Mitra per Bulan'!$C$2:$C1000,$A11)</f>
        <v>721000</v>
      </c>
      <c r="G11" s="110">
        <f ca="1">SUMIFS('Mitra per Bulan'!$I$2:$I1000,'Mitra per Bulan'!$E$2:$E1000,G$2,'Mitra per Bulan'!$C$2:$C1000,$A11)</f>
        <v>2765000</v>
      </c>
      <c r="H11" s="110">
        <f ca="1">SUMIFS('Mitra per Bulan'!$I$2:$I1000,'Mitra per Bulan'!$E$2:$E1000,H$2,'Mitra per Bulan'!$C$2:$C1000,$A11)</f>
        <v>2610000</v>
      </c>
      <c r="I11" s="110">
        <f ca="1">SUMIFS('Mitra per Bulan'!$I$2:$I1000,'Mitra per Bulan'!$E$2:$E1000,I$2,'Mitra per Bulan'!$C$2:$C1000,$A11)</f>
        <v>385000</v>
      </c>
      <c r="J11" s="110">
        <f ca="1">SUMIFS('Mitra per Bulan'!$I$2:$I1000,'Mitra per Bulan'!$E$2:$E1000,J$2,'Mitra per Bulan'!$C$2:$C1000,$A11)</f>
        <v>385000</v>
      </c>
      <c r="K11" s="110">
        <f ca="1">SUMIFS('Mitra per Bulan'!$I$2:$I1000,'Mitra per Bulan'!$E$2:$E1000,K$2,'Mitra per Bulan'!$C$2:$C1000,$A11)</f>
        <v>1510000</v>
      </c>
      <c r="L11" s="110">
        <f ca="1">SUMIFS('Mitra per Bulan'!$I$2:$I1000,'Mitra per Bulan'!$E$2:$E1000,L$2,'Mitra per Bulan'!$C$2:$C1000,$A11)</f>
        <v>2365000</v>
      </c>
      <c r="M11" s="110">
        <f ca="1">SUMIFS('Mitra per Bulan'!$I$2:$I1000,'Mitra per Bulan'!$E$2:$E1000,M$2,'Mitra per Bulan'!$C$2:$C1000,$A11)</f>
        <v>2612000</v>
      </c>
      <c r="N11" s="110">
        <f ca="1">SUMIFS('Mitra per Bulan'!$I$2:$I1000,'Mitra per Bulan'!$E$2:$E1000,N$2,'Mitra per Bulan'!$C$2:$C1000,$A11)</f>
        <v>1510000</v>
      </c>
      <c r="O11" s="110">
        <f ca="1">SUMIFS('Mitra per Bulan'!$I$2:$I1000,'Mitra per Bulan'!$E$2:$E1000,O$2,'Mitra per Bulan'!$C$2:$C1000,$A11)</f>
        <v>385000</v>
      </c>
      <c r="P11" s="110">
        <f ca="1">SUMIFS('Mitra per Bulan'!$I$2:$I1000,'Mitra per Bulan'!$E$2:$E1000,P$2,'Mitra per Bulan'!$C$2:$C1000,$A11)</f>
        <v>385000</v>
      </c>
    </row>
    <row r="12" spans="1:16" ht="12.5">
      <c r="A12" s="10">
        <f ca="1">IFERROR(__xludf.DUMMYFUNCTION("""COMPUTED_VALUE"""),610422100165)</f>
        <v>610422100165</v>
      </c>
      <c r="B12" s="10" t="str">
        <f t="array" aca="1" ref="B12" ca="1">INDEX('Database Mitra'!$C$2:$C1000,MATCH(A12,'Database Mitra'!$B$2:$B1000,0))</f>
        <v>Yanti</v>
      </c>
      <c r="C12" s="110"/>
      <c r="D12" s="110">
        <f t="shared" ca="1" si="0"/>
        <v>8617000</v>
      </c>
      <c r="E12" s="110">
        <f ca="1">SUMIFS('Mitra per Bulan'!$I$2:$I1000,'Mitra per Bulan'!$E$2:$E1000,E$2,'Mitra per Bulan'!$C$2:$C1000,$A12)</f>
        <v>735000</v>
      </c>
      <c r="F12" s="110">
        <f ca="1">SUMIFS('Mitra per Bulan'!$I$2:$I1000,'Mitra per Bulan'!$E$2:$E1000,F$2,'Mitra per Bulan'!$C$2:$C1000,$A12)</f>
        <v>661000</v>
      </c>
      <c r="G12" s="110">
        <f ca="1">SUMIFS('Mitra per Bulan'!$I$2:$I1000,'Mitra per Bulan'!$E$2:$E1000,G$2,'Mitra per Bulan'!$C$2:$C1000,$A12)</f>
        <v>2705000</v>
      </c>
      <c r="H12" s="110">
        <f ca="1">SUMIFS('Mitra per Bulan'!$I$2:$I1000,'Mitra per Bulan'!$E$2:$E1000,H$2,'Mitra per Bulan'!$C$2:$C1000,$A12)</f>
        <v>685000</v>
      </c>
      <c r="I12" s="110">
        <f ca="1">SUMIFS('Mitra per Bulan'!$I$2:$I1000,'Mitra per Bulan'!$E$2:$E1000,I$2,'Mitra per Bulan'!$C$2:$C1000,$A12)</f>
        <v>325000</v>
      </c>
      <c r="J12" s="110">
        <f ca="1">SUMIFS('Mitra per Bulan'!$I$2:$I1000,'Mitra per Bulan'!$E$2:$E1000,J$2,'Mitra per Bulan'!$C$2:$C1000,$A12)</f>
        <v>325000</v>
      </c>
      <c r="K12" s="110">
        <f ca="1">SUMIFS('Mitra per Bulan'!$I$2:$I1000,'Mitra per Bulan'!$E$2:$E1000,K$2,'Mitra per Bulan'!$C$2:$C1000,$A12)</f>
        <v>685000</v>
      </c>
      <c r="L12" s="110">
        <f ca="1">SUMIFS('Mitra per Bulan'!$I$2:$I1000,'Mitra per Bulan'!$E$2:$E1000,L$2,'Mitra per Bulan'!$C$2:$C1000,$A12)</f>
        <v>325000</v>
      </c>
      <c r="M12" s="110">
        <f ca="1">SUMIFS('Mitra per Bulan'!$I$2:$I1000,'Mitra per Bulan'!$E$2:$E1000,M$2,'Mitra per Bulan'!$C$2:$C1000,$A12)</f>
        <v>836000</v>
      </c>
      <c r="N12" s="110">
        <f ca="1">SUMIFS('Mitra per Bulan'!$I$2:$I1000,'Mitra per Bulan'!$E$2:$E1000,N$2,'Mitra per Bulan'!$C$2:$C1000,$A12)</f>
        <v>685000</v>
      </c>
      <c r="O12" s="110">
        <f ca="1">SUMIFS('Mitra per Bulan'!$I$2:$I1000,'Mitra per Bulan'!$E$2:$E1000,O$2,'Mitra per Bulan'!$C$2:$C1000,$A12)</f>
        <v>325000</v>
      </c>
      <c r="P12" s="110">
        <f ca="1">SUMIFS('Mitra per Bulan'!$I$2:$I1000,'Mitra per Bulan'!$E$2:$E1000,P$2,'Mitra per Bulan'!$C$2:$C1000,$A12)</f>
        <v>325000</v>
      </c>
    </row>
    <row r="13" spans="1:16" ht="12.5">
      <c r="A13" s="10">
        <f ca="1">IFERROR(__xludf.DUMMYFUNCTION("""COMPUTED_VALUE"""),610422040056)</f>
        <v>610422040056</v>
      </c>
      <c r="B13" s="10" t="str">
        <f t="array" aca="1" ref="B13" ca="1">INDEX('Database Mitra'!$C$2:$C1000,MATCH(A13,'Database Mitra'!$B$2:$B1000,0))</f>
        <v>Wandi Syafari</v>
      </c>
      <c r="C13" s="110"/>
      <c r="D13" s="110">
        <f t="shared" ca="1" si="0"/>
        <v>8774000</v>
      </c>
      <c r="E13" s="110">
        <f ca="1">SUMIFS('Mitra per Bulan'!$I$2:$I1000,'Mitra per Bulan'!$E$2:$E1000,E$2,'Mitra per Bulan'!$C$2:$C1000,$A13)</f>
        <v>110000</v>
      </c>
      <c r="F13" s="110">
        <f ca="1">SUMIFS('Mitra per Bulan'!$I$2:$I1000,'Mitra per Bulan'!$E$2:$E1000,F$2,'Mitra per Bulan'!$C$2:$C1000,$A13)</f>
        <v>440000</v>
      </c>
      <c r="G13" s="110">
        <f ca="1">SUMIFS('Mitra per Bulan'!$I$2:$I1000,'Mitra per Bulan'!$E$2:$E1000,G$2,'Mitra per Bulan'!$C$2:$C1000,$A13)</f>
        <v>1490000</v>
      </c>
      <c r="H13" s="110">
        <f ca="1">SUMIFS('Mitra per Bulan'!$I$2:$I1000,'Mitra per Bulan'!$E$2:$E1000,H$2,'Mitra per Bulan'!$C$2:$C1000,$A13)</f>
        <v>760000</v>
      </c>
      <c r="I13" s="110">
        <f ca="1">SUMIFS('Mitra per Bulan'!$I$2:$I1000,'Mitra per Bulan'!$E$2:$E1000,I$2,'Mitra per Bulan'!$C$2:$C1000,$A13)</f>
        <v>110000</v>
      </c>
      <c r="J13" s="110">
        <f ca="1">SUMIFS('Mitra per Bulan'!$I$2:$I1000,'Mitra per Bulan'!$E$2:$E1000,J$2,'Mitra per Bulan'!$C$2:$C1000,$A13)</f>
        <v>275000</v>
      </c>
      <c r="K13" s="110">
        <f ca="1">SUMIFS('Mitra per Bulan'!$I$2:$I1000,'Mitra per Bulan'!$E$2:$E1000,K$2,'Mitra per Bulan'!$C$2:$C1000,$A13)</f>
        <v>760000</v>
      </c>
      <c r="L13" s="110">
        <f ca="1">SUMIFS('Mitra per Bulan'!$I$2:$I1000,'Mitra per Bulan'!$E$2:$E1000,L$2,'Mitra per Bulan'!$C$2:$C1000,$A13)</f>
        <v>2585000</v>
      </c>
      <c r="M13" s="110">
        <f ca="1">SUMIFS('Mitra per Bulan'!$I$2:$I1000,'Mitra per Bulan'!$E$2:$E1000,M$2,'Mitra per Bulan'!$C$2:$C1000,$A13)</f>
        <v>614000</v>
      </c>
      <c r="N13" s="110">
        <f ca="1">SUMIFS('Mitra per Bulan'!$I$2:$I1000,'Mitra per Bulan'!$E$2:$E1000,N$2,'Mitra per Bulan'!$C$2:$C1000,$A13)</f>
        <v>760000</v>
      </c>
      <c r="O13" s="110">
        <f ca="1">SUMIFS('Mitra per Bulan'!$I$2:$I1000,'Mitra per Bulan'!$E$2:$E1000,O$2,'Mitra per Bulan'!$C$2:$C1000,$A13)</f>
        <v>110000</v>
      </c>
      <c r="P13" s="110">
        <f ca="1">SUMIFS('Mitra per Bulan'!$I$2:$I1000,'Mitra per Bulan'!$E$2:$E1000,P$2,'Mitra per Bulan'!$C$2:$C1000,$A13)</f>
        <v>760000</v>
      </c>
    </row>
    <row r="14" spans="1:16" ht="12.5">
      <c r="A14" s="10">
        <f ca="1">IFERROR(__xludf.DUMMYFUNCTION("""COMPUTED_VALUE"""),610422020052)</f>
        <v>610422020052</v>
      </c>
      <c r="B14" s="10" t="str">
        <f t="array" aca="1" ref="B14" ca="1">INDEX('Database Mitra'!$C$2:$C1000,MATCH(A14,'Database Mitra'!$B$2:$B1000,0))</f>
        <v>Agus Supriyanto</v>
      </c>
      <c r="C14" s="110"/>
      <c r="D14" s="110">
        <f t="shared" ca="1" si="0"/>
        <v>1680000</v>
      </c>
      <c r="E14" s="110">
        <f ca="1">SUMIFS('Mitra per Bulan'!$I$2:$I1000,'Mitra per Bulan'!$E$2:$E1000,E$2,'Mitra per Bulan'!$C$2:$C1000,$A14)</f>
        <v>420000</v>
      </c>
      <c r="F14" s="110">
        <f ca="1">SUMIFS('Mitra per Bulan'!$I$2:$I1000,'Mitra per Bulan'!$E$2:$E1000,F$2,'Mitra per Bulan'!$C$2:$C1000,$A14)</f>
        <v>0</v>
      </c>
      <c r="G14" s="110">
        <f ca="1">SUMIFS('Mitra per Bulan'!$I$2:$I1000,'Mitra per Bulan'!$E$2:$E1000,G$2,'Mitra per Bulan'!$C$2:$C1000,$A14)</f>
        <v>0</v>
      </c>
      <c r="H14" s="110">
        <f ca="1">SUMIFS('Mitra per Bulan'!$I$2:$I1000,'Mitra per Bulan'!$E$2:$E1000,H$2,'Mitra per Bulan'!$C$2:$C1000,$A14)</f>
        <v>420000</v>
      </c>
      <c r="I14" s="110">
        <f ca="1">SUMIFS('Mitra per Bulan'!$I$2:$I1000,'Mitra per Bulan'!$E$2:$E1000,I$2,'Mitra per Bulan'!$C$2:$C1000,$A14)</f>
        <v>0</v>
      </c>
      <c r="J14" s="110">
        <f ca="1">SUMIFS('Mitra per Bulan'!$I$2:$I1000,'Mitra per Bulan'!$E$2:$E1000,J$2,'Mitra per Bulan'!$C$2:$C1000,$A14)</f>
        <v>0</v>
      </c>
      <c r="K14" s="110">
        <f ca="1">SUMIFS('Mitra per Bulan'!$I$2:$I1000,'Mitra per Bulan'!$E$2:$E1000,K$2,'Mitra per Bulan'!$C$2:$C1000,$A14)</f>
        <v>420000</v>
      </c>
      <c r="L14" s="110">
        <f ca="1">SUMIFS('Mitra per Bulan'!$I$2:$I1000,'Mitra per Bulan'!$E$2:$E1000,L$2,'Mitra per Bulan'!$C$2:$C1000,$A14)</f>
        <v>0</v>
      </c>
      <c r="M14" s="110">
        <f ca="1">SUMIFS('Mitra per Bulan'!$I$2:$I1000,'Mitra per Bulan'!$E$2:$E1000,M$2,'Mitra per Bulan'!$C$2:$C1000,$A14)</f>
        <v>0</v>
      </c>
      <c r="N14" s="110">
        <f ca="1">SUMIFS('Mitra per Bulan'!$I$2:$I1000,'Mitra per Bulan'!$E$2:$E1000,N$2,'Mitra per Bulan'!$C$2:$C1000,$A14)</f>
        <v>420000</v>
      </c>
      <c r="O14" s="110">
        <f ca="1">SUMIFS('Mitra per Bulan'!$I$2:$I1000,'Mitra per Bulan'!$E$2:$E1000,O$2,'Mitra per Bulan'!$C$2:$C1000,$A14)</f>
        <v>0</v>
      </c>
      <c r="P14" s="110">
        <f ca="1">SUMIFS('Mitra per Bulan'!$I$2:$I1000,'Mitra per Bulan'!$E$2:$E1000,P$2,'Mitra per Bulan'!$C$2:$C1000,$A14)</f>
        <v>0</v>
      </c>
    </row>
    <row r="15" spans="1:16" ht="12.5">
      <c r="A15" s="10">
        <f ca="1">IFERROR(__xludf.DUMMYFUNCTION("""COMPUTED_VALUE"""),610422040012)</f>
        <v>610422040012</v>
      </c>
      <c r="B15" s="10" t="str">
        <f t="array" aca="1" ref="B15" ca="1">INDEX('Database Mitra'!$C$2:$C1000,MATCH(A15,'Database Mitra'!$B$2:$B1000,0))</f>
        <v>Misdi</v>
      </c>
      <c r="C15" s="110"/>
      <c r="D15" s="110">
        <f t="shared" ca="1" si="0"/>
        <v>8544000</v>
      </c>
      <c r="E15" s="110">
        <f ca="1">SUMIFS('Mitra per Bulan'!$I$2:$I1000,'Mitra per Bulan'!$E$2:$E1000,E$2,'Mitra per Bulan'!$C$2:$C1000,$A15)</f>
        <v>348000</v>
      </c>
      <c r="F15" s="110">
        <f ca="1">SUMIFS('Mitra per Bulan'!$I$2:$I1000,'Mitra per Bulan'!$E$2:$E1000,F$2,'Mitra per Bulan'!$C$2:$C1000,$A15)</f>
        <v>348000</v>
      </c>
      <c r="G15" s="110">
        <f ca="1">SUMIFS('Mitra per Bulan'!$I$2:$I1000,'Mitra per Bulan'!$E$2:$E1000,G$2,'Mitra per Bulan'!$C$2:$C1000,$A15)</f>
        <v>348000</v>
      </c>
      <c r="H15" s="110">
        <f ca="1">SUMIFS('Mitra per Bulan'!$I$2:$I1000,'Mitra per Bulan'!$E$2:$E1000,H$2,'Mitra per Bulan'!$C$2:$C1000,$A15)</f>
        <v>348000</v>
      </c>
      <c r="I15" s="110">
        <f ca="1">SUMIFS('Mitra per Bulan'!$I$2:$I1000,'Mitra per Bulan'!$E$2:$E1000,I$2,'Mitra per Bulan'!$C$2:$C1000,$A15)</f>
        <v>3156000</v>
      </c>
      <c r="J15" s="110">
        <f ca="1">SUMIFS('Mitra per Bulan'!$I$2:$I1000,'Mitra per Bulan'!$E$2:$E1000,J$2,'Mitra per Bulan'!$C$2:$C1000,$A15)</f>
        <v>348000</v>
      </c>
      <c r="K15" s="110">
        <f ca="1">SUMIFS('Mitra per Bulan'!$I$2:$I1000,'Mitra per Bulan'!$E$2:$E1000,K$2,'Mitra per Bulan'!$C$2:$C1000,$A15)</f>
        <v>348000</v>
      </c>
      <c r="L15" s="110">
        <f ca="1">SUMIFS('Mitra per Bulan'!$I$2:$I1000,'Mitra per Bulan'!$E$2:$E1000,L$2,'Mitra per Bulan'!$C$2:$C1000,$A15)</f>
        <v>582000</v>
      </c>
      <c r="M15" s="110">
        <f ca="1">SUMIFS('Mitra per Bulan'!$I$2:$I1000,'Mitra per Bulan'!$E$2:$E1000,M$2,'Mitra per Bulan'!$C$2:$C1000,$A15)</f>
        <v>1674000</v>
      </c>
      <c r="N15" s="110">
        <f ca="1">SUMIFS('Mitra per Bulan'!$I$2:$I1000,'Mitra per Bulan'!$E$2:$E1000,N$2,'Mitra per Bulan'!$C$2:$C1000,$A15)</f>
        <v>348000</v>
      </c>
      <c r="O15" s="110">
        <f ca="1">SUMIFS('Mitra per Bulan'!$I$2:$I1000,'Mitra per Bulan'!$E$2:$E1000,O$2,'Mitra per Bulan'!$C$2:$C1000,$A15)</f>
        <v>348000</v>
      </c>
      <c r="P15" s="110">
        <f ca="1">SUMIFS('Mitra per Bulan'!$I$2:$I1000,'Mitra per Bulan'!$E$2:$E1000,P$2,'Mitra per Bulan'!$C$2:$C1000,$A15)</f>
        <v>348000</v>
      </c>
    </row>
    <row r="16" spans="1:16" ht="12.5">
      <c r="A16" s="10">
        <f ca="1">IFERROR(__xludf.DUMMYFUNCTION("""COMPUTED_VALUE"""),610422040059)</f>
        <v>610422040059</v>
      </c>
      <c r="B16" s="10" t="str">
        <f t="array" aca="1" ref="B16" ca="1">INDEX('Database Mitra'!$C$2:$C1000,MATCH(A16,'Database Mitra'!$B$2:$B1000,0))</f>
        <v>Abang Handri</v>
      </c>
      <c r="C16" s="110"/>
      <c r="D16" s="110">
        <f t="shared" ca="1" si="0"/>
        <v>16177000</v>
      </c>
      <c r="E16" s="110">
        <f ca="1">SUMIFS('Mitra per Bulan'!$I$2:$I1000,'Mitra per Bulan'!$E$2:$E1000,E$2,'Mitra per Bulan'!$C$2:$C1000,$A16)</f>
        <v>818000</v>
      </c>
      <c r="F16" s="110">
        <f ca="1">SUMIFS('Mitra per Bulan'!$I$2:$I1000,'Mitra per Bulan'!$E$2:$E1000,F$2,'Mitra per Bulan'!$C$2:$C1000,$A16)</f>
        <v>1154000</v>
      </c>
      <c r="G16" s="110">
        <f ca="1">SUMIFS('Mitra per Bulan'!$I$2:$I1000,'Mitra per Bulan'!$E$2:$E1000,G$2,'Mitra per Bulan'!$C$2:$C1000,$A16)</f>
        <v>2138000</v>
      </c>
      <c r="H16" s="110">
        <f ca="1">SUMIFS('Mitra per Bulan'!$I$2:$I1000,'Mitra per Bulan'!$E$2:$E1000,H$2,'Mitra per Bulan'!$C$2:$C1000,$A16)</f>
        <v>818000</v>
      </c>
      <c r="I16" s="110">
        <f ca="1">SUMIFS('Mitra per Bulan'!$I$2:$I1000,'Mitra per Bulan'!$E$2:$E1000,I$2,'Mitra per Bulan'!$C$2:$C1000,$A16)</f>
        <v>896000</v>
      </c>
      <c r="J16" s="110">
        <f ca="1">SUMIFS('Mitra per Bulan'!$I$2:$I1000,'Mitra per Bulan'!$E$2:$E1000,J$2,'Mitra per Bulan'!$C$2:$C1000,$A16)</f>
        <v>4694000</v>
      </c>
      <c r="K16" s="110">
        <f ca="1">SUMIFS('Mitra per Bulan'!$I$2:$I1000,'Mitra per Bulan'!$E$2:$E1000,K$2,'Mitra per Bulan'!$C$2:$C1000,$A16)</f>
        <v>354000</v>
      </c>
      <c r="L16" s="110">
        <f ca="1">SUMIFS('Mitra per Bulan'!$I$2:$I1000,'Mitra per Bulan'!$E$2:$E1000,L$2,'Mitra per Bulan'!$C$2:$C1000,$A16)</f>
        <v>1799000</v>
      </c>
      <c r="M16" s="110">
        <f ca="1">SUMIFS('Mitra per Bulan'!$I$2:$I1000,'Mitra per Bulan'!$E$2:$E1000,M$2,'Mitra per Bulan'!$C$2:$C1000,$A16)</f>
        <v>1052000</v>
      </c>
      <c r="N16" s="110">
        <f ca="1">SUMIFS('Mitra per Bulan'!$I$2:$I1000,'Mitra per Bulan'!$E$2:$E1000,N$2,'Mitra per Bulan'!$C$2:$C1000,$A16)</f>
        <v>818000</v>
      </c>
      <c r="O16" s="110">
        <f ca="1">SUMIFS('Mitra per Bulan'!$I$2:$I1000,'Mitra per Bulan'!$E$2:$E1000,O$2,'Mitra per Bulan'!$C$2:$C1000,$A16)</f>
        <v>818000</v>
      </c>
      <c r="P16" s="110">
        <f ca="1">SUMIFS('Mitra per Bulan'!$I$2:$I1000,'Mitra per Bulan'!$E$2:$E1000,P$2,'Mitra per Bulan'!$C$2:$C1000,$A16)</f>
        <v>818000</v>
      </c>
    </row>
    <row r="17" spans="1:16" ht="12.5">
      <c r="A17" s="10">
        <f ca="1">IFERROR(__xludf.DUMMYFUNCTION("""COMPUTED_VALUE"""),610422040061)</f>
        <v>610422040061</v>
      </c>
      <c r="B17" s="10" t="str">
        <f t="array" aca="1" ref="B17" ca="1">INDEX('Database Mitra'!$C$2:$C1000,MATCH(A17,'Database Mitra'!$B$2:$B1000,0))</f>
        <v>Sabani</v>
      </c>
      <c r="C17" s="110"/>
      <c r="D17" s="110">
        <f t="shared" ca="1" si="0"/>
        <v>9292000</v>
      </c>
      <c r="E17" s="110">
        <f ca="1">SUMIFS('Mitra per Bulan'!$I$2:$I1000,'Mitra per Bulan'!$E$2:$E1000,E$2,'Mitra per Bulan'!$C$2:$C1000,$A17)</f>
        <v>348000</v>
      </c>
      <c r="F17" s="110">
        <f ca="1">SUMIFS('Mitra per Bulan'!$I$2:$I1000,'Mitra per Bulan'!$E$2:$E1000,F$2,'Mitra per Bulan'!$C$2:$C1000,$A17)</f>
        <v>1116000</v>
      </c>
      <c r="G17" s="110">
        <f ca="1">SUMIFS('Mitra per Bulan'!$I$2:$I1000,'Mitra per Bulan'!$E$2:$E1000,G$2,'Mitra per Bulan'!$C$2:$C1000,$A17)</f>
        <v>1538000</v>
      </c>
      <c r="H17" s="110">
        <f ca="1">SUMIFS('Mitra per Bulan'!$I$2:$I1000,'Mitra per Bulan'!$E$2:$E1000,H$2,'Mitra per Bulan'!$C$2:$C1000,$A17)</f>
        <v>348000</v>
      </c>
      <c r="I17" s="110">
        <f ca="1">SUMIFS('Mitra per Bulan'!$I$2:$I1000,'Mitra per Bulan'!$E$2:$E1000,I$2,'Mitra per Bulan'!$C$2:$C1000,$A17)</f>
        <v>348000</v>
      </c>
      <c r="J17" s="110">
        <f ca="1">SUMIFS('Mitra per Bulan'!$I$2:$I1000,'Mitra per Bulan'!$E$2:$E1000,J$2,'Mitra per Bulan'!$C$2:$C1000,$A17)</f>
        <v>696000</v>
      </c>
      <c r="K17" s="110">
        <f ca="1">SUMIFS('Mitra per Bulan'!$I$2:$I1000,'Mitra per Bulan'!$E$2:$E1000,K$2,'Mitra per Bulan'!$C$2:$C1000,$A17)</f>
        <v>1258000</v>
      </c>
      <c r="L17" s="110">
        <f ca="1">SUMIFS('Mitra per Bulan'!$I$2:$I1000,'Mitra per Bulan'!$E$2:$E1000,L$2,'Mitra per Bulan'!$C$2:$C1000,$A17)</f>
        <v>348000</v>
      </c>
      <c r="M17" s="110">
        <f ca="1">SUMIFS('Mitra per Bulan'!$I$2:$I1000,'Mitra per Bulan'!$E$2:$E1000,M$2,'Mitra per Bulan'!$C$2:$C1000,$A17)</f>
        <v>1338000</v>
      </c>
      <c r="N17" s="110">
        <f ca="1">SUMIFS('Mitra per Bulan'!$I$2:$I1000,'Mitra per Bulan'!$E$2:$E1000,N$2,'Mitra per Bulan'!$C$2:$C1000,$A17)</f>
        <v>348000</v>
      </c>
      <c r="O17" s="110">
        <f ca="1">SUMIFS('Mitra per Bulan'!$I$2:$I1000,'Mitra per Bulan'!$E$2:$E1000,O$2,'Mitra per Bulan'!$C$2:$C1000,$A17)</f>
        <v>1258000</v>
      </c>
      <c r="P17" s="110">
        <f ca="1">SUMIFS('Mitra per Bulan'!$I$2:$I1000,'Mitra per Bulan'!$E$2:$E1000,P$2,'Mitra per Bulan'!$C$2:$C1000,$A17)</f>
        <v>348000</v>
      </c>
    </row>
    <row r="18" spans="1:16" ht="12.5">
      <c r="A18" s="10">
        <f ca="1">IFERROR(__xludf.DUMMYFUNCTION("""COMPUTED_VALUE"""),610422100131)</f>
        <v>610422100131</v>
      </c>
      <c r="B18" s="10" t="str">
        <f t="array" aca="1" ref="B18" ca="1">INDEX('Database Mitra'!$C$2:$C1000,MATCH(A18,'Database Mitra'!$B$2:$B1000,0))</f>
        <v>SYAMSUL</v>
      </c>
      <c r="C18" s="110"/>
      <c r="D18" s="110">
        <f t="shared" ca="1" si="0"/>
        <v>11206000</v>
      </c>
      <c r="E18" s="110">
        <f ca="1">SUMIFS('Mitra per Bulan'!$I$2:$I1000,'Mitra per Bulan'!$E$2:$E1000,E$2,'Mitra per Bulan'!$C$2:$C1000,$A18)</f>
        <v>348000</v>
      </c>
      <c r="F18" s="110">
        <f ca="1">SUMIFS('Mitra per Bulan'!$I$2:$I1000,'Mitra per Bulan'!$E$2:$E1000,F$2,'Mitra per Bulan'!$C$2:$C1000,$A18)</f>
        <v>348000</v>
      </c>
      <c r="G18" s="110">
        <f ca="1">SUMIFS('Mitra per Bulan'!$I$2:$I1000,'Mitra per Bulan'!$E$2:$E1000,G$2,'Mitra per Bulan'!$C$2:$C1000,$A18)</f>
        <v>348000</v>
      </c>
      <c r="H18" s="110">
        <f ca="1">SUMIFS('Mitra per Bulan'!$I$2:$I1000,'Mitra per Bulan'!$E$2:$E1000,H$2,'Mitra per Bulan'!$C$2:$C1000,$A18)</f>
        <v>348000</v>
      </c>
      <c r="I18" s="110">
        <f ca="1">SUMIFS('Mitra per Bulan'!$I$2:$I1000,'Mitra per Bulan'!$E$2:$E1000,I$2,'Mitra per Bulan'!$C$2:$C1000,$A18)</f>
        <v>348000</v>
      </c>
      <c r="J18" s="110">
        <f ca="1">SUMIFS('Mitra per Bulan'!$I$2:$I1000,'Mitra per Bulan'!$E$2:$E1000,J$2,'Mitra per Bulan'!$C$2:$C1000,$A18)</f>
        <v>4694000</v>
      </c>
      <c r="K18" s="110">
        <f ca="1">SUMIFS('Mitra per Bulan'!$I$2:$I1000,'Mitra per Bulan'!$E$2:$E1000,K$2,'Mitra per Bulan'!$C$2:$C1000,$A18)</f>
        <v>812000</v>
      </c>
      <c r="L18" s="110">
        <f ca="1">SUMIFS('Mitra per Bulan'!$I$2:$I1000,'Mitra per Bulan'!$E$2:$E1000,L$2,'Mitra per Bulan'!$C$2:$C1000,$A18)</f>
        <v>696000</v>
      </c>
      <c r="M18" s="110">
        <f ca="1">SUMIFS('Mitra per Bulan'!$I$2:$I1000,'Mitra per Bulan'!$E$2:$E1000,M$2,'Mitra per Bulan'!$C$2:$C1000,$A18)</f>
        <v>2220000</v>
      </c>
      <c r="N18" s="110">
        <f ca="1">SUMIFS('Mitra per Bulan'!$I$2:$I1000,'Mitra per Bulan'!$E$2:$E1000,N$2,'Mitra per Bulan'!$C$2:$C1000,$A18)</f>
        <v>348000</v>
      </c>
      <c r="O18" s="110">
        <f ca="1">SUMIFS('Mitra per Bulan'!$I$2:$I1000,'Mitra per Bulan'!$E$2:$E1000,O$2,'Mitra per Bulan'!$C$2:$C1000,$A18)</f>
        <v>348000</v>
      </c>
      <c r="P18" s="110">
        <f ca="1">SUMIFS('Mitra per Bulan'!$I$2:$I1000,'Mitra per Bulan'!$E$2:$E1000,P$2,'Mitra per Bulan'!$C$2:$C1000,$A18)</f>
        <v>348000</v>
      </c>
    </row>
    <row r="19" spans="1:16" ht="12.5">
      <c r="A19" s="10">
        <f ca="1">IFERROR(__xludf.DUMMYFUNCTION("""COMPUTED_VALUE"""),610422100176)</f>
        <v>610422100176</v>
      </c>
      <c r="B19" s="10" t="str">
        <f t="array" aca="1" ref="B19" ca="1">INDEX('Database Mitra'!$C$2:$C1000,MATCH(A19,'Database Mitra'!$B$2:$B1000,0))</f>
        <v>Feri Firdaus</v>
      </c>
      <c r="C19" s="110"/>
      <c r="D19" s="110">
        <f t="shared" ca="1" si="0"/>
        <v>4254000</v>
      </c>
      <c r="E19" s="110">
        <f ca="1">SUMIFS('Mitra per Bulan'!$I$2:$I1000,'Mitra per Bulan'!$E$2:$E1000,E$2,'Mitra per Bulan'!$C$2:$C1000,$A19)</f>
        <v>348000</v>
      </c>
      <c r="F19" s="110">
        <f ca="1">SUMIFS('Mitra per Bulan'!$I$2:$I1000,'Mitra per Bulan'!$E$2:$E1000,F$2,'Mitra per Bulan'!$C$2:$C1000,$A19)</f>
        <v>348000</v>
      </c>
      <c r="G19" s="110">
        <f ca="1">SUMIFS('Mitra per Bulan'!$I$2:$I1000,'Mitra per Bulan'!$E$2:$E1000,G$2,'Mitra per Bulan'!$C$2:$C1000,$A19)</f>
        <v>348000</v>
      </c>
      <c r="H19" s="110">
        <f ca="1">SUMIFS('Mitra per Bulan'!$I$2:$I1000,'Mitra per Bulan'!$E$2:$E1000,H$2,'Mitra per Bulan'!$C$2:$C1000,$A19)</f>
        <v>348000</v>
      </c>
      <c r="I19" s="110">
        <f ca="1">SUMIFS('Mitra per Bulan'!$I$2:$I1000,'Mitra per Bulan'!$E$2:$E1000,I$2,'Mitra per Bulan'!$C$2:$C1000,$A19)</f>
        <v>426000</v>
      </c>
      <c r="J19" s="110">
        <f ca="1">SUMIFS('Mitra per Bulan'!$I$2:$I1000,'Mitra per Bulan'!$E$2:$E1000,J$2,'Mitra per Bulan'!$C$2:$C1000,$A19)</f>
        <v>348000</v>
      </c>
      <c r="K19" s="110">
        <f ca="1">SUMIFS('Mitra per Bulan'!$I$2:$I1000,'Mitra per Bulan'!$E$2:$E1000,K$2,'Mitra per Bulan'!$C$2:$C1000,$A19)</f>
        <v>348000</v>
      </c>
      <c r="L19" s="110">
        <f ca="1">SUMIFS('Mitra per Bulan'!$I$2:$I1000,'Mitra per Bulan'!$E$2:$E1000,L$2,'Mitra per Bulan'!$C$2:$C1000,$A19)</f>
        <v>348000</v>
      </c>
      <c r="M19" s="110">
        <f ca="1">SUMIFS('Mitra per Bulan'!$I$2:$I1000,'Mitra per Bulan'!$E$2:$E1000,M$2,'Mitra per Bulan'!$C$2:$C1000,$A19)</f>
        <v>348000</v>
      </c>
      <c r="N19" s="110">
        <f ca="1">SUMIFS('Mitra per Bulan'!$I$2:$I1000,'Mitra per Bulan'!$E$2:$E1000,N$2,'Mitra per Bulan'!$C$2:$C1000,$A19)</f>
        <v>348000</v>
      </c>
      <c r="O19" s="110">
        <f ca="1">SUMIFS('Mitra per Bulan'!$I$2:$I1000,'Mitra per Bulan'!$E$2:$E1000,O$2,'Mitra per Bulan'!$C$2:$C1000,$A19)</f>
        <v>348000</v>
      </c>
      <c r="P19" s="110">
        <f ca="1">SUMIFS('Mitra per Bulan'!$I$2:$I1000,'Mitra per Bulan'!$E$2:$E1000,P$2,'Mitra per Bulan'!$C$2:$C1000,$A19)</f>
        <v>348000</v>
      </c>
    </row>
    <row r="20" spans="1:16" ht="12.5">
      <c r="A20" s="10">
        <f ca="1">IFERROR(__xludf.DUMMYFUNCTION("""COMPUTED_VALUE"""),610423110183)</f>
        <v>610423110183</v>
      </c>
      <c r="B20" s="10" t="str">
        <f t="array" aca="1" ref="B20" ca="1">INDEX('Database Mitra'!$C$2:$C1000,MATCH(A20,'Database Mitra'!$B$2:$B1000,0))</f>
        <v>azhar</v>
      </c>
      <c r="C20" s="110"/>
      <c r="D20" s="110">
        <f t="shared" ca="1" si="0"/>
        <v>12912000</v>
      </c>
      <c r="E20" s="110">
        <f ca="1">SUMIFS('Mitra per Bulan'!$I$2:$I1000,'Mitra per Bulan'!$E$2:$E1000,E$2,'Mitra per Bulan'!$C$2:$C1000,$A20)</f>
        <v>1050000</v>
      </c>
      <c r="F20" s="110">
        <f ca="1">SUMIFS('Mitra per Bulan'!$I$2:$I1000,'Mitra per Bulan'!$E$2:$E1000,F$2,'Mitra per Bulan'!$C$2:$C1000,$A20)</f>
        <v>1050000</v>
      </c>
      <c r="G20" s="110">
        <f ca="1">SUMIFS('Mitra per Bulan'!$I$2:$I1000,'Mitra per Bulan'!$E$2:$E1000,G$2,'Mitra per Bulan'!$C$2:$C1000,$A20)</f>
        <v>1050000</v>
      </c>
      <c r="H20" s="110">
        <f ca="1">SUMIFS('Mitra per Bulan'!$I$2:$I1000,'Mitra per Bulan'!$E$2:$E1000,H$2,'Mitra per Bulan'!$C$2:$C1000,$A20)</f>
        <v>1050000</v>
      </c>
      <c r="I20" s="110">
        <f ca="1">SUMIFS('Mitra per Bulan'!$I$2:$I1000,'Mitra per Bulan'!$E$2:$E1000,I$2,'Mitra per Bulan'!$C$2:$C1000,$A20)</f>
        <v>1050000</v>
      </c>
      <c r="J20" s="110">
        <f ca="1">SUMIFS('Mitra per Bulan'!$I$2:$I1000,'Mitra per Bulan'!$E$2:$E1000,J$2,'Mitra per Bulan'!$C$2:$C1000,$A20)</f>
        <v>1050000</v>
      </c>
      <c r="K20" s="110">
        <f ca="1">SUMIFS('Mitra per Bulan'!$I$2:$I1000,'Mitra per Bulan'!$E$2:$E1000,K$2,'Mitra per Bulan'!$C$2:$C1000,$A20)</f>
        <v>1050000</v>
      </c>
      <c r="L20" s="110">
        <f ca="1">SUMIFS('Mitra per Bulan'!$I$2:$I1000,'Mitra per Bulan'!$E$2:$E1000,L$2,'Mitra per Bulan'!$C$2:$C1000,$A20)</f>
        <v>1050000</v>
      </c>
      <c r="M20" s="110">
        <f ca="1">SUMIFS('Mitra per Bulan'!$I$2:$I1000,'Mitra per Bulan'!$E$2:$E1000,M$2,'Mitra per Bulan'!$C$2:$C1000,$A20)</f>
        <v>1362000</v>
      </c>
      <c r="N20" s="110">
        <f ca="1">SUMIFS('Mitra per Bulan'!$I$2:$I1000,'Mitra per Bulan'!$E$2:$E1000,N$2,'Mitra per Bulan'!$C$2:$C1000,$A20)</f>
        <v>1050000</v>
      </c>
      <c r="O20" s="110">
        <f ca="1">SUMIFS('Mitra per Bulan'!$I$2:$I1000,'Mitra per Bulan'!$E$2:$E1000,O$2,'Mitra per Bulan'!$C$2:$C1000,$A20)</f>
        <v>1050000</v>
      </c>
      <c r="P20" s="110">
        <f ca="1">SUMIFS('Mitra per Bulan'!$I$2:$I1000,'Mitra per Bulan'!$E$2:$E1000,P$2,'Mitra per Bulan'!$C$2:$C1000,$A20)</f>
        <v>1050000</v>
      </c>
    </row>
    <row r="21" spans="1:16" ht="12.5">
      <c r="A21" s="10">
        <f ca="1">IFERROR(__xludf.DUMMYFUNCTION("""COMPUTED_VALUE"""),610423040018)</f>
        <v>610423040018</v>
      </c>
      <c r="B21" s="10" t="str">
        <f t="array" aca="1" ref="B21" ca="1">INDEX('Database Mitra'!$C$2:$C1000,MATCH(A21,'Database Mitra'!$B$2:$B1000,0))</f>
        <v>Handoko Tuah Sabarman Sipayung</v>
      </c>
      <c r="C21" s="110"/>
      <c r="D21" s="110">
        <f t="shared" ca="1" si="0"/>
        <v>10656000</v>
      </c>
      <c r="E21" s="110">
        <f ca="1">SUMIFS('Mitra per Bulan'!$I$2:$I1000,'Mitra per Bulan'!$E$2:$E1000,E$2,'Mitra per Bulan'!$C$2:$C1000,$A21)</f>
        <v>464000</v>
      </c>
      <c r="F21" s="110">
        <f ca="1">SUMIFS('Mitra per Bulan'!$I$2:$I1000,'Mitra per Bulan'!$E$2:$E1000,F$2,'Mitra per Bulan'!$C$2:$C1000,$A21)</f>
        <v>464000</v>
      </c>
      <c r="G21" s="110">
        <f ca="1">SUMIFS('Mitra per Bulan'!$I$2:$I1000,'Mitra per Bulan'!$E$2:$E1000,G$2,'Mitra per Bulan'!$C$2:$C1000,$A21)</f>
        <v>464000</v>
      </c>
      <c r="H21" s="110">
        <f ca="1">SUMIFS('Mitra per Bulan'!$I$2:$I1000,'Mitra per Bulan'!$E$2:$E1000,H$2,'Mitra per Bulan'!$C$2:$C1000,$A21)</f>
        <v>464000</v>
      </c>
      <c r="I21" s="110">
        <f ca="1">SUMIFS('Mitra per Bulan'!$I$2:$I1000,'Mitra per Bulan'!$E$2:$E1000,I$2,'Mitra per Bulan'!$C$2:$C1000,$A21)</f>
        <v>776000</v>
      </c>
      <c r="J21" s="110">
        <f ca="1">SUMIFS('Mitra per Bulan'!$I$2:$I1000,'Mitra per Bulan'!$E$2:$E1000,J$2,'Mitra per Bulan'!$C$2:$C1000,$A21)</f>
        <v>4694000</v>
      </c>
      <c r="K21" s="110">
        <f ca="1">SUMIFS('Mitra per Bulan'!$I$2:$I1000,'Mitra per Bulan'!$E$2:$E1000,K$2,'Mitra per Bulan'!$C$2:$C1000,$A21)</f>
        <v>464000</v>
      </c>
      <c r="L21" s="110">
        <f ca="1">SUMIFS('Mitra per Bulan'!$I$2:$I1000,'Mitra per Bulan'!$E$2:$E1000,L$2,'Mitra per Bulan'!$C$2:$C1000,$A21)</f>
        <v>854000</v>
      </c>
      <c r="M21" s="110">
        <f ca="1">SUMIFS('Mitra per Bulan'!$I$2:$I1000,'Mitra per Bulan'!$E$2:$E1000,M$2,'Mitra per Bulan'!$C$2:$C1000,$A21)</f>
        <v>620000</v>
      </c>
      <c r="N21" s="110">
        <f ca="1">SUMIFS('Mitra per Bulan'!$I$2:$I1000,'Mitra per Bulan'!$E$2:$E1000,N$2,'Mitra per Bulan'!$C$2:$C1000,$A21)</f>
        <v>464000</v>
      </c>
      <c r="O21" s="110">
        <f ca="1">SUMIFS('Mitra per Bulan'!$I$2:$I1000,'Mitra per Bulan'!$E$2:$E1000,O$2,'Mitra per Bulan'!$C$2:$C1000,$A21)</f>
        <v>464000</v>
      </c>
      <c r="P21" s="110">
        <f ca="1">SUMIFS('Mitra per Bulan'!$I$2:$I1000,'Mitra per Bulan'!$E$2:$E1000,P$2,'Mitra per Bulan'!$C$2:$C1000,$A21)</f>
        <v>464000</v>
      </c>
    </row>
    <row r="22" spans="1:16" ht="12.5">
      <c r="A22" s="10">
        <f ca="1">IFERROR(__xludf.DUMMYFUNCTION("""COMPUTED_VALUE"""),610422040058)</f>
        <v>610422040058</v>
      </c>
      <c r="B22" s="10" t="str">
        <f t="array" aca="1" ref="B22" ca="1">INDEX('Database Mitra'!$C$2:$C1000,MATCH(A22,'Database Mitra'!$B$2:$B1000,0))</f>
        <v>Jamaluddin, SP</v>
      </c>
      <c r="C22" s="110"/>
      <c r="D22" s="110">
        <f t="shared" ca="1" si="0"/>
        <v>14463000</v>
      </c>
      <c r="E22" s="110">
        <f ca="1">SUMIFS('Mitra per Bulan'!$I$2:$I1000,'Mitra per Bulan'!$E$2:$E1000,E$2,'Mitra per Bulan'!$C$2:$C1000,$A22)</f>
        <v>590000</v>
      </c>
      <c r="F22" s="110">
        <f ca="1">SUMIFS('Mitra per Bulan'!$I$2:$I1000,'Mitra per Bulan'!$E$2:$E1000,F$2,'Mitra per Bulan'!$C$2:$C1000,$A22)</f>
        <v>926000</v>
      </c>
      <c r="G22" s="110">
        <f ca="1">SUMIFS('Mitra per Bulan'!$I$2:$I1000,'Mitra per Bulan'!$E$2:$E1000,G$2,'Mitra per Bulan'!$C$2:$C1000,$A22)</f>
        <v>2970000</v>
      </c>
      <c r="H22" s="110">
        <f ca="1">SUMIFS('Mitra per Bulan'!$I$2:$I1000,'Mitra per Bulan'!$E$2:$E1000,H$2,'Mitra per Bulan'!$C$2:$C1000,$A22)</f>
        <v>590000</v>
      </c>
      <c r="I22" s="110">
        <f ca="1">SUMIFS('Mitra per Bulan'!$I$2:$I1000,'Mitra per Bulan'!$E$2:$E1000,I$2,'Mitra per Bulan'!$C$2:$C1000,$A22)</f>
        <v>590000</v>
      </c>
      <c r="J22" s="110">
        <f ca="1">SUMIFS('Mitra per Bulan'!$I$2:$I1000,'Mitra per Bulan'!$E$2:$E1000,J$2,'Mitra per Bulan'!$C$2:$C1000,$A22)</f>
        <v>590000</v>
      </c>
      <c r="K22" s="110">
        <f ca="1">SUMIFS('Mitra per Bulan'!$I$2:$I1000,'Mitra per Bulan'!$E$2:$E1000,K$2,'Mitra per Bulan'!$C$2:$C1000,$A22)</f>
        <v>590000</v>
      </c>
      <c r="L22" s="110">
        <f ca="1">SUMIFS('Mitra per Bulan'!$I$2:$I1000,'Mitra per Bulan'!$E$2:$E1000,L$2,'Mitra per Bulan'!$C$2:$C1000,$A22)</f>
        <v>3395000</v>
      </c>
      <c r="M22" s="110">
        <f ca="1">SUMIFS('Mitra per Bulan'!$I$2:$I1000,'Mitra per Bulan'!$E$2:$E1000,M$2,'Mitra per Bulan'!$C$2:$C1000,$A22)</f>
        <v>2452000</v>
      </c>
      <c r="N22" s="110">
        <f ca="1">SUMIFS('Mitra per Bulan'!$I$2:$I1000,'Mitra per Bulan'!$E$2:$E1000,N$2,'Mitra per Bulan'!$C$2:$C1000,$A22)</f>
        <v>590000</v>
      </c>
      <c r="O22" s="110">
        <f ca="1">SUMIFS('Mitra per Bulan'!$I$2:$I1000,'Mitra per Bulan'!$E$2:$E1000,O$2,'Mitra per Bulan'!$C$2:$C1000,$A22)</f>
        <v>590000</v>
      </c>
      <c r="P22" s="110">
        <f ca="1">SUMIFS('Mitra per Bulan'!$I$2:$I1000,'Mitra per Bulan'!$E$2:$E1000,P$2,'Mitra per Bulan'!$C$2:$C1000,$A22)</f>
        <v>590000</v>
      </c>
    </row>
    <row r="23" spans="1:16" ht="12.5">
      <c r="A23" s="10">
        <f ca="1">IFERROR(__xludf.DUMMYFUNCTION("""COMPUTED_VALUE"""),610422030001)</f>
        <v>610422030001</v>
      </c>
      <c r="B23" s="10" t="str">
        <f t="array" aca="1" ref="B23" ca="1">INDEX('Database Mitra'!$C$2:$C1000,MATCH(A23,'Database Mitra'!$B$2:$B1000,0))</f>
        <v>Pitra,SP</v>
      </c>
      <c r="C23" s="110"/>
      <c r="D23" s="110">
        <f t="shared" ca="1" si="0"/>
        <v>9342000</v>
      </c>
      <c r="E23" s="110">
        <f ca="1">SUMIFS('Mitra per Bulan'!$I$2:$I1000,'Mitra per Bulan'!$E$2:$E1000,E$2,'Mitra per Bulan'!$C$2:$C1000,$A23)</f>
        <v>0</v>
      </c>
      <c r="F23" s="110">
        <f ca="1">SUMIFS('Mitra per Bulan'!$I$2:$I1000,'Mitra per Bulan'!$E$2:$E1000,F$2,'Mitra per Bulan'!$C$2:$C1000,$A23)</f>
        <v>220000</v>
      </c>
      <c r="G23" s="110">
        <f ca="1">SUMIFS('Mitra per Bulan'!$I$2:$I1000,'Mitra per Bulan'!$E$2:$E1000,G$2,'Mitra per Bulan'!$C$2:$C1000,$A23)</f>
        <v>920000</v>
      </c>
      <c r="H23" s="110">
        <f ca="1">SUMIFS('Mitra per Bulan'!$I$2:$I1000,'Mitra per Bulan'!$E$2:$E1000,H$2,'Mitra per Bulan'!$C$2:$C1000,$A23)</f>
        <v>0</v>
      </c>
      <c r="I23" s="110">
        <f ca="1">SUMIFS('Mitra per Bulan'!$I$2:$I1000,'Mitra per Bulan'!$E$2:$E1000,I$2,'Mitra per Bulan'!$C$2:$C1000,$A23)</f>
        <v>0</v>
      </c>
      <c r="J23" s="110">
        <f ca="1">SUMIFS('Mitra per Bulan'!$I$2:$I1000,'Mitra per Bulan'!$E$2:$E1000,J$2,'Mitra per Bulan'!$C$2:$C1000,$A23)</f>
        <v>4694000</v>
      </c>
      <c r="K23" s="110">
        <f ca="1">SUMIFS('Mitra per Bulan'!$I$2:$I1000,'Mitra per Bulan'!$E$2:$E1000,K$2,'Mitra per Bulan'!$C$2:$C1000,$A23)</f>
        <v>0</v>
      </c>
      <c r="L23" s="110">
        <f ca="1">SUMIFS('Mitra per Bulan'!$I$2:$I1000,'Mitra per Bulan'!$E$2:$E1000,L$2,'Mitra per Bulan'!$C$2:$C1000,$A23)</f>
        <v>2629000</v>
      </c>
      <c r="M23" s="110">
        <f ca="1">SUMIFS('Mitra per Bulan'!$I$2:$I1000,'Mitra per Bulan'!$E$2:$E1000,M$2,'Mitra per Bulan'!$C$2:$C1000,$A23)</f>
        <v>879000</v>
      </c>
      <c r="N23" s="110">
        <f ca="1">SUMIFS('Mitra per Bulan'!$I$2:$I1000,'Mitra per Bulan'!$E$2:$E1000,N$2,'Mitra per Bulan'!$C$2:$C1000,$A23)</f>
        <v>0</v>
      </c>
      <c r="O23" s="110">
        <f ca="1">SUMIFS('Mitra per Bulan'!$I$2:$I1000,'Mitra per Bulan'!$E$2:$E1000,O$2,'Mitra per Bulan'!$C$2:$C1000,$A23)</f>
        <v>0</v>
      </c>
      <c r="P23" s="110">
        <f ca="1">SUMIFS('Mitra per Bulan'!$I$2:$I1000,'Mitra per Bulan'!$E$2:$E1000,P$2,'Mitra per Bulan'!$C$2:$C1000,$A23)</f>
        <v>0</v>
      </c>
    </row>
    <row r="24" spans="1:16" ht="12.5">
      <c r="A24" s="10">
        <f ca="1">IFERROR(__xludf.DUMMYFUNCTION("""COMPUTED_VALUE"""),610423030006)</f>
        <v>610423030006</v>
      </c>
      <c r="B24" s="10" t="str">
        <f t="array" aca="1" ref="B24" ca="1">INDEX('Database Mitra'!$C$2:$C1000,MATCH(A24,'Database Mitra'!$B$2:$B1000,0))</f>
        <v>DESTA DARA AYU LESTARI, S.Pd</v>
      </c>
      <c r="C24" s="110"/>
      <c r="D24" s="110">
        <f t="shared" ca="1" si="0"/>
        <v>1140000</v>
      </c>
      <c r="E24" s="110">
        <f ca="1">SUMIFS('Mitra per Bulan'!$I$2:$I1000,'Mitra per Bulan'!$E$2:$E1000,E$2,'Mitra per Bulan'!$C$2:$C1000,$A24)</f>
        <v>0</v>
      </c>
      <c r="F24" s="110">
        <f ca="1">SUMIFS('Mitra per Bulan'!$I$2:$I1000,'Mitra per Bulan'!$E$2:$E1000,F$2,'Mitra per Bulan'!$C$2:$C1000,$A24)</f>
        <v>220000</v>
      </c>
      <c r="G24" s="110">
        <f ca="1">SUMIFS('Mitra per Bulan'!$I$2:$I1000,'Mitra per Bulan'!$E$2:$E1000,G$2,'Mitra per Bulan'!$C$2:$C1000,$A24)</f>
        <v>920000</v>
      </c>
      <c r="H24" s="110">
        <f ca="1">SUMIFS('Mitra per Bulan'!$I$2:$I1000,'Mitra per Bulan'!$E$2:$E1000,H$2,'Mitra per Bulan'!$C$2:$C1000,$A24)</f>
        <v>0</v>
      </c>
      <c r="I24" s="110">
        <f ca="1">SUMIFS('Mitra per Bulan'!$I$2:$I1000,'Mitra per Bulan'!$E$2:$E1000,I$2,'Mitra per Bulan'!$C$2:$C1000,$A24)</f>
        <v>0</v>
      </c>
      <c r="J24" s="110">
        <f ca="1">SUMIFS('Mitra per Bulan'!$I$2:$I1000,'Mitra per Bulan'!$E$2:$E1000,J$2,'Mitra per Bulan'!$C$2:$C1000,$A24)</f>
        <v>0</v>
      </c>
      <c r="K24" s="110">
        <f ca="1">SUMIFS('Mitra per Bulan'!$I$2:$I1000,'Mitra per Bulan'!$E$2:$E1000,K$2,'Mitra per Bulan'!$C$2:$C1000,$A24)</f>
        <v>0</v>
      </c>
      <c r="L24" s="110">
        <f ca="1">SUMIFS('Mitra per Bulan'!$I$2:$I1000,'Mitra per Bulan'!$E$2:$E1000,L$2,'Mitra per Bulan'!$C$2:$C1000,$A24)</f>
        <v>0</v>
      </c>
      <c r="M24" s="110">
        <f ca="1">SUMIFS('Mitra per Bulan'!$I$2:$I1000,'Mitra per Bulan'!$E$2:$E1000,M$2,'Mitra per Bulan'!$C$2:$C1000,$A24)</f>
        <v>0</v>
      </c>
      <c r="N24" s="110">
        <f ca="1">SUMIFS('Mitra per Bulan'!$I$2:$I1000,'Mitra per Bulan'!$E$2:$E1000,N$2,'Mitra per Bulan'!$C$2:$C1000,$A24)</f>
        <v>0</v>
      </c>
      <c r="O24" s="110">
        <f ca="1">SUMIFS('Mitra per Bulan'!$I$2:$I1000,'Mitra per Bulan'!$E$2:$E1000,O$2,'Mitra per Bulan'!$C$2:$C1000,$A24)</f>
        <v>0</v>
      </c>
      <c r="P24" s="110">
        <f ca="1">SUMIFS('Mitra per Bulan'!$I$2:$I1000,'Mitra per Bulan'!$E$2:$E1000,P$2,'Mitra per Bulan'!$C$2:$C1000,$A24)</f>
        <v>0</v>
      </c>
    </row>
    <row r="25" spans="1:16" ht="12.5">
      <c r="A25" s="10">
        <f ca="1">IFERROR(__xludf.DUMMYFUNCTION("""COMPUTED_VALUE"""),610423090001)</f>
        <v>610423090001</v>
      </c>
      <c r="B25" s="10" t="str">
        <f t="array" aca="1" ref="B25" ca="1">INDEX('Database Mitra'!$C$2:$C1000,MATCH(A25,'Database Mitra'!$B$2:$B1000,0))</f>
        <v>Utami Angraini</v>
      </c>
      <c r="C25" s="110"/>
      <c r="D25" s="110">
        <f t="shared" ca="1" si="0"/>
        <v>1656000</v>
      </c>
      <c r="E25" s="110">
        <f ca="1">SUMIFS('Mitra per Bulan'!$I$2:$I1000,'Mitra per Bulan'!$E$2:$E1000,E$2,'Mitra per Bulan'!$C$2:$C1000,$A25)</f>
        <v>0</v>
      </c>
      <c r="F25" s="110">
        <f ca="1">SUMIFS('Mitra per Bulan'!$I$2:$I1000,'Mitra per Bulan'!$E$2:$E1000,F$2,'Mitra per Bulan'!$C$2:$C1000,$A25)</f>
        <v>336000</v>
      </c>
      <c r="G25" s="110">
        <f ca="1">SUMIFS('Mitra per Bulan'!$I$2:$I1000,'Mitra per Bulan'!$E$2:$E1000,G$2,'Mitra per Bulan'!$C$2:$C1000,$A25)</f>
        <v>1320000</v>
      </c>
      <c r="H25" s="110">
        <f ca="1">SUMIFS('Mitra per Bulan'!$I$2:$I1000,'Mitra per Bulan'!$E$2:$E1000,H$2,'Mitra per Bulan'!$C$2:$C1000,$A25)</f>
        <v>0</v>
      </c>
      <c r="I25" s="110">
        <f ca="1">SUMIFS('Mitra per Bulan'!$I$2:$I1000,'Mitra per Bulan'!$E$2:$E1000,I$2,'Mitra per Bulan'!$C$2:$C1000,$A25)</f>
        <v>0</v>
      </c>
      <c r="J25" s="110">
        <f ca="1">SUMIFS('Mitra per Bulan'!$I$2:$I1000,'Mitra per Bulan'!$E$2:$E1000,J$2,'Mitra per Bulan'!$C$2:$C1000,$A25)</f>
        <v>0</v>
      </c>
      <c r="K25" s="110">
        <f ca="1">SUMIFS('Mitra per Bulan'!$I$2:$I1000,'Mitra per Bulan'!$E$2:$E1000,K$2,'Mitra per Bulan'!$C$2:$C1000,$A25)</f>
        <v>0</v>
      </c>
      <c r="L25" s="110">
        <f ca="1">SUMIFS('Mitra per Bulan'!$I$2:$I1000,'Mitra per Bulan'!$E$2:$E1000,L$2,'Mitra per Bulan'!$C$2:$C1000,$A25)</f>
        <v>0</v>
      </c>
      <c r="M25" s="110">
        <f ca="1">SUMIFS('Mitra per Bulan'!$I$2:$I1000,'Mitra per Bulan'!$E$2:$E1000,M$2,'Mitra per Bulan'!$C$2:$C1000,$A25)</f>
        <v>0</v>
      </c>
      <c r="N25" s="110">
        <f ca="1">SUMIFS('Mitra per Bulan'!$I$2:$I1000,'Mitra per Bulan'!$E$2:$E1000,N$2,'Mitra per Bulan'!$C$2:$C1000,$A25)</f>
        <v>0</v>
      </c>
      <c r="O25" s="110">
        <f ca="1">SUMIFS('Mitra per Bulan'!$I$2:$I1000,'Mitra per Bulan'!$E$2:$E1000,O$2,'Mitra per Bulan'!$C$2:$C1000,$A25)</f>
        <v>0</v>
      </c>
      <c r="P25" s="110">
        <f ca="1">SUMIFS('Mitra per Bulan'!$I$2:$I1000,'Mitra per Bulan'!$E$2:$E1000,P$2,'Mitra per Bulan'!$C$2:$C1000,$A25)</f>
        <v>0</v>
      </c>
    </row>
    <row r="26" spans="1:16" ht="12.5">
      <c r="A26" s="10">
        <f ca="1">IFERROR(__xludf.DUMMYFUNCTION("""COMPUTED_VALUE"""),610422100008)</f>
        <v>610422100008</v>
      </c>
      <c r="B26" s="10" t="str">
        <f t="array" aca="1" ref="B26" ca="1">INDEX('Database Mitra'!$C$2:$C1000,MATCH(A26,'Database Mitra'!$B$2:$B1000,0))</f>
        <v>Novi Sri Wulandari</v>
      </c>
      <c r="C26" s="110"/>
      <c r="D26" s="110">
        <f t="shared" ca="1" si="0"/>
        <v>1656000</v>
      </c>
      <c r="E26" s="110">
        <f ca="1">SUMIFS('Mitra per Bulan'!$I$2:$I1000,'Mitra per Bulan'!$E$2:$E1000,E$2,'Mitra per Bulan'!$C$2:$C1000,$A26)</f>
        <v>0</v>
      </c>
      <c r="F26" s="110">
        <f ca="1">SUMIFS('Mitra per Bulan'!$I$2:$I1000,'Mitra per Bulan'!$E$2:$E1000,F$2,'Mitra per Bulan'!$C$2:$C1000,$A26)</f>
        <v>336000</v>
      </c>
      <c r="G26" s="110">
        <f ca="1">SUMIFS('Mitra per Bulan'!$I$2:$I1000,'Mitra per Bulan'!$E$2:$E1000,G$2,'Mitra per Bulan'!$C$2:$C1000,$A26)</f>
        <v>1320000</v>
      </c>
      <c r="H26" s="110">
        <f ca="1">SUMIFS('Mitra per Bulan'!$I$2:$I1000,'Mitra per Bulan'!$E$2:$E1000,H$2,'Mitra per Bulan'!$C$2:$C1000,$A26)</f>
        <v>0</v>
      </c>
      <c r="I26" s="110">
        <f ca="1">SUMIFS('Mitra per Bulan'!$I$2:$I1000,'Mitra per Bulan'!$E$2:$E1000,I$2,'Mitra per Bulan'!$C$2:$C1000,$A26)</f>
        <v>0</v>
      </c>
      <c r="J26" s="110">
        <f ca="1">SUMIFS('Mitra per Bulan'!$I$2:$I1000,'Mitra per Bulan'!$E$2:$E1000,J$2,'Mitra per Bulan'!$C$2:$C1000,$A26)</f>
        <v>0</v>
      </c>
      <c r="K26" s="110">
        <f ca="1">SUMIFS('Mitra per Bulan'!$I$2:$I1000,'Mitra per Bulan'!$E$2:$E1000,K$2,'Mitra per Bulan'!$C$2:$C1000,$A26)</f>
        <v>0</v>
      </c>
      <c r="L26" s="110">
        <f ca="1">SUMIFS('Mitra per Bulan'!$I$2:$I1000,'Mitra per Bulan'!$E$2:$E1000,L$2,'Mitra per Bulan'!$C$2:$C1000,$A26)</f>
        <v>0</v>
      </c>
      <c r="M26" s="110">
        <f ca="1">SUMIFS('Mitra per Bulan'!$I$2:$I1000,'Mitra per Bulan'!$E$2:$E1000,M$2,'Mitra per Bulan'!$C$2:$C1000,$A26)</f>
        <v>0</v>
      </c>
      <c r="N26" s="110">
        <f ca="1">SUMIFS('Mitra per Bulan'!$I$2:$I1000,'Mitra per Bulan'!$E$2:$E1000,N$2,'Mitra per Bulan'!$C$2:$C1000,$A26)</f>
        <v>0</v>
      </c>
      <c r="O26" s="110">
        <f ca="1">SUMIFS('Mitra per Bulan'!$I$2:$I1000,'Mitra per Bulan'!$E$2:$E1000,O$2,'Mitra per Bulan'!$C$2:$C1000,$A26)</f>
        <v>0</v>
      </c>
      <c r="P26" s="110">
        <f ca="1">SUMIFS('Mitra per Bulan'!$I$2:$I1000,'Mitra per Bulan'!$E$2:$E1000,P$2,'Mitra per Bulan'!$C$2:$C1000,$A26)</f>
        <v>0</v>
      </c>
    </row>
    <row r="27" spans="1:16" ht="12.5">
      <c r="A27" s="10">
        <f ca="1">IFERROR(__xludf.DUMMYFUNCTION("""COMPUTED_VALUE"""),610422100043)</f>
        <v>610422100043</v>
      </c>
      <c r="B27" s="10" t="str">
        <f t="array" aca="1" ref="B27" ca="1">INDEX('Database Mitra'!$C$2:$C1000,MATCH(A27,'Database Mitra'!$B$2:$B1000,0))</f>
        <v>eligia giok</v>
      </c>
      <c r="C27" s="110"/>
      <c r="D27" s="110">
        <f t="shared" ca="1" si="0"/>
        <v>1656000</v>
      </c>
      <c r="E27" s="110">
        <f ca="1">SUMIFS('Mitra per Bulan'!$I$2:$I1000,'Mitra per Bulan'!$E$2:$E1000,E$2,'Mitra per Bulan'!$C$2:$C1000,$A27)</f>
        <v>0</v>
      </c>
      <c r="F27" s="110">
        <f ca="1">SUMIFS('Mitra per Bulan'!$I$2:$I1000,'Mitra per Bulan'!$E$2:$E1000,F$2,'Mitra per Bulan'!$C$2:$C1000,$A27)</f>
        <v>336000</v>
      </c>
      <c r="G27" s="110">
        <f ca="1">SUMIFS('Mitra per Bulan'!$I$2:$I1000,'Mitra per Bulan'!$E$2:$E1000,G$2,'Mitra per Bulan'!$C$2:$C1000,$A27)</f>
        <v>1320000</v>
      </c>
      <c r="H27" s="110">
        <f ca="1">SUMIFS('Mitra per Bulan'!$I$2:$I1000,'Mitra per Bulan'!$E$2:$E1000,H$2,'Mitra per Bulan'!$C$2:$C1000,$A27)</f>
        <v>0</v>
      </c>
      <c r="I27" s="110">
        <f ca="1">SUMIFS('Mitra per Bulan'!$I$2:$I1000,'Mitra per Bulan'!$E$2:$E1000,I$2,'Mitra per Bulan'!$C$2:$C1000,$A27)</f>
        <v>0</v>
      </c>
      <c r="J27" s="110">
        <f ca="1">SUMIFS('Mitra per Bulan'!$I$2:$I1000,'Mitra per Bulan'!$E$2:$E1000,J$2,'Mitra per Bulan'!$C$2:$C1000,$A27)</f>
        <v>0</v>
      </c>
      <c r="K27" s="110">
        <f ca="1">SUMIFS('Mitra per Bulan'!$I$2:$I1000,'Mitra per Bulan'!$E$2:$E1000,K$2,'Mitra per Bulan'!$C$2:$C1000,$A27)</f>
        <v>0</v>
      </c>
      <c r="L27" s="110">
        <f ca="1">SUMIFS('Mitra per Bulan'!$I$2:$I1000,'Mitra per Bulan'!$E$2:$E1000,L$2,'Mitra per Bulan'!$C$2:$C1000,$A27)</f>
        <v>0</v>
      </c>
      <c r="M27" s="110">
        <f ca="1">SUMIFS('Mitra per Bulan'!$I$2:$I1000,'Mitra per Bulan'!$E$2:$E1000,M$2,'Mitra per Bulan'!$C$2:$C1000,$A27)</f>
        <v>0</v>
      </c>
      <c r="N27" s="110">
        <f ca="1">SUMIFS('Mitra per Bulan'!$I$2:$I1000,'Mitra per Bulan'!$E$2:$E1000,N$2,'Mitra per Bulan'!$C$2:$C1000,$A27)</f>
        <v>0</v>
      </c>
      <c r="O27" s="110">
        <f ca="1">SUMIFS('Mitra per Bulan'!$I$2:$I1000,'Mitra per Bulan'!$E$2:$E1000,O$2,'Mitra per Bulan'!$C$2:$C1000,$A27)</f>
        <v>0</v>
      </c>
      <c r="P27" s="110">
        <f ca="1">SUMIFS('Mitra per Bulan'!$I$2:$I1000,'Mitra per Bulan'!$E$2:$E1000,P$2,'Mitra per Bulan'!$C$2:$C1000,$A27)</f>
        <v>0</v>
      </c>
    </row>
    <row r="28" spans="1:16" ht="12.5">
      <c r="A28" s="10">
        <f ca="1">IFERROR(__xludf.DUMMYFUNCTION("""COMPUTED_VALUE"""),610422100086)</f>
        <v>610422100086</v>
      </c>
      <c r="B28" s="10" t="str">
        <f t="array" aca="1" ref="B28" ca="1">INDEX('Database Mitra'!$C$2:$C1000,MATCH(A28,'Database Mitra'!$B$2:$B1000,0))</f>
        <v>Imamul akhyar</v>
      </c>
      <c r="C28" s="110"/>
      <c r="D28" s="110">
        <f t="shared" ca="1" si="0"/>
        <v>4140000</v>
      </c>
      <c r="E28" s="110">
        <f ca="1">SUMIFS('Mitra per Bulan'!$I$2:$I1000,'Mitra per Bulan'!$E$2:$E1000,E$2,'Mitra per Bulan'!$C$2:$C1000,$A28)</f>
        <v>0</v>
      </c>
      <c r="F28" s="110">
        <f ca="1">SUMIFS('Mitra per Bulan'!$I$2:$I1000,'Mitra per Bulan'!$E$2:$E1000,F$2,'Mitra per Bulan'!$C$2:$C1000,$A28)</f>
        <v>336000</v>
      </c>
      <c r="G28" s="110">
        <f ca="1">SUMIFS('Mitra per Bulan'!$I$2:$I1000,'Mitra per Bulan'!$E$2:$E1000,G$2,'Mitra per Bulan'!$C$2:$C1000,$A28)</f>
        <v>1320000</v>
      </c>
      <c r="H28" s="110">
        <f ca="1">SUMIFS('Mitra per Bulan'!$I$2:$I1000,'Mitra per Bulan'!$E$2:$E1000,H$2,'Mitra per Bulan'!$C$2:$C1000,$A28)</f>
        <v>0</v>
      </c>
      <c r="I28" s="110">
        <f ca="1">SUMIFS('Mitra per Bulan'!$I$2:$I1000,'Mitra per Bulan'!$E$2:$E1000,I$2,'Mitra per Bulan'!$C$2:$C1000,$A28)</f>
        <v>0</v>
      </c>
      <c r="J28" s="110">
        <f ca="1">SUMIFS('Mitra per Bulan'!$I$2:$I1000,'Mitra per Bulan'!$E$2:$E1000,J$2,'Mitra per Bulan'!$C$2:$C1000,$A28)</f>
        <v>0</v>
      </c>
      <c r="K28" s="110">
        <f ca="1">SUMIFS('Mitra per Bulan'!$I$2:$I1000,'Mitra per Bulan'!$E$2:$E1000,K$2,'Mitra per Bulan'!$C$2:$C1000,$A28)</f>
        <v>0</v>
      </c>
      <c r="L28" s="110">
        <f ca="1">SUMIFS('Mitra per Bulan'!$I$2:$I1000,'Mitra per Bulan'!$E$2:$E1000,L$2,'Mitra per Bulan'!$C$2:$C1000,$A28)</f>
        <v>1980000</v>
      </c>
      <c r="M28" s="110">
        <f ca="1">SUMIFS('Mitra per Bulan'!$I$2:$I1000,'Mitra per Bulan'!$E$2:$E1000,M$2,'Mitra per Bulan'!$C$2:$C1000,$A28)</f>
        <v>504000</v>
      </c>
      <c r="N28" s="110">
        <f ca="1">SUMIFS('Mitra per Bulan'!$I$2:$I1000,'Mitra per Bulan'!$E$2:$E1000,N$2,'Mitra per Bulan'!$C$2:$C1000,$A28)</f>
        <v>0</v>
      </c>
      <c r="O28" s="110">
        <f ca="1">SUMIFS('Mitra per Bulan'!$I$2:$I1000,'Mitra per Bulan'!$E$2:$E1000,O$2,'Mitra per Bulan'!$C$2:$C1000,$A28)</f>
        <v>0</v>
      </c>
      <c r="P28" s="110">
        <f ca="1">SUMIFS('Mitra per Bulan'!$I$2:$I1000,'Mitra per Bulan'!$E$2:$E1000,P$2,'Mitra per Bulan'!$C$2:$C1000,$A28)</f>
        <v>0</v>
      </c>
    </row>
    <row r="29" spans="1:16" ht="12.5">
      <c r="A29" s="10">
        <f ca="1">IFERROR(__xludf.DUMMYFUNCTION("""COMPUTED_VALUE"""),610422100111)</f>
        <v>610422100111</v>
      </c>
      <c r="B29" s="10" t="str">
        <f t="array" aca="1" ref="B29" ca="1">INDEX('Database Mitra'!$C$2:$C1000,MATCH(A29,'Database Mitra'!$B$2:$B1000,0))</f>
        <v>CICI PURNAMASARI</v>
      </c>
      <c r="C29" s="110"/>
      <c r="D29" s="110">
        <f t="shared" ca="1" si="0"/>
        <v>1656000</v>
      </c>
      <c r="E29" s="110">
        <f ca="1">SUMIFS('Mitra per Bulan'!$I$2:$I1000,'Mitra per Bulan'!$E$2:$E1000,E$2,'Mitra per Bulan'!$C$2:$C1000,$A29)</f>
        <v>0</v>
      </c>
      <c r="F29" s="110">
        <f ca="1">SUMIFS('Mitra per Bulan'!$I$2:$I1000,'Mitra per Bulan'!$E$2:$E1000,F$2,'Mitra per Bulan'!$C$2:$C1000,$A29)</f>
        <v>336000</v>
      </c>
      <c r="G29" s="110">
        <f ca="1">SUMIFS('Mitra per Bulan'!$I$2:$I1000,'Mitra per Bulan'!$E$2:$E1000,G$2,'Mitra per Bulan'!$C$2:$C1000,$A29)</f>
        <v>1320000</v>
      </c>
      <c r="H29" s="110">
        <f ca="1">SUMIFS('Mitra per Bulan'!$I$2:$I1000,'Mitra per Bulan'!$E$2:$E1000,H$2,'Mitra per Bulan'!$C$2:$C1000,$A29)</f>
        <v>0</v>
      </c>
      <c r="I29" s="110">
        <f ca="1">SUMIFS('Mitra per Bulan'!$I$2:$I1000,'Mitra per Bulan'!$E$2:$E1000,I$2,'Mitra per Bulan'!$C$2:$C1000,$A29)</f>
        <v>0</v>
      </c>
      <c r="J29" s="110">
        <f ca="1">SUMIFS('Mitra per Bulan'!$I$2:$I1000,'Mitra per Bulan'!$E$2:$E1000,J$2,'Mitra per Bulan'!$C$2:$C1000,$A29)</f>
        <v>0</v>
      </c>
      <c r="K29" s="110">
        <f ca="1">SUMIFS('Mitra per Bulan'!$I$2:$I1000,'Mitra per Bulan'!$E$2:$E1000,K$2,'Mitra per Bulan'!$C$2:$C1000,$A29)</f>
        <v>0</v>
      </c>
      <c r="L29" s="110">
        <f ca="1">SUMIFS('Mitra per Bulan'!$I$2:$I1000,'Mitra per Bulan'!$E$2:$E1000,L$2,'Mitra per Bulan'!$C$2:$C1000,$A29)</f>
        <v>0</v>
      </c>
      <c r="M29" s="110">
        <f ca="1">SUMIFS('Mitra per Bulan'!$I$2:$I1000,'Mitra per Bulan'!$E$2:$E1000,M$2,'Mitra per Bulan'!$C$2:$C1000,$A29)</f>
        <v>0</v>
      </c>
      <c r="N29" s="110">
        <f ca="1">SUMIFS('Mitra per Bulan'!$I$2:$I1000,'Mitra per Bulan'!$E$2:$E1000,N$2,'Mitra per Bulan'!$C$2:$C1000,$A29)</f>
        <v>0</v>
      </c>
      <c r="O29" s="110">
        <f ca="1">SUMIFS('Mitra per Bulan'!$I$2:$I1000,'Mitra per Bulan'!$E$2:$E1000,O$2,'Mitra per Bulan'!$C$2:$C1000,$A29)</f>
        <v>0</v>
      </c>
      <c r="P29" s="110">
        <f ca="1">SUMIFS('Mitra per Bulan'!$I$2:$I1000,'Mitra per Bulan'!$E$2:$E1000,P$2,'Mitra per Bulan'!$C$2:$C1000,$A29)</f>
        <v>0</v>
      </c>
    </row>
    <row r="30" spans="1:16" ht="12.5">
      <c r="A30" s="10">
        <f ca="1">IFERROR(__xludf.DUMMYFUNCTION("""COMPUTED_VALUE"""),610422100175)</f>
        <v>610422100175</v>
      </c>
      <c r="B30" s="10" t="str">
        <f t="array" aca="1" ref="B30" ca="1">INDEX('Database Mitra'!$C$2:$C1000,MATCH(A30,'Database Mitra'!$B$2:$B1000,0))</f>
        <v>Rara Shati</v>
      </c>
      <c r="C30" s="110"/>
      <c r="D30" s="110">
        <f t="shared" ca="1" si="0"/>
        <v>1656000</v>
      </c>
      <c r="E30" s="110">
        <f ca="1">SUMIFS('Mitra per Bulan'!$I$2:$I1000,'Mitra per Bulan'!$E$2:$E1000,E$2,'Mitra per Bulan'!$C$2:$C1000,$A30)</f>
        <v>0</v>
      </c>
      <c r="F30" s="110">
        <f ca="1">SUMIFS('Mitra per Bulan'!$I$2:$I1000,'Mitra per Bulan'!$E$2:$E1000,F$2,'Mitra per Bulan'!$C$2:$C1000,$A30)</f>
        <v>336000</v>
      </c>
      <c r="G30" s="110">
        <f ca="1">SUMIFS('Mitra per Bulan'!$I$2:$I1000,'Mitra per Bulan'!$E$2:$E1000,G$2,'Mitra per Bulan'!$C$2:$C1000,$A30)</f>
        <v>1320000</v>
      </c>
      <c r="H30" s="110">
        <f ca="1">SUMIFS('Mitra per Bulan'!$I$2:$I1000,'Mitra per Bulan'!$E$2:$E1000,H$2,'Mitra per Bulan'!$C$2:$C1000,$A30)</f>
        <v>0</v>
      </c>
      <c r="I30" s="110">
        <f ca="1">SUMIFS('Mitra per Bulan'!$I$2:$I1000,'Mitra per Bulan'!$E$2:$E1000,I$2,'Mitra per Bulan'!$C$2:$C1000,$A30)</f>
        <v>0</v>
      </c>
      <c r="J30" s="110">
        <f ca="1">SUMIFS('Mitra per Bulan'!$I$2:$I1000,'Mitra per Bulan'!$E$2:$E1000,J$2,'Mitra per Bulan'!$C$2:$C1000,$A30)</f>
        <v>0</v>
      </c>
      <c r="K30" s="110">
        <f ca="1">SUMIFS('Mitra per Bulan'!$I$2:$I1000,'Mitra per Bulan'!$E$2:$E1000,K$2,'Mitra per Bulan'!$C$2:$C1000,$A30)</f>
        <v>0</v>
      </c>
      <c r="L30" s="110">
        <f ca="1">SUMIFS('Mitra per Bulan'!$I$2:$I1000,'Mitra per Bulan'!$E$2:$E1000,L$2,'Mitra per Bulan'!$C$2:$C1000,$A30)</f>
        <v>0</v>
      </c>
      <c r="M30" s="110">
        <f ca="1">SUMIFS('Mitra per Bulan'!$I$2:$I1000,'Mitra per Bulan'!$E$2:$E1000,M$2,'Mitra per Bulan'!$C$2:$C1000,$A30)</f>
        <v>0</v>
      </c>
      <c r="N30" s="110">
        <f ca="1">SUMIFS('Mitra per Bulan'!$I$2:$I1000,'Mitra per Bulan'!$E$2:$E1000,N$2,'Mitra per Bulan'!$C$2:$C1000,$A30)</f>
        <v>0</v>
      </c>
      <c r="O30" s="110">
        <f ca="1">SUMIFS('Mitra per Bulan'!$I$2:$I1000,'Mitra per Bulan'!$E$2:$E1000,O$2,'Mitra per Bulan'!$C$2:$C1000,$A30)</f>
        <v>0</v>
      </c>
      <c r="P30" s="110">
        <f ca="1">SUMIFS('Mitra per Bulan'!$I$2:$I1000,'Mitra per Bulan'!$E$2:$E1000,P$2,'Mitra per Bulan'!$C$2:$C1000,$A30)</f>
        <v>0</v>
      </c>
    </row>
    <row r="31" spans="1:16" ht="12.5">
      <c r="A31" s="10">
        <f ca="1">IFERROR(__xludf.DUMMYFUNCTION("""COMPUTED_VALUE"""),610422020029)</f>
        <v>610422020029</v>
      </c>
      <c r="B31" s="10" t="str">
        <f t="array" aca="1" ref="B31" ca="1">INDEX('Database Mitra'!$C$2:$C1000,MATCH(A31,'Database Mitra'!$B$2:$B1000,0))</f>
        <v>Kurniadi</v>
      </c>
      <c r="C31" s="110"/>
      <c r="D31" s="110">
        <f t="shared" ca="1" si="0"/>
        <v>2940000</v>
      </c>
      <c r="E31" s="110">
        <f ca="1">SUMIFS('Mitra per Bulan'!$I$2:$I1000,'Mitra per Bulan'!$E$2:$E1000,E$2,'Mitra per Bulan'!$C$2:$C1000,$A31)</f>
        <v>0</v>
      </c>
      <c r="F31" s="110">
        <f ca="1">SUMIFS('Mitra per Bulan'!$I$2:$I1000,'Mitra per Bulan'!$E$2:$E1000,F$2,'Mitra per Bulan'!$C$2:$C1000,$A31)</f>
        <v>220000</v>
      </c>
      <c r="G31" s="110">
        <f ca="1">SUMIFS('Mitra per Bulan'!$I$2:$I1000,'Mitra per Bulan'!$E$2:$E1000,G$2,'Mitra per Bulan'!$C$2:$C1000,$A31)</f>
        <v>2480000</v>
      </c>
      <c r="H31" s="110">
        <f ca="1">SUMIFS('Mitra per Bulan'!$I$2:$I1000,'Mitra per Bulan'!$E$2:$E1000,H$2,'Mitra per Bulan'!$C$2:$C1000,$A31)</f>
        <v>0</v>
      </c>
      <c r="I31" s="110">
        <f ca="1">SUMIFS('Mitra per Bulan'!$I$2:$I1000,'Mitra per Bulan'!$E$2:$E1000,I$2,'Mitra per Bulan'!$C$2:$C1000,$A31)</f>
        <v>0</v>
      </c>
      <c r="J31" s="110">
        <f ca="1">SUMIFS('Mitra per Bulan'!$I$2:$I1000,'Mitra per Bulan'!$E$2:$E1000,J$2,'Mitra per Bulan'!$C$2:$C1000,$A31)</f>
        <v>0</v>
      </c>
      <c r="K31" s="110">
        <f ca="1">SUMIFS('Mitra per Bulan'!$I$2:$I1000,'Mitra per Bulan'!$E$2:$E1000,K$2,'Mitra per Bulan'!$C$2:$C1000,$A31)</f>
        <v>240000</v>
      </c>
      <c r="L31" s="110">
        <f ca="1">SUMIFS('Mitra per Bulan'!$I$2:$I1000,'Mitra per Bulan'!$E$2:$E1000,L$2,'Mitra per Bulan'!$C$2:$C1000,$A31)</f>
        <v>0</v>
      </c>
      <c r="M31" s="110">
        <f ca="1">SUMIFS('Mitra per Bulan'!$I$2:$I1000,'Mitra per Bulan'!$E$2:$E1000,M$2,'Mitra per Bulan'!$C$2:$C1000,$A31)</f>
        <v>0</v>
      </c>
      <c r="N31" s="110">
        <f ca="1">SUMIFS('Mitra per Bulan'!$I$2:$I1000,'Mitra per Bulan'!$E$2:$E1000,N$2,'Mitra per Bulan'!$C$2:$C1000,$A31)</f>
        <v>0</v>
      </c>
      <c r="O31" s="110">
        <f ca="1">SUMIFS('Mitra per Bulan'!$I$2:$I1000,'Mitra per Bulan'!$E$2:$E1000,O$2,'Mitra per Bulan'!$C$2:$C1000,$A31)</f>
        <v>0</v>
      </c>
      <c r="P31" s="110">
        <f ca="1">SUMIFS('Mitra per Bulan'!$I$2:$I1000,'Mitra per Bulan'!$E$2:$E1000,P$2,'Mitra per Bulan'!$C$2:$C1000,$A31)</f>
        <v>0</v>
      </c>
    </row>
    <row r="32" spans="1:16" ht="12.5">
      <c r="A32" s="10">
        <f ca="1">IFERROR(__xludf.DUMMYFUNCTION("""COMPUTED_VALUE"""),610422040031)</f>
        <v>610422040031</v>
      </c>
      <c r="B32" s="10" t="str">
        <f t="array" aca="1" ref="B32" ca="1">INDEX('Database Mitra'!$C$2:$C1000,MATCH(A32,'Database Mitra'!$B$2:$B1000,0))</f>
        <v>IMAM FAJRI MUSLIM</v>
      </c>
      <c r="C32" s="110"/>
      <c r="D32" s="110">
        <f t="shared" ca="1" si="0"/>
        <v>2700000</v>
      </c>
      <c r="E32" s="110">
        <f ca="1">SUMIFS('Mitra per Bulan'!$I$2:$I1000,'Mitra per Bulan'!$E$2:$E1000,E$2,'Mitra per Bulan'!$C$2:$C1000,$A32)</f>
        <v>0</v>
      </c>
      <c r="F32" s="110">
        <f ca="1">SUMIFS('Mitra per Bulan'!$I$2:$I1000,'Mitra per Bulan'!$E$2:$E1000,F$2,'Mitra per Bulan'!$C$2:$C1000,$A32)</f>
        <v>220000</v>
      </c>
      <c r="G32" s="110">
        <f ca="1">SUMIFS('Mitra per Bulan'!$I$2:$I1000,'Mitra per Bulan'!$E$2:$E1000,G$2,'Mitra per Bulan'!$C$2:$C1000,$A32)</f>
        <v>2480000</v>
      </c>
      <c r="H32" s="110">
        <f ca="1">SUMIFS('Mitra per Bulan'!$I$2:$I1000,'Mitra per Bulan'!$E$2:$E1000,H$2,'Mitra per Bulan'!$C$2:$C1000,$A32)</f>
        <v>0</v>
      </c>
      <c r="I32" s="110">
        <f ca="1">SUMIFS('Mitra per Bulan'!$I$2:$I1000,'Mitra per Bulan'!$E$2:$E1000,I$2,'Mitra per Bulan'!$C$2:$C1000,$A32)</f>
        <v>0</v>
      </c>
      <c r="J32" s="110">
        <f ca="1">SUMIFS('Mitra per Bulan'!$I$2:$I1000,'Mitra per Bulan'!$E$2:$E1000,J$2,'Mitra per Bulan'!$C$2:$C1000,$A32)</f>
        <v>0</v>
      </c>
      <c r="K32" s="110">
        <f ca="1">SUMIFS('Mitra per Bulan'!$I$2:$I1000,'Mitra per Bulan'!$E$2:$E1000,K$2,'Mitra per Bulan'!$C$2:$C1000,$A32)</f>
        <v>0</v>
      </c>
      <c r="L32" s="110">
        <f ca="1">SUMIFS('Mitra per Bulan'!$I$2:$I1000,'Mitra per Bulan'!$E$2:$E1000,L$2,'Mitra per Bulan'!$C$2:$C1000,$A32)</f>
        <v>0</v>
      </c>
      <c r="M32" s="110">
        <f ca="1">SUMIFS('Mitra per Bulan'!$I$2:$I1000,'Mitra per Bulan'!$E$2:$E1000,M$2,'Mitra per Bulan'!$C$2:$C1000,$A32)</f>
        <v>0</v>
      </c>
      <c r="N32" s="110">
        <f ca="1">SUMIFS('Mitra per Bulan'!$I$2:$I1000,'Mitra per Bulan'!$E$2:$E1000,N$2,'Mitra per Bulan'!$C$2:$C1000,$A32)</f>
        <v>0</v>
      </c>
      <c r="O32" s="110">
        <f ca="1">SUMIFS('Mitra per Bulan'!$I$2:$I1000,'Mitra per Bulan'!$E$2:$E1000,O$2,'Mitra per Bulan'!$C$2:$C1000,$A32)</f>
        <v>0</v>
      </c>
      <c r="P32" s="110">
        <f ca="1">SUMIFS('Mitra per Bulan'!$I$2:$I1000,'Mitra per Bulan'!$E$2:$E1000,P$2,'Mitra per Bulan'!$C$2:$C1000,$A32)</f>
        <v>0</v>
      </c>
    </row>
    <row r="33" spans="1:16" ht="12.5">
      <c r="A33" s="10">
        <f ca="1">IFERROR(__xludf.DUMMYFUNCTION("""COMPUTED_VALUE"""),610422040005)</f>
        <v>610422040005</v>
      </c>
      <c r="B33" s="10" t="str">
        <f t="array" aca="1" ref="B33" ca="1">INDEX('Database Mitra'!$C$2:$C1000,MATCH(A33,'Database Mitra'!$B$2:$B1000,0))</f>
        <v>NANDA ARISKA</v>
      </c>
      <c r="C33" s="110"/>
      <c r="D33" s="110">
        <f t="shared" ca="1" si="0"/>
        <v>2700000</v>
      </c>
      <c r="E33" s="110">
        <f ca="1">SUMIFS('Mitra per Bulan'!$I$2:$I1000,'Mitra per Bulan'!$E$2:$E1000,E$2,'Mitra per Bulan'!$C$2:$C1000,$A33)</f>
        <v>0</v>
      </c>
      <c r="F33" s="110">
        <f ca="1">SUMIFS('Mitra per Bulan'!$I$2:$I1000,'Mitra per Bulan'!$E$2:$E1000,F$2,'Mitra per Bulan'!$C$2:$C1000,$A33)</f>
        <v>220000</v>
      </c>
      <c r="G33" s="110">
        <f ca="1">SUMIFS('Mitra per Bulan'!$I$2:$I1000,'Mitra per Bulan'!$E$2:$E1000,G$2,'Mitra per Bulan'!$C$2:$C1000,$A33)</f>
        <v>2480000</v>
      </c>
      <c r="H33" s="110">
        <f ca="1">SUMIFS('Mitra per Bulan'!$I$2:$I1000,'Mitra per Bulan'!$E$2:$E1000,H$2,'Mitra per Bulan'!$C$2:$C1000,$A33)</f>
        <v>0</v>
      </c>
      <c r="I33" s="110">
        <f ca="1">SUMIFS('Mitra per Bulan'!$I$2:$I1000,'Mitra per Bulan'!$E$2:$E1000,I$2,'Mitra per Bulan'!$C$2:$C1000,$A33)</f>
        <v>0</v>
      </c>
      <c r="J33" s="110">
        <f ca="1">SUMIFS('Mitra per Bulan'!$I$2:$I1000,'Mitra per Bulan'!$E$2:$E1000,J$2,'Mitra per Bulan'!$C$2:$C1000,$A33)</f>
        <v>0</v>
      </c>
      <c r="K33" s="110">
        <f ca="1">SUMIFS('Mitra per Bulan'!$I$2:$I1000,'Mitra per Bulan'!$E$2:$E1000,K$2,'Mitra per Bulan'!$C$2:$C1000,$A33)</f>
        <v>0</v>
      </c>
      <c r="L33" s="110">
        <f ca="1">SUMIFS('Mitra per Bulan'!$I$2:$I1000,'Mitra per Bulan'!$E$2:$E1000,L$2,'Mitra per Bulan'!$C$2:$C1000,$A33)</f>
        <v>0</v>
      </c>
      <c r="M33" s="110">
        <f ca="1">SUMIFS('Mitra per Bulan'!$I$2:$I1000,'Mitra per Bulan'!$E$2:$E1000,M$2,'Mitra per Bulan'!$C$2:$C1000,$A33)</f>
        <v>0</v>
      </c>
      <c r="N33" s="110">
        <f ca="1">SUMIFS('Mitra per Bulan'!$I$2:$I1000,'Mitra per Bulan'!$E$2:$E1000,N$2,'Mitra per Bulan'!$C$2:$C1000,$A33)</f>
        <v>0</v>
      </c>
      <c r="O33" s="110">
        <f ca="1">SUMIFS('Mitra per Bulan'!$I$2:$I1000,'Mitra per Bulan'!$E$2:$E1000,O$2,'Mitra per Bulan'!$C$2:$C1000,$A33)</f>
        <v>0</v>
      </c>
      <c r="P33" s="110">
        <f ca="1">SUMIFS('Mitra per Bulan'!$I$2:$I1000,'Mitra per Bulan'!$E$2:$E1000,P$2,'Mitra per Bulan'!$C$2:$C1000,$A33)</f>
        <v>0</v>
      </c>
    </row>
    <row r="34" spans="1:16" ht="12.5">
      <c r="A34" s="10">
        <f ca="1">IFERROR(__xludf.DUMMYFUNCTION("""COMPUTED_VALUE"""),610422040038)</f>
        <v>610422040038</v>
      </c>
      <c r="B34" s="10" t="str">
        <f t="array" aca="1" ref="B34" ca="1">INDEX('Database Mitra'!$C$2:$C1000,MATCH(A34,'Database Mitra'!$B$2:$B1000,0))</f>
        <v>YUYUN ANTONI, S.E.</v>
      </c>
      <c r="C34" s="110"/>
      <c r="D34" s="110">
        <f t="shared" ca="1" si="0"/>
        <v>4058000</v>
      </c>
      <c r="E34" s="110">
        <f ca="1">SUMIFS('Mitra per Bulan'!$I$2:$I1000,'Mitra per Bulan'!$E$2:$E1000,E$2,'Mitra per Bulan'!$C$2:$C1000,$A34)</f>
        <v>0</v>
      </c>
      <c r="F34" s="110">
        <f ca="1">SUMIFS('Mitra per Bulan'!$I$2:$I1000,'Mitra per Bulan'!$E$2:$E1000,F$2,'Mitra per Bulan'!$C$2:$C1000,$A34)</f>
        <v>220000</v>
      </c>
      <c r="G34" s="110">
        <f ca="1">SUMIFS('Mitra per Bulan'!$I$2:$I1000,'Mitra per Bulan'!$E$2:$E1000,G$2,'Mitra per Bulan'!$C$2:$C1000,$A34)</f>
        <v>2480000</v>
      </c>
      <c r="H34" s="110">
        <f ca="1">SUMIFS('Mitra per Bulan'!$I$2:$I1000,'Mitra per Bulan'!$E$2:$E1000,H$2,'Mitra per Bulan'!$C$2:$C1000,$A34)</f>
        <v>0</v>
      </c>
      <c r="I34" s="110">
        <f ca="1">SUMIFS('Mitra per Bulan'!$I$2:$I1000,'Mitra per Bulan'!$E$2:$E1000,I$2,'Mitra per Bulan'!$C$2:$C1000,$A34)</f>
        <v>0</v>
      </c>
      <c r="J34" s="110">
        <f ca="1">SUMIFS('Mitra per Bulan'!$I$2:$I1000,'Mitra per Bulan'!$E$2:$E1000,J$2,'Mitra per Bulan'!$C$2:$C1000,$A34)</f>
        <v>0</v>
      </c>
      <c r="K34" s="110">
        <f ca="1">SUMIFS('Mitra per Bulan'!$I$2:$I1000,'Mitra per Bulan'!$E$2:$E1000,K$2,'Mitra per Bulan'!$C$2:$C1000,$A34)</f>
        <v>0</v>
      </c>
      <c r="L34" s="110">
        <f ca="1">SUMIFS('Mitra per Bulan'!$I$2:$I1000,'Mitra per Bulan'!$E$2:$E1000,L$2,'Mitra per Bulan'!$C$2:$C1000,$A34)</f>
        <v>0</v>
      </c>
      <c r="M34" s="110">
        <f ca="1">SUMIFS('Mitra per Bulan'!$I$2:$I1000,'Mitra per Bulan'!$E$2:$E1000,M$2,'Mitra per Bulan'!$C$2:$C1000,$A34)</f>
        <v>1358000</v>
      </c>
      <c r="N34" s="110">
        <f ca="1">SUMIFS('Mitra per Bulan'!$I$2:$I1000,'Mitra per Bulan'!$E$2:$E1000,N$2,'Mitra per Bulan'!$C$2:$C1000,$A34)</f>
        <v>0</v>
      </c>
      <c r="O34" s="110">
        <f ca="1">SUMIFS('Mitra per Bulan'!$I$2:$I1000,'Mitra per Bulan'!$E$2:$E1000,O$2,'Mitra per Bulan'!$C$2:$C1000,$A34)</f>
        <v>0</v>
      </c>
      <c r="P34" s="110">
        <f ca="1">SUMIFS('Mitra per Bulan'!$I$2:$I1000,'Mitra per Bulan'!$E$2:$E1000,P$2,'Mitra per Bulan'!$C$2:$C1000,$A34)</f>
        <v>0</v>
      </c>
    </row>
    <row r="35" spans="1:16" ht="12.5">
      <c r="A35" s="10">
        <f ca="1">IFERROR(__xludf.DUMMYFUNCTION("""COMPUTED_VALUE"""),610422040062)</f>
        <v>610422040062</v>
      </c>
      <c r="B35" s="10" t="str">
        <f t="array" aca="1" ref="B35" ca="1">INDEX('Database Mitra'!$C$2:$C1000,MATCH(A35,'Database Mitra'!$B$2:$B1000,0))</f>
        <v>Yudi Wahyudi</v>
      </c>
      <c r="C35" s="110"/>
      <c r="D35" s="110">
        <f t="shared" ca="1" si="0"/>
        <v>3195000</v>
      </c>
      <c r="E35" s="110">
        <f ca="1">SUMIFS('Mitra per Bulan'!$I$2:$I1000,'Mitra per Bulan'!$E$2:$E1000,E$2,'Mitra per Bulan'!$C$2:$C1000,$A35)</f>
        <v>0</v>
      </c>
      <c r="F35" s="110">
        <f ca="1">SUMIFS('Mitra per Bulan'!$I$2:$I1000,'Mitra per Bulan'!$E$2:$E1000,F$2,'Mitra per Bulan'!$C$2:$C1000,$A35)</f>
        <v>220000</v>
      </c>
      <c r="G35" s="110">
        <f ca="1">SUMIFS('Mitra per Bulan'!$I$2:$I1000,'Mitra per Bulan'!$E$2:$E1000,G$2,'Mitra per Bulan'!$C$2:$C1000,$A35)</f>
        <v>2480000</v>
      </c>
      <c r="H35" s="110">
        <f ca="1">SUMIFS('Mitra per Bulan'!$I$2:$I1000,'Mitra per Bulan'!$E$2:$E1000,H$2,'Mitra per Bulan'!$C$2:$C1000,$A35)</f>
        <v>0</v>
      </c>
      <c r="I35" s="110">
        <f ca="1">SUMIFS('Mitra per Bulan'!$I$2:$I1000,'Mitra per Bulan'!$E$2:$E1000,I$2,'Mitra per Bulan'!$C$2:$C1000,$A35)</f>
        <v>0</v>
      </c>
      <c r="J35" s="110">
        <f ca="1">SUMIFS('Mitra per Bulan'!$I$2:$I1000,'Mitra per Bulan'!$E$2:$E1000,J$2,'Mitra per Bulan'!$C$2:$C1000,$A35)</f>
        <v>0</v>
      </c>
      <c r="K35" s="110">
        <f ca="1">SUMIFS('Mitra per Bulan'!$I$2:$I1000,'Mitra per Bulan'!$E$2:$E1000,K$2,'Mitra per Bulan'!$C$2:$C1000,$A35)</f>
        <v>0</v>
      </c>
      <c r="L35" s="110">
        <f ca="1">SUMIFS('Mitra per Bulan'!$I$2:$I1000,'Mitra per Bulan'!$E$2:$E1000,L$2,'Mitra per Bulan'!$C$2:$C1000,$A35)</f>
        <v>495000</v>
      </c>
      <c r="M35" s="110">
        <f ca="1">SUMIFS('Mitra per Bulan'!$I$2:$I1000,'Mitra per Bulan'!$E$2:$E1000,M$2,'Mitra per Bulan'!$C$2:$C1000,$A35)</f>
        <v>0</v>
      </c>
      <c r="N35" s="110">
        <f ca="1">SUMIFS('Mitra per Bulan'!$I$2:$I1000,'Mitra per Bulan'!$E$2:$E1000,N$2,'Mitra per Bulan'!$C$2:$C1000,$A35)</f>
        <v>0</v>
      </c>
      <c r="O35" s="110">
        <f ca="1">SUMIFS('Mitra per Bulan'!$I$2:$I1000,'Mitra per Bulan'!$E$2:$E1000,O$2,'Mitra per Bulan'!$C$2:$C1000,$A35)</f>
        <v>0</v>
      </c>
      <c r="P35" s="110">
        <f ca="1">SUMIFS('Mitra per Bulan'!$I$2:$I1000,'Mitra per Bulan'!$E$2:$E1000,P$2,'Mitra per Bulan'!$C$2:$C1000,$A35)</f>
        <v>0</v>
      </c>
    </row>
    <row r="36" spans="1:16" ht="12.5">
      <c r="A36" s="10">
        <f ca="1">IFERROR(__xludf.DUMMYFUNCTION("""COMPUTED_VALUE"""),610422100274)</f>
        <v>610422100274</v>
      </c>
      <c r="B36" s="10" t="str">
        <f t="array" aca="1" ref="B36" ca="1">INDEX('Database Mitra'!$C$2:$C1000,MATCH(A36,'Database Mitra'!$B$2:$B1000,0))</f>
        <v>Anisatunnabilah</v>
      </c>
      <c r="C36" s="110"/>
      <c r="D36" s="110">
        <f t="shared" ca="1" si="0"/>
        <v>4082500</v>
      </c>
      <c r="E36" s="110">
        <f ca="1">SUMIFS('Mitra per Bulan'!$I$2:$I1000,'Mitra per Bulan'!$E$2:$E1000,E$2,'Mitra per Bulan'!$C$2:$C1000,$A36)</f>
        <v>0</v>
      </c>
      <c r="F36" s="110">
        <f ca="1">SUMIFS('Mitra per Bulan'!$I$2:$I1000,'Mitra per Bulan'!$E$2:$E1000,F$2,'Mitra per Bulan'!$C$2:$C1000,$A36)</f>
        <v>220000</v>
      </c>
      <c r="G36" s="110">
        <f ca="1">SUMIFS('Mitra per Bulan'!$I$2:$I1000,'Mitra per Bulan'!$E$2:$E1000,G$2,'Mitra per Bulan'!$C$2:$C1000,$A36)</f>
        <v>2480000</v>
      </c>
      <c r="H36" s="110">
        <f ca="1">SUMIFS('Mitra per Bulan'!$I$2:$I1000,'Mitra per Bulan'!$E$2:$E1000,H$2,'Mitra per Bulan'!$C$2:$C1000,$A36)</f>
        <v>0</v>
      </c>
      <c r="I36" s="110">
        <f ca="1">SUMIFS('Mitra per Bulan'!$I$2:$I1000,'Mitra per Bulan'!$E$2:$E1000,I$2,'Mitra per Bulan'!$C$2:$C1000,$A36)</f>
        <v>0</v>
      </c>
      <c r="J36" s="110">
        <f ca="1">SUMIFS('Mitra per Bulan'!$I$2:$I1000,'Mitra per Bulan'!$E$2:$E1000,J$2,'Mitra per Bulan'!$C$2:$C1000,$A36)</f>
        <v>0</v>
      </c>
      <c r="K36" s="110">
        <f ca="1">SUMIFS('Mitra per Bulan'!$I$2:$I1000,'Mitra per Bulan'!$E$2:$E1000,K$2,'Mitra per Bulan'!$C$2:$C1000,$A36)</f>
        <v>0</v>
      </c>
      <c r="L36" s="110">
        <f ca="1">SUMIFS('Mitra per Bulan'!$I$2:$I1000,'Mitra per Bulan'!$E$2:$E1000,L$2,'Mitra per Bulan'!$C$2:$C1000,$A36)</f>
        <v>0</v>
      </c>
      <c r="M36" s="110">
        <f ca="1">SUMIFS('Mitra per Bulan'!$I$2:$I1000,'Mitra per Bulan'!$E$2:$E1000,M$2,'Mitra per Bulan'!$C$2:$C1000,$A36)</f>
        <v>0</v>
      </c>
      <c r="N36" s="110">
        <f ca="1">SUMIFS('Mitra per Bulan'!$I$2:$I1000,'Mitra per Bulan'!$E$2:$E1000,N$2,'Mitra per Bulan'!$C$2:$C1000,$A36)</f>
        <v>1382500</v>
      </c>
      <c r="O36" s="110">
        <f ca="1">SUMIFS('Mitra per Bulan'!$I$2:$I1000,'Mitra per Bulan'!$E$2:$E1000,O$2,'Mitra per Bulan'!$C$2:$C1000,$A36)</f>
        <v>0</v>
      </c>
      <c r="P36" s="110">
        <f ca="1">SUMIFS('Mitra per Bulan'!$I$2:$I1000,'Mitra per Bulan'!$E$2:$E1000,P$2,'Mitra per Bulan'!$C$2:$C1000,$A36)</f>
        <v>0</v>
      </c>
    </row>
    <row r="37" spans="1:16" ht="12.5">
      <c r="A37" s="10">
        <f ca="1">IFERROR(__xludf.DUMMYFUNCTION("""COMPUTED_VALUE"""),610422100108)</f>
        <v>610422100108</v>
      </c>
      <c r="B37" s="10" t="str">
        <f t="array" aca="1" ref="B37" ca="1">INDEX('Database Mitra'!$C$2:$C1000,MATCH(A37,'Database Mitra'!$B$2:$B1000,0))</f>
        <v>Ermi Tiyarni</v>
      </c>
      <c r="C37" s="110"/>
      <c r="D37" s="110">
        <f t="shared" ca="1" si="0"/>
        <v>7380500</v>
      </c>
      <c r="E37" s="110">
        <f ca="1">SUMIFS('Mitra per Bulan'!$I$2:$I1000,'Mitra per Bulan'!$E$2:$E1000,E$2,'Mitra per Bulan'!$C$2:$C1000,$A37)</f>
        <v>0</v>
      </c>
      <c r="F37" s="110">
        <f ca="1">SUMIFS('Mitra per Bulan'!$I$2:$I1000,'Mitra per Bulan'!$E$2:$E1000,F$2,'Mitra per Bulan'!$C$2:$C1000,$A37)</f>
        <v>220000</v>
      </c>
      <c r="G37" s="110">
        <f ca="1">SUMIFS('Mitra per Bulan'!$I$2:$I1000,'Mitra per Bulan'!$E$2:$E1000,G$2,'Mitra per Bulan'!$C$2:$C1000,$A37)</f>
        <v>2480000</v>
      </c>
      <c r="H37" s="110">
        <f ca="1">SUMIFS('Mitra per Bulan'!$I$2:$I1000,'Mitra per Bulan'!$E$2:$E1000,H$2,'Mitra per Bulan'!$C$2:$C1000,$A37)</f>
        <v>0</v>
      </c>
      <c r="I37" s="110">
        <f ca="1">SUMIFS('Mitra per Bulan'!$I$2:$I1000,'Mitra per Bulan'!$E$2:$E1000,I$2,'Mitra per Bulan'!$C$2:$C1000,$A37)</f>
        <v>0</v>
      </c>
      <c r="J37" s="110">
        <f ca="1">SUMIFS('Mitra per Bulan'!$I$2:$I1000,'Mitra per Bulan'!$E$2:$E1000,J$2,'Mitra per Bulan'!$C$2:$C1000,$A37)</f>
        <v>0</v>
      </c>
      <c r="K37" s="110">
        <f ca="1">SUMIFS('Mitra per Bulan'!$I$2:$I1000,'Mitra per Bulan'!$E$2:$E1000,K$2,'Mitra per Bulan'!$C$2:$C1000,$A37)</f>
        <v>3298000</v>
      </c>
      <c r="L37" s="110">
        <f ca="1">SUMIFS('Mitra per Bulan'!$I$2:$I1000,'Mitra per Bulan'!$E$2:$E1000,L$2,'Mitra per Bulan'!$C$2:$C1000,$A37)</f>
        <v>0</v>
      </c>
      <c r="M37" s="110">
        <f ca="1">SUMIFS('Mitra per Bulan'!$I$2:$I1000,'Mitra per Bulan'!$E$2:$E1000,M$2,'Mitra per Bulan'!$C$2:$C1000,$A37)</f>
        <v>0</v>
      </c>
      <c r="N37" s="110">
        <f ca="1">SUMIFS('Mitra per Bulan'!$I$2:$I1000,'Mitra per Bulan'!$E$2:$E1000,N$2,'Mitra per Bulan'!$C$2:$C1000,$A37)</f>
        <v>1382500</v>
      </c>
      <c r="O37" s="110">
        <f ca="1">SUMIFS('Mitra per Bulan'!$I$2:$I1000,'Mitra per Bulan'!$E$2:$E1000,O$2,'Mitra per Bulan'!$C$2:$C1000,$A37)</f>
        <v>0</v>
      </c>
      <c r="P37" s="110">
        <f ca="1">SUMIFS('Mitra per Bulan'!$I$2:$I1000,'Mitra per Bulan'!$E$2:$E1000,P$2,'Mitra per Bulan'!$C$2:$C1000,$A37)</f>
        <v>0</v>
      </c>
    </row>
    <row r="38" spans="1:16" ht="12.5">
      <c r="A38" s="10">
        <f ca="1">IFERROR(__xludf.DUMMYFUNCTION("""COMPUTED_VALUE"""),610423040016)</f>
        <v>610423040016</v>
      </c>
      <c r="B38" s="10" t="str">
        <f t="array" aca="1" ref="B38" ca="1">INDEX('Database Mitra'!$C$2:$C1000,MATCH(A38,'Database Mitra'!$B$2:$B1000,0))</f>
        <v>Fairuztia Atiqah Putri</v>
      </c>
      <c r="C38" s="110"/>
      <c r="D38" s="110">
        <f t="shared" ca="1" si="0"/>
        <v>7856500</v>
      </c>
      <c r="E38" s="110">
        <f ca="1">SUMIFS('Mitra per Bulan'!$I$2:$I1000,'Mitra per Bulan'!$E$2:$E1000,E$2,'Mitra per Bulan'!$C$2:$C1000,$A38)</f>
        <v>0</v>
      </c>
      <c r="F38" s="110">
        <f ca="1">SUMIFS('Mitra per Bulan'!$I$2:$I1000,'Mitra per Bulan'!$E$2:$E1000,F$2,'Mitra per Bulan'!$C$2:$C1000,$A38)</f>
        <v>220000</v>
      </c>
      <c r="G38" s="110">
        <f ca="1">SUMIFS('Mitra per Bulan'!$I$2:$I1000,'Mitra per Bulan'!$E$2:$E1000,G$2,'Mitra per Bulan'!$C$2:$C1000,$A38)</f>
        <v>2480000</v>
      </c>
      <c r="H38" s="110">
        <f ca="1">SUMIFS('Mitra per Bulan'!$I$2:$I1000,'Mitra per Bulan'!$E$2:$E1000,H$2,'Mitra per Bulan'!$C$2:$C1000,$A38)</f>
        <v>0</v>
      </c>
      <c r="I38" s="110">
        <f ca="1">SUMIFS('Mitra per Bulan'!$I$2:$I1000,'Mitra per Bulan'!$E$2:$E1000,I$2,'Mitra per Bulan'!$C$2:$C1000,$A38)</f>
        <v>0</v>
      </c>
      <c r="J38" s="110">
        <f ca="1">SUMIFS('Mitra per Bulan'!$I$2:$I1000,'Mitra per Bulan'!$E$2:$E1000,J$2,'Mitra per Bulan'!$C$2:$C1000,$A38)</f>
        <v>0</v>
      </c>
      <c r="K38" s="110">
        <f ca="1">SUMIFS('Mitra per Bulan'!$I$2:$I1000,'Mitra per Bulan'!$E$2:$E1000,K$2,'Mitra per Bulan'!$C$2:$C1000,$A38)</f>
        <v>3298000</v>
      </c>
      <c r="L38" s="110">
        <f ca="1">SUMIFS('Mitra per Bulan'!$I$2:$I1000,'Mitra per Bulan'!$E$2:$E1000,L$2,'Mitra per Bulan'!$C$2:$C1000,$A38)</f>
        <v>0</v>
      </c>
      <c r="M38" s="110">
        <f ca="1">SUMIFS('Mitra per Bulan'!$I$2:$I1000,'Mitra per Bulan'!$E$2:$E1000,M$2,'Mitra per Bulan'!$C$2:$C1000,$A38)</f>
        <v>476000</v>
      </c>
      <c r="N38" s="110">
        <f ca="1">SUMIFS('Mitra per Bulan'!$I$2:$I1000,'Mitra per Bulan'!$E$2:$E1000,N$2,'Mitra per Bulan'!$C$2:$C1000,$A38)</f>
        <v>1382500</v>
      </c>
      <c r="O38" s="110">
        <f ca="1">SUMIFS('Mitra per Bulan'!$I$2:$I1000,'Mitra per Bulan'!$E$2:$E1000,O$2,'Mitra per Bulan'!$C$2:$C1000,$A38)</f>
        <v>0</v>
      </c>
      <c r="P38" s="110">
        <f ca="1">SUMIFS('Mitra per Bulan'!$I$2:$I1000,'Mitra per Bulan'!$E$2:$E1000,P$2,'Mitra per Bulan'!$C$2:$C1000,$A38)</f>
        <v>0</v>
      </c>
    </row>
    <row r="39" spans="1:16" ht="12.5">
      <c r="A39" s="10">
        <f ca="1">IFERROR(__xludf.DUMMYFUNCTION("""COMPUTED_VALUE"""),610422100032)</f>
        <v>610422100032</v>
      </c>
      <c r="B39" s="10" t="str">
        <f t="array" aca="1" ref="B39" ca="1">INDEX('Database Mitra'!$C$2:$C1000,MATCH(A39,'Database Mitra'!$B$2:$B1000,0))</f>
        <v>Muhammad Rizki Pratomo</v>
      </c>
      <c r="C39" s="110"/>
      <c r="D39" s="110">
        <f t="shared" ca="1" si="0"/>
        <v>2700000</v>
      </c>
      <c r="E39" s="110">
        <f ca="1">SUMIFS('Mitra per Bulan'!$I$2:$I1000,'Mitra per Bulan'!$E$2:$E1000,E$2,'Mitra per Bulan'!$C$2:$C1000,$A39)</f>
        <v>0</v>
      </c>
      <c r="F39" s="110">
        <f ca="1">SUMIFS('Mitra per Bulan'!$I$2:$I1000,'Mitra per Bulan'!$E$2:$E1000,F$2,'Mitra per Bulan'!$C$2:$C1000,$A39)</f>
        <v>220000</v>
      </c>
      <c r="G39" s="110">
        <f ca="1">SUMIFS('Mitra per Bulan'!$I$2:$I1000,'Mitra per Bulan'!$E$2:$E1000,G$2,'Mitra per Bulan'!$C$2:$C1000,$A39)</f>
        <v>2480000</v>
      </c>
      <c r="H39" s="110">
        <f ca="1">SUMIFS('Mitra per Bulan'!$I$2:$I1000,'Mitra per Bulan'!$E$2:$E1000,H$2,'Mitra per Bulan'!$C$2:$C1000,$A39)</f>
        <v>0</v>
      </c>
      <c r="I39" s="110">
        <f ca="1">SUMIFS('Mitra per Bulan'!$I$2:$I1000,'Mitra per Bulan'!$E$2:$E1000,I$2,'Mitra per Bulan'!$C$2:$C1000,$A39)</f>
        <v>0</v>
      </c>
      <c r="J39" s="110">
        <f ca="1">SUMIFS('Mitra per Bulan'!$I$2:$I1000,'Mitra per Bulan'!$E$2:$E1000,J$2,'Mitra per Bulan'!$C$2:$C1000,$A39)</f>
        <v>0</v>
      </c>
      <c r="K39" s="110">
        <f ca="1">SUMIFS('Mitra per Bulan'!$I$2:$I1000,'Mitra per Bulan'!$E$2:$E1000,K$2,'Mitra per Bulan'!$C$2:$C1000,$A39)</f>
        <v>0</v>
      </c>
      <c r="L39" s="110">
        <f ca="1">SUMIFS('Mitra per Bulan'!$I$2:$I1000,'Mitra per Bulan'!$E$2:$E1000,L$2,'Mitra per Bulan'!$C$2:$C1000,$A39)</f>
        <v>0</v>
      </c>
      <c r="M39" s="110">
        <f ca="1">SUMIFS('Mitra per Bulan'!$I$2:$I1000,'Mitra per Bulan'!$E$2:$E1000,M$2,'Mitra per Bulan'!$C$2:$C1000,$A39)</f>
        <v>0</v>
      </c>
      <c r="N39" s="110">
        <f ca="1">SUMIFS('Mitra per Bulan'!$I$2:$I1000,'Mitra per Bulan'!$E$2:$E1000,N$2,'Mitra per Bulan'!$C$2:$C1000,$A39)</f>
        <v>0</v>
      </c>
      <c r="O39" s="110">
        <f ca="1">SUMIFS('Mitra per Bulan'!$I$2:$I1000,'Mitra per Bulan'!$E$2:$E1000,O$2,'Mitra per Bulan'!$C$2:$C1000,$A39)</f>
        <v>0</v>
      </c>
      <c r="P39" s="110">
        <f ca="1">SUMIFS('Mitra per Bulan'!$I$2:$I1000,'Mitra per Bulan'!$E$2:$E1000,P$2,'Mitra per Bulan'!$C$2:$C1000,$A39)</f>
        <v>0</v>
      </c>
    </row>
    <row r="40" spans="1:16" ht="12.5">
      <c r="A40" s="10">
        <f ca="1">IFERROR(__xludf.DUMMYFUNCTION("""COMPUTED_VALUE"""),610422100256)</f>
        <v>610422100256</v>
      </c>
      <c r="B40" s="10" t="str">
        <f t="array" aca="1" ref="B40" ca="1">INDEX('Database Mitra'!$C$2:$C1000,MATCH(A40,'Database Mitra'!$B$2:$B1000,0))</f>
        <v>Meta</v>
      </c>
      <c r="C40" s="110"/>
      <c r="D40" s="110">
        <f t="shared" ca="1" si="0"/>
        <v>4378000</v>
      </c>
      <c r="E40" s="110">
        <f ca="1">SUMIFS('Mitra per Bulan'!$I$2:$I1000,'Mitra per Bulan'!$E$2:$E1000,E$2,'Mitra per Bulan'!$C$2:$C1000,$A40)</f>
        <v>0</v>
      </c>
      <c r="F40" s="110">
        <f ca="1">SUMIFS('Mitra per Bulan'!$I$2:$I1000,'Mitra per Bulan'!$E$2:$E1000,F$2,'Mitra per Bulan'!$C$2:$C1000,$A40)</f>
        <v>768000</v>
      </c>
      <c r="G40" s="110">
        <f ca="1">SUMIFS('Mitra per Bulan'!$I$2:$I1000,'Mitra per Bulan'!$E$2:$E1000,G$2,'Mitra per Bulan'!$C$2:$C1000,$A40)</f>
        <v>1190000</v>
      </c>
      <c r="H40" s="110">
        <f ca="1">SUMIFS('Mitra per Bulan'!$I$2:$I1000,'Mitra per Bulan'!$E$2:$E1000,H$2,'Mitra per Bulan'!$C$2:$C1000,$A40)</f>
        <v>0</v>
      </c>
      <c r="I40" s="110">
        <f ca="1">SUMIFS('Mitra per Bulan'!$I$2:$I1000,'Mitra per Bulan'!$E$2:$E1000,I$2,'Mitra per Bulan'!$C$2:$C1000,$A40)</f>
        <v>0</v>
      </c>
      <c r="J40" s="110">
        <f ca="1">SUMIFS('Mitra per Bulan'!$I$2:$I1000,'Mitra per Bulan'!$E$2:$E1000,J$2,'Mitra per Bulan'!$C$2:$C1000,$A40)</f>
        <v>0</v>
      </c>
      <c r="K40" s="110">
        <f ca="1">SUMIFS('Mitra per Bulan'!$I$2:$I1000,'Mitra per Bulan'!$E$2:$E1000,K$2,'Mitra per Bulan'!$C$2:$C1000,$A40)</f>
        <v>910000</v>
      </c>
      <c r="L40" s="110">
        <f ca="1">SUMIFS('Mitra per Bulan'!$I$2:$I1000,'Mitra per Bulan'!$E$2:$E1000,L$2,'Mitra per Bulan'!$C$2:$C1000,$A40)</f>
        <v>0</v>
      </c>
      <c r="M40" s="110">
        <f ca="1">SUMIFS('Mitra per Bulan'!$I$2:$I1000,'Mitra per Bulan'!$E$2:$E1000,M$2,'Mitra per Bulan'!$C$2:$C1000,$A40)</f>
        <v>600000</v>
      </c>
      <c r="N40" s="110">
        <f ca="1">SUMIFS('Mitra per Bulan'!$I$2:$I1000,'Mitra per Bulan'!$E$2:$E1000,N$2,'Mitra per Bulan'!$C$2:$C1000,$A40)</f>
        <v>0</v>
      </c>
      <c r="O40" s="110">
        <f ca="1">SUMIFS('Mitra per Bulan'!$I$2:$I1000,'Mitra per Bulan'!$E$2:$E1000,O$2,'Mitra per Bulan'!$C$2:$C1000,$A40)</f>
        <v>910000</v>
      </c>
      <c r="P40" s="110">
        <f ca="1">SUMIFS('Mitra per Bulan'!$I$2:$I1000,'Mitra per Bulan'!$E$2:$E1000,P$2,'Mitra per Bulan'!$C$2:$C1000,$A40)</f>
        <v>0</v>
      </c>
    </row>
    <row r="41" spans="1:16" ht="12.5">
      <c r="A41" s="10">
        <f ca="1">IFERROR(__xludf.DUMMYFUNCTION("""COMPUTED_VALUE"""),610422100055)</f>
        <v>610422100055</v>
      </c>
      <c r="B41" s="10" t="str">
        <f t="array" aca="1" ref="B41" ca="1">INDEX('Database Mitra'!$C$2:$C1000,MATCH(A41,'Database Mitra'!$B$2:$B1000,0))</f>
        <v>Vika Rizkiani</v>
      </c>
      <c r="C41" s="110"/>
      <c r="D41" s="110">
        <f t="shared" ca="1" si="0"/>
        <v>8220000</v>
      </c>
      <c r="E41" s="110">
        <f ca="1">SUMIFS('Mitra per Bulan'!$I$2:$I1000,'Mitra per Bulan'!$E$2:$E1000,E$2,'Mitra per Bulan'!$C$2:$C1000,$A41)</f>
        <v>0</v>
      </c>
      <c r="F41" s="110">
        <f ca="1">SUMIFS('Mitra per Bulan'!$I$2:$I1000,'Mitra per Bulan'!$E$2:$E1000,F$2,'Mitra per Bulan'!$C$2:$C1000,$A41)</f>
        <v>768000</v>
      </c>
      <c r="G41" s="110">
        <f ca="1">SUMIFS('Mitra per Bulan'!$I$2:$I1000,'Mitra per Bulan'!$E$2:$E1000,G$2,'Mitra per Bulan'!$C$2:$C1000,$A41)</f>
        <v>1190000</v>
      </c>
      <c r="H41" s="110">
        <f ca="1">SUMIFS('Mitra per Bulan'!$I$2:$I1000,'Mitra per Bulan'!$E$2:$E1000,H$2,'Mitra per Bulan'!$C$2:$C1000,$A41)</f>
        <v>0</v>
      </c>
      <c r="I41" s="110">
        <f ca="1">SUMIFS('Mitra per Bulan'!$I$2:$I1000,'Mitra per Bulan'!$E$2:$E1000,I$2,'Mitra per Bulan'!$C$2:$C1000,$A41)</f>
        <v>0</v>
      </c>
      <c r="J41" s="110">
        <f ca="1">SUMIFS('Mitra per Bulan'!$I$2:$I1000,'Mitra per Bulan'!$E$2:$E1000,J$2,'Mitra per Bulan'!$C$2:$C1000,$A41)</f>
        <v>0</v>
      </c>
      <c r="K41" s="110">
        <f ca="1">SUMIFS('Mitra per Bulan'!$I$2:$I1000,'Mitra per Bulan'!$E$2:$E1000,K$2,'Mitra per Bulan'!$C$2:$C1000,$A41)</f>
        <v>910000</v>
      </c>
      <c r="L41" s="110">
        <f ca="1">SUMIFS('Mitra per Bulan'!$I$2:$I1000,'Mitra per Bulan'!$E$2:$E1000,L$2,'Mitra per Bulan'!$C$2:$C1000,$A41)</f>
        <v>1980000</v>
      </c>
      <c r="M41" s="110">
        <f ca="1">SUMIFS('Mitra per Bulan'!$I$2:$I1000,'Mitra per Bulan'!$E$2:$E1000,M$2,'Mitra per Bulan'!$C$2:$C1000,$A41)</f>
        <v>2462000</v>
      </c>
      <c r="N41" s="110">
        <f ca="1">SUMIFS('Mitra per Bulan'!$I$2:$I1000,'Mitra per Bulan'!$E$2:$E1000,N$2,'Mitra per Bulan'!$C$2:$C1000,$A41)</f>
        <v>0</v>
      </c>
      <c r="O41" s="110">
        <f ca="1">SUMIFS('Mitra per Bulan'!$I$2:$I1000,'Mitra per Bulan'!$E$2:$E1000,O$2,'Mitra per Bulan'!$C$2:$C1000,$A41)</f>
        <v>910000</v>
      </c>
      <c r="P41" s="110">
        <f ca="1">SUMIFS('Mitra per Bulan'!$I$2:$I1000,'Mitra per Bulan'!$E$2:$E1000,P$2,'Mitra per Bulan'!$C$2:$C1000,$A41)</f>
        <v>0</v>
      </c>
    </row>
    <row r="42" spans="1:16" ht="12.5">
      <c r="A42" s="10">
        <f ca="1">IFERROR(__xludf.DUMMYFUNCTION("""COMPUTED_VALUE"""),610423040014)</f>
        <v>610423040014</v>
      </c>
      <c r="B42" s="10" t="str">
        <f t="array" aca="1" ref="B42" ca="1">INDEX('Database Mitra'!$C$2:$C1000,MATCH(A42,'Database Mitra'!$B$2:$B1000,0))</f>
        <v>Fransiska romana</v>
      </c>
      <c r="C42" s="110"/>
      <c r="D42" s="110">
        <f t="shared" ca="1" si="0"/>
        <v>9132000</v>
      </c>
      <c r="E42" s="110">
        <f ca="1">SUMIFS('Mitra per Bulan'!$I$2:$I1000,'Mitra per Bulan'!$E$2:$E1000,E$2,'Mitra per Bulan'!$C$2:$C1000,$A42)</f>
        <v>0</v>
      </c>
      <c r="F42" s="110">
        <f ca="1">SUMIFS('Mitra per Bulan'!$I$2:$I1000,'Mitra per Bulan'!$E$2:$E1000,F$2,'Mitra per Bulan'!$C$2:$C1000,$A42)</f>
        <v>336000</v>
      </c>
      <c r="G42" s="110">
        <f ca="1">SUMIFS('Mitra per Bulan'!$I$2:$I1000,'Mitra per Bulan'!$E$2:$E1000,G$2,'Mitra per Bulan'!$C$2:$C1000,$A42)</f>
        <v>2380000</v>
      </c>
      <c r="H42" s="110">
        <f ca="1">SUMIFS('Mitra per Bulan'!$I$2:$I1000,'Mitra per Bulan'!$E$2:$E1000,H$2,'Mitra per Bulan'!$C$2:$C1000,$A42)</f>
        <v>0</v>
      </c>
      <c r="I42" s="110">
        <f ca="1">SUMIFS('Mitra per Bulan'!$I$2:$I1000,'Mitra per Bulan'!$E$2:$E1000,I$2,'Mitra per Bulan'!$C$2:$C1000,$A42)</f>
        <v>0</v>
      </c>
      <c r="J42" s="110">
        <f ca="1">SUMIFS('Mitra per Bulan'!$I$2:$I1000,'Mitra per Bulan'!$E$2:$E1000,J$2,'Mitra per Bulan'!$C$2:$C1000,$A42)</f>
        <v>4694000</v>
      </c>
      <c r="K42" s="110">
        <f ca="1">SUMIFS('Mitra per Bulan'!$I$2:$I1000,'Mitra per Bulan'!$E$2:$E1000,K$2,'Mitra per Bulan'!$C$2:$C1000,$A42)</f>
        <v>0</v>
      </c>
      <c r="L42" s="110">
        <f ca="1">SUMIFS('Mitra per Bulan'!$I$2:$I1000,'Mitra per Bulan'!$E$2:$E1000,L$2,'Mitra per Bulan'!$C$2:$C1000,$A42)</f>
        <v>1386000</v>
      </c>
      <c r="M42" s="110">
        <f ca="1">SUMIFS('Mitra per Bulan'!$I$2:$I1000,'Mitra per Bulan'!$E$2:$E1000,M$2,'Mitra per Bulan'!$C$2:$C1000,$A42)</f>
        <v>336000</v>
      </c>
      <c r="N42" s="110">
        <f ca="1">SUMIFS('Mitra per Bulan'!$I$2:$I1000,'Mitra per Bulan'!$E$2:$E1000,N$2,'Mitra per Bulan'!$C$2:$C1000,$A42)</f>
        <v>0</v>
      </c>
      <c r="O42" s="110">
        <f ca="1">SUMIFS('Mitra per Bulan'!$I$2:$I1000,'Mitra per Bulan'!$E$2:$E1000,O$2,'Mitra per Bulan'!$C$2:$C1000,$A42)</f>
        <v>0</v>
      </c>
      <c r="P42" s="110">
        <f ca="1">SUMIFS('Mitra per Bulan'!$I$2:$I1000,'Mitra per Bulan'!$E$2:$E1000,P$2,'Mitra per Bulan'!$C$2:$C1000,$A42)</f>
        <v>0</v>
      </c>
    </row>
    <row r="43" spans="1:16" ht="12.5">
      <c r="A43" s="10">
        <f ca="1">IFERROR(__xludf.DUMMYFUNCTION("""COMPUTED_VALUE"""),610423040022)</f>
        <v>610423040022</v>
      </c>
      <c r="B43" s="10" t="str">
        <f t="array" aca="1" ref="B43" ca="1">INDEX('Database Mitra'!$C$2:$C1000,MATCH(A43,'Database Mitra'!$B$2:$B1000,0))</f>
        <v>Alip Susanto</v>
      </c>
      <c r="C43" s="110"/>
      <c r="D43" s="110">
        <f t="shared" ca="1" si="0"/>
        <v>2716000</v>
      </c>
      <c r="E43" s="110">
        <f ca="1">SUMIFS('Mitra per Bulan'!$I$2:$I1000,'Mitra per Bulan'!$E$2:$E1000,E$2,'Mitra per Bulan'!$C$2:$C1000,$A43)</f>
        <v>0</v>
      </c>
      <c r="F43" s="110">
        <f ca="1">SUMIFS('Mitra per Bulan'!$I$2:$I1000,'Mitra per Bulan'!$E$2:$E1000,F$2,'Mitra per Bulan'!$C$2:$C1000,$A43)</f>
        <v>336000</v>
      </c>
      <c r="G43" s="110">
        <f ca="1">SUMIFS('Mitra per Bulan'!$I$2:$I1000,'Mitra per Bulan'!$E$2:$E1000,G$2,'Mitra per Bulan'!$C$2:$C1000,$A43)</f>
        <v>2380000</v>
      </c>
      <c r="H43" s="110">
        <f ca="1">SUMIFS('Mitra per Bulan'!$I$2:$I1000,'Mitra per Bulan'!$E$2:$E1000,H$2,'Mitra per Bulan'!$C$2:$C1000,$A43)</f>
        <v>0</v>
      </c>
      <c r="I43" s="110">
        <f ca="1">SUMIFS('Mitra per Bulan'!$I$2:$I1000,'Mitra per Bulan'!$E$2:$E1000,I$2,'Mitra per Bulan'!$C$2:$C1000,$A43)</f>
        <v>0</v>
      </c>
      <c r="J43" s="110">
        <f ca="1">SUMIFS('Mitra per Bulan'!$I$2:$I1000,'Mitra per Bulan'!$E$2:$E1000,J$2,'Mitra per Bulan'!$C$2:$C1000,$A43)</f>
        <v>0</v>
      </c>
      <c r="K43" s="110">
        <f ca="1">SUMIFS('Mitra per Bulan'!$I$2:$I1000,'Mitra per Bulan'!$E$2:$E1000,K$2,'Mitra per Bulan'!$C$2:$C1000,$A43)</f>
        <v>0</v>
      </c>
      <c r="L43" s="110">
        <f ca="1">SUMIFS('Mitra per Bulan'!$I$2:$I1000,'Mitra per Bulan'!$E$2:$E1000,L$2,'Mitra per Bulan'!$C$2:$C1000,$A43)</f>
        <v>0</v>
      </c>
      <c r="M43" s="110">
        <f ca="1">SUMIFS('Mitra per Bulan'!$I$2:$I1000,'Mitra per Bulan'!$E$2:$E1000,M$2,'Mitra per Bulan'!$C$2:$C1000,$A43)</f>
        <v>0</v>
      </c>
      <c r="N43" s="110">
        <f ca="1">SUMIFS('Mitra per Bulan'!$I$2:$I1000,'Mitra per Bulan'!$E$2:$E1000,N$2,'Mitra per Bulan'!$C$2:$C1000,$A43)</f>
        <v>0</v>
      </c>
      <c r="O43" s="110">
        <f ca="1">SUMIFS('Mitra per Bulan'!$I$2:$I1000,'Mitra per Bulan'!$E$2:$E1000,O$2,'Mitra per Bulan'!$C$2:$C1000,$A43)</f>
        <v>0</v>
      </c>
      <c r="P43" s="110">
        <f ca="1">SUMIFS('Mitra per Bulan'!$I$2:$I1000,'Mitra per Bulan'!$E$2:$E1000,P$2,'Mitra per Bulan'!$C$2:$C1000,$A43)</f>
        <v>0</v>
      </c>
    </row>
    <row r="44" spans="1:16" ht="12.5">
      <c r="A44" s="10">
        <f ca="1">IFERROR(__xludf.DUMMYFUNCTION("""COMPUTED_VALUE"""),610423030004)</f>
        <v>610423030004</v>
      </c>
      <c r="B44" s="10" t="str">
        <f t="array" aca="1" ref="B44" ca="1">INDEX('Database Mitra'!$C$2:$C1000,MATCH(A44,'Database Mitra'!$B$2:$B1000,0))</f>
        <v>Laras Nanda Julita</v>
      </c>
      <c r="C44" s="110"/>
      <c r="D44" s="110">
        <f t="shared" ca="1" si="0"/>
        <v>2716000</v>
      </c>
      <c r="E44" s="110">
        <f ca="1">SUMIFS('Mitra per Bulan'!$I$2:$I1000,'Mitra per Bulan'!$E$2:$E1000,E$2,'Mitra per Bulan'!$C$2:$C1000,$A44)</f>
        <v>0</v>
      </c>
      <c r="F44" s="110">
        <f ca="1">SUMIFS('Mitra per Bulan'!$I$2:$I1000,'Mitra per Bulan'!$E$2:$E1000,F$2,'Mitra per Bulan'!$C$2:$C1000,$A44)</f>
        <v>336000</v>
      </c>
      <c r="G44" s="110">
        <f ca="1">SUMIFS('Mitra per Bulan'!$I$2:$I1000,'Mitra per Bulan'!$E$2:$E1000,G$2,'Mitra per Bulan'!$C$2:$C1000,$A44)</f>
        <v>2380000</v>
      </c>
      <c r="H44" s="110">
        <f ca="1">SUMIFS('Mitra per Bulan'!$I$2:$I1000,'Mitra per Bulan'!$E$2:$E1000,H$2,'Mitra per Bulan'!$C$2:$C1000,$A44)</f>
        <v>0</v>
      </c>
      <c r="I44" s="110">
        <f ca="1">SUMIFS('Mitra per Bulan'!$I$2:$I1000,'Mitra per Bulan'!$E$2:$E1000,I$2,'Mitra per Bulan'!$C$2:$C1000,$A44)</f>
        <v>0</v>
      </c>
      <c r="J44" s="110">
        <f ca="1">SUMIFS('Mitra per Bulan'!$I$2:$I1000,'Mitra per Bulan'!$E$2:$E1000,J$2,'Mitra per Bulan'!$C$2:$C1000,$A44)</f>
        <v>0</v>
      </c>
      <c r="K44" s="110">
        <f ca="1">SUMIFS('Mitra per Bulan'!$I$2:$I1000,'Mitra per Bulan'!$E$2:$E1000,K$2,'Mitra per Bulan'!$C$2:$C1000,$A44)</f>
        <v>0</v>
      </c>
      <c r="L44" s="110">
        <f ca="1">SUMIFS('Mitra per Bulan'!$I$2:$I1000,'Mitra per Bulan'!$E$2:$E1000,L$2,'Mitra per Bulan'!$C$2:$C1000,$A44)</f>
        <v>0</v>
      </c>
      <c r="M44" s="110">
        <f ca="1">SUMIFS('Mitra per Bulan'!$I$2:$I1000,'Mitra per Bulan'!$E$2:$E1000,M$2,'Mitra per Bulan'!$C$2:$C1000,$A44)</f>
        <v>0</v>
      </c>
      <c r="N44" s="110">
        <f ca="1">SUMIFS('Mitra per Bulan'!$I$2:$I1000,'Mitra per Bulan'!$E$2:$E1000,N$2,'Mitra per Bulan'!$C$2:$C1000,$A44)</f>
        <v>0</v>
      </c>
      <c r="O44" s="110">
        <f ca="1">SUMIFS('Mitra per Bulan'!$I$2:$I1000,'Mitra per Bulan'!$E$2:$E1000,O$2,'Mitra per Bulan'!$C$2:$C1000,$A44)</f>
        <v>0</v>
      </c>
      <c r="P44" s="110">
        <f ca="1">SUMIFS('Mitra per Bulan'!$I$2:$I1000,'Mitra per Bulan'!$E$2:$E1000,P$2,'Mitra per Bulan'!$C$2:$C1000,$A44)</f>
        <v>0</v>
      </c>
    </row>
    <row r="45" spans="1:16" ht="12.5">
      <c r="A45" s="10">
        <f ca="1">IFERROR(__xludf.DUMMYFUNCTION("""COMPUTED_VALUE"""),610423040004)</f>
        <v>610423040004</v>
      </c>
      <c r="B45" s="10" t="str">
        <f t="array" aca="1" ref="B45" ca="1">INDEX('Database Mitra'!$C$2:$C1000,MATCH(A45,'Database Mitra'!$B$2:$B1000,0))</f>
        <v>Ayu Agustin</v>
      </c>
      <c r="C45" s="110"/>
      <c r="D45" s="110">
        <f t="shared" ca="1" si="0"/>
        <v>4378000</v>
      </c>
      <c r="E45" s="110">
        <f ca="1">SUMIFS('Mitra per Bulan'!$I$2:$I1000,'Mitra per Bulan'!$E$2:$E1000,E$2,'Mitra per Bulan'!$C$2:$C1000,$A45)</f>
        <v>0</v>
      </c>
      <c r="F45" s="110">
        <f ca="1">SUMIFS('Mitra per Bulan'!$I$2:$I1000,'Mitra per Bulan'!$E$2:$E1000,F$2,'Mitra per Bulan'!$C$2:$C1000,$A45)</f>
        <v>768000</v>
      </c>
      <c r="G45" s="110">
        <f ca="1">SUMIFS('Mitra per Bulan'!$I$2:$I1000,'Mitra per Bulan'!$E$2:$E1000,G$2,'Mitra per Bulan'!$C$2:$C1000,$A45)</f>
        <v>1190000</v>
      </c>
      <c r="H45" s="110">
        <f ca="1">SUMIFS('Mitra per Bulan'!$I$2:$I1000,'Mitra per Bulan'!$E$2:$E1000,H$2,'Mitra per Bulan'!$C$2:$C1000,$A45)</f>
        <v>0</v>
      </c>
      <c r="I45" s="110">
        <f ca="1">SUMIFS('Mitra per Bulan'!$I$2:$I1000,'Mitra per Bulan'!$E$2:$E1000,I$2,'Mitra per Bulan'!$C$2:$C1000,$A45)</f>
        <v>0</v>
      </c>
      <c r="J45" s="110">
        <f ca="1">SUMIFS('Mitra per Bulan'!$I$2:$I1000,'Mitra per Bulan'!$E$2:$E1000,J$2,'Mitra per Bulan'!$C$2:$C1000,$A45)</f>
        <v>0</v>
      </c>
      <c r="K45" s="110">
        <f ca="1">SUMIFS('Mitra per Bulan'!$I$2:$I1000,'Mitra per Bulan'!$E$2:$E1000,K$2,'Mitra per Bulan'!$C$2:$C1000,$A45)</f>
        <v>910000</v>
      </c>
      <c r="L45" s="110">
        <f ca="1">SUMIFS('Mitra per Bulan'!$I$2:$I1000,'Mitra per Bulan'!$E$2:$E1000,L$2,'Mitra per Bulan'!$C$2:$C1000,$A45)</f>
        <v>0</v>
      </c>
      <c r="M45" s="110">
        <f ca="1">SUMIFS('Mitra per Bulan'!$I$2:$I1000,'Mitra per Bulan'!$E$2:$E1000,M$2,'Mitra per Bulan'!$C$2:$C1000,$A45)</f>
        <v>600000</v>
      </c>
      <c r="N45" s="110">
        <f ca="1">SUMIFS('Mitra per Bulan'!$I$2:$I1000,'Mitra per Bulan'!$E$2:$E1000,N$2,'Mitra per Bulan'!$C$2:$C1000,$A45)</f>
        <v>0</v>
      </c>
      <c r="O45" s="110">
        <f ca="1">SUMIFS('Mitra per Bulan'!$I$2:$I1000,'Mitra per Bulan'!$E$2:$E1000,O$2,'Mitra per Bulan'!$C$2:$C1000,$A45)</f>
        <v>910000</v>
      </c>
      <c r="P45" s="110">
        <f ca="1">SUMIFS('Mitra per Bulan'!$I$2:$I1000,'Mitra per Bulan'!$E$2:$E1000,P$2,'Mitra per Bulan'!$C$2:$C1000,$A45)</f>
        <v>0</v>
      </c>
    </row>
    <row r="46" spans="1:16" ht="12.5">
      <c r="A46" s="10">
        <f ca="1">IFERROR(__xludf.DUMMYFUNCTION("""COMPUTED_VALUE"""),610423040006)</f>
        <v>610423040006</v>
      </c>
      <c r="B46" s="10" t="str">
        <f t="array" aca="1" ref="B46" ca="1">INDEX('Database Mitra'!$C$2:$C1000,MATCH(A46,'Database Mitra'!$B$2:$B1000,0))</f>
        <v>MITASYA FITRI NAINGGOLAN</v>
      </c>
      <c r="C46" s="110"/>
      <c r="D46" s="110">
        <f t="shared" ca="1" si="0"/>
        <v>2716000</v>
      </c>
      <c r="E46" s="110">
        <f ca="1">SUMIFS('Mitra per Bulan'!$I$2:$I1000,'Mitra per Bulan'!$E$2:$E1000,E$2,'Mitra per Bulan'!$C$2:$C1000,$A46)</f>
        <v>0</v>
      </c>
      <c r="F46" s="110">
        <f ca="1">SUMIFS('Mitra per Bulan'!$I$2:$I1000,'Mitra per Bulan'!$E$2:$E1000,F$2,'Mitra per Bulan'!$C$2:$C1000,$A46)</f>
        <v>336000</v>
      </c>
      <c r="G46" s="110">
        <f ca="1">SUMIFS('Mitra per Bulan'!$I$2:$I1000,'Mitra per Bulan'!$E$2:$E1000,G$2,'Mitra per Bulan'!$C$2:$C1000,$A46)</f>
        <v>2380000</v>
      </c>
      <c r="H46" s="110">
        <f ca="1">SUMIFS('Mitra per Bulan'!$I$2:$I1000,'Mitra per Bulan'!$E$2:$E1000,H$2,'Mitra per Bulan'!$C$2:$C1000,$A46)</f>
        <v>0</v>
      </c>
      <c r="I46" s="110">
        <f ca="1">SUMIFS('Mitra per Bulan'!$I$2:$I1000,'Mitra per Bulan'!$E$2:$E1000,I$2,'Mitra per Bulan'!$C$2:$C1000,$A46)</f>
        <v>0</v>
      </c>
      <c r="J46" s="110">
        <f ca="1">SUMIFS('Mitra per Bulan'!$I$2:$I1000,'Mitra per Bulan'!$E$2:$E1000,J$2,'Mitra per Bulan'!$C$2:$C1000,$A46)</f>
        <v>0</v>
      </c>
      <c r="K46" s="110">
        <f ca="1">SUMIFS('Mitra per Bulan'!$I$2:$I1000,'Mitra per Bulan'!$E$2:$E1000,K$2,'Mitra per Bulan'!$C$2:$C1000,$A46)</f>
        <v>0</v>
      </c>
      <c r="L46" s="110">
        <f ca="1">SUMIFS('Mitra per Bulan'!$I$2:$I1000,'Mitra per Bulan'!$E$2:$E1000,L$2,'Mitra per Bulan'!$C$2:$C1000,$A46)</f>
        <v>0</v>
      </c>
      <c r="M46" s="110">
        <f ca="1">SUMIFS('Mitra per Bulan'!$I$2:$I1000,'Mitra per Bulan'!$E$2:$E1000,M$2,'Mitra per Bulan'!$C$2:$C1000,$A46)</f>
        <v>0</v>
      </c>
      <c r="N46" s="110">
        <f ca="1">SUMIFS('Mitra per Bulan'!$I$2:$I1000,'Mitra per Bulan'!$E$2:$E1000,N$2,'Mitra per Bulan'!$C$2:$C1000,$A46)</f>
        <v>0</v>
      </c>
      <c r="O46" s="110">
        <f ca="1">SUMIFS('Mitra per Bulan'!$I$2:$I1000,'Mitra per Bulan'!$E$2:$E1000,O$2,'Mitra per Bulan'!$C$2:$C1000,$A46)</f>
        <v>0</v>
      </c>
      <c r="P46" s="110">
        <f ca="1">SUMIFS('Mitra per Bulan'!$I$2:$I1000,'Mitra per Bulan'!$E$2:$E1000,P$2,'Mitra per Bulan'!$C$2:$C1000,$A46)</f>
        <v>0</v>
      </c>
    </row>
    <row r="47" spans="1:16" ht="12.5">
      <c r="A47" s="10">
        <f ca="1">IFERROR(__xludf.DUMMYFUNCTION("""COMPUTED_VALUE"""),610423040013)</f>
        <v>610423040013</v>
      </c>
      <c r="B47" s="10" t="str">
        <f t="array" aca="1" ref="B47" ca="1">INDEX('Database Mitra'!$C$2:$C1000,MATCH(A47,'Database Mitra'!$B$2:$B1000,0))</f>
        <v>Lulu Gesti Gunawati</v>
      </c>
      <c r="C47" s="110"/>
      <c r="D47" s="110">
        <f t="shared" ca="1" si="0"/>
        <v>12914000</v>
      </c>
      <c r="E47" s="110">
        <f ca="1">SUMIFS('Mitra per Bulan'!$I$2:$I1000,'Mitra per Bulan'!$E$2:$E1000,E$2,'Mitra per Bulan'!$C$2:$C1000,$A47)</f>
        <v>0</v>
      </c>
      <c r="F47" s="110">
        <f ca="1">SUMIFS('Mitra per Bulan'!$I$2:$I1000,'Mitra per Bulan'!$E$2:$E1000,F$2,'Mitra per Bulan'!$C$2:$C1000,$A47)</f>
        <v>768000</v>
      </c>
      <c r="G47" s="110">
        <f ca="1">SUMIFS('Mitra per Bulan'!$I$2:$I1000,'Mitra per Bulan'!$E$2:$E1000,G$2,'Mitra per Bulan'!$C$2:$C1000,$A47)</f>
        <v>1190000</v>
      </c>
      <c r="H47" s="110">
        <f ca="1">SUMIFS('Mitra per Bulan'!$I$2:$I1000,'Mitra per Bulan'!$E$2:$E1000,H$2,'Mitra per Bulan'!$C$2:$C1000,$A47)</f>
        <v>0</v>
      </c>
      <c r="I47" s="110">
        <f ca="1">SUMIFS('Mitra per Bulan'!$I$2:$I1000,'Mitra per Bulan'!$E$2:$E1000,I$2,'Mitra per Bulan'!$C$2:$C1000,$A47)</f>
        <v>0</v>
      </c>
      <c r="J47" s="110">
        <f ca="1">SUMIFS('Mitra per Bulan'!$I$2:$I1000,'Mitra per Bulan'!$E$2:$E1000,J$2,'Mitra per Bulan'!$C$2:$C1000,$A47)</f>
        <v>4694000</v>
      </c>
      <c r="K47" s="110">
        <f ca="1">SUMIFS('Mitra per Bulan'!$I$2:$I1000,'Mitra per Bulan'!$E$2:$E1000,K$2,'Mitra per Bulan'!$C$2:$C1000,$A47)</f>
        <v>910000</v>
      </c>
      <c r="L47" s="110">
        <f ca="1">SUMIFS('Mitra per Bulan'!$I$2:$I1000,'Mitra per Bulan'!$E$2:$E1000,L$2,'Mitra per Bulan'!$C$2:$C1000,$A47)</f>
        <v>1980000</v>
      </c>
      <c r="M47" s="110">
        <f ca="1">SUMIFS('Mitra per Bulan'!$I$2:$I1000,'Mitra per Bulan'!$E$2:$E1000,M$2,'Mitra per Bulan'!$C$2:$C1000,$A47)</f>
        <v>2462000</v>
      </c>
      <c r="N47" s="110">
        <f ca="1">SUMIFS('Mitra per Bulan'!$I$2:$I1000,'Mitra per Bulan'!$E$2:$E1000,N$2,'Mitra per Bulan'!$C$2:$C1000,$A47)</f>
        <v>0</v>
      </c>
      <c r="O47" s="110">
        <f ca="1">SUMIFS('Mitra per Bulan'!$I$2:$I1000,'Mitra per Bulan'!$E$2:$E1000,O$2,'Mitra per Bulan'!$C$2:$C1000,$A47)</f>
        <v>910000</v>
      </c>
      <c r="P47" s="110">
        <f ca="1">SUMIFS('Mitra per Bulan'!$I$2:$I1000,'Mitra per Bulan'!$E$2:$E1000,P$2,'Mitra per Bulan'!$C$2:$C1000,$A47)</f>
        <v>0</v>
      </c>
    </row>
    <row r="48" spans="1:16" ht="12.5">
      <c r="A48" s="10">
        <f ca="1">IFERROR(__xludf.DUMMYFUNCTION("""COMPUTED_VALUE"""),610423090019)</f>
        <v>610423090019</v>
      </c>
      <c r="B48" s="10" t="str">
        <f t="array" aca="1" ref="B48" ca="1">INDEX('Database Mitra'!$C$2:$C1000,MATCH(A48,'Database Mitra'!$B$2:$B1000,0))</f>
        <v>Nurul Huda</v>
      </c>
      <c r="C48" s="110"/>
      <c r="D48" s="110">
        <f t="shared" ca="1" si="0"/>
        <v>2716000</v>
      </c>
      <c r="E48" s="110">
        <f ca="1">SUMIFS('Mitra per Bulan'!$I$2:$I1000,'Mitra per Bulan'!$E$2:$E1000,E$2,'Mitra per Bulan'!$C$2:$C1000,$A48)</f>
        <v>0</v>
      </c>
      <c r="F48" s="110">
        <f ca="1">SUMIFS('Mitra per Bulan'!$I$2:$I1000,'Mitra per Bulan'!$E$2:$E1000,F$2,'Mitra per Bulan'!$C$2:$C1000,$A48)</f>
        <v>336000</v>
      </c>
      <c r="G48" s="110">
        <f ca="1">SUMIFS('Mitra per Bulan'!$I$2:$I1000,'Mitra per Bulan'!$E$2:$E1000,G$2,'Mitra per Bulan'!$C$2:$C1000,$A48)</f>
        <v>2380000</v>
      </c>
      <c r="H48" s="110">
        <f ca="1">SUMIFS('Mitra per Bulan'!$I$2:$I1000,'Mitra per Bulan'!$E$2:$E1000,H$2,'Mitra per Bulan'!$C$2:$C1000,$A48)</f>
        <v>0</v>
      </c>
      <c r="I48" s="110">
        <f ca="1">SUMIFS('Mitra per Bulan'!$I$2:$I1000,'Mitra per Bulan'!$E$2:$E1000,I$2,'Mitra per Bulan'!$C$2:$C1000,$A48)</f>
        <v>0</v>
      </c>
      <c r="J48" s="110">
        <f ca="1">SUMIFS('Mitra per Bulan'!$I$2:$I1000,'Mitra per Bulan'!$E$2:$E1000,J$2,'Mitra per Bulan'!$C$2:$C1000,$A48)</f>
        <v>0</v>
      </c>
      <c r="K48" s="110">
        <f ca="1">SUMIFS('Mitra per Bulan'!$I$2:$I1000,'Mitra per Bulan'!$E$2:$E1000,K$2,'Mitra per Bulan'!$C$2:$C1000,$A48)</f>
        <v>0</v>
      </c>
      <c r="L48" s="110">
        <f ca="1">SUMIFS('Mitra per Bulan'!$I$2:$I1000,'Mitra per Bulan'!$E$2:$E1000,L$2,'Mitra per Bulan'!$C$2:$C1000,$A48)</f>
        <v>0</v>
      </c>
      <c r="M48" s="110">
        <f ca="1">SUMIFS('Mitra per Bulan'!$I$2:$I1000,'Mitra per Bulan'!$E$2:$E1000,M$2,'Mitra per Bulan'!$C$2:$C1000,$A48)</f>
        <v>0</v>
      </c>
      <c r="N48" s="110">
        <f ca="1">SUMIFS('Mitra per Bulan'!$I$2:$I1000,'Mitra per Bulan'!$E$2:$E1000,N$2,'Mitra per Bulan'!$C$2:$C1000,$A48)</f>
        <v>0</v>
      </c>
      <c r="O48" s="110">
        <f ca="1">SUMIFS('Mitra per Bulan'!$I$2:$I1000,'Mitra per Bulan'!$E$2:$E1000,O$2,'Mitra per Bulan'!$C$2:$C1000,$A48)</f>
        <v>0</v>
      </c>
      <c r="P48" s="110">
        <f ca="1">SUMIFS('Mitra per Bulan'!$I$2:$I1000,'Mitra per Bulan'!$E$2:$E1000,P$2,'Mitra per Bulan'!$C$2:$C1000,$A48)</f>
        <v>0</v>
      </c>
    </row>
    <row r="49" spans="1:16" ht="12.5">
      <c r="A49" s="10">
        <f ca="1">IFERROR(__xludf.DUMMYFUNCTION("""COMPUTED_VALUE"""),610422100139)</f>
        <v>610422100139</v>
      </c>
      <c r="B49" s="10" t="str">
        <f t="array" aca="1" ref="B49" ca="1">INDEX('Database Mitra'!$C$2:$C1000,MATCH(A49,'Database Mitra'!$B$2:$B1000,0))</f>
        <v>Winda Dwi Ananda</v>
      </c>
      <c r="C49" s="110"/>
      <c r="D49" s="110">
        <f t="shared" ca="1" si="0"/>
        <v>4378000</v>
      </c>
      <c r="E49" s="110">
        <f ca="1">SUMIFS('Mitra per Bulan'!$I$2:$I1000,'Mitra per Bulan'!$E$2:$E1000,E$2,'Mitra per Bulan'!$C$2:$C1000,$A49)</f>
        <v>0</v>
      </c>
      <c r="F49" s="110">
        <f ca="1">SUMIFS('Mitra per Bulan'!$I$2:$I1000,'Mitra per Bulan'!$E$2:$E1000,F$2,'Mitra per Bulan'!$C$2:$C1000,$A49)</f>
        <v>768000</v>
      </c>
      <c r="G49" s="110">
        <f ca="1">SUMIFS('Mitra per Bulan'!$I$2:$I1000,'Mitra per Bulan'!$E$2:$E1000,G$2,'Mitra per Bulan'!$C$2:$C1000,$A49)</f>
        <v>1190000</v>
      </c>
      <c r="H49" s="110">
        <f ca="1">SUMIFS('Mitra per Bulan'!$I$2:$I1000,'Mitra per Bulan'!$E$2:$E1000,H$2,'Mitra per Bulan'!$C$2:$C1000,$A49)</f>
        <v>0</v>
      </c>
      <c r="I49" s="110">
        <f ca="1">SUMIFS('Mitra per Bulan'!$I$2:$I1000,'Mitra per Bulan'!$E$2:$E1000,I$2,'Mitra per Bulan'!$C$2:$C1000,$A49)</f>
        <v>0</v>
      </c>
      <c r="J49" s="110">
        <f ca="1">SUMIFS('Mitra per Bulan'!$I$2:$I1000,'Mitra per Bulan'!$E$2:$E1000,J$2,'Mitra per Bulan'!$C$2:$C1000,$A49)</f>
        <v>0</v>
      </c>
      <c r="K49" s="110">
        <f ca="1">SUMIFS('Mitra per Bulan'!$I$2:$I1000,'Mitra per Bulan'!$E$2:$E1000,K$2,'Mitra per Bulan'!$C$2:$C1000,$A49)</f>
        <v>910000</v>
      </c>
      <c r="L49" s="110">
        <f ca="1">SUMIFS('Mitra per Bulan'!$I$2:$I1000,'Mitra per Bulan'!$E$2:$E1000,L$2,'Mitra per Bulan'!$C$2:$C1000,$A49)</f>
        <v>0</v>
      </c>
      <c r="M49" s="110">
        <f ca="1">SUMIFS('Mitra per Bulan'!$I$2:$I1000,'Mitra per Bulan'!$E$2:$E1000,M$2,'Mitra per Bulan'!$C$2:$C1000,$A49)</f>
        <v>600000</v>
      </c>
      <c r="N49" s="110">
        <f ca="1">SUMIFS('Mitra per Bulan'!$I$2:$I1000,'Mitra per Bulan'!$E$2:$E1000,N$2,'Mitra per Bulan'!$C$2:$C1000,$A49)</f>
        <v>0</v>
      </c>
      <c r="O49" s="110">
        <f ca="1">SUMIFS('Mitra per Bulan'!$I$2:$I1000,'Mitra per Bulan'!$E$2:$E1000,O$2,'Mitra per Bulan'!$C$2:$C1000,$A49)</f>
        <v>910000</v>
      </c>
      <c r="P49" s="110">
        <f ca="1">SUMIFS('Mitra per Bulan'!$I$2:$I1000,'Mitra per Bulan'!$E$2:$E1000,P$2,'Mitra per Bulan'!$C$2:$C1000,$A49)</f>
        <v>0</v>
      </c>
    </row>
    <row r="50" spans="1:16" ht="12.5">
      <c r="A50" s="10">
        <f ca="1">IFERROR(__xludf.DUMMYFUNCTION("""COMPUTED_VALUE"""),610422100137)</f>
        <v>610422100137</v>
      </c>
      <c r="B50" s="10" t="str">
        <f t="array" aca="1" ref="B50" ca="1">INDEX('Database Mitra'!$C$2:$C1000,MATCH(A50,'Database Mitra'!$B$2:$B1000,0))</f>
        <v>MASTURI</v>
      </c>
      <c r="C50" s="110"/>
      <c r="D50" s="110">
        <f t="shared" ca="1" si="0"/>
        <v>4378000</v>
      </c>
      <c r="E50" s="110">
        <f ca="1">SUMIFS('Mitra per Bulan'!$I$2:$I1000,'Mitra per Bulan'!$E$2:$E1000,E$2,'Mitra per Bulan'!$C$2:$C1000,$A50)</f>
        <v>0</v>
      </c>
      <c r="F50" s="110">
        <f ca="1">SUMIFS('Mitra per Bulan'!$I$2:$I1000,'Mitra per Bulan'!$E$2:$E1000,F$2,'Mitra per Bulan'!$C$2:$C1000,$A50)</f>
        <v>768000</v>
      </c>
      <c r="G50" s="110">
        <f ca="1">SUMIFS('Mitra per Bulan'!$I$2:$I1000,'Mitra per Bulan'!$E$2:$E1000,G$2,'Mitra per Bulan'!$C$2:$C1000,$A50)</f>
        <v>1190000</v>
      </c>
      <c r="H50" s="110">
        <f ca="1">SUMIFS('Mitra per Bulan'!$I$2:$I1000,'Mitra per Bulan'!$E$2:$E1000,H$2,'Mitra per Bulan'!$C$2:$C1000,$A50)</f>
        <v>0</v>
      </c>
      <c r="I50" s="110">
        <f ca="1">SUMIFS('Mitra per Bulan'!$I$2:$I1000,'Mitra per Bulan'!$E$2:$E1000,I$2,'Mitra per Bulan'!$C$2:$C1000,$A50)</f>
        <v>0</v>
      </c>
      <c r="J50" s="110">
        <f ca="1">SUMIFS('Mitra per Bulan'!$I$2:$I1000,'Mitra per Bulan'!$E$2:$E1000,J$2,'Mitra per Bulan'!$C$2:$C1000,$A50)</f>
        <v>0</v>
      </c>
      <c r="K50" s="110">
        <f ca="1">SUMIFS('Mitra per Bulan'!$I$2:$I1000,'Mitra per Bulan'!$E$2:$E1000,K$2,'Mitra per Bulan'!$C$2:$C1000,$A50)</f>
        <v>910000</v>
      </c>
      <c r="L50" s="110">
        <f ca="1">SUMIFS('Mitra per Bulan'!$I$2:$I1000,'Mitra per Bulan'!$E$2:$E1000,L$2,'Mitra per Bulan'!$C$2:$C1000,$A50)</f>
        <v>0</v>
      </c>
      <c r="M50" s="110">
        <f ca="1">SUMIFS('Mitra per Bulan'!$I$2:$I1000,'Mitra per Bulan'!$E$2:$E1000,M$2,'Mitra per Bulan'!$C$2:$C1000,$A50)</f>
        <v>600000</v>
      </c>
      <c r="N50" s="110">
        <f ca="1">SUMIFS('Mitra per Bulan'!$I$2:$I1000,'Mitra per Bulan'!$E$2:$E1000,N$2,'Mitra per Bulan'!$C$2:$C1000,$A50)</f>
        <v>0</v>
      </c>
      <c r="O50" s="110">
        <f ca="1">SUMIFS('Mitra per Bulan'!$I$2:$I1000,'Mitra per Bulan'!$E$2:$E1000,O$2,'Mitra per Bulan'!$C$2:$C1000,$A50)</f>
        <v>910000</v>
      </c>
      <c r="P50" s="110">
        <f ca="1">SUMIFS('Mitra per Bulan'!$I$2:$I1000,'Mitra per Bulan'!$E$2:$E1000,P$2,'Mitra per Bulan'!$C$2:$C1000,$A50)</f>
        <v>0</v>
      </c>
    </row>
    <row r="51" spans="1:16" ht="12.5">
      <c r="A51" s="10">
        <f ca="1">IFERROR(__xludf.DUMMYFUNCTION("""COMPUTED_VALUE"""),610422100144)</f>
        <v>610422100144</v>
      </c>
      <c r="B51" s="10" t="str">
        <f t="array" aca="1" ref="B51" ca="1">INDEX('Database Mitra'!$C$2:$C1000,MATCH(A51,'Database Mitra'!$B$2:$B1000,0))</f>
        <v>Irfan faozi sunaryo</v>
      </c>
      <c r="C51" s="110"/>
      <c r="D51" s="110">
        <f t="shared" ca="1" si="0"/>
        <v>4378000</v>
      </c>
      <c r="E51" s="110">
        <f ca="1">SUMIFS('Mitra per Bulan'!$I$2:$I1000,'Mitra per Bulan'!$E$2:$E1000,E$2,'Mitra per Bulan'!$C$2:$C1000,$A51)</f>
        <v>0</v>
      </c>
      <c r="F51" s="110">
        <f ca="1">SUMIFS('Mitra per Bulan'!$I$2:$I1000,'Mitra per Bulan'!$E$2:$E1000,F$2,'Mitra per Bulan'!$C$2:$C1000,$A51)</f>
        <v>768000</v>
      </c>
      <c r="G51" s="110">
        <f ca="1">SUMIFS('Mitra per Bulan'!$I$2:$I1000,'Mitra per Bulan'!$E$2:$E1000,G$2,'Mitra per Bulan'!$C$2:$C1000,$A51)</f>
        <v>1190000</v>
      </c>
      <c r="H51" s="110">
        <f ca="1">SUMIFS('Mitra per Bulan'!$I$2:$I1000,'Mitra per Bulan'!$E$2:$E1000,H$2,'Mitra per Bulan'!$C$2:$C1000,$A51)</f>
        <v>0</v>
      </c>
      <c r="I51" s="110">
        <f ca="1">SUMIFS('Mitra per Bulan'!$I$2:$I1000,'Mitra per Bulan'!$E$2:$E1000,I$2,'Mitra per Bulan'!$C$2:$C1000,$A51)</f>
        <v>0</v>
      </c>
      <c r="J51" s="110">
        <f ca="1">SUMIFS('Mitra per Bulan'!$I$2:$I1000,'Mitra per Bulan'!$E$2:$E1000,J$2,'Mitra per Bulan'!$C$2:$C1000,$A51)</f>
        <v>0</v>
      </c>
      <c r="K51" s="110">
        <f ca="1">SUMIFS('Mitra per Bulan'!$I$2:$I1000,'Mitra per Bulan'!$E$2:$E1000,K$2,'Mitra per Bulan'!$C$2:$C1000,$A51)</f>
        <v>910000</v>
      </c>
      <c r="L51" s="110">
        <f ca="1">SUMIFS('Mitra per Bulan'!$I$2:$I1000,'Mitra per Bulan'!$E$2:$E1000,L$2,'Mitra per Bulan'!$C$2:$C1000,$A51)</f>
        <v>0</v>
      </c>
      <c r="M51" s="110">
        <f ca="1">SUMIFS('Mitra per Bulan'!$I$2:$I1000,'Mitra per Bulan'!$E$2:$E1000,M$2,'Mitra per Bulan'!$C$2:$C1000,$A51)</f>
        <v>600000</v>
      </c>
      <c r="N51" s="110">
        <f ca="1">SUMIFS('Mitra per Bulan'!$I$2:$I1000,'Mitra per Bulan'!$E$2:$E1000,N$2,'Mitra per Bulan'!$C$2:$C1000,$A51)</f>
        <v>0</v>
      </c>
      <c r="O51" s="110">
        <f ca="1">SUMIFS('Mitra per Bulan'!$I$2:$I1000,'Mitra per Bulan'!$E$2:$E1000,O$2,'Mitra per Bulan'!$C$2:$C1000,$A51)</f>
        <v>910000</v>
      </c>
      <c r="P51" s="110">
        <f ca="1">SUMIFS('Mitra per Bulan'!$I$2:$I1000,'Mitra per Bulan'!$E$2:$E1000,P$2,'Mitra per Bulan'!$C$2:$C1000,$A51)</f>
        <v>0</v>
      </c>
    </row>
    <row r="52" spans="1:16" ht="12.5">
      <c r="A52" s="10">
        <f ca="1">IFERROR(__xludf.DUMMYFUNCTION("""COMPUTED_VALUE"""),610422100236)</f>
        <v>610422100236</v>
      </c>
      <c r="B52" s="10" t="str">
        <f t="array" aca="1" ref="B52" ca="1">INDEX('Database Mitra'!$C$2:$C1000,MATCH(A52,'Database Mitra'!$B$2:$B1000,0))</f>
        <v>Tesa</v>
      </c>
      <c r="C52" s="110"/>
      <c r="D52" s="110">
        <f t="shared" ca="1" si="0"/>
        <v>2716000</v>
      </c>
      <c r="E52" s="110">
        <f ca="1">SUMIFS('Mitra per Bulan'!$I$2:$I1000,'Mitra per Bulan'!$E$2:$E1000,E$2,'Mitra per Bulan'!$C$2:$C1000,$A52)</f>
        <v>0</v>
      </c>
      <c r="F52" s="110">
        <f ca="1">SUMIFS('Mitra per Bulan'!$I$2:$I1000,'Mitra per Bulan'!$E$2:$E1000,F$2,'Mitra per Bulan'!$C$2:$C1000,$A52)</f>
        <v>336000</v>
      </c>
      <c r="G52" s="110">
        <f ca="1">SUMIFS('Mitra per Bulan'!$I$2:$I1000,'Mitra per Bulan'!$E$2:$E1000,G$2,'Mitra per Bulan'!$C$2:$C1000,$A52)</f>
        <v>2380000</v>
      </c>
      <c r="H52" s="110">
        <f ca="1">SUMIFS('Mitra per Bulan'!$I$2:$I1000,'Mitra per Bulan'!$E$2:$E1000,H$2,'Mitra per Bulan'!$C$2:$C1000,$A52)</f>
        <v>0</v>
      </c>
      <c r="I52" s="110">
        <f ca="1">SUMIFS('Mitra per Bulan'!$I$2:$I1000,'Mitra per Bulan'!$E$2:$E1000,I$2,'Mitra per Bulan'!$C$2:$C1000,$A52)</f>
        <v>0</v>
      </c>
      <c r="J52" s="110">
        <f ca="1">SUMIFS('Mitra per Bulan'!$I$2:$I1000,'Mitra per Bulan'!$E$2:$E1000,J$2,'Mitra per Bulan'!$C$2:$C1000,$A52)</f>
        <v>0</v>
      </c>
      <c r="K52" s="110">
        <f ca="1">SUMIFS('Mitra per Bulan'!$I$2:$I1000,'Mitra per Bulan'!$E$2:$E1000,K$2,'Mitra per Bulan'!$C$2:$C1000,$A52)</f>
        <v>0</v>
      </c>
      <c r="L52" s="110">
        <f ca="1">SUMIFS('Mitra per Bulan'!$I$2:$I1000,'Mitra per Bulan'!$E$2:$E1000,L$2,'Mitra per Bulan'!$C$2:$C1000,$A52)</f>
        <v>0</v>
      </c>
      <c r="M52" s="110">
        <f ca="1">SUMIFS('Mitra per Bulan'!$I$2:$I1000,'Mitra per Bulan'!$E$2:$E1000,M$2,'Mitra per Bulan'!$C$2:$C1000,$A52)</f>
        <v>0</v>
      </c>
      <c r="N52" s="110">
        <f ca="1">SUMIFS('Mitra per Bulan'!$I$2:$I1000,'Mitra per Bulan'!$E$2:$E1000,N$2,'Mitra per Bulan'!$C$2:$C1000,$A52)</f>
        <v>0</v>
      </c>
      <c r="O52" s="110">
        <f ca="1">SUMIFS('Mitra per Bulan'!$I$2:$I1000,'Mitra per Bulan'!$E$2:$E1000,O$2,'Mitra per Bulan'!$C$2:$C1000,$A52)</f>
        <v>0</v>
      </c>
      <c r="P52" s="110">
        <f ca="1">SUMIFS('Mitra per Bulan'!$I$2:$I1000,'Mitra per Bulan'!$E$2:$E1000,P$2,'Mitra per Bulan'!$C$2:$C1000,$A52)</f>
        <v>0</v>
      </c>
    </row>
    <row r="53" spans="1:16" ht="12.5">
      <c r="A53" s="10">
        <f ca="1">IFERROR(__xludf.DUMMYFUNCTION("""COMPUTED_VALUE"""),610422100016)</f>
        <v>610422100016</v>
      </c>
      <c r="B53" s="10" t="str">
        <f t="array" aca="1" ref="B53" ca="1">INDEX('Database Mitra'!$C$2:$C1000,MATCH(A53,'Database Mitra'!$B$2:$B1000,0))</f>
        <v>Amalia Faisya</v>
      </c>
      <c r="C53" s="110"/>
      <c r="D53" s="110">
        <f t="shared" ca="1" si="0"/>
        <v>9896500</v>
      </c>
      <c r="E53" s="110">
        <f ca="1">SUMIFS('Mitra per Bulan'!$I$2:$I1000,'Mitra per Bulan'!$E$2:$E1000,E$2,'Mitra per Bulan'!$C$2:$C1000,$A53)</f>
        <v>0</v>
      </c>
      <c r="F53" s="110">
        <f ca="1">SUMIFS('Mitra per Bulan'!$I$2:$I1000,'Mitra per Bulan'!$E$2:$E1000,F$2,'Mitra per Bulan'!$C$2:$C1000,$A53)</f>
        <v>586000</v>
      </c>
      <c r="G53" s="110">
        <f ca="1">SUMIFS('Mitra per Bulan'!$I$2:$I1000,'Mitra per Bulan'!$E$2:$E1000,G$2,'Mitra per Bulan'!$C$2:$C1000,$A53)</f>
        <v>2630000</v>
      </c>
      <c r="H53" s="110">
        <f ca="1">SUMIFS('Mitra per Bulan'!$I$2:$I1000,'Mitra per Bulan'!$E$2:$E1000,H$2,'Mitra per Bulan'!$C$2:$C1000,$A53)</f>
        <v>250000</v>
      </c>
      <c r="I53" s="110">
        <f ca="1">SUMIFS('Mitra per Bulan'!$I$2:$I1000,'Mitra per Bulan'!$E$2:$E1000,I$2,'Mitra per Bulan'!$C$2:$C1000,$A53)</f>
        <v>250000</v>
      </c>
      <c r="J53" s="110">
        <f ca="1">SUMIFS('Mitra per Bulan'!$I$2:$I1000,'Mitra per Bulan'!$E$2:$E1000,J$2,'Mitra per Bulan'!$C$2:$C1000,$A53)</f>
        <v>0</v>
      </c>
      <c r="K53" s="110">
        <f ca="1">SUMIFS('Mitra per Bulan'!$I$2:$I1000,'Mitra per Bulan'!$E$2:$E1000,K$2,'Mitra per Bulan'!$C$2:$C1000,$A53)</f>
        <v>3548000</v>
      </c>
      <c r="L53" s="110">
        <f ca="1">SUMIFS('Mitra per Bulan'!$I$2:$I1000,'Mitra per Bulan'!$E$2:$E1000,L$2,'Mitra per Bulan'!$C$2:$C1000,$A53)</f>
        <v>250000</v>
      </c>
      <c r="M53" s="110">
        <f ca="1">SUMIFS('Mitra per Bulan'!$I$2:$I1000,'Mitra per Bulan'!$E$2:$E1000,M$2,'Mitra per Bulan'!$C$2:$C1000,$A53)</f>
        <v>250000</v>
      </c>
      <c r="N53" s="110">
        <f ca="1">SUMIFS('Mitra per Bulan'!$I$2:$I1000,'Mitra per Bulan'!$E$2:$E1000,N$2,'Mitra per Bulan'!$C$2:$C1000,$A53)</f>
        <v>1632500</v>
      </c>
      <c r="O53" s="110">
        <f ca="1">SUMIFS('Mitra per Bulan'!$I$2:$I1000,'Mitra per Bulan'!$E$2:$E1000,O$2,'Mitra per Bulan'!$C$2:$C1000,$A53)</f>
        <v>250000</v>
      </c>
      <c r="P53" s="110">
        <f ca="1">SUMIFS('Mitra per Bulan'!$I$2:$I1000,'Mitra per Bulan'!$E$2:$E1000,P$2,'Mitra per Bulan'!$C$2:$C1000,$A53)</f>
        <v>250000</v>
      </c>
    </row>
    <row r="54" spans="1:16" ht="12.5">
      <c r="A54" s="10">
        <f ca="1">IFERROR(__xludf.DUMMYFUNCTION("""COMPUTED_VALUE"""),610422100101)</f>
        <v>610422100101</v>
      </c>
      <c r="B54" s="10" t="str">
        <f t="array" aca="1" ref="B54" ca="1">INDEX('Database Mitra'!$C$2:$C1000,MATCH(A54,'Database Mitra'!$B$2:$B1000,0))</f>
        <v>SUKMAWATI,S.SI</v>
      </c>
      <c r="C54" s="110"/>
      <c r="D54" s="110">
        <f t="shared" ca="1" si="0"/>
        <v>9143000</v>
      </c>
      <c r="E54" s="110">
        <f ca="1">SUMIFS('Mitra per Bulan'!$I$2:$I1000,'Mitra per Bulan'!$E$2:$E1000,E$2,'Mitra per Bulan'!$C$2:$C1000,$A54)</f>
        <v>0</v>
      </c>
      <c r="F54" s="110">
        <f ca="1">SUMIFS('Mitra per Bulan'!$I$2:$I1000,'Mitra per Bulan'!$E$2:$E1000,F$2,'Mitra per Bulan'!$C$2:$C1000,$A54)</f>
        <v>336000</v>
      </c>
      <c r="G54" s="110">
        <f ca="1">SUMIFS('Mitra per Bulan'!$I$2:$I1000,'Mitra per Bulan'!$E$2:$E1000,G$2,'Mitra per Bulan'!$C$2:$C1000,$A54)</f>
        <v>2380000</v>
      </c>
      <c r="H54" s="110">
        <f ca="1">SUMIFS('Mitra per Bulan'!$I$2:$I1000,'Mitra per Bulan'!$E$2:$E1000,H$2,'Mitra per Bulan'!$C$2:$C1000,$A54)</f>
        <v>0</v>
      </c>
      <c r="I54" s="110">
        <f ca="1">SUMIFS('Mitra per Bulan'!$I$2:$I1000,'Mitra per Bulan'!$E$2:$E1000,I$2,'Mitra per Bulan'!$C$2:$C1000,$A54)</f>
        <v>0</v>
      </c>
      <c r="J54" s="110">
        <f ca="1">SUMIFS('Mitra per Bulan'!$I$2:$I1000,'Mitra per Bulan'!$E$2:$E1000,J$2,'Mitra per Bulan'!$C$2:$C1000,$A54)</f>
        <v>4694000</v>
      </c>
      <c r="K54" s="110">
        <f ca="1">SUMIFS('Mitra per Bulan'!$I$2:$I1000,'Mitra per Bulan'!$E$2:$E1000,K$2,'Mitra per Bulan'!$C$2:$C1000,$A54)</f>
        <v>0</v>
      </c>
      <c r="L54" s="110">
        <f ca="1">SUMIFS('Mitra per Bulan'!$I$2:$I1000,'Mitra per Bulan'!$E$2:$E1000,L$2,'Mitra per Bulan'!$C$2:$C1000,$A54)</f>
        <v>0</v>
      </c>
      <c r="M54" s="110">
        <f ca="1">SUMIFS('Mitra per Bulan'!$I$2:$I1000,'Mitra per Bulan'!$E$2:$E1000,M$2,'Mitra per Bulan'!$C$2:$C1000,$A54)</f>
        <v>1733000</v>
      </c>
      <c r="N54" s="110">
        <f ca="1">SUMIFS('Mitra per Bulan'!$I$2:$I1000,'Mitra per Bulan'!$E$2:$E1000,N$2,'Mitra per Bulan'!$C$2:$C1000,$A54)</f>
        <v>0</v>
      </c>
      <c r="O54" s="110">
        <f ca="1">SUMIFS('Mitra per Bulan'!$I$2:$I1000,'Mitra per Bulan'!$E$2:$E1000,O$2,'Mitra per Bulan'!$C$2:$C1000,$A54)</f>
        <v>0</v>
      </c>
      <c r="P54" s="110">
        <f ca="1">SUMIFS('Mitra per Bulan'!$I$2:$I1000,'Mitra per Bulan'!$E$2:$E1000,P$2,'Mitra per Bulan'!$C$2:$C1000,$A54)</f>
        <v>0</v>
      </c>
    </row>
    <row r="55" spans="1:16" ht="12.5">
      <c r="A55" s="10">
        <f ca="1">IFERROR(__xludf.DUMMYFUNCTION("""COMPUTED_VALUE"""),610422100147)</f>
        <v>610422100147</v>
      </c>
      <c r="B55" s="10" t="str">
        <f t="array" aca="1" ref="B55" ca="1">INDEX('Database Mitra'!$C$2:$C1000,MATCH(A55,'Database Mitra'!$B$2:$B1000,0))</f>
        <v>Bella</v>
      </c>
      <c r="C55" s="110"/>
      <c r="D55" s="110">
        <f t="shared" ca="1" si="0"/>
        <v>2716000</v>
      </c>
      <c r="E55" s="110">
        <f ca="1">SUMIFS('Mitra per Bulan'!$I$2:$I1000,'Mitra per Bulan'!$E$2:$E1000,E$2,'Mitra per Bulan'!$C$2:$C1000,$A55)</f>
        <v>0</v>
      </c>
      <c r="F55" s="110">
        <f ca="1">SUMIFS('Mitra per Bulan'!$I$2:$I1000,'Mitra per Bulan'!$E$2:$E1000,F$2,'Mitra per Bulan'!$C$2:$C1000,$A55)</f>
        <v>336000</v>
      </c>
      <c r="G55" s="110">
        <f ca="1">SUMIFS('Mitra per Bulan'!$I$2:$I1000,'Mitra per Bulan'!$E$2:$E1000,G$2,'Mitra per Bulan'!$C$2:$C1000,$A55)</f>
        <v>2380000</v>
      </c>
      <c r="H55" s="110">
        <f ca="1">SUMIFS('Mitra per Bulan'!$I$2:$I1000,'Mitra per Bulan'!$E$2:$E1000,H$2,'Mitra per Bulan'!$C$2:$C1000,$A55)</f>
        <v>0</v>
      </c>
      <c r="I55" s="110">
        <f ca="1">SUMIFS('Mitra per Bulan'!$I$2:$I1000,'Mitra per Bulan'!$E$2:$E1000,I$2,'Mitra per Bulan'!$C$2:$C1000,$A55)</f>
        <v>0</v>
      </c>
      <c r="J55" s="110">
        <f ca="1">SUMIFS('Mitra per Bulan'!$I$2:$I1000,'Mitra per Bulan'!$E$2:$E1000,J$2,'Mitra per Bulan'!$C$2:$C1000,$A55)</f>
        <v>0</v>
      </c>
      <c r="K55" s="110">
        <f ca="1">SUMIFS('Mitra per Bulan'!$I$2:$I1000,'Mitra per Bulan'!$E$2:$E1000,K$2,'Mitra per Bulan'!$C$2:$C1000,$A55)</f>
        <v>0</v>
      </c>
      <c r="L55" s="110">
        <f ca="1">SUMIFS('Mitra per Bulan'!$I$2:$I1000,'Mitra per Bulan'!$E$2:$E1000,L$2,'Mitra per Bulan'!$C$2:$C1000,$A55)</f>
        <v>0</v>
      </c>
      <c r="M55" s="110">
        <f ca="1">SUMIFS('Mitra per Bulan'!$I$2:$I1000,'Mitra per Bulan'!$E$2:$E1000,M$2,'Mitra per Bulan'!$C$2:$C1000,$A55)</f>
        <v>0</v>
      </c>
      <c r="N55" s="110">
        <f ca="1">SUMIFS('Mitra per Bulan'!$I$2:$I1000,'Mitra per Bulan'!$E$2:$E1000,N$2,'Mitra per Bulan'!$C$2:$C1000,$A55)</f>
        <v>0</v>
      </c>
      <c r="O55" s="110">
        <f ca="1">SUMIFS('Mitra per Bulan'!$I$2:$I1000,'Mitra per Bulan'!$E$2:$E1000,O$2,'Mitra per Bulan'!$C$2:$C1000,$A55)</f>
        <v>0</v>
      </c>
      <c r="P55" s="110">
        <f ca="1">SUMIFS('Mitra per Bulan'!$I$2:$I1000,'Mitra per Bulan'!$E$2:$E1000,P$2,'Mitra per Bulan'!$C$2:$C1000,$A55)</f>
        <v>0</v>
      </c>
    </row>
    <row r="56" spans="1:16" ht="12.5">
      <c r="A56" s="10">
        <f ca="1">IFERROR(__xludf.DUMMYFUNCTION("""COMPUTED_VALUE"""),610422050008)</f>
        <v>610422050008</v>
      </c>
      <c r="B56" s="10" t="str">
        <f t="array" aca="1" ref="B56" ca="1">INDEX('Database Mitra'!$C$2:$C1000,MATCH(A56,'Database Mitra'!$B$2:$B1000,0))</f>
        <v>Desi Natalia</v>
      </c>
      <c r="C56" s="110"/>
      <c r="D56" s="110">
        <f t="shared" ca="1" si="0"/>
        <v>2716000</v>
      </c>
      <c r="E56" s="110">
        <f ca="1">SUMIFS('Mitra per Bulan'!$I$2:$I1000,'Mitra per Bulan'!$E$2:$E1000,E$2,'Mitra per Bulan'!$C$2:$C1000,$A56)</f>
        <v>0</v>
      </c>
      <c r="F56" s="110">
        <f ca="1">SUMIFS('Mitra per Bulan'!$I$2:$I1000,'Mitra per Bulan'!$E$2:$E1000,F$2,'Mitra per Bulan'!$C$2:$C1000,$A56)</f>
        <v>336000</v>
      </c>
      <c r="G56" s="110">
        <f ca="1">SUMIFS('Mitra per Bulan'!$I$2:$I1000,'Mitra per Bulan'!$E$2:$E1000,G$2,'Mitra per Bulan'!$C$2:$C1000,$A56)</f>
        <v>2380000</v>
      </c>
      <c r="H56" s="110">
        <f ca="1">SUMIFS('Mitra per Bulan'!$I$2:$I1000,'Mitra per Bulan'!$E$2:$E1000,H$2,'Mitra per Bulan'!$C$2:$C1000,$A56)</f>
        <v>0</v>
      </c>
      <c r="I56" s="110">
        <f ca="1">SUMIFS('Mitra per Bulan'!$I$2:$I1000,'Mitra per Bulan'!$E$2:$E1000,I$2,'Mitra per Bulan'!$C$2:$C1000,$A56)</f>
        <v>0</v>
      </c>
      <c r="J56" s="110">
        <f ca="1">SUMIFS('Mitra per Bulan'!$I$2:$I1000,'Mitra per Bulan'!$E$2:$E1000,J$2,'Mitra per Bulan'!$C$2:$C1000,$A56)</f>
        <v>0</v>
      </c>
      <c r="K56" s="110">
        <f ca="1">SUMIFS('Mitra per Bulan'!$I$2:$I1000,'Mitra per Bulan'!$E$2:$E1000,K$2,'Mitra per Bulan'!$C$2:$C1000,$A56)</f>
        <v>0</v>
      </c>
      <c r="L56" s="110">
        <f ca="1">SUMIFS('Mitra per Bulan'!$I$2:$I1000,'Mitra per Bulan'!$E$2:$E1000,L$2,'Mitra per Bulan'!$C$2:$C1000,$A56)</f>
        <v>0</v>
      </c>
      <c r="M56" s="110">
        <f ca="1">SUMIFS('Mitra per Bulan'!$I$2:$I1000,'Mitra per Bulan'!$E$2:$E1000,M$2,'Mitra per Bulan'!$C$2:$C1000,$A56)</f>
        <v>0</v>
      </c>
      <c r="N56" s="110">
        <f ca="1">SUMIFS('Mitra per Bulan'!$I$2:$I1000,'Mitra per Bulan'!$E$2:$E1000,N$2,'Mitra per Bulan'!$C$2:$C1000,$A56)</f>
        <v>0</v>
      </c>
      <c r="O56" s="110">
        <f ca="1">SUMIFS('Mitra per Bulan'!$I$2:$I1000,'Mitra per Bulan'!$E$2:$E1000,O$2,'Mitra per Bulan'!$C$2:$C1000,$A56)</f>
        <v>0</v>
      </c>
      <c r="P56" s="110">
        <f ca="1">SUMIFS('Mitra per Bulan'!$I$2:$I1000,'Mitra per Bulan'!$E$2:$E1000,P$2,'Mitra per Bulan'!$C$2:$C1000,$A56)</f>
        <v>0</v>
      </c>
    </row>
    <row r="57" spans="1:16" ht="12.5">
      <c r="A57" s="10">
        <f ca="1">IFERROR(__xludf.DUMMYFUNCTION("""COMPUTED_VALUE"""),610422100085)</f>
        <v>610422100085</v>
      </c>
      <c r="B57" s="10" t="str">
        <f t="array" aca="1" ref="B57" ca="1">INDEX('Database Mitra'!$C$2:$C1000,MATCH(A57,'Database Mitra'!$B$2:$B1000,0))</f>
        <v>LINA AGUSTIN WIDYA SIWI</v>
      </c>
      <c r="C57" s="110"/>
      <c r="D57" s="110">
        <f t="shared" ca="1" si="0"/>
        <v>5736000</v>
      </c>
      <c r="E57" s="110">
        <f ca="1">SUMIFS('Mitra per Bulan'!$I$2:$I1000,'Mitra per Bulan'!$E$2:$E1000,E$2,'Mitra per Bulan'!$C$2:$C1000,$A57)</f>
        <v>0</v>
      </c>
      <c r="F57" s="110">
        <f ca="1">SUMIFS('Mitra per Bulan'!$I$2:$I1000,'Mitra per Bulan'!$E$2:$E1000,F$2,'Mitra per Bulan'!$C$2:$C1000,$A57)</f>
        <v>768000</v>
      </c>
      <c r="G57" s="110">
        <f ca="1">SUMIFS('Mitra per Bulan'!$I$2:$I1000,'Mitra per Bulan'!$E$2:$E1000,G$2,'Mitra per Bulan'!$C$2:$C1000,$A57)</f>
        <v>1190000</v>
      </c>
      <c r="H57" s="110">
        <f ca="1">SUMIFS('Mitra per Bulan'!$I$2:$I1000,'Mitra per Bulan'!$E$2:$E1000,H$2,'Mitra per Bulan'!$C$2:$C1000,$A57)</f>
        <v>0</v>
      </c>
      <c r="I57" s="110">
        <f ca="1">SUMIFS('Mitra per Bulan'!$I$2:$I1000,'Mitra per Bulan'!$E$2:$E1000,I$2,'Mitra per Bulan'!$C$2:$C1000,$A57)</f>
        <v>0</v>
      </c>
      <c r="J57" s="110">
        <f ca="1">SUMIFS('Mitra per Bulan'!$I$2:$I1000,'Mitra per Bulan'!$E$2:$E1000,J$2,'Mitra per Bulan'!$C$2:$C1000,$A57)</f>
        <v>0</v>
      </c>
      <c r="K57" s="110">
        <f ca="1">SUMIFS('Mitra per Bulan'!$I$2:$I1000,'Mitra per Bulan'!$E$2:$E1000,K$2,'Mitra per Bulan'!$C$2:$C1000,$A57)</f>
        <v>910000</v>
      </c>
      <c r="L57" s="110">
        <f ca="1">SUMIFS('Mitra per Bulan'!$I$2:$I1000,'Mitra per Bulan'!$E$2:$E1000,L$2,'Mitra per Bulan'!$C$2:$C1000,$A57)</f>
        <v>0</v>
      </c>
      <c r="M57" s="110">
        <f ca="1">SUMIFS('Mitra per Bulan'!$I$2:$I1000,'Mitra per Bulan'!$E$2:$E1000,M$2,'Mitra per Bulan'!$C$2:$C1000,$A57)</f>
        <v>1958000</v>
      </c>
      <c r="N57" s="110">
        <f ca="1">SUMIFS('Mitra per Bulan'!$I$2:$I1000,'Mitra per Bulan'!$E$2:$E1000,N$2,'Mitra per Bulan'!$C$2:$C1000,$A57)</f>
        <v>0</v>
      </c>
      <c r="O57" s="110">
        <f ca="1">SUMIFS('Mitra per Bulan'!$I$2:$I1000,'Mitra per Bulan'!$E$2:$E1000,O$2,'Mitra per Bulan'!$C$2:$C1000,$A57)</f>
        <v>910000</v>
      </c>
      <c r="P57" s="110">
        <f ca="1">SUMIFS('Mitra per Bulan'!$I$2:$I1000,'Mitra per Bulan'!$E$2:$E1000,P$2,'Mitra per Bulan'!$C$2:$C1000,$A57)</f>
        <v>0</v>
      </c>
    </row>
    <row r="58" spans="1:16" ht="12.5">
      <c r="A58" s="10">
        <f ca="1">IFERROR(__xludf.DUMMYFUNCTION("""COMPUTED_VALUE"""),610422060001)</f>
        <v>610422060001</v>
      </c>
      <c r="B58" s="10" t="str">
        <f t="array" aca="1" ref="B58" ca="1">INDEX('Database Mitra'!$C$2:$C1000,MATCH(A58,'Database Mitra'!$B$2:$B1000,0))</f>
        <v>Elman</v>
      </c>
      <c r="C58" s="110"/>
      <c r="D58" s="110">
        <f t="shared" ca="1" si="0"/>
        <v>2716000</v>
      </c>
      <c r="E58" s="110">
        <f ca="1">SUMIFS('Mitra per Bulan'!$I$2:$I1000,'Mitra per Bulan'!$E$2:$E1000,E$2,'Mitra per Bulan'!$C$2:$C1000,$A58)</f>
        <v>0</v>
      </c>
      <c r="F58" s="110">
        <f ca="1">SUMIFS('Mitra per Bulan'!$I$2:$I1000,'Mitra per Bulan'!$E$2:$E1000,F$2,'Mitra per Bulan'!$C$2:$C1000,$A58)</f>
        <v>336000</v>
      </c>
      <c r="G58" s="110">
        <f ca="1">SUMIFS('Mitra per Bulan'!$I$2:$I1000,'Mitra per Bulan'!$E$2:$E1000,G$2,'Mitra per Bulan'!$C$2:$C1000,$A58)</f>
        <v>2380000</v>
      </c>
      <c r="H58" s="110">
        <f ca="1">SUMIFS('Mitra per Bulan'!$I$2:$I1000,'Mitra per Bulan'!$E$2:$E1000,H$2,'Mitra per Bulan'!$C$2:$C1000,$A58)</f>
        <v>0</v>
      </c>
      <c r="I58" s="110">
        <f ca="1">SUMIFS('Mitra per Bulan'!$I$2:$I1000,'Mitra per Bulan'!$E$2:$E1000,I$2,'Mitra per Bulan'!$C$2:$C1000,$A58)</f>
        <v>0</v>
      </c>
      <c r="J58" s="110">
        <f ca="1">SUMIFS('Mitra per Bulan'!$I$2:$I1000,'Mitra per Bulan'!$E$2:$E1000,J$2,'Mitra per Bulan'!$C$2:$C1000,$A58)</f>
        <v>0</v>
      </c>
      <c r="K58" s="110">
        <f ca="1">SUMIFS('Mitra per Bulan'!$I$2:$I1000,'Mitra per Bulan'!$E$2:$E1000,K$2,'Mitra per Bulan'!$C$2:$C1000,$A58)</f>
        <v>0</v>
      </c>
      <c r="L58" s="110">
        <f ca="1">SUMIFS('Mitra per Bulan'!$I$2:$I1000,'Mitra per Bulan'!$E$2:$E1000,L$2,'Mitra per Bulan'!$C$2:$C1000,$A58)</f>
        <v>0</v>
      </c>
      <c r="M58" s="110">
        <f ca="1">SUMIFS('Mitra per Bulan'!$I$2:$I1000,'Mitra per Bulan'!$E$2:$E1000,M$2,'Mitra per Bulan'!$C$2:$C1000,$A58)</f>
        <v>0</v>
      </c>
      <c r="N58" s="110">
        <f ca="1">SUMIFS('Mitra per Bulan'!$I$2:$I1000,'Mitra per Bulan'!$E$2:$E1000,N$2,'Mitra per Bulan'!$C$2:$C1000,$A58)</f>
        <v>0</v>
      </c>
      <c r="O58" s="110">
        <f ca="1">SUMIFS('Mitra per Bulan'!$I$2:$I1000,'Mitra per Bulan'!$E$2:$E1000,O$2,'Mitra per Bulan'!$C$2:$C1000,$A58)</f>
        <v>0</v>
      </c>
      <c r="P58" s="110">
        <f ca="1">SUMIFS('Mitra per Bulan'!$I$2:$I1000,'Mitra per Bulan'!$E$2:$E1000,P$2,'Mitra per Bulan'!$C$2:$C1000,$A58)</f>
        <v>0</v>
      </c>
    </row>
    <row r="59" spans="1:16" ht="12.5">
      <c r="A59" s="10">
        <f ca="1">IFERROR(__xludf.DUMMYFUNCTION("""COMPUTED_VALUE"""),610422100001)</f>
        <v>610422100001</v>
      </c>
      <c r="B59" s="10" t="str">
        <f t="array" aca="1" ref="B59" ca="1">INDEX('Database Mitra'!$C$2:$C1000,MATCH(A59,'Database Mitra'!$B$2:$B1000,0))</f>
        <v>Fatmawati,S.Hut</v>
      </c>
      <c r="C59" s="110"/>
      <c r="D59" s="110">
        <f t="shared" ca="1" si="0"/>
        <v>5750000</v>
      </c>
      <c r="E59" s="110">
        <f ca="1">SUMIFS('Mitra per Bulan'!$I$2:$I1000,'Mitra per Bulan'!$E$2:$E1000,E$2,'Mitra per Bulan'!$C$2:$C1000,$A59)</f>
        <v>0</v>
      </c>
      <c r="F59" s="110">
        <f ca="1">SUMIFS('Mitra per Bulan'!$I$2:$I1000,'Mitra per Bulan'!$E$2:$E1000,F$2,'Mitra per Bulan'!$C$2:$C1000,$A59)</f>
        <v>336000</v>
      </c>
      <c r="G59" s="110">
        <f ca="1">SUMIFS('Mitra per Bulan'!$I$2:$I1000,'Mitra per Bulan'!$E$2:$E1000,G$2,'Mitra per Bulan'!$C$2:$C1000,$A59)</f>
        <v>2380000</v>
      </c>
      <c r="H59" s="110">
        <f ca="1">SUMIFS('Mitra per Bulan'!$I$2:$I1000,'Mitra per Bulan'!$E$2:$E1000,H$2,'Mitra per Bulan'!$C$2:$C1000,$A59)</f>
        <v>0</v>
      </c>
      <c r="I59" s="110">
        <f ca="1">SUMIFS('Mitra per Bulan'!$I$2:$I1000,'Mitra per Bulan'!$E$2:$E1000,I$2,'Mitra per Bulan'!$C$2:$C1000,$A59)</f>
        <v>0</v>
      </c>
      <c r="J59" s="110">
        <f ca="1">SUMIFS('Mitra per Bulan'!$I$2:$I1000,'Mitra per Bulan'!$E$2:$E1000,J$2,'Mitra per Bulan'!$C$2:$C1000,$A59)</f>
        <v>0</v>
      </c>
      <c r="K59" s="110">
        <f ca="1">SUMIFS('Mitra per Bulan'!$I$2:$I1000,'Mitra per Bulan'!$E$2:$E1000,K$2,'Mitra per Bulan'!$C$2:$C1000,$A59)</f>
        <v>0</v>
      </c>
      <c r="L59" s="110">
        <f ca="1">SUMIFS('Mitra per Bulan'!$I$2:$I1000,'Mitra per Bulan'!$E$2:$E1000,L$2,'Mitra per Bulan'!$C$2:$C1000,$A59)</f>
        <v>2530000</v>
      </c>
      <c r="M59" s="110">
        <f ca="1">SUMIFS('Mitra per Bulan'!$I$2:$I1000,'Mitra per Bulan'!$E$2:$E1000,M$2,'Mitra per Bulan'!$C$2:$C1000,$A59)</f>
        <v>504000</v>
      </c>
      <c r="N59" s="110">
        <f ca="1">SUMIFS('Mitra per Bulan'!$I$2:$I1000,'Mitra per Bulan'!$E$2:$E1000,N$2,'Mitra per Bulan'!$C$2:$C1000,$A59)</f>
        <v>0</v>
      </c>
      <c r="O59" s="110">
        <f ca="1">SUMIFS('Mitra per Bulan'!$I$2:$I1000,'Mitra per Bulan'!$E$2:$E1000,O$2,'Mitra per Bulan'!$C$2:$C1000,$A59)</f>
        <v>0</v>
      </c>
      <c r="P59" s="110">
        <f ca="1">SUMIFS('Mitra per Bulan'!$I$2:$I1000,'Mitra per Bulan'!$E$2:$E1000,P$2,'Mitra per Bulan'!$C$2:$C1000,$A59)</f>
        <v>0</v>
      </c>
    </row>
    <row r="60" spans="1:16" ht="12.5">
      <c r="A60" s="10">
        <f ca="1">IFERROR(__xludf.DUMMYFUNCTION("""COMPUTED_VALUE"""),610422040034)</f>
        <v>610422040034</v>
      </c>
      <c r="B60" s="10" t="str">
        <f t="array" aca="1" ref="B60" ca="1">INDEX('Database Mitra'!$C$2:$C1000,MATCH(A60,'Database Mitra'!$B$2:$B1000,0))</f>
        <v>Nelly Nalita</v>
      </c>
      <c r="C60" s="110"/>
      <c r="D60" s="110">
        <f t="shared" ca="1" si="0"/>
        <v>11252000</v>
      </c>
      <c r="E60" s="110">
        <f ca="1">SUMIFS('Mitra per Bulan'!$I$2:$I1000,'Mitra per Bulan'!$E$2:$E1000,E$2,'Mitra per Bulan'!$C$2:$C1000,$A60)</f>
        <v>0</v>
      </c>
      <c r="F60" s="110">
        <f ca="1">SUMIFS('Mitra per Bulan'!$I$2:$I1000,'Mitra per Bulan'!$E$2:$E1000,F$2,'Mitra per Bulan'!$C$2:$C1000,$A60)</f>
        <v>336000</v>
      </c>
      <c r="G60" s="110">
        <f ca="1">SUMIFS('Mitra per Bulan'!$I$2:$I1000,'Mitra per Bulan'!$E$2:$E1000,G$2,'Mitra per Bulan'!$C$2:$C1000,$A60)</f>
        <v>2380000</v>
      </c>
      <c r="H60" s="110">
        <f ca="1">SUMIFS('Mitra per Bulan'!$I$2:$I1000,'Mitra per Bulan'!$E$2:$E1000,H$2,'Mitra per Bulan'!$C$2:$C1000,$A60)</f>
        <v>0</v>
      </c>
      <c r="I60" s="110">
        <f ca="1">SUMIFS('Mitra per Bulan'!$I$2:$I1000,'Mitra per Bulan'!$E$2:$E1000,I$2,'Mitra per Bulan'!$C$2:$C1000,$A60)</f>
        <v>0</v>
      </c>
      <c r="J60" s="110">
        <f ca="1">SUMIFS('Mitra per Bulan'!$I$2:$I1000,'Mitra per Bulan'!$E$2:$E1000,J$2,'Mitra per Bulan'!$C$2:$C1000,$A60)</f>
        <v>4694000</v>
      </c>
      <c r="K60" s="110">
        <f ca="1">SUMIFS('Mitra per Bulan'!$I$2:$I1000,'Mitra per Bulan'!$E$2:$E1000,K$2,'Mitra per Bulan'!$C$2:$C1000,$A60)</f>
        <v>0</v>
      </c>
      <c r="L60" s="110">
        <f ca="1">SUMIFS('Mitra per Bulan'!$I$2:$I1000,'Mitra per Bulan'!$E$2:$E1000,L$2,'Mitra per Bulan'!$C$2:$C1000,$A60)</f>
        <v>1980000</v>
      </c>
      <c r="M60" s="110">
        <f ca="1">SUMIFS('Mitra per Bulan'!$I$2:$I1000,'Mitra per Bulan'!$E$2:$E1000,M$2,'Mitra per Bulan'!$C$2:$C1000,$A60)</f>
        <v>1862000</v>
      </c>
      <c r="N60" s="110">
        <f ca="1">SUMIFS('Mitra per Bulan'!$I$2:$I1000,'Mitra per Bulan'!$E$2:$E1000,N$2,'Mitra per Bulan'!$C$2:$C1000,$A60)</f>
        <v>0</v>
      </c>
      <c r="O60" s="110">
        <f ca="1">SUMIFS('Mitra per Bulan'!$I$2:$I1000,'Mitra per Bulan'!$E$2:$E1000,O$2,'Mitra per Bulan'!$C$2:$C1000,$A60)</f>
        <v>0</v>
      </c>
      <c r="P60" s="110">
        <f ca="1">SUMIFS('Mitra per Bulan'!$I$2:$I1000,'Mitra per Bulan'!$E$2:$E1000,P$2,'Mitra per Bulan'!$C$2:$C1000,$A60)</f>
        <v>0</v>
      </c>
    </row>
    <row r="61" spans="1:16" ht="12.5">
      <c r="A61" s="10">
        <f ca="1">IFERROR(__xludf.DUMMYFUNCTION("""COMPUTED_VALUE"""),610422040052)</f>
        <v>610422040052</v>
      </c>
      <c r="B61" s="10" t="str">
        <f t="array" aca="1" ref="B61" ca="1">INDEX('Database Mitra'!$C$2:$C1000,MATCH(A61,'Database Mitra'!$B$2:$B1000,0))</f>
        <v>Yusimianto</v>
      </c>
      <c r="C61" s="110"/>
      <c r="D61" s="110">
        <f t="shared" ca="1" si="0"/>
        <v>12086000</v>
      </c>
      <c r="E61" s="110">
        <f ca="1">SUMIFS('Mitra per Bulan'!$I$2:$I1000,'Mitra per Bulan'!$E$2:$E1000,E$2,'Mitra per Bulan'!$C$2:$C1000,$A61)</f>
        <v>0</v>
      </c>
      <c r="F61" s="110">
        <f ca="1">SUMIFS('Mitra per Bulan'!$I$2:$I1000,'Mitra per Bulan'!$E$2:$E1000,F$2,'Mitra per Bulan'!$C$2:$C1000,$A61)</f>
        <v>768000</v>
      </c>
      <c r="G61" s="110">
        <f ca="1">SUMIFS('Mitra per Bulan'!$I$2:$I1000,'Mitra per Bulan'!$E$2:$E1000,G$2,'Mitra per Bulan'!$C$2:$C1000,$A61)</f>
        <v>1190000</v>
      </c>
      <c r="H61" s="110">
        <f ca="1">SUMIFS('Mitra per Bulan'!$I$2:$I1000,'Mitra per Bulan'!$E$2:$E1000,H$2,'Mitra per Bulan'!$C$2:$C1000,$A61)</f>
        <v>0</v>
      </c>
      <c r="I61" s="110">
        <f ca="1">SUMIFS('Mitra per Bulan'!$I$2:$I1000,'Mitra per Bulan'!$E$2:$E1000,I$2,'Mitra per Bulan'!$C$2:$C1000,$A61)</f>
        <v>0</v>
      </c>
      <c r="J61" s="110">
        <f ca="1">SUMIFS('Mitra per Bulan'!$I$2:$I1000,'Mitra per Bulan'!$E$2:$E1000,J$2,'Mitra per Bulan'!$C$2:$C1000,$A61)</f>
        <v>4694000</v>
      </c>
      <c r="K61" s="110">
        <f ca="1">SUMIFS('Mitra per Bulan'!$I$2:$I1000,'Mitra per Bulan'!$E$2:$E1000,K$2,'Mitra per Bulan'!$C$2:$C1000,$A61)</f>
        <v>910000</v>
      </c>
      <c r="L61" s="110">
        <f ca="1">SUMIFS('Mitra per Bulan'!$I$2:$I1000,'Mitra per Bulan'!$E$2:$E1000,L$2,'Mitra per Bulan'!$C$2:$C1000,$A61)</f>
        <v>1320000</v>
      </c>
      <c r="M61" s="110">
        <f ca="1">SUMIFS('Mitra per Bulan'!$I$2:$I1000,'Mitra per Bulan'!$E$2:$E1000,M$2,'Mitra per Bulan'!$C$2:$C1000,$A61)</f>
        <v>2294000</v>
      </c>
      <c r="N61" s="110">
        <f ca="1">SUMIFS('Mitra per Bulan'!$I$2:$I1000,'Mitra per Bulan'!$E$2:$E1000,N$2,'Mitra per Bulan'!$C$2:$C1000,$A61)</f>
        <v>0</v>
      </c>
      <c r="O61" s="110">
        <f ca="1">SUMIFS('Mitra per Bulan'!$I$2:$I1000,'Mitra per Bulan'!$E$2:$E1000,O$2,'Mitra per Bulan'!$C$2:$C1000,$A61)</f>
        <v>910000</v>
      </c>
      <c r="P61" s="110">
        <f ca="1">SUMIFS('Mitra per Bulan'!$I$2:$I1000,'Mitra per Bulan'!$E$2:$E1000,P$2,'Mitra per Bulan'!$C$2:$C1000,$A61)</f>
        <v>0</v>
      </c>
    </row>
    <row r="62" spans="1:16" ht="12.5">
      <c r="A62" s="10">
        <f ca="1">IFERROR(__xludf.DUMMYFUNCTION("""COMPUTED_VALUE"""),610422040006)</f>
        <v>610422040006</v>
      </c>
      <c r="B62" s="10" t="str">
        <f t="array" aca="1" ref="B62" ca="1">INDEX('Database Mitra'!$C$2:$C1000,MATCH(A62,'Database Mitra'!$B$2:$B1000,0))</f>
        <v>RIDHA NUR MITHA</v>
      </c>
      <c r="C62" s="110"/>
      <c r="D62" s="110">
        <f t="shared" ca="1" si="0"/>
        <v>2991000</v>
      </c>
      <c r="E62" s="110">
        <f ca="1">SUMIFS('Mitra per Bulan'!$I$2:$I1000,'Mitra per Bulan'!$E$2:$E1000,E$2,'Mitra per Bulan'!$C$2:$C1000,$A62)</f>
        <v>0</v>
      </c>
      <c r="F62" s="110">
        <f ca="1">SUMIFS('Mitra per Bulan'!$I$2:$I1000,'Mitra per Bulan'!$E$2:$E1000,F$2,'Mitra per Bulan'!$C$2:$C1000,$A62)</f>
        <v>336000</v>
      </c>
      <c r="G62" s="110">
        <f ca="1">SUMIFS('Mitra per Bulan'!$I$2:$I1000,'Mitra per Bulan'!$E$2:$E1000,G$2,'Mitra per Bulan'!$C$2:$C1000,$A62)</f>
        <v>2380000</v>
      </c>
      <c r="H62" s="110">
        <f ca="1">SUMIFS('Mitra per Bulan'!$I$2:$I1000,'Mitra per Bulan'!$E$2:$E1000,H$2,'Mitra per Bulan'!$C$2:$C1000,$A62)</f>
        <v>0</v>
      </c>
      <c r="I62" s="110">
        <f ca="1">SUMIFS('Mitra per Bulan'!$I$2:$I1000,'Mitra per Bulan'!$E$2:$E1000,I$2,'Mitra per Bulan'!$C$2:$C1000,$A62)</f>
        <v>0</v>
      </c>
      <c r="J62" s="110">
        <f ca="1">SUMIFS('Mitra per Bulan'!$I$2:$I1000,'Mitra per Bulan'!$E$2:$E1000,J$2,'Mitra per Bulan'!$C$2:$C1000,$A62)</f>
        <v>0</v>
      </c>
      <c r="K62" s="110">
        <f ca="1">SUMIFS('Mitra per Bulan'!$I$2:$I1000,'Mitra per Bulan'!$E$2:$E1000,K$2,'Mitra per Bulan'!$C$2:$C1000,$A62)</f>
        <v>0</v>
      </c>
      <c r="L62" s="110">
        <f ca="1">SUMIFS('Mitra per Bulan'!$I$2:$I1000,'Mitra per Bulan'!$E$2:$E1000,L$2,'Mitra per Bulan'!$C$2:$C1000,$A62)</f>
        <v>275000</v>
      </c>
      <c r="M62" s="110">
        <f ca="1">SUMIFS('Mitra per Bulan'!$I$2:$I1000,'Mitra per Bulan'!$E$2:$E1000,M$2,'Mitra per Bulan'!$C$2:$C1000,$A62)</f>
        <v>0</v>
      </c>
      <c r="N62" s="110">
        <f ca="1">SUMIFS('Mitra per Bulan'!$I$2:$I1000,'Mitra per Bulan'!$E$2:$E1000,N$2,'Mitra per Bulan'!$C$2:$C1000,$A62)</f>
        <v>0</v>
      </c>
      <c r="O62" s="110">
        <f ca="1">SUMIFS('Mitra per Bulan'!$I$2:$I1000,'Mitra per Bulan'!$E$2:$E1000,O$2,'Mitra per Bulan'!$C$2:$C1000,$A62)</f>
        <v>0</v>
      </c>
      <c r="P62" s="110">
        <f ca="1">SUMIFS('Mitra per Bulan'!$I$2:$I1000,'Mitra per Bulan'!$E$2:$E1000,P$2,'Mitra per Bulan'!$C$2:$C1000,$A62)</f>
        <v>0</v>
      </c>
    </row>
    <row r="63" spans="1:16" ht="12.5">
      <c r="A63" s="10">
        <f ca="1">IFERROR(__xludf.DUMMYFUNCTION("""COMPUTED_VALUE"""),610422040028)</f>
        <v>610422040028</v>
      </c>
      <c r="B63" s="10" t="str">
        <f t="array" aca="1" ref="B63" ca="1">INDEX('Database Mitra'!$C$2:$C1000,MATCH(A63,'Database Mitra'!$B$2:$B1000,0))</f>
        <v>Hafizh</v>
      </c>
      <c r="C63" s="110"/>
      <c r="D63" s="110">
        <f t="shared" ca="1" si="0"/>
        <v>2716000</v>
      </c>
      <c r="E63" s="110">
        <f ca="1">SUMIFS('Mitra per Bulan'!$I$2:$I1000,'Mitra per Bulan'!$E$2:$E1000,E$2,'Mitra per Bulan'!$C$2:$C1000,$A63)</f>
        <v>0</v>
      </c>
      <c r="F63" s="110">
        <f ca="1">SUMIFS('Mitra per Bulan'!$I$2:$I1000,'Mitra per Bulan'!$E$2:$E1000,F$2,'Mitra per Bulan'!$C$2:$C1000,$A63)</f>
        <v>336000</v>
      </c>
      <c r="G63" s="110">
        <f ca="1">SUMIFS('Mitra per Bulan'!$I$2:$I1000,'Mitra per Bulan'!$E$2:$E1000,G$2,'Mitra per Bulan'!$C$2:$C1000,$A63)</f>
        <v>2380000</v>
      </c>
      <c r="H63" s="110">
        <f ca="1">SUMIFS('Mitra per Bulan'!$I$2:$I1000,'Mitra per Bulan'!$E$2:$E1000,H$2,'Mitra per Bulan'!$C$2:$C1000,$A63)</f>
        <v>0</v>
      </c>
      <c r="I63" s="110">
        <f ca="1">SUMIFS('Mitra per Bulan'!$I$2:$I1000,'Mitra per Bulan'!$E$2:$E1000,I$2,'Mitra per Bulan'!$C$2:$C1000,$A63)</f>
        <v>0</v>
      </c>
      <c r="J63" s="110">
        <f ca="1">SUMIFS('Mitra per Bulan'!$I$2:$I1000,'Mitra per Bulan'!$E$2:$E1000,J$2,'Mitra per Bulan'!$C$2:$C1000,$A63)</f>
        <v>0</v>
      </c>
      <c r="K63" s="110">
        <f ca="1">SUMIFS('Mitra per Bulan'!$I$2:$I1000,'Mitra per Bulan'!$E$2:$E1000,K$2,'Mitra per Bulan'!$C$2:$C1000,$A63)</f>
        <v>0</v>
      </c>
      <c r="L63" s="110">
        <f ca="1">SUMIFS('Mitra per Bulan'!$I$2:$I1000,'Mitra per Bulan'!$E$2:$E1000,L$2,'Mitra per Bulan'!$C$2:$C1000,$A63)</f>
        <v>0</v>
      </c>
      <c r="M63" s="110">
        <f ca="1">SUMIFS('Mitra per Bulan'!$I$2:$I1000,'Mitra per Bulan'!$E$2:$E1000,M$2,'Mitra per Bulan'!$C$2:$C1000,$A63)</f>
        <v>0</v>
      </c>
      <c r="N63" s="110">
        <f ca="1">SUMIFS('Mitra per Bulan'!$I$2:$I1000,'Mitra per Bulan'!$E$2:$E1000,N$2,'Mitra per Bulan'!$C$2:$C1000,$A63)</f>
        <v>0</v>
      </c>
      <c r="O63" s="110">
        <f ca="1">SUMIFS('Mitra per Bulan'!$I$2:$I1000,'Mitra per Bulan'!$E$2:$E1000,O$2,'Mitra per Bulan'!$C$2:$C1000,$A63)</f>
        <v>0</v>
      </c>
      <c r="P63" s="110">
        <f ca="1">SUMIFS('Mitra per Bulan'!$I$2:$I1000,'Mitra per Bulan'!$E$2:$E1000,P$2,'Mitra per Bulan'!$C$2:$C1000,$A63)</f>
        <v>0</v>
      </c>
    </row>
    <row r="64" spans="1:16" ht="12.5">
      <c r="A64" s="10">
        <f ca="1">IFERROR(__xludf.DUMMYFUNCTION("""COMPUTED_VALUE"""),610422040035)</f>
        <v>610422040035</v>
      </c>
      <c r="B64" s="10" t="str">
        <f t="array" aca="1" ref="B64" ca="1">INDEX('Database Mitra'!$C$2:$C1000,MATCH(A64,'Database Mitra'!$B$2:$B1000,0))</f>
        <v>Rahmayani</v>
      </c>
      <c r="C64" s="110"/>
      <c r="D64" s="110">
        <f t="shared" ca="1" si="0"/>
        <v>6862000</v>
      </c>
      <c r="E64" s="110">
        <f ca="1">SUMIFS('Mitra per Bulan'!$I$2:$I1000,'Mitra per Bulan'!$E$2:$E1000,E$2,'Mitra per Bulan'!$C$2:$C1000,$A64)</f>
        <v>0</v>
      </c>
      <c r="F64" s="110">
        <f ca="1">SUMIFS('Mitra per Bulan'!$I$2:$I1000,'Mitra per Bulan'!$E$2:$E1000,F$2,'Mitra per Bulan'!$C$2:$C1000,$A64)</f>
        <v>768000</v>
      </c>
      <c r="G64" s="110">
        <f ca="1">SUMIFS('Mitra per Bulan'!$I$2:$I1000,'Mitra per Bulan'!$E$2:$E1000,G$2,'Mitra per Bulan'!$C$2:$C1000,$A64)</f>
        <v>1190000</v>
      </c>
      <c r="H64" s="110">
        <f ca="1">SUMIFS('Mitra per Bulan'!$I$2:$I1000,'Mitra per Bulan'!$E$2:$E1000,H$2,'Mitra per Bulan'!$C$2:$C1000,$A64)</f>
        <v>0</v>
      </c>
      <c r="I64" s="110">
        <f ca="1">SUMIFS('Mitra per Bulan'!$I$2:$I1000,'Mitra per Bulan'!$E$2:$E1000,I$2,'Mitra per Bulan'!$C$2:$C1000,$A64)</f>
        <v>0</v>
      </c>
      <c r="J64" s="110">
        <f ca="1">SUMIFS('Mitra per Bulan'!$I$2:$I1000,'Mitra per Bulan'!$E$2:$E1000,J$2,'Mitra per Bulan'!$C$2:$C1000,$A64)</f>
        <v>0</v>
      </c>
      <c r="K64" s="110">
        <f ca="1">SUMIFS('Mitra per Bulan'!$I$2:$I1000,'Mitra per Bulan'!$E$2:$E1000,K$2,'Mitra per Bulan'!$C$2:$C1000,$A64)</f>
        <v>910000</v>
      </c>
      <c r="L64" s="110">
        <f ca="1">SUMIFS('Mitra per Bulan'!$I$2:$I1000,'Mitra per Bulan'!$E$2:$E1000,L$2,'Mitra per Bulan'!$C$2:$C1000,$A64)</f>
        <v>1980000</v>
      </c>
      <c r="M64" s="110">
        <f ca="1">SUMIFS('Mitra per Bulan'!$I$2:$I1000,'Mitra per Bulan'!$E$2:$E1000,M$2,'Mitra per Bulan'!$C$2:$C1000,$A64)</f>
        <v>1104000</v>
      </c>
      <c r="N64" s="110">
        <f ca="1">SUMIFS('Mitra per Bulan'!$I$2:$I1000,'Mitra per Bulan'!$E$2:$E1000,N$2,'Mitra per Bulan'!$C$2:$C1000,$A64)</f>
        <v>0</v>
      </c>
      <c r="O64" s="110">
        <f ca="1">SUMIFS('Mitra per Bulan'!$I$2:$I1000,'Mitra per Bulan'!$E$2:$E1000,O$2,'Mitra per Bulan'!$C$2:$C1000,$A64)</f>
        <v>910000</v>
      </c>
      <c r="P64" s="110">
        <f ca="1">SUMIFS('Mitra per Bulan'!$I$2:$I1000,'Mitra per Bulan'!$E$2:$E1000,P$2,'Mitra per Bulan'!$C$2:$C1000,$A64)</f>
        <v>0</v>
      </c>
    </row>
    <row r="65" spans="1:16" ht="12.5">
      <c r="A65" s="10">
        <f ca="1">IFERROR(__xludf.DUMMYFUNCTION("""COMPUTED_VALUE"""),610422040049)</f>
        <v>610422040049</v>
      </c>
      <c r="B65" s="10" t="str">
        <f t="array" aca="1" ref="B65" ca="1">INDEX('Database Mitra'!$C$2:$C1000,MATCH(A65,'Database Mitra'!$B$2:$B1000,0))</f>
        <v>Sulis tri handayani</v>
      </c>
      <c r="C65" s="110"/>
      <c r="D65" s="110">
        <f t="shared" ca="1" si="0"/>
        <v>3871000</v>
      </c>
      <c r="E65" s="110">
        <f ca="1">SUMIFS('Mitra per Bulan'!$I$2:$I1000,'Mitra per Bulan'!$E$2:$E1000,E$2,'Mitra per Bulan'!$C$2:$C1000,$A65)</f>
        <v>0</v>
      </c>
      <c r="F65" s="110">
        <f ca="1">SUMIFS('Mitra per Bulan'!$I$2:$I1000,'Mitra per Bulan'!$E$2:$E1000,F$2,'Mitra per Bulan'!$C$2:$C1000,$A65)</f>
        <v>336000</v>
      </c>
      <c r="G65" s="110">
        <f ca="1">SUMIFS('Mitra per Bulan'!$I$2:$I1000,'Mitra per Bulan'!$E$2:$E1000,G$2,'Mitra per Bulan'!$C$2:$C1000,$A65)</f>
        <v>2380000</v>
      </c>
      <c r="H65" s="110">
        <f ca="1">SUMIFS('Mitra per Bulan'!$I$2:$I1000,'Mitra per Bulan'!$E$2:$E1000,H$2,'Mitra per Bulan'!$C$2:$C1000,$A65)</f>
        <v>0</v>
      </c>
      <c r="I65" s="110">
        <f ca="1">SUMIFS('Mitra per Bulan'!$I$2:$I1000,'Mitra per Bulan'!$E$2:$E1000,I$2,'Mitra per Bulan'!$C$2:$C1000,$A65)</f>
        <v>0</v>
      </c>
      <c r="J65" s="110">
        <f ca="1">SUMIFS('Mitra per Bulan'!$I$2:$I1000,'Mitra per Bulan'!$E$2:$E1000,J$2,'Mitra per Bulan'!$C$2:$C1000,$A65)</f>
        <v>0</v>
      </c>
      <c r="K65" s="110">
        <f ca="1">SUMIFS('Mitra per Bulan'!$I$2:$I1000,'Mitra per Bulan'!$E$2:$E1000,K$2,'Mitra per Bulan'!$C$2:$C1000,$A65)</f>
        <v>0</v>
      </c>
      <c r="L65" s="110">
        <f ca="1">SUMIFS('Mitra per Bulan'!$I$2:$I1000,'Mitra per Bulan'!$E$2:$E1000,L$2,'Mitra per Bulan'!$C$2:$C1000,$A65)</f>
        <v>1155000</v>
      </c>
      <c r="M65" s="110">
        <f ca="1">SUMIFS('Mitra per Bulan'!$I$2:$I1000,'Mitra per Bulan'!$E$2:$E1000,M$2,'Mitra per Bulan'!$C$2:$C1000,$A65)</f>
        <v>0</v>
      </c>
      <c r="N65" s="110">
        <f ca="1">SUMIFS('Mitra per Bulan'!$I$2:$I1000,'Mitra per Bulan'!$E$2:$E1000,N$2,'Mitra per Bulan'!$C$2:$C1000,$A65)</f>
        <v>0</v>
      </c>
      <c r="O65" s="110">
        <f ca="1">SUMIFS('Mitra per Bulan'!$I$2:$I1000,'Mitra per Bulan'!$E$2:$E1000,O$2,'Mitra per Bulan'!$C$2:$C1000,$A65)</f>
        <v>0</v>
      </c>
      <c r="P65" s="110">
        <f ca="1">SUMIFS('Mitra per Bulan'!$I$2:$I1000,'Mitra per Bulan'!$E$2:$E1000,P$2,'Mitra per Bulan'!$C$2:$C1000,$A65)</f>
        <v>0</v>
      </c>
    </row>
    <row r="66" spans="1:16" ht="12.5">
      <c r="A66" s="10">
        <f ca="1">IFERROR(__xludf.DUMMYFUNCTION("""COMPUTED_VALUE"""),610422040033)</f>
        <v>610422040033</v>
      </c>
      <c r="B66" s="10" t="str">
        <f t="array" aca="1" ref="B66" ca="1">INDEX('Database Mitra'!$C$2:$C1000,MATCH(A66,'Database Mitra'!$B$2:$B1000,0))</f>
        <v>NURLIAN</v>
      </c>
      <c r="C66" s="110"/>
      <c r="D66" s="110">
        <f t="shared" ca="1" si="0"/>
        <v>2716000</v>
      </c>
      <c r="E66" s="110">
        <f ca="1">SUMIFS('Mitra per Bulan'!$I$2:$I1000,'Mitra per Bulan'!$E$2:$E1000,E$2,'Mitra per Bulan'!$C$2:$C1000,$A66)</f>
        <v>0</v>
      </c>
      <c r="F66" s="110">
        <f ca="1">SUMIFS('Mitra per Bulan'!$I$2:$I1000,'Mitra per Bulan'!$E$2:$E1000,F$2,'Mitra per Bulan'!$C$2:$C1000,$A66)</f>
        <v>336000</v>
      </c>
      <c r="G66" s="110">
        <f ca="1">SUMIFS('Mitra per Bulan'!$I$2:$I1000,'Mitra per Bulan'!$E$2:$E1000,G$2,'Mitra per Bulan'!$C$2:$C1000,$A66)</f>
        <v>2380000</v>
      </c>
      <c r="H66" s="110">
        <f ca="1">SUMIFS('Mitra per Bulan'!$I$2:$I1000,'Mitra per Bulan'!$E$2:$E1000,H$2,'Mitra per Bulan'!$C$2:$C1000,$A66)</f>
        <v>0</v>
      </c>
      <c r="I66" s="110">
        <f ca="1">SUMIFS('Mitra per Bulan'!$I$2:$I1000,'Mitra per Bulan'!$E$2:$E1000,I$2,'Mitra per Bulan'!$C$2:$C1000,$A66)</f>
        <v>0</v>
      </c>
      <c r="J66" s="110">
        <f ca="1">SUMIFS('Mitra per Bulan'!$I$2:$I1000,'Mitra per Bulan'!$E$2:$E1000,J$2,'Mitra per Bulan'!$C$2:$C1000,$A66)</f>
        <v>0</v>
      </c>
      <c r="K66" s="110">
        <f ca="1">SUMIFS('Mitra per Bulan'!$I$2:$I1000,'Mitra per Bulan'!$E$2:$E1000,K$2,'Mitra per Bulan'!$C$2:$C1000,$A66)</f>
        <v>0</v>
      </c>
      <c r="L66" s="110">
        <f ca="1">SUMIFS('Mitra per Bulan'!$I$2:$I1000,'Mitra per Bulan'!$E$2:$E1000,L$2,'Mitra per Bulan'!$C$2:$C1000,$A66)</f>
        <v>0</v>
      </c>
      <c r="M66" s="110">
        <f ca="1">SUMIFS('Mitra per Bulan'!$I$2:$I1000,'Mitra per Bulan'!$E$2:$E1000,M$2,'Mitra per Bulan'!$C$2:$C1000,$A66)</f>
        <v>0</v>
      </c>
      <c r="N66" s="110">
        <f ca="1">SUMIFS('Mitra per Bulan'!$I$2:$I1000,'Mitra per Bulan'!$E$2:$E1000,N$2,'Mitra per Bulan'!$C$2:$C1000,$A66)</f>
        <v>0</v>
      </c>
      <c r="O66" s="110">
        <f ca="1">SUMIFS('Mitra per Bulan'!$I$2:$I1000,'Mitra per Bulan'!$E$2:$E1000,O$2,'Mitra per Bulan'!$C$2:$C1000,$A66)</f>
        <v>0</v>
      </c>
      <c r="P66" s="110">
        <f ca="1">SUMIFS('Mitra per Bulan'!$I$2:$I1000,'Mitra per Bulan'!$E$2:$E1000,P$2,'Mitra per Bulan'!$C$2:$C1000,$A66)</f>
        <v>0</v>
      </c>
    </row>
    <row r="67" spans="1:16" ht="12.5">
      <c r="A67" s="10">
        <f ca="1">IFERROR(__xludf.DUMMYFUNCTION("""COMPUTED_VALUE"""),610422040050)</f>
        <v>610422040050</v>
      </c>
      <c r="B67" s="10" t="str">
        <f t="array" aca="1" ref="B67" ca="1">INDEX('Database Mitra'!$C$2:$C1000,MATCH(A67,'Database Mitra'!$B$2:$B1000,0))</f>
        <v>NOVITA SARI</v>
      </c>
      <c r="C67" s="110"/>
      <c r="D67" s="110">
        <f t="shared" ca="1" si="0"/>
        <v>4378000</v>
      </c>
      <c r="E67" s="110">
        <f ca="1">SUMIFS('Mitra per Bulan'!$I$2:$I1000,'Mitra per Bulan'!$E$2:$E1000,E$2,'Mitra per Bulan'!$C$2:$C1000,$A67)</f>
        <v>0</v>
      </c>
      <c r="F67" s="110">
        <f ca="1">SUMIFS('Mitra per Bulan'!$I$2:$I1000,'Mitra per Bulan'!$E$2:$E1000,F$2,'Mitra per Bulan'!$C$2:$C1000,$A67)</f>
        <v>768000</v>
      </c>
      <c r="G67" s="110">
        <f ca="1">SUMIFS('Mitra per Bulan'!$I$2:$I1000,'Mitra per Bulan'!$E$2:$E1000,G$2,'Mitra per Bulan'!$C$2:$C1000,$A67)</f>
        <v>1190000</v>
      </c>
      <c r="H67" s="110">
        <f ca="1">SUMIFS('Mitra per Bulan'!$I$2:$I1000,'Mitra per Bulan'!$E$2:$E1000,H$2,'Mitra per Bulan'!$C$2:$C1000,$A67)</f>
        <v>0</v>
      </c>
      <c r="I67" s="110">
        <f ca="1">SUMIFS('Mitra per Bulan'!$I$2:$I1000,'Mitra per Bulan'!$E$2:$E1000,I$2,'Mitra per Bulan'!$C$2:$C1000,$A67)</f>
        <v>0</v>
      </c>
      <c r="J67" s="110">
        <f ca="1">SUMIFS('Mitra per Bulan'!$I$2:$I1000,'Mitra per Bulan'!$E$2:$E1000,J$2,'Mitra per Bulan'!$C$2:$C1000,$A67)</f>
        <v>0</v>
      </c>
      <c r="K67" s="110">
        <f ca="1">SUMIFS('Mitra per Bulan'!$I$2:$I1000,'Mitra per Bulan'!$E$2:$E1000,K$2,'Mitra per Bulan'!$C$2:$C1000,$A67)</f>
        <v>910000</v>
      </c>
      <c r="L67" s="110">
        <f ca="1">SUMIFS('Mitra per Bulan'!$I$2:$I1000,'Mitra per Bulan'!$E$2:$E1000,L$2,'Mitra per Bulan'!$C$2:$C1000,$A67)</f>
        <v>0</v>
      </c>
      <c r="M67" s="110">
        <f ca="1">SUMIFS('Mitra per Bulan'!$I$2:$I1000,'Mitra per Bulan'!$E$2:$E1000,M$2,'Mitra per Bulan'!$C$2:$C1000,$A67)</f>
        <v>600000</v>
      </c>
      <c r="N67" s="110">
        <f ca="1">SUMIFS('Mitra per Bulan'!$I$2:$I1000,'Mitra per Bulan'!$E$2:$E1000,N$2,'Mitra per Bulan'!$C$2:$C1000,$A67)</f>
        <v>0</v>
      </c>
      <c r="O67" s="110">
        <f ca="1">SUMIFS('Mitra per Bulan'!$I$2:$I1000,'Mitra per Bulan'!$E$2:$E1000,O$2,'Mitra per Bulan'!$C$2:$C1000,$A67)</f>
        <v>910000</v>
      </c>
      <c r="P67" s="110">
        <f ca="1">SUMIFS('Mitra per Bulan'!$I$2:$I1000,'Mitra per Bulan'!$E$2:$E1000,P$2,'Mitra per Bulan'!$C$2:$C1000,$A67)</f>
        <v>0</v>
      </c>
    </row>
    <row r="68" spans="1:16" ht="12.5">
      <c r="A68" s="10">
        <f ca="1">IFERROR(__xludf.DUMMYFUNCTION("""COMPUTED_VALUE"""),610422040053)</f>
        <v>610422040053</v>
      </c>
      <c r="B68" s="10" t="str">
        <f t="array" aca="1" ref="B68" ca="1">INDEX('Database Mitra'!$C$2:$C1000,MATCH(A68,'Database Mitra'!$B$2:$B1000,0))</f>
        <v>Veti Ningsi</v>
      </c>
      <c r="C68" s="110"/>
      <c r="D68" s="110">
        <f t="shared" ca="1" si="0"/>
        <v>12914000</v>
      </c>
      <c r="E68" s="110">
        <f ca="1">SUMIFS('Mitra per Bulan'!$I$2:$I1000,'Mitra per Bulan'!$E$2:$E1000,E$2,'Mitra per Bulan'!$C$2:$C1000,$A68)</f>
        <v>0</v>
      </c>
      <c r="F68" s="110">
        <f ca="1">SUMIFS('Mitra per Bulan'!$I$2:$I1000,'Mitra per Bulan'!$E$2:$E1000,F$2,'Mitra per Bulan'!$C$2:$C1000,$A68)</f>
        <v>768000</v>
      </c>
      <c r="G68" s="110">
        <f ca="1">SUMIFS('Mitra per Bulan'!$I$2:$I1000,'Mitra per Bulan'!$E$2:$E1000,G$2,'Mitra per Bulan'!$C$2:$C1000,$A68)</f>
        <v>1190000</v>
      </c>
      <c r="H68" s="110">
        <f ca="1">SUMIFS('Mitra per Bulan'!$I$2:$I1000,'Mitra per Bulan'!$E$2:$E1000,H$2,'Mitra per Bulan'!$C$2:$C1000,$A68)</f>
        <v>0</v>
      </c>
      <c r="I68" s="110">
        <f ca="1">SUMIFS('Mitra per Bulan'!$I$2:$I1000,'Mitra per Bulan'!$E$2:$E1000,I$2,'Mitra per Bulan'!$C$2:$C1000,$A68)</f>
        <v>0</v>
      </c>
      <c r="J68" s="110">
        <f ca="1">SUMIFS('Mitra per Bulan'!$I$2:$I1000,'Mitra per Bulan'!$E$2:$E1000,J$2,'Mitra per Bulan'!$C$2:$C1000,$A68)</f>
        <v>4694000</v>
      </c>
      <c r="K68" s="110">
        <f ca="1">SUMIFS('Mitra per Bulan'!$I$2:$I1000,'Mitra per Bulan'!$E$2:$E1000,K$2,'Mitra per Bulan'!$C$2:$C1000,$A68)</f>
        <v>910000</v>
      </c>
      <c r="L68" s="110">
        <f ca="1">SUMIFS('Mitra per Bulan'!$I$2:$I1000,'Mitra per Bulan'!$E$2:$E1000,L$2,'Mitra per Bulan'!$C$2:$C1000,$A68)</f>
        <v>1980000</v>
      </c>
      <c r="M68" s="110">
        <f ca="1">SUMIFS('Mitra per Bulan'!$I$2:$I1000,'Mitra per Bulan'!$E$2:$E1000,M$2,'Mitra per Bulan'!$C$2:$C1000,$A68)</f>
        <v>2462000</v>
      </c>
      <c r="N68" s="110">
        <f ca="1">SUMIFS('Mitra per Bulan'!$I$2:$I1000,'Mitra per Bulan'!$E$2:$E1000,N$2,'Mitra per Bulan'!$C$2:$C1000,$A68)</f>
        <v>0</v>
      </c>
      <c r="O68" s="110">
        <f ca="1">SUMIFS('Mitra per Bulan'!$I$2:$I1000,'Mitra per Bulan'!$E$2:$E1000,O$2,'Mitra per Bulan'!$C$2:$C1000,$A68)</f>
        <v>910000</v>
      </c>
      <c r="P68" s="110">
        <f ca="1">SUMIFS('Mitra per Bulan'!$I$2:$I1000,'Mitra per Bulan'!$E$2:$E1000,P$2,'Mitra per Bulan'!$C$2:$C1000,$A68)</f>
        <v>0</v>
      </c>
    </row>
    <row r="69" spans="1:16" ht="12.5">
      <c r="A69" s="10">
        <f ca="1">IFERROR(__xludf.DUMMYFUNCTION("""COMPUTED_VALUE"""),610422040013)</f>
        <v>610422040013</v>
      </c>
      <c r="B69" s="10" t="str">
        <f t="array" aca="1" ref="B69" ca="1">INDEX('Database Mitra'!$C$2:$C1000,MATCH(A69,'Database Mitra'!$B$2:$B1000,0))</f>
        <v>Yusra, SE</v>
      </c>
      <c r="C69" s="110"/>
      <c r="D69" s="110">
        <f t="shared" ca="1" si="0"/>
        <v>2716000</v>
      </c>
      <c r="E69" s="110">
        <f ca="1">SUMIFS('Mitra per Bulan'!$I$2:$I1000,'Mitra per Bulan'!$E$2:$E1000,E$2,'Mitra per Bulan'!$C$2:$C1000,$A69)</f>
        <v>0</v>
      </c>
      <c r="F69" s="110">
        <f ca="1">SUMIFS('Mitra per Bulan'!$I$2:$I1000,'Mitra per Bulan'!$E$2:$E1000,F$2,'Mitra per Bulan'!$C$2:$C1000,$A69)</f>
        <v>336000</v>
      </c>
      <c r="G69" s="110">
        <f ca="1">SUMIFS('Mitra per Bulan'!$I$2:$I1000,'Mitra per Bulan'!$E$2:$E1000,G$2,'Mitra per Bulan'!$C$2:$C1000,$A69)</f>
        <v>2380000</v>
      </c>
      <c r="H69" s="110">
        <f ca="1">SUMIFS('Mitra per Bulan'!$I$2:$I1000,'Mitra per Bulan'!$E$2:$E1000,H$2,'Mitra per Bulan'!$C$2:$C1000,$A69)</f>
        <v>0</v>
      </c>
      <c r="I69" s="110">
        <f ca="1">SUMIFS('Mitra per Bulan'!$I$2:$I1000,'Mitra per Bulan'!$E$2:$E1000,I$2,'Mitra per Bulan'!$C$2:$C1000,$A69)</f>
        <v>0</v>
      </c>
      <c r="J69" s="110">
        <f ca="1">SUMIFS('Mitra per Bulan'!$I$2:$I1000,'Mitra per Bulan'!$E$2:$E1000,J$2,'Mitra per Bulan'!$C$2:$C1000,$A69)</f>
        <v>0</v>
      </c>
      <c r="K69" s="110">
        <f ca="1">SUMIFS('Mitra per Bulan'!$I$2:$I1000,'Mitra per Bulan'!$E$2:$E1000,K$2,'Mitra per Bulan'!$C$2:$C1000,$A69)</f>
        <v>0</v>
      </c>
      <c r="L69" s="110">
        <f ca="1">SUMIFS('Mitra per Bulan'!$I$2:$I1000,'Mitra per Bulan'!$E$2:$E1000,L$2,'Mitra per Bulan'!$C$2:$C1000,$A69)</f>
        <v>0</v>
      </c>
      <c r="M69" s="110">
        <f ca="1">SUMIFS('Mitra per Bulan'!$I$2:$I1000,'Mitra per Bulan'!$E$2:$E1000,M$2,'Mitra per Bulan'!$C$2:$C1000,$A69)</f>
        <v>0</v>
      </c>
      <c r="N69" s="110">
        <f ca="1">SUMIFS('Mitra per Bulan'!$I$2:$I1000,'Mitra per Bulan'!$E$2:$E1000,N$2,'Mitra per Bulan'!$C$2:$C1000,$A69)</f>
        <v>0</v>
      </c>
      <c r="O69" s="110">
        <f ca="1">SUMIFS('Mitra per Bulan'!$I$2:$I1000,'Mitra per Bulan'!$E$2:$E1000,O$2,'Mitra per Bulan'!$C$2:$C1000,$A69)</f>
        <v>0</v>
      </c>
      <c r="P69" s="110">
        <f ca="1">SUMIFS('Mitra per Bulan'!$I$2:$I1000,'Mitra per Bulan'!$E$2:$E1000,P$2,'Mitra per Bulan'!$C$2:$C1000,$A69)</f>
        <v>0</v>
      </c>
    </row>
    <row r="70" spans="1:16" ht="12.5">
      <c r="A70" s="10">
        <f ca="1">IFERROR(__xludf.DUMMYFUNCTION("""COMPUTED_VALUE"""),610422020032)</f>
        <v>610422020032</v>
      </c>
      <c r="B70" s="10" t="str">
        <f t="array" aca="1" ref="B70" ca="1">INDEX('Database Mitra'!$C$2:$C1000,MATCH(A70,'Database Mitra'!$B$2:$B1000,0))</f>
        <v>Lilis Suryani</v>
      </c>
      <c r="C70" s="110"/>
      <c r="D70" s="110">
        <f t="shared" ca="1" si="0"/>
        <v>12914000</v>
      </c>
      <c r="E70" s="110">
        <f ca="1">SUMIFS('Mitra per Bulan'!$I$2:$I1000,'Mitra per Bulan'!$E$2:$E1000,E$2,'Mitra per Bulan'!$C$2:$C1000,$A70)</f>
        <v>0</v>
      </c>
      <c r="F70" s="110">
        <f ca="1">SUMIFS('Mitra per Bulan'!$I$2:$I1000,'Mitra per Bulan'!$E$2:$E1000,F$2,'Mitra per Bulan'!$C$2:$C1000,$A70)</f>
        <v>768000</v>
      </c>
      <c r="G70" s="110">
        <f ca="1">SUMIFS('Mitra per Bulan'!$I$2:$I1000,'Mitra per Bulan'!$E$2:$E1000,G$2,'Mitra per Bulan'!$C$2:$C1000,$A70)</f>
        <v>1190000</v>
      </c>
      <c r="H70" s="110">
        <f ca="1">SUMIFS('Mitra per Bulan'!$I$2:$I1000,'Mitra per Bulan'!$E$2:$E1000,H$2,'Mitra per Bulan'!$C$2:$C1000,$A70)</f>
        <v>0</v>
      </c>
      <c r="I70" s="110">
        <f ca="1">SUMIFS('Mitra per Bulan'!$I$2:$I1000,'Mitra per Bulan'!$E$2:$E1000,I$2,'Mitra per Bulan'!$C$2:$C1000,$A70)</f>
        <v>0</v>
      </c>
      <c r="J70" s="110">
        <f ca="1">SUMIFS('Mitra per Bulan'!$I$2:$I1000,'Mitra per Bulan'!$E$2:$E1000,J$2,'Mitra per Bulan'!$C$2:$C1000,$A70)</f>
        <v>4694000</v>
      </c>
      <c r="K70" s="110">
        <f ca="1">SUMIFS('Mitra per Bulan'!$I$2:$I1000,'Mitra per Bulan'!$E$2:$E1000,K$2,'Mitra per Bulan'!$C$2:$C1000,$A70)</f>
        <v>910000</v>
      </c>
      <c r="L70" s="110">
        <f ca="1">SUMIFS('Mitra per Bulan'!$I$2:$I1000,'Mitra per Bulan'!$E$2:$E1000,L$2,'Mitra per Bulan'!$C$2:$C1000,$A70)</f>
        <v>1980000</v>
      </c>
      <c r="M70" s="110">
        <f ca="1">SUMIFS('Mitra per Bulan'!$I$2:$I1000,'Mitra per Bulan'!$E$2:$E1000,M$2,'Mitra per Bulan'!$C$2:$C1000,$A70)</f>
        <v>2462000</v>
      </c>
      <c r="N70" s="110">
        <f ca="1">SUMIFS('Mitra per Bulan'!$I$2:$I1000,'Mitra per Bulan'!$E$2:$E1000,N$2,'Mitra per Bulan'!$C$2:$C1000,$A70)</f>
        <v>0</v>
      </c>
      <c r="O70" s="110">
        <f ca="1">SUMIFS('Mitra per Bulan'!$I$2:$I1000,'Mitra per Bulan'!$E$2:$E1000,O$2,'Mitra per Bulan'!$C$2:$C1000,$A70)</f>
        <v>910000</v>
      </c>
      <c r="P70" s="110">
        <f ca="1">SUMIFS('Mitra per Bulan'!$I$2:$I1000,'Mitra per Bulan'!$E$2:$E1000,P$2,'Mitra per Bulan'!$C$2:$C1000,$A70)</f>
        <v>0</v>
      </c>
    </row>
    <row r="71" spans="1:16" ht="12.5">
      <c r="A71" s="10">
        <f ca="1">IFERROR(__xludf.DUMMYFUNCTION("""COMPUTED_VALUE"""),610422020045)</f>
        <v>610422020045</v>
      </c>
      <c r="B71" s="10" t="str">
        <f t="array" aca="1" ref="B71" ca="1">INDEX('Database Mitra'!$C$2:$C1000,MATCH(A71,'Database Mitra'!$B$2:$B1000,0))</f>
        <v>Herdinatara Febria</v>
      </c>
      <c r="C71" s="110"/>
      <c r="D71" s="110">
        <f t="shared" ca="1" si="0"/>
        <v>11186000</v>
      </c>
      <c r="E71" s="110">
        <f ca="1">SUMIFS('Mitra per Bulan'!$I$2:$I1000,'Mitra per Bulan'!$E$2:$E1000,E$2,'Mitra per Bulan'!$C$2:$C1000,$A71)</f>
        <v>0</v>
      </c>
      <c r="F71" s="110">
        <f ca="1">SUMIFS('Mitra per Bulan'!$I$2:$I1000,'Mitra per Bulan'!$E$2:$E1000,F$2,'Mitra per Bulan'!$C$2:$C1000,$A71)</f>
        <v>336000</v>
      </c>
      <c r="G71" s="110">
        <f ca="1">SUMIFS('Mitra per Bulan'!$I$2:$I1000,'Mitra per Bulan'!$E$2:$E1000,G$2,'Mitra per Bulan'!$C$2:$C1000,$A71)</f>
        <v>2380000</v>
      </c>
      <c r="H71" s="110">
        <f ca="1">SUMIFS('Mitra per Bulan'!$I$2:$I1000,'Mitra per Bulan'!$E$2:$E1000,H$2,'Mitra per Bulan'!$C$2:$C1000,$A71)</f>
        <v>0</v>
      </c>
      <c r="I71" s="110">
        <f ca="1">SUMIFS('Mitra per Bulan'!$I$2:$I1000,'Mitra per Bulan'!$E$2:$E1000,I$2,'Mitra per Bulan'!$C$2:$C1000,$A71)</f>
        <v>0</v>
      </c>
      <c r="J71" s="110">
        <f ca="1">SUMIFS('Mitra per Bulan'!$I$2:$I1000,'Mitra per Bulan'!$E$2:$E1000,J$2,'Mitra per Bulan'!$C$2:$C1000,$A71)</f>
        <v>4694000</v>
      </c>
      <c r="K71" s="110">
        <f ca="1">SUMIFS('Mitra per Bulan'!$I$2:$I1000,'Mitra per Bulan'!$E$2:$E1000,K$2,'Mitra per Bulan'!$C$2:$C1000,$A71)</f>
        <v>0</v>
      </c>
      <c r="L71" s="110">
        <f ca="1">SUMIFS('Mitra per Bulan'!$I$2:$I1000,'Mitra per Bulan'!$E$2:$E1000,L$2,'Mitra per Bulan'!$C$2:$C1000,$A71)</f>
        <v>1914000</v>
      </c>
      <c r="M71" s="110">
        <f ca="1">SUMIFS('Mitra per Bulan'!$I$2:$I1000,'Mitra per Bulan'!$E$2:$E1000,M$2,'Mitra per Bulan'!$C$2:$C1000,$A71)</f>
        <v>1862000</v>
      </c>
      <c r="N71" s="110">
        <f ca="1">SUMIFS('Mitra per Bulan'!$I$2:$I1000,'Mitra per Bulan'!$E$2:$E1000,N$2,'Mitra per Bulan'!$C$2:$C1000,$A71)</f>
        <v>0</v>
      </c>
      <c r="O71" s="110">
        <f ca="1">SUMIFS('Mitra per Bulan'!$I$2:$I1000,'Mitra per Bulan'!$E$2:$E1000,O$2,'Mitra per Bulan'!$C$2:$C1000,$A71)</f>
        <v>0</v>
      </c>
      <c r="P71" s="110">
        <f ca="1">SUMIFS('Mitra per Bulan'!$I$2:$I1000,'Mitra per Bulan'!$E$2:$E1000,P$2,'Mitra per Bulan'!$C$2:$C1000,$A71)</f>
        <v>0</v>
      </c>
    </row>
    <row r="72" spans="1:16" ht="12.5">
      <c r="A72" s="10">
        <f ca="1">IFERROR(__xludf.DUMMYFUNCTION("""COMPUTED_VALUE"""),610422020006)</f>
        <v>610422020006</v>
      </c>
      <c r="B72" s="10" t="str">
        <f t="array" aca="1" ref="B72" ca="1">INDEX('Database Mitra'!$C$2:$C1000,MATCH(A72,'Database Mitra'!$B$2:$B1000,0))</f>
        <v>Nasrullah</v>
      </c>
      <c r="C72" s="110"/>
      <c r="D72" s="110">
        <f t="shared" ca="1" si="0"/>
        <v>2993500</v>
      </c>
      <c r="E72" s="110">
        <f ca="1">SUMIFS('Mitra per Bulan'!$I$2:$I1000,'Mitra per Bulan'!$E$2:$E1000,E$2,'Mitra per Bulan'!$C$2:$C1000,$A72)</f>
        <v>0</v>
      </c>
      <c r="F72" s="110">
        <f ca="1">SUMIFS('Mitra per Bulan'!$I$2:$I1000,'Mitra per Bulan'!$E$2:$E1000,F$2,'Mitra per Bulan'!$C$2:$C1000,$A72)</f>
        <v>884000</v>
      </c>
      <c r="G72" s="110">
        <f ca="1">SUMIFS('Mitra per Bulan'!$I$2:$I1000,'Mitra per Bulan'!$E$2:$E1000,G$2,'Mitra per Bulan'!$C$2:$C1000,$A72)</f>
        <v>1888500</v>
      </c>
      <c r="H72" s="110">
        <f ca="1">SUMIFS('Mitra per Bulan'!$I$2:$I1000,'Mitra per Bulan'!$E$2:$E1000,H$2,'Mitra per Bulan'!$C$2:$C1000,$A72)</f>
        <v>0</v>
      </c>
      <c r="I72" s="110">
        <f ca="1">SUMIFS('Mitra per Bulan'!$I$2:$I1000,'Mitra per Bulan'!$E$2:$E1000,I$2,'Mitra per Bulan'!$C$2:$C1000,$A72)</f>
        <v>0</v>
      </c>
      <c r="J72" s="110">
        <f ca="1">SUMIFS('Mitra per Bulan'!$I$2:$I1000,'Mitra per Bulan'!$E$2:$E1000,J$2,'Mitra per Bulan'!$C$2:$C1000,$A72)</f>
        <v>0</v>
      </c>
      <c r="K72" s="110">
        <f ca="1">SUMIFS('Mitra per Bulan'!$I$2:$I1000,'Mitra per Bulan'!$E$2:$E1000,K$2,'Mitra per Bulan'!$C$2:$C1000,$A72)</f>
        <v>0</v>
      </c>
      <c r="L72" s="110">
        <f ca="1">SUMIFS('Mitra per Bulan'!$I$2:$I1000,'Mitra per Bulan'!$E$2:$E1000,L$2,'Mitra per Bulan'!$C$2:$C1000,$A72)</f>
        <v>0</v>
      </c>
      <c r="M72" s="110">
        <f ca="1">SUMIFS('Mitra per Bulan'!$I$2:$I1000,'Mitra per Bulan'!$E$2:$E1000,M$2,'Mitra per Bulan'!$C$2:$C1000,$A72)</f>
        <v>0</v>
      </c>
      <c r="N72" s="110">
        <f ca="1">SUMIFS('Mitra per Bulan'!$I$2:$I1000,'Mitra per Bulan'!$E$2:$E1000,N$2,'Mitra per Bulan'!$C$2:$C1000,$A72)</f>
        <v>0</v>
      </c>
      <c r="O72" s="110">
        <f ca="1">SUMIFS('Mitra per Bulan'!$I$2:$I1000,'Mitra per Bulan'!$E$2:$E1000,O$2,'Mitra per Bulan'!$C$2:$C1000,$A72)</f>
        <v>0</v>
      </c>
      <c r="P72" s="110">
        <f ca="1">SUMIFS('Mitra per Bulan'!$I$2:$I1000,'Mitra per Bulan'!$E$2:$E1000,P$2,'Mitra per Bulan'!$C$2:$C1000,$A72)</f>
        <v>221000</v>
      </c>
    </row>
    <row r="73" spans="1:16" ht="12.5">
      <c r="A73" s="10">
        <f ca="1">IFERROR(__xludf.DUMMYFUNCTION("""COMPUTED_VALUE"""),610422100010)</f>
        <v>610422100010</v>
      </c>
      <c r="B73" s="10" t="str">
        <f t="array" aca="1" ref="B73" ca="1">INDEX('Database Mitra'!$C$2:$C1000,MATCH(A73,'Database Mitra'!$B$2:$B1000,0))</f>
        <v>Muhammad Rendi Fakhrian</v>
      </c>
      <c r="C73" s="110"/>
      <c r="D73" s="110">
        <f t="shared" ca="1" si="0"/>
        <v>2258000</v>
      </c>
      <c r="E73" s="110">
        <f ca="1">SUMIFS('Mitra per Bulan'!$I$2:$I1000,'Mitra per Bulan'!$E$2:$E1000,E$2,'Mitra per Bulan'!$C$2:$C1000,$A73)</f>
        <v>0</v>
      </c>
      <c r="F73" s="110">
        <f ca="1">SUMIFS('Mitra per Bulan'!$I$2:$I1000,'Mitra per Bulan'!$E$2:$E1000,F$2,'Mitra per Bulan'!$C$2:$C1000,$A73)</f>
        <v>442000</v>
      </c>
      <c r="G73" s="110">
        <f ca="1">SUMIFS('Mitra per Bulan'!$I$2:$I1000,'Mitra per Bulan'!$E$2:$E1000,G$2,'Mitra per Bulan'!$C$2:$C1000,$A73)</f>
        <v>1595000</v>
      </c>
      <c r="H73" s="110">
        <f ca="1">SUMIFS('Mitra per Bulan'!$I$2:$I1000,'Mitra per Bulan'!$E$2:$E1000,H$2,'Mitra per Bulan'!$C$2:$C1000,$A73)</f>
        <v>0</v>
      </c>
      <c r="I73" s="110">
        <f ca="1">SUMIFS('Mitra per Bulan'!$I$2:$I1000,'Mitra per Bulan'!$E$2:$E1000,I$2,'Mitra per Bulan'!$C$2:$C1000,$A73)</f>
        <v>0</v>
      </c>
      <c r="J73" s="110">
        <f ca="1">SUMIFS('Mitra per Bulan'!$I$2:$I1000,'Mitra per Bulan'!$E$2:$E1000,J$2,'Mitra per Bulan'!$C$2:$C1000,$A73)</f>
        <v>0</v>
      </c>
      <c r="K73" s="110">
        <f ca="1">SUMIFS('Mitra per Bulan'!$I$2:$I1000,'Mitra per Bulan'!$E$2:$E1000,K$2,'Mitra per Bulan'!$C$2:$C1000,$A73)</f>
        <v>0</v>
      </c>
      <c r="L73" s="110">
        <f ca="1">SUMIFS('Mitra per Bulan'!$I$2:$I1000,'Mitra per Bulan'!$E$2:$E1000,L$2,'Mitra per Bulan'!$C$2:$C1000,$A73)</f>
        <v>0</v>
      </c>
      <c r="M73" s="110">
        <f ca="1">SUMIFS('Mitra per Bulan'!$I$2:$I1000,'Mitra per Bulan'!$E$2:$E1000,M$2,'Mitra per Bulan'!$C$2:$C1000,$A73)</f>
        <v>0</v>
      </c>
      <c r="N73" s="110">
        <f ca="1">SUMIFS('Mitra per Bulan'!$I$2:$I1000,'Mitra per Bulan'!$E$2:$E1000,N$2,'Mitra per Bulan'!$C$2:$C1000,$A73)</f>
        <v>0</v>
      </c>
      <c r="O73" s="110">
        <f ca="1">SUMIFS('Mitra per Bulan'!$I$2:$I1000,'Mitra per Bulan'!$E$2:$E1000,O$2,'Mitra per Bulan'!$C$2:$C1000,$A73)</f>
        <v>0</v>
      </c>
      <c r="P73" s="110">
        <f ca="1">SUMIFS('Mitra per Bulan'!$I$2:$I1000,'Mitra per Bulan'!$E$2:$E1000,P$2,'Mitra per Bulan'!$C$2:$C1000,$A73)</f>
        <v>221000</v>
      </c>
    </row>
    <row r="74" spans="1:16" ht="12.5">
      <c r="A74" s="10">
        <f ca="1">IFERROR(__xludf.DUMMYFUNCTION("""COMPUTED_VALUE"""),610422100177)</f>
        <v>610422100177</v>
      </c>
      <c r="B74" s="10" t="str">
        <f t="array" aca="1" ref="B74" ca="1">INDEX('Database Mitra'!$C$2:$C1000,MATCH(A74,'Database Mitra'!$B$2:$B1000,0))</f>
        <v>Amirah</v>
      </c>
      <c r="C74" s="110"/>
      <c r="D74" s="110">
        <f t="shared" ca="1" si="0"/>
        <v>2049000</v>
      </c>
      <c r="E74" s="110">
        <f ca="1">SUMIFS('Mitra per Bulan'!$I$2:$I1000,'Mitra per Bulan'!$E$2:$E1000,E$2,'Mitra per Bulan'!$C$2:$C1000,$A74)</f>
        <v>0</v>
      </c>
      <c r="F74" s="110">
        <f ca="1">SUMIFS('Mitra per Bulan'!$I$2:$I1000,'Mitra per Bulan'!$E$2:$E1000,F$2,'Mitra per Bulan'!$C$2:$C1000,$A74)</f>
        <v>68000</v>
      </c>
      <c r="G74" s="110">
        <f ca="1">SUMIFS('Mitra per Bulan'!$I$2:$I1000,'Mitra per Bulan'!$E$2:$E1000,G$2,'Mitra per Bulan'!$C$2:$C1000,$A74)</f>
        <v>1760000</v>
      </c>
      <c r="H74" s="110">
        <f ca="1">SUMIFS('Mitra per Bulan'!$I$2:$I1000,'Mitra per Bulan'!$E$2:$E1000,H$2,'Mitra per Bulan'!$C$2:$C1000,$A74)</f>
        <v>0</v>
      </c>
      <c r="I74" s="110">
        <f ca="1">SUMIFS('Mitra per Bulan'!$I$2:$I1000,'Mitra per Bulan'!$E$2:$E1000,I$2,'Mitra per Bulan'!$C$2:$C1000,$A74)</f>
        <v>0</v>
      </c>
      <c r="J74" s="110">
        <f ca="1">SUMIFS('Mitra per Bulan'!$I$2:$I1000,'Mitra per Bulan'!$E$2:$E1000,J$2,'Mitra per Bulan'!$C$2:$C1000,$A74)</f>
        <v>0</v>
      </c>
      <c r="K74" s="110">
        <f ca="1">SUMIFS('Mitra per Bulan'!$I$2:$I1000,'Mitra per Bulan'!$E$2:$E1000,K$2,'Mitra per Bulan'!$C$2:$C1000,$A74)</f>
        <v>0</v>
      </c>
      <c r="L74" s="110">
        <f ca="1">SUMIFS('Mitra per Bulan'!$I$2:$I1000,'Mitra per Bulan'!$E$2:$E1000,L$2,'Mitra per Bulan'!$C$2:$C1000,$A74)</f>
        <v>0</v>
      </c>
      <c r="M74" s="110">
        <f ca="1">SUMIFS('Mitra per Bulan'!$I$2:$I1000,'Mitra per Bulan'!$E$2:$E1000,M$2,'Mitra per Bulan'!$C$2:$C1000,$A74)</f>
        <v>0</v>
      </c>
      <c r="N74" s="110">
        <f ca="1">SUMIFS('Mitra per Bulan'!$I$2:$I1000,'Mitra per Bulan'!$E$2:$E1000,N$2,'Mitra per Bulan'!$C$2:$C1000,$A74)</f>
        <v>0</v>
      </c>
      <c r="O74" s="110">
        <f ca="1">SUMIFS('Mitra per Bulan'!$I$2:$I1000,'Mitra per Bulan'!$E$2:$E1000,O$2,'Mitra per Bulan'!$C$2:$C1000,$A74)</f>
        <v>0</v>
      </c>
      <c r="P74" s="110">
        <f ca="1">SUMIFS('Mitra per Bulan'!$I$2:$I1000,'Mitra per Bulan'!$E$2:$E1000,P$2,'Mitra per Bulan'!$C$2:$C1000,$A74)</f>
        <v>221000</v>
      </c>
    </row>
    <row r="75" spans="1:16" ht="12.5">
      <c r="A75" s="10">
        <f ca="1">IFERROR(__xludf.DUMMYFUNCTION("""COMPUTED_VALUE"""),610422100083)</f>
        <v>610422100083</v>
      </c>
      <c r="B75" s="10" t="str">
        <f t="array" aca="1" ref="B75" ca="1">INDEX('Database Mitra'!$C$2:$C1000,MATCH(A75,'Database Mitra'!$B$2:$B1000,0))</f>
        <v>ILHAM SUBAGIO</v>
      </c>
      <c r="C75" s="110"/>
      <c r="D75" s="110">
        <f t="shared" ca="1" si="0"/>
        <v>5938000</v>
      </c>
      <c r="E75" s="110">
        <f ca="1">SUMIFS('Mitra per Bulan'!$I$2:$I1000,'Mitra per Bulan'!$E$2:$E1000,E$2,'Mitra per Bulan'!$C$2:$C1000,$A75)</f>
        <v>0</v>
      </c>
      <c r="F75" s="110">
        <f ca="1">SUMIFS('Mitra per Bulan'!$I$2:$I1000,'Mitra per Bulan'!$E$2:$E1000,F$2,'Mitra per Bulan'!$C$2:$C1000,$A75)</f>
        <v>714000</v>
      </c>
      <c r="G75" s="110">
        <f ca="1">SUMIFS('Mitra per Bulan'!$I$2:$I1000,'Mitra per Bulan'!$E$2:$E1000,G$2,'Mitra per Bulan'!$C$2:$C1000,$A75)</f>
        <v>1705000</v>
      </c>
      <c r="H75" s="110">
        <f ca="1">SUMIFS('Mitra per Bulan'!$I$2:$I1000,'Mitra per Bulan'!$E$2:$E1000,H$2,'Mitra per Bulan'!$C$2:$C1000,$A75)</f>
        <v>0</v>
      </c>
      <c r="I75" s="110">
        <f ca="1">SUMIFS('Mitra per Bulan'!$I$2:$I1000,'Mitra per Bulan'!$E$2:$E1000,I$2,'Mitra per Bulan'!$C$2:$C1000,$A75)</f>
        <v>0</v>
      </c>
      <c r="J75" s="110">
        <f ca="1">SUMIFS('Mitra per Bulan'!$I$2:$I1000,'Mitra per Bulan'!$E$2:$E1000,J$2,'Mitra per Bulan'!$C$2:$C1000,$A75)</f>
        <v>0</v>
      </c>
      <c r="K75" s="110">
        <f ca="1">SUMIFS('Mitra per Bulan'!$I$2:$I1000,'Mitra per Bulan'!$E$2:$E1000,K$2,'Mitra per Bulan'!$C$2:$C1000,$A75)</f>
        <v>3298000</v>
      </c>
      <c r="L75" s="110">
        <f ca="1">SUMIFS('Mitra per Bulan'!$I$2:$I1000,'Mitra per Bulan'!$E$2:$E1000,L$2,'Mitra per Bulan'!$C$2:$C1000,$A75)</f>
        <v>0</v>
      </c>
      <c r="M75" s="110">
        <f ca="1">SUMIFS('Mitra per Bulan'!$I$2:$I1000,'Mitra per Bulan'!$E$2:$E1000,M$2,'Mitra per Bulan'!$C$2:$C1000,$A75)</f>
        <v>0</v>
      </c>
      <c r="N75" s="110">
        <f ca="1">SUMIFS('Mitra per Bulan'!$I$2:$I1000,'Mitra per Bulan'!$E$2:$E1000,N$2,'Mitra per Bulan'!$C$2:$C1000,$A75)</f>
        <v>0</v>
      </c>
      <c r="O75" s="110">
        <f ca="1">SUMIFS('Mitra per Bulan'!$I$2:$I1000,'Mitra per Bulan'!$E$2:$E1000,O$2,'Mitra per Bulan'!$C$2:$C1000,$A75)</f>
        <v>0</v>
      </c>
      <c r="P75" s="110">
        <f ca="1">SUMIFS('Mitra per Bulan'!$I$2:$I1000,'Mitra per Bulan'!$E$2:$E1000,P$2,'Mitra per Bulan'!$C$2:$C1000,$A75)</f>
        <v>221000</v>
      </c>
    </row>
    <row r="76" spans="1:16" ht="12.5">
      <c r="A76" s="10">
        <f ca="1">IFERROR(__xludf.DUMMYFUNCTION("""COMPUTED_VALUE"""),610423110150)</f>
        <v>610423110150</v>
      </c>
      <c r="B76" s="10" t="str">
        <f t="array" aca="1" ref="B76" ca="1">INDEX('Database Mitra'!$C$2:$C1000,MATCH(A76,'Database Mitra'!$B$2:$B1000,0))</f>
        <v>Risa Yolani</v>
      </c>
      <c r="C76" s="110"/>
      <c r="D76" s="110">
        <f t="shared" ca="1" si="0"/>
        <v>1960000</v>
      </c>
      <c r="E76" s="110">
        <f ca="1">SUMIFS('Mitra per Bulan'!$I$2:$I1000,'Mitra per Bulan'!$E$2:$E1000,E$2,'Mitra per Bulan'!$C$2:$C1000,$A76)</f>
        <v>0</v>
      </c>
      <c r="F76" s="110">
        <f ca="1">SUMIFS('Mitra per Bulan'!$I$2:$I1000,'Mitra per Bulan'!$E$2:$E1000,F$2,'Mitra per Bulan'!$C$2:$C1000,$A76)</f>
        <v>0</v>
      </c>
      <c r="G76" s="110">
        <f ca="1">SUMIFS('Mitra per Bulan'!$I$2:$I1000,'Mitra per Bulan'!$E$2:$E1000,G$2,'Mitra per Bulan'!$C$2:$C1000,$A76)</f>
        <v>1739000</v>
      </c>
      <c r="H76" s="110">
        <f ca="1">SUMIFS('Mitra per Bulan'!$I$2:$I1000,'Mitra per Bulan'!$E$2:$E1000,H$2,'Mitra per Bulan'!$C$2:$C1000,$A76)</f>
        <v>0</v>
      </c>
      <c r="I76" s="110">
        <f ca="1">SUMIFS('Mitra per Bulan'!$I$2:$I1000,'Mitra per Bulan'!$E$2:$E1000,I$2,'Mitra per Bulan'!$C$2:$C1000,$A76)</f>
        <v>0</v>
      </c>
      <c r="J76" s="110">
        <f ca="1">SUMIFS('Mitra per Bulan'!$I$2:$I1000,'Mitra per Bulan'!$E$2:$E1000,J$2,'Mitra per Bulan'!$C$2:$C1000,$A76)</f>
        <v>0</v>
      </c>
      <c r="K76" s="110">
        <f ca="1">SUMIFS('Mitra per Bulan'!$I$2:$I1000,'Mitra per Bulan'!$E$2:$E1000,K$2,'Mitra per Bulan'!$C$2:$C1000,$A76)</f>
        <v>0</v>
      </c>
      <c r="L76" s="110">
        <f ca="1">SUMIFS('Mitra per Bulan'!$I$2:$I1000,'Mitra per Bulan'!$E$2:$E1000,L$2,'Mitra per Bulan'!$C$2:$C1000,$A76)</f>
        <v>0</v>
      </c>
      <c r="M76" s="110">
        <f ca="1">SUMIFS('Mitra per Bulan'!$I$2:$I1000,'Mitra per Bulan'!$E$2:$E1000,M$2,'Mitra per Bulan'!$C$2:$C1000,$A76)</f>
        <v>0</v>
      </c>
      <c r="N76" s="110">
        <f ca="1">SUMIFS('Mitra per Bulan'!$I$2:$I1000,'Mitra per Bulan'!$E$2:$E1000,N$2,'Mitra per Bulan'!$C$2:$C1000,$A76)</f>
        <v>0</v>
      </c>
      <c r="O76" s="110">
        <f ca="1">SUMIFS('Mitra per Bulan'!$I$2:$I1000,'Mitra per Bulan'!$E$2:$E1000,O$2,'Mitra per Bulan'!$C$2:$C1000,$A76)</f>
        <v>0</v>
      </c>
      <c r="P76" s="110">
        <f ca="1">SUMIFS('Mitra per Bulan'!$I$2:$I1000,'Mitra per Bulan'!$E$2:$E1000,P$2,'Mitra per Bulan'!$C$2:$C1000,$A76)</f>
        <v>221000</v>
      </c>
    </row>
    <row r="77" spans="1:16" ht="12.5">
      <c r="A77" s="10">
        <f ca="1">IFERROR(__xludf.DUMMYFUNCTION("""COMPUTED_VALUE"""),610423110129)</f>
        <v>610423110129</v>
      </c>
      <c r="B77" s="10" t="str">
        <f t="array" aca="1" ref="B77" ca="1">INDEX('Database Mitra'!$C$2:$C1000,MATCH(A77,'Database Mitra'!$B$2:$B1000,0))</f>
        <v>Athalia Meifira</v>
      </c>
      <c r="C77" s="110"/>
      <c r="D77" s="110">
        <f t="shared" ca="1" si="0"/>
        <v>2053000</v>
      </c>
      <c r="E77" s="110">
        <f ca="1">SUMIFS('Mitra per Bulan'!$I$2:$I1000,'Mitra per Bulan'!$E$2:$E1000,E$2,'Mitra per Bulan'!$C$2:$C1000,$A77)</f>
        <v>0</v>
      </c>
      <c r="F77" s="110">
        <f ca="1">SUMIFS('Mitra per Bulan'!$I$2:$I1000,'Mitra per Bulan'!$E$2:$E1000,F$2,'Mitra per Bulan'!$C$2:$C1000,$A77)</f>
        <v>0</v>
      </c>
      <c r="G77" s="110">
        <f ca="1">SUMIFS('Mitra per Bulan'!$I$2:$I1000,'Mitra per Bulan'!$E$2:$E1000,G$2,'Mitra per Bulan'!$C$2:$C1000,$A77)</f>
        <v>1849000</v>
      </c>
      <c r="H77" s="110">
        <f ca="1">SUMIFS('Mitra per Bulan'!$I$2:$I1000,'Mitra per Bulan'!$E$2:$E1000,H$2,'Mitra per Bulan'!$C$2:$C1000,$A77)</f>
        <v>0</v>
      </c>
      <c r="I77" s="110">
        <f ca="1">SUMIFS('Mitra per Bulan'!$I$2:$I1000,'Mitra per Bulan'!$E$2:$E1000,I$2,'Mitra per Bulan'!$C$2:$C1000,$A77)</f>
        <v>0</v>
      </c>
      <c r="J77" s="110">
        <f ca="1">SUMIFS('Mitra per Bulan'!$I$2:$I1000,'Mitra per Bulan'!$E$2:$E1000,J$2,'Mitra per Bulan'!$C$2:$C1000,$A77)</f>
        <v>0</v>
      </c>
      <c r="K77" s="110">
        <f ca="1">SUMIFS('Mitra per Bulan'!$I$2:$I1000,'Mitra per Bulan'!$E$2:$E1000,K$2,'Mitra per Bulan'!$C$2:$C1000,$A77)</f>
        <v>0</v>
      </c>
      <c r="L77" s="110">
        <f ca="1">SUMIFS('Mitra per Bulan'!$I$2:$I1000,'Mitra per Bulan'!$E$2:$E1000,L$2,'Mitra per Bulan'!$C$2:$C1000,$A77)</f>
        <v>0</v>
      </c>
      <c r="M77" s="110">
        <f ca="1">SUMIFS('Mitra per Bulan'!$I$2:$I1000,'Mitra per Bulan'!$E$2:$E1000,M$2,'Mitra per Bulan'!$C$2:$C1000,$A77)</f>
        <v>0</v>
      </c>
      <c r="N77" s="110">
        <f ca="1">SUMIFS('Mitra per Bulan'!$I$2:$I1000,'Mitra per Bulan'!$E$2:$E1000,N$2,'Mitra per Bulan'!$C$2:$C1000,$A77)</f>
        <v>0</v>
      </c>
      <c r="O77" s="110">
        <f ca="1">SUMIFS('Mitra per Bulan'!$I$2:$I1000,'Mitra per Bulan'!$E$2:$E1000,O$2,'Mitra per Bulan'!$C$2:$C1000,$A77)</f>
        <v>0</v>
      </c>
      <c r="P77" s="110">
        <f ca="1">SUMIFS('Mitra per Bulan'!$I$2:$I1000,'Mitra per Bulan'!$E$2:$E1000,P$2,'Mitra per Bulan'!$C$2:$C1000,$A77)</f>
        <v>204000</v>
      </c>
    </row>
    <row r="78" spans="1:16" ht="12.5">
      <c r="A78" s="10">
        <f ca="1">IFERROR(__xludf.DUMMYFUNCTION("""COMPUTED_VALUE"""),610422100129)</f>
        <v>610422100129</v>
      </c>
      <c r="B78" s="10" t="str">
        <f t="array" aca="1" ref="B78" ca="1">INDEX('Database Mitra'!$C$2:$C1000,MATCH(A78,'Database Mitra'!$B$2:$B1000,0))</f>
        <v>Andre</v>
      </c>
      <c r="C78" s="110"/>
      <c r="D78" s="110">
        <f t="shared" ca="1" si="0"/>
        <v>1275000</v>
      </c>
      <c r="E78" s="110">
        <f ca="1">SUMIFS('Mitra per Bulan'!$I$2:$I1000,'Mitra per Bulan'!$E$2:$E1000,E$2,'Mitra per Bulan'!$C$2:$C1000,$A78)</f>
        <v>0</v>
      </c>
      <c r="F78" s="110">
        <f ca="1">SUMIFS('Mitra per Bulan'!$I$2:$I1000,'Mitra per Bulan'!$E$2:$E1000,F$2,'Mitra per Bulan'!$C$2:$C1000,$A78)</f>
        <v>0</v>
      </c>
      <c r="G78" s="110">
        <f ca="1">SUMIFS('Mitra per Bulan'!$I$2:$I1000,'Mitra per Bulan'!$E$2:$E1000,G$2,'Mitra per Bulan'!$C$2:$C1000,$A78)</f>
        <v>1095000</v>
      </c>
      <c r="H78" s="110">
        <f ca="1">SUMIFS('Mitra per Bulan'!$I$2:$I1000,'Mitra per Bulan'!$E$2:$E1000,H$2,'Mitra per Bulan'!$C$2:$C1000,$A78)</f>
        <v>180000</v>
      </c>
      <c r="I78" s="110">
        <f ca="1">SUMIFS('Mitra per Bulan'!$I$2:$I1000,'Mitra per Bulan'!$E$2:$E1000,I$2,'Mitra per Bulan'!$C$2:$C1000,$A78)</f>
        <v>0</v>
      </c>
      <c r="J78" s="110">
        <f ca="1">SUMIFS('Mitra per Bulan'!$I$2:$I1000,'Mitra per Bulan'!$E$2:$E1000,J$2,'Mitra per Bulan'!$C$2:$C1000,$A78)</f>
        <v>0</v>
      </c>
      <c r="K78" s="110">
        <f ca="1">SUMIFS('Mitra per Bulan'!$I$2:$I1000,'Mitra per Bulan'!$E$2:$E1000,K$2,'Mitra per Bulan'!$C$2:$C1000,$A78)</f>
        <v>0</v>
      </c>
      <c r="L78" s="110">
        <f ca="1">SUMIFS('Mitra per Bulan'!$I$2:$I1000,'Mitra per Bulan'!$E$2:$E1000,L$2,'Mitra per Bulan'!$C$2:$C1000,$A78)</f>
        <v>0</v>
      </c>
      <c r="M78" s="110">
        <f ca="1">SUMIFS('Mitra per Bulan'!$I$2:$I1000,'Mitra per Bulan'!$E$2:$E1000,M$2,'Mitra per Bulan'!$C$2:$C1000,$A78)</f>
        <v>0</v>
      </c>
      <c r="N78" s="110">
        <f ca="1">SUMIFS('Mitra per Bulan'!$I$2:$I1000,'Mitra per Bulan'!$E$2:$E1000,N$2,'Mitra per Bulan'!$C$2:$C1000,$A78)</f>
        <v>0</v>
      </c>
      <c r="O78" s="110">
        <f ca="1">SUMIFS('Mitra per Bulan'!$I$2:$I1000,'Mitra per Bulan'!$E$2:$E1000,O$2,'Mitra per Bulan'!$C$2:$C1000,$A78)</f>
        <v>0</v>
      </c>
      <c r="P78" s="110">
        <f ca="1">SUMIFS('Mitra per Bulan'!$I$2:$I1000,'Mitra per Bulan'!$E$2:$E1000,P$2,'Mitra per Bulan'!$C$2:$C1000,$A78)</f>
        <v>0</v>
      </c>
    </row>
    <row r="79" spans="1:16" ht="12.5">
      <c r="A79" s="10">
        <f ca="1">IFERROR(__xludf.DUMMYFUNCTION("""COMPUTED_VALUE"""),617122110049)</f>
        <v>617122110049</v>
      </c>
      <c r="B79" s="10" t="str">
        <f t="array" aca="1" ref="B79" ca="1">INDEX('Database Mitra'!$C$2:$C1000,MATCH(A79,'Database Mitra'!$B$2:$B1000,0))</f>
        <v>Muhammad Deny Hafizzul Muttaqin</v>
      </c>
      <c r="C79" s="110"/>
      <c r="D79" s="110">
        <f t="shared" ca="1" si="0"/>
        <v>1981000</v>
      </c>
      <c r="E79" s="110">
        <f ca="1">SUMIFS('Mitra per Bulan'!$I$2:$I1000,'Mitra per Bulan'!$E$2:$E1000,E$2,'Mitra per Bulan'!$C$2:$C1000,$A79)</f>
        <v>0</v>
      </c>
      <c r="F79" s="110">
        <f ca="1">SUMIFS('Mitra per Bulan'!$I$2:$I1000,'Mitra per Bulan'!$E$2:$E1000,F$2,'Mitra per Bulan'!$C$2:$C1000,$A79)</f>
        <v>0</v>
      </c>
      <c r="G79" s="110">
        <f ca="1">SUMIFS('Mitra per Bulan'!$I$2:$I1000,'Mitra per Bulan'!$E$2:$E1000,G$2,'Mitra per Bulan'!$C$2:$C1000,$A79)</f>
        <v>1760000</v>
      </c>
      <c r="H79" s="110">
        <f ca="1">SUMIFS('Mitra per Bulan'!$I$2:$I1000,'Mitra per Bulan'!$E$2:$E1000,H$2,'Mitra per Bulan'!$C$2:$C1000,$A79)</f>
        <v>0</v>
      </c>
      <c r="I79" s="110">
        <f ca="1">SUMIFS('Mitra per Bulan'!$I$2:$I1000,'Mitra per Bulan'!$E$2:$E1000,I$2,'Mitra per Bulan'!$C$2:$C1000,$A79)</f>
        <v>0</v>
      </c>
      <c r="J79" s="110">
        <f ca="1">SUMIFS('Mitra per Bulan'!$I$2:$I1000,'Mitra per Bulan'!$E$2:$E1000,J$2,'Mitra per Bulan'!$C$2:$C1000,$A79)</f>
        <v>0</v>
      </c>
      <c r="K79" s="110">
        <f ca="1">SUMIFS('Mitra per Bulan'!$I$2:$I1000,'Mitra per Bulan'!$E$2:$E1000,K$2,'Mitra per Bulan'!$C$2:$C1000,$A79)</f>
        <v>0</v>
      </c>
      <c r="L79" s="110">
        <f ca="1">SUMIFS('Mitra per Bulan'!$I$2:$I1000,'Mitra per Bulan'!$E$2:$E1000,L$2,'Mitra per Bulan'!$C$2:$C1000,$A79)</f>
        <v>0</v>
      </c>
      <c r="M79" s="110">
        <f ca="1">SUMIFS('Mitra per Bulan'!$I$2:$I1000,'Mitra per Bulan'!$E$2:$E1000,M$2,'Mitra per Bulan'!$C$2:$C1000,$A79)</f>
        <v>0</v>
      </c>
      <c r="N79" s="110">
        <f ca="1">SUMIFS('Mitra per Bulan'!$I$2:$I1000,'Mitra per Bulan'!$E$2:$E1000,N$2,'Mitra per Bulan'!$C$2:$C1000,$A79)</f>
        <v>0</v>
      </c>
      <c r="O79" s="110">
        <f ca="1">SUMIFS('Mitra per Bulan'!$I$2:$I1000,'Mitra per Bulan'!$E$2:$E1000,O$2,'Mitra per Bulan'!$C$2:$C1000,$A79)</f>
        <v>0</v>
      </c>
      <c r="P79" s="110">
        <f ca="1">SUMIFS('Mitra per Bulan'!$I$2:$I1000,'Mitra per Bulan'!$E$2:$E1000,P$2,'Mitra per Bulan'!$C$2:$C1000,$A79)</f>
        <v>221000</v>
      </c>
    </row>
    <row r="80" spans="1:16" ht="12.5">
      <c r="A80" s="10">
        <f ca="1">IFERROR(__xludf.DUMMYFUNCTION("""COMPUTED_VALUE"""),610422110006)</f>
        <v>610422110006</v>
      </c>
      <c r="B80" s="10" t="str">
        <f t="array" aca="1" ref="B80" ca="1">INDEX('Database Mitra'!$C$2:$C1000,MATCH(A80,'Database Mitra'!$B$2:$B1000,0))</f>
        <v>Muhammad Habibie</v>
      </c>
      <c r="C80" s="110"/>
      <c r="D80" s="110">
        <f t="shared" ca="1" si="0"/>
        <v>1871000</v>
      </c>
      <c r="E80" s="110">
        <f ca="1">SUMIFS('Mitra per Bulan'!$I$2:$I1000,'Mitra per Bulan'!$E$2:$E1000,E$2,'Mitra per Bulan'!$C$2:$C1000,$A80)</f>
        <v>0</v>
      </c>
      <c r="F80" s="110">
        <f ca="1">SUMIFS('Mitra per Bulan'!$I$2:$I1000,'Mitra per Bulan'!$E$2:$E1000,F$2,'Mitra per Bulan'!$C$2:$C1000,$A80)</f>
        <v>0</v>
      </c>
      <c r="G80" s="110">
        <f ca="1">SUMIFS('Mitra per Bulan'!$I$2:$I1000,'Mitra per Bulan'!$E$2:$E1000,G$2,'Mitra per Bulan'!$C$2:$C1000,$A80)</f>
        <v>1650000</v>
      </c>
      <c r="H80" s="110">
        <f ca="1">SUMIFS('Mitra per Bulan'!$I$2:$I1000,'Mitra per Bulan'!$E$2:$E1000,H$2,'Mitra per Bulan'!$C$2:$C1000,$A80)</f>
        <v>0</v>
      </c>
      <c r="I80" s="110">
        <f ca="1">SUMIFS('Mitra per Bulan'!$I$2:$I1000,'Mitra per Bulan'!$E$2:$E1000,I$2,'Mitra per Bulan'!$C$2:$C1000,$A80)</f>
        <v>0</v>
      </c>
      <c r="J80" s="110">
        <f ca="1">SUMIFS('Mitra per Bulan'!$I$2:$I1000,'Mitra per Bulan'!$E$2:$E1000,J$2,'Mitra per Bulan'!$C$2:$C1000,$A80)</f>
        <v>0</v>
      </c>
      <c r="K80" s="110">
        <f ca="1">SUMIFS('Mitra per Bulan'!$I$2:$I1000,'Mitra per Bulan'!$E$2:$E1000,K$2,'Mitra per Bulan'!$C$2:$C1000,$A80)</f>
        <v>0</v>
      </c>
      <c r="L80" s="110">
        <f ca="1">SUMIFS('Mitra per Bulan'!$I$2:$I1000,'Mitra per Bulan'!$E$2:$E1000,L$2,'Mitra per Bulan'!$C$2:$C1000,$A80)</f>
        <v>0</v>
      </c>
      <c r="M80" s="110">
        <f ca="1">SUMIFS('Mitra per Bulan'!$I$2:$I1000,'Mitra per Bulan'!$E$2:$E1000,M$2,'Mitra per Bulan'!$C$2:$C1000,$A80)</f>
        <v>0</v>
      </c>
      <c r="N80" s="110">
        <f ca="1">SUMIFS('Mitra per Bulan'!$I$2:$I1000,'Mitra per Bulan'!$E$2:$E1000,N$2,'Mitra per Bulan'!$C$2:$C1000,$A80)</f>
        <v>0</v>
      </c>
      <c r="O80" s="110">
        <f ca="1">SUMIFS('Mitra per Bulan'!$I$2:$I1000,'Mitra per Bulan'!$E$2:$E1000,O$2,'Mitra per Bulan'!$C$2:$C1000,$A80)</f>
        <v>0</v>
      </c>
      <c r="P80" s="110">
        <f ca="1">SUMIFS('Mitra per Bulan'!$I$2:$I1000,'Mitra per Bulan'!$E$2:$E1000,P$2,'Mitra per Bulan'!$C$2:$C1000,$A80)</f>
        <v>221000</v>
      </c>
    </row>
    <row r="81" spans="1:16" ht="12.5">
      <c r="A81" s="10">
        <f ca="1">IFERROR(__xludf.DUMMYFUNCTION("""COMPUTED_VALUE"""),610422110005)</f>
        <v>610422110005</v>
      </c>
      <c r="B81" s="10" t="str">
        <f t="array" aca="1" ref="B81" ca="1">INDEX('Database Mitra'!$C$2:$C1000,MATCH(A81,'Database Mitra'!$B$2:$B1000,0))</f>
        <v>indra</v>
      </c>
      <c r="C81" s="110"/>
      <c r="D81" s="110">
        <f t="shared" ca="1" si="0"/>
        <v>2173500</v>
      </c>
      <c r="E81" s="110">
        <f ca="1">SUMIFS('Mitra per Bulan'!$I$2:$I1000,'Mitra per Bulan'!$E$2:$E1000,E$2,'Mitra per Bulan'!$C$2:$C1000,$A81)</f>
        <v>0</v>
      </c>
      <c r="F81" s="110">
        <f ca="1">SUMIFS('Mitra per Bulan'!$I$2:$I1000,'Mitra per Bulan'!$E$2:$E1000,F$2,'Mitra per Bulan'!$C$2:$C1000,$A81)</f>
        <v>0</v>
      </c>
      <c r="G81" s="110">
        <f ca="1">SUMIFS('Mitra per Bulan'!$I$2:$I1000,'Mitra per Bulan'!$E$2:$E1000,G$2,'Mitra per Bulan'!$C$2:$C1000,$A81)</f>
        <v>1952500</v>
      </c>
      <c r="H81" s="110">
        <f ca="1">SUMIFS('Mitra per Bulan'!$I$2:$I1000,'Mitra per Bulan'!$E$2:$E1000,H$2,'Mitra per Bulan'!$C$2:$C1000,$A81)</f>
        <v>0</v>
      </c>
      <c r="I81" s="110">
        <f ca="1">SUMIFS('Mitra per Bulan'!$I$2:$I1000,'Mitra per Bulan'!$E$2:$E1000,I$2,'Mitra per Bulan'!$C$2:$C1000,$A81)</f>
        <v>0</v>
      </c>
      <c r="J81" s="110">
        <f ca="1">SUMIFS('Mitra per Bulan'!$I$2:$I1000,'Mitra per Bulan'!$E$2:$E1000,J$2,'Mitra per Bulan'!$C$2:$C1000,$A81)</f>
        <v>0</v>
      </c>
      <c r="K81" s="110">
        <f ca="1">SUMIFS('Mitra per Bulan'!$I$2:$I1000,'Mitra per Bulan'!$E$2:$E1000,K$2,'Mitra per Bulan'!$C$2:$C1000,$A81)</f>
        <v>0</v>
      </c>
      <c r="L81" s="110">
        <f ca="1">SUMIFS('Mitra per Bulan'!$I$2:$I1000,'Mitra per Bulan'!$E$2:$E1000,L$2,'Mitra per Bulan'!$C$2:$C1000,$A81)</f>
        <v>0</v>
      </c>
      <c r="M81" s="110">
        <f ca="1">SUMIFS('Mitra per Bulan'!$I$2:$I1000,'Mitra per Bulan'!$E$2:$E1000,M$2,'Mitra per Bulan'!$C$2:$C1000,$A81)</f>
        <v>0</v>
      </c>
      <c r="N81" s="110">
        <f ca="1">SUMIFS('Mitra per Bulan'!$I$2:$I1000,'Mitra per Bulan'!$E$2:$E1000,N$2,'Mitra per Bulan'!$C$2:$C1000,$A81)</f>
        <v>0</v>
      </c>
      <c r="O81" s="110">
        <f ca="1">SUMIFS('Mitra per Bulan'!$I$2:$I1000,'Mitra per Bulan'!$E$2:$E1000,O$2,'Mitra per Bulan'!$C$2:$C1000,$A81)</f>
        <v>0</v>
      </c>
      <c r="P81" s="110">
        <f ca="1">SUMIFS('Mitra per Bulan'!$I$2:$I1000,'Mitra per Bulan'!$E$2:$E1000,P$2,'Mitra per Bulan'!$C$2:$C1000,$A81)</f>
        <v>221000</v>
      </c>
    </row>
    <row r="82" spans="1:16" ht="12.5">
      <c r="A82" s="10">
        <f ca="1">IFERROR(__xludf.DUMMYFUNCTION("""COMPUTED_VALUE"""),610423090021)</f>
        <v>610423090021</v>
      </c>
      <c r="B82" s="10" t="str">
        <f t="array" aca="1" ref="B82" ca="1">INDEX('Database Mitra'!$C$2:$C1000,MATCH(A82,'Database Mitra'!$B$2:$B1000,0))</f>
        <v>Thama Riewanty Oesman</v>
      </c>
      <c r="C82" s="110"/>
      <c r="D82" s="110">
        <f t="shared" ca="1" si="0"/>
        <v>1816000</v>
      </c>
      <c r="E82" s="110">
        <f ca="1">SUMIFS('Mitra per Bulan'!$I$2:$I1000,'Mitra per Bulan'!$E$2:$E1000,E$2,'Mitra per Bulan'!$C$2:$C1000,$A82)</f>
        <v>0</v>
      </c>
      <c r="F82" s="110">
        <f ca="1">SUMIFS('Mitra per Bulan'!$I$2:$I1000,'Mitra per Bulan'!$E$2:$E1000,F$2,'Mitra per Bulan'!$C$2:$C1000,$A82)</f>
        <v>0</v>
      </c>
      <c r="G82" s="110">
        <f ca="1">SUMIFS('Mitra per Bulan'!$I$2:$I1000,'Mitra per Bulan'!$E$2:$E1000,G$2,'Mitra per Bulan'!$C$2:$C1000,$A82)</f>
        <v>1595000</v>
      </c>
      <c r="H82" s="110">
        <f ca="1">SUMIFS('Mitra per Bulan'!$I$2:$I1000,'Mitra per Bulan'!$E$2:$E1000,H$2,'Mitra per Bulan'!$C$2:$C1000,$A82)</f>
        <v>0</v>
      </c>
      <c r="I82" s="110">
        <f ca="1">SUMIFS('Mitra per Bulan'!$I$2:$I1000,'Mitra per Bulan'!$E$2:$E1000,I$2,'Mitra per Bulan'!$C$2:$C1000,$A82)</f>
        <v>0</v>
      </c>
      <c r="J82" s="110">
        <f ca="1">SUMIFS('Mitra per Bulan'!$I$2:$I1000,'Mitra per Bulan'!$E$2:$E1000,J$2,'Mitra per Bulan'!$C$2:$C1000,$A82)</f>
        <v>0</v>
      </c>
      <c r="K82" s="110">
        <f ca="1">SUMIFS('Mitra per Bulan'!$I$2:$I1000,'Mitra per Bulan'!$E$2:$E1000,K$2,'Mitra per Bulan'!$C$2:$C1000,$A82)</f>
        <v>0</v>
      </c>
      <c r="L82" s="110">
        <f ca="1">SUMIFS('Mitra per Bulan'!$I$2:$I1000,'Mitra per Bulan'!$E$2:$E1000,L$2,'Mitra per Bulan'!$C$2:$C1000,$A82)</f>
        <v>0</v>
      </c>
      <c r="M82" s="110">
        <f ca="1">SUMIFS('Mitra per Bulan'!$I$2:$I1000,'Mitra per Bulan'!$E$2:$E1000,M$2,'Mitra per Bulan'!$C$2:$C1000,$A82)</f>
        <v>0</v>
      </c>
      <c r="N82" s="110">
        <f ca="1">SUMIFS('Mitra per Bulan'!$I$2:$I1000,'Mitra per Bulan'!$E$2:$E1000,N$2,'Mitra per Bulan'!$C$2:$C1000,$A82)</f>
        <v>0</v>
      </c>
      <c r="O82" s="110">
        <f ca="1">SUMIFS('Mitra per Bulan'!$I$2:$I1000,'Mitra per Bulan'!$E$2:$E1000,O$2,'Mitra per Bulan'!$C$2:$C1000,$A82)</f>
        <v>0</v>
      </c>
      <c r="P82" s="110">
        <f ca="1">SUMIFS('Mitra per Bulan'!$I$2:$I1000,'Mitra per Bulan'!$E$2:$E1000,P$2,'Mitra per Bulan'!$C$2:$C1000,$A82)</f>
        <v>221000</v>
      </c>
    </row>
    <row r="83" spans="1:16" ht="12.5">
      <c r="A83" s="10">
        <f ca="1">IFERROR(__xludf.DUMMYFUNCTION("""COMPUTED_VALUE"""),610422100006)</f>
        <v>610422100006</v>
      </c>
      <c r="B83" s="10" t="str">
        <f t="array" aca="1" ref="B83" ca="1">INDEX('Database Mitra'!$C$2:$C1000,MATCH(A83,'Database Mitra'!$B$2:$B1000,0))</f>
        <v>Dandy</v>
      </c>
      <c r="C83" s="110"/>
      <c r="D83" s="110">
        <f t="shared" ca="1" si="0"/>
        <v>7196000</v>
      </c>
      <c r="E83" s="110">
        <f ca="1">SUMIFS('Mitra per Bulan'!$I$2:$I1000,'Mitra per Bulan'!$E$2:$E1000,E$2,'Mitra per Bulan'!$C$2:$C1000,$A83)</f>
        <v>0</v>
      </c>
      <c r="F83" s="110">
        <f ca="1">SUMIFS('Mitra per Bulan'!$I$2:$I1000,'Mitra per Bulan'!$E$2:$E1000,F$2,'Mitra per Bulan'!$C$2:$C1000,$A83)</f>
        <v>0</v>
      </c>
      <c r="G83" s="110">
        <f ca="1">SUMIFS('Mitra per Bulan'!$I$2:$I1000,'Mitra per Bulan'!$E$2:$E1000,G$2,'Mitra per Bulan'!$C$2:$C1000,$A83)</f>
        <v>0</v>
      </c>
      <c r="H83" s="110">
        <f ca="1">SUMIFS('Mitra per Bulan'!$I$2:$I1000,'Mitra per Bulan'!$E$2:$E1000,H$2,'Mitra per Bulan'!$C$2:$C1000,$A83)</f>
        <v>0</v>
      </c>
      <c r="I83" s="110">
        <f ca="1">SUMIFS('Mitra per Bulan'!$I$2:$I1000,'Mitra per Bulan'!$E$2:$E1000,I$2,'Mitra per Bulan'!$C$2:$C1000,$A83)</f>
        <v>312000</v>
      </c>
      <c r="J83" s="110">
        <f ca="1">SUMIFS('Mitra per Bulan'!$I$2:$I1000,'Mitra per Bulan'!$E$2:$E1000,J$2,'Mitra per Bulan'!$C$2:$C1000,$A83)</f>
        <v>4694000</v>
      </c>
      <c r="K83" s="110">
        <f ca="1">SUMIFS('Mitra per Bulan'!$I$2:$I1000,'Mitra per Bulan'!$E$2:$E1000,K$2,'Mitra per Bulan'!$C$2:$C1000,$A83)</f>
        <v>0</v>
      </c>
      <c r="L83" s="110">
        <f ca="1">SUMIFS('Mitra per Bulan'!$I$2:$I1000,'Mitra per Bulan'!$E$2:$E1000,L$2,'Mitra per Bulan'!$C$2:$C1000,$A83)</f>
        <v>2190000</v>
      </c>
      <c r="M83" s="110">
        <f ca="1">SUMIFS('Mitra per Bulan'!$I$2:$I1000,'Mitra per Bulan'!$E$2:$E1000,M$2,'Mitra per Bulan'!$C$2:$C1000,$A83)</f>
        <v>0</v>
      </c>
      <c r="N83" s="110">
        <f ca="1">SUMIFS('Mitra per Bulan'!$I$2:$I1000,'Mitra per Bulan'!$E$2:$E1000,N$2,'Mitra per Bulan'!$C$2:$C1000,$A83)</f>
        <v>0</v>
      </c>
      <c r="O83" s="110">
        <f ca="1">SUMIFS('Mitra per Bulan'!$I$2:$I1000,'Mitra per Bulan'!$E$2:$E1000,O$2,'Mitra per Bulan'!$C$2:$C1000,$A83)</f>
        <v>0</v>
      </c>
      <c r="P83" s="110">
        <f ca="1">SUMIFS('Mitra per Bulan'!$I$2:$I1000,'Mitra per Bulan'!$E$2:$E1000,P$2,'Mitra per Bulan'!$C$2:$C1000,$A83)</f>
        <v>0</v>
      </c>
    </row>
    <row r="84" spans="1:16" ht="12.5">
      <c r="A84" s="10">
        <f ca="1">IFERROR(__xludf.DUMMYFUNCTION("""COMPUTED_VALUE"""),610423040021)</f>
        <v>610423040021</v>
      </c>
      <c r="B84" s="10" t="str">
        <f t="array" aca="1" ref="B84" ca="1">INDEX('Database Mitra'!$C$2:$C1000,MATCH(A84,'Database Mitra'!$B$2:$B1000,0))</f>
        <v>Seliana</v>
      </c>
      <c r="C84" s="110"/>
      <c r="D84" s="110">
        <f t="shared" ca="1" si="0"/>
        <v>546000</v>
      </c>
      <c r="E84" s="110">
        <f ca="1">SUMIFS('Mitra per Bulan'!$I$2:$I1000,'Mitra per Bulan'!$E$2:$E1000,E$2,'Mitra per Bulan'!$C$2:$C1000,$A84)</f>
        <v>0</v>
      </c>
      <c r="F84" s="110">
        <f ca="1">SUMIFS('Mitra per Bulan'!$I$2:$I1000,'Mitra per Bulan'!$E$2:$E1000,F$2,'Mitra per Bulan'!$C$2:$C1000,$A84)</f>
        <v>0</v>
      </c>
      <c r="G84" s="110">
        <f ca="1">SUMIFS('Mitra per Bulan'!$I$2:$I1000,'Mitra per Bulan'!$E$2:$E1000,G$2,'Mitra per Bulan'!$C$2:$C1000,$A84)</f>
        <v>0</v>
      </c>
      <c r="H84" s="110">
        <f ca="1">SUMIFS('Mitra per Bulan'!$I$2:$I1000,'Mitra per Bulan'!$E$2:$E1000,H$2,'Mitra per Bulan'!$C$2:$C1000,$A84)</f>
        <v>0</v>
      </c>
      <c r="I84" s="110">
        <f ca="1">SUMIFS('Mitra per Bulan'!$I$2:$I1000,'Mitra per Bulan'!$E$2:$E1000,I$2,'Mitra per Bulan'!$C$2:$C1000,$A84)</f>
        <v>312000</v>
      </c>
      <c r="J84" s="110">
        <f ca="1">SUMIFS('Mitra per Bulan'!$I$2:$I1000,'Mitra per Bulan'!$E$2:$E1000,J$2,'Mitra per Bulan'!$C$2:$C1000,$A84)</f>
        <v>0</v>
      </c>
      <c r="K84" s="110">
        <f ca="1">SUMIFS('Mitra per Bulan'!$I$2:$I1000,'Mitra per Bulan'!$E$2:$E1000,K$2,'Mitra per Bulan'!$C$2:$C1000,$A84)</f>
        <v>0</v>
      </c>
      <c r="L84" s="110">
        <f ca="1">SUMIFS('Mitra per Bulan'!$I$2:$I1000,'Mitra per Bulan'!$E$2:$E1000,L$2,'Mitra per Bulan'!$C$2:$C1000,$A84)</f>
        <v>234000</v>
      </c>
      <c r="M84" s="110">
        <f ca="1">SUMIFS('Mitra per Bulan'!$I$2:$I1000,'Mitra per Bulan'!$E$2:$E1000,M$2,'Mitra per Bulan'!$C$2:$C1000,$A84)</f>
        <v>0</v>
      </c>
      <c r="N84" s="110">
        <f ca="1">SUMIFS('Mitra per Bulan'!$I$2:$I1000,'Mitra per Bulan'!$E$2:$E1000,N$2,'Mitra per Bulan'!$C$2:$C1000,$A84)</f>
        <v>0</v>
      </c>
      <c r="O84" s="110">
        <f ca="1">SUMIFS('Mitra per Bulan'!$I$2:$I1000,'Mitra per Bulan'!$E$2:$E1000,O$2,'Mitra per Bulan'!$C$2:$C1000,$A84)</f>
        <v>0</v>
      </c>
      <c r="P84" s="110">
        <f ca="1">SUMIFS('Mitra per Bulan'!$I$2:$I1000,'Mitra per Bulan'!$E$2:$E1000,P$2,'Mitra per Bulan'!$C$2:$C1000,$A84)</f>
        <v>0</v>
      </c>
    </row>
    <row r="85" spans="1:16" ht="12.5">
      <c r="A85" s="10">
        <f ca="1">IFERROR(__xludf.DUMMYFUNCTION("""COMPUTED_VALUE"""),610422020012)</f>
        <v>610422020012</v>
      </c>
      <c r="B85" s="10" t="str">
        <f t="array" aca="1" ref="B85" ca="1">INDEX('Database Mitra'!$C$2:$C1000,MATCH(A85,'Database Mitra'!$B$2:$B1000,0))</f>
        <v>ISUL</v>
      </c>
      <c r="C85" s="110"/>
      <c r="D85" s="110">
        <f t="shared" ca="1" si="0"/>
        <v>4694000</v>
      </c>
      <c r="E85" s="110">
        <f ca="1">SUMIFS('Mitra per Bulan'!$I$2:$I1000,'Mitra per Bulan'!$E$2:$E1000,E$2,'Mitra per Bulan'!$C$2:$C1000,$A85)</f>
        <v>0</v>
      </c>
      <c r="F85" s="110">
        <f ca="1">SUMIFS('Mitra per Bulan'!$I$2:$I1000,'Mitra per Bulan'!$E$2:$E1000,F$2,'Mitra per Bulan'!$C$2:$C1000,$A85)</f>
        <v>0</v>
      </c>
      <c r="G85" s="110">
        <f ca="1">SUMIFS('Mitra per Bulan'!$I$2:$I1000,'Mitra per Bulan'!$E$2:$E1000,G$2,'Mitra per Bulan'!$C$2:$C1000,$A85)</f>
        <v>0</v>
      </c>
      <c r="H85" s="110">
        <f ca="1">SUMIFS('Mitra per Bulan'!$I$2:$I1000,'Mitra per Bulan'!$E$2:$E1000,H$2,'Mitra per Bulan'!$C$2:$C1000,$A85)</f>
        <v>0</v>
      </c>
      <c r="I85" s="110">
        <f ca="1">SUMIFS('Mitra per Bulan'!$I$2:$I1000,'Mitra per Bulan'!$E$2:$E1000,I$2,'Mitra per Bulan'!$C$2:$C1000,$A85)</f>
        <v>0</v>
      </c>
      <c r="J85" s="110">
        <f ca="1">SUMIFS('Mitra per Bulan'!$I$2:$I1000,'Mitra per Bulan'!$E$2:$E1000,J$2,'Mitra per Bulan'!$C$2:$C1000,$A85)</f>
        <v>4694000</v>
      </c>
      <c r="K85" s="110">
        <f ca="1">SUMIFS('Mitra per Bulan'!$I$2:$I1000,'Mitra per Bulan'!$E$2:$E1000,K$2,'Mitra per Bulan'!$C$2:$C1000,$A85)</f>
        <v>0</v>
      </c>
      <c r="L85" s="110">
        <f ca="1">SUMIFS('Mitra per Bulan'!$I$2:$I1000,'Mitra per Bulan'!$E$2:$E1000,L$2,'Mitra per Bulan'!$C$2:$C1000,$A85)</f>
        <v>0</v>
      </c>
      <c r="M85" s="110">
        <f ca="1">SUMIFS('Mitra per Bulan'!$I$2:$I1000,'Mitra per Bulan'!$E$2:$E1000,M$2,'Mitra per Bulan'!$C$2:$C1000,$A85)</f>
        <v>0</v>
      </c>
      <c r="N85" s="110">
        <f ca="1">SUMIFS('Mitra per Bulan'!$I$2:$I1000,'Mitra per Bulan'!$E$2:$E1000,N$2,'Mitra per Bulan'!$C$2:$C1000,$A85)</f>
        <v>0</v>
      </c>
      <c r="O85" s="110">
        <f ca="1">SUMIFS('Mitra per Bulan'!$I$2:$I1000,'Mitra per Bulan'!$E$2:$E1000,O$2,'Mitra per Bulan'!$C$2:$C1000,$A85)</f>
        <v>0</v>
      </c>
      <c r="P85" s="110">
        <f ca="1">SUMIFS('Mitra per Bulan'!$I$2:$I1000,'Mitra per Bulan'!$E$2:$E1000,P$2,'Mitra per Bulan'!$C$2:$C1000,$A85)</f>
        <v>0</v>
      </c>
    </row>
    <row r="86" spans="1:16" ht="12.5">
      <c r="A86" s="10">
        <f ca="1">IFERROR(__xludf.DUMMYFUNCTION("""COMPUTED_VALUE"""),610422040051)</f>
        <v>610422040051</v>
      </c>
      <c r="B86" s="10" t="str">
        <f t="array" aca="1" ref="B86" ca="1">INDEX('Database Mitra'!$C$2:$C1000,MATCH(A86,'Database Mitra'!$B$2:$B1000,0))</f>
        <v>Dede sri delvey</v>
      </c>
      <c r="C86" s="110"/>
      <c r="D86" s="110">
        <f t="shared" ca="1" si="0"/>
        <v>7178000</v>
      </c>
      <c r="E86" s="110">
        <f ca="1">SUMIFS('Mitra per Bulan'!$I$2:$I1000,'Mitra per Bulan'!$E$2:$E1000,E$2,'Mitra per Bulan'!$C$2:$C1000,$A86)</f>
        <v>0</v>
      </c>
      <c r="F86" s="110">
        <f ca="1">SUMIFS('Mitra per Bulan'!$I$2:$I1000,'Mitra per Bulan'!$E$2:$E1000,F$2,'Mitra per Bulan'!$C$2:$C1000,$A86)</f>
        <v>0</v>
      </c>
      <c r="G86" s="110">
        <f ca="1">SUMIFS('Mitra per Bulan'!$I$2:$I1000,'Mitra per Bulan'!$E$2:$E1000,G$2,'Mitra per Bulan'!$C$2:$C1000,$A86)</f>
        <v>0</v>
      </c>
      <c r="H86" s="110">
        <f ca="1">SUMIFS('Mitra per Bulan'!$I$2:$I1000,'Mitra per Bulan'!$E$2:$E1000,H$2,'Mitra per Bulan'!$C$2:$C1000,$A86)</f>
        <v>0</v>
      </c>
      <c r="I86" s="110">
        <f ca="1">SUMIFS('Mitra per Bulan'!$I$2:$I1000,'Mitra per Bulan'!$E$2:$E1000,I$2,'Mitra per Bulan'!$C$2:$C1000,$A86)</f>
        <v>0</v>
      </c>
      <c r="J86" s="110">
        <f ca="1">SUMIFS('Mitra per Bulan'!$I$2:$I1000,'Mitra per Bulan'!$E$2:$E1000,J$2,'Mitra per Bulan'!$C$2:$C1000,$A86)</f>
        <v>4694000</v>
      </c>
      <c r="K86" s="110">
        <f ca="1">SUMIFS('Mitra per Bulan'!$I$2:$I1000,'Mitra per Bulan'!$E$2:$E1000,K$2,'Mitra per Bulan'!$C$2:$C1000,$A86)</f>
        <v>0</v>
      </c>
      <c r="L86" s="110">
        <f ca="1">SUMIFS('Mitra per Bulan'!$I$2:$I1000,'Mitra per Bulan'!$E$2:$E1000,L$2,'Mitra per Bulan'!$C$2:$C1000,$A86)</f>
        <v>1980000</v>
      </c>
      <c r="M86" s="110">
        <f ca="1">SUMIFS('Mitra per Bulan'!$I$2:$I1000,'Mitra per Bulan'!$E$2:$E1000,M$2,'Mitra per Bulan'!$C$2:$C1000,$A86)</f>
        <v>504000</v>
      </c>
      <c r="N86" s="110">
        <f ca="1">SUMIFS('Mitra per Bulan'!$I$2:$I1000,'Mitra per Bulan'!$E$2:$E1000,N$2,'Mitra per Bulan'!$C$2:$C1000,$A86)</f>
        <v>0</v>
      </c>
      <c r="O86" s="110">
        <f ca="1">SUMIFS('Mitra per Bulan'!$I$2:$I1000,'Mitra per Bulan'!$E$2:$E1000,O$2,'Mitra per Bulan'!$C$2:$C1000,$A86)</f>
        <v>0</v>
      </c>
      <c r="P86" s="110">
        <f ca="1">SUMIFS('Mitra per Bulan'!$I$2:$I1000,'Mitra per Bulan'!$E$2:$E1000,P$2,'Mitra per Bulan'!$C$2:$C1000,$A86)</f>
        <v>0</v>
      </c>
    </row>
    <row r="87" spans="1:16" ht="12.5">
      <c r="A87" s="10">
        <f ca="1">IFERROR(__xludf.DUMMYFUNCTION("""COMPUTED_VALUE"""),610422100153)</f>
        <v>610422100153</v>
      </c>
      <c r="B87" s="10" t="str">
        <f t="array" aca="1" ref="B87" ca="1">INDEX('Database Mitra'!$C$2:$C1000,MATCH(A87,'Database Mitra'!$B$2:$B1000,0))</f>
        <v>Kharim marufah</v>
      </c>
      <c r="C87" s="110"/>
      <c r="D87" s="110">
        <f t="shared" ca="1" si="0"/>
        <v>625000</v>
      </c>
      <c r="E87" s="110">
        <f ca="1">SUMIFS('Mitra per Bulan'!$I$2:$I1000,'Mitra per Bulan'!$E$2:$E1000,E$2,'Mitra per Bulan'!$C$2:$C1000,$A87)</f>
        <v>0</v>
      </c>
      <c r="F87" s="110">
        <f ca="1">SUMIFS('Mitra per Bulan'!$I$2:$I1000,'Mitra per Bulan'!$E$2:$E1000,F$2,'Mitra per Bulan'!$C$2:$C1000,$A87)</f>
        <v>0</v>
      </c>
      <c r="G87" s="110">
        <f ca="1">SUMIFS('Mitra per Bulan'!$I$2:$I1000,'Mitra per Bulan'!$E$2:$E1000,G$2,'Mitra per Bulan'!$C$2:$C1000,$A87)</f>
        <v>0</v>
      </c>
      <c r="H87" s="110">
        <f ca="1">SUMIFS('Mitra per Bulan'!$I$2:$I1000,'Mitra per Bulan'!$E$2:$E1000,H$2,'Mitra per Bulan'!$C$2:$C1000,$A87)</f>
        <v>0</v>
      </c>
      <c r="I87" s="110">
        <f ca="1">SUMIFS('Mitra per Bulan'!$I$2:$I1000,'Mitra per Bulan'!$E$2:$E1000,I$2,'Mitra per Bulan'!$C$2:$C1000,$A87)</f>
        <v>0</v>
      </c>
      <c r="J87" s="110">
        <f ca="1">SUMIFS('Mitra per Bulan'!$I$2:$I1000,'Mitra per Bulan'!$E$2:$E1000,J$2,'Mitra per Bulan'!$C$2:$C1000,$A87)</f>
        <v>0</v>
      </c>
      <c r="K87" s="110">
        <f ca="1">SUMIFS('Mitra per Bulan'!$I$2:$I1000,'Mitra per Bulan'!$E$2:$E1000,K$2,'Mitra per Bulan'!$C$2:$C1000,$A87)</f>
        <v>250000</v>
      </c>
      <c r="L87" s="110">
        <f ca="1">SUMIFS('Mitra per Bulan'!$I$2:$I1000,'Mitra per Bulan'!$E$2:$E1000,L$2,'Mitra per Bulan'!$C$2:$C1000,$A87)</f>
        <v>375000</v>
      </c>
      <c r="M87" s="110">
        <f ca="1">SUMIFS('Mitra per Bulan'!$I$2:$I1000,'Mitra per Bulan'!$E$2:$E1000,M$2,'Mitra per Bulan'!$C$2:$C1000,$A87)</f>
        <v>0</v>
      </c>
      <c r="N87" s="110">
        <f ca="1">SUMIFS('Mitra per Bulan'!$I$2:$I1000,'Mitra per Bulan'!$E$2:$E1000,N$2,'Mitra per Bulan'!$C$2:$C1000,$A87)</f>
        <v>0</v>
      </c>
      <c r="O87" s="110">
        <f ca="1">SUMIFS('Mitra per Bulan'!$I$2:$I1000,'Mitra per Bulan'!$E$2:$E1000,O$2,'Mitra per Bulan'!$C$2:$C1000,$A87)</f>
        <v>0</v>
      </c>
      <c r="P87" s="110">
        <f ca="1">SUMIFS('Mitra per Bulan'!$I$2:$I1000,'Mitra per Bulan'!$E$2:$E1000,P$2,'Mitra per Bulan'!$C$2:$C1000,$A87)</f>
        <v>0</v>
      </c>
    </row>
    <row r="88" spans="1:16" ht="12.5">
      <c r="A88" s="10">
        <f ca="1">IFERROR(__xludf.DUMMYFUNCTION("""COMPUTED_VALUE"""),610422100099)</f>
        <v>610422100099</v>
      </c>
      <c r="B88" s="10" t="str">
        <f t="array" aca="1" ref="B88" ca="1">INDEX('Database Mitra'!$C$2:$C1000,MATCH(A88,'Database Mitra'!$B$2:$B1000,0))</f>
        <v>Difa faradifa</v>
      </c>
      <c r="C88" s="110"/>
      <c r="D88" s="110">
        <f t="shared" ca="1" si="0"/>
        <v>2550000</v>
      </c>
      <c r="E88" s="110">
        <f ca="1">SUMIFS('Mitra per Bulan'!$I$2:$I1000,'Mitra per Bulan'!$E$2:$E1000,E$2,'Mitra per Bulan'!$C$2:$C1000,$A88)</f>
        <v>0</v>
      </c>
      <c r="F88" s="110">
        <f ca="1">SUMIFS('Mitra per Bulan'!$I$2:$I1000,'Mitra per Bulan'!$E$2:$E1000,F$2,'Mitra per Bulan'!$C$2:$C1000,$A88)</f>
        <v>0</v>
      </c>
      <c r="G88" s="110">
        <f ca="1">SUMIFS('Mitra per Bulan'!$I$2:$I1000,'Mitra per Bulan'!$E$2:$E1000,G$2,'Mitra per Bulan'!$C$2:$C1000,$A88)</f>
        <v>0</v>
      </c>
      <c r="H88" s="110">
        <f ca="1">SUMIFS('Mitra per Bulan'!$I$2:$I1000,'Mitra per Bulan'!$E$2:$E1000,H$2,'Mitra per Bulan'!$C$2:$C1000,$A88)</f>
        <v>0</v>
      </c>
      <c r="I88" s="110">
        <f ca="1">SUMIFS('Mitra per Bulan'!$I$2:$I1000,'Mitra per Bulan'!$E$2:$E1000,I$2,'Mitra per Bulan'!$C$2:$C1000,$A88)</f>
        <v>0</v>
      </c>
      <c r="J88" s="110">
        <f ca="1">SUMIFS('Mitra per Bulan'!$I$2:$I1000,'Mitra per Bulan'!$E$2:$E1000,J$2,'Mitra per Bulan'!$C$2:$C1000,$A88)</f>
        <v>0</v>
      </c>
      <c r="K88" s="110">
        <f ca="1">SUMIFS('Mitra per Bulan'!$I$2:$I1000,'Mitra per Bulan'!$E$2:$E1000,K$2,'Mitra per Bulan'!$C$2:$C1000,$A88)</f>
        <v>0</v>
      </c>
      <c r="L88" s="110">
        <f ca="1">SUMIFS('Mitra per Bulan'!$I$2:$I1000,'Mitra per Bulan'!$E$2:$E1000,L$2,'Mitra per Bulan'!$C$2:$C1000,$A88)</f>
        <v>2046000</v>
      </c>
      <c r="M88" s="110">
        <f ca="1">SUMIFS('Mitra per Bulan'!$I$2:$I1000,'Mitra per Bulan'!$E$2:$E1000,M$2,'Mitra per Bulan'!$C$2:$C1000,$A88)</f>
        <v>504000</v>
      </c>
      <c r="N88" s="110">
        <f ca="1">SUMIFS('Mitra per Bulan'!$I$2:$I1000,'Mitra per Bulan'!$E$2:$E1000,N$2,'Mitra per Bulan'!$C$2:$C1000,$A88)</f>
        <v>0</v>
      </c>
      <c r="O88" s="110">
        <f ca="1">SUMIFS('Mitra per Bulan'!$I$2:$I1000,'Mitra per Bulan'!$E$2:$E1000,O$2,'Mitra per Bulan'!$C$2:$C1000,$A88)</f>
        <v>0</v>
      </c>
      <c r="P88" s="110">
        <f ca="1">SUMIFS('Mitra per Bulan'!$I$2:$I1000,'Mitra per Bulan'!$E$2:$E1000,P$2,'Mitra per Bulan'!$C$2:$C1000,$A88)</f>
        <v>0</v>
      </c>
    </row>
    <row r="89" spans="1:16" ht="12.5">
      <c r="A89" s="10">
        <f ca="1">IFERROR(__xludf.DUMMYFUNCTION("""COMPUTED_VALUE"""),610422020040)</f>
        <v>610422020040</v>
      </c>
    </row>
    <row r="90" spans="1:16" ht="12.5">
      <c r="A90" s="10">
        <f ca="1">IFERROR(__xludf.DUMMYFUNCTION("""COMPUTED_VALUE"""),610422020044)</f>
        <v>610422020044</v>
      </c>
    </row>
    <row r="91" spans="1:16" ht="12.5">
      <c r="A91" s="10" t="str">
        <f ca="1">IFERROR(__xludf.DUMMYFUNCTION("""COMPUTED_VALUE"""),"")</f>
        <v/>
      </c>
    </row>
  </sheetData>
  <autoFilter ref="A2:AC81" xr:uid="{00000000-0009-0000-0000-000009000000}"/>
  <conditionalFormatting sqref="E3:P88">
    <cfRule type="expression" dxfId="1" priority="1">
      <formula>E3&gt;5400000</formula>
    </cfRule>
  </conditionalFormatting>
  <conditionalFormatting sqref="E3:P88">
    <cfRule type="expression" dxfId="0" priority="2">
      <formula>E3&lt;=5400000</formula>
    </cfRule>
  </conditionalFormatting>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outlinePr summaryBelow="0" summaryRight="0"/>
  </sheetPr>
  <dimension ref="A1:O993"/>
  <sheetViews>
    <sheetView workbookViewId="0">
      <pane ySplit="1" topLeftCell="A2" activePane="bottomLeft" state="frozen"/>
      <selection pane="bottomLeft" activeCell="B3" sqref="B3"/>
    </sheetView>
  </sheetViews>
  <sheetFormatPr defaultColWidth="12.6328125" defaultRowHeight="15.75" customHeight="1"/>
  <cols>
    <col min="1" max="1" width="33.26953125" customWidth="1"/>
    <col min="2" max="3" width="23.6328125" customWidth="1"/>
    <col min="6" max="7" width="20.08984375" customWidth="1"/>
    <col min="8" max="8" width="32.26953125" customWidth="1"/>
    <col min="9" max="9" width="29.6328125" customWidth="1"/>
    <col min="10" max="10" width="11.453125" customWidth="1"/>
    <col min="11" max="11" width="19.26953125" customWidth="1"/>
    <col min="12" max="12" width="25.08984375" customWidth="1"/>
  </cols>
  <sheetData>
    <row r="1" spans="1:14">
      <c r="A1" s="1" t="s">
        <v>3213</v>
      </c>
      <c r="B1" s="1" t="s">
        <v>3214</v>
      </c>
      <c r="C1" s="1" t="s">
        <v>57</v>
      </c>
      <c r="D1" s="1" t="s">
        <v>3215</v>
      </c>
      <c r="E1" s="1" t="s">
        <v>3216</v>
      </c>
      <c r="F1" s="1" t="s">
        <v>3033</v>
      </c>
      <c r="G1" s="1" t="s">
        <v>17</v>
      </c>
      <c r="H1" s="1" t="s">
        <v>330</v>
      </c>
      <c r="I1" s="111" t="s">
        <v>3217</v>
      </c>
      <c r="J1" s="1" t="s">
        <v>3218</v>
      </c>
      <c r="K1" s="1" t="s">
        <v>3219</v>
      </c>
      <c r="L1" s="1" t="s">
        <v>3220</v>
      </c>
      <c r="M1" s="1" t="s">
        <v>12</v>
      </c>
      <c r="N1" s="1" t="s">
        <v>3221</v>
      </c>
    </row>
    <row r="2" spans="1:14" ht="15.75" customHeight="1">
      <c r="A2" s="10" t="str">
        <f ca="1">IFERROR(__xludf.DUMMYFUNCTION("UNIQUE('Alokasi Honor'!T2:T993)"),"610422030002-2024-1-SURVEI-PPL")</f>
        <v>610422030002-2024-1-SURVEI-PPL</v>
      </c>
      <c r="B2" s="5" t="str">
        <f t="shared" ref="B2:B464" ca="1" si="0">CONCATENATE(C2,"-",D2,"-",E2)</f>
        <v>610422030002-2024-1</v>
      </c>
      <c r="C2" s="5">
        <f ca="1">IFERROR(__xludf.DUMMYFUNCTION("IF(N2=1,SPLIT(A2,""-""),"""")"),610422030002)</f>
        <v>610422030002</v>
      </c>
      <c r="D2" s="10">
        <f ca="1">IFERROR(__xludf.DUMMYFUNCTION("""COMPUTED_VALUE"""),2024)</f>
        <v>2024</v>
      </c>
      <c r="E2" s="10">
        <f ca="1">IFERROR(__xludf.DUMMYFUNCTION("""COMPUTED_VALUE"""),1)</f>
        <v>1</v>
      </c>
      <c r="F2" s="5" t="str">
        <f ca="1">IFERROR(__xludf.DUMMYFUNCTION("""COMPUTED_VALUE"""),"SURVEI")</f>
        <v>SURVEI</v>
      </c>
      <c r="G2" s="5" t="str">
        <f ca="1">IFERROR(__xludf.DUMMYFUNCTION("""COMPUTED_VALUE"""),"PPL")</f>
        <v>PPL</v>
      </c>
      <c r="H2" s="5" t="str">
        <f t="array" aca="1" ref="H2" ca="1">IF(N2=1, INDEX('Database Mitra'!$C$2:$C993,MATCH($C2,'Database Mitra'!$AK$2:$AK993,0)),"")</f>
        <v>Deti erni widiastuti</v>
      </c>
      <c r="I2" s="71">
        <f ca="1">IF(N2=1,SUMIFS('Alokasi Honor'!$M$2:$M993,'Alokasi Honor'!$T$2:$T993,A2),"")</f>
        <v>750000</v>
      </c>
      <c r="J2" s="10">
        <f ca="1">IFERROR(__xludf.DUMMYFUNCTION("COUNTIF(FILTER('Alokasi Honor'!$H$2:$H993,'Alokasi Honor'!$H$2:$H993=""OB"",'Alokasi Honor'!$T$2:$T993=A2),""OB"")"),0)</f>
        <v>0</v>
      </c>
      <c r="K2" s="10">
        <f t="shared" ref="K2:K464" ca="1" si="1">COUNTIFS($B$2:$B993,B2)</f>
        <v>1</v>
      </c>
      <c r="L2" s="70">
        <f t="array" aca="1" ref="L2" ca="1">IF(N2=1,INDEX('Batasan Honor'!$B$2:$B993,MATCH(CONCATENATE($F2,"-",$G2),'Batasan Honor'!$G$2:$G993,0)),"")</f>
        <v>5400000</v>
      </c>
      <c r="M2" s="10">
        <f t="shared" ref="M2:M222" ca="1" si="2">IF(N2=1,IF(OR(I2&gt;L2,AND(COUNTIFS($J$2:$J993,1,$B$2:$B993,B2)&gt;=1,K2&gt;1)),0,1),"")</f>
        <v>1</v>
      </c>
      <c r="N2" s="10">
        <f t="shared" ref="N2:N993" ca="1" si="3">IF(A2="","",1)</f>
        <v>1</v>
      </c>
    </row>
    <row r="3" spans="1:14" ht="15.75" customHeight="1">
      <c r="A3" s="10" t="str">
        <f ca="1">IFERROR(__xludf.DUMMYFUNCTION("""COMPUTED_VALUE"""),"610422100244-2024-1-SURVEI-PPL")</f>
        <v>610422100244-2024-1-SURVEI-PPL</v>
      </c>
      <c r="B3" s="5" t="str">
        <f t="shared" ca="1" si="0"/>
        <v>610422100244-2024-1</v>
      </c>
      <c r="C3" s="5">
        <f ca="1">IFERROR(__xludf.DUMMYFUNCTION("IF(N3=1,SPLIT(A3,""-""),"""")"),610422100244)</f>
        <v>610422100244</v>
      </c>
      <c r="D3" s="10">
        <f ca="1">IFERROR(__xludf.DUMMYFUNCTION("""COMPUTED_VALUE"""),2024)</f>
        <v>2024</v>
      </c>
      <c r="E3" s="10">
        <f ca="1">IFERROR(__xludf.DUMMYFUNCTION("""COMPUTED_VALUE"""),1)</f>
        <v>1</v>
      </c>
      <c r="F3" s="5" t="str">
        <f ca="1">IFERROR(__xludf.DUMMYFUNCTION("""COMPUTED_VALUE"""),"SURVEI")</f>
        <v>SURVEI</v>
      </c>
      <c r="G3" s="5" t="str">
        <f ca="1">IFERROR(__xludf.DUMMYFUNCTION("""COMPUTED_VALUE"""),"PPL")</f>
        <v>PPL</v>
      </c>
      <c r="H3" s="5" t="str">
        <f t="array" aca="1" ref="H3" ca="1">IF(N3=1, INDEX('Database Mitra'!$C$2:$C993,MATCH($C3,'Database Mitra'!$AK$2:$AK993,0)),"")</f>
        <v>Sugianto</v>
      </c>
      <c r="I3" s="71">
        <f ca="1">IF(N3=1,SUMIFS('Alokasi Honor'!$M$2:$M993,'Alokasi Honor'!$T$2:$T993,A3),"")</f>
        <v>1090000</v>
      </c>
      <c r="J3" s="10">
        <f ca="1">IFERROR(__xludf.DUMMYFUNCTION("COUNTIF(FILTER('Alokasi Honor'!$H$2:$H993,'Alokasi Honor'!$H$2:$H993=""OB"",'Alokasi Honor'!$T$2:$T993=A3),""OB"")"),0)</f>
        <v>0</v>
      </c>
      <c r="K3" s="10">
        <f t="shared" ca="1" si="1"/>
        <v>1</v>
      </c>
      <c r="L3" s="70">
        <f t="array" aca="1" ref="L3" ca="1">IF(N3=1,INDEX('Batasan Honor'!$B$2:$B993,MATCH(CONCATENATE($F3,"-",$G3),'Batasan Honor'!$G$2:$G993,0)),"")</f>
        <v>5400000</v>
      </c>
      <c r="M3" s="10">
        <f t="shared" ca="1" si="2"/>
        <v>1</v>
      </c>
      <c r="N3" s="10">
        <f t="shared" ca="1" si="3"/>
        <v>1</v>
      </c>
    </row>
    <row r="4" spans="1:14" ht="15.75" customHeight="1">
      <c r="A4" s="10" t="str">
        <f ca="1">IFERROR(__xludf.DUMMYFUNCTION("""COMPUTED_VALUE"""),"610422100124-2024-1-SURVEI-PPL")</f>
        <v>610422100124-2024-1-SURVEI-PPL</v>
      </c>
      <c r="B4" s="5" t="str">
        <f t="shared" ca="1" si="0"/>
        <v>610422100124-2024-1</v>
      </c>
      <c r="C4" s="5">
        <f ca="1">IFERROR(__xludf.DUMMYFUNCTION("IF(N4=1,SPLIT(A4,""-""),"""")"),610422100124)</f>
        <v>610422100124</v>
      </c>
      <c r="D4" s="10">
        <f ca="1">IFERROR(__xludf.DUMMYFUNCTION("""COMPUTED_VALUE"""),2024)</f>
        <v>2024</v>
      </c>
      <c r="E4" s="10">
        <f ca="1">IFERROR(__xludf.DUMMYFUNCTION("""COMPUTED_VALUE"""),1)</f>
        <v>1</v>
      </c>
      <c r="F4" s="5" t="str">
        <f ca="1">IFERROR(__xludf.DUMMYFUNCTION("""COMPUTED_VALUE"""),"SURVEI")</f>
        <v>SURVEI</v>
      </c>
      <c r="G4" s="5" t="str">
        <f ca="1">IFERROR(__xludf.DUMMYFUNCTION("""COMPUTED_VALUE"""),"PPL")</f>
        <v>PPL</v>
      </c>
      <c r="H4" s="5" t="str">
        <f t="array" aca="1" ref="H4" ca="1">IF(N4=1, INDEX('Database Mitra'!$C$2:$C993,MATCH($C4,'Database Mitra'!$AK$2:$AK993,0)),"")</f>
        <v>Prabowo</v>
      </c>
      <c r="I4" s="71">
        <f ca="1">IF(N4=1,SUMIFS('Alokasi Honor'!$M$2:$M993,'Alokasi Honor'!$T$2:$T993,A4),"")</f>
        <v>325000</v>
      </c>
      <c r="J4" s="10">
        <f ca="1">IFERROR(__xludf.DUMMYFUNCTION("COUNTIF(FILTER('Alokasi Honor'!$H$2:$H993,'Alokasi Honor'!$H$2:$H993=""OB"",'Alokasi Honor'!$T$2:$T993=A4),""OB"")"),0)</f>
        <v>0</v>
      </c>
      <c r="K4" s="10">
        <f t="shared" ca="1" si="1"/>
        <v>1</v>
      </c>
      <c r="L4" s="70">
        <f t="array" aca="1" ref="L4" ca="1">IF(N4=1,INDEX('Batasan Honor'!$B$2:$B993,MATCH(CONCATENATE($F4,"-",$G4),'Batasan Honor'!$G$2:$G993,0)),"")</f>
        <v>5400000</v>
      </c>
      <c r="M4" s="10">
        <f t="shared" ca="1" si="2"/>
        <v>1</v>
      </c>
      <c r="N4" s="10">
        <f t="shared" ca="1" si="3"/>
        <v>1</v>
      </c>
    </row>
    <row r="5" spans="1:14" ht="15.75" customHeight="1">
      <c r="A5" s="10" t="str">
        <f ca="1">IFERROR(__xludf.DUMMYFUNCTION("""COMPUTED_VALUE"""),"610422020008-2024-1-SURVEI-PPL")</f>
        <v>610422020008-2024-1-SURVEI-PPL</v>
      </c>
      <c r="B5" s="5" t="str">
        <f t="shared" ca="1" si="0"/>
        <v>610422020008-2024-1</v>
      </c>
      <c r="C5" s="5">
        <f ca="1">IFERROR(__xludf.DUMMYFUNCTION("IF(N5=1,SPLIT(A5,""-""),"""")"),610422020008)</f>
        <v>610422020008</v>
      </c>
      <c r="D5" s="10">
        <f ca="1">IFERROR(__xludf.DUMMYFUNCTION("""COMPUTED_VALUE"""),2024)</f>
        <v>2024</v>
      </c>
      <c r="E5" s="10">
        <f ca="1">IFERROR(__xludf.DUMMYFUNCTION("""COMPUTED_VALUE"""),1)</f>
        <v>1</v>
      </c>
      <c r="F5" s="5" t="str">
        <f ca="1">IFERROR(__xludf.DUMMYFUNCTION("""COMPUTED_VALUE"""),"SURVEI")</f>
        <v>SURVEI</v>
      </c>
      <c r="G5" s="5" t="str">
        <f ca="1">IFERROR(__xludf.DUMMYFUNCTION("""COMPUTED_VALUE"""),"PPL")</f>
        <v>PPL</v>
      </c>
      <c r="H5" s="5" t="str">
        <f t="array" aca="1" ref="H5" ca="1">IF(N5=1, INDEX('Database Mitra'!$C$2:$C993,MATCH($C5,'Database Mitra'!$AK$2:$AK993,0)),"")</f>
        <v>Ilfi Nur Diana</v>
      </c>
      <c r="I5" s="71">
        <f ca="1">IF(N5=1,SUMIFS('Alokasi Honor'!$M$2:$M993,'Alokasi Honor'!$T$2:$T993,A5),"")</f>
        <v>250000</v>
      </c>
      <c r="J5" s="10">
        <f ca="1">IFERROR(__xludf.DUMMYFUNCTION("COUNTIF(FILTER('Alokasi Honor'!$H$2:$H993,'Alokasi Honor'!$H$2:$H993=""OB"",'Alokasi Honor'!$T$2:$T993=A5),""OB"")"),0)</f>
        <v>0</v>
      </c>
      <c r="K5" s="10">
        <f t="shared" ca="1" si="1"/>
        <v>1</v>
      </c>
      <c r="L5" s="70">
        <f t="array" aca="1" ref="L5" ca="1">IF(N5=1,INDEX('Batasan Honor'!$B$2:$B993,MATCH(CONCATENATE($F5,"-",$G5),'Batasan Honor'!$G$2:$G993,0)),"")</f>
        <v>5400000</v>
      </c>
      <c r="M5" s="10">
        <f t="shared" ca="1" si="2"/>
        <v>1</v>
      </c>
      <c r="N5" s="10">
        <f t="shared" ca="1" si="3"/>
        <v>1</v>
      </c>
    </row>
    <row r="6" spans="1:14" ht="15.75" customHeight="1">
      <c r="A6" s="10" t="str">
        <f ca="1">IFERROR(__xludf.DUMMYFUNCTION("""COMPUTED_VALUE"""),"610422050001-2024-1-SURVEI-PPL")</f>
        <v>610422050001-2024-1-SURVEI-PPL</v>
      </c>
      <c r="B6" s="5" t="str">
        <f t="shared" ca="1" si="0"/>
        <v>610422050001-2024-1</v>
      </c>
      <c r="C6" s="5">
        <f ca="1">IFERROR(__xludf.DUMMYFUNCTION("IF(N6=1,SPLIT(A6,""-""),"""")"),610422050001)</f>
        <v>610422050001</v>
      </c>
      <c r="D6" s="10">
        <f ca="1">IFERROR(__xludf.DUMMYFUNCTION("""COMPUTED_VALUE"""),2024)</f>
        <v>2024</v>
      </c>
      <c r="E6" s="10">
        <f ca="1">IFERROR(__xludf.DUMMYFUNCTION("""COMPUTED_VALUE"""),1)</f>
        <v>1</v>
      </c>
      <c r="F6" s="5" t="str">
        <f ca="1">IFERROR(__xludf.DUMMYFUNCTION("""COMPUTED_VALUE"""),"SURVEI")</f>
        <v>SURVEI</v>
      </c>
      <c r="G6" s="5" t="str">
        <f ca="1">IFERROR(__xludf.DUMMYFUNCTION("""COMPUTED_VALUE"""),"PPL")</f>
        <v>PPL</v>
      </c>
      <c r="H6" s="5" t="str">
        <f t="array" aca="1" ref="H6" ca="1">IF(N6=1, INDEX('Database Mitra'!$C$2:$C993,MATCH($C6,'Database Mitra'!$AK$2:$AK993,0)),"")</f>
        <v>EVI JUNIARTY</v>
      </c>
      <c r="I6" s="71">
        <f ca="1">IF(N6=1,SUMIFS('Alokasi Honor'!$M$2:$M993,'Alokasi Honor'!$T$2:$T993,A6),"")</f>
        <v>415000</v>
      </c>
      <c r="J6" s="10">
        <f ca="1">IFERROR(__xludf.DUMMYFUNCTION("COUNTIF(FILTER('Alokasi Honor'!$H$2:$H993,'Alokasi Honor'!$H$2:$H993=""OB"",'Alokasi Honor'!$T$2:$T993=A6),""OB"")"),0)</f>
        <v>0</v>
      </c>
      <c r="K6" s="10">
        <f t="shared" ca="1" si="1"/>
        <v>1</v>
      </c>
      <c r="L6" s="70">
        <f t="array" aca="1" ref="L6" ca="1">IF(N6=1,INDEX('Batasan Honor'!$B$2:$B993,MATCH(CONCATENATE($F6,"-",$G6),'Batasan Honor'!$G$2:$G993,0)),"")</f>
        <v>5400000</v>
      </c>
      <c r="M6" s="10">
        <f t="shared" ca="1" si="2"/>
        <v>1</v>
      </c>
      <c r="N6" s="10">
        <f t="shared" ca="1" si="3"/>
        <v>1</v>
      </c>
    </row>
    <row r="7" spans="1:14" ht="15.75" customHeight="1">
      <c r="A7" s="10" t="str">
        <f ca="1">IFERROR(__xludf.DUMMYFUNCTION("""COMPUTED_VALUE"""),"610422040030-2024-1-SURVEI-PPL")</f>
        <v>610422040030-2024-1-SURVEI-PPL</v>
      </c>
      <c r="B7" s="5" t="str">
        <f t="shared" ca="1" si="0"/>
        <v>610422040030-2024-1</v>
      </c>
      <c r="C7" s="5">
        <f ca="1">IFERROR(__xludf.DUMMYFUNCTION("IF(N7=1,SPLIT(A7,""-""),"""")"),610422040030)</f>
        <v>610422040030</v>
      </c>
      <c r="D7" s="10">
        <f ca="1">IFERROR(__xludf.DUMMYFUNCTION("""COMPUTED_VALUE"""),2024)</f>
        <v>2024</v>
      </c>
      <c r="E7" s="10">
        <f ca="1">IFERROR(__xludf.DUMMYFUNCTION("""COMPUTED_VALUE"""),1)</f>
        <v>1</v>
      </c>
      <c r="F7" s="5" t="str">
        <f ca="1">IFERROR(__xludf.DUMMYFUNCTION("""COMPUTED_VALUE"""),"SURVEI")</f>
        <v>SURVEI</v>
      </c>
      <c r="G7" s="5" t="str">
        <f ca="1">IFERROR(__xludf.DUMMYFUNCTION("""COMPUTED_VALUE"""),"PPL")</f>
        <v>PPL</v>
      </c>
      <c r="H7" s="5" t="str">
        <f t="array" aca="1" ref="H7" ca="1">IF(N7=1, INDEX('Database Mitra'!$C$2:$C993,MATCH($C7,'Database Mitra'!$AK$2:$AK993,0)),"")</f>
        <v>Syarifah Desti Pratiwi</v>
      </c>
      <c r="I7" s="71">
        <f ca="1">IF(N7=1,SUMIFS('Alokasi Honor'!$M$2:$M993,'Alokasi Honor'!$T$2:$T993,A7),"")</f>
        <v>55000</v>
      </c>
      <c r="J7" s="10">
        <f ca="1">IFERROR(__xludf.DUMMYFUNCTION("COUNTIF(FILTER('Alokasi Honor'!$H$2:$H993,'Alokasi Honor'!$H$2:$H993=""OB"",'Alokasi Honor'!$T$2:$T993=A7),""OB"")"),0)</f>
        <v>0</v>
      </c>
      <c r="K7" s="10">
        <f t="shared" ca="1" si="1"/>
        <v>1</v>
      </c>
      <c r="L7" s="70">
        <f t="array" aca="1" ref="L7" ca="1">IF(N7=1,INDEX('Batasan Honor'!$B$2:$B993,MATCH(CONCATENATE($F7,"-",$G7),'Batasan Honor'!$G$2:$G993,0)),"")</f>
        <v>5400000</v>
      </c>
      <c r="M7" s="10">
        <f t="shared" ca="1" si="2"/>
        <v>1</v>
      </c>
      <c r="N7" s="10">
        <f t="shared" ca="1" si="3"/>
        <v>1</v>
      </c>
    </row>
    <row r="8" spans="1:14" ht="15.75" customHeight="1">
      <c r="A8" s="10" t="str">
        <f ca="1">IFERROR(__xludf.DUMMYFUNCTION("""COMPUTED_VALUE"""),"610422020016-2024-1-SURVEI-PPL")</f>
        <v>610422020016-2024-1-SURVEI-PPL</v>
      </c>
      <c r="B8" s="5" t="str">
        <f t="shared" ca="1" si="0"/>
        <v>610422020016-2024-1</v>
      </c>
      <c r="C8" s="5">
        <f ca="1">IFERROR(__xludf.DUMMYFUNCTION("IF(N8=1,SPLIT(A8,""-""),"""")"),610422020016)</f>
        <v>610422020016</v>
      </c>
      <c r="D8" s="10">
        <f ca="1">IFERROR(__xludf.DUMMYFUNCTION("""COMPUTED_VALUE"""),2024)</f>
        <v>2024</v>
      </c>
      <c r="E8" s="10">
        <f ca="1">IFERROR(__xludf.DUMMYFUNCTION("""COMPUTED_VALUE"""),1)</f>
        <v>1</v>
      </c>
      <c r="F8" s="5" t="str">
        <f ca="1">IFERROR(__xludf.DUMMYFUNCTION("""COMPUTED_VALUE"""),"SURVEI")</f>
        <v>SURVEI</v>
      </c>
      <c r="G8" s="5" t="str">
        <f ca="1">IFERROR(__xludf.DUMMYFUNCTION("""COMPUTED_VALUE"""),"PPL")</f>
        <v>PPL</v>
      </c>
      <c r="H8" s="5" t="str">
        <f t="array" aca="1" ref="H8" ca="1">IF(N8=1, INDEX('Database Mitra'!$C$2:$C993,MATCH($C8,'Database Mitra'!$AK$2:$AK993,0)),"")</f>
        <v>Abdul Aziz</v>
      </c>
      <c r="I8" s="71">
        <f ca="1">IF(N8=1,SUMIFS('Alokasi Honor'!$M$2:$M993,'Alokasi Honor'!$T$2:$T993,A8),"")</f>
        <v>513000</v>
      </c>
      <c r="J8" s="10">
        <f ca="1">IFERROR(__xludf.DUMMYFUNCTION("COUNTIF(FILTER('Alokasi Honor'!$H$2:$H993,'Alokasi Honor'!$H$2:$H993=""OB"",'Alokasi Honor'!$T$2:$T993=A8),""OB"")"),0)</f>
        <v>0</v>
      </c>
      <c r="K8" s="10">
        <f t="shared" ca="1" si="1"/>
        <v>1</v>
      </c>
      <c r="L8" s="70">
        <f t="array" aca="1" ref="L8" ca="1">IF(N8=1,INDEX('Batasan Honor'!$B$2:$B993,MATCH(CONCATENATE($F8,"-",$G8),'Batasan Honor'!$G$2:$G993,0)),"")</f>
        <v>5400000</v>
      </c>
      <c r="M8" s="10">
        <f t="shared" ca="1" si="2"/>
        <v>1</v>
      </c>
      <c r="N8" s="10">
        <f t="shared" ca="1" si="3"/>
        <v>1</v>
      </c>
    </row>
    <row r="9" spans="1:14" ht="15.75" customHeight="1">
      <c r="A9" s="10" t="str">
        <f ca="1">IFERROR(__xludf.DUMMYFUNCTION("""COMPUTED_VALUE"""),"610422020048-2024-1-SURVEI-PPL")</f>
        <v>610422020048-2024-1-SURVEI-PPL</v>
      </c>
      <c r="B9" s="5" t="str">
        <f t="shared" ca="1" si="0"/>
        <v>610422020048-2024-1</v>
      </c>
      <c r="C9" s="5">
        <f ca="1">IFERROR(__xludf.DUMMYFUNCTION("IF(N9=1,SPLIT(A9,""-""),"""")"),610422020048)</f>
        <v>610422020048</v>
      </c>
      <c r="D9" s="10">
        <f ca="1">IFERROR(__xludf.DUMMYFUNCTION("""COMPUTED_VALUE"""),2024)</f>
        <v>2024</v>
      </c>
      <c r="E9" s="10">
        <f ca="1">IFERROR(__xludf.DUMMYFUNCTION("""COMPUTED_VALUE"""),1)</f>
        <v>1</v>
      </c>
      <c r="F9" s="5" t="str">
        <f ca="1">IFERROR(__xludf.DUMMYFUNCTION("""COMPUTED_VALUE"""),"SURVEI")</f>
        <v>SURVEI</v>
      </c>
      <c r="G9" s="5" t="str">
        <f ca="1">IFERROR(__xludf.DUMMYFUNCTION("""COMPUTED_VALUE"""),"PPL")</f>
        <v>PPL</v>
      </c>
      <c r="H9" s="5" t="str">
        <f t="array" aca="1" ref="H9" ca="1">IF(N9=1, INDEX('Database Mitra'!$C$2:$C993,MATCH($C9,'Database Mitra'!$AK$2:$AK993,0)),"")</f>
        <v>Herri Gustaman</v>
      </c>
      <c r="I9" s="71">
        <f ca="1">IF(N9=1,SUMIFS('Alokasi Honor'!$M$2:$M993,'Alokasi Honor'!$T$2:$T993,A9),"")</f>
        <v>1119000</v>
      </c>
      <c r="J9" s="10">
        <f ca="1">IFERROR(__xludf.DUMMYFUNCTION("COUNTIF(FILTER('Alokasi Honor'!$H$2:$H993,'Alokasi Honor'!$H$2:$H993=""OB"",'Alokasi Honor'!$T$2:$T993=A9),""OB"")"),0)</f>
        <v>0</v>
      </c>
      <c r="K9" s="10">
        <f t="shared" ca="1" si="1"/>
        <v>1</v>
      </c>
      <c r="L9" s="70">
        <f t="array" aca="1" ref="L9" ca="1">IF(N9=1,INDEX('Batasan Honor'!$B$2:$B993,MATCH(CONCATENATE($F9,"-",$G9),'Batasan Honor'!$G$2:$G993,0)),"")</f>
        <v>5400000</v>
      </c>
      <c r="M9" s="10">
        <f t="shared" ca="1" si="2"/>
        <v>1</v>
      </c>
      <c r="N9" s="10">
        <f t="shared" ca="1" si="3"/>
        <v>1</v>
      </c>
    </row>
    <row r="10" spans="1:14" ht="15.75" customHeight="1">
      <c r="A10" s="10" t="str">
        <f ca="1">IFERROR(__xludf.DUMMYFUNCTION("""COMPUTED_VALUE"""),"610422040029-2024-1-SURVEI-PPL")</f>
        <v>610422040029-2024-1-SURVEI-PPL</v>
      </c>
      <c r="B10" s="5" t="str">
        <f t="shared" ca="1" si="0"/>
        <v>610422040029-2024-1</v>
      </c>
      <c r="C10" s="5">
        <f ca="1">IFERROR(__xludf.DUMMYFUNCTION("IF(N10=1,SPLIT(A10,""-""),"""")"),610422040029)</f>
        <v>610422040029</v>
      </c>
      <c r="D10" s="10">
        <f ca="1">IFERROR(__xludf.DUMMYFUNCTION("""COMPUTED_VALUE"""),2024)</f>
        <v>2024</v>
      </c>
      <c r="E10" s="10">
        <f ca="1">IFERROR(__xludf.DUMMYFUNCTION("""COMPUTED_VALUE"""),1)</f>
        <v>1</v>
      </c>
      <c r="F10" s="5" t="str">
        <f ca="1">IFERROR(__xludf.DUMMYFUNCTION("""COMPUTED_VALUE"""),"SURVEI")</f>
        <v>SURVEI</v>
      </c>
      <c r="G10" s="5" t="str">
        <f ca="1">IFERROR(__xludf.DUMMYFUNCTION("""COMPUTED_VALUE"""),"PPL")</f>
        <v>PPL</v>
      </c>
      <c r="H10" s="5" t="str">
        <f t="array" aca="1" ref="H10" ca="1">IF(N10=1, INDEX('Database Mitra'!$C$2:$C993,MATCH($C10,'Database Mitra'!$AK$2:$AK993,0)),"")</f>
        <v>Zaini</v>
      </c>
      <c r="I10" s="71">
        <f ca="1">IF(N10=1,SUMIFS('Alokasi Honor'!$M$2:$M993,'Alokasi Honor'!$T$2:$T993,A10),"")</f>
        <v>1345000</v>
      </c>
      <c r="J10" s="10">
        <f ca="1">IFERROR(__xludf.DUMMYFUNCTION("COUNTIF(FILTER('Alokasi Honor'!$H$2:$H993,'Alokasi Honor'!$H$2:$H993=""OB"",'Alokasi Honor'!$T$2:$T993=A10),""OB"")"),0)</f>
        <v>0</v>
      </c>
      <c r="K10" s="10">
        <f t="shared" ca="1" si="1"/>
        <v>1</v>
      </c>
      <c r="L10" s="70">
        <f t="array" aca="1" ref="L10" ca="1">IF(N10=1,INDEX('Batasan Honor'!$B$2:$B993,MATCH(CONCATENATE($F10,"-",$G10),'Batasan Honor'!$G$2:$G993,0)),"")</f>
        <v>5400000</v>
      </c>
      <c r="M10" s="10">
        <f t="shared" ca="1" si="2"/>
        <v>1</v>
      </c>
      <c r="N10" s="10">
        <f t="shared" ca="1" si="3"/>
        <v>1</v>
      </c>
    </row>
    <row r="11" spans="1:14" ht="15.75" customHeight="1">
      <c r="A11" s="10" t="str">
        <f ca="1">IFERROR(__xludf.DUMMYFUNCTION("""COMPUTED_VALUE"""),"610422100165-2024-1-SURVEI-PPL")</f>
        <v>610422100165-2024-1-SURVEI-PPL</v>
      </c>
      <c r="B11" s="5" t="str">
        <f t="shared" ca="1" si="0"/>
        <v>610422100165-2024-1</v>
      </c>
      <c r="C11" s="5">
        <f ca="1">IFERROR(__xludf.DUMMYFUNCTION("IF(N11=1,SPLIT(A11,""-""),"""")"),610422100165)</f>
        <v>610422100165</v>
      </c>
      <c r="D11" s="10">
        <f ca="1">IFERROR(__xludf.DUMMYFUNCTION("""COMPUTED_VALUE"""),2024)</f>
        <v>2024</v>
      </c>
      <c r="E11" s="10">
        <f ca="1">IFERROR(__xludf.DUMMYFUNCTION("""COMPUTED_VALUE"""),1)</f>
        <v>1</v>
      </c>
      <c r="F11" s="5" t="str">
        <f ca="1">IFERROR(__xludf.DUMMYFUNCTION("""COMPUTED_VALUE"""),"SURVEI")</f>
        <v>SURVEI</v>
      </c>
      <c r="G11" s="5" t="str">
        <f ca="1">IFERROR(__xludf.DUMMYFUNCTION("""COMPUTED_VALUE"""),"PPL")</f>
        <v>PPL</v>
      </c>
      <c r="H11" s="5" t="str">
        <f t="array" aca="1" ref="H11" ca="1">IF(N11=1, INDEX('Database Mitra'!$C$2:$C993,MATCH($C11,'Database Mitra'!$AK$2:$AK993,0)),"")</f>
        <v>Yanti</v>
      </c>
      <c r="I11" s="71">
        <f ca="1">IF(N11=1,SUMIFS('Alokasi Honor'!$M$2:$M993,'Alokasi Honor'!$T$2:$T993,A11),"")</f>
        <v>735000</v>
      </c>
      <c r="J11" s="10">
        <f ca="1">IFERROR(__xludf.DUMMYFUNCTION("COUNTIF(FILTER('Alokasi Honor'!$H$2:$H993,'Alokasi Honor'!$H$2:$H993=""OB"",'Alokasi Honor'!$T$2:$T993=A11),""OB"")"),0)</f>
        <v>0</v>
      </c>
      <c r="K11" s="10">
        <f t="shared" ca="1" si="1"/>
        <v>1</v>
      </c>
      <c r="L11" s="70">
        <f t="array" aca="1" ref="L11" ca="1">IF(N11=1,INDEX('Batasan Honor'!$B$2:$B993,MATCH(CONCATENATE($F11,"-",$G11),'Batasan Honor'!$G$2:$G993,0)),"")</f>
        <v>5400000</v>
      </c>
      <c r="M11" s="10">
        <f t="shared" ca="1" si="2"/>
        <v>1</v>
      </c>
      <c r="N11" s="10">
        <f t="shared" ca="1" si="3"/>
        <v>1</v>
      </c>
    </row>
    <row r="12" spans="1:14" ht="15.75" customHeight="1">
      <c r="A12" s="10" t="str">
        <f ca="1">IFERROR(__xludf.DUMMYFUNCTION("""COMPUTED_VALUE"""),"610422040056-2024-1-SURVEI-PPL")</f>
        <v>610422040056-2024-1-SURVEI-PPL</v>
      </c>
      <c r="B12" s="5" t="str">
        <f t="shared" ca="1" si="0"/>
        <v>610422040056-2024-1</v>
      </c>
      <c r="C12" s="5">
        <f ca="1">IFERROR(__xludf.DUMMYFUNCTION("IF(N12=1,SPLIT(A12,""-""),"""")"),610422040056)</f>
        <v>610422040056</v>
      </c>
      <c r="D12" s="10">
        <f ca="1">IFERROR(__xludf.DUMMYFUNCTION("""COMPUTED_VALUE"""),2024)</f>
        <v>2024</v>
      </c>
      <c r="E12" s="10">
        <f ca="1">IFERROR(__xludf.DUMMYFUNCTION("""COMPUTED_VALUE"""),1)</f>
        <v>1</v>
      </c>
      <c r="F12" s="5" t="str">
        <f ca="1">IFERROR(__xludf.DUMMYFUNCTION("""COMPUTED_VALUE"""),"SURVEI")</f>
        <v>SURVEI</v>
      </c>
      <c r="G12" s="5" t="str">
        <f ca="1">IFERROR(__xludf.DUMMYFUNCTION("""COMPUTED_VALUE"""),"PPL")</f>
        <v>PPL</v>
      </c>
      <c r="H12" s="5" t="str">
        <f t="array" aca="1" ref="H12" ca="1">IF(N12=1, INDEX('Database Mitra'!$C$2:$C993,MATCH($C12,'Database Mitra'!$AK$2:$AK993,0)),"")</f>
        <v>Wandi Syafari</v>
      </c>
      <c r="I12" s="71">
        <f ca="1">IF(N12=1,SUMIFS('Alokasi Honor'!$M$2:$M993,'Alokasi Honor'!$T$2:$T993,A12),"")</f>
        <v>110000</v>
      </c>
      <c r="J12" s="10">
        <f ca="1">IFERROR(__xludf.DUMMYFUNCTION("COUNTIF(FILTER('Alokasi Honor'!$H$2:$H993,'Alokasi Honor'!$H$2:$H993=""OB"",'Alokasi Honor'!$T$2:$T993=A12),""OB"")"),0)</f>
        <v>0</v>
      </c>
      <c r="K12" s="10">
        <f t="shared" ca="1" si="1"/>
        <v>1</v>
      </c>
      <c r="L12" s="70">
        <f t="array" aca="1" ref="L12" ca="1">IF(N12=1,INDEX('Batasan Honor'!$B$2:$B993,MATCH(CONCATENATE($F12,"-",$G12),'Batasan Honor'!$G$2:$G993,0)),"")</f>
        <v>5400000</v>
      </c>
      <c r="M12" s="10">
        <f t="shared" ca="1" si="2"/>
        <v>1</v>
      </c>
      <c r="N12" s="10">
        <f t="shared" ca="1" si="3"/>
        <v>1</v>
      </c>
    </row>
    <row r="13" spans="1:14" ht="15.75" customHeight="1">
      <c r="A13" s="10" t="str">
        <f ca="1">IFERROR(__xludf.DUMMYFUNCTION("""COMPUTED_VALUE"""),"610422020052-2024-1-SURVEI-PPL")</f>
        <v>610422020052-2024-1-SURVEI-PPL</v>
      </c>
      <c r="B13" s="5" t="str">
        <f t="shared" ca="1" si="0"/>
        <v>610422020052-2024-1</v>
      </c>
      <c r="C13" s="5">
        <f ca="1">IFERROR(__xludf.DUMMYFUNCTION("IF(N13=1,SPLIT(A13,""-""),"""")"),610422020052)</f>
        <v>610422020052</v>
      </c>
      <c r="D13" s="10">
        <f ca="1">IFERROR(__xludf.DUMMYFUNCTION("""COMPUTED_VALUE"""),2024)</f>
        <v>2024</v>
      </c>
      <c r="E13" s="10">
        <f ca="1">IFERROR(__xludf.DUMMYFUNCTION("""COMPUTED_VALUE"""),1)</f>
        <v>1</v>
      </c>
      <c r="F13" s="5" t="str">
        <f ca="1">IFERROR(__xludf.DUMMYFUNCTION("""COMPUTED_VALUE"""),"SURVEI")</f>
        <v>SURVEI</v>
      </c>
      <c r="G13" s="5" t="str">
        <f ca="1">IFERROR(__xludf.DUMMYFUNCTION("""COMPUTED_VALUE"""),"PPL")</f>
        <v>PPL</v>
      </c>
      <c r="H13" s="5" t="str">
        <f t="array" aca="1" ref="H13" ca="1">IF(N13=1, INDEX('Database Mitra'!$C$2:$C993,MATCH($C13,'Database Mitra'!$AK$2:$AK993,0)),"")</f>
        <v>Agus Supriyanto</v>
      </c>
      <c r="I13" s="71">
        <f ca="1">IF(N13=1,SUMIFS('Alokasi Honor'!$M$2:$M993,'Alokasi Honor'!$T$2:$T993,A13),"")</f>
        <v>420000</v>
      </c>
      <c r="J13" s="10">
        <f ca="1">IFERROR(__xludf.DUMMYFUNCTION("COUNTIF(FILTER('Alokasi Honor'!$H$2:$H993,'Alokasi Honor'!$H$2:$H993=""OB"",'Alokasi Honor'!$T$2:$T993=A13),""OB"")"),0)</f>
        <v>0</v>
      </c>
      <c r="K13" s="10">
        <f t="shared" ca="1" si="1"/>
        <v>1</v>
      </c>
      <c r="L13" s="70">
        <f t="array" aca="1" ref="L13" ca="1">IF(N13=1,INDEX('Batasan Honor'!$B$2:$B993,MATCH(CONCATENATE($F13,"-",$G13),'Batasan Honor'!$G$2:$G993,0)),"")</f>
        <v>5400000</v>
      </c>
      <c r="M13" s="10">
        <f t="shared" ca="1" si="2"/>
        <v>1</v>
      </c>
      <c r="N13" s="10">
        <f t="shared" ca="1" si="3"/>
        <v>1</v>
      </c>
    </row>
    <row r="14" spans="1:14" ht="15.75" customHeight="1">
      <c r="A14" s="10" t="str">
        <f ca="1">IFERROR(__xludf.DUMMYFUNCTION("""COMPUTED_VALUE"""),"610422040012-2024-1-SURVEI-PPL")</f>
        <v>610422040012-2024-1-SURVEI-PPL</v>
      </c>
      <c r="B14" s="5" t="str">
        <f t="shared" ca="1" si="0"/>
        <v>610422040012-2024-1</v>
      </c>
      <c r="C14" s="5">
        <f ca="1">IFERROR(__xludf.DUMMYFUNCTION("IF(N14=1,SPLIT(A14,""-""),"""")"),610422040012)</f>
        <v>610422040012</v>
      </c>
      <c r="D14" s="10">
        <f ca="1">IFERROR(__xludf.DUMMYFUNCTION("""COMPUTED_VALUE"""),2024)</f>
        <v>2024</v>
      </c>
      <c r="E14" s="10">
        <f ca="1">IFERROR(__xludf.DUMMYFUNCTION("""COMPUTED_VALUE"""),1)</f>
        <v>1</v>
      </c>
      <c r="F14" s="5" t="str">
        <f ca="1">IFERROR(__xludf.DUMMYFUNCTION("""COMPUTED_VALUE"""),"SURVEI")</f>
        <v>SURVEI</v>
      </c>
      <c r="G14" s="5" t="str">
        <f ca="1">IFERROR(__xludf.DUMMYFUNCTION("""COMPUTED_VALUE"""),"PPL")</f>
        <v>PPL</v>
      </c>
      <c r="H14" s="5" t="str">
        <f t="array" aca="1" ref="H14" ca="1">IF(N14=1, INDEX('Database Mitra'!$C$2:$C993,MATCH($C14,'Database Mitra'!$AK$2:$AK993,0)),"")</f>
        <v>Misdi</v>
      </c>
      <c r="I14" s="71">
        <f ca="1">IF(N14=1,SUMIFS('Alokasi Honor'!$M$2:$M993,'Alokasi Honor'!$T$2:$T993,A14),"")</f>
        <v>348000</v>
      </c>
      <c r="J14" s="10">
        <f ca="1">IFERROR(__xludf.DUMMYFUNCTION("COUNTIF(FILTER('Alokasi Honor'!$H$2:$H993,'Alokasi Honor'!$H$2:$H993=""OB"",'Alokasi Honor'!$T$2:$T993=A14),""OB"")"),0)</f>
        <v>0</v>
      </c>
      <c r="K14" s="10">
        <f t="shared" ca="1" si="1"/>
        <v>1</v>
      </c>
      <c r="L14" s="70">
        <f t="array" aca="1" ref="L14" ca="1">IF(N14=1,INDEX('Batasan Honor'!$B$2:$B993,MATCH(CONCATENATE($F14,"-",$G14),'Batasan Honor'!$G$2:$G993,0)),"")</f>
        <v>5400000</v>
      </c>
      <c r="M14" s="10">
        <f t="shared" ca="1" si="2"/>
        <v>1</v>
      </c>
      <c r="N14" s="10">
        <f t="shared" ca="1" si="3"/>
        <v>1</v>
      </c>
    </row>
    <row r="15" spans="1:14" ht="15.75" customHeight="1">
      <c r="A15" s="10" t="str">
        <f ca="1">IFERROR(__xludf.DUMMYFUNCTION("""COMPUTED_VALUE"""),"610422040059-2024-1-SURVEI-PPL")</f>
        <v>610422040059-2024-1-SURVEI-PPL</v>
      </c>
      <c r="B15" s="5" t="str">
        <f t="shared" ca="1" si="0"/>
        <v>610422040059-2024-1</v>
      </c>
      <c r="C15" s="5">
        <f ca="1">IFERROR(__xludf.DUMMYFUNCTION("IF(N15=1,SPLIT(A15,""-""),"""")"),610422040059)</f>
        <v>610422040059</v>
      </c>
      <c r="D15" s="10">
        <f ca="1">IFERROR(__xludf.DUMMYFUNCTION("""COMPUTED_VALUE"""),2024)</f>
        <v>2024</v>
      </c>
      <c r="E15" s="10">
        <f ca="1">IFERROR(__xludf.DUMMYFUNCTION("""COMPUTED_VALUE"""),1)</f>
        <v>1</v>
      </c>
      <c r="F15" s="5" t="str">
        <f ca="1">IFERROR(__xludf.DUMMYFUNCTION("""COMPUTED_VALUE"""),"SURVEI")</f>
        <v>SURVEI</v>
      </c>
      <c r="G15" s="5" t="str">
        <f ca="1">IFERROR(__xludf.DUMMYFUNCTION("""COMPUTED_VALUE"""),"PPL")</f>
        <v>PPL</v>
      </c>
      <c r="H15" s="5" t="str">
        <f t="array" aca="1" ref="H15" ca="1">IF(N15=1, INDEX('Database Mitra'!$C$2:$C993,MATCH($C15,'Database Mitra'!$AK$2:$AK993,0)),"")</f>
        <v>Abang Handri</v>
      </c>
      <c r="I15" s="71">
        <f ca="1">IF(N15=1,SUMIFS('Alokasi Honor'!$M$2:$M993,'Alokasi Honor'!$T$2:$T993,A15),"")</f>
        <v>818000</v>
      </c>
      <c r="J15" s="10">
        <f ca="1">IFERROR(__xludf.DUMMYFUNCTION("COUNTIF(FILTER('Alokasi Honor'!$H$2:$H993,'Alokasi Honor'!$H$2:$H993=""OB"",'Alokasi Honor'!$T$2:$T993=A15),""OB"")"),0)</f>
        <v>0</v>
      </c>
      <c r="K15" s="10">
        <f t="shared" ca="1" si="1"/>
        <v>1</v>
      </c>
      <c r="L15" s="70">
        <f t="array" aca="1" ref="L15" ca="1">IF(N15=1,INDEX('Batasan Honor'!$B$2:$B993,MATCH(CONCATENATE($F15,"-",$G15),'Batasan Honor'!$G$2:$G993,0)),"")</f>
        <v>5400000</v>
      </c>
      <c r="M15" s="10">
        <f t="shared" ca="1" si="2"/>
        <v>1</v>
      </c>
      <c r="N15" s="10">
        <f t="shared" ca="1" si="3"/>
        <v>1</v>
      </c>
    </row>
    <row r="16" spans="1:14" ht="15.75" customHeight="1">
      <c r="A16" s="10" t="str">
        <f ca="1">IFERROR(__xludf.DUMMYFUNCTION("""COMPUTED_VALUE"""),"610422040061-2024-1-SURVEI-PPL")</f>
        <v>610422040061-2024-1-SURVEI-PPL</v>
      </c>
      <c r="B16" s="5" t="str">
        <f t="shared" ca="1" si="0"/>
        <v>610422040061-2024-1</v>
      </c>
      <c r="C16" s="5">
        <f ca="1">IFERROR(__xludf.DUMMYFUNCTION("IF(N16=1,SPLIT(A16,""-""),"""")"),610422040061)</f>
        <v>610422040061</v>
      </c>
      <c r="D16" s="10">
        <f ca="1">IFERROR(__xludf.DUMMYFUNCTION("""COMPUTED_VALUE"""),2024)</f>
        <v>2024</v>
      </c>
      <c r="E16" s="10">
        <f ca="1">IFERROR(__xludf.DUMMYFUNCTION("""COMPUTED_VALUE"""),1)</f>
        <v>1</v>
      </c>
      <c r="F16" s="5" t="str">
        <f ca="1">IFERROR(__xludf.DUMMYFUNCTION("""COMPUTED_VALUE"""),"SURVEI")</f>
        <v>SURVEI</v>
      </c>
      <c r="G16" s="5" t="str">
        <f ca="1">IFERROR(__xludf.DUMMYFUNCTION("""COMPUTED_VALUE"""),"PPL")</f>
        <v>PPL</v>
      </c>
      <c r="H16" s="5" t="str">
        <f t="array" aca="1" ref="H16" ca="1">IF(N16=1, INDEX('Database Mitra'!$C$2:$C993,MATCH($C16,'Database Mitra'!$AK$2:$AK993,0)),"")</f>
        <v>Sabani</v>
      </c>
      <c r="I16" s="71">
        <f ca="1">IF(N16=1,SUMIFS('Alokasi Honor'!$M$2:$M993,'Alokasi Honor'!$T$2:$T993,A16),"")</f>
        <v>348000</v>
      </c>
      <c r="J16" s="10">
        <f ca="1">IFERROR(__xludf.DUMMYFUNCTION("COUNTIF(FILTER('Alokasi Honor'!$H$2:$H993,'Alokasi Honor'!$H$2:$H993=""OB"",'Alokasi Honor'!$T$2:$T993=A16),""OB"")"),0)</f>
        <v>0</v>
      </c>
      <c r="K16" s="10">
        <f t="shared" ca="1" si="1"/>
        <v>1</v>
      </c>
      <c r="L16" s="70">
        <f t="array" aca="1" ref="L16" ca="1">IF(N16=1,INDEX('Batasan Honor'!$B$2:$B993,MATCH(CONCATENATE($F16,"-",$G16),'Batasan Honor'!$G$2:$G993,0)),"")</f>
        <v>5400000</v>
      </c>
      <c r="M16" s="10">
        <f t="shared" ca="1" si="2"/>
        <v>1</v>
      </c>
      <c r="N16" s="10">
        <f t="shared" ca="1" si="3"/>
        <v>1</v>
      </c>
    </row>
    <row r="17" spans="1:14" ht="15.75" customHeight="1">
      <c r="A17" s="10" t="str">
        <f ca="1">IFERROR(__xludf.DUMMYFUNCTION("""COMPUTED_VALUE"""),"610422100131-2024-1-SURVEI-PPL")</f>
        <v>610422100131-2024-1-SURVEI-PPL</v>
      </c>
      <c r="B17" s="5" t="str">
        <f t="shared" ca="1" si="0"/>
        <v>610422100131-2024-1</v>
      </c>
      <c r="C17" s="5">
        <f ca="1">IFERROR(__xludf.DUMMYFUNCTION("IF(N17=1,SPLIT(A17,""-""),"""")"),610422100131)</f>
        <v>610422100131</v>
      </c>
      <c r="D17" s="10">
        <f ca="1">IFERROR(__xludf.DUMMYFUNCTION("""COMPUTED_VALUE"""),2024)</f>
        <v>2024</v>
      </c>
      <c r="E17" s="10">
        <f ca="1">IFERROR(__xludf.DUMMYFUNCTION("""COMPUTED_VALUE"""),1)</f>
        <v>1</v>
      </c>
      <c r="F17" s="5" t="str">
        <f ca="1">IFERROR(__xludf.DUMMYFUNCTION("""COMPUTED_VALUE"""),"SURVEI")</f>
        <v>SURVEI</v>
      </c>
      <c r="G17" s="5" t="str">
        <f ca="1">IFERROR(__xludf.DUMMYFUNCTION("""COMPUTED_VALUE"""),"PPL")</f>
        <v>PPL</v>
      </c>
      <c r="H17" s="5" t="str">
        <f t="array" aca="1" ref="H17" ca="1">IF(N17=1, INDEX('Database Mitra'!$C$2:$C993,MATCH($C17,'Database Mitra'!$AK$2:$AK993,0)),"")</f>
        <v>SYAMSUL</v>
      </c>
      <c r="I17" s="71">
        <f ca="1">IF(N17=1,SUMIFS('Alokasi Honor'!$M$2:$M993,'Alokasi Honor'!$T$2:$T993,A17),"")</f>
        <v>348000</v>
      </c>
      <c r="J17" s="10">
        <f ca="1">IFERROR(__xludf.DUMMYFUNCTION("COUNTIF(FILTER('Alokasi Honor'!$H$2:$H993,'Alokasi Honor'!$H$2:$H993=""OB"",'Alokasi Honor'!$T$2:$T993=A17),""OB"")"),0)</f>
        <v>0</v>
      </c>
      <c r="K17" s="10">
        <f t="shared" ca="1" si="1"/>
        <v>1</v>
      </c>
      <c r="L17" s="70">
        <f t="array" aca="1" ref="L17" ca="1">IF(N17=1,INDEX('Batasan Honor'!$B$2:$B993,MATCH(CONCATENATE($F17,"-",$G17),'Batasan Honor'!$G$2:$G993,0)),"")</f>
        <v>5400000</v>
      </c>
      <c r="M17" s="10">
        <f t="shared" ca="1" si="2"/>
        <v>1</v>
      </c>
      <c r="N17" s="10">
        <f t="shared" ca="1" si="3"/>
        <v>1</v>
      </c>
    </row>
    <row r="18" spans="1:14" ht="15.75" customHeight="1">
      <c r="A18" s="10" t="str">
        <f ca="1">IFERROR(__xludf.DUMMYFUNCTION("""COMPUTED_VALUE"""),"610422100176-2024-1-SURVEI-PPL")</f>
        <v>610422100176-2024-1-SURVEI-PPL</v>
      </c>
      <c r="B18" s="5" t="str">
        <f t="shared" ca="1" si="0"/>
        <v>610422100176-2024-1</v>
      </c>
      <c r="C18" s="5">
        <f ca="1">IFERROR(__xludf.DUMMYFUNCTION("IF(N18=1,SPLIT(A18,""-""),"""")"),610422100176)</f>
        <v>610422100176</v>
      </c>
      <c r="D18" s="10">
        <f ca="1">IFERROR(__xludf.DUMMYFUNCTION("""COMPUTED_VALUE"""),2024)</f>
        <v>2024</v>
      </c>
      <c r="E18" s="10">
        <f ca="1">IFERROR(__xludf.DUMMYFUNCTION("""COMPUTED_VALUE"""),1)</f>
        <v>1</v>
      </c>
      <c r="F18" s="5" t="str">
        <f ca="1">IFERROR(__xludf.DUMMYFUNCTION("""COMPUTED_VALUE"""),"SURVEI")</f>
        <v>SURVEI</v>
      </c>
      <c r="G18" s="5" t="str">
        <f ca="1">IFERROR(__xludf.DUMMYFUNCTION("""COMPUTED_VALUE"""),"PPL")</f>
        <v>PPL</v>
      </c>
      <c r="H18" s="5" t="str">
        <f t="array" aca="1" ref="H18" ca="1">IF(N18=1, INDEX('Database Mitra'!$C$2:$C993,MATCH($C18,'Database Mitra'!$AK$2:$AK993,0)),"")</f>
        <v>Feri Firdaus</v>
      </c>
      <c r="I18" s="71">
        <f ca="1">IF(N18=1,SUMIFS('Alokasi Honor'!$M$2:$M993,'Alokasi Honor'!$T$2:$T993,A18),"")</f>
        <v>348000</v>
      </c>
      <c r="J18" s="10">
        <f ca="1">IFERROR(__xludf.DUMMYFUNCTION("COUNTIF(FILTER('Alokasi Honor'!$H$2:$H993,'Alokasi Honor'!$H$2:$H993=""OB"",'Alokasi Honor'!$T$2:$T993=A18),""OB"")"),0)</f>
        <v>0</v>
      </c>
      <c r="K18" s="10">
        <f t="shared" ca="1" si="1"/>
        <v>1</v>
      </c>
      <c r="L18" s="70">
        <f t="array" aca="1" ref="L18" ca="1">IF(N18=1,INDEX('Batasan Honor'!$B$2:$B993,MATCH(CONCATENATE($F18,"-",$G18),'Batasan Honor'!$G$2:$G993,0)),"")</f>
        <v>5400000</v>
      </c>
      <c r="M18" s="10">
        <f t="shared" ca="1" si="2"/>
        <v>1</v>
      </c>
      <c r="N18" s="10">
        <f t="shared" ca="1" si="3"/>
        <v>1</v>
      </c>
    </row>
    <row r="19" spans="1:14" ht="15.75" customHeight="1">
      <c r="A19" s="10" t="str">
        <f ca="1">IFERROR(__xludf.DUMMYFUNCTION("""COMPUTED_VALUE"""),"610423110183-2024-1-SURVEI-PPL")</f>
        <v>610423110183-2024-1-SURVEI-PPL</v>
      </c>
      <c r="B19" s="5" t="str">
        <f t="shared" ca="1" si="0"/>
        <v>610423110183-2024-1</v>
      </c>
      <c r="C19" s="5">
        <f ca="1">IFERROR(__xludf.DUMMYFUNCTION("IF(N19=1,SPLIT(A19,""-""),"""")"),610423110183)</f>
        <v>610423110183</v>
      </c>
      <c r="D19" s="10">
        <f ca="1">IFERROR(__xludf.DUMMYFUNCTION("""COMPUTED_VALUE"""),2024)</f>
        <v>2024</v>
      </c>
      <c r="E19" s="10">
        <f ca="1">IFERROR(__xludf.DUMMYFUNCTION("""COMPUTED_VALUE"""),1)</f>
        <v>1</v>
      </c>
      <c r="F19" s="5" t="str">
        <f ca="1">IFERROR(__xludf.DUMMYFUNCTION("""COMPUTED_VALUE"""),"SURVEI")</f>
        <v>SURVEI</v>
      </c>
      <c r="G19" s="5" t="str">
        <f ca="1">IFERROR(__xludf.DUMMYFUNCTION("""COMPUTED_VALUE"""),"PPL")</f>
        <v>PPL</v>
      </c>
      <c r="H19" s="5" t="str">
        <f t="array" aca="1" ref="H19" ca="1">IF(N19=1, INDEX('Database Mitra'!$C$2:$C993,MATCH($C19,'Database Mitra'!$AK$2:$AK993,0)),"")</f>
        <v>azhar</v>
      </c>
      <c r="I19" s="71">
        <f ca="1">IF(N19=1,SUMIFS('Alokasi Honor'!$M$2:$M993,'Alokasi Honor'!$T$2:$T993,A19),"")</f>
        <v>1050000</v>
      </c>
      <c r="J19" s="10">
        <f ca="1">IFERROR(__xludf.DUMMYFUNCTION("COUNTIF(FILTER('Alokasi Honor'!$H$2:$H993,'Alokasi Honor'!$H$2:$H993=""OB"",'Alokasi Honor'!$T$2:$T993=A19),""OB"")"),0)</f>
        <v>0</v>
      </c>
      <c r="K19" s="10">
        <f t="shared" ca="1" si="1"/>
        <v>1</v>
      </c>
      <c r="L19" s="70">
        <f t="array" aca="1" ref="L19" ca="1">IF(N19=1,INDEX('Batasan Honor'!$B$2:$B993,MATCH(CONCATENATE($F19,"-",$G19),'Batasan Honor'!$G$2:$G993,0)),"")</f>
        <v>5400000</v>
      </c>
      <c r="M19" s="10">
        <f t="shared" ca="1" si="2"/>
        <v>1</v>
      </c>
      <c r="N19" s="10">
        <f t="shared" ca="1" si="3"/>
        <v>1</v>
      </c>
    </row>
    <row r="20" spans="1:14" ht="15.75" customHeight="1">
      <c r="A20" s="10" t="str">
        <f ca="1">IFERROR(__xludf.DUMMYFUNCTION("""COMPUTED_VALUE"""),"610423040018-2024-1-SURVEI-PPL")</f>
        <v>610423040018-2024-1-SURVEI-PPL</v>
      </c>
      <c r="B20" s="5" t="str">
        <f t="shared" ca="1" si="0"/>
        <v>610423040018-2024-1</v>
      </c>
      <c r="C20" s="5">
        <f ca="1">IFERROR(__xludf.DUMMYFUNCTION("IF(N20=1,SPLIT(A20,""-""),"""")"),610423040018)</f>
        <v>610423040018</v>
      </c>
      <c r="D20" s="10">
        <f ca="1">IFERROR(__xludf.DUMMYFUNCTION("""COMPUTED_VALUE"""),2024)</f>
        <v>2024</v>
      </c>
      <c r="E20" s="10">
        <f ca="1">IFERROR(__xludf.DUMMYFUNCTION("""COMPUTED_VALUE"""),1)</f>
        <v>1</v>
      </c>
      <c r="F20" s="5" t="str">
        <f ca="1">IFERROR(__xludf.DUMMYFUNCTION("""COMPUTED_VALUE"""),"SURVEI")</f>
        <v>SURVEI</v>
      </c>
      <c r="G20" s="5" t="str">
        <f ca="1">IFERROR(__xludf.DUMMYFUNCTION("""COMPUTED_VALUE"""),"PPL")</f>
        <v>PPL</v>
      </c>
      <c r="H20" s="5" t="str">
        <f t="array" aca="1" ref="H20" ca="1">IF(N20=1, INDEX('Database Mitra'!$C$2:$C993,MATCH($C20,'Database Mitra'!$AK$2:$AK993,0)),"")</f>
        <v>Handoko Tuah Sabarman Sipayung</v>
      </c>
      <c r="I20" s="71">
        <f ca="1">IF(N20=1,SUMIFS('Alokasi Honor'!$M$2:$M993,'Alokasi Honor'!$T$2:$T993,A20),"")</f>
        <v>464000</v>
      </c>
      <c r="J20" s="10">
        <f ca="1">IFERROR(__xludf.DUMMYFUNCTION("COUNTIF(FILTER('Alokasi Honor'!$H$2:$H993,'Alokasi Honor'!$H$2:$H993=""OB"",'Alokasi Honor'!$T$2:$T993=A20),""OB"")"),0)</f>
        <v>0</v>
      </c>
      <c r="K20" s="10">
        <f t="shared" ca="1" si="1"/>
        <v>1</v>
      </c>
      <c r="L20" s="70">
        <f t="array" aca="1" ref="L20" ca="1">IF(N20=1,INDEX('Batasan Honor'!$B$2:$B993,MATCH(CONCATENATE($F20,"-",$G20),'Batasan Honor'!$G$2:$G993,0)),"")</f>
        <v>5400000</v>
      </c>
      <c r="M20" s="10">
        <f t="shared" ca="1" si="2"/>
        <v>1</v>
      </c>
      <c r="N20" s="10">
        <f t="shared" ca="1" si="3"/>
        <v>1</v>
      </c>
    </row>
    <row r="21" spans="1:14" ht="15.75" customHeight="1">
      <c r="A21" s="10" t="str">
        <f ca="1">IFERROR(__xludf.DUMMYFUNCTION("""COMPUTED_VALUE"""),"610422040058-2024-1-SURVEI-PPL")</f>
        <v>610422040058-2024-1-SURVEI-PPL</v>
      </c>
      <c r="B21" s="5" t="str">
        <f t="shared" ca="1" si="0"/>
        <v>610422040058-2024-1</v>
      </c>
      <c r="C21" s="5">
        <f ca="1">IFERROR(__xludf.DUMMYFUNCTION("IF(N21=1,SPLIT(A21,""-""),"""")"),610422040058)</f>
        <v>610422040058</v>
      </c>
      <c r="D21" s="10">
        <f ca="1">IFERROR(__xludf.DUMMYFUNCTION("""COMPUTED_VALUE"""),2024)</f>
        <v>2024</v>
      </c>
      <c r="E21" s="10">
        <f ca="1">IFERROR(__xludf.DUMMYFUNCTION("""COMPUTED_VALUE"""),1)</f>
        <v>1</v>
      </c>
      <c r="F21" s="5" t="str">
        <f ca="1">IFERROR(__xludf.DUMMYFUNCTION("""COMPUTED_VALUE"""),"SURVEI")</f>
        <v>SURVEI</v>
      </c>
      <c r="G21" s="5" t="str">
        <f ca="1">IFERROR(__xludf.DUMMYFUNCTION("""COMPUTED_VALUE"""),"PPL")</f>
        <v>PPL</v>
      </c>
      <c r="H21" s="5" t="str">
        <f t="array" aca="1" ref="H21" ca="1">IF(N21=1, INDEX('Database Mitra'!$C$2:$C993,MATCH($C21,'Database Mitra'!$AK$2:$AK993,0)),"")</f>
        <v>Jamaluddin, SP</v>
      </c>
      <c r="I21" s="71">
        <f ca="1">IF(N21=1,SUMIFS('Alokasi Honor'!$M$2:$M993,'Alokasi Honor'!$T$2:$T993,A21),"")</f>
        <v>590000</v>
      </c>
      <c r="J21" s="10">
        <f ca="1">IFERROR(__xludf.DUMMYFUNCTION("COUNTIF(FILTER('Alokasi Honor'!$H$2:$H993,'Alokasi Honor'!$H$2:$H993=""OB"",'Alokasi Honor'!$T$2:$T993=A21),""OB"")"),0)</f>
        <v>0</v>
      </c>
      <c r="K21" s="10">
        <f t="shared" ca="1" si="1"/>
        <v>1</v>
      </c>
      <c r="L21" s="70">
        <f t="array" aca="1" ref="L21" ca="1">IF(N21=1,INDEX('Batasan Honor'!$B$2:$B993,MATCH(CONCATENATE($F21,"-",$G21),'Batasan Honor'!$G$2:$G993,0)),"")</f>
        <v>5400000</v>
      </c>
      <c r="M21" s="10">
        <f t="shared" ca="1" si="2"/>
        <v>1</v>
      </c>
      <c r="N21" s="10">
        <f t="shared" ca="1" si="3"/>
        <v>1</v>
      </c>
    </row>
    <row r="22" spans="1:14" ht="15.75" customHeight="1">
      <c r="A22" s="10" t="str">
        <f ca="1">IFERROR(__xludf.DUMMYFUNCTION("""COMPUTED_VALUE"""),"610422030001-2024-2-SURVEI-PML")</f>
        <v>610422030001-2024-2-SURVEI-PML</v>
      </c>
      <c r="B22" s="5" t="str">
        <f t="shared" ca="1" si="0"/>
        <v>610422030001-2024-2</v>
      </c>
      <c r="C22" s="5">
        <f ca="1">IFERROR(__xludf.DUMMYFUNCTION("IF(N22=1,SPLIT(A22,""-""),"""")"),610422030001)</f>
        <v>610422030001</v>
      </c>
      <c r="D22" s="10">
        <f ca="1">IFERROR(__xludf.DUMMYFUNCTION("""COMPUTED_VALUE"""),2024)</f>
        <v>2024</v>
      </c>
      <c r="E22" s="10">
        <f ca="1">IFERROR(__xludf.DUMMYFUNCTION("""COMPUTED_VALUE"""),2)</f>
        <v>2</v>
      </c>
      <c r="F22" s="5" t="str">
        <f ca="1">IFERROR(__xludf.DUMMYFUNCTION("""COMPUTED_VALUE"""),"SURVEI")</f>
        <v>SURVEI</v>
      </c>
      <c r="G22" s="5" t="str">
        <f ca="1">IFERROR(__xludf.DUMMYFUNCTION("""COMPUTED_VALUE"""),"PML")</f>
        <v>PML</v>
      </c>
      <c r="H22" s="5" t="str">
        <f t="array" aca="1" ref="H22" ca="1">IF(N22=1, INDEX('Database Mitra'!$C$2:$C993,MATCH($C22,'Database Mitra'!$AK$2:$AK993,0)),"")</f>
        <v>Pitra,SP</v>
      </c>
      <c r="I22" s="71">
        <f ca="1">IF(N22=1,SUMIFS('Alokasi Honor'!$M$2:$M993,'Alokasi Honor'!$T$2:$T993,A22),"")</f>
        <v>220000</v>
      </c>
      <c r="J22" s="10">
        <f ca="1">IFERROR(__xludf.DUMMYFUNCTION("COUNTIF(FILTER('Alokasi Honor'!$H$2:$H993,'Alokasi Honor'!$H$2:$H993=""OB"",'Alokasi Honor'!$T$2:$T993=A22),""OB"")"),0)</f>
        <v>0</v>
      </c>
      <c r="K22" s="10">
        <f t="shared" ca="1" si="1"/>
        <v>1</v>
      </c>
      <c r="L22" s="70">
        <f t="array" aca="1" ref="L22" ca="1">IF(N22=1,INDEX('Batasan Honor'!$B$2:$B993,MATCH(CONCATENATE($F22,"-",$G22),'Batasan Honor'!$G$2:$G993,0)),"")</f>
        <v>5400000</v>
      </c>
      <c r="M22" s="10">
        <f t="shared" ca="1" si="2"/>
        <v>1</v>
      </c>
      <c r="N22" s="10">
        <f t="shared" ca="1" si="3"/>
        <v>1</v>
      </c>
    </row>
    <row r="23" spans="1:14" ht="15.75" customHeight="1">
      <c r="A23" s="10" t="str">
        <f ca="1">IFERROR(__xludf.DUMMYFUNCTION("""COMPUTED_VALUE"""),"610422040056-2024-2-SURVEI-PML")</f>
        <v>610422040056-2024-2-SURVEI-PML</v>
      </c>
      <c r="B23" s="5" t="str">
        <f t="shared" ca="1" si="0"/>
        <v>610422040056-2024-2</v>
      </c>
      <c r="C23" s="5">
        <f ca="1">IFERROR(__xludf.DUMMYFUNCTION("IF(N23=1,SPLIT(A23,""-""),"""")"),610422040056)</f>
        <v>610422040056</v>
      </c>
      <c r="D23" s="10">
        <f ca="1">IFERROR(__xludf.DUMMYFUNCTION("""COMPUTED_VALUE"""),2024)</f>
        <v>2024</v>
      </c>
      <c r="E23" s="10">
        <f ca="1">IFERROR(__xludf.DUMMYFUNCTION("""COMPUTED_VALUE"""),2)</f>
        <v>2</v>
      </c>
      <c r="F23" s="5" t="str">
        <f ca="1">IFERROR(__xludf.DUMMYFUNCTION("""COMPUTED_VALUE"""),"SURVEI")</f>
        <v>SURVEI</v>
      </c>
      <c r="G23" s="5" t="str">
        <f ca="1">IFERROR(__xludf.DUMMYFUNCTION("""COMPUTED_VALUE"""),"PML")</f>
        <v>PML</v>
      </c>
      <c r="H23" s="5" t="str">
        <f t="array" aca="1" ref="H23" ca="1">IF(N23=1, INDEX('Database Mitra'!$C$2:$C993,MATCH($C23,'Database Mitra'!$AK$2:$AK993,0)),"")</f>
        <v>Wandi Syafari</v>
      </c>
      <c r="I23" s="71">
        <f ca="1">IF(N23=1,SUMIFS('Alokasi Honor'!$M$2:$M993,'Alokasi Honor'!$T$2:$T993,A23),"")</f>
        <v>330000</v>
      </c>
      <c r="J23" s="10">
        <f ca="1">IFERROR(__xludf.DUMMYFUNCTION("COUNTIF(FILTER('Alokasi Honor'!$H$2:$H993,'Alokasi Honor'!$H$2:$H993=""OB"",'Alokasi Honor'!$T$2:$T993=A23),""OB"")"),0)</f>
        <v>0</v>
      </c>
      <c r="K23" s="10">
        <f t="shared" ca="1" si="1"/>
        <v>2</v>
      </c>
      <c r="L23" s="70">
        <f t="array" aca="1" ref="L23" ca="1">IF(N23=1,INDEX('Batasan Honor'!$B$2:$B993,MATCH(CONCATENATE($F23,"-",$G23),'Batasan Honor'!$G$2:$G993,0)),"")</f>
        <v>5400000</v>
      </c>
      <c r="M23" s="10">
        <f t="shared" ca="1" si="2"/>
        <v>1</v>
      </c>
      <c r="N23" s="10">
        <f t="shared" ca="1" si="3"/>
        <v>1</v>
      </c>
    </row>
    <row r="24" spans="1:14" ht="15.75" customHeight="1">
      <c r="A24" s="10" t="str">
        <f ca="1">IFERROR(__xludf.DUMMYFUNCTION("""COMPUTED_VALUE"""),"610423030006-2024-2-SURVEI-PML")</f>
        <v>610423030006-2024-2-SURVEI-PML</v>
      </c>
      <c r="B24" s="5" t="str">
        <f t="shared" ca="1" si="0"/>
        <v>610423030006-2024-2</v>
      </c>
      <c r="C24" s="5">
        <f ca="1">IFERROR(__xludf.DUMMYFUNCTION("IF(N24=1,SPLIT(A24,""-""),"""")"),610423030006)</f>
        <v>610423030006</v>
      </c>
      <c r="D24" s="10">
        <f ca="1">IFERROR(__xludf.DUMMYFUNCTION("""COMPUTED_VALUE"""),2024)</f>
        <v>2024</v>
      </c>
      <c r="E24" s="10">
        <f ca="1">IFERROR(__xludf.DUMMYFUNCTION("""COMPUTED_VALUE"""),2)</f>
        <v>2</v>
      </c>
      <c r="F24" s="5" t="str">
        <f ca="1">IFERROR(__xludf.DUMMYFUNCTION("""COMPUTED_VALUE"""),"SURVEI")</f>
        <v>SURVEI</v>
      </c>
      <c r="G24" s="5" t="str">
        <f ca="1">IFERROR(__xludf.DUMMYFUNCTION("""COMPUTED_VALUE"""),"PML")</f>
        <v>PML</v>
      </c>
      <c r="H24" s="5" t="str">
        <f t="array" aca="1" ref="H24" ca="1">IF(N24=1, INDEX('Database Mitra'!$C$2:$C993,MATCH($C24,'Database Mitra'!$AK$2:$AK993,0)),"")</f>
        <v>DESTA DARA AYU LESTARI, S.Pd</v>
      </c>
      <c r="I24" s="71">
        <f ca="1">IF(N24=1,SUMIFS('Alokasi Honor'!$M$2:$M993,'Alokasi Honor'!$T$2:$T993,A24),"")</f>
        <v>220000</v>
      </c>
      <c r="J24" s="10">
        <f ca="1">IFERROR(__xludf.DUMMYFUNCTION("COUNTIF(FILTER('Alokasi Honor'!$H$2:$H993,'Alokasi Honor'!$H$2:$H993=""OB"",'Alokasi Honor'!$T$2:$T993=A24),""OB"")"),0)</f>
        <v>0</v>
      </c>
      <c r="K24" s="10">
        <f t="shared" ca="1" si="1"/>
        <v>1</v>
      </c>
      <c r="L24" s="70">
        <f t="array" aca="1" ref="L24" ca="1">IF(N24=1,INDEX('Batasan Honor'!$B$2:$B993,MATCH(CONCATENATE($F24,"-",$G24),'Batasan Honor'!$G$2:$G993,0)),"")</f>
        <v>5400000</v>
      </c>
      <c r="M24" s="10">
        <f t="shared" ca="1" si="2"/>
        <v>1</v>
      </c>
      <c r="N24" s="10">
        <f t="shared" ca="1" si="3"/>
        <v>1</v>
      </c>
    </row>
    <row r="25" spans="1:14" ht="15.75" customHeight="1">
      <c r="A25" s="10" t="str">
        <f ca="1">IFERROR(__xludf.DUMMYFUNCTION("""COMPUTED_VALUE"""),"610423090001-2024-2-SURVEI-PPL")</f>
        <v>610423090001-2024-2-SURVEI-PPL</v>
      </c>
      <c r="B25" s="5" t="str">
        <f t="shared" ca="1" si="0"/>
        <v>610423090001-2024-2</v>
      </c>
      <c r="C25" s="5">
        <f ca="1">IFERROR(__xludf.DUMMYFUNCTION("IF(N25=1,SPLIT(A25,""-""),"""")"),610423090001)</f>
        <v>610423090001</v>
      </c>
      <c r="D25" s="10">
        <f ca="1">IFERROR(__xludf.DUMMYFUNCTION("""COMPUTED_VALUE"""),2024)</f>
        <v>2024</v>
      </c>
      <c r="E25" s="10">
        <f ca="1">IFERROR(__xludf.DUMMYFUNCTION("""COMPUTED_VALUE"""),2)</f>
        <v>2</v>
      </c>
      <c r="F25" s="5" t="str">
        <f ca="1">IFERROR(__xludf.DUMMYFUNCTION("""COMPUTED_VALUE"""),"SURVEI")</f>
        <v>SURVEI</v>
      </c>
      <c r="G25" s="5" t="str">
        <f ca="1">IFERROR(__xludf.DUMMYFUNCTION("""COMPUTED_VALUE"""),"PPL")</f>
        <v>PPL</v>
      </c>
      <c r="H25" s="5" t="str">
        <f t="array" aca="1" ref="H25" ca="1">IF(N25=1, INDEX('Database Mitra'!$C$2:$C993,MATCH($C25,'Database Mitra'!$AK$2:$AK993,0)),"")</f>
        <v>Utami Angraini</v>
      </c>
      <c r="I25" s="71">
        <f ca="1">IF(N25=1,SUMIFS('Alokasi Honor'!$M$2:$M993,'Alokasi Honor'!$T$2:$T993,A25),"")</f>
        <v>336000</v>
      </c>
      <c r="J25" s="10">
        <f ca="1">IFERROR(__xludf.DUMMYFUNCTION("COUNTIF(FILTER('Alokasi Honor'!$H$2:$H993,'Alokasi Honor'!$H$2:$H993=""OB"",'Alokasi Honor'!$T$2:$T993=A25),""OB"")"),0)</f>
        <v>0</v>
      </c>
      <c r="K25" s="10">
        <f t="shared" ca="1" si="1"/>
        <v>1</v>
      </c>
      <c r="L25" s="70">
        <f t="array" aca="1" ref="L25" ca="1">IF(N25=1,INDEX('Batasan Honor'!$B$2:$B993,MATCH(CONCATENATE($F25,"-",$G25),'Batasan Honor'!$G$2:$G993,0)),"")</f>
        <v>5400000</v>
      </c>
      <c r="M25" s="10">
        <f t="shared" ca="1" si="2"/>
        <v>1</v>
      </c>
      <c r="N25" s="10">
        <f t="shared" ca="1" si="3"/>
        <v>1</v>
      </c>
    </row>
    <row r="26" spans="1:14" ht="15.75" customHeight="1">
      <c r="A26" s="10" t="str">
        <f ca="1">IFERROR(__xludf.DUMMYFUNCTION("""COMPUTED_VALUE"""),"610422040059-2024-2-SURVEI-PPL")</f>
        <v>610422040059-2024-2-SURVEI-PPL</v>
      </c>
      <c r="B26" s="5" t="str">
        <f t="shared" ca="1" si="0"/>
        <v>610422040059-2024-2</v>
      </c>
      <c r="C26" s="5">
        <f ca="1">IFERROR(__xludf.DUMMYFUNCTION("IF(N26=1,SPLIT(A26,""-""),"""")"),610422040059)</f>
        <v>610422040059</v>
      </c>
      <c r="D26" s="10">
        <f ca="1">IFERROR(__xludf.DUMMYFUNCTION("""COMPUTED_VALUE"""),2024)</f>
        <v>2024</v>
      </c>
      <c r="E26" s="10">
        <f ca="1">IFERROR(__xludf.DUMMYFUNCTION("""COMPUTED_VALUE"""),2)</f>
        <v>2</v>
      </c>
      <c r="F26" s="5" t="str">
        <f ca="1">IFERROR(__xludf.DUMMYFUNCTION("""COMPUTED_VALUE"""),"SURVEI")</f>
        <v>SURVEI</v>
      </c>
      <c r="G26" s="5" t="str">
        <f ca="1">IFERROR(__xludf.DUMMYFUNCTION("""COMPUTED_VALUE"""),"PPL")</f>
        <v>PPL</v>
      </c>
      <c r="H26" s="5" t="str">
        <f t="array" aca="1" ref="H26" ca="1">IF(N26=1, INDEX('Database Mitra'!$C$2:$C993,MATCH($C26,'Database Mitra'!$AK$2:$AK993,0)),"")</f>
        <v>Abang Handri</v>
      </c>
      <c r="I26" s="71">
        <f ca="1">IF(N26=1,SUMIFS('Alokasi Honor'!$M$2:$M993,'Alokasi Honor'!$T$2:$T993,A26),"")</f>
        <v>1154000</v>
      </c>
      <c r="J26" s="10">
        <f ca="1">IFERROR(__xludf.DUMMYFUNCTION("COUNTIF(FILTER('Alokasi Honor'!$H$2:$H993,'Alokasi Honor'!$H$2:$H993=""OB"",'Alokasi Honor'!$T$2:$T993=A26),""OB"")"),0)</f>
        <v>0</v>
      </c>
      <c r="K26" s="10">
        <f t="shared" ca="1" si="1"/>
        <v>1</v>
      </c>
      <c r="L26" s="70">
        <f t="array" aca="1" ref="L26" ca="1">IF(N26=1,INDEX('Batasan Honor'!$B$2:$B993,MATCH(CONCATENATE($F26,"-",$G26),'Batasan Honor'!$G$2:$G993,0)),"")</f>
        <v>5400000</v>
      </c>
      <c r="M26" s="10">
        <f t="shared" ca="1" si="2"/>
        <v>1</v>
      </c>
      <c r="N26" s="10">
        <f t="shared" ca="1" si="3"/>
        <v>1</v>
      </c>
    </row>
    <row r="27" spans="1:14" ht="15.75" customHeight="1">
      <c r="A27" s="10" t="str">
        <f ca="1">IFERROR(__xludf.DUMMYFUNCTION("""COMPUTED_VALUE"""),"610422100008-2024-2-SURVEI-PPL")</f>
        <v>610422100008-2024-2-SURVEI-PPL</v>
      </c>
      <c r="B27" s="5" t="str">
        <f t="shared" ca="1" si="0"/>
        <v>610422100008-2024-2</v>
      </c>
      <c r="C27" s="5">
        <f ca="1">IFERROR(__xludf.DUMMYFUNCTION("IF(N27=1,SPLIT(A27,""-""),"""")"),610422100008)</f>
        <v>610422100008</v>
      </c>
      <c r="D27" s="10">
        <f ca="1">IFERROR(__xludf.DUMMYFUNCTION("""COMPUTED_VALUE"""),2024)</f>
        <v>2024</v>
      </c>
      <c r="E27" s="10">
        <f ca="1">IFERROR(__xludf.DUMMYFUNCTION("""COMPUTED_VALUE"""),2)</f>
        <v>2</v>
      </c>
      <c r="F27" s="5" t="str">
        <f ca="1">IFERROR(__xludf.DUMMYFUNCTION("""COMPUTED_VALUE"""),"SURVEI")</f>
        <v>SURVEI</v>
      </c>
      <c r="G27" s="5" t="str">
        <f ca="1">IFERROR(__xludf.DUMMYFUNCTION("""COMPUTED_VALUE"""),"PPL")</f>
        <v>PPL</v>
      </c>
      <c r="H27" s="5" t="str">
        <f t="array" aca="1" ref="H27" ca="1">IF(N27=1, INDEX('Database Mitra'!$C$2:$C993,MATCH($C27,'Database Mitra'!$AK$2:$AK993,0)),"")</f>
        <v>Novi Sri Wulandari</v>
      </c>
      <c r="I27" s="71">
        <f ca="1">IF(N27=1,SUMIFS('Alokasi Honor'!$M$2:$M993,'Alokasi Honor'!$T$2:$T993,A27),"")</f>
        <v>336000</v>
      </c>
      <c r="J27" s="10">
        <f ca="1">IFERROR(__xludf.DUMMYFUNCTION("COUNTIF(FILTER('Alokasi Honor'!$H$2:$H993,'Alokasi Honor'!$H$2:$H993=""OB"",'Alokasi Honor'!$T$2:$T993=A27),""OB"")"),0)</f>
        <v>0</v>
      </c>
      <c r="K27" s="10">
        <f t="shared" ca="1" si="1"/>
        <v>1</v>
      </c>
      <c r="L27" s="70">
        <f t="array" aca="1" ref="L27" ca="1">IF(N27=1,INDEX('Batasan Honor'!$B$2:$B993,MATCH(CONCATENATE($F27,"-",$G27),'Batasan Honor'!$G$2:$G993,0)),"")</f>
        <v>5400000</v>
      </c>
      <c r="M27" s="10">
        <f t="shared" ca="1" si="2"/>
        <v>1</v>
      </c>
      <c r="N27" s="10">
        <f t="shared" ca="1" si="3"/>
        <v>1</v>
      </c>
    </row>
    <row r="28" spans="1:14" ht="15.75" customHeight="1">
      <c r="A28" s="10" t="str">
        <f ca="1">IFERROR(__xludf.DUMMYFUNCTION("""COMPUTED_VALUE"""),"610422100043-2024-2-SURVEI-PPL")</f>
        <v>610422100043-2024-2-SURVEI-PPL</v>
      </c>
      <c r="B28" s="5" t="str">
        <f t="shared" ca="1" si="0"/>
        <v>610422100043-2024-2</v>
      </c>
      <c r="C28" s="5">
        <f ca="1">IFERROR(__xludf.DUMMYFUNCTION("IF(N28=1,SPLIT(A28,""-""),"""")"),610422100043)</f>
        <v>610422100043</v>
      </c>
      <c r="D28" s="10">
        <f ca="1">IFERROR(__xludf.DUMMYFUNCTION("""COMPUTED_VALUE"""),2024)</f>
        <v>2024</v>
      </c>
      <c r="E28" s="10">
        <f ca="1">IFERROR(__xludf.DUMMYFUNCTION("""COMPUTED_VALUE"""),2)</f>
        <v>2</v>
      </c>
      <c r="F28" s="5" t="str">
        <f ca="1">IFERROR(__xludf.DUMMYFUNCTION("""COMPUTED_VALUE"""),"SURVEI")</f>
        <v>SURVEI</v>
      </c>
      <c r="G28" s="5" t="str">
        <f ca="1">IFERROR(__xludf.DUMMYFUNCTION("""COMPUTED_VALUE"""),"PPL")</f>
        <v>PPL</v>
      </c>
      <c r="H28" s="5" t="str">
        <f t="array" aca="1" ref="H28" ca="1">IF(N28=1, INDEX('Database Mitra'!$C$2:$C993,MATCH($C28,'Database Mitra'!$AK$2:$AK993,0)),"")</f>
        <v>eligia giok</v>
      </c>
      <c r="I28" s="71">
        <f ca="1">IF(N28=1,SUMIFS('Alokasi Honor'!$M$2:$M993,'Alokasi Honor'!$T$2:$T993,A28),"")</f>
        <v>336000</v>
      </c>
      <c r="J28" s="10">
        <f ca="1">IFERROR(__xludf.DUMMYFUNCTION("COUNTIF(FILTER('Alokasi Honor'!$H$2:$H993,'Alokasi Honor'!$H$2:$H993=""OB"",'Alokasi Honor'!$T$2:$T993=A28),""OB"")"),0)</f>
        <v>0</v>
      </c>
      <c r="K28" s="10">
        <f t="shared" ca="1" si="1"/>
        <v>1</v>
      </c>
      <c r="L28" s="70">
        <f t="array" aca="1" ref="L28" ca="1">IF(N28=1,INDEX('Batasan Honor'!$B$2:$B993,MATCH(CONCATENATE($F28,"-",$G28),'Batasan Honor'!$G$2:$G993,0)),"")</f>
        <v>5400000</v>
      </c>
      <c r="M28" s="10">
        <f t="shared" ca="1" si="2"/>
        <v>1</v>
      </c>
      <c r="N28" s="10">
        <f t="shared" ca="1" si="3"/>
        <v>1</v>
      </c>
    </row>
    <row r="29" spans="1:14" ht="15.75" customHeight="1">
      <c r="A29" s="10" t="str">
        <f ca="1">IFERROR(__xludf.DUMMYFUNCTION("""COMPUTED_VALUE"""),"610422100086-2024-2-SURVEI-PPL")</f>
        <v>610422100086-2024-2-SURVEI-PPL</v>
      </c>
      <c r="B29" s="5" t="str">
        <f t="shared" ca="1" si="0"/>
        <v>610422100086-2024-2</v>
      </c>
      <c r="C29" s="5">
        <f ca="1">IFERROR(__xludf.DUMMYFUNCTION("IF(N29=1,SPLIT(A29,""-""),"""")"),610422100086)</f>
        <v>610422100086</v>
      </c>
      <c r="D29" s="10">
        <f ca="1">IFERROR(__xludf.DUMMYFUNCTION("""COMPUTED_VALUE"""),2024)</f>
        <v>2024</v>
      </c>
      <c r="E29" s="10">
        <f ca="1">IFERROR(__xludf.DUMMYFUNCTION("""COMPUTED_VALUE"""),2)</f>
        <v>2</v>
      </c>
      <c r="F29" s="5" t="str">
        <f ca="1">IFERROR(__xludf.DUMMYFUNCTION("""COMPUTED_VALUE"""),"SURVEI")</f>
        <v>SURVEI</v>
      </c>
      <c r="G29" s="5" t="str">
        <f ca="1">IFERROR(__xludf.DUMMYFUNCTION("""COMPUTED_VALUE"""),"PPL")</f>
        <v>PPL</v>
      </c>
      <c r="H29" s="5" t="str">
        <f t="array" aca="1" ref="H29" ca="1">IF(N29=1, INDEX('Database Mitra'!$C$2:$C993,MATCH($C29,'Database Mitra'!$AK$2:$AK993,0)),"")</f>
        <v>Imamul akhyar</v>
      </c>
      <c r="I29" s="71">
        <f ca="1">IF(N29=1,SUMIFS('Alokasi Honor'!$M$2:$M993,'Alokasi Honor'!$T$2:$T993,A29),"")</f>
        <v>336000</v>
      </c>
      <c r="J29" s="10">
        <f ca="1">IFERROR(__xludf.DUMMYFUNCTION("COUNTIF(FILTER('Alokasi Honor'!$H$2:$H993,'Alokasi Honor'!$H$2:$H993=""OB"",'Alokasi Honor'!$T$2:$T993=A29),""OB"")"),0)</f>
        <v>0</v>
      </c>
      <c r="K29" s="10">
        <f t="shared" ca="1" si="1"/>
        <v>1</v>
      </c>
      <c r="L29" s="70">
        <f t="array" aca="1" ref="L29" ca="1">IF(N29=1,INDEX('Batasan Honor'!$B$2:$B993,MATCH(CONCATENATE($F29,"-",$G29),'Batasan Honor'!$G$2:$G993,0)),"")</f>
        <v>5400000</v>
      </c>
      <c r="M29" s="10">
        <f t="shared" ca="1" si="2"/>
        <v>1</v>
      </c>
      <c r="N29" s="10">
        <f t="shared" ca="1" si="3"/>
        <v>1</v>
      </c>
    </row>
    <row r="30" spans="1:14" ht="15.75" customHeight="1">
      <c r="A30" s="10" t="str">
        <f ca="1">IFERROR(__xludf.DUMMYFUNCTION("""COMPUTED_VALUE"""),"610422100111-2024-2-SURVEI-PPL")</f>
        <v>610422100111-2024-2-SURVEI-PPL</v>
      </c>
      <c r="B30" s="5" t="str">
        <f t="shared" ca="1" si="0"/>
        <v>610422100111-2024-2</v>
      </c>
      <c r="C30" s="5">
        <f ca="1">IFERROR(__xludf.DUMMYFUNCTION("IF(N30=1,SPLIT(A30,""-""),"""")"),610422100111)</f>
        <v>610422100111</v>
      </c>
      <c r="D30" s="10">
        <f ca="1">IFERROR(__xludf.DUMMYFUNCTION("""COMPUTED_VALUE"""),2024)</f>
        <v>2024</v>
      </c>
      <c r="E30" s="10">
        <f ca="1">IFERROR(__xludf.DUMMYFUNCTION("""COMPUTED_VALUE"""),2)</f>
        <v>2</v>
      </c>
      <c r="F30" s="5" t="str">
        <f ca="1">IFERROR(__xludf.DUMMYFUNCTION("""COMPUTED_VALUE"""),"SURVEI")</f>
        <v>SURVEI</v>
      </c>
      <c r="G30" s="5" t="str">
        <f ca="1">IFERROR(__xludf.DUMMYFUNCTION("""COMPUTED_VALUE"""),"PPL")</f>
        <v>PPL</v>
      </c>
      <c r="H30" s="5" t="str">
        <f t="array" aca="1" ref="H30" ca="1">IF(N30=1, INDEX('Database Mitra'!$C$2:$C993,MATCH($C30,'Database Mitra'!$AK$2:$AK993,0)),"")</f>
        <v>CICI PURNAMASARI</v>
      </c>
      <c r="I30" s="71">
        <f ca="1">IF(N30=1,SUMIFS('Alokasi Honor'!$M$2:$M993,'Alokasi Honor'!$T$2:$T993,A30),"")</f>
        <v>336000</v>
      </c>
      <c r="J30" s="10">
        <f ca="1">IFERROR(__xludf.DUMMYFUNCTION("COUNTIF(FILTER('Alokasi Honor'!$H$2:$H993,'Alokasi Honor'!$H$2:$H993=""OB"",'Alokasi Honor'!$T$2:$T993=A30),""OB"")"),0)</f>
        <v>0</v>
      </c>
      <c r="K30" s="10">
        <f t="shared" ca="1" si="1"/>
        <v>1</v>
      </c>
      <c r="L30" s="70">
        <f t="array" aca="1" ref="L30" ca="1">IF(N30=1,INDEX('Batasan Honor'!$B$2:$B993,MATCH(CONCATENATE($F30,"-",$G30),'Batasan Honor'!$G$2:$G993,0)),"")</f>
        <v>5400000</v>
      </c>
      <c r="M30" s="10">
        <f t="shared" ca="1" si="2"/>
        <v>1</v>
      </c>
      <c r="N30" s="10">
        <f t="shared" ca="1" si="3"/>
        <v>1</v>
      </c>
    </row>
    <row r="31" spans="1:14" ht="12.5">
      <c r="A31" s="10" t="str">
        <f ca="1">IFERROR(__xludf.DUMMYFUNCTION("""COMPUTED_VALUE"""),"610422100175-2024-2-SURVEI-PPL")</f>
        <v>610422100175-2024-2-SURVEI-PPL</v>
      </c>
      <c r="B31" s="5" t="str">
        <f t="shared" ca="1" si="0"/>
        <v>610422100175-2024-2</v>
      </c>
      <c r="C31" s="5">
        <f ca="1">IFERROR(__xludf.DUMMYFUNCTION("IF(N31=1,SPLIT(A31,""-""),"""")"),610422100175)</f>
        <v>610422100175</v>
      </c>
      <c r="D31" s="10">
        <f ca="1">IFERROR(__xludf.DUMMYFUNCTION("""COMPUTED_VALUE"""),2024)</f>
        <v>2024</v>
      </c>
      <c r="E31" s="10">
        <f ca="1">IFERROR(__xludf.DUMMYFUNCTION("""COMPUTED_VALUE"""),2)</f>
        <v>2</v>
      </c>
      <c r="F31" s="5" t="str">
        <f ca="1">IFERROR(__xludf.DUMMYFUNCTION("""COMPUTED_VALUE"""),"SURVEI")</f>
        <v>SURVEI</v>
      </c>
      <c r="G31" s="5" t="str">
        <f ca="1">IFERROR(__xludf.DUMMYFUNCTION("""COMPUTED_VALUE"""),"PPL")</f>
        <v>PPL</v>
      </c>
      <c r="H31" s="5" t="str">
        <f t="array" aca="1" ref="H31" ca="1">IF(N31=1, INDEX('Database Mitra'!$C$2:$C993,MATCH($C31,'Database Mitra'!$AK$2:$AK993,0)),"")</f>
        <v>Rara Shati</v>
      </c>
      <c r="I31" s="71">
        <f ca="1">IF(N31=1,SUMIFS('Alokasi Honor'!$M$2:$M993,'Alokasi Honor'!$T$2:$T993,A31),"")</f>
        <v>336000</v>
      </c>
      <c r="J31" s="10">
        <f ca="1">IFERROR(__xludf.DUMMYFUNCTION("COUNTIF(FILTER('Alokasi Honor'!$H$2:$H993,'Alokasi Honor'!$H$2:$H993=""OB"",'Alokasi Honor'!$T$2:$T993=A31),""OB"")"),0)</f>
        <v>0</v>
      </c>
      <c r="K31" s="10">
        <f t="shared" ca="1" si="1"/>
        <v>1</v>
      </c>
      <c r="L31" s="70">
        <f t="array" aca="1" ref="L31" ca="1">IF(N31=1,INDEX('Batasan Honor'!$B$2:$B993,MATCH(CONCATENATE($F31,"-",$G31),'Batasan Honor'!$G$2:$G993,0)),"")</f>
        <v>5400000</v>
      </c>
      <c r="M31" s="10">
        <f t="shared" ca="1" si="2"/>
        <v>1</v>
      </c>
      <c r="N31" s="10">
        <f t="shared" ca="1" si="3"/>
        <v>1</v>
      </c>
    </row>
    <row r="32" spans="1:14" ht="12.5">
      <c r="A32" s="10" t="str">
        <f ca="1">IFERROR(__xludf.DUMMYFUNCTION("""COMPUTED_VALUE"""),"610422020029-2024-2-SURVEI-PML")</f>
        <v>610422020029-2024-2-SURVEI-PML</v>
      </c>
      <c r="B32" s="5" t="str">
        <f t="shared" ca="1" si="0"/>
        <v>610422020029-2024-2</v>
      </c>
      <c r="C32" s="5">
        <f ca="1">IFERROR(__xludf.DUMMYFUNCTION("IF(N32=1,SPLIT(A32,""-""),"""")"),610422020029)</f>
        <v>610422020029</v>
      </c>
      <c r="D32" s="10">
        <f ca="1">IFERROR(__xludf.DUMMYFUNCTION("""COMPUTED_VALUE"""),2024)</f>
        <v>2024</v>
      </c>
      <c r="E32" s="10">
        <f ca="1">IFERROR(__xludf.DUMMYFUNCTION("""COMPUTED_VALUE"""),2)</f>
        <v>2</v>
      </c>
      <c r="F32" s="5" t="str">
        <f ca="1">IFERROR(__xludf.DUMMYFUNCTION("""COMPUTED_VALUE"""),"SURVEI")</f>
        <v>SURVEI</v>
      </c>
      <c r="G32" s="5" t="str">
        <f ca="1">IFERROR(__xludf.DUMMYFUNCTION("""COMPUTED_VALUE"""),"PML")</f>
        <v>PML</v>
      </c>
      <c r="H32" s="5" t="str">
        <f t="array" aca="1" ref="H32" ca="1">IF(N32=1, INDEX('Database Mitra'!$C$2:$C993,MATCH($C32,'Database Mitra'!$AK$2:$AK993,0)),"")</f>
        <v>Kurniadi</v>
      </c>
      <c r="I32" s="71">
        <f ca="1">IF(N32=1,SUMIFS('Alokasi Honor'!$M$2:$M993,'Alokasi Honor'!$T$2:$T993,A32),"")</f>
        <v>220000</v>
      </c>
      <c r="J32" s="10">
        <f ca="1">IFERROR(__xludf.DUMMYFUNCTION("COUNTIF(FILTER('Alokasi Honor'!$H$2:$H993,'Alokasi Honor'!$H$2:$H993=""OB"",'Alokasi Honor'!$T$2:$T993=A32),""OB"")"),0)</f>
        <v>0</v>
      </c>
      <c r="K32" s="10">
        <f t="shared" ca="1" si="1"/>
        <v>1</v>
      </c>
      <c r="L32" s="70">
        <f t="array" aca="1" ref="L32" ca="1">IF(N32=1,INDEX('Batasan Honor'!$B$2:$B993,MATCH(CONCATENATE($F32,"-",$G32),'Batasan Honor'!$G$2:$G993,0)),"")</f>
        <v>5400000</v>
      </c>
      <c r="M32" s="10">
        <f t="shared" ca="1" si="2"/>
        <v>1</v>
      </c>
      <c r="N32" s="10">
        <f t="shared" ca="1" si="3"/>
        <v>1</v>
      </c>
    </row>
    <row r="33" spans="1:14" ht="12.5">
      <c r="A33" s="10" t="str">
        <f ca="1">IFERROR(__xludf.DUMMYFUNCTION("""COMPUTED_VALUE"""),"610422020016-2024-2-SURVEI-PML")</f>
        <v>610422020016-2024-2-SURVEI-PML</v>
      </c>
      <c r="B33" s="5" t="str">
        <f t="shared" ca="1" si="0"/>
        <v>610422020016-2024-2</v>
      </c>
      <c r="C33" s="5">
        <f ca="1">IFERROR(__xludf.DUMMYFUNCTION("IF(N33=1,SPLIT(A33,""-""),"""")"),610422020016)</f>
        <v>610422020016</v>
      </c>
      <c r="D33" s="10">
        <f ca="1">IFERROR(__xludf.DUMMYFUNCTION("""COMPUTED_VALUE"""),2024)</f>
        <v>2024</v>
      </c>
      <c r="E33" s="10">
        <f ca="1">IFERROR(__xludf.DUMMYFUNCTION("""COMPUTED_VALUE"""),2)</f>
        <v>2</v>
      </c>
      <c r="F33" s="5" t="str">
        <f ca="1">IFERROR(__xludf.DUMMYFUNCTION("""COMPUTED_VALUE"""),"SURVEI")</f>
        <v>SURVEI</v>
      </c>
      <c r="G33" s="5" t="str">
        <f ca="1">IFERROR(__xludf.DUMMYFUNCTION("""COMPUTED_VALUE"""),"PML")</f>
        <v>PML</v>
      </c>
      <c r="H33" s="5" t="str">
        <f t="array" aca="1" ref="H33" ca="1">IF(N33=1, INDEX('Database Mitra'!$C$2:$C993,MATCH($C33,'Database Mitra'!$AK$2:$AK993,0)),"")</f>
        <v>Abdul Aziz</v>
      </c>
      <c r="I33" s="71">
        <f ca="1">IF(N33=1,SUMIFS('Alokasi Honor'!$M$2:$M993,'Alokasi Honor'!$T$2:$T993,A33),"")</f>
        <v>220000</v>
      </c>
      <c r="J33" s="10">
        <f ca="1">IFERROR(__xludf.DUMMYFUNCTION("COUNTIF(FILTER('Alokasi Honor'!$H$2:$H993,'Alokasi Honor'!$H$2:$H993=""OB"",'Alokasi Honor'!$T$2:$T993=A33),""OB"")"),0)</f>
        <v>0</v>
      </c>
      <c r="K33" s="10">
        <f t="shared" ca="1" si="1"/>
        <v>2</v>
      </c>
      <c r="L33" s="70">
        <f t="array" aca="1" ref="L33" ca="1">IF(N33=1,INDEX('Batasan Honor'!$B$2:$B993,MATCH(CONCATENATE($F33,"-",$G33),'Batasan Honor'!$G$2:$G993,0)),"")</f>
        <v>5400000</v>
      </c>
      <c r="M33" s="10">
        <f t="shared" ca="1" si="2"/>
        <v>1</v>
      </c>
      <c r="N33" s="10">
        <f t="shared" ca="1" si="3"/>
        <v>1</v>
      </c>
    </row>
    <row r="34" spans="1:14" ht="12.5">
      <c r="A34" s="10" t="str">
        <f ca="1">IFERROR(__xludf.DUMMYFUNCTION("""COMPUTED_VALUE"""),"610422040031-2024-2-SURVEI-PML")</f>
        <v>610422040031-2024-2-SURVEI-PML</v>
      </c>
      <c r="B34" s="5" t="str">
        <f t="shared" ca="1" si="0"/>
        <v>610422040031-2024-2</v>
      </c>
      <c r="C34" s="5">
        <f ca="1">IFERROR(__xludf.DUMMYFUNCTION("IF(N34=1,SPLIT(A34,""-""),"""")"),610422040031)</f>
        <v>610422040031</v>
      </c>
      <c r="D34" s="10">
        <f ca="1">IFERROR(__xludf.DUMMYFUNCTION("""COMPUTED_VALUE"""),2024)</f>
        <v>2024</v>
      </c>
      <c r="E34" s="10">
        <f ca="1">IFERROR(__xludf.DUMMYFUNCTION("""COMPUTED_VALUE"""),2)</f>
        <v>2</v>
      </c>
      <c r="F34" s="5" t="str">
        <f ca="1">IFERROR(__xludf.DUMMYFUNCTION("""COMPUTED_VALUE"""),"SURVEI")</f>
        <v>SURVEI</v>
      </c>
      <c r="G34" s="5" t="str">
        <f ca="1">IFERROR(__xludf.DUMMYFUNCTION("""COMPUTED_VALUE"""),"PML")</f>
        <v>PML</v>
      </c>
      <c r="H34" s="5" t="str">
        <f t="array" aca="1" ref="H34" ca="1">IF(N34=1, INDEX('Database Mitra'!$C$2:$C993,MATCH($C34,'Database Mitra'!$AK$2:$AK993,0)),"")</f>
        <v>IMAM FAJRI MUSLIM</v>
      </c>
      <c r="I34" s="71">
        <f ca="1">IF(N34=1,SUMIFS('Alokasi Honor'!$M$2:$M993,'Alokasi Honor'!$T$2:$T993,A34),"")</f>
        <v>220000</v>
      </c>
      <c r="J34" s="10">
        <f ca="1">IFERROR(__xludf.DUMMYFUNCTION("COUNTIF(FILTER('Alokasi Honor'!$H$2:$H993,'Alokasi Honor'!$H$2:$H993=""OB"",'Alokasi Honor'!$T$2:$T993=A34),""OB"")"),0)</f>
        <v>0</v>
      </c>
      <c r="K34" s="10">
        <f t="shared" ca="1" si="1"/>
        <v>1</v>
      </c>
      <c r="L34" s="70">
        <f t="array" aca="1" ref="L34" ca="1">IF(N34=1,INDEX('Batasan Honor'!$B$2:$B993,MATCH(CONCATENATE($F34,"-",$G34),'Batasan Honor'!$G$2:$G993,0)),"")</f>
        <v>5400000</v>
      </c>
      <c r="M34" s="10">
        <f t="shared" ca="1" si="2"/>
        <v>1</v>
      </c>
      <c r="N34" s="10">
        <f t="shared" ca="1" si="3"/>
        <v>1</v>
      </c>
    </row>
    <row r="35" spans="1:14" ht="12.5">
      <c r="A35" s="10" t="str">
        <f ca="1">IFERROR(__xludf.DUMMYFUNCTION("""COMPUTED_VALUE"""),"610422040005-2024-2-SURVEI-PML")</f>
        <v>610422040005-2024-2-SURVEI-PML</v>
      </c>
      <c r="B35" s="5" t="str">
        <f t="shared" ca="1" si="0"/>
        <v>610422040005-2024-2</v>
      </c>
      <c r="C35" s="5">
        <f ca="1">IFERROR(__xludf.DUMMYFUNCTION("IF(N35=1,SPLIT(A35,""-""),"""")"),610422040005)</f>
        <v>610422040005</v>
      </c>
      <c r="D35" s="10">
        <f ca="1">IFERROR(__xludf.DUMMYFUNCTION("""COMPUTED_VALUE"""),2024)</f>
        <v>2024</v>
      </c>
      <c r="E35" s="10">
        <f ca="1">IFERROR(__xludf.DUMMYFUNCTION("""COMPUTED_VALUE"""),2)</f>
        <v>2</v>
      </c>
      <c r="F35" s="5" t="str">
        <f ca="1">IFERROR(__xludf.DUMMYFUNCTION("""COMPUTED_VALUE"""),"SURVEI")</f>
        <v>SURVEI</v>
      </c>
      <c r="G35" s="5" t="str">
        <f ca="1">IFERROR(__xludf.DUMMYFUNCTION("""COMPUTED_VALUE"""),"PML")</f>
        <v>PML</v>
      </c>
      <c r="H35" s="5" t="str">
        <f t="array" aca="1" ref="H35" ca="1">IF(N35=1, INDEX('Database Mitra'!$C$2:$C993,MATCH($C35,'Database Mitra'!$AK$2:$AK993,0)),"")</f>
        <v>NANDA ARISKA</v>
      </c>
      <c r="I35" s="71">
        <f ca="1">IF(N35=1,SUMIFS('Alokasi Honor'!$M$2:$M993,'Alokasi Honor'!$T$2:$T993,A35),"")</f>
        <v>220000</v>
      </c>
      <c r="J35" s="10">
        <f ca="1">IFERROR(__xludf.DUMMYFUNCTION("COUNTIF(FILTER('Alokasi Honor'!$H$2:$H993,'Alokasi Honor'!$H$2:$H993=""OB"",'Alokasi Honor'!$T$2:$T993=A35),""OB"")"),0)</f>
        <v>0</v>
      </c>
      <c r="K35" s="10">
        <f t="shared" ca="1" si="1"/>
        <v>1</v>
      </c>
      <c r="L35" s="70">
        <f t="array" aca="1" ref="L35" ca="1">IF(N35=1,INDEX('Batasan Honor'!$B$2:$B993,MATCH(CONCATENATE($F35,"-",$G35),'Batasan Honor'!$G$2:$G993,0)),"")</f>
        <v>5400000</v>
      </c>
      <c r="M35" s="10">
        <f t="shared" ca="1" si="2"/>
        <v>1</v>
      </c>
      <c r="N35" s="10">
        <f t="shared" ca="1" si="3"/>
        <v>1</v>
      </c>
    </row>
    <row r="36" spans="1:14" ht="12.5">
      <c r="A36" s="10" t="str">
        <f ca="1">IFERROR(__xludf.DUMMYFUNCTION("""COMPUTED_VALUE"""),"610422040038-2024-2-SURVEI-PML")</f>
        <v>610422040038-2024-2-SURVEI-PML</v>
      </c>
      <c r="B36" s="5" t="str">
        <f t="shared" ca="1" si="0"/>
        <v>610422040038-2024-2</v>
      </c>
      <c r="C36" s="5">
        <f ca="1">IFERROR(__xludf.DUMMYFUNCTION("IF(N36=1,SPLIT(A36,""-""),"""")"),610422040038)</f>
        <v>610422040038</v>
      </c>
      <c r="D36" s="10">
        <f ca="1">IFERROR(__xludf.DUMMYFUNCTION("""COMPUTED_VALUE"""),2024)</f>
        <v>2024</v>
      </c>
      <c r="E36" s="10">
        <f ca="1">IFERROR(__xludf.DUMMYFUNCTION("""COMPUTED_VALUE"""),2)</f>
        <v>2</v>
      </c>
      <c r="F36" s="5" t="str">
        <f ca="1">IFERROR(__xludf.DUMMYFUNCTION("""COMPUTED_VALUE"""),"SURVEI")</f>
        <v>SURVEI</v>
      </c>
      <c r="G36" s="5" t="str">
        <f ca="1">IFERROR(__xludf.DUMMYFUNCTION("""COMPUTED_VALUE"""),"PML")</f>
        <v>PML</v>
      </c>
      <c r="H36" s="5" t="str">
        <f t="array" aca="1" ref="H36" ca="1">IF(N36=1, INDEX('Database Mitra'!$C$2:$C993,MATCH($C36,'Database Mitra'!$AK$2:$AK993,0)),"")</f>
        <v>YUYUN ANTONI, S.E.</v>
      </c>
      <c r="I36" s="71">
        <f ca="1">IF(N36=1,SUMIFS('Alokasi Honor'!$M$2:$M993,'Alokasi Honor'!$T$2:$T993,A36),"")</f>
        <v>220000</v>
      </c>
      <c r="J36" s="10">
        <f ca="1">IFERROR(__xludf.DUMMYFUNCTION("COUNTIF(FILTER('Alokasi Honor'!$H$2:$H993,'Alokasi Honor'!$H$2:$H993=""OB"",'Alokasi Honor'!$T$2:$T993=A36),""OB"")"),0)</f>
        <v>0</v>
      </c>
      <c r="K36" s="10">
        <f t="shared" ca="1" si="1"/>
        <v>1</v>
      </c>
      <c r="L36" s="70">
        <f t="array" aca="1" ref="L36" ca="1">IF(N36=1,INDEX('Batasan Honor'!$B$2:$B993,MATCH(CONCATENATE($F36,"-",$G36),'Batasan Honor'!$G$2:$G993,0)),"")</f>
        <v>5400000</v>
      </c>
      <c r="M36" s="10">
        <f t="shared" ca="1" si="2"/>
        <v>1</v>
      </c>
      <c r="N36" s="10">
        <f t="shared" ca="1" si="3"/>
        <v>1</v>
      </c>
    </row>
    <row r="37" spans="1:14" ht="12.5">
      <c r="A37" s="10" t="str">
        <f ca="1">IFERROR(__xludf.DUMMYFUNCTION("""COMPUTED_VALUE"""),"610422040030-2024-2-SURVEI-PML")</f>
        <v>610422040030-2024-2-SURVEI-PML</v>
      </c>
      <c r="B37" s="5" t="str">
        <f t="shared" ca="1" si="0"/>
        <v>610422040030-2024-2</v>
      </c>
      <c r="C37" s="5">
        <f ca="1">IFERROR(__xludf.DUMMYFUNCTION("IF(N37=1,SPLIT(A37,""-""),"""")"),610422040030)</f>
        <v>610422040030</v>
      </c>
      <c r="D37" s="10">
        <f ca="1">IFERROR(__xludf.DUMMYFUNCTION("""COMPUTED_VALUE"""),2024)</f>
        <v>2024</v>
      </c>
      <c r="E37" s="10">
        <f ca="1">IFERROR(__xludf.DUMMYFUNCTION("""COMPUTED_VALUE"""),2)</f>
        <v>2</v>
      </c>
      <c r="F37" s="5" t="str">
        <f ca="1">IFERROR(__xludf.DUMMYFUNCTION("""COMPUTED_VALUE"""),"SURVEI")</f>
        <v>SURVEI</v>
      </c>
      <c r="G37" s="5" t="str">
        <f ca="1">IFERROR(__xludf.DUMMYFUNCTION("""COMPUTED_VALUE"""),"PML")</f>
        <v>PML</v>
      </c>
      <c r="H37" s="5" t="str">
        <f t="array" aca="1" ref="H37" ca="1">IF(N37=1, INDEX('Database Mitra'!$C$2:$C993,MATCH($C37,'Database Mitra'!$AK$2:$AK993,0)),"")</f>
        <v>Syarifah Desti Pratiwi</v>
      </c>
      <c r="I37" s="71">
        <f ca="1">IF(N37=1,SUMIFS('Alokasi Honor'!$M$2:$M993,'Alokasi Honor'!$T$2:$T993,A37),"")</f>
        <v>220000</v>
      </c>
      <c r="J37" s="10">
        <f ca="1">IFERROR(__xludf.DUMMYFUNCTION("COUNTIF(FILTER('Alokasi Honor'!$H$2:$H993,'Alokasi Honor'!$H$2:$H993=""OB"",'Alokasi Honor'!$T$2:$T993=A37),""OB"")"),0)</f>
        <v>0</v>
      </c>
      <c r="K37" s="10">
        <f t="shared" ca="1" si="1"/>
        <v>2</v>
      </c>
      <c r="L37" s="70">
        <f t="array" aca="1" ref="L37" ca="1">IF(N37=1,INDEX('Batasan Honor'!$B$2:$B993,MATCH(CONCATENATE($F37,"-",$G37),'Batasan Honor'!$G$2:$G993,0)),"")</f>
        <v>5400000</v>
      </c>
      <c r="M37" s="10">
        <f t="shared" ca="1" si="2"/>
        <v>1</v>
      </c>
      <c r="N37" s="10">
        <f t="shared" ca="1" si="3"/>
        <v>1</v>
      </c>
    </row>
    <row r="38" spans="1:14" ht="12.5">
      <c r="A38" s="10" t="str">
        <f ca="1">IFERROR(__xludf.DUMMYFUNCTION("""COMPUTED_VALUE"""),"610422040062-2024-2-SURVEI-PML")</f>
        <v>610422040062-2024-2-SURVEI-PML</v>
      </c>
      <c r="B38" s="5" t="str">
        <f t="shared" ca="1" si="0"/>
        <v>610422040062-2024-2</v>
      </c>
      <c r="C38" s="5">
        <f ca="1">IFERROR(__xludf.DUMMYFUNCTION("IF(N38=1,SPLIT(A38,""-""),"""")"),610422040062)</f>
        <v>610422040062</v>
      </c>
      <c r="D38" s="10">
        <f ca="1">IFERROR(__xludf.DUMMYFUNCTION("""COMPUTED_VALUE"""),2024)</f>
        <v>2024</v>
      </c>
      <c r="E38" s="10">
        <f ca="1">IFERROR(__xludf.DUMMYFUNCTION("""COMPUTED_VALUE"""),2)</f>
        <v>2</v>
      </c>
      <c r="F38" s="5" t="str">
        <f ca="1">IFERROR(__xludf.DUMMYFUNCTION("""COMPUTED_VALUE"""),"SURVEI")</f>
        <v>SURVEI</v>
      </c>
      <c r="G38" s="5" t="str">
        <f ca="1">IFERROR(__xludf.DUMMYFUNCTION("""COMPUTED_VALUE"""),"PML")</f>
        <v>PML</v>
      </c>
      <c r="H38" s="5" t="str">
        <f t="array" aca="1" ref="H38" ca="1">IF(N38=1, INDEX('Database Mitra'!$C$2:$C993,MATCH($C38,'Database Mitra'!$AK$2:$AK993,0)),"")</f>
        <v>Yudi Wahyudi</v>
      </c>
      <c r="I38" s="71">
        <f ca="1">IF(N38=1,SUMIFS('Alokasi Honor'!$M$2:$M993,'Alokasi Honor'!$T$2:$T993,A38),"")</f>
        <v>220000</v>
      </c>
      <c r="J38" s="10">
        <f ca="1">IFERROR(__xludf.DUMMYFUNCTION("COUNTIF(FILTER('Alokasi Honor'!$H$2:$H993,'Alokasi Honor'!$H$2:$H993=""OB"",'Alokasi Honor'!$T$2:$T993=A38),""OB"")"),0)</f>
        <v>0</v>
      </c>
      <c r="K38" s="10">
        <f t="shared" ca="1" si="1"/>
        <v>1</v>
      </c>
      <c r="L38" s="70">
        <f t="array" aca="1" ref="L38" ca="1">IF(N38=1,INDEX('Batasan Honor'!$B$2:$B993,MATCH(CONCATENATE($F38,"-",$G38),'Batasan Honor'!$G$2:$G993,0)),"")</f>
        <v>5400000</v>
      </c>
      <c r="M38" s="10">
        <f t="shared" ca="1" si="2"/>
        <v>1</v>
      </c>
      <c r="N38" s="10">
        <f t="shared" ca="1" si="3"/>
        <v>1</v>
      </c>
    </row>
    <row r="39" spans="1:14" ht="12.5">
      <c r="A39" s="10" t="str">
        <f ca="1">IFERROR(__xludf.DUMMYFUNCTION("""COMPUTED_VALUE"""),"610422100274-2024-2-SURVEI-PML")</f>
        <v>610422100274-2024-2-SURVEI-PML</v>
      </c>
      <c r="B39" s="5" t="str">
        <f t="shared" ca="1" si="0"/>
        <v>610422100274-2024-2</v>
      </c>
      <c r="C39" s="5">
        <f ca="1">IFERROR(__xludf.DUMMYFUNCTION("IF(N39=1,SPLIT(A39,""-""),"""")"),610422100274)</f>
        <v>610422100274</v>
      </c>
      <c r="D39" s="10">
        <f ca="1">IFERROR(__xludf.DUMMYFUNCTION("""COMPUTED_VALUE"""),2024)</f>
        <v>2024</v>
      </c>
      <c r="E39" s="10">
        <f ca="1">IFERROR(__xludf.DUMMYFUNCTION("""COMPUTED_VALUE"""),2)</f>
        <v>2</v>
      </c>
      <c r="F39" s="5" t="str">
        <f ca="1">IFERROR(__xludf.DUMMYFUNCTION("""COMPUTED_VALUE"""),"SURVEI")</f>
        <v>SURVEI</v>
      </c>
      <c r="G39" s="5" t="str">
        <f ca="1">IFERROR(__xludf.DUMMYFUNCTION("""COMPUTED_VALUE"""),"PML")</f>
        <v>PML</v>
      </c>
      <c r="H39" s="5" t="str">
        <f t="array" aca="1" ref="H39" ca="1">IF(N39=1, INDEX('Database Mitra'!$C$2:$C993,MATCH($C39,'Database Mitra'!$AK$2:$AK993,0)),"")</f>
        <v>Anisatunnabilah</v>
      </c>
      <c r="I39" s="71">
        <f ca="1">IF(N39=1,SUMIFS('Alokasi Honor'!$M$2:$M993,'Alokasi Honor'!$T$2:$T993,A39),"")</f>
        <v>220000</v>
      </c>
      <c r="J39" s="10">
        <f ca="1">IFERROR(__xludf.DUMMYFUNCTION("COUNTIF(FILTER('Alokasi Honor'!$H$2:$H993,'Alokasi Honor'!$H$2:$H993=""OB"",'Alokasi Honor'!$T$2:$T993=A39),""OB"")"),0)</f>
        <v>0</v>
      </c>
      <c r="K39" s="10">
        <f t="shared" ca="1" si="1"/>
        <v>1</v>
      </c>
      <c r="L39" s="70">
        <f t="array" aca="1" ref="L39" ca="1">IF(N39=1,INDEX('Batasan Honor'!$B$2:$B993,MATCH(CONCATENATE($F39,"-",$G39),'Batasan Honor'!$G$2:$G993,0)),"")</f>
        <v>5400000</v>
      </c>
      <c r="M39" s="10">
        <f t="shared" ca="1" si="2"/>
        <v>1</v>
      </c>
      <c r="N39" s="10">
        <f t="shared" ca="1" si="3"/>
        <v>1</v>
      </c>
    </row>
    <row r="40" spans="1:14" ht="12.5">
      <c r="A40" s="10" t="str">
        <f ca="1">IFERROR(__xludf.DUMMYFUNCTION("""COMPUTED_VALUE"""),"610422100108-2024-2-SURVEI-PML")</f>
        <v>610422100108-2024-2-SURVEI-PML</v>
      </c>
      <c r="B40" s="5" t="str">
        <f t="shared" ca="1" si="0"/>
        <v>610422100108-2024-2</v>
      </c>
      <c r="C40" s="5">
        <f ca="1">IFERROR(__xludf.DUMMYFUNCTION("IF(N40=1,SPLIT(A40,""-""),"""")"),610422100108)</f>
        <v>610422100108</v>
      </c>
      <c r="D40" s="10">
        <f ca="1">IFERROR(__xludf.DUMMYFUNCTION("""COMPUTED_VALUE"""),2024)</f>
        <v>2024</v>
      </c>
      <c r="E40" s="10">
        <f ca="1">IFERROR(__xludf.DUMMYFUNCTION("""COMPUTED_VALUE"""),2)</f>
        <v>2</v>
      </c>
      <c r="F40" s="5" t="str">
        <f ca="1">IFERROR(__xludf.DUMMYFUNCTION("""COMPUTED_VALUE"""),"SURVEI")</f>
        <v>SURVEI</v>
      </c>
      <c r="G40" s="5" t="str">
        <f ca="1">IFERROR(__xludf.DUMMYFUNCTION("""COMPUTED_VALUE"""),"PML")</f>
        <v>PML</v>
      </c>
      <c r="H40" s="5" t="str">
        <f t="array" aca="1" ref="H40" ca="1">IF(N40=1, INDEX('Database Mitra'!$C$2:$C993,MATCH($C40,'Database Mitra'!$AK$2:$AK993,0)),"")</f>
        <v>Ermi Tiyarni</v>
      </c>
      <c r="I40" s="71">
        <f ca="1">IF(N40=1,SUMIFS('Alokasi Honor'!$M$2:$M993,'Alokasi Honor'!$T$2:$T993,A40),"")</f>
        <v>220000</v>
      </c>
      <c r="J40" s="10">
        <f ca="1">IFERROR(__xludf.DUMMYFUNCTION("COUNTIF(FILTER('Alokasi Honor'!$H$2:$H993,'Alokasi Honor'!$H$2:$H993=""OB"",'Alokasi Honor'!$T$2:$T993=A40),""OB"")"),0)</f>
        <v>0</v>
      </c>
      <c r="K40" s="10">
        <f t="shared" ca="1" si="1"/>
        <v>1</v>
      </c>
      <c r="L40" s="70">
        <f t="array" aca="1" ref="L40" ca="1">IF(N40=1,INDEX('Batasan Honor'!$B$2:$B993,MATCH(CONCATENATE($F40,"-",$G40),'Batasan Honor'!$G$2:$G993,0)),"")</f>
        <v>5400000</v>
      </c>
      <c r="M40" s="10">
        <f t="shared" ca="1" si="2"/>
        <v>1</v>
      </c>
      <c r="N40" s="10">
        <f t="shared" ca="1" si="3"/>
        <v>1</v>
      </c>
    </row>
    <row r="41" spans="1:14" ht="12.5">
      <c r="A41" s="10" t="str">
        <f ca="1">IFERROR(__xludf.DUMMYFUNCTION("""COMPUTED_VALUE"""),"610423040016-2024-2-SURVEI-PML")</f>
        <v>610423040016-2024-2-SURVEI-PML</v>
      </c>
      <c r="B41" s="5" t="str">
        <f t="shared" ca="1" si="0"/>
        <v>610423040016-2024-2</v>
      </c>
      <c r="C41" s="5">
        <f ca="1">IFERROR(__xludf.DUMMYFUNCTION("IF(N41=1,SPLIT(A41,""-""),"""")"),610423040016)</f>
        <v>610423040016</v>
      </c>
      <c r="D41" s="10">
        <f ca="1">IFERROR(__xludf.DUMMYFUNCTION("""COMPUTED_VALUE"""),2024)</f>
        <v>2024</v>
      </c>
      <c r="E41" s="10">
        <f ca="1">IFERROR(__xludf.DUMMYFUNCTION("""COMPUTED_VALUE"""),2)</f>
        <v>2</v>
      </c>
      <c r="F41" s="5" t="str">
        <f ca="1">IFERROR(__xludf.DUMMYFUNCTION("""COMPUTED_VALUE"""),"SURVEI")</f>
        <v>SURVEI</v>
      </c>
      <c r="G41" s="5" t="str">
        <f ca="1">IFERROR(__xludf.DUMMYFUNCTION("""COMPUTED_VALUE"""),"PML")</f>
        <v>PML</v>
      </c>
      <c r="H41" s="5" t="str">
        <f t="array" aca="1" ref="H41" ca="1">IF(N41=1, INDEX('Database Mitra'!$C$2:$C993,MATCH($C41,'Database Mitra'!$AK$2:$AK993,0)),"")</f>
        <v>Fairuztia Atiqah Putri</v>
      </c>
      <c r="I41" s="71">
        <f ca="1">IF(N41=1,SUMIFS('Alokasi Honor'!$M$2:$M993,'Alokasi Honor'!$T$2:$T993,A41),"")</f>
        <v>220000</v>
      </c>
      <c r="J41" s="10">
        <f ca="1">IFERROR(__xludf.DUMMYFUNCTION("COUNTIF(FILTER('Alokasi Honor'!$H$2:$H993,'Alokasi Honor'!$H$2:$H993=""OB"",'Alokasi Honor'!$T$2:$T993=A41),""OB"")"),0)</f>
        <v>0</v>
      </c>
      <c r="K41" s="10">
        <f t="shared" ca="1" si="1"/>
        <v>1</v>
      </c>
      <c r="L41" s="70">
        <f t="array" aca="1" ref="L41" ca="1">IF(N41=1,INDEX('Batasan Honor'!$B$2:$B993,MATCH(CONCATENATE($F41,"-",$G41),'Batasan Honor'!$G$2:$G993,0)),"")</f>
        <v>5400000</v>
      </c>
      <c r="M41" s="10">
        <f t="shared" ca="1" si="2"/>
        <v>1</v>
      </c>
      <c r="N41" s="10">
        <f t="shared" ca="1" si="3"/>
        <v>1</v>
      </c>
    </row>
    <row r="42" spans="1:14" ht="12.5">
      <c r="A42" s="10" t="str">
        <f ca="1">IFERROR(__xludf.DUMMYFUNCTION("""COMPUTED_VALUE"""),"610422100032-2024-2-SURVEI-PML")</f>
        <v>610422100032-2024-2-SURVEI-PML</v>
      </c>
      <c r="B42" s="5" t="str">
        <f t="shared" ca="1" si="0"/>
        <v>610422100032-2024-2</v>
      </c>
      <c r="C42" s="5">
        <f ca="1">IFERROR(__xludf.DUMMYFUNCTION("IF(N42=1,SPLIT(A42,""-""),"""")"),610422100032)</f>
        <v>610422100032</v>
      </c>
      <c r="D42" s="10">
        <f ca="1">IFERROR(__xludf.DUMMYFUNCTION("""COMPUTED_VALUE"""),2024)</f>
        <v>2024</v>
      </c>
      <c r="E42" s="10">
        <f ca="1">IFERROR(__xludf.DUMMYFUNCTION("""COMPUTED_VALUE"""),2)</f>
        <v>2</v>
      </c>
      <c r="F42" s="5" t="str">
        <f ca="1">IFERROR(__xludf.DUMMYFUNCTION("""COMPUTED_VALUE"""),"SURVEI")</f>
        <v>SURVEI</v>
      </c>
      <c r="G42" s="5" t="str">
        <f ca="1">IFERROR(__xludf.DUMMYFUNCTION("""COMPUTED_VALUE"""),"PML")</f>
        <v>PML</v>
      </c>
      <c r="H42" s="5" t="str">
        <f t="array" aca="1" ref="H42" ca="1">IF(N42=1, INDEX('Database Mitra'!$C$2:$C993,MATCH($C42,'Database Mitra'!$AK$2:$AK993,0)),"")</f>
        <v>Muhammad Rizki Pratomo</v>
      </c>
      <c r="I42" s="71">
        <f ca="1">IF(N42=1,SUMIFS('Alokasi Honor'!$M$2:$M993,'Alokasi Honor'!$T$2:$T993,A42),"")</f>
        <v>220000</v>
      </c>
      <c r="J42" s="10">
        <f ca="1">IFERROR(__xludf.DUMMYFUNCTION("COUNTIF(FILTER('Alokasi Honor'!$H$2:$H993,'Alokasi Honor'!$H$2:$H993=""OB"",'Alokasi Honor'!$T$2:$T993=A42),""OB"")"),0)</f>
        <v>0</v>
      </c>
      <c r="K42" s="10">
        <f t="shared" ca="1" si="1"/>
        <v>1</v>
      </c>
      <c r="L42" s="70">
        <f t="array" aca="1" ref="L42" ca="1">IF(N42=1,INDEX('Batasan Honor'!$B$2:$B993,MATCH(CONCATENATE($F42,"-",$G42),'Batasan Honor'!$G$2:$G993,0)),"")</f>
        <v>5400000</v>
      </c>
      <c r="M42" s="10">
        <f t="shared" ca="1" si="2"/>
        <v>1</v>
      </c>
      <c r="N42" s="10">
        <f t="shared" ca="1" si="3"/>
        <v>1</v>
      </c>
    </row>
    <row r="43" spans="1:14" ht="12.5">
      <c r="A43" s="10" t="str">
        <f ca="1">IFERROR(__xludf.DUMMYFUNCTION("""COMPUTED_VALUE"""),"610422100244-2024-2-SURVEI-PML")</f>
        <v>610422100244-2024-2-SURVEI-PML</v>
      </c>
      <c r="B43" s="5" t="str">
        <f t="shared" ca="1" si="0"/>
        <v>610422100244-2024-2</v>
      </c>
      <c r="C43" s="5">
        <f ca="1">IFERROR(__xludf.DUMMYFUNCTION("IF(N43=1,SPLIT(A43,""-""),"""")"),610422100244)</f>
        <v>610422100244</v>
      </c>
      <c r="D43" s="10">
        <f ca="1">IFERROR(__xludf.DUMMYFUNCTION("""COMPUTED_VALUE"""),2024)</f>
        <v>2024</v>
      </c>
      <c r="E43" s="10">
        <f ca="1">IFERROR(__xludf.DUMMYFUNCTION("""COMPUTED_VALUE"""),2)</f>
        <v>2</v>
      </c>
      <c r="F43" s="5" t="str">
        <f ca="1">IFERROR(__xludf.DUMMYFUNCTION("""COMPUTED_VALUE"""),"SURVEI")</f>
        <v>SURVEI</v>
      </c>
      <c r="G43" s="5" t="str">
        <f ca="1">IFERROR(__xludf.DUMMYFUNCTION("""COMPUTED_VALUE"""),"PML")</f>
        <v>PML</v>
      </c>
      <c r="H43" s="5" t="str">
        <f t="array" aca="1" ref="H43" ca="1">IF(N43=1, INDEX('Database Mitra'!$C$2:$C993,MATCH($C43,'Database Mitra'!$AK$2:$AK993,0)),"")</f>
        <v>Sugianto</v>
      </c>
      <c r="I43" s="71">
        <f ca="1">IF(N43=1,SUMIFS('Alokasi Honor'!$M$2:$M993,'Alokasi Honor'!$T$2:$T993,A43),"")</f>
        <v>220000</v>
      </c>
      <c r="J43" s="10">
        <f ca="1">IFERROR(__xludf.DUMMYFUNCTION("COUNTIF(FILTER('Alokasi Honor'!$H$2:$H993,'Alokasi Honor'!$H$2:$H993=""OB"",'Alokasi Honor'!$T$2:$T993=A43),""OB"")"),0)</f>
        <v>0</v>
      </c>
      <c r="K43" s="10">
        <f t="shared" ca="1" si="1"/>
        <v>2</v>
      </c>
      <c r="L43" s="70">
        <f t="array" aca="1" ref="L43" ca="1">IF(N43=1,INDEX('Batasan Honor'!$B$2:$B993,MATCH(CONCATENATE($F43,"-",$G43),'Batasan Honor'!$G$2:$G993,0)),"")</f>
        <v>5400000</v>
      </c>
      <c r="M43" s="10">
        <f t="shared" ca="1" si="2"/>
        <v>1</v>
      </c>
      <c r="N43" s="10">
        <f t="shared" ca="1" si="3"/>
        <v>1</v>
      </c>
    </row>
    <row r="44" spans="1:14" ht="12.5">
      <c r="A44" s="10" t="str">
        <f ca="1">IFERROR(__xludf.DUMMYFUNCTION("""COMPUTED_VALUE"""),"610422100256-2024-2-SURVEI-PPL")</f>
        <v>610422100256-2024-2-SURVEI-PPL</v>
      </c>
      <c r="B44" s="5" t="str">
        <f t="shared" ca="1" si="0"/>
        <v>610422100256-2024-2</v>
      </c>
      <c r="C44" s="5">
        <f ca="1">IFERROR(__xludf.DUMMYFUNCTION("IF(N44=1,SPLIT(A44,""-""),"""")"),610422100256)</f>
        <v>610422100256</v>
      </c>
      <c r="D44" s="10">
        <f ca="1">IFERROR(__xludf.DUMMYFUNCTION("""COMPUTED_VALUE"""),2024)</f>
        <v>2024</v>
      </c>
      <c r="E44" s="10">
        <f ca="1">IFERROR(__xludf.DUMMYFUNCTION("""COMPUTED_VALUE"""),2)</f>
        <v>2</v>
      </c>
      <c r="F44" s="5" t="str">
        <f ca="1">IFERROR(__xludf.DUMMYFUNCTION("""COMPUTED_VALUE"""),"SURVEI")</f>
        <v>SURVEI</v>
      </c>
      <c r="G44" s="5" t="str">
        <f ca="1">IFERROR(__xludf.DUMMYFUNCTION("""COMPUTED_VALUE"""),"PPL")</f>
        <v>PPL</v>
      </c>
      <c r="H44" s="5" t="str">
        <f t="array" aca="1" ref="H44" ca="1">IF(N44=1, INDEX('Database Mitra'!$C$2:$C993,MATCH($C44,'Database Mitra'!$AK$2:$AK993,0)),"")</f>
        <v>Meta</v>
      </c>
      <c r="I44" s="71">
        <f ca="1">IF(N44=1,SUMIFS('Alokasi Honor'!$M$2:$M993,'Alokasi Honor'!$T$2:$T993,A44),"")</f>
        <v>768000</v>
      </c>
      <c r="J44" s="10">
        <f ca="1">IFERROR(__xludf.DUMMYFUNCTION("COUNTIF(FILTER('Alokasi Honor'!$H$2:$H993,'Alokasi Honor'!$H$2:$H993=""OB"",'Alokasi Honor'!$T$2:$T993=A44),""OB"")"),0)</f>
        <v>0</v>
      </c>
      <c r="K44" s="10">
        <f t="shared" ca="1" si="1"/>
        <v>1</v>
      </c>
      <c r="L44" s="70">
        <f t="array" aca="1" ref="L44" ca="1">IF(N44=1,INDEX('Batasan Honor'!$B$2:$B993,MATCH(CONCATENATE($F44,"-",$G44),'Batasan Honor'!$G$2:$G993,0)),"")</f>
        <v>5400000</v>
      </c>
      <c r="M44" s="10">
        <f t="shared" ca="1" si="2"/>
        <v>1</v>
      </c>
      <c r="N44" s="10">
        <f t="shared" ca="1" si="3"/>
        <v>1</v>
      </c>
    </row>
    <row r="45" spans="1:14" ht="12.5">
      <c r="A45" s="10" t="str">
        <f ca="1">IFERROR(__xludf.DUMMYFUNCTION("""COMPUTED_VALUE"""),"610422100055-2024-2-SURVEI-PPL")</f>
        <v>610422100055-2024-2-SURVEI-PPL</v>
      </c>
      <c r="B45" s="5" t="str">
        <f t="shared" ca="1" si="0"/>
        <v>610422100055-2024-2</v>
      </c>
      <c r="C45" s="5">
        <f ca="1">IFERROR(__xludf.DUMMYFUNCTION("IF(N45=1,SPLIT(A45,""-""),"""")"),610422100055)</f>
        <v>610422100055</v>
      </c>
      <c r="D45" s="10">
        <f ca="1">IFERROR(__xludf.DUMMYFUNCTION("""COMPUTED_VALUE"""),2024)</f>
        <v>2024</v>
      </c>
      <c r="E45" s="10">
        <f ca="1">IFERROR(__xludf.DUMMYFUNCTION("""COMPUTED_VALUE"""),2)</f>
        <v>2</v>
      </c>
      <c r="F45" s="5" t="str">
        <f ca="1">IFERROR(__xludf.DUMMYFUNCTION("""COMPUTED_VALUE"""),"SURVEI")</f>
        <v>SURVEI</v>
      </c>
      <c r="G45" s="5" t="str">
        <f ca="1">IFERROR(__xludf.DUMMYFUNCTION("""COMPUTED_VALUE"""),"PPL")</f>
        <v>PPL</v>
      </c>
      <c r="H45" s="5" t="str">
        <f t="array" aca="1" ref="H45" ca="1">IF(N45=1, INDEX('Database Mitra'!$C$2:$C993,MATCH($C45,'Database Mitra'!$AK$2:$AK993,0)),"")</f>
        <v>Vika Rizkiani</v>
      </c>
      <c r="I45" s="71">
        <f ca="1">IF(N45=1,SUMIFS('Alokasi Honor'!$M$2:$M993,'Alokasi Honor'!$T$2:$T993,A45),"")</f>
        <v>768000</v>
      </c>
      <c r="J45" s="10">
        <f ca="1">IFERROR(__xludf.DUMMYFUNCTION("COUNTIF(FILTER('Alokasi Honor'!$H$2:$H993,'Alokasi Honor'!$H$2:$H993=""OB"",'Alokasi Honor'!$T$2:$T993=A45),""OB"")"),0)</f>
        <v>0</v>
      </c>
      <c r="K45" s="10">
        <f t="shared" ca="1" si="1"/>
        <v>1</v>
      </c>
      <c r="L45" s="70">
        <f t="array" aca="1" ref="L45" ca="1">IF(N45=1,INDEX('Batasan Honor'!$B$2:$B993,MATCH(CONCATENATE($F45,"-",$G45),'Batasan Honor'!$G$2:$G993,0)),"")</f>
        <v>5400000</v>
      </c>
      <c r="M45" s="10">
        <f t="shared" ca="1" si="2"/>
        <v>1</v>
      </c>
      <c r="N45" s="10">
        <f t="shared" ca="1" si="3"/>
        <v>1</v>
      </c>
    </row>
    <row r="46" spans="1:14" ht="12.5">
      <c r="A46" s="10" t="str">
        <f ca="1">IFERROR(__xludf.DUMMYFUNCTION("""COMPUTED_VALUE"""),"610422020008-2024-2-SURVEI-PPL")</f>
        <v>610422020008-2024-2-SURVEI-PPL</v>
      </c>
      <c r="B46" s="5" t="str">
        <f t="shared" ca="1" si="0"/>
        <v>610422020008-2024-2</v>
      </c>
      <c r="C46" s="5">
        <f ca="1">IFERROR(__xludf.DUMMYFUNCTION("IF(N46=1,SPLIT(A46,""-""),"""")"),610422020008)</f>
        <v>610422020008</v>
      </c>
      <c r="D46" s="10">
        <f ca="1">IFERROR(__xludf.DUMMYFUNCTION("""COMPUTED_VALUE"""),2024)</f>
        <v>2024</v>
      </c>
      <c r="E46" s="10">
        <f ca="1">IFERROR(__xludf.DUMMYFUNCTION("""COMPUTED_VALUE"""),2)</f>
        <v>2</v>
      </c>
      <c r="F46" s="5" t="str">
        <f ca="1">IFERROR(__xludf.DUMMYFUNCTION("""COMPUTED_VALUE"""),"SURVEI")</f>
        <v>SURVEI</v>
      </c>
      <c r="G46" s="5" t="str">
        <f ca="1">IFERROR(__xludf.DUMMYFUNCTION("""COMPUTED_VALUE"""),"PPL")</f>
        <v>PPL</v>
      </c>
      <c r="H46" s="5" t="str">
        <f t="array" aca="1" ref="H46" ca="1">IF(N46=1, INDEX('Database Mitra'!$C$2:$C993,MATCH($C46,'Database Mitra'!$AK$2:$AK993,0)),"")</f>
        <v>Ilfi Nur Diana</v>
      </c>
      <c r="I46" s="71">
        <f ca="1">IF(N46=1,SUMIFS('Alokasi Honor'!$M$2:$M993,'Alokasi Honor'!$T$2:$T993,A46),"")</f>
        <v>336000</v>
      </c>
      <c r="J46" s="10">
        <f ca="1">IFERROR(__xludf.DUMMYFUNCTION("COUNTIF(FILTER('Alokasi Honor'!$H$2:$H993,'Alokasi Honor'!$H$2:$H993=""OB"",'Alokasi Honor'!$T$2:$T993=A46),""OB"")"),0)</f>
        <v>0</v>
      </c>
      <c r="K46" s="10">
        <f t="shared" ca="1" si="1"/>
        <v>1</v>
      </c>
      <c r="L46" s="70">
        <f t="array" aca="1" ref="L46" ca="1">IF(N46=1,INDEX('Batasan Honor'!$B$2:$B993,MATCH(CONCATENATE($F46,"-",$G46),'Batasan Honor'!$G$2:$G993,0)),"")</f>
        <v>5400000</v>
      </c>
      <c r="M46" s="10">
        <f t="shared" ca="1" si="2"/>
        <v>1</v>
      </c>
      <c r="N46" s="10">
        <f t="shared" ca="1" si="3"/>
        <v>1</v>
      </c>
    </row>
    <row r="47" spans="1:14" ht="12.5">
      <c r="A47" s="10" t="str">
        <f ca="1">IFERROR(__xludf.DUMMYFUNCTION("""COMPUTED_VALUE"""),"610423040014-2024-2-SURVEI-PPL")</f>
        <v>610423040014-2024-2-SURVEI-PPL</v>
      </c>
      <c r="B47" s="5" t="str">
        <f t="shared" ca="1" si="0"/>
        <v>610423040014-2024-2</v>
      </c>
      <c r="C47" s="5">
        <f ca="1">IFERROR(__xludf.DUMMYFUNCTION("IF(N47=1,SPLIT(A47,""-""),"""")"),610423040014)</f>
        <v>610423040014</v>
      </c>
      <c r="D47" s="10">
        <f ca="1">IFERROR(__xludf.DUMMYFUNCTION("""COMPUTED_VALUE"""),2024)</f>
        <v>2024</v>
      </c>
      <c r="E47" s="10">
        <f ca="1">IFERROR(__xludf.DUMMYFUNCTION("""COMPUTED_VALUE"""),2)</f>
        <v>2</v>
      </c>
      <c r="F47" s="5" t="str">
        <f ca="1">IFERROR(__xludf.DUMMYFUNCTION("""COMPUTED_VALUE"""),"SURVEI")</f>
        <v>SURVEI</v>
      </c>
      <c r="G47" s="5" t="str">
        <f ca="1">IFERROR(__xludf.DUMMYFUNCTION("""COMPUTED_VALUE"""),"PPL")</f>
        <v>PPL</v>
      </c>
      <c r="H47" s="5" t="str">
        <f t="array" aca="1" ref="H47" ca="1">IF(N47=1, INDEX('Database Mitra'!$C$2:$C993,MATCH($C47,'Database Mitra'!$AK$2:$AK993,0)),"")</f>
        <v>Fransiska romana</v>
      </c>
      <c r="I47" s="71">
        <f ca="1">IF(N47=1,SUMIFS('Alokasi Honor'!$M$2:$M993,'Alokasi Honor'!$T$2:$T993,A47),"")</f>
        <v>336000</v>
      </c>
      <c r="J47" s="10">
        <f ca="1">IFERROR(__xludf.DUMMYFUNCTION("COUNTIF(FILTER('Alokasi Honor'!$H$2:$H993,'Alokasi Honor'!$H$2:$H993=""OB"",'Alokasi Honor'!$T$2:$T993=A47),""OB"")"),0)</f>
        <v>0</v>
      </c>
      <c r="K47" s="10">
        <f t="shared" ca="1" si="1"/>
        <v>1</v>
      </c>
      <c r="L47" s="70">
        <f t="array" aca="1" ref="L47" ca="1">IF(N47=1,INDEX('Batasan Honor'!$B$2:$B993,MATCH(CONCATENATE($F47,"-",$G47),'Batasan Honor'!$G$2:$G993,0)),"")</f>
        <v>5400000</v>
      </c>
      <c r="M47" s="10">
        <f t="shared" ca="1" si="2"/>
        <v>1</v>
      </c>
      <c r="N47" s="10">
        <f t="shared" ca="1" si="3"/>
        <v>1</v>
      </c>
    </row>
    <row r="48" spans="1:14" ht="12.5">
      <c r="A48" s="10" t="str">
        <f ca="1">IFERROR(__xludf.DUMMYFUNCTION("""COMPUTED_VALUE"""),"610423040022-2024-2-SURVEI-PPL")</f>
        <v>610423040022-2024-2-SURVEI-PPL</v>
      </c>
      <c r="B48" s="5" t="str">
        <f t="shared" ca="1" si="0"/>
        <v>610423040022-2024-2</v>
      </c>
      <c r="C48" s="5">
        <f ca="1">IFERROR(__xludf.DUMMYFUNCTION("IF(N48=1,SPLIT(A48,""-""),"""")"),610423040022)</f>
        <v>610423040022</v>
      </c>
      <c r="D48" s="10">
        <f ca="1">IFERROR(__xludf.DUMMYFUNCTION("""COMPUTED_VALUE"""),2024)</f>
        <v>2024</v>
      </c>
      <c r="E48" s="10">
        <f ca="1">IFERROR(__xludf.DUMMYFUNCTION("""COMPUTED_VALUE"""),2)</f>
        <v>2</v>
      </c>
      <c r="F48" s="5" t="str">
        <f ca="1">IFERROR(__xludf.DUMMYFUNCTION("""COMPUTED_VALUE"""),"SURVEI")</f>
        <v>SURVEI</v>
      </c>
      <c r="G48" s="5" t="str">
        <f ca="1">IFERROR(__xludf.DUMMYFUNCTION("""COMPUTED_VALUE"""),"PPL")</f>
        <v>PPL</v>
      </c>
      <c r="H48" s="5" t="str">
        <f t="array" aca="1" ref="H48" ca="1">IF(N48=1, INDEX('Database Mitra'!$C$2:$C993,MATCH($C48,'Database Mitra'!$AK$2:$AK993,0)),"")</f>
        <v>Alip Susanto</v>
      </c>
      <c r="I48" s="71">
        <f ca="1">IF(N48=1,SUMIFS('Alokasi Honor'!$M$2:$M993,'Alokasi Honor'!$T$2:$T993,A48),"")</f>
        <v>336000</v>
      </c>
      <c r="J48" s="10">
        <f ca="1">IFERROR(__xludf.DUMMYFUNCTION("COUNTIF(FILTER('Alokasi Honor'!$H$2:$H993,'Alokasi Honor'!$H$2:$H993=""OB"",'Alokasi Honor'!$T$2:$T993=A48),""OB"")"),0)</f>
        <v>0</v>
      </c>
      <c r="K48" s="10">
        <f t="shared" ca="1" si="1"/>
        <v>1</v>
      </c>
      <c r="L48" s="70">
        <f t="array" aca="1" ref="L48" ca="1">IF(N48=1,INDEX('Batasan Honor'!$B$2:$B993,MATCH(CONCATENATE($F48,"-",$G48),'Batasan Honor'!$G$2:$G993,0)),"")</f>
        <v>5400000</v>
      </c>
      <c r="M48" s="10">
        <f t="shared" ca="1" si="2"/>
        <v>1</v>
      </c>
      <c r="N48" s="10">
        <f t="shared" ca="1" si="3"/>
        <v>1</v>
      </c>
    </row>
    <row r="49" spans="1:14" ht="12.5">
      <c r="A49" s="10" t="str">
        <f ca="1">IFERROR(__xludf.DUMMYFUNCTION("""COMPUTED_VALUE"""),"610423030004-2024-2-SURVEI-PPL")</f>
        <v>610423030004-2024-2-SURVEI-PPL</v>
      </c>
      <c r="B49" s="5" t="str">
        <f t="shared" ca="1" si="0"/>
        <v>610423030004-2024-2</v>
      </c>
      <c r="C49" s="5">
        <f ca="1">IFERROR(__xludf.DUMMYFUNCTION("IF(N49=1,SPLIT(A49,""-""),"""")"),610423030004)</f>
        <v>610423030004</v>
      </c>
      <c r="D49" s="10">
        <f ca="1">IFERROR(__xludf.DUMMYFUNCTION("""COMPUTED_VALUE"""),2024)</f>
        <v>2024</v>
      </c>
      <c r="E49" s="10">
        <f ca="1">IFERROR(__xludf.DUMMYFUNCTION("""COMPUTED_VALUE"""),2)</f>
        <v>2</v>
      </c>
      <c r="F49" s="5" t="str">
        <f ca="1">IFERROR(__xludf.DUMMYFUNCTION("""COMPUTED_VALUE"""),"SURVEI")</f>
        <v>SURVEI</v>
      </c>
      <c r="G49" s="5" t="str">
        <f ca="1">IFERROR(__xludf.DUMMYFUNCTION("""COMPUTED_VALUE"""),"PPL")</f>
        <v>PPL</v>
      </c>
      <c r="H49" s="5" t="str">
        <f t="array" aca="1" ref="H49" ca="1">IF(N49=1, INDEX('Database Mitra'!$C$2:$C993,MATCH($C49,'Database Mitra'!$AK$2:$AK993,0)),"")</f>
        <v>Laras Nanda Julita</v>
      </c>
      <c r="I49" s="71">
        <f ca="1">IF(N49=1,SUMIFS('Alokasi Honor'!$M$2:$M993,'Alokasi Honor'!$T$2:$T993,A49),"")</f>
        <v>336000</v>
      </c>
      <c r="J49" s="10">
        <f ca="1">IFERROR(__xludf.DUMMYFUNCTION("COUNTIF(FILTER('Alokasi Honor'!$H$2:$H993,'Alokasi Honor'!$H$2:$H993=""OB"",'Alokasi Honor'!$T$2:$T993=A49),""OB"")"),0)</f>
        <v>0</v>
      </c>
      <c r="K49" s="10">
        <f t="shared" ca="1" si="1"/>
        <v>1</v>
      </c>
      <c r="L49" s="70">
        <f t="array" aca="1" ref="L49" ca="1">IF(N49=1,INDEX('Batasan Honor'!$B$2:$B993,MATCH(CONCATENATE($F49,"-",$G49),'Batasan Honor'!$G$2:$G993,0)),"")</f>
        <v>5400000</v>
      </c>
      <c r="M49" s="10">
        <f t="shared" ca="1" si="2"/>
        <v>1</v>
      </c>
      <c r="N49" s="10">
        <f t="shared" ca="1" si="3"/>
        <v>1</v>
      </c>
    </row>
    <row r="50" spans="1:14" ht="12.5">
      <c r="A50" s="10" t="str">
        <f ca="1">IFERROR(__xludf.DUMMYFUNCTION("""COMPUTED_VALUE"""),"610423040004-2024-2-SURVEI-PPL")</f>
        <v>610423040004-2024-2-SURVEI-PPL</v>
      </c>
      <c r="B50" s="5" t="str">
        <f t="shared" ca="1" si="0"/>
        <v>610423040004-2024-2</v>
      </c>
      <c r="C50" s="5">
        <f ca="1">IFERROR(__xludf.DUMMYFUNCTION("IF(N50=1,SPLIT(A50,""-""),"""")"),610423040004)</f>
        <v>610423040004</v>
      </c>
      <c r="D50" s="10">
        <f ca="1">IFERROR(__xludf.DUMMYFUNCTION("""COMPUTED_VALUE"""),2024)</f>
        <v>2024</v>
      </c>
      <c r="E50" s="10">
        <f ca="1">IFERROR(__xludf.DUMMYFUNCTION("""COMPUTED_VALUE"""),2)</f>
        <v>2</v>
      </c>
      <c r="F50" s="5" t="str">
        <f ca="1">IFERROR(__xludf.DUMMYFUNCTION("""COMPUTED_VALUE"""),"SURVEI")</f>
        <v>SURVEI</v>
      </c>
      <c r="G50" s="5" t="str">
        <f ca="1">IFERROR(__xludf.DUMMYFUNCTION("""COMPUTED_VALUE"""),"PPL")</f>
        <v>PPL</v>
      </c>
      <c r="H50" s="5" t="str">
        <f t="array" aca="1" ref="H50" ca="1">IF(N50=1, INDEX('Database Mitra'!$C$2:$C993,MATCH($C50,'Database Mitra'!$AK$2:$AK993,0)),"")</f>
        <v>Ayu Agustin</v>
      </c>
      <c r="I50" s="71">
        <f ca="1">IF(N50=1,SUMIFS('Alokasi Honor'!$M$2:$M993,'Alokasi Honor'!$T$2:$T993,A50),"")</f>
        <v>768000</v>
      </c>
      <c r="J50" s="10">
        <f ca="1">IFERROR(__xludf.DUMMYFUNCTION("COUNTIF(FILTER('Alokasi Honor'!$H$2:$H993,'Alokasi Honor'!$H$2:$H993=""OB"",'Alokasi Honor'!$T$2:$T993=A50),""OB"")"),0)</f>
        <v>0</v>
      </c>
      <c r="K50" s="10">
        <f t="shared" ca="1" si="1"/>
        <v>1</v>
      </c>
      <c r="L50" s="70">
        <f t="array" aca="1" ref="L50" ca="1">IF(N50=1,INDEX('Batasan Honor'!$B$2:$B993,MATCH(CONCATENATE($F50,"-",$G50),'Batasan Honor'!$G$2:$G993,0)),"")</f>
        <v>5400000</v>
      </c>
      <c r="M50" s="10">
        <f t="shared" ca="1" si="2"/>
        <v>1</v>
      </c>
      <c r="N50" s="10">
        <f t="shared" ca="1" si="3"/>
        <v>1</v>
      </c>
    </row>
    <row r="51" spans="1:14" ht="12.5">
      <c r="A51" s="10" t="str">
        <f ca="1">IFERROR(__xludf.DUMMYFUNCTION("""COMPUTED_VALUE"""),"610423040006-2024-2-SURVEI-PPL")</f>
        <v>610423040006-2024-2-SURVEI-PPL</v>
      </c>
      <c r="B51" s="5" t="str">
        <f t="shared" ca="1" si="0"/>
        <v>610423040006-2024-2</v>
      </c>
      <c r="C51" s="5">
        <f ca="1">IFERROR(__xludf.DUMMYFUNCTION("IF(N51=1,SPLIT(A51,""-""),"""")"),610423040006)</f>
        <v>610423040006</v>
      </c>
      <c r="D51" s="10">
        <f ca="1">IFERROR(__xludf.DUMMYFUNCTION("""COMPUTED_VALUE"""),2024)</f>
        <v>2024</v>
      </c>
      <c r="E51" s="10">
        <f ca="1">IFERROR(__xludf.DUMMYFUNCTION("""COMPUTED_VALUE"""),2)</f>
        <v>2</v>
      </c>
      <c r="F51" s="5" t="str">
        <f ca="1">IFERROR(__xludf.DUMMYFUNCTION("""COMPUTED_VALUE"""),"SURVEI")</f>
        <v>SURVEI</v>
      </c>
      <c r="G51" s="5" t="str">
        <f ca="1">IFERROR(__xludf.DUMMYFUNCTION("""COMPUTED_VALUE"""),"PPL")</f>
        <v>PPL</v>
      </c>
      <c r="H51" s="5" t="str">
        <f t="array" aca="1" ref="H51" ca="1">IF(N51=1, INDEX('Database Mitra'!$C$2:$C993,MATCH($C51,'Database Mitra'!$AK$2:$AK993,0)),"")</f>
        <v>MITASYA FITRI NAINGGOLAN</v>
      </c>
      <c r="I51" s="71">
        <f ca="1">IF(N51=1,SUMIFS('Alokasi Honor'!$M$2:$M993,'Alokasi Honor'!$T$2:$T993,A51),"")</f>
        <v>336000</v>
      </c>
      <c r="J51" s="10">
        <f ca="1">IFERROR(__xludf.DUMMYFUNCTION("COUNTIF(FILTER('Alokasi Honor'!$H$2:$H993,'Alokasi Honor'!$H$2:$H993=""OB"",'Alokasi Honor'!$T$2:$T993=A51),""OB"")"),0)</f>
        <v>0</v>
      </c>
      <c r="K51" s="10">
        <f t="shared" ca="1" si="1"/>
        <v>1</v>
      </c>
      <c r="L51" s="70">
        <f t="array" aca="1" ref="L51" ca="1">IF(N51=1,INDEX('Batasan Honor'!$B$2:$B993,MATCH(CONCATENATE($F51,"-",$G51),'Batasan Honor'!$G$2:$G993,0)),"")</f>
        <v>5400000</v>
      </c>
      <c r="M51" s="10">
        <f t="shared" ca="1" si="2"/>
        <v>1</v>
      </c>
      <c r="N51" s="10">
        <f t="shared" ca="1" si="3"/>
        <v>1</v>
      </c>
    </row>
    <row r="52" spans="1:14" ht="12.5">
      <c r="A52" s="10" t="str">
        <f ca="1">IFERROR(__xludf.DUMMYFUNCTION("""COMPUTED_VALUE"""),"610423040013-2024-2-SURVEI-PPL")</f>
        <v>610423040013-2024-2-SURVEI-PPL</v>
      </c>
      <c r="B52" s="5" t="str">
        <f t="shared" ca="1" si="0"/>
        <v>610423040013-2024-2</v>
      </c>
      <c r="C52" s="5">
        <f ca="1">IFERROR(__xludf.DUMMYFUNCTION("IF(N52=1,SPLIT(A52,""-""),"""")"),610423040013)</f>
        <v>610423040013</v>
      </c>
      <c r="D52" s="10">
        <f ca="1">IFERROR(__xludf.DUMMYFUNCTION("""COMPUTED_VALUE"""),2024)</f>
        <v>2024</v>
      </c>
      <c r="E52" s="10">
        <f ca="1">IFERROR(__xludf.DUMMYFUNCTION("""COMPUTED_VALUE"""),2)</f>
        <v>2</v>
      </c>
      <c r="F52" s="5" t="str">
        <f ca="1">IFERROR(__xludf.DUMMYFUNCTION("""COMPUTED_VALUE"""),"SURVEI")</f>
        <v>SURVEI</v>
      </c>
      <c r="G52" s="5" t="str">
        <f ca="1">IFERROR(__xludf.DUMMYFUNCTION("""COMPUTED_VALUE"""),"PPL")</f>
        <v>PPL</v>
      </c>
      <c r="H52" s="5" t="str">
        <f t="array" aca="1" ref="H52" ca="1">IF(N52=1, INDEX('Database Mitra'!$C$2:$C993,MATCH($C52,'Database Mitra'!$AK$2:$AK993,0)),"")</f>
        <v>Lulu Gesti Gunawati</v>
      </c>
      <c r="I52" s="71">
        <f ca="1">IF(N52=1,SUMIFS('Alokasi Honor'!$M$2:$M993,'Alokasi Honor'!$T$2:$T993,A52),"")</f>
        <v>768000</v>
      </c>
      <c r="J52" s="10">
        <f ca="1">IFERROR(__xludf.DUMMYFUNCTION("COUNTIF(FILTER('Alokasi Honor'!$H$2:$H993,'Alokasi Honor'!$H$2:$H993=""OB"",'Alokasi Honor'!$T$2:$T993=A52),""OB"")"),0)</f>
        <v>0</v>
      </c>
      <c r="K52" s="10">
        <f t="shared" ca="1" si="1"/>
        <v>1</v>
      </c>
      <c r="L52" s="70">
        <f t="array" aca="1" ref="L52" ca="1">IF(N52=1,INDEX('Batasan Honor'!$B$2:$B993,MATCH(CONCATENATE($F52,"-",$G52),'Batasan Honor'!$G$2:$G993,0)),"")</f>
        <v>5400000</v>
      </c>
      <c r="M52" s="10">
        <f t="shared" ca="1" si="2"/>
        <v>1</v>
      </c>
      <c r="N52" s="10">
        <f t="shared" ca="1" si="3"/>
        <v>1</v>
      </c>
    </row>
    <row r="53" spans="1:14" ht="12.5">
      <c r="A53" s="10" t="str">
        <f ca="1">IFERROR(__xludf.DUMMYFUNCTION("""COMPUTED_VALUE"""),"610423090019-2024-2-SURVEI-PPL")</f>
        <v>610423090019-2024-2-SURVEI-PPL</v>
      </c>
      <c r="B53" s="5" t="str">
        <f t="shared" ca="1" si="0"/>
        <v>610423090019-2024-2</v>
      </c>
      <c r="C53" s="5">
        <f ca="1">IFERROR(__xludf.DUMMYFUNCTION("IF(N53=1,SPLIT(A53,""-""),"""")"),610423090019)</f>
        <v>610423090019</v>
      </c>
      <c r="D53" s="10">
        <f ca="1">IFERROR(__xludf.DUMMYFUNCTION("""COMPUTED_VALUE"""),2024)</f>
        <v>2024</v>
      </c>
      <c r="E53" s="10">
        <f ca="1">IFERROR(__xludf.DUMMYFUNCTION("""COMPUTED_VALUE"""),2)</f>
        <v>2</v>
      </c>
      <c r="F53" s="5" t="str">
        <f ca="1">IFERROR(__xludf.DUMMYFUNCTION("""COMPUTED_VALUE"""),"SURVEI")</f>
        <v>SURVEI</v>
      </c>
      <c r="G53" s="5" t="str">
        <f ca="1">IFERROR(__xludf.DUMMYFUNCTION("""COMPUTED_VALUE"""),"PPL")</f>
        <v>PPL</v>
      </c>
      <c r="H53" s="5" t="str">
        <f t="array" aca="1" ref="H53" ca="1">IF(N53=1, INDEX('Database Mitra'!$C$2:$C993,MATCH($C53,'Database Mitra'!$AK$2:$AK993,0)),"")</f>
        <v>Nurul Huda</v>
      </c>
      <c r="I53" s="71">
        <f ca="1">IF(N53=1,SUMIFS('Alokasi Honor'!$M$2:$M993,'Alokasi Honor'!$T$2:$T993,A53),"")</f>
        <v>336000</v>
      </c>
      <c r="J53" s="10">
        <f ca="1">IFERROR(__xludf.DUMMYFUNCTION("COUNTIF(FILTER('Alokasi Honor'!$H$2:$H993,'Alokasi Honor'!$H$2:$H993=""OB"",'Alokasi Honor'!$T$2:$T993=A53),""OB"")"),0)</f>
        <v>0</v>
      </c>
      <c r="K53" s="10">
        <f t="shared" ca="1" si="1"/>
        <v>1</v>
      </c>
      <c r="L53" s="70">
        <f t="array" aca="1" ref="L53" ca="1">IF(N53=1,INDEX('Batasan Honor'!$B$2:$B993,MATCH(CONCATENATE($F53,"-",$G53),'Batasan Honor'!$G$2:$G993,0)),"")</f>
        <v>5400000</v>
      </c>
      <c r="M53" s="10">
        <f t="shared" ca="1" si="2"/>
        <v>1</v>
      </c>
      <c r="N53" s="10">
        <f t="shared" ca="1" si="3"/>
        <v>1</v>
      </c>
    </row>
    <row r="54" spans="1:14" ht="12.5">
      <c r="A54" s="10" t="str">
        <f ca="1">IFERROR(__xludf.DUMMYFUNCTION("""COMPUTED_VALUE"""),"610422100165-2024-2-SURVEI-PPL")</f>
        <v>610422100165-2024-2-SURVEI-PPL</v>
      </c>
      <c r="B54" s="5" t="str">
        <f t="shared" ca="1" si="0"/>
        <v>610422100165-2024-2</v>
      </c>
      <c r="C54" s="5">
        <f ca="1">IFERROR(__xludf.DUMMYFUNCTION("IF(N54=1,SPLIT(A54,""-""),"""")"),610422100165)</f>
        <v>610422100165</v>
      </c>
      <c r="D54" s="10">
        <f ca="1">IFERROR(__xludf.DUMMYFUNCTION("""COMPUTED_VALUE"""),2024)</f>
        <v>2024</v>
      </c>
      <c r="E54" s="10">
        <f ca="1">IFERROR(__xludf.DUMMYFUNCTION("""COMPUTED_VALUE"""),2)</f>
        <v>2</v>
      </c>
      <c r="F54" s="5" t="str">
        <f ca="1">IFERROR(__xludf.DUMMYFUNCTION("""COMPUTED_VALUE"""),"SURVEI")</f>
        <v>SURVEI</v>
      </c>
      <c r="G54" s="5" t="str">
        <f ca="1">IFERROR(__xludf.DUMMYFUNCTION("""COMPUTED_VALUE"""),"PPL")</f>
        <v>PPL</v>
      </c>
      <c r="H54" s="5" t="str">
        <f t="array" aca="1" ref="H54" ca="1">IF(N54=1, INDEX('Database Mitra'!$C$2:$C993,MATCH($C54,'Database Mitra'!$AK$2:$AK993,0)),"")</f>
        <v>Yanti</v>
      </c>
      <c r="I54" s="71">
        <f ca="1">IF(N54=1,SUMIFS('Alokasi Honor'!$M$2:$M993,'Alokasi Honor'!$T$2:$T993,A54),"")</f>
        <v>661000</v>
      </c>
      <c r="J54" s="10">
        <f ca="1">IFERROR(__xludf.DUMMYFUNCTION("COUNTIF(FILTER('Alokasi Honor'!$H$2:$H993,'Alokasi Honor'!$H$2:$H993=""OB"",'Alokasi Honor'!$T$2:$T993=A54),""OB"")"),0)</f>
        <v>0</v>
      </c>
      <c r="K54" s="10">
        <f t="shared" ca="1" si="1"/>
        <v>1</v>
      </c>
      <c r="L54" s="70">
        <f t="array" aca="1" ref="L54" ca="1">IF(N54=1,INDEX('Batasan Honor'!$B$2:$B993,MATCH(CONCATENATE($F54,"-",$G54),'Batasan Honor'!$G$2:$G993,0)),"")</f>
        <v>5400000</v>
      </c>
      <c r="M54" s="10">
        <f t="shared" ca="1" si="2"/>
        <v>1</v>
      </c>
      <c r="N54" s="10">
        <f t="shared" ca="1" si="3"/>
        <v>1</v>
      </c>
    </row>
    <row r="55" spans="1:14" ht="12.5">
      <c r="A55" s="10" t="str">
        <f ca="1">IFERROR(__xludf.DUMMYFUNCTION("""COMPUTED_VALUE"""),"610422100139-2024-2-SURVEI-PPL")</f>
        <v>610422100139-2024-2-SURVEI-PPL</v>
      </c>
      <c r="B55" s="5" t="str">
        <f t="shared" ca="1" si="0"/>
        <v>610422100139-2024-2</v>
      </c>
      <c r="C55" s="5">
        <f ca="1">IFERROR(__xludf.DUMMYFUNCTION("IF(N55=1,SPLIT(A55,""-""),"""")"),610422100139)</f>
        <v>610422100139</v>
      </c>
      <c r="D55" s="10">
        <f ca="1">IFERROR(__xludf.DUMMYFUNCTION("""COMPUTED_VALUE"""),2024)</f>
        <v>2024</v>
      </c>
      <c r="E55" s="10">
        <f ca="1">IFERROR(__xludf.DUMMYFUNCTION("""COMPUTED_VALUE"""),2)</f>
        <v>2</v>
      </c>
      <c r="F55" s="5" t="str">
        <f ca="1">IFERROR(__xludf.DUMMYFUNCTION("""COMPUTED_VALUE"""),"SURVEI")</f>
        <v>SURVEI</v>
      </c>
      <c r="G55" s="5" t="str">
        <f ca="1">IFERROR(__xludf.DUMMYFUNCTION("""COMPUTED_VALUE"""),"PPL")</f>
        <v>PPL</v>
      </c>
      <c r="H55" s="5" t="str">
        <f t="array" aca="1" ref="H55" ca="1">IF(N55=1, INDEX('Database Mitra'!$C$2:$C993,MATCH($C55,'Database Mitra'!$AK$2:$AK993,0)),"")</f>
        <v>Winda Dwi Ananda</v>
      </c>
      <c r="I55" s="71">
        <f ca="1">IF(N55=1,SUMIFS('Alokasi Honor'!$M$2:$M993,'Alokasi Honor'!$T$2:$T993,A55),"")</f>
        <v>768000</v>
      </c>
      <c r="J55" s="10">
        <f ca="1">IFERROR(__xludf.DUMMYFUNCTION("COUNTIF(FILTER('Alokasi Honor'!$H$2:$H993,'Alokasi Honor'!$H$2:$H993=""OB"",'Alokasi Honor'!$T$2:$T993=A55),""OB"")"),0)</f>
        <v>0</v>
      </c>
      <c r="K55" s="10">
        <f t="shared" ca="1" si="1"/>
        <v>1</v>
      </c>
      <c r="L55" s="70">
        <f t="array" aca="1" ref="L55" ca="1">IF(N55=1,INDEX('Batasan Honor'!$B$2:$B993,MATCH(CONCATENATE($F55,"-",$G55),'Batasan Honor'!$G$2:$G993,0)),"")</f>
        <v>5400000</v>
      </c>
      <c r="M55" s="10">
        <f t="shared" ca="1" si="2"/>
        <v>1</v>
      </c>
      <c r="N55" s="10">
        <f t="shared" ca="1" si="3"/>
        <v>1</v>
      </c>
    </row>
    <row r="56" spans="1:14" ht="12.5">
      <c r="A56" s="10" t="str">
        <f ca="1">IFERROR(__xludf.DUMMYFUNCTION("""COMPUTED_VALUE"""),"610422100137-2024-2-SURVEI-PPL")</f>
        <v>610422100137-2024-2-SURVEI-PPL</v>
      </c>
      <c r="B56" s="5" t="str">
        <f t="shared" ca="1" si="0"/>
        <v>610422100137-2024-2</v>
      </c>
      <c r="C56" s="5">
        <f ca="1">IFERROR(__xludf.DUMMYFUNCTION("IF(N56=1,SPLIT(A56,""-""),"""")"),610422100137)</f>
        <v>610422100137</v>
      </c>
      <c r="D56" s="10">
        <f ca="1">IFERROR(__xludf.DUMMYFUNCTION("""COMPUTED_VALUE"""),2024)</f>
        <v>2024</v>
      </c>
      <c r="E56" s="10">
        <f ca="1">IFERROR(__xludf.DUMMYFUNCTION("""COMPUTED_VALUE"""),2)</f>
        <v>2</v>
      </c>
      <c r="F56" s="5" t="str">
        <f ca="1">IFERROR(__xludf.DUMMYFUNCTION("""COMPUTED_VALUE"""),"SURVEI")</f>
        <v>SURVEI</v>
      </c>
      <c r="G56" s="5" t="str">
        <f ca="1">IFERROR(__xludf.DUMMYFUNCTION("""COMPUTED_VALUE"""),"PPL")</f>
        <v>PPL</v>
      </c>
      <c r="H56" s="5" t="str">
        <f t="array" aca="1" ref="H56" ca="1">IF(N56=1, INDEX('Database Mitra'!$C$2:$C993,MATCH($C56,'Database Mitra'!$AK$2:$AK993,0)),"")</f>
        <v>MASTURI</v>
      </c>
      <c r="I56" s="71">
        <f ca="1">IF(N56=1,SUMIFS('Alokasi Honor'!$M$2:$M993,'Alokasi Honor'!$T$2:$T993,A56),"")</f>
        <v>768000</v>
      </c>
      <c r="J56" s="10">
        <f ca="1">IFERROR(__xludf.DUMMYFUNCTION("COUNTIF(FILTER('Alokasi Honor'!$H$2:$H993,'Alokasi Honor'!$H$2:$H993=""OB"",'Alokasi Honor'!$T$2:$T993=A56),""OB"")"),0)</f>
        <v>0</v>
      </c>
      <c r="K56" s="10">
        <f t="shared" ca="1" si="1"/>
        <v>1</v>
      </c>
      <c r="L56" s="70">
        <f t="array" aca="1" ref="L56" ca="1">IF(N56=1,INDEX('Batasan Honor'!$B$2:$B993,MATCH(CONCATENATE($F56,"-",$G56),'Batasan Honor'!$G$2:$G993,0)),"")</f>
        <v>5400000</v>
      </c>
      <c r="M56" s="10">
        <f t="shared" ca="1" si="2"/>
        <v>1</v>
      </c>
      <c r="N56" s="10">
        <f t="shared" ca="1" si="3"/>
        <v>1</v>
      </c>
    </row>
    <row r="57" spans="1:14" ht="12.5">
      <c r="A57" s="10" t="str">
        <f ca="1">IFERROR(__xludf.DUMMYFUNCTION("""COMPUTED_VALUE"""),"610422100144-2024-2-SURVEI-PPL")</f>
        <v>610422100144-2024-2-SURVEI-PPL</v>
      </c>
      <c r="B57" s="5" t="str">
        <f t="shared" ca="1" si="0"/>
        <v>610422100144-2024-2</v>
      </c>
      <c r="C57" s="5">
        <f ca="1">IFERROR(__xludf.DUMMYFUNCTION("IF(N57=1,SPLIT(A57,""-""),"""")"),610422100144)</f>
        <v>610422100144</v>
      </c>
      <c r="D57" s="10">
        <f ca="1">IFERROR(__xludf.DUMMYFUNCTION("""COMPUTED_VALUE"""),2024)</f>
        <v>2024</v>
      </c>
      <c r="E57" s="10">
        <f ca="1">IFERROR(__xludf.DUMMYFUNCTION("""COMPUTED_VALUE"""),2)</f>
        <v>2</v>
      </c>
      <c r="F57" s="5" t="str">
        <f ca="1">IFERROR(__xludf.DUMMYFUNCTION("""COMPUTED_VALUE"""),"SURVEI")</f>
        <v>SURVEI</v>
      </c>
      <c r="G57" s="5" t="str">
        <f ca="1">IFERROR(__xludf.DUMMYFUNCTION("""COMPUTED_VALUE"""),"PPL")</f>
        <v>PPL</v>
      </c>
      <c r="H57" s="5" t="str">
        <f t="array" aca="1" ref="H57" ca="1">IF(N57=1, INDEX('Database Mitra'!$C$2:$C993,MATCH($C57,'Database Mitra'!$AK$2:$AK993,0)),"")</f>
        <v>Irfan faozi sunaryo</v>
      </c>
      <c r="I57" s="71">
        <f ca="1">IF(N57=1,SUMIFS('Alokasi Honor'!$M$2:$M993,'Alokasi Honor'!$T$2:$T993,A57),"")</f>
        <v>768000</v>
      </c>
      <c r="J57" s="10">
        <f ca="1">IFERROR(__xludf.DUMMYFUNCTION("COUNTIF(FILTER('Alokasi Honor'!$H$2:$H993,'Alokasi Honor'!$H$2:$H993=""OB"",'Alokasi Honor'!$T$2:$T993=A57),""OB"")"),0)</f>
        <v>0</v>
      </c>
      <c r="K57" s="10">
        <f t="shared" ca="1" si="1"/>
        <v>1</v>
      </c>
      <c r="L57" s="70">
        <f t="array" aca="1" ref="L57" ca="1">IF(N57=1,INDEX('Batasan Honor'!$B$2:$B993,MATCH(CONCATENATE($F57,"-",$G57),'Batasan Honor'!$G$2:$G993,0)),"")</f>
        <v>5400000</v>
      </c>
      <c r="M57" s="10">
        <f t="shared" ca="1" si="2"/>
        <v>1</v>
      </c>
      <c r="N57" s="10">
        <f t="shared" ca="1" si="3"/>
        <v>1</v>
      </c>
    </row>
    <row r="58" spans="1:14" ht="12.5">
      <c r="A58" s="10" t="str">
        <f ca="1">IFERROR(__xludf.DUMMYFUNCTION("""COMPUTED_VALUE"""),"610422100236-2024-2-SURVEI-PPL")</f>
        <v>610422100236-2024-2-SURVEI-PPL</v>
      </c>
      <c r="B58" s="5" t="str">
        <f t="shared" ca="1" si="0"/>
        <v>610422100236-2024-2</v>
      </c>
      <c r="C58" s="5">
        <f ca="1">IFERROR(__xludf.DUMMYFUNCTION("IF(N58=1,SPLIT(A58,""-""),"""")"),610422100236)</f>
        <v>610422100236</v>
      </c>
      <c r="D58" s="10">
        <f ca="1">IFERROR(__xludf.DUMMYFUNCTION("""COMPUTED_VALUE"""),2024)</f>
        <v>2024</v>
      </c>
      <c r="E58" s="10">
        <f ca="1">IFERROR(__xludf.DUMMYFUNCTION("""COMPUTED_VALUE"""),2)</f>
        <v>2</v>
      </c>
      <c r="F58" s="5" t="str">
        <f ca="1">IFERROR(__xludf.DUMMYFUNCTION("""COMPUTED_VALUE"""),"SURVEI")</f>
        <v>SURVEI</v>
      </c>
      <c r="G58" s="5" t="str">
        <f ca="1">IFERROR(__xludf.DUMMYFUNCTION("""COMPUTED_VALUE"""),"PPL")</f>
        <v>PPL</v>
      </c>
      <c r="H58" s="5" t="str">
        <f t="array" aca="1" ref="H58" ca="1">IF(N58=1, INDEX('Database Mitra'!$C$2:$C993,MATCH($C58,'Database Mitra'!$AK$2:$AK993,0)),"")</f>
        <v>Tesa</v>
      </c>
      <c r="I58" s="71">
        <f ca="1">IF(N58=1,SUMIFS('Alokasi Honor'!$M$2:$M993,'Alokasi Honor'!$T$2:$T993,A58),"")</f>
        <v>336000</v>
      </c>
      <c r="J58" s="10">
        <f ca="1">IFERROR(__xludf.DUMMYFUNCTION("COUNTIF(FILTER('Alokasi Honor'!$H$2:$H993,'Alokasi Honor'!$H$2:$H993=""OB"",'Alokasi Honor'!$T$2:$T993=A58),""OB"")"),0)</f>
        <v>0</v>
      </c>
      <c r="K58" s="10">
        <f t="shared" ca="1" si="1"/>
        <v>1</v>
      </c>
      <c r="L58" s="70">
        <f t="array" aca="1" ref="L58" ca="1">IF(N58=1,INDEX('Batasan Honor'!$B$2:$B993,MATCH(CONCATENATE($F58,"-",$G58),'Batasan Honor'!$G$2:$G993,0)),"")</f>
        <v>5400000</v>
      </c>
      <c r="M58" s="10">
        <f t="shared" ca="1" si="2"/>
        <v>1</v>
      </c>
      <c r="N58" s="10">
        <f t="shared" ca="1" si="3"/>
        <v>1</v>
      </c>
    </row>
    <row r="59" spans="1:14" ht="12.5">
      <c r="A59" s="10" t="str">
        <f ca="1">IFERROR(__xludf.DUMMYFUNCTION("""COMPUTED_VALUE"""),"610422100016-2024-2-SURVEI-PPL")</f>
        <v>610422100016-2024-2-SURVEI-PPL</v>
      </c>
      <c r="B59" s="5" t="str">
        <f t="shared" ca="1" si="0"/>
        <v>610422100016-2024-2</v>
      </c>
      <c r="C59" s="5">
        <f ca="1">IFERROR(__xludf.DUMMYFUNCTION("IF(N59=1,SPLIT(A59,""-""),"""")"),610422100016)</f>
        <v>610422100016</v>
      </c>
      <c r="D59" s="10">
        <f ca="1">IFERROR(__xludf.DUMMYFUNCTION("""COMPUTED_VALUE"""),2024)</f>
        <v>2024</v>
      </c>
      <c r="E59" s="10">
        <f ca="1">IFERROR(__xludf.DUMMYFUNCTION("""COMPUTED_VALUE"""),2)</f>
        <v>2</v>
      </c>
      <c r="F59" s="5" t="str">
        <f ca="1">IFERROR(__xludf.DUMMYFUNCTION("""COMPUTED_VALUE"""),"SURVEI")</f>
        <v>SURVEI</v>
      </c>
      <c r="G59" s="5" t="str">
        <f ca="1">IFERROR(__xludf.DUMMYFUNCTION("""COMPUTED_VALUE"""),"PPL")</f>
        <v>PPL</v>
      </c>
      <c r="H59" s="5" t="str">
        <f t="array" aca="1" ref="H59" ca="1">IF(N59=1, INDEX('Database Mitra'!$C$2:$C993,MATCH($C59,'Database Mitra'!$AK$2:$AK993,0)),"")</f>
        <v>Amalia Faisya</v>
      </c>
      <c r="I59" s="71">
        <f ca="1">IF(N59=1,SUMIFS('Alokasi Honor'!$M$2:$M993,'Alokasi Honor'!$T$2:$T993,A59),"")</f>
        <v>586000</v>
      </c>
      <c r="J59" s="10">
        <f ca="1">IFERROR(__xludf.DUMMYFUNCTION("COUNTIF(FILTER('Alokasi Honor'!$H$2:$H993,'Alokasi Honor'!$H$2:$H993=""OB"",'Alokasi Honor'!$T$2:$T993=A59),""OB"")"),0)</f>
        <v>0</v>
      </c>
      <c r="K59" s="10">
        <f t="shared" ca="1" si="1"/>
        <v>1</v>
      </c>
      <c r="L59" s="70">
        <f t="array" aca="1" ref="L59" ca="1">IF(N59=1,INDEX('Batasan Honor'!$B$2:$B993,MATCH(CONCATENATE($F59,"-",$G59),'Batasan Honor'!$G$2:$G993,0)),"")</f>
        <v>5400000</v>
      </c>
      <c r="M59" s="10">
        <f t="shared" ca="1" si="2"/>
        <v>1</v>
      </c>
      <c r="N59" s="10">
        <f t="shared" ca="1" si="3"/>
        <v>1</v>
      </c>
    </row>
    <row r="60" spans="1:14" ht="12.5">
      <c r="A60" s="10" t="str">
        <f ca="1">IFERROR(__xludf.DUMMYFUNCTION("""COMPUTED_VALUE"""),"610422100101-2024-2-SURVEI-PPL")</f>
        <v>610422100101-2024-2-SURVEI-PPL</v>
      </c>
      <c r="B60" s="5" t="str">
        <f t="shared" ca="1" si="0"/>
        <v>610422100101-2024-2</v>
      </c>
      <c r="C60" s="5">
        <f ca="1">IFERROR(__xludf.DUMMYFUNCTION("IF(N60=1,SPLIT(A60,""-""),"""")"),610422100101)</f>
        <v>610422100101</v>
      </c>
      <c r="D60" s="10">
        <f ca="1">IFERROR(__xludf.DUMMYFUNCTION("""COMPUTED_VALUE"""),2024)</f>
        <v>2024</v>
      </c>
      <c r="E60" s="10">
        <f ca="1">IFERROR(__xludf.DUMMYFUNCTION("""COMPUTED_VALUE"""),2)</f>
        <v>2</v>
      </c>
      <c r="F60" s="5" t="str">
        <f ca="1">IFERROR(__xludf.DUMMYFUNCTION("""COMPUTED_VALUE"""),"SURVEI")</f>
        <v>SURVEI</v>
      </c>
      <c r="G60" s="5" t="str">
        <f ca="1">IFERROR(__xludf.DUMMYFUNCTION("""COMPUTED_VALUE"""),"PPL")</f>
        <v>PPL</v>
      </c>
      <c r="H60" s="5" t="str">
        <f t="array" aca="1" ref="H60" ca="1">IF(N60=1, INDEX('Database Mitra'!$C$2:$C993,MATCH($C60,'Database Mitra'!$AK$2:$AK993,0)),"")</f>
        <v>SUKMAWATI,S.SI</v>
      </c>
      <c r="I60" s="71">
        <f ca="1">IF(N60=1,SUMIFS('Alokasi Honor'!$M$2:$M993,'Alokasi Honor'!$T$2:$T993,A60),"")</f>
        <v>336000</v>
      </c>
      <c r="J60" s="10">
        <f ca="1">IFERROR(__xludf.DUMMYFUNCTION("COUNTIF(FILTER('Alokasi Honor'!$H$2:$H993,'Alokasi Honor'!$H$2:$H993=""OB"",'Alokasi Honor'!$T$2:$T993=A60),""OB"")"),0)</f>
        <v>0</v>
      </c>
      <c r="K60" s="10">
        <f t="shared" ca="1" si="1"/>
        <v>1</v>
      </c>
      <c r="L60" s="70">
        <f t="array" aca="1" ref="L60" ca="1">IF(N60=1,INDEX('Batasan Honor'!$B$2:$B993,MATCH(CONCATENATE($F60,"-",$G60),'Batasan Honor'!$G$2:$G993,0)),"")</f>
        <v>5400000</v>
      </c>
      <c r="M60" s="10">
        <f t="shared" ca="1" si="2"/>
        <v>1</v>
      </c>
      <c r="N60" s="10">
        <f t="shared" ca="1" si="3"/>
        <v>1</v>
      </c>
    </row>
    <row r="61" spans="1:14" ht="12.5">
      <c r="A61" s="10" t="str">
        <f ca="1">IFERROR(__xludf.DUMMYFUNCTION("""COMPUTED_VALUE"""),"610422100147-2024-2-SURVEI-PPL")</f>
        <v>610422100147-2024-2-SURVEI-PPL</v>
      </c>
      <c r="B61" s="5" t="str">
        <f t="shared" ca="1" si="0"/>
        <v>610422100147-2024-2</v>
      </c>
      <c r="C61" s="5">
        <f ca="1">IFERROR(__xludf.DUMMYFUNCTION("IF(N61=1,SPLIT(A61,""-""),"""")"),610422100147)</f>
        <v>610422100147</v>
      </c>
      <c r="D61" s="10">
        <f ca="1">IFERROR(__xludf.DUMMYFUNCTION("""COMPUTED_VALUE"""),2024)</f>
        <v>2024</v>
      </c>
      <c r="E61" s="10">
        <f ca="1">IFERROR(__xludf.DUMMYFUNCTION("""COMPUTED_VALUE"""),2)</f>
        <v>2</v>
      </c>
      <c r="F61" s="5" t="str">
        <f ca="1">IFERROR(__xludf.DUMMYFUNCTION("""COMPUTED_VALUE"""),"SURVEI")</f>
        <v>SURVEI</v>
      </c>
      <c r="G61" s="5" t="str">
        <f ca="1">IFERROR(__xludf.DUMMYFUNCTION("""COMPUTED_VALUE"""),"PPL")</f>
        <v>PPL</v>
      </c>
      <c r="H61" s="5" t="str">
        <f t="array" aca="1" ref="H61" ca="1">IF(N61=1, INDEX('Database Mitra'!$C$2:$C993,MATCH($C61,'Database Mitra'!$AK$2:$AK993,0)),"")</f>
        <v>Bella</v>
      </c>
      <c r="I61" s="71">
        <f ca="1">IF(N61=1,SUMIFS('Alokasi Honor'!$M$2:$M993,'Alokasi Honor'!$T$2:$T993,A61),"")</f>
        <v>336000</v>
      </c>
      <c r="J61" s="10">
        <f ca="1">IFERROR(__xludf.DUMMYFUNCTION("COUNTIF(FILTER('Alokasi Honor'!$H$2:$H993,'Alokasi Honor'!$H$2:$H993=""OB"",'Alokasi Honor'!$T$2:$T993=A61),""OB"")"),0)</f>
        <v>0</v>
      </c>
      <c r="K61" s="10">
        <f t="shared" ca="1" si="1"/>
        <v>1</v>
      </c>
      <c r="L61" s="70">
        <f t="array" aca="1" ref="L61" ca="1">IF(N61=1,INDEX('Batasan Honor'!$B$2:$B993,MATCH(CONCATENATE($F61,"-",$G61),'Batasan Honor'!$G$2:$G993,0)),"")</f>
        <v>5400000</v>
      </c>
      <c r="M61" s="10">
        <f t="shared" ca="1" si="2"/>
        <v>1</v>
      </c>
      <c r="N61" s="10">
        <f t="shared" ca="1" si="3"/>
        <v>1</v>
      </c>
    </row>
    <row r="62" spans="1:14" ht="12.5">
      <c r="A62" s="10" t="str">
        <f ca="1">IFERROR(__xludf.DUMMYFUNCTION("""COMPUTED_VALUE"""),"610422050008-2024-2-SURVEI-PPL")</f>
        <v>610422050008-2024-2-SURVEI-PPL</v>
      </c>
      <c r="B62" s="5" t="str">
        <f t="shared" ca="1" si="0"/>
        <v>610422050008-2024-2</v>
      </c>
      <c r="C62" s="5">
        <f ca="1">IFERROR(__xludf.DUMMYFUNCTION("IF(N62=1,SPLIT(A62,""-""),"""")"),610422050008)</f>
        <v>610422050008</v>
      </c>
      <c r="D62" s="10">
        <f ca="1">IFERROR(__xludf.DUMMYFUNCTION("""COMPUTED_VALUE"""),2024)</f>
        <v>2024</v>
      </c>
      <c r="E62" s="10">
        <f ca="1">IFERROR(__xludf.DUMMYFUNCTION("""COMPUTED_VALUE"""),2)</f>
        <v>2</v>
      </c>
      <c r="F62" s="5" t="str">
        <f ca="1">IFERROR(__xludf.DUMMYFUNCTION("""COMPUTED_VALUE"""),"SURVEI")</f>
        <v>SURVEI</v>
      </c>
      <c r="G62" s="5" t="str">
        <f ca="1">IFERROR(__xludf.DUMMYFUNCTION("""COMPUTED_VALUE"""),"PPL")</f>
        <v>PPL</v>
      </c>
      <c r="H62" s="5" t="str">
        <f t="array" aca="1" ref="H62" ca="1">IF(N62=1, INDEX('Database Mitra'!$C$2:$C993,MATCH($C62,'Database Mitra'!$AK$2:$AK993,0)),"")</f>
        <v>Desi Natalia</v>
      </c>
      <c r="I62" s="71">
        <f ca="1">IF(N62=1,SUMIFS('Alokasi Honor'!$M$2:$M993,'Alokasi Honor'!$T$2:$T993,A62),"")</f>
        <v>336000</v>
      </c>
      <c r="J62" s="10">
        <f ca="1">IFERROR(__xludf.DUMMYFUNCTION("COUNTIF(FILTER('Alokasi Honor'!$H$2:$H993,'Alokasi Honor'!$H$2:$H993=""OB"",'Alokasi Honor'!$T$2:$T993=A62),""OB"")"),0)</f>
        <v>0</v>
      </c>
      <c r="K62" s="10">
        <f t="shared" ca="1" si="1"/>
        <v>1</v>
      </c>
      <c r="L62" s="70">
        <f t="array" aca="1" ref="L62" ca="1">IF(N62=1,INDEX('Batasan Honor'!$B$2:$B993,MATCH(CONCATENATE($F62,"-",$G62),'Batasan Honor'!$G$2:$G993,0)),"")</f>
        <v>5400000</v>
      </c>
      <c r="M62" s="10">
        <f t="shared" ca="1" si="2"/>
        <v>1</v>
      </c>
      <c r="N62" s="10">
        <f t="shared" ca="1" si="3"/>
        <v>1</v>
      </c>
    </row>
    <row r="63" spans="1:14" ht="12.5">
      <c r="A63" s="10" t="str">
        <f ca="1">IFERROR(__xludf.DUMMYFUNCTION("""COMPUTED_VALUE"""),"610422100085-2024-2-SURVEI-PPL")</f>
        <v>610422100085-2024-2-SURVEI-PPL</v>
      </c>
      <c r="B63" s="5" t="str">
        <f t="shared" ca="1" si="0"/>
        <v>610422100085-2024-2</v>
      </c>
      <c r="C63" s="5">
        <f ca="1">IFERROR(__xludf.DUMMYFUNCTION("IF(N63=1,SPLIT(A63,""-""),"""")"),610422100085)</f>
        <v>610422100085</v>
      </c>
      <c r="D63" s="10">
        <f ca="1">IFERROR(__xludf.DUMMYFUNCTION("""COMPUTED_VALUE"""),2024)</f>
        <v>2024</v>
      </c>
      <c r="E63" s="10">
        <f ca="1">IFERROR(__xludf.DUMMYFUNCTION("""COMPUTED_VALUE"""),2)</f>
        <v>2</v>
      </c>
      <c r="F63" s="5" t="str">
        <f ca="1">IFERROR(__xludf.DUMMYFUNCTION("""COMPUTED_VALUE"""),"SURVEI")</f>
        <v>SURVEI</v>
      </c>
      <c r="G63" s="5" t="str">
        <f ca="1">IFERROR(__xludf.DUMMYFUNCTION("""COMPUTED_VALUE"""),"PPL")</f>
        <v>PPL</v>
      </c>
      <c r="H63" s="5" t="str">
        <f t="array" aca="1" ref="H63" ca="1">IF(N63=1, INDEX('Database Mitra'!$C$2:$C993,MATCH($C63,'Database Mitra'!$AK$2:$AK993,0)),"")</f>
        <v>LINA AGUSTIN WIDYA SIWI</v>
      </c>
      <c r="I63" s="71">
        <f ca="1">IF(N63=1,SUMIFS('Alokasi Honor'!$M$2:$M993,'Alokasi Honor'!$T$2:$T993,A63),"")</f>
        <v>768000</v>
      </c>
      <c r="J63" s="10">
        <f ca="1">IFERROR(__xludf.DUMMYFUNCTION("COUNTIF(FILTER('Alokasi Honor'!$H$2:$H993,'Alokasi Honor'!$H$2:$H993=""OB"",'Alokasi Honor'!$T$2:$T993=A63),""OB"")"),0)</f>
        <v>0</v>
      </c>
      <c r="K63" s="10">
        <f t="shared" ca="1" si="1"/>
        <v>1</v>
      </c>
      <c r="L63" s="70">
        <f t="array" aca="1" ref="L63" ca="1">IF(N63=1,INDEX('Batasan Honor'!$B$2:$B993,MATCH(CONCATENATE($F63,"-",$G63),'Batasan Honor'!$G$2:$G993,0)),"")</f>
        <v>5400000</v>
      </c>
      <c r="M63" s="10">
        <f t="shared" ca="1" si="2"/>
        <v>1</v>
      </c>
      <c r="N63" s="10">
        <f t="shared" ca="1" si="3"/>
        <v>1</v>
      </c>
    </row>
    <row r="64" spans="1:14" ht="12.5">
      <c r="A64" s="10" t="str">
        <f ca="1">IFERROR(__xludf.DUMMYFUNCTION("""COMPUTED_VALUE"""),"610422060001-2024-2-SURVEI-PPL")</f>
        <v>610422060001-2024-2-SURVEI-PPL</v>
      </c>
      <c r="B64" s="5" t="str">
        <f t="shared" ca="1" si="0"/>
        <v>610422060001-2024-2</v>
      </c>
      <c r="C64" s="5">
        <f ca="1">IFERROR(__xludf.DUMMYFUNCTION("IF(N64=1,SPLIT(A64,""-""),"""")"),610422060001)</f>
        <v>610422060001</v>
      </c>
      <c r="D64" s="10">
        <f ca="1">IFERROR(__xludf.DUMMYFUNCTION("""COMPUTED_VALUE"""),2024)</f>
        <v>2024</v>
      </c>
      <c r="E64" s="10">
        <f ca="1">IFERROR(__xludf.DUMMYFUNCTION("""COMPUTED_VALUE"""),2)</f>
        <v>2</v>
      </c>
      <c r="F64" s="5" t="str">
        <f ca="1">IFERROR(__xludf.DUMMYFUNCTION("""COMPUTED_VALUE"""),"SURVEI")</f>
        <v>SURVEI</v>
      </c>
      <c r="G64" s="5" t="str">
        <f ca="1">IFERROR(__xludf.DUMMYFUNCTION("""COMPUTED_VALUE"""),"PPL")</f>
        <v>PPL</v>
      </c>
      <c r="H64" s="5" t="str">
        <f t="array" aca="1" ref="H64" ca="1">IF(N64=1, INDEX('Database Mitra'!$C$2:$C993,MATCH($C64,'Database Mitra'!$AK$2:$AK993,0)),"")</f>
        <v>Elman</v>
      </c>
      <c r="I64" s="71">
        <f ca="1">IF(N64=1,SUMIFS('Alokasi Honor'!$M$2:$M993,'Alokasi Honor'!$T$2:$T993,A64),"")</f>
        <v>336000</v>
      </c>
      <c r="J64" s="10">
        <f ca="1">IFERROR(__xludf.DUMMYFUNCTION("COUNTIF(FILTER('Alokasi Honor'!$H$2:$H993,'Alokasi Honor'!$H$2:$H993=""OB"",'Alokasi Honor'!$T$2:$T993=A64),""OB"")"),0)</f>
        <v>0</v>
      </c>
      <c r="K64" s="10">
        <f t="shared" ca="1" si="1"/>
        <v>1</v>
      </c>
      <c r="L64" s="70">
        <f t="array" aca="1" ref="L64" ca="1">IF(N64=1,INDEX('Batasan Honor'!$B$2:$B993,MATCH(CONCATENATE($F64,"-",$G64),'Batasan Honor'!$G$2:$G993,0)),"")</f>
        <v>5400000</v>
      </c>
      <c r="M64" s="10">
        <f t="shared" ca="1" si="2"/>
        <v>1</v>
      </c>
      <c r="N64" s="10">
        <f t="shared" ca="1" si="3"/>
        <v>1</v>
      </c>
    </row>
    <row r="65" spans="1:14" ht="12.5">
      <c r="A65" s="10" t="str">
        <f ca="1">IFERROR(__xludf.DUMMYFUNCTION("""COMPUTED_VALUE"""),"610422100001-2024-2-SURVEI-PPL")</f>
        <v>610422100001-2024-2-SURVEI-PPL</v>
      </c>
      <c r="B65" s="5" t="str">
        <f t="shared" ca="1" si="0"/>
        <v>610422100001-2024-2</v>
      </c>
      <c r="C65" s="5">
        <f ca="1">IFERROR(__xludf.DUMMYFUNCTION("IF(N65=1,SPLIT(A65,""-""),"""")"),610422100001)</f>
        <v>610422100001</v>
      </c>
      <c r="D65" s="10">
        <f ca="1">IFERROR(__xludf.DUMMYFUNCTION("""COMPUTED_VALUE"""),2024)</f>
        <v>2024</v>
      </c>
      <c r="E65" s="10">
        <f ca="1">IFERROR(__xludf.DUMMYFUNCTION("""COMPUTED_VALUE"""),2)</f>
        <v>2</v>
      </c>
      <c r="F65" s="5" t="str">
        <f ca="1">IFERROR(__xludf.DUMMYFUNCTION("""COMPUTED_VALUE"""),"SURVEI")</f>
        <v>SURVEI</v>
      </c>
      <c r="G65" s="5" t="str">
        <f ca="1">IFERROR(__xludf.DUMMYFUNCTION("""COMPUTED_VALUE"""),"PPL")</f>
        <v>PPL</v>
      </c>
      <c r="H65" s="5" t="str">
        <f t="array" aca="1" ref="H65" ca="1">IF(N65=1, INDEX('Database Mitra'!$C$2:$C993,MATCH($C65,'Database Mitra'!$AK$2:$AK993,0)),"")</f>
        <v>Fatmawati,S.Hut</v>
      </c>
      <c r="I65" s="71">
        <f ca="1">IF(N65=1,SUMIFS('Alokasi Honor'!$M$2:$M993,'Alokasi Honor'!$T$2:$T993,A65),"")</f>
        <v>336000</v>
      </c>
      <c r="J65" s="10">
        <f ca="1">IFERROR(__xludf.DUMMYFUNCTION("COUNTIF(FILTER('Alokasi Honor'!$H$2:$H993,'Alokasi Honor'!$H$2:$H993=""OB"",'Alokasi Honor'!$T$2:$T993=A65),""OB"")"),0)</f>
        <v>0</v>
      </c>
      <c r="K65" s="10">
        <f t="shared" ca="1" si="1"/>
        <v>1</v>
      </c>
      <c r="L65" s="70">
        <f t="array" aca="1" ref="L65" ca="1">IF(N65=1,INDEX('Batasan Honor'!$B$2:$B993,MATCH(CONCATENATE($F65,"-",$G65),'Batasan Honor'!$G$2:$G993,0)),"")</f>
        <v>5400000</v>
      </c>
      <c r="M65" s="10">
        <f t="shared" ca="1" si="2"/>
        <v>1</v>
      </c>
      <c r="N65" s="10">
        <f t="shared" ca="1" si="3"/>
        <v>1</v>
      </c>
    </row>
    <row r="66" spans="1:14" ht="12.5">
      <c r="A66" s="10" t="str">
        <f ca="1">IFERROR(__xludf.DUMMYFUNCTION("""COMPUTED_VALUE"""),"610422040034-2024-2-SURVEI-PPL")</f>
        <v>610422040034-2024-2-SURVEI-PPL</v>
      </c>
      <c r="B66" s="5" t="str">
        <f t="shared" ca="1" si="0"/>
        <v>610422040034-2024-2</v>
      </c>
      <c r="C66" s="5">
        <f ca="1">IFERROR(__xludf.DUMMYFUNCTION("IF(N66=1,SPLIT(A66,""-""),"""")"),610422040034)</f>
        <v>610422040034</v>
      </c>
      <c r="D66" s="10">
        <f ca="1">IFERROR(__xludf.DUMMYFUNCTION("""COMPUTED_VALUE"""),2024)</f>
        <v>2024</v>
      </c>
      <c r="E66" s="10">
        <f ca="1">IFERROR(__xludf.DUMMYFUNCTION("""COMPUTED_VALUE"""),2)</f>
        <v>2</v>
      </c>
      <c r="F66" s="5" t="str">
        <f ca="1">IFERROR(__xludf.DUMMYFUNCTION("""COMPUTED_VALUE"""),"SURVEI")</f>
        <v>SURVEI</v>
      </c>
      <c r="G66" s="5" t="str">
        <f ca="1">IFERROR(__xludf.DUMMYFUNCTION("""COMPUTED_VALUE"""),"PPL")</f>
        <v>PPL</v>
      </c>
      <c r="H66" s="5" t="str">
        <f t="array" aca="1" ref="H66" ca="1">IF(N66=1, INDEX('Database Mitra'!$C$2:$C993,MATCH($C66,'Database Mitra'!$AK$2:$AK993,0)),"")</f>
        <v>Nelly Nalita</v>
      </c>
      <c r="I66" s="71">
        <f ca="1">IF(N66=1,SUMIFS('Alokasi Honor'!$M$2:$M993,'Alokasi Honor'!$T$2:$T993,A66),"")</f>
        <v>336000</v>
      </c>
      <c r="J66" s="10">
        <f ca="1">IFERROR(__xludf.DUMMYFUNCTION("COUNTIF(FILTER('Alokasi Honor'!$H$2:$H993,'Alokasi Honor'!$H$2:$H993=""OB"",'Alokasi Honor'!$T$2:$T993=A66),""OB"")"),0)</f>
        <v>0</v>
      </c>
      <c r="K66" s="10">
        <f t="shared" ca="1" si="1"/>
        <v>1</v>
      </c>
      <c r="L66" s="70">
        <f t="array" aca="1" ref="L66" ca="1">IF(N66=1,INDEX('Batasan Honor'!$B$2:$B993,MATCH(CONCATENATE($F66,"-",$G66),'Batasan Honor'!$G$2:$G993,0)),"")</f>
        <v>5400000</v>
      </c>
      <c r="M66" s="10">
        <f t="shared" ca="1" si="2"/>
        <v>1</v>
      </c>
      <c r="N66" s="10">
        <f t="shared" ca="1" si="3"/>
        <v>1</v>
      </c>
    </row>
    <row r="67" spans="1:14" ht="12.5">
      <c r="A67" s="10" t="str">
        <f ca="1">IFERROR(__xludf.DUMMYFUNCTION("""COMPUTED_VALUE"""),"610422040058-2024-2-SURVEI-PPL")</f>
        <v>610422040058-2024-2-SURVEI-PPL</v>
      </c>
      <c r="B67" s="5" t="str">
        <f t="shared" ca="1" si="0"/>
        <v>610422040058-2024-2</v>
      </c>
      <c r="C67" s="5">
        <f ca="1">IFERROR(__xludf.DUMMYFUNCTION("IF(N67=1,SPLIT(A67,""-""),"""")"),610422040058)</f>
        <v>610422040058</v>
      </c>
      <c r="D67" s="10">
        <f ca="1">IFERROR(__xludf.DUMMYFUNCTION("""COMPUTED_VALUE"""),2024)</f>
        <v>2024</v>
      </c>
      <c r="E67" s="10">
        <f ca="1">IFERROR(__xludf.DUMMYFUNCTION("""COMPUTED_VALUE"""),2)</f>
        <v>2</v>
      </c>
      <c r="F67" s="5" t="str">
        <f ca="1">IFERROR(__xludf.DUMMYFUNCTION("""COMPUTED_VALUE"""),"SURVEI")</f>
        <v>SURVEI</v>
      </c>
      <c r="G67" s="5" t="str">
        <f ca="1">IFERROR(__xludf.DUMMYFUNCTION("""COMPUTED_VALUE"""),"PPL")</f>
        <v>PPL</v>
      </c>
      <c r="H67" s="5" t="str">
        <f t="array" aca="1" ref="H67" ca="1">IF(N67=1, INDEX('Database Mitra'!$C$2:$C993,MATCH($C67,'Database Mitra'!$AK$2:$AK993,0)),"")</f>
        <v>Jamaluddin, SP</v>
      </c>
      <c r="I67" s="71">
        <f ca="1">IF(N67=1,SUMIFS('Alokasi Honor'!$M$2:$M993,'Alokasi Honor'!$T$2:$T993,A67),"")</f>
        <v>926000</v>
      </c>
      <c r="J67" s="10">
        <f ca="1">IFERROR(__xludf.DUMMYFUNCTION("COUNTIF(FILTER('Alokasi Honor'!$H$2:$H993,'Alokasi Honor'!$H$2:$H993=""OB"",'Alokasi Honor'!$T$2:$T993=A67),""OB"")"),0)</f>
        <v>0</v>
      </c>
      <c r="K67" s="10">
        <f t="shared" ca="1" si="1"/>
        <v>1</v>
      </c>
      <c r="L67" s="70">
        <f t="array" aca="1" ref="L67" ca="1">IF(N67=1,INDEX('Batasan Honor'!$B$2:$B993,MATCH(CONCATENATE($F67,"-",$G67),'Batasan Honor'!$G$2:$G993,0)),"")</f>
        <v>5400000</v>
      </c>
      <c r="M67" s="10">
        <f t="shared" ca="1" si="2"/>
        <v>1</v>
      </c>
      <c r="N67" s="10">
        <f t="shared" ca="1" si="3"/>
        <v>1</v>
      </c>
    </row>
    <row r="68" spans="1:14" ht="12.5">
      <c r="A68" s="10" t="str">
        <f ca="1">IFERROR(__xludf.DUMMYFUNCTION("""COMPUTED_VALUE"""),"610422040052-2024-2-SURVEI-PPL")</f>
        <v>610422040052-2024-2-SURVEI-PPL</v>
      </c>
      <c r="B68" s="5" t="str">
        <f t="shared" ca="1" si="0"/>
        <v>610422040052-2024-2</v>
      </c>
      <c r="C68" s="5">
        <f ca="1">IFERROR(__xludf.DUMMYFUNCTION("IF(N68=1,SPLIT(A68,""-""),"""")"),610422040052)</f>
        <v>610422040052</v>
      </c>
      <c r="D68" s="10">
        <f ca="1">IFERROR(__xludf.DUMMYFUNCTION("""COMPUTED_VALUE"""),2024)</f>
        <v>2024</v>
      </c>
      <c r="E68" s="10">
        <f ca="1">IFERROR(__xludf.DUMMYFUNCTION("""COMPUTED_VALUE"""),2)</f>
        <v>2</v>
      </c>
      <c r="F68" s="5" t="str">
        <f ca="1">IFERROR(__xludf.DUMMYFUNCTION("""COMPUTED_VALUE"""),"SURVEI")</f>
        <v>SURVEI</v>
      </c>
      <c r="G68" s="5" t="str">
        <f ca="1">IFERROR(__xludf.DUMMYFUNCTION("""COMPUTED_VALUE"""),"PPL")</f>
        <v>PPL</v>
      </c>
      <c r="H68" s="5" t="str">
        <f t="array" aca="1" ref="H68" ca="1">IF(N68=1, INDEX('Database Mitra'!$C$2:$C993,MATCH($C68,'Database Mitra'!$AK$2:$AK993,0)),"")</f>
        <v>Yusimianto</v>
      </c>
      <c r="I68" s="71">
        <f ca="1">IF(N68=1,SUMIFS('Alokasi Honor'!$M$2:$M993,'Alokasi Honor'!$T$2:$T993,A68),"")</f>
        <v>768000</v>
      </c>
      <c r="J68" s="10">
        <f ca="1">IFERROR(__xludf.DUMMYFUNCTION("COUNTIF(FILTER('Alokasi Honor'!$H$2:$H993,'Alokasi Honor'!$H$2:$H993=""OB"",'Alokasi Honor'!$T$2:$T993=A68),""OB"")"),0)</f>
        <v>0</v>
      </c>
      <c r="K68" s="10">
        <f t="shared" ca="1" si="1"/>
        <v>1</v>
      </c>
      <c r="L68" s="70">
        <f t="array" aca="1" ref="L68" ca="1">IF(N68=1,INDEX('Batasan Honor'!$B$2:$B993,MATCH(CONCATENATE($F68,"-",$G68),'Batasan Honor'!$G$2:$G993,0)),"")</f>
        <v>5400000</v>
      </c>
      <c r="M68" s="10">
        <f t="shared" ca="1" si="2"/>
        <v>1</v>
      </c>
      <c r="N68" s="10">
        <f t="shared" ca="1" si="3"/>
        <v>1</v>
      </c>
    </row>
    <row r="69" spans="1:14" ht="12.5">
      <c r="A69" s="10" t="str">
        <f ca="1">IFERROR(__xludf.DUMMYFUNCTION("""COMPUTED_VALUE"""),"610422040061-2024-2-SURVEI-PPL")</f>
        <v>610422040061-2024-2-SURVEI-PPL</v>
      </c>
      <c r="B69" s="5" t="str">
        <f t="shared" ca="1" si="0"/>
        <v>610422040061-2024-2</v>
      </c>
      <c r="C69" s="5">
        <f ca="1">IFERROR(__xludf.DUMMYFUNCTION("IF(N69=1,SPLIT(A69,""-""),"""")"),610422040061)</f>
        <v>610422040061</v>
      </c>
      <c r="D69" s="10">
        <f ca="1">IFERROR(__xludf.DUMMYFUNCTION("""COMPUTED_VALUE"""),2024)</f>
        <v>2024</v>
      </c>
      <c r="E69" s="10">
        <f ca="1">IFERROR(__xludf.DUMMYFUNCTION("""COMPUTED_VALUE"""),2)</f>
        <v>2</v>
      </c>
      <c r="F69" s="5" t="str">
        <f ca="1">IFERROR(__xludf.DUMMYFUNCTION("""COMPUTED_VALUE"""),"SURVEI")</f>
        <v>SURVEI</v>
      </c>
      <c r="G69" s="5" t="str">
        <f ca="1">IFERROR(__xludf.DUMMYFUNCTION("""COMPUTED_VALUE"""),"PPL")</f>
        <v>PPL</v>
      </c>
      <c r="H69" s="5" t="str">
        <f t="array" aca="1" ref="H69" ca="1">IF(N69=1, INDEX('Database Mitra'!$C$2:$C993,MATCH($C69,'Database Mitra'!$AK$2:$AK993,0)),"")</f>
        <v>Sabani</v>
      </c>
      <c r="I69" s="71">
        <f ca="1">IF(N69=1,SUMIFS('Alokasi Honor'!$M$2:$M993,'Alokasi Honor'!$T$2:$T993,A69),"")</f>
        <v>1116000</v>
      </c>
      <c r="J69" s="10">
        <f ca="1">IFERROR(__xludf.DUMMYFUNCTION("COUNTIF(FILTER('Alokasi Honor'!$H$2:$H993,'Alokasi Honor'!$H$2:$H993=""OB"",'Alokasi Honor'!$T$2:$T993=A69),""OB"")"),0)</f>
        <v>0</v>
      </c>
      <c r="K69" s="10">
        <f t="shared" ca="1" si="1"/>
        <v>1</v>
      </c>
      <c r="L69" s="70">
        <f t="array" aca="1" ref="L69" ca="1">IF(N69=1,INDEX('Batasan Honor'!$B$2:$B993,MATCH(CONCATENATE($F69,"-",$G69),'Batasan Honor'!$G$2:$G993,0)),"")</f>
        <v>5400000</v>
      </c>
      <c r="M69" s="10">
        <f t="shared" ca="1" si="2"/>
        <v>1</v>
      </c>
      <c r="N69" s="10">
        <f t="shared" ca="1" si="3"/>
        <v>1</v>
      </c>
    </row>
    <row r="70" spans="1:14" ht="12.5">
      <c r="A70" s="10" t="str">
        <f ca="1">IFERROR(__xludf.DUMMYFUNCTION("""COMPUTED_VALUE"""),"610422040006-2024-2-SURVEI-PPL")</f>
        <v>610422040006-2024-2-SURVEI-PPL</v>
      </c>
      <c r="B70" s="5" t="str">
        <f t="shared" ca="1" si="0"/>
        <v>610422040006-2024-2</v>
      </c>
      <c r="C70" s="5">
        <f ca="1">IFERROR(__xludf.DUMMYFUNCTION("IF(N70=1,SPLIT(A70,""-""),"""")"),610422040006)</f>
        <v>610422040006</v>
      </c>
      <c r="D70" s="10">
        <f ca="1">IFERROR(__xludf.DUMMYFUNCTION("""COMPUTED_VALUE"""),2024)</f>
        <v>2024</v>
      </c>
      <c r="E70" s="10">
        <f ca="1">IFERROR(__xludf.DUMMYFUNCTION("""COMPUTED_VALUE"""),2)</f>
        <v>2</v>
      </c>
      <c r="F70" s="5" t="str">
        <f ca="1">IFERROR(__xludf.DUMMYFUNCTION("""COMPUTED_VALUE"""),"SURVEI")</f>
        <v>SURVEI</v>
      </c>
      <c r="G70" s="5" t="str">
        <f ca="1">IFERROR(__xludf.DUMMYFUNCTION("""COMPUTED_VALUE"""),"PPL")</f>
        <v>PPL</v>
      </c>
      <c r="H70" s="5" t="str">
        <f t="array" aca="1" ref="H70" ca="1">IF(N70=1, INDEX('Database Mitra'!$C$2:$C993,MATCH($C70,'Database Mitra'!$AK$2:$AK993,0)),"")</f>
        <v>RIDHA NUR MITHA</v>
      </c>
      <c r="I70" s="71">
        <f ca="1">IF(N70=1,SUMIFS('Alokasi Honor'!$M$2:$M993,'Alokasi Honor'!$T$2:$T993,A70),"")</f>
        <v>336000</v>
      </c>
      <c r="J70" s="10">
        <f ca="1">IFERROR(__xludf.DUMMYFUNCTION("COUNTIF(FILTER('Alokasi Honor'!$H$2:$H993,'Alokasi Honor'!$H$2:$H993=""OB"",'Alokasi Honor'!$T$2:$T993=A70),""OB"")"),0)</f>
        <v>0</v>
      </c>
      <c r="K70" s="10">
        <f t="shared" ca="1" si="1"/>
        <v>1</v>
      </c>
      <c r="L70" s="70">
        <f t="array" aca="1" ref="L70" ca="1">IF(N70=1,INDEX('Batasan Honor'!$B$2:$B993,MATCH(CONCATENATE($F70,"-",$G70),'Batasan Honor'!$G$2:$G993,0)),"")</f>
        <v>5400000</v>
      </c>
      <c r="M70" s="10">
        <f t="shared" ca="1" si="2"/>
        <v>1</v>
      </c>
      <c r="N70" s="10">
        <f t="shared" ca="1" si="3"/>
        <v>1</v>
      </c>
    </row>
    <row r="71" spans="1:14" ht="12.5">
      <c r="A71" s="10" t="str">
        <f ca="1">IFERROR(__xludf.DUMMYFUNCTION("""COMPUTED_VALUE"""),"610422040028-2024-2-SURVEI-PPL")</f>
        <v>610422040028-2024-2-SURVEI-PPL</v>
      </c>
      <c r="B71" s="5" t="str">
        <f t="shared" ca="1" si="0"/>
        <v>610422040028-2024-2</v>
      </c>
      <c r="C71" s="5">
        <f ca="1">IFERROR(__xludf.DUMMYFUNCTION("IF(N71=1,SPLIT(A71,""-""),"""")"),610422040028)</f>
        <v>610422040028</v>
      </c>
      <c r="D71" s="10">
        <f ca="1">IFERROR(__xludf.DUMMYFUNCTION("""COMPUTED_VALUE"""),2024)</f>
        <v>2024</v>
      </c>
      <c r="E71" s="10">
        <f ca="1">IFERROR(__xludf.DUMMYFUNCTION("""COMPUTED_VALUE"""),2)</f>
        <v>2</v>
      </c>
      <c r="F71" s="5" t="str">
        <f ca="1">IFERROR(__xludf.DUMMYFUNCTION("""COMPUTED_VALUE"""),"SURVEI")</f>
        <v>SURVEI</v>
      </c>
      <c r="G71" s="5" t="str">
        <f ca="1">IFERROR(__xludf.DUMMYFUNCTION("""COMPUTED_VALUE"""),"PPL")</f>
        <v>PPL</v>
      </c>
      <c r="H71" s="5" t="str">
        <f t="array" aca="1" ref="H71" ca="1">IF(N71=1, INDEX('Database Mitra'!$C$2:$C993,MATCH($C71,'Database Mitra'!$AK$2:$AK993,0)),"")</f>
        <v>Hafizh</v>
      </c>
      <c r="I71" s="71">
        <f ca="1">IF(N71=1,SUMIFS('Alokasi Honor'!$M$2:$M993,'Alokasi Honor'!$T$2:$T993,A71),"")</f>
        <v>336000</v>
      </c>
      <c r="J71" s="10">
        <f ca="1">IFERROR(__xludf.DUMMYFUNCTION("COUNTIF(FILTER('Alokasi Honor'!$H$2:$H993,'Alokasi Honor'!$H$2:$H993=""OB"",'Alokasi Honor'!$T$2:$T993=A71),""OB"")"),0)</f>
        <v>0</v>
      </c>
      <c r="K71" s="10">
        <f t="shared" ca="1" si="1"/>
        <v>1</v>
      </c>
      <c r="L71" s="70">
        <f t="array" aca="1" ref="L71" ca="1">IF(N71=1,INDEX('Batasan Honor'!$B$2:$B993,MATCH(CONCATENATE($F71,"-",$G71),'Batasan Honor'!$G$2:$G993,0)),"")</f>
        <v>5400000</v>
      </c>
      <c r="M71" s="10">
        <f t="shared" ca="1" si="2"/>
        <v>1</v>
      </c>
      <c r="N71" s="10">
        <f t="shared" ca="1" si="3"/>
        <v>1</v>
      </c>
    </row>
    <row r="72" spans="1:14" ht="12.5">
      <c r="A72" s="10" t="str">
        <f ca="1">IFERROR(__xludf.DUMMYFUNCTION("""COMPUTED_VALUE"""),"610422040035-2024-2-SURVEI-PPL")</f>
        <v>610422040035-2024-2-SURVEI-PPL</v>
      </c>
      <c r="B72" s="5" t="str">
        <f t="shared" ca="1" si="0"/>
        <v>610422040035-2024-2</v>
      </c>
      <c r="C72" s="5">
        <f ca="1">IFERROR(__xludf.DUMMYFUNCTION("IF(N72=1,SPLIT(A72,""-""),"""")"),610422040035)</f>
        <v>610422040035</v>
      </c>
      <c r="D72" s="10">
        <f ca="1">IFERROR(__xludf.DUMMYFUNCTION("""COMPUTED_VALUE"""),2024)</f>
        <v>2024</v>
      </c>
      <c r="E72" s="10">
        <f ca="1">IFERROR(__xludf.DUMMYFUNCTION("""COMPUTED_VALUE"""),2)</f>
        <v>2</v>
      </c>
      <c r="F72" s="5" t="str">
        <f ca="1">IFERROR(__xludf.DUMMYFUNCTION("""COMPUTED_VALUE"""),"SURVEI")</f>
        <v>SURVEI</v>
      </c>
      <c r="G72" s="5" t="str">
        <f ca="1">IFERROR(__xludf.DUMMYFUNCTION("""COMPUTED_VALUE"""),"PPL")</f>
        <v>PPL</v>
      </c>
      <c r="H72" s="5" t="str">
        <f t="array" aca="1" ref="H72" ca="1">IF(N72=1, INDEX('Database Mitra'!$C$2:$C993,MATCH($C72,'Database Mitra'!$AK$2:$AK993,0)),"")</f>
        <v>Rahmayani</v>
      </c>
      <c r="I72" s="71">
        <f ca="1">IF(N72=1,SUMIFS('Alokasi Honor'!$M$2:$M993,'Alokasi Honor'!$T$2:$T993,A72),"")</f>
        <v>768000</v>
      </c>
      <c r="J72" s="10">
        <f ca="1">IFERROR(__xludf.DUMMYFUNCTION("COUNTIF(FILTER('Alokasi Honor'!$H$2:$H993,'Alokasi Honor'!$H$2:$H993=""OB"",'Alokasi Honor'!$T$2:$T993=A72),""OB"")"),0)</f>
        <v>0</v>
      </c>
      <c r="K72" s="10">
        <f t="shared" ca="1" si="1"/>
        <v>1</v>
      </c>
      <c r="L72" s="70">
        <f t="array" aca="1" ref="L72" ca="1">IF(N72=1,INDEX('Batasan Honor'!$B$2:$B993,MATCH(CONCATENATE($F72,"-",$G72),'Batasan Honor'!$G$2:$G993,0)),"")</f>
        <v>5400000</v>
      </c>
      <c r="M72" s="10">
        <f t="shared" ca="1" si="2"/>
        <v>1</v>
      </c>
      <c r="N72" s="10">
        <f t="shared" ca="1" si="3"/>
        <v>1</v>
      </c>
    </row>
    <row r="73" spans="1:14" ht="12.5">
      <c r="A73" s="10" t="str">
        <f ca="1">IFERROR(__xludf.DUMMYFUNCTION("""COMPUTED_VALUE"""),"610422040049-2024-2-SURVEI-PPL")</f>
        <v>610422040049-2024-2-SURVEI-PPL</v>
      </c>
      <c r="B73" s="5" t="str">
        <f t="shared" ca="1" si="0"/>
        <v>610422040049-2024-2</v>
      </c>
      <c r="C73" s="5">
        <f ca="1">IFERROR(__xludf.DUMMYFUNCTION("IF(N73=1,SPLIT(A73,""-""),"""")"),610422040049)</f>
        <v>610422040049</v>
      </c>
      <c r="D73" s="10">
        <f ca="1">IFERROR(__xludf.DUMMYFUNCTION("""COMPUTED_VALUE"""),2024)</f>
        <v>2024</v>
      </c>
      <c r="E73" s="10">
        <f ca="1">IFERROR(__xludf.DUMMYFUNCTION("""COMPUTED_VALUE"""),2)</f>
        <v>2</v>
      </c>
      <c r="F73" s="5" t="str">
        <f ca="1">IFERROR(__xludf.DUMMYFUNCTION("""COMPUTED_VALUE"""),"SURVEI")</f>
        <v>SURVEI</v>
      </c>
      <c r="G73" s="5" t="str">
        <f ca="1">IFERROR(__xludf.DUMMYFUNCTION("""COMPUTED_VALUE"""),"PPL")</f>
        <v>PPL</v>
      </c>
      <c r="H73" s="5" t="str">
        <f t="array" aca="1" ref="H73" ca="1">IF(N73=1, INDEX('Database Mitra'!$C$2:$C993,MATCH($C73,'Database Mitra'!$AK$2:$AK993,0)),"")</f>
        <v>Sulis tri handayani</v>
      </c>
      <c r="I73" s="71">
        <f ca="1">IF(N73=1,SUMIFS('Alokasi Honor'!$M$2:$M993,'Alokasi Honor'!$T$2:$T993,A73),"")</f>
        <v>336000</v>
      </c>
      <c r="J73" s="10">
        <f ca="1">IFERROR(__xludf.DUMMYFUNCTION("COUNTIF(FILTER('Alokasi Honor'!$H$2:$H993,'Alokasi Honor'!$H$2:$H993=""OB"",'Alokasi Honor'!$T$2:$T993=A73),""OB"")"),0)</f>
        <v>0</v>
      </c>
      <c r="K73" s="10">
        <f t="shared" ca="1" si="1"/>
        <v>1</v>
      </c>
      <c r="L73" s="70">
        <f t="array" aca="1" ref="L73" ca="1">IF(N73=1,INDEX('Batasan Honor'!$B$2:$B993,MATCH(CONCATENATE($F73,"-",$G73),'Batasan Honor'!$G$2:$G993,0)),"")</f>
        <v>5400000</v>
      </c>
      <c r="M73" s="10">
        <f t="shared" ca="1" si="2"/>
        <v>1</v>
      </c>
      <c r="N73" s="10">
        <f t="shared" ca="1" si="3"/>
        <v>1</v>
      </c>
    </row>
    <row r="74" spans="1:14" ht="12.5">
      <c r="A74" s="10" t="str">
        <f ca="1">IFERROR(__xludf.DUMMYFUNCTION("""COMPUTED_VALUE"""),"610422040033-2024-2-SURVEI-PPL")</f>
        <v>610422040033-2024-2-SURVEI-PPL</v>
      </c>
      <c r="B74" s="5" t="str">
        <f t="shared" ca="1" si="0"/>
        <v>610422040033-2024-2</v>
      </c>
      <c r="C74" s="5">
        <f ca="1">IFERROR(__xludf.DUMMYFUNCTION("IF(N74=1,SPLIT(A74,""-""),"""")"),610422040033)</f>
        <v>610422040033</v>
      </c>
      <c r="D74" s="10">
        <f ca="1">IFERROR(__xludf.DUMMYFUNCTION("""COMPUTED_VALUE"""),2024)</f>
        <v>2024</v>
      </c>
      <c r="E74" s="10">
        <f ca="1">IFERROR(__xludf.DUMMYFUNCTION("""COMPUTED_VALUE"""),2)</f>
        <v>2</v>
      </c>
      <c r="F74" s="5" t="str">
        <f ca="1">IFERROR(__xludf.DUMMYFUNCTION("""COMPUTED_VALUE"""),"SURVEI")</f>
        <v>SURVEI</v>
      </c>
      <c r="G74" s="5" t="str">
        <f ca="1">IFERROR(__xludf.DUMMYFUNCTION("""COMPUTED_VALUE"""),"PPL")</f>
        <v>PPL</v>
      </c>
      <c r="H74" s="5" t="str">
        <f t="array" aca="1" ref="H74" ca="1">IF(N74=1, INDEX('Database Mitra'!$C$2:$C993,MATCH($C74,'Database Mitra'!$AK$2:$AK993,0)),"")</f>
        <v>NURLIAN</v>
      </c>
      <c r="I74" s="71">
        <f ca="1">IF(N74=1,SUMIFS('Alokasi Honor'!$M$2:$M993,'Alokasi Honor'!$T$2:$T993,A74),"")</f>
        <v>336000</v>
      </c>
      <c r="J74" s="10">
        <f ca="1">IFERROR(__xludf.DUMMYFUNCTION("COUNTIF(FILTER('Alokasi Honor'!$H$2:$H993,'Alokasi Honor'!$H$2:$H993=""OB"",'Alokasi Honor'!$T$2:$T993=A74),""OB"")"),0)</f>
        <v>0</v>
      </c>
      <c r="K74" s="10">
        <f t="shared" ca="1" si="1"/>
        <v>1</v>
      </c>
      <c r="L74" s="70">
        <f t="array" aca="1" ref="L74" ca="1">IF(N74=1,INDEX('Batasan Honor'!$B$2:$B993,MATCH(CONCATENATE($F74,"-",$G74),'Batasan Honor'!$G$2:$G993,0)),"")</f>
        <v>5400000</v>
      </c>
      <c r="M74" s="10">
        <f t="shared" ca="1" si="2"/>
        <v>1</v>
      </c>
      <c r="N74" s="10">
        <f t="shared" ca="1" si="3"/>
        <v>1</v>
      </c>
    </row>
    <row r="75" spans="1:14" ht="12.5">
      <c r="A75" s="10" t="str">
        <f ca="1">IFERROR(__xludf.DUMMYFUNCTION("""COMPUTED_VALUE"""),"610422040050-2024-2-SURVEI-PPL")</f>
        <v>610422040050-2024-2-SURVEI-PPL</v>
      </c>
      <c r="B75" s="5" t="str">
        <f t="shared" ca="1" si="0"/>
        <v>610422040050-2024-2</v>
      </c>
      <c r="C75" s="5">
        <f ca="1">IFERROR(__xludf.DUMMYFUNCTION("IF(N75=1,SPLIT(A75,""-""),"""")"),610422040050)</f>
        <v>610422040050</v>
      </c>
      <c r="D75" s="10">
        <f ca="1">IFERROR(__xludf.DUMMYFUNCTION("""COMPUTED_VALUE"""),2024)</f>
        <v>2024</v>
      </c>
      <c r="E75" s="10">
        <f ca="1">IFERROR(__xludf.DUMMYFUNCTION("""COMPUTED_VALUE"""),2)</f>
        <v>2</v>
      </c>
      <c r="F75" s="5" t="str">
        <f ca="1">IFERROR(__xludf.DUMMYFUNCTION("""COMPUTED_VALUE"""),"SURVEI")</f>
        <v>SURVEI</v>
      </c>
      <c r="G75" s="5" t="str">
        <f ca="1">IFERROR(__xludf.DUMMYFUNCTION("""COMPUTED_VALUE"""),"PPL")</f>
        <v>PPL</v>
      </c>
      <c r="H75" s="5" t="str">
        <f t="array" aca="1" ref="H75" ca="1">IF(N75=1, INDEX('Database Mitra'!$C$2:$C993,MATCH($C75,'Database Mitra'!$AK$2:$AK993,0)),"")</f>
        <v>NOVITA SARI</v>
      </c>
      <c r="I75" s="71">
        <f ca="1">IF(N75=1,SUMIFS('Alokasi Honor'!$M$2:$M993,'Alokasi Honor'!$T$2:$T993,A75),"")</f>
        <v>768000</v>
      </c>
      <c r="J75" s="10">
        <f ca="1">IFERROR(__xludf.DUMMYFUNCTION("COUNTIF(FILTER('Alokasi Honor'!$H$2:$H993,'Alokasi Honor'!$H$2:$H993=""OB"",'Alokasi Honor'!$T$2:$T993=A75),""OB"")"),0)</f>
        <v>0</v>
      </c>
      <c r="K75" s="10">
        <f t="shared" ca="1" si="1"/>
        <v>1</v>
      </c>
      <c r="L75" s="70">
        <f t="array" aca="1" ref="L75" ca="1">IF(N75=1,INDEX('Batasan Honor'!$B$2:$B993,MATCH(CONCATENATE($F75,"-",$G75),'Batasan Honor'!$G$2:$G993,0)),"")</f>
        <v>5400000</v>
      </c>
      <c r="M75" s="10">
        <f t="shared" ca="1" si="2"/>
        <v>1</v>
      </c>
      <c r="N75" s="10">
        <f t="shared" ca="1" si="3"/>
        <v>1</v>
      </c>
    </row>
    <row r="76" spans="1:14" ht="12.5">
      <c r="A76" s="10" t="str">
        <f ca="1">IFERROR(__xludf.DUMMYFUNCTION("""COMPUTED_VALUE"""),"610422030002-2024-2-SURVEI-PPL")</f>
        <v>610422030002-2024-2-SURVEI-PPL</v>
      </c>
      <c r="B76" s="5" t="str">
        <f t="shared" ca="1" si="0"/>
        <v>610422030002-2024-2</v>
      </c>
      <c r="C76" s="5">
        <f ca="1">IFERROR(__xludf.DUMMYFUNCTION("IF(N76=1,SPLIT(A76,""-""),"""")"),610422030002)</f>
        <v>610422030002</v>
      </c>
      <c r="D76" s="10">
        <f ca="1">IFERROR(__xludf.DUMMYFUNCTION("""COMPUTED_VALUE"""),2024)</f>
        <v>2024</v>
      </c>
      <c r="E76" s="10">
        <f ca="1">IFERROR(__xludf.DUMMYFUNCTION("""COMPUTED_VALUE"""),2)</f>
        <v>2</v>
      </c>
      <c r="F76" s="5" t="str">
        <f ca="1">IFERROR(__xludf.DUMMYFUNCTION("""COMPUTED_VALUE"""),"SURVEI")</f>
        <v>SURVEI</v>
      </c>
      <c r="G76" s="5" t="str">
        <f ca="1">IFERROR(__xludf.DUMMYFUNCTION("""COMPUTED_VALUE"""),"PPL")</f>
        <v>PPL</v>
      </c>
      <c r="H76" s="5" t="str">
        <f t="array" aca="1" ref="H76" ca="1">IF(N76=1, INDEX('Database Mitra'!$C$2:$C993,MATCH($C76,'Database Mitra'!$AK$2:$AK993,0)),"")</f>
        <v>Deti erni widiastuti</v>
      </c>
      <c r="I76" s="71">
        <f ca="1">IF(N76=1,SUMIFS('Alokasi Honor'!$M$2:$M993,'Alokasi Honor'!$T$2:$T993,A76),"")</f>
        <v>1086000</v>
      </c>
      <c r="J76" s="10">
        <f ca="1">IFERROR(__xludf.DUMMYFUNCTION("COUNTIF(FILTER('Alokasi Honor'!$H$2:$H993,'Alokasi Honor'!$H$2:$H993=""OB"",'Alokasi Honor'!$T$2:$T993=A76),""OB"")"),0)</f>
        <v>0</v>
      </c>
      <c r="K76" s="10">
        <f t="shared" ca="1" si="1"/>
        <v>1</v>
      </c>
      <c r="L76" s="70">
        <f t="array" aca="1" ref="L76" ca="1">IF(N76=1,INDEX('Batasan Honor'!$B$2:$B993,MATCH(CONCATENATE($F76,"-",$G76),'Batasan Honor'!$G$2:$G993,0)),"")</f>
        <v>5400000</v>
      </c>
      <c r="M76" s="10">
        <f t="shared" ca="1" si="2"/>
        <v>1</v>
      </c>
      <c r="N76" s="10">
        <f t="shared" ca="1" si="3"/>
        <v>1</v>
      </c>
    </row>
    <row r="77" spans="1:14" ht="12.5">
      <c r="A77" s="10" t="str">
        <f ca="1">IFERROR(__xludf.DUMMYFUNCTION("""COMPUTED_VALUE"""),"610422040029-2024-2-SURVEI-PPL")</f>
        <v>610422040029-2024-2-SURVEI-PPL</v>
      </c>
      <c r="B77" s="5" t="str">
        <f t="shared" ca="1" si="0"/>
        <v>610422040029-2024-2</v>
      </c>
      <c r="C77" s="5">
        <f ca="1">IFERROR(__xludf.DUMMYFUNCTION("IF(N77=1,SPLIT(A77,""-""),"""")"),610422040029)</f>
        <v>610422040029</v>
      </c>
      <c r="D77" s="10">
        <f ca="1">IFERROR(__xludf.DUMMYFUNCTION("""COMPUTED_VALUE"""),2024)</f>
        <v>2024</v>
      </c>
      <c r="E77" s="10">
        <f ca="1">IFERROR(__xludf.DUMMYFUNCTION("""COMPUTED_VALUE"""),2)</f>
        <v>2</v>
      </c>
      <c r="F77" s="5" t="str">
        <f ca="1">IFERROR(__xludf.DUMMYFUNCTION("""COMPUTED_VALUE"""),"SURVEI")</f>
        <v>SURVEI</v>
      </c>
      <c r="G77" s="5" t="str">
        <f ca="1">IFERROR(__xludf.DUMMYFUNCTION("""COMPUTED_VALUE"""),"PPL")</f>
        <v>PPL</v>
      </c>
      <c r="H77" s="5" t="str">
        <f t="array" aca="1" ref="H77" ca="1">IF(N77=1, INDEX('Database Mitra'!$C$2:$C993,MATCH($C77,'Database Mitra'!$AK$2:$AK993,0)),"")</f>
        <v>Zaini</v>
      </c>
      <c r="I77" s="71">
        <f ca="1">IF(N77=1,SUMIFS('Alokasi Honor'!$M$2:$M993,'Alokasi Honor'!$T$2:$T993,A77),"")</f>
        <v>721000</v>
      </c>
      <c r="J77" s="10">
        <f ca="1">IFERROR(__xludf.DUMMYFUNCTION("COUNTIF(FILTER('Alokasi Honor'!$H$2:$H993,'Alokasi Honor'!$H$2:$H993=""OB"",'Alokasi Honor'!$T$2:$T993=A77),""OB"")"),0)</f>
        <v>0</v>
      </c>
      <c r="K77" s="10">
        <f t="shared" ca="1" si="1"/>
        <v>1</v>
      </c>
      <c r="L77" s="70">
        <f t="array" aca="1" ref="L77" ca="1">IF(N77=1,INDEX('Batasan Honor'!$B$2:$B993,MATCH(CONCATENATE($F77,"-",$G77),'Batasan Honor'!$G$2:$G993,0)),"")</f>
        <v>5400000</v>
      </c>
      <c r="M77" s="10">
        <f t="shared" ca="1" si="2"/>
        <v>1</v>
      </c>
      <c r="N77" s="10">
        <f t="shared" ca="1" si="3"/>
        <v>1</v>
      </c>
    </row>
    <row r="78" spans="1:14" ht="12.5">
      <c r="A78" s="10" t="str">
        <f ca="1">IFERROR(__xludf.DUMMYFUNCTION("""COMPUTED_VALUE"""),"610422040053-2024-2-SURVEI-PPL")</f>
        <v>610422040053-2024-2-SURVEI-PPL</v>
      </c>
      <c r="B78" s="5" t="str">
        <f t="shared" ca="1" si="0"/>
        <v>610422040053-2024-2</v>
      </c>
      <c r="C78" s="5">
        <f ca="1">IFERROR(__xludf.DUMMYFUNCTION("IF(N78=1,SPLIT(A78,""-""),"""")"),610422040053)</f>
        <v>610422040053</v>
      </c>
      <c r="D78" s="10">
        <f ca="1">IFERROR(__xludf.DUMMYFUNCTION("""COMPUTED_VALUE"""),2024)</f>
        <v>2024</v>
      </c>
      <c r="E78" s="10">
        <f ca="1">IFERROR(__xludf.DUMMYFUNCTION("""COMPUTED_VALUE"""),2)</f>
        <v>2</v>
      </c>
      <c r="F78" s="5" t="str">
        <f ca="1">IFERROR(__xludf.DUMMYFUNCTION("""COMPUTED_VALUE"""),"SURVEI")</f>
        <v>SURVEI</v>
      </c>
      <c r="G78" s="5" t="str">
        <f ca="1">IFERROR(__xludf.DUMMYFUNCTION("""COMPUTED_VALUE"""),"PPL")</f>
        <v>PPL</v>
      </c>
      <c r="H78" s="5" t="str">
        <f t="array" aca="1" ref="H78" ca="1">IF(N78=1, INDEX('Database Mitra'!$C$2:$C993,MATCH($C78,'Database Mitra'!$AK$2:$AK993,0)),"")</f>
        <v>Veti Ningsi</v>
      </c>
      <c r="I78" s="71">
        <f ca="1">IF(N78=1,SUMIFS('Alokasi Honor'!$M$2:$M993,'Alokasi Honor'!$T$2:$T993,A78),"")</f>
        <v>768000</v>
      </c>
      <c r="J78" s="10">
        <f ca="1">IFERROR(__xludf.DUMMYFUNCTION("COUNTIF(FILTER('Alokasi Honor'!$H$2:$H993,'Alokasi Honor'!$H$2:$H993=""OB"",'Alokasi Honor'!$T$2:$T993=A78),""OB"")"),0)</f>
        <v>0</v>
      </c>
      <c r="K78" s="10">
        <f t="shared" ca="1" si="1"/>
        <v>1</v>
      </c>
      <c r="L78" s="70">
        <f t="array" aca="1" ref="L78" ca="1">IF(N78=1,INDEX('Batasan Honor'!$B$2:$B993,MATCH(CONCATENATE($F78,"-",$G78),'Batasan Honor'!$G$2:$G993,0)),"")</f>
        <v>5400000</v>
      </c>
      <c r="M78" s="10">
        <f t="shared" ca="1" si="2"/>
        <v>1</v>
      </c>
      <c r="N78" s="10">
        <f t="shared" ca="1" si="3"/>
        <v>1</v>
      </c>
    </row>
    <row r="79" spans="1:14" ht="12.5">
      <c r="A79" s="10" t="str">
        <f ca="1">IFERROR(__xludf.DUMMYFUNCTION("""COMPUTED_VALUE"""),"610422040013-2024-2-SURVEI-PPL")</f>
        <v>610422040013-2024-2-SURVEI-PPL</v>
      </c>
      <c r="B79" s="5" t="str">
        <f t="shared" ca="1" si="0"/>
        <v>610422040013-2024-2</v>
      </c>
      <c r="C79" s="5">
        <f ca="1">IFERROR(__xludf.DUMMYFUNCTION("IF(N79=1,SPLIT(A79,""-""),"""")"),610422040013)</f>
        <v>610422040013</v>
      </c>
      <c r="D79" s="10">
        <f ca="1">IFERROR(__xludf.DUMMYFUNCTION("""COMPUTED_VALUE"""),2024)</f>
        <v>2024</v>
      </c>
      <c r="E79" s="10">
        <f ca="1">IFERROR(__xludf.DUMMYFUNCTION("""COMPUTED_VALUE"""),2)</f>
        <v>2</v>
      </c>
      <c r="F79" s="5" t="str">
        <f ca="1">IFERROR(__xludf.DUMMYFUNCTION("""COMPUTED_VALUE"""),"SURVEI")</f>
        <v>SURVEI</v>
      </c>
      <c r="G79" s="5" t="str">
        <f ca="1">IFERROR(__xludf.DUMMYFUNCTION("""COMPUTED_VALUE"""),"PPL")</f>
        <v>PPL</v>
      </c>
      <c r="H79" s="5" t="str">
        <f t="array" aca="1" ref="H79" ca="1">IF(N79=1, INDEX('Database Mitra'!$C$2:$C993,MATCH($C79,'Database Mitra'!$AK$2:$AK993,0)),"")</f>
        <v>Yusra, SE</v>
      </c>
      <c r="I79" s="71">
        <f ca="1">IF(N79=1,SUMIFS('Alokasi Honor'!$M$2:$M993,'Alokasi Honor'!$T$2:$T993,A79),"")</f>
        <v>336000</v>
      </c>
      <c r="J79" s="10">
        <f ca="1">IFERROR(__xludf.DUMMYFUNCTION("COUNTIF(FILTER('Alokasi Honor'!$H$2:$H993,'Alokasi Honor'!$H$2:$H993=""OB"",'Alokasi Honor'!$T$2:$T993=A79),""OB"")"),0)</f>
        <v>0</v>
      </c>
      <c r="K79" s="10">
        <f t="shared" ca="1" si="1"/>
        <v>1</v>
      </c>
      <c r="L79" s="70">
        <f t="array" aca="1" ref="L79" ca="1">IF(N79=1,INDEX('Batasan Honor'!$B$2:$B993,MATCH(CONCATENATE($F79,"-",$G79),'Batasan Honor'!$G$2:$G993,0)),"")</f>
        <v>5400000</v>
      </c>
      <c r="M79" s="10">
        <f t="shared" ca="1" si="2"/>
        <v>1</v>
      </c>
      <c r="N79" s="10">
        <f t="shared" ca="1" si="3"/>
        <v>1</v>
      </c>
    </row>
    <row r="80" spans="1:14" ht="12.5">
      <c r="A80" s="10" t="str">
        <f ca="1">IFERROR(__xludf.DUMMYFUNCTION("""COMPUTED_VALUE"""),"610422020032-2024-2-SURVEI-PPL")</f>
        <v>610422020032-2024-2-SURVEI-PPL</v>
      </c>
      <c r="B80" s="5" t="str">
        <f t="shared" ca="1" si="0"/>
        <v>610422020032-2024-2</v>
      </c>
      <c r="C80" s="5">
        <f ca="1">IFERROR(__xludf.DUMMYFUNCTION("IF(N80=1,SPLIT(A80,""-""),"""")"),610422020032)</f>
        <v>610422020032</v>
      </c>
      <c r="D80" s="10">
        <f ca="1">IFERROR(__xludf.DUMMYFUNCTION("""COMPUTED_VALUE"""),2024)</f>
        <v>2024</v>
      </c>
      <c r="E80" s="10">
        <f ca="1">IFERROR(__xludf.DUMMYFUNCTION("""COMPUTED_VALUE"""),2)</f>
        <v>2</v>
      </c>
      <c r="F80" s="5" t="str">
        <f ca="1">IFERROR(__xludf.DUMMYFUNCTION("""COMPUTED_VALUE"""),"SURVEI")</f>
        <v>SURVEI</v>
      </c>
      <c r="G80" s="5" t="str">
        <f ca="1">IFERROR(__xludf.DUMMYFUNCTION("""COMPUTED_VALUE"""),"PPL")</f>
        <v>PPL</v>
      </c>
      <c r="H80" s="5" t="str">
        <f t="array" aca="1" ref="H80" ca="1">IF(N80=1, INDEX('Database Mitra'!$C$2:$C993,MATCH($C80,'Database Mitra'!$AK$2:$AK993,0)),"")</f>
        <v>Lilis Suryani</v>
      </c>
      <c r="I80" s="71">
        <f ca="1">IF(N80=1,SUMIFS('Alokasi Honor'!$M$2:$M993,'Alokasi Honor'!$T$2:$T993,A80),"")</f>
        <v>768000</v>
      </c>
      <c r="J80" s="10">
        <f ca="1">IFERROR(__xludf.DUMMYFUNCTION("COUNTIF(FILTER('Alokasi Honor'!$H$2:$H993,'Alokasi Honor'!$H$2:$H993=""OB"",'Alokasi Honor'!$T$2:$T993=A80),""OB"")"),0)</f>
        <v>0</v>
      </c>
      <c r="K80" s="10">
        <f t="shared" ca="1" si="1"/>
        <v>1</v>
      </c>
      <c r="L80" s="70">
        <f t="array" aca="1" ref="L80" ca="1">IF(N80=1,INDEX('Batasan Honor'!$B$2:$B993,MATCH(CONCATENATE($F80,"-",$G80),'Batasan Honor'!$G$2:$G993,0)),"")</f>
        <v>5400000</v>
      </c>
      <c r="M80" s="10">
        <f t="shared" ca="1" si="2"/>
        <v>1</v>
      </c>
      <c r="N80" s="10">
        <f t="shared" ca="1" si="3"/>
        <v>1</v>
      </c>
    </row>
    <row r="81" spans="1:14" ht="12.5">
      <c r="A81" s="10" t="str">
        <f ca="1">IFERROR(__xludf.DUMMYFUNCTION("""COMPUTED_VALUE"""),"610422020045-2024-2-SURVEI-PPL")</f>
        <v>610422020045-2024-2-SURVEI-PPL</v>
      </c>
      <c r="B81" s="5" t="str">
        <f t="shared" ca="1" si="0"/>
        <v>610422020045-2024-2</v>
      </c>
      <c r="C81" s="5">
        <f ca="1">IFERROR(__xludf.DUMMYFUNCTION("IF(N81=1,SPLIT(A81,""-""),"""")"),610422020045)</f>
        <v>610422020045</v>
      </c>
      <c r="D81" s="10">
        <f ca="1">IFERROR(__xludf.DUMMYFUNCTION("""COMPUTED_VALUE"""),2024)</f>
        <v>2024</v>
      </c>
      <c r="E81" s="10">
        <f ca="1">IFERROR(__xludf.DUMMYFUNCTION("""COMPUTED_VALUE"""),2)</f>
        <v>2</v>
      </c>
      <c r="F81" s="5" t="str">
        <f ca="1">IFERROR(__xludf.DUMMYFUNCTION("""COMPUTED_VALUE"""),"SURVEI")</f>
        <v>SURVEI</v>
      </c>
      <c r="G81" s="5" t="str">
        <f ca="1">IFERROR(__xludf.DUMMYFUNCTION("""COMPUTED_VALUE"""),"PPL")</f>
        <v>PPL</v>
      </c>
      <c r="H81" s="5" t="str">
        <f t="array" aca="1" ref="H81" ca="1">IF(N81=1, INDEX('Database Mitra'!$C$2:$C993,MATCH($C81,'Database Mitra'!$AK$2:$AK993,0)),"")</f>
        <v>Herdinatara Febria</v>
      </c>
      <c r="I81" s="71">
        <f ca="1">IF(N81=1,SUMIFS('Alokasi Honor'!$M$2:$M993,'Alokasi Honor'!$T$2:$T993,A81),"")</f>
        <v>336000</v>
      </c>
      <c r="J81" s="10">
        <f ca="1">IFERROR(__xludf.DUMMYFUNCTION("COUNTIF(FILTER('Alokasi Honor'!$H$2:$H993,'Alokasi Honor'!$H$2:$H993=""OB"",'Alokasi Honor'!$T$2:$T993=A81),""OB"")"),0)</f>
        <v>0</v>
      </c>
      <c r="K81" s="10">
        <f t="shared" ca="1" si="1"/>
        <v>1</v>
      </c>
      <c r="L81" s="70">
        <f t="array" aca="1" ref="L81" ca="1">IF(N81=1,INDEX('Batasan Honor'!$B$2:$B993,MATCH(CONCATENATE($F81,"-",$G81),'Batasan Honor'!$G$2:$G993,0)),"")</f>
        <v>5400000</v>
      </c>
      <c r="M81" s="10">
        <f t="shared" ca="1" si="2"/>
        <v>1</v>
      </c>
      <c r="N81" s="10">
        <f t="shared" ca="1" si="3"/>
        <v>1</v>
      </c>
    </row>
    <row r="82" spans="1:14" ht="12.5">
      <c r="A82" s="10" t="str">
        <f ca="1">IFERROR(__xludf.DUMMYFUNCTION("""COMPUTED_VALUE"""),"610422020006-2024-2-SURVEI-PETUGAS ENTRI")</f>
        <v>610422020006-2024-2-SURVEI-PETUGAS ENTRI</v>
      </c>
      <c r="B82" s="5" t="str">
        <f t="shared" ca="1" si="0"/>
        <v>610422020006-2024-2</v>
      </c>
      <c r="C82" s="5">
        <f ca="1">IFERROR(__xludf.DUMMYFUNCTION("IF(N82=1,SPLIT(A82,""-""),"""")"),610422020006)</f>
        <v>610422020006</v>
      </c>
      <c r="D82" s="10">
        <f ca="1">IFERROR(__xludf.DUMMYFUNCTION("""COMPUTED_VALUE"""),2024)</f>
        <v>2024</v>
      </c>
      <c r="E82" s="10">
        <f ca="1">IFERROR(__xludf.DUMMYFUNCTION("""COMPUTED_VALUE"""),2)</f>
        <v>2</v>
      </c>
      <c r="F82" s="5" t="str">
        <f ca="1">IFERROR(__xludf.DUMMYFUNCTION("""COMPUTED_VALUE"""),"SURVEI")</f>
        <v>SURVEI</v>
      </c>
      <c r="G82" s="5" t="str">
        <f ca="1">IFERROR(__xludf.DUMMYFUNCTION("""COMPUTED_VALUE"""),"PETUGAS ENTRI")</f>
        <v>PETUGAS ENTRI</v>
      </c>
      <c r="H82" s="5" t="str">
        <f t="array" aca="1" ref="H82" ca="1">IF(N82=1, INDEX('Database Mitra'!$C$2:$C993,MATCH($C82,'Database Mitra'!$AK$2:$AK993,0)),"")</f>
        <v>Nasrullah</v>
      </c>
      <c r="I82" s="71">
        <f ca="1">IF(N82=1,SUMIFS('Alokasi Honor'!$M$2:$M993,'Alokasi Honor'!$T$2:$T993,A82),"")</f>
        <v>884000</v>
      </c>
      <c r="J82" s="10">
        <f ca="1">IFERROR(__xludf.DUMMYFUNCTION("COUNTIF(FILTER('Alokasi Honor'!$H$2:$H993,'Alokasi Honor'!$H$2:$H993=""OB"",'Alokasi Honor'!$T$2:$T993=A82),""OB"")"),0)</f>
        <v>0</v>
      </c>
      <c r="K82" s="10">
        <f t="shared" ca="1" si="1"/>
        <v>1</v>
      </c>
      <c r="L82" s="70">
        <f t="array" aca="1" ref="L82" ca="1">IF(N82=1,INDEX('Batasan Honor'!$B$2:$B993,MATCH(CONCATENATE($F82,"-",$G82),'Batasan Honor'!$G$2:$G993,0)),"")</f>
        <v>5400000</v>
      </c>
      <c r="M82" s="10">
        <f t="shared" ca="1" si="2"/>
        <v>1</v>
      </c>
      <c r="N82" s="10">
        <f t="shared" ca="1" si="3"/>
        <v>1</v>
      </c>
    </row>
    <row r="83" spans="1:14" ht="12.5">
      <c r="A83" s="10" t="str">
        <f ca="1">IFERROR(__xludf.DUMMYFUNCTION("""COMPUTED_VALUE"""),"610422100010-2024-2-SURVEI-PETUGAS ENTRI")</f>
        <v>610422100010-2024-2-SURVEI-PETUGAS ENTRI</v>
      </c>
      <c r="B83" s="5" t="str">
        <f t="shared" ca="1" si="0"/>
        <v>610422100010-2024-2</v>
      </c>
      <c r="C83" s="5">
        <f ca="1">IFERROR(__xludf.DUMMYFUNCTION("IF(N83=1,SPLIT(A83,""-""),"""")"),610422100010)</f>
        <v>610422100010</v>
      </c>
      <c r="D83" s="10">
        <f ca="1">IFERROR(__xludf.DUMMYFUNCTION("""COMPUTED_VALUE"""),2024)</f>
        <v>2024</v>
      </c>
      <c r="E83" s="10">
        <f ca="1">IFERROR(__xludf.DUMMYFUNCTION("""COMPUTED_VALUE"""),2)</f>
        <v>2</v>
      </c>
      <c r="F83" s="5" t="str">
        <f ca="1">IFERROR(__xludf.DUMMYFUNCTION("""COMPUTED_VALUE"""),"SURVEI")</f>
        <v>SURVEI</v>
      </c>
      <c r="G83" s="5" t="str">
        <f ca="1">IFERROR(__xludf.DUMMYFUNCTION("""COMPUTED_VALUE"""),"PETUGAS ENTRI")</f>
        <v>PETUGAS ENTRI</v>
      </c>
      <c r="H83" s="5" t="str">
        <f t="array" aca="1" ref="H83" ca="1">IF(N83=1, INDEX('Database Mitra'!$C$2:$C993,MATCH($C83,'Database Mitra'!$AK$2:$AK993,0)),"")</f>
        <v>Muhammad Rendi Fakhrian</v>
      </c>
      <c r="I83" s="71">
        <f ca="1">IF(N83=1,SUMIFS('Alokasi Honor'!$M$2:$M993,'Alokasi Honor'!$T$2:$T993,A83),"")</f>
        <v>442000</v>
      </c>
      <c r="J83" s="10">
        <f ca="1">IFERROR(__xludf.DUMMYFUNCTION("COUNTIF(FILTER('Alokasi Honor'!$H$2:$H993,'Alokasi Honor'!$H$2:$H993=""OB"",'Alokasi Honor'!$T$2:$T993=A83),""OB"")"),0)</f>
        <v>0</v>
      </c>
      <c r="K83" s="10">
        <f t="shared" ca="1" si="1"/>
        <v>1</v>
      </c>
      <c r="L83" s="70">
        <f t="array" aca="1" ref="L83" ca="1">IF(N83=1,INDEX('Batasan Honor'!$B$2:$B993,MATCH(CONCATENATE($F83,"-",$G83),'Batasan Honor'!$G$2:$G993,0)),"")</f>
        <v>5400000</v>
      </c>
      <c r="M83" s="10">
        <f t="shared" ca="1" si="2"/>
        <v>1</v>
      </c>
      <c r="N83" s="10">
        <f t="shared" ca="1" si="3"/>
        <v>1</v>
      </c>
    </row>
    <row r="84" spans="1:14" ht="12.5">
      <c r="A84" s="10" t="str">
        <f ca="1">IFERROR(__xludf.DUMMYFUNCTION("""COMPUTED_VALUE"""),"610422100177-2024-2-SURVEI-PETUGAS ENTRI")</f>
        <v>610422100177-2024-2-SURVEI-PETUGAS ENTRI</v>
      </c>
      <c r="B84" s="5" t="str">
        <f t="shared" ca="1" si="0"/>
        <v>610422100177-2024-2</v>
      </c>
      <c r="C84" s="5">
        <f ca="1">IFERROR(__xludf.DUMMYFUNCTION("IF(N84=1,SPLIT(A84,""-""),"""")"),610422100177)</f>
        <v>610422100177</v>
      </c>
      <c r="D84" s="10">
        <f ca="1">IFERROR(__xludf.DUMMYFUNCTION("""COMPUTED_VALUE"""),2024)</f>
        <v>2024</v>
      </c>
      <c r="E84" s="10">
        <f ca="1">IFERROR(__xludf.DUMMYFUNCTION("""COMPUTED_VALUE"""),2)</f>
        <v>2</v>
      </c>
      <c r="F84" s="5" t="str">
        <f ca="1">IFERROR(__xludf.DUMMYFUNCTION("""COMPUTED_VALUE"""),"SURVEI")</f>
        <v>SURVEI</v>
      </c>
      <c r="G84" s="5" t="str">
        <f ca="1">IFERROR(__xludf.DUMMYFUNCTION("""COMPUTED_VALUE"""),"PETUGAS ENTRI")</f>
        <v>PETUGAS ENTRI</v>
      </c>
      <c r="H84" s="5" t="str">
        <f t="array" aca="1" ref="H84" ca="1">IF(N84=1, INDEX('Database Mitra'!$C$2:$C993,MATCH($C84,'Database Mitra'!$AK$2:$AK993,0)),"")</f>
        <v>Amirah</v>
      </c>
      <c r="I84" s="71">
        <f ca="1">IF(N84=1,SUMIFS('Alokasi Honor'!$M$2:$M993,'Alokasi Honor'!$T$2:$T993,A84),"")</f>
        <v>68000</v>
      </c>
      <c r="J84" s="10">
        <f ca="1">IFERROR(__xludf.DUMMYFUNCTION("COUNTIF(FILTER('Alokasi Honor'!$H$2:$H993,'Alokasi Honor'!$H$2:$H993=""OB"",'Alokasi Honor'!$T$2:$T993=A84),""OB"")"),0)</f>
        <v>0</v>
      </c>
      <c r="K84" s="10">
        <f t="shared" ca="1" si="1"/>
        <v>1</v>
      </c>
      <c r="L84" s="70">
        <f t="array" aca="1" ref="L84" ca="1">IF(N84=1,INDEX('Batasan Honor'!$B$2:$B993,MATCH(CONCATENATE($F84,"-",$G84),'Batasan Honor'!$G$2:$G993,0)),"")</f>
        <v>5400000</v>
      </c>
      <c r="M84" s="10">
        <f t="shared" ca="1" si="2"/>
        <v>1</v>
      </c>
      <c r="N84" s="10">
        <f t="shared" ca="1" si="3"/>
        <v>1</v>
      </c>
    </row>
    <row r="85" spans="1:14" ht="12.5">
      <c r="A85" s="10" t="str">
        <f ca="1">IFERROR(__xludf.DUMMYFUNCTION("""COMPUTED_VALUE"""),"610422100083-2024-2-SURVEI-PETUGAS ENTRI")</f>
        <v>610422100083-2024-2-SURVEI-PETUGAS ENTRI</v>
      </c>
      <c r="B85" s="5" t="str">
        <f t="shared" ca="1" si="0"/>
        <v>610422100083-2024-2</v>
      </c>
      <c r="C85" s="5">
        <f ca="1">IFERROR(__xludf.DUMMYFUNCTION("IF(N85=1,SPLIT(A85,""-""),"""")"),610422100083)</f>
        <v>610422100083</v>
      </c>
      <c r="D85" s="10">
        <f ca="1">IFERROR(__xludf.DUMMYFUNCTION("""COMPUTED_VALUE"""),2024)</f>
        <v>2024</v>
      </c>
      <c r="E85" s="10">
        <f ca="1">IFERROR(__xludf.DUMMYFUNCTION("""COMPUTED_VALUE"""),2)</f>
        <v>2</v>
      </c>
      <c r="F85" s="5" t="str">
        <f ca="1">IFERROR(__xludf.DUMMYFUNCTION("""COMPUTED_VALUE"""),"SURVEI")</f>
        <v>SURVEI</v>
      </c>
      <c r="G85" s="5" t="str">
        <f ca="1">IFERROR(__xludf.DUMMYFUNCTION("""COMPUTED_VALUE"""),"PETUGAS ENTRI")</f>
        <v>PETUGAS ENTRI</v>
      </c>
      <c r="H85" s="5" t="str">
        <f t="array" aca="1" ref="H85" ca="1">IF(N85=1, INDEX('Database Mitra'!$C$2:$C993,MATCH($C85,'Database Mitra'!$AK$2:$AK993,0)),"")</f>
        <v>ILHAM SUBAGIO</v>
      </c>
      <c r="I85" s="71">
        <f ca="1">IF(N85=1,SUMIFS('Alokasi Honor'!$M$2:$M993,'Alokasi Honor'!$T$2:$T993,A85),"")</f>
        <v>714000</v>
      </c>
      <c r="J85" s="10">
        <f ca="1">IFERROR(__xludf.DUMMYFUNCTION("COUNTIF(FILTER('Alokasi Honor'!$H$2:$H993,'Alokasi Honor'!$H$2:$H993=""OB"",'Alokasi Honor'!$T$2:$T993=A85),""OB"")"),0)</f>
        <v>0</v>
      </c>
      <c r="K85" s="10">
        <f t="shared" ca="1" si="1"/>
        <v>1</v>
      </c>
      <c r="L85" s="70">
        <f t="array" aca="1" ref="L85" ca="1">IF(N85=1,INDEX('Batasan Honor'!$B$2:$B993,MATCH(CONCATENATE($F85,"-",$G85),'Batasan Honor'!$G$2:$G993,0)),"")</f>
        <v>5400000</v>
      </c>
      <c r="M85" s="10">
        <f t="shared" ca="1" si="2"/>
        <v>1</v>
      </c>
      <c r="N85" s="10">
        <f t="shared" ca="1" si="3"/>
        <v>1</v>
      </c>
    </row>
    <row r="86" spans="1:14" ht="12.5">
      <c r="A86" s="10" t="str">
        <f ca="1">IFERROR(__xludf.DUMMYFUNCTION("""COMPUTED_VALUE"""),"610422100244-2024-2-SURVEI-PPL")</f>
        <v>610422100244-2024-2-SURVEI-PPL</v>
      </c>
      <c r="B86" s="5" t="str">
        <f t="shared" ca="1" si="0"/>
        <v>610422100244-2024-2</v>
      </c>
      <c r="C86" s="5">
        <f ca="1">IFERROR(__xludf.DUMMYFUNCTION("IF(N86=1,SPLIT(A86,""-""),"""")"),610422100244)</f>
        <v>610422100244</v>
      </c>
      <c r="D86" s="10">
        <f ca="1">IFERROR(__xludf.DUMMYFUNCTION("""COMPUTED_VALUE"""),2024)</f>
        <v>2024</v>
      </c>
      <c r="E86" s="10">
        <f ca="1">IFERROR(__xludf.DUMMYFUNCTION("""COMPUTED_VALUE"""),2)</f>
        <v>2</v>
      </c>
      <c r="F86" s="5" t="str">
        <f ca="1">IFERROR(__xludf.DUMMYFUNCTION("""COMPUTED_VALUE"""),"SURVEI")</f>
        <v>SURVEI</v>
      </c>
      <c r="G86" s="5" t="str">
        <f ca="1">IFERROR(__xludf.DUMMYFUNCTION("""COMPUTED_VALUE"""),"PPL")</f>
        <v>PPL</v>
      </c>
      <c r="H86" s="5" t="str">
        <f t="array" aca="1" ref="H86" ca="1">IF(N86=1, INDEX('Database Mitra'!$C$2:$C993,MATCH($C86,'Database Mitra'!$AK$2:$AK993,0)),"")</f>
        <v>Sugianto</v>
      </c>
      <c r="I86" s="71">
        <f ca="1">IF(N86=1,SUMIFS('Alokasi Honor'!$M$2:$M993,'Alokasi Honor'!$T$2:$T993,A86),"")</f>
        <v>1090000</v>
      </c>
      <c r="J86" s="10">
        <f ca="1">IFERROR(__xludf.DUMMYFUNCTION("COUNTIF(FILTER('Alokasi Honor'!$H$2:$H993,'Alokasi Honor'!$H$2:$H993=""OB"",'Alokasi Honor'!$T$2:$T993=A86),""OB"")"),0)</f>
        <v>0</v>
      </c>
      <c r="K86" s="10">
        <f t="shared" ca="1" si="1"/>
        <v>2</v>
      </c>
      <c r="L86" s="70">
        <f t="array" aca="1" ref="L86" ca="1">IF(N86=1,INDEX('Batasan Honor'!$B$2:$B993,MATCH(CONCATENATE($F86,"-",$G86),'Batasan Honor'!$G$2:$G993,0)),"")</f>
        <v>5400000</v>
      </c>
      <c r="M86" s="10">
        <f t="shared" ca="1" si="2"/>
        <v>1</v>
      </c>
      <c r="N86" s="10">
        <f t="shared" ca="1" si="3"/>
        <v>1</v>
      </c>
    </row>
    <row r="87" spans="1:14" ht="12.5">
      <c r="A87" s="10" t="str">
        <f ca="1">IFERROR(__xludf.DUMMYFUNCTION("""COMPUTED_VALUE"""),"610422100124-2024-2-SURVEI-PPL")</f>
        <v>610422100124-2024-2-SURVEI-PPL</v>
      </c>
      <c r="B87" s="5" t="str">
        <f t="shared" ca="1" si="0"/>
        <v>610422100124-2024-2</v>
      </c>
      <c r="C87" s="5">
        <f ca="1">IFERROR(__xludf.DUMMYFUNCTION("IF(N87=1,SPLIT(A87,""-""),"""")"),610422100124)</f>
        <v>610422100124</v>
      </c>
      <c r="D87" s="10">
        <f ca="1">IFERROR(__xludf.DUMMYFUNCTION("""COMPUTED_VALUE"""),2024)</f>
        <v>2024</v>
      </c>
      <c r="E87" s="10">
        <f ca="1">IFERROR(__xludf.DUMMYFUNCTION("""COMPUTED_VALUE"""),2)</f>
        <v>2</v>
      </c>
      <c r="F87" s="5" t="str">
        <f ca="1">IFERROR(__xludf.DUMMYFUNCTION("""COMPUTED_VALUE"""),"SURVEI")</f>
        <v>SURVEI</v>
      </c>
      <c r="G87" s="5" t="str">
        <f ca="1">IFERROR(__xludf.DUMMYFUNCTION("""COMPUTED_VALUE"""),"PPL")</f>
        <v>PPL</v>
      </c>
      <c r="H87" s="5" t="str">
        <f t="array" aca="1" ref="H87" ca="1">IF(N87=1, INDEX('Database Mitra'!$C$2:$C993,MATCH($C87,'Database Mitra'!$AK$2:$AK993,0)),"")</f>
        <v>Prabowo</v>
      </c>
      <c r="I87" s="71">
        <f ca="1">IF(N87=1,SUMIFS('Alokasi Honor'!$M$2:$M993,'Alokasi Honor'!$T$2:$T993,A87),"")</f>
        <v>325000</v>
      </c>
      <c r="J87" s="10">
        <f ca="1">IFERROR(__xludf.DUMMYFUNCTION("COUNTIF(FILTER('Alokasi Honor'!$H$2:$H993,'Alokasi Honor'!$H$2:$H993=""OB"",'Alokasi Honor'!$T$2:$T993=A87),""OB"")"),0)</f>
        <v>0</v>
      </c>
      <c r="K87" s="10">
        <f t="shared" ca="1" si="1"/>
        <v>1</v>
      </c>
      <c r="L87" s="70">
        <f t="array" aca="1" ref="L87" ca="1">IF(N87=1,INDEX('Batasan Honor'!$B$2:$B993,MATCH(CONCATENATE($F87,"-",$G87),'Batasan Honor'!$G$2:$G993,0)),"")</f>
        <v>5400000</v>
      </c>
      <c r="M87" s="10">
        <f t="shared" ca="1" si="2"/>
        <v>1</v>
      </c>
      <c r="N87" s="10">
        <f t="shared" ca="1" si="3"/>
        <v>1</v>
      </c>
    </row>
    <row r="88" spans="1:14" ht="12.5">
      <c r="A88" s="10" t="str">
        <f ca="1">IFERROR(__xludf.DUMMYFUNCTION("""COMPUTED_VALUE"""),"610422050001-2024-2-SURVEI-PPL")</f>
        <v>610422050001-2024-2-SURVEI-PPL</v>
      </c>
      <c r="B88" s="5" t="str">
        <f t="shared" ca="1" si="0"/>
        <v>610422050001-2024-2</v>
      </c>
      <c r="C88" s="5">
        <f ca="1">IFERROR(__xludf.DUMMYFUNCTION("IF(N88=1,SPLIT(A88,""-""),"""")"),610422050001)</f>
        <v>610422050001</v>
      </c>
      <c r="D88" s="10">
        <f ca="1">IFERROR(__xludf.DUMMYFUNCTION("""COMPUTED_VALUE"""),2024)</f>
        <v>2024</v>
      </c>
      <c r="E88" s="10">
        <f ca="1">IFERROR(__xludf.DUMMYFUNCTION("""COMPUTED_VALUE"""),2)</f>
        <v>2</v>
      </c>
      <c r="F88" s="5" t="str">
        <f ca="1">IFERROR(__xludf.DUMMYFUNCTION("""COMPUTED_VALUE"""),"SURVEI")</f>
        <v>SURVEI</v>
      </c>
      <c r="G88" s="5" t="str">
        <f ca="1">IFERROR(__xludf.DUMMYFUNCTION("""COMPUTED_VALUE"""),"PPL")</f>
        <v>PPL</v>
      </c>
      <c r="H88" s="5" t="str">
        <f t="array" aca="1" ref="H88" ca="1">IF(N88=1, INDEX('Database Mitra'!$C$2:$C993,MATCH($C88,'Database Mitra'!$AK$2:$AK993,0)),"")</f>
        <v>EVI JUNIARTY</v>
      </c>
      <c r="I88" s="71">
        <f ca="1">IF(N88=1,SUMIFS('Alokasi Honor'!$M$2:$M993,'Alokasi Honor'!$T$2:$T993,A88),"")</f>
        <v>415000</v>
      </c>
      <c r="J88" s="10">
        <f ca="1">IFERROR(__xludf.DUMMYFUNCTION("COUNTIF(FILTER('Alokasi Honor'!$H$2:$H993,'Alokasi Honor'!$H$2:$H993=""OB"",'Alokasi Honor'!$T$2:$T993=A88),""OB"")"),0)</f>
        <v>0</v>
      </c>
      <c r="K88" s="10">
        <f t="shared" ca="1" si="1"/>
        <v>1</v>
      </c>
      <c r="L88" s="70">
        <f t="array" aca="1" ref="L88" ca="1">IF(N88=1,INDEX('Batasan Honor'!$B$2:$B993,MATCH(CONCATENATE($F88,"-",$G88),'Batasan Honor'!$G$2:$G993,0)),"")</f>
        <v>5400000</v>
      </c>
      <c r="M88" s="10">
        <f t="shared" ca="1" si="2"/>
        <v>1</v>
      </c>
      <c r="N88" s="10">
        <f t="shared" ca="1" si="3"/>
        <v>1</v>
      </c>
    </row>
    <row r="89" spans="1:14" ht="12.5">
      <c r="A89" s="10" t="str">
        <f ca="1">IFERROR(__xludf.DUMMYFUNCTION("""COMPUTED_VALUE"""),"610422040030-2024-2-SURVEI-PPL")</f>
        <v>610422040030-2024-2-SURVEI-PPL</v>
      </c>
      <c r="B89" s="5" t="str">
        <f t="shared" ca="1" si="0"/>
        <v>610422040030-2024-2</v>
      </c>
      <c r="C89" s="5">
        <f ca="1">IFERROR(__xludf.DUMMYFUNCTION("IF(N89=1,SPLIT(A89,""-""),"""")"),610422040030)</f>
        <v>610422040030</v>
      </c>
      <c r="D89" s="10">
        <f ca="1">IFERROR(__xludf.DUMMYFUNCTION("""COMPUTED_VALUE"""),2024)</f>
        <v>2024</v>
      </c>
      <c r="E89" s="10">
        <f ca="1">IFERROR(__xludf.DUMMYFUNCTION("""COMPUTED_VALUE"""),2)</f>
        <v>2</v>
      </c>
      <c r="F89" s="5" t="str">
        <f ca="1">IFERROR(__xludf.DUMMYFUNCTION("""COMPUTED_VALUE"""),"SURVEI")</f>
        <v>SURVEI</v>
      </c>
      <c r="G89" s="5" t="str">
        <f ca="1">IFERROR(__xludf.DUMMYFUNCTION("""COMPUTED_VALUE"""),"PPL")</f>
        <v>PPL</v>
      </c>
      <c r="H89" s="5" t="str">
        <f t="array" aca="1" ref="H89" ca="1">IF(N89=1, INDEX('Database Mitra'!$C$2:$C993,MATCH($C89,'Database Mitra'!$AK$2:$AK993,0)),"")</f>
        <v>Syarifah Desti Pratiwi</v>
      </c>
      <c r="I89" s="71">
        <f ca="1">IF(N89=1,SUMIFS('Alokasi Honor'!$M$2:$M993,'Alokasi Honor'!$T$2:$T993,A89),"")</f>
        <v>55000</v>
      </c>
      <c r="J89" s="10">
        <f ca="1">IFERROR(__xludf.DUMMYFUNCTION("COUNTIF(FILTER('Alokasi Honor'!$H$2:$H993,'Alokasi Honor'!$H$2:$H993=""OB"",'Alokasi Honor'!$T$2:$T993=A89),""OB"")"),0)</f>
        <v>0</v>
      </c>
      <c r="K89" s="10">
        <f t="shared" ca="1" si="1"/>
        <v>2</v>
      </c>
      <c r="L89" s="70">
        <f t="array" aca="1" ref="L89" ca="1">IF(N89=1,INDEX('Batasan Honor'!$B$2:$B993,MATCH(CONCATENATE($F89,"-",$G89),'Batasan Honor'!$G$2:$G993,0)),"")</f>
        <v>5400000</v>
      </c>
      <c r="M89" s="10">
        <f t="shared" ca="1" si="2"/>
        <v>1</v>
      </c>
      <c r="N89" s="10">
        <f t="shared" ca="1" si="3"/>
        <v>1</v>
      </c>
    </row>
    <row r="90" spans="1:14" ht="12.5">
      <c r="A90" s="10" t="str">
        <f ca="1">IFERROR(__xludf.DUMMYFUNCTION("""COMPUTED_VALUE"""),"610422020016-2024-2-SURVEI-PPL")</f>
        <v>610422020016-2024-2-SURVEI-PPL</v>
      </c>
      <c r="B90" s="5" t="str">
        <f t="shared" ca="1" si="0"/>
        <v>610422020016-2024-2</v>
      </c>
      <c r="C90" s="5">
        <f ca="1">IFERROR(__xludf.DUMMYFUNCTION("IF(N90=1,SPLIT(A90,""-""),"""")"),610422020016)</f>
        <v>610422020016</v>
      </c>
      <c r="D90" s="10">
        <f ca="1">IFERROR(__xludf.DUMMYFUNCTION("""COMPUTED_VALUE"""),2024)</f>
        <v>2024</v>
      </c>
      <c r="E90" s="10">
        <f ca="1">IFERROR(__xludf.DUMMYFUNCTION("""COMPUTED_VALUE"""),2)</f>
        <v>2</v>
      </c>
      <c r="F90" s="5" t="str">
        <f ca="1">IFERROR(__xludf.DUMMYFUNCTION("""COMPUTED_VALUE"""),"SURVEI")</f>
        <v>SURVEI</v>
      </c>
      <c r="G90" s="5" t="str">
        <f ca="1">IFERROR(__xludf.DUMMYFUNCTION("""COMPUTED_VALUE"""),"PPL")</f>
        <v>PPL</v>
      </c>
      <c r="H90" s="5" t="str">
        <f t="array" aca="1" ref="H90" ca="1">IF(N90=1, INDEX('Database Mitra'!$C$2:$C993,MATCH($C90,'Database Mitra'!$AK$2:$AK993,0)),"")</f>
        <v>Abdul Aziz</v>
      </c>
      <c r="I90" s="71">
        <f ca="1">IF(N90=1,SUMIFS('Alokasi Honor'!$M$2:$M993,'Alokasi Honor'!$T$2:$T993,A90),"")</f>
        <v>513000</v>
      </c>
      <c r="J90" s="10">
        <f ca="1">IFERROR(__xludf.DUMMYFUNCTION("COUNTIF(FILTER('Alokasi Honor'!$H$2:$H993,'Alokasi Honor'!$H$2:$H993=""OB"",'Alokasi Honor'!$T$2:$T993=A90),""OB"")"),0)</f>
        <v>0</v>
      </c>
      <c r="K90" s="10">
        <f t="shared" ca="1" si="1"/>
        <v>2</v>
      </c>
      <c r="L90" s="70">
        <f t="array" aca="1" ref="L90" ca="1">IF(N90=1,INDEX('Batasan Honor'!$B$2:$B993,MATCH(CONCATENATE($F90,"-",$G90),'Batasan Honor'!$G$2:$G993,0)),"")</f>
        <v>5400000</v>
      </c>
      <c r="M90" s="10">
        <f t="shared" ca="1" si="2"/>
        <v>1</v>
      </c>
      <c r="N90" s="10">
        <f t="shared" ca="1" si="3"/>
        <v>1</v>
      </c>
    </row>
    <row r="91" spans="1:14" ht="12.5">
      <c r="A91" s="10" t="str">
        <f ca="1">IFERROR(__xludf.DUMMYFUNCTION("""COMPUTED_VALUE"""),"610422020048-2024-2-SURVEI-PPL")</f>
        <v>610422020048-2024-2-SURVEI-PPL</v>
      </c>
      <c r="B91" s="5" t="str">
        <f t="shared" ca="1" si="0"/>
        <v>610422020048-2024-2</v>
      </c>
      <c r="C91" s="5">
        <f ca="1">IFERROR(__xludf.DUMMYFUNCTION("IF(N91=1,SPLIT(A91,""-""),"""")"),610422020048)</f>
        <v>610422020048</v>
      </c>
      <c r="D91" s="10">
        <f ca="1">IFERROR(__xludf.DUMMYFUNCTION("""COMPUTED_VALUE"""),2024)</f>
        <v>2024</v>
      </c>
      <c r="E91" s="10">
        <f ca="1">IFERROR(__xludf.DUMMYFUNCTION("""COMPUTED_VALUE"""),2)</f>
        <v>2</v>
      </c>
      <c r="F91" s="5" t="str">
        <f ca="1">IFERROR(__xludf.DUMMYFUNCTION("""COMPUTED_VALUE"""),"SURVEI")</f>
        <v>SURVEI</v>
      </c>
      <c r="G91" s="5" t="str">
        <f ca="1">IFERROR(__xludf.DUMMYFUNCTION("""COMPUTED_VALUE"""),"PPL")</f>
        <v>PPL</v>
      </c>
      <c r="H91" s="5" t="str">
        <f t="array" aca="1" ref="H91" ca="1">IF(N91=1, INDEX('Database Mitra'!$C$2:$C993,MATCH($C91,'Database Mitra'!$AK$2:$AK993,0)),"")</f>
        <v>Herri Gustaman</v>
      </c>
      <c r="I91" s="71">
        <f ca="1">IF(N91=1,SUMIFS('Alokasi Honor'!$M$2:$M993,'Alokasi Honor'!$T$2:$T993,A91),"")</f>
        <v>519000</v>
      </c>
      <c r="J91" s="10">
        <f ca="1">IFERROR(__xludf.DUMMYFUNCTION("COUNTIF(FILTER('Alokasi Honor'!$H$2:$H993,'Alokasi Honor'!$H$2:$H993=""OB"",'Alokasi Honor'!$T$2:$T993=A91),""OB"")"),0)</f>
        <v>0</v>
      </c>
      <c r="K91" s="10">
        <f t="shared" ca="1" si="1"/>
        <v>1</v>
      </c>
      <c r="L91" s="70">
        <f t="array" aca="1" ref="L91" ca="1">IF(N91=1,INDEX('Batasan Honor'!$B$2:$B993,MATCH(CONCATENATE($F91,"-",$G91),'Batasan Honor'!$G$2:$G993,0)),"")</f>
        <v>5400000</v>
      </c>
      <c r="M91" s="10">
        <f t="shared" ca="1" si="2"/>
        <v>1</v>
      </c>
      <c r="N91" s="10">
        <f t="shared" ca="1" si="3"/>
        <v>1</v>
      </c>
    </row>
    <row r="92" spans="1:14" ht="12.5">
      <c r="A92" s="10" t="str">
        <f ca="1">IFERROR(__xludf.DUMMYFUNCTION("""COMPUTED_VALUE"""),"610422040056-2024-2-SURVEI-PPL")</f>
        <v>610422040056-2024-2-SURVEI-PPL</v>
      </c>
      <c r="B92" s="5" t="str">
        <f t="shared" ca="1" si="0"/>
        <v>610422040056-2024-2</v>
      </c>
      <c r="C92" s="5">
        <f ca="1">IFERROR(__xludf.DUMMYFUNCTION("IF(N92=1,SPLIT(A92,""-""),"""")"),610422040056)</f>
        <v>610422040056</v>
      </c>
      <c r="D92" s="10">
        <f ca="1">IFERROR(__xludf.DUMMYFUNCTION("""COMPUTED_VALUE"""),2024)</f>
        <v>2024</v>
      </c>
      <c r="E92" s="10">
        <f ca="1">IFERROR(__xludf.DUMMYFUNCTION("""COMPUTED_VALUE"""),2)</f>
        <v>2</v>
      </c>
      <c r="F92" s="5" t="str">
        <f ca="1">IFERROR(__xludf.DUMMYFUNCTION("""COMPUTED_VALUE"""),"SURVEI")</f>
        <v>SURVEI</v>
      </c>
      <c r="G92" s="5" t="str">
        <f ca="1">IFERROR(__xludf.DUMMYFUNCTION("""COMPUTED_VALUE"""),"PPL")</f>
        <v>PPL</v>
      </c>
      <c r="H92" s="5" t="str">
        <f t="array" aca="1" ref="H92" ca="1">IF(N92=1, INDEX('Database Mitra'!$C$2:$C993,MATCH($C92,'Database Mitra'!$AK$2:$AK993,0)),"")</f>
        <v>Wandi Syafari</v>
      </c>
      <c r="I92" s="71">
        <f ca="1">IF(N92=1,SUMIFS('Alokasi Honor'!$M$2:$M993,'Alokasi Honor'!$T$2:$T993,A92),"")</f>
        <v>110000</v>
      </c>
      <c r="J92" s="10">
        <f ca="1">IFERROR(__xludf.DUMMYFUNCTION("COUNTIF(FILTER('Alokasi Honor'!$H$2:$H993,'Alokasi Honor'!$H$2:$H993=""OB"",'Alokasi Honor'!$T$2:$T993=A92),""OB"")"),0)</f>
        <v>0</v>
      </c>
      <c r="K92" s="10">
        <f t="shared" ca="1" si="1"/>
        <v>2</v>
      </c>
      <c r="L92" s="70">
        <f t="array" aca="1" ref="L92" ca="1">IF(N92=1,INDEX('Batasan Honor'!$B$2:$B993,MATCH(CONCATENATE($F92,"-",$G92),'Batasan Honor'!$G$2:$G993,0)),"")</f>
        <v>5400000</v>
      </c>
      <c r="M92" s="10">
        <f t="shared" ca="1" si="2"/>
        <v>1</v>
      </c>
      <c r="N92" s="10">
        <f t="shared" ca="1" si="3"/>
        <v>1</v>
      </c>
    </row>
    <row r="93" spans="1:14" ht="12.5">
      <c r="A93" s="10" t="str">
        <f ca="1">IFERROR(__xludf.DUMMYFUNCTION("""COMPUTED_VALUE"""),"610422040012-2024-2-SURVEI-PPL")</f>
        <v>610422040012-2024-2-SURVEI-PPL</v>
      </c>
      <c r="B93" s="5" t="str">
        <f t="shared" ca="1" si="0"/>
        <v>610422040012-2024-2</v>
      </c>
      <c r="C93" s="5">
        <f ca="1">IFERROR(__xludf.DUMMYFUNCTION("IF(N93=1,SPLIT(A93,""-""),"""")"),610422040012)</f>
        <v>610422040012</v>
      </c>
      <c r="D93" s="10">
        <f ca="1">IFERROR(__xludf.DUMMYFUNCTION("""COMPUTED_VALUE"""),2024)</f>
        <v>2024</v>
      </c>
      <c r="E93" s="10">
        <f ca="1">IFERROR(__xludf.DUMMYFUNCTION("""COMPUTED_VALUE"""),2)</f>
        <v>2</v>
      </c>
      <c r="F93" s="5" t="str">
        <f ca="1">IFERROR(__xludf.DUMMYFUNCTION("""COMPUTED_VALUE"""),"SURVEI")</f>
        <v>SURVEI</v>
      </c>
      <c r="G93" s="5" t="str">
        <f ca="1">IFERROR(__xludf.DUMMYFUNCTION("""COMPUTED_VALUE"""),"PPL")</f>
        <v>PPL</v>
      </c>
      <c r="H93" s="5" t="str">
        <f t="array" aca="1" ref="H93" ca="1">IF(N93=1, INDEX('Database Mitra'!$C$2:$C993,MATCH($C93,'Database Mitra'!$AK$2:$AK993,0)),"")</f>
        <v>Misdi</v>
      </c>
      <c r="I93" s="71">
        <f ca="1">IF(N93=1,SUMIFS('Alokasi Honor'!$M$2:$M993,'Alokasi Honor'!$T$2:$T993,A93),"")</f>
        <v>348000</v>
      </c>
      <c r="J93" s="10">
        <f ca="1">IFERROR(__xludf.DUMMYFUNCTION("COUNTIF(FILTER('Alokasi Honor'!$H$2:$H993,'Alokasi Honor'!$H$2:$H993=""OB"",'Alokasi Honor'!$T$2:$T993=A93),""OB"")"),0)</f>
        <v>0</v>
      </c>
      <c r="K93" s="10">
        <f t="shared" ca="1" si="1"/>
        <v>1</v>
      </c>
      <c r="L93" s="70">
        <f t="array" aca="1" ref="L93" ca="1">IF(N93=1,INDEX('Batasan Honor'!$B$2:$B993,MATCH(CONCATENATE($F93,"-",$G93),'Batasan Honor'!$G$2:$G993,0)),"")</f>
        <v>5400000</v>
      </c>
      <c r="M93" s="10">
        <f t="shared" ca="1" si="2"/>
        <v>1</v>
      </c>
      <c r="N93" s="10">
        <f t="shared" ca="1" si="3"/>
        <v>1</v>
      </c>
    </row>
    <row r="94" spans="1:14" ht="12.5">
      <c r="A94" s="10" t="str">
        <f ca="1">IFERROR(__xludf.DUMMYFUNCTION("""COMPUTED_VALUE"""),"610422100131-2024-2-SURVEI-PPL")</f>
        <v>610422100131-2024-2-SURVEI-PPL</v>
      </c>
      <c r="B94" s="5" t="str">
        <f t="shared" ca="1" si="0"/>
        <v>610422100131-2024-2</v>
      </c>
      <c r="C94" s="5">
        <f ca="1">IFERROR(__xludf.DUMMYFUNCTION("IF(N94=1,SPLIT(A94,""-""),"""")"),610422100131)</f>
        <v>610422100131</v>
      </c>
      <c r="D94" s="10">
        <f ca="1">IFERROR(__xludf.DUMMYFUNCTION("""COMPUTED_VALUE"""),2024)</f>
        <v>2024</v>
      </c>
      <c r="E94" s="10">
        <f ca="1">IFERROR(__xludf.DUMMYFUNCTION("""COMPUTED_VALUE"""),2)</f>
        <v>2</v>
      </c>
      <c r="F94" s="5" t="str">
        <f ca="1">IFERROR(__xludf.DUMMYFUNCTION("""COMPUTED_VALUE"""),"SURVEI")</f>
        <v>SURVEI</v>
      </c>
      <c r="G94" s="5" t="str">
        <f ca="1">IFERROR(__xludf.DUMMYFUNCTION("""COMPUTED_VALUE"""),"PPL")</f>
        <v>PPL</v>
      </c>
      <c r="H94" s="5" t="str">
        <f t="array" aca="1" ref="H94" ca="1">IF(N94=1, INDEX('Database Mitra'!$C$2:$C993,MATCH($C94,'Database Mitra'!$AK$2:$AK993,0)),"")</f>
        <v>SYAMSUL</v>
      </c>
      <c r="I94" s="71">
        <f ca="1">IF(N94=1,SUMIFS('Alokasi Honor'!$M$2:$M993,'Alokasi Honor'!$T$2:$T993,A94),"")</f>
        <v>348000</v>
      </c>
      <c r="J94" s="10">
        <f ca="1">IFERROR(__xludf.DUMMYFUNCTION("COUNTIF(FILTER('Alokasi Honor'!$H$2:$H993,'Alokasi Honor'!$H$2:$H993=""OB"",'Alokasi Honor'!$T$2:$T993=A94),""OB"")"),0)</f>
        <v>0</v>
      </c>
      <c r="K94" s="10">
        <f t="shared" ca="1" si="1"/>
        <v>1</v>
      </c>
      <c r="L94" s="70">
        <f t="array" aca="1" ref="L94" ca="1">IF(N94=1,INDEX('Batasan Honor'!$B$2:$B993,MATCH(CONCATENATE($F94,"-",$G94),'Batasan Honor'!$G$2:$G993,0)),"")</f>
        <v>5400000</v>
      </c>
      <c r="M94" s="10">
        <f t="shared" ca="1" si="2"/>
        <v>1</v>
      </c>
      <c r="N94" s="10">
        <f t="shared" ca="1" si="3"/>
        <v>1</v>
      </c>
    </row>
    <row r="95" spans="1:14" ht="12.5">
      <c r="A95" s="10" t="str">
        <f ca="1">IFERROR(__xludf.DUMMYFUNCTION("""COMPUTED_VALUE"""),"610422100176-2024-2-SURVEI-PPL")</f>
        <v>610422100176-2024-2-SURVEI-PPL</v>
      </c>
      <c r="B95" s="5" t="str">
        <f t="shared" ca="1" si="0"/>
        <v>610422100176-2024-2</v>
      </c>
      <c r="C95" s="5">
        <f ca="1">IFERROR(__xludf.DUMMYFUNCTION("IF(N95=1,SPLIT(A95,""-""),"""")"),610422100176)</f>
        <v>610422100176</v>
      </c>
      <c r="D95" s="10">
        <f ca="1">IFERROR(__xludf.DUMMYFUNCTION("""COMPUTED_VALUE"""),2024)</f>
        <v>2024</v>
      </c>
      <c r="E95" s="10">
        <f ca="1">IFERROR(__xludf.DUMMYFUNCTION("""COMPUTED_VALUE"""),2)</f>
        <v>2</v>
      </c>
      <c r="F95" s="5" t="str">
        <f ca="1">IFERROR(__xludf.DUMMYFUNCTION("""COMPUTED_VALUE"""),"SURVEI")</f>
        <v>SURVEI</v>
      </c>
      <c r="G95" s="5" t="str">
        <f ca="1">IFERROR(__xludf.DUMMYFUNCTION("""COMPUTED_VALUE"""),"PPL")</f>
        <v>PPL</v>
      </c>
      <c r="H95" s="5" t="str">
        <f t="array" aca="1" ref="H95" ca="1">IF(N95=1, INDEX('Database Mitra'!$C$2:$C993,MATCH($C95,'Database Mitra'!$AK$2:$AK993,0)),"")</f>
        <v>Feri Firdaus</v>
      </c>
      <c r="I95" s="71">
        <f ca="1">IF(N95=1,SUMIFS('Alokasi Honor'!$M$2:$M993,'Alokasi Honor'!$T$2:$T993,A95),"")</f>
        <v>348000</v>
      </c>
      <c r="J95" s="10">
        <f ca="1">IFERROR(__xludf.DUMMYFUNCTION("COUNTIF(FILTER('Alokasi Honor'!$H$2:$H993,'Alokasi Honor'!$H$2:$H993=""OB"",'Alokasi Honor'!$T$2:$T993=A95),""OB"")"),0)</f>
        <v>0</v>
      </c>
      <c r="K95" s="10">
        <f t="shared" ca="1" si="1"/>
        <v>1</v>
      </c>
      <c r="L95" s="70">
        <f t="array" aca="1" ref="L95" ca="1">IF(N95=1,INDEX('Batasan Honor'!$B$2:$B993,MATCH(CONCATENATE($F95,"-",$G95),'Batasan Honor'!$G$2:$G993,0)),"")</f>
        <v>5400000</v>
      </c>
      <c r="M95" s="10">
        <f t="shared" ca="1" si="2"/>
        <v>1</v>
      </c>
      <c r="N95" s="10">
        <f t="shared" ca="1" si="3"/>
        <v>1</v>
      </c>
    </row>
    <row r="96" spans="1:14" ht="12.5">
      <c r="A96" s="10" t="str">
        <f ca="1">IFERROR(__xludf.DUMMYFUNCTION("""COMPUTED_VALUE"""),"610423110183-2024-2-SURVEI-PPL")</f>
        <v>610423110183-2024-2-SURVEI-PPL</v>
      </c>
      <c r="B96" s="5" t="str">
        <f t="shared" ca="1" si="0"/>
        <v>610423110183-2024-2</v>
      </c>
      <c r="C96" s="5">
        <f ca="1">IFERROR(__xludf.DUMMYFUNCTION("IF(N96=1,SPLIT(A96,""-""),"""")"),610423110183)</f>
        <v>610423110183</v>
      </c>
      <c r="D96" s="10">
        <f ca="1">IFERROR(__xludf.DUMMYFUNCTION("""COMPUTED_VALUE"""),2024)</f>
        <v>2024</v>
      </c>
      <c r="E96" s="10">
        <f ca="1">IFERROR(__xludf.DUMMYFUNCTION("""COMPUTED_VALUE"""),2)</f>
        <v>2</v>
      </c>
      <c r="F96" s="5" t="str">
        <f ca="1">IFERROR(__xludf.DUMMYFUNCTION("""COMPUTED_VALUE"""),"SURVEI")</f>
        <v>SURVEI</v>
      </c>
      <c r="G96" s="5" t="str">
        <f ca="1">IFERROR(__xludf.DUMMYFUNCTION("""COMPUTED_VALUE"""),"PPL")</f>
        <v>PPL</v>
      </c>
      <c r="H96" s="5" t="str">
        <f t="array" aca="1" ref="H96" ca="1">IF(N96=1, INDEX('Database Mitra'!$C$2:$C993,MATCH($C96,'Database Mitra'!$AK$2:$AK993,0)),"")</f>
        <v>azhar</v>
      </c>
      <c r="I96" s="71">
        <f ca="1">IF(N96=1,SUMIFS('Alokasi Honor'!$M$2:$M993,'Alokasi Honor'!$T$2:$T993,A96),"")</f>
        <v>1050000</v>
      </c>
      <c r="J96" s="10">
        <f ca="1">IFERROR(__xludf.DUMMYFUNCTION("COUNTIF(FILTER('Alokasi Honor'!$H$2:$H993,'Alokasi Honor'!$H$2:$H993=""OB"",'Alokasi Honor'!$T$2:$T993=A96),""OB"")"),0)</f>
        <v>0</v>
      </c>
      <c r="K96" s="10">
        <f t="shared" ca="1" si="1"/>
        <v>1</v>
      </c>
      <c r="L96" s="70">
        <f t="array" aca="1" ref="L96" ca="1">IF(N96=1,INDEX('Batasan Honor'!$B$2:$B993,MATCH(CONCATENATE($F96,"-",$G96),'Batasan Honor'!$G$2:$G993,0)),"")</f>
        <v>5400000</v>
      </c>
      <c r="M96" s="10">
        <f t="shared" ca="1" si="2"/>
        <v>1</v>
      </c>
      <c r="N96" s="10">
        <f t="shared" ca="1" si="3"/>
        <v>1</v>
      </c>
    </row>
    <row r="97" spans="1:14" ht="12.5">
      <c r="A97" s="10" t="str">
        <f ca="1">IFERROR(__xludf.DUMMYFUNCTION("""COMPUTED_VALUE"""),"610423040018-2024-2-SURVEI-PPL")</f>
        <v>610423040018-2024-2-SURVEI-PPL</v>
      </c>
      <c r="B97" s="5" t="str">
        <f t="shared" ca="1" si="0"/>
        <v>610423040018-2024-2</v>
      </c>
      <c r="C97" s="5">
        <f ca="1">IFERROR(__xludf.DUMMYFUNCTION("IF(N97=1,SPLIT(A97,""-""),"""")"),610423040018)</f>
        <v>610423040018</v>
      </c>
      <c r="D97" s="10">
        <f ca="1">IFERROR(__xludf.DUMMYFUNCTION("""COMPUTED_VALUE"""),2024)</f>
        <v>2024</v>
      </c>
      <c r="E97" s="10">
        <f ca="1">IFERROR(__xludf.DUMMYFUNCTION("""COMPUTED_VALUE"""),2)</f>
        <v>2</v>
      </c>
      <c r="F97" s="5" t="str">
        <f ca="1">IFERROR(__xludf.DUMMYFUNCTION("""COMPUTED_VALUE"""),"SURVEI")</f>
        <v>SURVEI</v>
      </c>
      <c r="G97" s="5" t="str">
        <f ca="1">IFERROR(__xludf.DUMMYFUNCTION("""COMPUTED_VALUE"""),"PPL")</f>
        <v>PPL</v>
      </c>
      <c r="H97" s="5" t="str">
        <f t="array" aca="1" ref="H97" ca="1">IF(N97=1, INDEX('Database Mitra'!$C$2:$C993,MATCH($C97,'Database Mitra'!$AK$2:$AK993,0)),"")</f>
        <v>Handoko Tuah Sabarman Sipayung</v>
      </c>
      <c r="I97" s="71">
        <f ca="1">IF(N97=1,SUMIFS('Alokasi Honor'!$M$2:$M993,'Alokasi Honor'!$T$2:$T993,A97),"")</f>
        <v>464000</v>
      </c>
      <c r="J97" s="10">
        <f ca="1">IFERROR(__xludf.DUMMYFUNCTION("COUNTIF(FILTER('Alokasi Honor'!$H$2:$H993,'Alokasi Honor'!$H$2:$H993=""OB"",'Alokasi Honor'!$T$2:$T993=A97),""OB"")"),0)</f>
        <v>0</v>
      </c>
      <c r="K97" s="10">
        <f t="shared" ca="1" si="1"/>
        <v>1</v>
      </c>
      <c r="L97" s="70">
        <f t="array" aca="1" ref="L97" ca="1">IF(N97=1,INDEX('Batasan Honor'!$B$2:$B993,MATCH(CONCATENATE($F97,"-",$G97),'Batasan Honor'!$G$2:$G993,0)),"")</f>
        <v>5400000</v>
      </c>
      <c r="M97" s="10">
        <f t="shared" ca="1" si="2"/>
        <v>1</v>
      </c>
      <c r="N97" s="10">
        <f t="shared" ca="1" si="3"/>
        <v>1</v>
      </c>
    </row>
    <row r="98" spans="1:14" ht="12.5">
      <c r="A98" s="10" t="str">
        <f ca="1">IFERROR(__xludf.DUMMYFUNCTION("""COMPUTED_VALUE"""),"610422030001-2024-3-SURVEI-PML")</f>
        <v>610422030001-2024-3-SURVEI-PML</v>
      </c>
      <c r="B98" s="5" t="str">
        <f t="shared" ca="1" si="0"/>
        <v>610422030001-2024-3</v>
      </c>
      <c r="C98" s="5">
        <f ca="1">IFERROR(__xludf.DUMMYFUNCTION("IF(N98=1,SPLIT(A98,""-""),"""")"),610422030001)</f>
        <v>610422030001</v>
      </c>
      <c r="D98" s="10">
        <f ca="1">IFERROR(__xludf.DUMMYFUNCTION("""COMPUTED_VALUE"""),2024)</f>
        <v>2024</v>
      </c>
      <c r="E98" s="10">
        <f ca="1">IFERROR(__xludf.DUMMYFUNCTION("""COMPUTED_VALUE"""),3)</f>
        <v>3</v>
      </c>
      <c r="F98" s="5" t="str">
        <f ca="1">IFERROR(__xludf.DUMMYFUNCTION("""COMPUTED_VALUE"""),"SURVEI")</f>
        <v>SURVEI</v>
      </c>
      <c r="G98" s="5" t="str">
        <f ca="1">IFERROR(__xludf.DUMMYFUNCTION("""COMPUTED_VALUE"""),"PML")</f>
        <v>PML</v>
      </c>
      <c r="H98" s="5" t="str">
        <f t="array" aca="1" ref="H98" ca="1">IF(N98=1, INDEX('Database Mitra'!$C$2:$C993,MATCH($C98,'Database Mitra'!$AK$2:$AK993,0)),"")</f>
        <v>Pitra,SP</v>
      </c>
      <c r="I98" s="71">
        <f ca="1">IF(N98=1,SUMIFS('Alokasi Honor'!$M$2:$M993,'Alokasi Honor'!$T$2:$T993,A98),"")</f>
        <v>920000</v>
      </c>
      <c r="J98" s="10">
        <f ca="1">IFERROR(__xludf.DUMMYFUNCTION("COUNTIF(FILTER('Alokasi Honor'!$H$2:$H993,'Alokasi Honor'!$H$2:$H993=""OB"",'Alokasi Honor'!$T$2:$T993=A98),""OB"")"),0)</f>
        <v>0</v>
      </c>
      <c r="K98" s="10">
        <f t="shared" ca="1" si="1"/>
        <v>1</v>
      </c>
      <c r="L98" s="70">
        <f t="array" aca="1" ref="L98" ca="1">IF(N98=1,INDEX('Batasan Honor'!$B$2:$B993,MATCH(CONCATENATE($F98,"-",$G98),'Batasan Honor'!$G$2:$G993,0)),"")</f>
        <v>5400000</v>
      </c>
      <c r="M98" s="10">
        <f t="shared" ca="1" si="2"/>
        <v>1</v>
      </c>
      <c r="N98" s="10">
        <f t="shared" ca="1" si="3"/>
        <v>1</v>
      </c>
    </row>
    <row r="99" spans="1:14" ht="12.5">
      <c r="A99" s="10" t="str">
        <f ca="1">IFERROR(__xludf.DUMMYFUNCTION("""COMPUTED_VALUE"""),"610422040056-2024-3-SURVEI-PML")</f>
        <v>610422040056-2024-3-SURVEI-PML</v>
      </c>
      <c r="B99" s="5" t="str">
        <f t="shared" ca="1" si="0"/>
        <v>610422040056-2024-3</v>
      </c>
      <c r="C99" s="5">
        <f ca="1">IFERROR(__xludf.DUMMYFUNCTION("IF(N99=1,SPLIT(A99,""-""),"""")"),610422040056)</f>
        <v>610422040056</v>
      </c>
      <c r="D99" s="10">
        <f ca="1">IFERROR(__xludf.DUMMYFUNCTION("""COMPUTED_VALUE"""),2024)</f>
        <v>2024</v>
      </c>
      <c r="E99" s="10">
        <f ca="1">IFERROR(__xludf.DUMMYFUNCTION("""COMPUTED_VALUE"""),3)</f>
        <v>3</v>
      </c>
      <c r="F99" s="5" t="str">
        <f ca="1">IFERROR(__xludf.DUMMYFUNCTION("""COMPUTED_VALUE"""),"SURVEI")</f>
        <v>SURVEI</v>
      </c>
      <c r="G99" s="5" t="str">
        <f ca="1">IFERROR(__xludf.DUMMYFUNCTION("""COMPUTED_VALUE"""),"PML")</f>
        <v>PML</v>
      </c>
      <c r="H99" s="5" t="str">
        <f t="array" aca="1" ref="H99" ca="1">IF(N99=1, INDEX('Database Mitra'!$C$2:$C993,MATCH($C99,'Database Mitra'!$AK$2:$AK993,0)),"")</f>
        <v>Wandi Syafari</v>
      </c>
      <c r="I99" s="71">
        <f ca="1">IF(N99=1,SUMIFS('Alokasi Honor'!$M$2:$M993,'Alokasi Honor'!$T$2:$T993,A99),"")</f>
        <v>1380000</v>
      </c>
      <c r="J99" s="10">
        <f ca="1">IFERROR(__xludf.DUMMYFUNCTION("COUNTIF(FILTER('Alokasi Honor'!$H$2:$H993,'Alokasi Honor'!$H$2:$H993=""OB"",'Alokasi Honor'!$T$2:$T993=A99),""OB"")"),0)</f>
        <v>0</v>
      </c>
      <c r="K99" s="10">
        <f t="shared" ca="1" si="1"/>
        <v>2</v>
      </c>
      <c r="L99" s="70">
        <f t="array" aca="1" ref="L99" ca="1">IF(N99=1,INDEX('Batasan Honor'!$B$2:$B993,MATCH(CONCATENATE($F99,"-",$G99),'Batasan Honor'!$G$2:$G993,0)),"")</f>
        <v>5400000</v>
      </c>
      <c r="M99" s="10">
        <f t="shared" ca="1" si="2"/>
        <v>1</v>
      </c>
      <c r="N99" s="10">
        <f t="shared" ca="1" si="3"/>
        <v>1</v>
      </c>
    </row>
    <row r="100" spans="1:14" ht="12.5">
      <c r="A100" s="10" t="str">
        <f ca="1">IFERROR(__xludf.DUMMYFUNCTION("""COMPUTED_VALUE"""),"610423030006-2024-3-SURVEI-PML")</f>
        <v>610423030006-2024-3-SURVEI-PML</v>
      </c>
      <c r="B100" s="5" t="str">
        <f t="shared" ca="1" si="0"/>
        <v>610423030006-2024-3</v>
      </c>
      <c r="C100" s="5">
        <f ca="1">IFERROR(__xludf.DUMMYFUNCTION("IF(N100=1,SPLIT(A100,""-""),"""")"),610423030006)</f>
        <v>610423030006</v>
      </c>
      <c r="D100" s="10">
        <f ca="1">IFERROR(__xludf.DUMMYFUNCTION("""COMPUTED_VALUE"""),2024)</f>
        <v>2024</v>
      </c>
      <c r="E100" s="10">
        <f ca="1">IFERROR(__xludf.DUMMYFUNCTION("""COMPUTED_VALUE"""),3)</f>
        <v>3</v>
      </c>
      <c r="F100" s="5" t="str">
        <f ca="1">IFERROR(__xludf.DUMMYFUNCTION("""COMPUTED_VALUE"""),"SURVEI")</f>
        <v>SURVEI</v>
      </c>
      <c r="G100" s="5" t="str">
        <f ca="1">IFERROR(__xludf.DUMMYFUNCTION("""COMPUTED_VALUE"""),"PML")</f>
        <v>PML</v>
      </c>
      <c r="H100" s="5" t="str">
        <f t="array" aca="1" ref="H100" ca="1">IF(N100=1, INDEX('Database Mitra'!$C$2:$C993,MATCH($C100,'Database Mitra'!$AK$2:$AK993,0)),"")</f>
        <v>DESTA DARA AYU LESTARI, S.Pd</v>
      </c>
      <c r="I100" s="71">
        <f ca="1">IF(N100=1,SUMIFS('Alokasi Honor'!$M$2:$M993,'Alokasi Honor'!$T$2:$T993,A100),"")</f>
        <v>920000</v>
      </c>
      <c r="J100" s="10">
        <f ca="1">IFERROR(__xludf.DUMMYFUNCTION("COUNTIF(FILTER('Alokasi Honor'!$H$2:$H993,'Alokasi Honor'!$H$2:$H993=""OB"",'Alokasi Honor'!$T$2:$T993=A100),""OB"")"),0)</f>
        <v>0</v>
      </c>
      <c r="K100" s="10">
        <f t="shared" ca="1" si="1"/>
        <v>1</v>
      </c>
      <c r="L100" s="70">
        <f t="array" aca="1" ref="L100" ca="1">IF(N100=1,INDEX('Batasan Honor'!$B$2:$B993,MATCH(CONCATENATE($F100,"-",$G100),'Batasan Honor'!$G$2:$G993,0)),"")</f>
        <v>5400000</v>
      </c>
      <c r="M100" s="10">
        <f t="shared" ca="1" si="2"/>
        <v>1</v>
      </c>
      <c r="N100" s="10">
        <f t="shared" ca="1" si="3"/>
        <v>1</v>
      </c>
    </row>
    <row r="101" spans="1:14" ht="12.5">
      <c r="A101" s="10" t="str">
        <f ca="1">IFERROR(__xludf.DUMMYFUNCTION("""COMPUTED_VALUE"""),"610423090001-2024-3-SURVEI-PPL")</f>
        <v>610423090001-2024-3-SURVEI-PPL</v>
      </c>
      <c r="B101" s="5" t="str">
        <f t="shared" ca="1" si="0"/>
        <v>610423090001-2024-3</v>
      </c>
      <c r="C101" s="5">
        <f ca="1">IFERROR(__xludf.DUMMYFUNCTION("IF(N101=1,SPLIT(A101,""-""),"""")"),610423090001)</f>
        <v>610423090001</v>
      </c>
      <c r="D101" s="10">
        <f ca="1">IFERROR(__xludf.DUMMYFUNCTION("""COMPUTED_VALUE"""),2024)</f>
        <v>2024</v>
      </c>
      <c r="E101" s="10">
        <f ca="1">IFERROR(__xludf.DUMMYFUNCTION("""COMPUTED_VALUE"""),3)</f>
        <v>3</v>
      </c>
      <c r="F101" s="5" t="str">
        <f ca="1">IFERROR(__xludf.DUMMYFUNCTION("""COMPUTED_VALUE"""),"SURVEI")</f>
        <v>SURVEI</v>
      </c>
      <c r="G101" s="5" t="str">
        <f ca="1">IFERROR(__xludf.DUMMYFUNCTION("""COMPUTED_VALUE"""),"PPL")</f>
        <v>PPL</v>
      </c>
      <c r="H101" s="5" t="str">
        <f t="array" aca="1" ref="H101" ca="1">IF(N101=1, INDEX('Database Mitra'!$C$2:$C993,MATCH($C101,'Database Mitra'!$AK$2:$AK993,0)),"")</f>
        <v>Utami Angraini</v>
      </c>
      <c r="I101" s="71">
        <f ca="1">IF(N101=1,SUMIFS('Alokasi Honor'!$M$2:$M993,'Alokasi Honor'!$T$2:$T993,A101),"")</f>
        <v>1320000</v>
      </c>
      <c r="J101" s="10">
        <f ca="1">IFERROR(__xludf.DUMMYFUNCTION("COUNTIF(FILTER('Alokasi Honor'!$H$2:$H993,'Alokasi Honor'!$H$2:$H993=""OB"",'Alokasi Honor'!$T$2:$T993=A101),""OB"")"),0)</f>
        <v>0</v>
      </c>
      <c r="K101" s="10">
        <f t="shared" ca="1" si="1"/>
        <v>1</v>
      </c>
      <c r="L101" s="70">
        <f t="array" aca="1" ref="L101" ca="1">IF(N101=1,INDEX('Batasan Honor'!$B$2:$B993,MATCH(CONCATENATE($F101,"-",$G101),'Batasan Honor'!$G$2:$G993,0)),"")</f>
        <v>5400000</v>
      </c>
      <c r="M101" s="10">
        <f t="shared" ca="1" si="2"/>
        <v>1</v>
      </c>
      <c r="N101" s="10">
        <f t="shared" ca="1" si="3"/>
        <v>1</v>
      </c>
    </row>
    <row r="102" spans="1:14" ht="12.5">
      <c r="A102" s="10" t="str">
        <f ca="1">IFERROR(__xludf.DUMMYFUNCTION("""COMPUTED_VALUE"""),"610422040059-2024-3-SURVEI-PPL")</f>
        <v>610422040059-2024-3-SURVEI-PPL</v>
      </c>
      <c r="B102" s="5" t="str">
        <f t="shared" ca="1" si="0"/>
        <v>610422040059-2024-3</v>
      </c>
      <c r="C102" s="5">
        <f ca="1">IFERROR(__xludf.DUMMYFUNCTION("IF(N102=1,SPLIT(A102,""-""),"""")"),610422040059)</f>
        <v>610422040059</v>
      </c>
      <c r="D102" s="10">
        <f ca="1">IFERROR(__xludf.DUMMYFUNCTION("""COMPUTED_VALUE"""),2024)</f>
        <v>2024</v>
      </c>
      <c r="E102" s="10">
        <f ca="1">IFERROR(__xludf.DUMMYFUNCTION("""COMPUTED_VALUE"""),3)</f>
        <v>3</v>
      </c>
      <c r="F102" s="5" t="str">
        <f ca="1">IFERROR(__xludf.DUMMYFUNCTION("""COMPUTED_VALUE"""),"SURVEI")</f>
        <v>SURVEI</v>
      </c>
      <c r="G102" s="5" t="str">
        <f ca="1">IFERROR(__xludf.DUMMYFUNCTION("""COMPUTED_VALUE"""),"PPL")</f>
        <v>PPL</v>
      </c>
      <c r="H102" s="5" t="str">
        <f t="array" aca="1" ref="H102" ca="1">IF(N102=1, INDEX('Database Mitra'!$C$2:$C993,MATCH($C102,'Database Mitra'!$AK$2:$AK993,0)),"")</f>
        <v>Abang Handri</v>
      </c>
      <c r="I102" s="71">
        <f ca="1">IF(N102=1,SUMIFS('Alokasi Honor'!$M$2:$M993,'Alokasi Honor'!$T$2:$T993,A102),"")</f>
        <v>2138000</v>
      </c>
      <c r="J102" s="10">
        <f ca="1">IFERROR(__xludf.DUMMYFUNCTION("COUNTIF(FILTER('Alokasi Honor'!$H$2:$H993,'Alokasi Honor'!$H$2:$H993=""OB"",'Alokasi Honor'!$T$2:$T993=A102),""OB"")"),0)</f>
        <v>0</v>
      </c>
      <c r="K102" s="10">
        <f t="shared" ca="1" si="1"/>
        <v>1</v>
      </c>
      <c r="L102" s="70">
        <f t="array" aca="1" ref="L102" ca="1">IF(N102=1,INDEX('Batasan Honor'!$B$2:$B993,MATCH(CONCATENATE($F102,"-",$G102),'Batasan Honor'!$G$2:$G993,0)),"")</f>
        <v>5400000</v>
      </c>
      <c r="M102" s="10">
        <f t="shared" ca="1" si="2"/>
        <v>1</v>
      </c>
      <c r="N102" s="10">
        <f t="shared" ca="1" si="3"/>
        <v>1</v>
      </c>
    </row>
    <row r="103" spans="1:14" ht="12.5">
      <c r="A103" s="10" t="str">
        <f ca="1">IFERROR(__xludf.DUMMYFUNCTION("""COMPUTED_VALUE"""),"610422100008-2024-3-SURVEI-PPL")</f>
        <v>610422100008-2024-3-SURVEI-PPL</v>
      </c>
      <c r="B103" s="5" t="str">
        <f t="shared" ca="1" si="0"/>
        <v>610422100008-2024-3</v>
      </c>
      <c r="C103" s="5">
        <f ca="1">IFERROR(__xludf.DUMMYFUNCTION("IF(N103=1,SPLIT(A103,""-""),"""")"),610422100008)</f>
        <v>610422100008</v>
      </c>
      <c r="D103" s="10">
        <f ca="1">IFERROR(__xludf.DUMMYFUNCTION("""COMPUTED_VALUE"""),2024)</f>
        <v>2024</v>
      </c>
      <c r="E103" s="10">
        <f ca="1">IFERROR(__xludf.DUMMYFUNCTION("""COMPUTED_VALUE"""),3)</f>
        <v>3</v>
      </c>
      <c r="F103" s="5" t="str">
        <f ca="1">IFERROR(__xludf.DUMMYFUNCTION("""COMPUTED_VALUE"""),"SURVEI")</f>
        <v>SURVEI</v>
      </c>
      <c r="G103" s="5" t="str">
        <f ca="1">IFERROR(__xludf.DUMMYFUNCTION("""COMPUTED_VALUE"""),"PPL")</f>
        <v>PPL</v>
      </c>
      <c r="H103" s="5" t="str">
        <f t="array" aca="1" ref="H103" ca="1">IF(N103=1, INDEX('Database Mitra'!$C$2:$C993,MATCH($C103,'Database Mitra'!$AK$2:$AK993,0)),"")</f>
        <v>Novi Sri Wulandari</v>
      </c>
      <c r="I103" s="71">
        <f ca="1">IF(N103=1,SUMIFS('Alokasi Honor'!$M$2:$M993,'Alokasi Honor'!$T$2:$T993,A103),"")</f>
        <v>1320000</v>
      </c>
      <c r="J103" s="10">
        <f ca="1">IFERROR(__xludf.DUMMYFUNCTION("COUNTIF(FILTER('Alokasi Honor'!$H$2:$H993,'Alokasi Honor'!$H$2:$H993=""OB"",'Alokasi Honor'!$T$2:$T993=A103),""OB"")"),0)</f>
        <v>0</v>
      </c>
      <c r="K103" s="10">
        <f t="shared" ca="1" si="1"/>
        <v>1</v>
      </c>
      <c r="L103" s="70">
        <f t="array" aca="1" ref="L103" ca="1">IF(N103=1,INDEX('Batasan Honor'!$B$2:$B993,MATCH(CONCATENATE($F103,"-",$G103),'Batasan Honor'!$G$2:$G993,0)),"")</f>
        <v>5400000</v>
      </c>
      <c r="M103" s="10">
        <f t="shared" ca="1" si="2"/>
        <v>1</v>
      </c>
      <c r="N103" s="10">
        <f t="shared" ca="1" si="3"/>
        <v>1</v>
      </c>
    </row>
    <row r="104" spans="1:14" ht="12.5">
      <c r="A104" s="10" t="str">
        <f ca="1">IFERROR(__xludf.DUMMYFUNCTION("""COMPUTED_VALUE"""),"610422100043-2024-3-SURVEI-PPL")</f>
        <v>610422100043-2024-3-SURVEI-PPL</v>
      </c>
      <c r="B104" s="5" t="str">
        <f t="shared" ca="1" si="0"/>
        <v>610422100043-2024-3</v>
      </c>
      <c r="C104" s="5">
        <f ca="1">IFERROR(__xludf.DUMMYFUNCTION("IF(N104=1,SPLIT(A104,""-""),"""")"),610422100043)</f>
        <v>610422100043</v>
      </c>
      <c r="D104" s="10">
        <f ca="1">IFERROR(__xludf.DUMMYFUNCTION("""COMPUTED_VALUE"""),2024)</f>
        <v>2024</v>
      </c>
      <c r="E104" s="10">
        <f ca="1">IFERROR(__xludf.DUMMYFUNCTION("""COMPUTED_VALUE"""),3)</f>
        <v>3</v>
      </c>
      <c r="F104" s="5" t="str">
        <f ca="1">IFERROR(__xludf.DUMMYFUNCTION("""COMPUTED_VALUE"""),"SURVEI")</f>
        <v>SURVEI</v>
      </c>
      <c r="G104" s="5" t="str">
        <f ca="1">IFERROR(__xludf.DUMMYFUNCTION("""COMPUTED_VALUE"""),"PPL")</f>
        <v>PPL</v>
      </c>
      <c r="H104" s="5" t="str">
        <f t="array" aca="1" ref="H104" ca="1">IF(N104=1, INDEX('Database Mitra'!$C$2:$C993,MATCH($C104,'Database Mitra'!$AK$2:$AK993,0)),"")</f>
        <v>eligia giok</v>
      </c>
      <c r="I104" s="71">
        <f ca="1">IF(N104=1,SUMIFS('Alokasi Honor'!$M$2:$M993,'Alokasi Honor'!$T$2:$T993,A104),"")</f>
        <v>1320000</v>
      </c>
      <c r="J104" s="10">
        <f ca="1">IFERROR(__xludf.DUMMYFUNCTION("COUNTIF(FILTER('Alokasi Honor'!$H$2:$H993,'Alokasi Honor'!$H$2:$H993=""OB"",'Alokasi Honor'!$T$2:$T993=A104),""OB"")"),0)</f>
        <v>0</v>
      </c>
      <c r="K104" s="10">
        <f t="shared" ca="1" si="1"/>
        <v>1</v>
      </c>
      <c r="L104" s="70">
        <f t="array" aca="1" ref="L104" ca="1">IF(N104=1,INDEX('Batasan Honor'!$B$2:$B993,MATCH(CONCATENATE($F104,"-",$G104),'Batasan Honor'!$G$2:$G993,0)),"")</f>
        <v>5400000</v>
      </c>
      <c r="M104" s="10">
        <f t="shared" ca="1" si="2"/>
        <v>1</v>
      </c>
      <c r="N104" s="10">
        <f t="shared" ca="1" si="3"/>
        <v>1</v>
      </c>
    </row>
    <row r="105" spans="1:14" ht="12.5">
      <c r="A105" s="10" t="str">
        <f ca="1">IFERROR(__xludf.DUMMYFUNCTION("""COMPUTED_VALUE"""),"610422100086-2024-3-SURVEI-PPL")</f>
        <v>610422100086-2024-3-SURVEI-PPL</v>
      </c>
      <c r="B105" s="5" t="str">
        <f t="shared" ca="1" si="0"/>
        <v>610422100086-2024-3</v>
      </c>
      <c r="C105" s="5">
        <f ca="1">IFERROR(__xludf.DUMMYFUNCTION("IF(N105=1,SPLIT(A105,""-""),"""")"),610422100086)</f>
        <v>610422100086</v>
      </c>
      <c r="D105" s="10">
        <f ca="1">IFERROR(__xludf.DUMMYFUNCTION("""COMPUTED_VALUE"""),2024)</f>
        <v>2024</v>
      </c>
      <c r="E105" s="10">
        <f ca="1">IFERROR(__xludf.DUMMYFUNCTION("""COMPUTED_VALUE"""),3)</f>
        <v>3</v>
      </c>
      <c r="F105" s="5" t="str">
        <f ca="1">IFERROR(__xludf.DUMMYFUNCTION("""COMPUTED_VALUE"""),"SURVEI")</f>
        <v>SURVEI</v>
      </c>
      <c r="G105" s="5" t="str">
        <f ca="1">IFERROR(__xludf.DUMMYFUNCTION("""COMPUTED_VALUE"""),"PPL")</f>
        <v>PPL</v>
      </c>
      <c r="H105" s="5" t="str">
        <f t="array" aca="1" ref="H105" ca="1">IF(N105=1, INDEX('Database Mitra'!$C$2:$C993,MATCH($C105,'Database Mitra'!$AK$2:$AK993,0)),"")</f>
        <v>Imamul akhyar</v>
      </c>
      <c r="I105" s="71">
        <f ca="1">IF(N105=1,SUMIFS('Alokasi Honor'!$M$2:$M993,'Alokasi Honor'!$T$2:$T993,A105),"")</f>
        <v>1320000</v>
      </c>
      <c r="J105" s="10">
        <f ca="1">IFERROR(__xludf.DUMMYFUNCTION("COUNTIF(FILTER('Alokasi Honor'!$H$2:$H993,'Alokasi Honor'!$H$2:$H993=""OB"",'Alokasi Honor'!$T$2:$T993=A105),""OB"")"),0)</f>
        <v>0</v>
      </c>
      <c r="K105" s="10">
        <f t="shared" ca="1" si="1"/>
        <v>1</v>
      </c>
      <c r="L105" s="70">
        <f t="array" aca="1" ref="L105" ca="1">IF(N105=1,INDEX('Batasan Honor'!$B$2:$B993,MATCH(CONCATENATE($F105,"-",$G105),'Batasan Honor'!$G$2:$G993,0)),"")</f>
        <v>5400000</v>
      </c>
      <c r="M105" s="10">
        <f t="shared" ca="1" si="2"/>
        <v>1</v>
      </c>
      <c r="N105" s="10">
        <f t="shared" ca="1" si="3"/>
        <v>1</v>
      </c>
    </row>
    <row r="106" spans="1:14" ht="12.5">
      <c r="A106" s="10" t="str">
        <f ca="1">IFERROR(__xludf.DUMMYFUNCTION("""COMPUTED_VALUE"""),"610422100111-2024-3-SURVEI-PPL")</f>
        <v>610422100111-2024-3-SURVEI-PPL</v>
      </c>
      <c r="B106" s="5" t="str">
        <f t="shared" ca="1" si="0"/>
        <v>610422100111-2024-3</v>
      </c>
      <c r="C106" s="5">
        <f ca="1">IFERROR(__xludf.DUMMYFUNCTION("IF(N106=1,SPLIT(A106,""-""),"""")"),610422100111)</f>
        <v>610422100111</v>
      </c>
      <c r="D106" s="10">
        <f ca="1">IFERROR(__xludf.DUMMYFUNCTION("""COMPUTED_VALUE"""),2024)</f>
        <v>2024</v>
      </c>
      <c r="E106" s="10">
        <f ca="1">IFERROR(__xludf.DUMMYFUNCTION("""COMPUTED_VALUE"""),3)</f>
        <v>3</v>
      </c>
      <c r="F106" s="5" t="str">
        <f ca="1">IFERROR(__xludf.DUMMYFUNCTION("""COMPUTED_VALUE"""),"SURVEI")</f>
        <v>SURVEI</v>
      </c>
      <c r="G106" s="5" t="str">
        <f ca="1">IFERROR(__xludf.DUMMYFUNCTION("""COMPUTED_VALUE"""),"PPL")</f>
        <v>PPL</v>
      </c>
      <c r="H106" s="5" t="str">
        <f t="array" aca="1" ref="H106" ca="1">IF(N106=1, INDEX('Database Mitra'!$C$2:$C993,MATCH($C106,'Database Mitra'!$AK$2:$AK993,0)),"")</f>
        <v>CICI PURNAMASARI</v>
      </c>
      <c r="I106" s="71">
        <f ca="1">IF(N106=1,SUMIFS('Alokasi Honor'!$M$2:$M993,'Alokasi Honor'!$T$2:$T993,A106),"")</f>
        <v>1320000</v>
      </c>
      <c r="J106" s="10">
        <f ca="1">IFERROR(__xludf.DUMMYFUNCTION("COUNTIF(FILTER('Alokasi Honor'!$H$2:$H993,'Alokasi Honor'!$H$2:$H993=""OB"",'Alokasi Honor'!$T$2:$T993=A106),""OB"")"),0)</f>
        <v>0</v>
      </c>
      <c r="K106" s="10">
        <f t="shared" ca="1" si="1"/>
        <v>1</v>
      </c>
      <c r="L106" s="70">
        <f t="array" aca="1" ref="L106" ca="1">IF(N106=1,INDEX('Batasan Honor'!$B$2:$B993,MATCH(CONCATENATE($F106,"-",$G106),'Batasan Honor'!$G$2:$G993,0)),"")</f>
        <v>5400000</v>
      </c>
      <c r="M106" s="10">
        <f t="shared" ca="1" si="2"/>
        <v>1</v>
      </c>
      <c r="N106" s="10">
        <f t="shared" ca="1" si="3"/>
        <v>1</v>
      </c>
    </row>
    <row r="107" spans="1:14" ht="12.5">
      <c r="A107" s="10" t="str">
        <f ca="1">IFERROR(__xludf.DUMMYFUNCTION("""COMPUTED_VALUE"""),"610422100175-2024-3-SURVEI-PPL")</f>
        <v>610422100175-2024-3-SURVEI-PPL</v>
      </c>
      <c r="B107" s="5" t="str">
        <f t="shared" ca="1" si="0"/>
        <v>610422100175-2024-3</v>
      </c>
      <c r="C107" s="5">
        <f ca="1">IFERROR(__xludf.DUMMYFUNCTION("IF(N107=1,SPLIT(A107,""-""),"""")"),610422100175)</f>
        <v>610422100175</v>
      </c>
      <c r="D107" s="10">
        <f ca="1">IFERROR(__xludf.DUMMYFUNCTION("""COMPUTED_VALUE"""),2024)</f>
        <v>2024</v>
      </c>
      <c r="E107" s="10">
        <f ca="1">IFERROR(__xludf.DUMMYFUNCTION("""COMPUTED_VALUE"""),3)</f>
        <v>3</v>
      </c>
      <c r="F107" s="5" t="str">
        <f ca="1">IFERROR(__xludf.DUMMYFUNCTION("""COMPUTED_VALUE"""),"SURVEI")</f>
        <v>SURVEI</v>
      </c>
      <c r="G107" s="5" t="str">
        <f ca="1">IFERROR(__xludf.DUMMYFUNCTION("""COMPUTED_VALUE"""),"PPL")</f>
        <v>PPL</v>
      </c>
      <c r="H107" s="5" t="str">
        <f t="array" aca="1" ref="H107" ca="1">IF(N107=1, INDEX('Database Mitra'!$C$2:$C993,MATCH($C107,'Database Mitra'!$AK$2:$AK993,0)),"")</f>
        <v>Rara Shati</v>
      </c>
      <c r="I107" s="71">
        <f ca="1">IF(N107=1,SUMIFS('Alokasi Honor'!$M$2:$M993,'Alokasi Honor'!$T$2:$T993,A107),"")</f>
        <v>1320000</v>
      </c>
      <c r="J107" s="10">
        <f ca="1">IFERROR(__xludf.DUMMYFUNCTION("COUNTIF(FILTER('Alokasi Honor'!$H$2:$H993,'Alokasi Honor'!$H$2:$H993=""OB"",'Alokasi Honor'!$T$2:$T993=A107),""OB"")"),0)</f>
        <v>0</v>
      </c>
      <c r="K107" s="10">
        <f t="shared" ca="1" si="1"/>
        <v>1</v>
      </c>
      <c r="L107" s="70">
        <f t="array" aca="1" ref="L107" ca="1">IF(N107=1,INDEX('Batasan Honor'!$B$2:$B993,MATCH(CONCATENATE($F107,"-",$G107),'Batasan Honor'!$G$2:$G993,0)),"")</f>
        <v>5400000</v>
      </c>
      <c r="M107" s="10">
        <f t="shared" ca="1" si="2"/>
        <v>1</v>
      </c>
      <c r="N107" s="10">
        <f t="shared" ca="1" si="3"/>
        <v>1</v>
      </c>
    </row>
    <row r="108" spans="1:14" ht="12.5">
      <c r="A108" s="10" t="str">
        <f ca="1">IFERROR(__xludf.DUMMYFUNCTION("""COMPUTED_VALUE"""),"610422020006-2024-3-SURVEI-PETUGAS ENTRI")</f>
        <v>610422020006-2024-3-SURVEI-PETUGAS ENTRI</v>
      </c>
      <c r="B108" s="5" t="str">
        <f t="shared" ca="1" si="0"/>
        <v>610422020006-2024-3</v>
      </c>
      <c r="C108" s="5">
        <f ca="1">IFERROR(__xludf.DUMMYFUNCTION("IF(N108=1,SPLIT(A108,""-""),"""")"),610422020006)</f>
        <v>610422020006</v>
      </c>
      <c r="D108" s="10">
        <f ca="1">IFERROR(__xludf.DUMMYFUNCTION("""COMPUTED_VALUE"""),2024)</f>
        <v>2024</v>
      </c>
      <c r="E108" s="10">
        <f ca="1">IFERROR(__xludf.DUMMYFUNCTION("""COMPUTED_VALUE"""),3)</f>
        <v>3</v>
      </c>
      <c r="F108" s="5" t="str">
        <f ca="1">IFERROR(__xludf.DUMMYFUNCTION("""COMPUTED_VALUE"""),"SURVEI")</f>
        <v>SURVEI</v>
      </c>
      <c r="G108" s="5" t="str">
        <f ca="1">IFERROR(__xludf.DUMMYFUNCTION("""COMPUTED_VALUE"""),"PETUGAS ENTRI")</f>
        <v>PETUGAS ENTRI</v>
      </c>
      <c r="H108" s="5" t="str">
        <f t="array" aca="1" ref="H108" ca="1">IF(N108=1, INDEX('Database Mitra'!$C$2:$C993,MATCH($C108,'Database Mitra'!$AK$2:$AK993,0)),"")</f>
        <v>Nasrullah</v>
      </c>
      <c r="I108" s="71">
        <f ca="1">IF(N108=1,SUMIFS('Alokasi Honor'!$M$2:$M993,'Alokasi Honor'!$T$2:$T993,A108),"")</f>
        <v>1888500</v>
      </c>
      <c r="J108" s="10">
        <f ca="1">IFERROR(__xludf.DUMMYFUNCTION("COUNTIF(FILTER('Alokasi Honor'!$H$2:$H993,'Alokasi Honor'!$H$2:$H993=""OB"",'Alokasi Honor'!$T$2:$T993=A108),""OB"")"),0)</f>
        <v>0</v>
      </c>
      <c r="K108" s="10">
        <f t="shared" ca="1" si="1"/>
        <v>1</v>
      </c>
      <c r="L108" s="70">
        <f t="array" aca="1" ref="L108" ca="1">IF(N108=1,INDEX('Batasan Honor'!$B$2:$B993,MATCH(CONCATENATE($F108,"-",$G108),'Batasan Honor'!$G$2:$G993,0)),"")</f>
        <v>5400000</v>
      </c>
      <c r="M108" s="10">
        <f t="shared" ca="1" si="2"/>
        <v>1</v>
      </c>
      <c r="N108" s="10">
        <f t="shared" ca="1" si="3"/>
        <v>1</v>
      </c>
    </row>
    <row r="109" spans="1:14" ht="12.5">
      <c r="A109" s="10" t="str">
        <f ca="1">IFERROR(__xludf.DUMMYFUNCTION("""COMPUTED_VALUE"""),"610423110150-2024-3-SURVEI-PETUGAS ENTRI")</f>
        <v>610423110150-2024-3-SURVEI-PETUGAS ENTRI</v>
      </c>
      <c r="B109" s="5" t="str">
        <f t="shared" ca="1" si="0"/>
        <v>610423110150-2024-3</v>
      </c>
      <c r="C109" s="5">
        <f ca="1">IFERROR(__xludf.DUMMYFUNCTION("IF(N109=1,SPLIT(A109,""-""),"""")"),610423110150)</f>
        <v>610423110150</v>
      </c>
      <c r="D109" s="10">
        <f ca="1">IFERROR(__xludf.DUMMYFUNCTION("""COMPUTED_VALUE"""),2024)</f>
        <v>2024</v>
      </c>
      <c r="E109" s="10">
        <f ca="1">IFERROR(__xludf.DUMMYFUNCTION("""COMPUTED_VALUE"""),3)</f>
        <v>3</v>
      </c>
      <c r="F109" s="5" t="str">
        <f ca="1">IFERROR(__xludf.DUMMYFUNCTION("""COMPUTED_VALUE"""),"SURVEI")</f>
        <v>SURVEI</v>
      </c>
      <c r="G109" s="5" t="str">
        <f ca="1">IFERROR(__xludf.DUMMYFUNCTION("""COMPUTED_VALUE"""),"PETUGAS ENTRI")</f>
        <v>PETUGAS ENTRI</v>
      </c>
      <c r="H109" s="5" t="str">
        <f t="array" aca="1" ref="H109" ca="1">IF(N109=1, INDEX('Database Mitra'!$C$2:$C993,MATCH($C109,'Database Mitra'!$AK$2:$AK993,0)),"")</f>
        <v>Risa Yolani</v>
      </c>
      <c r="I109" s="71">
        <f ca="1">IF(N109=1,SUMIFS('Alokasi Honor'!$M$2:$M993,'Alokasi Honor'!$T$2:$T993,A109),"")</f>
        <v>1739000</v>
      </c>
      <c r="J109" s="10">
        <f ca="1">IFERROR(__xludf.DUMMYFUNCTION("COUNTIF(FILTER('Alokasi Honor'!$H$2:$H993,'Alokasi Honor'!$H$2:$H993=""OB"",'Alokasi Honor'!$T$2:$T993=A109),""OB"")"),0)</f>
        <v>0</v>
      </c>
      <c r="K109" s="10">
        <f t="shared" ca="1" si="1"/>
        <v>1</v>
      </c>
      <c r="L109" s="70">
        <f t="array" aca="1" ref="L109" ca="1">IF(N109=1,INDEX('Batasan Honor'!$B$2:$B993,MATCH(CONCATENATE($F109,"-",$G109),'Batasan Honor'!$G$2:$G993,0)),"")</f>
        <v>5400000</v>
      </c>
      <c r="M109" s="10">
        <f t="shared" ca="1" si="2"/>
        <v>1</v>
      </c>
      <c r="N109" s="10">
        <f t="shared" ca="1" si="3"/>
        <v>1</v>
      </c>
    </row>
    <row r="110" spans="1:14" ht="12.5">
      <c r="A110" s="10" t="str">
        <f ca="1">IFERROR(__xludf.DUMMYFUNCTION("""COMPUTED_VALUE"""),"610423110129-2024-3-SURVEI-PETUGAS ENTRI")</f>
        <v>610423110129-2024-3-SURVEI-PETUGAS ENTRI</v>
      </c>
      <c r="B110" s="5" t="str">
        <f t="shared" ca="1" si="0"/>
        <v>610423110129-2024-3</v>
      </c>
      <c r="C110" s="5">
        <f ca="1">IFERROR(__xludf.DUMMYFUNCTION("IF(N110=1,SPLIT(A110,""-""),"""")"),610423110129)</f>
        <v>610423110129</v>
      </c>
      <c r="D110" s="10">
        <f ca="1">IFERROR(__xludf.DUMMYFUNCTION("""COMPUTED_VALUE"""),2024)</f>
        <v>2024</v>
      </c>
      <c r="E110" s="10">
        <f ca="1">IFERROR(__xludf.DUMMYFUNCTION("""COMPUTED_VALUE"""),3)</f>
        <v>3</v>
      </c>
      <c r="F110" s="5" t="str">
        <f ca="1">IFERROR(__xludf.DUMMYFUNCTION("""COMPUTED_VALUE"""),"SURVEI")</f>
        <v>SURVEI</v>
      </c>
      <c r="G110" s="5" t="str">
        <f ca="1">IFERROR(__xludf.DUMMYFUNCTION("""COMPUTED_VALUE"""),"PETUGAS ENTRI")</f>
        <v>PETUGAS ENTRI</v>
      </c>
      <c r="H110" s="5" t="str">
        <f t="array" aca="1" ref="H110" ca="1">IF(N110=1, INDEX('Database Mitra'!$C$2:$C993,MATCH($C110,'Database Mitra'!$AK$2:$AK993,0)),"")</f>
        <v>Athalia Meifira</v>
      </c>
      <c r="I110" s="71">
        <f ca="1">IF(N110=1,SUMIFS('Alokasi Honor'!$M$2:$M993,'Alokasi Honor'!$T$2:$T993,A110),"")</f>
        <v>1849000</v>
      </c>
      <c r="J110" s="10">
        <f ca="1">IFERROR(__xludf.DUMMYFUNCTION("COUNTIF(FILTER('Alokasi Honor'!$H$2:$H993,'Alokasi Honor'!$H$2:$H993=""OB"",'Alokasi Honor'!$T$2:$T993=A110),""OB"")"),0)</f>
        <v>0</v>
      </c>
      <c r="K110" s="10">
        <f t="shared" ca="1" si="1"/>
        <v>1</v>
      </c>
      <c r="L110" s="70">
        <f t="array" aca="1" ref="L110" ca="1">IF(N110=1,INDEX('Batasan Honor'!$B$2:$B993,MATCH(CONCATENATE($F110,"-",$G110),'Batasan Honor'!$G$2:$G993,0)),"")</f>
        <v>5400000</v>
      </c>
      <c r="M110" s="10">
        <f t="shared" ca="1" si="2"/>
        <v>1</v>
      </c>
      <c r="N110" s="10">
        <f t="shared" ca="1" si="3"/>
        <v>1</v>
      </c>
    </row>
    <row r="111" spans="1:14" ht="12.5">
      <c r="A111" s="10" t="str">
        <f ca="1">IFERROR(__xludf.DUMMYFUNCTION("""COMPUTED_VALUE"""),"610422020029-2024-3-SURVEI-PML")</f>
        <v>610422020029-2024-3-SURVEI-PML</v>
      </c>
      <c r="B111" s="5" t="str">
        <f t="shared" ca="1" si="0"/>
        <v>610422020029-2024-3</v>
      </c>
      <c r="C111" s="5">
        <f ca="1">IFERROR(__xludf.DUMMYFUNCTION("IF(N111=1,SPLIT(A111,""-""),"""")"),610422020029)</f>
        <v>610422020029</v>
      </c>
      <c r="D111" s="10">
        <f ca="1">IFERROR(__xludf.DUMMYFUNCTION("""COMPUTED_VALUE"""),2024)</f>
        <v>2024</v>
      </c>
      <c r="E111" s="10">
        <f ca="1">IFERROR(__xludf.DUMMYFUNCTION("""COMPUTED_VALUE"""),3)</f>
        <v>3</v>
      </c>
      <c r="F111" s="5" t="str">
        <f ca="1">IFERROR(__xludf.DUMMYFUNCTION("""COMPUTED_VALUE"""),"SURVEI")</f>
        <v>SURVEI</v>
      </c>
      <c r="G111" s="5" t="str">
        <f ca="1">IFERROR(__xludf.DUMMYFUNCTION("""COMPUTED_VALUE"""),"PML")</f>
        <v>PML</v>
      </c>
      <c r="H111" s="5" t="str">
        <f t="array" aca="1" ref="H111" ca="1">IF(N111=1, INDEX('Database Mitra'!$C$2:$C993,MATCH($C111,'Database Mitra'!$AK$2:$AK993,0)),"")</f>
        <v>Kurniadi</v>
      </c>
      <c r="I111" s="71">
        <f ca="1">IF(N111=1,SUMIFS('Alokasi Honor'!$M$2:$M993,'Alokasi Honor'!$T$2:$T993,A111),"")</f>
        <v>2480000</v>
      </c>
      <c r="J111" s="10">
        <f ca="1">IFERROR(__xludf.DUMMYFUNCTION("COUNTIF(FILTER('Alokasi Honor'!$H$2:$H993,'Alokasi Honor'!$H$2:$H993=""OB"",'Alokasi Honor'!$T$2:$T993=A111),""OB"")"),0)</f>
        <v>0</v>
      </c>
      <c r="K111" s="10">
        <f t="shared" ca="1" si="1"/>
        <v>1</v>
      </c>
      <c r="L111" s="70">
        <f t="array" aca="1" ref="L111" ca="1">IF(N111=1,INDEX('Batasan Honor'!$B$2:$B993,MATCH(CONCATENATE($F111,"-",$G111),'Batasan Honor'!$G$2:$G993,0)),"")</f>
        <v>5400000</v>
      </c>
      <c r="M111" s="10">
        <f t="shared" ca="1" si="2"/>
        <v>1</v>
      </c>
      <c r="N111" s="10">
        <f t="shared" ca="1" si="3"/>
        <v>1</v>
      </c>
    </row>
    <row r="112" spans="1:14" ht="12.5">
      <c r="A112" s="10" t="str">
        <f ca="1">IFERROR(__xludf.DUMMYFUNCTION("""COMPUTED_VALUE"""),"610422020016-2024-3-SURVEI-PML")</f>
        <v>610422020016-2024-3-SURVEI-PML</v>
      </c>
      <c r="B112" s="5" t="str">
        <f t="shared" ca="1" si="0"/>
        <v>610422020016-2024-3</v>
      </c>
      <c r="C112" s="5">
        <f ca="1">IFERROR(__xludf.DUMMYFUNCTION("IF(N112=1,SPLIT(A112,""-""),"""")"),610422020016)</f>
        <v>610422020016</v>
      </c>
      <c r="D112" s="10">
        <f ca="1">IFERROR(__xludf.DUMMYFUNCTION("""COMPUTED_VALUE"""),2024)</f>
        <v>2024</v>
      </c>
      <c r="E112" s="10">
        <f ca="1">IFERROR(__xludf.DUMMYFUNCTION("""COMPUTED_VALUE"""),3)</f>
        <v>3</v>
      </c>
      <c r="F112" s="5" t="str">
        <f ca="1">IFERROR(__xludf.DUMMYFUNCTION("""COMPUTED_VALUE"""),"SURVEI")</f>
        <v>SURVEI</v>
      </c>
      <c r="G112" s="5" t="str">
        <f ca="1">IFERROR(__xludf.DUMMYFUNCTION("""COMPUTED_VALUE"""),"PML")</f>
        <v>PML</v>
      </c>
      <c r="H112" s="5" t="str">
        <f t="array" aca="1" ref="H112" ca="1">IF(N112=1, INDEX('Database Mitra'!$C$2:$C993,MATCH($C112,'Database Mitra'!$AK$2:$AK993,0)),"")</f>
        <v>Abdul Aziz</v>
      </c>
      <c r="I112" s="71">
        <f ca="1">IF(N112=1,SUMIFS('Alokasi Honor'!$M$2:$M993,'Alokasi Honor'!$T$2:$T993,A112),"")</f>
        <v>2480000</v>
      </c>
      <c r="J112" s="10">
        <f ca="1">IFERROR(__xludf.DUMMYFUNCTION("COUNTIF(FILTER('Alokasi Honor'!$H$2:$H993,'Alokasi Honor'!$H$2:$H993=""OB"",'Alokasi Honor'!$T$2:$T993=A112),""OB"")"),0)</f>
        <v>0</v>
      </c>
      <c r="K112" s="10">
        <f t="shared" ca="1" si="1"/>
        <v>2</v>
      </c>
      <c r="L112" s="70">
        <f t="array" aca="1" ref="L112" ca="1">IF(N112=1,INDEX('Batasan Honor'!$B$2:$B993,MATCH(CONCATENATE($F112,"-",$G112),'Batasan Honor'!$G$2:$G993,0)),"")</f>
        <v>5400000</v>
      </c>
      <c r="M112" s="10">
        <f t="shared" ca="1" si="2"/>
        <v>1</v>
      </c>
      <c r="N112" s="10">
        <f t="shared" ca="1" si="3"/>
        <v>1</v>
      </c>
    </row>
    <row r="113" spans="1:14" ht="12.5">
      <c r="A113" s="10" t="str">
        <f ca="1">IFERROR(__xludf.DUMMYFUNCTION("""COMPUTED_VALUE"""),"610422040031-2024-3-SURVEI-PML")</f>
        <v>610422040031-2024-3-SURVEI-PML</v>
      </c>
      <c r="B113" s="5" t="str">
        <f t="shared" ca="1" si="0"/>
        <v>610422040031-2024-3</v>
      </c>
      <c r="C113" s="5">
        <f ca="1">IFERROR(__xludf.DUMMYFUNCTION("IF(N113=1,SPLIT(A113,""-""),"""")"),610422040031)</f>
        <v>610422040031</v>
      </c>
      <c r="D113" s="10">
        <f ca="1">IFERROR(__xludf.DUMMYFUNCTION("""COMPUTED_VALUE"""),2024)</f>
        <v>2024</v>
      </c>
      <c r="E113" s="10">
        <f ca="1">IFERROR(__xludf.DUMMYFUNCTION("""COMPUTED_VALUE"""),3)</f>
        <v>3</v>
      </c>
      <c r="F113" s="5" t="str">
        <f ca="1">IFERROR(__xludf.DUMMYFUNCTION("""COMPUTED_VALUE"""),"SURVEI")</f>
        <v>SURVEI</v>
      </c>
      <c r="G113" s="5" t="str">
        <f ca="1">IFERROR(__xludf.DUMMYFUNCTION("""COMPUTED_VALUE"""),"PML")</f>
        <v>PML</v>
      </c>
      <c r="H113" s="5" t="str">
        <f t="array" aca="1" ref="H113" ca="1">IF(N113=1, INDEX('Database Mitra'!$C$2:$C993,MATCH($C113,'Database Mitra'!$AK$2:$AK993,0)),"")</f>
        <v>IMAM FAJRI MUSLIM</v>
      </c>
      <c r="I113" s="71">
        <f ca="1">IF(N113=1,SUMIFS('Alokasi Honor'!$M$2:$M993,'Alokasi Honor'!$T$2:$T993,A113),"")</f>
        <v>2480000</v>
      </c>
      <c r="J113" s="10">
        <f ca="1">IFERROR(__xludf.DUMMYFUNCTION("COUNTIF(FILTER('Alokasi Honor'!$H$2:$H993,'Alokasi Honor'!$H$2:$H993=""OB"",'Alokasi Honor'!$T$2:$T993=A113),""OB"")"),0)</f>
        <v>0</v>
      </c>
      <c r="K113" s="10">
        <f t="shared" ca="1" si="1"/>
        <v>1</v>
      </c>
      <c r="L113" s="70">
        <f t="array" aca="1" ref="L113" ca="1">IF(N113=1,INDEX('Batasan Honor'!$B$2:$B993,MATCH(CONCATENATE($F113,"-",$G113),'Batasan Honor'!$G$2:$G993,0)),"")</f>
        <v>5400000</v>
      </c>
      <c r="M113" s="10">
        <f t="shared" ca="1" si="2"/>
        <v>1</v>
      </c>
      <c r="N113" s="10">
        <f t="shared" ca="1" si="3"/>
        <v>1</v>
      </c>
    </row>
    <row r="114" spans="1:14" ht="12.5">
      <c r="A114" s="10" t="str">
        <f ca="1">IFERROR(__xludf.DUMMYFUNCTION("""COMPUTED_VALUE"""),"610422040005-2024-3-SURVEI-PML")</f>
        <v>610422040005-2024-3-SURVEI-PML</v>
      </c>
      <c r="B114" s="5" t="str">
        <f t="shared" ca="1" si="0"/>
        <v>610422040005-2024-3</v>
      </c>
      <c r="C114" s="5">
        <f ca="1">IFERROR(__xludf.DUMMYFUNCTION("IF(N114=1,SPLIT(A114,""-""),"""")"),610422040005)</f>
        <v>610422040005</v>
      </c>
      <c r="D114" s="10">
        <f ca="1">IFERROR(__xludf.DUMMYFUNCTION("""COMPUTED_VALUE"""),2024)</f>
        <v>2024</v>
      </c>
      <c r="E114" s="10">
        <f ca="1">IFERROR(__xludf.DUMMYFUNCTION("""COMPUTED_VALUE"""),3)</f>
        <v>3</v>
      </c>
      <c r="F114" s="5" t="str">
        <f ca="1">IFERROR(__xludf.DUMMYFUNCTION("""COMPUTED_VALUE"""),"SURVEI")</f>
        <v>SURVEI</v>
      </c>
      <c r="G114" s="5" t="str">
        <f ca="1">IFERROR(__xludf.DUMMYFUNCTION("""COMPUTED_VALUE"""),"PML")</f>
        <v>PML</v>
      </c>
      <c r="H114" s="5" t="str">
        <f t="array" aca="1" ref="H114" ca="1">IF(N114=1, INDEX('Database Mitra'!$C$2:$C993,MATCH($C114,'Database Mitra'!$AK$2:$AK993,0)),"")</f>
        <v>NANDA ARISKA</v>
      </c>
      <c r="I114" s="71">
        <f ca="1">IF(N114=1,SUMIFS('Alokasi Honor'!$M$2:$M993,'Alokasi Honor'!$T$2:$T993,A114),"")</f>
        <v>2480000</v>
      </c>
      <c r="J114" s="10">
        <f ca="1">IFERROR(__xludf.DUMMYFUNCTION("COUNTIF(FILTER('Alokasi Honor'!$H$2:$H993,'Alokasi Honor'!$H$2:$H993=""OB"",'Alokasi Honor'!$T$2:$T993=A114),""OB"")"),0)</f>
        <v>0</v>
      </c>
      <c r="K114" s="10">
        <f t="shared" ca="1" si="1"/>
        <v>1</v>
      </c>
      <c r="L114" s="70">
        <f t="array" aca="1" ref="L114" ca="1">IF(N114=1,INDEX('Batasan Honor'!$B$2:$B993,MATCH(CONCATENATE($F114,"-",$G114),'Batasan Honor'!$G$2:$G993,0)),"")</f>
        <v>5400000</v>
      </c>
      <c r="M114" s="10">
        <f t="shared" ca="1" si="2"/>
        <v>1</v>
      </c>
      <c r="N114" s="10">
        <f t="shared" ca="1" si="3"/>
        <v>1</v>
      </c>
    </row>
    <row r="115" spans="1:14" ht="12.5">
      <c r="A115" s="10" t="str">
        <f ca="1">IFERROR(__xludf.DUMMYFUNCTION("""COMPUTED_VALUE"""),"610422040038-2024-3-SURVEI-PML")</f>
        <v>610422040038-2024-3-SURVEI-PML</v>
      </c>
      <c r="B115" s="5" t="str">
        <f t="shared" ca="1" si="0"/>
        <v>610422040038-2024-3</v>
      </c>
      <c r="C115" s="5">
        <f ca="1">IFERROR(__xludf.DUMMYFUNCTION("IF(N115=1,SPLIT(A115,""-""),"""")"),610422040038)</f>
        <v>610422040038</v>
      </c>
      <c r="D115" s="10">
        <f ca="1">IFERROR(__xludf.DUMMYFUNCTION("""COMPUTED_VALUE"""),2024)</f>
        <v>2024</v>
      </c>
      <c r="E115" s="10">
        <f ca="1">IFERROR(__xludf.DUMMYFUNCTION("""COMPUTED_VALUE"""),3)</f>
        <v>3</v>
      </c>
      <c r="F115" s="5" t="str">
        <f ca="1">IFERROR(__xludf.DUMMYFUNCTION("""COMPUTED_VALUE"""),"SURVEI")</f>
        <v>SURVEI</v>
      </c>
      <c r="G115" s="5" t="str">
        <f ca="1">IFERROR(__xludf.DUMMYFUNCTION("""COMPUTED_VALUE"""),"PML")</f>
        <v>PML</v>
      </c>
      <c r="H115" s="5" t="str">
        <f t="array" aca="1" ref="H115" ca="1">IF(N115=1, INDEX('Database Mitra'!$C$2:$C993,MATCH($C115,'Database Mitra'!$AK$2:$AK993,0)),"")</f>
        <v>YUYUN ANTONI, S.E.</v>
      </c>
      <c r="I115" s="71">
        <f ca="1">IF(N115=1,SUMIFS('Alokasi Honor'!$M$2:$M993,'Alokasi Honor'!$T$2:$T993,A115),"")</f>
        <v>2480000</v>
      </c>
      <c r="J115" s="10">
        <f ca="1">IFERROR(__xludf.DUMMYFUNCTION("COUNTIF(FILTER('Alokasi Honor'!$H$2:$H993,'Alokasi Honor'!$H$2:$H993=""OB"",'Alokasi Honor'!$T$2:$T993=A115),""OB"")"),0)</f>
        <v>0</v>
      </c>
      <c r="K115" s="10">
        <f t="shared" ca="1" si="1"/>
        <v>1</v>
      </c>
      <c r="L115" s="70">
        <f t="array" aca="1" ref="L115" ca="1">IF(N115=1,INDEX('Batasan Honor'!$B$2:$B993,MATCH(CONCATENATE($F115,"-",$G115),'Batasan Honor'!$G$2:$G993,0)),"")</f>
        <v>5400000</v>
      </c>
      <c r="M115" s="10">
        <f t="shared" ca="1" si="2"/>
        <v>1</v>
      </c>
      <c r="N115" s="10">
        <f t="shared" ca="1" si="3"/>
        <v>1</v>
      </c>
    </row>
    <row r="116" spans="1:14" ht="12.5">
      <c r="A116" s="10" t="str">
        <f ca="1">IFERROR(__xludf.DUMMYFUNCTION("""COMPUTED_VALUE"""),"610422040030-2024-3-SURVEI-PML")</f>
        <v>610422040030-2024-3-SURVEI-PML</v>
      </c>
      <c r="B116" s="5" t="str">
        <f t="shared" ca="1" si="0"/>
        <v>610422040030-2024-3</v>
      </c>
      <c r="C116" s="5">
        <f ca="1">IFERROR(__xludf.DUMMYFUNCTION("IF(N116=1,SPLIT(A116,""-""),"""")"),610422040030)</f>
        <v>610422040030</v>
      </c>
      <c r="D116" s="10">
        <f ca="1">IFERROR(__xludf.DUMMYFUNCTION("""COMPUTED_VALUE"""),2024)</f>
        <v>2024</v>
      </c>
      <c r="E116" s="10">
        <f ca="1">IFERROR(__xludf.DUMMYFUNCTION("""COMPUTED_VALUE"""),3)</f>
        <v>3</v>
      </c>
      <c r="F116" s="5" t="str">
        <f ca="1">IFERROR(__xludf.DUMMYFUNCTION("""COMPUTED_VALUE"""),"SURVEI")</f>
        <v>SURVEI</v>
      </c>
      <c r="G116" s="5" t="str">
        <f ca="1">IFERROR(__xludf.DUMMYFUNCTION("""COMPUTED_VALUE"""),"PML")</f>
        <v>PML</v>
      </c>
      <c r="H116" s="5" t="str">
        <f t="array" aca="1" ref="H116" ca="1">IF(N116=1, INDEX('Database Mitra'!$C$2:$C993,MATCH($C116,'Database Mitra'!$AK$2:$AK993,0)),"")</f>
        <v>Syarifah Desti Pratiwi</v>
      </c>
      <c r="I116" s="71">
        <f ca="1">IF(N116=1,SUMIFS('Alokasi Honor'!$M$2:$M993,'Alokasi Honor'!$T$2:$T993,A116),"")</f>
        <v>2480000</v>
      </c>
      <c r="J116" s="10">
        <f ca="1">IFERROR(__xludf.DUMMYFUNCTION("COUNTIF(FILTER('Alokasi Honor'!$H$2:$H993,'Alokasi Honor'!$H$2:$H993=""OB"",'Alokasi Honor'!$T$2:$T993=A116),""OB"")"),0)</f>
        <v>0</v>
      </c>
      <c r="K116" s="10">
        <f t="shared" ca="1" si="1"/>
        <v>2</v>
      </c>
      <c r="L116" s="70">
        <f t="array" aca="1" ref="L116" ca="1">IF(N116=1,INDEX('Batasan Honor'!$B$2:$B993,MATCH(CONCATENATE($F116,"-",$G116),'Batasan Honor'!$G$2:$G993,0)),"")</f>
        <v>5400000</v>
      </c>
      <c r="M116" s="10">
        <f t="shared" ca="1" si="2"/>
        <v>1</v>
      </c>
      <c r="N116" s="10">
        <f t="shared" ca="1" si="3"/>
        <v>1</v>
      </c>
    </row>
    <row r="117" spans="1:14" ht="12.5">
      <c r="A117" s="10" t="str">
        <f ca="1">IFERROR(__xludf.DUMMYFUNCTION("""COMPUTED_VALUE"""),"610422040062-2024-3-SURVEI-PML")</f>
        <v>610422040062-2024-3-SURVEI-PML</v>
      </c>
      <c r="B117" s="5" t="str">
        <f t="shared" ca="1" si="0"/>
        <v>610422040062-2024-3</v>
      </c>
      <c r="C117" s="5">
        <f ca="1">IFERROR(__xludf.DUMMYFUNCTION("IF(N117=1,SPLIT(A117,""-""),"""")"),610422040062)</f>
        <v>610422040062</v>
      </c>
      <c r="D117" s="10">
        <f ca="1">IFERROR(__xludf.DUMMYFUNCTION("""COMPUTED_VALUE"""),2024)</f>
        <v>2024</v>
      </c>
      <c r="E117" s="10">
        <f ca="1">IFERROR(__xludf.DUMMYFUNCTION("""COMPUTED_VALUE"""),3)</f>
        <v>3</v>
      </c>
      <c r="F117" s="5" t="str">
        <f ca="1">IFERROR(__xludf.DUMMYFUNCTION("""COMPUTED_VALUE"""),"SURVEI")</f>
        <v>SURVEI</v>
      </c>
      <c r="G117" s="5" t="str">
        <f ca="1">IFERROR(__xludf.DUMMYFUNCTION("""COMPUTED_VALUE"""),"PML")</f>
        <v>PML</v>
      </c>
      <c r="H117" s="5" t="str">
        <f t="array" aca="1" ref="H117" ca="1">IF(N117=1, INDEX('Database Mitra'!$C$2:$C993,MATCH($C117,'Database Mitra'!$AK$2:$AK993,0)),"")</f>
        <v>Yudi Wahyudi</v>
      </c>
      <c r="I117" s="71">
        <f ca="1">IF(N117=1,SUMIFS('Alokasi Honor'!$M$2:$M993,'Alokasi Honor'!$T$2:$T993,A117),"")</f>
        <v>2480000</v>
      </c>
      <c r="J117" s="10">
        <f ca="1">IFERROR(__xludf.DUMMYFUNCTION("COUNTIF(FILTER('Alokasi Honor'!$H$2:$H993,'Alokasi Honor'!$H$2:$H993=""OB"",'Alokasi Honor'!$T$2:$T993=A117),""OB"")"),0)</f>
        <v>0</v>
      </c>
      <c r="K117" s="10">
        <f t="shared" ca="1" si="1"/>
        <v>1</v>
      </c>
      <c r="L117" s="70">
        <f t="array" aca="1" ref="L117" ca="1">IF(N117=1,INDEX('Batasan Honor'!$B$2:$B993,MATCH(CONCATENATE($F117,"-",$G117),'Batasan Honor'!$G$2:$G993,0)),"")</f>
        <v>5400000</v>
      </c>
      <c r="M117" s="10">
        <f t="shared" ca="1" si="2"/>
        <v>1</v>
      </c>
      <c r="N117" s="10">
        <f t="shared" ca="1" si="3"/>
        <v>1</v>
      </c>
    </row>
    <row r="118" spans="1:14" ht="12.5">
      <c r="A118" s="10" t="str">
        <f ca="1">IFERROR(__xludf.DUMMYFUNCTION("""COMPUTED_VALUE"""),"610422100274-2024-3-SURVEI-PML")</f>
        <v>610422100274-2024-3-SURVEI-PML</v>
      </c>
      <c r="B118" s="5" t="str">
        <f t="shared" ca="1" si="0"/>
        <v>610422100274-2024-3</v>
      </c>
      <c r="C118" s="5">
        <f ca="1">IFERROR(__xludf.DUMMYFUNCTION("IF(N118=1,SPLIT(A118,""-""),"""")"),610422100274)</f>
        <v>610422100274</v>
      </c>
      <c r="D118" s="10">
        <f ca="1">IFERROR(__xludf.DUMMYFUNCTION("""COMPUTED_VALUE"""),2024)</f>
        <v>2024</v>
      </c>
      <c r="E118" s="10">
        <f ca="1">IFERROR(__xludf.DUMMYFUNCTION("""COMPUTED_VALUE"""),3)</f>
        <v>3</v>
      </c>
      <c r="F118" s="5" t="str">
        <f ca="1">IFERROR(__xludf.DUMMYFUNCTION("""COMPUTED_VALUE"""),"SURVEI")</f>
        <v>SURVEI</v>
      </c>
      <c r="G118" s="5" t="str">
        <f ca="1">IFERROR(__xludf.DUMMYFUNCTION("""COMPUTED_VALUE"""),"PML")</f>
        <v>PML</v>
      </c>
      <c r="H118" s="5" t="str">
        <f t="array" aca="1" ref="H118" ca="1">IF(N118=1, INDEX('Database Mitra'!$C$2:$C993,MATCH($C118,'Database Mitra'!$AK$2:$AK993,0)),"")</f>
        <v>Anisatunnabilah</v>
      </c>
      <c r="I118" s="71">
        <f ca="1">IF(N118=1,SUMIFS('Alokasi Honor'!$M$2:$M993,'Alokasi Honor'!$T$2:$T993,A118),"")</f>
        <v>2480000</v>
      </c>
      <c r="J118" s="10">
        <f ca="1">IFERROR(__xludf.DUMMYFUNCTION("COUNTIF(FILTER('Alokasi Honor'!$H$2:$H993,'Alokasi Honor'!$H$2:$H993=""OB"",'Alokasi Honor'!$T$2:$T993=A118),""OB"")"),0)</f>
        <v>0</v>
      </c>
      <c r="K118" s="10">
        <f t="shared" ca="1" si="1"/>
        <v>1</v>
      </c>
      <c r="L118" s="70">
        <f t="array" aca="1" ref="L118" ca="1">IF(N118=1,INDEX('Batasan Honor'!$B$2:$B993,MATCH(CONCATENATE($F118,"-",$G118),'Batasan Honor'!$G$2:$G993,0)),"")</f>
        <v>5400000</v>
      </c>
      <c r="M118" s="10">
        <f t="shared" ca="1" si="2"/>
        <v>1</v>
      </c>
      <c r="N118" s="10">
        <f t="shared" ca="1" si="3"/>
        <v>1</v>
      </c>
    </row>
    <row r="119" spans="1:14" ht="12.5">
      <c r="A119" s="10" t="str">
        <f ca="1">IFERROR(__xludf.DUMMYFUNCTION("""COMPUTED_VALUE"""),"610422100108-2024-3-SURVEI-PML")</f>
        <v>610422100108-2024-3-SURVEI-PML</v>
      </c>
      <c r="B119" s="5" t="str">
        <f t="shared" ca="1" si="0"/>
        <v>610422100108-2024-3</v>
      </c>
      <c r="C119" s="5">
        <f ca="1">IFERROR(__xludf.DUMMYFUNCTION("IF(N119=1,SPLIT(A119,""-""),"""")"),610422100108)</f>
        <v>610422100108</v>
      </c>
      <c r="D119" s="10">
        <f ca="1">IFERROR(__xludf.DUMMYFUNCTION("""COMPUTED_VALUE"""),2024)</f>
        <v>2024</v>
      </c>
      <c r="E119" s="10">
        <f ca="1">IFERROR(__xludf.DUMMYFUNCTION("""COMPUTED_VALUE"""),3)</f>
        <v>3</v>
      </c>
      <c r="F119" s="5" t="str">
        <f ca="1">IFERROR(__xludf.DUMMYFUNCTION("""COMPUTED_VALUE"""),"SURVEI")</f>
        <v>SURVEI</v>
      </c>
      <c r="G119" s="5" t="str">
        <f ca="1">IFERROR(__xludf.DUMMYFUNCTION("""COMPUTED_VALUE"""),"PML")</f>
        <v>PML</v>
      </c>
      <c r="H119" s="5" t="str">
        <f t="array" aca="1" ref="H119" ca="1">IF(N119=1, INDEX('Database Mitra'!$C$2:$C993,MATCH($C119,'Database Mitra'!$AK$2:$AK993,0)),"")</f>
        <v>Ermi Tiyarni</v>
      </c>
      <c r="I119" s="71">
        <f ca="1">IF(N119=1,SUMIFS('Alokasi Honor'!$M$2:$M993,'Alokasi Honor'!$T$2:$T993,A119),"")</f>
        <v>2480000</v>
      </c>
      <c r="J119" s="10">
        <f ca="1">IFERROR(__xludf.DUMMYFUNCTION("COUNTIF(FILTER('Alokasi Honor'!$H$2:$H993,'Alokasi Honor'!$H$2:$H993=""OB"",'Alokasi Honor'!$T$2:$T993=A119),""OB"")"),0)</f>
        <v>0</v>
      </c>
      <c r="K119" s="10">
        <f t="shared" ca="1" si="1"/>
        <v>1</v>
      </c>
      <c r="L119" s="70">
        <f t="array" aca="1" ref="L119" ca="1">IF(N119=1,INDEX('Batasan Honor'!$B$2:$B993,MATCH(CONCATENATE($F119,"-",$G119),'Batasan Honor'!$G$2:$G993,0)),"")</f>
        <v>5400000</v>
      </c>
      <c r="M119" s="10">
        <f t="shared" ca="1" si="2"/>
        <v>1</v>
      </c>
      <c r="N119" s="10">
        <f t="shared" ca="1" si="3"/>
        <v>1</v>
      </c>
    </row>
    <row r="120" spans="1:14" ht="12.5">
      <c r="A120" s="10" t="str">
        <f ca="1">IFERROR(__xludf.DUMMYFUNCTION("""COMPUTED_VALUE"""),"610423040016-2024-3-SURVEI-PML")</f>
        <v>610423040016-2024-3-SURVEI-PML</v>
      </c>
      <c r="B120" s="5" t="str">
        <f t="shared" ca="1" si="0"/>
        <v>610423040016-2024-3</v>
      </c>
      <c r="C120" s="5">
        <f ca="1">IFERROR(__xludf.DUMMYFUNCTION("IF(N120=1,SPLIT(A120,""-""),"""")"),610423040016)</f>
        <v>610423040016</v>
      </c>
      <c r="D120" s="10">
        <f ca="1">IFERROR(__xludf.DUMMYFUNCTION("""COMPUTED_VALUE"""),2024)</f>
        <v>2024</v>
      </c>
      <c r="E120" s="10">
        <f ca="1">IFERROR(__xludf.DUMMYFUNCTION("""COMPUTED_VALUE"""),3)</f>
        <v>3</v>
      </c>
      <c r="F120" s="5" t="str">
        <f ca="1">IFERROR(__xludf.DUMMYFUNCTION("""COMPUTED_VALUE"""),"SURVEI")</f>
        <v>SURVEI</v>
      </c>
      <c r="G120" s="5" t="str">
        <f ca="1">IFERROR(__xludf.DUMMYFUNCTION("""COMPUTED_VALUE"""),"PML")</f>
        <v>PML</v>
      </c>
      <c r="H120" s="5" t="str">
        <f t="array" aca="1" ref="H120" ca="1">IF(N120=1, INDEX('Database Mitra'!$C$2:$C993,MATCH($C120,'Database Mitra'!$AK$2:$AK993,0)),"")</f>
        <v>Fairuztia Atiqah Putri</v>
      </c>
      <c r="I120" s="71">
        <f ca="1">IF(N120=1,SUMIFS('Alokasi Honor'!$M$2:$M993,'Alokasi Honor'!$T$2:$T993,A120),"")</f>
        <v>2480000</v>
      </c>
      <c r="J120" s="10">
        <f ca="1">IFERROR(__xludf.DUMMYFUNCTION("COUNTIF(FILTER('Alokasi Honor'!$H$2:$H993,'Alokasi Honor'!$H$2:$H993=""OB"",'Alokasi Honor'!$T$2:$T993=A120),""OB"")"),0)</f>
        <v>0</v>
      </c>
      <c r="K120" s="10">
        <f t="shared" ca="1" si="1"/>
        <v>1</v>
      </c>
      <c r="L120" s="70">
        <f t="array" aca="1" ref="L120" ca="1">IF(N120=1,INDEX('Batasan Honor'!$B$2:$B993,MATCH(CONCATENATE($F120,"-",$G120),'Batasan Honor'!$G$2:$G993,0)),"")</f>
        <v>5400000</v>
      </c>
      <c r="M120" s="10">
        <f t="shared" ca="1" si="2"/>
        <v>1</v>
      </c>
      <c r="N120" s="10">
        <f t="shared" ca="1" si="3"/>
        <v>1</v>
      </c>
    </row>
    <row r="121" spans="1:14" ht="12.5">
      <c r="A121" s="10" t="str">
        <f ca="1">IFERROR(__xludf.DUMMYFUNCTION("""COMPUTED_VALUE"""),"610422100032-2024-3-SURVEI-PML")</f>
        <v>610422100032-2024-3-SURVEI-PML</v>
      </c>
      <c r="B121" s="5" t="str">
        <f t="shared" ca="1" si="0"/>
        <v>610422100032-2024-3</v>
      </c>
      <c r="C121" s="5">
        <f ca="1">IFERROR(__xludf.DUMMYFUNCTION("IF(N121=1,SPLIT(A121,""-""),"""")"),610422100032)</f>
        <v>610422100032</v>
      </c>
      <c r="D121" s="10">
        <f ca="1">IFERROR(__xludf.DUMMYFUNCTION("""COMPUTED_VALUE"""),2024)</f>
        <v>2024</v>
      </c>
      <c r="E121" s="10">
        <f ca="1">IFERROR(__xludf.DUMMYFUNCTION("""COMPUTED_VALUE"""),3)</f>
        <v>3</v>
      </c>
      <c r="F121" s="5" t="str">
        <f ca="1">IFERROR(__xludf.DUMMYFUNCTION("""COMPUTED_VALUE"""),"SURVEI")</f>
        <v>SURVEI</v>
      </c>
      <c r="G121" s="5" t="str">
        <f ca="1">IFERROR(__xludf.DUMMYFUNCTION("""COMPUTED_VALUE"""),"PML")</f>
        <v>PML</v>
      </c>
      <c r="H121" s="5" t="str">
        <f t="array" aca="1" ref="H121" ca="1">IF(N121=1, INDEX('Database Mitra'!$C$2:$C993,MATCH($C121,'Database Mitra'!$AK$2:$AK993,0)),"")</f>
        <v>Muhammad Rizki Pratomo</v>
      </c>
      <c r="I121" s="71">
        <f ca="1">IF(N121=1,SUMIFS('Alokasi Honor'!$M$2:$M993,'Alokasi Honor'!$T$2:$T993,A121),"")</f>
        <v>2480000</v>
      </c>
      <c r="J121" s="10">
        <f ca="1">IFERROR(__xludf.DUMMYFUNCTION("COUNTIF(FILTER('Alokasi Honor'!$H$2:$H993,'Alokasi Honor'!$H$2:$H993=""OB"",'Alokasi Honor'!$T$2:$T993=A121),""OB"")"),0)</f>
        <v>0</v>
      </c>
      <c r="K121" s="10">
        <f t="shared" ca="1" si="1"/>
        <v>1</v>
      </c>
      <c r="L121" s="70">
        <f t="array" aca="1" ref="L121" ca="1">IF(N121=1,INDEX('Batasan Honor'!$B$2:$B993,MATCH(CONCATENATE($F121,"-",$G121),'Batasan Honor'!$G$2:$G993,0)),"")</f>
        <v>5400000</v>
      </c>
      <c r="M121" s="10">
        <f t="shared" ca="1" si="2"/>
        <v>1</v>
      </c>
      <c r="N121" s="10">
        <f t="shared" ca="1" si="3"/>
        <v>1</v>
      </c>
    </row>
    <row r="122" spans="1:14" ht="12.5">
      <c r="A122" s="10" t="str">
        <f ca="1">IFERROR(__xludf.DUMMYFUNCTION("""COMPUTED_VALUE"""),"610422100244-2024-3-SURVEI-PML")</f>
        <v>610422100244-2024-3-SURVEI-PML</v>
      </c>
      <c r="B122" s="5" t="str">
        <f t="shared" ca="1" si="0"/>
        <v>610422100244-2024-3</v>
      </c>
      <c r="C122" s="5">
        <f ca="1">IFERROR(__xludf.DUMMYFUNCTION("IF(N122=1,SPLIT(A122,""-""),"""")"),610422100244)</f>
        <v>610422100244</v>
      </c>
      <c r="D122" s="10">
        <f ca="1">IFERROR(__xludf.DUMMYFUNCTION("""COMPUTED_VALUE"""),2024)</f>
        <v>2024</v>
      </c>
      <c r="E122" s="10">
        <f ca="1">IFERROR(__xludf.DUMMYFUNCTION("""COMPUTED_VALUE"""),3)</f>
        <v>3</v>
      </c>
      <c r="F122" s="5" t="str">
        <f ca="1">IFERROR(__xludf.DUMMYFUNCTION("""COMPUTED_VALUE"""),"SURVEI")</f>
        <v>SURVEI</v>
      </c>
      <c r="G122" s="5" t="str">
        <f ca="1">IFERROR(__xludf.DUMMYFUNCTION("""COMPUTED_VALUE"""),"PML")</f>
        <v>PML</v>
      </c>
      <c r="H122" s="5" t="str">
        <f t="array" aca="1" ref="H122" ca="1">IF(N122=1, INDEX('Database Mitra'!$C$2:$C993,MATCH($C122,'Database Mitra'!$AK$2:$AK993,0)),"")</f>
        <v>Sugianto</v>
      </c>
      <c r="I122" s="71">
        <f ca="1">IF(N122=1,SUMIFS('Alokasi Honor'!$M$2:$M993,'Alokasi Honor'!$T$2:$T993,A122),"")</f>
        <v>2480000</v>
      </c>
      <c r="J122" s="10">
        <f ca="1">IFERROR(__xludf.DUMMYFUNCTION("COUNTIF(FILTER('Alokasi Honor'!$H$2:$H993,'Alokasi Honor'!$H$2:$H993=""OB"",'Alokasi Honor'!$T$2:$T993=A122),""OB"")"),0)</f>
        <v>0</v>
      </c>
      <c r="K122" s="10">
        <f t="shared" ca="1" si="1"/>
        <v>2</v>
      </c>
      <c r="L122" s="70">
        <f t="array" aca="1" ref="L122" ca="1">IF(N122=1,INDEX('Batasan Honor'!$B$2:$B993,MATCH(CONCATENATE($F122,"-",$G122),'Batasan Honor'!$G$2:$G993,0)),"")</f>
        <v>5400000</v>
      </c>
      <c r="M122" s="10">
        <f t="shared" ca="1" si="2"/>
        <v>1</v>
      </c>
      <c r="N122" s="10">
        <f t="shared" ca="1" si="3"/>
        <v>1</v>
      </c>
    </row>
    <row r="123" spans="1:14" ht="12.5">
      <c r="A123" s="10" t="str">
        <f ca="1">IFERROR(__xludf.DUMMYFUNCTION("""COMPUTED_VALUE"""),"610422100256-2024-3-SURVEI-PPL")</f>
        <v>610422100256-2024-3-SURVEI-PPL</v>
      </c>
      <c r="B123" s="5" t="str">
        <f t="shared" ca="1" si="0"/>
        <v>610422100256-2024-3</v>
      </c>
      <c r="C123" s="5">
        <f ca="1">IFERROR(__xludf.DUMMYFUNCTION("IF(N123=1,SPLIT(A123,""-""),"""")"),610422100256)</f>
        <v>610422100256</v>
      </c>
      <c r="D123" s="10">
        <f ca="1">IFERROR(__xludf.DUMMYFUNCTION("""COMPUTED_VALUE"""),2024)</f>
        <v>2024</v>
      </c>
      <c r="E123" s="10">
        <f ca="1">IFERROR(__xludf.DUMMYFUNCTION("""COMPUTED_VALUE"""),3)</f>
        <v>3</v>
      </c>
      <c r="F123" s="5" t="str">
        <f ca="1">IFERROR(__xludf.DUMMYFUNCTION("""COMPUTED_VALUE"""),"SURVEI")</f>
        <v>SURVEI</v>
      </c>
      <c r="G123" s="5" t="str">
        <f ca="1">IFERROR(__xludf.DUMMYFUNCTION("""COMPUTED_VALUE"""),"PPL")</f>
        <v>PPL</v>
      </c>
      <c r="H123" s="5" t="str">
        <f t="array" aca="1" ref="H123" ca="1">IF(N123=1, INDEX('Database Mitra'!$C$2:$C993,MATCH($C123,'Database Mitra'!$AK$2:$AK993,0)),"")</f>
        <v>Meta</v>
      </c>
      <c r="I123" s="71">
        <f ca="1">IF(N123=1,SUMIFS('Alokasi Honor'!$M$2:$M993,'Alokasi Honor'!$T$2:$T993,A123),"")</f>
        <v>1190000</v>
      </c>
      <c r="J123" s="10">
        <f ca="1">IFERROR(__xludf.DUMMYFUNCTION("COUNTIF(FILTER('Alokasi Honor'!$H$2:$H993,'Alokasi Honor'!$H$2:$H993=""OB"",'Alokasi Honor'!$T$2:$T993=A123),""OB"")"),0)</f>
        <v>0</v>
      </c>
      <c r="K123" s="10">
        <f t="shared" ca="1" si="1"/>
        <v>1</v>
      </c>
      <c r="L123" s="70">
        <f t="array" aca="1" ref="L123" ca="1">IF(N123=1,INDEX('Batasan Honor'!$B$2:$B993,MATCH(CONCATENATE($F123,"-",$G123),'Batasan Honor'!$G$2:$G993,0)),"")</f>
        <v>5400000</v>
      </c>
      <c r="M123" s="10">
        <f t="shared" ca="1" si="2"/>
        <v>1</v>
      </c>
      <c r="N123" s="10">
        <f t="shared" ca="1" si="3"/>
        <v>1</v>
      </c>
    </row>
    <row r="124" spans="1:14" ht="12.5">
      <c r="A124" s="10" t="str">
        <f ca="1">IFERROR(__xludf.DUMMYFUNCTION("""COMPUTED_VALUE"""),"610422100055-2024-3-SURVEI-PPL")</f>
        <v>610422100055-2024-3-SURVEI-PPL</v>
      </c>
      <c r="B124" s="5" t="str">
        <f t="shared" ca="1" si="0"/>
        <v>610422100055-2024-3</v>
      </c>
      <c r="C124" s="5">
        <f ca="1">IFERROR(__xludf.DUMMYFUNCTION("IF(N124=1,SPLIT(A124,""-""),"""")"),610422100055)</f>
        <v>610422100055</v>
      </c>
      <c r="D124" s="10">
        <f ca="1">IFERROR(__xludf.DUMMYFUNCTION("""COMPUTED_VALUE"""),2024)</f>
        <v>2024</v>
      </c>
      <c r="E124" s="10">
        <f ca="1">IFERROR(__xludf.DUMMYFUNCTION("""COMPUTED_VALUE"""),3)</f>
        <v>3</v>
      </c>
      <c r="F124" s="5" t="str">
        <f ca="1">IFERROR(__xludf.DUMMYFUNCTION("""COMPUTED_VALUE"""),"SURVEI")</f>
        <v>SURVEI</v>
      </c>
      <c r="G124" s="5" t="str">
        <f ca="1">IFERROR(__xludf.DUMMYFUNCTION("""COMPUTED_VALUE"""),"PPL")</f>
        <v>PPL</v>
      </c>
      <c r="H124" s="5" t="str">
        <f t="array" aca="1" ref="H124" ca="1">IF(N124=1, INDEX('Database Mitra'!$C$2:$C993,MATCH($C124,'Database Mitra'!$AK$2:$AK993,0)),"")</f>
        <v>Vika Rizkiani</v>
      </c>
      <c r="I124" s="71">
        <f ca="1">IF(N124=1,SUMIFS('Alokasi Honor'!$M$2:$M993,'Alokasi Honor'!$T$2:$T993,A124),"")</f>
        <v>1190000</v>
      </c>
      <c r="J124" s="10">
        <f ca="1">IFERROR(__xludf.DUMMYFUNCTION("COUNTIF(FILTER('Alokasi Honor'!$H$2:$H993,'Alokasi Honor'!$H$2:$H993=""OB"",'Alokasi Honor'!$T$2:$T993=A124),""OB"")"),0)</f>
        <v>0</v>
      </c>
      <c r="K124" s="10">
        <f t="shared" ca="1" si="1"/>
        <v>1</v>
      </c>
      <c r="L124" s="70">
        <f t="array" aca="1" ref="L124" ca="1">IF(N124=1,INDEX('Batasan Honor'!$B$2:$B993,MATCH(CONCATENATE($F124,"-",$G124),'Batasan Honor'!$G$2:$G993,0)),"")</f>
        <v>5400000</v>
      </c>
      <c r="M124" s="10">
        <f t="shared" ca="1" si="2"/>
        <v>1</v>
      </c>
      <c r="N124" s="10">
        <f t="shared" ca="1" si="3"/>
        <v>1</v>
      </c>
    </row>
    <row r="125" spans="1:14" ht="12.5">
      <c r="A125" s="10" t="str">
        <f ca="1">IFERROR(__xludf.DUMMYFUNCTION("""COMPUTED_VALUE"""),"610422020008-2024-3-SURVEI-PPL")</f>
        <v>610422020008-2024-3-SURVEI-PPL</v>
      </c>
      <c r="B125" s="5" t="str">
        <f t="shared" ca="1" si="0"/>
        <v>610422020008-2024-3</v>
      </c>
      <c r="C125" s="5">
        <f ca="1">IFERROR(__xludf.DUMMYFUNCTION("IF(N125=1,SPLIT(A125,""-""),"""")"),610422020008)</f>
        <v>610422020008</v>
      </c>
      <c r="D125" s="10">
        <f ca="1">IFERROR(__xludf.DUMMYFUNCTION("""COMPUTED_VALUE"""),2024)</f>
        <v>2024</v>
      </c>
      <c r="E125" s="10">
        <f ca="1">IFERROR(__xludf.DUMMYFUNCTION("""COMPUTED_VALUE"""),3)</f>
        <v>3</v>
      </c>
      <c r="F125" s="5" t="str">
        <f ca="1">IFERROR(__xludf.DUMMYFUNCTION("""COMPUTED_VALUE"""),"SURVEI")</f>
        <v>SURVEI</v>
      </c>
      <c r="G125" s="5" t="str">
        <f ca="1">IFERROR(__xludf.DUMMYFUNCTION("""COMPUTED_VALUE"""),"PPL")</f>
        <v>PPL</v>
      </c>
      <c r="H125" s="5" t="str">
        <f t="array" aca="1" ref="H125" ca="1">IF(N125=1, INDEX('Database Mitra'!$C$2:$C993,MATCH($C125,'Database Mitra'!$AK$2:$AK993,0)),"")</f>
        <v>Ilfi Nur Diana</v>
      </c>
      <c r="I125" s="71">
        <f ca="1">IF(N125=1,SUMIFS('Alokasi Honor'!$M$2:$M993,'Alokasi Honor'!$T$2:$T993,A125),"")</f>
        <v>2380000</v>
      </c>
      <c r="J125" s="10">
        <f ca="1">IFERROR(__xludf.DUMMYFUNCTION("COUNTIF(FILTER('Alokasi Honor'!$H$2:$H993,'Alokasi Honor'!$H$2:$H993=""OB"",'Alokasi Honor'!$T$2:$T993=A125),""OB"")"),0)</f>
        <v>0</v>
      </c>
      <c r="K125" s="10">
        <f t="shared" ca="1" si="1"/>
        <v>1</v>
      </c>
      <c r="L125" s="70">
        <f t="array" aca="1" ref="L125" ca="1">IF(N125=1,INDEX('Batasan Honor'!$B$2:$B993,MATCH(CONCATENATE($F125,"-",$G125),'Batasan Honor'!$G$2:$G993,0)),"")</f>
        <v>5400000</v>
      </c>
      <c r="M125" s="10">
        <f t="shared" ca="1" si="2"/>
        <v>1</v>
      </c>
      <c r="N125" s="10">
        <f t="shared" ca="1" si="3"/>
        <v>1</v>
      </c>
    </row>
    <row r="126" spans="1:14" ht="12.5">
      <c r="A126" s="10" t="str">
        <f ca="1">IFERROR(__xludf.DUMMYFUNCTION("""COMPUTED_VALUE"""),"610423040014-2024-3-SURVEI-PPL")</f>
        <v>610423040014-2024-3-SURVEI-PPL</v>
      </c>
      <c r="B126" s="5" t="str">
        <f t="shared" ca="1" si="0"/>
        <v>610423040014-2024-3</v>
      </c>
      <c r="C126" s="5">
        <f ca="1">IFERROR(__xludf.DUMMYFUNCTION("IF(N126=1,SPLIT(A126,""-""),"""")"),610423040014)</f>
        <v>610423040014</v>
      </c>
      <c r="D126" s="10">
        <f ca="1">IFERROR(__xludf.DUMMYFUNCTION("""COMPUTED_VALUE"""),2024)</f>
        <v>2024</v>
      </c>
      <c r="E126" s="10">
        <f ca="1">IFERROR(__xludf.DUMMYFUNCTION("""COMPUTED_VALUE"""),3)</f>
        <v>3</v>
      </c>
      <c r="F126" s="5" t="str">
        <f ca="1">IFERROR(__xludf.DUMMYFUNCTION("""COMPUTED_VALUE"""),"SURVEI")</f>
        <v>SURVEI</v>
      </c>
      <c r="G126" s="5" t="str">
        <f ca="1">IFERROR(__xludf.DUMMYFUNCTION("""COMPUTED_VALUE"""),"PPL")</f>
        <v>PPL</v>
      </c>
      <c r="H126" s="5" t="str">
        <f t="array" aca="1" ref="H126" ca="1">IF(N126=1, INDEX('Database Mitra'!$C$2:$C993,MATCH($C126,'Database Mitra'!$AK$2:$AK993,0)),"")</f>
        <v>Fransiska romana</v>
      </c>
      <c r="I126" s="71">
        <f ca="1">IF(N126=1,SUMIFS('Alokasi Honor'!$M$2:$M993,'Alokasi Honor'!$T$2:$T993,A126),"")</f>
        <v>2380000</v>
      </c>
      <c r="J126" s="10">
        <f ca="1">IFERROR(__xludf.DUMMYFUNCTION("COUNTIF(FILTER('Alokasi Honor'!$H$2:$H993,'Alokasi Honor'!$H$2:$H993=""OB"",'Alokasi Honor'!$T$2:$T993=A126),""OB"")"),0)</f>
        <v>0</v>
      </c>
      <c r="K126" s="10">
        <f t="shared" ca="1" si="1"/>
        <v>1</v>
      </c>
      <c r="L126" s="70">
        <f t="array" aca="1" ref="L126" ca="1">IF(N126=1,INDEX('Batasan Honor'!$B$2:$B993,MATCH(CONCATENATE($F126,"-",$G126),'Batasan Honor'!$G$2:$G993,0)),"")</f>
        <v>5400000</v>
      </c>
      <c r="M126" s="10">
        <f t="shared" ca="1" si="2"/>
        <v>1</v>
      </c>
      <c r="N126" s="10">
        <f t="shared" ca="1" si="3"/>
        <v>1</v>
      </c>
    </row>
    <row r="127" spans="1:14" ht="12.5">
      <c r="A127" s="10" t="str">
        <f ca="1">IFERROR(__xludf.DUMMYFUNCTION("""COMPUTED_VALUE"""),"610423040022-2024-3-SURVEI-PPL")</f>
        <v>610423040022-2024-3-SURVEI-PPL</v>
      </c>
      <c r="B127" s="5" t="str">
        <f t="shared" ca="1" si="0"/>
        <v>610423040022-2024-3</v>
      </c>
      <c r="C127" s="5">
        <f ca="1">IFERROR(__xludf.DUMMYFUNCTION("IF(N127=1,SPLIT(A127,""-""),"""")"),610423040022)</f>
        <v>610423040022</v>
      </c>
      <c r="D127" s="10">
        <f ca="1">IFERROR(__xludf.DUMMYFUNCTION("""COMPUTED_VALUE"""),2024)</f>
        <v>2024</v>
      </c>
      <c r="E127" s="10">
        <f ca="1">IFERROR(__xludf.DUMMYFUNCTION("""COMPUTED_VALUE"""),3)</f>
        <v>3</v>
      </c>
      <c r="F127" s="5" t="str">
        <f ca="1">IFERROR(__xludf.DUMMYFUNCTION("""COMPUTED_VALUE"""),"SURVEI")</f>
        <v>SURVEI</v>
      </c>
      <c r="G127" s="5" t="str">
        <f ca="1">IFERROR(__xludf.DUMMYFUNCTION("""COMPUTED_VALUE"""),"PPL")</f>
        <v>PPL</v>
      </c>
      <c r="H127" s="5" t="str">
        <f t="array" aca="1" ref="H127" ca="1">IF(N127=1, INDEX('Database Mitra'!$C$2:$C993,MATCH($C127,'Database Mitra'!$AK$2:$AK993,0)),"")</f>
        <v>Alip Susanto</v>
      </c>
      <c r="I127" s="71">
        <f ca="1">IF(N127=1,SUMIFS('Alokasi Honor'!$M$2:$M993,'Alokasi Honor'!$T$2:$T993,A127),"")</f>
        <v>2380000</v>
      </c>
      <c r="J127" s="10">
        <f ca="1">IFERROR(__xludf.DUMMYFUNCTION("COUNTIF(FILTER('Alokasi Honor'!$H$2:$H993,'Alokasi Honor'!$H$2:$H993=""OB"",'Alokasi Honor'!$T$2:$T993=A127),""OB"")"),0)</f>
        <v>0</v>
      </c>
      <c r="K127" s="10">
        <f t="shared" ca="1" si="1"/>
        <v>1</v>
      </c>
      <c r="L127" s="70">
        <f t="array" aca="1" ref="L127" ca="1">IF(N127=1,INDEX('Batasan Honor'!$B$2:$B993,MATCH(CONCATENATE($F127,"-",$G127),'Batasan Honor'!$G$2:$G993,0)),"")</f>
        <v>5400000</v>
      </c>
      <c r="M127" s="10">
        <f t="shared" ca="1" si="2"/>
        <v>1</v>
      </c>
      <c r="N127" s="10">
        <f t="shared" ca="1" si="3"/>
        <v>1</v>
      </c>
    </row>
    <row r="128" spans="1:14" ht="12.5">
      <c r="A128" s="10" t="str">
        <f ca="1">IFERROR(__xludf.DUMMYFUNCTION("""COMPUTED_VALUE"""),"610423030004-2024-3-SURVEI-PPL")</f>
        <v>610423030004-2024-3-SURVEI-PPL</v>
      </c>
      <c r="B128" s="5" t="str">
        <f t="shared" ca="1" si="0"/>
        <v>610423030004-2024-3</v>
      </c>
      <c r="C128" s="5">
        <f ca="1">IFERROR(__xludf.DUMMYFUNCTION("IF(N128=1,SPLIT(A128,""-""),"""")"),610423030004)</f>
        <v>610423030004</v>
      </c>
      <c r="D128" s="10">
        <f ca="1">IFERROR(__xludf.DUMMYFUNCTION("""COMPUTED_VALUE"""),2024)</f>
        <v>2024</v>
      </c>
      <c r="E128" s="10">
        <f ca="1">IFERROR(__xludf.DUMMYFUNCTION("""COMPUTED_VALUE"""),3)</f>
        <v>3</v>
      </c>
      <c r="F128" s="5" t="str">
        <f ca="1">IFERROR(__xludf.DUMMYFUNCTION("""COMPUTED_VALUE"""),"SURVEI")</f>
        <v>SURVEI</v>
      </c>
      <c r="G128" s="5" t="str">
        <f ca="1">IFERROR(__xludf.DUMMYFUNCTION("""COMPUTED_VALUE"""),"PPL")</f>
        <v>PPL</v>
      </c>
      <c r="H128" s="5" t="str">
        <f t="array" aca="1" ref="H128" ca="1">IF(N128=1, INDEX('Database Mitra'!$C$2:$C993,MATCH($C128,'Database Mitra'!$AK$2:$AK993,0)),"")</f>
        <v>Laras Nanda Julita</v>
      </c>
      <c r="I128" s="71">
        <f ca="1">IF(N128=1,SUMIFS('Alokasi Honor'!$M$2:$M993,'Alokasi Honor'!$T$2:$T993,A128),"")</f>
        <v>2380000</v>
      </c>
      <c r="J128" s="10">
        <f ca="1">IFERROR(__xludf.DUMMYFUNCTION("COUNTIF(FILTER('Alokasi Honor'!$H$2:$H993,'Alokasi Honor'!$H$2:$H993=""OB"",'Alokasi Honor'!$T$2:$T993=A128),""OB"")"),0)</f>
        <v>0</v>
      </c>
      <c r="K128" s="10">
        <f t="shared" ca="1" si="1"/>
        <v>1</v>
      </c>
      <c r="L128" s="70">
        <f t="array" aca="1" ref="L128" ca="1">IF(N128=1,INDEX('Batasan Honor'!$B$2:$B993,MATCH(CONCATENATE($F128,"-",$G128),'Batasan Honor'!$G$2:$G993,0)),"")</f>
        <v>5400000</v>
      </c>
      <c r="M128" s="10">
        <f t="shared" ca="1" si="2"/>
        <v>1</v>
      </c>
      <c r="N128" s="10">
        <f t="shared" ca="1" si="3"/>
        <v>1</v>
      </c>
    </row>
    <row r="129" spans="1:14" ht="12.5">
      <c r="A129" s="10" t="str">
        <f ca="1">IFERROR(__xludf.DUMMYFUNCTION("""COMPUTED_VALUE"""),"610423040004-2024-3-SURVEI-PPL")</f>
        <v>610423040004-2024-3-SURVEI-PPL</v>
      </c>
      <c r="B129" s="5" t="str">
        <f t="shared" ca="1" si="0"/>
        <v>610423040004-2024-3</v>
      </c>
      <c r="C129" s="5">
        <f ca="1">IFERROR(__xludf.DUMMYFUNCTION("IF(N129=1,SPLIT(A129,""-""),"""")"),610423040004)</f>
        <v>610423040004</v>
      </c>
      <c r="D129" s="10">
        <f ca="1">IFERROR(__xludf.DUMMYFUNCTION("""COMPUTED_VALUE"""),2024)</f>
        <v>2024</v>
      </c>
      <c r="E129" s="10">
        <f ca="1">IFERROR(__xludf.DUMMYFUNCTION("""COMPUTED_VALUE"""),3)</f>
        <v>3</v>
      </c>
      <c r="F129" s="5" t="str">
        <f ca="1">IFERROR(__xludf.DUMMYFUNCTION("""COMPUTED_VALUE"""),"SURVEI")</f>
        <v>SURVEI</v>
      </c>
      <c r="G129" s="5" t="str">
        <f ca="1">IFERROR(__xludf.DUMMYFUNCTION("""COMPUTED_VALUE"""),"PPL")</f>
        <v>PPL</v>
      </c>
      <c r="H129" s="5" t="str">
        <f t="array" aca="1" ref="H129" ca="1">IF(N129=1, INDEX('Database Mitra'!$C$2:$C993,MATCH($C129,'Database Mitra'!$AK$2:$AK993,0)),"")</f>
        <v>Ayu Agustin</v>
      </c>
      <c r="I129" s="71">
        <f ca="1">IF(N129=1,SUMIFS('Alokasi Honor'!$M$2:$M993,'Alokasi Honor'!$T$2:$T993,A129),"")</f>
        <v>1190000</v>
      </c>
      <c r="J129" s="10">
        <f ca="1">IFERROR(__xludf.DUMMYFUNCTION("COUNTIF(FILTER('Alokasi Honor'!$H$2:$H993,'Alokasi Honor'!$H$2:$H993=""OB"",'Alokasi Honor'!$T$2:$T993=A129),""OB"")"),0)</f>
        <v>0</v>
      </c>
      <c r="K129" s="10">
        <f t="shared" ca="1" si="1"/>
        <v>1</v>
      </c>
      <c r="L129" s="70">
        <f t="array" aca="1" ref="L129" ca="1">IF(N129=1,INDEX('Batasan Honor'!$B$2:$B993,MATCH(CONCATENATE($F129,"-",$G129),'Batasan Honor'!$G$2:$G993,0)),"")</f>
        <v>5400000</v>
      </c>
      <c r="M129" s="10">
        <f t="shared" ca="1" si="2"/>
        <v>1</v>
      </c>
      <c r="N129" s="10">
        <f t="shared" ca="1" si="3"/>
        <v>1</v>
      </c>
    </row>
    <row r="130" spans="1:14" ht="12.5">
      <c r="A130" s="10" t="str">
        <f ca="1">IFERROR(__xludf.DUMMYFUNCTION("""COMPUTED_VALUE"""),"610423040006-2024-3-SURVEI-PPL")</f>
        <v>610423040006-2024-3-SURVEI-PPL</v>
      </c>
      <c r="B130" s="5" t="str">
        <f t="shared" ca="1" si="0"/>
        <v>610423040006-2024-3</v>
      </c>
      <c r="C130" s="5">
        <f ca="1">IFERROR(__xludf.DUMMYFUNCTION("IF(N130=1,SPLIT(A130,""-""),"""")"),610423040006)</f>
        <v>610423040006</v>
      </c>
      <c r="D130" s="10">
        <f ca="1">IFERROR(__xludf.DUMMYFUNCTION("""COMPUTED_VALUE"""),2024)</f>
        <v>2024</v>
      </c>
      <c r="E130" s="10">
        <f ca="1">IFERROR(__xludf.DUMMYFUNCTION("""COMPUTED_VALUE"""),3)</f>
        <v>3</v>
      </c>
      <c r="F130" s="5" t="str">
        <f ca="1">IFERROR(__xludf.DUMMYFUNCTION("""COMPUTED_VALUE"""),"SURVEI")</f>
        <v>SURVEI</v>
      </c>
      <c r="G130" s="5" t="str">
        <f ca="1">IFERROR(__xludf.DUMMYFUNCTION("""COMPUTED_VALUE"""),"PPL")</f>
        <v>PPL</v>
      </c>
      <c r="H130" s="5" t="str">
        <f t="array" aca="1" ref="H130" ca="1">IF(N130=1, INDEX('Database Mitra'!$C$2:$C993,MATCH($C130,'Database Mitra'!$AK$2:$AK993,0)),"")</f>
        <v>MITASYA FITRI NAINGGOLAN</v>
      </c>
      <c r="I130" s="71">
        <f ca="1">IF(N130=1,SUMIFS('Alokasi Honor'!$M$2:$M993,'Alokasi Honor'!$T$2:$T993,A130),"")</f>
        <v>2380000</v>
      </c>
      <c r="J130" s="10">
        <f ca="1">IFERROR(__xludf.DUMMYFUNCTION("COUNTIF(FILTER('Alokasi Honor'!$H$2:$H993,'Alokasi Honor'!$H$2:$H993=""OB"",'Alokasi Honor'!$T$2:$T993=A130),""OB"")"),0)</f>
        <v>0</v>
      </c>
      <c r="K130" s="10">
        <f t="shared" ca="1" si="1"/>
        <v>1</v>
      </c>
      <c r="L130" s="70">
        <f t="array" aca="1" ref="L130" ca="1">IF(N130=1,INDEX('Batasan Honor'!$B$2:$B993,MATCH(CONCATENATE($F130,"-",$G130),'Batasan Honor'!$G$2:$G993,0)),"")</f>
        <v>5400000</v>
      </c>
      <c r="M130" s="10">
        <f t="shared" ca="1" si="2"/>
        <v>1</v>
      </c>
      <c r="N130" s="10">
        <f t="shared" ca="1" si="3"/>
        <v>1</v>
      </c>
    </row>
    <row r="131" spans="1:14" ht="12.5">
      <c r="A131" s="10" t="str">
        <f ca="1">IFERROR(__xludf.DUMMYFUNCTION("""COMPUTED_VALUE"""),"610423040013-2024-3-SURVEI-PPL")</f>
        <v>610423040013-2024-3-SURVEI-PPL</v>
      </c>
      <c r="B131" s="5" t="str">
        <f t="shared" ca="1" si="0"/>
        <v>610423040013-2024-3</v>
      </c>
      <c r="C131" s="5">
        <f ca="1">IFERROR(__xludf.DUMMYFUNCTION("IF(N131=1,SPLIT(A131,""-""),"""")"),610423040013)</f>
        <v>610423040013</v>
      </c>
      <c r="D131" s="10">
        <f ca="1">IFERROR(__xludf.DUMMYFUNCTION("""COMPUTED_VALUE"""),2024)</f>
        <v>2024</v>
      </c>
      <c r="E131" s="10">
        <f ca="1">IFERROR(__xludf.DUMMYFUNCTION("""COMPUTED_VALUE"""),3)</f>
        <v>3</v>
      </c>
      <c r="F131" s="5" t="str">
        <f ca="1">IFERROR(__xludf.DUMMYFUNCTION("""COMPUTED_VALUE"""),"SURVEI")</f>
        <v>SURVEI</v>
      </c>
      <c r="G131" s="5" t="str">
        <f ca="1">IFERROR(__xludf.DUMMYFUNCTION("""COMPUTED_VALUE"""),"PPL")</f>
        <v>PPL</v>
      </c>
      <c r="H131" s="5" t="str">
        <f t="array" aca="1" ref="H131" ca="1">IF(N131=1, INDEX('Database Mitra'!$C$2:$C993,MATCH($C131,'Database Mitra'!$AK$2:$AK993,0)),"")</f>
        <v>Lulu Gesti Gunawati</v>
      </c>
      <c r="I131" s="71">
        <f ca="1">IF(N131=1,SUMIFS('Alokasi Honor'!$M$2:$M993,'Alokasi Honor'!$T$2:$T993,A131),"")</f>
        <v>1190000</v>
      </c>
      <c r="J131" s="10">
        <f ca="1">IFERROR(__xludf.DUMMYFUNCTION("COUNTIF(FILTER('Alokasi Honor'!$H$2:$H993,'Alokasi Honor'!$H$2:$H993=""OB"",'Alokasi Honor'!$T$2:$T993=A131),""OB"")"),0)</f>
        <v>0</v>
      </c>
      <c r="K131" s="10">
        <f t="shared" ca="1" si="1"/>
        <v>1</v>
      </c>
      <c r="L131" s="70">
        <f t="array" aca="1" ref="L131" ca="1">IF(N131=1,INDEX('Batasan Honor'!$B$2:$B993,MATCH(CONCATENATE($F131,"-",$G131),'Batasan Honor'!$G$2:$G993,0)),"")</f>
        <v>5400000</v>
      </c>
      <c r="M131" s="10">
        <f t="shared" ca="1" si="2"/>
        <v>1</v>
      </c>
      <c r="N131" s="10">
        <f t="shared" ca="1" si="3"/>
        <v>1</v>
      </c>
    </row>
    <row r="132" spans="1:14" ht="12.5">
      <c r="A132" s="10" t="str">
        <f ca="1">IFERROR(__xludf.DUMMYFUNCTION("""COMPUTED_VALUE"""),"610423090019-2024-3-SURVEI-PPL")</f>
        <v>610423090019-2024-3-SURVEI-PPL</v>
      </c>
      <c r="B132" s="5" t="str">
        <f t="shared" ca="1" si="0"/>
        <v>610423090019-2024-3</v>
      </c>
      <c r="C132" s="5">
        <f ca="1">IFERROR(__xludf.DUMMYFUNCTION("IF(N132=1,SPLIT(A132,""-""),"""")"),610423090019)</f>
        <v>610423090019</v>
      </c>
      <c r="D132" s="10">
        <f ca="1">IFERROR(__xludf.DUMMYFUNCTION("""COMPUTED_VALUE"""),2024)</f>
        <v>2024</v>
      </c>
      <c r="E132" s="10">
        <f ca="1">IFERROR(__xludf.DUMMYFUNCTION("""COMPUTED_VALUE"""),3)</f>
        <v>3</v>
      </c>
      <c r="F132" s="5" t="str">
        <f ca="1">IFERROR(__xludf.DUMMYFUNCTION("""COMPUTED_VALUE"""),"SURVEI")</f>
        <v>SURVEI</v>
      </c>
      <c r="G132" s="5" t="str">
        <f ca="1">IFERROR(__xludf.DUMMYFUNCTION("""COMPUTED_VALUE"""),"PPL")</f>
        <v>PPL</v>
      </c>
      <c r="H132" s="5" t="str">
        <f t="array" aca="1" ref="H132" ca="1">IF(N132=1, INDEX('Database Mitra'!$C$2:$C993,MATCH($C132,'Database Mitra'!$AK$2:$AK993,0)),"")</f>
        <v>Nurul Huda</v>
      </c>
      <c r="I132" s="71">
        <f ca="1">IF(N132=1,SUMIFS('Alokasi Honor'!$M$2:$M993,'Alokasi Honor'!$T$2:$T993,A132),"")</f>
        <v>2380000</v>
      </c>
      <c r="J132" s="10">
        <f ca="1">IFERROR(__xludf.DUMMYFUNCTION("COUNTIF(FILTER('Alokasi Honor'!$H$2:$H993,'Alokasi Honor'!$H$2:$H993=""OB"",'Alokasi Honor'!$T$2:$T993=A132),""OB"")"),0)</f>
        <v>0</v>
      </c>
      <c r="K132" s="10">
        <f t="shared" ca="1" si="1"/>
        <v>1</v>
      </c>
      <c r="L132" s="70">
        <f t="array" aca="1" ref="L132" ca="1">IF(N132=1,INDEX('Batasan Honor'!$B$2:$B993,MATCH(CONCATENATE($F132,"-",$G132),'Batasan Honor'!$G$2:$G993,0)),"")</f>
        <v>5400000</v>
      </c>
      <c r="M132" s="10">
        <f t="shared" ca="1" si="2"/>
        <v>1</v>
      </c>
      <c r="N132" s="10">
        <f t="shared" ca="1" si="3"/>
        <v>1</v>
      </c>
    </row>
    <row r="133" spans="1:14" ht="12.5">
      <c r="A133" s="10" t="str">
        <f ca="1">IFERROR(__xludf.DUMMYFUNCTION("""COMPUTED_VALUE"""),"610422100165-2024-3-SURVEI-PPL")</f>
        <v>610422100165-2024-3-SURVEI-PPL</v>
      </c>
      <c r="B133" s="5" t="str">
        <f t="shared" ca="1" si="0"/>
        <v>610422100165-2024-3</v>
      </c>
      <c r="C133" s="5">
        <f ca="1">IFERROR(__xludf.DUMMYFUNCTION("IF(N133=1,SPLIT(A133,""-""),"""")"),610422100165)</f>
        <v>610422100165</v>
      </c>
      <c r="D133" s="10">
        <f ca="1">IFERROR(__xludf.DUMMYFUNCTION("""COMPUTED_VALUE"""),2024)</f>
        <v>2024</v>
      </c>
      <c r="E133" s="10">
        <f ca="1">IFERROR(__xludf.DUMMYFUNCTION("""COMPUTED_VALUE"""),3)</f>
        <v>3</v>
      </c>
      <c r="F133" s="5" t="str">
        <f ca="1">IFERROR(__xludf.DUMMYFUNCTION("""COMPUTED_VALUE"""),"SURVEI")</f>
        <v>SURVEI</v>
      </c>
      <c r="G133" s="5" t="str">
        <f ca="1">IFERROR(__xludf.DUMMYFUNCTION("""COMPUTED_VALUE"""),"PPL")</f>
        <v>PPL</v>
      </c>
      <c r="H133" s="5" t="str">
        <f t="array" aca="1" ref="H133" ca="1">IF(N133=1, INDEX('Database Mitra'!$C$2:$C993,MATCH($C133,'Database Mitra'!$AK$2:$AK993,0)),"")</f>
        <v>Yanti</v>
      </c>
      <c r="I133" s="71">
        <f ca="1">IF(N133=1,SUMIFS('Alokasi Honor'!$M$2:$M993,'Alokasi Honor'!$T$2:$T993,A133),"")</f>
        <v>2705000</v>
      </c>
      <c r="J133" s="10">
        <f ca="1">IFERROR(__xludf.DUMMYFUNCTION("COUNTIF(FILTER('Alokasi Honor'!$H$2:$H993,'Alokasi Honor'!$H$2:$H993=""OB"",'Alokasi Honor'!$T$2:$T993=A133),""OB"")"),0)</f>
        <v>0</v>
      </c>
      <c r="K133" s="10">
        <f t="shared" ca="1" si="1"/>
        <v>1</v>
      </c>
      <c r="L133" s="70">
        <f t="array" aca="1" ref="L133" ca="1">IF(N133=1,INDEX('Batasan Honor'!$B$2:$B993,MATCH(CONCATENATE($F133,"-",$G133),'Batasan Honor'!$G$2:$G993,0)),"")</f>
        <v>5400000</v>
      </c>
      <c r="M133" s="10">
        <f t="shared" ca="1" si="2"/>
        <v>1</v>
      </c>
      <c r="N133" s="10">
        <f t="shared" ca="1" si="3"/>
        <v>1</v>
      </c>
    </row>
    <row r="134" spans="1:14" ht="12.5">
      <c r="A134" s="10" t="str">
        <f ca="1">IFERROR(__xludf.DUMMYFUNCTION("""COMPUTED_VALUE"""),"610422100139-2024-3-SURVEI-PPL")</f>
        <v>610422100139-2024-3-SURVEI-PPL</v>
      </c>
      <c r="B134" s="5" t="str">
        <f t="shared" ca="1" si="0"/>
        <v>610422100139-2024-3</v>
      </c>
      <c r="C134" s="5">
        <f ca="1">IFERROR(__xludf.DUMMYFUNCTION("IF(N134=1,SPLIT(A134,""-""),"""")"),610422100139)</f>
        <v>610422100139</v>
      </c>
      <c r="D134" s="10">
        <f ca="1">IFERROR(__xludf.DUMMYFUNCTION("""COMPUTED_VALUE"""),2024)</f>
        <v>2024</v>
      </c>
      <c r="E134" s="10">
        <f ca="1">IFERROR(__xludf.DUMMYFUNCTION("""COMPUTED_VALUE"""),3)</f>
        <v>3</v>
      </c>
      <c r="F134" s="5" t="str">
        <f ca="1">IFERROR(__xludf.DUMMYFUNCTION("""COMPUTED_VALUE"""),"SURVEI")</f>
        <v>SURVEI</v>
      </c>
      <c r="G134" s="5" t="str">
        <f ca="1">IFERROR(__xludf.DUMMYFUNCTION("""COMPUTED_VALUE"""),"PPL")</f>
        <v>PPL</v>
      </c>
      <c r="H134" s="5" t="str">
        <f t="array" aca="1" ref="H134" ca="1">IF(N134=1, INDEX('Database Mitra'!$C$2:$C993,MATCH($C134,'Database Mitra'!$AK$2:$AK993,0)),"")</f>
        <v>Winda Dwi Ananda</v>
      </c>
      <c r="I134" s="71">
        <f ca="1">IF(N134=1,SUMIFS('Alokasi Honor'!$M$2:$M993,'Alokasi Honor'!$T$2:$T993,A134),"")</f>
        <v>1190000</v>
      </c>
      <c r="J134" s="10">
        <f ca="1">IFERROR(__xludf.DUMMYFUNCTION("COUNTIF(FILTER('Alokasi Honor'!$H$2:$H993,'Alokasi Honor'!$H$2:$H993=""OB"",'Alokasi Honor'!$T$2:$T993=A134),""OB"")"),0)</f>
        <v>0</v>
      </c>
      <c r="K134" s="10">
        <f t="shared" ca="1" si="1"/>
        <v>1</v>
      </c>
      <c r="L134" s="70">
        <f t="array" aca="1" ref="L134" ca="1">IF(N134=1,INDEX('Batasan Honor'!$B$2:$B993,MATCH(CONCATENATE($F134,"-",$G134),'Batasan Honor'!$G$2:$G993,0)),"")</f>
        <v>5400000</v>
      </c>
      <c r="M134" s="10">
        <f t="shared" ca="1" si="2"/>
        <v>1</v>
      </c>
      <c r="N134" s="10">
        <f t="shared" ca="1" si="3"/>
        <v>1</v>
      </c>
    </row>
    <row r="135" spans="1:14" ht="12.5">
      <c r="A135" s="10" t="str">
        <f ca="1">IFERROR(__xludf.DUMMYFUNCTION("""COMPUTED_VALUE"""),"610422100137-2024-3-SURVEI-PPL")</f>
        <v>610422100137-2024-3-SURVEI-PPL</v>
      </c>
      <c r="B135" s="5" t="str">
        <f t="shared" ca="1" si="0"/>
        <v>610422100137-2024-3</v>
      </c>
      <c r="C135" s="5">
        <f ca="1">IFERROR(__xludf.DUMMYFUNCTION("IF(N135=1,SPLIT(A135,""-""),"""")"),610422100137)</f>
        <v>610422100137</v>
      </c>
      <c r="D135" s="10">
        <f ca="1">IFERROR(__xludf.DUMMYFUNCTION("""COMPUTED_VALUE"""),2024)</f>
        <v>2024</v>
      </c>
      <c r="E135" s="10">
        <f ca="1">IFERROR(__xludf.DUMMYFUNCTION("""COMPUTED_VALUE"""),3)</f>
        <v>3</v>
      </c>
      <c r="F135" s="5" t="str">
        <f ca="1">IFERROR(__xludf.DUMMYFUNCTION("""COMPUTED_VALUE"""),"SURVEI")</f>
        <v>SURVEI</v>
      </c>
      <c r="G135" s="5" t="str">
        <f ca="1">IFERROR(__xludf.DUMMYFUNCTION("""COMPUTED_VALUE"""),"PPL")</f>
        <v>PPL</v>
      </c>
      <c r="H135" s="5" t="str">
        <f t="array" aca="1" ref="H135" ca="1">IF(N135=1, INDEX('Database Mitra'!$C$2:$C993,MATCH($C135,'Database Mitra'!$AK$2:$AK993,0)),"")</f>
        <v>MASTURI</v>
      </c>
      <c r="I135" s="71">
        <f ca="1">IF(N135=1,SUMIFS('Alokasi Honor'!$M$2:$M993,'Alokasi Honor'!$T$2:$T993,A135),"")</f>
        <v>1190000</v>
      </c>
      <c r="J135" s="10">
        <f ca="1">IFERROR(__xludf.DUMMYFUNCTION("COUNTIF(FILTER('Alokasi Honor'!$H$2:$H993,'Alokasi Honor'!$H$2:$H993=""OB"",'Alokasi Honor'!$T$2:$T993=A135),""OB"")"),0)</f>
        <v>0</v>
      </c>
      <c r="K135" s="10">
        <f t="shared" ca="1" si="1"/>
        <v>1</v>
      </c>
      <c r="L135" s="70">
        <f t="array" aca="1" ref="L135" ca="1">IF(N135=1,INDEX('Batasan Honor'!$B$2:$B993,MATCH(CONCATENATE($F135,"-",$G135),'Batasan Honor'!$G$2:$G993,0)),"")</f>
        <v>5400000</v>
      </c>
      <c r="M135" s="10">
        <f t="shared" ca="1" si="2"/>
        <v>1</v>
      </c>
      <c r="N135" s="10">
        <f t="shared" ca="1" si="3"/>
        <v>1</v>
      </c>
    </row>
    <row r="136" spans="1:14" ht="12.5">
      <c r="A136" s="10" t="str">
        <f ca="1">IFERROR(__xludf.DUMMYFUNCTION("""COMPUTED_VALUE"""),"610422100144-2024-3-SURVEI-PPL")</f>
        <v>610422100144-2024-3-SURVEI-PPL</v>
      </c>
      <c r="B136" s="5" t="str">
        <f t="shared" ca="1" si="0"/>
        <v>610422100144-2024-3</v>
      </c>
      <c r="C136" s="5">
        <f ca="1">IFERROR(__xludf.DUMMYFUNCTION("IF(N136=1,SPLIT(A136,""-""),"""")"),610422100144)</f>
        <v>610422100144</v>
      </c>
      <c r="D136" s="10">
        <f ca="1">IFERROR(__xludf.DUMMYFUNCTION("""COMPUTED_VALUE"""),2024)</f>
        <v>2024</v>
      </c>
      <c r="E136" s="10">
        <f ca="1">IFERROR(__xludf.DUMMYFUNCTION("""COMPUTED_VALUE"""),3)</f>
        <v>3</v>
      </c>
      <c r="F136" s="5" t="str">
        <f ca="1">IFERROR(__xludf.DUMMYFUNCTION("""COMPUTED_VALUE"""),"SURVEI")</f>
        <v>SURVEI</v>
      </c>
      <c r="G136" s="5" t="str">
        <f ca="1">IFERROR(__xludf.DUMMYFUNCTION("""COMPUTED_VALUE"""),"PPL")</f>
        <v>PPL</v>
      </c>
      <c r="H136" s="5" t="str">
        <f t="array" aca="1" ref="H136" ca="1">IF(N136=1, INDEX('Database Mitra'!$C$2:$C993,MATCH($C136,'Database Mitra'!$AK$2:$AK993,0)),"")</f>
        <v>Irfan faozi sunaryo</v>
      </c>
      <c r="I136" s="71">
        <f ca="1">IF(N136=1,SUMIFS('Alokasi Honor'!$M$2:$M993,'Alokasi Honor'!$T$2:$T993,A136),"")</f>
        <v>1190000</v>
      </c>
      <c r="J136" s="10">
        <f ca="1">IFERROR(__xludf.DUMMYFUNCTION("COUNTIF(FILTER('Alokasi Honor'!$H$2:$H993,'Alokasi Honor'!$H$2:$H993=""OB"",'Alokasi Honor'!$T$2:$T993=A136),""OB"")"),0)</f>
        <v>0</v>
      </c>
      <c r="K136" s="10">
        <f t="shared" ca="1" si="1"/>
        <v>1</v>
      </c>
      <c r="L136" s="70">
        <f t="array" aca="1" ref="L136" ca="1">IF(N136=1,INDEX('Batasan Honor'!$B$2:$B993,MATCH(CONCATENATE($F136,"-",$G136),'Batasan Honor'!$G$2:$G993,0)),"")</f>
        <v>5400000</v>
      </c>
      <c r="M136" s="10">
        <f t="shared" ca="1" si="2"/>
        <v>1</v>
      </c>
      <c r="N136" s="10">
        <f t="shared" ca="1" si="3"/>
        <v>1</v>
      </c>
    </row>
    <row r="137" spans="1:14" ht="12.5">
      <c r="A137" s="10" t="str">
        <f ca="1">IFERROR(__xludf.DUMMYFUNCTION("""COMPUTED_VALUE"""),"610422100236-2024-3-SURVEI-PPL")</f>
        <v>610422100236-2024-3-SURVEI-PPL</v>
      </c>
      <c r="B137" s="5" t="str">
        <f t="shared" ca="1" si="0"/>
        <v>610422100236-2024-3</v>
      </c>
      <c r="C137" s="5">
        <f ca="1">IFERROR(__xludf.DUMMYFUNCTION("IF(N137=1,SPLIT(A137,""-""),"""")"),610422100236)</f>
        <v>610422100236</v>
      </c>
      <c r="D137" s="10">
        <f ca="1">IFERROR(__xludf.DUMMYFUNCTION("""COMPUTED_VALUE"""),2024)</f>
        <v>2024</v>
      </c>
      <c r="E137" s="10">
        <f ca="1">IFERROR(__xludf.DUMMYFUNCTION("""COMPUTED_VALUE"""),3)</f>
        <v>3</v>
      </c>
      <c r="F137" s="5" t="str">
        <f ca="1">IFERROR(__xludf.DUMMYFUNCTION("""COMPUTED_VALUE"""),"SURVEI")</f>
        <v>SURVEI</v>
      </c>
      <c r="G137" s="5" t="str">
        <f ca="1">IFERROR(__xludf.DUMMYFUNCTION("""COMPUTED_VALUE"""),"PPL")</f>
        <v>PPL</v>
      </c>
      <c r="H137" s="5" t="str">
        <f t="array" aca="1" ref="H137" ca="1">IF(N137=1, INDEX('Database Mitra'!$C$2:$C993,MATCH($C137,'Database Mitra'!$AK$2:$AK993,0)),"")</f>
        <v>Tesa</v>
      </c>
      <c r="I137" s="71">
        <f ca="1">IF(N137=1,SUMIFS('Alokasi Honor'!$M$2:$M993,'Alokasi Honor'!$T$2:$T993,A137),"")</f>
        <v>2380000</v>
      </c>
      <c r="J137" s="10">
        <f ca="1">IFERROR(__xludf.DUMMYFUNCTION("COUNTIF(FILTER('Alokasi Honor'!$H$2:$H993,'Alokasi Honor'!$H$2:$H993=""OB"",'Alokasi Honor'!$T$2:$T993=A137),""OB"")"),0)</f>
        <v>0</v>
      </c>
      <c r="K137" s="10">
        <f t="shared" ca="1" si="1"/>
        <v>1</v>
      </c>
      <c r="L137" s="70">
        <f t="array" aca="1" ref="L137" ca="1">IF(N137=1,INDEX('Batasan Honor'!$B$2:$B993,MATCH(CONCATENATE($F137,"-",$G137),'Batasan Honor'!$G$2:$G993,0)),"")</f>
        <v>5400000</v>
      </c>
      <c r="M137" s="10">
        <f t="shared" ca="1" si="2"/>
        <v>1</v>
      </c>
      <c r="N137" s="10">
        <f t="shared" ca="1" si="3"/>
        <v>1</v>
      </c>
    </row>
    <row r="138" spans="1:14" ht="12.5">
      <c r="A138" s="10" t="str">
        <f ca="1">IFERROR(__xludf.DUMMYFUNCTION("""COMPUTED_VALUE"""),"610422100016-2024-3-SURVEI-PPL")</f>
        <v>610422100016-2024-3-SURVEI-PPL</v>
      </c>
      <c r="B138" s="5" t="str">
        <f t="shared" ca="1" si="0"/>
        <v>610422100016-2024-3</v>
      </c>
      <c r="C138" s="5">
        <f ca="1">IFERROR(__xludf.DUMMYFUNCTION("IF(N138=1,SPLIT(A138,""-""),"""")"),610422100016)</f>
        <v>610422100016</v>
      </c>
      <c r="D138" s="10">
        <f ca="1">IFERROR(__xludf.DUMMYFUNCTION("""COMPUTED_VALUE"""),2024)</f>
        <v>2024</v>
      </c>
      <c r="E138" s="10">
        <f ca="1">IFERROR(__xludf.DUMMYFUNCTION("""COMPUTED_VALUE"""),3)</f>
        <v>3</v>
      </c>
      <c r="F138" s="5" t="str">
        <f ca="1">IFERROR(__xludf.DUMMYFUNCTION("""COMPUTED_VALUE"""),"SURVEI")</f>
        <v>SURVEI</v>
      </c>
      <c r="G138" s="5" t="str">
        <f ca="1">IFERROR(__xludf.DUMMYFUNCTION("""COMPUTED_VALUE"""),"PPL")</f>
        <v>PPL</v>
      </c>
      <c r="H138" s="5" t="str">
        <f t="array" aca="1" ref="H138" ca="1">IF(N138=1, INDEX('Database Mitra'!$C$2:$C993,MATCH($C138,'Database Mitra'!$AK$2:$AK993,0)),"")</f>
        <v>Amalia Faisya</v>
      </c>
      <c r="I138" s="71">
        <f ca="1">IF(N138=1,SUMIFS('Alokasi Honor'!$M$2:$M993,'Alokasi Honor'!$T$2:$T993,A138),"")</f>
        <v>2630000</v>
      </c>
      <c r="J138" s="10">
        <f ca="1">IFERROR(__xludf.DUMMYFUNCTION("COUNTIF(FILTER('Alokasi Honor'!$H$2:$H993,'Alokasi Honor'!$H$2:$H993=""OB"",'Alokasi Honor'!$T$2:$T993=A138),""OB"")"),0)</f>
        <v>0</v>
      </c>
      <c r="K138" s="10">
        <f t="shared" ca="1" si="1"/>
        <v>1</v>
      </c>
      <c r="L138" s="70">
        <f t="array" aca="1" ref="L138" ca="1">IF(N138=1,INDEX('Batasan Honor'!$B$2:$B993,MATCH(CONCATENATE($F138,"-",$G138),'Batasan Honor'!$G$2:$G993,0)),"")</f>
        <v>5400000</v>
      </c>
      <c r="M138" s="10">
        <f t="shared" ca="1" si="2"/>
        <v>1</v>
      </c>
      <c r="N138" s="10">
        <f t="shared" ca="1" si="3"/>
        <v>1</v>
      </c>
    </row>
    <row r="139" spans="1:14" ht="12.5">
      <c r="A139" s="10" t="str">
        <f ca="1">IFERROR(__xludf.DUMMYFUNCTION("""COMPUTED_VALUE"""),"610422100101-2024-3-SURVEI-PPL")</f>
        <v>610422100101-2024-3-SURVEI-PPL</v>
      </c>
      <c r="B139" s="5" t="str">
        <f t="shared" ca="1" si="0"/>
        <v>610422100101-2024-3</v>
      </c>
      <c r="C139" s="5">
        <f ca="1">IFERROR(__xludf.DUMMYFUNCTION("IF(N139=1,SPLIT(A139,""-""),"""")"),610422100101)</f>
        <v>610422100101</v>
      </c>
      <c r="D139" s="10">
        <f ca="1">IFERROR(__xludf.DUMMYFUNCTION("""COMPUTED_VALUE"""),2024)</f>
        <v>2024</v>
      </c>
      <c r="E139" s="10">
        <f ca="1">IFERROR(__xludf.DUMMYFUNCTION("""COMPUTED_VALUE"""),3)</f>
        <v>3</v>
      </c>
      <c r="F139" s="5" t="str">
        <f ca="1">IFERROR(__xludf.DUMMYFUNCTION("""COMPUTED_VALUE"""),"SURVEI")</f>
        <v>SURVEI</v>
      </c>
      <c r="G139" s="5" t="str">
        <f ca="1">IFERROR(__xludf.DUMMYFUNCTION("""COMPUTED_VALUE"""),"PPL")</f>
        <v>PPL</v>
      </c>
      <c r="H139" s="5" t="str">
        <f t="array" aca="1" ref="H139" ca="1">IF(N139=1, INDEX('Database Mitra'!$C$2:$C993,MATCH($C139,'Database Mitra'!$AK$2:$AK993,0)),"")</f>
        <v>SUKMAWATI,S.SI</v>
      </c>
      <c r="I139" s="71">
        <f ca="1">IF(N139=1,SUMIFS('Alokasi Honor'!$M$2:$M993,'Alokasi Honor'!$T$2:$T993,A139),"")</f>
        <v>2380000</v>
      </c>
      <c r="J139" s="10">
        <f ca="1">IFERROR(__xludf.DUMMYFUNCTION("COUNTIF(FILTER('Alokasi Honor'!$H$2:$H993,'Alokasi Honor'!$H$2:$H993=""OB"",'Alokasi Honor'!$T$2:$T993=A139),""OB"")"),0)</f>
        <v>0</v>
      </c>
      <c r="K139" s="10">
        <f t="shared" ca="1" si="1"/>
        <v>1</v>
      </c>
      <c r="L139" s="70">
        <f t="array" aca="1" ref="L139" ca="1">IF(N139=1,INDEX('Batasan Honor'!$B$2:$B993,MATCH(CONCATENATE($F139,"-",$G139),'Batasan Honor'!$G$2:$G993,0)),"")</f>
        <v>5400000</v>
      </c>
      <c r="M139" s="10">
        <f t="shared" ca="1" si="2"/>
        <v>1</v>
      </c>
      <c r="N139" s="10">
        <f t="shared" ca="1" si="3"/>
        <v>1</v>
      </c>
    </row>
    <row r="140" spans="1:14" ht="12.5">
      <c r="A140" s="10" t="str">
        <f ca="1">IFERROR(__xludf.DUMMYFUNCTION("""COMPUTED_VALUE"""),"610422100147-2024-3-SURVEI-PPL")</f>
        <v>610422100147-2024-3-SURVEI-PPL</v>
      </c>
      <c r="B140" s="5" t="str">
        <f t="shared" ca="1" si="0"/>
        <v>610422100147-2024-3</v>
      </c>
      <c r="C140" s="5">
        <f ca="1">IFERROR(__xludf.DUMMYFUNCTION("IF(N140=1,SPLIT(A140,""-""),"""")"),610422100147)</f>
        <v>610422100147</v>
      </c>
      <c r="D140" s="10">
        <f ca="1">IFERROR(__xludf.DUMMYFUNCTION("""COMPUTED_VALUE"""),2024)</f>
        <v>2024</v>
      </c>
      <c r="E140" s="10">
        <f ca="1">IFERROR(__xludf.DUMMYFUNCTION("""COMPUTED_VALUE"""),3)</f>
        <v>3</v>
      </c>
      <c r="F140" s="5" t="str">
        <f ca="1">IFERROR(__xludf.DUMMYFUNCTION("""COMPUTED_VALUE"""),"SURVEI")</f>
        <v>SURVEI</v>
      </c>
      <c r="G140" s="5" t="str">
        <f ca="1">IFERROR(__xludf.DUMMYFUNCTION("""COMPUTED_VALUE"""),"PPL")</f>
        <v>PPL</v>
      </c>
      <c r="H140" s="5" t="str">
        <f t="array" aca="1" ref="H140" ca="1">IF(N140=1, INDEX('Database Mitra'!$C$2:$C993,MATCH($C140,'Database Mitra'!$AK$2:$AK993,0)),"")</f>
        <v>Bella</v>
      </c>
      <c r="I140" s="71">
        <f ca="1">IF(N140=1,SUMIFS('Alokasi Honor'!$M$2:$M993,'Alokasi Honor'!$T$2:$T993,A140),"")</f>
        <v>2380000</v>
      </c>
      <c r="J140" s="10">
        <f ca="1">IFERROR(__xludf.DUMMYFUNCTION("COUNTIF(FILTER('Alokasi Honor'!$H$2:$H993,'Alokasi Honor'!$H$2:$H993=""OB"",'Alokasi Honor'!$T$2:$T993=A140),""OB"")"),0)</f>
        <v>0</v>
      </c>
      <c r="K140" s="10">
        <f t="shared" ca="1" si="1"/>
        <v>1</v>
      </c>
      <c r="L140" s="70">
        <f t="array" aca="1" ref="L140" ca="1">IF(N140=1,INDEX('Batasan Honor'!$B$2:$B993,MATCH(CONCATENATE($F140,"-",$G140),'Batasan Honor'!$G$2:$G993,0)),"")</f>
        <v>5400000</v>
      </c>
      <c r="M140" s="10">
        <f t="shared" ca="1" si="2"/>
        <v>1</v>
      </c>
      <c r="N140" s="10">
        <f t="shared" ca="1" si="3"/>
        <v>1</v>
      </c>
    </row>
    <row r="141" spans="1:14" ht="12.5">
      <c r="A141" s="10" t="str">
        <f ca="1">IFERROR(__xludf.DUMMYFUNCTION("""COMPUTED_VALUE"""),"610422050008-2024-3-SURVEI-PPL")</f>
        <v>610422050008-2024-3-SURVEI-PPL</v>
      </c>
      <c r="B141" s="5" t="str">
        <f t="shared" ca="1" si="0"/>
        <v>610422050008-2024-3</v>
      </c>
      <c r="C141" s="5">
        <f ca="1">IFERROR(__xludf.DUMMYFUNCTION("IF(N141=1,SPLIT(A141,""-""),"""")"),610422050008)</f>
        <v>610422050008</v>
      </c>
      <c r="D141" s="10">
        <f ca="1">IFERROR(__xludf.DUMMYFUNCTION("""COMPUTED_VALUE"""),2024)</f>
        <v>2024</v>
      </c>
      <c r="E141" s="10">
        <f ca="1">IFERROR(__xludf.DUMMYFUNCTION("""COMPUTED_VALUE"""),3)</f>
        <v>3</v>
      </c>
      <c r="F141" s="5" t="str">
        <f ca="1">IFERROR(__xludf.DUMMYFUNCTION("""COMPUTED_VALUE"""),"SURVEI")</f>
        <v>SURVEI</v>
      </c>
      <c r="G141" s="5" t="str">
        <f ca="1">IFERROR(__xludf.DUMMYFUNCTION("""COMPUTED_VALUE"""),"PPL")</f>
        <v>PPL</v>
      </c>
      <c r="H141" s="5" t="str">
        <f t="array" aca="1" ref="H141" ca="1">IF(N141=1, INDEX('Database Mitra'!$C$2:$C993,MATCH($C141,'Database Mitra'!$AK$2:$AK993,0)),"")</f>
        <v>Desi Natalia</v>
      </c>
      <c r="I141" s="71">
        <f ca="1">IF(N141=1,SUMIFS('Alokasi Honor'!$M$2:$M993,'Alokasi Honor'!$T$2:$T993,A141),"")</f>
        <v>2380000</v>
      </c>
      <c r="J141" s="10">
        <f ca="1">IFERROR(__xludf.DUMMYFUNCTION("COUNTIF(FILTER('Alokasi Honor'!$H$2:$H993,'Alokasi Honor'!$H$2:$H993=""OB"",'Alokasi Honor'!$T$2:$T993=A141),""OB"")"),0)</f>
        <v>0</v>
      </c>
      <c r="K141" s="10">
        <f t="shared" ca="1" si="1"/>
        <v>1</v>
      </c>
      <c r="L141" s="70">
        <f t="array" aca="1" ref="L141" ca="1">IF(N141=1,INDEX('Batasan Honor'!$B$2:$B993,MATCH(CONCATENATE($F141,"-",$G141),'Batasan Honor'!$G$2:$G993,0)),"")</f>
        <v>5400000</v>
      </c>
      <c r="M141" s="10">
        <f t="shared" ca="1" si="2"/>
        <v>1</v>
      </c>
      <c r="N141" s="10">
        <f t="shared" ca="1" si="3"/>
        <v>1</v>
      </c>
    </row>
    <row r="142" spans="1:14" ht="12.5">
      <c r="A142" s="10" t="str">
        <f ca="1">IFERROR(__xludf.DUMMYFUNCTION("""COMPUTED_VALUE"""),"610422100085-2024-3-SURVEI-PPL")</f>
        <v>610422100085-2024-3-SURVEI-PPL</v>
      </c>
      <c r="B142" s="5" t="str">
        <f t="shared" ca="1" si="0"/>
        <v>610422100085-2024-3</v>
      </c>
      <c r="C142" s="5">
        <f ca="1">IFERROR(__xludf.DUMMYFUNCTION("IF(N142=1,SPLIT(A142,""-""),"""")"),610422100085)</f>
        <v>610422100085</v>
      </c>
      <c r="D142" s="10">
        <f ca="1">IFERROR(__xludf.DUMMYFUNCTION("""COMPUTED_VALUE"""),2024)</f>
        <v>2024</v>
      </c>
      <c r="E142" s="10">
        <f ca="1">IFERROR(__xludf.DUMMYFUNCTION("""COMPUTED_VALUE"""),3)</f>
        <v>3</v>
      </c>
      <c r="F142" s="5" t="str">
        <f ca="1">IFERROR(__xludf.DUMMYFUNCTION("""COMPUTED_VALUE"""),"SURVEI")</f>
        <v>SURVEI</v>
      </c>
      <c r="G142" s="5" t="str">
        <f ca="1">IFERROR(__xludf.DUMMYFUNCTION("""COMPUTED_VALUE"""),"PPL")</f>
        <v>PPL</v>
      </c>
      <c r="H142" s="5" t="str">
        <f t="array" aca="1" ref="H142" ca="1">IF(N142=1, INDEX('Database Mitra'!$C$2:$C993,MATCH($C142,'Database Mitra'!$AK$2:$AK993,0)),"")</f>
        <v>LINA AGUSTIN WIDYA SIWI</v>
      </c>
      <c r="I142" s="71">
        <f ca="1">IF(N142=1,SUMIFS('Alokasi Honor'!$M$2:$M993,'Alokasi Honor'!$T$2:$T993,A142),"")</f>
        <v>1190000</v>
      </c>
      <c r="J142" s="10">
        <f ca="1">IFERROR(__xludf.DUMMYFUNCTION("COUNTIF(FILTER('Alokasi Honor'!$H$2:$H993,'Alokasi Honor'!$H$2:$H993=""OB"",'Alokasi Honor'!$T$2:$T993=A142),""OB"")"),0)</f>
        <v>0</v>
      </c>
      <c r="K142" s="10">
        <f t="shared" ca="1" si="1"/>
        <v>1</v>
      </c>
      <c r="L142" s="70">
        <f t="array" aca="1" ref="L142" ca="1">IF(N142=1,INDEX('Batasan Honor'!$B$2:$B993,MATCH(CONCATENATE($F142,"-",$G142),'Batasan Honor'!$G$2:$G993,0)),"")</f>
        <v>5400000</v>
      </c>
      <c r="M142" s="10">
        <f t="shared" ca="1" si="2"/>
        <v>1</v>
      </c>
      <c r="N142" s="10">
        <f t="shared" ca="1" si="3"/>
        <v>1</v>
      </c>
    </row>
    <row r="143" spans="1:14" ht="12.5">
      <c r="A143" s="10" t="str">
        <f ca="1">IFERROR(__xludf.DUMMYFUNCTION("""COMPUTED_VALUE"""),"610422060001-2024-3-SURVEI-PPL")</f>
        <v>610422060001-2024-3-SURVEI-PPL</v>
      </c>
      <c r="B143" s="5" t="str">
        <f t="shared" ca="1" si="0"/>
        <v>610422060001-2024-3</v>
      </c>
      <c r="C143" s="5">
        <f ca="1">IFERROR(__xludf.DUMMYFUNCTION("IF(N143=1,SPLIT(A143,""-""),"""")"),610422060001)</f>
        <v>610422060001</v>
      </c>
      <c r="D143" s="10">
        <f ca="1">IFERROR(__xludf.DUMMYFUNCTION("""COMPUTED_VALUE"""),2024)</f>
        <v>2024</v>
      </c>
      <c r="E143" s="10">
        <f ca="1">IFERROR(__xludf.DUMMYFUNCTION("""COMPUTED_VALUE"""),3)</f>
        <v>3</v>
      </c>
      <c r="F143" s="5" t="str">
        <f ca="1">IFERROR(__xludf.DUMMYFUNCTION("""COMPUTED_VALUE"""),"SURVEI")</f>
        <v>SURVEI</v>
      </c>
      <c r="G143" s="5" t="str">
        <f ca="1">IFERROR(__xludf.DUMMYFUNCTION("""COMPUTED_VALUE"""),"PPL")</f>
        <v>PPL</v>
      </c>
      <c r="H143" s="5" t="str">
        <f t="array" aca="1" ref="H143" ca="1">IF(N143=1, INDEX('Database Mitra'!$C$2:$C993,MATCH($C143,'Database Mitra'!$AK$2:$AK993,0)),"")</f>
        <v>Elman</v>
      </c>
      <c r="I143" s="71">
        <f ca="1">IF(N143=1,SUMIFS('Alokasi Honor'!$M$2:$M993,'Alokasi Honor'!$T$2:$T993,A143),"")</f>
        <v>2380000</v>
      </c>
      <c r="J143" s="10">
        <f ca="1">IFERROR(__xludf.DUMMYFUNCTION("COUNTIF(FILTER('Alokasi Honor'!$H$2:$H993,'Alokasi Honor'!$H$2:$H993=""OB"",'Alokasi Honor'!$T$2:$T993=A143),""OB"")"),0)</f>
        <v>0</v>
      </c>
      <c r="K143" s="10">
        <f t="shared" ca="1" si="1"/>
        <v>1</v>
      </c>
      <c r="L143" s="70">
        <f t="array" aca="1" ref="L143" ca="1">IF(N143=1,INDEX('Batasan Honor'!$B$2:$B993,MATCH(CONCATENATE($F143,"-",$G143),'Batasan Honor'!$G$2:$G993,0)),"")</f>
        <v>5400000</v>
      </c>
      <c r="M143" s="10">
        <f t="shared" ca="1" si="2"/>
        <v>1</v>
      </c>
      <c r="N143" s="10">
        <f t="shared" ca="1" si="3"/>
        <v>1</v>
      </c>
    </row>
    <row r="144" spans="1:14" ht="12.5">
      <c r="A144" s="10" t="str">
        <f ca="1">IFERROR(__xludf.DUMMYFUNCTION("""COMPUTED_VALUE"""),"610422100001-2024-3-SURVEI-PPL")</f>
        <v>610422100001-2024-3-SURVEI-PPL</v>
      </c>
      <c r="B144" s="5" t="str">
        <f t="shared" ca="1" si="0"/>
        <v>610422100001-2024-3</v>
      </c>
      <c r="C144" s="5">
        <f ca="1">IFERROR(__xludf.DUMMYFUNCTION("IF(N144=1,SPLIT(A144,""-""),"""")"),610422100001)</f>
        <v>610422100001</v>
      </c>
      <c r="D144" s="10">
        <f ca="1">IFERROR(__xludf.DUMMYFUNCTION("""COMPUTED_VALUE"""),2024)</f>
        <v>2024</v>
      </c>
      <c r="E144" s="10">
        <f ca="1">IFERROR(__xludf.DUMMYFUNCTION("""COMPUTED_VALUE"""),3)</f>
        <v>3</v>
      </c>
      <c r="F144" s="5" t="str">
        <f ca="1">IFERROR(__xludf.DUMMYFUNCTION("""COMPUTED_VALUE"""),"SURVEI")</f>
        <v>SURVEI</v>
      </c>
      <c r="G144" s="5" t="str">
        <f ca="1">IFERROR(__xludf.DUMMYFUNCTION("""COMPUTED_VALUE"""),"PPL")</f>
        <v>PPL</v>
      </c>
      <c r="H144" s="5" t="str">
        <f t="array" aca="1" ref="H144" ca="1">IF(N144=1, INDEX('Database Mitra'!$C$2:$C993,MATCH($C144,'Database Mitra'!$AK$2:$AK993,0)),"")</f>
        <v>Fatmawati,S.Hut</v>
      </c>
      <c r="I144" s="71">
        <f ca="1">IF(N144=1,SUMIFS('Alokasi Honor'!$M$2:$M993,'Alokasi Honor'!$T$2:$T993,A144),"")</f>
        <v>2380000</v>
      </c>
      <c r="J144" s="10">
        <f ca="1">IFERROR(__xludf.DUMMYFUNCTION("COUNTIF(FILTER('Alokasi Honor'!$H$2:$H993,'Alokasi Honor'!$H$2:$H993=""OB"",'Alokasi Honor'!$T$2:$T993=A144),""OB"")"),0)</f>
        <v>0</v>
      </c>
      <c r="K144" s="10">
        <f t="shared" ca="1" si="1"/>
        <v>1</v>
      </c>
      <c r="L144" s="70">
        <f t="array" aca="1" ref="L144" ca="1">IF(N144=1,INDEX('Batasan Honor'!$B$2:$B993,MATCH(CONCATENATE($F144,"-",$G144),'Batasan Honor'!$G$2:$G993,0)),"")</f>
        <v>5400000</v>
      </c>
      <c r="M144" s="10">
        <f t="shared" ca="1" si="2"/>
        <v>1</v>
      </c>
      <c r="N144" s="10">
        <f t="shared" ca="1" si="3"/>
        <v>1</v>
      </c>
    </row>
    <row r="145" spans="1:14" ht="12.5">
      <c r="A145" s="10" t="str">
        <f ca="1">IFERROR(__xludf.DUMMYFUNCTION("""COMPUTED_VALUE"""),"610422040034-2024-3-SURVEI-PPL")</f>
        <v>610422040034-2024-3-SURVEI-PPL</v>
      </c>
      <c r="B145" s="5" t="str">
        <f t="shared" ca="1" si="0"/>
        <v>610422040034-2024-3</v>
      </c>
      <c r="C145" s="5">
        <f ca="1">IFERROR(__xludf.DUMMYFUNCTION("IF(N145=1,SPLIT(A145,""-""),"""")"),610422040034)</f>
        <v>610422040034</v>
      </c>
      <c r="D145" s="10">
        <f ca="1">IFERROR(__xludf.DUMMYFUNCTION("""COMPUTED_VALUE"""),2024)</f>
        <v>2024</v>
      </c>
      <c r="E145" s="10">
        <f ca="1">IFERROR(__xludf.DUMMYFUNCTION("""COMPUTED_VALUE"""),3)</f>
        <v>3</v>
      </c>
      <c r="F145" s="5" t="str">
        <f ca="1">IFERROR(__xludf.DUMMYFUNCTION("""COMPUTED_VALUE"""),"SURVEI")</f>
        <v>SURVEI</v>
      </c>
      <c r="G145" s="5" t="str">
        <f ca="1">IFERROR(__xludf.DUMMYFUNCTION("""COMPUTED_VALUE"""),"PPL")</f>
        <v>PPL</v>
      </c>
      <c r="H145" s="5" t="str">
        <f t="array" aca="1" ref="H145" ca="1">IF(N145=1, INDEX('Database Mitra'!$C$2:$C993,MATCH($C145,'Database Mitra'!$AK$2:$AK993,0)),"")</f>
        <v>Nelly Nalita</v>
      </c>
      <c r="I145" s="71">
        <f ca="1">IF(N145=1,SUMIFS('Alokasi Honor'!$M$2:$M993,'Alokasi Honor'!$T$2:$T993,A145),"")</f>
        <v>2380000</v>
      </c>
      <c r="J145" s="10">
        <f ca="1">IFERROR(__xludf.DUMMYFUNCTION("COUNTIF(FILTER('Alokasi Honor'!$H$2:$H993,'Alokasi Honor'!$H$2:$H993=""OB"",'Alokasi Honor'!$T$2:$T993=A145),""OB"")"),0)</f>
        <v>0</v>
      </c>
      <c r="K145" s="10">
        <f t="shared" ca="1" si="1"/>
        <v>1</v>
      </c>
      <c r="L145" s="70">
        <f t="array" aca="1" ref="L145" ca="1">IF(N145=1,INDEX('Batasan Honor'!$B$2:$B993,MATCH(CONCATENATE($F145,"-",$G145),'Batasan Honor'!$G$2:$G993,0)),"")</f>
        <v>5400000</v>
      </c>
      <c r="M145" s="10">
        <f t="shared" ca="1" si="2"/>
        <v>1</v>
      </c>
      <c r="N145" s="10">
        <f t="shared" ca="1" si="3"/>
        <v>1</v>
      </c>
    </row>
    <row r="146" spans="1:14" ht="12.5">
      <c r="A146" s="10" t="str">
        <f ca="1">IFERROR(__xludf.DUMMYFUNCTION("""COMPUTED_VALUE"""),"610422040058-2024-3-SURVEI-PPL")</f>
        <v>610422040058-2024-3-SURVEI-PPL</v>
      </c>
      <c r="B146" s="5" t="str">
        <f t="shared" ca="1" si="0"/>
        <v>610422040058-2024-3</v>
      </c>
      <c r="C146" s="5">
        <f ca="1">IFERROR(__xludf.DUMMYFUNCTION("IF(N146=1,SPLIT(A146,""-""),"""")"),610422040058)</f>
        <v>610422040058</v>
      </c>
      <c r="D146" s="10">
        <f ca="1">IFERROR(__xludf.DUMMYFUNCTION("""COMPUTED_VALUE"""),2024)</f>
        <v>2024</v>
      </c>
      <c r="E146" s="10">
        <f ca="1">IFERROR(__xludf.DUMMYFUNCTION("""COMPUTED_VALUE"""),3)</f>
        <v>3</v>
      </c>
      <c r="F146" s="5" t="str">
        <f ca="1">IFERROR(__xludf.DUMMYFUNCTION("""COMPUTED_VALUE"""),"SURVEI")</f>
        <v>SURVEI</v>
      </c>
      <c r="G146" s="5" t="str">
        <f ca="1">IFERROR(__xludf.DUMMYFUNCTION("""COMPUTED_VALUE"""),"PPL")</f>
        <v>PPL</v>
      </c>
      <c r="H146" s="5" t="str">
        <f t="array" aca="1" ref="H146" ca="1">IF(N146=1, INDEX('Database Mitra'!$C$2:$C993,MATCH($C146,'Database Mitra'!$AK$2:$AK993,0)),"")</f>
        <v>Jamaluddin, SP</v>
      </c>
      <c r="I146" s="71">
        <f ca="1">IF(N146=1,SUMIFS('Alokasi Honor'!$M$2:$M993,'Alokasi Honor'!$T$2:$T993,A146),"")</f>
        <v>2970000</v>
      </c>
      <c r="J146" s="10">
        <f ca="1">IFERROR(__xludf.DUMMYFUNCTION("COUNTIF(FILTER('Alokasi Honor'!$H$2:$H993,'Alokasi Honor'!$H$2:$H993=""OB"",'Alokasi Honor'!$T$2:$T993=A146),""OB"")"),0)</f>
        <v>0</v>
      </c>
      <c r="K146" s="10">
        <f t="shared" ca="1" si="1"/>
        <v>1</v>
      </c>
      <c r="L146" s="70">
        <f t="array" aca="1" ref="L146" ca="1">IF(N146=1,INDEX('Batasan Honor'!$B$2:$B993,MATCH(CONCATENATE($F146,"-",$G146),'Batasan Honor'!$G$2:$G993,0)),"")</f>
        <v>5400000</v>
      </c>
      <c r="M146" s="10">
        <f t="shared" ca="1" si="2"/>
        <v>1</v>
      </c>
      <c r="N146" s="10">
        <f t="shared" ca="1" si="3"/>
        <v>1</v>
      </c>
    </row>
    <row r="147" spans="1:14" ht="12.5">
      <c r="A147" s="10" t="str">
        <f ca="1">IFERROR(__xludf.DUMMYFUNCTION("""COMPUTED_VALUE"""),"610422040052-2024-3-SURVEI-PPL")</f>
        <v>610422040052-2024-3-SURVEI-PPL</v>
      </c>
      <c r="B147" s="5" t="str">
        <f t="shared" ca="1" si="0"/>
        <v>610422040052-2024-3</v>
      </c>
      <c r="C147" s="5">
        <f ca="1">IFERROR(__xludf.DUMMYFUNCTION("IF(N147=1,SPLIT(A147,""-""),"""")"),610422040052)</f>
        <v>610422040052</v>
      </c>
      <c r="D147" s="10">
        <f ca="1">IFERROR(__xludf.DUMMYFUNCTION("""COMPUTED_VALUE"""),2024)</f>
        <v>2024</v>
      </c>
      <c r="E147" s="10">
        <f ca="1">IFERROR(__xludf.DUMMYFUNCTION("""COMPUTED_VALUE"""),3)</f>
        <v>3</v>
      </c>
      <c r="F147" s="5" t="str">
        <f ca="1">IFERROR(__xludf.DUMMYFUNCTION("""COMPUTED_VALUE"""),"SURVEI")</f>
        <v>SURVEI</v>
      </c>
      <c r="G147" s="5" t="str">
        <f ca="1">IFERROR(__xludf.DUMMYFUNCTION("""COMPUTED_VALUE"""),"PPL")</f>
        <v>PPL</v>
      </c>
      <c r="H147" s="5" t="str">
        <f t="array" aca="1" ref="H147" ca="1">IF(N147=1, INDEX('Database Mitra'!$C$2:$C993,MATCH($C147,'Database Mitra'!$AK$2:$AK993,0)),"")</f>
        <v>Yusimianto</v>
      </c>
      <c r="I147" s="71">
        <f ca="1">IF(N147=1,SUMIFS('Alokasi Honor'!$M$2:$M993,'Alokasi Honor'!$T$2:$T993,A147),"")</f>
        <v>1190000</v>
      </c>
      <c r="J147" s="10">
        <f ca="1">IFERROR(__xludf.DUMMYFUNCTION("COUNTIF(FILTER('Alokasi Honor'!$H$2:$H993,'Alokasi Honor'!$H$2:$H993=""OB"",'Alokasi Honor'!$T$2:$T993=A147),""OB"")"),0)</f>
        <v>0</v>
      </c>
      <c r="K147" s="10">
        <f t="shared" ca="1" si="1"/>
        <v>1</v>
      </c>
      <c r="L147" s="70">
        <f t="array" aca="1" ref="L147" ca="1">IF(N147=1,INDEX('Batasan Honor'!$B$2:$B993,MATCH(CONCATENATE($F147,"-",$G147),'Batasan Honor'!$G$2:$G993,0)),"")</f>
        <v>5400000</v>
      </c>
      <c r="M147" s="10">
        <f t="shared" ca="1" si="2"/>
        <v>1</v>
      </c>
      <c r="N147" s="10">
        <f t="shared" ca="1" si="3"/>
        <v>1</v>
      </c>
    </row>
    <row r="148" spans="1:14" ht="12.5">
      <c r="A148" s="10" t="str">
        <f ca="1">IFERROR(__xludf.DUMMYFUNCTION("""COMPUTED_VALUE"""),"610422040061-2024-3-SURVEI-PPL")</f>
        <v>610422040061-2024-3-SURVEI-PPL</v>
      </c>
      <c r="B148" s="5" t="str">
        <f t="shared" ca="1" si="0"/>
        <v>610422040061-2024-3</v>
      </c>
      <c r="C148" s="5">
        <f ca="1">IFERROR(__xludf.DUMMYFUNCTION("IF(N148=1,SPLIT(A148,""-""),"""")"),610422040061)</f>
        <v>610422040061</v>
      </c>
      <c r="D148" s="10">
        <f ca="1">IFERROR(__xludf.DUMMYFUNCTION("""COMPUTED_VALUE"""),2024)</f>
        <v>2024</v>
      </c>
      <c r="E148" s="10">
        <f ca="1">IFERROR(__xludf.DUMMYFUNCTION("""COMPUTED_VALUE"""),3)</f>
        <v>3</v>
      </c>
      <c r="F148" s="5" t="str">
        <f ca="1">IFERROR(__xludf.DUMMYFUNCTION("""COMPUTED_VALUE"""),"SURVEI")</f>
        <v>SURVEI</v>
      </c>
      <c r="G148" s="5" t="str">
        <f ca="1">IFERROR(__xludf.DUMMYFUNCTION("""COMPUTED_VALUE"""),"PPL")</f>
        <v>PPL</v>
      </c>
      <c r="H148" s="5" t="str">
        <f t="array" aca="1" ref="H148" ca="1">IF(N148=1, INDEX('Database Mitra'!$C$2:$C993,MATCH($C148,'Database Mitra'!$AK$2:$AK993,0)),"")</f>
        <v>Sabani</v>
      </c>
      <c r="I148" s="71">
        <f ca="1">IF(N148=1,SUMIFS('Alokasi Honor'!$M$2:$M993,'Alokasi Honor'!$T$2:$T993,A148),"")</f>
        <v>1538000</v>
      </c>
      <c r="J148" s="10">
        <f ca="1">IFERROR(__xludf.DUMMYFUNCTION("COUNTIF(FILTER('Alokasi Honor'!$H$2:$H993,'Alokasi Honor'!$H$2:$H993=""OB"",'Alokasi Honor'!$T$2:$T993=A148),""OB"")"),0)</f>
        <v>0</v>
      </c>
      <c r="K148" s="10">
        <f t="shared" ca="1" si="1"/>
        <v>1</v>
      </c>
      <c r="L148" s="70">
        <f t="array" aca="1" ref="L148" ca="1">IF(N148=1,INDEX('Batasan Honor'!$B$2:$B993,MATCH(CONCATENATE($F148,"-",$G148),'Batasan Honor'!$G$2:$G993,0)),"")</f>
        <v>5400000</v>
      </c>
      <c r="M148" s="10">
        <f t="shared" ca="1" si="2"/>
        <v>1</v>
      </c>
      <c r="N148" s="10">
        <f t="shared" ca="1" si="3"/>
        <v>1</v>
      </c>
    </row>
    <row r="149" spans="1:14" ht="12.5">
      <c r="A149" s="10" t="str">
        <f ca="1">IFERROR(__xludf.DUMMYFUNCTION("""COMPUTED_VALUE"""),"610422040006-2024-3-SURVEI-PPL")</f>
        <v>610422040006-2024-3-SURVEI-PPL</v>
      </c>
      <c r="B149" s="5" t="str">
        <f t="shared" ca="1" si="0"/>
        <v>610422040006-2024-3</v>
      </c>
      <c r="C149" s="5">
        <f ca="1">IFERROR(__xludf.DUMMYFUNCTION("IF(N149=1,SPLIT(A149,""-""),"""")"),610422040006)</f>
        <v>610422040006</v>
      </c>
      <c r="D149" s="10">
        <f ca="1">IFERROR(__xludf.DUMMYFUNCTION("""COMPUTED_VALUE"""),2024)</f>
        <v>2024</v>
      </c>
      <c r="E149" s="10">
        <f ca="1">IFERROR(__xludf.DUMMYFUNCTION("""COMPUTED_VALUE"""),3)</f>
        <v>3</v>
      </c>
      <c r="F149" s="5" t="str">
        <f ca="1">IFERROR(__xludf.DUMMYFUNCTION("""COMPUTED_VALUE"""),"SURVEI")</f>
        <v>SURVEI</v>
      </c>
      <c r="G149" s="5" t="str">
        <f ca="1">IFERROR(__xludf.DUMMYFUNCTION("""COMPUTED_VALUE"""),"PPL")</f>
        <v>PPL</v>
      </c>
      <c r="H149" s="5" t="str">
        <f t="array" aca="1" ref="H149" ca="1">IF(N149=1, INDEX('Database Mitra'!$C$2:$C993,MATCH($C149,'Database Mitra'!$AK$2:$AK993,0)),"")</f>
        <v>RIDHA NUR MITHA</v>
      </c>
      <c r="I149" s="71">
        <f ca="1">IF(N149=1,SUMIFS('Alokasi Honor'!$M$2:$M993,'Alokasi Honor'!$T$2:$T993,A149),"")</f>
        <v>2380000</v>
      </c>
      <c r="J149" s="10">
        <f ca="1">IFERROR(__xludf.DUMMYFUNCTION("COUNTIF(FILTER('Alokasi Honor'!$H$2:$H993,'Alokasi Honor'!$H$2:$H993=""OB"",'Alokasi Honor'!$T$2:$T993=A149),""OB"")"),0)</f>
        <v>0</v>
      </c>
      <c r="K149" s="10">
        <f t="shared" ca="1" si="1"/>
        <v>1</v>
      </c>
      <c r="L149" s="70">
        <f t="array" aca="1" ref="L149" ca="1">IF(N149=1,INDEX('Batasan Honor'!$B$2:$B993,MATCH(CONCATENATE($F149,"-",$G149),'Batasan Honor'!$G$2:$G993,0)),"")</f>
        <v>5400000</v>
      </c>
      <c r="M149" s="10">
        <f t="shared" ca="1" si="2"/>
        <v>1</v>
      </c>
      <c r="N149" s="10">
        <f t="shared" ca="1" si="3"/>
        <v>1</v>
      </c>
    </row>
    <row r="150" spans="1:14" ht="12.5">
      <c r="A150" s="10" t="str">
        <f ca="1">IFERROR(__xludf.DUMMYFUNCTION("""COMPUTED_VALUE"""),"610422040028-2024-3-SURVEI-PPL")</f>
        <v>610422040028-2024-3-SURVEI-PPL</v>
      </c>
      <c r="B150" s="5" t="str">
        <f t="shared" ca="1" si="0"/>
        <v>610422040028-2024-3</v>
      </c>
      <c r="C150" s="5">
        <f ca="1">IFERROR(__xludf.DUMMYFUNCTION("IF(N150=1,SPLIT(A150,""-""),"""")"),610422040028)</f>
        <v>610422040028</v>
      </c>
      <c r="D150" s="10">
        <f ca="1">IFERROR(__xludf.DUMMYFUNCTION("""COMPUTED_VALUE"""),2024)</f>
        <v>2024</v>
      </c>
      <c r="E150" s="10">
        <f ca="1">IFERROR(__xludf.DUMMYFUNCTION("""COMPUTED_VALUE"""),3)</f>
        <v>3</v>
      </c>
      <c r="F150" s="5" t="str">
        <f ca="1">IFERROR(__xludf.DUMMYFUNCTION("""COMPUTED_VALUE"""),"SURVEI")</f>
        <v>SURVEI</v>
      </c>
      <c r="G150" s="5" t="str">
        <f ca="1">IFERROR(__xludf.DUMMYFUNCTION("""COMPUTED_VALUE"""),"PPL")</f>
        <v>PPL</v>
      </c>
      <c r="H150" s="5" t="str">
        <f t="array" aca="1" ref="H150" ca="1">IF(N150=1, INDEX('Database Mitra'!$C$2:$C993,MATCH($C150,'Database Mitra'!$AK$2:$AK993,0)),"")</f>
        <v>Hafizh</v>
      </c>
      <c r="I150" s="71">
        <f ca="1">IF(N150=1,SUMIFS('Alokasi Honor'!$M$2:$M993,'Alokasi Honor'!$T$2:$T993,A150),"")</f>
        <v>2380000</v>
      </c>
      <c r="J150" s="10">
        <f ca="1">IFERROR(__xludf.DUMMYFUNCTION("COUNTIF(FILTER('Alokasi Honor'!$H$2:$H993,'Alokasi Honor'!$H$2:$H993=""OB"",'Alokasi Honor'!$T$2:$T993=A150),""OB"")"),0)</f>
        <v>0</v>
      </c>
      <c r="K150" s="10">
        <f t="shared" ca="1" si="1"/>
        <v>1</v>
      </c>
      <c r="L150" s="70">
        <f t="array" aca="1" ref="L150" ca="1">IF(N150=1,INDEX('Batasan Honor'!$B$2:$B993,MATCH(CONCATENATE($F150,"-",$G150),'Batasan Honor'!$G$2:$G993,0)),"")</f>
        <v>5400000</v>
      </c>
      <c r="M150" s="10">
        <f t="shared" ca="1" si="2"/>
        <v>1</v>
      </c>
      <c r="N150" s="10">
        <f t="shared" ca="1" si="3"/>
        <v>1</v>
      </c>
    </row>
    <row r="151" spans="1:14" ht="12.5">
      <c r="A151" s="10" t="str">
        <f ca="1">IFERROR(__xludf.DUMMYFUNCTION("""COMPUTED_VALUE"""),"610422040035-2024-3-SURVEI-PPL")</f>
        <v>610422040035-2024-3-SURVEI-PPL</v>
      </c>
      <c r="B151" s="5" t="str">
        <f t="shared" ca="1" si="0"/>
        <v>610422040035-2024-3</v>
      </c>
      <c r="C151" s="5">
        <f ca="1">IFERROR(__xludf.DUMMYFUNCTION("IF(N151=1,SPLIT(A151,""-""),"""")"),610422040035)</f>
        <v>610422040035</v>
      </c>
      <c r="D151" s="10">
        <f ca="1">IFERROR(__xludf.DUMMYFUNCTION("""COMPUTED_VALUE"""),2024)</f>
        <v>2024</v>
      </c>
      <c r="E151" s="10">
        <f ca="1">IFERROR(__xludf.DUMMYFUNCTION("""COMPUTED_VALUE"""),3)</f>
        <v>3</v>
      </c>
      <c r="F151" s="5" t="str">
        <f ca="1">IFERROR(__xludf.DUMMYFUNCTION("""COMPUTED_VALUE"""),"SURVEI")</f>
        <v>SURVEI</v>
      </c>
      <c r="G151" s="5" t="str">
        <f ca="1">IFERROR(__xludf.DUMMYFUNCTION("""COMPUTED_VALUE"""),"PPL")</f>
        <v>PPL</v>
      </c>
      <c r="H151" s="5" t="str">
        <f t="array" aca="1" ref="H151" ca="1">IF(N151=1, INDEX('Database Mitra'!$C$2:$C993,MATCH($C151,'Database Mitra'!$AK$2:$AK993,0)),"")</f>
        <v>Rahmayani</v>
      </c>
      <c r="I151" s="71">
        <f ca="1">IF(N151=1,SUMIFS('Alokasi Honor'!$M$2:$M993,'Alokasi Honor'!$T$2:$T993,A151),"")</f>
        <v>1190000</v>
      </c>
      <c r="J151" s="10">
        <f ca="1">IFERROR(__xludf.DUMMYFUNCTION("COUNTIF(FILTER('Alokasi Honor'!$H$2:$H993,'Alokasi Honor'!$H$2:$H993=""OB"",'Alokasi Honor'!$T$2:$T993=A151),""OB"")"),0)</f>
        <v>0</v>
      </c>
      <c r="K151" s="10">
        <f t="shared" ca="1" si="1"/>
        <v>1</v>
      </c>
      <c r="L151" s="70">
        <f t="array" aca="1" ref="L151" ca="1">IF(N151=1,INDEX('Batasan Honor'!$B$2:$B993,MATCH(CONCATENATE($F151,"-",$G151),'Batasan Honor'!$G$2:$G993,0)),"")</f>
        <v>5400000</v>
      </c>
      <c r="M151" s="10">
        <f t="shared" ca="1" si="2"/>
        <v>1</v>
      </c>
      <c r="N151" s="10">
        <f t="shared" ca="1" si="3"/>
        <v>1</v>
      </c>
    </row>
    <row r="152" spans="1:14" ht="12.5">
      <c r="A152" s="10" t="str">
        <f ca="1">IFERROR(__xludf.DUMMYFUNCTION("""COMPUTED_VALUE"""),"610422040049-2024-3-SURVEI-PPL")</f>
        <v>610422040049-2024-3-SURVEI-PPL</v>
      </c>
      <c r="B152" s="5" t="str">
        <f t="shared" ca="1" si="0"/>
        <v>610422040049-2024-3</v>
      </c>
      <c r="C152" s="5">
        <f ca="1">IFERROR(__xludf.DUMMYFUNCTION("IF(N152=1,SPLIT(A152,""-""),"""")"),610422040049)</f>
        <v>610422040049</v>
      </c>
      <c r="D152" s="10">
        <f ca="1">IFERROR(__xludf.DUMMYFUNCTION("""COMPUTED_VALUE"""),2024)</f>
        <v>2024</v>
      </c>
      <c r="E152" s="10">
        <f ca="1">IFERROR(__xludf.DUMMYFUNCTION("""COMPUTED_VALUE"""),3)</f>
        <v>3</v>
      </c>
      <c r="F152" s="5" t="str">
        <f ca="1">IFERROR(__xludf.DUMMYFUNCTION("""COMPUTED_VALUE"""),"SURVEI")</f>
        <v>SURVEI</v>
      </c>
      <c r="G152" s="5" t="str">
        <f ca="1">IFERROR(__xludf.DUMMYFUNCTION("""COMPUTED_VALUE"""),"PPL")</f>
        <v>PPL</v>
      </c>
      <c r="H152" s="5" t="str">
        <f t="array" aca="1" ref="H152" ca="1">IF(N152=1, INDEX('Database Mitra'!$C$2:$C993,MATCH($C152,'Database Mitra'!$AK$2:$AK993,0)),"")</f>
        <v>Sulis tri handayani</v>
      </c>
      <c r="I152" s="71">
        <f ca="1">IF(N152=1,SUMIFS('Alokasi Honor'!$M$2:$M993,'Alokasi Honor'!$T$2:$T993,A152),"")</f>
        <v>2380000</v>
      </c>
      <c r="J152" s="10">
        <f ca="1">IFERROR(__xludf.DUMMYFUNCTION("COUNTIF(FILTER('Alokasi Honor'!$H$2:$H993,'Alokasi Honor'!$H$2:$H993=""OB"",'Alokasi Honor'!$T$2:$T993=A152),""OB"")"),0)</f>
        <v>0</v>
      </c>
      <c r="K152" s="10">
        <f t="shared" ca="1" si="1"/>
        <v>1</v>
      </c>
      <c r="L152" s="70">
        <f t="array" aca="1" ref="L152" ca="1">IF(N152=1,INDEX('Batasan Honor'!$B$2:$B993,MATCH(CONCATENATE($F152,"-",$G152),'Batasan Honor'!$G$2:$G993,0)),"")</f>
        <v>5400000</v>
      </c>
      <c r="M152" s="10">
        <f t="shared" ca="1" si="2"/>
        <v>1</v>
      </c>
      <c r="N152" s="10">
        <f t="shared" ca="1" si="3"/>
        <v>1</v>
      </c>
    </row>
    <row r="153" spans="1:14" ht="12.5">
      <c r="A153" s="10" t="str">
        <f ca="1">IFERROR(__xludf.DUMMYFUNCTION("""COMPUTED_VALUE"""),"610422040033-2024-3-SURVEI-PPL")</f>
        <v>610422040033-2024-3-SURVEI-PPL</v>
      </c>
      <c r="B153" s="5" t="str">
        <f t="shared" ca="1" si="0"/>
        <v>610422040033-2024-3</v>
      </c>
      <c r="C153" s="5">
        <f ca="1">IFERROR(__xludf.DUMMYFUNCTION("IF(N153=1,SPLIT(A153,""-""),"""")"),610422040033)</f>
        <v>610422040033</v>
      </c>
      <c r="D153" s="10">
        <f ca="1">IFERROR(__xludf.DUMMYFUNCTION("""COMPUTED_VALUE"""),2024)</f>
        <v>2024</v>
      </c>
      <c r="E153" s="10">
        <f ca="1">IFERROR(__xludf.DUMMYFUNCTION("""COMPUTED_VALUE"""),3)</f>
        <v>3</v>
      </c>
      <c r="F153" s="5" t="str">
        <f ca="1">IFERROR(__xludf.DUMMYFUNCTION("""COMPUTED_VALUE"""),"SURVEI")</f>
        <v>SURVEI</v>
      </c>
      <c r="G153" s="5" t="str">
        <f ca="1">IFERROR(__xludf.DUMMYFUNCTION("""COMPUTED_VALUE"""),"PPL")</f>
        <v>PPL</v>
      </c>
      <c r="H153" s="5" t="str">
        <f t="array" aca="1" ref="H153" ca="1">IF(N153=1, INDEX('Database Mitra'!$C$2:$C993,MATCH($C153,'Database Mitra'!$AK$2:$AK993,0)),"")</f>
        <v>NURLIAN</v>
      </c>
      <c r="I153" s="71">
        <f ca="1">IF(N153=1,SUMIFS('Alokasi Honor'!$M$2:$M993,'Alokasi Honor'!$T$2:$T993,A153),"")</f>
        <v>2380000</v>
      </c>
      <c r="J153" s="10">
        <f ca="1">IFERROR(__xludf.DUMMYFUNCTION("COUNTIF(FILTER('Alokasi Honor'!$H$2:$H993,'Alokasi Honor'!$H$2:$H993=""OB"",'Alokasi Honor'!$T$2:$T993=A153),""OB"")"),0)</f>
        <v>0</v>
      </c>
      <c r="K153" s="10">
        <f t="shared" ca="1" si="1"/>
        <v>1</v>
      </c>
      <c r="L153" s="70">
        <f t="array" aca="1" ref="L153" ca="1">IF(N153=1,INDEX('Batasan Honor'!$B$2:$B993,MATCH(CONCATENATE($F153,"-",$G153),'Batasan Honor'!$G$2:$G993,0)),"")</f>
        <v>5400000</v>
      </c>
      <c r="M153" s="10">
        <f t="shared" ca="1" si="2"/>
        <v>1</v>
      </c>
      <c r="N153" s="10">
        <f t="shared" ca="1" si="3"/>
        <v>1</v>
      </c>
    </row>
    <row r="154" spans="1:14" ht="12.5">
      <c r="A154" s="10" t="str">
        <f ca="1">IFERROR(__xludf.DUMMYFUNCTION("""COMPUTED_VALUE"""),"610422040050-2024-3-SURVEI-PPL")</f>
        <v>610422040050-2024-3-SURVEI-PPL</v>
      </c>
      <c r="B154" s="5" t="str">
        <f t="shared" ca="1" si="0"/>
        <v>610422040050-2024-3</v>
      </c>
      <c r="C154" s="5">
        <f ca="1">IFERROR(__xludf.DUMMYFUNCTION("IF(N154=1,SPLIT(A154,""-""),"""")"),610422040050)</f>
        <v>610422040050</v>
      </c>
      <c r="D154" s="10">
        <f ca="1">IFERROR(__xludf.DUMMYFUNCTION("""COMPUTED_VALUE"""),2024)</f>
        <v>2024</v>
      </c>
      <c r="E154" s="10">
        <f ca="1">IFERROR(__xludf.DUMMYFUNCTION("""COMPUTED_VALUE"""),3)</f>
        <v>3</v>
      </c>
      <c r="F154" s="5" t="str">
        <f ca="1">IFERROR(__xludf.DUMMYFUNCTION("""COMPUTED_VALUE"""),"SURVEI")</f>
        <v>SURVEI</v>
      </c>
      <c r="G154" s="5" t="str">
        <f ca="1">IFERROR(__xludf.DUMMYFUNCTION("""COMPUTED_VALUE"""),"PPL")</f>
        <v>PPL</v>
      </c>
      <c r="H154" s="5" t="str">
        <f t="array" aca="1" ref="H154" ca="1">IF(N154=1, INDEX('Database Mitra'!$C$2:$C993,MATCH($C154,'Database Mitra'!$AK$2:$AK993,0)),"")</f>
        <v>NOVITA SARI</v>
      </c>
      <c r="I154" s="71">
        <f ca="1">IF(N154=1,SUMIFS('Alokasi Honor'!$M$2:$M993,'Alokasi Honor'!$T$2:$T993,A154),"")</f>
        <v>1190000</v>
      </c>
      <c r="J154" s="10">
        <f ca="1">IFERROR(__xludf.DUMMYFUNCTION("COUNTIF(FILTER('Alokasi Honor'!$H$2:$H993,'Alokasi Honor'!$H$2:$H993=""OB"",'Alokasi Honor'!$T$2:$T993=A154),""OB"")"),0)</f>
        <v>0</v>
      </c>
      <c r="K154" s="10">
        <f t="shared" ca="1" si="1"/>
        <v>1</v>
      </c>
      <c r="L154" s="70">
        <f t="array" aca="1" ref="L154" ca="1">IF(N154=1,INDEX('Batasan Honor'!$B$2:$B993,MATCH(CONCATENATE($F154,"-",$G154),'Batasan Honor'!$G$2:$G993,0)),"")</f>
        <v>5400000</v>
      </c>
      <c r="M154" s="10">
        <f t="shared" ca="1" si="2"/>
        <v>1</v>
      </c>
      <c r="N154" s="10">
        <f t="shared" ca="1" si="3"/>
        <v>1</v>
      </c>
    </row>
    <row r="155" spans="1:14" ht="12.5">
      <c r="A155" s="10" t="str">
        <f ca="1">IFERROR(__xludf.DUMMYFUNCTION("""COMPUTED_VALUE"""),"610422030002-2024-3-SURVEI-PPL")</f>
        <v>610422030002-2024-3-SURVEI-PPL</v>
      </c>
      <c r="B155" s="5" t="str">
        <f t="shared" ca="1" si="0"/>
        <v>610422030002-2024-3</v>
      </c>
      <c r="C155" s="5">
        <f ca="1">IFERROR(__xludf.DUMMYFUNCTION("IF(N155=1,SPLIT(A155,""-""),"""")"),610422030002)</f>
        <v>610422030002</v>
      </c>
      <c r="D155" s="10">
        <f ca="1">IFERROR(__xludf.DUMMYFUNCTION("""COMPUTED_VALUE"""),2024)</f>
        <v>2024</v>
      </c>
      <c r="E155" s="10">
        <f ca="1">IFERROR(__xludf.DUMMYFUNCTION("""COMPUTED_VALUE"""),3)</f>
        <v>3</v>
      </c>
      <c r="F155" s="5" t="str">
        <f ca="1">IFERROR(__xludf.DUMMYFUNCTION("""COMPUTED_VALUE"""),"SURVEI")</f>
        <v>SURVEI</v>
      </c>
      <c r="G155" s="5" t="str">
        <f ca="1">IFERROR(__xludf.DUMMYFUNCTION("""COMPUTED_VALUE"""),"PPL")</f>
        <v>PPL</v>
      </c>
      <c r="H155" s="5" t="str">
        <f t="array" aca="1" ref="H155" ca="1">IF(N155=1, INDEX('Database Mitra'!$C$2:$C993,MATCH($C155,'Database Mitra'!$AK$2:$AK993,0)),"")</f>
        <v>Deti erni widiastuti</v>
      </c>
      <c r="I155" s="71">
        <f ca="1">IF(N155=1,SUMIFS('Alokasi Honor'!$M$2:$M993,'Alokasi Honor'!$T$2:$T993,A155),"")</f>
        <v>3130000</v>
      </c>
      <c r="J155" s="10">
        <f ca="1">IFERROR(__xludf.DUMMYFUNCTION("COUNTIF(FILTER('Alokasi Honor'!$H$2:$H993,'Alokasi Honor'!$H$2:$H993=""OB"",'Alokasi Honor'!$T$2:$T993=A155),""OB"")"),0)</f>
        <v>0</v>
      </c>
      <c r="K155" s="10">
        <f t="shared" ca="1" si="1"/>
        <v>1</v>
      </c>
      <c r="L155" s="70">
        <f t="array" aca="1" ref="L155" ca="1">IF(N155=1,INDEX('Batasan Honor'!$B$2:$B993,MATCH(CONCATENATE($F155,"-",$G155),'Batasan Honor'!$G$2:$G993,0)),"")</f>
        <v>5400000</v>
      </c>
      <c r="M155" s="10">
        <f t="shared" ca="1" si="2"/>
        <v>1</v>
      </c>
      <c r="N155" s="10">
        <f t="shared" ca="1" si="3"/>
        <v>1</v>
      </c>
    </row>
    <row r="156" spans="1:14" ht="12.5">
      <c r="A156" s="10" t="str">
        <f ca="1">IFERROR(__xludf.DUMMYFUNCTION("""COMPUTED_VALUE"""),"610422040029-2024-3-SURVEI-PPL")</f>
        <v>610422040029-2024-3-SURVEI-PPL</v>
      </c>
      <c r="B156" s="5" t="str">
        <f t="shared" ca="1" si="0"/>
        <v>610422040029-2024-3</v>
      </c>
      <c r="C156" s="5">
        <f ca="1">IFERROR(__xludf.DUMMYFUNCTION("IF(N156=1,SPLIT(A156,""-""),"""")"),610422040029)</f>
        <v>610422040029</v>
      </c>
      <c r="D156" s="10">
        <f ca="1">IFERROR(__xludf.DUMMYFUNCTION("""COMPUTED_VALUE"""),2024)</f>
        <v>2024</v>
      </c>
      <c r="E156" s="10">
        <f ca="1">IFERROR(__xludf.DUMMYFUNCTION("""COMPUTED_VALUE"""),3)</f>
        <v>3</v>
      </c>
      <c r="F156" s="5" t="str">
        <f ca="1">IFERROR(__xludf.DUMMYFUNCTION("""COMPUTED_VALUE"""),"SURVEI")</f>
        <v>SURVEI</v>
      </c>
      <c r="G156" s="5" t="str">
        <f ca="1">IFERROR(__xludf.DUMMYFUNCTION("""COMPUTED_VALUE"""),"PPL")</f>
        <v>PPL</v>
      </c>
      <c r="H156" s="5" t="str">
        <f t="array" aca="1" ref="H156" ca="1">IF(N156=1, INDEX('Database Mitra'!$C$2:$C993,MATCH($C156,'Database Mitra'!$AK$2:$AK993,0)),"")</f>
        <v>Zaini</v>
      </c>
      <c r="I156" s="71">
        <f ca="1">IF(N156=1,SUMIFS('Alokasi Honor'!$M$2:$M993,'Alokasi Honor'!$T$2:$T993,A156),"")</f>
        <v>2765000</v>
      </c>
      <c r="J156" s="10">
        <f ca="1">IFERROR(__xludf.DUMMYFUNCTION("COUNTIF(FILTER('Alokasi Honor'!$H$2:$H993,'Alokasi Honor'!$H$2:$H993=""OB"",'Alokasi Honor'!$T$2:$T993=A156),""OB"")"),0)</f>
        <v>0</v>
      </c>
      <c r="K156" s="10">
        <f t="shared" ca="1" si="1"/>
        <v>1</v>
      </c>
      <c r="L156" s="70">
        <f t="array" aca="1" ref="L156" ca="1">IF(N156=1,INDEX('Batasan Honor'!$B$2:$B993,MATCH(CONCATENATE($F156,"-",$G156),'Batasan Honor'!$G$2:$G993,0)),"")</f>
        <v>5400000</v>
      </c>
      <c r="M156" s="10">
        <f t="shared" ca="1" si="2"/>
        <v>1</v>
      </c>
      <c r="N156" s="10">
        <f t="shared" ca="1" si="3"/>
        <v>1</v>
      </c>
    </row>
    <row r="157" spans="1:14" ht="12.5">
      <c r="A157" s="10" t="str">
        <f ca="1">IFERROR(__xludf.DUMMYFUNCTION("""COMPUTED_VALUE"""),"610422040053-2024-3-SURVEI-PPL")</f>
        <v>610422040053-2024-3-SURVEI-PPL</v>
      </c>
      <c r="B157" s="5" t="str">
        <f t="shared" ca="1" si="0"/>
        <v>610422040053-2024-3</v>
      </c>
      <c r="C157" s="5">
        <f ca="1">IFERROR(__xludf.DUMMYFUNCTION("IF(N157=1,SPLIT(A157,""-""),"""")"),610422040053)</f>
        <v>610422040053</v>
      </c>
      <c r="D157" s="10">
        <f ca="1">IFERROR(__xludf.DUMMYFUNCTION("""COMPUTED_VALUE"""),2024)</f>
        <v>2024</v>
      </c>
      <c r="E157" s="10">
        <f ca="1">IFERROR(__xludf.DUMMYFUNCTION("""COMPUTED_VALUE"""),3)</f>
        <v>3</v>
      </c>
      <c r="F157" s="5" t="str">
        <f ca="1">IFERROR(__xludf.DUMMYFUNCTION("""COMPUTED_VALUE"""),"SURVEI")</f>
        <v>SURVEI</v>
      </c>
      <c r="G157" s="5" t="str">
        <f ca="1">IFERROR(__xludf.DUMMYFUNCTION("""COMPUTED_VALUE"""),"PPL")</f>
        <v>PPL</v>
      </c>
      <c r="H157" s="5" t="str">
        <f t="array" aca="1" ref="H157" ca="1">IF(N157=1, INDEX('Database Mitra'!$C$2:$C993,MATCH($C157,'Database Mitra'!$AK$2:$AK993,0)),"")</f>
        <v>Veti Ningsi</v>
      </c>
      <c r="I157" s="71">
        <f ca="1">IF(N157=1,SUMIFS('Alokasi Honor'!$M$2:$M993,'Alokasi Honor'!$T$2:$T993,A157),"")</f>
        <v>1190000</v>
      </c>
      <c r="J157" s="10">
        <f ca="1">IFERROR(__xludf.DUMMYFUNCTION("COUNTIF(FILTER('Alokasi Honor'!$H$2:$H993,'Alokasi Honor'!$H$2:$H993=""OB"",'Alokasi Honor'!$T$2:$T993=A157),""OB"")"),0)</f>
        <v>0</v>
      </c>
      <c r="K157" s="10">
        <f t="shared" ca="1" si="1"/>
        <v>1</v>
      </c>
      <c r="L157" s="70">
        <f t="array" aca="1" ref="L157" ca="1">IF(N157=1,INDEX('Batasan Honor'!$B$2:$B993,MATCH(CONCATENATE($F157,"-",$G157),'Batasan Honor'!$G$2:$G993,0)),"")</f>
        <v>5400000</v>
      </c>
      <c r="M157" s="10">
        <f t="shared" ca="1" si="2"/>
        <v>1</v>
      </c>
      <c r="N157" s="10">
        <f t="shared" ca="1" si="3"/>
        <v>1</v>
      </c>
    </row>
    <row r="158" spans="1:14" ht="12.5">
      <c r="A158" s="10" t="str">
        <f ca="1">IFERROR(__xludf.DUMMYFUNCTION("""COMPUTED_VALUE"""),"610422040013-2024-3-SURVEI-PPL")</f>
        <v>610422040013-2024-3-SURVEI-PPL</v>
      </c>
      <c r="B158" s="5" t="str">
        <f t="shared" ca="1" si="0"/>
        <v>610422040013-2024-3</v>
      </c>
      <c r="C158" s="5">
        <f ca="1">IFERROR(__xludf.DUMMYFUNCTION("IF(N158=1,SPLIT(A158,""-""),"""")"),610422040013)</f>
        <v>610422040013</v>
      </c>
      <c r="D158" s="10">
        <f ca="1">IFERROR(__xludf.DUMMYFUNCTION("""COMPUTED_VALUE"""),2024)</f>
        <v>2024</v>
      </c>
      <c r="E158" s="10">
        <f ca="1">IFERROR(__xludf.DUMMYFUNCTION("""COMPUTED_VALUE"""),3)</f>
        <v>3</v>
      </c>
      <c r="F158" s="5" t="str">
        <f ca="1">IFERROR(__xludf.DUMMYFUNCTION("""COMPUTED_VALUE"""),"SURVEI")</f>
        <v>SURVEI</v>
      </c>
      <c r="G158" s="5" t="str">
        <f ca="1">IFERROR(__xludf.DUMMYFUNCTION("""COMPUTED_VALUE"""),"PPL")</f>
        <v>PPL</v>
      </c>
      <c r="H158" s="5" t="str">
        <f t="array" aca="1" ref="H158" ca="1">IF(N158=1, INDEX('Database Mitra'!$C$2:$C993,MATCH($C158,'Database Mitra'!$AK$2:$AK993,0)),"")</f>
        <v>Yusra, SE</v>
      </c>
      <c r="I158" s="71">
        <f ca="1">IF(N158=1,SUMIFS('Alokasi Honor'!$M$2:$M993,'Alokasi Honor'!$T$2:$T993,A158),"")</f>
        <v>2380000</v>
      </c>
      <c r="J158" s="10">
        <f ca="1">IFERROR(__xludf.DUMMYFUNCTION("COUNTIF(FILTER('Alokasi Honor'!$H$2:$H993,'Alokasi Honor'!$H$2:$H993=""OB"",'Alokasi Honor'!$T$2:$T993=A158),""OB"")"),0)</f>
        <v>0</v>
      </c>
      <c r="K158" s="10">
        <f t="shared" ca="1" si="1"/>
        <v>1</v>
      </c>
      <c r="L158" s="70">
        <f t="array" aca="1" ref="L158" ca="1">IF(N158=1,INDEX('Batasan Honor'!$B$2:$B993,MATCH(CONCATENATE($F158,"-",$G158),'Batasan Honor'!$G$2:$G993,0)),"")</f>
        <v>5400000</v>
      </c>
      <c r="M158" s="10">
        <f t="shared" ca="1" si="2"/>
        <v>1</v>
      </c>
      <c r="N158" s="10">
        <f t="shared" ca="1" si="3"/>
        <v>1</v>
      </c>
    </row>
    <row r="159" spans="1:14" ht="12.5">
      <c r="A159" s="10" t="str">
        <f ca="1">IFERROR(__xludf.DUMMYFUNCTION("""COMPUTED_VALUE"""),"610422020032-2024-3-SURVEI-PPL")</f>
        <v>610422020032-2024-3-SURVEI-PPL</v>
      </c>
      <c r="B159" s="5" t="str">
        <f t="shared" ca="1" si="0"/>
        <v>610422020032-2024-3</v>
      </c>
      <c r="C159" s="5">
        <f ca="1">IFERROR(__xludf.DUMMYFUNCTION("IF(N159=1,SPLIT(A159,""-""),"""")"),610422020032)</f>
        <v>610422020032</v>
      </c>
      <c r="D159" s="10">
        <f ca="1">IFERROR(__xludf.DUMMYFUNCTION("""COMPUTED_VALUE"""),2024)</f>
        <v>2024</v>
      </c>
      <c r="E159" s="10">
        <f ca="1">IFERROR(__xludf.DUMMYFUNCTION("""COMPUTED_VALUE"""),3)</f>
        <v>3</v>
      </c>
      <c r="F159" s="5" t="str">
        <f ca="1">IFERROR(__xludf.DUMMYFUNCTION("""COMPUTED_VALUE"""),"SURVEI")</f>
        <v>SURVEI</v>
      </c>
      <c r="G159" s="5" t="str">
        <f ca="1">IFERROR(__xludf.DUMMYFUNCTION("""COMPUTED_VALUE"""),"PPL")</f>
        <v>PPL</v>
      </c>
      <c r="H159" s="5" t="str">
        <f t="array" aca="1" ref="H159" ca="1">IF(N159=1, INDEX('Database Mitra'!$C$2:$C993,MATCH($C159,'Database Mitra'!$AK$2:$AK993,0)),"")</f>
        <v>Lilis Suryani</v>
      </c>
      <c r="I159" s="71">
        <f ca="1">IF(N159=1,SUMIFS('Alokasi Honor'!$M$2:$M993,'Alokasi Honor'!$T$2:$T993,A159),"")</f>
        <v>1190000</v>
      </c>
      <c r="J159" s="10">
        <f ca="1">IFERROR(__xludf.DUMMYFUNCTION("COUNTIF(FILTER('Alokasi Honor'!$H$2:$H993,'Alokasi Honor'!$H$2:$H993=""OB"",'Alokasi Honor'!$T$2:$T993=A159),""OB"")"),0)</f>
        <v>0</v>
      </c>
      <c r="K159" s="10">
        <f t="shared" ca="1" si="1"/>
        <v>1</v>
      </c>
      <c r="L159" s="70">
        <f t="array" aca="1" ref="L159" ca="1">IF(N159=1,INDEX('Batasan Honor'!$B$2:$B993,MATCH(CONCATENATE($F159,"-",$G159),'Batasan Honor'!$G$2:$G993,0)),"")</f>
        <v>5400000</v>
      </c>
      <c r="M159" s="10">
        <f t="shared" ca="1" si="2"/>
        <v>1</v>
      </c>
      <c r="N159" s="10">
        <f t="shared" ca="1" si="3"/>
        <v>1</v>
      </c>
    </row>
    <row r="160" spans="1:14" ht="12.5">
      <c r="A160" s="10" t="str">
        <f ca="1">IFERROR(__xludf.DUMMYFUNCTION("""COMPUTED_VALUE"""),"610422020045-2024-3-SURVEI-PPL")</f>
        <v>610422020045-2024-3-SURVEI-PPL</v>
      </c>
      <c r="B160" s="5" t="str">
        <f t="shared" ca="1" si="0"/>
        <v>610422020045-2024-3</v>
      </c>
      <c r="C160" s="5">
        <f ca="1">IFERROR(__xludf.DUMMYFUNCTION("IF(N160=1,SPLIT(A160,""-""),"""")"),610422020045)</f>
        <v>610422020045</v>
      </c>
      <c r="D160" s="10">
        <f ca="1">IFERROR(__xludf.DUMMYFUNCTION("""COMPUTED_VALUE"""),2024)</f>
        <v>2024</v>
      </c>
      <c r="E160" s="10">
        <f ca="1">IFERROR(__xludf.DUMMYFUNCTION("""COMPUTED_VALUE"""),3)</f>
        <v>3</v>
      </c>
      <c r="F160" s="5" t="str">
        <f ca="1">IFERROR(__xludf.DUMMYFUNCTION("""COMPUTED_VALUE"""),"SURVEI")</f>
        <v>SURVEI</v>
      </c>
      <c r="G160" s="5" t="str">
        <f ca="1">IFERROR(__xludf.DUMMYFUNCTION("""COMPUTED_VALUE"""),"PPL")</f>
        <v>PPL</v>
      </c>
      <c r="H160" s="5" t="str">
        <f t="array" aca="1" ref="H160" ca="1">IF(N160=1, INDEX('Database Mitra'!$C$2:$C993,MATCH($C160,'Database Mitra'!$AK$2:$AK993,0)),"")</f>
        <v>Herdinatara Febria</v>
      </c>
      <c r="I160" s="71">
        <f ca="1">IF(N160=1,SUMIFS('Alokasi Honor'!$M$2:$M993,'Alokasi Honor'!$T$2:$T993,A160),"")</f>
        <v>2380000</v>
      </c>
      <c r="J160" s="10">
        <f ca="1">IFERROR(__xludf.DUMMYFUNCTION("COUNTIF(FILTER('Alokasi Honor'!$H$2:$H993,'Alokasi Honor'!$H$2:$H993=""OB"",'Alokasi Honor'!$T$2:$T993=A160),""OB"")"),0)</f>
        <v>0</v>
      </c>
      <c r="K160" s="10">
        <f t="shared" ca="1" si="1"/>
        <v>1</v>
      </c>
      <c r="L160" s="70">
        <f t="array" aca="1" ref="L160" ca="1">IF(N160=1,INDEX('Batasan Honor'!$B$2:$B993,MATCH(CONCATENATE($F160,"-",$G160),'Batasan Honor'!$G$2:$G993,0)),"")</f>
        <v>5400000</v>
      </c>
      <c r="M160" s="10">
        <f t="shared" ca="1" si="2"/>
        <v>1</v>
      </c>
      <c r="N160" s="10">
        <f t="shared" ca="1" si="3"/>
        <v>1</v>
      </c>
    </row>
    <row r="161" spans="1:14" ht="12.5">
      <c r="A161" s="10" t="str">
        <f ca="1">IFERROR(__xludf.DUMMYFUNCTION("""COMPUTED_VALUE"""),"610422100244-2024-3-SURVEI-PPL")</f>
        <v>610422100244-2024-3-SURVEI-PPL</v>
      </c>
      <c r="B161" s="5" t="str">
        <f t="shared" ca="1" si="0"/>
        <v>610422100244-2024-3</v>
      </c>
      <c r="C161" s="5">
        <f ca="1">IFERROR(__xludf.DUMMYFUNCTION("IF(N161=1,SPLIT(A161,""-""),"""")"),610422100244)</f>
        <v>610422100244</v>
      </c>
      <c r="D161" s="10">
        <f ca="1">IFERROR(__xludf.DUMMYFUNCTION("""COMPUTED_VALUE"""),2024)</f>
        <v>2024</v>
      </c>
      <c r="E161" s="10">
        <f ca="1">IFERROR(__xludf.DUMMYFUNCTION("""COMPUTED_VALUE"""),3)</f>
        <v>3</v>
      </c>
      <c r="F161" s="5" t="str">
        <f ca="1">IFERROR(__xludf.DUMMYFUNCTION("""COMPUTED_VALUE"""),"SURVEI")</f>
        <v>SURVEI</v>
      </c>
      <c r="G161" s="5" t="str">
        <f ca="1">IFERROR(__xludf.DUMMYFUNCTION("""COMPUTED_VALUE"""),"PPL")</f>
        <v>PPL</v>
      </c>
      <c r="H161" s="5" t="str">
        <f t="array" aca="1" ref="H161" ca="1">IF(N161=1, INDEX('Database Mitra'!$C$2:$C993,MATCH($C161,'Database Mitra'!$AK$2:$AK993,0)),"")</f>
        <v>Sugianto</v>
      </c>
      <c r="I161" s="71">
        <f ca="1">IF(N161=1,SUMIFS('Alokasi Honor'!$M$2:$M993,'Alokasi Honor'!$T$2:$T993,A161),"")</f>
        <v>1090000</v>
      </c>
      <c r="J161" s="10">
        <f ca="1">IFERROR(__xludf.DUMMYFUNCTION("COUNTIF(FILTER('Alokasi Honor'!$H$2:$H993,'Alokasi Honor'!$H$2:$H993=""OB"",'Alokasi Honor'!$T$2:$T993=A161),""OB"")"),0)</f>
        <v>0</v>
      </c>
      <c r="K161" s="10">
        <f t="shared" ca="1" si="1"/>
        <v>2</v>
      </c>
      <c r="L161" s="70">
        <f t="array" aca="1" ref="L161" ca="1">IF(N161=1,INDEX('Batasan Honor'!$B$2:$B993,MATCH(CONCATENATE($F161,"-",$G161),'Batasan Honor'!$G$2:$G993,0)),"")</f>
        <v>5400000</v>
      </c>
      <c r="M161" s="10">
        <f t="shared" ca="1" si="2"/>
        <v>1</v>
      </c>
      <c r="N161" s="10">
        <f t="shared" ca="1" si="3"/>
        <v>1</v>
      </c>
    </row>
    <row r="162" spans="1:14" ht="12.5">
      <c r="A162" s="10" t="str">
        <f ca="1">IFERROR(__xludf.DUMMYFUNCTION("""COMPUTED_VALUE"""),"610422100124-2024-3-SURVEI-PPL")</f>
        <v>610422100124-2024-3-SURVEI-PPL</v>
      </c>
      <c r="B162" s="5" t="str">
        <f t="shared" ca="1" si="0"/>
        <v>610422100124-2024-3</v>
      </c>
      <c r="C162" s="5">
        <f ca="1">IFERROR(__xludf.DUMMYFUNCTION("IF(N162=1,SPLIT(A162,""-""),"""")"),610422100124)</f>
        <v>610422100124</v>
      </c>
      <c r="D162" s="10">
        <f ca="1">IFERROR(__xludf.DUMMYFUNCTION("""COMPUTED_VALUE"""),2024)</f>
        <v>2024</v>
      </c>
      <c r="E162" s="10">
        <f ca="1">IFERROR(__xludf.DUMMYFUNCTION("""COMPUTED_VALUE"""),3)</f>
        <v>3</v>
      </c>
      <c r="F162" s="5" t="str">
        <f ca="1">IFERROR(__xludf.DUMMYFUNCTION("""COMPUTED_VALUE"""),"SURVEI")</f>
        <v>SURVEI</v>
      </c>
      <c r="G162" s="5" t="str">
        <f ca="1">IFERROR(__xludf.DUMMYFUNCTION("""COMPUTED_VALUE"""),"PPL")</f>
        <v>PPL</v>
      </c>
      <c r="H162" s="5" t="str">
        <f t="array" aca="1" ref="H162" ca="1">IF(N162=1, INDEX('Database Mitra'!$C$2:$C993,MATCH($C162,'Database Mitra'!$AK$2:$AK993,0)),"")</f>
        <v>Prabowo</v>
      </c>
      <c r="I162" s="71">
        <f ca="1">IF(N162=1,SUMIFS('Alokasi Honor'!$M$2:$M993,'Alokasi Honor'!$T$2:$T993,A162),"")</f>
        <v>325000</v>
      </c>
      <c r="J162" s="10">
        <f ca="1">IFERROR(__xludf.DUMMYFUNCTION("COUNTIF(FILTER('Alokasi Honor'!$H$2:$H993,'Alokasi Honor'!$H$2:$H993=""OB"",'Alokasi Honor'!$T$2:$T993=A162),""OB"")"),0)</f>
        <v>0</v>
      </c>
      <c r="K162" s="10">
        <f t="shared" ca="1" si="1"/>
        <v>1</v>
      </c>
      <c r="L162" s="70">
        <f t="array" aca="1" ref="L162" ca="1">IF(N162=1,INDEX('Batasan Honor'!$B$2:$B993,MATCH(CONCATENATE($F162,"-",$G162),'Batasan Honor'!$G$2:$G993,0)),"")</f>
        <v>5400000</v>
      </c>
      <c r="M162" s="10">
        <f t="shared" ca="1" si="2"/>
        <v>1</v>
      </c>
      <c r="N162" s="10">
        <f t="shared" ca="1" si="3"/>
        <v>1</v>
      </c>
    </row>
    <row r="163" spans="1:14" ht="12.5">
      <c r="A163" s="10" t="str">
        <f ca="1">IFERROR(__xludf.DUMMYFUNCTION("""COMPUTED_VALUE"""),"610422050001-2024-3-SURVEI-PPL")</f>
        <v>610422050001-2024-3-SURVEI-PPL</v>
      </c>
      <c r="B163" s="5" t="str">
        <f t="shared" ca="1" si="0"/>
        <v>610422050001-2024-3</v>
      </c>
      <c r="C163" s="5">
        <f ca="1">IFERROR(__xludf.DUMMYFUNCTION("IF(N163=1,SPLIT(A163,""-""),"""")"),610422050001)</f>
        <v>610422050001</v>
      </c>
      <c r="D163" s="10">
        <f ca="1">IFERROR(__xludf.DUMMYFUNCTION("""COMPUTED_VALUE"""),2024)</f>
        <v>2024</v>
      </c>
      <c r="E163" s="10">
        <f ca="1">IFERROR(__xludf.DUMMYFUNCTION("""COMPUTED_VALUE"""),3)</f>
        <v>3</v>
      </c>
      <c r="F163" s="5" t="str">
        <f ca="1">IFERROR(__xludf.DUMMYFUNCTION("""COMPUTED_VALUE"""),"SURVEI")</f>
        <v>SURVEI</v>
      </c>
      <c r="G163" s="5" t="str">
        <f ca="1">IFERROR(__xludf.DUMMYFUNCTION("""COMPUTED_VALUE"""),"PPL")</f>
        <v>PPL</v>
      </c>
      <c r="H163" s="5" t="str">
        <f t="array" aca="1" ref="H163" ca="1">IF(N163=1, INDEX('Database Mitra'!$C$2:$C993,MATCH($C163,'Database Mitra'!$AK$2:$AK993,0)),"")</f>
        <v>EVI JUNIARTY</v>
      </c>
      <c r="I163" s="71">
        <f ca="1">IF(N163=1,SUMIFS('Alokasi Honor'!$M$2:$M993,'Alokasi Honor'!$T$2:$T993,A163),"")</f>
        <v>415000</v>
      </c>
      <c r="J163" s="10">
        <f ca="1">IFERROR(__xludf.DUMMYFUNCTION("COUNTIF(FILTER('Alokasi Honor'!$H$2:$H993,'Alokasi Honor'!$H$2:$H993=""OB"",'Alokasi Honor'!$T$2:$T993=A163),""OB"")"),0)</f>
        <v>0</v>
      </c>
      <c r="K163" s="10">
        <f t="shared" ca="1" si="1"/>
        <v>1</v>
      </c>
      <c r="L163" s="70">
        <f t="array" aca="1" ref="L163" ca="1">IF(N163=1,INDEX('Batasan Honor'!$B$2:$B993,MATCH(CONCATENATE($F163,"-",$G163),'Batasan Honor'!$G$2:$G993,0)),"")</f>
        <v>5400000</v>
      </c>
      <c r="M163" s="10">
        <f t="shared" ca="1" si="2"/>
        <v>1</v>
      </c>
      <c r="N163" s="10">
        <f t="shared" ca="1" si="3"/>
        <v>1</v>
      </c>
    </row>
    <row r="164" spans="1:14" ht="12.5">
      <c r="A164" s="10" t="str">
        <f ca="1">IFERROR(__xludf.DUMMYFUNCTION("""COMPUTED_VALUE"""),"610422040030-2024-3-SURVEI-PPL")</f>
        <v>610422040030-2024-3-SURVEI-PPL</v>
      </c>
      <c r="B164" s="5" t="str">
        <f t="shared" ca="1" si="0"/>
        <v>610422040030-2024-3</v>
      </c>
      <c r="C164" s="5">
        <f ca="1">IFERROR(__xludf.DUMMYFUNCTION("IF(N164=1,SPLIT(A164,""-""),"""")"),610422040030)</f>
        <v>610422040030</v>
      </c>
      <c r="D164" s="10">
        <f ca="1">IFERROR(__xludf.DUMMYFUNCTION("""COMPUTED_VALUE"""),2024)</f>
        <v>2024</v>
      </c>
      <c r="E164" s="10">
        <f ca="1">IFERROR(__xludf.DUMMYFUNCTION("""COMPUTED_VALUE"""),3)</f>
        <v>3</v>
      </c>
      <c r="F164" s="5" t="str">
        <f ca="1">IFERROR(__xludf.DUMMYFUNCTION("""COMPUTED_VALUE"""),"SURVEI")</f>
        <v>SURVEI</v>
      </c>
      <c r="G164" s="5" t="str">
        <f ca="1">IFERROR(__xludf.DUMMYFUNCTION("""COMPUTED_VALUE"""),"PPL")</f>
        <v>PPL</v>
      </c>
      <c r="H164" s="5" t="str">
        <f t="array" aca="1" ref="H164" ca="1">IF(N164=1, INDEX('Database Mitra'!$C$2:$C993,MATCH($C164,'Database Mitra'!$AK$2:$AK993,0)),"")</f>
        <v>Syarifah Desti Pratiwi</v>
      </c>
      <c r="I164" s="71">
        <f ca="1">IF(N164=1,SUMIFS('Alokasi Honor'!$M$2:$M993,'Alokasi Honor'!$T$2:$T993,A164),"")</f>
        <v>55000</v>
      </c>
      <c r="J164" s="10">
        <f ca="1">IFERROR(__xludf.DUMMYFUNCTION("COUNTIF(FILTER('Alokasi Honor'!$H$2:$H993,'Alokasi Honor'!$H$2:$H993=""OB"",'Alokasi Honor'!$T$2:$T993=A164),""OB"")"),0)</f>
        <v>0</v>
      </c>
      <c r="K164" s="10">
        <f t="shared" ca="1" si="1"/>
        <v>2</v>
      </c>
      <c r="L164" s="70">
        <f t="array" aca="1" ref="L164" ca="1">IF(N164=1,INDEX('Batasan Honor'!$B$2:$B993,MATCH(CONCATENATE($F164,"-",$G164),'Batasan Honor'!$G$2:$G993,0)),"")</f>
        <v>5400000</v>
      </c>
      <c r="M164" s="10">
        <f t="shared" ca="1" si="2"/>
        <v>1</v>
      </c>
      <c r="N164" s="10">
        <f t="shared" ca="1" si="3"/>
        <v>1</v>
      </c>
    </row>
    <row r="165" spans="1:14" ht="12.5">
      <c r="A165" s="10" t="str">
        <f ca="1">IFERROR(__xludf.DUMMYFUNCTION("""COMPUTED_VALUE"""),"610422020016-2024-3-SURVEI-PPL")</f>
        <v>610422020016-2024-3-SURVEI-PPL</v>
      </c>
      <c r="B165" s="5" t="str">
        <f t="shared" ca="1" si="0"/>
        <v>610422020016-2024-3</v>
      </c>
      <c r="C165" s="5">
        <f ca="1">IFERROR(__xludf.DUMMYFUNCTION("IF(N165=1,SPLIT(A165,""-""),"""")"),610422020016)</f>
        <v>610422020016</v>
      </c>
      <c r="D165" s="10">
        <f ca="1">IFERROR(__xludf.DUMMYFUNCTION("""COMPUTED_VALUE"""),2024)</f>
        <v>2024</v>
      </c>
      <c r="E165" s="10">
        <f ca="1">IFERROR(__xludf.DUMMYFUNCTION("""COMPUTED_VALUE"""),3)</f>
        <v>3</v>
      </c>
      <c r="F165" s="5" t="str">
        <f ca="1">IFERROR(__xludf.DUMMYFUNCTION("""COMPUTED_VALUE"""),"SURVEI")</f>
        <v>SURVEI</v>
      </c>
      <c r="G165" s="5" t="str">
        <f ca="1">IFERROR(__xludf.DUMMYFUNCTION("""COMPUTED_VALUE"""),"PPL")</f>
        <v>PPL</v>
      </c>
      <c r="H165" s="5" t="str">
        <f t="array" aca="1" ref="H165" ca="1">IF(N165=1, INDEX('Database Mitra'!$C$2:$C993,MATCH($C165,'Database Mitra'!$AK$2:$AK993,0)),"")</f>
        <v>Abdul Aziz</v>
      </c>
      <c r="I165" s="71">
        <f ca="1">IF(N165=1,SUMIFS('Alokasi Honor'!$M$2:$M993,'Alokasi Honor'!$T$2:$T993,A165),"")</f>
        <v>513000</v>
      </c>
      <c r="J165" s="10">
        <f ca="1">IFERROR(__xludf.DUMMYFUNCTION("COUNTIF(FILTER('Alokasi Honor'!$H$2:$H993,'Alokasi Honor'!$H$2:$H993=""OB"",'Alokasi Honor'!$T$2:$T993=A165),""OB"")"),0)</f>
        <v>0</v>
      </c>
      <c r="K165" s="10">
        <f t="shared" ca="1" si="1"/>
        <v>2</v>
      </c>
      <c r="L165" s="70">
        <f t="array" aca="1" ref="L165" ca="1">IF(N165=1,INDEX('Batasan Honor'!$B$2:$B993,MATCH(CONCATENATE($F165,"-",$G165),'Batasan Honor'!$G$2:$G993,0)),"")</f>
        <v>5400000</v>
      </c>
      <c r="M165" s="10">
        <f t="shared" ca="1" si="2"/>
        <v>1</v>
      </c>
      <c r="N165" s="10">
        <f t="shared" ca="1" si="3"/>
        <v>1</v>
      </c>
    </row>
    <row r="166" spans="1:14" ht="12.5">
      <c r="A166" s="10" t="str">
        <f ca="1">IFERROR(__xludf.DUMMYFUNCTION("""COMPUTED_VALUE"""),"610422020048-2024-3-SURVEI-PPL")</f>
        <v>610422020048-2024-3-SURVEI-PPL</v>
      </c>
      <c r="B166" s="5" t="str">
        <f t="shared" ca="1" si="0"/>
        <v>610422020048-2024-3</v>
      </c>
      <c r="C166" s="5">
        <f ca="1">IFERROR(__xludf.DUMMYFUNCTION("IF(N166=1,SPLIT(A166,""-""),"""")"),610422020048)</f>
        <v>610422020048</v>
      </c>
      <c r="D166" s="10">
        <f ca="1">IFERROR(__xludf.DUMMYFUNCTION("""COMPUTED_VALUE"""),2024)</f>
        <v>2024</v>
      </c>
      <c r="E166" s="10">
        <f ca="1">IFERROR(__xludf.DUMMYFUNCTION("""COMPUTED_VALUE"""),3)</f>
        <v>3</v>
      </c>
      <c r="F166" s="5" t="str">
        <f ca="1">IFERROR(__xludf.DUMMYFUNCTION("""COMPUTED_VALUE"""),"SURVEI")</f>
        <v>SURVEI</v>
      </c>
      <c r="G166" s="5" t="str">
        <f ca="1">IFERROR(__xludf.DUMMYFUNCTION("""COMPUTED_VALUE"""),"PPL")</f>
        <v>PPL</v>
      </c>
      <c r="H166" s="5" t="str">
        <f t="array" aca="1" ref="H166" ca="1">IF(N166=1, INDEX('Database Mitra'!$C$2:$C993,MATCH($C166,'Database Mitra'!$AK$2:$AK993,0)),"")</f>
        <v>Herri Gustaman</v>
      </c>
      <c r="I166" s="71">
        <f ca="1">IF(N166=1,SUMIFS('Alokasi Honor'!$M$2:$M993,'Alokasi Honor'!$T$2:$T993,A166),"")</f>
        <v>519000</v>
      </c>
      <c r="J166" s="10">
        <f ca="1">IFERROR(__xludf.DUMMYFUNCTION("COUNTIF(FILTER('Alokasi Honor'!$H$2:$H993,'Alokasi Honor'!$H$2:$H993=""OB"",'Alokasi Honor'!$T$2:$T993=A166),""OB"")"),0)</f>
        <v>0</v>
      </c>
      <c r="K166" s="10">
        <f t="shared" ca="1" si="1"/>
        <v>1</v>
      </c>
      <c r="L166" s="70">
        <f t="array" aca="1" ref="L166" ca="1">IF(N166=1,INDEX('Batasan Honor'!$B$2:$B993,MATCH(CONCATENATE($F166,"-",$G166),'Batasan Honor'!$G$2:$G993,0)),"")</f>
        <v>5400000</v>
      </c>
      <c r="M166" s="10">
        <f t="shared" ca="1" si="2"/>
        <v>1</v>
      </c>
      <c r="N166" s="10">
        <f t="shared" ca="1" si="3"/>
        <v>1</v>
      </c>
    </row>
    <row r="167" spans="1:14" ht="12.5">
      <c r="A167" s="10" t="str">
        <f ca="1">IFERROR(__xludf.DUMMYFUNCTION("""COMPUTED_VALUE"""),"610422040056-2024-3-SURVEI-PPL")</f>
        <v>610422040056-2024-3-SURVEI-PPL</v>
      </c>
      <c r="B167" s="5" t="str">
        <f t="shared" ca="1" si="0"/>
        <v>610422040056-2024-3</v>
      </c>
      <c r="C167" s="5">
        <f ca="1">IFERROR(__xludf.DUMMYFUNCTION("IF(N167=1,SPLIT(A167,""-""),"""")"),610422040056)</f>
        <v>610422040056</v>
      </c>
      <c r="D167" s="10">
        <f ca="1">IFERROR(__xludf.DUMMYFUNCTION("""COMPUTED_VALUE"""),2024)</f>
        <v>2024</v>
      </c>
      <c r="E167" s="10">
        <f ca="1">IFERROR(__xludf.DUMMYFUNCTION("""COMPUTED_VALUE"""),3)</f>
        <v>3</v>
      </c>
      <c r="F167" s="5" t="str">
        <f ca="1">IFERROR(__xludf.DUMMYFUNCTION("""COMPUTED_VALUE"""),"SURVEI")</f>
        <v>SURVEI</v>
      </c>
      <c r="G167" s="5" t="str">
        <f ca="1">IFERROR(__xludf.DUMMYFUNCTION("""COMPUTED_VALUE"""),"PPL")</f>
        <v>PPL</v>
      </c>
      <c r="H167" s="5" t="str">
        <f t="array" aca="1" ref="H167" ca="1">IF(N167=1, INDEX('Database Mitra'!$C$2:$C993,MATCH($C167,'Database Mitra'!$AK$2:$AK993,0)),"")</f>
        <v>Wandi Syafari</v>
      </c>
      <c r="I167" s="71">
        <f ca="1">IF(N167=1,SUMIFS('Alokasi Honor'!$M$2:$M993,'Alokasi Honor'!$T$2:$T993,A167),"")</f>
        <v>110000</v>
      </c>
      <c r="J167" s="10">
        <f ca="1">IFERROR(__xludf.DUMMYFUNCTION("COUNTIF(FILTER('Alokasi Honor'!$H$2:$H993,'Alokasi Honor'!$H$2:$H993=""OB"",'Alokasi Honor'!$T$2:$T993=A167),""OB"")"),0)</f>
        <v>0</v>
      </c>
      <c r="K167" s="10">
        <f t="shared" ca="1" si="1"/>
        <v>2</v>
      </c>
      <c r="L167" s="70">
        <f t="array" aca="1" ref="L167" ca="1">IF(N167=1,INDEX('Batasan Honor'!$B$2:$B993,MATCH(CONCATENATE($F167,"-",$G167),'Batasan Honor'!$G$2:$G993,0)),"")</f>
        <v>5400000</v>
      </c>
      <c r="M167" s="10">
        <f t="shared" ca="1" si="2"/>
        <v>1</v>
      </c>
      <c r="N167" s="10">
        <f t="shared" ca="1" si="3"/>
        <v>1</v>
      </c>
    </row>
    <row r="168" spans="1:14" ht="12.5">
      <c r="A168" s="10" t="str">
        <f ca="1">IFERROR(__xludf.DUMMYFUNCTION("""COMPUTED_VALUE"""),"610422100129-2024-3-SURVEI-PPL")</f>
        <v>610422100129-2024-3-SURVEI-PPL</v>
      </c>
      <c r="B168" s="5" t="str">
        <f t="shared" ca="1" si="0"/>
        <v>610422100129-2024-3</v>
      </c>
      <c r="C168" s="5">
        <f ca="1">IFERROR(__xludf.DUMMYFUNCTION("IF(N168=1,SPLIT(A168,""-""),"""")"),610422100129)</f>
        <v>610422100129</v>
      </c>
      <c r="D168" s="10">
        <f ca="1">IFERROR(__xludf.DUMMYFUNCTION("""COMPUTED_VALUE"""),2024)</f>
        <v>2024</v>
      </c>
      <c r="E168" s="10">
        <f ca="1">IFERROR(__xludf.DUMMYFUNCTION("""COMPUTED_VALUE"""),3)</f>
        <v>3</v>
      </c>
      <c r="F168" s="5" t="str">
        <f ca="1">IFERROR(__xludf.DUMMYFUNCTION("""COMPUTED_VALUE"""),"SURVEI")</f>
        <v>SURVEI</v>
      </c>
      <c r="G168" s="5" t="str">
        <f ca="1">IFERROR(__xludf.DUMMYFUNCTION("""COMPUTED_VALUE"""),"PPL")</f>
        <v>PPL</v>
      </c>
      <c r="H168" s="5" t="str">
        <f t="array" aca="1" ref="H168" ca="1">IF(N168=1, INDEX('Database Mitra'!$C$2:$C993,MATCH($C168,'Database Mitra'!$AK$2:$AK993,0)),"")</f>
        <v>Andre</v>
      </c>
      <c r="I168" s="71">
        <f ca="1">IF(N168=1,SUMIFS('Alokasi Honor'!$M$2:$M993,'Alokasi Honor'!$T$2:$T993,A168),"")</f>
        <v>1095000</v>
      </c>
      <c r="J168" s="10">
        <f ca="1">IFERROR(__xludf.DUMMYFUNCTION("COUNTIF(FILTER('Alokasi Honor'!$H$2:$H993,'Alokasi Honor'!$H$2:$H993=""OB"",'Alokasi Honor'!$T$2:$T993=A168),""OB"")"),0)</f>
        <v>0</v>
      </c>
      <c r="K168" s="10">
        <f t="shared" ca="1" si="1"/>
        <v>1</v>
      </c>
      <c r="L168" s="70">
        <f t="array" aca="1" ref="L168" ca="1">IF(N168=1,INDEX('Batasan Honor'!$B$2:$B993,MATCH(CONCATENATE($F168,"-",$G168),'Batasan Honor'!$G$2:$G993,0)),"")</f>
        <v>5400000</v>
      </c>
      <c r="M168" s="10">
        <f t="shared" ca="1" si="2"/>
        <v>1</v>
      </c>
      <c r="N168" s="10">
        <f t="shared" ca="1" si="3"/>
        <v>1</v>
      </c>
    </row>
    <row r="169" spans="1:14" ht="12.5">
      <c r="A169" s="10" t="str">
        <f ca="1">IFERROR(__xludf.DUMMYFUNCTION("""COMPUTED_VALUE"""),"617122110049-2024-3-SURVEI-PETUGAS ENTRI")</f>
        <v>617122110049-2024-3-SURVEI-PETUGAS ENTRI</v>
      </c>
      <c r="B169" s="5" t="str">
        <f t="shared" ca="1" si="0"/>
        <v>617122110049-2024-3</v>
      </c>
      <c r="C169" s="5">
        <f ca="1">IFERROR(__xludf.DUMMYFUNCTION("IF(N169=1,SPLIT(A169,""-""),"""")"),617122110049)</f>
        <v>617122110049</v>
      </c>
      <c r="D169" s="10">
        <f ca="1">IFERROR(__xludf.DUMMYFUNCTION("""COMPUTED_VALUE"""),2024)</f>
        <v>2024</v>
      </c>
      <c r="E169" s="10">
        <f ca="1">IFERROR(__xludf.DUMMYFUNCTION("""COMPUTED_VALUE"""),3)</f>
        <v>3</v>
      </c>
      <c r="F169" s="5" t="str">
        <f ca="1">IFERROR(__xludf.DUMMYFUNCTION("""COMPUTED_VALUE"""),"SURVEI")</f>
        <v>SURVEI</v>
      </c>
      <c r="G169" s="5" t="str">
        <f ca="1">IFERROR(__xludf.DUMMYFUNCTION("""COMPUTED_VALUE"""),"PETUGAS ENTRI")</f>
        <v>PETUGAS ENTRI</v>
      </c>
      <c r="H169" s="5" t="str">
        <f t="array" aca="1" ref="H169" ca="1">IF(N169=1, INDEX('Database Mitra'!$C$2:$C993,MATCH($C169,'Database Mitra'!$AK$2:$AK993,0)),"")</f>
        <v>Muhammad Deny Hafizzul Muttaqin</v>
      </c>
      <c r="I169" s="71">
        <f ca="1">IF(N169=1,SUMIFS('Alokasi Honor'!$M$2:$M993,'Alokasi Honor'!$T$2:$T993,A169),"")</f>
        <v>1760000</v>
      </c>
      <c r="J169" s="10">
        <f ca="1">IFERROR(__xludf.DUMMYFUNCTION("COUNTIF(FILTER('Alokasi Honor'!$H$2:$H993,'Alokasi Honor'!$H$2:$H993=""OB"",'Alokasi Honor'!$T$2:$T993=A169),""OB"")"),0)</f>
        <v>0</v>
      </c>
      <c r="K169" s="10">
        <f t="shared" ca="1" si="1"/>
        <v>1</v>
      </c>
      <c r="L169" s="70">
        <f t="array" aca="1" ref="L169" ca="1">IF(N169=1,INDEX('Batasan Honor'!$B$2:$B993,MATCH(CONCATENATE($F169,"-",$G169),'Batasan Honor'!$G$2:$G993,0)),"")</f>
        <v>5400000</v>
      </c>
      <c r="M169" s="10">
        <f t="shared" ca="1" si="2"/>
        <v>1</v>
      </c>
      <c r="N169" s="10">
        <f t="shared" ca="1" si="3"/>
        <v>1</v>
      </c>
    </row>
    <row r="170" spans="1:14" ht="12.5">
      <c r="A170" s="10" t="str">
        <f ca="1">IFERROR(__xludf.DUMMYFUNCTION("""COMPUTED_VALUE"""),"610422100010-2024-3-SURVEI-PETUGAS ENTRI")</f>
        <v>610422100010-2024-3-SURVEI-PETUGAS ENTRI</v>
      </c>
      <c r="B170" s="5" t="str">
        <f t="shared" ca="1" si="0"/>
        <v>610422100010-2024-3</v>
      </c>
      <c r="C170" s="5">
        <f ca="1">IFERROR(__xludf.DUMMYFUNCTION("IF(N170=1,SPLIT(A170,""-""),"""")"),610422100010)</f>
        <v>610422100010</v>
      </c>
      <c r="D170" s="10">
        <f ca="1">IFERROR(__xludf.DUMMYFUNCTION("""COMPUTED_VALUE"""),2024)</f>
        <v>2024</v>
      </c>
      <c r="E170" s="10">
        <f ca="1">IFERROR(__xludf.DUMMYFUNCTION("""COMPUTED_VALUE"""),3)</f>
        <v>3</v>
      </c>
      <c r="F170" s="5" t="str">
        <f ca="1">IFERROR(__xludf.DUMMYFUNCTION("""COMPUTED_VALUE"""),"SURVEI")</f>
        <v>SURVEI</v>
      </c>
      <c r="G170" s="5" t="str">
        <f ca="1">IFERROR(__xludf.DUMMYFUNCTION("""COMPUTED_VALUE"""),"PETUGAS ENTRI")</f>
        <v>PETUGAS ENTRI</v>
      </c>
      <c r="H170" s="5" t="str">
        <f t="array" aca="1" ref="H170" ca="1">IF(N170=1, INDEX('Database Mitra'!$C$2:$C993,MATCH($C170,'Database Mitra'!$AK$2:$AK993,0)),"")</f>
        <v>Muhammad Rendi Fakhrian</v>
      </c>
      <c r="I170" s="71">
        <f ca="1">IF(N170=1,SUMIFS('Alokasi Honor'!$M$2:$M993,'Alokasi Honor'!$T$2:$T993,A170),"")</f>
        <v>1595000</v>
      </c>
      <c r="J170" s="10">
        <f ca="1">IFERROR(__xludf.DUMMYFUNCTION("COUNTIF(FILTER('Alokasi Honor'!$H$2:$H993,'Alokasi Honor'!$H$2:$H993=""OB"",'Alokasi Honor'!$T$2:$T993=A170),""OB"")"),0)</f>
        <v>0</v>
      </c>
      <c r="K170" s="10">
        <f t="shared" ca="1" si="1"/>
        <v>1</v>
      </c>
      <c r="L170" s="70">
        <f t="array" aca="1" ref="L170" ca="1">IF(N170=1,INDEX('Batasan Honor'!$B$2:$B993,MATCH(CONCATENATE($F170,"-",$G170),'Batasan Honor'!$G$2:$G993,0)),"")</f>
        <v>5400000</v>
      </c>
      <c r="M170" s="10">
        <f t="shared" ca="1" si="2"/>
        <v>1</v>
      </c>
      <c r="N170" s="10">
        <f t="shared" ca="1" si="3"/>
        <v>1</v>
      </c>
    </row>
    <row r="171" spans="1:14" ht="12.5">
      <c r="A171" s="10" t="str">
        <f ca="1">IFERROR(__xludf.DUMMYFUNCTION("""COMPUTED_VALUE"""),"610422100177-2024-3-SURVEI-PETUGAS ENTRI")</f>
        <v>610422100177-2024-3-SURVEI-PETUGAS ENTRI</v>
      </c>
      <c r="B171" s="5" t="str">
        <f t="shared" ca="1" si="0"/>
        <v>610422100177-2024-3</v>
      </c>
      <c r="C171" s="5">
        <f ca="1">IFERROR(__xludf.DUMMYFUNCTION("IF(N171=1,SPLIT(A171,""-""),"""")"),610422100177)</f>
        <v>610422100177</v>
      </c>
      <c r="D171" s="10">
        <f ca="1">IFERROR(__xludf.DUMMYFUNCTION("""COMPUTED_VALUE"""),2024)</f>
        <v>2024</v>
      </c>
      <c r="E171" s="10">
        <f ca="1">IFERROR(__xludf.DUMMYFUNCTION("""COMPUTED_VALUE"""),3)</f>
        <v>3</v>
      </c>
      <c r="F171" s="5" t="str">
        <f ca="1">IFERROR(__xludf.DUMMYFUNCTION("""COMPUTED_VALUE"""),"SURVEI")</f>
        <v>SURVEI</v>
      </c>
      <c r="G171" s="5" t="str">
        <f ca="1">IFERROR(__xludf.DUMMYFUNCTION("""COMPUTED_VALUE"""),"PETUGAS ENTRI")</f>
        <v>PETUGAS ENTRI</v>
      </c>
      <c r="H171" s="5" t="str">
        <f t="array" aca="1" ref="H171" ca="1">IF(N171=1, INDEX('Database Mitra'!$C$2:$C993,MATCH($C171,'Database Mitra'!$AK$2:$AK993,0)),"")</f>
        <v>Amirah</v>
      </c>
      <c r="I171" s="71">
        <f ca="1">IF(N171=1,SUMIFS('Alokasi Honor'!$M$2:$M993,'Alokasi Honor'!$T$2:$T993,A171),"")</f>
        <v>1760000</v>
      </c>
      <c r="J171" s="10">
        <f ca="1">IFERROR(__xludf.DUMMYFUNCTION("COUNTIF(FILTER('Alokasi Honor'!$H$2:$H993,'Alokasi Honor'!$H$2:$H993=""OB"",'Alokasi Honor'!$T$2:$T993=A171),""OB"")"),0)</f>
        <v>0</v>
      </c>
      <c r="K171" s="10">
        <f t="shared" ca="1" si="1"/>
        <v>1</v>
      </c>
      <c r="L171" s="70">
        <f t="array" aca="1" ref="L171" ca="1">IF(N171=1,INDEX('Batasan Honor'!$B$2:$B993,MATCH(CONCATENATE($F171,"-",$G171),'Batasan Honor'!$G$2:$G993,0)),"")</f>
        <v>5400000</v>
      </c>
      <c r="M171" s="10">
        <f t="shared" ca="1" si="2"/>
        <v>1</v>
      </c>
      <c r="N171" s="10">
        <f t="shared" ca="1" si="3"/>
        <v>1</v>
      </c>
    </row>
    <row r="172" spans="1:14" ht="12.5">
      <c r="A172" s="10" t="str">
        <f ca="1">IFERROR(__xludf.DUMMYFUNCTION("""COMPUTED_VALUE"""),"610422100083-2024-3-SURVEI-PETUGAS ENTRI")</f>
        <v>610422100083-2024-3-SURVEI-PETUGAS ENTRI</v>
      </c>
      <c r="B172" s="5" t="str">
        <f t="shared" ca="1" si="0"/>
        <v>610422100083-2024-3</v>
      </c>
      <c r="C172" s="5">
        <f ca="1">IFERROR(__xludf.DUMMYFUNCTION("IF(N172=1,SPLIT(A172,""-""),"""")"),610422100083)</f>
        <v>610422100083</v>
      </c>
      <c r="D172" s="10">
        <f ca="1">IFERROR(__xludf.DUMMYFUNCTION("""COMPUTED_VALUE"""),2024)</f>
        <v>2024</v>
      </c>
      <c r="E172" s="10">
        <f ca="1">IFERROR(__xludf.DUMMYFUNCTION("""COMPUTED_VALUE"""),3)</f>
        <v>3</v>
      </c>
      <c r="F172" s="5" t="str">
        <f ca="1">IFERROR(__xludf.DUMMYFUNCTION("""COMPUTED_VALUE"""),"SURVEI")</f>
        <v>SURVEI</v>
      </c>
      <c r="G172" s="5" t="str">
        <f ca="1">IFERROR(__xludf.DUMMYFUNCTION("""COMPUTED_VALUE"""),"PETUGAS ENTRI")</f>
        <v>PETUGAS ENTRI</v>
      </c>
      <c r="H172" s="5" t="str">
        <f t="array" aca="1" ref="H172" ca="1">IF(N172=1, INDEX('Database Mitra'!$C$2:$C993,MATCH($C172,'Database Mitra'!$AK$2:$AK993,0)),"")</f>
        <v>ILHAM SUBAGIO</v>
      </c>
      <c r="I172" s="71">
        <f ca="1">IF(N172=1,SUMIFS('Alokasi Honor'!$M$2:$M993,'Alokasi Honor'!$T$2:$T993,A172),"")</f>
        <v>1705000</v>
      </c>
      <c r="J172" s="10">
        <f ca="1">IFERROR(__xludf.DUMMYFUNCTION("COUNTIF(FILTER('Alokasi Honor'!$H$2:$H993,'Alokasi Honor'!$H$2:$H993=""OB"",'Alokasi Honor'!$T$2:$T993=A172),""OB"")"),0)</f>
        <v>0</v>
      </c>
      <c r="K172" s="10">
        <f t="shared" ca="1" si="1"/>
        <v>1</v>
      </c>
      <c r="L172" s="70">
        <f t="array" aca="1" ref="L172" ca="1">IF(N172=1,INDEX('Batasan Honor'!$B$2:$B993,MATCH(CONCATENATE($F172,"-",$G172),'Batasan Honor'!$G$2:$G993,0)),"")</f>
        <v>5400000</v>
      </c>
      <c r="M172" s="10">
        <f t="shared" ca="1" si="2"/>
        <v>1</v>
      </c>
      <c r="N172" s="10">
        <f t="shared" ca="1" si="3"/>
        <v>1</v>
      </c>
    </row>
    <row r="173" spans="1:14" ht="12.5">
      <c r="A173" s="10" t="str">
        <f ca="1">IFERROR(__xludf.DUMMYFUNCTION("""COMPUTED_VALUE"""),"610422110006-2024-3-SURVEI-PETUGAS ENTRI")</f>
        <v>610422110006-2024-3-SURVEI-PETUGAS ENTRI</v>
      </c>
      <c r="B173" s="5" t="str">
        <f t="shared" ca="1" si="0"/>
        <v>610422110006-2024-3</v>
      </c>
      <c r="C173" s="5">
        <f ca="1">IFERROR(__xludf.DUMMYFUNCTION("IF(N173=1,SPLIT(A173,""-""),"""")"),610422110006)</f>
        <v>610422110006</v>
      </c>
      <c r="D173" s="10">
        <f ca="1">IFERROR(__xludf.DUMMYFUNCTION("""COMPUTED_VALUE"""),2024)</f>
        <v>2024</v>
      </c>
      <c r="E173" s="10">
        <f ca="1">IFERROR(__xludf.DUMMYFUNCTION("""COMPUTED_VALUE"""),3)</f>
        <v>3</v>
      </c>
      <c r="F173" s="5" t="str">
        <f ca="1">IFERROR(__xludf.DUMMYFUNCTION("""COMPUTED_VALUE"""),"SURVEI")</f>
        <v>SURVEI</v>
      </c>
      <c r="G173" s="5" t="str">
        <f ca="1">IFERROR(__xludf.DUMMYFUNCTION("""COMPUTED_VALUE"""),"PETUGAS ENTRI")</f>
        <v>PETUGAS ENTRI</v>
      </c>
      <c r="H173" s="5" t="str">
        <f t="array" aca="1" ref="H173" ca="1">IF(N173=1, INDEX('Database Mitra'!$C$2:$C993,MATCH($C173,'Database Mitra'!$AK$2:$AK993,0)),"")</f>
        <v>Muhammad Habibie</v>
      </c>
      <c r="I173" s="71">
        <f ca="1">IF(N173=1,SUMIFS('Alokasi Honor'!$M$2:$M993,'Alokasi Honor'!$T$2:$T993,A173),"")</f>
        <v>1650000</v>
      </c>
      <c r="J173" s="10">
        <f ca="1">IFERROR(__xludf.DUMMYFUNCTION("COUNTIF(FILTER('Alokasi Honor'!$H$2:$H993,'Alokasi Honor'!$H$2:$H993=""OB"",'Alokasi Honor'!$T$2:$T993=A173),""OB"")"),0)</f>
        <v>0</v>
      </c>
      <c r="K173" s="10">
        <f t="shared" ca="1" si="1"/>
        <v>1</v>
      </c>
      <c r="L173" s="70">
        <f t="array" aca="1" ref="L173" ca="1">IF(N173=1,INDEX('Batasan Honor'!$B$2:$B993,MATCH(CONCATENATE($F173,"-",$G173),'Batasan Honor'!$G$2:$G993,0)),"")</f>
        <v>5400000</v>
      </c>
      <c r="M173" s="10">
        <f t="shared" ca="1" si="2"/>
        <v>1</v>
      </c>
      <c r="N173" s="10">
        <f t="shared" ca="1" si="3"/>
        <v>1</v>
      </c>
    </row>
    <row r="174" spans="1:14" ht="12.5">
      <c r="A174" s="10" t="str">
        <f ca="1">IFERROR(__xludf.DUMMYFUNCTION("""COMPUTED_VALUE"""),"610422110005-2024-3-SURVEI-PETUGAS ENTRI")</f>
        <v>610422110005-2024-3-SURVEI-PETUGAS ENTRI</v>
      </c>
      <c r="B174" s="5" t="str">
        <f t="shared" ca="1" si="0"/>
        <v>610422110005-2024-3</v>
      </c>
      <c r="C174" s="5">
        <f ca="1">IFERROR(__xludf.DUMMYFUNCTION("IF(N174=1,SPLIT(A174,""-""),"""")"),610422110005)</f>
        <v>610422110005</v>
      </c>
      <c r="D174" s="10">
        <f ca="1">IFERROR(__xludf.DUMMYFUNCTION("""COMPUTED_VALUE"""),2024)</f>
        <v>2024</v>
      </c>
      <c r="E174" s="10">
        <f ca="1">IFERROR(__xludf.DUMMYFUNCTION("""COMPUTED_VALUE"""),3)</f>
        <v>3</v>
      </c>
      <c r="F174" s="5" t="str">
        <f ca="1">IFERROR(__xludf.DUMMYFUNCTION("""COMPUTED_VALUE"""),"SURVEI")</f>
        <v>SURVEI</v>
      </c>
      <c r="G174" s="5" t="str">
        <f ca="1">IFERROR(__xludf.DUMMYFUNCTION("""COMPUTED_VALUE"""),"PETUGAS ENTRI")</f>
        <v>PETUGAS ENTRI</v>
      </c>
      <c r="H174" s="5" t="str">
        <f t="array" aca="1" ref="H174" ca="1">IF(N174=1, INDEX('Database Mitra'!$C$2:$C993,MATCH($C174,'Database Mitra'!$AK$2:$AK993,0)),"")</f>
        <v>indra</v>
      </c>
      <c r="I174" s="71">
        <f ca="1">IF(N174=1,SUMIFS('Alokasi Honor'!$M$2:$M993,'Alokasi Honor'!$T$2:$T993,A174),"")</f>
        <v>1952500</v>
      </c>
      <c r="J174" s="10">
        <f ca="1">IFERROR(__xludf.DUMMYFUNCTION("COUNTIF(FILTER('Alokasi Honor'!$H$2:$H993,'Alokasi Honor'!$H$2:$H993=""OB"",'Alokasi Honor'!$T$2:$T993=A174),""OB"")"),0)</f>
        <v>0</v>
      </c>
      <c r="K174" s="10">
        <f t="shared" ca="1" si="1"/>
        <v>1</v>
      </c>
      <c r="L174" s="70">
        <f t="array" aca="1" ref="L174" ca="1">IF(N174=1,INDEX('Batasan Honor'!$B$2:$B993,MATCH(CONCATENATE($F174,"-",$G174),'Batasan Honor'!$G$2:$G993,0)),"")</f>
        <v>5400000</v>
      </c>
      <c r="M174" s="10">
        <f t="shared" ca="1" si="2"/>
        <v>1</v>
      </c>
      <c r="N174" s="10">
        <f t="shared" ca="1" si="3"/>
        <v>1</v>
      </c>
    </row>
    <row r="175" spans="1:14" ht="12.5">
      <c r="A175" s="10" t="str">
        <f ca="1">IFERROR(__xludf.DUMMYFUNCTION("""COMPUTED_VALUE"""),"610423090021-2024-3-SURVEI-PETUGAS ENTRI")</f>
        <v>610423090021-2024-3-SURVEI-PETUGAS ENTRI</v>
      </c>
      <c r="B175" s="5" t="str">
        <f t="shared" ca="1" si="0"/>
        <v>610423090021-2024-3</v>
      </c>
      <c r="C175" s="5">
        <f ca="1">IFERROR(__xludf.DUMMYFUNCTION("IF(N175=1,SPLIT(A175,""-""),"""")"),610423090021)</f>
        <v>610423090021</v>
      </c>
      <c r="D175" s="10">
        <f ca="1">IFERROR(__xludf.DUMMYFUNCTION("""COMPUTED_VALUE"""),2024)</f>
        <v>2024</v>
      </c>
      <c r="E175" s="10">
        <f ca="1">IFERROR(__xludf.DUMMYFUNCTION("""COMPUTED_VALUE"""),3)</f>
        <v>3</v>
      </c>
      <c r="F175" s="5" t="str">
        <f ca="1">IFERROR(__xludf.DUMMYFUNCTION("""COMPUTED_VALUE"""),"SURVEI")</f>
        <v>SURVEI</v>
      </c>
      <c r="G175" s="5" t="str">
        <f ca="1">IFERROR(__xludf.DUMMYFUNCTION("""COMPUTED_VALUE"""),"PETUGAS ENTRI")</f>
        <v>PETUGAS ENTRI</v>
      </c>
      <c r="H175" s="5" t="str">
        <f t="array" aca="1" ref="H175" ca="1">IF(N175=1, INDEX('Database Mitra'!$C$2:$C993,MATCH($C175,'Database Mitra'!$AK$2:$AK993,0)),"")</f>
        <v>Thama Riewanty Oesman</v>
      </c>
      <c r="I175" s="71">
        <f ca="1">IF(N175=1,SUMIFS('Alokasi Honor'!$M$2:$M993,'Alokasi Honor'!$T$2:$T993,A175),"")</f>
        <v>1595000</v>
      </c>
      <c r="J175" s="10">
        <f ca="1">IFERROR(__xludf.DUMMYFUNCTION("COUNTIF(FILTER('Alokasi Honor'!$H$2:$H993,'Alokasi Honor'!$H$2:$H993=""OB"",'Alokasi Honor'!$T$2:$T993=A175),""OB"")"),0)</f>
        <v>0</v>
      </c>
      <c r="K175" s="10">
        <f t="shared" ca="1" si="1"/>
        <v>1</v>
      </c>
      <c r="L175" s="70">
        <f t="array" aca="1" ref="L175" ca="1">IF(N175=1,INDEX('Batasan Honor'!$B$2:$B993,MATCH(CONCATENATE($F175,"-",$G175),'Batasan Honor'!$G$2:$G993,0)),"")</f>
        <v>5400000</v>
      </c>
      <c r="M175" s="10">
        <f t="shared" ca="1" si="2"/>
        <v>1</v>
      </c>
      <c r="N175" s="10">
        <f t="shared" ca="1" si="3"/>
        <v>1</v>
      </c>
    </row>
    <row r="176" spans="1:14" ht="12.5">
      <c r="A176" s="10" t="str">
        <f ca="1">IFERROR(__xludf.DUMMYFUNCTION("""COMPUTED_VALUE"""),"610422040012-2024-3-SURVEI-PPL")</f>
        <v>610422040012-2024-3-SURVEI-PPL</v>
      </c>
      <c r="B176" s="5" t="str">
        <f t="shared" ca="1" si="0"/>
        <v>610422040012-2024-3</v>
      </c>
      <c r="C176" s="5">
        <f ca="1">IFERROR(__xludf.DUMMYFUNCTION("IF(N176=1,SPLIT(A176,""-""),"""")"),610422040012)</f>
        <v>610422040012</v>
      </c>
      <c r="D176" s="10">
        <f ca="1">IFERROR(__xludf.DUMMYFUNCTION("""COMPUTED_VALUE"""),2024)</f>
        <v>2024</v>
      </c>
      <c r="E176" s="10">
        <f ca="1">IFERROR(__xludf.DUMMYFUNCTION("""COMPUTED_VALUE"""),3)</f>
        <v>3</v>
      </c>
      <c r="F176" s="5" t="str">
        <f ca="1">IFERROR(__xludf.DUMMYFUNCTION("""COMPUTED_VALUE"""),"SURVEI")</f>
        <v>SURVEI</v>
      </c>
      <c r="G176" s="5" t="str">
        <f ca="1">IFERROR(__xludf.DUMMYFUNCTION("""COMPUTED_VALUE"""),"PPL")</f>
        <v>PPL</v>
      </c>
      <c r="H176" s="5" t="str">
        <f t="array" aca="1" ref="H176" ca="1">IF(N176=1, INDEX('Database Mitra'!$C$2:$C993,MATCH($C176,'Database Mitra'!$AK$2:$AK993,0)),"")</f>
        <v>Misdi</v>
      </c>
      <c r="I176" s="71">
        <f ca="1">IF(N176=1,SUMIFS('Alokasi Honor'!$M$2:$M993,'Alokasi Honor'!$T$2:$T993,A176),"")</f>
        <v>348000</v>
      </c>
      <c r="J176" s="10">
        <f ca="1">IFERROR(__xludf.DUMMYFUNCTION("COUNTIF(FILTER('Alokasi Honor'!$H$2:$H993,'Alokasi Honor'!$H$2:$H993=""OB"",'Alokasi Honor'!$T$2:$T993=A176),""OB"")"),0)</f>
        <v>0</v>
      </c>
      <c r="K176" s="10">
        <f t="shared" ca="1" si="1"/>
        <v>1</v>
      </c>
      <c r="L176" s="70">
        <f t="array" aca="1" ref="L176" ca="1">IF(N176=1,INDEX('Batasan Honor'!$B$2:$B993,MATCH(CONCATENATE($F176,"-",$G176),'Batasan Honor'!$G$2:$G993,0)),"")</f>
        <v>5400000</v>
      </c>
      <c r="M176" s="10">
        <f t="shared" ca="1" si="2"/>
        <v>1</v>
      </c>
      <c r="N176" s="10">
        <f t="shared" ca="1" si="3"/>
        <v>1</v>
      </c>
    </row>
    <row r="177" spans="1:14" ht="12.5">
      <c r="A177" s="10" t="str">
        <f ca="1">IFERROR(__xludf.DUMMYFUNCTION("""COMPUTED_VALUE"""),"610422100131-2024-3-SURVEI-PPL")</f>
        <v>610422100131-2024-3-SURVEI-PPL</v>
      </c>
      <c r="B177" s="5" t="str">
        <f t="shared" ca="1" si="0"/>
        <v>610422100131-2024-3</v>
      </c>
      <c r="C177" s="5">
        <f ca="1">IFERROR(__xludf.DUMMYFUNCTION("IF(N177=1,SPLIT(A177,""-""),"""")"),610422100131)</f>
        <v>610422100131</v>
      </c>
      <c r="D177" s="10">
        <f ca="1">IFERROR(__xludf.DUMMYFUNCTION("""COMPUTED_VALUE"""),2024)</f>
        <v>2024</v>
      </c>
      <c r="E177" s="10">
        <f ca="1">IFERROR(__xludf.DUMMYFUNCTION("""COMPUTED_VALUE"""),3)</f>
        <v>3</v>
      </c>
      <c r="F177" s="5" t="str">
        <f ca="1">IFERROR(__xludf.DUMMYFUNCTION("""COMPUTED_VALUE"""),"SURVEI")</f>
        <v>SURVEI</v>
      </c>
      <c r="G177" s="5" t="str">
        <f ca="1">IFERROR(__xludf.DUMMYFUNCTION("""COMPUTED_VALUE"""),"PPL")</f>
        <v>PPL</v>
      </c>
      <c r="H177" s="5" t="str">
        <f t="array" aca="1" ref="H177" ca="1">IF(N177=1, INDEX('Database Mitra'!$C$2:$C993,MATCH($C177,'Database Mitra'!$AK$2:$AK993,0)),"")</f>
        <v>SYAMSUL</v>
      </c>
      <c r="I177" s="71">
        <f ca="1">IF(N177=1,SUMIFS('Alokasi Honor'!$M$2:$M993,'Alokasi Honor'!$T$2:$T993,A177),"")</f>
        <v>348000</v>
      </c>
      <c r="J177" s="10">
        <f ca="1">IFERROR(__xludf.DUMMYFUNCTION("COUNTIF(FILTER('Alokasi Honor'!$H$2:$H993,'Alokasi Honor'!$H$2:$H993=""OB"",'Alokasi Honor'!$T$2:$T993=A177),""OB"")"),0)</f>
        <v>0</v>
      </c>
      <c r="K177" s="10">
        <f t="shared" ca="1" si="1"/>
        <v>1</v>
      </c>
      <c r="L177" s="70">
        <f t="array" aca="1" ref="L177" ca="1">IF(N177=1,INDEX('Batasan Honor'!$B$2:$B993,MATCH(CONCATENATE($F177,"-",$G177),'Batasan Honor'!$G$2:$G993,0)),"")</f>
        <v>5400000</v>
      </c>
      <c r="M177" s="10">
        <f t="shared" ca="1" si="2"/>
        <v>1</v>
      </c>
      <c r="N177" s="10">
        <f t="shared" ca="1" si="3"/>
        <v>1</v>
      </c>
    </row>
    <row r="178" spans="1:14" ht="12.5">
      <c r="A178" s="10" t="str">
        <f ca="1">IFERROR(__xludf.DUMMYFUNCTION("""COMPUTED_VALUE"""),"610422100176-2024-3-SURVEI-PPL")</f>
        <v>610422100176-2024-3-SURVEI-PPL</v>
      </c>
      <c r="B178" s="5" t="str">
        <f t="shared" ca="1" si="0"/>
        <v>610422100176-2024-3</v>
      </c>
      <c r="C178" s="5">
        <f ca="1">IFERROR(__xludf.DUMMYFUNCTION("IF(N178=1,SPLIT(A178,""-""),"""")"),610422100176)</f>
        <v>610422100176</v>
      </c>
      <c r="D178" s="10">
        <f ca="1">IFERROR(__xludf.DUMMYFUNCTION("""COMPUTED_VALUE"""),2024)</f>
        <v>2024</v>
      </c>
      <c r="E178" s="10">
        <f ca="1">IFERROR(__xludf.DUMMYFUNCTION("""COMPUTED_VALUE"""),3)</f>
        <v>3</v>
      </c>
      <c r="F178" s="5" t="str">
        <f ca="1">IFERROR(__xludf.DUMMYFUNCTION("""COMPUTED_VALUE"""),"SURVEI")</f>
        <v>SURVEI</v>
      </c>
      <c r="G178" s="5" t="str">
        <f ca="1">IFERROR(__xludf.DUMMYFUNCTION("""COMPUTED_VALUE"""),"PPL")</f>
        <v>PPL</v>
      </c>
      <c r="H178" s="5" t="str">
        <f t="array" aca="1" ref="H178" ca="1">IF(N178=1, INDEX('Database Mitra'!$C$2:$C993,MATCH($C178,'Database Mitra'!$AK$2:$AK993,0)),"")</f>
        <v>Feri Firdaus</v>
      </c>
      <c r="I178" s="71">
        <f ca="1">IF(N178=1,SUMIFS('Alokasi Honor'!$M$2:$M993,'Alokasi Honor'!$T$2:$T993,A178),"")</f>
        <v>348000</v>
      </c>
      <c r="J178" s="10">
        <f ca="1">IFERROR(__xludf.DUMMYFUNCTION("COUNTIF(FILTER('Alokasi Honor'!$H$2:$H993,'Alokasi Honor'!$H$2:$H993=""OB"",'Alokasi Honor'!$T$2:$T993=A178),""OB"")"),0)</f>
        <v>0</v>
      </c>
      <c r="K178" s="10">
        <f t="shared" ca="1" si="1"/>
        <v>1</v>
      </c>
      <c r="L178" s="70">
        <f t="array" aca="1" ref="L178" ca="1">IF(N178=1,INDEX('Batasan Honor'!$B$2:$B993,MATCH(CONCATENATE($F178,"-",$G178),'Batasan Honor'!$G$2:$G993,0)),"")</f>
        <v>5400000</v>
      </c>
      <c r="M178" s="10">
        <f t="shared" ca="1" si="2"/>
        <v>1</v>
      </c>
      <c r="N178" s="10">
        <f t="shared" ca="1" si="3"/>
        <v>1</v>
      </c>
    </row>
    <row r="179" spans="1:14" ht="12.5">
      <c r="A179" s="10" t="str">
        <f ca="1">IFERROR(__xludf.DUMMYFUNCTION("""COMPUTED_VALUE"""),"610423110183-2024-3-SURVEI-PPL")</f>
        <v>610423110183-2024-3-SURVEI-PPL</v>
      </c>
      <c r="B179" s="5" t="str">
        <f t="shared" ca="1" si="0"/>
        <v>610423110183-2024-3</v>
      </c>
      <c r="C179" s="5">
        <f ca="1">IFERROR(__xludf.DUMMYFUNCTION("IF(N179=1,SPLIT(A179,""-""),"""")"),610423110183)</f>
        <v>610423110183</v>
      </c>
      <c r="D179" s="10">
        <f ca="1">IFERROR(__xludf.DUMMYFUNCTION("""COMPUTED_VALUE"""),2024)</f>
        <v>2024</v>
      </c>
      <c r="E179" s="10">
        <f ca="1">IFERROR(__xludf.DUMMYFUNCTION("""COMPUTED_VALUE"""),3)</f>
        <v>3</v>
      </c>
      <c r="F179" s="5" t="str">
        <f ca="1">IFERROR(__xludf.DUMMYFUNCTION("""COMPUTED_VALUE"""),"SURVEI")</f>
        <v>SURVEI</v>
      </c>
      <c r="G179" s="5" t="str">
        <f ca="1">IFERROR(__xludf.DUMMYFUNCTION("""COMPUTED_VALUE"""),"PPL")</f>
        <v>PPL</v>
      </c>
      <c r="H179" s="5" t="str">
        <f t="array" aca="1" ref="H179" ca="1">IF(N179=1, INDEX('Database Mitra'!$C$2:$C993,MATCH($C179,'Database Mitra'!$AK$2:$AK993,0)),"")</f>
        <v>azhar</v>
      </c>
      <c r="I179" s="71">
        <f ca="1">IF(N179=1,SUMIFS('Alokasi Honor'!$M$2:$M993,'Alokasi Honor'!$T$2:$T993,A179),"")</f>
        <v>1050000</v>
      </c>
      <c r="J179" s="10">
        <f ca="1">IFERROR(__xludf.DUMMYFUNCTION("COUNTIF(FILTER('Alokasi Honor'!$H$2:$H993,'Alokasi Honor'!$H$2:$H993=""OB"",'Alokasi Honor'!$T$2:$T993=A179),""OB"")"),0)</f>
        <v>0</v>
      </c>
      <c r="K179" s="10">
        <f t="shared" ca="1" si="1"/>
        <v>1</v>
      </c>
      <c r="L179" s="70">
        <f t="array" aca="1" ref="L179" ca="1">IF(N179=1,INDEX('Batasan Honor'!$B$2:$B993,MATCH(CONCATENATE($F179,"-",$G179),'Batasan Honor'!$G$2:$G993,0)),"")</f>
        <v>5400000</v>
      </c>
      <c r="M179" s="10">
        <f t="shared" ca="1" si="2"/>
        <v>1</v>
      </c>
      <c r="N179" s="10">
        <f t="shared" ca="1" si="3"/>
        <v>1</v>
      </c>
    </row>
    <row r="180" spans="1:14" ht="12.5">
      <c r="A180" s="10" t="str">
        <f ca="1">IFERROR(__xludf.DUMMYFUNCTION("""COMPUTED_VALUE"""),"610423040018-2024-3-SURVEI-PPL")</f>
        <v>610423040018-2024-3-SURVEI-PPL</v>
      </c>
      <c r="B180" s="5" t="str">
        <f t="shared" ca="1" si="0"/>
        <v>610423040018-2024-3</v>
      </c>
      <c r="C180" s="5">
        <f ca="1">IFERROR(__xludf.DUMMYFUNCTION("IF(N180=1,SPLIT(A180,""-""),"""")"),610423040018)</f>
        <v>610423040018</v>
      </c>
      <c r="D180" s="10">
        <f ca="1">IFERROR(__xludf.DUMMYFUNCTION("""COMPUTED_VALUE"""),2024)</f>
        <v>2024</v>
      </c>
      <c r="E180" s="10">
        <f ca="1">IFERROR(__xludf.DUMMYFUNCTION("""COMPUTED_VALUE"""),3)</f>
        <v>3</v>
      </c>
      <c r="F180" s="5" t="str">
        <f ca="1">IFERROR(__xludf.DUMMYFUNCTION("""COMPUTED_VALUE"""),"SURVEI")</f>
        <v>SURVEI</v>
      </c>
      <c r="G180" s="5" t="str">
        <f ca="1">IFERROR(__xludf.DUMMYFUNCTION("""COMPUTED_VALUE"""),"PPL")</f>
        <v>PPL</v>
      </c>
      <c r="H180" s="5" t="str">
        <f t="array" aca="1" ref="H180" ca="1">IF(N180=1, INDEX('Database Mitra'!$C$2:$C993,MATCH($C180,'Database Mitra'!$AK$2:$AK993,0)),"")</f>
        <v>Handoko Tuah Sabarman Sipayung</v>
      </c>
      <c r="I180" s="71">
        <f ca="1">IF(N180=1,SUMIFS('Alokasi Honor'!$M$2:$M993,'Alokasi Honor'!$T$2:$T993,A180),"")</f>
        <v>464000</v>
      </c>
      <c r="J180" s="10">
        <f ca="1">IFERROR(__xludf.DUMMYFUNCTION("COUNTIF(FILTER('Alokasi Honor'!$H$2:$H993,'Alokasi Honor'!$H$2:$H993=""OB"",'Alokasi Honor'!$T$2:$T993=A180),""OB"")"),0)</f>
        <v>0</v>
      </c>
      <c r="K180" s="10">
        <f t="shared" ca="1" si="1"/>
        <v>1</v>
      </c>
      <c r="L180" s="70">
        <f t="array" aca="1" ref="L180" ca="1">IF(N180=1,INDEX('Batasan Honor'!$B$2:$B993,MATCH(CONCATENATE($F180,"-",$G180),'Batasan Honor'!$G$2:$G993,0)),"")</f>
        <v>5400000</v>
      </c>
      <c r="M180" s="10">
        <f t="shared" ca="1" si="2"/>
        <v>1</v>
      </c>
      <c r="N180" s="10">
        <f t="shared" ca="1" si="3"/>
        <v>1</v>
      </c>
    </row>
    <row r="181" spans="1:14" ht="12.5">
      <c r="A181" s="10" t="str">
        <f ca="1">IFERROR(__xludf.DUMMYFUNCTION("""COMPUTED_VALUE"""),"610422100129-2024-4-SURVEI-PPL")</f>
        <v>610422100129-2024-4-SURVEI-PPL</v>
      </c>
      <c r="B181" s="5" t="str">
        <f t="shared" ca="1" si="0"/>
        <v>610422100129-2024-4</v>
      </c>
      <c r="C181" s="5">
        <f ca="1">IFERROR(__xludf.DUMMYFUNCTION("IF(N181=1,SPLIT(A181,""-""),"""")"),610422100129)</f>
        <v>610422100129</v>
      </c>
      <c r="D181" s="10">
        <f ca="1">IFERROR(__xludf.DUMMYFUNCTION("""COMPUTED_VALUE"""),2024)</f>
        <v>2024</v>
      </c>
      <c r="E181" s="10">
        <f ca="1">IFERROR(__xludf.DUMMYFUNCTION("""COMPUTED_VALUE"""),4)</f>
        <v>4</v>
      </c>
      <c r="F181" s="5" t="str">
        <f ca="1">IFERROR(__xludf.DUMMYFUNCTION("""COMPUTED_VALUE"""),"SURVEI")</f>
        <v>SURVEI</v>
      </c>
      <c r="G181" s="5" t="str">
        <f ca="1">IFERROR(__xludf.DUMMYFUNCTION("""COMPUTED_VALUE"""),"PPL")</f>
        <v>PPL</v>
      </c>
      <c r="H181" s="5" t="str">
        <f t="array" aca="1" ref="H181" ca="1">IF(N181=1, INDEX('Database Mitra'!$C$2:$C993,MATCH($C181,'Database Mitra'!$AK$2:$AK993,0)),"")</f>
        <v>Andre</v>
      </c>
      <c r="I181" s="71">
        <f ca="1">IF(N181=1,SUMIFS('Alokasi Honor'!$M$2:$M993,'Alokasi Honor'!$T$2:$T993,A181),"")</f>
        <v>180000</v>
      </c>
      <c r="J181" s="10">
        <f ca="1">IFERROR(__xludf.DUMMYFUNCTION("COUNTIF(FILTER('Alokasi Honor'!$H$2:$H993,'Alokasi Honor'!$H$2:$H993=""OB"",'Alokasi Honor'!$T$2:$T993=A181),""OB"")"),0)</f>
        <v>0</v>
      </c>
      <c r="K181" s="10">
        <f t="shared" ca="1" si="1"/>
        <v>1</v>
      </c>
      <c r="L181" s="70">
        <f t="array" aca="1" ref="L181" ca="1">IF(N181=1,INDEX('Batasan Honor'!$B$2:$B993,MATCH(CONCATENATE($F181,"-",$G181),'Batasan Honor'!$G$2:$G993,0)),"")</f>
        <v>5400000</v>
      </c>
      <c r="M181" s="10">
        <f t="shared" ca="1" si="2"/>
        <v>1</v>
      </c>
      <c r="N181" s="10">
        <f t="shared" ca="1" si="3"/>
        <v>1</v>
      </c>
    </row>
    <row r="182" spans="1:14" ht="12.5">
      <c r="A182" s="10" t="str">
        <f ca="1">IFERROR(__xludf.DUMMYFUNCTION("""COMPUTED_VALUE"""),"610422030002-2024-4-SURVEI-PPL")</f>
        <v>610422030002-2024-4-SURVEI-PPL</v>
      </c>
      <c r="B182" s="5" t="str">
        <f t="shared" ca="1" si="0"/>
        <v>610422030002-2024-4</v>
      </c>
      <c r="C182" s="5">
        <f ca="1">IFERROR(__xludf.DUMMYFUNCTION("IF(N182=1,SPLIT(A182,""-""),"""")"),610422030002)</f>
        <v>610422030002</v>
      </c>
      <c r="D182" s="10">
        <f ca="1">IFERROR(__xludf.DUMMYFUNCTION("""COMPUTED_VALUE"""),2024)</f>
        <v>2024</v>
      </c>
      <c r="E182" s="10">
        <f ca="1">IFERROR(__xludf.DUMMYFUNCTION("""COMPUTED_VALUE"""),4)</f>
        <v>4</v>
      </c>
      <c r="F182" s="5" t="str">
        <f ca="1">IFERROR(__xludf.DUMMYFUNCTION("""COMPUTED_VALUE"""),"SURVEI")</f>
        <v>SURVEI</v>
      </c>
      <c r="G182" s="5" t="str">
        <f ca="1">IFERROR(__xludf.DUMMYFUNCTION("""COMPUTED_VALUE"""),"PPL")</f>
        <v>PPL</v>
      </c>
      <c r="H182" s="5" t="str">
        <f t="array" aca="1" ref="H182" ca="1">IF(N182=1, INDEX('Database Mitra'!$C$2:$C993,MATCH($C182,'Database Mitra'!$AK$2:$AK993,0)),"")</f>
        <v>Deti erni widiastuti</v>
      </c>
      <c r="I182" s="71">
        <f ca="1">IF(N182=1,SUMIFS('Alokasi Honor'!$M$2:$M993,'Alokasi Honor'!$T$2:$T993,A182),"")</f>
        <v>750000</v>
      </c>
      <c r="J182" s="10">
        <f ca="1">IFERROR(__xludf.DUMMYFUNCTION("COUNTIF(FILTER('Alokasi Honor'!$H$2:$H993,'Alokasi Honor'!$H$2:$H993=""OB"",'Alokasi Honor'!$T$2:$T993=A182),""OB"")"),0)</f>
        <v>0</v>
      </c>
      <c r="K182" s="10">
        <f t="shared" ca="1" si="1"/>
        <v>1</v>
      </c>
      <c r="L182" s="70">
        <f t="array" aca="1" ref="L182" ca="1">IF(N182=1,INDEX('Batasan Honor'!$B$2:$B993,MATCH(CONCATENATE($F182,"-",$G182),'Batasan Honor'!$G$2:$G993,0)),"")</f>
        <v>5400000</v>
      </c>
      <c r="M182" s="10">
        <f t="shared" ca="1" si="2"/>
        <v>1</v>
      </c>
      <c r="N182" s="10">
        <f t="shared" ca="1" si="3"/>
        <v>1</v>
      </c>
    </row>
    <row r="183" spans="1:14" ht="12.5">
      <c r="A183" s="10" t="str">
        <f ca="1">IFERROR(__xludf.DUMMYFUNCTION("""COMPUTED_VALUE"""),"610422100244-2024-4-SURVEI-PPL")</f>
        <v>610422100244-2024-4-SURVEI-PPL</v>
      </c>
      <c r="B183" s="5" t="str">
        <f t="shared" ca="1" si="0"/>
        <v>610422100244-2024-4</v>
      </c>
      <c r="C183" s="5">
        <f ca="1">IFERROR(__xludf.DUMMYFUNCTION("IF(N183=1,SPLIT(A183,""-""),"""")"),610422100244)</f>
        <v>610422100244</v>
      </c>
      <c r="D183" s="10">
        <f ca="1">IFERROR(__xludf.DUMMYFUNCTION("""COMPUTED_VALUE"""),2024)</f>
        <v>2024</v>
      </c>
      <c r="E183" s="10">
        <f ca="1">IFERROR(__xludf.DUMMYFUNCTION("""COMPUTED_VALUE"""),4)</f>
        <v>4</v>
      </c>
      <c r="F183" s="5" t="str">
        <f ca="1">IFERROR(__xludf.DUMMYFUNCTION("""COMPUTED_VALUE"""),"SURVEI")</f>
        <v>SURVEI</v>
      </c>
      <c r="G183" s="5" t="str">
        <f ca="1">IFERROR(__xludf.DUMMYFUNCTION("""COMPUTED_VALUE"""),"PPL")</f>
        <v>PPL</v>
      </c>
      <c r="H183" s="5" t="str">
        <f t="array" aca="1" ref="H183" ca="1">IF(N183=1, INDEX('Database Mitra'!$C$2:$C993,MATCH($C183,'Database Mitra'!$AK$2:$AK993,0)),"")</f>
        <v>Sugianto</v>
      </c>
      <c r="I183" s="71">
        <f ca="1">IF(N183=1,SUMIFS('Alokasi Honor'!$M$2:$M993,'Alokasi Honor'!$T$2:$T993,A183),"")</f>
        <v>1090000</v>
      </c>
      <c r="J183" s="10">
        <f ca="1">IFERROR(__xludf.DUMMYFUNCTION("COUNTIF(FILTER('Alokasi Honor'!$H$2:$H993,'Alokasi Honor'!$H$2:$H993=""OB"",'Alokasi Honor'!$T$2:$T993=A183),""OB"")"),0)</f>
        <v>0</v>
      </c>
      <c r="K183" s="10">
        <f t="shared" ca="1" si="1"/>
        <v>1</v>
      </c>
      <c r="L183" s="70">
        <f t="array" aca="1" ref="L183" ca="1">IF(N183=1,INDEX('Batasan Honor'!$B$2:$B993,MATCH(CONCATENATE($F183,"-",$G183),'Batasan Honor'!$G$2:$G993,0)),"")</f>
        <v>5400000</v>
      </c>
      <c r="M183" s="10">
        <f t="shared" ca="1" si="2"/>
        <v>1</v>
      </c>
      <c r="N183" s="10">
        <f t="shared" ca="1" si="3"/>
        <v>1</v>
      </c>
    </row>
    <row r="184" spans="1:14" ht="12.5">
      <c r="A184" s="10" t="str">
        <f ca="1">IFERROR(__xludf.DUMMYFUNCTION("""COMPUTED_VALUE"""),"610422100124-2024-4-SURVEI-PPL")</f>
        <v>610422100124-2024-4-SURVEI-PPL</v>
      </c>
      <c r="B184" s="5" t="str">
        <f t="shared" ca="1" si="0"/>
        <v>610422100124-2024-4</v>
      </c>
      <c r="C184" s="5">
        <f ca="1">IFERROR(__xludf.DUMMYFUNCTION("IF(N184=1,SPLIT(A184,""-""),"""")"),610422100124)</f>
        <v>610422100124</v>
      </c>
      <c r="D184" s="10">
        <f ca="1">IFERROR(__xludf.DUMMYFUNCTION("""COMPUTED_VALUE"""),2024)</f>
        <v>2024</v>
      </c>
      <c r="E184" s="10">
        <f ca="1">IFERROR(__xludf.DUMMYFUNCTION("""COMPUTED_VALUE"""),4)</f>
        <v>4</v>
      </c>
      <c r="F184" s="5" t="str">
        <f ca="1">IFERROR(__xludf.DUMMYFUNCTION("""COMPUTED_VALUE"""),"SURVEI")</f>
        <v>SURVEI</v>
      </c>
      <c r="G184" s="5" t="str">
        <f ca="1">IFERROR(__xludf.DUMMYFUNCTION("""COMPUTED_VALUE"""),"PPL")</f>
        <v>PPL</v>
      </c>
      <c r="H184" s="5" t="str">
        <f t="array" aca="1" ref="H184" ca="1">IF(N184=1, INDEX('Database Mitra'!$C$2:$C993,MATCH($C184,'Database Mitra'!$AK$2:$AK993,0)),"")</f>
        <v>Prabowo</v>
      </c>
      <c r="I184" s="71">
        <f ca="1">IF(N184=1,SUMIFS('Alokasi Honor'!$M$2:$M993,'Alokasi Honor'!$T$2:$T993,A184),"")</f>
        <v>325000</v>
      </c>
      <c r="J184" s="10">
        <f ca="1">IFERROR(__xludf.DUMMYFUNCTION("COUNTIF(FILTER('Alokasi Honor'!$H$2:$H993,'Alokasi Honor'!$H$2:$H993=""OB"",'Alokasi Honor'!$T$2:$T993=A184),""OB"")"),0)</f>
        <v>0</v>
      </c>
      <c r="K184" s="10">
        <f t="shared" ca="1" si="1"/>
        <v>1</v>
      </c>
      <c r="L184" s="70">
        <f t="array" aca="1" ref="L184" ca="1">IF(N184=1,INDEX('Batasan Honor'!$B$2:$B993,MATCH(CONCATENATE($F184,"-",$G184),'Batasan Honor'!$G$2:$G993,0)),"")</f>
        <v>5400000</v>
      </c>
      <c r="M184" s="10">
        <f t="shared" ca="1" si="2"/>
        <v>1</v>
      </c>
      <c r="N184" s="10">
        <f t="shared" ca="1" si="3"/>
        <v>1</v>
      </c>
    </row>
    <row r="185" spans="1:14" ht="12.5">
      <c r="A185" s="10" t="str">
        <f ca="1">IFERROR(__xludf.DUMMYFUNCTION("""COMPUTED_VALUE"""),"610422040029-2024-4-SURVEI-PPL")</f>
        <v>610422040029-2024-4-SURVEI-PPL</v>
      </c>
      <c r="B185" s="5" t="str">
        <f t="shared" ca="1" si="0"/>
        <v>610422040029-2024-4</v>
      </c>
      <c r="C185" s="5">
        <f ca="1">IFERROR(__xludf.DUMMYFUNCTION("IF(N185=1,SPLIT(A185,""-""),"""")"),610422040029)</f>
        <v>610422040029</v>
      </c>
      <c r="D185" s="10">
        <f ca="1">IFERROR(__xludf.DUMMYFUNCTION("""COMPUTED_VALUE"""),2024)</f>
        <v>2024</v>
      </c>
      <c r="E185" s="10">
        <f ca="1">IFERROR(__xludf.DUMMYFUNCTION("""COMPUTED_VALUE"""),4)</f>
        <v>4</v>
      </c>
      <c r="F185" s="5" t="str">
        <f ca="1">IFERROR(__xludf.DUMMYFUNCTION("""COMPUTED_VALUE"""),"SURVEI")</f>
        <v>SURVEI</v>
      </c>
      <c r="G185" s="5" t="str">
        <f ca="1">IFERROR(__xludf.DUMMYFUNCTION("""COMPUTED_VALUE"""),"PPL")</f>
        <v>PPL</v>
      </c>
      <c r="H185" s="5" t="str">
        <f t="array" aca="1" ref="H185" ca="1">IF(N185=1, INDEX('Database Mitra'!$C$2:$C993,MATCH($C185,'Database Mitra'!$AK$2:$AK993,0)),"")</f>
        <v>Zaini</v>
      </c>
      <c r="I185" s="71">
        <f ca="1">IF(N185=1,SUMIFS('Alokasi Honor'!$M$2:$M993,'Alokasi Honor'!$T$2:$T993,A185),"")</f>
        <v>2610000</v>
      </c>
      <c r="J185" s="10">
        <f ca="1">IFERROR(__xludf.DUMMYFUNCTION("COUNTIF(FILTER('Alokasi Honor'!$H$2:$H993,'Alokasi Honor'!$H$2:$H993=""OB"",'Alokasi Honor'!$T$2:$T993=A185),""OB"")"),0)</f>
        <v>0</v>
      </c>
      <c r="K185" s="10">
        <f t="shared" ca="1" si="1"/>
        <v>1</v>
      </c>
      <c r="L185" s="70">
        <f t="array" aca="1" ref="L185" ca="1">IF(N185=1,INDEX('Batasan Honor'!$B$2:$B993,MATCH(CONCATENATE($F185,"-",$G185),'Batasan Honor'!$G$2:$G993,0)),"")</f>
        <v>5400000</v>
      </c>
      <c r="M185" s="10">
        <f t="shared" ca="1" si="2"/>
        <v>1</v>
      </c>
      <c r="N185" s="10">
        <f t="shared" ca="1" si="3"/>
        <v>1</v>
      </c>
    </row>
    <row r="186" spans="1:14" ht="12.5">
      <c r="A186" s="10" t="str">
        <f ca="1">IFERROR(__xludf.DUMMYFUNCTION("""COMPUTED_VALUE"""),"610422020048-2024-4-SURVEI-PPL")</f>
        <v>610422020048-2024-4-SURVEI-PPL</v>
      </c>
      <c r="B186" s="5" t="str">
        <f t="shared" ca="1" si="0"/>
        <v>610422020048-2024-4</v>
      </c>
      <c r="C186" s="5">
        <f ca="1">IFERROR(__xludf.DUMMYFUNCTION("IF(N186=1,SPLIT(A186,""-""),"""")"),610422020048)</f>
        <v>610422020048</v>
      </c>
      <c r="D186" s="10">
        <f ca="1">IFERROR(__xludf.DUMMYFUNCTION("""COMPUTED_VALUE"""),2024)</f>
        <v>2024</v>
      </c>
      <c r="E186" s="10">
        <f ca="1">IFERROR(__xludf.DUMMYFUNCTION("""COMPUTED_VALUE"""),4)</f>
        <v>4</v>
      </c>
      <c r="F186" s="5" t="str">
        <f ca="1">IFERROR(__xludf.DUMMYFUNCTION("""COMPUTED_VALUE"""),"SURVEI")</f>
        <v>SURVEI</v>
      </c>
      <c r="G186" s="5" t="str">
        <f ca="1">IFERROR(__xludf.DUMMYFUNCTION("""COMPUTED_VALUE"""),"PPL")</f>
        <v>PPL</v>
      </c>
      <c r="H186" s="5" t="str">
        <f t="array" aca="1" ref="H186" ca="1">IF(N186=1, INDEX('Database Mitra'!$C$2:$C993,MATCH($C186,'Database Mitra'!$AK$2:$AK993,0)),"")</f>
        <v>Herri Gustaman</v>
      </c>
      <c r="I186" s="71">
        <f ca="1">IF(N186=1,SUMIFS('Alokasi Honor'!$M$2:$M993,'Alokasi Honor'!$T$2:$T993,A186),"")</f>
        <v>1119000</v>
      </c>
      <c r="J186" s="10">
        <f ca="1">IFERROR(__xludf.DUMMYFUNCTION("COUNTIF(FILTER('Alokasi Honor'!$H$2:$H993,'Alokasi Honor'!$H$2:$H993=""OB"",'Alokasi Honor'!$T$2:$T993=A186),""OB"")"),0)</f>
        <v>0</v>
      </c>
      <c r="K186" s="10">
        <f t="shared" ca="1" si="1"/>
        <v>1</v>
      </c>
      <c r="L186" s="70">
        <f t="array" aca="1" ref="L186" ca="1">IF(N186=1,INDEX('Batasan Honor'!$B$2:$B993,MATCH(CONCATENATE($F186,"-",$G186),'Batasan Honor'!$G$2:$G993,0)),"")</f>
        <v>5400000</v>
      </c>
      <c r="M186" s="10">
        <f t="shared" ca="1" si="2"/>
        <v>1</v>
      </c>
      <c r="N186" s="10">
        <f t="shared" ca="1" si="3"/>
        <v>1</v>
      </c>
    </row>
    <row r="187" spans="1:14" ht="12.5">
      <c r="A187" s="10" t="str">
        <f ca="1">IFERROR(__xludf.DUMMYFUNCTION("""COMPUTED_VALUE"""),"610422100165-2024-4-SURVEI-PPL")</f>
        <v>610422100165-2024-4-SURVEI-PPL</v>
      </c>
      <c r="B187" s="5" t="str">
        <f t="shared" ca="1" si="0"/>
        <v>610422100165-2024-4</v>
      </c>
      <c r="C187" s="5">
        <f ca="1">IFERROR(__xludf.DUMMYFUNCTION("IF(N187=1,SPLIT(A187,""-""),"""")"),610422100165)</f>
        <v>610422100165</v>
      </c>
      <c r="D187" s="10">
        <f ca="1">IFERROR(__xludf.DUMMYFUNCTION("""COMPUTED_VALUE"""),2024)</f>
        <v>2024</v>
      </c>
      <c r="E187" s="10">
        <f ca="1">IFERROR(__xludf.DUMMYFUNCTION("""COMPUTED_VALUE"""),4)</f>
        <v>4</v>
      </c>
      <c r="F187" s="5" t="str">
        <f ca="1">IFERROR(__xludf.DUMMYFUNCTION("""COMPUTED_VALUE"""),"SURVEI")</f>
        <v>SURVEI</v>
      </c>
      <c r="G187" s="5" t="str">
        <f ca="1">IFERROR(__xludf.DUMMYFUNCTION("""COMPUTED_VALUE"""),"PPL")</f>
        <v>PPL</v>
      </c>
      <c r="H187" s="5" t="str">
        <f t="array" aca="1" ref="H187" ca="1">IF(N187=1, INDEX('Database Mitra'!$C$2:$C993,MATCH($C187,'Database Mitra'!$AK$2:$AK993,0)),"")</f>
        <v>Yanti</v>
      </c>
      <c r="I187" s="71">
        <f ca="1">IF(N187=1,SUMIFS('Alokasi Honor'!$M$2:$M993,'Alokasi Honor'!$T$2:$T993,A187),"")</f>
        <v>685000</v>
      </c>
      <c r="J187" s="10">
        <f ca="1">IFERROR(__xludf.DUMMYFUNCTION("COUNTIF(FILTER('Alokasi Honor'!$H$2:$H993,'Alokasi Honor'!$H$2:$H993=""OB"",'Alokasi Honor'!$T$2:$T993=A187),""OB"")"),0)</f>
        <v>0</v>
      </c>
      <c r="K187" s="10">
        <f t="shared" ca="1" si="1"/>
        <v>1</v>
      </c>
      <c r="L187" s="70">
        <f t="array" aca="1" ref="L187" ca="1">IF(N187=1,INDEX('Batasan Honor'!$B$2:$B993,MATCH(CONCATENATE($F187,"-",$G187),'Batasan Honor'!$G$2:$G993,0)),"")</f>
        <v>5400000</v>
      </c>
      <c r="M187" s="10">
        <f t="shared" ca="1" si="2"/>
        <v>1</v>
      </c>
      <c r="N187" s="10">
        <f t="shared" ca="1" si="3"/>
        <v>1</v>
      </c>
    </row>
    <row r="188" spans="1:14" ht="12.5">
      <c r="A188" s="10" t="str">
        <f ca="1">IFERROR(__xludf.DUMMYFUNCTION("""COMPUTED_VALUE"""),"610422020052-2024-4-SURVEI-PPL")</f>
        <v>610422020052-2024-4-SURVEI-PPL</v>
      </c>
      <c r="B188" s="5" t="str">
        <f t="shared" ca="1" si="0"/>
        <v>610422020052-2024-4</v>
      </c>
      <c r="C188" s="5">
        <f ca="1">IFERROR(__xludf.DUMMYFUNCTION("IF(N188=1,SPLIT(A188,""-""),"""")"),610422020052)</f>
        <v>610422020052</v>
      </c>
      <c r="D188" s="10">
        <f ca="1">IFERROR(__xludf.DUMMYFUNCTION("""COMPUTED_VALUE"""),2024)</f>
        <v>2024</v>
      </c>
      <c r="E188" s="10">
        <f ca="1">IFERROR(__xludf.DUMMYFUNCTION("""COMPUTED_VALUE"""),4)</f>
        <v>4</v>
      </c>
      <c r="F188" s="5" t="str">
        <f ca="1">IFERROR(__xludf.DUMMYFUNCTION("""COMPUTED_VALUE"""),"SURVEI")</f>
        <v>SURVEI</v>
      </c>
      <c r="G188" s="5" t="str">
        <f ca="1">IFERROR(__xludf.DUMMYFUNCTION("""COMPUTED_VALUE"""),"PPL")</f>
        <v>PPL</v>
      </c>
      <c r="H188" s="5" t="str">
        <f t="array" aca="1" ref="H188" ca="1">IF(N188=1, INDEX('Database Mitra'!$C$2:$C993,MATCH($C188,'Database Mitra'!$AK$2:$AK993,0)),"")</f>
        <v>Agus Supriyanto</v>
      </c>
      <c r="I188" s="71">
        <f ca="1">IF(N188=1,SUMIFS('Alokasi Honor'!$M$2:$M993,'Alokasi Honor'!$T$2:$T993,A188),"")</f>
        <v>420000</v>
      </c>
      <c r="J188" s="10">
        <f ca="1">IFERROR(__xludf.DUMMYFUNCTION("COUNTIF(FILTER('Alokasi Honor'!$H$2:$H993,'Alokasi Honor'!$H$2:$H993=""OB"",'Alokasi Honor'!$T$2:$T993=A188),""OB"")"),0)</f>
        <v>0</v>
      </c>
      <c r="K188" s="10">
        <f t="shared" ca="1" si="1"/>
        <v>1</v>
      </c>
      <c r="L188" s="70">
        <f t="array" aca="1" ref="L188" ca="1">IF(N188=1,INDEX('Batasan Honor'!$B$2:$B993,MATCH(CONCATENATE($F188,"-",$G188),'Batasan Honor'!$G$2:$G993,0)),"")</f>
        <v>5400000</v>
      </c>
      <c r="M188" s="10">
        <f t="shared" ca="1" si="2"/>
        <v>1</v>
      </c>
      <c r="N188" s="10">
        <f t="shared" ca="1" si="3"/>
        <v>1</v>
      </c>
    </row>
    <row r="189" spans="1:14" ht="12.5">
      <c r="A189" s="10" t="str">
        <f ca="1">IFERROR(__xludf.DUMMYFUNCTION("""COMPUTED_VALUE"""),"610422100016-2024-4-SURVEI-PPL")</f>
        <v>610422100016-2024-4-SURVEI-PPL</v>
      </c>
      <c r="B189" s="5" t="str">
        <f t="shared" ca="1" si="0"/>
        <v>610422100016-2024-4</v>
      </c>
      <c r="C189" s="5">
        <f ca="1">IFERROR(__xludf.DUMMYFUNCTION("IF(N189=1,SPLIT(A189,""-""),"""")"),610422100016)</f>
        <v>610422100016</v>
      </c>
      <c r="D189" s="10">
        <f ca="1">IFERROR(__xludf.DUMMYFUNCTION("""COMPUTED_VALUE"""),2024)</f>
        <v>2024</v>
      </c>
      <c r="E189" s="10">
        <f ca="1">IFERROR(__xludf.DUMMYFUNCTION("""COMPUTED_VALUE"""),4)</f>
        <v>4</v>
      </c>
      <c r="F189" s="5" t="str">
        <f ca="1">IFERROR(__xludf.DUMMYFUNCTION("""COMPUTED_VALUE"""),"SURVEI")</f>
        <v>SURVEI</v>
      </c>
      <c r="G189" s="5" t="str">
        <f ca="1">IFERROR(__xludf.DUMMYFUNCTION("""COMPUTED_VALUE"""),"PPL")</f>
        <v>PPL</v>
      </c>
      <c r="H189" s="5" t="str">
        <f t="array" aca="1" ref="H189" ca="1">IF(N189=1, INDEX('Database Mitra'!$C$2:$C993,MATCH($C189,'Database Mitra'!$AK$2:$AK993,0)),"")</f>
        <v>Amalia Faisya</v>
      </c>
      <c r="I189" s="71">
        <f ca="1">IF(N189=1,SUMIFS('Alokasi Honor'!$M$2:$M993,'Alokasi Honor'!$T$2:$T993,A189),"")</f>
        <v>250000</v>
      </c>
      <c r="J189" s="10">
        <f ca="1">IFERROR(__xludf.DUMMYFUNCTION("COUNTIF(FILTER('Alokasi Honor'!$H$2:$H993,'Alokasi Honor'!$H$2:$H993=""OB"",'Alokasi Honor'!$T$2:$T993=A189),""OB"")"),0)</f>
        <v>0</v>
      </c>
      <c r="K189" s="10">
        <f t="shared" ca="1" si="1"/>
        <v>1</v>
      </c>
      <c r="L189" s="70">
        <f t="array" aca="1" ref="L189" ca="1">IF(N189=1,INDEX('Batasan Honor'!$B$2:$B993,MATCH(CONCATENATE($F189,"-",$G189),'Batasan Honor'!$G$2:$G993,0)),"")</f>
        <v>5400000</v>
      </c>
      <c r="M189" s="10">
        <f t="shared" ca="1" si="2"/>
        <v>1</v>
      </c>
      <c r="N189" s="10">
        <f t="shared" ca="1" si="3"/>
        <v>1</v>
      </c>
    </row>
    <row r="190" spans="1:14" ht="12.5">
      <c r="A190" s="10" t="str">
        <f ca="1">IFERROR(__xludf.DUMMYFUNCTION("""COMPUTED_VALUE"""),"610422050001-2024-4-SURVEI-PPL")</f>
        <v>610422050001-2024-4-SURVEI-PPL</v>
      </c>
      <c r="B190" s="5" t="str">
        <f t="shared" ca="1" si="0"/>
        <v>610422050001-2024-4</v>
      </c>
      <c r="C190" s="5">
        <f ca="1">IFERROR(__xludf.DUMMYFUNCTION("IF(N190=1,SPLIT(A190,""-""),"""")"),610422050001)</f>
        <v>610422050001</v>
      </c>
      <c r="D190" s="10">
        <f ca="1">IFERROR(__xludf.DUMMYFUNCTION("""COMPUTED_VALUE"""),2024)</f>
        <v>2024</v>
      </c>
      <c r="E190" s="10">
        <f ca="1">IFERROR(__xludf.DUMMYFUNCTION("""COMPUTED_VALUE"""),4)</f>
        <v>4</v>
      </c>
      <c r="F190" s="5" t="str">
        <f ca="1">IFERROR(__xludf.DUMMYFUNCTION("""COMPUTED_VALUE"""),"SURVEI")</f>
        <v>SURVEI</v>
      </c>
      <c r="G190" s="5" t="str">
        <f ca="1">IFERROR(__xludf.DUMMYFUNCTION("""COMPUTED_VALUE"""),"PPL")</f>
        <v>PPL</v>
      </c>
      <c r="H190" s="5" t="str">
        <f t="array" aca="1" ref="H190" ca="1">IF(N190=1, INDEX('Database Mitra'!$C$2:$C993,MATCH($C190,'Database Mitra'!$AK$2:$AK993,0)),"")</f>
        <v>EVI JUNIARTY</v>
      </c>
      <c r="I190" s="71">
        <f ca="1">IF(N190=1,SUMIFS('Alokasi Honor'!$M$2:$M993,'Alokasi Honor'!$T$2:$T993,A190),"")</f>
        <v>415000</v>
      </c>
      <c r="J190" s="10">
        <f ca="1">IFERROR(__xludf.DUMMYFUNCTION("COUNTIF(FILTER('Alokasi Honor'!$H$2:$H993,'Alokasi Honor'!$H$2:$H993=""OB"",'Alokasi Honor'!$T$2:$T993=A190),""OB"")"),0)</f>
        <v>0</v>
      </c>
      <c r="K190" s="10">
        <f t="shared" ca="1" si="1"/>
        <v>1</v>
      </c>
      <c r="L190" s="70">
        <f t="array" aca="1" ref="L190" ca="1">IF(N190=1,INDEX('Batasan Honor'!$B$2:$B993,MATCH(CONCATENATE($F190,"-",$G190),'Batasan Honor'!$G$2:$G993,0)),"")</f>
        <v>5400000</v>
      </c>
      <c r="M190" s="10">
        <f t="shared" ca="1" si="2"/>
        <v>1</v>
      </c>
      <c r="N190" s="10">
        <f t="shared" ca="1" si="3"/>
        <v>1</v>
      </c>
    </row>
    <row r="191" spans="1:14" ht="12.5">
      <c r="A191" s="10" t="str">
        <f ca="1">IFERROR(__xludf.DUMMYFUNCTION("""COMPUTED_VALUE"""),"610422040030-2024-4-SURVEI-PPL")</f>
        <v>610422040030-2024-4-SURVEI-PPL</v>
      </c>
      <c r="B191" s="5" t="str">
        <f t="shared" ca="1" si="0"/>
        <v>610422040030-2024-4</v>
      </c>
      <c r="C191" s="5">
        <f ca="1">IFERROR(__xludf.DUMMYFUNCTION("IF(N191=1,SPLIT(A191,""-""),"""")"),610422040030)</f>
        <v>610422040030</v>
      </c>
      <c r="D191" s="10">
        <f ca="1">IFERROR(__xludf.DUMMYFUNCTION("""COMPUTED_VALUE"""),2024)</f>
        <v>2024</v>
      </c>
      <c r="E191" s="10">
        <f ca="1">IFERROR(__xludf.DUMMYFUNCTION("""COMPUTED_VALUE"""),4)</f>
        <v>4</v>
      </c>
      <c r="F191" s="5" t="str">
        <f ca="1">IFERROR(__xludf.DUMMYFUNCTION("""COMPUTED_VALUE"""),"SURVEI")</f>
        <v>SURVEI</v>
      </c>
      <c r="G191" s="5" t="str">
        <f ca="1">IFERROR(__xludf.DUMMYFUNCTION("""COMPUTED_VALUE"""),"PPL")</f>
        <v>PPL</v>
      </c>
      <c r="H191" s="5" t="str">
        <f t="array" aca="1" ref="H191" ca="1">IF(N191=1, INDEX('Database Mitra'!$C$2:$C993,MATCH($C191,'Database Mitra'!$AK$2:$AK993,0)),"")</f>
        <v>Syarifah Desti Pratiwi</v>
      </c>
      <c r="I191" s="71">
        <f ca="1">IF(N191=1,SUMIFS('Alokasi Honor'!$M$2:$M993,'Alokasi Honor'!$T$2:$T993,A191),"")</f>
        <v>55000</v>
      </c>
      <c r="J191" s="10">
        <f ca="1">IFERROR(__xludf.DUMMYFUNCTION("COUNTIF(FILTER('Alokasi Honor'!$H$2:$H993,'Alokasi Honor'!$H$2:$H993=""OB"",'Alokasi Honor'!$T$2:$T993=A191),""OB"")"),0)</f>
        <v>0</v>
      </c>
      <c r="K191" s="10">
        <f t="shared" ca="1" si="1"/>
        <v>1</v>
      </c>
      <c r="L191" s="70">
        <f t="array" aca="1" ref="L191" ca="1">IF(N191=1,INDEX('Batasan Honor'!$B$2:$B993,MATCH(CONCATENATE($F191,"-",$G191),'Batasan Honor'!$G$2:$G993,0)),"")</f>
        <v>5400000</v>
      </c>
      <c r="M191" s="10">
        <f t="shared" ca="1" si="2"/>
        <v>1</v>
      </c>
      <c r="N191" s="10">
        <f t="shared" ca="1" si="3"/>
        <v>1</v>
      </c>
    </row>
    <row r="192" spans="1:14" ht="12.5">
      <c r="A192" s="10" t="str">
        <f ca="1">IFERROR(__xludf.DUMMYFUNCTION("""COMPUTED_VALUE"""),"610422020016-2024-4-SURVEI-PPL")</f>
        <v>610422020016-2024-4-SURVEI-PPL</v>
      </c>
      <c r="B192" s="5" t="str">
        <f t="shared" ca="1" si="0"/>
        <v>610422020016-2024-4</v>
      </c>
      <c r="C192" s="5">
        <f ca="1">IFERROR(__xludf.DUMMYFUNCTION("IF(N192=1,SPLIT(A192,""-""),"""")"),610422020016)</f>
        <v>610422020016</v>
      </c>
      <c r="D192" s="10">
        <f ca="1">IFERROR(__xludf.DUMMYFUNCTION("""COMPUTED_VALUE"""),2024)</f>
        <v>2024</v>
      </c>
      <c r="E192" s="10">
        <f ca="1">IFERROR(__xludf.DUMMYFUNCTION("""COMPUTED_VALUE"""),4)</f>
        <v>4</v>
      </c>
      <c r="F192" s="5" t="str">
        <f ca="1">IFERROR(__xludf.DUMMYFUNCTION("""COMPUTED_VALUE"""),"SURVEI")</f>
        <v>SURVEI</v>
      </c>
      <c r="G192" s="5" t="str">
        <f ca="1">IFERROR(__xludf.DUMMYFUNCTION("""COMPUTED_VALUE"""),"PPL")</f>
        <v>PPL</v>
      </c>
      <c r="H192" s="5" t="str">
        <f t="array" aca="1" ref="H192" ca="1">IF(N192=1, INDEX('Database Mitra'!$C$2:$C993,MATCH($C192,'Database Mitra'!$AK$2:$AK993,0)),"")</f>
        <v>Abdul Aziz</v>
      </c>
      <c r="I192" s="71">
        <f ca="1">IF(N192=1,SUMIFS('Alokasi Honor'!$M$2:$M993,'Alokasi Honor'!$T$2:$T993,A192),"")</f>
        <v>513000</v>
      </c>
      <c r="J192" s="10">
        <f ca="1">IFERROR(__xludf.DUMMYFUNCTION("COUNTIF(FILTER('Alokasi Honor'!$H$2:$H993,'Alokasi Honor'!$H$2:$H993=""OB"",'Alokasi Honor'!$T$2:$T993=A192),""OB"")"),0)</f>
        <v>0</v>
      </c>
      <c r="K192" s="10">
        <f t="shared" ca="1" si="1"/>
        <v>1</v>
      </c>
      <c r="L192" s="70">
        <f t="array" aca="1" ref="L192" ca="1">IF(N192=1,INDEX('Batasan Honor'!$B$2:$B993,MATCH(CONCATENATE($F192,"-",$G192),'Batasan Honor'!$G$2:$G993,0)),"")</f>
        <v>5400000</v>
      </c>
      <c r="M192" s="10">
        <f t="shared" ca="1" si="2"/>
        <v>1</v>
      </c>
      <c r="N192" s="10">
        <f t="shared" ca="1" si="3"/>
        <v>1</v>
      </c>
    </row>
    <row r="193" spans="1:14" ht="12.5">
      <c r="A193" s="10" t="str">
        <f ca="1">IFERROR(__xludf.DUMMYFUNCTION("""COMPUTED_VALUE"""),"610422040056-2024-4-SURVEI-PPL")</f>
        <v>610422040056-2024-4-SURVEI-PPL</v>
      </c>
      <c r="B193" s="5" t="str">
        <f t="shared" ca="1" si="0"/>
        <v>610422040056-2024-4</v>
      </c>
      <c r="C193" s="5">
        <f ca="1">IFERROR(__xludf.DUMMYFUNCTION("IF(N193=1,SPLIT(A193,""-""),"""")"),610422040056)</f>
        <v>610422040056</v>
      </c>
      <c r="D193" s="10">
        <f ca="1">IFERROR(__xludf.DUMMYFUNCTION("""COMPUTED_VALUE"""),2024)</f>
        <v>2024</v>
      </c>
      <c r="E193" s="10">
        <f ca="1">IFERROR(__xludf.DUMMYFUNCTION("""COMPUTED_VALUE"""),4)</f>
        <v>4</v>
      </c>
      <c r="F193" s="5" t="str">
        <f ca="1">IFERROR(__xludf.DUMMYFUNCTION("""COMPUTED_VALUE"""),"SURVEI")</f>
        <v>SURVEI</v>
      </c>
      <c r="G193" s="5" t="str">
        <f ca="1">IFERROR(__xludf.DUMMYFUNCTION("""COMPUTED_VALUE"""),"PPL")</f>
        <v>PPL</v>
      </c>
      <c r="H193" s="5" t="str">
        <f t="array" aca="1" ref="H193" ca="1">IF(N193=1, INDEX('Database Mitra'!$C$2:$C993,MATCH($C193,'Database Mitra'!$AK$2:$AK993,0)),"")</f>
        <v>Wandi Syafari</v>
      </c>
      <c r="I193" s="71">
        <f ca="1">IF(N193=1,SUMIFS('Alokasi Honor'!$M$2:$M993,'Alokasi Honor'!$T$2:$T993,A193),"")</f>
        <v>760000</v>
      </c>
      <c r="J193" s="10">
        <f ca="1">IFERROR(__xludf.DUMMYFUNCTION("COUNTIF(FILTER('Alokasi Honor'!$H$2:$H993,'Alokasi Honor'!$H$2:$H993=""OB"",'Alokasi Honor'!$T$2:$T993=A193),""OB"")"),0)</f>
        <v>0</v>
      </c>
      <c r="K193" s="10">
        <f t="shared" ca="1" si="1"/>
        <v>1</v>
      </c>
      <c r="L193" s="70">
        <f t="array" aca="1" ref="L193" ca="1">IF(N193=1,INDEX('Batasan Honor'!$B$2:$B993,MATCH(CONCATENATE($F193,"-",$G193),'Batasan Honor'!$G$2:$G993,0)),"")</f>
        <v>5400000</v>
      </c>
      <c r="M193" s="10">
        <f t="shared" ca="1" si="2"/>
        <v>1</v>
      </c>
      <c r="N193" s="10">
        <f t="shared" ca="1" si="3"/>
        <v>1</v>
      </c>
    </row>
    <row r="194" spans="1:14" ht="12.5">
      <c r="A194" s="10" t="str">
        <f ca="1">IFERROR(__xludf.DUMMYFUNCTION("""COMPUTED_VALUE"""),"610422040012-2024-4-SURVEI-PPL")</f>
        <v>610422040012-2024-4-SURVEI-PPL</v>
      </c>
      <c r="B194" s="5" t="str">
        <f t="shared" ca="1" si="0"/>
        <v>610422040012-2024-4</v>
      </c>
      <c r="C194" s="5">
        <f ca="1">IFERROR(__xludf.DUMMYFUNCTION("IF(N194=1,SPLIT(A194,""-""),"""")"),610422040012)</f>
        <v>610422040012</v>
      </c>
      <c r="D194" s="10">
        <f ca="1">IFERROR(__xludf.DUMMYFUNCTION("""COMPUTED_VALUE"""),2024)</f>
        <v>2024</v>
      </c>
      <c r="E194" s="10">
        <f ca="1">IFERROR(__xludf.DUMMYFUNCTION("""COMPUTED_VALUE"""),4)</f>
        <v>4</v>
      </c>
      <c r="F194" s="5" t="str">
        <f ca="1">IFERROR(__xludf.DUMMYFUNCTION("""COMPUTED_VALUE"""),"SURVEI")</f>
        <v>SURVEI</v>
      </c>
      <c r="G194" s="5" t="str">
        <f ca="1">IFERROR(__xludf.DUMMYFUNCTION("""COMPUTED_VALUE"""),"PPL")</f>
        <v>PPL</v>
      </c>
      <c r="H194" s="5" t="str">
        <f t="array" aca="1" ref="H194" ca="1">IF(N194=1, INDEX('Database Mitra'!$C$2:$C993,MATCH($C194,'Database Mitra'!$AK$2:$AK993,0)),"")</f>
        <v>Misdi</v>
      </c>
      <c r="I194" s="71">
        <f ca="1">IF(N194=1,SUMIFS('Alokasi Honor'!$M$2:$M993,'Alokasi Honor'!$T$2:$T993,A194),"")</f>
        <v>348000</v>
      </c>
      <c r="J194" s="10">
        <f ca="1">IFERROR(__xludf.DUMMYFUNCTION("COUNTIF(FILTER('Alokasi Honor'!$H$2:$H993,'Alokasi Honor'!$H$2:$H993=""OB"",'Alokasi Honor'!$T$2:$T993=A194),""OB"")"),0)</f>
        <v>0</v>
      </c>
      <c r="K194" s="10">
        <f t="shared" ca="1" si="1"/>
        <v>1</v>
      </c>
      <c r="L194" s="70">
        <f t="array" aca="1" ref="L194" ca="1">IF(N194=1,INDEX('Batasan Honor'!$B$2:$B993,MATCH(CONCATENATE($F194,"-",$G194),'Batasan Honor'!$G$2:$G993,0)),"")</f>
        <v>5400000</v>
      </c>
      <c r="M194" s="10">
        <f t="shared" ca="1" si="2"/>
        <v>1</v>
      </c>
      <c r="N194" s="10">
        <f t="shared" ca="1" si="3"/>
        <v>1</v>
      </c>
    </row>
    <row r="195" spans="1:14" ht="12.5">
      <c r="A195" s="10" t="str">
        <f ca="1">IFERROR(__xludf.DUMMYFUNCTION("""COMPUTED_VALUE"""),"610422040059-2024-4-SURVEI-PPL")</f>
        <v>610422040059-2024-4-SURVEI-PPL</v>
      </c>
      <c r="B195" s="5" t="str">
        <f t="shared" ca="1" si="0"/>
        <v>610422040059-2024-4</v>
      </c>
      <c r="C195" s="5">
        <f ca="1">IFERROR(__xludf.DUMMYFUNCTION("IF(N195=1,SPLIT(A195,""-""),"""")"),610422040059)</f>
        <v>610422040059</v>
      </c>
      <c r="D195" s="10">
        <f ca="1">IFERROR(__xludf.DUMMYFUNCTION("""COMPUTED_VALUE"""),2024)</f>
        <v>2024</v>
      </c>
      <c r="E195" s="10">
        <f ca="1">IFERROR(__xludf.DUMMYFUNCTION("""COMPUTED_VALUE"""),4)</f>
        <v>4</v>
      </c>
      <c r="F195" s="5" t="str">
        <f ca="1">IFERROR(__xludf.DUMMYFUNCTION("""COMPUTED_VALUE"""),"SURVEI")</f>
        <v>SURVEI</v>
      </c>
      <c r="G195" s="5" t="str">
        <f ca="1">IFERROR(__xludf.DUMMYFUNCTION("""COMPUTED_VALUE"""),"PPL")</f>
        <v>PPL</v>
      </c>
      <c r="H195" s="5" t="str">
        <f t="array" aca="1" ref="H195" ca="1">IF(N195=1, INDEX('Database Mitra'!$C$2:$C993,MATCH($C195,'Database Mitra'!$AK$2:$AK993,0)),"")</f>
        <v>Abang Handri</v>
      </c>
      <c r="I195" s="71">
        <f ca="1">IF(N195=1,SUMIFS('Alokasi Honor'!$M$2:$M993,'Alokasi Honor'!$T$2:$T993,A195),"")</f>
        <v>818000</v>
      </c>
      <c r="J195" s="10">
        <f ca="1">IFERROR(__xludf.DUMMYFUNCTION("COUNTIF(FILTER('Alokasi Honor'!$H$2:$H993,'Alokasi Honor'!$H$2:$H993=""OB"",'Alokasi Honor'!$T$2:$T993=A195),""OB"")"),0)</f>
        <v>0</v>
      </c>
      <c r="K195" s="10">
        <f t="shared" ca="1" si="1"/>
        <v>1</v>
      </c>
      <c r="L195" s="70">
        <f t="array" aca="1" ref="L195" ca="1">IF(N195=1,INDEX('Batasan Honor'!$B$2:$B993,MATCH(CONCATENATE($F195,"-",$G195),'Batasan Honor'!$G$2:$G993,0)),"")</f>
        <v>5400000</v>
      </c>
      <c r="M195" s="10">
        <f t="shared" ca="1" si="2"/>
        <v>1</v>
      </c>
      <c r="N195" s="10">
        <f t="shared" ca="1" si="3"/>
        <v>1</v>
      </c>
    </row>
    <row r="196" spans="1:14" ht="12.5">
      <c r="A196" s="10" t="str">
        <f ca="1">IFERROR(__xludf.DUMMYFUNCTION("""COMPUTED_VALUE"""),"610422040061-2024-4-SURVEI-PPL")</f>
        <v>610422040061-2024-4-SURVEI-PPL</v>
      </c>
      <c r="B196" s="5" t="str">
        <f t="shared" ca="1" si="0"/>
        <v>610422040061-2024-4</v>
      </c>
      <c r="C196" s="5">
        <f ca="1">IFERROR(__xludf.DUMMYFUNCTION("IF(N196=1,SPLIT(A196,""-""),"""")"),610422040061)</f>
        <v>610422040061</v>
      </c>
      <c r="D196" s="10">
        <f ca="1">IFERROR(__xludf.DUMMYFUNCTION("""COMPUTED_VALUE"""),2024)</f>
        <v>2024</v>
      </c>
      <c r="E196" s="10">
        <f ca="1">IFERROR(__xludf.DUMMYFUNCTION("""COMPUTED_VALUE"""),4)</f>
        <v>4</v>
      </c>
      <c r="F196" s="5" t="str">
        <f ca="1">IFERROR(__xludf.DUMMYFUNCTION("""COMPUTED_VALUE"""),"SURVEI")</f>
        <v>SURVEI</v>
      </c>
      <c r="G196" s="5" t="str">
        <f ca="1">IFERROR(__xludf.DUMMYFUNCTION("""COMPUTED_VALUE"""),"PPL")</f>
        <v>PPL</v>
      </c>
      <c r="H196" s="5" t="str">
        <f t="array" aca="1" ref="H196" ca="1">IF(N196=1, INDEX('Database Mitra'!$C$2:$C993,MATCH($C196,'Database Mitra'!$AK$2:$AK993,0)),"")</f>
        <v>Sabani</v>
      </c>
      <c r="I196" s="71">
        <f ca="1">IF(N196=1,SUMIFS('Alokasi Honor'!$M$2:$M993,'Alokasi Honor'!$T$2:$T993,A196),"")</f>
        <v>348000</v>
      </c>
      <c r="J196" s="10">
        <f ca="1">IFERROR(__xludf.DUMMYFUNCTION("COUNTIF(FILTER('Alokasi Honor'!$H$2:$H993,'Alokasi Honor'!$H$2:$H993=""OB"",'Alokasi Honor'!$T$2:$T993=A196),""OB"")"),0)</f>
        <v>0</v>
      </c>
      <c r="K196" s="10">
        <f t="shared" ca="1" si="1"/>
        <v>1</v>
      </c>
      <c r="L196" s="70">
        <f t="array" aca="1" ref="L196" ca="1">IF(N196=1,INDEX('Batasan Honor'!$B$2:$B993,MATCH(CONCATENATE($F196,"-",$G196),'Batasan Honor'!$G$2:$G993,0)),"")</f>
        <v>5400000</v>
      </c>
      <c r="M196" s="10">
        <f t="shared" ca="1" si="2"/>
        <v>1</v>
      </c>
      <c r="N196" s="10">
        <f t="shared" ca="1" si="3"/>
        <v>1</v>
      </c>
    </row>
    <row r="197" spans="1:14" ht="12.5">
      <c r="A197" s="10" t="str">
        <f ca="1">IFERROR(__xludf.DUMMYFUNCTION("""COMPUTED_VALUE"""),"610422100131-2024-4-SURVEI-PPL")</f>
        <v>610422100131-2024-4-SURVEI-PPL</v>
      </c>
      <c r="B197" s="5" t="str">
        <f t="shared" ca="1" si="0"/>
        <v>610422100131-2024-4</v>
      </c>
      <c r="C197" s="5">
        <f ca="1">IFERROR(__xludf.DUMMYFUNCTION("IF(N197=1,SPLIT(A197,""-""),"""")"),610422100131)</f>
        <v>610422100131</v>
      </c>
      <c r="D197" s="10">
        <f ca="1">IFERROR(__xludf.DUMMYFUNCTION("""COMPUTED_VALUE"""),2024)</f>
        <v>2024</v>
      </c>
      <c r="E197" s="10">
        <f ca="1">IFERROR(__xludf.DUMMYFUNCTION("""COMPUTED_VALUE"""),4)</f>
        <v>4</v>
      </c>
      <c r="F197" s="5" t="str">
        <f ca="1">IFERROR(__xludf.DUMMYFUNCTION("""COMPUTED_VALUE"""),"SURVEI")</f>
        <v>SURVEI</v>
      </c>
      <c r="G197" s="5" t="str">
        <f ca="1">IFERROR(__xludf.DUMMYFUNCTION("""COMPUTED_VALUE"""),"PPL")</f>
        <v>PPL</v>
      </c>
      <c r="H197" s="5" t="str">
        <f t="array" aca="1" ref="H197" ca="1">IF(N197=1, INDEX('Database Mitra'!$C$2:$C993,MATCH($C197,'Database Mitra'!$AK$2:$AK993,0)),"")</f>
        <v>SYAMSUL</v>
      </c>
      <c r="I197" s="71">
        <f ca="1">IF(N197=1,SUMIFS('Alokasi Honor'!$M$2:$M993,'Alokasi Honor'!$T$2:$T993,A197),"")</f>
        <v>348000</v>
      </c>
      <c r="J197" s="10">
        <f ca="1">IFERROR(__xludf.DUMMYFUNCTION("COUNTIF(FILTER('Alokasi Honor'!$H$2:$H993,'Alokasi Honor'!$H$2:$H993=""OB"",'Alokasi Honor'!$T$2:$T993=A197),""OB"")"),0)</f>
        <v>0</v>
      </c>
      <c r="K197" s="10">
        <f t="shared" ca="1" si="1"/>
        <v>1</v>
      </c>
      <c r="L197" s="70">
        <f t="array" aca="1" ref="L197" ca="1">IF(N197=1,INDEX('Batasan Honor'!$B$2:$B993,MATCH(CONCATENATE($F197,"-",$G197),'Batasan Honor'!$G$2:$G993,0)),"")</f>
        <v>5400000</v>
      </c>
      <c r="M197" s="10">
        <f t="shared" ca="1" si="2"/>
        <v>1</v>
      </c>
      <c r="N197" s="10">
        <f t="shared" ca="1" si="3"/>
        <v>1</v>
      </c>
    </row>
    <row r="198" spans="1:14" ht="12.5">
      <c r="A198" s="10" t="str">
        <f ca="1">IFERROR(__xludf.DUMMYFUNCTION("""COMPUTED_VALUE"""),"610422100176-2024-4-SURVEI-PPL")</f>
        <v>610422100176-2024-4-SURVEI-PPL</v>
      </c>
      <c r="B198" s="5" t="str">
        <f t="shared" ca="1" si="0"/>
        <v>610422100176-2024-4</v>
      </c>
      <c r="C198" s="5">
        <f ca="1">IFERROR(__xludf.DUMMYFUNCTION("IF(N198=1,SPLIT(A198,""-""),"""")"),610422100176)</f>
        <v>610422100176</v>
      </c>
      <c r="D198" s="10">
        <f ca="1">IFERROR(__xludf.DUMMYFUNCTION("""COMPUTED_VALUE"""),2024)</f>
        <v>2024</v>
      </c>
      <c r="E198" s="10">
        <f ca="1">IFERROR(__xludf.DUMMYFUNCTION("""COMPUTED_VALUE"""),4)</f>
        <v>4</v>
      </c>
      <c r="F198" s="5" t="str">
        <f ca="1">IFERROR(__xludf.DUMMYFUNCTION("""COMPUTED_VALUE"""),"SURVEI")</f>
        <v>SURVEI</v>
      </c>
      <c r="G198" s="5" t="str">
        <f ca="1">IFERROR(__xludf.DUMMYFUNCTION("""COMPUTED_VALUE"""),"PPL")</f>
        <v>PPL</v>
      </c>
      <c r="H198" s="5" t="str">
        <f t="array" aca="1" ref="H198" ca="1">IF(N198=1, INDEX('Database Mitra'!$C$2:$C993,MATCH($C198,'Database Mitra'!$AK$2:$AK993,0)),"")</f>
        <v>Feri Firdaus</v>
      </c>
      <c r="I198" s="71">
        <f ca="1">IF(N198=1,SUMIFS('Alokasi Honor'!$M$2:$M993,'Alokasi Honor'!$T$2:$T993,A198),"")</f>
        <v>348000</v>
      </c>
      <c r="J198" s="10">
        <f ca="1">IFERROR(__xludf.DUMMYFUNCTION("COUNTIF(FILTER('Alokasi Honor'!$H$2:$H993,'Alokasi Honor'!$H$2:$H993=""OB"",'Alokasi Honor'!$T$2:$T993=A198),""OB"")"),0)</f>
        <v>0</v>
      </c>
      <c r="K198" s="10">
        <f t="shared" ca="1" si="1"/>
        <v>1</v>
      </c>
      <c r="L198" s="70">
        <f t="array" aca="1" ref="L198" ca="1">IF(N198=1,INDEX('Batasan Honor'!$B$2:$B993,MATCH(CONCATENATE($F198,"-",$G198),'Batasan Honor'!$G$2:$G993,0)),"")</f>
        <v>5400000</v>
      </c>
      <c r="M198" s="10">
        <f t="shared" ca="1" si="2"/>
        <v>1</v>
      </c>
      <c r="N198" s="10">
        <f t="shared" ca="1" si="3"/>
        <v>1</v>
      </c>
    </row>
    <row r="199" spans="1:14" ht="12.5">
      <c r="A199" s="10" t="str">
        <f ca="1">IFERROR(__xludf.DUMMYFUNCTION("""COMPUTED_VALUE"""),"610423110183-2024-4-SURVEI-PPL")</f>
        <v>610423110183-2024-4-SURVEI-PPL</v>
      </c>
      <c r="B199" s="5" t="str">
        <f t="shared" ca="1" si="0"/>
        <v>610423110183-2024-4</v>
      </c>
      <c r="C199" s="5">
        <f ca="1">IFERROR(__xludf.DUMMYFUNCTION("IF(N199=1,SPLIT(A199,""-""),"""")"),610423110183)</f>
        <v>610423110183</v>
      </c>
      <c r="D199" s="10">
        <f ca="1">IFERROR(__xludf.DUMMYFUNCTION("""COMPUTED_VALUE"""),2024)</f>
        <v>2024</v>
      </c>
      <c r="E199" s="10">
        <f ca="1">IFERROR(__xludf.DUMMYFUNCTION("""COMPUTED_VALUE"""),4)</f>
        <v>4</v>
      </c>
      <c r="F199" s="5" t="str">
        <f ca="1">IFERROR(__xludf.DUMMYFUNCTION("""COMPUTED_VALUE"""),"SURVEI")</f>
        <v>SURVEI</v>
      </c>
      <c r="G199" s="5" t="str">
        <f ca="1">IFERROR(__xludf.DUMMYFUNCTION("""COMPUTED_VALUE"""),"PPL")</f>
        <v>PPL</v>
      </c>
      <c r="H199" s="5" t="str">
        <f t="array" aca="1" ref="H199" ca="1">IF(N199=1, INDEX('Database Mitra'!$C$2:$C993,MATCH($C199,'Database Mitra'!$AK$2:$AK993,0)),"")</f>
        <v>azhar</v>
      </c>
      <c r="I199" s="71">
        <f ca="1">IF(N199=1,SUMIFS('Alokasi Honor'!$M$2:$M993,'Alokasi Honor'!$T$2:$T993,A199),"")</f>
        <v>1050000</v>
      </c>
      <c r="J199" s="10">
        <f ca="1">IFERROR(__xludf.DUMMYFUNCTION("COUNTIF(FILTER('Alokasi Honor'!$H$2:$H993,'Alokasi Honor'!$H$2:$H993=""OB"",'Alokasi Honor'!$T$2:$T993=A199),""OB"")"),0)</f>
        <v>0</v>
      </c>
      <c r="K199" s="10">
        <f t="shared" ca="1" si="1"/>
        <v>1</v>
      </c>
      <c r="L199" s="70">
        <f t="array" aca="1" ref="L199" ca="1">IF(N199=1,INDEX('Batasan Honor'!$B$2:$B993,MATCH(CONCATENATE($F199,"-",$G199),'Batasan Honor'!$G$2:$G993,0)),"")</f>
        <v>5400000</v>
      </c>
      <c r="M199" s="10">
        <f t="shared" ca="1" si="2"/>
        <v>1</v>
      </c>
      <c r="N199" s="10">
        <f t="shared" ca="1" si="3"/>
        <v>1</v>
      </c>
    </row>
    <row r="200" spans="1:14" ht="12.5">
      <c r="A200" s="10" t="str">
        <f ca="1">IFERROR(__xludf.DUMMYFUNCTION("""COMPUTED_VALUE"""),"610423040018-2024-4-SURVEI-PPL")</f>
        <v>610423040018-2024-4-SURVEI-PPL</v>
      </c>
      <c r="B200" s="5" t="str">
        <f t="shared" ca="1" si="0"/>
        <v>610423040018-2024-4</v>
      </c>
      <c r="C200" s="5">
        <f ca="1">IFERROR(__xludf.DUMMYFUNCTION("IF(N200=1,SPLIT(A200,""-""),"""")"),610423040018)</f>
        <v>610423040018</v>
      </c>
      <c r="D200" s="10">
        <f ca="1">IFERROR(__xludf.DUMMYFUNCTION("""COMPUTED_VALUE"""),2024)</f>
        <v>2024</v>
      </c>
      <c r="E200" s="10">
        <f ca="1">IFERROR(__xludf.DUMMYFUNCTION("""COMPUTED_VALUE"""),4)</f>
        <v>4</v>
      </c>
      <c r="F200" s="5" t="str">
        <f ca="1">IFERROR(__xludf.DUMMYFUNCTION("""COMPUTED_VALUE"""),"SURVEI")</f>
        <v>SURVEI</v>
      </c>
      <c r="G200" s="5" t="str">
        <f ca="1">IFERROR(__xludf.DUMMYFUNCTION("""COMPUTED_VALUE"""),"PPL")</f>
        <v>PPL</v>
      </c>
      <c r="H200" s="5" t="str">
        <f t="array" aca="1" ref="H200" ca="1">IF(N200=1, INDEX('Database Mitra'!$C$2:$C993,MATCH($C200,'Database Mitra'!$AK$2:$AK993,0)),"")</f>
        <v>Handoko Tuah Sabarman Sipayung</v>
      </c>
      <c r="I200" s="71">
        <f ca="1">IF(N200=1,SUMIFS('Alokasi Honor'!$M$2:$M993,'Alokasi Honor'!$T$2:$T993,A200),"")</f>
        <v>464000</v>
      </c>
      <c r="J200" s="10">
        <f ca="1">IFERROR(__xludf.DUMMYFUNCTION("COUNTIF(FILTER('Alokasi Honor'!$H$2:$H993,'Alokasi Honor'!$H$2:$H993=""OB"",'Alokasi Honor'!$T$2:$T993=A200),""OB"")"),0)</f>
        <v>0</v>
      </c>
      <c r="K200" s="10">
        <f t="shared" ca="1" si="1"/>
        <v>1</v>
      </c>
      <c r="L200" s="70">
        <f t="array" aca="1" ref="L200" ca="1">IF(N200=1,INDEX('Batasan Honor'!$B$2:$B993,MATCH(CONCATENATE($F200,"-",$G200),'Batasan Honor'!$G$2:$G993,0)),"")</f>
        <v>5400000</v>
      </c>
      <c r="M200" s="10">
        <f t="shared" ca="1" si="2"/>
        <v>1</v>
      </c>
      <c r="N200" s="10">
        <f t="shared" ca="1" si="3"/>
        <v>1</v>
      </c>
    </row>
    <row r="201" spans="1:14" ht="12.5">
      <c r="A201" s="10" t="str">
        <f ca="1">IFERROR(__xludf.DUMMYFUNCTION("""COMPUTED_VALUE"""),"610422040058-2024-4-SURVEI-PPL")</f>
        <v>610422040058-2024-4-SURVEI-PPL</v>
      </c>
      <c r="B201" s="5" t="str">
        <f t="shared" ca="1" si="0"/>
        <v>610422040058-2024-4</v>
      </c>
      <c r="C201" s="5">
        <f ca="1">IFERROR(__xludf.DUMMYFUNCTION("IF(N201=1,SPLIT(A201,""-""),"""")"),610422040058)</f>
        <v>610422040058</v>
      </c>
      <c r="D201" s="10">
        <f ca="1">IFERROR(__xludf.DUMMYFUNCTION("""COMPUTED_VALUE"""),2024)</f>
        <v>2024</v>
      </c>
      <c r="E201" s="10">
        <f ca="1">IFERROR(__xludf.DUMMYFUNCTION("""COMPUTED_VALUE"""),4)</f>
        <v>4</v>
      </c>
      <c r="F201" s="5" t="str">
        <f ca="1">IFERROR(__xludf.DUMMYFUNCTION("""COMPUTED_VALUE"""),"SURVEI")</f>
        <v>SURVEI</v>
      </c>
      <c r="G201" s="5" t="str">
        <f ca="1">IFERROR(__xludf.DUMMYFUNCTION("""COMPUTED_VALUE"""),"PPL")</f>
        <v>PPL</v>
      </c>
      <c r="H201" s="5" t="str">
        <f t="array" aca="1" ref="H201" ca="1">IF(N201=1, INDEX('Database Mitra'!$C$2:$C993,MATCH($C201,'Database Mitra'!$AK$2:$AK993,0)),"")</f>
        <v>Jamaluddin, SP</v>
      </c>
      <c r="I201" s="71">
        <f ca="1">IF(N201=1,SUMIFS('Alokasi Honor'!$M$2:$M993,'Alokasi Honor'!$T$2:$T993,A201),"")</f>
        <v>590000</v>
      </c>
      <c r="J201" s="10">
        <f ca="1">IFERROR(__xludf.DUMMYFUNCTION("COUNTIF(FILTER('Alokasi Honor'!$H$2:$H993,'Alokasi Honor'!$H$2:$H993=""OB"",'Alokasi Honor'!$T$2:$T993=A201),""OB"")"),0)</f>
        <v>0</v>
      </c>
      <c r="K201" s="10">
        <f t="shared" ca="1" si="1"/>
        <v>1</v>
      </c>
      <c r="L201" s="70">
        <f t="array" aca="1" ref="L201" ca="1">IF(N201=1,INDEX('Batasan Honor'!$B$2:$B993,MATCH(CONCATENATE($F201,"-",$G201),'Batasan Honor'!$G$2:$G993,0)),"")</f>
        <v>5400000</v>
      </c>
      <c r="M201" s="10">
        <f t="shared" ca="1" si="2"/>
        <v>1</v>
      </c>
      <c r="N201" s="10">
        <f t="shared" ca="1" si="3"/>
        <v>1</v>
      </c>
    </row>
    <row r="202" spans="1:14" ht="12.5">
      <c r="A202" s="10" t="str">
        <f ca="1">IFERROR(__xludf.DUMMYFUNCTION("""COMPUTED_VALUE"""),"610422030002-2024-5-SURVEI-PPL")</f>
        <v>610422030002-2024-5-SURVEI-PPL</v>
      </c>
      <c r="B202" s="5" t="str">
        <f t="shared" ca="1" si="0"/>
        <v>610422030002-2024-5</v>
      </c>
      <c r="C202" s="5">
        <f ca="1">IFERROR(__xludf.DUMMYFUNCTION("IF(N202=1,SPLIT(A202,""-""),"""")"),610422030002)</f>
        <v>610422030002</v>
      </c>
      <c r="D202" s="10">
        <f ca="1">IFERROR(__xludf.DUMMYFUNCTION("""COMPUTED_VALUE"""),2024)</f>
        <v>2024</v>
      </c>
      <c r="E202" s="10">
        <f ca="1">IFERROR(__xludf.DUMMYFUNCTION("""COMPUTED_VALUE"""),5)</f>
        <v>5</v>
      </c>
      <c r="F202" s="5" t="str">
        <f ca="1">IFERROR(__xludf.DUMMYFUNCTION("""COMPUTED_VALUE"""),"SURVEI")</f>
        <v>SURVEI</v>
      </c>
      <c r="G202" s="5" t="str">
        <f ca="1">IFERROR(__xludf.DUMMYFUNCTION("""COMPUTED_VALUE"""),"PPL")</f>
        <v>PPL</v>
      </c>
      <c r="H202" s="5" t="str">
        <f t="array" aca="1" ref="H202" ca="1">IF(N202=1, INDEX('Database Mitra'!$C$2:$C993,MATCH($C202,'Database Mitra'!$AK$2:$AK993,0)),"")</f>
        <v>Deti erni widiastuti</v>
      </c>
      <c r="I202" s="71">
        <f ca="1">IF(N202=1,SUMIFS('Alokasi Honor'!$M$2:$M993,'Alokasi Honor'!$T$2:$T993,A202),"")</f>
        <v>750000</v>
      </c>
      <c r="J202" s="10">
        <f ca="1">IFERROR(__xludf.DUMMYFUNCTION("COUNTIF(FILTER('Alokasi Honor'!$H$2:$H993,'Alokasi Honor'!$H$2:$H993=""OB"",'Alokasi Honor'!$T$2:$T993=A202),""OB"")"),0)</f>
        <v>0</v>
      </c>
      <c r="K202" s="10">
        <f t="shared" ca="1" si="1"/>
        <v>1</v>
      </c>
      <c r="L202" s="70">
        <f t="array" aca="1" ref="L202" ca="1">IF(N202=1,INDEX('Batasan Honor'!$B$2:$B993,MATCH(CONCATENATE($F202,"-",$G202),'Batasan Honor'!$G$2:$G993,0)),"")</f>
        <v>5400000</v>
      </c>
      <c r="M202" s="10">
        <f t="shared" ca="1" si="2"/>
        <v>1</v>
      </c>
      <c r="N202" s="10">
        <f t="shared" ca="1" si="3"/>
        <v>1</v>
      </c>
    </row>
    <row r="203" spans="1:14" ht="12.5">
      <c r="A203" s="10" t="str">
        <f ca="1">IFERROR(__xludf.DUMMYFUNCTION("""COMPUTED_VALUE"""),"610422100244-2024-5-SURVEI-PPL")</f>
        <v>610422100244-2024-5-SURVEI-PPL</v>
      </c>
      <c r="B203" s="5" t="str">
        <f t="shared" ca="1" si="0"/>
        <v>610422100244-2024-5</v>
      </c>
      <c r="C203" s="5">
        <f ca="1">IFERROR(__xludf.DUMMYFUNCTION("IF(N203=1,SPLIT(A203,""-""),"""")"),610422100244)</f>
        <v>610422100244</v>
      </c>
      <c r="D203" s="10">
        <f ca="1">IFERROR(__xludf.DUMMYFUNCTION("""COMPUTED_VALUE"""),2024)</f>
        <v>2024</v>
      </c>
      <c r="E203" s="10">
        <f ca="1">IFERROR(__xludf.DUMMYFUNCTION("""COMPUTED_VALUE"""),5)</f>
        <v>5</v>
      </c>
      <c r="F203" s="5" t="str">
        <f ca="1">IFERROR(__xludf.DUMMYFUNCTION("""COMPUTED_VALUE"""),"SURVEI")</f>
        <v>SURVEI</v>
      </c>
      <c r="G203" s="5" t="str">
        <f ca="1">IFERROR(__xludf.DUMMYFUNCTION("""COMPUTED_VALUE"""),"PPL")</f>
        <v>PPL</v>
      </c>
      <c r="H203" s="5" t="str">
        <f t="array" aca="1" ref="H203" ca="1">IF(N203=1, INDEX('Database Mitra'!$C$2:$C993,MATCH($C203,'Database Mitra'!$AK$2:$AK993,0)),"")</f>
        <v>Sugianto</v>
      </c>
      <c r="I203" s="71">
        <f ca="1">IF(N203=1,SUMIFS('Alokasi Honor'!$M$2:$M993,'Alokasi Honor'!$T$2:$T993,A203),"")</f>
        <v>1090000</v>
      </c>
      <c r="J203" s="10">
        <f ca="1">IFERROR(__xludf.DUMMYFUNCTION("COUNTIF(FILTER('Alokasi Honor'!$H$2:$H993,'Alokasi Honor'!$H$2:$H993=""OB"",'Alokasi Honor'!$T$2:$T993=A203),""OB"")"),0)</f>
        <v>0</v>
      </c>
      <c r="K203" s="10">
        <f t="shared" ca="1" si="1"/>
        <v>1</v>
      </c>
      <c r="L203" s="70">
        <f t="array" aca="1" ref="L203" ca="1">IF(N203=1,INDEX('Batasan Honor'!$B$2:$B993,MATCH(CONCATENATE($F203,"-",$G203),'Batasan Honor'!$G$2:$G993,0)),"")</f>
        <v>5400000</v>
      </c>
      <c r="M203" s="10">
        <f t="shared" ca="1" si="2"/>
        <v>1</v>
      </c>
      <c r="N203" s="10">
        <f t="shared" ca="1" si="3"/>
        <v>1</v>
      </c>
    </row>
    <row r="204" spans="1:14" ht="12.5">
      <c r="A204" s="10" t="str">
        <f ca="1">IFERROR(__xludf.DUMMYFUNCTION("""COMPUTED_VALUE"""),"610422100124-2024-5-SURVEI-PPL")</f>
        <v>610422100124-2024-5-SURVEI-PPL</v>
      </c>
      <c r="B204" s="5" t="str">
        <f t="shared" ca="1" si="0"/>
        <v>610422100124-2024-5</v>
      </c>
      <c r="C204" s="5">
        <f ca="1">IFERROR(__xludf.DUMMYFUNCTION("IF(N204=1,SPLIT(A204,""-""),"""")"),610422100124)</f>
        <v>610422100124</v>
      </c>
      <c r="D204" s="10">
        <f ca="1">IFERROR(__xludf.DUMMYFUNCTION("""COMPUTED_VALUE"""),2024)</f>
        <v>2024</v>
      </c>
      <c r="E204" s="10">
        <f ca="1">IFERROR(__xludf.DUMMYFUNCTION("""COMPUTED_VALUE"""),5)</f>
        <v>5</v>
      </c>
      <c r="F204" s="5" t="str">
        <f ca="1">IFERROR(__xludf.DUMMYFUNCTION("""COMPUTED_VALUE"""),"SURVEI")</f>
        <v>SURVEI</v>
      </c>
      <c r="G204" s="5" t="str">
        <f ca="1">IFERROR(__xludf.DUMMYFUNCTION("""COMPUTED_VALUE"""),"PPL")</f>
        <v>PPL</v>
      </c>
      <c r="H204" s="5" t="str">
        <f t="array" aca="1" ref="H204" ca="1">IF(N204=1, INDEX('Database Mitra'!$C$2:$C993,MATCH($C204,'Database Mitra'!$AK$2:$AK993,0)),"")</f>
        <v>Prabowo</v>
      </c>
      <c r="I204" s="71">
        <f ca="1">IF(N204=1,SUMIFS('Alokasi Honor'!$M$2:$M993,'Alokasi Honor'!$T$2:$T993,A204),"")</f>
        <v>325000</v>
      </c>
      <c r="J204" s="10">
        <f ca="1">IFERROR(__xludf.DUMMYFUNCTION("COUNTIF(FILTER('Alokasi Honor'!$H$2:$H993,'Alokasi Honor'!$H$2:$H993=""OB"",'Alokasi Honor'!$T$2:$T993=A204),""OB"")"),0)</f>
        <v>0</v>
      </c>
      <c r="K204" s="10">
        <f t="shared" ca="1" si="1"/>
        <v>1</v>
      </c>
      <c r="L204" s="70">
        <f t="array" aca="1" ref="L204" ca="1">IF(N204=1,INDEX('Batasan Honor'!$B$2:$B993,MATCH(CONCATENATE($F204,"-",$G204),'Batasan Honor'!$G$2:$G993,0)),"")</f>
        <v>5400000</v>
      </c>
      <c r="M204" s="10">
        <f t="shared" ca="1" si="2"/>
        <v>1</v>
      </c>
      <c r="N204" s="10">
        <f t="shared" ca="1" si="3"/>
        <v>1</v>
      </c>
    </row>
    <row r="205" spans="1:14" ht="12.5">
      <c r="A205" s="10" t="str">
        <f ca="1">IFERROR(__xludf.DUMMYFUNCTION("""COMPUTED_VALUE"""),"610422100016-2024-5-SURVEI-PPL")</f>
        <v>610422100016-2024-5-SURVEI-PPL</v>
      </c>
      <c r="B205" s="5" t="str">
        <f t="shared" ca="1" si="0"/>
        <v>610422100016-2024-5</v>
      </c>
      <c r="C205" s="5">
        <f ca="1">IFERROR(__xludf.DUMMYFUNCTION("IF(N205=1,SPLIT(A205,""-""),"""")"),610422100016)</f>
        <v>610422100016</v>
      </c>
      <c r="D205" s="10">
        <f ca="1">IFERROR(__xludf.DUMMYFUNCTION("""COMPUTED_VALUE"""),2024)</f>
        <v>2024</v>
      </c>
      <c r="E205" s="10">
        <f ca="1">IFERROR(__xludf.DUMMYFUNCTION("""COMPUTED_VALUE"""),5)</f>
        <v>5</v>
      </c>
      <c r="F205" s="5" t="str">
        <f ca="1">IFERROR(__xludf.DUMMYFUNCTION("""COMPUTED_VALUE"""),"SURVEI")</f>
        <v>SURVEI</v>
      </c>
      <c r="G205" s="5" t="str">
        <f ca="1">IFERROR(__xludf.DUMMYFUNCTION("""COMPUTED_VALUE"""),"PPL")</f>
        <v>PPL</v>
      </c>
      <c r="H205" s="5" t="str">
        <f t="array" aca="1" ref="H205" ca="1">IF(N205=1, INDEX('Database Mitra'!$C$2:$C993,MATCH($C205,'Database Mitra'!$AK$2:$AK993,0)),"")</f>
        <v>Amalia Faisya</v>
      </c>
      <c r="I205" s="71">
        <f ca="1">IF(N205=1,SUMIFS('Alokasi Honor'!$M$2:$M993,'Alokasi Honor'!$T$2:$T993,A205),"")</f>
        <v>250000</v>
      </c>
      <c r="J205" s="10">
        <f ca="1">IFERROR(__xludf.DUMMYFUNCTION("COUNTIF(FILTER('Alokasi Honor'!$H$2:$H993,'Alokasi Honor'!$H$2:$H993=""OB"",'Alokasi Honor'!$T$2:$T993=A205),""OB"")"),0)</f>
        <v>0</v>
      </c>
      <c r="K205" s="10">
        <f t="shared" ca="1" si="1"/>
        <v>1</v>
      </c>
      <c r="L205" s="70">
        <f t="array" aca="1" ref="L205" ca="1">IF(N205=1,INDEX('Batasan Honor'!$B$2:$B993,MATCH(CONCATENATE($F205,"-",$G205),'Batasan Honor'!$G$2:$G993,0)),"")</f>
        <v>5400000</v>
      </c>
      <c r="M205" s="10">
        <f t="shared" ca="1" si="2"/>
        <v>1</v>
      </c>
      <c r="N205" s="10">
        <f t="shared" ca="1" si="3"/>
        <v>1</v>
      </c>
    </row>
    <row r="206" spans="1:14" ht="12.5">
      <c r="A206" s="10" t="str">
        <f ca="1">IFERROR(__xludf.DUMMYFUNCTION("""COMPUTED_VALUE"""),"610422050001-2024-5-SURVEI-PPL")</f>
        <v>610422050001-2024-5-SURVEI-PPL</v>
      </c>
      <c r="B206" s="5" t="str">
        <f t="shared" ca="1" si="0"/>
        <v>610422050001-2024-5</v>
      </c>
      <c r="C206" s="5">
        <f ca="1">IFERROR(__xludf.DUMMYFUNCTION("IF(N206=1,SPLIT(A206,""-""),"""")"),610422050001)</f>
        <v>610422050001</v>
      </c>
      <c r="D206" s="10">
        <f ca="1">IFERROR(__xludf.DUMMYFUNCTION("""COMPUTED_VALUE"""),2024)</f>
        <v>2024</v>
      </c>
      <c r="E206" s="10">
        <f ca="1">IFERROR(__xludf.DUMMYFUNCTION("""COMPUTED_VALUE"""),5)</f>
        <v>5</v>
      </c>
      <c r="F206" s="5" t="str">
        <f ca="1">IFERROR(__xludf.DUMMYFUNCTION("""COMPUTED_VALUE"""),"SURVEI")</f>
        <v>SURVEI</v>
      </c>
      <c r="G206" s="5" t="str">
        <f ca="1">IFERROR(__xludf.DUMMYFUNCTION("""COMPUTED_VALUE"""),"PPL")</f>
        <v>PPL</v>
      </c>
      <c r="H206" s="5" t="str">
        <f t="array" aca="1" ref="H206" ca="1">IF(N206=1, INDEX('Database Mitra'!$C$2:$C993,MATCH($C206,'Database Mitra'!$AK$2:$AK993,0)),"")</f>
        <v>EVI JUNIARTY</v>
      </c>
      <c r="I206" s="71">
        <f ca="1">IF(N206=1,SUMIFS('Alokasi Honor'!$M$2:$M993,'Alokasi Honor'!$T$2:$T993,A206),"")</f>
        <v>415000</v>
      </c>
      <c r="J206" s="10">
        <f ca="1">IFERROR(__xludf.DUMMYFUNCTION("COUNTIF(FILTER('Alokasi Honor'!$H$2:$H993,'Alokasi Honor'!$H$2:$H993=""OB"",'Alokasi Honor'!$T$2:$T993=A206),""OB"")"),0)</f>
        <v>0</v>
      </c>
      <c r="K206" s="10">
        <f t="shared" ca="1" si="1"/>
        <v>1</v>
      </c>
      <c r="L206" s="70">
        <f t="array" aca="1" ref="L206" ca="1">IF(N206=1,INDEX('Batasan Honor'!$B$2:$B993,MATCH(CONCATENATE($F206,"-",$G206),'Batasan Honor'!$G$2:$G993,0)),"")</f>
        <v>5400000</v>
      </c>
      <c r="M206" s="10">
        <f t="shared" ca="1" si="2"/>
        <v>1</v>
      </c>
      <c r="N206" s="10">
        <f t="shared" ca="1" si="3"/>
        <v>1</v>
      </c>
    </row>
    <row r="207" spans="1:14" ht="12.5">
      <c r="A207" s="10" t="str">
        <f ca="1">IFERROR(__xludf.DUMMYFUNCTION("""COMPUTED_VALUE"""),"610422040030-2024-5-SURVEI-PPL")</f>
        <v>610422040030-2024-5-SURVEI-PPL</v>
      </c>
      <c r="B207" s="5" t="str">
        <f t="shared" ca="1" si="0"/>
        <v>610422040030-2024-5</v>
      </c>
      <c r="C207" s="5">
        <f ca="1">IFERROR(__xludf.DUMMYFUNCTION("IF(N207=1,SPLIT(A207,""-""),"""")"),610422040030)</f>
        <v>610422040030</v>
      </c>
      <c r="D207" s="10">
        <f ca="1">IFERROR(__xludf.DUMMYFUNCTION("""COMPUTED_VALUE"""),2024)</f>
        <v>2024</v>
      </c>
      <c r="E207" s="10">
        <f ca="1">IFERROR(__xludf.DUMMYFUNCTION("""COMPUTED_VALUE"""),5)</f>
        <v>5</v>
      </c>
      <c r="F207" s="5" t="str">
        <f ca="1">IFERROR(__xludf.DUMMYFUNCTION("""COMPUTED_VALUE"""),"SURVEI")</f>
        <v>SURVEI</v>
      </c>
      <c r="G207" s="5" t="str">
        <f ca="1">IFERROR(__xludf.DUMMYFUNCTION("""COMPUTED_VALUE"""),"PPL")</f>
        <v>PPL</v>
      </c>
      <c r="H207" s="5" t="str">
        <f t="array" aca="1" ref="H207" ca="1">IF(N207=1, INDEX('Database Mitra'!$C$2:$C993,MATCH($C207,'Database Mitra'!$AK$2:$AK993,0)),"")</f>
        <v>Syarifah Desti Pratiwi</v>
      </c>
      <c r="I207" s="71">
        <f ca="1">IF(N207=1,SUMIFS('Alokasi Honor'!$M$2:$M993,'Alokasi Honor'!$T$2:$T993,A207),"")</f>
        <v>55000</v>
      </c>
      <c r="J207" s="10">
        <f ca="1">IFERROR(__xludf.DUMMYFUNCTION("COUNTIF(FILTER('Alokasi Honor'!$H$2:$H993,'Alokasi Honor'!$H$2:$H993=""OB"",'Alokasi Honor'!$T$2:$T993=A207),""OB"")"),0)</f>
        <v>0</v>
      </c>
      <c r="K207" s="10">
        <f t="shared" ca="1" si="1"/>
        <v>1</v>
      </c>
      <c r="L207" s="70">
        <f t="array" aca="1" ref="L207" ca="1">IF(N207=1,INDEX('Batasan Honor'!$B$2:$B993,MATCH(CONCATENATE($F207,"-",$G207),'Batasan Honor'!$G$2:$G993,0)),"")</f>
        <v>5400000</v>
      </c>
      <c r="M207" s="10">
        <f t="shared" ca="1" si="2"/>
        <v>1</v>
      </c>
      <c r="N207" s="10">
        <f t="shared" ca="1" si="3"/>
        <v>1</v>
      </c>
    </row>
    <row r="208" spans="1:14" ht="12.5">
      <c r="A208" s="10" t="str">
        <f ca="1">IFERROR(__xludf.DUMMYFUNCTION("""COMPUTED_VALUE"""),"610422020016-2024-5-SURVEI-PPL")</f>
        <v>610422020016-2024-5-SURVEI-PPL</v>
      </c>
      <c r="B208" s="5" t="str">
        <f t="shared" ca="1" si="0"/>
        <v>610422020016-2024-5</v>
      </c>
      <c r="C208" s="5">
        <f ca="1">IFERROR(__xludf.DUMMYFUNCTION("IF(N208=1,SPLIT(A208,""-""),"""")"),610422020016)</f>
        <v>610422020016</v>
      </c>
      <c r="D208" s="10">
        <f ca="1">IFERROR(__xludf.DUMMYFUNCTION("""COMPUTED_VALUE"""),2024)</f>
        <v>2024</v>
      </c>
      <c r="E208" s="10">
        <f ca="1">IFERROR(__xludf.DUMMYFUNCTION("""COMPUTED_VALUE"""),5)</f>
        <v>5</v>
      </c>
      <c r="F208" s="5" t="str">
        <f ca="1">IFERROR(__xludf.DUMMYFUNCTION("""COMPUTED_VALUE"""),"SURVEI")</f>
        <v>SURVEI</v>
      </c>
      <c r="G208" s="5" t="str">
        <f ca="1">IFERROR(__xludf.DUMMYFUNCTION("""COMPUTED_VALUE"""),"PPL")</f>
        <v>PPL</v>
      </c>
      <c r="H208" s="5" t="str">
        <f t="array" aca="1" ref="H208" ca="1">IF(N208=1, INDEX('Database Mitra'!$C$2:$C993,MATCH($C208,'Database Mitra'!$AK$2:$AK993,0)),"")</f>
        <v>Abdul Aziz</v>
      </c>
      <c r="I208" s="71">
        <f ca="1">IF(N208=1,SUMIFS('Alokasi Honor'!$M$2:$M993,'Alokasi Honor'!$T$2:$T993,A208),"")</f>
        <v>747000</v>
      </c>
      <c r="J208" s="10">
        <f ca="1">IFERROR(__xludf.DUMMYFUNCTION("COUNTIF(FILTER('Alokasi Honor'!$H$2:$H993,'Alokasi Honor'!$H$2:$H993=""OB"",'Alokasi Honor'!$T$2:$T993=A208),""OB"")"),0)</f>
        <v>0</v>
      </c>
      <c r="K208" s="10">
        <f t="shared" ca="1" si="1"/>
        <v>1</v>
      </c>
      <c r="L208" s="70">
        <f t="array" aca="1" ref="L208" ca="1">IF(N208=1,INDEX('Batasan Honor'!$B$2:$B993,MATCH(CONCATENATE($F208,"-",$G208),'Batasan Honor'!$G$2:$G993,0)),"")</f>
        <v>5400000</v>
      </c>
      <c r="M208" s="10">
        <f t="shared" ca="1" si="2"/>
        <v>1</v>
      </c>
      <c r="N208" s="10">
        <f t="shared" ca="1" si="3"/>
        <v>1</v>
      </c>
    </row>
    <row r="209" spans="1:14" ht="12.5">
      <c r="A209" s="10" t="str">
        <f ca="1">IFERROR(__xludf.DUMMYFUNCTION("""COMPUTED_VALUE"""),"610422020048-2024-5-SURVEI-PPL")</f>
        <v>610422020048-2024-5-SURVEI-PPL</v>
      </c>
      <c r="B209" s="5" t="str">
        <f t="shared" ca="1" si="0"/>
        <v>610422020048-2024-5</v>
      </c>
      <c r="C209" s="5">
        <f ca="1">IFERROR(__xludf.DUMMYFUNCTION("IF(N209=1,SPLIT(A209,""-""),"""")"),610422020048)</f>
        <v>610422020048</v>
      </c>
      <c r="D209" s="10">
        <f ca="1">IFERROR(__xludf.DUMMYFUNCTION("""COMPUTED_VALUE"""),2024)</f>
        <v>2024</v>
      </c>
      <c r="E209" s="10">
        <f ca="1">IFERROR(__xludf.DUMMYFUNCTION("""COMPUTED_VALUE"""),5)</f>
        <v>5</v>
      </c>
      <c r="F209" s="5" t="str">
        <f ca="1">IFERROR(__xludf.DUMMYFUNCTION("""COMPUTED_VALUE"""),"SURVEI")</f>
        <v>SURVEI</v>
      </c>
      <c r="G209" s="5" t="str">
        <f ca="1">IFERROR(__xludf.DUMMYFUNCTION("""COMPUTED_VALUE"""),"PPL")</f>
        <v>PPL</v>
      </c>
      <c r="H209" s="5" t="str">
        <f t="array" aca="1" ref="H209" ca="1">IF(N209=1, INDEX('Database Mitra'!$C$2:$C993,MATCH($C209,'Database Mitra'!$AK$2:$AK993,0)),"")</f>
        <v>Herri Gustaman</v>
      </c>
      <c r="I209" s="71">
        <f ca="1">IF(N209=1,SUMIFS('Alokasi Honor'!$M$2:$M993,'Alokasi Honor'!$T$2:$T993,A209),"")</f>
        <v>519000</v>
      </c>
      <c r="J209" s="10">
        <f ca="1">IFERROR(__xludf.DUMMYFUNCTION("COUNTIF(FILTER('Alokasi Honor'!$H$2:$H993,'Alokasi Honor'!$H$2:$H993=""OB"",'Alokasi Honor'!$T$2:$T993=A209),""OB"")"),0)</f>
        <v>0</v>
      </c>
      <c r="K209" s="10">
        <f t="shared" ca="1" si="1"/>
        <v>1</v>
      </c>
      <c r="L209" s="70">
        <f t="array" aca="1" ref="L209" ca="1">IF(N209=1,INDEX('Batasan Honor'!$B$2:$B993,MATCH(CONCATENATE($F209,"-",$G209),'Batasan Honor'!$G$2:$G993,0)),"")</f>
        <v>5400000</v>
      </c>
      <c r="M209" s="10">
        <f t="shared" ca="1" si="2"/>
        <v>1</v>
      </c>
      <c r="N209" s="10">
        <f t="shared" ca="1" si="3"/>
        <v>1</v>
      </c>
    </row>
    <row r="210" spans="1:14" ht="12.5">
      <c r="A210" s="10" t="str">
        <f ca="1">IFERROR(__xludf.DUMMYFUNCTION("""COMPUTED_VALUE"""),"610422040029-2024-5-SURVEI-PPL")</f>
        <v>610422040029-2024-5-SURVEI-PPL</v>
      </c>
      <c r="B210" s="5" t="str">
        <f t="shared" ca="1" si="0"/>
        <v>610422040029-2024-5</v>
      </c>
      <c r="C210" s="5">
        <f ca="1">IFERROR(__xludf.DUMMYFUNCTION("IF(N210=1,SPLIT(A210,""-""),"""")"),610422040029)</f>
        <v>610422040029</v>
      </c>
      <c r="D210" s="10">
        <f ca="1">IFERROR(__xludf.DUMMYFUNCTION("""COMPUTED_VALUE"""),2024)</f>
        <v>2024</v>
      </c>
      <c r="E210" s="10">
        <f ca="1">IFERROR(__xludf.DUMMYFUNCTION("""COMPUTED_VALUE"""),5)</f>
        <v>5</v>
      </c>
      <c r="F210" s="5" t="str">
        <f ca="1">IFERROR(__xludf.DUMMYFUNCTION("""COMPUTED_VALUE"""),"SURVEI")</f>
        <v>SURVEI</v>
      </c>
      <c r="G210" s="5" t="str">
        <f ca="1">IFERROR(__xludf.DUMMYFUNCTION("""COMPUTED_VALUE"""),"PPL")</f>
        <v>PPL</v>
      </c>
      <c r="H210" s="5" t="str">
        <f t="array" aca="1" ref="H210" ca="1">IF(N210=1, INDEX('Database Mitra'!$C$2:$C993,MATCH($C210,'Database Mitra'!$AK$2:$AK993,0)),"")</f>
        <v>Zaini</v>
      </c>
      <c r="I210" s="71">
        <f ca="1">IF(N210=1,SUMIFS('Alokasi Honor'!$M$2:$M993,'Alokasi Honor'!$T$2:$T993,A210),"")</f>
        <v>385000</v>
      </c>
      <c r="J210" s="10">
        <f ca="1">IFERROR(__xludf.DUMMYFUNCTION("COUNTIF(FILTER('Alokasi Honor'!$H$2:$H993,'Alokasi Honor'!$H$2:$H993=""OB"",'Alokasi Honor'!$T$2:$T993=A210),""OB"")"),0)</f>
        <v>0</v>
      </c>
      <c r="K210" s="10">
        <f t="shared" ca="1" si="1"/>
        <v>1</v>
      </c>
      <c r="L210" s="70">
        <f t="array" aca="1" ref="L210" ca="1">IF(N210=1,INDEX('Batasan Honor'!$B$2:$B993,MATCH(CONCATENATE($F210,"-",$G210),'Batasan Honor'!$G$2:$G993,0)),"")</f>
        <v>5400000</v>
      </c>
      <c r="M210" s="10">
        <f t="shared" ca="1" si="2"/>
        <v>1</v>
      </c>
      <c r="N210" s="10">
        <f t="shared" ca="1" si="3"/>
        <v>1</v>
      </c>
    </row>
    <row r="211" spans="1:14" ht="12.5">
      <c r="A211" s="10" t="str">
        <f ca="1">IFERROR(__xludf.DUMMYFUNCTION("""COMPUTED_VALUE"""),"610422100165-2024-5-SURVEI-PPL")</f>
        <v>610422100165-2024-5-SURVEI-PPL</v>
      </c>
      <c r="B211" s="5" t="str">
        <f t="shared" ca="1" si="0"/>
        <v>610422100165-2024-5</v>
      </c>
      <c r="C211" s="5">
        <f ca="1">IFERROR(__xludf.DUMMYFUNCTION("IF(N211=1,SPLIT(A211,""-""),"""")"),610422100165)</f>
        <v>610422100165</v>
      </c>
      <c r="D211" s="10">
        <f ca="1">IFERROR(__xludf.DUMMYFUNCTION("""COMPUTED_VALUE"""),2024)</f>
        <v>2024</v>
      </c>
      <c r="E211" s="10">
        <f ca="1">IFERROR(__xludf.DUMMYFUNCTION("""COMPUTED_VALUE"""),5)</f>
        <v>5</v>
      </c>
      <c r="F211" s="5" t="str">
        <f ca="1">IFERROR(__xludf.DUMMYFUNCTION("""COMPUTED_VALUE"""),"SURVEI")</f>
        <v>SURVEI</v>
      </c>
      <c r="G211" s="5" t="str">
        <f ca="1">IFERROR(__xludf.DUMMYFUNCTION("""COMPUTED_VALUE"""),"PPL")</f>
        <v>PPL</v>
      </c>
      <c r="H211" s="5" t="str">
        <f t="array" aca="1" ref="H211" ca="1">IF(N211=1, INDEX('Database Mitra'!$C$2:$C993,MATCH($C211,'Database Mitra'!$AK$2:$AK993,0)),"")</f>
        <v>Yanti</v>
      </c>
      <c r="I211" s="71">
        <f ca="1">IF(N211=1,SUMIFS('Alokasi Honor'!$M$2:$M993,'Alokasi Honor'!$T$2:$T993,A211),"")</f>
        <v>325000</v>
      </c>
      <c r="J211" s="10">
        <f ca="1">IFERROR(__xludf.DUMMYFUNCTION("COUNTIF(FILTER('Alokasi Honor'!$H$2:$H993,'Alokasi Honor'!$H$2:$H993=""OB"",'Alokasi Honor'!$T$2:$T993=A211),""OB"")"),0)</f>
        <v>0</v>
      </c>
      <c r="K211" s="10">
        <f t="shared" ca="1" si="1"/>
        <v>1</v>
      </c>
      <c r="L211" s="70">
        <f t="array" aca="1" ref="L211" ca="1">IF(N211=1,INDEX('Batasan Honor'!$B$2:$B993,MATCH(CONCATENATE($F211,"-",$G211),'Batasan Honor'!$G$2:$G993,0)),"")</f>
        <v>5400000</v>
      </c>
      <c r="M211" s="10">
        <f t="shared" ca="1" si="2"/>
        <v>1</v>
      </c>
      <c r="N211" s="10">
        <f t="shared" ca="1" si="3"/>
        <v>1</v>
      </c>
    </row>
    <row r="212" spans="1:14" ht="12.5">
      <c r="A212" s="10" t="str">
        <f ca="1">IFERROR(__xludf.DUMMYFUNCTION("""COMPUTED_VALUE"""),"610422040056-2024-5-SURVEI-PPL")</f>
        <v>610422040056-2024-5-SURVEI-PPL</v>
      </c>
      <c r="B212" s="5" t="str">
        <f t="shared" ca="1" si="0"/>
        <v>610422040056-2024-5</v>
      </c>
      <c r="C212" s="5">
        <f ca="1">IFERROR(__xludf.DUMMYFUNCTION("IF(N212=1,SPLIT(A212,""-""),"""")"),610422040056)</f>
        <v>610422040056</v>
      </c>
      <c r="D212" s="10">
        <f ca="1">IFERROR(__xludf.DUMMYFUNCTION("""COMPUTED_VALUE"""),2024)</f>
        <v>2024</v>
      </c>
      <c r="E212" s="10">
        <f ca="1">IFERROR(__xludf.DUMMYFUNCTION("""COMPUTED_VALUE"""),5)</f>
        <v>5</v>
      </c>
      <c r="F212" s="5" t="str">
        <f ca="1">IFERROR(__xludf.DUMMYFUNCTION("""COMPUTED_VALUE"""),"SURVEI")</f>
        <v>SURVEI</v>
      </c>
      <c r="G212" s="5" t="str">
        <f ca="1">IFERROR(__xludf.DUMMYFUNCTION("""COMPUTED_VALUE"""),"PPL")</f>
        <v>PPL</v>
      </c>
      <c r="H212" s="5" t="str">
        <f t="array" aca="1" ref="H212" ca="1">IF(N212=1, INDEX('Database Mitra'!$C$2:$C993,MATCH($C212,'Database Mitra'!$AK$2:$AK993,0)),"")</f>
        <v>Wandi Syafari</v>
      </c>
      <c r="I212" s="71">
        <f ca="1">IF(N212=1,SUMIFS('Alokasi Honor'!$M$2:$M993,'Alokasi Honor'!$T$2:$T993,A212),"")</f>
        <v>110000</v>
      </c>
      <c r="J212" s="10">
        <f ca="1">IFERROR(__xludf.DUMMYFUNCTION("COUNTIF(FILTER('Alokasi Honor'!$H$2:$H993,'Alokasi Honor'!$H$2:$H993=""OB"",'Alokasi Honor'!$T$2:$T993=A212),""OB"")"),0)</f>
        <v>0</v>
      </c>
      <c r="K212" s="10">
        <f t="shared" ca="1" si="1"/>
        <v>1</v>
      </c>
      <c r="L212" s="70">
        <f t="array" aca="1" ref="L212" ca="1">IF(N212=1,INDEX('Batasan Honor'!$B$2:$B993,MATCH(CONCATENATE($F212,"-",$G212),'Batasan Honor'!$G$2:$G993,0)),"")</f>
        <v>5400000</v>
      </c>
      <c r="M212" s="10">
        <f t="shared" ca="1" si="2"/>
        <v>1</v>
      </c>
      <c r="N212" s="10">
        <f t="shared" ca="1" si="3"/>
        <v>1</v>
      </c>
    </row>
    <row r="213" spans="1:14" ht="12.5">
      <c r="A213" s="10" t="str">
        <f ca="1">IFERROR(__xludf.DUMMYFUNCTION("""COMPUTED_VALUE"""),"610422040012-2024-5-SURVEI-PPL")</f>
        <v>610422040012-2024-5-SURVEI-PPL</v>
      </c>
      <c r="B213" s="5" t="str">
        <f t="shared" ca="1" si="0"/>
        <v>610422040012-2024-5</v>
      </c>
      <c r="C213" s="5">
        <f ca="1">IFERROR(__xludf.DUMMYFUNCTION("IF(N213=1,SPLIT(A213,""-""),"""")"),610422040012)</f>
        <v>610422040012</v>
      </c>
      <c r="D213" s="10">
        <f ca="1">IFERROR(__xludf.DUMMYFUNCTION("""COMPUTED_VALUE"""),2024)</f>
        <v>2024</v>
      </c>
      <c r="E213" s="10">
        <f ca="1">IFERROR(__xludf.DUMMYFUNCTION("""COMPUTED_VALUE"""),5)</f>
        <v>5</v>
      </c>
      <c r="F213" s="5" t="str">
        <f ca="1">IFERROR(__xludf.DUMMYFUNCTION("""COMPUTED_VALUE"""),"SURVEI")</f>
        <v>SURVEI</v>
      </c>
      <c r="G213" s="5" t="str">
        <f ca="1">IFERROR(__xludf.DUMMYFUNCTION("""COMPUTED_VALUE"""),"PPL")</f>
        <v>PPL</v>
      </c>
      <c r="H213" s="5" t="str">
        <f t="array" aca="1" ref="H213" ca="1">IF(N213=1, INDEX('Database Mitra'!$C$2:$C993,MATCH($C213,'Database Mitra'!$AK$2:$AK993,0)),"")</f>
        <v>Misdi</v>
      </c>
      <c r="I213" s="71">
        <f ca="1">IF(N213=1,SUMIFS('Alokasi Honor'!$M$2:$M993,'Alokasi Honor'!$T$2:$T993,A213),"")</f>
        <v>3156000</v>
      </c>
      <c r="J213" s="10">
        <f ca="1">IFERROR(__xludf.DUMMYFUNCTION("COUNTIF(FILTER('Alokasi Honor'!$H$2:$H993,'Alokasi Honor'!$H$2:$H993=""OB"",'Alokasi Honor'!$T$2:$T993=A213),""OB"")"),0)</f>
        <v>0</v>
      </c>
      <c r="K213" s="10">
        <f t="shared" ca="1" si="1"/>
        <v>1</v>
      </c>
      <c r="L213" s="70">
        <f t="array" aca="1" ref="L213" ca="1">IF(N213=1,INDEX('Batasan Honor'!$B$2:$B993,MATCH(CONCATENATE($F213,"-",$G213),'Batasan Honor'!$G$2:$G993,0)),"")</f>
        <v>5400000</v>
      </c>
      <c r="M213" s="10">
        <f t="shared" ca="1" si="2"/>
        <v>1</v>
      </c>
      <c r="N213" s="10">
        <f t="shared" ca="1" si="3"/>
        <v>1</v>
      </c>
    </row>
    <row r="214" spans="1:14" ht="12.5">
      <c r="A214" s="10" t="str">
        <f ca="1">IFERROR(__xludf.DUMMYFUNCTION("""COMPUTED_VALUE"""),"610422040059-2024-5-SURVEI-PPL")</f>
        <v>610422040059-2024-5-SURVEI-PPL</v>
      </c>
      <c r="B214" s="5" t="str">
        <f t="shared" ca="1" si="0"/>
        <v>610422040059-2024-5</v>
      </c>
      <c r="C214" s="5">
        <f ca="1">IFERROR(__xludf.DUMMYFUNCTION("IF(N214=1,SPLIT(A214,""-""),"""")"),610422040059)</f>
        <v>610422040059</v>
      </c>
      <c r="D214" s="10">
        <f ca="1">IFERROR(__xludf.DUMMYFUNCTION("""COMPUTED_VALUE"""),2024)</f>
        <v>2024</v>
      </c>
      <c r="E214" s="10">
        <f ca="1">IFERROR(__xludf.DUMMYFUNCTION("""COMPUTED_VALUE"""),5)</f>
        <v>5</v>
      </c>
      <c r="F214" s="5" t="str">
        <f ca="1">IFERROR(__xludf.DUMMYFUNCTION("""COMPUTED_VALUE"""),"SURVEI")</f>
        <v>SURVEI</v>
      </c>
      <c r="G214" s="5" t="str">
        <f ca="1">IFERROR(__xludf.DUMMYFUNCTION("""COMPUTED_VALUE"""),"PPL")</f>
        <v>PPL</v>
      </c>
      <c r="H214" s="5" t="str">
        <f t="array" aca="1" ref="H214" ca="1">IF(N214=1, INDEX('Database Mitra'!$C$2:$C993,MATCH($C214,'Database Mitra'!$AK$2:$AK993,0)),"")</f>
        <v>Abang Handri</v>
      </c>
      <c r="I214" s="71">
        <f ca="1">IF(N214=1,SUMIFS('Alokasi Honor'!$M$2:$M993,'Alokasi Honor'!$T$2:$T993,A214),"")</f>
        <v>896000</v>
      </c>
      <c r="J214" s="10">
        <f ca="1">IFERROR(__xludf.DUMMYFUNCTION("COUNTIF(FILTER('Alokasi Honor'!$H$2:$H993,'Alokasi Honor'!$H$2:$H993=""OB"",'Alokasi Honor'!$T$2:$T993=A214),""OB"")"),0)</f>
        <v>0</v>
      </c>
      <c r="K214" s="10">
        <f t="shared" ca="1" si="1"/>
        <v>1</v>
      </c>
      <c r="L214" s="70">
        <f t="array" aca="1" ref="L214" ca="1">IF(N214=1,INDEX('Batasan Honor'!$B$2:$B993,MATCH(CONCATENATE($F214,"-",$G214),'Batasan Honor'!$G$2:$G993,0)),"")</f>
        <v>5400000</v>
      </c>
      <c r="M214" s="10">
        <f t="shared" ca="1" si="2"/>
        <v>1</v>
      </c>
      <c r="N214" s="10">
        <f t="shared" ca="1" si="3"/>
        <v>1</v>
      </c>
    </row>
    <row r="215" spans="1:14" ht="12.5">
      <c r="A215" s="10" t="str">
        <f ca="1">IFERROR(__xludf.DUMMYFUNCTION("""COMPUTED_VALUE"""),"610422040061-2024-5-SURVEI-PPL")</f>
        <v>610422040061-2024-5-SURVEI-PPL</v>
      </c>
      <c r="B215" s="5" t="str">
        <f t="shared" ca="1" si="0"/>
        <v>610422040061-2024-5</v>
      </c>
      <c r="C215" s="5">
        <f ca="1">IFERROR(__xludf.DUMMYFUNCTION("IF(N215=1,SPLIT(A215,""-""),"""")"),610422040061)</f>
        <v>610422040061</v>
      </c>
      <c r="D215" s="10">
        <f ca="1">IFERROR(__xludf.DUMMYFUNCTION("""COMPUTED_VALUE"""),2024)</f>
        <v>2024</v>
      </c>
      <c r="E215" s="10">
        <f ca="1">IFERROR(__xludf.DUMMYFUNCTION("""COMPUTED_VALUE"""),5)</f>
        <v>5</v>
      </c>
      <c r="F215" s="5" t="str">
        <f ca="1">IFERROR(__xludf.DUMMYFUNCTION("""COMPUTED_VALUE"""),"SURVEI")</f>
        <v>SURVEI</v>
      </c>
      <c r="G215" s="5" t="str">
        <f ca="1">IFERROR(__xludf.DUMMYFUNCTION("""COMPUTED_VALUE"""),"PPL")</f>
        <v>PPL</v>
      </c>
      <c r="H215" s="5" t="str">
        <f t="array" aca="1" ref="H215" ca="1">IF(N215=1, INDEX('Database Mitra'!$C$2:$C993,MATCH($C215,'Database Mitra'!$AK$2:$AK993,0)),"")</f>
        <v>Sabani</v>
      </c>
      <c r="I215" s="71">
        <f ca="1">IF(N215=1,SUMIFS('Alokasi Honor'!$M$2:$M993,'Alokasi Honor'!$T$2:$T993,A215),"")</f>
        <v>348000</v>
      </c>
      <c r="J215" s="10">
        <f ca="1">IFERROR(__xludf.DUMMYFUNCTION("COUNTIF(FILTER('Alokasi Honor'!$H$2:$H993,'Alokasi Honor'!$H$2:$H993=""OB"",'Alokasi Honor'!$T$2:$T993=A215),""OB"")"),0)</f>
        <v>0</v>
      </c>
      <c r="K215" s="10">
        <f t="shared" ca="1" si="1"/>
        <v>1</v>
      </c>
      <c r="L215" s="70">
        <f t="array" aca="1" ref="L215" ca="1">IF(N215=1,INDEX('Batasan Honor'!$B$2:$B993,MATCH(CONCATENATE($F215,"-",$G215),'Batasan Honor'!$G$2:$G993,0)),"")</f>
        <v>5400000</v>
      </c>
      <c r="M215" s="10">
        <f t="shared" ca="1" si="2"/>
        <v>1</v>
      </c>
      <c r="N215" s="10">
        <f t="shared" ca="1" si="3"/>
        <v>1</v>
      </c>
    </row>
    <row r="216" spans="1:14" ht="12.5">
      <c r="A216" s="10" t="str">
        <f ca="1">IFERROR(__xludf.DUMMYFUNCTION("""COMPUTED_VALUE"""),"610422100131-2024-5-SURVEI-PPL")</f>
        <v>610422100131-2024-5-SURVEI-PPL</v>
      </c>
      <c r="B216" s="5" t="str">
        <f t="shared" ca="1" si="0"/>
        <v>610422100131-2024-5</v>
      </c>
      <c r="C216" s="5">
        <f ca="1">IFERROR(__xludf.DUMMYFUNCTION("IF(N216=1,SPLIT(A216,""-""),"""")"),610422100131)</f>
        <v>610422100131</v>
      </c>
      <c r="D216" s="10">
        <f ca="1">IFERROR(__xludf.DUMMYFUNCTION("""COMPUTED_VALUE"""),2024)</f>
        <v>2024</v>
      </c>
      <c r="E216" s="10">
        <f ca="1">IFERROR(__xludf.DUMMYFUNCTION("""COMPUTED_VALUE"""),5)</f>
        <v>5</v>
      </c>
      <c r="F216" s="5" t="str">
        <f ca="1">IFERROR(__xludf.DUMMYFUNCTION("""COMPUTED_VALUE"""),"SURVEI")</f>
        <v>SURVEI</v>
      </c>
      <c r="G216" s="5" t="str">
        <f ca="1">IFERROR(__xludf.DUMMYFUNCTION("""COMPUTED_VALUE"""),"PPL")</f>
        <v>PPL</v>
      </c>
      <c r="H216" s="5" t="str">
        <f t="array" aca="1" ref="H216" ca="1">IF(N216=1, INDEX('Database Mitra'!$C$2:$C993,MATCH($C216,'Database Mitra'!$AK$2:$AK993,0)),"")</f>
        <v>SYAMSUL</v>
      </c>
      <c r="I216" s="71">
        <f ca="1">IF(N216=1,SUMIFS('Alokasi Honor'!$M$2:$M993,'Alokasi Honor'!$T$2:$T993,A216),"")</f>
        <v>348000</v>
      </c>
      <c r="J216" s="10">
        <f ca="1">IFERROR(__xludf.DUMMYFUNCTION("COUNTIF(FILTER('Alokasi Honor'!$H$2:$H993,'Alokasi Honor'!$H$2:$H993=""OB"",'Alokasi Honor'!$T$2:$T993=A216),""OB"")"),0)</f>
        <v>0</v>
      </c>
      <c r="K216" s="10">
        <f t="shared" ca="1" si="1"/>
        <v>1</v>
      </c>
      <c r="L216" s="70">
        <f t="array" aca="1" ref="L216" ca="1">IF(N216=1,INDEX('Batasan Honor'!$B$2:$B993,MATCH(CONCATENATE($F216,"-",$G216),'Batasan Honor'!$G$2:$G993,0)),"")</f>
        <v>5400000</v>
      </c>
      <c r="M216" s="10">
        <f t="shared" ca="1" si="2"/>
        <v>1</v>
      </c>
      <c r="N216" s="10">
        <f t="shared" ca="1" si="3"/>
        <v>1</v>
      </c>
    </row>
    <row r="217" spans="1:14" ht="12.5">
      <c r="A217" s="10" t="str">
        <f ca="1">IFERROR(__xludf.DUMMYFUNCTION("""COMPUTED_VALUE"""),"610422100176-2024-5-SURVEI-PPL")</f>
        <v>610422100176-2024-5-SURVEI-PPL</v>
      </c>
      <c r="B217" s="5" t="str">
        <f t="shared" ca="1" si="0"/>
        <v>610422100176-2024-5</v>
      </c>
      <c r="C217" s="5">
        <f ca="1">IFERROR(__xludf.DUMMYFUNCTION("IF(N217=1,SPLIT(A217,""-""),"""")"),610422100176)</f>
        <v>610422100176</v>
      </c>
      <c r="D217" s="10">
        <f ca="1">IFERROR(__xludf.DUMMYFUNCTION("""COMPUTED_VALUE"""),2024)</f>
        <v>2024</v>
      </c>
      <c r="E217" s="10">
        <f ca="1">IFERROR(__xludf.DUMMYFUNCTION("""COMPUTED_VALUE"""),5)</f>
        <v>5</v>
      </c>
      <c r="F217" s="5" t="str">
        <f ca="1">IFERROR(__xludf.DUMMYFUNCTION("""COMPUTED_VALUE"""),"SURVEI")</f>
        <v>SURVEI</v>
      </c>
      <c r="G217" s="5" t="str">
        <f ca="1">IFERROR(__xludf.DUMMYFUNCTION("""COMPUTED_VALUE"""),"PPL")</f>
        <v>PPL</v>
      </c>
      <c r="H217" s="5" t="str">
        <f t="array" aca="1" ref="H217" ca="1">IF(N217=1, INDEX('Database Mitra'!$C$2:$C993,MATCH($C217,'Database Mitra'!$AK$2:$AK993,0)),"")</f>
        <v>Feri Firdaus</v>
      </c>
      <c r="I217" s="71">
        <f ca="1">IF(N217=1,SUMIFS('Alokasi Honor'!$M$2:$M993,'Alokasi Honor'!$T$2:$T993,A217),"")</f>
        <v>426000</v>
      </c>
      <c r="J217" s="10">
        <f ca="1">IFERROR(__xludf.DUMMYFUNCTION("COUNTIF(FILTER('Alokasi Honor'!$H$2:$H993,'Alokasi Honor'!$H$2:$H993=""OB"",'Alokasi Honor'!$T$2:$T993=A217),""OB"")"),0)</f>
        <v>0</v>
      </c>
      <c r="K217" s="10">
        <f t="shared" ca="1" si="1"/>
        <v>1</v>
      </c>
      <c r="L217" s="70">
        <f t="array" aca="1" ref="L217" ca="1">IF(N217=1,INDEX('Batasan Honor'!$B$2:$B993,MATCH(CONCATENATE($F217,"-",$G217),'Batasan Honor'!$G$2:$G993,0)),"")</f>
        <v>5400000</v>
      </c>
      <c r="M217" s="10">
        <f t="shared" ca="1" si="2"/>
        <v>1</v>
      </c>
      <c r="N217" s="10">
        <f t="shared" ca="1" si="3"/>
        <v>1</v>
      </c>
    </row>
    <row r="218" spans="1:14" ht="12.5">
      <c r="A218" s="10" t="str">
        <f ca="1">IFERROR(__xludf.DUMMYFUNCTION("""COMPUTED_VALUE"""),"610423110183-2024-5-SURVEI-PPL")</f>
        <v>610423110183-2024-5-SURVEI-PPL</v>
      </c>
      <c r="B218" s="5" t="str">
        <f t="shared" ca="1" si="0"/>
        <v>610423110183-2024-5</v>
      </c>
      <c r="C218" s="5">
        <f ca="1">IFERROR(__xludf.DUMMYFUNCTION("IF(N218=1,SPLIT(A218,""-""),"""")"),610423110183)</f>
        <v>610423110183</v>
      </c>
      <c r="D218" s="10">
        <f ca="1">IFERROR(__xludf.DUMMYFUNCTION("""COMPUTED_VALUE"""),2024)</f>
        <v>2024</v>
      </c>
      <c r="E218" s="10">
        <f ca="1">IFERROR(__xludf.DUMMYFUNCTION("""COMPUTED_VALUE"""),5)</f>
        <v>5</v>
      </c>
      <c r="F218" s="5" t="str">
        <f ca="1">IFERROR(__xludf.DUMMYFUNCTION("""COMPUTED_VALUE"""),"SURVEI")</f>
        <v>SURVEI</v>
      </c>
      <c r="G218" s="5" t="str">
        <f ca="1">IFERROR(__xludf.DUMMYFUNCTION("""COMPUTED_VALUE"""),"PPL")</f>
        <v>PPL</v>
      </c>
      <c r="H218" s="5" t="str">
        <f t="array" aca="1" ref="H218" ca="1">IF(N218=1, INDEX('Database Mitra'!$C$2:$C993,MATCH($C218,'Database Mitra'!$AK$2:$AK993,0)),"")</f>
        <v>azhar</v>
      </c>
      <c r="I218" s="71">
        <f ca="1">IF(N218=1,SUMIFS('Alokasi Honor'!$M$2:$M993,'Alokasi Honor'!$T$2:$T993,A218),"")</f>
        <v>1050000</v>
      </c>
      <c r="J218" s="10">
        <f ca="1">IFERROR(__xludf.DUMMYFUNCTION("COUNTIF(FILTER('Alokasi Honor'!$H$2:$H993,'Alokasi Honor'!$H$2:$H993=""OB"",'Alokasi Honor'!$T$2:$T993=A218),""OB"")"),0)</f>
        <v>0</v>
      </c>
      <c r="K218" s="10">
        <f t="shared" ca="1" si="1"/>
        <v>1</v>
      </c>
      <c r="L218" s="70">
        <f t="array" aca="1" ref="L218" ca="1">IF(N218=1,INDEX('Batasan Honor'!$B$2:$B993,MATCH(CONCATENATE($F218,"-",$G218),'Batasan Honor'!$G$2:$G993,0)),"")</f>
        <v>5400000</v>
      </c>
      <c r="M218" s="10">
        <f t="shared" ca="1" si="2"/>
        <v>1</v>
      </c>
      <c r="N218" s="10">
        <f t="shared" ca="1" si="3"/>
        <v>1</v>
      </c>
    </row>
    <row r="219" spans="1:14" ht="12.5">
      <c r="A219" s="10" t="str">
        <f ca="1">IFERROR(__xludf.DUMMYFUNCTION("""COMPUTED_VALUE"""),"610423040018-2024-5-SURVEI-PPL")</f>
        <v>610423040018-2024-5-SURVEI-PPL</v>
      </c>
      <c r="B219" s="5" t="str">
        <f t="shared" ca="1" si="0"/>
        <v>610423040018-2024-5</v>
      </c>
      <c r="C219" s="5">
        <f ca="1">IFERROR(__xludf.DUMMYFUNCTION("IF(N219=1,SPLIT(A219,""-""),"""")"),610423040018)</f>
        <v>610423040018</v>
      </c>
      <c r="D219" s="10">
        <f ca="1">IFERROR(__xludf.DUMMYFUNCTION("""COMPUTED_VALUE"""),2024)</f>
        <v>2024</v>
      </c>
      <c r="E219" s="10">
        <f ca="1">IFERROR(__xludf.DUMMYFUNCTION("""COMPUTED_VALUE"""),5)</f>
        <v>5</v>
      </c>
      <c r="F219" s="5" t="str">
        <f ca="1">IFERROR(__xludf.DUMMYFUNCTION("""COMPUTED_VALUE"""),"SURVEI")</f>
        <v>SURVEI</v>
      </c>
      <c r="G219" s="5" t="str">
        <f ca="1">IFERROR(__xludf.DUMMYFUNCTION("""COMPUTED_VALUE"""),"PPL")</f>
        <v>PPL</v>
      </c>
      <c r="H219" s="5" t="str">
        <f t="array" aca="1" ref="H219" ca="1">IF(N219=1, INDEX('Database Mitra'!$C$2:$C993,MATCH($C219,'Database Mitra'!$AK$2:$AK993,0)),"")</f>
        <v>Handoko Tuah Sabarman Sipayung</v>
      </c>
      <c r="I219" s="71">
        <f ca="1">IF(N219=1,SUMIFS('Alokasi Honor'!$M$2:$M993,'Alokasi Honor'!$T$2:$T993,A219),"")</f>
        <v>776000</v>
      </c>
      <c r="J219" s="10">
        <f ca="1">IFERROR(__xludf.DUMMYFUNCTION("COUNTIF(FILTER('Alokasi Honor'!$H$2:$H993,'Alokasi Honor'!$H$2:$H993=""OB"",'Alokasi Honor'!$T$2:$T993=A219),""OB"")"),0)</f>
        <v>0</v>
      </c>
      <c r="K219" s="10">
        <f t="shared" ca="1" si="1"/>
        <v>1</v>
      </c>
      <c r="L219" s="70">
        <f t="array" aca="1" ref="L219" ca="1">IF(N219=1,INDEX('Batasan Honor'!$B$2:$B993,MATCH(CONCATENATE($F219,"-",$G219),'Batasan Honor'!$G$2:$G993,0)),"")</f>
        <v>5400000</v>
      </c>
      <c r="M219" s="10">
        <f t="shared" ca="1" si="2"/>
        <v>1</v>
      </c>
      <c r="N219" s="10">
        <f t="shared" ca="1" si="3"/>
        <v>1</v>
      </c>
    </row>
    <row r="220" spans="1:14" ht="12.5">
      <c r="A220" s="10" t="str">
        <f ca="1">IFERROR(__xludf.DUMMYFUNCTION("""COMPUTED_VALUE"""),"610422040058-2024-5-SURVEI-PPL")</f>
        <v>610422040058-2024-5-SURVEI-PPL</v>
      </c>
      <c r="B220" s="5" t="str">
        <f t="shared" ca="1" si="0"/>
        <v>610422040058-2024-5</v>
      </c>
      <c r="C220" s="5">
        <f ca="1">IFERROR(__xludf.DUMMYFUNCTION("IF(N220=1,SPLIT(A220,""-""),"""")"),610422040058)</f>
        <v>610422040058</v>
      </c>
      <c r="D220" s="10">
        <f ca="1">IFERROR(__xludf.DUMMYFUNCTION("""COMPUTED_VALUE"""),2024)</f>
        <v>2024</v>
      </c>
      <c r="E220" s="10">
        <f ca="1">IFERROR(__xludf.DUMMYFUNCTION("""COMPUTED_VALUE"""),5)</f>
        <v>5</v>
      </c>
      <c r="F220" s="5" t="str">
        <f ca="1">IFERROR(__xludf.DUMMYFUNCTION("""COMPUTED_VALUE"""),"SURVEI")</f>
        <v>SURVEI</v>
      </c>
      <c r="G220" s="5" t="str">
        <f ca="1">IFERROR(__xludf.DUMMYFUNCTION("""COMPUTED_VALUE"""),"PPL")</f>
        <v>PPL</v>
      </c>
      <c r="H220" s="5" t="str">
        <f t="array" aca="1" ref="H220" ca="1">IF(N220=1, INDEX('Database Mitra'!$C$2:$C993,MATCH($C220,'Database Mitra'!$AK$2:$AK993,0)),"")</f>
        <v>Jamaluddin, SP</v>
      </c>
      <c r="I220" s="71">
        <f ca="1">IF(N220=1,SUMIFS('Alokasi Honor'!$M$2:$M993,'Alokasi Honor'!$T$2:$T993,A220),"")</f>
        <v>590000</v>
      </c>
      <c r="J220" s="10">
        <f ca="1">IFERROR(__xludf.DUMMYFUNCTION("COUNTIF(FILTER('Alokasi Honor'!$H$2:$H993,'Alokasi Honor'!$H$2:$H993=""OB"",'Alokasi Honor'!$T$2:$T993=A220),""OB"")"),0)</f>
        <v>0</v>
      </c>
      <c r="K220" s="10">
        <f t="shared" ca="1" si="1"/>
        <v>1</v>
      </c>
      <c r="L220" s="70">
        <f t="array" aca="1" ref="L220" ca="1">IF(N220=1,INDEX('Batasan Honor'!$B$2:$B993,MATCH(CONCATENATE($F220,"-",$G220),'Batasan Honor'!$G$2:$G993,0)),"")</f>
        <v>5400000</v>
      </c>
      <c r="M220" s="10">
        <f t="shared" ca="1" si="2"/>
        <v>1</v>
      </c>
      <c r="N220" s="10">
        <f t="shared" ca="1" si="3"/>
        <v>1</v>
      </c>
    </row>
    <row r="221" spans="1:14" ht="12.5">
      <c r="A221" s="10" t="str">
        <f ca="1">IFERROR(__xludf.DUMMYFUNCTION("""COMPUTED_VALUE"""),"610422100006-2024-5-SURVEI-PPL")</f>
        <v>610422100006-2024-5-SURVEI-PPL</v>
      </c>
      <c r="B221" s="5" t="str">
        <f t="shared" ca="1" si="0"/>
        <v>610422100006-2024-5</v>
      </c>
      <c r="C221" s="5">
        <f ca="1">IFERROR(__xludf.DUMMYFUNCTION("IF(N221=1,SPLIT(A221,""-""),"""")"),610422100006)</f>
        <v>610422100006</v>
      </c>
      <c r="D221" s="10">
        <f ca="1">IFERROR(__xludf.DUMMYFUNCTION("""COMPUTED_VALUE"""),2024)</f>
        <v>2024</v>
      </c>
      <c r="E221" s="10">
        <f ca="1">IFERROR(__xludf.DUMMYFUNCTION("""COMPUTED_VALUE"""),5)</f>
        <v>5</v>
      </c>
      <c r="F221" s="5" t="str">
        <f ca="1">IFERROR(__xludf.DUMMYFUNCTION("""COMPUTED_VALUE"""),"SURVEI")</f>
        <v>SURVEI</v>
      </c>
      <c r="G221" s="5" t="str">
        <f ca="1">IFERROR(__xludf.DUMMYFUNCTION("""COMPUTED_VALUE"""),"PPL")</f>
        <v>PPL</v>
      </c>
      <c r="H221" s="5" t="str">
        <f t="array" aca="1" ref="H221" ca="1">IF(N221=1, INDEX('Database Mitra'!$C$2:$C993,MATCH($C221,'Database Mitra'!$AK$2:$AK993,0)),"")</f>
        <v>Dandy</v>
      </c>
      <c r="I221" s="71">
        <f ca="1">IF(N221=1,SUMIFS('Alokasi Honor'!$M$2:$M993,'Alokasi Honor'!$T$2:$T993,A221),"")</f>
        <v>312000</v>
      </c>
      <c r="J221" s="10">
        <f ca="1">IFERROR(__xludf.DUMMYFUNCTION("COUNTIF(FILTER('Alokasi Honor'!$H$2:$H993,'Alokasi Honor'!$H$2:$H993=""OB"",'Alokasi Honor'!$T$2:$T993=A221),""OB"")"),0)</f>
        <v>0</v>
      </c>
      <c r="K221" s="10">
        <f t="shared" ca="1" si="1"/>
        <v>1</v>
      </c>
      <c r="L221" s="70">
        <f t="array" aca="1" ref="L221" ca="1">IF(N221=1,INDEX('Batasan Honor'!$B$2:$B993,MATCH(CONCATENATE($F221,"-",$G221),'Batasan Honor'!$G$2:$G993,0)),"")</f>
        <v>5400000</v>
      </c>
      <c r="M221" s="10">
        <f t="shared" ca="1" si="2"/>
        <v>1</v>
      </c>
      <c r="N221" s="10">
        <f t="shared" ca="1" si="3"/>
        <v>1</v>
      </c>
    </row>
    <row r="222" spans="1:14" ht="12.5">
      <c r="A222" s="10" t="str">
        <f ca="1">IFERROR(__xludf.DUMMYFUNCTION("""COMPUTED_VALUE"""),"610423040021-2024-5-SURVEI-PPL")</f>
        <v>610423040021-2024-5-SURVEI-PPL</v>
      </c>
      <c r="B222" s="5" t="str">
        <f t="shared" ca="1" si="0"/>
        <v>610423040021-2024-5</v>
      </c>
      <c r="C222" s="5">
        <f ca="1">IFERROR(__xludf.DUMMYFUNCTION("IF(N222=1,SPLIT(A222,""-""),"""")"),610423040021)</f>
        <v>610423040021</v>
      </c>
      <c r="D222" s="10">
        <f ca="1">IFERROR(__xludf.DUMMYFUNCTION("""COMPUTED_VALUE"""),2024)</f>
        <v>2024</v>
      </c>
      <c r="E222" s="10">
        <f ca="1">IFERROR(__xludf.DUMMYFUNCTION("""COMPUTED_VALUE"""),5)</f>
        <v>5</v>
      </c>
      <c r="F222" s="5" t="str">
        <f ca="1">IFERROR(__xludf.DUMMYFUNCTION("""COMPUTED_VALUE"""),"SURVEI")</f>
        <v>SURVEI</v>
      </c>
      <c r="G222" s="5" t="str">
        <f ca="1">IFERROR(__xludf.DUMMYFUNCTION("""COMPUTED_VALUE"""),"PPL")</f>
        <v>PPL</v>
      </c>
      <c r="H222" s="5" t="str">
        <f t="array" aca="1" ref="H222" ca="1">IF(N222=1, INDEX('Database Mitra'!$C$2:$C993,MATCH($C222,'Database Mitra'!$AK$2:$AK993,0)),"")</f>
        <v>Seliana</v>
      </c>
      <c r="I222" s="71">
        <f ca="1">IF(N222=1,SUMIFS('Alokasi Honor'!$M$2:$M993,'Alokasi Honor'!$T$2:$T993,A222),"")</f>
        <v>312000</v>
      </c>
      <c r="J222" s="10">
        <f ca="1">IFERROR(__xludf.DUMMYFUNCTION("COUNTIF(FILTER('Alokasi Honor'!$H$2:$H993,'Alokasi Honor'!$H$2:$H993=""OB"",'Alokasi Honor'!$T$2:$T993=A222),""OB"")"),0)</f>
        <v>0</v>
      </c>
      <c r="K222" s="10">
        <f t="shared" ca="1" si="1"/>
        <v>1</v>
      </c>
      <c r="L222" s="70">
        <f t="array" aca="1" ref="L222" ca="1">IF(N222=1,INDEX('Batasan Honor'!$B$2:$B993,MATCH(CONCATENATE($F222,"-",$G222),'Batasan Honor'!$G$2:$G993,0)),"")</f>
        <v>5400000</v>
      </c>
      <c r="M222" s="10">
        <f t="shared" ca="1" si="2"/>
        <v>1</v>
      </c>
      <c r="N222" s="10">
        <f t="shared" ca="1" si="3"/>
        <v>1</v>
      </c>
    </row>
    <row r="223" spans="1:14" ht="12.5">
      <c r="A223" s="10" t="str">
        <f ca="1">IFERROR(__xludf.DUMMYFUNCTION("""COMPUTED_VALUE"""),"610422030002-2024-6-SURVEI-PPL")</f>
        <v>610422030002-2024-6-SURVEI-PPL</v>
      </c>
      <c r="B223" s="5" t="str">
        <f t="shared" ca="1" si="0"/>
        <v>610422030002-2024-6</v>
      </c>
      <c r="C223" s="5">
        <f ca="1">IFERROR(__xludf.DUMMYFUNCTION("IF(N223=1,SPLIT(A223,""-""),"""")"),610422030002)</f>
        <v>610422030002</v>
      </c>
      <c r="D223" s="10">
        <f ca="1">IFERROR(__xludf.DUMMYFUNCTION("""COMPUTED_VALUE"""),2024)</f>
        <v>2024</v>
      </c>
      <c r="E223" s="10">
        <f ca="1">IFERROR(__xludf.DUMMYFUNCTION("""COMPUTED_VALUE"""),6)</f>
        <v>6</v>
      </c>
      <c r="F223" s="5" t="str">
        <f ca="1">IFERROR(__xludf.DUMMYFUNCTION("""COMPUTED_VALUE"""),"SURVEI")</f>
        <v>SURVEI</v>
      </c>
      <c r="G223" s="5" t="str">
        <f ca="1">IFERROR(__xludf.DUMMYFUNCTION("""COMPUTED_VALUE"""),"PPL")</f>
        <v>PPL</v>
      </c>
      <c r="H223" s="5" t="str">
        <f t="array" aca="1" ref="H223" ca="1">IF(N223=1, INDEX('Database Mitra'!$C$2:$C993,MATCH($C223,'Database Mitra'!$AK$2:$AK993,0)),"")</f>
        <v>Deti erni widiastuti</v>
      </c>
      <c r="I223" s="71">
        <f ca="1">IF(N223=1,SUMIFS('Alokasi Honor'!$M$2:$M993,'Alokasi Honor'!$T$2:$T993,A223),"")</f>
        <v>750000</v>
      </c>
      <c r="J223" s="10">
        <f ca="1">IFERROR(__xludf.DUMMYFUNCTION("COUNTIF(FILTER('Alokasi Honor'!$H$2:$H993,'Alokasi Honor'!$H$2:$H993=""OB"",'Alokasi Honor'!$T$2:$T993=A223),""OB"")"),0)</f>
        <v>0</v>
      </c>
      <c r="K223" s="10">
        <f t="shared" ca="1" si="1"/>
        <v>1</v>
      </c>
      <c r="L223" s="70">
        <f t="array" aca="1" ref="L223" ca="1">IF(N223=1,INDEX('Batasan Honor'!$B$2:$B993,MATCH(CONCATENATE($F223,"-",$G223),'Batasan Honor'!$G$2:$G993,0)),"")</f>
        <v>5400000</v>
      </c>
      <c r="M223" s="5">
        <v>1</v>
      </c>
      <c r="N223" s="10">
        <f t="shared" ca="1" si="3"/>
        <v>1</v>
      </c>
    </row>
    <row r="224" spans="1:14" ht="12.5">
      <c r="A224" s="10" t="str">
        <f ca="1">IFERROR(__xludf.DUMMYFUNCTION("""COMPUTED_VALUE"""),"610422100244-2024-6-SURVEI-PPL")</f>
        <v>610422100244-2024-6-SURVEI-PPL</v>
      </c>
      <c r="B224" s="5" t="str">
        <f t="shared" ca="1" si="0"/>
        <v>610422100244-2024-6</v>
      </c>
      <c r="C224" s="5">
        <f ca="1">IFERROR(__xludf.DUMMYFUNCTION("IF(N224=1,SPLIT(A224,""-""),"""")"),610422100244)</f>
        <v>610422100244</v>
      </c>
      <c r="D224" s="10">
        <f ca="1">IFERROR(__xludf.DUMMYFUNCTION("""COMPUTED_VALUE"""),2024)</f>
        <v>2024</v>
      </c>
      <c r="E224" s="10">
        <f ca="1">IFERROR(__xludf.DUMMYFUNCTION("""COMPUTED_VALUE"""),6)</f>
        <v>6</v>
      </c>
      <c r="F224" s="5" t="str">
        <f ca="1">IFERROR(__xludf.DUMMYFUNCTION("""COMPUTED_VALUE"""),"SURVEI")</f>
        <v>SURVEI</v>
      </c>
      <c r="G224" s="5" t="str">
        <f ca="1">IFERROR(__xludf.DUMMYFUNCTION("""COMPUTED_VALUE"""),"PPL")</f>
        <v>PPL</v>
      </c>
      <c r="H224" s="5" t="str">
        <f t="array" aca="1" ref="H224" ca="1">IF(N224=1, INDEX('Database Mitra'!$C$2:$C993,MATCH($C224,'Database Mitra'!$AK$2:$AK993,0)),"")</f>
        <v>Sugianto</v>
      </c>
      <c r="I224" s="71">
        <f ca="1">IF(N224=1,SUMIFS('Alokasi Honor'!$M$2:$M993,'Alokasi Honor'!$T$2:$T993,A224),"")</f>
        <v>1554000</v>
      </c>
      <c r="J224" s="10">
        <f ca="1">IFERROR(__xludf.DUMMYFUNCTION("COUNTIF(FILTER('Alokasi Honor'!$H$2:$H993,'Alokasi Honor'!$H$2:$H993=""OB"",'Alokasi Honor'!$T$2:$T993=A224),""OB"")"),0)</f>
        <v>0</v>
      </c>
      <c r="K224" s="10">
        <f t="shared" ca="1" si="1"/>
        <v>1</v>
      </c>
      <c r="L224" s="70">
        <f t="array" aca="1" ref="L224" ca="1">IF(N224=1,INDEX('Batasan Honor'!$B$2:$B993,MATCH(CONCATENATE($F224,"-",$G224),'Batasan Honor'!$G$2:$G993,0)),"")</f>
        <v>5400000</v>
      </c>
      <c r="M224" s="10">
        <f t="shared" ref="M224:M443" ca="1" si="4">IF(N224=1,IF(OR(I224&gt;L224,AND(COUNTIFS($J$2:$J993,1,$B$2:$B993,B224)&gt;=1,K224&gt;1)),0,1),"")</f>
        <v>1</v>
      </c>
      <c r="N224" s="10">
        <f t="shared" ca="1" si="3"/>
        <v>1</v>
      </c>
    </row>
    <row r="225" spans="1:14" ht="12.5">
      <c r="A225" s="10" t="str">
        <f ca="1">IFERROR(__xludf.DUMMYFUNCTION("""COMPUTED_VALUE"""),"610422100124-2024-6-SURVEI-PPL")</f>
        <v>610422100124-2024-6-SURVEI-PPL</v>
      </c>
      <c r="B225" s="5" t="str">
        <f t="shared" ca="1" si="0"/>
        <v>610422100124-2024-6</v>
      </c>
      <c r="C225" s="5">
        <f ca="1">IFERROR(__xludf.DUMMYFUNCTION("IF(N225=1,SPLIT(A225,""-""),"""")"),610422100124)</f>
        <v>610422100124</v>
      </c>
      <c r="D225" s="10">
        <f ca="1">IFERROR(__xludf.DUMMYFUNCTION("""COMPUTED_VALUE"""),2024)</f>
        <v>2024</v>
      </c>
      <c r="E225" s="10">
        <f ca="1">IFERROR(__xludf.DUMMYFUNCTION("""COMPUTED_VALUE"""),6)</f>
        <v>6</v>
      </c>
      <c r="F225" s="5" t="str">
        <f ca="1">IFERROR(__xludf.DUMMYFUNCTION("""COMPUTED_VALUE"""),"SURVEI")</f>
        <v>SURVEI</v>
      </c>
      <c r="G225" s="5" t="str">
        <f ca="1">IFERROR(__xludf.DUMMYFUNCTION("""COMPUTED_VALUE"""),"PPL")</f>
        <v>PPL</v>
      </c>
      <c r="H225" s="5" t="str">
        <f t="array" aca="1" ref="H225" ca="1">IF(N225=1, INDEX('Database Mitra'!$C$2:$C993,MATCH($C225,'Database Mitra'!$AK$2:$AK993,0)),"")</f>
        <v>Prabowo</v>
      </c>
      <c r="I225" s="71">
        <f ca="1">IF(N225=1,SUMIFS('Alokasi Honor'!$M$2:$M993,'Alokasi Honor'!$T$2:$T993,A225),"")</f>
        <v>325000</v>
      </c>
      <c r="J225" s="10">
        <f ca="1">IFERROR(__xludf.DUMMYFUNCTION("COUNTIF(FILTER('Alokasi Honor'!$H$2:$H993,'Alokasi Honor'!$H$2:$H993=""OB"",'Alokasi Honor'!$T$2:$T993=A225),""OB"")"),0)</f>
        <v>0</v>
      </c>
      <c r="K225" s="10">
        <f t="shared" ca="1" si="1"/>
        <v>1</v>
      </c>
      <c r="L225" s="70">
        <f t="array" aca="1" ref="L225" ca="1">IF(N225=1,INDEX('Batasan Honor'!$B$2:$B993,MATCH(CONCATENATE($F225,"-",$G225),'Batasan Honor'!$G$2:$G993,0)),"")</f>
        <v>5400000</v>
      </c>
      <c r="M225" s="10">
        <f t="shared" ca="1" si="4"/>
        <v>1</v>
      </c>
      <c r="N225" s="10">
        <f t="shared" ca="1" si="3"/>
        <v>1</v>
      </c>
    </row>
    <row r="226" spans="1:14" ht="12.5">
      <c r="A226" s="10" t="str">
        <f ca="1">IFERROR(__xludf.DUMMYFUNCTION("""COMPUTED_VALUE"""),"610422050001-2024-6-SURVEI-PPL")</f>
        <v>610422050001-2024-6-SURVEI-PPL</v>
      </c>
      <c r="B226" s="5" t="str">
        <f t="shared" ca="1" si="0"/>
        <v>610422050001-2024-6</v>
      </c>
      <c r="C226" s="5">
        <f ca="1">IFERROR(__xludf.DUMMYFUNCTION("IF(N226=1,SPLIT(A226,""-""),"""")"),610422050001)</f>
        <v>610422050001</v>
      </c>
      <c r="D226" s="10">
        <f ca="1">IFERROR(__xludf.DUMMYFUNCTION("""COMPUTED_VALUE"""),2024)</f>
        <v>2024</v>
      </c>
      <c r="E226" s="10">
        <f ca="1">IFERROR(__xludf.DUMMYFUNCTION("""COMPUTED_VALUE"""),6)</f>
        <v>6</v>
      </c>
      <c r="F226" s="5" t="str">
        <f ca="1">IFERROR(__xludf.DUMMYFUNCTION("""COMPUTED_VALUE"""),"SURVEI")</f>
        <v>SURVEI</v>
      </c>
      <c r="G226" s="5" t="str">
        <f ca="1">IFERROR(__xludf.DUMMYFUNCTION("""COMPUTED_VALUE"""),"PPL")</f>
        <v>PPL</v>
      </c>
      <c r="H226" s="5" t="str">
        <f t="array" aca="1" ref="H226" ca="1">IF(N226=1, INDEX('Database Mitra'!$C$2:$C993,MATCH($C226,'Database Mitra'!$AK$2:$AK993,0)),"")</f>
        <v>EVI JUNIARTY</v>
      </c>
      <c r="I226" s="71">
        <f ca="1">IF(N226=1,SUMIFS('Alokasi Honor'!$M$2:$M993,'Alokasi Honor'!$T$2:$T993,A226),"")</f>
        <v>250000</v>
      </c>
      <c r="J226" s="10">
        <f ca="1">IFERROR(__xludf.DUMMYFUNCTION("COUNTIF(FILTER('Alokasi Honor'!$H$2:$H993,'Alokasi Honor'!$H$2:$H993=""OB"",'Alokasi Honor'!$T$2:$T993=A226),""OB"")"),0)</f>
        <v>0</v>
      </c>
      <c r="K226" s="10">
        <f t="shared" ca="1" si="1"/>
        <v>2</v>
      </c>
      <c r="L226" s="70">
        <f t="array" aca="1" ref="L226" ca="1">IF(N226=1,INDEX('Batasan Honor'!$B$2:$B993,MATCH(CONCATENATE($F226,"-",$G226),'Batasan Honor'!$G$2:$G993,0)),"")</f>
        <v>5400000</v>
      </c>
      <c r="M226" s="10">
        <f t="shared" ca="1" si="4"/>
        <v>0</v>
      </c>
      <c r="N226" s="10">
        <f t="shared" ca="1" si="3"/>
        <v>1</v>
      </c>
    </row>
    <row r="227" spans="1:14" ht="12.5">
      <c r="A227" s="10" t="str">
        <f ca="1">IFERROR(__xludf.DUMMYFUNCTION("""COMPUTED_VALUE"""),"610422020016-2024-6-SURVEI-PPL")</f>
        <v>610422020016-2024-6-SURVEI-PPL</v>
      </c>
      <c r="B227" s="5" t="str">
        <f t="shared" ca="1" si="0"/>
        <v>610422020016-2024-6</v>
      </c>
      <c r="C227" s="5">
        <f ca="1">IFERROR(__xludf.DUMMYFUNCTION("IF(N227=1,SPLIT(A227,""-""),"""")"),610422020016)</f>
        <v>610422020016</v>
      </c>
      <c r="D227" s="10">
        <f ca="1">IFERROR(__xludf.DUMMYFUNCTION("""COMPUTED_VALUE"""),2024)</f>
        <v>2024</v>
      </c>
      <c r="E227" s="10">
        <f ca="1">IFERROR(__xludf.DUMMYFUNCTION("""COMPUTED_VALUE"""),6)</f>
        <v>6</v>
      </c>
      <c r="F227" s="5" t="str">
        <f ca="1">IFERROR(__xludf.DUMMYFUNCTION("""COMPUTED_VALUE"""),"SURVEI")</f>
        <v>SURVEI</v>
      </c>
      <c r="G227" s="5" t="str">
        <f ca="1">IFERROR(__xludf.DUMMYFUNCTION("""COMPUTED_VALUE"""),"PPL")</f>
        <v>PPL</v>
      </c>
      <c r="H227" s="5" t="str">
        <f t="array" aca="1" ref="H227" ca="1">IF(N227=1, INDEX('Database Mitra'!$C$2:$C993,MATCH($C227,'Database Mitra'!$AK$2:$AK993,0)),"")</f>
        <v>Abdul Aziz</v>
      </c>
      <c r="I227" s="71">
        <f ca="1">IF(N227=1,SUMIFS('Alokasi Honor'!$M$2:$M993,'Alokasi Honor'!$T$2:$T993,A227),"")</f>
        <v>763000</v>
      </c>
      <c r="J227" s="10">
        <f ca="1">IFERROR(__xludf.DUMMYFUNCTION("COUNTIF(FILTER('Alokasi Honor'!$H$2:$H993,'Alokasi Honor'!$H$2:$H993=""OB"",'Alokasi Honor'!$T$2:$T993=A227),""OB"")"),0)</f>
        <v>0</v>
      </c>
      <c r="K227" s="10">
        <f t="shared" ca="1" si="1"/>
        <v>1</v>
      </c>
      <c r="L227" s="70">
        <f t="array" aca="1" ref="L227" ca="1">IF(N227=1,INDEX('Batasan Honor'!$B$2:$B993,MATCH(CONCATENATE($F227,"-",$G227),'Batasan Honor'!$G$2:$G993,0)),"")</f>
        <v>5400000</v>
      </c>
      <c r="M227" s="10">
        <f t="shared" ca="1" si="4"/>
        <v>1</v>
      </c>
      <c r="N227" s="10">
        <f t="shared" ca="1" si="3"/>
        <v>1</v>
      </c>
    </row>
    <row r="228" spans="1:14" ht="12.5">
      <c r="A228" s="10" t="str">
        <f ca="1">IFERROR(__xludf.DUMMYFUNCTION("""COMPUTED_VALUE"""),"610422040030-2024-6-SURVEI-PPL")</f>
        <v>610422040030-2024-6-SURVEI-PPL</v>
      </c>
      <c r="B228" s="5" t="str">
        <f t="shared" ca="1" si="0"/>
        <v>610422040030-2024-6</v>
      </c>
      <c r="C228" s="5">
        <f ca="1">IFERROR(__xludf.DUMMYFUNCTION("IF(N228=1,SPLIT(A228,""-""),"""")"),610422040030)</f>
        <v>610422040030</v>
      </c>
      <c r="D228" s="10">
        <f ca="1">IFERROR(__xludf.DUMMYFUNCTION("""COMPUTED_VALUE"""),2024)</f>
        <v>2024</v>
      </c>
      <c r="E228" s="10">
        <f ca="1">IFERROR(__xludf.DUMMYFUNCTION("""COMPUTED_VALUE"""),6)</f>
        <v>6</v>
      </c>
      <c r="F228" s="5" t="str">
        <f ca="1">IFERROR(__xludf.DUMMYFUNCTION("""COMPUTED_VALUE"""),"SURVEI")</f>
        <v>SURVEI</v>
      </c>
      <c r="G228" s="5" t="str">
        <f ca="1">IFERROR(__xludf.DUMMYFUNCTION("""COMPUTED_VALUE"""),"PPL")</f>
        <v>PPL</v>
      </c>
      <c r="H228" s="5" t="str">
        <f t="array" aca="1" ref="H228" ca="1">IF(N228=1, INDEX('Database Mitra'!$C$2:$C993,MATCH($C228,'Database Mitra'!$AK$2:$AK993,0)),"")</f>
        <v>Syarifah Desti Pratiwi</v>
      </c>
      <c r="I228" s="71">
        <f ca="1">IF(N228=1,SUMIFS('Alokasi Honor'!$M$2:$M993,'Alokasi Honor'!$T$2:$T993,A228),"")</f>
        <v>55000</v>
      </c>
      <c r="J228" s="10">
        <f ca="1">IFERROR(__xludf.DUMMYFUNCTION("COUNTIF(FILTER('Alokasi Honor'!$H$2:$H993,'Alokasi Honor'!$H$2:$H993=""OB"",'Alokasi Honor'!$T$2:$T993=A228),""OB"")"),0)</f>
        <v>0</v>
      </c>
      <c r="K228" s="10">
        <f t="shared" ca="1" si="1"/>
        <v>1</v>
      </c>
      <c r="L228" s="70">
        <f t="array" aca="1" ref="L228" ca="1">IF(N228=1,INDEX('Batasan Honor'!$B$2:$B993,MATCH(CONCATENATE($F228,"-",$G228),'Batasan Honor'!$G$2:$G993,0)),"")</f>
        <v>5400000</v>
      </c>
      <c r="M228" s="10">
        <f t="shared" ca="1" si="4"/>
        <v>1</v>
      </c>
      <c r="N228" s="10">
        <f t="shared" ca="1" si="3"/>
        <v>1</v>
      </c>
    </row>
    <row r="229" spans="1:14" ht="12.5">
      <c r="A229" s="10" t="str">
        <f ca="1">IFERROR(__xludf.DUMMYFUNCTION("""COMPUTED_VALUE"""),"610422020048-2024-6-SURVEI-PPL")</f>
        <v>610422020048-2024-6-SURVEI-PPL</v>
      </c>
      <c r="B229" s="5" t="str">
        <f t="shared" ca="1" si="0"/>
        <v>610422020048-2024-6</v>
      </c>
      <c r="C229" s="5">
        <f ca="1">IFERROR(__xludf.DUMMYFUNCTION("IF(N229=1,SPLIT(A229,""-""),"""")"),610422020048)</f>
        <v>610422020048</v>
      </c>
      <c r="D229" s="10">
        <f ca="1">IFERROR(__xludf.DUMMYFUNCTION("""COMPUTED_VALUE"""),2024)</f>
        <v>2024</v>
      </c>
      <c r="E229" s="10">
        <f ca="1">IFERROR(__xludf.DUMMYFUNCTION("""COMPUTED_VALUE"""),6)</f>
        <v>6</v>
      </c>
      <c r="F229" s="5" t="str">
        <f ca="1">IFERROR(__xludf.DUMMYFUNCTION("""COMPUTED_VALUE"""),"SURVEI")</f>
        <v>SURVEI</v>
      </c>
      <c r="G229" s="5" t="str">
        <f ca="1">IFERROR(__xludf.DUMMYFUNCTION("""COMPUTED_VALUE"""),"PPL")</f>
        <v>PPL</v>
      </c>
      <c r="H229" s="5" t="str">
        <f t="array" aca="1" ref="H229" ca="1">IF(N229=1, INDEX('Database Mitra'!$C$2:$C993,MATCH($C229,'Database Mitra'!$AK$2:$AK993,0)),"")</f>
        <v>Herri Gustaman</v>
      </c>
      <c r="I229" s="71">
        <f ca="1">IF(N229=1,SUMIFS('Alokasi Honor'!$M$2:$M993,'Alokasi Honor'!$T$2:$T993,A229),"")</f>
        <v>1337000</v>
      </c>
      <c r="J229" s="10">
        <f ca="1">IFERROR(__xludf.DUMMYFUNCTION("COUNTIF(FILTER('Alokasi Honor'!$H$2:$H993,'Alokasi Honor'!$H$2:$H993=""OB"",'Alokasi Honor'!$T$2:$T993=A229),""OB"")"),0)</f>
        <v>0</v>
      </c>
      <c r="K229" s="10">
        <f t="shared" ca="1" si="1"/>
        <v>1</v>
      </c>
      <c r="L229" s="70">
        <f t="array" aca="1" ref="L229" ca="1">IF(N229=1,INDEX('Batasan Honor'!$B$2:$B993,MATCH(CONCATENATE($F229,"-",$G229),'Batasan Honor'!$G$2:$G993,0)),"")</f>
        <v>5400000</v>
      </c>
      <c r="M229" s="10">
        <f t="shared" ca="1" si="4"/>
        <v>1</v>
      </c>
      <c r="N229" s="10">
        <f t="shared" ca="1" si="3"/>
        <v>1</v>
      </c>
    </row>
    <row r="230" spans="1:14" ht="12.5">
      <c r="A230" s="10" t="str">
        <f ca="1">IFERROR(__xludf.DUMMYFUNCTION("""COMPUTED_VALUE"""),"610422040029-2024-6-SURVEI-PPL")</f>
        <v>610422040029-2024-6-SURVEI-PPL</v>
      </c>
      <c r="B230" s="5" t="str">
        <f t="shared" ca="1" si="0"/>
        <v>610422040029-2024-6</v>
      </c>
      <c r="C230" s="5">
        <f ca="1">IFERROR(__xludf.DUMMYFUNCTION("IF(N230=1,SPLIT(A230,""-""),"""")"),610422040029)</f>
        <v>610422040029</v>
      </c>
      <c r="D230" s="10">
        <f ca="1">IFERROR(__xludf.DUMMYFUNCTION("""COMPUTED_VALUE"""),2024)</f>
        <v>2024</v>
      </c>
      <c r="E230" s="10">
        <f ca="1">IFERROR(__xludf.DUMMYFUNCTION("""COMPUTED_VALUE"""),6)</f>
        <v>6</v>
      </c>
      <c r="F230" s="5" t="str">
        <f ca="1">IFERROR(__xludf.DUMMYFUNCTION("""COMPUTED_VALUE"""),"SURVEI")</f>
        <v>SURVEI</v>
      </c>
      <c r="G230" s="5" t="str">
        <f ca="1">IFERROR(__xludf.DUMMYFUNCTION("""COMPUTED_VALUE"""),"PPL")</f>
        <v>PPL</v>
      </c>
      <c r="H230" s="5" t="str">
        <f t="array" aca="1" ref="H230" ca="1">IF(N230=1, INDEX('Database Mitra'!$C$2:$C993,MATCH($C230,'Database Mitra'!$AK$2:$AK993,0)),"")</f>
        <v>Zaini</v>
      </c>
      <c r="I230" s="71">
        <f ca="1">IF(N230=1,SUMIFS('Alokasi Honor'!$M$2:$M993,'Alokasi Honor'!$T$2:$T993,A230),"")</f>
        <v>385000</v>
      </c>
      <c r="J230" s="10">
        <f ca="1">IFERROR(__xludf.DUMMYFUNCTION("COUNTIF(FILTER('Alokasi Honor'!$H$2:$H993,'Alokasi Honor'!$H$2:$H993=""OB"",'Alokasi Honor'!$T$2:$T993=A230),""OB"")"),0)</f>
        <v>0</v>
      </c>
      <c r="K230" s="10">
        <f t="shared" ca="1" si="1"/>
        <v>1</v>
      </c>
      <c r="L230" s="70">
        <f t="array" aca="1" ref="L230" ca="1">IF(N230=1,INDEX('Batasan Honor'!$B$2:$B993,MATCH(CONCATENATE($F230,"-",$G230),'Batasan Honor'!$G$2:$G993,0)),"")</f>
        <v>5400000</v>
      </c>
      <c r="M230" s="10">
        <f t="shared" ca="1" si="4"/>
        <v>1</v>
      </c>
      <c r="N230" s="10">
        <f t="shared" ca="1" si="3"/>
        <v>1</v>
      </c>
    </row>
    <row r="231" spans="1:14" ht="12.5">
      <c r="A231" s="10" t="str">
        <f ca="1">IFERROR(__xludf.DUMMYFUNCTION("""COMPUTED_VALUE"""),"610422100165-2024-6-SURVEI-PPL")</f>
        <v>610422100165-2024-6-SURVEI-PPL</v>
      </c>
      <c r="B231" s="5" t="str">
        <f t="shared" ca="1" si="0"/>
        <v>610422100165-2024-6</v>
      </c>
      <c r="C231" s="5">
        <f ca="1">IFERROR(__xludf.DUMMYFUNCTION("IF(N231=1,SPLIT(A231,""-""),"""")"),610422100165)</f>
        <v>610422100165</v>
      </c>
      <c r="D231" s="10">
        <f ca="1">IFERROR(__xludf.DUMMYFUNCTION("""COMPUTED_VALUE"""),2024)</f>
        <v>2024</v>
      </c>
      <c r="E231" s="10">
        <f ca="1">IFERROR(__xludf.DUMMYFUNCTION("""COMPUTED_VALUE"""),6)</f>
        <v>6</v>
      </c>
      <c r="F231" s="5" t="str">
        <f ca="1">IFERROR(__xludf.DUMMYFUNCTION("""COMPUTED_VALUE"""),"SURVEI")</f>
        <v>SURVEI</v>
      </c>
      <c r="G231" s="5" t="str">
        <f ca="1">IFERROR(__xludf.DUMMYFUNCTION("""COMPUTED_VALUE"""),"PPL")</f>
        <v>PPL</v>
      </c>
      <c r="H231" s="5" t="str">
        <f t="array" aca="1" ref="H231" ca="1">IF(N231=1, INDEX('Database Mitra'!$C$2:$C993,MATCH($C231,'Database Mitra'!$AK$2:$AK993,0)),"")</f>
        <v>Yanti</v>
      </c>
      <c r="I231" s="71">
        <f ca="1">IF(N231=1,SUMIFS('Alokasi Honor'!$M$2:$M993,'Alokasi Honor'!$T$2:$T993,A231),"")</f>
        <v>325000</v>
      </c>
      <c r="J231" s="10">
        <f ca="1">IFERROR(__xludf.DUMMYFUNCTION("COUNTIF(FILTER('Alokasi Honor'!$H$2:$H993,'Alokasi Honor'!$H$2:$H993=""OB"",'Alokasi Honor'!$T$2:$T993=A231),""OB"")"),0)</f>
        <v>0</v>
      </c>
      <c r="K231" s="10">
        <f t="shared" ca="1" si="1"/>
        <v>1</v>
      </c>
      <c r="L231" s="70">
        <f t="array" aca="1" ref="L231" ca="1">IF(N231=1,INDEX('Batasan Honor'!$B$2:$B993,MATCH(CONCATENATE($F231,"-",$G231),'Batasan Honor'!$G$2:$G993,0)),"")</f>
        <v>5400000</v>
      </c>
      <c r="M231" s="10">
        <f t="shared" ca="1" si="4"/>
        <v>1</v>
      </c>
      <c r="N231" s="10">
        <f t="shared" ca="1" si="3"/>
        <v>1</v>
      </c>
    </row>
    <row r="232" spans="1:14" ht="12.5">
      <c r="A232" s="10" t="str">
        <f ca="1">IFERROR(__xludf.DUMMYFUNCTION("""COMPUTED_VALUE"""),"610422040056-2024-6-SURVEI-PPL")</f>
        <v>610422040056-2024-6-SURVEI-PPL</v>
      </c>
      <c r="B232" s="5" t="str">
        <f t="shared" ca="1" si="0"/>
        <v>610422040056-2024-6</v>
      </c>
      <c r="C232" s="5">
        <f ca="1">IFERROR(__xludf.DUMMYFUNCTION("IF(N232=1,SPLIT(A232,""-""),"""")"),610422040056)</f>
        <v>610422040056</v>
      </c>
      <c r="D232" s="10">
        <f ca="1">IFERROR(__xludf.DUMMYFUNCTION("""COMPUTED_VALUE"""),2024)</f>
        <v>2024</v>
      </c>
      <c r="E232" s="10">
        <f ca="1">IFERROR(__xludf.DUMMYFUNCTION("""COMPUTED_VALUE"""),6)</f>
        <v>6</v>
      </c>
      <c r="F232" s="5" t="str">
        <f ca="1">IFERROR(__xludf.DUMMYFUNCTION("""COMPUTED_VALUE"""),"SURVEI")</f>
        <v>SURVEI</v>
      </c>
      <c r="G232" s="5" t="str">
        <f ca="1">IFERROR(__xludf.DUMMYFUNCTION("""COMPUTED_VALUE"""),"PPL")</f>
        <v>PPL</v>
      </c>
      <c r="H232" s="5" t="str">
        <f t="array" aca="1" ref="H232" ca="1">IF(N232=1, INDEX('Database Mitra'!$C$2:$C993,MATCH($C232,'Database Mitra'!$AK$2:$AK993,0)),"")</f>
        <v>Wandi Syafari</v>
      </c>
      <c r="I232" s="71">
        <f ca="1">IF(N232=1,SUMIFS('Alokasi Honor'!$M$2:$M993,'Alokasi Honor'!$T$2:$T993,A232),"")</f>
        <v>275000</v>
      </c>
      <c r="J232" s="10">
        <f ca="1">IFERROR(__xludf.DUMMYFUNCTION("COUNTIF(FILTER('Alokasi Honor'!$H$2:$H993,'Alokasi Honor'!$H$2:$H993=""OB"",'Alokasi Honor'!$T$2:$T993=A232),""OB"")"),0)</f>
        <v>0</v>
      </c>
      <c r="K232" s="10">
        <f t="shared" ca="1" si="1"/>
        <v>1</v>
      </c>
      <c r="L232" s="70">
        <f t="array" aca="1" ref="L232" ca="1">IF(N232=1,INDEX('Batasan Honor'!$B$2:$B993,MATCH(CONCATENATE($F232,"-",$G232),'Batasan Honor'!$G$2:$G993,0)),"")</f>
        <v>5400000</v>
      </c>
      <c r="M232" s="10">
        <f t="shared" ca="1" si="4"/>
        <v>1</v>
      </c>
      <c r="N232" s="10">
        <f t="shared" ca="1" si="3"/>
        <v>1</v>
      </c>
    </row>
    <row r="233" spans="1:14" ht="12.5">
      <c r="A233" s="10" t="str">
        <f ca="1">IFERROR(__xludf.DUMMYFUNCTION("""COMPUTED_VALUE"""),"610422040012-2024-6-SURVEI-PPL")</f>
        <v>610422040012-2024-6-SURVEI-PPL</v>
      </c>
      <c r="B233" s="5" t="str">
        <f t="shared" ca="1" si="0"/>
        <v>610422040012-2024-6</v>
      </c>
      <c r="C233" s="5">
        <f ca="1">IFERROR(__xludf.DUMMYFUNCTION("IF(N233=1,SPLIT(A233,""-""),"""")"),610422040012)</f>
        <v>610422040012</v>
      </c>
      <c r="D233" s="10">
        <f ca="1">IFERROR(__xludf.DUMMYFUNCTION("""COMPUTED_VALUE"""),2024)</f>
        <v>2024</v>
      </c>
      <c r="E233" s="10">
        <f ca="1">IFERROR(__xludf.DUMMYFUNCTION("""COMPUTED_VALUE"""),6)</f>
        <v>6</v>
      </c>
      <c r="F233" s="5" t="str">
        <f ca="1">IFERROR(__xludf.DUMMYFUNCTION("""COMPUTED_VALUE"""),"SURVEI")</f>
        <v>SURVEI</v>
      </c>
      <c r="G233" s="5" t="str">
        <f ca="1">IFERROR(__xludf.DUMMYFUNCTION("""COMPUTED_VALUE"""),"PPL")</f>
        <v>PPL</v>
      </c>
      <c r="H233" s="5" t="str">
        <f t="array" aca="1" ref="H233" ca="1">IF(N233=1, INDEX('Database Mitra'!$C$2:$C993,MATCH($C233,'Database Mitra'!$AK$2:$AK993,0)),"")</f>
        <v>Misdi</v>
      </c>
      <c r="I233" s="71">
        <f ca="1">IF(N233=1,SUMIFS('Alokasi Honor'!$M$2:$M993,'Alokasi Honor'!$T$2:$T993,A233),"")</f>
        <v>348000</v>
      </c>
      <c r="J233" s="10">
        <f ca="1">IFERROR(__xludf.DUMMYFUNCTION("COUNTIF(FILTER('Alokasi Honor'!$H$2:$H993,'Alokasi Honor'!$H$2:$H993=""OB"",'Alokasi Honor'!$T$2:$T993=A233),""OB"")"),0)</f>
        <v>0</v>
      </c>
      <c r="K233" s="10">
        <f t="shared" ca="1" si="1"/>
        <v>1</v>
      </c>
      <c r="L233" s="70">
        <f t="array" aca="1" ref="L233" ca="1">IF(N233=1,INDEX('Batasan Honor'!$B$2:$B993,MATCH(CONCATENATE($F233,"-",$G233),'Batasan Honor'!$G$2:$G993,0)),"")</f>
        <v>5400000</v>
      </c>
      <c r="M233" s="10">
        <f t="shared" ca="1" si="4"/>
        <v>1</v>
      </c>
      <c r="N233" s="10">
        <f t="shared" ca="1" si="3"/>
        <v>1</v>
      </c>
    </row>
    <row r="234" spans="1:14" ht="12.5">
      <c r="A234" s="10" t="str">
        <f ca="1">IFERROR(__xludf.DUMMYFUNCTION("""COMPUTED_VALUE"""),"610422040061-2024-6-SURVEI-PPL")</f>
        <v>610422040061-2024-6-SURVEI-PPL</v>
      </c>
      <c r="B234" s="5" t="str">
        <f t="shared" ca="1" si="0"/>
        <v>610422040061-2024-6</v>
      </c>
      <c r="C234" s="5">
        <f ca="1">IFERROR(__xludf.DUMMYFUNCTION("IF(N234=1,SPLIT(A234,""-""),"""")"),610422040061)</f>
        <v>610422040061</v>
      </c>
      <c r="D234" s="10">
        <f ca="1">IFERROR(__xludf.DUMMYFUNCTION("""COMPUTED_VALUE"""),2024)</f>
        <v>2024</v>
      </c>
      <c r="E234" s="10">
        <f ca="1">IFERROR(__xludf.DUMMYFUNCTION("""COMPUTED_VALUE"""),6)</f>
        <v>6</v>
      </c>
      <c r="F234" s="5" t="str">
        <f ca="1">IFERROR(__xludf.DUMMYFUNCTION("""COMPUTED_VALUE"""),"SURVEI")</f>
        <v>SURVEI</v>
      </c>
      <c r="G234" s="5" t="str">
        <f ca="1">IFERROR(__xludf.DUMMYFUNCTION("""COMPUTED_VALUE"""),"PPL")</f>
        <v>PPL</v>
      </c>
      <c r="H234" s="5" t="str">
        <f t="array" aca="1" ref="H234" ca="1">IF(N234=1, INDEX('Database Mitra'!$C$2:$C993,MATCH($C234,'Database Mitra'!$AK$2:$AK993,0)),"")</f>
        <v>Sabani</v>
      </c>
      <c r="I234" s="71">
        <f ca="1">IF(N234=1,SUMIFS('Alokasi Honor'!$M$2:$M993,'Alokasi Honor'!$T$2:$T993,A234),"")</f>
        <v>696000</v>
      </c>
      <c r="J234" s="10">
        <f ca="1">IFERROR(__xludf.DUMMYFUNCTION("COUNTIF(FILTER('Alokasi Honor'!$H$2:$H993,'Alokasi Honor'!$H$2:$H993=""OB"",'Alokasi Honor'!$T$2:$T993=A234),""OB"")"),0)</f>
        <v>0</v>
      </c>
      <c r="K234" s="10">
        <f t="shared" ca="1" si="1"/>
        <v>1</v>
      </c>
      <c r="L234" s="70">
        <f t="array" aca="1" ref="L234" ca="1">IF(N234=1,INDEX('Batasan Honor'!$B$2:$B993,MATCH(CONCATENATE($F234,"-",$G234),'Batasan Honor'!$G$2:$G993,0)),"")</f>
        <v>5400000</v>
      </c>
      <c r="M234" s="10">
        <f t="shared" ca="1" si="4"/>
        <v>1</v>
      </c>
      <c r="N234" s="10">
        <f t="shared" ca="1" si="3"/>
        <v>1</v>
      </c>
    </row>
    <row r="235" spans="1:14" ht="12.5">
      <c r="A235" s="10" t="str">
        <f ca="1">IFERROR(__xludf.DUMMYFUNCTION("""COMPUTED_VALUE"""),"610422100176-2024-6-SURVEI-PPL")</f>
        <v>610422100176-2024-6-SURVEI-PPL</v>
      </c>
      <c r="B235" s="5" t="str">
        <f t="shared" ca="1" si="0"/>
        <v>610422100176-2024-6</v>
      </c>
      <c r="C235" s="5">
        <f ca="1">IFERROR(__xludf.DUMMYFUNCTION("IF(N235=1,SPLIT(A235,""-""),"""")"),610422100176)</f>
        <v>610422100176</v>
      </c>
      <c r="D235" s="10">
        <f ca="1">IFERROR(__xludf.DUMMYFUNCTION("""COMPUTED_VALUE"""),2024)</f>
        <v>2024</v>
      </c>
      <c r="E235" s="10">
        <f ca="1">IFERROR(__xludf.DUMMYFUNCTION("""COMPUTED_VALUE"""),6)</f>
        <v>6</v>
      </c>
      <c r="F235" s="5" t="str">
        <f ca="1">IFERROR(__xludf.DUMMYFUNCTION("""COMPUTED_VALUE"""),"SURVEI")</f>
        <v>SURVEI</v>
      </c>
      <c r="G235" s="5" t="str">
        <f ca="1">IFERROR(__xludf.DUMMYFUNCTION("""COMPUTED_VALUE"""),"PPL")</f>
        <v>PPL</v>
      </c>
      <c r="H235" s="5" t="str">
        <f t="array" aca="1" ref="H235" ca="1">IF(N235=1, INDEX('Database Mitra'!$C$2:$C993,MATCH($C235,'Database Mitra'!$AK$2:$AK993,0)),"")</f>
        <v>Feri Firdaus</v>
      </c>
      <c r="I235" s="71">
        <f ca="1">IF(N235=1,SUMIFS('Alokasi Honor'!$M$2:$M993,'Alokasi Honor'!$T$2:$T993,A235),"")</f>
        <v>348000</v>
      </c>
      <c r="J235" s="10">
        <f ca="1">IFERROR(__xludf.DUMMYFUNCTION("COUNTIF(FILTER('Alokasi Honor'!$H$2:$H993,'Alokasi Honor'!$H$2:$H993=""OB"",'Alokasi Honor'!$T$2:$T993=A235),""OB"")"),0)</f>
        <v>0</v>
      </c>
      <c r="K235" s="10">
        <f t="shared" ca="1" si="1"/>
        <v>1</v>
      </c>
      <c r="L235" s="70">
        <f t="array" aca="1" ref="L235" ca="1">IF(N235=1,INDEX('Batasan Honor'!$B$2:$B993,MATCH(CONCATENATE($F235,"-",$G235),'Batasan Honor'!$G$2:$G993,0)),"")</f>
        <v>5400000</v>
      </c>
      <c r="M235" s="10">
        <f t="shared" ca="1" si="4"/>
        <v>1</v>
      </c>
      <c r="N235" s="10">
        <f t="shared" ca="1" si="3"/>
        <v>1</v>
      </c>
    </row>
    <row r="236" spans="1:14" ht="12.5">
      <c r="A236" s="10" t="str">
        <f ca="1">IFERROR(__xludf.DUMMYFUNCTION("""COMPUTED_VALUE"""),"610423110183-2024-6-SURVEI-PPL")</f>
        <v>610423110183-2024-6-SURVEI-PPL</v>
      </c>
      <c r="B236" s="5" t="str">
        <f t="shared" ca="1" si="0"/>
        <v>610423110183-2024-6</v>
      </c>
      <c r="C236" s="5">
        <f ca="1">IFERROR(__xludf.DUMMYFUNCTION("IF(N236=1,SPLIT(A236,""-""),"""")"),610423110183)</f>
        <v>610423110183</v>
      </c>
      <c r="D236" s="10">
        <f ca="1">IFERROR(__xludf.DUMMYFUNCTION("""COMPUTED_VALUE"""),2024)</f>
        <v>2024</v>
      </c>
      <c r="E236" s="10">
        <f ca="1">IFERROR(__xludf.DUMMYFUNCTION("""COMPUTED_VALUE"""),6)</f>
        <v>6</v>
      </c>
      <c r="F236" s="5" t="str">
        <f ca="1">IFERROR(__xludf.DUMMYFUNCTION("""COMPUTED_VALUE"""),"SURVEI")</f>
        <v>SURVEI</v>
      </c>
      <c r="G236" s="5" t="str">
        <f ca="1">IFERROR(__xludf.DUMMYFUNCTION("""COMPUTED_VALUE"""),"PPL")</f>
        <v>PPL</v>
      </c>
      <c r="H236" s="5" t="str">
        <f t="array" aca="1" ref="H236" ca="1">IF(N236=1, INDEX('Database Mitra'!$C$2:$C993,MATCH($C236,'Database Mitra'!$AK$2:$AK993,0)),"")</f>
        <v>azhar</v>
      </c>
      <c r="I236" s="71">
        <f ca="1">IF(N236=1,SUMIFS('Alokasi Honor'!$M$2:$M993,'Alokasi Honor'!$T$2:$T993,A236),"")</f>
        <v>1050000</v>
      </c>
      <c r="J236" s="10">
        <f ca="1">IFERROR(__xludf.DUMMYFUNCTION("COUNTIF(FILTER('Alokasi Honor'!$H$2:$H993,'Alokasi Honor'!$H$2:$H993=""OB"",'Alokasi Honor'!$T$2:$T993=A236),""OB"")"),0)</f>
        <v>0</v>
      </c>
      <c r="K236" s="10">
        <f t="shared" ca="1" si="1"/>
        <v>1</v>
      </c>
      <c r="L236" s="70">
        <f t="array" aca="1" ref="L236" ca="1">IF(N236=1,INDEX('Batasan Honor'!$B$2:$B993,MATCH(CONCATENATE($F236,"-",$G236),'Batasan Honor'!$G$2:$G993,0)),"")</f>
        <v>5400000</v>
      </c>
      <c r="M236" s="10">
        <f t="shared" ca="1" si="4"/>
        <v>1</v>
      </c>
      <c r="N236" s="10">
        <f t="shared" ca="1" si="3"/>
        <v>1</v>
      </c>
    </row>
    <row r="237" spans="1:14" ht="12.5">
      <c r="A237" s="10" t="str">
        <f ca="1">IFERROR(__xludf.DUMMYFUNCTION("""COMPUTED_VALUE"""),"610422040058-2024-6-SURVEI-PPL")</f>
        <v>610422040058-2024-6-SURVEI-PPL</v>
      </c>
      <c r="B237" s="5" t="str">
        <f t="shared" ca="1" si="0"/>
        <v>610422040058-2024-6</v>
      </c>
      <c r="C237" s="5">
        <f ca="1">IFERROR(__xludf.DUMMYFUNCTION("IF(N237=1,SPLIT(A237,""-""),"""")"),610422040058)</f>
        <v>610422040058</v>
      </c>
      <c r="D237" s="10">
        <f ca="1">IFERROR(__xludf.DUMMYFUNCTION("""COMPUTED_VALUE"""),2024)</f>
        <v>2024</v>
      </c>
      <c r="E237" s="10">
        <f ca="1">IFERROR(__xludf.DUMMYFUNCTION("""COMPUTED_VALUE"""),6)</f>
        <v>6</v>
      </c>
      <c r="F237" s="5" t="str">
        <f ca="1">IFERROR(__xludf.DUMMYFUNCTION("""COMPUTED_VALUE"""),"SURVEI")</f>
        <v>SURVEI</v>
      </c>
      <c r="G237" s="5" t="str">
        <f ca="1">IFERROR(__xludf.DUMMYFUNCTION("""COMPUTED_VALUE"""),"PPL")</f>
        <v>PPL</v>
      </c>
      <c r="H237" s="5" t="str">
        <f t="array" aca="1" ref="H237" ca="1">IF(N237=1, INDEX('Database Mitra'!$C$2:$C993,MATCH($C237,'Database Mitra'!$AK$2:$AK993,0)),"")</f>
        <v>Jamaluddin, SP</v>
      </c>
      <c r="I237" s="71">
        <f ca="1">IF(N237=1,SUMIFS('Alokasi Honor'!$M$2:$M993,'Alokasi Honor'!$T$2:$T993,A237),"")</f>
        <v>590000</v>
      </c>
      <c r="J237" s="10">
        <f ca="1">IFERROR(__xludf.DUMMYFUNCTION("COUNTIF(FILTER('Alokasi Honor'!$H$2:$H993,'Alokasi Honor'!$H$2:$H993=""OB"",'Alokasi Honor'!$T$2:$T993=A237),""OB"")"),0)</f>
        <v>0</v>
      </c>
      <c r="K237" s="10">
        <f t="shared" ca="1" si="1"/>
        <v>1</v>
      </c>
      <c r="L237" s="70">
        <f t="array" aca="1" ref="L237" ca="1">IF(N237=1,INDEX('Batasan Honor'!$B$2:$B993,MATCH(CONCATENATE($F237,"-",$G237),'Batasan Honor'!$G$2:$G993,0)),"")</f>
        <v>5400000</v>
      </c>
      <c r="M237" s="10">
        <f t="shared" ca="1" si="4"/>
        <v>1</v>
      </c>
      <c r="N237" s="10">
        <f t="shared" ca="1" si="3"/>
        <v>1</v>
      </c>
    </row>
    <row r="238" spans="1:14" ht="12.5">
      <c r="A238" s="10" t="str">
        <f ca="1">IFERROR(__xludf.DUMMYFUNCTION("""COMPUTED_VALUE"""),"610422020045-2024-6-SENSUS-PPL")</f>
        <v>610422020045-2024-6-SENSUS-PPL</v>
      </c>
      <c r="B238" s="5" t="str">
        <f t="shared" ca="1" si="0"/>
        <v>610422020045-2024-6</v>
      </c>
      <c r="C238" s="5">
        <f ca="1">IFERROR(__xludf.DUMMYFUNCTION("IF(N238=1,SPLIT(A238,""-""),"""")"),610422020045)</f>
        <v>610422020045</v>
      </c>
      <c r="D238" s="10">
        <f ca="1">IFERROR(__xludf.DUMMYFUNCTION("""COMPUTED_VALUE"""),2024)</f>
        <v>2024</v>
      </c>
      <c r="E238" s="10">
        <f ca="1">IFERROR(__xludf.DUMMYFUNCTION("""COMPUTED_VALUE"""),6)</f>
        <v>6</v>
      </c>
      <c r="F238" s="5" t="str">
        <f ca="1">IFERROR(__xludf.DUMMYFUNCTION("""COMPUTED_VALUE"""),"SENSUS")</f>
        <v>SENSUS</v>
      </c>
      <c r="G238" s="5" t="str">
        <f ca="1">IFERROR(__xludf.DUMMYFUNCTION("""COMPUTED_VALUE"""),"PPL")</f>
        <v>PPL</v>
      </c>
      <c r="H238" s="5" t="str">
        <f t="array" aca="1" ref="H238" ca="1">IF(N238=1, INDEX('Database Mitra'!$C$2:$C993,MATCH($C238,'Database Mitra'!$AK$2:$AK993,0)),"")</f>
        <v>Herdinatara Febria</v>
      </c>
      <c r="I238" s="71">
        <f ca="1">IF(N238=1,SUMIFS('Alokasi Honor'!$M$2:$M993,'Alokasi Honor'!$T$2:$T993,A238),"")</f>
        <v>4694000</v>
      </c>
      <c r="J238" s="10">
        <f ca="1">IFERROR(__xludf.DUMMYFUNCTION("COUNTIF(FILTER('Alokasi Honor'!$H$2:$H993,'Alokasi Honor'!$H$2:$H993=""OB"",'Alokasi Honor'!$T$2:$T993=A238),""OB"")"),1)</f>
        <v>1</v>
      </c>
      <c r="K238" s="10">
        <f t="shared" ca="1" si="1"/>
        <v>1</v>
      </c>
      <c r="L238" s="70">
        <f t="array" aca="1" ref="L238" ca="1">IF(N238=1,INDEX('Batasan Honor'!$B$2:$B993,MATCH(CONCATENATE($F238,"-",$G238),'Batasan Honor'!$G$2:$G993,0)),"")</f>
        <v>5400000</v>
      </c>
      <c r="M238" s="10">
        <f t="shared" ca="1" si="4"/>
        <v>1</v>
      </c>
      <c r="N238" s="10">
        <f t="shared" ca="1" si="3"/>
        <v>1</v>
      </c>
    </row>
    <row r="239" spans="1:14" ht="12.5">
      <c r="A239" s="10" t="str">
        <f ca="1">IFERROR(__xludf.DUMMYFUNCTION("""COMPUTED_VALUE"""),"610422020012-2024-6-SENSUS-PPL")</f>
        <v>610422020012-2024-6-SENSUS-PPL</v>
      </c>
      <c r="B239" s="5" t="str">
        <f t="shared" ca="1" si="0"/>
        <v>610422020012-2024-6</v>
      </c>
      <c r="C239" s="5">
        <f ca="1">IFERROR(__xludf.DUMMYFUNCTION("IF(N239=1,SPLIT(A239,""-""),"""")"),610422020012)</f>
        <v>610422020012</v>
      </c>
      <c r="D239" s="10">
        <f ca="1">IFERROR(__xludf.DUMMYFUNCTION("""COMPUTED_VALUE"""),2024)</f>
        <v>2024</v>
      </c>
      <c r="E239" s="10">
        <f ca="1">IFERROR(__xludf.DUMMYFUNCTION("""COMPUTED_VALUE"""),6)</f>
        <v>6</v>
      </c>
      <c r="F239" s="5" t="str">
        <f ca="1">IFERROR(__xludf.DUMMYFUNCTION("""COMPUTED_VALUE"""),"SENSUS")</f>
        <v>SENSUS</v>
      </c>
      <c r="G239" s="5" t="str">
        <f ca="1">IFERROR(__xludf.DUMMYFUNCTION("""COMPUTED_VALUE"""),"PPL")</f>
        <v>PPL</v>
      </c>
      <c r="H239" s="5" t="str">
        <f t="array" aca="1" ref="H239" ca="1">IF(N239=1, INDEX('Database Mitra'!$C$2:$C993,MATCH($C239,'Database Mitra'!$AK$2:$AK993,0)),"")</f>
        <v>ISUL</v>
      </c>
      <c r="I239" s="71">
        <f ca="1">IF(N239=1,SUMIFS('Alokasi Honor'!$M$2:$M993,'Alokasi Honor'!$T$2:$T993,A239),"")</f>
        <v>4694000</v>
      </c>
      <c r="J239" s="10">
        <f ca="1">IFERROR(__xludf.DUMMYFUNCTION("COUNTIF(FILTER('Alokasi Honor'!$H$2:$H993,'Alokasi Honor'!$H$2:$H993=""OB"",'Alokasi Honor'!$T$2:$T993=A239),""OB"")"),1)</f>
        <v>1</v>
      </c>
      <c r="K239" s="10">
        <f t="shared" ca="1" si="1"/>
        <v>1</v>
      </c>
      <c r="L239" s="70">
        <f t="array" aca="1" ref="L239" ca="1">IF(N239=1,INDEX('Batasan Honor'!$B$2:$B993,MATCH(CONCATENATE($F239,"-",$G239),'Batasan Honor'!$G$2:$G993,0)),"")</f>
        <v>5400000</v>
      </c>
      <c r="M239" s="10">
        <f t="shared" ca="1" si="4"/>
        <v>1</v>
      </c>
      <c r="N239" s="10">
        <f t="shared" ca="1" si="3"/>
        <v>1</v>
      </c>
    </row>
    <row r="240" spans="1:14" ht="12.5">
      <c r="A240" s="10" t="str">
        <f ca="1">IFERROR(__xludf.DUMMYFUNCTION("""COMPUTED_VALUE"""),"610422020032-2024-6-SENSUS-PPL")</f>
        <v>610422020032-2024-6-SENSUS-PPL</v>
      </c>
      <c r="B240" s="5" t="str">
        <f t="shared" ca="1" si="0"/>
        <v>610422020032-2024-6</v>
      </c>
      <c r="C240" s="5">
        <f ca="1">IFERROR(__xludf.DUMMYFUNCTION("IF(N240=1,SPLIT(A240,""-""),"""")"),610422020032)</f>
        <v>610422020032</v>
      </c>
      <c r="D240" s="10">
        <f ca="1">IFERROR(__xludf.DUMMYFUNCTION("""COMPUTED_VALUE"""),2024)</f>
        <v>2024</v>
      </c>
      <c r="E240" s="10">
        <f ca="1">IFERROR(__xludf.DUMMYFUNCTION("""COMPUTED_VALUE"""),6)</f>
        <v>6</v>
      </c>
      <c r="F240" s="5" t="str">
        <f ca="1">IFERROR(__xludf.DUMMYFUNCTION("""COMPUTED_VALUE"""),"SENSUS")</f>
        <v>SENSUS</v>
      </c>
      <c r="G240" s="5" t="str">
        <f ca="1">IFERROR(__xludf.DUMMYFUNCTION("""COMPUTED_VALUE"""),"PPL")</f>
        <v>PPL</v>
      </c>
      <c r="H240" s="5" t="str">
        <f t="array" aca="1" ref="H240" ca="1">IF(N240=1, INDEX('Database Mitra'!$C$2:$C993,MATCH($C240,'Database Mitra'!$AK$2:$AK993,0)),"")</f>
        <v>Lilis Suryani</v>
      </c>
      <c r="I240" s="71">
        <f ca="1">IF(N240=1,SUMIFS('Alokasi Honor'!$M$2:$M993,'Alokasi Honor'!$T$2:$T993,A240),"")</f>
        <v>4694000</v>
      </c>
      <c r="J240" s="10">
        <f ca="1">IFERROR(__xludf.DUMMYFUNCTION("COUNTIF(FILTER('Alokasi Honor'!$H$2:$H993,'Alokasi Honor'!$H$2:$H993=""OB"",'Alokasi Honor'!$T$2:$T993=A240),""OB"")"),1)</f>
        <v>1</v>
      </c>
      <c r="K240" s="10">
        <f t="shared" ca="1" si="1"/>
        <v>1</v>
      </c>
      <c r="L240" s="70">
        <f t="array" aca="1" ref="L240" ca="1">IF(N240=1,INDEX('Batasan Honor'!$B$2:$B993,MATCH(CONCATENATE($F240,"-",$G240),'Batasan Honor'!$G$2:$G993,0)),"")</f>
        <v>5400000</v>
      </c>
      <c r="M240" s="10">
        <f t="shared" ca="1" si="4"/>
        <v>1</v>
      </c>
      <c r="N240" s="10">
        <f t="shared" ca="1" si="3"/>
        <v>1</v>
      </c>
    </row>
    <row r="241" spans="1:14" ht="12.5">
      <c r="A241" s="10" t="str">
        <f ca="1">IFERROR(__xludf.DUMMYFUNCTION("""COMPUTED_VALUE"""),"610422030001-2024-6-SENSUS-PPL")</f>
        <v>610422030001-2024-6-SENSUS-PPL</v>
      </c>
      <c r="B241" s="5" t="str">
        <f t="shared" ca="1" si="0"/>
        <v>610422030001-2024-6</v>
      </c>
      <c r="C241" s="5">
        <f ca="1">IFERROR(__xludf.DUMMYFUNCTION("IF(N241=1,SPLIT(A241,""-""),"""")"),610422030001)</f>
        <v>610422030001</v>
      </c>
      <c r="D241" s="10">
        <f ca="1">IFERROR(__xludf.DUMMYFUNCTION("""COMPUTED_VALUE"""),2024)</f>
        <v>2024</v>
      </c>
      <c r="E241" s="10">
        <f ca="1">IFERROR(__xludf.DUMMYFUNCTION("""COMPUTED_VALUE"""),6)</f>
        <v>6</v>
      </c>
      <c r="F241" s="5" t="str">
        <f ca="1">IFERROR(__xludf.DUMMYFUNCTION("""COMPUTED_VALUE"""),"SENSUS")</f>
        <v>SENSUS</v>
      </c>
      <c r="G241" s="5" t="str">
        <f ca="1">IFERROR(__xludf.DUMMYFUNCTION("""COMPUTED_VALUE"""),"PPL")</f>
        <v>PPL</v>
      </c>
      <c r="H241" s="5" t="str">
        <f t="array" aca="1" ref="H241" ca="1">IF(N241=1, INDEX('Database Mitra'!$C$2:$C993,MATCH($C241,'Database Mitra'!$AK$2:$AK993,0)),"")</f>
        <v>Pitra,SP</v>
      </c>
      <c r="I241" s="71">
        <f ca="1">IF(N241=1,SUMIFS('Alokasi Honor'!$M$2:$M993,'Alokasi Honor'!$T$2:$T993,A241),"")</f>
        <v>4694000</v>
      </c>
      <c r="J241" s="10">
        <f ca="1">IFERROR(__xludf.DUMMYFUNCTION("COUNTIF(FILTER('Alokasi Honor'!$H$2:$H993,'Alokasi Honor'!$H$2:$H993=""OB"",'Alokasi Honor'!$T$2:$T993=A241),""OB"")"),1)</f>
        <v>1</v>
      </c>
      <c r="K241" s="10">
        <f t="shared" ca="1" si="1"/>
        <v>1</v>
      </c>
      <c r="L241" s="70">
        <f t="array" aca="1" ref="L241" ca="1">IF(N241=1,INDEX('Batasan Honor'!$B$2:$B993,MATCH(CONCATENATE($F241,"-",$G241),'Batasan Honor'!$G$2:$G993,0)),"")</f>
        <v>5400000</v>
      </c>
      <c r="M241" s="10">
        <f t="shared" ca="1" si="4"/>
        <v>1</v>
      </c>
      <c r="N241" s="10">
        <f t="shared" ca="1" si="3"/>
        <v>1</v>
      </c>
    </row>
    <row r="242" spans="1:14" ht="12.5">
      <c r="A242" s="10" t="str">
        <f ca="1">IFERROR(__xludf.DUMMYFUNCTION("""COMPUTED_VALUE"""),"610422040053-2024-6-SENSUS-PPL")</f>
        <v>610422040053-2024-6-SENSUS-PPL</v>
      </c>
      <c r="B242" s="5" t="str">
        <f t="shared" ca="1" si="0"/>
        <v>610422040053-2024-6</v>
      </c>
      <c r="C242" s="5">
        <f ca="1">IFERROR(__xludf.DUMMYFUNCTION("IF(N242=1,SPLIT(A242,""-""),"""")"),610422040053)</f>
        <v>610422040053</v>
      </c>
      <c r="D242" s="10">
        <f ca="1">IFERROR(__xludf.DUMMYFUNCTION("""COMPUTED_VALUE"""),2024)</f>
        <v>2024</v>
      </c>
      <c r="E242" s="10">
        <f ca="1">IFERROR(__xludf.DUMMYFUNCTION("""COMPUTED_VALUE"""),6)</f>
        <v>6</v>
      </c>
      <c r="F242" s="5" t="str">
        <f ca="1">IFERROR(__xludf.DUMMYFUNCTION("""COMPUTED_VALUE"""),"SENSUS")</f>
        <v>SENSUS</v>
      </c>
      <c r="G242" s="5" t="str">
        <f ca="1">IFERROR(__xludf.DUMMYFUNCTION("""COMPUTED_VALUE"""),"PPL")</f>
        <v>PPL</v>
      </c>
      <c r="H242" s="5" t="str">
        <f t="array" aca="1" ref="H242" ca="1">IF(N242=1, INDEX('Database Mitra'!$C$2:$C993,MATCH($C242,'Database Mitra'!$AK$2:$AK993,0)),"")</f>
        <v>Veti Ningsi</v>
      </c>
      <c r="I242" s="71">
        <f ca="1">IF(N242=1,SUMIFS('Alokasi Honor'!$M$2:$M993,'Alokasi Honor'!$T$2:$T993,A242),"")</f>
        <v>4694000</v>
      </c>
      <c r="J242" s="10">
        <f ca="1">IFERROR(__xludf.DUMMYFUNCTION("COUNTIF(FILTER('Alokasi Honor'!$H$2:$H993,'Alokasi Honor'!$H$2:$H993=""OB"",'Alokasi Honor'!$T$2:$T993=A242),""OB"")"),1)</f>
        <v>1</v>
      </c>
      <c r="K242" s="10">
        <f t="shared" ca="1" si="1"/>
        <v>1</v>
      </c>
      <c r="L242" s="70">
        <f t="array" aca="1" ref="L242" ca="1">IF(N242=1,INDEX('Batasan Honor'!$B$2:$B993,MATCH(CONCATENATE($F242,"-",$G242),'Batasan Honor'!$G$2:$G993,0)),"")</f>
        <v>5400000</v>
      </c>
      <c r="M242" s="10">
        <f t="shared" ca="1" si="4"/>
        <v>1</v>
      </c>
      <c r="N242" s="10">
        <f t="shared" ca="1" si="3"/>
        <v>1</v>
      </c>
    </row>
    <row r="243" spans="1:14" ht="12.5">
      <c r="A243" s="10" t="str">
        <f ca="1">IFERROR(__xludf.DUMMYFUNCTION("""COMPUTED_VALUE"""),"610422040034-2024-6-SENSUS-PPL")</f>
        <v>610422040034-2024-6-SENSUS-PPL</v>
      </c>
      <c r="B243" s="5" t="str">
        <f t="shared" ca="1" si="0"/>
        <v>610422040034-2024-6</v>
      </c>
      <c r="C243" s="5">
        <f ca="1">IFERROR(__xludf.DUMMYFUNCTION("IF(N243=1,SPLIT(A243,""-""),"""")"),610422040034)</f>
        <v>610422040034</v>
      </c>
      <c r="D243" s="10">
        <f ca="1">IFERROR(__xludf.DUMMYFUNCTION("""COMPUTED_VALUE"""),2024)</f>
        <v>2024</v>
      </c>
      <c r="E243" s="10">
        <f ca="1">IFERROR(__xludf.DUMMYFUNCTION("""COMPUTED_VALUE"""),6)</f>
        <v>6</v>
      </c>
      <c r="F243" s="5" t="str">
        <f ca="1">IFERROR(__xludf.DUMMYFUNCTION("""COMPUTED_VALUE"""),"SENSUS")</f>
        <v>SENSUS</v>
      </c>
      <c r="G243" s="5" t="str">
        <f ca="1">IFERROR(__xludf.DUMMYFUNCTION("""COMPUTED_VALUE"""),"PPL")</f>
        <v>PPL</v>
      </c>
      <c r="H243" s="5" t="str">
        <f t="array" aca="1" ref="H243" ca="1">IF(N243=1, INDEX('Database Mitra'!$C$2:$C993,MATCH($C243,'Database Mitra'!$AK$2:$AK993,0)),"")</f>
        <v>Nelly Nalita</v>
      </c>
      <c r="I243" s="71">
        <f ca="1">IF(N243=1,SUMIFS('Alokasi Honor'!$M$2:$M993,'Alokasi Honor'!$T$2:$T993,A243),"")</f>
        <v>4694000</v>
      </c>
      <c r="J243" s="10">
        <f ca="1">IFERROR(__xludf.DUMMYFUNCTION("COUNTIF(FILTER('Alokasi Honor'!$H$2:$H993,'Alokasi Honor'!$H$2:$H993=""OB"",'Alokasi Honor'!$T$2:$T993=A243),""OB"")"),1)</f>
        <v>1</v>
      </c>
      <c r="K243" s="10">
        <f t="shared" ca="1" si="1"/>
        <v>1</v>
      </c>
      <c r="L243" s="70">
        <f t="array" aca="1" ref="L243" ca="1">IF(N243=1,INDEX('Batasan Honor'!$B$2:$B993,MATCH(CONCATENATE($F243,"-",$G243),'Batasan Honor'!$G$2:$G993,0)),"")</f>
        <v>5400000</v>
      </c>
      <c r="M243" s="10">
        <f t="shared" ca="1" si="4"/>
        <v>1</v>
      </c>
      <c r="N243" s="10">
        <f t="shared" ca="1" si="3"/>
        <v>1</v>
      </c>
    </row>
    <row r="244" spans="1:14" ht="12.5">
      <c r="A244" s="10" t="str">
        <f ca="1">IFERROR(__xludf.DUMMYFUNCTION("""COMPUTED_VALUE"""),"610422040051-2024-6-SENSUS-PPL")</f>
        <v>610422040051-2024-6-SENSUS-PPL</v>
      </c>
      <c r="B244" s="5" t="str">
        <f t="shared" ca="1" si="0"/>
        <v>610422040051-2024-6</v>
      </c>
      <c r="C244" s="5">
        <f ca="1">IFERROR(__xludf.DUMMYFUNCTION("IF(N244=1,SPLIT(A244,""-""),"""")"),610422040051)</f>
        <v>610422040051</v>
      </c>
      <c r="D244" s="10">
        <f ca="1">IFERROR(__xludf.DUMMYFUNCTION("""COMPUTED_VALUE"""),2024)</f>
        <v>2024</v>
      </c>
      <c r="E244" s="10">
        <f ca="1">IFERROR(__xludf.DUMMYFUNCTION("""COMPUTED_VALUE"""),6)</f>
        <v>6</v>
      </c>
      <c r="F244" s="5" t="str">
        <f ca="1">IFERROR(__xludf.DUMMYFUNCTION("""COMPUTED_VALUE"""),"SENSUS")</f>
        <v>SENSUS</v>
      </c>
      <c r="G244" s="5" t="str">
        <f ca="1">IFERROR(__xludf.DUMMYFUNCTION("""COMPUTED_VALUE"""),"PPL")</f>
        <v>PPL</v>
      </c>
      <c r="H244" s="5" t="str">
        <f t="array" aca="1" ref="H244" ca="1">IF(N244=1, INDEX('Database Mitra'!$C$2:$C993,MATCH($C244,'Database Mitra'!$AK$2:$AK993,0)),"")</f>
        <v>Dede sri delvey</v>
      </c>
      <c r="I244" s="71">
        <f ca="1">IF(N244=1,SUMIFS('Alokasi Honor'!$M$2:$M993,'Alokasi Honor'!$T$2:$T993,A244),"")</f>
        <v>4694000</v>
      </c>
      <c r="J244" s="10">
        <f ca="1">IFERROR(__xludf.DUMMYFUNCTION("COUNTIF(FILTER('Alokasi Honor'!$H$2:$H993,'Alokasi Honor'!$H$2:$H993=""OB"",'Alokasi Honor'!$T$2:$T993=A244),""OB"")"),1)</f>
        <v>1</v>
      </c>
      <c r="K244" s="10">
        <f t="shared" ca="1" si="1"/>
        <v>1</v>
      </c>
      <c r="L244" s="70">
        <f t="array" aca="1" ref="L244" ca="1">IF(N244=1,INDEX('Batasan Honor'!$B$2:$B993,MATCH(CONCATENATE($F244,"-",$G244),'Batasan Honor'!$G$2:$G993,0)),"")</f>
        <v>5400000</v>
      </c>
      <c r="M244" s="10">
        <f t="shared" ca="1" si="4"/>
        <v>1</v>
      </c>
      <c r="N244" s="10">
        <f t="shared" ca="1" si="3"/>
        <v>1</v>
      </c>
    </row>
    <row r="245" spans="1:14" ht="12.5">
      <c r="A245" s="10" t="str">
        <f ca="1">IFERROR(__xludf.DUMMYFUNCTION("""COMPUTED_VALUE"""),"610422040052-2024-6-SENSUS-PPL")</f>
        <v>610422040052-2024-6-SENSUS-PPL</v>
      </c>
      <c r="B245" s="5" t="str">
        <f t="shared" ca="1" si="0"/>
        <v>610422040052-2024-6</v>
      </c>
      <c r="C245" s="5">
        <f ca="1">IFERROR(__xludf.DUMMYFUNCTION("IF(N245=1,SPLIT(A245,""-""),"""")"),610422040052)</f>
        <v>610422040052</v>
      </c>
      <c r="D245" s="10">
        <f ca="1">IFERROR(__xludf.DUMMYFUNCTION("""COMPUTED_VALUE"""),2024)</f>
        <v>2024</v>
      </c>
      <c r="E245" s="10">
        <f ca="1">IFERROR(__xludf.DUMMYFUNCTION("""COMPUTED_VALUE"""),6)</f>
        <v>6</v>
      </c>
      <c r="F245" s="5" t="str">
        <f ca="1">IFERROR(__xludf.DUMMYFUNCTION("""COMPUTED_VALUE"""),"SENSUS")</f>
        <v>SENSUS</v>
      </c>
      <c r="G245" s="5" t="str">
        <f ca="1">IFERROR(__xludf.DUMMYFUNCTION("""COMPUTED_VALUE"""),"PPL")</f>
        <v>PPL</v>
      </c>
      <c r="H245" s="5" t="str">
        <f t="array" aca="1" ref="H245" ca="1">IF(N245=1, INDEX('Database Mitra'!$C$2:$C993,MATCH($C245,'Database Mitra'!$AK$2:$AK993,0)),"")</f>
        <v>Yusimianto</v>
      </c>
      <c r="I245" s="71">
        <f ca="1">IF(N245=1,SUMIFS('Alokasi Honor'!$M$2:$M993,'Alokasi Honor'!$T$2:$T993,A245),"")</f>
        <v>4694000</v>
      </c>
      <c r="J245" s="10">
        <f ca="1">IFERROR(__xludf.DUMMYFUNCTION("COUNTIF(FILTER('Alokasi Honor'!$H$2:$H993,'Alokasi Honor'!$H$2:$H993=""OB"",'Alokasi Honor'!$T$2:$T993=A245),""OB"")"),1)</f>
        <v>1</v>
      </c>
      <c r="K245" s="10">
        <f t="shared" ca="1" si="1"/>
        <v>1</v>
      </c>
      <c r="L245" s="70">
        <f t="array" aca="1" ref="L245" ca="1">IF(N245=1,INDEX('Batasan Honor'!$B$2:$B993,MATCH(CONCATENATE($F245,"-",$G245),'Batasan Honor'!$G$2:$G993,0)),"")</f>
        <v>5400000</v>
      </c>
      <c r="M245" s="10">
        <f t="shared" ca="1" si="4"/>
        <v>1</v>
      </c>
      <c r="N245" s="10">
        <f t="shared" ca="1" si="3"/>
        <v>1</v>
      </c>
    </row>
    <row r="246" spans="1:14" ht="12.5">
      <c r="A246" s="10" t="str">
        <f ca="1">IFERROR(__xludf.DUMMYFUNCTION("""COMPUTED_VALUE"""),"610422040059-2024-6-SENSUS-PPL")</f>
        <v>610422040059-2024-6-SENSUS-PPL</v>
      </c>
      <c r="B246" s="5" t="str">
        <f t="shared" ca="1" si="0"/>
        <v>610422040059-2024-6</v>
      </c>
      <c r="C246" s="5">
        <f ca="1">IFERROR(__xludf.DUMMYFUNCTION("IF(N246=1,SPLIT(A246,""-""),"""")"),610422040059)</f>
        <v>610422040059</v>
      </c>
      <c r="D246" s="10">
        <f ca="1">IFERROR(__xludf.DUMMYFUNCTION("""COMPUTED_VALUE"""),2024)</f>
        <v>2024</v>
      </c>
      <c r="E246" s="10">
        <f ca="1">IFERROR(__xludf.DUMMYFUNCTION("""COMPUTED_VALUE"""),6)</f>
        <v>6</v>
      </c>
      <c r="F246" s="5" t="str">
        <f ca="1">IFERROR(__xludf.DUMMYFUNCTION("""COMPUTED_VALUE"""),"SENSUS")</f>
        <v>SENSUS</v>
      </c>
      <c r="G246" s="5" t="str">
        <f ca="1">IFERROR(__xludf.DUMMYFUNCTION("""COMPUTED_VALUE"""),"PPL")</f>
        <v>PPL</v>
      </c>
      <c r="H246" s="5" t="str">
        <f t="array" aca="1" ref="H246" ca="1">IF(N246=1, INDEX('Database Mitra'!$C$2:$C993,MATCH($C246,'Database Mitra'!$AK$2:$AK993,0)),"")</f>
        <v>Abang Handri</v>
      </c>
      <c r="I246" s="71">
        <f ca="1">IF(N246=1,SUMIFS('Alokasi Honor'!$M$2:$M993,'Alokasi Honor'!$T$2:$T993,A246),"")</f>
        <v>4694000</v>
      </c>
      <c r="J246" s="10">
        <f ca="1">IFERROR(__xludf.DUMMYFUNCTION("COUNTIF(FILTER('Alokasi Honor'!$H$2:$H993,'Alokasi Honor'!$H$2:$H993=""OB"",'Alokasi Honor'!$T$2:$T993=A246),""OB"")"),1)</f>
        <v>1</v>
      </c>
      <c r="K246" s="10">
        <f t="shared" ca="1" si="1"/>
        <v>1</v>
      </c>
      <c r="L246" s="70">
        <f t="array" aca="1" ref="L246" ca="1">IF(N246=1,INDEX('Batasan Honor'!$B$2:$B993,MATCH(CONCATENATE($F246,"-",$G246),'Batasan Honor'!$G$2:$G993,0)),"")</f>
        <v>5400000</v>
      </c>
      <c r="M246" s="10">
        <f t="shared" ca="1" si="4"/>
        <v>1</v>
      </c>
      <c r="N246" s="10">
        <f t="shared" ca="1" si="3"/>
        <v>1</v>
      </c>
    </row>
    <row r="247" spans="1:14" ht="12.5">
      <c r="A247" s="10" t="str">
        <f ca="1">IFERROR(__xludf.DUMMYFUNCTION("""COMPUTED_VALUE"""),"610422050001-2024-6-SENSUS-PPL")</f>
        <v>610422050001-2024-6-SENSUS-PPL</v>
      </c>
      <c r="B247" s="5" t="str">
        <f t="shared" ca="1" si="0"/>
        <v>610422050001-2024-6</v>
      </c>
      <c r="C247" s="5">
        <f ca="1">IFERROR(__xludf.DUMMYFUNCTION("IF(N247=1,SPLIT(A247,""-""),"""")"),610422050001)</f>
        <v>610422050001</v>
      </c>
      <c r="D247" s="10">
        <f ca="1">IFERROR(__xludf.DUMMYFUNCTION("""COMPUTED_VALUE"""),2024)</f>
        <v>2024</v>
      </c>
      <c r="E247" s="10">
        <f ca="1">IFERROR(__xludf.DUMMYFUNCTION("""COMPUTED_VALUE"""),6)</f>
        <v>6</v>
      </c>
      <c r="F247" s="5" t="str">
        <f ca="1">IFERROR(__xludf.DUMMYFUNCTION("""COMPUTED_VALUE"""),"SENSUS")</f>
        <v>SENSUS</v>
      </c>
      <c r="G247" s="5" t="str">
        <f ca="1">IFERROR(__xludf.DUMMYFUNCTION("""COMPUTED_VALUE"""),"PPL")</f>
        <v>PPL</v>
      </c>
      <c r="H247" s="5" t="str">
        <f t="array" aca="1" ref="H247" ca="1">IF(N247=1, INDEX('Database Mitra'!$C$2:$C993,MATCH($C247,'Database Mitra'!$AK$2:$AK993,0)),"")</f>
        <v>EVI JUNIARTY</v>
      </c>
      <c r="I247" s="71">
        <f ca="1">IF(N247=1,SUMIFS('Alokasi Honor'!$M$2:$M993,'Alokasi Honor'!$T$2:$T993,A247),"")</f>
        <v>4694000</v>
      </c>
      <c r="J247" s="10">
        <f ca="1">IFERROR(__xludf.DUMMYFUNCTION("COUNTIF(FILTER('Alokasi Honor'!$H$2:$H993,'Alokasi Honor'!$H$2:$H993=""OB"",'Alokasi Honor'!$T$2:$T993=A247),""OB"")"),1)</f>
        <v>1</v>
      </c>
      <c r="K247" s="10">
        <f t="shared" ca="1" si="1"/>
        <v>2</v>
      </c>
      <c r="L247" s="70">
        <f t="array" aca="1" ref="L247" ca="1">IF(N247=1,INDEX('Batasan Honor'!$B$2:$B993,MATCH(CONCATENATE($F247,"-",$G247),'Batasan Honor'!$G$2:$G993,0)),"")</f>
        <v>5400000</v>
      </c>
      <c r="M247" s="10">
        <f t="shared" ca="1" si="4"/>
        <v>0</v>
      </c>
      <c r="N247" s="10">
        <f t="shared" ca="1" si="3"/>
        <v>1</v>
      </c>
    </row>
    <row r="248" spans="1:14" ht="12.5">
      <c r="A248" s="10" t="str">
        <f ca="1">IFERROR(__xludf.DUMMYFUNCTION("""COMPUTED_VALUE"""),"610422100006-2024-6-SENSUS-PPL")</f>
        <v>610422100006-2024-6-SENSUS-PPL</v>
      </c>
      <c r="B248" s="5" t="str">
        <f t="shared" ca="1" si="0"/>
        <v>610422100006-2024-6</v>
      </c>
      <c r="C248" s="5">
        <f ca="1">IFERROR(__xludf.DUMMYFUNCTION("IF(N248=1,SPLIT(A248,""-""),"""")"),610422100006)</f>
        <v>610422100006</v>
      </c>
      <c r="D248" s="10">
        <f ca="1">IFERROR(__xludf.DUMMYFUNCTION("""COMPUTED_VALUE"""),2024)</f>
        <v>2024</v>
      </c>
      <c r="E248" s="10">
        <f ca="1">IFERROR(__xludf.DUMMYFUNCTION("""COMPUTED_VALUE"""),6)</f>
        <v>6</v>
      </c>
      <c r="F248" s="5" t="str">
        <f ca="1">IFERROR(__xludf.DUMMYFUNCTION("""COMPUTED_VALUE"""),"SENSUS")</f>
        <v>SENSUS</v>
      </c>
      <c r="G248" s="5" t="str">
        <f ca="1">IFERROR(__xludf.DUMMYFUNCTION("""COMPUTED_VALUE"""),"PPL")</f>
        <v>PPL</v>
      </c>
      <c r="H248" s="5" t="str">
        <f t="array" aca="1" ref="H248" ca="1">IF(N248=1, INDEX('Database Mitra'!$C$2:$C993,MATCH($C248,'Database Mitra'!$AK$2:$AK993,0)),"")</f>
        <v>Dandy</v>
      </c>
      <c r="I248" s="71">
        <f ca="1">IF(N248=1,SUMIFS('Alokasi Honor'!$M$2:$M993,'Alokasi Honor'!$T$2:$T993,A248),"")</f>
        <v>4694000</v>
      </c>
      <c r="J248" s="10">
        <f ca="1">IFERROR(__xludf.DUMMYFUNCTION("COUNTIF(FILTER('Alokasi Honor'!$H$2:$H993,'Alokasi Honor'!$H$2:$H993=""OB"",'Alokasi Honor'!$T$2:$T993=A248),""OB"")"),1)</f>
        <v>1</v>
      </c>
      <c r="K248" s="10">
        <f t="shared" ca="1" si="1"/>
        <v>1</v>
      </c>
      <c r="L248" s="70">
        <f t="array" aca="1" ref="L248" ca="1">IF(N248=1,INDEX('Batasan Honor'!$B$2:$B993,MATCH(CONCATENATE($F248,"-",$G248),'Batasan Honor'!$G$2:$G993,0)),"")</f>
        <v>5400000</v>
      </c>
      <c r="M248" s="10">
        <f t="shared" ca="1" si="4"/>
        <v>1</v>
      </c>
      <c r="N248" s="10">
        <f t="shared" ca="1" si="3"/>
        <v>1</v>
      </c>
    </row>
    <row r="249" spans="1:14" ht="12.5">
      <c r="A249" s="10" t="str">
        <f ca="1">IFERROR(__xludf.DUMMYFUNCTION("""COMPUTED_VALUE"""),"610422100101-2024-6-SENSUS-PPL")</f>
        <v>610422100101-2024-6-SENSUS-PPL</v>
      </c>
      <c r="B249" s="5" t="str">
        <f t="shared" ca="1" si="0"/>
        <v>610422100101-2024-6</v>
      </c>
      <c r="C249" s="5">
        <f ca="1">IFERROR(__xludf.DUMMYFUNCTION("IF(N249=1,SPLIT(A249,""-""),"""")"),610422100101)</f>
        <v>610422100101</v>
      </c>
      <c r="D249" s="10">
        <f ca="1">IFERROR(__xludf.DUMMYFUNCTION("""COMPUTED_VALUE"""),2024)</f>
        <v>2024</v>
      </c>
      <c r="E249" s="10">
        <f ca="1">IFERROR(__xludf.DUMMYFUNCTION("""COMPUTED_VALUE"""),6)</f>
        <v>6</v>
      </c>
      <c r="F249" s="5" t="str">
        <f ca="1">IFERROR(__xludf.DUMMYFUNCTION("""COMPUTED_VALUE"""),"SENSUS")</f>
        <v>SENSUS</v>
      </c>
      <c r="G249" s="5" t="str">
        <f ca="1">IFERROR(__xludf.DUMMYFUNCTION("""COMPUTED_VALUE"""),"PPL")</f>
        <v>PPL</v>
      </c>
      <c r="H249" s="5" t="str">
        <f t="array" aca="1" ref="H249" ca="1">IF(N249=1, INDEX('Database Mitra'!$C$2:$C993,MATCH($C249,'Database Mitra'!$AK$2:$AK993,0)),"")</f>
        <v>SUKMAWATI,S.SI</v>
      </c>
      <c r="I249" s="71">
        <f ca="1">IF(N249=1,SUMIFS('Alokasi Honor'!$M$2:$M993,'Alokasi Honor'!$T$2:$T993,A249),"")</f>
        <v>4694000</v>
      </c>
      <c r="J249" s="10">
        <f ca="1">IFERROR(__xludf.DUMMYFUNCTION("COUNTIF(FILTER('Alokasi Honor'!$H$2:$H993,'Alokasi Honor'!$H$2:$H993=""OB"",'Alokasi Honor'!$T$2:$T993=A249),""OB"")"),1)</f>
        <v>1</v>
      </c>
      <c r="K249" s="10">
        <f t="shared" ca="1" si="1"/>
        <v>1</v>
      </c>
      <c r="L249" s="70">
        <f t="array" aca="1" ref="L249" ca="1">IF(N249=1,INDEX('Batasan Honor'!$B$2:$B993,MATCH(CONCATENATE($F249,"-",$G249),'Batasan Honor'!$G$2:$G993,0)),"")</f>
        <v>5400000</v>
      </c>
      <c r="M249" s="10">
        <f t="shared" ca="1" si="4"/>
        <v>1</v>
      </c>
      <c r="N249" s="10">
        <f t="shared" ca="1" si="3"/>
        <v>1</v>
      </c>
    </row>
    <row r="250" spans="1:14" ht="12.5">
      <c r="A250" s="10" t="str">
        <f ca="1">IFERROR(__xludf.DUMMYFUNCTION("""COMPUTED_VALUE"""),"610422100131-2024-6-SENSUS-PPL")</f>
        <v>610422100131-2024-6-SENSUS-PPL</v>
      </c>
      <c r="B250" s="5" t="str">
        <f t="shared" ca="1" si="0"/>
        <v>610422100131-2024-6</v>
      </c>
      <c r="C250" s="5">
        <f ca="1">IFERROR(__xludf.DUMMYFUNCTION("IF(N250=1,SPLIT(A250,""-""),"""")"),610422100131)</f>
        <v>610422100131</v>
      </c>
      <c r="D250" s="10">
        <f ca="1">IFERROR(__xludf.DUMMYFUNCTION("""COMPUTED_VALUE"""),2024)</f>
        <v>2024</v>
      </c>
      <c r="E250" s="10">
        <f ca="1">IFERROR(__xludf.DUMMYFUNCTION("""COMPUTED_VALUE"""),6)</f>
        <v>6</v>
      </c>
      <c r="F250" s="5" t="str">
        <f ca="1">IFERROR(__xludf.DUMMYFUNCTION("""COMPUTED_VALUE"""),"SENSUS")</f>
        <v>SENSUS</v>
      </c>
      <c r="G250" s="5" t="str">
        <f ca="1">IFERROR(__xludf.DUMMYFUNCTION("""COMPUTED_VALUE"""),"PPL")</f>
        <v>PPL</v>
      </c>
      <c r="H250" s="5" t="str">
        <f t="array" aca="1" ref="H250" ca="1">IF(N250=1, INDEX('Database Mitra'!$C$2:$C993,MATCH($C250,'Database Mitra'!$AK$2:$AK993,0)),"")</f>
        <v>SYAMSUL</v>
      </c>
      <c r="I250" s="71">
        <f ca="1">IF(N250=1,SUMIFS('Alokasi Honor'!$M$2:$M993,'Alokasi Honor'!$T$2:$T993,A250),"")</f>
        <v>4694000</v>
      </c>
      <c r="J250" s="10">
        <f ca="1">IFERROR(__xludf.DUMMYFUNCTION("COUNTIF(FILTER('Alokasi Honor'!$H$2:$H993,'Alokasi Honor'!$H$2:$H993=""OB"",'Alokasi Honor'!$T$2:$T993=A250),""OB"")"),1)</f>
        <v>1</v>
      </c>
      <c r="K250" s="10">
        <f t="shared" ca="1" si="1"/>
        <v>1</v>
      </c>
      <c r="L250" s="70">
        <f t="array" aca="1" ref="L250" ca="1">IF(N250=1,INDEX('Batasan Honor'!$B$2:$B993,MATCH(CONCATENATE($F250,"-",$G250),'Batasan Honor'!$G$2:$G993,0)),"")</f>
        <v>5400000</v>
      </c>
      <c r="M250" s="10">
        <f t="shared" ca="1" si="4"/>
        <v>1</v>
      </c>
      <c r="N250" s="10">
        <f t="shared" ca="1" si="3"/>
        <v>1</v>
      </c>
    </row>
    <row r="251" spans="1:14" ht="12.5">
      <c r="A251" s="10" t="str">
        <f ca="1">IFERROR(__xludf.DUMMYFUNCTION("""COMPUTED_VALUE"""),"610423040014-2024-6-SENSUS-PPL")</f>
        <v>610423040014-2024-6-SENSUS-PPL</v>
      </c>
      <c r="B251" s="5" t="str">
        <f t="shared" ca="1" si="0"/>
        <v>610423040014-2024-6</v>
      </c>
      <c r="C251" s="5">
        <f ca="1">IFERROR(__xludf.DUMMYFUNCTION("IF(N251=1,SPLIT(A251,""-""),"""")"),610423040014)</f>
        <v>610423040014</v>
      </c>
      <c r="D251" s="10">
        <f ca="1">IFERROR(__xludf.DUMMYFUNCTION("""COMPUTED_VALUE"""),2024)</f>
        <v>2024</v>
      </c>
      <c r="E251" s="10">
        <f ca="1">IFERROR(__xludf.DUMMYFUNCTION("""COMPUTED_VALUE"""),6)</f>
        <v>6</v>
      </c>
      <c r="F251" s="5" t="str">
        <f ca="1">IFERROR(__xludf.DUMMYFUNCTION("""COMPUTED_VALUE"""),"SENSUS")</f>
        <v>SENSUS</v>
      </c>
      <c r="G251" s="5" t="str">
        <f ca="1">IFERROR(__xludf.DUMMYFUNCTION("""COMPUTED_VALUE"""),"PPL")</f>
        <v>PPL</v>
      </c>
      <c r="H251" s="5" t="str">
        <f t="array" aca="1" ref="H251" ca="1">IF(N251=1, INDEX('Database Mitra'!$C$2:$C993,MATCH($C251,'Database Mitra'!$AK$2:$AK993,0)),"")</f>
        <v>Fransiska romana</v>
      </c>
      <c r="I251" s="71">
        <f ca="1">IF(N251=1,SUMIFS('Alokasi Honor'!$M$2:$M993,'Alokasi Honor'!$T$2:$T993,A251),"")</f>
        <v>4694000</v>
      </c>
      <c r="J251" s="10">
        <f ca="1">IFERROR(__xludf.DUMMYFUNCTION("COUNTIF(FILTER('Alokasi Honor'!$H$2:$H993,'Alokasi Honor'!$H$2:$H993=""OB"",'Alokasi Honor'!$T$2:$T993=A251),""OB"")"),1)</f>
        <v>1</v>
      </c>
      <c r="K251" s="10">
        <f t="shared" ca="1" si="1"/>
        <v>1</v>
      </c>
      <c r="L251" s="70">
        <f t="array" aca="1" ref="L251" ca="1">IF(N251=1,INDEX('Batasan Honor'!$B$2:$B993,MATCH(CONCATENATE($F251,"-",$G251),'Batasan Honor'!$G$2:$G993,0)),"")</f>
        <v>5400000</v>
      </c>
      <c r="M251" s="10">
        <f t="shared" ca="1" si="4"/>
        <v>1</v>
      </c>
      <c r="N251" s="10">
        <f t="shared" ca="1" si="3"/>
        <v>1</v>
      </c>
    </row>
    <row r="252" spans="1:14" ht="12.5">
      <c r="A252" s="10" t="str">
        <f ca="1">IFERROR(__xludf.DUMMYFUNCTION("""COMPUTED_VALUE"""),"610423040013-2024-6-SENSUS-PPL")</f>
        <v>610423040013-2024-6-SENSUS-PPL</v>
      </c>
      <c r="B252" s="5" t="str">
        <f t="shared" ca="1" si="0"/>
        <v>610423040013-2024-6</v>
      </c>
      <c r="C252" s="5">
        <f ca="1">IFERROR(__xludf.DUMMYFUNCTION("IF(N252=1,SPLIT(A252,""-""),"""")"),610423040013)</f>
        <v>610423040013</v>
      </c>
      <c r="D252" s="10">
        <f ca="1">IFERROR(__xludf.DUMMYFUNCTION("""COMPUTED_VALUE"""),2024)</f>
        <v>2024</v>
      </c>
      <c r="E252" s="10">
        <f ca="1">IFERROR(__xludf.DUMMYFUNCTION("""COMPUTED_VALUE"""),6)</f>
        <v>6</v>
      </c>
      <c r="F252" s="5" t="str">
        <f ca="1">IFERROR(__xludf.DUMMYFUNCTION("""COMPUTED_VALUE"""),"SENSUS")</f>
        <v>SENSUS</v>
      </c>
      <c r="G252" s="5" t="str">
        <f ca="1">IFERROR(__xludf.DUMMYFUNCTION("""COMPUTED_VALUE"""),"PPL")</f>
        <v>PPL</v>
      </c>
      <c r="H252" s="5" t="str">
        <f t="array" aca="1" ref="H252" ca="1">IF(N252=1, INDEX('Database Mitra'!$C$2:$C993,MATCH($C252,'Database Mitra'!$AK$2:$AK993,0)),"")</f>
        <v>Lulu Gesti Gunawati</v>
      </c>
      <c r="I252" s="71">
        <f ca="1">IF(N252=1,SUMIFS('Alokasi Honor'!$M$2:$M993,'Alokasi Honor'!$T$2:$T993,A252),"")</f>
        <v>4694000</v>
      </c>
      <c r="J252" s="10">
        <f ca="1">IFERROR(__xludf.DUMMYFUNCTION("COUNTIF(FILTER('Alokasi Honor'!$H$2:$H993,'Alokasi Honor'!$H$2:$H993=""OB"",'Alokasi Honor'!$T$2:$T993=A252),""OB"")"),1)</f>
        <v>1</v>
      </c>
      <c r="K252" s="10">
        <f t="shared" ca="1" si="1"/>
        <v>1</v>
      </c>
      <c r="L252" s="70">
        <f t="array" aca="1" ref="L252" ca="1">IF(N252=1,INDEX('Batasan Honor'!$B$2:$B993,MATCH(CONCATENATE($F252,"-",$G252),'Batasan Honor'!$G$2:$G993,0)),"")</f>
        <v>5400000</v>
      </c>
      <c r="M252" s="10">
        <f t="shared" ca="1" si="4"/>
        <v>1</v>
      </c>
      <c r="N252" s="10">
        <f t="shared" ca="1" si="3"/>
        <v>1</v>
      </c>
    </row>
    <row r="253" spans="1:14" ht="12.5">
      <c r="A253" s="10" t="str">
        <f ca="1">IFERROR(__xludf.DUMMYFUNCTION("""COMPUTED_VALUE"""),"610423040018-2024-6-SENSUS-PPL")</f>
        <v>610423040018-2024-6-SENSUS-PPL</v>
      </c>
      <c r="B253" s="5" t="str">
        <f t="shared" ca="1" si="0"/>
        <v>610423040018-2024-6</v>
      </c>
      <c r="C253" s="5">
        <f ca="1">IFERROR(__xludf.DUMMYFUNCTION("IF(N253=1,SPLIT(A253,""-""),"""")"),610423040018)</f>
        <v>610423040018</v>
      </c>
      <c r="D253" s="10">
        <f ca="1">IFERROR(__xludf.DUMMYFUNCTION("""COMPUTED_VALUE"""),2024)</f>
        <v>2024</v>
      </c>
      <c r="E253" s="10">
        <f ca="1">IFERROR(__xludf.DUMMYFUNCTION("""COMPUTED_VALUE"""),6)</f>
        <v>6</v>
      </c>
      <c r="F253" s="5" t="str">
        <f ca="1">IFERROR(__xludf.DUMMYFUNCTION("""COMPUTED_VALUE"""),"SENSUS")</f>
        <v>SENSUS</v>
      </c>
      <c r="G253" s="5" t="str">
        <f ca="1">IFERROR(__xludf.DUMMYFUNCTION("""COMPUTED_VALUE"""),"PPL")</f>
        <v>PPL</v>
      </c>
      <c r="H253" s="5" t="str">
        <f t="array" aca="1" ref="H253" ca="1">IF(N253=1, INDEX('Database Mitra'!$C$2:$C993,MATCH($C253,'Database Mitra'!$AK$2:$AK993,0)),"")</f>
        <v>Handoko Tuah Sabarman Sipayung</v>
      </c>
      <c r="I253" s="71">
        <f ca="1">IF(N253=1,SUMIFS('Alokasi Honor'!$M$2:$M993,'Alokasi Honor'!$T$2:$T993,A253),"")</f>
        <v>4694000</v>
      </c>
      <c r="J253" s="10">
        <f ca="1">IFERROR(__xludf.DUMMYFUNCTION("COUNTIF(FILTER('Alokasi Honor'!$H$2:$H993,'Alokasi Honor'!$H$2:$H993=""OB"",'Alokasi Honor'!$T$2:$T993=A253),""OB"")"),1)</f>
        <v>1</v>
      </c>
      <c r="K253" s="10">
        <f t="shared" ca="1" si="1"/>
        <v>1</v>
      </c>
      <c r="L253" s="70">
        <f t="array" aca="1" ref="L253" ca="1">IF(N253=1,INDEX('Batasan Honor'!$B$2:$B993,MATCH(CONCATENATE($F253,"-",$G253),'Batasan Honor'!$G$2:$G993,0)),"")</f>
        <v>5400000</v>
      </c>
      <c r="M253" s="10">
        <f t="shared" ca="1" si="4"/>
        <v>1</v>
      </c>
      <c r="N253" s="10">
        <f t="shared" ca="1" si="3"/>
        <v>1</v>
      </c>
    </row>
    <row r="254" spans="1:14" ht="12.5">
      <c r="A254" s="10" t="str">
        <f ca="1">IFERROR(__xludf.DUMMYFUNCTION("""COMPUTED_VALUE"""),"610422100108-2024-7-SENSUS-PETUGAS ENTRI")</f>
        <v>610422100108-2024-7-SENSUS-PETUGAS ENTRI</v>
      </c>
      <c r="B254" s="5" t="str">
        <f t="shared" ca="1" si="0"/>
        <v>610422100108-2024-7</v>
      </c>
      <c r="C254" s="5">
        <f ca="1">IFERROR(__xludf.DUMMYFUNCTION("IF(N254=1,SPLIT(A254,""-""),"""")"),610422100108)</f>
        <v>610422100108</v>
      </c>
      <c r="D254" s="10">
        <f ca="1">IFERROR(__xludf.DUMMYFUNCTION("""COMPUTED_VALUE"""),2024)</f>
        <v>2024</v>
      </c>
      <c r="E254" s="10">
        <f ca="1">IFERROR(__xludf.DUMMYFUNCTION("""COMPUTED_VALUE"""),7)</f>
        <v>7</v>
      </c>
      <c r="F254" s="5" t="str">
        <f ca="1">IFERROR(__xludf.DUMMYFUNCTION("""COMPUTED_VALUE"""),"SENSUS")</f>
        <v>SENSUS</v>
      </c>
      <c r="G254" s="5" t="str">
        <f ca="1">IFERROR(__xludf.DUMMYFUNCTION("""COMPUTED_VALUE"""),"PETUGAS ENTRI")</f>
        <v>PETUGAS ENTRI</v>
      </c>
      <c r="H254" s="5" t="str">
        <f t="array" aca="1" ref="H254" ca="1">IF(N254=1, INDEX('Database Mitra'!$C$2:$C993,MATCH($C254,'Database Mitra'!$AK$2:$AK993,0)),"")</f>
        <v>Ermi Tiyarni</v>
      </c>
      <c r="I254" s="71">
        <f ca="1">IF(N254=1,SUMIFS('Alokasi Honor'!$M$2:$M993,'Alokasi Honor'!$T$2:$T993,A254),"")</f>
        <v>3298000</v>
      </c>
      <c r="J254" s="10">
        <f ca="1">IFERROR(__xludf.DUMMYFUNCTION("COUNTIF(FILTER('Alokasi Honor'!$H$2:$H993,'Alokasi Honor'!$H$2:$H993=""OB"",'Alokasi Honor'!$T$2:$T993=A254),""OB"")"),0)</f>
        <v>0</v>
      </c>
      <c r="K254" s="10">
        <f t="shared" ca="1" si="1"/>
        <v>1</v>
      </c>
      <c r="L254" s="70">
        <f t="array" aca="1" ref="L254" ca="1">IF(N254=1,INDEX('Batasan Honor'!$B$2:$B993,MATCH(CONCATENATE($F254,"-",$G254),'Batasan Honor'!$G$2:$G993,0)),"")</f>
        <v>5400000</v>
      </c>
      <c r="M254" s="10">
        <f t="shared" ca="1" si="4"/>
        <v>1</v>
      </c>
      <c r="N254" s="10">
        <f t="shared" ca="1" si="3"/>
        <v>1</v>
      </c>
    </row>
    <row r="255" spans="1:14" ht="12.5">
      <c r="A255" s="10" t="str">
        <f ca="1">IFERROR(__xludf.DUMMYFUNCTION("""COMPUTED_VALUE"""),"610422100083-2024-7-SENSUS-PETUGAS ENTRI")</f>
        <v>610422100083-2024-7-SENSUS-PETUGAS ENTRI</v>
      </c>
      <c r="B255" s="5" t="str">
        <f t="shared" ca="1" si="0"/>
        <v>610422100083-2024-7</v>
      </c>
      <c r="C255" s="5">
        <f ca="1">IFERROR(__xludf.DUMMYFUNCTION("IF(N255=1,SPLIT(A255,""-""),"""")"),610422100083)</f>
        <v>610422100083</v>
      </c>
      <c r="D255" s="10">
        <f ca="1">IFERROR(__xludf.DUMMYFUNCTION("""COMPUTED_VALUE"""),2024)</f>
        <v>2024</v>
      </c>
      <c r="E255" s="10">
        <f ca="1">IFERROR(__xludf.DUMMYFUNCTION("""COMPUTED_VALUE"""),7)</f>
        <v>7</v>
      </c>
      <c r="F255" s="5" t="str">
        <f ca="1">IFERROR(__xludf.DUMMYFUNCTION("""COMPUTED_VALUE"""),"SENSUS")</f>
        <v>SENSUS</v>
      </c>
      <c r="G255" s="5" t="str">
        <f ca="1">IFERROR(__xludf.DUMMYFUNCTION("""COMPUTED_VALUE"""),"PETUGAS ENTRI")</f>
        <v>PETUGAS ENTRI</v>
      </c>
      <c r="H255" s="5" t="str">
        <f t="array" aca="1" ref="H255" ca="1">IF(N255=1, INDEX('Database Mitra'!$C$2:$C993,MATCH($C255,'Database Mitra'!$AK$2:$AK993,0)),"")</f>
        <v>ILHAM SUBAGIO</v>
      </c>
      <c r="I255" s="71">
        <f ca="1">IF(N255=1,SUMIFS('Alokasi Honor'!$M$2:$M993,'Alokasi Honor'!$T$2:$T993,A255),"")</f>
        <v>3298000</v>
      </c>
      <c r="J255" s="10">
        <f ca="1">IFERROR(__xludf.DUMMYFUNCTION("COUNTIF(FILTER('Alokasi Honor'!$H$2:$H993,'Alokasi Honor'!$H$2:$H993=""OB"",'Alokasi Honor'!$T$2:$T993=A255),""OB"")"),0)</f>
        <v>0</v>
      </c>
      <c r="K255" s="10">
        <f t="shared" ca="1" si="1"/>
        <v>1</v>
      </c>
      <c r="L255" s="70">
        <f t="array" aca="1" ref="L255" ca="1">IF(N255=1,INDEX('Batasan Honor'!$B$2:$B993,MATCH(CONCATENATE($F255,"-",$G255),'Batasan Honor'!$G$2:$G993,0)),"")</f>
        <v>5400000</v>
      </c>
      <c r="M255" s="10">
        <f t="shared" ca="1" si="4"/>
        <v>1</v>
      </c>
      <c r="N255" s="10">
        <f t="shared" ca="1" si="3"/>
        <v>1</v>
      </c>
    </row>
    <row r="256" spans="1:14" ht="12.5">
      <c r="A256" s="10" t="str">
        <f ca="1">IFERROR(__xludf.DUMMYFUNCTION("""COMPUTED_VALUE"""),"610423040016-2024-7-SENSUS-PETUGAS ENTRI")</f>
        <v>610423040016-2024-7-SENSUS-PETUGAS ENTRI</v>
      </c>
      <c r="B256" s="5" t="str">
        <f t="shared" ca="1" si="0"/>
        <v>610423040016-2024-7</v>
      </c>
      <c r="C256" s="5">
        <f ca="1">IFERROR(__xludf.DUMMYFUNCTION("IF(N256=1,SPLIT(A256,""-""),"""")"),610423040016)</f>
        <v>610423040016</v>
      </c>
      <c r="D256" s="10">
        <f ca="1">IFERROR(__xludf.DUMMYFUNCTION("""COMPUTED_VALUE"""),2024)</f>
        <v>2024</v>
      </c>
      <c r="E256" s="10">
        <f ca="1">IFERROR(__xludf.DUMMYFUNCTION("""COMPUTED_VALUE"""),7)</f>
        <v>7</v>
      </c>
      <c r="F256" s="5" t="str">
        <f ca="1">IFERROR(__xludf.DUMMYFUNCTION("""COMPUTED_VALUE"""),"SENSUS")</f>
        <v>SENSUS</v>
      </c>
      <c r="G256" s="5" t="str">
        <f ca="1">IFERROR(__xludf.DUMMYFUNCTION("""COMPUTED_VALUE"""),"PETUGAS ENTRI")</f>
        <v>PETUGAS ENTRI</v>
      </c>
      <c r="H256" s="5" t="str">
        <f t="array" aca="1" ref="H256" ca="1">IF(N256=1, INDEX('Database Mitra'!$C$2:$C993,MATCH($C256,'Database Mitra'!$AK$2:$AK993,0)),"")</f>
        <v>Fairuztia Atiqah Putri</v>
      </c>
      <c r="I256" s="71">
        <f ca="1">IF(N256=1,SUMIFS('Alokasi Honor'!$M$2:$M993,'Alokasi Honor'!$T$2:$T993,A256),"")</f>
        <v>3298000</v>
      </c>
      <c r="J256" s="10">
        <f ca="1">IFERROR(__xludf.DUMMYFUNCTION("COUNTIF(FILTER('Alokasi Honor'!$H$2:$H993,'Alokasi Honor'!$H$2:$H993=""OB"",'Alokasi Honor'!$T$2:$T993=A256),""OB"")"),0)</f>
        <v>0</v>
      </c>
      <c r="K256" s="10">
        <f t="shared" ca="1" si="1"/>
        <v>1</v>
      </c>
      <c r="L256" s="70">
        <f t="array" aca="1" ref="L256" ca="1">IF(N256=1,INDEX('Batasan Honor'!$B$2:$B993,MATCH(CONCATENATE($F256,"-",$G256),'Batasan Honor'!$G$2:$G993,0)),"")</f>
        <v>5400000</v>
      </c>
      <c r="M256" s="10">
        <f t="shared" ca="1" si="4"/>
        <v>1</v>
      </c>
      <c r="N256" s="10">
        <f t="shared" ca="1" si="3"/>
        <v>1</v>
      </c>
    </row>
    <row r="257" spans="1:14" ht="12.5">
      <c r="A257" s="10" t="str">
        <f ca="1">IFERROR(__xludf.DUMMYFUNCTION("""COMPUTED_VALUE"""),"610422100016-2024-7-SENSUS-PETUGAS ENTRI")</f>
        <v>610422100016-2024-7-SENSUS-PETUGAS ENTRI</v>
      </c>
      <c r="B257" s="5" t="str">
        <f t="shared" ca="1" si="0"/>
        <v>610422100016-2024-7</v>
      </c>
      <c r="C257" s="5">
        <f ca="1">IFERROR(__xludf.DUMMYFUNCTION("IF(N257=1,SPLIT(A257,""-""),"""")"),610422100016)</f>
        <v>610422100016</v>
      </c>
      <c r="D257" s="10">
        <f ca="1">IFERROR(__xludf.DUMMYFUNCTION("""COMPUTED_VALUE"""),2024)</f>
        <v>2024</v>
      </c>
      <c r="E257" s="10">
        <f ca="1">IFERROR(__xludf.DUMMYFUNCTION("""COMPUTED_VALUE"""),7)</f>
        <v>7</v>
      </c>
      <c r="F257" s="5" t="str">
        <f ca="1">IFERROR(__xludf.DUMMYFUNCTION("""COMPUTED_VALUE"""),"SENSUS")</f>
        <v>SENSUS</v>
      </c>
      <c r="G257" s="5" t="str">
        <f ca="1">IFERROR(__xludf.DUMMYFUNCTION("""COMPUTED_VALUE"""),"PETUGAS ENTRI")</f>
        <v>PETUGAS ENTRI</v>
      </c>
      <c r="H257" s="5" t="str">
        <f t="array" aca="1" ref="H257" ca="1">IF(N257=1, INDEX('Database Mitra'!$C$2:$C993,MATCH($C257,'Database Mitra'!$AK$2:$AK993,0)),"")</f>
        <v>Amalia Faisya</v>
      </c>
      <c r="I257" s="71">
        <f ca="1">IF(N257=1,SUMIFS('Alokasi Honor'!$M$2:$M993,'Alokasi Honor'!$T$2:$T993,A257),"")</f>
        <v>3298000</v>
      </c>
      <c r="J257" s="10">
        <f ca="1">IFERROR(__xludf.DUMMYFUNCTION("COUNTIF(FILTER('Alokasi Honor'!$H$2:$H993,'Alokasi Honor'!$H$2:$H993=""OB"",'Alokasi Honor'!$T$2:$T993=A257),""OB"")"),0)</f>
        <v>0</v>
      </c>
      <c r="K257" s="10">
        <f t="shared" ca="1" si="1"/>
        <v>2</v>
      </c>
      <c r="L257" s="70">
        <f t="array" aca="1" ref="L257" ca="1">IF(N257=1,INDEX('Batasan Honor'!$B$2:$B993,MATCH(CONCATENATE($F257,"-",$G257),'Batasan Honor'!$G$2:$G993,0)),"")</f>
        <v>5400000</v>
      </c>
      <c r="M257" s="10">
        <f t="shared" ca="1" si="4"/>
        <v>1</v>
      </c>
      <c r="N257" s="10">
        <f t="shared" ca="1" si="3"/>
        <v>1</v>
      </c>
    </row>
    <row r="258" spans="1:14" ht="12.5">
      <c r="A258" s="10" t="str">
        <f ca="1">IFERROR(__xludf.DUMMYFUNCTION("""COMPUTED_VALUE"""),"610423040004-2024-7-SURVEI-PPL")</f>
        <v>610423040004-2024-7-SURVEI-PPL</v>
      </c>
      <c r="B258" s="5" t="str">
        <f t="shared" ca="1" si="0"/>
        <v>610423040004-2024-7</v>
      </c>
      <c r="C258" s="5">
        <f ca="1">IFERROR(__xludf.DUMMYFUNCTION("IF(N258=1,SPLIT(A258,""-""),"""")"),610423040004)</f>
        <v>610423040004</v>
      </c>
      <c r="D258" s="10">
        <f ca="1">IFERROR(__xludf.DUMMYFUNCTION("""COMPUTED_VALUE"""),2024)</f>
        <v>2024</v>
      </c>
      <c r="E258" s="10">
        <f ca="1">IFERROR(__xludf.DUMMYFUNCTION("""COMPUTED_VALUE"""),7)</f>
        <v>7</v>
      </c>
      <c r="F258" s="5" t="str">
        <f ca="1">IFERROR(__xludf.DUMMYFUNCTION("""COMPUTED_VALUE"""),"SURVEI")</f>
        <v>SURVEI</v>
      </c>
      <c r="G258" s="5" t="str">
        <f ca="1">IFERROR(__xludf.DUMMYFUNCTION("""COMPUTED_VALUE"""),"PPL")</f>
        <v>PPL</v>
      </c>
      <c r="H258" s="5" t="str">
        <f t="array" aca="1" ref="H258" ca="1">IF(N258=1, INDEX('Database Mitra'!$C$2:$C993,MATCH($C258,'Database Mitra'!$AK$2:$AK993,0)),"")</f>
        <v>Ayu Agustin</v>
      </c>
      <c r="I258" s="71">
        <f ca="1">IF(N258=1,SUMIFS('Alokasi Honor'!$M$2:$M993,'Alokasi Honor'!$T$2:$T993,A258),"")</f>
        <v>910000</v>
      </c>
      <c r="J258" s="10">
        <f ca="1">IFERROR(__xludf.DUMMYFUNCTION("COUNTIF(FILTER('Alokasi Honor'!$H$2:$H993,'Alokasi Honor'!$H$2:$H993=""OB"",'Alokasi Honor'!$T$2:$T993=A258),""OB"")"),0)</f>
        <v>0</v>
      </c>
      <c r="K258" s="10">
        <f t="shared" ca="1" si="1"/>
        <v>1</v>
      </c>
      <c r="L258" s="70">
        <f t="array" aca="1" ref="L258" ca="1">IF(N258=1,INDEX('Batasan Honor'!$B$2:$B993,MATCH(CONCATENATE($F258,"-",$G258),'Batasan Honor'!$G$2:$G993,0)),"")</f>
        <v>5400000</v>
      </c>
      <c r="M258" s="10">
        <f t="shared" ca="1" si="4"/>
        <v>1</v>
      </c>
      <c r="N258" s="10">
        <f t="shared" ca="1" si="3"/>
        <v>1</v>
      </c>
    </row>
    <row r="259" spans="1:14" ht="12.5">
      <c r="A259" s="10" t="str">
        <f ca="1">IFERROR(__xludf.DUMMYFUNCTION("""COMPUTED_VALUE"""),"610422100144-2024-7-SURVEI-PPL")</f>
        <v>610422100144-2024-7-SURVEI-PPL</v>
      </c>
      <c r="B259" s="5" t="str">
        <f t="shared" ca="1" si="0"/>
        <v>610422100144-2024-7</v>
      </c>
      <c r="C259" s="5">
        <f ca="1">IFERROR(__xludf.DUMMYFUNCTION("IF(N259=1,SPLIT(A259,""-""),"""")"),610422100144)</f>
        <v>610422100144</v>
      </c>
      <c r="D259" s="10">
        <f ca="1">IFERROR(__xludf.DUMMYFUNCTION("""COMPUTED_VALUE"""),2024)</f>
        <v>2024</v>
      </c>
      <c r="E259" s="10">
        <f ca="1">IFERROR(__xludf.DUMMYFUNCTION("""COMPUTED_VALUE"""),7)</f>
        <v>7</v>
      </c>
      <c r="F259" s="5" t="str">
        <f ca="1">IFERROR(__xludf.DUMMYFUNCTION("""COMPUTED_VALUE"""),"SURVEI")</f>
        <v>SURVEI</v>
      </c>
      <c r="G259" s="5" t="str">
        <f ca="1">IFERROR(__xludf.DUMMYFUNCTION("""COMPUTED_VALUE"""),"PPL")</f>
        <v>PPL</v>
      </c>
      <c r="H259" s="5" t="str">
        <f t="array" aca="1" ref="H259" ca="1">IF(N259=1, INDEX('Database Mitra'!$C$2:$C993,MATCH($C259,'Database Mitra'!$AK$2:$AK993,0)),"")</f>
        <v>Irfan faozi sunaryo</v>
      </c>
      <c r="I259" s="71">
        <f ca="1">IF(N259=1,SUMIFS('Alokasi Honor'!$M$2:$M993,'Alokasi Honor'!$T$2:$T993,A259),"")</f>
        <v>910000</v>
      </c>
      <c r="J259" s="10">
        <f ca="1">IFERROR(__xludf.DUMMYFUNCTION("COUNTIF(FILTER('Alokasi Honor'!$H$2:$H993,'Alokasi Honor'!$H$2:$H993=""OB"",'Alokasi Honor'!$T$2:$T993=A259),""OB"")"),0)</f>
        <v>0</v>
      </c>
      <c r="K259" s="10">
        <f t="shared" ca="1" si="1"/>
        <v>1</v>
      </c>
      <c r="L259" s="70">
        <f t="array" aca="1" ref="L259" ca="1">IF(N259=1,INDEX('Batasan Honor'!$B$2:$B993,MATCH(CONCATENATE($F259,"-",$G259),'Batasan Honor'!$G$2:$G993,0)),"")</f>
        <v>5400000</v>
      </c>
      <c r="M259" s="10">
        <f t="shared" ca="1" si="4"/>
        <v>1</v>
      </c>
      <c r="N259" s="10">
        <f t="shared" ca="1" si="3"/>
        <v>1</v>
      </c>
    </row>
    <row r="260" spans="1:14" ht="12.5">
      <c r="A260" s="10" t="str">
        <f ca="1">IFERROR(__xludf.DUMMYFUNCTION("""COMPUTED_VALUE"""),"610422020032-2024-7-SURVEI-PPL")</f>
        <v>610422020032-2024-7-SURVEI-PPL</v>
      </c>
      <c r="B260" s="5" t="str">
        <f t="shared" ca="1" si="0"/>
        <v>610422020032-2024-7</v>
      </c>
      <c r="C260" s="5">
        <f ca="1">IFERROR(__xludf.DUMMYFUNCTION("IF(N260=1,SPLIT(A260,""-""),"""")"),610422020032)</f>
        <v>610422020032</v>
      </c>
      <c r="D260" s="10">
        <f ca="1">IFERROR(__xludf.DUMMYFUNCTION("""COMPUTED_VALUE"""),2024)</f>
        <v>2024</v>
      </c>
      <c r="E260" s="10">
        <f ca="1">IFERROR(__xludf.DUMMYFUNCTION("""COMPUTED_VALUE"""),7)</f>
        <v>7</v>
      </c>
      <c r="F260" s="5" t="str">
        <f ca="1">IFERROR(__xludf.DUMMYFUNCTION("""COMPUTED_VALUE"""),"SURVEI")</f>
        <v>SURVEI</v>
      </c>
      <c r="G260" s="5" t="str">
        <f ca="1">IFERROR(__xludf.DUMMYFUNCTION("""COMPUTED_VALUE"""),"PPL")</f>
        <v>PPL</v>
      </c>
      <c r="H260" s="5" t="str">
        <f t="array" aca="1" ref="H260" ca="1">IF(N260=1, INDEX('Database Mitra'!$C$2:$C993,MATCH($C260,'Database Mitra'!$AK$2:$AK993,0)),"")</f>
        <v>Lilis Suryani</v>
      </c>
      <c r="I260" s="71">
        <f ca="1">IF(N260=1,SUMIFS('Alokasi Honor'!$M$2:$M993,'Alokasi Honor'!$T$2:$T993,A260),"")</f>
        <v>910000</v>
      </c>
      <c r="J260" s="10">
        <f ca="1">IFERROR(__xludf.DUMMYFUNCTION("COUNTIF(FILTER('Alokasi Honor'!$H$2:$H993,'Alokasi Honor'!$H$2:$H993=""OB"",'Alokasi Honor'!$T$2:$T993=A260),""OB"")"),0)</f>
        <v>0</v>
      </c>
      <c r="K260" s="10">
        <f t="shared" ca="1" si="1"/>
        <v>1</v>
      </c>
      <c r="L260" s="70">
        <f t="array" aca="1" ref="L260" ca="1">IF(N260=1,INDEX('Batasan Honor'!$B$2:$B993,MATCH(CONCATENATE($F260,"-",$G260),'Batasan Honor'!$G$2:$G993,0)),"")</f>
        <v>5400000</v>
      </c>
      <c r="M260" s="10">
        <f t="shared" ca="1" si="4"/>
        <v>1</v>
      </c>
      <c r="N260" s="10">
        <f t="shared" ca="1" si="3"/>
        <v>1</v>
      </c>
    </row>
    <row r="261" spans="1:14" ht="12.5">
      <c r="A261" s="10" t="str">
        <f ca="1">IFERROR(__xludf.DUMMYFUNCTION("""COMPUTED_VALUE"""),"610422100085-2024-7-SURVEI-PPL")</f>
        <v>610422100085-2024-7-SURVEI-PPL</v>
      </c>
      <c r="B261" s="5" t="str">
        <f t="shared" ca="1" si="0"/>
        <v>610422100085-2024-7</v>
      </c>
      <c r="C261" s="5">
        <f ca="1">IFERROR(__xludf.DUMMYFUNCTION("IF(N261=1,SPLIT(A261,""-""),"""")"),610422100085)</f>
        <v>610422100085</v>
      </c>
      <c r="D261" s="10">
        <f ca="1">IFERROR(__xludf.DUMMYFUNCTION("""COMPUTED_VALUE"""),2024)</f>
        <v>2024</v>
      </c>
      <c r="E261" s="10">
        <f ca="1">IFERROR(__xludf.DUMMYFUNCTION("""COMPUTED_VALUE"""),7)</f>
        <v>7</v>
      </c>
      <c r="F261" s="5" t="str">
        <f ca="1">IFERROR(__xludf.DUMMYFUNCTION("""COMPUTED_VALUE"""),"SURVEI")</f>
        <v>SURVEI</v>
      </c>
      <c r="G261" s="5" t="str">
        <f ca="1">IFERROR(__xludf.DUMMYFUNCTION("""COMPUTED_VALUE"""),"PPL")</f>
        <v>PPL</v>
      </c>
      <c r="H261" s="5" t="str">
        <f t="array" aca="1" ref="H261" ca="1">IF(N261=1, INDEX('Database Mitra'!$C$2:$C993,MATCH($C261,'Database Mitra'!$AK$2:$AK993,0)),"")</f>
        <v>LINA AGUSTIN WIDYA SIWI</v>
      </c>
      <c r="I261" s="71">
        <f ca="1">IF(N261=1,SUMIFS('Alokasi Honor'!$M$2:$M993,'Alokasi Honor'!$T$2:$T993,A261),"")</f>
        <v>910000</v>
      </c>
      <c r="J261" s="10">
        <f ca="1">IFERROR(__xludf.DUMMYFUNCTION("COUNTIF(FILTER('Alokasi Honor'!$H$2:$H993,'Alokasi Honor'!$H$2:$H993=""OB"",'Alokasi Honor'!$T$2:$T993=A261),""OB"")"),0)</f>
        <v>0</v>
      </c>
      <c r="K261" s="10">
        <f t="shared" ca="1" si="1"/>
        <v>1</v>
      </c>
      <c r="L261" s="70">
        <f t="array" aca="1" ref="L261" ca="1">IF(N261=1,INDEX('Batasan Honor'!$B$2:$B993,MATCH(CONCATENATE($F261,"-",$G261),'Batasan Honor'!$G$2:$G993,0)),"")</f>
        <v>5400000</v>
      </c>
      <c r="M261" s="10">
        <f t="shared" ca="1" si="4"/>
        <v>1</v>
      </c>
      <c r="N261" s="10">
        <f t="shared" ca="1" si="3"/>
        <v>1</v>
      </c>
    </row>
    <row r="262" spans="1:14" ht="12.5">
      <c r="A262" s="10" t="str">
        <f ca="1">IFERROR(__xludf.DUMMYFUNCTION("""COMPUTED_VALUE"""),"610423040013-2024-7-SURVEI-PPL")</f>
        <v>610423040013-2024-7-SURVEI-PPL</v>
      </c>
      <c r="B262" s="5" t="str">
        <f t="shared" ca="1" si="0"/>
        <v>610423040013-2024-7</v>
      </c>
      <c r="C262" s="5">
        <f ca="1">IFERROR(__xludf.DUMMYFUNCTION("IF(N262=1,SPLIT(A262,""-""),"""")"),610423040013)</f>
        <v>610423040013</v>
      </c>
      <c r="D262" s="10">
        <f ca="1">IFERROR(__xludf.DUMMYFUNCTION("""COMPUTED_VALUE"""),2024)</f>
        <v>2024</v>
      </c>
      <c r="E262" s="10">
        <f ca="1">IFERROR(__xludf.DUMMYFUNCTION("""COMPUTED_VALUE"""),7)</f>
        <v>7</v>
      </c>
      <c r="F262" s="5" t="str">
        <f ca="1">IFERROR(__xludf.DUMMYFUNCTION("""COMPUTED_VALUE"""),"SURVEI")</f>
        <v>SURVEI</v>
      </c>
      <c r="G262" s="5" t="str">
        <f ca="1">IFERROR(__xludf.DUMMYFUNCTION("""COMPUTED_VALUE"""),"PPL")</f>
        <v>PPL</v>
      </c>
      <c r="H262" s="5" t="str">
        <f t="array" aca="1" ref="H262" ca="1">IF(N262=1, INDEX('Database Mitra'!$C$2:$C993,MATCH($C262,'Database Mitra'!$AK$2:$AK993,0)),"")</f>
        <v>Lulu Gesti Gunawati</v>
      </c>
      <c r="I262" s="71">
        <f ca="1">IF(N262=1,SUMIFS('Alokasi Honor'!$M$2:$M993,'Alokasi Honor'!$T$2:$T993,A262),"")</f>
        <v>910000</v>
      </c>
      <c r="J262" s="10">
        <f ca="1">IFERROR(__xludf.DUMMYFUNCTION("COUNTIF(FILTER('Alokasi Honor'!$H$2:$H993,'Alokasi Honor'!$H$2:$H993=""OB"",'Alokasi Honor'!$T$2:$T993=A262),""OB"")"),0)</f>
        <v>0</v>
      </c>
      <c r="K262" s="10">
        <f t="shared" ca="1" si="1"/>
        <v>1</v>
      </c>
      <c r="L262" s="70">
        <f t="array" aca="1" ref="L262" ca="1">IF(N262=1,INDEX('Batasan Honor'!$B$2:$B993,MATCH(CONCATENATE($F262,"-",$G262),'Batasan Honor'!$G$2:$G993,0)),"")</f>
        <v>5400000</v>
      </c>
      <c r="M262" s="10">
        <f t="shared" ca="1" si="4"/>
        <v>1</v>
      </c>
      <c r="N262" s="10">
        <f t="shared" ca="1" si="3"/>
        <v>1</v>
      </c>
    </row>
    <row r="263" spans="1:14" ht="12.5">
      <c r="A263" s="10" t="str">
        <f ca="1">IFERROR(__xludf.DUMMYFUNCTION("""COMPUTED_VALUE"""),"610422100137-2024-7-SURVEI-PPL")</f>
        <v>610422100137-2024-7-SURVEI-PPL</v>
      </c>
      <c r="B263" s="5" t="str">
        <f t="shared" ca="1" si="0"/>
        <v>610422100137-2024-7</v>
      </c>
      <c r="C263" s="5">
        <f ca="1">IFERROR(__xludf.DUMMYFUNCTION("IF(N263=1,SPLIT(A263,""-""),"""")"),610422100137)</f>
        <v>610422100137</v>
      </c>
      <c r="D263" s="10">
        <f ca="1">IFERROR(__xludf.DUMMYFUNCTION("""COMPUTED_VALUE"""),2024)</f>
        <v>2024</v>
      </c>
      <c r="E263" s="10">
        <f ca="1">IFERROR(__xludf.DUMMYFUNCTION("""COMPUTED_VALUE"""),7)</f>
        <v>7</v>
      </c>
      <c r="F263" s="5" t="str">
        <f ca="1">IFERROR(__xludf.DUMMYFUNCTION("""COMPUTED_VALUE"""),"SURVEI")</f>
        <v>SURVEI</v>
      </c>
      <c r="G263" s="5" t="str">
        <f ca="1">IFERROR(__xludf.DUMMYFUNCTION("""COMPUTED_VALUE"""),"PPL")</f>
        <v>PPL</v>
      </c>
      <c r="H263" s="5" t="str">
        <f t="array" aca="1" ref="H263" ca="1">IF(N263=1, INDEX('Database Mitra'!$C$2:$C993,MATCH($C263,'Database Mitra'!$AK$2:$AK993,0)),"")</f>
        <v>MASTURI</v>
      </c>
      <c r="I263" s="71">
        <f ca="1">IF(N263=1,SUMIFS('Alokasi Honor'!$M$2:$M993,'Alokasi Honor'!$T$2:$T993,A263),"")</f>
        <v>910000</v>
      </c>
      <c r="J263" s="10">
        <f ca="1">IFERROR(__xludf.DUMMYFUNCTION("COUNTIF(FILTER('Alokasi Honor'!$H$2:$H993,'Alokasi Honor'!$H$2:$H993=""OB"",'Alokasi Honor'!$T$2:$T993=A263),""OB"")"),0)</f>
        <v>0</v>
      </c>
      <c r="K263" s="10">
        <f t="shared" ca="1" si="1"/>
        <v>1</v>
      </c>
      <c r="L263" s="70">
        <f t="array" aca="1" ref="L263" ca="1">IF(N263=1,INDEX('Batasan Honor'!$B$2:$B993,MATCH(CONCATENATE($F263,"-",$G263),'Batasan Honor'!$G$2:$G993,0)),"")</f>
        <v>5400000</v>
      </c>
      <c r="M263" s="10">
        <f t="shared" ca="1" si="4"/>
        <v>1</v>
      </c>
      <c r="N263" s="10">
        <f t="shared" ca="1" si="3"/>
        <v>1</v>
      </c>
    </row>
    <row r="264" spans="1:14" ht="12.5">
      <c r="A264" s="10" t="str">
        <f ca="1">IFERROR(__xludf.DUMMYFUNCTION("""COMPUTED_VALUE"""),"610422100256-2024-7-SURVEI-PPL")</f>
        <v>610422100256-2024-7-SURVEI-PPL</v>
      </c>
      <c r="B264" s="5" t="str">
        <f t="shared" ca="1" si="0"/>
        <v>610422100256-2024-7</v>
      </c>
      <c r="C264" s="5">
        <f ca="1">IFERROR(__xludf.DUMMYFUNCTION("IF(N264=1,SPLIT(A264,""-""),"""")"),610422100256)</f>
        <v>610422100256</v>
      </c>
      <c r="D264" s="10">
        <f ca="1">IFERROR(__xludf.DUMMYFUNCTION("""COMPUTED_VALUE"""),2024)</f>
        <v>2024</v>
      </c>
      <c r="E264" s="10">
        <f ca="1">IFERROR(__xludf.DUMMYFUNCTION("""COMPUTED_VALUE"""),7)</f>
        <v>7</v>
      </c>
      <c r="F264" s="5" t="str">
        <f ca="1">IFERROR(__xludf.DUMMYFUNCTION("""COMPUTED_VALUE"""),"SURVEI")</f>
        <v>SURVEI</v>
      </c>
      <c r="G264" s="5" t="str">
        <f ca="1">IFERROR(__xludf.DUMMYFUNCTION("""COMPUTED_VALUE"""),"PPL")</f>
        <v>PPL</v>
      </c>
      <c r="H264" s="5" t="str">
        <f t="array" aca="1" ref="H264" ca="1">IF(N264=1, INDEX('Database Mitra'!$C$2:$C993,MATCH($C264,'Database Mitra'!$AK$2:$AK993,0)),"")</f>
        <v>Meta</v>
      </c>
      <c r="I264" s="71">
        <f ca="1">IF(N264=1,SUMIFS('Alokasi Honor'!$M$2:$M993,'Alokasi Honor'!$T$2:$T993,A264),"")</f>
        <v>910000</v>
      </c>
      <c r="J264" s="10">
        <f ca="1">IFERROR(__xludf.DUMMYFUNCTION("COUNTIF(FILTER('Alokasi Honor'!$H$2:$H993,'Alokasi Honor'!$H$2:$H993=""OB"",'Alokasi Honor'!$T$2:$T993=A264),""OB"")"),0)</f>
        <v>0</v>
      </c>
      <c r="K264" s="10">
        <f t="shared" ca="1" si="1"/>
        <v>1</v>
      </c>
      <c r="L264" s="70">
        <f t="array" aca="1" ref="L264" ca="1">IF(N264=1,INDEX('Batasan Honor'!$B$2:$B993,MATCH(CONCATENATE($F264,"-",$G264),'Batasan Honor'!$G$2:$G993,0)),"")</f>
        <v>5400000</v>
      </c>
      <c r="M264" s="10">
        <f t="shared" ca="1" si="4"/>
        <v>1</v>
      </c>
      <c r="N264" s="10">
        <f t="shared" ca="1" si="3"/>
        <v>1</v>
      </c>
    </row>
    <row r="265" spans="1:14" ht="12.5">
      <c r="A265" s="10" t="str">
        <f ca="1">IFERROR(__xludf.DUMMYFUNCTION("""COMPUTED_VALUE"""),"610422040050-2024-7-SURVEI-PPL")</f>
        <v>610422040050-2024-7-SURVEI-PPL</v>
      </c>
      <c r="B265" s="5" t="str">
        <f t="shared" ca="1" si="0"/>
        <v>610422040050-2024-7</v>
      </c>
      <c r="C265" s="5">
        <f ca="1">IFERROR(__xludf.DUMMYFUNCTION("IF(N265=1,SPLIT(A265,""-""),"""")"),610422040050)</f>
        <v>610422040050</v>
      </c>
      <c r="D265" s="10">
        <f ca="1">IFERROR(__xludf.DUMMYFUNCTION("""COMPUTED_VALUE"""),2024)</f>
        <v>2024</v>
      </c>
      <c r="E265" s="10">
        <f ca="1">IFERROR(__xludf.DUMMYFUNCTION("""COMPUTED_VALUE"""),7)</f>
        <v>7</v>
      </c>
      <c r="F265" s="5" t="str">
        <f ca="1">IFERROR(__xludf.DUMMYFUNCTION("""COMPUTED_VALUE"""),"SURVEI")</f>
        <v>SURVEI</v>
      </c>
      <c r="G265" s="5" t="str">
        <f ca="1">IFERROR(__xludf.DUMMYFUNCTION("""COMPUTED_VALUE"""),"PPL")</f>
        <v>PPL</v>
      </c>
      <c r="H265" s="5" t="str">
        <f t="array" aca="1" ref="H265" ca="1">IF(N265=1, INDEX('Database Mitra'!$C$2:$C993,MATCH($C265,'Database Mitra'!$AK$2:$AK993,0)),"")</f>
        <v>NOVITA SARI</v>
      </c>
      <c r="I265" s="71">
        <f ca="1">IF(N265=1,SUMIFS('Alokasi Honor'!$M$2:$M993,'Alokasi Honor'!$T$2:$T993,A265),"")</f>
        <v>910000</v>
      </c>
      <c r="J265" s="10">
        <f ca="1">IFERROR(__xludf.DUMMYFUNCTION("COUNTIF(FILTER('Alokasi Honor'!$H$2:$H993,'Alokasi Honor'!$H$2:$H993=""OB"",'Alokasi Honor'!$T$2:$T993=A265),""OB"")"),0)</f>
        <v>0</v>
      </c>
      <c r="K265" s="10">
        <f t="shared" ca="1" si="1"/>
        <v>1</v>
      </c>
      <c r="L265" s="70">
        <f t="array" aca="1" ref="L265" ca="1">IF(N265=1,INDEX('Batasan Honor'!$B$2:$B993,MATCH(CONCATENATE($F265,"-",$G265),'Batasan Honor'!$G$2:$G993,0)),"")</f>
        <v>5400000</v>
      </c>
      <c r="M265" s="10">
        <f t="shared" ca="1" si="4"/>
        <v>1</v>
      </c>
      <c r="N265" s="10">
        <f t="shared" ca="1" si="3"/>
        <v>1</v>
      </c>
    </row>
    <row r="266" spans="1:14" ht="12.5">
      <c r="A266" s="10" t="str">
        <f ca="1">IFERROR(__xludf.DUMMYFUNCTION("""COMPUTED_VALUE"""),"610422040035-2024-7-SURVEI-PPL")</f>
        <v>610422040035-2024-7-SURVEI-PPL</v>
      </c>
      <c r="B266" s="5" t="str">
        <f t="shared" ca="1" si="0"/>
        <v>610422040035-2024-7</v>
      </c>
      <c r="C266" s="5">
        <f ca="1">IFERROR(__xludf.DUMMYFUNCTION("IF(N266=1,SPLIT(A266,""-""),"""")"),610422040035)</f>
        <v>610422040035</v>
      </c>
      <c r="D266" s="10">
        <f ca="1">IFERROR(__xludf.DUMMYFUNCTION("""COMPUTED_VALUE"""),2024)</f>
        <v>2024</v>
      </c>
      <c r="E266" s="10">
        <f ca="1">IFERROR(__xludf.DUMMYFUNCTION("""COMPUTED_VALUE"""),7)</f>
        <v>7</v>
      </c>
      <c r="F266" s="5" t="str">
        <f ca="1">IFERROR(__xludf.DUMMYFUNCTION("""COMPUTED_VALUE"""),"SURVEI")</f>
        <v>SURVEI</v>
      </c>
      <c r="G266" s="5" t="str">
        <f ca="1">IFERROR(__xludf.DUMMYFUNCTION("""COMPUTED_VALUE"""),"PPL")</f>
        <v>PPL</v>
      </c>
      <c r="H266" s="5" t="str">
        <f t="array" aca="1" ref="H266" ca="1">IF(N266=1, INDEX('Database Mitra'!$C$2:$C993,MATCH($C266,'Database Mitra'!$AK$2:$AK993,0)),"")</f>
        <v>Rahmayani</v>
      </c>
      <c r="I266" s="71">
        <f ca="1">IF(N266=1,SUMIFS('Alokasi Honor'!$M$2:$M993,'Alokasi Honor'!$T$2:$T993,A266),"")</f>
        <v>910000</v>
      </c>
      <c r="J266" s="10">
        <f ca="1">IFERROR(__xludf.DUMMYFUNCTION("COUNTIF(FILTER('Alokasi Honor'!$H$2:$H993,'Alokasi Honor'!$H$2:$H993=""OB"",'Alokasi Honor'!$T$2:$T993=A266),""OB"")"),0)</f>
        <v>0</v>
      </c>
      <c r="K266" s="10">
        <f t="shared" ca="1" si="1"/>
        <v>1</v>
      </c>
      <c r="L266" s="70">
        <f t="array" aca="1" ref="L266" ca="1">IF(N266=1,INDEX('Batasan Honor'!$B$2:$B993,MATCH(CONCATENATE($F266,"-",$G266),'Batasan Honor'!$G$2:$G993,0)),"")</f>
        <v>5400000</v>
      </c>
      <c r="M266" s="10">
        <f t="shared" ca="1" si="4"/>
        <v>1</v>
      </c>
      <c r="N266" s="10">
        <f t="shared" ca="1" si="3"/>
        <v>1</v>
      </c>
    </row>
    <row r="267" spans="1:14" ht="12.5">
      <c r="A267" s="10" t="str">
        <f ca="1">IFERROR(__xludf.DUMMYFUNCTION("""COMPUTED_VALUE"""),"610422040061-2024-7-SURVEI-PPL")</f>
        <v>610422040061-2024-7-SURVEI-PPL</v>
      </c>
      <c r="B267" s="5" t="str">
        <f t="shared" ca="1" si="0"/>
        <v>610422040061-2024-7</v>
      </c>
      <c r="C267" s="5">
        <f ca="1">IFERROR(__xludf.DUMMYFUNCTION("IF(N267=1,SPLIT(A267,""-""),"""")"),610422040061)</f>
        <v>610422040061</v>
      </c>
      <c r="D267" s="10">
        <f ca="1">IFERROR(__xludf.DUMMYFUNCTION("""COMPUTED_VALUE"""),2024)</f>
        <v>2024</v>
      </c>
      <c r="E267" s="10">
        <f ca="1">IFERROR(__xludf.DUMMYFUNCTION("""COMPUTED_VALUE"""),7)</f>
        <v>7</v>
      </c>
      <c r="F267" s="5" t="str">
        <f ca="1">IFERROR(__xludf.DUMMYFUNCTION("""COMPUTED_VALUE"""),"SURVEI")</f>
        <v>SURVEI</v>
      </c>
      <c r="G267" s="5" t="str">
        <f ca="1">IFERROR(__xludf.DUMMYFUNCTION("""COMPUTED_VALUE"""),"PPL")</f>
        <v>PPL</v>
      </c>
      <c r="H267" s="5" t="str">
        <f t="array" aca="1" ref="H267" ca="1">IF(N267=1, INDEX('Database Mitra'!$C$2:$C993,MATCH($C267,'Database Mitra'!$AK$2:$AK993,0)),"")</f>
        <v>Sabani</v>
      </c>
      <c r="I267" s="71">
        <f ca="1">IF(N267=1,SUMIFS('Alokasi Honor'!$M$2:$M993,'Alokasi Honor'!$T$2:$T993,A267),"")</f>
        <v>1258000</v>
      </c>
      <c r="J267" s="10">
        <f ca="1">IFERROR(__xludf.DUMMYFUNCTION("COUNTIF(FILTER('Alokasi Honor'!$H$2:$H993,'Alokasi Honor'!$H$2:$H993=""OB"",'Alokasi Honor'!$T$2:$T993=A267),""OB"")"),0)</f>
        <v>0</v>
      </c>
      <c r="K267" s="10">
        <f t="shared" ca="1" si="1"/>
        <v>1</v>
      </c>
      <c r="L267" s="70">
        <f t="array" aca="1" ref="L267" ca="1">IF(N267=1,INDEX('Batasan Honor'!$B$2:$B993,MATCH(CONCATENATE($F267,"-",$G267),'Batasan Honor'!$G$2:$G993,0)),"")</f>
        <v>5400000</v>
      </c>
      <c r="M267" s="10">
        <f t="shared" ca="1" si="4"/>
        <v>1</v>
      </c>
      <c r="N267" s="10">
        <f t="shared" ca="1" si="3"/>
        <v>1</v>
      </c>
    </row>
    <row r="268" spans="1:14" ht="12.5">
      <c r="A268" s="10" t="str">
        <f ca="1">IFERROR(__xludf.DUMMYFUNCTION("""COMPUTED_VALUE"""),"610422040053-2024-7-SURVEI-PPL")</f>
        <v>610422040053-2024-7-SURVEI-PPL</v>
      </c>
      <c r="B268" s="5" t="str">
        <f t="shared" ca="1" si="0"/>
        <v>610422040053-2024-7</v>
      </c>
      <c r="C268" s="5">
        <f ca="1">IFERROR(__xludf.DUMMYFUNCTION("IF(N268=1,SPLIT(A268,""-""),"""")"),610422040053)</f>
        <v>610422040053</v>
      </c>
      <c r="D268" s="10">
        <f ca="1">IFERROR(__xludf.DUMMYFUNCTION("""COMPUTED_VALUE"""),2024)</f>
        <v>2024</v>
      </c>
      <c r="E268" s="10">
        <f ca="1">IFERROR(__xludf.DUMMYFUNCTION("""COMPUTED_VALUE"""),7)</f>
        <v>7</v>
      </c>
      <c r="F268" s="5" t="str">
        <f ca="1">IFERROR(__xludf.DUMMYFUNCTION("""COMPUTED_VALUE"""),"SURVEI")</f>
        <v>SURVEI</v>
      </c>
      <c r="G268" s="5" t="str">
        <f ca="1">IFERROR(__xludf.DUMMYFUNCTION("""COMPUTED_VALUE"""),"PPL")</f>
        <v>PPL</v>
      </c>
      <c r="H268" s="5" t="str">
        <f t="array" aca="1" ref="H268" ca="1">IF(N268=1, INDEX('Database Mitra'!$C$2:$C993,MATCH($C268,'Database Mitra'!$AK$2:$AK993,0)),"")</f>
        <v>Veti Ningsi</v>
      </c>
      <c r="I268" s="71">
        <f ca="1">IF(N268=1,SUMIFS('Alokasi Honor'!$M$2:$M993,'Alokasi Honor'!$T$2:$T993,A268),"")</f>
        <v>910000</v>
      </c>
      <c r="J268" s="10">
        <f ca="1">IFERROR(__xludf.DUMMYFUNCTION("COUNTIF(FILTER('Alokasi Honor'!$H$2:$H993,'Alokasi Honor'!$H$2:$H993=""OB"",'Alokasi Honor'!$T$2:$T993=A268),""OB"")"),0)</f>
        <v>0</v>
      </c>
      <c r="K268" s="10">
        <f t="shared" ca="1" si="1"/>
        <v>1</v>
      </c>
      <c r="L268" s="70">
        <f t="array" aca="1" ref="L268" ca="1">IF(N268=1,INDEX('Batasan Honor'!$B$2:$B993,MATCH(CONCATENATE($F268,"-",$G268),'Batasan Honor'!$G$2:$G993,0)),"")</f>
        <v>5400000</v>
      </c>
      <c r="M268" s="10">
        <f t="shared" ca="1" si="4"/>
        <v>1</v>
      </c>
      <c r="N268" s="10">
        <f t="shared" ca="1" si="3"/>
        <v>1</v>
      </c>
    </row>
    <row r="269" spans="1:14" ht="12.5">
      <c r="A269" s="10" t="str">
        <f ca="1">IFERROR(__xludf.DUMMYFUNCTION("""COMPUTED_VALUE"""),"610422100055-2024-7-SURVEI-PPL")</f>
        <v>610422100055-2024-7-SURVEI-PPL</v>
      </c>
      <c r="B269" s="5" t="str">
        <f t="shared" ca="1" si="0"/>
        <v>610422100055-2024-7</v>
      </c>
      <c r="C269" s="5">
        <f ca="1">IFERROR(__xludf.DUMMYFUNCTION("IF(N269=1,SPLIT(A269,""-""),"""")"),610422100055)</f>
        <v>610422100055</v>
      </c>
      <c r="D269" s="10">
        <f ca="1">IFERROR(__xludf.DUMMYFUNCTION("""COMPUTED_VALUE"""),2024)</f>
        <v>2024</v>
      </c>
      <c r="E269" s="10">
        <f ca="1">IFERROR(__xludf.DUMMYFUNCTION("""COMPUTED_VALUE"""),7)</f>
        <v>7</v>
      </c>
      <c r="F269" s="5" t="str">
        <f ca="1">IFERROR(__xludf.DUMMYFUNCTION("""COMPUTED_VALUE"""),"SURVEI")</f>
        <v>SURVEI</v>
      </c>
      <c r="G269" s="5" t="str">
        <f ca="1">IFERROR(__xludf.DUMMYFUNCTION("""COMPUTED_VALUE"""),"PPL")</f>
        <v>PPL</v>
      </c>
      <c r="H269" s="5" t="str">
        <f t="array" aca="1" ref="H269" ca="1">IF(N269=1, INDEX('Database Mitra'!$C$2:$C993,MATCH($C269,'Database Mitra'!$AK$2:$AK993,0)),"")</f>
        <v>Vika Rizkiani</v>
      </c>
      <c r="I269" s="71">
        <f ca="1">IF(N269=1,SUMIFS('Alokasi Honor'!$M$2:$M993,'Alokasi Honor'!$T$2:$T993,A269),"")</f>
        <v>910000</v>
      </c>
      <c r="J269" s="10">
        <f ca="1">IFERROR(__xludf.DUMMYFUNCTION("COUNTIF(FILTER('Alokasi Honor'!$H$2:$H993,'Alokasi Honor'!$H$2:$H993=""OB"",'Alokasi Honor'!$T$2:$T993=A269),""OB"")"),0)</f>
        <v>0</v>
      </c>
      <c r="K269" s="10">
        <f t="shared" ca="1" si="1"/>
        <v>1</v>
      </c>
      <c r="L269" s="70">
        <f t="array" aca="1" ref="L269" ca="1">IF(N269=1,INDEX('Batasan Honor'!$B$2:$B993,MATCH(CONCATENATE($F269,"-",$G269),'Batasan Honor'!$G$2:$G993,0)),"")</f>
        <v>5400000</v>
      </c>
      <c r="M269" s="10">
        <f t="shared" ca="1" si="4"/>
        <v>1</v>
      </c>
      <c r="N269" s="10">
        <f t="shared" ca="1" si="3"/>
        <v>1</v>
      </c>
    </row>
    <row r="270" spans="1:14" ht="12.5">
      <c r="A270" s="10" t="str">
        <f ca="1">IFERROR(__xludf.DUMMYFUNCTION("""COMPUTED_VALUE"""),"610422100139-2024-7-SURVEI-PPL")</f>
        <v>610422100139-2024-7-SURVEI-PPL</v>
      </c>
      <c r="B270" s="5" t="str">
        <f t="shared" ca="1" si="0"/>
        <v>610422100139-2024-7</v>
      </c>
      <c r="C270" s="5">
        <f ca="1">IFERROR(__xludf.DUMMYFUNCTION("IF(N270=1,SPLIT(A270,""-""),"""")"),610422100139)</f>
        <v>610422100139</v>
      </c>
      <c r="D270" s="10">
        <f ca="1">IFERROR(__xludf.DUMMYFUNCTION("""COMPUTED_VALUE"""),2024)</f>
        <v>2024</v>
      </c>
      <c r="E270" s="10">
        <f ca="1">IFERROR(__xludf.DUMMYFUNCTION("""COMPUTED_VALUE"""),7)</f>
        <v>7</v>
      </c>
      <c r="F270" s="5" t="str">
        <f ca="1">IFERROR(__xludf.DUMMYFUNCTION("""COMPUTED_VALUE"""),"SURVEI")</f>
        <v>SURVEI</v>
      </c>
      <c r="G270" s="5" t="str">
        <f ca="1">IFERROR(__xludf.DUMMYFUNCTION("""COMPUTED_VALUE"""),"PPL")</f>
        <v>PPL</v>
      </c>
      <c r="H270" s="5" t="str">
        <f t="array" aca="1" ref="H270" ca="1">IF(N270=1, INDEX('Database Mitra'!$C$2:$C993,MATCH($C270,'Database Mitra'!$AK$2:$AK993,0)),"")</f>
        <v>Winda Dwi Ananda</v>
      </c>
      <c r="I270" s="71">
        <f ca="1">IF(N270=1,SUMIFS('Alokasi Honor'!$M$2:$M993,'Alokasi Honor'!$T$2:$T993,A270),"")</f>
        <v>910000</v>
      </c>
      <c r="J270" s="10">
        <f ca="1">IFERROR(__xludf.DUMMYFUNCTION("COUNTIF(FILTER('Alokasi Honor'!$H$2:$H993,'Alokasi Honor'!$H$2:$H993=""OB"",'Alokasi Honor'!$T$2:$T993=A270),""OB"")"),0)</f>
        <v>0</v>
      </c>
      <c r="K270" s="10">
        <f t="shared" ca="1" si="1"/>
        <v>1</v>
      </c>
      <c r="L270" s="70">
        <f t="array" aca="1" ref="L270" ca="1">IF(N270=1,INDEX('Batasan Honor'!$B$2:$B993,MATCH(CONCATENATE($F270,"-",$G270),'Batasan Honor'!$G$2:$G993,0)),"")</f>
        <v>5400000</v>
      </c>
      <c r="M270" s="10">
        <f t="shared" ca="1" si="4"/>
        <v>1</v>
      </c>
      <c r="N270" s="10">
        <f t="shared" ca="1" si="3"/>
        <v>1</v>
      </c>
    </row>
    <row r="271" spans="1:14" ht="12.5">
      <c r="A271" s="10" t="str">
        <f ca="1">IFERROR(__xludf.DUMMYFUNCTION("""COMPUTED_VALUE"""),"610422040052-2024-7-SURVEI-PPL")</f>
        <v>610422040052-2024-7-SURVEI-PPL</v>
      </c>
      <c r="B271" s="5" t="str">
        <f t="shared" ca="1" si="0"/>
        <v>610422040052-2024-7</v>
      </c>
      <c r="C271" s="5">
        <f ca="1">IFERROR(__xludf.DUMMYFUNCTION("IF(N271=1,SPLIT(A271,""-""),"""")"),610422040052)</f>
        <v>610422040052</v>
      </c>
      <c r="D271" s="10">
        <f ca="1">IFERROR(__xludf.DUMMYFUNCTION("""COMPUTED_VALUE"""),2024)</f>
        <v>2024</v>
      </c>
      <c r="E271" s="10">
        <f ca="1">IFERROR(__xludf.DUMMYFUNCTION("""COMPUTED_VALUE"""),7)</f>
        <v>7</v>
      </c>
      <c r="F271" s="5" t="str">
        <f ca="1">IFERROR(__xludf.DUMMYFUNCTION("""COMPUTED_VALUE"""),"SURVEI")</f>
        <v>SURVEI</v>
      </c>
      <c r="G271" s="5" t="str">
        <f ca="1">IFERROR(__xludf.DUMMYFUNCTION("""COMPUTED_VALUE"""),"PPL")</f>
        <v>PPL</v>
      </c>
      <c r="H271" s="5" t="str">
        <f t="array" aca="1" ref="H271" ca="1">IF(N271=1, INDEX('Database Mitra'!$C$2:$C993,MATCH($C271,'Database Mitra'!$AK$2:$AK993,0)),"")</f>
        <v>Yusimianto</v>
      </c>
      <c r="I271" s="71">
        <f ca="1">IF(N271=1,SUMIFS('Alokasi Honor'!$M$2:$M993,'Alokasi Honor'!$T$2:$T993,A271),"")</f>
        <v>910000</v>
      </c>
      <c r="J271" s="10">
        <f ca="1">IFERROR(__xludf.DUMMYFUNCTION("COUNTIF(FILTER('Alokasi Honor'!$H$2:$H993,'Alokasi Honor'!$H$2:$H993=""OB"",'Alokasi Honor'!$T$2:$T993=A271),""OB"")"),0)</f>
        <v>0</v>
      </c>
      <c r="K271" s="10">
        <f t="shared" ca="1" si="1"/>
        <v>1</v>
      </c>
      <c r="L271" s="70">
        <f t="array" aca="1" ref="L271" ca="1">IF(N271=1,INDEX('Batasan Honor'!$B$2:$B993,MATCH(CONCATENATE($F271,"-",$G271),'Batasan Honor'!$G$2:$G993,0)),"")</f>
        <v>5400000</v>
      </c>
      <c r="M271" s="10">
        <f t="shared" ca="1" si="4"/>
        <v>1</v>
      </c>
      <c r="N271" s="10">
        <f t="shared" ca="1" si="3"/>
        <v>1</v>
      </c>
    </row>
    <row r="272" spans="1:14" ht="12.5">
      <c r="A272" s="10" t="str">
        <f ca="1">IFERROR(__xludf.DUMMYFUNCTION("""COMPUTED_VALUE"""),"610422020029-2024-7-SURVEI-PETUGAS ENTRI")</f>
        <v>610422020029-2024-7-SURVEI-PETUGAS ENTRI</v>
      </c>
      <c r="B272" s="5" t="str">
        <f t="shared" ca="1" si="0"/>
        <v>610422020029-2024-7</v>
      </c>
      <c r="C272" s="5">
        <f ca="1">IFERROR(__xludf.DUMMYFUNCTION("IF(N272=1,SPLIT(A272,""-""),"""")"),610422020029)</f>
        <v>610422020029</v>
      </c>
      <c r="D272" s="10">
        <f ca="1">IFERROR(__xludf.DUMMYFUNCTION("""COMPUTED_VALUE"""),2024)</f>
        <v>2024</v>
      </c>
      <c r="E272" s="10">
        <f ca="1">IFERROR(__xludf.DUMMYFUNCTION("""COMPUTED_VALUE"""),7)</f>
        <v>7</v>
      </c>
      <c r="F272" s="5" t="str">
        <f ca="1">IFERROR(__xludf.DUMMYFUNCTION("""COMPUTED_VALUE"""),"SURVEI")</f>
        <v>SURVEI</v>
      </c>
      <c r="G272" s="5" t="str">
        <f ca="1">IFERROR(__xludf.DUMMYFUNCTION("""COMPUTED_VALUE"""),"PETUGAS ENTRI")</f>
        <v>PETUGAS ENTRI</v>
      </c>
      <c r="H272" s="5" t="str">
        <f t="array" aca="1" ref="H272" ca="1">IF(N272=1, INDEX('Database Mitra'!$C$2:$C993,MATCH($C272,'Database Mitra'!$AK$2:$AK993,0)),"")</f>
        <v>Kurniadi</v>
      </c>
      <c r="I272" s="71">
        <f ca="1">IF(N272=1,SUMIFS('Alokasi Honor'!$M$2:$M993,'Alokasi Honor'!$T$2:$T993,A272),"")</f>
        <v>240000</v>
      </c>
      <c r="J272" s="10">
        <f ca="1">IFERROR(__xludf.DUMMYFUNCTION("COUNTIF(FILTER('Alokasi Honor'!$H$2:$H993,'Alokasi Honor'!$H$2:$H993=""OB"",'Alokasi Honor'!$T$2:$T993=A272),""OB"")"),0)</f>
        <v>0</v>
      </c>
      <c r="K272" s="10">
        <f t="shared" ca="1" si="1"/>
        <v>1</v>
      </c>
      <c r="L272" s="70">
        <f t="array" aca="1" ref="L272" ca="1">IF(N272=1,INDEX('Batasan Honor'!$B$2:$B993,MATCH(CONCATENATE($F272,"-",$G272),'Batasan Honor'!$G$2:$G993,0)),"")</f>
        <v>5400000</v>
      </c>
      <c r="M272" s="10">
        <f t="shared" ca="1" si="4"/>
        <v>1</v>
      </c>
      <c r="N272" s="10">
        <f t="shared" ca="1" si="3"/>
        <v>1</v>
      </c>
    </row>
    <row r="273" spans="1:14" ht="12.5">
      <c r="A273" s="10" t="str">
        <f ca="1">IFERROR(__xludf.DUMMYFUNCTION("""COMPUTED_VALUE"""),"610422030002-2024-7-SURVEI-PPL")</f>
        <v>610422030002-2024-7-SURVEI-PPL</v>
      </c>
      <c r="B273" s="5" t="str">
        <f t="shared" ca="1" si="0"/>
        <v>610422030002-2024-7</v>
      </c>
      <c r="C273" s="5">
        <f ca="1">IFERROR(__xludf.DUMMYFUNCTION("IF(N273=1,SPLIT(A273,""-""),"""")"),610422030002)</f>
        <v>610422030002</v>
      </c>
      <c r="D273" s="10">
        <f ca="1">IFERROR(__xludf.DUMMYFUNCTION("""COMPUTED_VALUE"""),2024)</f>
        <v>2024</v>
      </c>
      <c r="E273" s="10">
        <f ca="1">IFERROR(__xludf.DUMMYFUNCTION("""COMPUTED_VALUE"""),7)</f>
        <v>7</v>
      </c>
      <c r="F273" s="5" t="str">
        <f ca="1">IFERROR(__xludf.DUMMYFUNCTION("""COMPUTED_VALUE"""),"SURVEI")</f>
        <v>SURVEI</v>
      </c>
      <c r="G273" s="5" t="str">
        <f ca="1">IFERROR(__xludf.DUMMYFUNCTION("""COMPUTED_VALUE"""),"PPL")</f>
        <v>PPL</v>
      </c>
      <c r="H273" s="5" t="str">
        <f t="array" aca="1" ref="H273" ca="1">IF(N273=1, INDEX('Database Mitra'!$C$2:$C993,MATCH($C273,'Database Mitra'!$AK$2:$AK993,0)),"")</f>
        <v>Deti erni widiastuti</v>
      </c>
      <c r="I273" s="71">
        <f ca="1">IF(N273=1,SUMIFS('Alokasi Honor'!$M$2:$M993,'Alokasi Honor'!$T$2:$T993,A273),"")</f>
        <v>750000</v>
      </c>
      <c r="J273" s="10">
        <f ca="1">IFERROR(__xludf.DUMMYFUNCTION("COUNTIF(FILTER('Alokasi Honor'!$H$2:$H993,'Alokasi Honor'!$H$2:$H993=""OB"",'Alokasi Honor'!$T$2:$T993=A273),""OB"")"),0)</f>
        <v>0</v>
      </c>
      <c r="K273" s="10">
        <f t="shared" ca="1" si="1"/>
        <v>1</v>
      </c>
      <c r="L273" s="70">
        <f t="array" aca="1" ref="L273" ca="1">IF(N273=1,INDEX('Batasan Honor'!$B$2:$B993,MATCH(CONCATENATE($F273,"-",$G273),'Batasan Honor'!$G$2:$G993,0)),"")</f>
        <v>5400000</v>
      </c>
      <c r="M273" s="10">
        <f t="shared" ca="1" si="4"/>
        <v>1</v>
      </c>
      <c r="N273" s="10">
        <f t="shared" ca="1" si="3"/>
        <v>1</v>
      </c>
    </row>
    <row r="274" spans="1:14" ht="12.5">
      <c r="A274" s="10" t="str">
        <f ca="1">IFERROR(__xludf.DUMMYFUNCTION("""COMPUTED_VALUE"""),"610422100244-2024-7-SURVEI-PPL")</f>
        <v>610422100244-2024-7-SURVEI-PPL</v>
      </c>
      <c r="B274" s="5" t="str">
        <f t="shared" ca="1" si="0"/>
        <v>610422100244-2024-7</v>
      </c>
      <c r="C274" s="5">
        <f ca="1">IFERROR(__xludf.DUMMYFUNCTION("IF(N274=1,SPLIT(A274,""-""),"""")"),610422100244)</f>
        <v>610422100244</v>
      </c>
      <c r="D274" s="10">
        <f ca="1">IFERROR(__xludf.DUMMYFUNCTION("""COMPUTED_VALUE"""),2024)</f>
        <v>2024</v>
      </c>
      <c r="E274" s="10">
        <f ca="1">IFERROR(__xludf.DUMMYFUNCTION("""COMPUTED_VALUE"""),7)</f>
        <v>7</v>
      </c>
      <c r="F274" s="5" t="str">
        <f ca="1">IFERROR(__xludf.DUMMYFUNCTION("""COMPUTED_VALUE"""),"SURVEI")</f>
        <v>SURVEI</v>
      </c>
      <c r="G274" s="5" t="str">
        <f ca="1">IFERROR(__xludf.DUMMYFUNCTION("""COMPUTED_VALUE"""),"PPL")</f>
        <v>PPL</v>
      </c>
      <c r="H274" s="5" t="str">
        <f t="array" aca="1" ref="H274" ca="1">IF(N274=1, INDEX('Database Mitra'!$C$2:$C993,MATCH($C274,'Database Mitra'!$AK$2:$AK993,0)),"")</f>
        <v>Sugianto</v>
      </c>
      <c r="I274" s="71">
        <f ca="1">IF(N274=1,SUMIFS('Alokasi Honor'!$M$2:$M993,'Alokasi Honor'!$T$2:$T993,A274),"")</f>
        <v>1090000</v>
      </c>
      <c r="J274" s="10">
        <f ca="1">IFERROR(__xludf.DUMMYFUNCTION("COUNTIF(FILTER('Alokasi Honor'!$H$2:$H993,'Alokasi Honor'!$H$2:$H993=""OB"",'Alokasi Honor'!$T$2:$T993=A274),""OB"")"),0)</f>
        <v>0</v>
      </c>
      <c r="K274" s="10">
        <f t="shared" ca="1" si="1"/>
        <v>1</v>
      </c>
      <c r="L274" s="70">
        <f t="array" aca="1" ref="L274" ca="1">IF(N274=1,INDEX('Batasan Honor'!$B$2:$B993,MATCH(CONCATENATE($F274,"-",$G274),'Batasan Honor'!$G$2:$G993,0)),"")</f>
        <v>5400000</v>
      </c>
      <c r="M274" s="10">
        <f t="shared" ca="1" si="4"/>
        <v>1</v>
      </c>
      <c r="N274" s="10">
        <f t="shared" ca="1" si="3"/>
        <v>1</v>
      </c>
    </row>
    <row r="275" spans="1:14" ht="12.5">
      <c r="A275" s="10" t="str">
        <f ca="1">IFERROR(__xludf.DUMMYFUNCTION("""COMPUTED_VALUE"""),"610422100124-2024-7-SURVEI-PPL")</f>
        <v>610422100124-2024-7-SURVEI-PPL</v>
      </c>
      <c r="B275" s="5" t="str">
        <f t="shared" ca="1" si="0"/>
        <v>610422100124-2024-7</v>
      </c>
      <c r="C275" s="5">
        <f ca="1">IFERROR(__xludf.DUMMYFUNCTION("IF(N275=1,SPLIT(A275,""-""),"""")"),610422100124)</f>
        <v>610422100124</v>
      </c>
      <c r="D275" s="10">
        <f ca="1">IFERROR(__xludf.DUMMYFUNCTION("""COMPUTED_VALUE"""),2024)</f>
        <v>2024</v>
      </c>
      <c r="E275" s="10">
        <f ca="1">IFERROR(__xludf.DUMMYFUNCTION("""COMPUTED_VALUE"""),7)</f>
        <v>7</v>
      </c>
      <c r="F275" s="5" t="str">
        <f ca="1">IFERROR(__xludf.DUMMYFUNCTION("""COMPUTED_VALUE"""),"SURVEI")</f>
        <v>SURVEI</v>
      </c>
      <c r="G275" s="5" t="str">
        <f ca="1">IFERROR(__xludf.DUMMYFUNCTION("""COMPUTED_VALUE"""),"PPL")</f>
        <v>PPL</v>
      </c>
      <c r="H275" s="5" t="str">
        <f t="array" aca="1" ref="H275" ca="1">IF(N275=1, INDEX('Database Mitra'!$C$2:$C993,MATCH($C275,'Database Mitra'!$AK$2:$AK993,0)),"")</f>
        <v>Prabowo</v>
      </c>
      <c r="I275" s="71">
        <f ca="1">IF(N275=1,SUMIFS('Alokasi Honor'!$M$2:$M993,'Alokasi Honor'!$T$2:$T993,A275),"")</f>
        <v>325000</v>
      </c>
      <c r="J275" s="10">
        <f ca="1">IFERROR(__xludf.DUMMYFUNCTION("COUNTIF(FILTER('Alokasi Honor'!$H$2:$H993,'Alokasi Honor'!$H$2:$H993=""OB"",'Alokasi Honor'!$T$2:$T993=A275),""OB"")"),0)</f>
        <v>0</v>
      </c>
      <c r="K275" s="10">
        <f t="shared" ca="1" si="1"/>
        <v>1</v>
      </c>
      <c r="L275" s="70">
        <f t="array" aca="1" ref="L275" ca="1">IF(N275=1,INDEX('Batasan Honor'!$B$2:$B993,MATCH(CONCATENATE($F275,"-",$G275),'Batasan Honor'!$G$2:$G993,0)),"")</f>
        <v>5400000</v>
      </c>
      <c r="M275" s="10">
        <f t="shared" ca="1" si="4"/>
        <v>1</v>
      </c>
      <c r="N275" s="10">
        <f t="shared" ca="1" si="3"/>
        <v>1</v>
      </c>
    </row>
    <row r="276" spans="1:14" ht="12.5">
      <c r="A276" s="10" t="str">
        <f ca="1">IFERROR(__xludf.DUMMYFUNCTION("""COMPUTED_VALUE"""),"610422040029-2024-7-SURVEI-PPL")</f>
        <v>610422040029-2024-7-SURVEI-PPL</v>
      </c>
      <c r="B276" s="5" t="str">
        <f t="shared" ca="1" si="0"/>
        <v>610422040029-2024-7</v>
      </c>
      <c r="C276" s="5">
        <f ca="1">IFERROR(__xludf.DUMMYFUNCTION("IF(N276=1,SPLIT(A276,""-""),"""")"),610422040029)</f>
        <v>610422040029</v>
      </c>
      <c r="D276" s="10">
        <f ca="1">IFERROR(__xludf.DUMMYFUNCTION("""COMPUTED_VALUE"""),2024)</f>
        <v>2024</v>
      </c>
      <c r="E276" s="10">
        <f ca="1">IFERROR(__xludf.DUMMYFUNCTION("""COMPUTED_VALUE"""),7)</f>
        <v>7</v>
      </c>
      <c r="F276" s="5" t="str">
        <f ca="1">IFERROR(__xludf.DUMMYFUNCTION("""COMPUTED_VALUE"""),"SURVEI")</f>
        <v>SURVEI</v>
      </c>
      <c r="G276" s="5" t="str">
        <f ca="1">IFERROR(__xludf.DUMMYFUNCTION("""COMPUTED_VALUE"""),"PPL")</f>
        <v>PPL</v>
      </c>
      <c r="H276" s="5" t="str">
        <f t="array" aca="1" ref="H276" ca="1">IF(N276=1, INDEX('Database Mitra'!$C$2:$C993,MATCH($C276,'Database Mitra'!$AK$2:$AK993,0)),"")</f>
        <v>Zaini</v>
      </c>
      <c r="I276" s="71">
        <f ca="1">IF(N276=1,SUMIFS('Alokasi Honor'!$M$2:$M993,'Alokasi Honor'!$T$2:$T993,A276),"")</f>
        <v>1510000</v>
      </c>
      <c r="J276" s="10">
        <f ca="1">IFERROR(__xludf.DUMMYFUNCTION("COUNTIF(FILTER('Alokasi Honor'!$H$2:$H993,'Alokasi Honor'!$H$2:$H993=""OB"",'Alokasi Honor'!$T$2:$T993=A276),""OB"")"),0)</f>
        <v>0</v>
      </c>
      <c r="K276" s="10">
        <f t="shared" ca="1" si="1"/>
        <v>1</v>
      </c>
      <c r="L276" s="70">
        <f t="array" aca="1" ref="L276" ca="1">IF(N276=1,INDEX('Batasan Honor'!$B$2:$B993,MATCH(CONCATENATE($F276,"-",$G276),'Batasan Honor'!$G$2:$G993,0)),"")</f>
        <v>5400000</v>
      </c>
      <c r="M276" s="10">
        <f t="shared" ca="1" si="4"/>
        <v>1</v>
      </c>
      <c r="N276" s="10">
        <f t="shared" ca="1" si="3"/>
        <v>1</v>
      </c>
    </row>
    <row r="277" spans="1:14" ht="12.5">
      <c r="A277" s="10" t="str">
        <f ca="1">IFERROR(__xludf.DUMMYFUNCTION("""COMPUTED_VALUE"""),"610422020048-2024-7-SURVEI-PPL")</f>
        <v>610422020048-2024-7-SURVEI-PPL</v>
      </c>
      <c r="B277" s="5" t="str">
        <f t="shared" ca="1" si="0"/>
        <v>610422020048-2024-7</v>
      </c>
      <c r="C277" s="5">
        <f ca="1">IFERROR(__xludf.DUMMYFUNCTION("IF(N277=1,SPLIT(A277,""-""),"""")"),610422020048)</f>
        <v>610422020048</v>
      </c>
      <c r="D277" s="10">
        <f ca="1">IFERROR(__xludf.DUMMYFUNCTION("""COMPUTED_VALUE"""),2024)</f>
        <v>2024</v>
      </c>
      <c r="E277" s="10">
        <f ca="1">IFERROR(__xludf.DUMMYFUNCTION("""COMPUTED_VALUE"""),7)</f>
        <v>7</v>
      </c>
      <c r="F277" s="5" t="str">
        <f ca="1">IFERROR(__xludf.DUMMYFUNCTION("""COMPUTED_VALUE"""),"SURVEI")</f>
        <v>SURVEI</v>
      </c>
      <c r="G277" s="5" t="str">
        <f ca="1">IFERROR(__xludf.DUMMYFUNCTION("""COMPUTED_VALUE"""),"PPL")</f>
        <v>PPL</v>
      </c>
      <c r="H277" s="5" t="str">
        <f t="array" aca="1" ref="H277" ca="1">IF(N277=1, INDEX('Database Mitra'!$C$2:$C993,MATCH($C277,'Database Mitra'!$AK$2:$AK993,0)),"")</f>
        <v>Herri Gustaman</v>
      </c>
      <c r="I277" s="71">
        <f ca="1">IF(N277=1,SUMIFS('Alokasi Honor'!$M$2:$M993,'Alokasi Honor'!$T$2:$T993,A277),"")</f>
        <v>1473000</v>
      </c>
      <c r="J277" s="10">
        <f ca="1">IFERROR(__xludf.DUMMYFUNCTION("COUNTIF(FILTER('Alokasi Honor'!$H$2:$H993,'Alokasi Honor'!$H$2:$H993=""OB"",'Alokasi Honor'!$T$2:$T993=A277),""OB"")"),0)</f>
        <v>0</v>
      </c>
      <c r="K277" s="10">
        <f t="shared" ca="1" si="1"/>
        <v>1</v>
      </c>
      <c r="L277" s="70">
        <f t="array" aca="1" ref="L277" ca="1">IF(N277=1,INDEX('Batasan Honor'!$B$2:$B993,MATCH(CONCATENATE($F277,"-",$G277),'Batasan Honor'!$G$2:$G993,0)),"")</f>
        <v>5400000</v>
      </c>
      <c r="M277" s="10">
        <f t="shared" ca="1" si="4"/>
        <v>1</v>
      </c>
      <c r="N277" s="10">
        <f t="shared" ca="1" si="3"/>
        <v>1</v>
      </c>
    </row>
    <row r="278" spans="1:14" ht="12.5">
      <c r="A278" s="10" t="str">
        <f ca="1">IFERROR(__xludf.DUMMYFUNCTION("""COMPUTED_VALUE"""),"610422100165-2024-7-SURVEI-PPL")</f>
        <v>610422100165-2024-7-SURVEI-PPL</v>
      </c>
      <c r="B278" s="5" t="str">
        <f t="shared" ca="1" si="0"/>
        <v>610422100165-2024-7</v>
      </c>
      <c r="C278" s="5">
        <f ca="1">IFERROR(__xludf.DUMMYFUNCTION("IF(N278=1,SPLIT(A278,""-""),"""")"),610422100165)</f>
        <v>610422100165</v>
      </c>
      <c r="D278" s="10">
        <f ca="1">IFERROR(__xludf.DUMMYFUNCTION("""COMPUTED_VALUE"""),2024)</f>
        <v>2024</v>
      </c>
      <c r="E278" s="10">
        <f ca="1">IFERROR(__xludf.DUMMYFUNCTION("""COMPUTED_VALUE"""),7)</f>
        <v>7</v>
      </c>
      <c r="F278" s="5" t="str">
        <f ca="1">IFERROR(__xludf.DUMMYFUNCTION("""COMPUTED_VALUE"""),"SURVEI")</f>
        <v>SURVEI</v>
      </c>
      <c r="G278" s="5" t="str">
        <f ca="1">IFERROR(__xludf.DUMMYFUNCTION("""COMPUTED_VALUE"""),"PPL")</f>
        <v>PPL</v>
      </c>
      <c r="H278" s="5" t="str">
        <f t="array" aca="1" ref="H278" ca="1">IF(N278=1, INDEX('Database Mitra'!$C$2:$C993,MATCH($C278,'Database Mitra'!$AK$2:$AK993,0)),"")</f>
        <v>Yanti</v>
      </c>
      <c r="I278" s="71">
        <f ca="1">IF(N278=1,SUMIFS('Alokasi Honor'!$M$2:$M993,'Alokasi Honor'!$T$2:$T993,A278),"")</f>
        <v>685000</v>
      </c>
      <c r="J278" s="10">
        <f ca="1">IFERROR(__xludf.DUMMYFUNCTION("COUNTIF(FILTER('Alokasi Honor'!$H$2:$H993,'Alokasi Honor'!$H$2:$H993=""OB"",'Alokasi Honor'!$T$2:$T993=A278),""OB"")"),0)</f>
        <v>0</v>
      </c>
      <c r="K278" s="10">
        <f t="shared" ca="1" si="1"/>
        <v>1</v>
      </c>
      <c r="L278" s="70">
        <f t="array" aca="1" ref="L278" ca="1">IF(N278=1,INDEX('Batasan Honor'!$B$2:$B993,MATCH(CONCATENATE($F278,"-",$G278),'Batasan Honor'!$G$2:$G993,0)),"")</f>
        <v>5400000</v>
      </c>
      <c r="M278" s="10">
        <f t="shared" ca="1" si="4"/>
        <v>1</v>
      </c>
      <c r="N278" s="10">
        <f t="shared" ca="1" si="3"/>
        <v>1</v>
      </c>
    </row>
    <row r="279" spans="1:14" ht="12.5">
      <c r="A279" s="10" t="str">
        <f ca="1">IFERROR(__xludf.DUMMYFUNCTION("""COMPUTED_VALUE"""),"610422020052-2024-7-SURVEI-PPL")</f>
        <v>610422020052-2024-7-SURVEI-PPL</v>
      </c>
      <c r="B279" s="5" t="str">
        <f t="shared" ca="1" si="0"/>
        <v>610422020052-2024-7</v>
      </c>
      <c r="C279" s="5">
        <f ca="1">IFERROR(__xludf.DUMMYFUNCTION("IF(N279=1,SPLIT(A279,""-""),"""")"),610422020052)</f>
        <v>610422020052</v>
      </c>
      <c r="D279" s="10">
        <f ca="1">IFERROR(__xludf.DUMMYFUNCTION("""COMPUTED_VALUE"""),2024)</f>
        <v>2024</v>
      </c>
      <c r="E279" s="10">
        <f ca="1">IFERROR(__xludf.DUMMYFUNCTION("""COMPUTED_VALUE"""),7)</f>
        <v>7</v>
      </c>
      <c r="F279" s="5" t="str">
        <f ca="1">IFERROR(__xludf.DUMMYFUNCTION("""COMPUTED_VALUE"""),"SURVEI")</f>
        <v>SURVEI</v>
      </c>
      <c r="G279" s="5" t="str">
        <f ca="1">IFERROR(__xludf.DUMMYFUNCTION("""COMPUTED_VALUE"""),"PPL")</f>
        <v>PPL</v>
      </c>
      <c r="H279" s="5" t="str">
        <f t="array" aca="1" ref="H279" ca="1">IF(N279=1, INDEX('Database Mitra'!$C$2:$C993,MATCH($C279,'Database Mitra'!$AK$2:$AK993,0)),"")</f>
        <v>Agus Supriyanto</v>
      </c>
      <c r="I279" s="71">
        <f ca="1">IF(N279=1,SUMIFS('Alokasi Honor'!$M$2:$M993,'Alokasi Honor'!$T$2:$T993,A279),"")</f>
        <v>420000</v>
      </c>
      <c r="J279" s="10">
        <f ca="1">IFERROR(__xludf.DUMMYFUNCTION("COUNTIF(FILTER('Alokasi Honor'!$H$2:$H993,'Alokasi Honor'!$H$2:$H993=""OB"",'Alokasi Honor'!$T$2:$T993=A279),""OB"")"),0)</f>
        <v>0</v>
      </c>
      <c r="K279" s="10">
        <f t="shared" ca="1" si="1"/>
        <v>1</v>
      </c>
      <c r="L279" s="70">
        <f t="array" aca="1" ref="L279" ca="1">IF(N279=1,INDEX('Batasan Honor'!$B$2:$B993,MATCH(CONCATENATE($F279,"-",$G279),'Batasan Honor'!$G$2:$G993,0)),"")</f>
        <v>5400000</v>
      </c>
      <c r="M279" s="10">
        <f t="shared" ca="1" si="4"/>
        <v>1</v>
      </c>
      <c r="N279" s="10">
        <f t="shared" ca="1" si="3"/>
        <v>1</v>
      </c>
    </row>
    <row r="280" spans="1:14" ht="12.5">
      <c r="A280" s="10" t="str">
        <f ca="1">IFERROR(__xludf.DUMMYFUNCTION("""COMPUTED_VALUE"""),"610422100016-2024-7-SURVEI-PPL")</f>
        <v>610422100016-2024-7-SURVEI-PPL</v>
      </c>
      <c r="B280" s="5" t="str">
        <f t="shared" ca="1" si="0"/>
        <v>610422100016-2024-7</v>
      </c>
      <c r="C280" s="5">
        <f ca="1">IFERROR(__xludf.DUMMYFUNCTION("IF(N280=1,SPLIT(A280,""-""),"""")"),610422100016)</f>
        <v>610422100016</v>
      </c>
      <c r="D280" s="10">
        <f ca="1">IFERROR(__xludf.DUMMYFUNCTION("""COMPUTED_VALUE"""),2024)</f>
        <v>2024</v>
      </c>
      <c r="E280" s="10">
        <f ca="1">IFERROR(__xludf.DUMMYFUNCTION("""COMPUTED_VALUE"""),7)</f>
        <v>7</v>
      </c>
      <c r="F280" s="5" t="str">
        <f ca="1">IFERROR(__xludf.DUMMYFUNCTION("""COMPUTED_VALUE"""),"SURVEI")</f>
        <v>SURVEI</v>
      </c>
      <c r="G280" s="5" t="str">
        <f ca="1">IFERROR(__xludf.DUMMYFUNCTION("""COMPUTED_VALUE"""),"PPL")</f>
        <v>PPL</v>
      </c>
      <c r="H280" s="5" t="str">
        <f t="array" aca="1" ref="H280" ca="1">IF(N280=1, INDEX('Database Mitra'!$C$2:$C993,MATCH($C280,'Database Mitra'!$AK$2:$AK993,0)),"")</f>
        <v>Amalia Faisya</v>
      </c>
      <c r="I280" s="71">
        <f ca="1">IF(N280=1,SUMIFS('Alokasi Honor'!$M$2:$M993,'Alokasi Honor'!$T$2:$T993,A280),"")</f>
        <v>250000</v>
      </c>
      <c r="J280" s="10">
        <f ca="1">IFERROR(__xludf.DUMMYFUNCTION("COUNTIF(FILTER('Alokasi Honor'!$H$2:$H993,'Alokasi Honor'!$H$2:$H993=""OB"",'Alokasi Honor'!$T$2:$T993=A280),""OB"")"),0)</f>
        <v>0</v>
      </c>
      <c r="K280" s="10">
        <f t="shared" ca="1" si="1"/>
        <v>2</v>
      </c>
      <c r="L280" s="70">
        <f t="array" aca="1" ref="L280" ca="1">IF(N280=1,INDEX('Batasan Honor'!$B$2:$B993,MATCH(CONCATENATE($F280,"-",$G280),'Batasan Honor'!$G$2:$G993,0)),"")</f>
        <v>5400000</v>
      </c>
      <c r="M280" s="10">
        <f t="shared" ca="1" si="4"/>
        <v>1</v>
      </c>
      <c r="N280" s="10">
        <f t="shared" ca="1" si="3"/>
        <v>1</v>
      </c>
    </row>
    <row r="281" spans="1:14" ht="12.5">
      <c r="A281" s="10" t="str">
        <f ca="1">IFERROR(__xludf.DUMMYFUNCTION("""COMPUTED_VALUE"""),"610422050001-2024-7-SURVEI-PPL")</f>
        <v>610422050001-2024-7-SURVEI-PPL</v>
      </c>
      <c r="B281" s="5" t="str">
        <f t="shared" ca="1" si="0"/>
        <v>610422050001-2024-7</v>
      </c>
      <c r="C281" s="5">
        <f ca="1">IFERROR(__xludf.DUMMYFUNCTION("IF(N281=1,SPLIT(A281,""-""),"""")"),610422050001)</f>
        <v>610422050001</v>
      </c>
      <c r="D281" s="10">
        <f ca="1">IFERROR(__xludf.DUMMYFUNCTION("""COMPUTED_VALUE"""),2024)</f>
        <v>2024</v>
      </c>
      <c r="E281" s="10">
        <f ca="1">IFERROR(__xludf.DUMMYFUNCTION("""COMPUTED_VALUE"""),7)</f>
        <v>7</v>
      </c>
      <c r="F281" s="5" t="str">
        <f ca="1">IFERROR(__xludf.DUMMYFUNCTION("""COMPUTED_VALUE"""),"SURVEI")</f>
        <v>SURVEI</v>
      </c>
      <c r="G281" s="5" t="str">
        <f ca="1">IFERROR(__xludf.DUMMYFUNCTION("""COMPUTED_VALUE"""),"PPL")</f>
        <v>PPL</v>
      </c>
      <c r="H281" s="5" t="str">
        <f t="array" aca="1" ref="H281" ca="1">IF(N281=1, INDEX('Database Mitra'!$C$2:$C993,MATCH($C281,'Database Mitra'!$AK$2:$AK993,0)),"")</f>
        <v>EVI JUNIARTY</v>
      </c>
      <c r="I281" s="71">
        <f ca="1">IF(N281=1,SUMIFS('Alokasi Honor'!$M$2:$M993,'Alokasi Honor'!$T$2:$T993,A281),"")</f>
        <v>415000</v>
      </c>
      <c r="J281" s="10">
        <f ca="1">IFERROR(__xludf.DUMMYFUNCTION("COUNTIF(FILTER('Alokasi Honor'!$H$2:$H993,'Alokasi Honor'!$H$2:$H993=""OB"",'Alokasi Honor'!$T$2:$T993=A281),""OB"")"),0)</f>
        <v>0</v>
      </c>
      <c r="K281" s="10">
        <f t="shared" ca="1" si="1"/>
        <v>1</v>
      </c>
      <c r="L281" s="70">
        <f t="array" aca="1" ref="L281" ca="1">IF(N281=1,INDEX('Batasan Honor'!$B$2:$B993,MATCH(CONCATENATE($F281,"-",$G281),'Batasan Honor'!$G$2:$G993,0)),"")</f>
        <v>5400000</v>
      </c>
      <c r="M281" s="10">
        <f t="shared" ca="1" si="4"/>
        <v>1</v>
      </c>
      <c r="N281" s="10">
        <f t="shared" ca="1" si="3"/>
        <v>1</v>
      </c>
    </row>
    <row r="282" spans="1:14" ht="12.5">
      <c r="A282" s="10" t="str">
        <f ca="1">IFERROR(__xludf.DUMMYFUNCTION("""COMPUTED_VALUE"""),"610422040030-2024-7-SURVEI-PPL")</f>
        <v>610422040030-2024-7-SURVEI-PPL</v>
      </c>
      <c r="B282" s="5" t="str">
        <f t="shared" ca="1" si="0"/>
        <v>610422040030-2024-7</v>
      </c>
      <c r="C282" s="5">
        <f ca="1">IFERROR(__xludf.DUMMYFUNCTION("IF(N282=1,SPLIT(A282,""-""),"""")"),610422040030)</f>
        <v>610422040030</v>
      </c>
      <c r="D282" s="10">
        <f ca="1">IFERROR(__xludf.DUMMYFUNCTION("""COMPUTED_VALUE"""),2024)</f>
        <v>2024</v>
      </c>
      <c r="E282" s="10">
        <f ca="1">IFERROR(__xludf.DUMMYFUNCTION("""COMPUTED_VALUE"""),7)</f>
        <v>7</v>
      </c>
      <c r="F282" s="5" t="str">
        <f ca="1">IFERROR(__xludf.DUMMYFUNCTION("""COMPUTED_VALUE"""),"SURVEI")</f>
        <v>SURVEI</v>
      </c>
      <c r="G282" s="5" t="str">
        <f ca="1">IFERROR(__xludf.DUMMYFUNCTION("""COMPUTED_VALUE"""),"PPL")</f>
        <v>PPL</v>
      </c>
      <c r="H282" s="5" t="str">
        <f t="array" aca="1" ref="H282" ca="1">IF(N282=1, INDEX('Database Mitra'!$C$2:$C993,MATCH($C282,'Database Mitra'!$AK$2:$AK993,0)),"")</f>
        <v>Syarifah Desti Pratiwi</v>
      </c>
      <c r="I282" s="71">
        <f ca="1">IF(N282=1,SUMIFS('Alokasi Honor'!$M$2:$M993,'Alokasi Honor'!$T$2:$T993,A282),"")</f>
        <v>55000</v>
      </c>
      <c r="J282" s="10">
        <f ca="1">IFERROR(__xludf.DUMMYFUNCTION("COUNTIF(FILTER('Alokasi Honor'!$H$2:$H993,'Alokasi Honor'!$H$2:$H993=""OB"",'Alokasi Honor'!$T$2:$T993=A282),""OB"")"),0)</f>
        <v>0</v>
      </c>
      <c r="K282" s="10">
        <f t="shared" ca="1" si="1"/>
        <v>1</v>
      </c>
      <c r="L282" s="70">
        <f t="array" aca="1" ref="L282" ca="1">IF(N282=1,INDEX('Batasan Honor'!$B$2:$B993,MATCH(CONCATENATE($F282,"-",$G282),'Batasan Honor'!$G$2:$G993,0)),"")</f>
        <v>5400000</v>
      </c>
      <c r="M282" s="10">
        <f t="shared" ca="1" si="4"/>
        <v>1</v>
      </c>
      <c r="N282" s="10">
        <f t="shared" ca="1" si="3"/>
        <v>1</v>
      </c>
    </row>
    <row r="283" spans="1:14" ht="12.5">
      <c r="A283" s="10" t="str">
        <f ca="1">IFERROR(__xludf.DUMMYFUNCTION("""COMPUTED_VALUE"""),"610422020016-2024-7-SURVEI-PPL")</f>
        <v>610422020016-2024-7-SURVEI-PPL</v>
      </c>
      <c r="B283" s="5" t="str">
        <f t="shared" ca="1" si="0"/>
        <v>610422020016-2024-7</v>
      </c>
      <c r="C283" s="5">
        <f ca="1">IFERROR(__xludf.DUMMYFUNCTION("IF(N283=1,SPLIT(A283,""-""),"""")"),610422020016)</f>
        <v>610422020016</v>
      </c>
      <c r="D283" s="10">
        <f ca="1">IFERROR(__xludf.DUMMYFUNCTION("""COMPUTED_VALUE"""),2024)</f>
        <v>2024</v>
      </c>
      <c r="E283" s="10">
        <f ca="1">IFERROR(__xludf.DUMMYFUNCTION("""COMPUTED_VALUE"""),7)</f>
        <v>7</v>
      </c>
      <c r="F283" s="5" t="str">
        <f ca="1">IFERROR(__xludf.DUMMYFUNCTION("""COMPUTED_VALUE"""),"SURVEI")</f>
        <v>SURVEI</v>
      </c>
      <c r="G283" s="5" t="str">
        <f ca="1">IFERROR(__xludf.DUMMYFUNCTION("""COMPUTED_VALUE"""),"PPL")</f>
        <v>PPL</v>
      </c>
      <c r="H283" s="5" t="str">
        <f t="array" aca="1" ref="H283" ca="1">IF(N283=1, INDEX('Database Mitra'!$C$2:$C993,MATCH($C283,'Database Mitra'!$AK$2:$AK993,0)),"")</f>
        <v>Abdul Aziz</v>
      </c>
      <c r="I283" s="71">
        <f ca="1">IF(N283=1,SUMIFS('Alokasi Honor'!$M$2:$M993,'Alokasi Honor'!$T$2:$T993,A283),"")</f>
        <v>513000</v>
      </c>
      <c r="J283" s="10">
        <f ca="1">IFERROR(__xludf.DUMMYFUNCTION("COUNTIF(FILTER('Alokasi Honor'!$H$2:$H993,'Alokasi Honor'!$H$2:$H993=""OB"",'Alokasi Honor'!$T$2:$T993=A283),""OB"")"),0)</f>
        <v>0</v>
      </c>
      <c r="K283" s="10">
        <f t="shared" ca="1" si="1"/>
        <v>1</v>
      </c>
      <c r="L283" s="70">
        <f t="array" aca="1" ref="L283" ca="1">IF(N283=1,INDEX('Batasan Honor'!$B$2:$B993,MATCH(CONCATENATE($F283,"-",$G283),'Batasan Honor'!$G$2:$G993,0)),"")</f>
        <v>5400000</v>
      </c>
      <c r="M283" s="10">
        <f t="shared" ca="1" si="4"/>
        <v>1</v>
      </c>
      <c r="N283" s="10">
        <f t="shared" ca="1" si="3"/>
        <v>1</v>
      </c>
    </row>
    <row r="284" spans="1:14" ht="12.5">
      <c r="A284" s="10" t="str">
        <f ca="1">IFERROR(__xludf.DUMMYFUNCTION("""COMPUTED_VALUE"""),"610422040056-2024-7-SURVEI-PPL")</f>
        <v>610422040056-2024-7-SURVEI-PPL</v>
      </c>
      <c r="B284" s="5" t="str">
        <f t="shared" ca="1" si="0"/>
        <v>610422040056-2024-7</v>
      </c>
      <c r="C284" s="5">
        <f ca="1">IFERROR(__xludf.DUMMYFUNCTION("IF(N284=1,SPLIT(A284,""-""),"""")"),610422040056)</f>
        <v>610422040056</v>
      </c>
      <c r="D284" s="10">
        <f ca="1">IFERROR(__xludf.DUMMYFUNCTION("""COMPUTED_VALUE"""),2024)</f>
        <v>2024</v>
      </c>
      <c r="E284" s="10">
        <f ca="1">IFERROR(__xludf.DUMMYFUNCTION("""COMPUTED_VALUE"""),7)</f>
        <v>7</v>
      </c>
      <c r="F284" s="5" t="str">
        <f ca="1">IFERROR(__xludf.DUMMYFUNCTION("""COMPUTED_VALUE"""),"SURVEI")</f>
        <v>SURVEI</v>
      </c>
      <c r="G284" s="5" t="str">
        <f ca="1">IFERROR(__xludf.DUMMYFUNCTION("""COMPUTED_VALUE"""),"PPL")</f>
        <v>PPL</v>
      </c>
      <c r="H284" s="5" t="str">
        <f t="array" aca="1" ref="H284" ca="1">IF(N284=1, INDEX('Database Mitra'!$C$2:$C993,MATCH($C284,'Database Mitra'!$AK$2:$AK993,0)),"")</f>
        <v>Wandi Syafari</v>
      </c>
      <c r="I284" s="71">
        <f ca="1">IF(N284=1,SUMIFS('Alokasi Honor'!$M$2:$M993,'Alokasi Honor'!$T$2:$T993,A284),"")</f>
        <v>760000</v>
      </c>
      <c r="J284" s="10">
        <f ca="1">IFERROR(__xludf.DUMMYFUNCTION("COUNTIF(FILTER('Alokasi Honor'!$H$2:$H993,'Alokasi Honor'!$H$2:$H993=""OB"",'Alokasi Honor'!$T$2:$T993=A284),""OB"")"),0)</f>
        <v>0</v>
      </c>
      <c r="K284" s="10">
        <f t="shared" ca="1" si="1"/>
        <v>1</v>
      </c>
      <c r="L284" s="70">
        <f t="array" aca="1" ref="L284" ca="1">IF(N284=1,INDEX('Batasan Honor'!$B$2:$B993,MATCH(CONCATENATE($F284,"-",$G284),'Batasan Honor'!$G$2:$G993,0)),"")</f>
        <v>5400000</v>
      </c>
      <c r="M284" s="10">
        <f t="shared" ca="1" si="4"/>
        <v>1</v>
      </c>
      <c r="N284" s="10">
        <f t="shared" ca="1" si="3"/>
        <v>1</v>
      </c>
    </row>
    <row r="285" spans="1:14" ht="12.5">
      <c r="A285" s="10" t="str">
        <f ca="1">IFERROR(__xludf.DUMMYFUNCTION("""COMPUTED_VALUE"""),"610422040012-2024-7-SURVEI-PPL")</f>
        <v>610422040012-2024-7-SURVEI-PPL</v>
      </c>
      <c r="B285" s="5" t="str">
        <f t="shared" ca="1" si="0"/>
        <v>610422040012-2024-7</v>
      </c>
      <c r="C285" s="5">
        <f ca="1">IFERROR(__xludf.DUMMYFUNCTION("IF(N285=1,SPLIT(A285,""-""),"""")"),610422040012)</f>
        <v>610422040012</v>
      </c>
      <c r="D285" s="10">
        <f ca="1">IFERROR(__xludf.DUMMYFUNCTION("""COMPUTED_VALUE"""),2024)</f>
        <v>2024</v>
      </c>
      <c r="E285" s="10">
        <f ca="1">IFERROR(__xludf.DUMMYFUNCTION("""COMPUTED_VALUE"""),7)</f>
        <v>7</v>
      </c>
      <c r="F285" s="5" t="str">
        <f ca="1">IFERROR(__xludf.DUMMYFUNCTION("""COMPUTED_VALUE"""),"SURVEI")</f>
        <v>SURVEI</v>
      </c>
      <c r="G285" s="5" t="str">
        <f ca="1">IFERROR(__xludf.DUMMYFUNCTION("""COMPUTED_VALUE"""),"PPL")</f>
        <v>PPL</v>
      </c>
      <c r="H285" s="5" t="str">
        <f t="array" aca="1" ref="H285" ca="1">IF(N285=1, INDEX('Database Mitra'!$C$2:$C993,MATCH($C285,'Database Mitra'!$AK$2:$AK993,0)),"")</f>
        <v>Misdi</v>
      </c>
      <c r="I285" s="71">
        <f ca="1">IF(N285=1,SUMIFS('Alokasi Honor'!$M$2:$M993,'Alokasi Honor'!$T$2:$T993,A285),"")</f>
        <v>348000</v>
      </c>
      <c r="J285" s="10">
        <f ca="1">IFERROR(__xludf.DUMMYFUNCTION("COUNTIF(FILTER('Alokasi Honor'!$H$2:$H993,'Alokasi Honor'!$H$2:$H993=""OB"",'Alokasi Honor'!$T$2:$T993=A285),""OB"")"),0)</f>
        <v>0</v>
      </c>
      <c r="K285" s="10">
        <f t="shared" ca="1" si="1"/>
        <v>1</v>
      </c>
      <c r="L285" s="70">
        <f t="array" aca="1" ref="L285" ca="1">IF(N285=1,INDEX('Batasan Honor'!$B$2:$B993,MATCH(CONCATENATE($F285,"-",$G285),'Batasan Honor'!$G$2:$G993,0)),"")</f>
        <v>5400000</v>
      </c>
      <c r="M285" s="10">
        <f t="shared" ca="1" si="4"/>
        <v>1</v>
      </c>
      <c r="N285" s="10">
        <f t="shared" ca="1" si="3"/>
        <v>1</v>
      </c>
    </row>
    <row r="286" spans="1:14" ht="12.5">
      <c r="A286" s="10" t="str">
        <f ca="1">IFERROR(__xludf.DUMMYFUNCTION("""COMPUTED_VALUE"""),"610422100131-2024-7-SURVEI-PPL")</f>
        <v>610422100131-2024-7-SURVEI-PPL</v>
      </c>
      <c r="B286" s="5" t="str">
        <f t="shared" ca="1" si="0"/>
        <v>610422100131-2024-7</v>
      </c>
      <c r="C286" s="5">
        <f ca="1">IFERROR(__xludf.DUMMYFUNCTION("IF(N286=1,SPLIT(A286,""-""),"""")"),610422100131)</f>
        <v>610422100131</v>
      </c>
      <c r="D286" s="10">
        <f ca="1">IFERROR(__xludf.DUMMYFUNCTION("""COMPUTED_VALUE"""),2024)</f>
        <v>2024</v>
      </c>
      <c r="E286" s="10">
        <f ca="1">IFERROR(__xludf.DUMMYFUNCTION("""COMPUTED_VALUE"""),7)</f>
        <v>7</v>
      </c>
      <c r="F286" s="5" t="str">
        <f ca="1">IFERROR(__xludf.DUMMYFUNCTION("""COMPUTED_VALUE"""),"SURVEI")</f>
        <v>SURVEI</v>
      </c>
      <c r="G286" s="5" t="str">
        <f ca="1">IFERROR(__xludf.DUMMYFUNCTION("""COMPUTED_VALUE"""),"PPL")</f>
        <v>PPL</v>
      </c>
      <c r="H286" s="5" t="str">
        <f t="array" aca="1" ref="H286" ca="1">IF(N286=1, INDEX('Database Mitra'!$C$2:$C993,MATCH($C286,'Database Mitra'!$AK$2:$AK993,0)),"")</f>
        <v>SYAMSUL</v>
      </c>
      <c r="I286" s="71">
        <f ca="1">IF(N286=1,SUMIFS('Alokasi Honor'!$M$2:$M993,'Alokasi Honor'!$T$2:$T993,A286),"")</f>
        <v>812000</v>
      </c>
      <c r="J286" s="10">
        <f ca="1">IFERROR(__xludf.DUMMYFUNCTION("COUNTIF(FILTER('Alokasi Honor'!$H$2:$H993,'Alokasi Honor'!$H$2:$H993=""OB"",'Alokasi Honor'!$T$2:$T993=A286),""OB"")"),0)</f>
        <v>0</v>
      </c>
      <c r="K286" s="10">
        <f t="shared" ca="1" si="1"/>
        <v>1</v>
      </c>
      <c r="L286" s="70">
        <f t="array" aca="1" ref="L286" ca="1">IF(N286=1,INDEX('Batasan Honor'!$B$2:$B993,MATCH(CONCATENATE($F286,"-",$G286),'Batasan Honor'!$G$2:$G993,0)),"")</f>
        <v>5400000</v>
      </c>
      <c r="M286" s="10">
        <f t="shared" ca="1" si="4"/>
        <v>1</v>
      </c>
      <c r="N286" s="10">
        <f t="shared" ca="1" si="3"/>
        <v>1</v>
      </c>
    </row>
    <row r="287" spans="1:14" ht="12.5">
      <c r="A287" s="10" t="str">
        <f ca="1">IFERROR(__xludf.DUMMYFUNCTION("""COMPUTED_VALUE"""),"610422100176-2024-7-SURVEI-PPL")</f>
        <v>610422100176-2024-7-SURVEI-PPL</v>
      </c>
      <c r="B287" s="5" t="str">
        <f t="shared" ca="1" si="0"/>
        <v>610422100176-2024-7</v>
      </c>
      <c r="C287" s="5">
        <f ca="1">IFERROR(__xludf.DUMMYFUNCTION("IF(N287=1,SPLIT(A287,""-""),"""")"),610422100176)</f>
        <v>610422100176</v>
      </c>
      <c r="D287" s="10">
        <f ca="1">IFERROR(__xludf.DUMMYFUNCTION("""COMPUTED_VALUE"""),2024)</f>
        <v>2024</v>
      </c>
      <c r="E287" s="10">
        <f ca="1">IFERROR(__xludf.DUMMYFUNCTION("""COMPUTED_VALUE"""),7)</f>
        <v>7</v>
      </c>
      <c r="F287" s="5" t="str">
        <f ca="1">IFERROR(__xludf.DUMMYFUNCTION("""COMPUTED_VALUE"""),"SURVEI")</f>
        <v>SURVEI</v>
      </c>
      <c r="G287" s="5" t="str">
        <f ca="1">IFERROR(__xludf.DUMMYFUNCTION("""COMPUTED_VALUE"""),"PPL")</f>
        <v>PPL</v>
      </c>
      <c r="H287" s="5" t="str">
        <f t="array" aca="1" ref="H287" ca="1">IF(N287=1, INDEX('Database Mitra'!$C$2:$C993,MATCH($C287,'Database Mitra'!$AK$2:$AK993,0)),"")</f>
        <v>Feri Firdaus</v>
      </c>
      <c r="I287" s="71">
        <f ca="1">IF(N287=1,SUMIFS('Alokasi Honor'!$M$2:$M993,'Alokasi Honor'!$T$2:$T993,A287),"")</f>
        <v>348000</v>
      </c>
      <c r="J287" s="10">
        <f ca="1">IFERROR(__xludf.DUMMYFUNCTION("COUNTIF(FILTER('Alokasi Honor'!$H$2:$H993,'Alokasi Honor'!$H$2:$H993=""OB"",'Alokasi Honor'!$T$2:$T993=A287),""OB"")"),0)</f>
        <v>0</v>
      </c>
      <c r="K287" s="10">
        <f t="shared" ca="1" si="1"/>
        <v>1</v>
      </c>
      <c r="L287" s="70">
        <f t="array" aca="1" ref="L287" ca="1">IF(N287=1,INDEX('Batasan Honor'!$B$2:$B993,MATCH(CONCATENATE($F287,"-",$G287),'Batasan Honor'!$G$2:$G993,0)),"")</f>
        <v>5400000</v>
      </c>
      <c r="M287" s="10">
        <f t="shared" ca="1" si="4"/>
        <v>1</v>
      </c>
      <c r="N287" s="10">
        <f t="shared" ca="1" si="3"/>
        <v>1</v>
      </c>
    </row>
    <row r="288" spans="1:14" ht="12.5">
      <c r="A288" s="10" t="str">
        <f ca="1">IFERROR(__xludf.DUMMYFUNCTION("""COMPUTED_VALUE"""),"610423110183-2024-7-SURVEI-PPL")</f>
        <v>610423110183-2024-7-SURVEI-PPL</v>
      </c>
      <c r="B288" s="5" t="str">
        <f t="shared" ca="1" si="0"/>
        <v>610423110183-2024-7</v>
      </c>
      <c r="C288" s="5">
        <f ca="1">IFERROR(__xludf.DUMMYFUNCTION("IF(N288=1,SPLIT(A288,""-""),"""")"),610423110183)</f>
        <v>610423110183</v>
      </c>
      <c r="D288" s="10">
        <f ca="1">IFERROR(__xludf.DUMMYFUNCTION("""COMPUTED_VALUE"""),2024)</f>
        <v>2024</v>
      </c>
      <c r="E288" s="10">
        <f ca="1">IFERROR(__xludf.DUMMYFUNCTION("""COMPUTED_VALUE"""),7)</f>
        <v>7</v>
      </c>
      <c r="F288" s="5" t="str">
        <f ca="1">IFERROR(__xludf.DUMMYFUNCTION("""COMPUTED_VALUE"""),"SURVEI")</f>
        <v>SURVEI</v>
      </c>
      <c r="G288" s="5" t="str">
        <f ca="1">IFERROR(__xludf.DUMMYFUNCTION("""COMPUTED_VALUE"""),"PPL")</f>
        <v>PPL</v>
      </c>
      <c r="H288" s="5" t="str">
        <f t="array" aca="1" ref="H288" ca="1">IF(N288=1, INDEX('Database Mitra'!$C$2:$C993,MATCH($C288,'Database Mitra'!$AK$2:$AK993,0)),"")</f>
        <v>azhar</v>
      </c>
      <c r="I288" s="71">
        <f ca="1">IF(N288=1,SUMIFS('Alokasi Honor'!$M$2:$M993,'Alokasi Honor'!$T$2:$T993,A288),"")</f>
        <v>1050000</v>
      </c>
      <c r="J288" s="10">
        <f ca="1">IFERROR(__xludf.DUMMYFUNCTION("COUNTIF(FILTER('Alokasi Honor'!$H$2:$H993,'Alokasi Honor'!$H$2:$H993=""OB"",'Alokasi Honor'!$T$2:$T993=A288),""OB"")"),0)</f>
        <v>0</v>
      </c>
      <c r="K288" s="10">
        <f t="shared" ca="1" si="1"/>
        <v>1</v>
      </c>
      <c r="L288" s="70">
        <f t="array" aca="1" ref="L288" ca="1">IF(N288=1,INDEX('Batasan Honor'!$B$2:$B993,MATCH(CONCATENATE($F288,"-",$G288),'Batasan Honor'!$G$2:$G993,0)),"")</f>
        <v>5400000</v>
      </c>
      <c r="M288" s="10">
        <f t="shared" ca="1" si="4"/>
        <v>1</v>
      </c>
      <c r="N288" s="10">
        <f t="shared" ca="1" si="3"/>
        <v>1</v>
      </c>
    </row>
    <row r="289" spans="1:14" ht="12.5">
      <c r="A289" s="10" t="str">
        <f ca="1">IFERROR(__xludf.DUMMYFUNCTION("""COMPUTED_VALUE"""),"610423040018-2024-7-SURVEI-PPL")</f>
        <v>610423040018-2024-7-SURVEI-PPL</v>
      </c>
      <c r="B289" s="5" t="str">
        <f t="shared" ca="1" si="0"/>
        <v>610423040018-2024-7</v>
      </c>
      <c r="C289" s="5">
        <f ca="1">IFERROR(__xludf.DUMMYFUNCTION("IF(N289=1,SPLIT(A289,""-""),"""")"),610423040018)</f>
        <v>610423040018</v>
      </c>
      <c r="D289" s="10">
        <f ca="1">IFERROR(__xludf.DUMMYFUNCTION("""COMPUTED_VALUE"""),2024)</f>
        <v>2024</v>
      </c>
      <c r="E289" s="10">
        <f ca="1">IFERROR(__xludf.DUMMYFUNCTION("""COMPUTED_VALUE"""),7)</f>
        <v>7</v>
      </c>
      <c r="F289" s="5" t="str">
        <f ca="1">IFERROR(__xludf.DUMMYFUNCTION("""COMPUTED_VALUE"""),"SURVEI")</f>
        <v>SURVEI</v>
      </c>
      <c r="G289" s="5" t="str">
        <f ca="1">IFERROR(__xludf.DUMMYFUNCTION("""COMPUTED_VALUE"""),"PPL")</f>
        <v>PPL</v>
      </c>
      <c r="H289" s="5" t="str">
        <f t="array" aca="1" ref="H289" ca="1">IF(N289=1, INDEX('Database Mitra'!$C$2:$C993,MATCH($C289,'Database Mitra'!$AK$2:$AK993,0)),"")</f>
        <v>Handoko Tuah Sabarman Sipayung</v>
      </c>
      <c r="I289" s="71">
        <f ca="1">IF(N289=1,SUMIFS('Alokasi Honor'!$M$2:$M993,'Alokasi Honor'!$T$2:$T993,A289),"")</f>
        <v>464000</v>
      </c>
      <c r="J289" s="10">
        <f ca="1">IFERROR(__xludf.DUMMYFUNCTION("COUNTIF(FILTER('Alokasi Honor'!$H$2:$H993,'Alokasi Honor'!$H$2:$H993=""OB"",'Alokasi Honor'!$T$2:$T993=A289),""OB"")"),0)</f>
        <v>0</v>
      </c>
      <c r="K289" s="10">
        <f t="shared" ca="1" si="1"/>
        <v>1</v>
      </c>
      <c r="L289" s="70">
        <f t="array" aca="1" ref="L289" ca="1">IF(N289=1,INDEX('Batasan Honor'!$B$2:$B993,MATCH(CONCATENATE($F289,"-",$G289),'Batasan Honor'!$G$2:$G993,0)),"")</f>
        <v>5400000</v>
      </c>
      <c r="M289" s="10">
        <f t="shared" ca="1" si="4"/>
        <v>1</v>
      </c>
      <c r="N289" s="10">
        <f t="shared" ca="1" si="3"/>
        <v>1</v>
      </c>
    </row>
    <row r="290" spans="1:14" ht="12.5">
      <c r="A290" s="10" t="str">
        <f ca="1">IFERROR(__xludf.DUMMYFUNCTION("""COMPUTED_VALUE"""),"610422040059-2024-7-SURVEI-PPL")</f>
        <v>610422040059-2024-7-SURVEI-PPL</v>
      </c>
      <c r="B290" s="5" t="str">
        <f t="shared" ca="1" si="0"/>
        <v>610422040059-2024-7</v>
      </c>
      <c r="C290" s="5">
        <f ca="1">IFERROR(__xludf.DUMMYFUNCTION("IF(N290=1,SPLIT(A290,""-""),"""")"),610422040059)</f>
        <v>610422040059</v>
      </c>
      <c r="D290" s="10">
        <f ca="1">IFERROR(__xludf.DUMMYFUNCTION("""COMPUTED_VALUE"""),2024)</f>
        <v>2024</v>
      </c>
      <c r="E290" s="10">
        <f ca="1">IFERROR(__xludf.DUMMYFUNCTION("""COMPUTED_VALUE"""),7)</f>
        <v>7</v>
      </c>
      <c r="F290" s="5" t="str">
        <f ca="1">IFERROR(__xludf.DUMMYFUNCTION("""COMPUTED_VALUE"""),"SURVEI")</f>
        <v>SURVEI</v>
      </c>
      <c r="G290" s="5" t="str">
        <f ca="1">IFERROR(__xludf.DUMMYFUNCTION("""COMPUTED_VALUE"""),"PPL")</f>
        <v>PPL</v>
      </c>
      <c r="H290" s="5" t="str">
        <f t="array" aca="1" ref="H290" ca="1">IF(N290=1, INDEX('Database Mitra'!$C$2:$C993,MATCH($C290,'Database Mitra'!$AK$2:$AK993,0)),"")</f>
        <v>Abang Handri</v>
      </c>
      <c r="I290" s="71">
        <f ca="1">IF(N290=1,SUMIFS('Alokasi Honor'!$M$2:$M993,'Alokasi Honor'!$T$2:$T993,A290),"")</f>
        <v>354000</v>
      </c>
      <c r="J290" s="10">
        <f ca="1">IFERROR(__xludf.DUMMYFUNCTION("COUNTIF(FILTER('Alokasi Honor'!$H$2:$H993,'Alokasi Honor'!$H$2:$H993=""OB"",'Alokasi Honor'!$T$2:$T993=A290),""OB"")"),0)</f>
        <v>0</v>
      </c>
      <c r="K290" s="10">
        <f t="shared" ca="1" si="1"/>
        <v>1</v>
      </c>
      <c r="L290" s="70">
        <f t="array" aca="1" ref="L290" ca="1">IF(N290=1,INDEX('Batasan Honor'!$B$2:$B993,MATCH(CONCATENATE($F290,"-",$G290),'Batasan Honor'!$G$2:$G993,0)),"")</f>
        <v>5400000</v>
      </c>
      <c r="M290" s="10">
        <f t="shared" ca="1" si="4"/>
        <v>1</v>
      </c>
      <c r="N290" s="10">
        <f t="shared" ca="1" si="3"/>
        <v>1</v>
      </c>
    </row>
    <row r="291" spans="1:14" ht="12.5">
      <c r="A291" s="10" t="str">
        <f ca="1">IFERROR(__xludf.DUMMYFUNCTION("""COMPUTED_VALUE"""),"610422040058-2024-7-SURVEI-PPL")</f>
        <v>610422040058-2024-7-SURVEI-PPL</v>
      </c>
      <c r="B291" s="5" t="str">
        <f t="shared" ca="1" si="0"/>
        <v>610422040058-2024-7</v>
      </c>
      <c r="C291" s="5">
        <f ca="1">IFERROR(__xludf.DUMMYFUNCTION("IF(N291=1,SPLIT(A291,""-""),"""")"),610422040058)</f>
        <v>610422040058</v>
      </c>
      <c r="D291" s="10">
        <f ca="1">IFERROR(__xludf.DUMMYFUNCTION("""COMPUTED_VALUE"""),2024)</f>
        <v>2024</v>
      </c>
      <c r="E291" s="10">
        <f ca="1">IFERROR(__xludf.DUMMYFUNCTION("""COMPUTED_VALUE"""),7)</f>
        <v>7</v>
      </c>
      <c r="F291" s="5" t="str">
        <f ca="1">IFERROR(__xludf.DUMMYFUNCTION("""COMPUTED_VALUE"""),"SURVEI")</f>
        <v>SURVEI</v>
      </c>
      <c r="G291" s="5" t="str">
        <f ca="1">IFERROR(__xludf.DUMMYFUNCTION("""COMPUTED_VALUE"""),"PPL")</f>
        <v>PPL</v>
      </c>
      <c r="H291" s="5" t="str">
        <f t="array" aca="1" ref="H291" ca="1">IF(N291=1, INDEX('Database Mitra'!$C$2:$C993,MATCH($C291,'Database Mitra'!$AK$2:$AK993,0)),"")</f>
        <v>Jamaluddin, SP</v>
      </c>
      <c r="I291" s="71">
        <f ca="1">IF(N291=1,SUMIFS('Alokasi Honor'!$M$2:$M993,'Alokasi Honor'!$T$2:$T993,A291),"")</f>
        <v>590000</v>
      </c>
      <c r="J291" s="10">
        <f ca="1">IFERROR(__xludf.DUMMYFUNCTION("COUNTIF(FILTER('Alokasi Honor'!$H$2:$H993,'Alokasi Honor'!$H$2:$H993=""OB"",'Alokasi Honor'!$T$2:$T993=A291),""OB"")"),0)</f>
        <v>0</v>
      </c>
      <c r="K291" s="10">
        <f t="shared" ca="1" si="1"/>
        <v>1</v>
      </c>
      <c r="L291" s="70">
        <f t="array" aca="1" ref="L291" ca="1">IF(N291=1,INDEX('Batasan Honor'!$B$2:$B993,MATCH(CONCATENATE($F291,"-",$G291),'Batasan Honor'!$G$2:$G993,0)),"")</f>
        <v>5400000</v>
      </c>
      <c r="M291" s="10">
        <f t="shared" ca="1" si="4"/>
        <v>1</v>
      </c>
      <c r="N291" s="10">
        <f t="shared" ca="1" si="3"/>
        <v>1</v>
      </c>
    </row>
    <row r="292" spans="1:14" ht="12.5">
      <c r="A292" s="10" t="str">
        <f ca="1">IFERROR(__xludf.DUMMYFUNCTION("""COMPUTED_VALUE"""),"610422100153-2024-7-SURVEI-PPL")</f>
        <v>610422100153-2024-7-SURVEI-PPL</v>
      </c>
      <c r="B292" s="5" t="str">
        <f t="shared" ca="1" si="0"/>
        <v>610422100153-2024-7</v>
      </c>
      <c r="C292" s="5">
        <f ca="1">IFERROR(__xludf.DUMMYFUNCTION("IF(N292=1,SPLIT(A292,""-""),"""")"),610422100153)</f>
        <v>610422100153</v>
      </c>
      <c r="D292" s="10">
        <f ca="1">IFERROR(__xludf.DUMMYFUNCTION("""COMPUTED_VALUE"""),2024)</f>
        <v>2024</v>
      </c>
      <c r="E292" s="10">
        <f ca="1">IFERROR(__xludf.DUMMYFUNCTION("""COMPUTED_VALUE"""),7)</f>
        <v>7</v>
      </c>
      <c r="F292" s="5" t="str">
        <f ca="1">IFERROR(__xludf.DUMMYFUNCTION("""COMPUTED_VALUE"""),"SURVEI")</f>
        <v>SURVEI</v>
      </c>
      <c r="G292" s="5" t="str">
        <f ca="1">IFERROR(__xludf.DUMMYFUNCTION("""COMPUTED_VALUE"""),"PPL")</f>
        <v>PPL</v>
      </c>
      <c r="H292" s="5" t="str">
        <f t="array" aca="1" ref="H292" ca="1">IF(N292=1, INDEX('Database Mitra'!$C$2:$C993,MATCH($C292,'Database Mitra'!$AK$2:$AK993,0)),"")</f>
        <v>Kharim marufah</v>
      </c>
      <c r="I292" s="71">
        <f ca="1">IF(N292=1,SUMIFS('Alokasi Honor'!$M$2:$M993,'Alokasi Honor'!$T$2:$T993,A292),"")</f>
        <v>250000</v>
      </c>
      <c r="J292" s="10">
        <f ca="1">IFERROR(__xludf.DUMMYFUNCTION("COUNTIF(FILTER('Alokasi Honor'!$H$2:$H993,'Alokasi Honor'!$H$2:$H993=""OB"",'Alokasi Honor'!$T$2:$T993=A292),""OB"")"),0)</f>
        <v>0</v>
      </c>
      <c r="K292" s="10">
        <f t="shared" ca="1" si="1"/>
        <v>1</v>
      </c>
      <c r="L292" s="70">
        <f t="array" aca="1" ref="L292" ca="1">IF(N292=1,INDEX('Batasan Honor'!$B$2:$B993,MATCH(CONCATENATE($F292,"-",$G292),'Batasan Honor'!$G$2:$G993,0)),"")</f>
        <v>5400000</v>
      </c>
      <c r="M292" s="10">
        <f t="shared" ca="1" si="4"/>
        <v>1</v>
      </c>
      <c r="N292" s="10">
        <f t="shared" ca="1" si="3"/>
        <v>1</v>
      </c>
    </row>
    <row r="293" spans="1:14" ht="12.5">
      <c r="A293" s="10" t="str">
        <f ca="1">IFERROR(__xludf.DUMMYFUNCTION("""COMPUTED_VALUE"""),"610422020048-2024-8-SURVEI-PPL")</f>
        <v>610422020048-2024-8-SURVEI-PPL</v>
      </c>
      <c r="B293" s="5" t="str">
        <f t="shared" ca="1" si="0"/>
        <v>610422020048-2024-8</v>
      </c>
      <c r="C293" s="5">
        <f ca="1">IFERROR(__xludf.DUMMYFUNCTION("IF(N293=1,SPLIT(A293,""-""),"""")"),610422020048)</f>
        <v>610422020048</v>
      </c>
      <c r="D293" s="10">
        <f ca="1">IFERROR(__xludf.DUMMYFUNCTION("""COMPUTED_VALUE"""),2024)</f>
        <v>2024</v>
      </c>
      <c r="E293" s="10">
        <f ca="1">IFERROR(__xludf.DUMMYFUNCTION("""COMPUTED_VALUE"""),8)</f>
        <v>8</v>
      </c>
      <c r="F293" s="5" t="str">
        <f ca="1">IFERROR(__xludf.DUMMYFUNCTION("""COMPUTED_VALUE"""),"SURVEI")</f>
        <v>SURVEI</v>
      </c>
      <c r="G293" s="5" t="str">
        <f ca="1">IFERROR(__xludf.DUMMYFUNCTION("""COMPUTED_VALUE"""),"PPL")</f>
        <v>PPL</v>
      </c>
      <c r="H293" s="5" t="str">
        <f t="array" aca="1" ref="H293" ca="1">IF(N293=1, INDEX('Database Mitra'!$C$2:$C993,MATCH($C293,'Database Mitra'!$AK$2:$AK993,0)),"")</f>
        <v>Herri Gustaman</v>
      </c>
      <c r="I293" s="71">
        <f ca="1">IF(N293=1,SUMIFS('Alokasi Honor'!$M$2:$M993,'Alokasi Honor'!$T$2:$T993,A293),"")</f>
        <v>3021000</v>
      </c>
      <c r="J293" s="10">
        <f ca="1">IFERROR(__xludf.DUMMYFUNCTION("COUNTIF(FILTER('Alokasi Honor'!$H$2:$H993,'Alokasi Honor'!$H$2:$H993=""OB"",'Alokasi Honor'!$T$2:$T993=A293),""OB"")"),0)</f>
        <v>0</v>
      </c>
      <c r="K293" s="10">
        <f t="shared" ca="1" si="1"/>
        <v>1</v>
      </c>
      <c r="L293" s="70">
        <f t="array" aca="1" ref="L293" ca="1">IF(N293=1,INDEX('Batasan Honor'!$B$2:$B993,MATCH(CONCATENATE($F293,"-",$G293),'Batasan Honor'!$G$2:$G993,0)),"")</f>
        <v>5400000</v>
      </c>
      <c r="M293" s="10">
        <f t="shared" ca="1" si="4"/>
        <v>1</v>
      </c>
      <c r="N293" s="10">
        <f t="shared" ca="1" si="3"/>
        <v>1</v>
      </c>
    </row>
    <row r="294" spans="1:14" ht="12.5">
      <c r="A294" s="10" t="str">
        <f ca="1">IFERROR(__xludf.DUMMYFUNCTION("""COMPUTED_VALUE"""),"610422030002-2024-8-SURVEI-PPL")</f>
        <v>610422030002-2024-8-SURVEI-PPL</v>
      </c>
      <c r="B294" s="5" t="str">
        <f t="shared" ca="1" si="0"/>
        <v>610422030002-2024-8</v>
      </c>
      <c r="C294" s="5">
        <f ca="1">IFERROR(__xludf.DUMMYFUNCTION("IF(N294=1,SPLIT(A294,""-""),"""")"),610422030002)</f>
        <v>610422030002</v>
      </c>
      <c r="D294" s="10">
        <f ca="1">IFERROR(__xludf.DUMMYFUNCTION("""COMPUTED_VALUE"""),2024)</f>
        <v>2024</v>
      </c>
      <c r="E294" s="10">
        <f ca="1">IFERROR(__xludf.DUMMYFUNCTION("""COMPUTED_VALUE"""),8)</f>
        <v>8</v>
      </c>
      <c r="F294" s="5" t="str">
        <f ca="1">IFERROR(__xludf.DUMMYFUNCTION("""COMPUTED_VALUE"""),"SURVEI")</f>
        <v>SURVEI</v>
      </c>
      <c r="G294" s="5" t="str">
        <f ca="1">IFERROR(__xludf.DUMMYFUNCTION("""COMPUTED_VALUE"""),"PPL")</f>
        <v>PPL</v>
      </c>
      <c r="H294" s="5" t="str">
        <f t="array" aca="1" ref="H294" ca="1">IF(N294=1, INDEX('Database Mitra'!$C$2:$C993,MATCH($C294,'Database Mitra'!$AK$2:$AK993,0)),"")</f>
        <v>Deti erni widiastuti</v>
      </c>
      <c r="I294" s="71">
        <f ca="1">IF(N294=1,SUMIFS('Alokasi Honor'!$M$2:$M993,'Alokasi Honor'!$T$2:$T993,A294),"")</f>
        <v>750000</v>
      </c>
      <c r="J294" s="10">
        <f ca="1">IFERROR(__xludf.DUMMYFUNCTION("COUNTIF(FILTER('Alokasi Honor'!$H$2:$H993,'Alokasi Honor'!$H$2:$H993=""OB"",'Alokasi Honor'!$T$2:$T993=A294),""OB"")"),0)</f>
        <v>0</v>
      </c>
      <c r="K294" s="10">
        <f t="shared" ca="1" si="1"/>
        <v>1</v>
      </c>
      <c r="L294" s="70">
        <f t="array" aca="1" ref="L294" ca="1">IF(N294=1,INDEX('Batasan Honor'!$B$2:$B993,MATCH(CONCATENATE($F294,"-",$G294),'Batasan Honor'!$G$2:$G993,0)),"")</f>
        <v>5400000</v>
      </c>
      <c r="M294" s="10">
        <f t="shared" ca="1" si="4"/>
        <v>1</v>
      </c>
      <c r="N294" s="10">
        <f t="shared" ca="1" si="3"/>
        <v>1</v>
      </c>
    </row>
    <row r="295" spans="1:14" ht="12.5">
      <c r="A295" s="10" t="str">
        <f ca="1">IFERROR(__xludf.DUMMYFUNCTION("""COMPUTED_VALUE"""),"610422100244-2024-8-SURVEI-PPL")</f>
        <v>610422100244-2024-8-SURVEI-PPL</v>
      </c>
      <c r="B295" s="5" t="str">
        <f t="shared" ca="1" si="0"/>
        <v>610422100244-2024-8</v>
      </c>
      <c r="C295" s="5">
        <f ca="1">IFERROR(__xludf.DUMMYFUNCTION("IF(N295=1,SPLIT(A295,""-""),"""")"),610422100244)</f>
        <v>610422100244</v>
      </c>
      <c r="D295" s="10">
        <f ca="1">IFERROR(__xludf.DUMMYFUNCTION("""COMPUTED_VALUE"""),2024)</f>
        <v>2024</v>
      </c>
      <c r="E295" s="10">
        <f ca="1">IFERROR(__xludf.DUMMYFUNCTION("""COMPUTED_VALUE"""),8)</f>
        <v>8</v>
      </c>
      <c r="F295" s="5" t="str">
        <f ca="1">IFERROR(__xludf.DUMMYFUNCTION("""COMPUTED_VALUE"""),"SURVEI")</f>
        <v>SURVEI</v>
      </c>
      <c r="G295" s="5" t="str">
        <f ca="1">IFERROR(__xludf.DUMMYFUNCTION("""COMPUTED_VALUE"""),"PPL")</f>
        <v>PPL</v>
      </c>
      <c r="H295" s="5" t="str">
        <f t="array" aca="1" ref="H295" ca="1">IF(N295=1, INDEX('Database Mitra'!$C$2:$C993,MATCH($C295,'Database Mitra'!$AK$2:$AK993,0)),"")</f>
        <v>Sugianto</v>
      </c>
      <c r="I295" s="71">
        <f ca="1">IF(N295=1,SUMIFS('Alokasi Honor'!$M$2:$M993,'Alokasi Honor'!$T$2:$T993,A295),"")</f>
        <v>2878000</v>
      </c>
      <c r="J295" s="10">
        <f ca="1">IFERROR(__xludf.DUMMYFUNCTION("COUNTIF(FILTER('Alokasi Honor'!$H$2:$H993,'Alokasi Honor'!$H$2:$H993=""OB"",'Alokasi Honor'!$T$2:$T993=A295),""OB"")"),0)</f>
        <v>0</v>
      </c>
      <c r="K295" s="10">
        <f t="shared" ca="1" si="1"/>
        <v>1</v>
      </c>
      <c r="L295" s="70">
        <f t="array" aca="1" ref="L295" ca="1">IF(N295=1,INDEX('Batasan Honor'!$B$2:$B993,MATCH(CONCATENATE($F295,"-",$G295),'Batasan Honor'!$G$2:$G993,0)),"")</f>
        <v>5400000</v>
      </c>
      <c r="M295" s="10">
        <f t="shared" ca="1" si="4"/>
        <v>1</v>
      </c>
      <c r="N295" s="10">
        <f t="shared" ca="1" si="3"/>
        <v>1</v>
      </c>
    </row>
    <row r="296" spans="1:14" ht="12.5">
      <c r="A296" s="10" t="str">
        <f ca="1">IFERROR(__xludf.DUMMYFUNCTION("""COMPUTED_VALUE"""),"610422100124-2024-8-SURVEI-PPL")</f>
        <v>610422100124-2024-8-SURVEI-PPL</v>
      </c>
      <c r="B296" s="5" t="str">
        <f t="shared" ca="1" si="0"/>
        <v>610422100124-2024-8</v>
      </c>
      <c r="C296" s="5">
        <f ca="1">IFERROR(__xludf.DUMMYFUNCTION("IF(N296=1,SPLIT(A296,""-""),"""")"),610422100124)</f>
        <v>610422100124</v>
      </c>
      <c r="D296" s="10">
        <f ca="1">IFERROR(__xludf.DUMMYFUNCTION("""COMPUTED_VALUE"""),2024)</f>
        <v>2024</v>
      </c>
      <c r="E296" s="10">
        <f ca="1">IFERROR(__xludf.DUMMYFUNCTION("""COMPUTED_VALUE"""),8)</f>
        <v>8</v>
      </c>
      <c r="F296" s="5" t="str">
        <f ca="1">IFERROR(__xludf.DUMMYFUNCTION("""COMPUTED_VALUE"""),"SURVEI")</f>
        <v>SURVEI</v>
      </c>
      <c r="G296" s="5" t="str">
        <f ca="1">IFERROR(__xludf.DUMMYFUNCTION("""COMPUTED_VALUE"""),"PPL")</f>
        <v>PPL</v>
      </c>
      <c r="H296" s="5" t="str">
        <f t="array" aca="1" ref="H296" ca="1">IF(N296=1, INDEX('Database Mitra'!$C$2:$C993,MATCH($C296,'Database Mitra'!$AK$2:$AK993,0)),"")</f>
        <v>Prabowo</v>
      </c>
      <c r="I296" s="71">
        <f ca="1">IF(N296=1,SUMIFS('Alokasi Honor'!$M$2:$M993,'Alokasi Honor'!$T$2:$T993,A296),"")</f>
        <v>325000</v>
      </c>
      <c r="J296" s="10">
        <f ca="1">IFERROR(__xludf.DUMMYFUNCTION("COUNTIF(FILTER('Alokasi Honor'!$H$2:$H993,'Alokasi Honor'!$H$2:$H993=""OB"",'Alokasi Honor'!$T$2:$T993=A296),""OB"")"),0)</f>
        <v>0</v>
      </c>
      <c r="K296" s="10">
        <f t="shared" ca="1" si="1"/>
        <v>1</v>
      </c>
      <c r="L296" s="70">
        <f t="array" aca="1" ref="L296" ca="1">IF(N296=1,INDEX('Batasan Honor'!$B$2:$B993,MATCH(CONCATENATE($F296,"-",$G296),'Batasan Honor'!$G$2:$G993,0)),"")</f>
        <v>5400000</v>
      </c>
      <c r="M296" s="10">
        <f t="shared" ca="1" si="4"/>
        <v>1</v>
      </c>
      <c r="N296" s="10">
        <f t="shared" ca="1" si="3"/>
        <v>1</v>
      </c>
    </row>
    <row r="297" spans="1:14" ht="12.5">
      <c r="A297" s="10" t="str">
        <f ca="1">IFERROR(__xludf.DUMMYFUNCTION("""COMPUTED_VALUE"""),"610422100016-2024-8-SURVEI-PPL")</f>
        <v>610422100016-2024-8-SURVEI-PPL</v>
      </c>
      <c r="B297" s="5" t="str">
        <f t="shared" ca="1" si="0"/>
        <v>610422100016-2024-8</v>
      </c>
      <c r="C297" s="5">
        <f ca="1">IFERROR(__xludf.DUMMYFUNCTION("IF(N297=1,SPLIT(A297,""-""),"""")"),610422100016)</f>
        <v>610422100016</v>
      </c>
      <c r="D297" s="10">
        <f ca="1">IFERROR(__xludf.DUMMYFUNCTION("""COMPUTED_VALUE"""),2024)</f>
        <v>2024</v>
      </c>
      <c r="E297" s="10">
        <f ca="1">IFERROR(__xludf.DUMMYFUNCTION("""COMPUTED_VALUE"""),8)</f>
        <v>8</v>
      </c>
      <c r="F297" s="5" t="str">
        <f ca="1">IFERROR(__xludf.DUMMYFUNCTION("""COMPUTED_VALUE"""),"SURVEI")</f>
        <v>SURVEI</v>
      </c>
      <c r="G297" s="5" t="str">
        <f ca="1">IFERROR(__xludf.DUMMYFUNCTION("""COMPUTED_VALUE"""),"PPL")</f>
        <v>PPL</v>
      </c>
      <c r="H297" s="5" t="str">
        <f t="array" aca="1" ref="H297" ca="1">IF(N297=1, INDEX('Database Mitra'!$C$2:$C993,MATCH($C297,'Database Mitra'!$AK$2:$AK993,0)),"")</f>
        <v>Amalia Faisya</v>
      </c>
      <c r="I297" s="71">
        <f ca="1">IF(N297=1,SUMIFS('Alokasi Honor'!$M$2:$M993,'Alokasi Honor'!$T$2:$T993,A297),"")</f>
        <v>250000</v>
      </c>
      <c r="J297" s="10">
        <f ca="1">IFERROR(__xludf.DUMMYFUNCTION("COUNTIF(FILTER('Alokasi Honor'!$H$2:$H993,'Alokasi Honor'!$H$2:$H993=""OB"",'Alokasi Honor'!$T$2:$T993=A297),""OB"")"),0)</f>
        <v>0</v>
      </c>
      <c r="K297" s="10">
        <f t="shared" ca="1" si="1"/>
        <v>1</v>
      </c>
      <c r="L297" s="70">
        <f t="array" aca="1" ref="L297" ca="1">IF(N297=1,INDEX('Batasan Honor'!$B$2:$B993,MATCH(CONCATENATE($F297,"-",$G297),'Batasan Honor'!$G$2:$G993,0)),"")</f>
        <v>5400000</v>
      </c>
      <c r="M297" s="10">
        <f t="shared" ca="1" si="4"/>
        <v>1</v>
      </c>
      <c r="N297" s="10">
        <f t="shared" ca="1" si="3"/>
        <v>1</v>
      </c>
    </row>
    <row r="298" spans="1:14" ht="12.5">
      <c r="A298" s="10" t="str">
        <f ca="1">IFERROR(__xludf.DUMMYFUNCTION("""COMPUTED_VALUE"""),"610422050001-2024-8-SURVEI-PPL")</f>
        <v>610422050001-2024-8-SURVEI-PPL</v>
      </c>
      <c r="B298" s="5" t="str">
        <f t="shared" ca="1" si="0"/>
        <v>610422050001-2024-8</v>
      </c>
      <c r="C298" s="5">
        <f ca="1">IFERROR(__xludf.DUMMYFUNCTION("IF(N298=1,SPLIT(A298,""-""),"""")"),610422050001)</f>
        <v>610422050001</v>
      </c>
      <c r="D298" s="10">
        <f ca="1">IFERROR(__xludf.DUMMYFUNCTION("""COMPUTED_VALUE"""),2024)</f>
        <v>2024</v>
      </c>
      <c r="E298" s="10">
        <f ca="1">IFERROR(__xludf.DUMMYFUNCTION("""COMPUTED_VALUE"""),8)</f>
        <v>8</v>
      </c>
      <c r="F298" s="5" t="str">
        <f ca="1">IFERROR(__xludf.DUMMYFUNCTION("""COMPUTED_VALUE"""),"SURVEI")</f>
        <v>SURVEI</v>
      </c>
      <c r="G298" s="5" t="str">
        <f ca="1">IFERROR(__xludf.DUMMYFUNCTION("""COMPUTED_VALUE"""),"PPL")</f>
        <v>PPL</v>
      </c>
      <c r="H298" s="5" t="str">
        <f t="array" aca="1" ref="H298" ca="1">IF(N298=1, INDEX('Database Mitra'!$C$2:$C993,MATCH($C298,'Database Mitra'!$AK$2:$AK993,0)),"")</f>
        <v>EVI JUNIARTY</v>
      </c>
      <c r="I298" s="71">
        <f ca="1">IF(N298=1,SUMIFS('Alokasi Honor'!$M$2:$M993,'Alokasi Honor'!$T$2:$T993,A298),"")</f>
        <v>415000</v>
      </c>
      <c r="J298" s="10">
        <f ca="1">IFERROR(__xludf.DUMMYFUNCTION("COUNTIF(FILTER('Alokasi Honor'!$H$2:$H993,'Alokasi Honor'!$H$2:$H993=""OB"",'Alokasi Honor'!$T$2:$T993=A298),""OB"")"),0)</f>
        <v>0</v>
      </c>
      <c r="K298" s="10">
        <f t="shared" ca="1" si="1"/>
        <v>1</v>
      </c>
      <c r="L298" s="70">
        <f t="array" aca="1" ref="L298" ca="1">IF(N298=1,INDEX('Batasan Honor'!$B$2:$B993,MATCH(CONCATENATE($F298,"-",$G298),'Batasan Honor'!$G$2:$G993,0)),"")</f>
        <v>5400000</v>
      </c>
      <c r="M298" s="10">
        <f t="shared" ca="1" si="4"/>
        <v>1</v>
      </c>
      <c r="N298" s="10">
        <f t="shared" ca="1" si="3"/>
        <v>1</v>
      </c>
    </row>
    <row r="299" spans="1:14" ht="12.5">
      <c r="A299" s="10" t="str">
        <f ca="1">IFERROR(__xludf.DUMMYFUNCTION("""COMPUTED_VALUE"""),"610422040030-2024-8-SURVEI-PPL")</f>
        <v>610422040030-2024-8-SURVEI-PPL</v>
      </c>
      <c r="B299" s="5" t="str">
        <f t="shared" ca="1" si="0"/>
        <v>610422040030-2024-8</v>
      </c>
      <c r="C299" s="5">
        <f ca="1">IFERROR(__xludf.DUMMYFUNCTION("IF(N299=1,SPLIT(A299,""-""),"""")"),610422040030)</f>
        <v>610422040030</v>
      </c>
      <c r="D299" s="10">
        <f ca="1">IFERROR(__xludf.DUMMYFUNCTION("""COMPUTED_VALUE"""),2024)</f>
        <v>2024</v>
      </c>
      <c r="E299" s="10">
        <f ca="1">IFERROR(__xludf.DUMMYFUNCTION("""COMPUTED_VALUE"""),8)</f>
        <v>8</v>
      </c>
      <c r="F299" s="5" t="str">
        <f ca="1">IFERROR(__xludf.DUMMYFUNCTION("""COMPUTED_VALUE"""),"SURVEI")</f>
        <v>SURVEI</v>
      </c>
      <c r="G299" s="5" t="str">
        <f ca="1">IFERROR(__xludf.DUMMYFUNCTION("""COMPUTED_VALUE"""),"PPL")</f>
        <v>PPL</v>
      </c>
      <c r="H299" s="5" t="str">
        <f t="array" aca="1" ref="H299" ca="1">IF(N299=1, INDEX('Database Mitra'!$C$2:$C993,MATCH($C299,'Database Mitra'!$AK$2:$AK993,0)),"")</f>
        <v>Syarifah Desti Pratiwi</v>
      </c>
      <c r="I299" s="71">
        <f ca="1">IF(N299=1,SUMIFS('Alokasi Honor'!$M$2:$M993,'Alokasi Honor'!$T$2:$T993,A299),"")</f>
        <v>55000</v>
      </c>
      <c r="J299" s="10">
        <f ca="1">IFERROR(__xludf.DUMMYFUNCTION("COUNTIF(FILTER('Alokasi Honor'!$H$2:$H993,'Alokasi Honor'!$H$2:$H993=""OB"",'Alokasi Honor'!$T$2:$T993=A299),""OB"")"),0)</f>
        <v>0</v>
      </c>
      <c r="K299" s="10">
        <f t="shared" ca="1" si="1"/>
        <v>1</v>
      </c>
      <c r="L299" s="70">
        <f t="array" aca="1" ref="L299" ca="1">IF(N299=1,INDEX('Batasan Honor'!$B$2:$B993,MATCH(CONCATENATE($F299,"-",$G299),'Batasan Honor'!$G$2:$G993,0)),"")</f>
        <v>5400000</v>
      </c>
      <c r="M299" s="10">
        <f t="shared" ca="1" si="4"/>
        <v>1</v>
      </c>
      <c r="N299" s="10">
        <f t="shared" ca="1" si="3"/>
        <v>1</v>
      </c>
    </row>
    <row r="300" spans="1:14" ht="12.5">
      <c r="A300" s="10" t="str">
        <f ca="1">IFERROR(__xludf.DUMMYFUNCTION("""COMPUTED_VALUE"""),"610422020016-2024-8-SURVEI-PPL")</f>
        <v>610422020016-2024-8-SURVEI-PPL</v>
      </c>
      <c r="B300" s="5" t="str">
        <f t="shared" ca="1" si="0"/>
        <v>610422020016-2024-8</v>
      </c>
      <c r="C300" s="5">
        <f ca="1">IFERROR(__xludf.DUMMYFUNCTION("IF(N300=1,SPLIT(A300,""-""),"""")"),610422020016)</f>
        <v>610422020016</v>
      </c>
      <c r="D300" s="10">
        <f ca="1">IFERROR(__xludf.DUMMYFUNCTION("""COMPUTED_VALUE"""),2024)</f>
        <v>2024</v>
      </c>
      <c r="E300" s="10">
        <f ca="1">IFERROR(__xludf.DUMMYFUNCTION("""COMPUTED_VALUE"""),8)</f>
        <v>8</v>
      </c>
      <c r="F300" s="5" t="str">
        <f ca="1">IFERROR(__xludf.DUMMYFUNCTION("""COMPUTED_VALUE"""),"SURVEI")</f>
        <v>SURVEI</v>
      </c>
      <c r="G300" s="5" t="str">
        <f ca="1">IFERROR(__xludf.DUMMYFUNCTION("""COMPUTED_VALUE"""),"PPL")</f>
        <v>PPL</v>
      </c>
      <c r="H300" s="5" t="str">
        <f t="array" aca="1" ref="H300" ca="1">IF(N300=1, INDEX('Database Mitra'!$C$2:$C993,MATCH($C300,'Database Mitra'!$AK$2:$AK993,0)),"")</f>
        <v>Abdul Aziz</v>
      </c>
      <c r="I300" s="71">
        <f ca="1">IF(N300=1,SUMIFS('Alokasi Honor'!$M$2:$M993,'Alokasi Honor'!$T$2:$T993,A300),"")</f>
        <v>1617000</v>
      </c>
      <c r="J300" s="10">
        <f ca="1">IFERROR(__xludf.DUMMYFUNCTION("COUNTIF(FILTER('Alokasi Honor'!$H$2:$H993,'Alokasi Honor'!$H$2:$H993=""OB"",'Alokasi Honor'!$T$2:$T993=A300),""OB"")"),0)</f>
        <v>0</v>
      </c>
      <c r="K300" s="10">
        <f t="shared" ca="1" si="1"/>
        <v>1</v>
      </c>
      <c r="L300" s="70">
        <f t="array" aca="1" ref="L300" ca="1">IF(N300=1,INDEX('Batasan Honor'!$B$2:$B993,MATCH(CONCATENATE($F300,"-",$G300),'Batasan Honor'!$G$2:$G993,0)),"")</f>
        <v>5400000</v>
      </c>
      <c r="M300" s="10">
        <f t="shared" ca="1" si="4"/>
        <v>1</v>
      </c>
      <c r="N300" s="10">
        <f t="shared" ca="1" si="3"/>
        <v>1</v>
      </c>
    </row>
    <row r="301" spans="1:14" ht="12.5">
      <c r="A301" s="10" t="str">
        <f ca="1">IFERROR(__xludf.DUMMYFUNCTION("""COMPUTED_VALUE"""),"610422040029-2024-8-SURVEI-PPL")</f>
        <v>610422040029-2024-8-SURVEI-PPL</v>
      </c>
      <c r="B301" s="5" t="str">
        <f t="shared" ca="1" si="0"/>
        <v>610422040029-2024-8</v>
      </c>
      <c r="C301" s="5">
        <f ca="1">IFERROR(__xludf.DUMMYFUNCTION("IF(N301=1,SPLIT(A301,""-""),"""")"),610422040029)</f>
        <v>610422040029</v>
      </c>
      <c r="D301" s="10">
        <f ca="1">IFERROR(__xludf.DUMMYFUNCTION("""COMPUTED_VALUE"""),2024)</f>
        <v>2024</v>
      </c>
      <c r="E301" s="10">
        <f ca="1">IFERROR(__xludf.DUMMYFUNCTION("""COMPUTED_VALUE"""),8)</f>
        <v>8</v>
      </c>
      <c r="F301" s="5" t="str">
        <f ca="1">IFERROR(__xludf.DUMMYFUNCTION("""COMPUTED_VALUE"""),"SURVEI")</f>
        <v>SURVEI</v>
      </c>
      <c r="G301" s="5" t="str">
        <f ca="1">IFERROR(__xludf.DUMMYFUNCTION("""COMPUTED_VALUE"""),"PPL")</f>
        <v>PPL</v>
      </c>
      <c r="H301" s="5" t="str">
        <f t="array" aca="1" ref="H301" ca="1">IF(N301=1, INDEX('Database Mitra'!$C$2:$C993,MATCH($C301,'Database Mitra'!$AK$2:$AK993,0)),"")</f>
        <v>Zaini</v>
      </c>
      <c r="I301" s="71">
        <f ca="1">IF(N301=1,SUMIFS('Alokasi Honor'!$M$2:$M993,'Alokasi Honor'!$T$2:$T993,A301),"")</f>
        <v>2365000</v>
      </c>
      <c r="J301" s="10">
        <f ca="1">IFERROR(__xludf.DUMMYFUNCTION("COUNTIF(FILTER('Alokasi Honor'!$H$2:$H993,'Alokasi Honor'!$H$2:$H993=""OB"",'Alokasi Honor'!$T$2:$T993=A301),""OB"")"),0)</f>
        <v>0</v>
      </c>
      <c r="K301" s="10">
        <f t="shared" ca="1" si="1"/>
        <v>1</v>
      </c>
      <c r="L301" s="70">
        <f t="array" aca="1" ref="L301" ca="1">IF(N301=1,INDEX('Batasan Honor'!$B$2:$B993,MATCH(CONCATENATE($F301,"-",$G301),'Batasan Honor'!$G$2:$G993,0)),"")</f>
        <v>5400000</v>
      </c>
      <c r="M301" s="10">
        <f t="shared" ca="1" si="4"/>
        <v>1</v>
      </c>
      <c r="N301" s="10">
        <f t="shared" ca="1" si="3"/>
        <v>1</v>
      </c>
    </row>
    <row r="302" spans="1:14" ht="12.5">
      <c r="A302" s="10" t="str">
        <f ca="1">IFERROR(__xludf.DUMMYFUNCTION("""COMPUTED_VALUE"""),"610422100165-2024-8-SURVEI-PPL")</f>
        <v>610422100165-2024-8-SURVEI-PPL</v>
      </c>
      <c r="B302" s="5" t="str">
        <f t="shared" ca="1" si="0"/>
        <v>610422100165-2024-8</v>
      </c>
      <c r="C302" s="5">
        <f ca="1">IFERROR(__xludf.DUMMYFUNCTION("IF(N302=1,SPLIT(A302,""-""),"""")"),610422100165)</f>
        <v>610422100165</v>
      </c>
      <c r="D302" s="10">
        <f ca="1">IFERROR(__xludf.DUMMYFUNCTION("""COMPUTED_VALUE"""),2024)</f>
        <v>2024</v>
      </c>
      <c r="E302" s="10">
        <f ca="1">IFERROR(__xludf.DUMMYFUNCTION("""COMPUTED_VALUE"""),8)</f>
        <v>8</v>
      </c>
      <c r="F302" s="5" t="str">
        <f ca="1">IFERROR(__xludf.DUMMYFUNCTION("""COMPUTED_VALUE"""),"SURVEI")</f>
        <v>SURVEI</v>
      </c>
      <c r="G302" s="5" t="str">
        <f ca="1">IFERROR(__xludf.DUMMYFUNCTION("""COMPUTED_VALUE"""),"PPL")</f>
        <v>PPL</v>
      </c>
      <c r="H302" s="5" t="str">
        <f t="array" aca="1" ref="H302" ca="1">IF(N302=1, INDEX('Database Mitra'!$C$2:$C993,MATCH($C302,'Database Mitra'!$AK$2:$AK993,0)),"")</f>
        <v>Yanti</v>
      </c>
      <c r="I302" s="71">
        <f ca="1">IF(N302=1,SUMIFS('Alokasi Honor'!$M$2:$M993,'Alokasi Honor'!$T$2:$T993,A302),"")</f>
        <v>325000</v>
      </c>
      <c r="J302" s="10">
        <f ca="1">IFERROR(__xludf.DUMMYFUNCTION("COUNTIF(FILTER('Alokasi Honor'!$H$2:$H993,'Alokasi Honor'!$H$2:$H993=""OB"",'Alokasi Honor'!$T$2:$T993=A302),""OB"")"),0)</f>
        <v>0</v>
      </c>
      <c r="K302" s="10">
        <f t="shared" ca="1" si="1"/>
        <v>1</v>
      </c>
      <c r="L302" s="70">
        <f t="array" aca="1" ref="L302" ca="1">IF(N302=1,INDEX('Batasan Honor'!$B$2:$B993,MATCH(CONCATENATE($F302,"-",$G302),'Batasan Honor'!$G$2:$G993,0)),"")</f>
        <v>5400000</v>
      </c>
      <c r="M302" s="10">
        <f t="shared" ca="1" si="4"/>
        <v>1</v>
      </c>
      <c r="N302" s="10">
        <f t="shared" ca="1" si="3"/>
        <v>1</v>
      </c>
    </row>
    <row r="303" spans="1:14" ht="12.5">
      <c r="A303" s="10" t="str">
        <f ca="1">IFERROR(__xludf.DUMMYFUNCTION("""COMPUTED_VALUE"""),"610422040056-2024-8-SURVEI-PPL")</f>
        <v>610422040056-2024-8-SURVEI-PPL</v>
      </c>
      <c r="B303" s="5" t="str">
        <f t="shared" ca="1" si="0"/>
        <v>610422040056-2024-8</v>
      </c>
      <c r="C303" s="5">
        <f ca="1">IFERROR(__xludf.DUMMYFUNCTION("IF(N303=1,SPLIT(A303,""-""),"""")"),610422040056)</f>
        <v>610422040056</v>
      </c>
      <c r="D303" s="10">
        <f ca="1">IFERROR(__xludf.DUMMYFUNCTION("""COMPUTED_VALUE"""),2024)</f>
        <v>2024</v>
      </c>
      <c r="E303" s="10">
        <f ca="1">IFERROR(__xludf.DUMMYFUNCTION("""COMPUTED_VALUE"""),8)</f>
        <v>8</v>
      </c>
      <c r="F303" s="5" t="str">
        <f ca="1">IFERROR(__xludf.DUMMYFUNCTION("""COMPUTED_VALUE"""),"SURVEI")</f>
        <v>SURVEI</v>
      </c>
      <c r="G303" s="5" t="str">
        <f ca="1">IFERROR(__xludf.DUMMYFUNCTION("""COMPUTED_VALUE"""),"PPL")</f>
        <v>PPL</v>
      </c>
      <c r="H303" s="5" t="str">
        <f t="array" aca="1" ref="H303" ca="1">IF(N303=1, INDEX('Database Mitra'!$C$2:$C993,MATCH($C303,'Database Mitra'!$AK$2:$AK993,0)),"")</f>
        <v>Wandi Syafari</v>
      </c>
      <c r="I303" s="71">
        <f ca="1">IF(N303=1,SUMIFS('Alokasi Honor'!$M$2:$M993,'Alokasi Honor'!$T$2:$T993,A303),"")</f>
        <v>2585000</v>
      </c>
      <c r="J303" s="10">
        <f ca="1">IFERROR(__xludf.DUMMYFUNCTION("COUNTIF(FILTER('Alokasi Honor'!$H$2:$H993,'Alokasi Honor'!$H$2:$H993=""OB"",'Alokasi Honor'!$T$2:$T993=A303),""OB"")"),0)</f>
        <v>0</v>
      </c>
      <c r="K303" s="10">
        <f t="shared" ca="1" si="1"/>
        <v>1</v>
      </c>
      <c r="L303" s="70">
        <f t="array" aca="1" ref="L303" ca="1">IF(N303=1,INDEX('Batasan Honor'!$B$2:$B993,MATCH(CONCATENATE($F303,"-",$G303),'Batasan Honor'!$G$2:$G993,0)),"")</f>
        <v>5400000</v>
      </c>
      <c r="M303" s="10">
        <f t="shared" ca="1" si="4"/>
        <v>1</v>
      </c>
      <c r="N303" s="10">
        <f t="shared" ca="1" si="3"/>
        <v>1</v>
      </c>
    </row>
    <row r="304" spans="1:14" ht="12.5">
      <c r="A304" s="10" t="str">
        <f ca="1">IFERROR(__xludf.DUMMYFUNCTION("""COMPUTED_VALUE"""),"610422040012-2024-8-SURVEI-PPL")</f>
        <v>610422040012-2024-8-SURVEI-PPL</v>
      </c>
      <c r="B304" s="5" t="str">
        <f t="shared" ca="1" si="0"/>
        <v>610422040012-2024-8</v>
      </c>
      <c r="C304" s="5">
        <f ca="1">IFERROR(__xludf.DUMMYFUNCTION("IF(N304=1,SPLIT(A304,""-""),"""")"),610422040012)</f>
        <v>610422040012</v>
      </c>
      <c r="D304" s="10">
        <f ca="1">IFERROR(__xludf.DUMMYFUNCTION("""COMPUTED_VALUE"""),2024)</f>
        <v>2024</v>
      </c>
      <c r="E304" s="10">
        <f ca="1">IFERROR(__xludf.DUMMYFUNCTION("""COMPUTED_VALUE"""),8)</f>
        <v>8</v>
      </c>
      <c r="F304" s="5" t="str">
        <f ca="1">IFERROR(__xludf.DUMMYFUNCTION("""COMPUTED_VALUE"""),"SURVEI")</f>
        <v>SURVEI</v>
      </c>
      <c r="G304" s="5" t="str">
        <f ca="1">IFERROR(__xludf.DUMMYFUNCTION("""COMPUTED_VALUE"""),"PPL")</f>
        <v>PPL</v>
      </c>
      <c r="H304" s="5" t="str">
        <f t="array" aca="1" ref="H304" ca="1">IF(N304=1, INDEX('Database Mitra'!$C$2:$C993,MATCH($C304,'Database Mitra'!$AK$2:$AK993,0)),"")</f>
        <v>Misdi</v>
      </c>
      <c r="I304" s="71">
        <f ca="1">IF(N304=1,SUMIFS('Alokasi Honor'!$M$2:$M993,'Alokasi Honor'!$T$2:$T993,A304),"")</f>
        <v>582000</v>
      </c>
      <c r="J304" s="10">
        <f ca="1">IFERROR(__xludf.DUMMYFUNCTION("COUNTIF(FILTER('Alokasi Honor'!$H$2:$H993,'Alokasi Honor'!$H$2:$H993=""OB"",'Alokasi Honor'!$T$2:$T993=A304),""OB"")"),0)</f>
        <v>0</v>
      </c>
      <c r="K304" s="10">
        <f t="shared" ca="1" si="1"/>
        <v>1</v>
      </c>
      <c r="L304" s="70">
        <f t="array" aca="1" ref="L304" ca="1">IF(N304=1,INDEX('Batasan Honor'!$B$2:$B993,MATCH(CONCATENATE($F304,"-",$G304),'Batasan Honor'!$G$2:$G993,0)),"")</f>
        <v>5400000</v>
      </c>
      <c r="M304" s="10">
        <f t="shared" ca="1" si="4"/>
        <v>1</v>
      </c>
      <c r="N304" s="10">
        <f t="shared" ca="1" si="3"/>
        <v>1</v>
      </c>
    </row>
    <row r="305" spans="1:14" ht="12.5">
      <c r="A305" s="10" t="str">
        <f ca="1">IFERROR(__xludf.DUMMYFUNCTION("""COMPUTED_VALUE"""),"610422040059-2024-8-SURVEI-PPL")</f>
        <v>610422040059-2024-8-SURVEI-PPL</v>
      </c>
      <c r="B305" s="5" t="str">
        <f t="shared" ca="1" si="0"/>
        <v>610422040059-2024-8</v>
      </c>
      <c r="C305" s="5">
        <f ca="1">IFERROR(__xludf.DUMMYFUNCTION("IF(N305=1,SPLIT(A305,""-""),"""")"),610422040059)</f>
        <v>610422040059</v>
      </c>
      <c r="D305" s="10">
        <f ca="1">IFERROR(__xludf.DUMMYFUNCTION("""COMPUTED_VALUE"""),2024)</f>
        <v>2024</v>
      </c>
      <c r="E305" s="10">
        <f ca="1">IFERROR(__xludf.DUMMYFUNCTION("""COMPUTED_VALUE"""),8)</f>
        <v>8</v>
      </c>
      <c r="F305" s="5" t="str">
        <f ca="1">IFERROR(__xludf.DUMMYFUNCTION("""COMPUTED_VALUE"""),"SURVEI")</f>
        <v>SURVEI</v>
      </c>
      <c r="G305" s="5" t="str">
        <f ca="1">IFERROR(__xludf.DUMMYFUNCTION("""COMPUTED_VALUE"""),"PPL")</f>
        <v>PPL</v>
      </c>
      <c r="H305" s="5" t="str">
        <f t="array" aca="1" ref="H305" ca="1">IF(N305=1, INDEX('Database Mitra'!$C$2:$C993,MATCH($C305,'Database Mitra'!$AK$2:$AK993,0)),"")</f>
        <v>Abang Handri</v>
      </c>
      <c r="I305" s="71">
        <f ca="1">IF(N305=1,SUMIFS('Alokasi Honor'!$M$2:$M993,'Alokasi Honor'!$T$2:$T993,A305),"")</f>
        <v>1799000</v>
      </c>
      <c r="J305" s="10">
        <f ca="1">IFERROR(__xludf.DUMMYFUNCTION("COUNTIF(FILTER('Alokasi Honor'!$H$2:$H993,'Alokasi Honor'!$H$2:$H993=""OB"",'Alokasi Honor'!$T$2:$T993=A305),""OB"")"),0)</f>
        <v>0</v>
      </c>
      <c r="K305" s="10">
        <f t="shared" ca="1" si="1"/>
        <v>1</v>
      </c>
      <c r="L305" s="70">
        <f t="array" aca="1" ref="L305" ca="1">IF(N305=1,INDEX('Batasan Honor'!$B$2:$B993,MATCH(CONCATENATE($F305,"-",$G305),'Batasan Honor'!$G$2:$G993,0)),"")</f>
        <v>5400000</v>
      </c>
      <c r="M305" s="10">
        <f t="shared" ca="1" si="4"/>
        <v>1</v>
      </c>
      <c r="N305" s="10">
        <f t="shared" ca="1" si="3"/>
        <v>1</v>
      </c>
    </row>
    <row r="306" spans="1:14" ht="12.5">
      <c r="A306" s="10" t="str">
        <f ca="1">IFERROR(__xludf.DUMMYFUNCTION("""COMPUTED_VALUE"""),"610422040061-2024-8-SURVEI-PPL")</f>
        <v>610422040061-2024-8-SURVEI-PPL</v>
      </c>
      <c r="B306" s="5" t="str">
        <f t="shared" ca="1" si="0"/>
        <v>610422040061-2024-8</v>
      </c>
      <c r="C306" s="5">
        <f ca="1">IFERROR(__xludf.DUMMYFUNCTION("IF(N306=1,SPLIT(A306,""-""),"""")"),610422040061)</f>
        <v>610422040061</v>
      </c>
      <c r="D306" s="10">
        <f ca="1">IFERROR(__xludf.DUMMYFUNCTION("""COMPUTED_VALUE"""),2024)</f>
        <v>2024</v>
      </c>
      <c r="E306" s="10">
        <f ca="1">IFERROR(__xludf.DUMMYFUNCTION("""COMPUTED_VALUE"""),8)</f>
        <v>8</v>
      </c>
      <c r="F306" s="5" t="str">
        <f ca="1">IFERROR(__xludf.DUMMYFUNCTION("""COMPUTED_VALUE"""),"SURVEI")</f>
        <v>SURVEI</v>
      </c>
      <c r="G306" s="5" t="str">
        <f ca="1">IFERROR(__xludf.DUMMYFUNCTION("""COMPUTED_VALUE"""),"PPL")</f>
        <v>PPL</v>
      </c>
      <c r="H306" s="5" t="str">
        <f t="array" aca="1" ref="H306" ca="1">IF(N306=1, INDEX('Database Mitra'!$C$2:$C993,MATCH($C306,'Database Mitra'!$AK$2:$AK993,0)),"")</f>
        <v>Sabani</v>
      </c>
      <c r="I306" s="71">
        <f ca="1">IF(N306=1,SUMIFS('Alokasi Honor'!$M$2:$M993,'Alokasi Honor'!$T$2:$T993,A306),"")</f>
        <v>348000</v>
      </c>
      <c r="J306" s="10">
        <f ca="1">IFERROR(__xludf.DUMMYFUNCTION("COUNTIF(FILTER('Alokasi Honor'!$H$2:$H993,'Alokasi Honor'!$H$2:$H993=""OB"",'Alokasi Honor'!$T$2:$T993=A306),""OB"")"),0)</f>
        <v>0</v>
      </c>
      <c r="K306" s="10">
        <f t="shared" ca="1" si="1"/>
        <v>1</v>
      </c>
      <c r="L306" s="70">
        <f t="array" aca="1" ref="L306" ca="1">IF(N306=1,INDEX('Batasan Honor'!$B$2:$B993,MATCH(CONCATENATE($F306,"-",$G306),'Batasan Honor'!$G$2:$G993,0)),"")</f>
        <v>5400000</v>
      </c>
      <c r="M306" s="10">
        <f t="shared" ca="1" si="4"/>
        <v>1</v>
      </c>
      <c r="N306" s="10">
        <f t="shared" ca="1" si="3"/>
        <v>1</v>
      </c>
    </row>
    <row r="307" spans="1:14" ht="12.5">
      <c r="A307" s="10" t="str">
        <f ca="1">IFERROR(__xludf.DUMMYFUNCTION("""COMPUTED_VALUE"""),"610422100131-2024-8-SURVEI-PPL")</f>
        <v>610422100131-2024-8-SURVEI-PPL</v>
      </c>
      <c r="B307" s="5" t="str">
        <f t="shared" ca="1" si="0"/>
        <v>610422100131-2024-8</v>
      </c>
      <c r="C307" s="5">
        <f ca="1">IFERROR(__xludf.DUMMYFUNCTION("IF(N307=1,SPLIT(A307,""-""),"""")"),610422100131)</f>
        <v>610422100131</v>
      </c>
      <c r="D307" s="10">
        <f ca="1">IFERROR(__xludf.DUMMYFUNCTION("""COMPUTED_VALUE"""),2024)</f>
        <v>2024</v>
      </c>
      <c r="E307" s="10">
        <f ca="1">IFERROR(__xludf.DUMMYFUNCTION("""COMPUTED_VALUE"""),8)</f>
        <v>8</v>
      </c>
      <c r="F307" s="5" t="str">
        <f ca="1">IFERROR(__xludf.DUMMYFUNCTION("""COMPUTED_VALUE"""),"SURVEI")</f>
        <v>SURVEI</v>
      </c>
      <c r="G307" s="5" t="str">
        <f ca="1">IFERROR(__xludf.DUMMYFUNCTION("""COMPUTED_VALUE"""),"PPL")</f>
        <v>PPL</v>
      </c>
      <c r="H307" s="5" t="str">
        <f t="array" aca="1" ref="H307" ca="1">IF(N307=1, INDEX('Database Mitra'!$C$2:$C993,MATCH($C307,'Database Mitra'!$AK$2:$AK993,0)),"")</f>
        <v>SYAMSUL</v>
      </c>
      <c r="I307" s="71">
        <f ca="1">IF(N307=1,SUMIFS('Alokasi Honor'!$M$2:$M993,'Alokasi Honor'!$T$2:$T993,A307),"")</f>
        <v>696000</v>
      </c>
      <c r="J307" s="10">
        <f ca="1">IFERROR(__xludf.DUMMYFUNCTION("COUNTIF(FILTER('Alokasi Honor'!$H$2:$H993,'Alokasi Honor'!$H$2:$H993=""OB"",'Alokasi Honor'!$T$2:$T993=A307),""OB"")"),0)</f>
        <v>0</v>
      </c>
      <c r="K307" s="10">
        <f t="shared" ca="1" si="1"/>
        <v>1</v>
      </c>
      <c r="L307" s="70">
        <f t="array" aca="1" ref="L307" ca="1">IF(N307=1,INDEX('Batasan Honor'!$B$2:$B993,MATCH(CONCATENATE($F307,"-",$G307),'Batasan Honor'!$G$2:$G993,0)),"")</f>
        <v>5400000</v>
      </c>
      <c r="M307" s="10">
        <f t="shared" ca="1" si="4"/>
        <v>1</v>
      </c>
      <c r="N307" s="10">
        <f t="shared" ca="1" si="3"/>
        <v>1</v>
      </c>
    </row>
    <row r="308" spans="1:14" ht="12.5">
      <c r="A308" s="10" t="str">
        <f ca="1">IFERROR(__xludf.DUMMYFUNCTION("""COMPUTED_VALUE"""),"610422100176-2024-8-SURVEI-PPL")</f>
        <v>610422100176-2024-8-SURVEI-PPL</v>
      </c>
      <c r="B308" s="5" t="str">
        <f t="shared" ca="1" si="0"/>
        <v>610422100176-2024-8</v>
      </c>
      <c r="C308" s="5">
        <f ca="1">IFERROR(__xludf.DUMMYFUNCTION("IF(N308=1,SPLIT(A308,""-""),"""")"),610422100176)</f>
        <v>610422100176</v>
      </c>
      <c r="D308" s="10">
        <f ca="1">IFERROR(__xludf.DUMMYFUNCTION("""COMPUTED_VALUE"""),2024)</f>
        <v>2024</v>
      </c>
      <c r="E308" s="10">
        <f ca="1">IFERROR(__xludf.DUMMYFUNCTION("""COMPUTED_VALUE"""),8)</f>
        <v>8</v>
      </c>
      <c r="F308" s="5" t="str">
        <f ca="1">IFERROR(__xludf.DUMMYFUNCTION("""COMPUTED_VALUE"""),"SURVEI")</f>
        <v>SURVEI</v>
      </c>
      <c r="G308" s="5" t="str">
        <f ca="1">IFERROR(__xludf.DUMMYFUNCTION("""COMPUTED_VALUE"""),"PPL")</f>
        <v>PPL</v>
      </c>
      <c r="H308" s="5" t="str">
        <f t="array" aca="1" ref="H308" ca="1">IF(N308=1, INDEX('Database Mitra'!$C$2:$C993,MATCH($C308,'Database Mitra'!$AK$2:$AK993,0)),"")</f>
        <v>Feri Firdaus</v>
      </c>
      <c r="I308" s="71">
        <f ca="1">IF(N308=1,SUMIFS('Alokasi Honor'!$M$2:$M993,'Alokasi Honor'!$T$2:$T993,A308),"")</f>
        <v>348000</v>
      </c>
      <c r="J308" s="10">
        <f ca="1">IFERROR(__xludf.DUMMYFUNCTION("COUNTIF(FILTER('Alokasi Honor'!$H$2:$H993,'Alokasi Honor'!$H$2:$H993=""OB"",'Alokasi Honor'!$T$2:$T993=A308),""OB"")"),0)</f>
        <v>0</v>
      </c>
      <c r="K308" s="10">
        <f t="shared" ca="1" si="1"/>
        <v>1</v>
      </c>
      <c r="L308" s="70">
        <f t="array" aca="1" ref="L308" ca="1">IF(N308=1,INDEX('Batasan Honor'!$B$2:$B993,MATCH(CONCATENATE($F308,"-",$G308),'Batasan Honor'!$G$2:$G993,0)),"")</f>
        <v>5400000</v>
      </c>
      <c r="M308" s="10">
        <f t="shared" ca="1" si="4"/>
        <v>1</v>
      </c>
      <c r="N308" s="10">
        <f t="shared" ca="1" si="3"/>
        <v>1</v>
      </c>
    </row>
    <row r="309" spans="1:14" ht="12.5">
      <c r="A309" s="10" t="str">
        <f ca="1">IFERROR(__xludf.DUMMYFUNCTION("""COMPUTED_VALUE"""),"610423110183-2024-8-SURVEI-PPL")</f>
        <v>610423110183-2024-8-SURVEI-PPL</v>
      </c>
      <c r="B309" s="5" t="str">
        <f t="shared" ca="1" si="0"/>
        <v>610423110183-2024-8</v>
      </c>
      <c r="C309" s="5">
        <f ca="1">IFERROR(__xludf.DUMMYFUNCTION("IF(N309=1,SPLIT(A309,""-""),"""")"),610423110183)</f>
        <v>610423110183</v>
      </c>
      <c r="D309" s="10">
        <f ca="1">IFERROR(__xludf.DUMMYFUNCTION("""COMPUTED_VALUE"""),2024)</f>
        <v>2024</v>
      </c>
      <c r="E309" s="10">
        <f ca="1">IFERROR(__xludf.DUMMYFUNCTION("""COMPUTED_VALUE"""),8)</f>
        <v>8</v>
      </c>
      <c r="F309" s="5" t="str">
        <f ca="1">IFERROR(__xludf.DUMMYFUNCTION("""COMPUTED_VALUE"""),"SURVEI")</f>
        <v>SURVEI</v>
      </c>
      <c r="G309" s="5" t="str">
        <f ca="1">IFERROR(__xludf.DUMMYFUNCTION("""COMPUTED_VALUE"""),"PPL")</f>
        <v>PPL</v>
      </c>
      <c r="H309" s="5" t="str">
        <f t="array" aca="1" ref="H309" ca="1">IF(N309=1, INDEX('Database Mitra'!$C$2:$C993,MATCH($C309,'Database Mitra'!$AK$2:$AK993,0)),"")</f>
        <v>azhar</v>
      </c>
      <c r="I309" s="71">
        <f ca="1">IF(N309=1,SUMIFS('Alokasi Honor'!$M$2:$M993,'Alokasi Honor'!$T$2:$T993,A309),"")</f>
        <v>1050000</v>
      </c>
      <c r="J309" s="10">
        <f ca="1">IFERROR(__xludf.DUMMYFUNCTION("COUNTIF(FILTER('Alokasi Honor'!$H$2:$H993,'Alokasi Honor'!$H$2:$H993=""OB"",'Alokasi Honor'!$T$2:$T993=A309),""OB"")"),0)</f>
        <v>0</v>
      </c>
      <c r="K309" s="10">
        <f t="shared" ca="1" si="1"/>
        <v>1</v>
      </c>
      <c r="L309" s="70">
        <f t="array" aca="1" ref="L309" ca="1">IF(N309=1,INDEX('Batasan Honor'!$B$2:$B993,MATCH(CONCATENATE($F309,"-",$G309),'Batasan Honor'!$G$2:$G993,0)),"")</f>
        <v>5400000</v>
      </c>
      <c r="M309" s="10">
        <f t="shared" ca="1" si="4"/>
        <v>1</v>
      </c>
      <c r="N309" s="10">
        <f t="shared" ca="1" si="3"/>
        <v>1</v>
      </c>
    </row>
    <row r="310" spans="1:14" ht="12.5">
      <c r="A310" s="10" t="str">
        <f ca="1">IFERROR(__xludf.DUMMYFUNCTION("""COMPUTED_VALUE"""),"610423040018-2024-8-SURVEI-PPL")</f>
        <v>610423040018-2024-8-SURVEI-PPL</v>
      </c>
      <c r="B310" s="5" t="str">
        <f t="shared" ca="1" si="0"/>
        <v>610423040018-2024-8</v>
      </c>
      <c r="C310" s="5">
        <f ca="1">IFERROR(__xludf.DUMMYFUNCTION("IF(N310=1,SPLIT(A310,""-""),"""")"),610423040018)</f>
        <v>610423040018</v>
      </c>
      <c r="D310" s="10">
        <f ca="1">IFERROR(__xludf.DUMMYFUNCTION("""COMPUTED_VALUE"""),2024)</f>
        <v>2024</v>
      </c>
      <c r="E310" s="10">
        <f ca="1">IFERROR(__xludf.DUMMYFUNCTION("""COMPUTED_VALUE"""),8)</f>
        <v>8</v>
      </c>
      <c r="F310" s="5" t="str">
        <f ca="1">IFERROR(__xludf.DUMMYFUNCTION("""COMPUTED_VALUE"""),"SURVEI")</f>
        <v>SURVEI</v>
      </c>
      <c r="G310" s="5" t="str">
        <f ca="1">IFERROR(__xludf.DUMMYFUNCTION("""COMPUTED_VALUE"""),"PPL")</f>
        <v>PPL</v>
      </c>
      <c r="H310" s="5" t="str">
        <f t="array" aca="1" ref="H310" ca="1">IF(N310=1, INDEX('Database Mitra'!$C$2:$C993,MATCH($C310,'Database Mitra'!$AK$2:$AK993,0)),"")</f>
        <v>Handoko Tuah Sabarman Sipayung</v>
      </c>
      <c r="I310" s="71">
        <f ca="1">IF(N310=1,SUMIFS('Alokasi Honor'!$M$2:$M993,'Alokasi Honor'!$T$2:$T993,A310),"")</f>
        <v>854000</v>
      </c>
      <c r="J310" s="10">
        <f ca="1">IFERROR(__xludf.DUMMYFUNCTION("COUNTIF(FILTER('Alokasi Honor'!$H$2:$H993,'Alokasi Honor'!$H$2:$H993=""OB"",'Alokasi Honor'!$T$2:$T993=A310),""OB"")"),0)</f>
        <v>0</v>
      </c>
      <c r="K310" s="10">
        <f t="shared" ca="1" si="1"/>
        <v>1</v>
      </c>
      <c r="L310" s="70">
        <f t="array" aca="1" ref="L310" ca="1">IF(N310=1,INDEX('Batasan Honor'!$B$2:$B993,MATCH(CONCATENATE($F310,"-",$G310),'Batasan Honor'!$G$2:$G993,0)),"")</f>
        <v>5400000</v>
      </c>
      <c r="M310" s="10">
        <f t="shared" ca="1" si="4"/>
        <v>1</v>
      </c>
      <c r="N310" s="10">
        <f t="shared" ca="1" si="3"/>
        <v>1</v>
      </c>
    </row>
    <row r="311" spans="1:14" ht="12.5">
      <c r="A311" s="10" t="str">
        <f ca="1">IFERROR(__xludf.DUMMYFUNCTION("""COMPUTED_VALUE"""),"610422040058-2024-8-SURVEI-PPL")</f>
        <v>610422040058-2024-8-SURVEI-PPL</v>
      </c>
      <c r="B311" s="5" t="str">
        <f t="shared" ca="1" si="0"/>
        <v>610422040058-2024-8</v>
      </c>
      <c r="C311" s="5">
        <f ca="1">IFERROR(__xludf.DUMMYFUNCTION("IF(N311=1,SPLIT(A311,""-""),"""")"),610422040058)</f>
        <v>610422040058</v>
      </c>
      <c r="D311" s="10">
        <f ca="1">IFERROR(__xludf.DUMMYFUNCTION("""COMPUTED_VALUE"""),2024)</f>
        <v>2024</v>
      </c>
      <c r="E311" s="10">
        <f ca="1">IFERROR(__xludf.DUMMYFUNCTION("""COMPUTED_VALUE"""),8)</f>
        <v>8</v>
      </c>
      <c r="F311" s="5" t="str">
        <f ca="1">IFERROR(__xludf.DUMMYFUNCTION("""COMPUTED_VALUE"""),"SURVEI")</f>
        <v>SURVEI</v>
      </c>
      <c r="G311" s="5" t="str">
        <f ca="1">IFERROR(__xludf.DUMMYFUNCTION("""COMPUTED_VALUE"""),"PPL")</f>
        <v>PPL</v>
      </c>
      <c r="H311" s="5" t="str">
        <f t="array" aca="1" ref="H311" ca="1">IF(N311=1, INDEX('Database Mitra'!$C$2:$C993,MATCH($C311,'Database Mitra'!$AK$2:$AK993,0)),"")</f>
        <v>Jamaluddin, SP</v>
      </c>
      <c r="I311" s="71">
        <f ca="1">IF(N311=1,SUMIFS('Alokasi Honor'!$M$2:$M993,'Alokasi Honor'!$T$2:$T993,A311),"")</f>
        <v>3395000</v>
      </c>
      <c r="J311" s="10">
        <f ca="1">IFERROR(__xludf.DUMMYFUNCTION("COUNTIF(FILTER('Alokasi Honor'!$H$2:$H993,'Alokasi Honor'!$H$2:$H993=""OB"",'Alokasi Honor'!$T$2:$T993=A311),""OB"")"),0)</f>
        <v>0</v>
      </c>
      <c r="K311" s="10">
        <f t="shared" ca="1" si="1"/>
        <v>1</v>
      </c>
      <c r="L311" s="70">
        <f t="array" aca="1" ref="L311" ca="1">IF(N311=1,INDEX('Batasan Honor'!$B$2:$B993,MATCH(CONCATENATE($F311,"-",$G311),'Batasan Honor'!$G$2:$G993,0)),"")</f>
        <v>5400000</v>
      </c>
      <c r="M311" s="10">
        <f t="shared" ca="1" si="4"/>
        <v>1</v>
      </c>
      <c r="N311" s="10">
        <f t="shared" ca="1" si="3"/>
        <v>1</v>
      </c>
    </row>
    <row r="312" spans="1:14" ht="12.5">
      <c r="A312" s="10" t="str">
        <f ca="1">IFERROR(__xludf.DUMMYFUNCTION("""COMPUTED_VALUE"""),"610422030001-2024-8-SURVEI-PPL")</f>
        <v>610422030001-2024-8-SURVEI-PPL</v>
      </c>
      <c r="B312" s="5" t="str">
        <f t="shared" ca="1" si="0"/>
        <v>610422030001-2024-8</v>
      </c>
      <c r="C312" s="5">
        <f ca="1">IFERROR(__xludf.DUMMYFUNCTION("IF(N312=1,SPLIT(A312,""-""),"""")"),610422030001)</f>
        <v>610422030001</v>
      </c>
      <c r="D312" s="10">
        <f ca="1">IFERROR(__xludf.DUMMYFUNCTION("""COMPUTED_VALUE"""),2024)</f>
        <v>2024</v>
      </c>
      <c r="E312" s="10">
        <f ca="1">IFERROR(__xludf.DUMMYFUNCTION("""COMPUTED_VALUE"""),8)</f>
        <v>8</v>
      </c>
      <c r="F312" s="5" t="str">
        <f ca="1">IFERROR(__xludf.DUMMYFUNCTION("""COMPUTED_VALUE"""),"SURVEI")</f>
        <v>SURVEI</v>
      </c>
      <c r="G312" s="5" t="str">
        <f ca="1">IFERROR(__xludf.DUMMYFUNCTION("""COMPUTED_VALUE"""),"PPL")</f>
        <v>PPL</v>
      </c>
      <c r="H312" s="5" t="str">
        <f t="array" aca="1" ref="H312" ca="1">IF(N312=1, INDEX('Database Mitra'!$C$2:$C993,MATCH($C312,'Database Mitra'!$AK$2:$AK993,0)),"")</f>
        <v>Pitra,SP</v>
      </c>
      <c r="I312" s="71">
        <f ca="1">IF(N312=1,SUMIFS('Alokasi Honor'!$M$2:$M993,'Alokasi Honor'!$T$2:$T993,A312),"")</f>
        <v>2629000</v>
      </c>
      <c r="J312" s="10">
        <f ca="1">IFERROR(__xludf.DUMMYFUNCTION("COUNTIF(FILTER('Alokasi Honor'!$H$2:$H993,'Alokasi Honor'!$H$2:$H993=""OB"",'Alokasi Honor'!$T$2:$T993=A312),""OB"")"),0)</f>
        <v>0</v>
      </c>
      <c r="K312" s="10">
        <f t="shared" ca="1" si="1"/>
        <v>1</v>
      </c>
      <c r="L312" s="70">
        <f t="array" aca="1" ref="L312" ca="1">IF(N312=1,INDEX('Batasan Honor'!$B$2:$B993,MATCH(CONCATENATE($F312,"-",$G312),'Batasan Honor'!$G$2:$G993,0)),"")</f>
        <v>5400000</v>
      </c>
      <c r="M312" s="10">
        <f t="shared" ca="1" si="4"/>
        <v>1</v>
      </c>
      <c r="N312" s="10">
        <f t="shared" ca="1" si="3"/>
        <v>1</v>
      </c>
    </row>
    <row r="313" spans="1:14" ht="12.5">
      <c r="A313" s="10" t="str">
        <f ca="1">IFERROR(__xludf.DUMMYFUNCTION("""COMPUTED_VALUE"""),"610422100086-2024-8-SURVEI-PPL")</f>
        <v>610422100086-2024-8-SURVEI-PPL</v>
      </c>
      <c r="B313" s="5" t="str">
        <f t="shared" ca="1" si="0"/>
        <v>610422100086-2024-8</v>
      </c>
      <c r="C313" s="5">
        <f ca="1">IFERROR(__xludf.DUMMYFUNCTION("IF(N313=1,SPLIT(A313,""-""),"""")"),610422100086)</f>
        <v>610422100086</v>
      </c>
      <c r="D313" s="10">
        <f ca="1">IFERROR(__xludf.DUMMYFUNCTION("""COMPUTED_VALUE"""),2024)</f>
        <v>2024</v>
      </c>
      <c r="E313" s="10">
        <f ca="1">IFERROR(__xludf.DUMMYFUNCTION("""COMPUTED_VALUE"""),8)</f>
        <v>8</v>
      </c>
      <c r="F313" s="5" t="str">
        <f ca="1">IFERROR(__xludf.DUMMYFUNCTION("""COMPUTED_VALUE"""),"SURVEI")</f>
        <v>SURVEI</v>
      </c>
      <c r="G313" s="5" t="str">
        <f ca="1">IFERROR(__xludf.DUMMYFUNCTION("""COMPUTED_VALUE"""),"PPL")</f>
        <v>PPL</v>
      </c>
      <c r="H313" s="5" t="str">
        <f t="array" aca="1" ref="H313" ca="1">IF(N313=1, INDEX('Database Mitra'!$C$2:$C993,MATCH($C313,'Database Mitra'!$AK$2:$AK993,0)),"")</f>
        <v>Imamul akhyar</v>
      </c>
      <c r="I313" s="71">
        <f ca="1">IF(N313=1,SUMIFS('Alokasi Honor'!$M$2:$M993,'Alokasi Honor'!$T$2:$T993,A313),"")</f>
        <v>1980000</v>
      </c>
      <c r="J313" s="10">
        <f ca="1">IFERROR(__xludf.DUMMYFUNCTION("COUNTIF(FILTER('Alokasi Honor'!$H$2:$H993,'Alokasi Honor'!$H$2:$H993=""OB"",'Alokasi Honor'!$T$2:$T993=A313),""OB"")"),0)</f>
        <v>0</v>
      </c>
      <c r="K313" s="10">
        <f t="shared" ca="1" si="1"/>
        <v>1</v>
      </c>
      <c r="L313" s="70">
        <f t="array" aca="1" ref="L313" ca="1">IF(N313=1,INDEX('Batasan Honor'!$B$2:$B993,MATCH(CONCATENATE($F313,"-",$G313),'Batasan Honor'!$G$2:$G993,0)),"")</f>
        <v>5400000</v>
      </c>
      <c r="M313" s="10">
        <f t="shared" ca="1" si="4"/>
        <v>1</v>
      </c>
      <c r="N313" s="10">
        <f t="shared" ca="1" si="3"/>
        <v>1</v>
      </c>
    </row>
    <row r="314" spans="1:14" ht="12.5">
      <c r="A314" s="10" t="str">
        <f ca="1">IFERROR(__xludf.DUMMYFUNCTION("""COMPUTED_VALUE"""),"610422040035-2024-8-SURVEI-PPL")</f>
        <v>610422040035-2024-8-SURVEI-PPL</v>
      </c>
      <c r="B314" s="5" t="str">
        <f t="shared" ca="1" si="0"/>
        <v>610422040035-2024-8</v>
      </c>
      <c r="C314" s="5">
        <f ca="1">IFERROR(__xludf.DUMMYFUNCTION("IF(N314=1,SPLIT(A314,""-""),"""")"),610422040035)</f>
        <v>610422040035</v>
      </c>
      <c r="D314" s="10">
        <f ca="1">IFERROR(__xludf.DUMMYFUNCTION("""COMPUTED_VALUE"""),2024)</f>
        <v>2024</v>
      </c>
      <c r="E314" s="10">
        <f ca="1">IFERROR(__xludf.DUMMYFUNCTION("""COMPUTED_VALUE"""),8)</f>
        <v>8</v>
      </c>
      <c r="F314" s="5" t="str">
        <f ca="1">IFERROR(__xludf.DUMMYFUNCTION("""COMPUTED_VALUE"""),"SURVEI")</f>
        <v>SURVEI</v>
      </c>
      <c r="G314" s="5" t="str">
        <f ca="1">IFERROR(__xludf.DUMMYFUNCTION("""COMPUTED_VALUE"""),"PPL")</f>
        <v>PPL</v>
      </c>
      <c r="H314" s="5" t="str">
        <f t="array" aca="1" ref="H314" ca="1">IF(N314=1, INDEX('Database Mitra'!$C$2:$C993,MATCH($C314,'Database Mitra'!$AK$2:$AK993,0)),"")</f>
        <v>Rahmayani</v>
      </c>
      <c r="I314" s="71">
        <f ca="1">IF(N314=1,SUMIFS('Alokasi Honor'!$M$2:$M993,'Alokasi Honor'!$T$2:$T993,A314),"")</f>
        <v>1980000</v>
      </c>
      <c r="J314" s="10">
        <f ca="1">IFERROR(__xludf.DUMMYFUNCTION("COUNTIF(FILTER('Alokasi Honor'!$H$2:$H993,'Alokasi Honor'!$H$2:$H993=""OB"",'Alokasi Honor'!$T$2:$T993=A314),""OB"")"),0)</f>
        <v>0</v>
      </c>
      <c r="K314" s="10">
        <f t="shared" ca="1" si="1"/>
        <v>1</v>
      </c>
      <c r="L314" s="70">
        <f t="array" aca="1" ref="L314" ca="1">IF(N314=1,INDEX('Batasan Honor'!$B$2:$B993,MATCH(CONCATENATE($F314,"-",$G314),'Batasan Honor'!$G$2:$G993,0)),"")</f>
        <v>5400000</v>
      </c>
      <c r="M314" s="10">
        <f t="shared" ca="1" si="4"/>
        <v>1</v>
      </c>
      <c r="N314" s="10">
        <f t="shared" ca="1" si="3"/>
        <v>1</v>
      </c>
    </row>
    <row r="315" spans="1:14" ht="12.5">
      <c r="A315" s="10" t="str">
        <f ca="1">IFERROR(__xludf.DUMMYFUNCTION("""COMPUTED_VALUE"""),"610422100055-2024-8-SURVEI-PPL")</f>
        <v>610422100055-2024-8-SURVEI-PPL</v>
      </c>
      <c r="B315" s="5" t="str">
        <f t="shared" ca="1" si="0"/>
        <v>610422100055-2024-8</v>
      </c>
      <c r="C315" s="5">
        <f ca="1">IFERROR(__xludf.DUMMYFUNCTION("IF(N315=1,SPLIT(A315,""-""),"""")"),610422100055)</f>
        <v>610422100055</v>
      </c>
      <c r="D315" s="10">
        <f ca="1">IFERROR(__xludf.DUMMYFUNCTION("""COMPUTED_VALUE"""),2024)</f>
        <v>2024</v>
      </c>
      <c r="E315" s="10">
        <f ca="1">IFERROR(__xludf.DUMMYFUNCTION("""COMPUTED_VALUE"""),8)</f>
        <v>8</v>
      </c>
      <c r="F315" s="5" t="str">
        <f ca="1">IFERROR(__xludf.DUMMYFUNCTION("""COMPUTED_VALUE"""),"SURVEI")</f>
        <v>SURVEI</v>
      </c>
      <c r="G315" s="5" t="str">
        <f ca="1">IFERROR(__xludf.DUMMYFUNCTION("""COMPUTED_VALUE"""),"PPL")</f>
        <v>PPL</v>
      </c>
      <c r="H315" s="5" t="str">
        <f t="array" aca="1" ref="H315" ca="1">IF(N315=1, INDEX('Database Mitra'!$C$2:$C993,MATCH($C315,'Database Mitra'!$AK$2:$AK993,0)),"")</f>
        <v>Vika Rizkiani</v>
      </c>
      <c r="I315" s="71">
        <f ca="1">IF(N315=1,SUMIFS('Alokasi Honor'!$M$2:$M993,'Alokasi Honor'!$T$2:$T993,A315),"")</f>
        <v>1980000</v>
      </c>
      <c r="J315" s="10">
        <f ca="1">IFERROR(__xludf.DUMMYFUNCTION("COUNTIF(FILTER('Alokasi Honor'!$H$2:$H993,'Alokasi Honor'!$H$2:$H993=""OB"",'Alokasi Honor'!$T$2:$T993=A315),""OB"")"),0)</f>
        <v>0</v>
      </c>
      <c r="K315" s="10">
        <f t="shared" ca="1" si="1"/>
        <v>1</v>
      </c>
      <c r="L315" s="70">
        <f t="array" aca="1" ref="L315" ca="1">IF(N315=1,INDEX('Batasan Honor'!$B$2:$B993,MATCH(CONCATENATE($F315,"-",$G315),'Batasan Honor'!$G$2:$G993,0)),"")</f>
        <v>5400000</v>
      </c>
      <c r="M315" s="10">
        <f t="shared" ca="1" si="4"/>
        <v>1</v>
      </c>
      <c r="N315" s="10">
        <f t="shared" ca="1" si="3"/>
        <v>1</v>
      </c>
    </row>
    <row r="316" spans="1:14" ht="12.5">
      <c r="A316" s="10" t="str">
        <f ca="1">IFERROR(__xludf.DUMMYFUNCTION("""COMPUTED_VALUE"""),"610422040052-2024-8-SURVEI-PPL")</f>
        <v>610422040052-2024-8-SURVEI-PPL</v>
      </c>
      <c r="B316" s="5" t="str">
        <f t="shared" ca="1" si="0"/>
        <v>610422040052-2024-8</v>
      </c>
      <c r="C316" s="5">
        <f ca="1">IFERROR(__xludf.DUMMYFUNCTION("IF(N316=1,SPLIT(A316,""-""),"""")"),610422040052)</f>
        <v>610422040052</v>
      </c>
      <c r="D316" s="10">
        <f ca="1">IFERROR(__xludf.DUMMYFUNCTION("""COMPUTED_VALUE"""),2024)</f>
        <v>2024</v>
      </c>
      <c r="E316" s="10">
        <f ca="1">IFERROR(__xludf.DUMMYFUNCTION("""COMPUTED_VALUE"""),8)</f>
        <v>8</v>
      </c>
      <c r="F316" s="5" t="str">
        <f ca="1">IFERROR(__xludf.DUMMYFUNCTION("""COMPUTED_VALUE"""),"SURVEI")</f>
        <v>SURVEI</v>
      </c>
      <c r="G316" s="5" t="str">
        <f ca="1">IFERROR(__xludf.DUMMYFUNCTION("""COMPUTED_VALUE"""),"PPL")</f>
        <v>PPL</v>
      </c>
      <c r="H316" s="5" t="str">
        <f t="array" aca="1" ref="H316" ca="1">IF(N316=1, INDEX('Database Mitra'!$C$2:$C993,MATCH($C316,'Database Mitra'!$AK$2:$AK993,0)),"")</f>
        <v>Yusimianto</v>
      </c>
      <c r="I316" s="71">
        <f ca="1">IF(N316=1,SUMIFS('Alokasi Honor'!$M$2:$M993,'Alokasi Honor'!$T$2:$T993,A316),"")</f>
        <v>1320000</v>
      </c>
      <c r="J316" s="10">
        <f ca="1">IFERROR(__xludf.DUMMYFUNCTION("COUNTIF(FILTER('Alokasi Honor'!$H$2:$H993,'Alokasi Honor'!$H$2:$H993=""OB"",'Alokasi Honor'!$T$2:$T993=A316),""OB"")"),0)</f>
        <v>0</v>
      </c>
      <c r="K316" s="10">
        <f t="shared" ca="1" si="1"/>
        <v>1</v>
      </c>
      <c r="L316" s="70">
        <f t="array" aca="1" ref="L316" ca="1">IF(N316=1,INDEX('Batasan Honor'!$B$2:$B993,MATCH(CONCATENATE($F316,"-",$G316),'Batasan Honor'!$G$2:$G993,0)),"")</f>
        <v>5400000</v>
      </c>
      <c r="M316" s="10">
        <f t="shared" ca="1" si="4"/>
        <v>1</v>
      </c>
      <c r="N316" s="10">
        <f t="shared" ca="1" si="3"/>
        <v>1</v>
      </c>
    </row>
    <row r="317" spans="1:14" ht="12.5">
      <c r="A317" s="10" t="str">
        <f ca="1">IFERROR(__xludf.DUMMYFUNCTION("""COMPUTED_VALUE"""),"610422100099-2024-8-SURVEI-PPL")</f>
        <v>610422100099-2024-8-SURVEI-PPL</v>
      </c>
      <c r="B317" s="5" t="str">
        <f t="shared" ca="1" si="0"/>
        <v>610422100099-2024-8</v>
      </c>
      <c r="C317" s="5">
        <f ca="1">IFERROR(__xludf.DUMMYFUNCTION("IF(N317=1,SPLIT(A317,""-""),"""")"),610422100099)</f>
        <v>610422100099</v>
      </c>
      <c r="D317" s="10">
        <f ca="1">IFERROR(__xludf.DUMMYFUNCTION("""COMPUTED_VALUE"""),2024)</f>
        <v>2024</v>
      </c>
      <c r="E317" s="10">
        <f ca="1">IFERROR(__xludf.DUMMYFUNCTION("""COMPUTED_VALUE"""),8)</f>
        <v>8</v>
      </c>
      <c r="F317" s="5" t="str">
        <f ca="1">IFERROR(__xludf.DUMMYFUNCTION("""COMPUTED_VALUE"""),"SURVEI")</f>
        <v>SURVEI</v>
      </c>
      <c r="G317" s="5" t="str">
        <f ca="1">IFERROR(__xludf.DUMMYFUNCTION("""COMPUTED_VALUE"""),"PPL")</f>
        <v>PPL</v>
      </c>
      <c r="H317" s="5" t="str">
        <f t="array" aca="1" ref="H317" ca="1">IF(N317=1, INDEX('Database Mitra'!$C$2:$C993,MATCH($C317,'Database Mitra'!$AK$2:$AK993,0)),"")</f>
        <v>Difa faradifa</v>
      </c>
      <c r="I317" s="71">
        <f ca="1">IF(N317=1,SUMIFS('Alokasi Honor'!$M$2:$M993,'Alokasi Honor'!$T$2:$T993,A317),"")</f>
        <v>2046000</v>
      </c>
      <c r="J317" s="10">
        <f ca="1">IFERROR(__xludf.DUMMYFUNCTION("COUNTIF(FILTER('Alokasi Honor'!$H$2:$H993,'Alokasi Honor'!$H$2:$H993=""OB"",'Alokasi Honor'!$T$2:$T993=A317),""OB"")"),0)</f>
        <v>0</v>
      </c>
      <c r="K317" s="10">
        <f t="shared" ca="1" si="1"/>
        <v>1</v>
      </c>
      <c r="L317" s="70">
        <f t="array" aca="1" ref="L317" ca="1">IF(N317=1,INDEX('Batasan Honor'!$B$2:$B993,MATCH(CONCATENATE($F317,"-",$G317),'Batasan Honor'!$G$2:$G993,0)),"")</f>
        <v>5400000</v>
      </c>
      <c r="M317" s="10">
        <f t="shared" ca="1" si="4"/>
        <v>1</v>
      </c>
      <c r="N317" s="10">
        <f t="shared" ca="1" si="3"/>
        <v>1</v>
      </c>
    </row>
    <row r="318" spans="1:14" ht="12.5">
      <c r="A318" s="10" t="str">
        <f ca="1">IFERROR(__xludf.DUMMYFUNCTION("""COMPUTED_VALUE"""),"610422020045-2024-8-SURVEI-PPL")</f>
        <v>610422020045-2024-8-SURVEI-PPL</v>
      </c>
      <c r="B318" s="5" t="str">
        <f t="shared" ca="1" si="0"/>
        <v>610422020045-2024-8</v>
      </c>
      <c r="C318" s="5">
        <f ca="1">IFERROR(__xludf.DUMMYFUNCTION("IF(N318=1,SPLIT(A318,""-""),"""")"),610422020045)</f>
        <v>610422020045</v>
      </c>
      <c r="D318" s="10">
        <f ca="1">IFERROR(__xludf.DUMMYFUNCTION("""COMPUTED_VALUE"""),2024)</f>
        <v>2024</v>
      </c>
      <c r="E318" s="10">
        <f ca="1">IFERROR(__xludf.DUMMYFUNCTION("""COMPUTED_VALUE"""),8)</f>
        <v>8</v>
      </c>
      <c r="F318" s="5" t="str">
        <f ca="1">IFERROR(__xludf.DUMMYFUNCTION("""COMPUTED_VALUE"""),"SURVEI")</f>
        <v>SURVEI</v>
      </c>
      <c r="G318" s="5" t="str">
        <f ca="1">IFERROR(__xludf.DUMMYFUNCTION("""COMPUTED_VALUE"""),"PPL")</f>
        <v>PPL</v>
      </c>
      <c r="H318" s="5" t="str">
        <f t="array" aca="1" ref="H318" ca="1">IF(N318=1, INDEX('Database Mitra'!$C$2:$C993,MATCH($C318,'Database Mitra'!$AK$2:$AK993,0)),"")</f>
        <v>Herdinatara Febria</v>
      </c>
      <c r="I318" s="71">
        <f ca="1">IF(N318=1,SUMIFS('Alokasi Honor'!$M$2:$M993,'Alokasi Honor'!$T$2:$T993,A318),"")</f>
        <v>1914000</v>
      </c>
      <c r="J318" s="10">
        <f ca="1">IFERROR(__xludf.DUMMYFUNCTION("COUNTIF(FILTER('Alokasi Honor'!$H$2:$H993,'Alokasi Honor'!$H$2:$H993=""OB"",'Alokasi Honor'!$T$2:$T993=A318),""OB"")"),0)</f>
        <v>0</v>
      </c>
      <c r="K318" s="10">
        <f t="shared" ca="1" si="1"/>
        <v>1</v>
      </c>
      <c r="L318" s="70">
        <f t="array" aca="1" ref="L318" ca="1">IF(N318=1,INDEX('Batasan Honor'!$B$2:$B993,MATCH(CONCATENATE($F318,"-",$G318),'Batasan Honor'!$G$2:$G993,0)),"")</f>
        <v>5400000</v>
      </c>
      <c r="M318" s="10">
        <f t="shared" ca="1" si="4"/>
        <v>1</v>
      </c>
      <c r="N318" s="10">
        <f t="shared" ca="1" si="3"/>
        <v>1</v>
      </c>
    </row>
    <row r="319" spans="1:14" ht="12.5">
      <c r="A319" s="10" t="str">
        <f ca="1">IFERROR(__xludf.DUMMYFUNCTION("""COMPUTED_VALUE"""),"610423040014-2024-8-SURVEI-PPL")</f>
        <v>610423040014-2024-8-SURVEI-PPL</v>
      </c>
      <c r="B319" s="5" t="str">
        <f t="shared" ca="1" si="0"/>
        <v>610423040014-2024-8</v>
      </c>
      <c r="C319" s="5">
        <f ca="1">IFERROR(__xludf.DUMMYFUNCTION("IF(N319=1,SPLIT(A319,""-""),"""")"),610423040014)</f>
        <v>610423040014</v>
      </c>
      <c r="D319" s="10">
        <f ca="1">IFERROR(__xludf.DUMMYFUNCTION("""COMPUTED_VALUE"""),2024)</f>
        <v>2024</v>
      </c>
      <c r="E319" s="10">
        <f ca="1">IFERROR(__xludf.DUMMYFUNCTION("""COMPUTED_VALUE"""),8)</f>
        <v>8</v>
      </c>
      <c r="F319" s="5" t="str">
        <f ca="1">IFERROR(__xludf.DUMMYFUNCTION("""COMPUTED_VALUE"""),"SURVEI")</f>
        <v>SURVEI</v>
      </c>
      <c r="G319" s="5" t="str">
        <f ca="1">IFERROR(__xludf.DUMMYFUNCTION("""COMPUTED_VALUE"""),"PPL")</f>
        <v>PPL</v>
      </c>
      <c r="H319" s="5" t="str">
        <f t="array" aca="1" ref="H319" ca="1">IF(N319=1, INDEX('Database Mitra'!$C$2:$C993,MATCH($C319,'Database Mitra'!$AK$2:$AK993,0)),"")</f>
        <v>Fransiska romana</v>
      </c>
      <c r="I319" s="71">
        <f ca="1">IF(N319=1,SUMIFS('Alokasi Honor'!$M$2:$M993,'Alokasi Honor'!$T$2:$T993,A319),"")</f>
        <v>1386000</v>
      </c>
      <c r="J319" s="10">
        <f ca="1">IFERROR(__xludf.DUMMYFUNCTION("COUNTIF(FILTER('Alokasi Honor'!$H$2:$H993,'Alokasi Honor'!$H$2:$H993=""OB"",'Alokasi Honor'!$T$2:$T993=A319),""OB"")"),0)</f>
        <v>0</v>
      </c>
      <c r="K319" s="10">
        <f t="shared" ca="1" si="1"/>
        <v>1</v>
      </c>
      <c r="L319" s="70">
        <f t="array" aca="1" ref="L319" ca="1">IF(N319=1,INDEX('Batasan Honor'!$B$2:$B993,MATCH(CONCATENATE($F319,"-",$G319),'Batasan Honor'!$G$2:$G993,0)),"")</f>
        <v>5400000</v>
      </c>
      <c r="M319" s="10">
        <f t="shared" ca="1" si="4"/>
        <v>1</v>
      </c>
      <c r="N319" s="10">
        <f t="shared" ca="1" si="3"/>
        <v>1</v>
      </c>
    </row>
    <row r="320" spans="1:14" ht="12.5">
      <c r="A320" s="10" t="str">
        <f ca="1">IFERROR(__xludf.DUMMYFUNCTION("""COMPUTED_VALUE"""),"610422020040-2024-8-SURVEI-PPL")</f>
        <v>610422020040-2024-8-SURVEI-PPL</v>
      </c>
      <c r="B320" s="5" t="str">
        <f t="shared" ca="1" si="0"/>
        <v>610422020040-2024-8</v>
      </c>
      <c r="C320" s="5">
        <f ca="1">IFERROR(__xludf.DUMMYFUNCTION("IF(N320=1,SPLIT(A320,""-""),"""")"),610422020040)</f>
        <v>610422020040</v>
      </c>
      <c r="D320" s="10">
        <f ca="1">IFERROR(__xludf.DUMMYFUNCTION("""COMPUTED_VALUE"""),2024)</f>
        <v>2024</v>
      </c>
      <c r="E320" s="10">
        <f ca="1">IFERROR(__xludf.DUMMYFUNCTION("""COMPUTED_VALUE"""),8)</f>
        <v>8</v>
      </c>
      <c r="F320" s="5" t="str">
        <f ca="1">IFERROR(__xludf.DUMMYFUNCTION("""COMPUTED_VALUE"""),"SURVEI")</f>
        <v>SURVEI</v>
      </c>
      <c r="G320" s="5" t="str">
        <f ca="1">IFERROR(__xludf.DUMMYFUNCTION("""COMPUTED_VALUE"""),"PPL")</f>
        <v>PPL</v>
      </c>
      <c r="H320" s="5" t="str">
        <f t="array" aca="1" ref="H320" ca="1">IF(N320=1, INDEX('Database Mitra'!$C$2:$C993,MATCH($C320,'Database Mitra'!$AK$2:$AK993,0)),"")</f>
        <v>Shofyansyah</v>
      </c>
      <c r="I320" s="71">
        <f ca="1">IF(N320=1,SUMIFS('Alokasi Honor'!$M$2:$M993,'Alokasi Honor'!$T$2:$T993,A320),"")</f>
        <v>3201000</v>
      </c>
      <c r="J320" s="10">
        <f ca="1">IFERROR(__xludf.DUMMYFUNCTION("COUNTIF(FILTER('Alokasi Honor'!$H$2:$H993,'Alokasi Honor'!$H$2:$H993=""OB"",'Alokasi Honor'!$T$2:$T993=A320),""OB"")"),0)</f>
        <v>0</v>
      </c>
      <c r="K320" s="10">
        <f t="shared" ca="1" si="1"/>
        <v>1</v>
      </c>
      <c r="L320" s="70">
        <f t="array" aca="1" ref="L320" ca="1">IF(N320=1,INDEX('Batasan Honor'!$B$2:$B993,MATCH(CONCATENATE($F320,"-",$G320),'Batasan Honor'!$G$2:$G993,0)),"")</f>
        <v>5400000</v>
      </c>
      <c r="M320" s="10">
        <f t="shared" ca="1" si="4"/>
        <v>1</v>
      </c>
      <c r="N320" s="10">
        <f t="shared" ca="1" si="3"/>
        <v>1</v>
      </c>
    </row>
    <row r="321" spans="1:14" ht="12.5">
      <c r="A321" s="10" t="str">
        <f ca="1">IFERROR(__xludf.DUMMYFUNCTION("""COMPUTED_VALUE"""),"610422020032-2024-8-SURVEI-PPL")</f>
        <v>610422020032-2024-8-SURVEI-PPL</v>
      </c>
      <c r="B321" s="5" t="str">
        <f t="shared" ca="1" si="0"/>
        <v>610422020032-2024-8</v>
      </c>
      <c r="C321" s="5">
        <f ca="1">IFERROR(__xludf.DUMMYFUNCTION("IF(N321=1,SPLIT(A321,""-""),"""")"),610422020032)</f>
        <v>610422020032</v>
      </c>
      <c r="D321" s="10">
        <f ca="1">IFERROR(__xludf.DUMMYFUNCTION("""COMPUTED_VALUE"""),2024)</f>
        <v>2024</v>
      </c>
      <c r="E321" s="10">
        <f ca="1">IFERROR(__xludf.DUMMYFUNCTION("""COMPUTED_VALUE"""),8)</f>
        <v>8</v>
      </c>
      <c r="F321" s="5" t="str">
        <f ca="1">IFERROR(__xludf.DUMMYFUNCTION("""COMPUTED_VALUE"""),"SURVEI")</f>
        <v>SURVEI</v>
      </c>
      <c r="G321" s="5" t="str">
        <f ca="1">IFERROR(__xludf.DUMMYFUNCTION("""COMPUTED_VALUE"""),"PPL")</f>
        <v>PPL</v>
      </c>
      <c r="H321" s="5" t="str">
        <f t="array" aca="1" ref="H321" ca="1">IF(N321=1, INDEX('Database Mitra'!$C$2:$C993,MATCH($C321,'Database Mitra'!$AK$2:$AK993,0)),"")</f>
        <v>Lilis Suryani</v>
      </c>
      <c r="I321" s="71">
        <f ca="1">IF(N321=1,SUMIFS('Alokasi Honor'!$M$2:$M993,'Alokasi Honor'!$T$2:$T993,A321),"")</f>
        <v>1980000</v>
      </c>
      <c r="J321" s="10">
        <f ca="1">IFERROR(__xludf.DUMMYFUNCTION("COUNTIF(FILTER('Alokasi Honor'!$H$2:$H993,'Alokasi Honor'!$H$2:$H993=""OB"",'Alokasi Honor'!$T$2:$T993=A321),""OB"")"),0)</f>
        <v>0</v>
      </c>
      <c r="K321" s="10">
        <f t="shared" ca="1" si="1"/>
        <v>1</v>
      </c>
      <c r="L321" s="70">
        <f t="array" aca="1" ref="L321" ca="1">IF(N321=1,INDEX('Batasan Honor'!$B$2:$B993,MATCH(CONCATENATE($F321,"-",$G321),'Batasan Honor'!$G$2:$G993,0)),"")</f>
        <v>5400000</v>
      </c>
      <c r="M321" s="10">
        <f t="shared" ca="1" si="4"/>
        <v>1</v>
      </c>
      <c r="N321" s="10">
        <f t="shared" ca="1" si="3"/>
        <v>1</v>
      </c>
    </row>
    <row r="322" spans="1:14" ht="12.5">
      <c r="A322" s="10" t="str">
        <f ca="1">IFERROR(__xludf.DUMMYFUNCTION("""COMPUTED_VALUE"""),"610422040034-2024-8-SURVEI-PPL")</f>
        <v>610422040034-2024-8-SURVEI-PPL</v>
      </c>
      <c r="B322" s="5" t="str">
        <f t="shared" ca="1" si="0"/>
        <v>610422040034-2024-8</v>
      </c>
      <c r="C322" s="5">
        <f ca="1">IFERROR(__xludf.DUMMYFUNCTION("IF(N322=1,SPLIT(A322,""-""),"""")"),610422040034)</f>
        <v>610422040034</v>
      </c>
      <c r="D322" s="10">
        <f ca="1">IFERROR(__xludf.DUMMYFUNCTION("""COMPUTED_VALUE"""),2024)</f>
        <v>2024</v>
      </c>
      <c r="E322" s="10">
        <f ca="1">IFERROR(__xludf.DUMMYFUNCTION("""COMPUTED_VALUE"""),8)</f>
        <v>8</v>
      </c>
      <c r="F322" s="5" t="str">
        <f ca="1">IFERROR(__xludf.DUMMYFUNCTION("""COMPUTED_VALUE"""),"SURVEI")</f>
        <v>SURVEI</v>
      </c>
      <c r="G322" s="5" t="str">
        <f ca="1">IFERROR(__xludf.DUMMYFUNCTION("""COMPUTED_VALUE"""),"PPL")</f>
        <v>PPL</v>
      </c>
      <c r="H322" s="5" t="str">
        <f t="array" aca="1" ref="H322" ca="1">IF(N322=1, INDEX('Database Mitra'!$C$2:$C993,MATCH($C322,'Database Mitra'!$AK$2:$AK993,0)),"")</f>
        <v>Nelly Nalita</v>
      </c>
      <c r="I322" s="71">
        <f ca="1">IF(N322=1,SUMIFS('Alokasi Honor'!$M$2:$M993,'Alokasi Honor'!$T$2:$T993,A322),"")</f>
        <v>1980000</v>
      </c>
      <c r="J322" s="10">
        <f ca="1">IFERROR(__xludf.DUMMYFUNCTION("COUNTIF(FILTER('Alokasi Honor'!$H$2:$H993,'Alokasi Honor'!$H$2:$H993=""OB"",'Alokasi Honor'!$T$2:$T993=A322),""OB"")"),0)</f>
        <v>0</v>
      </c>
      <c r="K322" s="10">
        <f t="shared" ca="1" si="1"/>
        <v>1</v>
      </c>
      <c r="L322" s="70">
        <f t="array" aca="1" ref="L322" ca="1">IF(N322=1,INDEX('Batasan Honor'!$B$2:$B993,MATCH(CONCATENATE($F322,"-",$G322),'Batasan Honor'!$G$2:$G993,0)),"")</f>
        <v>5400000</v>
      </c>
      <c r="M322" s="10">
        <f t="shared" ca="1" si="4"/>
        <v>1</v>
      </c>
      <c r="N322" s="10">
        <f t="shared" ca="1" si="3"/>
        <v>1</v>
      </c>
    </row>
    <row r="323" spans="1:14" ht="12.5">
      <c r="A323" s="10" t="str">
        <f ca="1">IFERROR(__xludf.DUMMYFUNCTION("""COMPUTED_VALUE"""),"610422040051-2024-8-SURVEI-PPL")</f>
        <v>610422040051-2024-8-SURVEI-PPL</v>
      </c>
      <c r="B323" s="5" t="str">
        <f t="shared" ca="1" si="0"/>
        <v>610422040051-2024-8</v>
      </c>
      <c r="C323" s="5">
        <f ca="1">IFERROR(__xludf.DUMMYFUNCTION("IF(N323=1,SPLIT(A323,""-""),"""")"),610422040051)</f>
        <v>610422040051</v>
      </c>
      <c r="D323" s="10">
        <f ca="1">IFERROR(__xludf.DUMMYFUNCTION("""COMPUTED_VALUE"""),2024)</f>
        <v>2024</v>
      </c>
      <c r="E323" s="10">
        <f ca="1">IFERROR(__xludf.DUMMYFUNCTION("""COMPUTED_VALUE"""),8)</f>
        <v>8</v>
      </c>
      <c r="F323" s="5" t="str">
        <f ca="1">IFERROR(__xludf.DUMMYFUNCTION("""COMPUTED_VALUE"""),"SURVEI")</f>
        <v>SURVEI</v>
      </c>
      <c r="G323" s="5" t="str">
        <f ca="1">IFERROR(__xludf.DUMMYFUNCTION("""COMPUTED_VALUE"""),"PPL")</f>
        <v>PPL</v>
      </c>
      <c r="H323" s="5" t="str">
        <f t="array" aca="1" ref="H323" ca="1">IF(N323=1, INDEX('Database Mitra'!$C$2:$C993,MATCH($C323,'Database Mitra'!$AK$2:$AK993,0)),"")</f>
        <v>Dede sri delvey</v>
      </c>
      <c r="I323" s="71">
        <f ca="1">IF(N323=1,SUMIFS('Alokasi Honor'!$M$2:$M993,'Alokasi Honor'!$T$2:$T993,A323),"")</f>
        <v>1980000</v>
      </c>
      <c r="J323" s="10">
        <f ca="1">IFERROR(__xludf.DUMMYFUNCTION("COUNTIF(FILTER('Alokasi Honor'!$H$2:$H993,'Alokasi Honor'!$H$2:$H993=""OB"",'Alokasi Honor'!$T$2:$T993=A323),""OB"")"),0)</f>
        <v>0</v>
      </c>
      <c r="K323" s="10">
        <f t="shared" ca="1" si="1"/>
        <v>1</v>
      </c>
      <c r="L323" s="70">
        <f t="array" aca="1" ref="L323" ca="1">IF(N323=1,INDEX('Batasan Honor'!$B$2:$B993,MATCH(CONCATENATE($F323,"-",$G323),'Batasan Honor'!$G$2:$G993,0)),"")</f>
        <v>5400000</v>
      </c>
      <c r="M323" s="10">
        <f t="shared" ca="1" si="4"/>
        <v>1</v>
      </c>
      <c r="N323" s="10">
        <f t="shared" ca="1" si="3"/>
        <v>1</v>
      </c>
    </row>
    <row r="324" spans="1:14" ht="12.5">
      <c r="A324" s="10" t="str">
        <f ca="1">IFERROR(__xludf.DUMMYFUNCTION("""COMPUTED_VALUE"""),"610423040013-2024-8-SURVEI-PPL")</f>
        <v>610423040013-2024-8-SURVEI-PPL</v>
      </c>
      <c r="B324" s="5" t="str">
        <f t="shared" ca="1" si="0"/>
        <v>610423040013-2024-8</v>
      </c>
      <c r="C324" s="5">
        <f ca="1">IFERROR(__xludf.DUMMYFUNCTION("IF(N324=1,SPLIT(A324,""-""),"""")"),610423040013)</f>
        <v>610423040013</v>
      </c>
      <c r="D324" s="10">
        <f ca="1">IFERROR(__xludf.DUMMYFUNCTION("""COMPUTED_VALUE"""),2024)</f>
        <v>2024</v>
      </c>
      <c r="E324" s="10">
        <f ca="1">IFERROR(__xludf.DUMMYFUNCTION("""COMPUTED_VALUE"""),8)</f>
        <v>8</v>
      </c>
      <c r="F324" s="5" t="str">
        <f ca="1">IFERROR(__xludf.DUMMYFUNCTION("""COMPUTED_VALUE"""),"SURVEI")</f>
        <v>SURVEI</v>
      </c>
      <c r="G324" s="5" t="str">
        <f ca="1">IFERROR(__xludf.DUMMYFUNCTION("""COMPUTED_VALUE"""),"PPL")</f>
        <v>PPL</v>
      </c>
      <c r="H324" s="5" t="str">
        <f t="array" aca="1" ref="H324" ca="1">IF(N324=1, INDEX('Database Mitra'!$C$2:$C993,MATCH($C324,'Database Mitra'!$AK$2:$AK993,0)),"")</f>
        <v>Lulu Gesti Gunawati</v>
      </c>
      <c r="I324" s="71">
        <f ca="1">IF(N324=1,SUMIFS('Alokasi Honor'!$M$2:$M993,'Alokasi Honor'!$T$2:$T993,A324),"")</f>
        <v>1980000</v>
      </c>
      <c r="J324" s="10">
        <f ca="1">IFERROR(__xludf.DUMMYFUNCTION("COUNTIF(FILTER('Alokasi Honor'!$H$2:$H993,'Alokasi Honor'!$H$2:$H993=""OB"",'Alokasi Honor'!$T$2:$T993=A324),""OB"")"),0)</f>
        <v>0</v>
      </c>
      <c r="K324" s="10">
        <f t="shared" ca="1" si="1"/>
        <v>1</v>
      </c>
      <c r="L324" s="70">
        <f t="array" aca="1" ref="L324" ca="1">IF(N324=1,INDEX('Batasan Honor'!$B$2:$B993,MATCH(CONCATENATE($F324,"-",$G324),'Batasan Honor'!$G$2:$G993,0)),"")</f>
        <v>5400000</v>
      </c>
      <c r="M324" s="10">
        <f t="shared" ca="1" si="4"/>
        <v>1</v>
      </c>
      <c r="N324" s="10">
        <f t="shared" ca="1" si="3"/>
        <v>1</v>
      </c>
    </row>
    <row r="325" spans="1:14" ht="12.5">
      <c r="A325" s="10" t="str">
        <f ca="1">IFERROR(__xludf.DUMMYFUNCTION("""COMPUTED_VALUE"""),"610422100001-2024-8-SURVEI-PPL")</f>
        <v>610422100001-2024-8-SURVEI-PPL</v>
      </c>
      <c r="B325" s="5" t="str">
        <f t="shared" ca="1" si="0"/>
        <v>610422100001-2024-8</v>
      </c>
      <c r="C325" s="5">
        <f ca="1">IFERROR(__xludf.DUMMYFUNCTION("IF(N325=1,SPLIT(A325,""-""),"""")"),610422100001)</f>
        <v>610422100001</v>
      </c>
      <c r="D325" s="10">
        <f ca="1">IFERROR(__xludf.DUMMYFUNCTION("""COMPUTED_VALUE"""),2024)</f>
        <v>2024</v>
      </c>
      <c r="E325" s="10">
        <f ca="1">IFERROR(__xludf.DUMMYFUNCTION("""COMPUTED_VALUE"""),8)</f>
        <v>8</v>
      </c>
      <c r="F325" s="5" t="str">
        <f ca="1">IFERROR(__xludf.DUMMYFUNCTION("""COMPUTED_VALUE"""),"SURVEI")</f>
        <v>SURVEI</v>
      </c>
      <c r="G325" s="5" t="str">
        <f ca="1">IFERROR(__xludf.DUMMYFUNCTION("""COMPUTED_VALUE"""),"PPL")</f>
        <v>PPL</v>
      </c>
      <c r="H325" s="5" t="str">
        <f t="array" aca="1" ref="H325" ca="1">IF(N325=1, INDEX('Database Mitra'!$C$2:$C993,MATCH($C325,'Database Mitra'!$AK$2:$AK993,0)),"")</f>
        <v>Fatmawati,S.Hut</v>
      </c>
      <c r="I325" s="71">
        <f ca="1">IF(N325=1,SUMIFS('Alokasi Honor'!$M$2:$M993,'Alokasi Honor'!$T$2:$T993,A325),"")</f>
        <v>2530000</v>
      </c>
      <c r="J325" s="10">
        <f ca="1">IFERROR(__xludf.DUMMYFUNCTION("COUNTIF(FILTER('Alokasi Honor'!$H$2:$H993,'Alokasi Honor'!$H$2:$H993=""OB"",'Alokasi Honor'!$T$2:$T993=A325),""OB"")"),0)</f>
        <v>0</v>
      </c>
      <c r="K325" s="10">
        <f t="shared" ca="1" si="1"/>
        <v>1</v>
      </c>
      <c r="L325" s="70">
        <f t="array" aca="1" ref="L325" ca="1">IF(N325=1,INDEX('Batasan Honor'!$B$2:$B993,MATCH(CONCATENATE($F325,"-",$G325),'Batasan Honor'!$G$2:$G993,0)),"")</f>
        <v>5400000</v>
      </c>
      <c r="M325" s="10">
        <f t="shared" ca="1" si="4"/>
        <v>1</v>
      </c>
      <c r="N325" s="10">
        <f t="shared" ca="1" si="3"/>
        <v>1</v>
      </c>
    </row>
    <row r="326" spans="1:14" ht="12.5">
      <c r="A326" s="10" t="str">
        <f ca="1">IFERROR(__xludf.DUMMYFUNCTION("""COMPUTED_VALUE"""),"610422040053-2024-8-SURVEI-PPL")</f>
        <v>610422040053-2024-8-SURVEI-PPL</v>
      </c>
      <c r="B326" s="5" t="str">
        <f t="shared" ca="1" si="0"/>
        <v>610422040053-2024-8</v>
      </c>
      <c r="C326" s="5">
        <f ca="1">IFERROR(__xludf.DUMMYFUNCTION("IF(N326=1,SPLIT(A326,""-""),"""")"),610422040053)</f>
        <v>610422040053</v>
      </c>
      <c r="D326" s="10">
        <f ca="1">IFERROR(__xludf.DUMMYFUNCTION("""COMPUTED_VALUE"""),2024)</f>
        <v>2024</v>
      </c>
      <c r="E326" s="10">
        <f ca="1">IFERROR(__xludf.DUMMYFUNCTION("""COMPUTED_VALUE"""),8)</f>
        <v>8</v>
      </c>
      <c r="F326" s="5" t="str">
        <f ca="1">IFERROR(__xludf.DUMMYFUNCTION("""COMPUTED_VALUE"""),"SURVEI")</f>
        <v>SURVEI</v>
      </c>
      <c r="G326" s="5" t="str">
        <f ca="1">IFERROR(__xludf.DUMMYFUNCTION("""COMPUTED_VALUE"""),"PPL")</f>
        <v>PPL</v>
      </c>
      <c r="H326" s="5" t="str">
        <f t="array" aca="1" ref="H326" ca="1">IF(N326=1, INDEX('Database Mitra'!$C$2:$C993,MATCH($C326,'Database Mitra'!$AK$2:$AK993,0)),"")</f>
        <v>Veti Ningsi</v>
      </c>
      <c r="I326" s="71">
        <f ca="1">IF(N326=1,SUMIFS('Alokasi Honor'!$M$2:$M993,'Alokasi Honor'!$T$2:$T993,A326),"")</f>
        <v>1980000</v>
      </c>
      <c r="J326" s="10">
        <f ca="1">IFERROR(__xludf.DUMMYFUNCTION("COUNTIF(FILTER('Alokasi Honor'!$H$2:$H993,'Alokasi Honor'!$H$2:$H993=""OB"",'Alokasi Honor'!$T$2:$T993=A326),""OB"")"),0)</f>
        <v>0</v>
      </c>
      <c r="K326" s="10">
        <f t="shared" ca="1" si="1"/>
        <v>1</v>
      </c>
      <c r="L326" s="70">
        <f t="array" aca="1" ref="L326" ca="1">IF(N326=1,INDEX('Batasan Honor'!$B$2:$B993,MATCH(CONCATENATE($F326,"-",$G326),'Batasan Honor'!$G$2:$G993,0)),"")</f>
        <v>5400000</v>
      </c>
      <c r="M326" s="10">
        <f t="shared" ca="1" si="4"/>
        <v>1</v>
      </c>
      <c r="N326" s="10">
        <f t="shared" ca="1" si="3"/>
        <v>1</v>
      </c>
    </row>
    <row r="327" spans="1:14" ht="12.5">
      <c r="A327" s="10" t="str">
        <f ca="1">IFERROR(__xludf.DUMMYFUNCTION("""COMPUTED_VALUE"""),"610422100006-2024-8-SURVEI-PPL")</f>
        <v>610422100006-2024-8-SURVEI-PPL</v>
      </c>
      <c r="B327" s="5" t="str">
        <f t="shared" ca="1" si="0"/>
        <v>610422100006-2024-8</v>
      </c>
      <c r="C327" s="5">
        <f ca="1">IFERROR(__xludf.DUMMYFUNCTION("IF(N327=1,SPLIT(A327,""-""),"""")"),610422100006)</f>
        <v>610422100006</v>
      </c>
      <c r="D327" s="10">
        <f ca="1">IFERROR(__xludf.DUMMYFUNCTION("""COMPUTED_VALUE"""),2024)</f>
        <v>2024</v>
      </c>
      <c r="E327" s="10">
        <f ca="1">IFERROR(__xludf.DUMMYFUNCTION("""COMPUTED_VALUE"""),8)</f>
        <v>8</v>
      </c>
      <c r="F327" s="5" t="str">
        <f ca="1">IFERROR(__xludf.DUMMYFUNCTION("""COMPUTED_VALUE"""),"SURVEI")</f>
        <v>SURVEI</v>
      </c>
      <c r="G327" s="5" t="str">
        <f ca="1">IFERROR(__xludf.DUMMYFUNCTION("""COMPUTED_VALUE"""),"PPL")</f>
        <v>PPL</v>
      </c>
      <c r="H327" s="5" t="str">
        <f t="array" aca="1" ref="H327" ca="1">IF(N327=1, INDEX('Database Mitra'!$C$2:$C993,MATCH($C327,'Database Mitra'!$AK$2:$AK993,0)),"")</f>
        <v>Dandy</v>
      </c>
      <c r="I327" s="71">
        <f ca="1">IF(N327=1,SUMIFS('Alokasi Honor'!$M$2:$M993,'Alokasi Honor'!$T$2:$T993,A327),"")</f>
        <v>2190000</v>
      </c>
      <c r="J327" s="10">
        <f ca="1">IFERROR(__xludf.DUMMYFUNCTION("COUNTIF(FILTER('Alokasi Honor'!$H$2:$H993,'Alokasi Honor'!$H$2:$H993=""OB"",'Alokasi Honor'!$T$2:$T993=A327),""OB"")"),0)</f>
        <v>0</v>
      </c>
      <c r="K327" s="10">
        <f t="shared" ca="1" si="1"/>
        <v>1</v>
      </c>
      <c r="L327" s="70">
        <f t="array" aca="1" ref="L327" ca="1">IF(N327=1,INDEX('Batasan Honor'!$B$2:$B993,MATCH(CONCATENATE($F327,"-",$G327),'Batasan Honor'!$G$2:$G993,0)),"")</f>
        <v>5400000</v>
      </c>
      <c r="M327" s="10">
        <f t="shared" ca="1" si="4"/>
        <v>1</v>
      </c>
      <c r="N327" s="10">
        <f t="shared" ca="1" si="3"/>
        <v>1</v>
      </c>
    </row>
    <row r="328" spans="1:14" ht="12.5">
      <c r="A328" s="10" t="str">
        <f ca="1">IFERROR(__xludf.DUMMYFUNCTION("""COMPUTED_VALUE"""),"610423040021-2024-8-SURVEI-PPL")</f>
        <v>610423040021-2024-8-SURVEI-PPL</v>
      </c>
      <c r="B328" s="5" t="str">
        <f t="shared" ca="1" si="0"/>
        <v>610423040021-2024-8</v>
      </c>
      <c r="C328" s="5">
        <f ca="1">IFERROR(__xludf.DUMMYFUNCTION("IF(N328=1,SPLIT(A328,""-""),"""")"),610423040021)</f>
        <v>610423040021</v>
      </c>
      <c r="D328" s="10">
        <f ca="1">IFERROR(__xludf.DUMMYFUNCTION("""COMPUTED_VALUE"""),2024)</f>
        <v>2024</v>
      </c>
      <c r="E328" s="10">
        <f ca="1">IFERROR(__xludf.DUMMYFUNCTION("""COMPUTED_VALUE"""),8)</f>
        <v>8</v>
      </c>
      <c r="F328" s="5" t="str">
        <f ca="1">IFERROR(__xludf.DUMMYFUNCTION("""COMPUTED_VALUE"""),"SURVEI")</f>
        <v>SURVEI</v>
      </c>
      <c r="G328" s="5" t="str">
        <f ca="1">IFERROR(__xludf.DUMMYFUNCTION("""COMPUTED_VALUE"""),"PPL")</f>
        <v>PPL</v>
      </c>
      <c r="H328" s="5" t="str">
        <f t="array" aca="1" ref="H328" ca="1">IF(N328=1, INDEX('Database Mitra'!$C$2:$C993,MATCH($C328,'Database Mitra'!$AK$2:$AK993,0)),"")</f>
        <v>Seliana</v>
      </c>
      <c r="I328" s="71">
        <f ca="1">IF(N328=1,SUMIFS('Alokasi Honor'!$M$2:$M993,'Alokasi Honor'!$T$2:$T993,A328),"")</f>
        <v>234000</v>
      </c>
      <c r="J328" s="10">
        <f ca="1">IFERROR(__xludf.DUMMYFUNCTION("COUNTIF(FILTER('Alokasi Honor'!$H$2:$H993,'Alokasi Honor'!$H$2:$H993=""OB"",'Alokasi Honor'!$T$2:$T993=A328),""OB"")"),0)</f>
        <v>0</v>
      </c>
      <c r="K328" s="10">
        <f t="shared" ca="1" si="1"/>
        <v>1</v>
      </c>
      <c r="L328" s="70">
        <f t="array" aca="1" ref="L328" ca="1">IF(N328=1,INDEX('Batasan Honor'!$B$2:$B993,MATCH(CONCATENATE($F328,"-",$G328),'Batasan Honor'!$G$2:$G993,0)),"")</f>
        <v>5400000</v>
      </c>
      <c r="M328" s="10">
        <f t="shared" ca="1" si="4"/>
        <v>1</v>
      </c>
      <c r="N328" s="10">
        <f t="shared" ca="1" si="3"/>
        <v>1</v>
      </c>
    </row>
    <row r="329" spans="1:14" ht="12.5">
      <c r="A329" s="10" t="str">
        <f ca="1">IFERROR(__xludf.DUMMYFUNCTION("""COMPUTED_VALUE"""),"610422040049-2024-8-SURVEI-PPL")</f>
        <v>610422040049-2024-8-SURVEI-PPL</v>
      </c>
      <c r="B329" s="5" t="str">
        <f t="shared" ca="1" si="0"/>
        <v>610422040049-2024-8</v>
      </c>
      <c r="C329" s="5">
        <f ca="1">IFERROR(__xludf.DUMMYFUNCTION("IF(N329=1,SPLIT(A329,""-""),"""")"),610422040049)</f>
        <v>610422040049</v>
      </c>
      <c r="D329" s="10">
        <f ca="1">IFERROR(__xludf.DUMMYFUNCTION("""COMPUTED_VALUE"""),2024)</f>
        <v>2024</v>
      </c>
      <c r="E329" s="10">
        <f ca="1">IFERROR(__xludf.DUMMYFUNCTION("""COMPUTED_VALUE"""),8)</f>
        <v>8</v>
      </c>
      <c r="F329" s="5" t="str">
        <f ca="1">IFERROR(__xludf.DUMMYFUNCTION("""COMPUTED_VALUE"""),"SURVEI")</f>
        <v>SURVEI</v>
      </c>
      <c r="G329" s="5" t="str">
        <f ca="1">IFERROR(__xludf.DUMMYFUNCTION("""COMPUTED_VALUE"""),"PPL")</f>
        <v>PPL</v>
      </c>
      <c r="H329" s="5" t="str">
        <f t="array" aca="1" ref="H329" ca="1">IF(N329=1, INDEX('Database Mitra'!$C$2:$C993,MATCH($C329,'Database Mitra'!$AK$2:$AK993,0)),"")</f>
        <v>Sulis tri handayani</v>
      </c>
      <c r="I329" s="71">
        <f ca="1">IF(N329=1,SUMIFS('Alokasi Honor'!$M$2:$M993,'Alokasi Honor'!$T$2:$T993,A329),"")</f>
        <v>1155000</v>
      </c>
      <c r="J329" s="10">
        <f ca="1">IFERROR(__xludf.DUMMYFUNCTION("COUNTIF(FILTER('Alokasi Honor'!$H$2:$H993,'Alokasi Honor'!$H$2:$H993=""OB"",'Alokasi Honor'!$T$2:$T993=A329),""OB"")"),0)</f>
        <v>0</v>
      </c>
      <c r="K329" s="10">
        <f t="shared" ca="1" si="1"/>
        <v>1</v>
      </c>
      <c r="L329" s="70">
        <f t="array" aca="1" ref="L329" ca="1">IF(N329=1,INDEX('Batasan Honor'!$B$2:$B993,MATCH(CONCATENATE($F329,"-",$G329),'Batasan Honor'!$G$2:$G993,0)),"")</f>
        <v>5400000</v>
      </c>
      <c r="M329" s="10">
        <f t="shared" ca="1" si="4"/>
        <v>1</v>
      </c>
      <c r="N329" s="10">
        <f t="shared" ca="1" si="3"/>
        <v>1</v>
      </c>
    </row>
    <row r="330" spans="1:14" ht="12.5">
      <c r="A330" s="10" t="str">
        <f ca="1">IFERROR(__xludf.DUMMYFUNCTION("""COMPUTED_VALUE"""),"610422040062-2024-8-SURVEI-PPL")</f>
        <v>610422040062-2024-8-SURVEI-PPL</v>
      </c>
      <c r="B330" s="5" t="str">
        <f t="shared" ca="1" si="0"/>
        <v>610422040062-2024-8</v>
      </c>
      <c r="C330" s="5">
        <f ca="1">IFERROR(__xludf.DUMMYFUNCTION("IF(N330=1,SPLIT(A330,""-""),"""")"),610422040062)</f>
        <v>610422040062</v>
      </c>
      <c r="D330" s="10">
        <f ca="1">IFERROR(__xludf.DUMMYFUNCTION("""COMPUTED_VALUE"""),2024)</f>
        <v>2024</v>
      </c>
      <c r="E330" s="10">
        <f ca="1">IFERROR(__xludf.DUMMYFUNCTION("""COMPUTED_VALUE"""),8)</f>
        <v>8</v>
      </c>
      <c r="F330" s="5" t="str">
        <f ca="1">IFERROR(__xludf.DUMMYFUNCTION("""COMPUTED_VALUE"""),"SURVEI")</f>
        <v>SURVEI</v>
      </c>
      <c r="G330" s="5" t="str">
        <f ca="1">IFERROR(__xludf.DUMMYFUNCTION("""COMPUTED_VALUE"""),"PPL")</f>
        <v>PPL</v>
      </c>
      <c r="H330" s="5" t="str">
        <f t="array" aca="1" ref="H330" ca="1">IF(N330=1, INDEX('Database Mitra'!$C$2:$C993,MATCH($C330,'Database Mitra'!$AK$2:$AK993,0)),"")</f>
        <v>Yudi Wahyudi</v>
      </c>
      <c r="I330" s="71">
        <f ca="1">IF(N330=1,SUMIFS('Alokasi Honor'!$M$2:$M993,'Alokasi Honor'!$T$2:$T993,A330),"")</f>
        <v>495000</v>
      </c>
      <c r="J330" s="10">
        <f ca="1">IFERROR(__xludf.DUMMYFUNCTION("COUNTIF(FILTER('Alokasi Honor'!$H$2:$H993,'Alokasi Honor'!$H$2:$H993=""OB"",'Alokasi Honor'!$T$2:$T993=A330),""OB"")"),0)</f>
        <v>0</v>
      </c>
      <c r="K330" s="10">
        <f t="shared" ca="1" si="1"/>
        <v>1</v>
      </c>
      <c r="L330" s="70">
        <f t="array" aca="1" ref="L330" ca="1">IF(N330=1,INDEX('Batasan Honor'!$B$2:$B993,MATCH(CONCATENATE($F330,"-",$G330),'Batasan Honor'!$G$2:$G993,0)),"")</f>
        <v>5400000</v>
      </c>
      <c r="M330" s="10">
        <f t="shared" ca="1" si="4"/>
        <v>1</v>
      </c>
      <c r="N330" s="10">
        <f t="shared" ca="1" si="3"/>
        <v>1</v>
      </c>
    </row>
    <row r="331" spans="1:14" ht="12.5">
      <c r="A331" s="10" t="str">
        <f ca="1">IFERROR(__xludf.DUMMYFUNCTION("""COMPUTED_VALUE"""),"610422040006-2024-8-SURVEI-PPL")</f>
        <v>610422040006-2024-8-SURVEI-PPL</v>
      </c>
      <c r="B331" s="5" t="str">
        <f t="shared" ca="1" si="0"/>
        <v>610422040006-2024-8</v>
      </c>
      <c r="C331" s="5">
        <f ca="1">IFERROR(__xludf.DUMMYFUNCTION("IF(N331=1,SPLIT(A331,""-""),"""")"),610422040006)</f>
        <v>610422040006</v>
      </c>
      <c r="D331" s="10">
        <f ca="1">IFERROR(__xludf.DUMMYFUNCTION("""COMPUTED_VALUE"""),2024)</f>
        <v>2024</v>
      </c>
      <c r="E331" s="10">
        <f ca="1">IFERROR(__xludf.DUMMYFUNCTION("""COMPUTED_VALUE"""),8)</f>
        <v>8</v>
      </c>
      <c r="F331" s="5" t="str">
        <f ca="1">IFERROR(__xludf.DUMMYFUNCTION("""COMPUTED_VALUE"""),"SURVEI")</f>
        <v>SURVEI</v>
      </c>
      <c r="G331" s="5" t="str">
        <f ca="1">IFERROR(__xludf.DUMMYFUNCTION("""COMPUTED_VALUE"""),"PPL")</f>
        <v>PPL</v>
      </c>
      <c r="H331" s="5" t="str">
        <f t="array" aca="1" ref="H331" ca="1">IF(N331=1, INDEX('Database Mitra'!$C$2:$C993,MATCH($C331,'Database Mitra'!$AK$2:$AK993,0)),"")</f>
        <v>RIDHA NUR MITHA</v>
      </c>
      <c r="I331" s="71">
        <f ca="1">IF(N331=1,SUMIFS('Alokasi Honor'!$M$2:$M993,'Alokasi Honor'!$T$2:$T993,A331),"")</f>
        <v>275000</v>
      </c>
      <c r="J331" s="10">
        <f ca="1">IFERROR(__xludf.DUMMYFUNCTION("COUNTIF(FILTER('Alokasi Honor'!$H$2:$H993,'Alokasi Honor'!$H$2:$H993=""OB"",'Alokasi Honor'!$T$2:$T993=A331),""OB"")"),0)</f>
        <v>0</v>
      </c>
      <c r="K331" s="10">
        <f t="shared" ca="1" si="1"/>
        <v>1</v>
      </c>
      <c r="L331" s="70">
        <f t="array" aca="1" ref="L331" ca="1">IF(N331=1,INDEX('Batasan Honor'!$B$2:$B993,MATCH(CONCATENATE($F331,"-",$G331),'Batasan Honor'!$G$2:$G993,0)),"")</f>
        <v>5400000</v>
      </c>
      <c r="M331" s="10">
        <f t="shared" ca="1" si="4"/>
        <v>1</v>
      </c>
      <c r="N331" s="10">
        <f t="shared" ca="1" si="3"/>
        <v>1</v>
      </c>
    </row>
    <row r="332" spans="1:14" ht="12.5">
      <c r="A332" s="10" t="str">
        <f ca="1">IFERROR(__xludf.DUMMYFUNCTION("""COMPUTED_VALUE"""),"610422100153-2024-8-SURVEI-PPL")</f>
        <v>610422100153-2024-8-SURVEI-PPL</v>
      </c>
      <c r="B332" s="5" t="str">
        <f t="shared" ca="1" si="0"/>
        <v>610422100153-2024-8</v>
      </c>
      <c r="C332" s="5">
        <f ca="1">IFERROR(__xludf.DUMMYFUNCTION("IF(N332=1,SPLIT(A332,""-""),"""")"),610422100153)</f>
        <v>610422100153</v>
      </c>
      <c r="D332" s="10">
        <f ca="1">IFERROR(__xludf.DUMMYFUNCTION("""COMPUTED_VALUE"""),2024)</f>
        <v>2024</v>
      </c>
      <c r="E332" s="10">
        <f ca="1">IFERROR(__xludf.DUMMYFUNCTION("""COMPUTED_VALUE"""),8)</f>
        <v>8</v>
      </c>
      <c r="F332" s="5" t="str">
        <f ca="1">IFERROR(__xludf.DUMMYFUNCTION("""COMPUTED_VALUE"""),"SURVEI")</f>
        <v>SURVEI</v>
      </c>
      <c r="G332" s="5" t="str">
        <f ca="1">IFERROR(__xludf.DUMMYFUNCTION("""COMPUTED_VALUE"""),"PPL")</f>
        <v>PPL</v>
      </c>
      <c r="H332" s="5" t="str">
        <f t="array" aca="1" ref="H332" ca="1">IF(N332=1, INDEX('Database Mitra'!$C$2:$C993,MATCH($C332,'Database Mitra'!$AK$2:$AK993,0)),"")</f>
        <v>Kharim marufah</v>
      </c>
      <c r="I332" s="71">
        <f ca="1">IF(N332=1,SUMIFS('Alokasi Honor'!$M$2:$M993,'Alokasi Honor'!$T$2:$T993,A332),"")</f>
        <v>375000</v>
      </c>
      <c r="J332" s="10">
        <f ca="1">IFERROR(__xludf.DUMMYFUNCTION("COUNTIF(FILTER('Alokasi Honor'!$H$2:$H993,'Alokasi Honor'!$H$2:$H993=""OB"",'Alokasi Honor'!$T$2:$T993=A332),""OB"")"),0)</f>
        <v>0</v>
      </c>
      <c r="K332" s="10">
        <f t="shared" ca="1" si="1"/>
        <v>1</v>
      </c>
      <c r="L332" s="70">
        <f t="array" aca="1" ref="L332" ca="1">IF(N332=1,INDEX('Batasan Honor'!$B$2:$B993,MATCH(CONCATENATE($F332,"-",$G332),'Batasan Honor'!$G$2:$G993,0)),"")</f>
        <v>5400000</v>
      </c>
      <c r="M332" s="10">
        <f t="shared" ca="1" si="4"/>
        <v>1</v>
      </c>
      <c r="N332" s="10">
        <f t="shared" ca="1" si="3"/>
        <v>1</v>
      </c>
    </row>
    <row r="333" spans="1:14" ht="12.5">
      <c r="A333" s="10" t="str">
        <f ca="1">IFERROR(__xludf.DUMMYFUNCTION("""COMPUTED_VALUE"""),"610422030001-2024-9-SURVEI-PPL")</f>
        <v>610422030001-2024-9-SURVEI-PPL</v>
      </c>
      <c r="B333" s="5" t="str">
        <f t="shared" ca="1" si="0"/>
        <v>610422030001-2024-9</v>
      </c>
      <c r="C333" s="5">
        <f ca="1">IFERROR(__xludf.DUMMYFUNCTION("IF(N333=1,SPLIT(A333,""-""),"""")"),610422030001)</f>
        <v>610422030001</v>
      </c>
      <c r="D333" s="10">
        <f ca="1">IFERROR(__xludf.DUMMYFUNCTION("""COMPUTED_VALUE"""),2024)</f>
        <v>2024</v>
      </c>
      <c r="E333" s="10">
        <f ca="1">IFERROR(__xludf.DUMMYFUNCTION("""COMPUTED_VALUE"""),9)</f>
        <v>9</v>
      </c>
      <c r="F333" s="5" t="str">
        <f ca="1">IFERROR(__xludf.DUMMYFUNCTION("""COMPUTED_VALUE"""),"SURVEI")</f>
        <v>SURVEI</v>
      </c>
      <c r="G333" s="5" t="str">
        <f ca="1">IFERROR(__xludf.DUMMYFUNCTION("""COMPUTED_VALUE"""),"PPL")</f>
        <v>PPL</v>
      </c>
      <c r="H333" s="5" t="str">
        <f t="array" aca="1" ref="H333" ca="1">IF(N333=1, INDEX('Database Mitra'!$C$2:$C993,MATCH($C333,'Database Mitra'!$AK$2:$AK993,0)),"")</f>
        <v>Pitra,SP</v>
      </c>
      <c r="I333" s="71">
        <f ca="1">IF(N333=1,SUMIFS('Alokasi Honor'!$M$2:$M993,'Alokasi Honor'!$T$2:$T993,A333),"")</f>
        <v>879000</v>
      </c>
      <c r="J333" s="10">
        <f ca="1">IFERROR(__xludf.DUMMYFUNCTION("COUNTIF(FILTER('Alokasi Honor'!$H$2:$H993,'Alokasi Honor'!$H$2:$H993=""OB"",'Alokasi Honor'!$T$2:$T993=A333),""OB"")"),0)</f>
        <v>0</v>
      </c>
      <c r="K333" s="10">
        <f t="shared" ca="1" si="1"/>
        <v>1</v>
      </c>
      <c r="L333" s="70">
        <f t="array" aca="1" ref="L333" ca="1">IF(N333=1,INDEX('Batasan Honor'!$B$2:$B993,MATCH(CONCATENATE($F333,"-",$G333),'Batasan Honor'!$G$2:$G993,0)),"")</f>
        <v>5400000</v>
      </c>
      <c r="M333" s="10">
        <f t="shared" ca="1" si="4"/>
        <v>1</v>
      </c>
      <c r="N333" s="10">
        <f t="shared" ca="1" si="3"/>
        <v>1</v>
      </c>
    </row>
    <row r="334" spans="1:14" ht="12.5">
      <c r="A334" s="10" t="str">
        <f ca="1">IFERROR(__xludf.DUMMYFUNCTION("""COMPUTED_VALUE"""),"610422100101-2024-9-SURVEI-PPL")</f>
        <v>610422100101-2024-9-SURVEI-PPL</v>
      </c>
      <c r="B334" s="5" t="str">
        <f t="shared" ca="1" si="0"/>
        <v>610422100101-2024-9</v>
      </c>
      <c r="C334" s="5">
        <f ca="1">IFERROR(__xludf.DUMMYFUNCTION("IF(N334=1,SPLIT(A334,""-""),"""")"),610422100101)</f>
        <v>610422100101</v>
      </c>
      <c r="D334" s="10">
        <f ca="1">IFERROR(__xludf.DUMMYFUNCTION("""COMPUTED_VALUE"""),2024)</f>
        <v>2024</v>
      </c>
      <c r="E334" s="10">
        <f ca="1">IFERROR(__xludf.DUMMYFUNCTION("""COMPUTED_VALUE"""),9)</f>
        <v>9</v>
      </c>
      <c r="F334" s="5" t="str">
        <f ca="1">IFERROR(__xludf.DUMMYFUNCTION("""COMPUTED_VALUE"""),"SURVEI")</f>
        <v>SURVEI</v>
      </c>
      <c r="G334" s="5" t="str">
        <f ca="1">IFERROR(__xludf.DUMMYFUNCTION("""COMPUTED_VALUE"""),"PPL")</f>
        <v>PPL</v>
      </c>
      <c r="H334" s="5" t="str">
        <f t="array" aca="1" ref="H334" ca="1">IF(N334=1, INDEX('Database Mitra'!$C$2:$C993,MATCH($C334,'Database Mitra'!$AK$2:$AK993,0)),"")</f>
        <v>SUKMAWATI,S.SI</v>
      </c>
      <c r="I334" s="71">
        <f ca="1">IF(N334=1,SUMIFS('Alokasi Honor'!$M$2:$M993,'Alokasi Honor'!$T$2:$T993,A334),"")</f>
        <v>1733000</v>
      </c>
      <c r="J334" s="10">
        <f ca="1">IFERROR(__xludf.DUMMYFUNCTION("COUNTIF(FILTER('Alokasi Honor'!$H$2:$H993,'Alokasi Honor'!$H$2:$H993=""OB"",'Alokasi Honor'!$T$2:$T993=A334),""OB"")"),0)</f>
        <v>0</v>
      </c>
      <c r="K334" s="10">
        <f t="shared" ca="1" si="1"/>
        <v>1</v>
      </c>
      <c r="L334" s="70">
        <f t="array" aca="1" ref="L334" ca="1">IF(N334=1,INDEX('Batasan Honor'!$B$2:$B993,MATCH(CONCATENATE($F334,"-",$G334),'Batasan Honor'!$G$2:$G993,0)),"")</f>
        <v>5400000</v>
      </c>
      <c r="M334" s="10">
        <f t="shared" ca="1" si="4"/>
        <v>1</v>
      </c>
      <c r="N334" s="10">
        <f t="shared" ca="1" si="3"/>
        <v>1</v>
      </c>
    </row>
    <row r="335" spans="1:14" ht="12.5">
      <c r="A335" s="10" t="str">
        <f ca="1">IFERROR(__xludf.DUMMYFUNCTION("""COMPUTED_VALUE"""),"610422020044-2024-9-SURVEI-PPL")</f>
        <v>610422020044-2024-9-SURVEI-PPL</v>
      </c>
      <c r="B335" s="5" t="str">
        <f t="shared" ca="1" si="0"/>
        <v>610422020044-2024-9</v>
      </c>
      <c r="C335" s="5">
        <f ca="1">IFERROR(__xludf.DUMMYFUNCTION("IF(N335=1,SPLIT(A335,""-""),"""")"),610422020044)</f>
        <v>610422020044</v>
      </c>
      <c r="D335" s="10">
        <f ca="1">IFERROR(__xludf.DUMMYFUNCTION("""COMPUTED_VALUE"""),2024)</f>
        <v>2024</v>
      </c>
      <c r="E335" s="10">
        <f ca="1">IFERROR(__xludf.DUMMYFUNCTION("""COMPUTED_VALUE"""),9)</f>
        <v>9</v>
      </c>
      <c r="F335" s="5" t="str">
        <f ca="1">IFERROR(__xludf.DUMMYFUNCTION("""COMPUTED_VALUE"""),"SURVEI")</f>
        <v>SURVEI</v>
      </c>
      <c r="G335" s="5" t="str">
        <f ca="1">IFERROR(__xludf.DUMMYFUNCTION("""COMPUTED_VALUE"""),"PPL")</f>
        <v>PPL</v>
      </c>
      <c r="H335" s="5" t="str">
        <f t="array" aca="1" ref="H335" ca="1">IF(N335=1, INDEX('Database Mitra'!$C$2:$C993,MATCH($C335,'Database Mitra'!$AK$2:$AK993,0)),"")</f>
        <v>Hawasi</v>
      </c>
      <c r="I335" s="71">
        <f ca="1">IF(N335=1,SUMIFS('Alokasi Honor'!$M$2:$M993,'Alokasi Honor'!$T$2:$T993,A335),"")</f>
        <v>375000</v>
      </c>
      <c r="J335" s="10">
        <f ca="1">IFERROR(__xludf.DUMMYFUNCTION("COUNTIF(FILTER('Alokasi Honor'!$H$2:$H993,'Alokasi Honor'!$H$2:$H993=""OB"",'Alokasi Honor'!$T$2:$T993=A335),""OB"")"),0)</f>
        <v>0</v>
      </c>
      <c r="K335" s="10">
        <f t="shared" ca="1" si="1"/>
        <v>1</v>
      </c>
      <c r="L335" s="70">
        <f t="array" aca="1" ref="L335" ca="1">IF(N335=1,INDEX('Batasan Honor'!$B$2:$B993,MATCH(CONCATENATE($F335,"-",$G335),'Batasan Honor'!$G$2:$G993,0)),"")</f>
        <v>5400000</v>
      </c>
      <c r="M335" s="10">
        <f t="shared" ca="1" si="4"/>
        <v>1</v>
      </c>
      <c r="N335" s="10">
        <f t="shared" ca="1" si="3"/>
        <v>1</v>
      </c>
    </row>
    <row r="336" spans="1:14" ht="12.5">
      <c r="A336" s="10" t="str">
        <f ca="1">IFERROR(__xludf.DUMMYFUNCTION("""COMPUTED_VALUE"""),"610422040029-2024-9-SURVEI-PPL")</f>
        <v>610422040029-2024-9-SURVEI-PPL</v>
      </c>
      <c r="B336" s="5" t="str">
        <f t="shared" ca="1" si="0"/>
        <v>610422040029-2024-9</v>
      </c>
      <c r="C336" s="5">
        <f ca="1">IFERROR(__xludf.DUMMYFUNCTION("IF(N336=1,SPLIT(A336,""-""),"""")"),610422040029)</f>
        <v>610422040029</v>
      </c>
      <c r="D336" s="10">
        <f ca="1">IFERROR(__xludf.DUMMYFUNCTION("""COMPUTED_VALUE"""),2024)</f>
        <v>2024</v>
      </c>
      <c r="E336" s="10">
        <f ca="1">IFERROR(__xludf.DUMMYFUNCTION("""COMPUTED_VALUE"""),9)</f>
        <v>9</v>
      </c>
      <c r="F336" s="5" t="str">
        <f ca="1">IFERROR(__xludf.DUMMYFUNCTION("""COMPUTED_VALUE"""),"SURVEI")</f>
        <v>SURVEI</v>
      </c>
      <c r="G336" s="5" t="str">
        <f ca="1">IFERROR(__xludf.DUMMYFUNCTION("""COMPUTED_VALUE"""),"PPL")</f>
        <v>PPL</v>
      </c>
      <c r="H336" s="5" t="str">
        <f t="array" aca="1" ref="H336" ca="1">IF(N336=1, INDEX('Database Mitra'!$C$2:$C993,MATCH($C336,'Database Mitra'!$AK$2:$AK993,0)),"")</f>
        <v>Zaini</v>
      </c>
      <c r="I336" s="71">
        <f ca="1">IF(N336=1,SUMIFS('Alokasi Honor'!$M$2:$M993,'Alokasi Honor'!$T$2:$T993,A336),"")</f>
        <v>2612000</v>
      </c>
      <c r="J336" s="10">
        <f ca="1">IFERROR(__xludf.DUMMYFUNCTION("COUNTIF(FILTER('Alokasi Honor'!$H$2:$H993,'Alokasi Honor'!$H$2:$H993=""OB"",'Alokasi Honor'!$T$2:$T993=A336),""OB"")"),0)</f>
        <v>0</v>
      </c>
      <c r="K336" s="10">
        <f t="shared" ca="1" si="1"/>
        <v>1</v>
      </c>
      <c r="L336" s="70">
        <f t="array" aca="1" ref="L336" ca="1">IF(N336=1,INDEX('Batasan Honor'!$B$2:$B993,MATCH(CONCATENATE($F336,"-",$G336),'Batasan Honor'!$G$2:$G993,0)),"")</f>
        <v>5400000</v>
      </c>
      <c r="M336" s="10">
        <f t="shared" ca="1" si="4"/>
        <v>1</v>
      </c>
      <c r="N336" s="10">
        <f t="shared" ca="1" si="3"/>
        <v>1</v>
      </c>
    </row>
    <row r="337" spans="1:14" ht="12.5">
      <c r="A337" s="10" t="str">
        <f ca="1">IFERROR(__xludf.DUMMYFUNCTION("""COMPUTED_VALUE"""),"610422100086-2024-9-SURVEI-PPL")</f>
        <v>610422100086-2024-9-SURVEI-PPL</v>
      </c>
      <c r="B337" s="5" t="str">
        <f t="shared" ca="1" si="0"/>
        <v>610422100086-2024-9</v>
      </c>
      <c r="C337" s="5">
        <f ca="1">IFERROR(__xludf.DUMMYFUNCTION("IF(N337=1,SPLIT(A337,""-""),"""")"),610422100086)</f>
        <v>610422100086</v>
      </c>
      <c r="D337" s="10">
        <f ca="1">IFERROR(__xludf.DUMMYFUNCTION("""COMPUTED_VALUE"""),2024)</f>
        <v>2024</v>
      </c>
      <c r="E337" s="10">
        <f ca="1">IFERROR(__xludf.DUMMYFUNCTION("""COMPUTED_VALUE"""),9)</f>
        <v>9</v>
      </c>
      <c r="F337" s="5" t="str">
        <f ca="1">IFERROR(__xludf.DUMMYFUNCTION("""COMPUTED_VALUE"""),"SURVEI")</f>
        <v>SURVEI</v>
      </c>
      <c r="G337" s="5" t="str">
        <f ca="1">IFERROR(__xludf.DUMMYFUNCTION("""COMPUTED_VALUE"""),"PPL")</f>
        <v>PPL</v>
      </c>
      <c r="H337" s="5" t="str">
        <f t="array" aca="1" ref="H337" ca="1">IF(N337=1, INDEX('Database Mitra'!$C$2:$C993,MATCH($C337,'Database Mitra'!$AK$2:$AK993,0)),"")</f>
        <v>Imamul akhyar</v>
      </c>
      <c r="I337" s="71">
        <f ca="1">IF(N337=1,SUMIFS('Alokasi Honor'!$M$2:$M993,'Alokasi Honor'!$T$2:$T993,A337),"")</f>
        <v>504000</v>
      </c>
      <c r="J337" s="10">
        <f ca="1">IFERROR(__xludf.DUMMYFUNCTION("COUNTIF(FILTER('Alokasi Honor'!$H$2:$H993,'Alokasi Honor'!$H$2:$H993=""OB"",'Alokasi Honor'!$T$2:$T993=A337),""OB"")"),0)</f>
        <v>0</v>
      </c>
      <c r="K337" s="10">
        <f t="shared" ca="1" si="1"/>
        <v>1</v>
      </c>
      <c r="L337" s="70">
        <f t="array" aca="1" ref="L337" ca="1">IF(N337=1,INDEX('Batasan Honor'!$B$2:$B993,MATCH(CONCATENATE($F337,"-",$G337),'Batasan Honor'!$G$2:$G993,0)),"")</f>
        <v>5400000</v>
      </c>
      <c r="M337" s="10">
        <f t="shared" ca="1" si="4"/>
        <v>1</v>
      </c>
      <c r="N337" s="10">
        <f t="shared" ca="1" si="3"/>
        <v>1</v>
      </c>
    </row>
    <row r="338" spans="1:14" ht="12.5">
      <c r="A338" s="10" t="str">
        <f ca="1">IFERROR(__xludf.DUMMYFUNCTION("""COMPUTED_VALUE"""),"610422040035-2024-9-SURVEI-PPL")</f>
        <v>610422040035-2024-9-SURVEI-PPL</v>
      </c>
      <c r="B338" s="5" t="str">
        <f t="shared" ca="1" si="0"/>
        <v>610422040035-2024-9</v>
      </c>
      <c r="C338" s="5">
        <f ca="1">IFERROR(__xludf.DUMMYFUNCTION("IF(N338=1,SPLIT(A338,""-""),"""")"),610422040035)</f>
        <v>610422040035</v>
      </c>
      <c r="D338" s="10">
        <f ca="1">IFERROR(__xludf.DUMMYFUNCTION("""COMPUTED_VALUE"""),2024)</f>
        <v>2024</v>
      </c>
      <c r="E338" s="10">
        <f ca="1">IFERROR(__xludf.DUMMYFUNCTION("""COMPUTED_VALUE"""),9)</f>
        <v>9</v>
      </c>
      <c r="F338" s="5" t="str">
        <f ca="1">IFERROR(__xludf.DUMMYFUNCTION("""COMPUTED_VALUE"""),"SURVEI")</f>
        <v>SURVEI</v>
      </c>
      <c r="G338" s="5" t="str">
        <f ca="1">IFERROR(__xludf.DUMMYFUNCTION("""COMPUTED_VALUE"""),"PPL")</f>
        <v>PPL</v>
      </c>
      <c r="H338" s="5" t="str">
        <f t="array" aca="1" ref="H338" ca="1">IF(N338=1, INDEX('Database Mitra'!$C$2:$C993,MATCH($C338,'Database Mitra'!$AK$2:$AK993,0)),"")</f>
        <v>Rahmayani</v>
      </c>
      <c r="I338" s="71">
        <f ca="1">IF(N338=1,SUMIFS('Alokasi Honor'!$M$2:$M993,'Alokasi Honor'!$T$2:$T993,A338),"")</f>
        <v>1104000</v>
      </c>
      <c r="J338" s="10">
        <f ca="1">IFERROR(__xludf.DUMMYFUNCTION("COUNTIF(FILTER('Alokasi Honor'!$H$2:$H993,'Alokasi Honor'!$H$2:$H993=""OB"",'Alokasi Honor'!$T$2:$T993=A338),""OB"")"),0)</f>
        <v>0</v>
      </c>
      <c r="K338" s="10">
        <f t="shared" ca="1" si="1"/>
        <v>1</v>
      </c>
      <c r="L338" s="70">
        <f t="array" aca="1" ref="L338" ca="1">IF(N338=1,INDEX('Batasan Honor'!$B$2:$B993,MATCH(CONCATENATE($F338,"-",$G338),'Batasan Honor'!$G$2:$G993,0)),"")</f>
        <v>5400000</v>
      </c>
      <c r="M338" s="10">
        <f t="shared" ca="1" si="4"/>
        <v>1</v>
      </c>
      <c r="N338" s="10">
        <f t="shared" ca="1" si="3"/>
        <v>1</v>
      </c>
    </row>
    <row r="339" spans="1:14" ht="12.5">
      <c r="A339" s="10" t="str">
        <f ca="1">IFERROR(__xludf.DUMMYFUNCTION("""COMPUTED_VALUE"""),"610422100055-2024-9-SURVEI-PPL")</f>
        <v>610422100055-2024-9-SURVEI-PPL</v>
      </c>
      <c r="B339" s="5" t="str">
        <f t="shared" ca="1" si="0"/>
        <v>610422100055-2024-9</v>
      </c>
      <c r="C339" s="5">
        <f ca="1">IFERROR(__xludf.DUMMYFUNCTION("IF(N339=1,SPLIT(A339,""-""),"""")"),610422100055)</f>
        <v>610422100055</v>
      </c>
      <c r="D339" s="10">
        <f ca="1">IFERROR(__xludf.DUMMYFUNCTION("""COMPUTED_VALUE"""),2024)</f>
        <v>2024</v>
      </c>
      <c r="E339" s="10">
        <f ca="1">IFERROR(__xludf.DUMMYFUNCTION("""COMPUTED_VALUE"""),9)</f>
        <v>9</v>
      </c>
      <c r="F339" s="5" t="str">
        <f ca="1">IFERROR(__xludf.DUMMYFUNCTION("""COMPUTED_VALUE"""),"SURVEI")</f>
        <v>SURVEI</v>
      </c>
      <c r="G339" s="5" t="str">
        <f ca="1">IFERROR(__xludf.DUMMYFUNCTION("""COMPUTED_VALUE"""),"PPL")</f>
        <v>PPL</v>
      </c>
      <c r="H339" s="5" t="str">
        <f t="array" aca="1" ref="H339" ca="1">IF(N339=1, INDEX('Database Mitra'!$C$2:$C993,MATCH($C339,'Database Mitra'!$AK$2:$AK993,0)),"")</f>
        <v>Vika Rizkiani</v>
      </c>
      <c r="I339" s="71">
        <f ca="1">IF(N339=1,SUMIFS('Alokasi Honor'!$M$2:$M993,'Alokasi Honor'!$T$2:$T993,A339),"")</f>
        <v>2462000</v>
      </c>
      <c r="J339" s="10">
        <f ca="1">IFERROR(__xludf.DUMMYFUNCTION("COUNTIF(FILTER('Alokasi Honor'!$H$2:$H993,'Alokasi Honor'!$H$2:$H993=""OB"",'Alokasi Honor'!$T$2:$T993=A339),""OB"")"),0)</f>
        <v>0</v>
      </c>
      <c r="K339" s="10">
        <f t="shared" ca="1" si="1"/>
        <v>1</v>
      </c>
      <c r="L339" s="70">
        <f t="array" aca="1" ref="L339" ca="1">IF(N339=1,INDEX('Batasan Honor'!$B$2:$B993,MATCH(CONCATENATE($F339,"-",$G339),'Batasan Honor'!$G$2:$G993,0)),"")</f>
        <v>5400000</v>
      </c>
      <c r="M339" s="10">
        <f t="shared" ca="1" si="4"/>
        <v>1</v>
      </c>
      <c r="N339" s="10">
        <f t="shared" ca="1" si="3"/>
        <v>1</v>
      </c>
    </row>
    <row r="340" spans="1:14" ht="12.5">
      <c r="A340" s="10" t="str">
        <f ca="1">IFERROR(__xludf.DUMMYFUNCTION("""COMPUTED_VALUE"""),"610422040052-2024-9-SURVEI-PPL")</f>
        <v>610422040052-2024-9-SURVEI-PPL</v>
      </c>
      <c r="B340" s="5" t="str">
        <f t="shared" ca="1" si="0"/>
        <v>610422040052-2024-9</v>
      </c>
      <c r="C340" s="5">
        <f ca="1">IFERROR(__xludf.DUMMYFUNCTION("IF(N340=1,SPLIT(A340,""-""),"""")"),610422040052)</f>
        <v>610422040052</v>
      </c>
      <c r="D340" s="10">
        <f ca="1">IFERROR(__xludf.DUMMYFUNCTION("""COMPUTED_VALUE"""),2024)</f>
        <v>2024</v>
      </c>
      <c r="E340" s="10">
        <f ca="1">IFERROR(__xludf.DUMMYFUNCTION("""COMPUTED_VALUE"""),9)</f>
        <v>9</v>
      </c>
      <c r="F340" s="5" t="str">
        <f ca="1">IFERROR(__xludf.DUMMYFUNCTION("""COMPUTED_VALUE"""),"SURVEI")</f>
        <v>SURVEI</v>
      </c>
      <c r="G340" s="5" t="str">
        <f ca="1">IFERROR(__xludf.DUMMYFUNCTION("""COMPUTED_VALUE"""),"PPL")</f>
        <v>PPL</v>
      </c>
      <c r="H340" s="5" t="str">
        <f t="array" aca="1" ref="H340" ca="1">IF(N340=1, INDEX('Database Mitra'!$C$2:$C993,MATCH($C340,'Database Mitra'!$AK$2:$AK993,0)),"")</f>
        <v>Yusimianto</v>
      </c>
      <c r="I340" s="71">
        <f ca="1">IF(N340=1,SUMIFS('Alokasi Honor'!$M$2:$M993,'Alokasi Honor'!$T$2:$T993,A340),"")</f>
        <v>2294000</v>
      </c>
      <c r="J340" s="10">
        <f ca="1">IFERROR(__xludf.DUMMYFUNCTION("COUNTIF(FILTER('Alokasi Honor'!$H$2:$H993,'Alokasi Honor'!$H$2:$H993=""OB"",'Alokasi Honor'!$T$2:$T993=A340),""OB"")"),0)</f>
        <v>0</v>
      </c>
      <c r="K340" s="10">
        <f t="shared" ca="1" si="1"/>
        <v>1</v>
      </c>
      <c r="L340" s="70">
        <f t="array" aca="1" ref="L340" ca="1">IF(N340=1,INDEX('Batasan Honor'!$B$2:$B993,MATCH(CONCATENATE($F340,"-",$G340),'Batasan Honor'!$G$2:$G993,0)),"")</f>
        <v>5400000</v>
      </c>
      <c r="M340" s="10">
        <f t="shared" ca="1" si="4"/>
        <v>1</v>
      </c>
      <c r="N340" s="10">
        <f t="shared" ca="1" si="3"/>
        <v>1</v>
      </c>
    </row>
    <row r="341" spans="1:14" ht="12.5">
      <c r="A341" s="10" t="str">
        <f ca="1">IFERROR(__xludf.DUMMYFUNCTION("""COMPUTED_VALUE"""),"610422100099-2024-9-SURVEI-PPL")</f>
        <v>610422100099-2024-9-SURVEI-PPL</v>
      </c>
      <c r="B341" s="5" t="str">
        <f t="shared" ca="1" si="0"/>
        <v>610422100099-2024-9</v>
      </c>
      <c r="C341" s="5">
        <f ca="1">IFERROR(__xludf.DUMMYFUNCTION("IF(N341=1,SPLIT(A341,""-""),"""")"),610422100099)</f>
        <v>610422100099</v>
      </c>
      <c r="D341" s="10">
        <f ca="1">IFERROR(__xludf.DUMMYFUNCTION("""COMPUTED_VALUE"""),2024)</f>
        <v>2024</v>
      </c>
      <c r="E341" s="10">
        <f ca="1">IFERROR(__xludf.DUMMYFUNCTION("""COMPUTED_VALUE"""),9)</f>
        <v>9</v>
      </c>
      <c r="F341" s="5" t="str">
        <f ca="1">IFERROR(__xludf.DUMMYFUNCTION("""COMPUTED_VALUE"""),"SURVEI")</f>
        <v>SURVEI</v>
      </c>
      <c r="G341" s="5" t="str">
        <f ca="1">IFERROR(__xludf.DUMMYFUNCTION("""COMPUTED_VALUE"""),"PPL")</f>
        <v>PPL</v>
      </c>
      <c r="H341" s="5" t="str">
        <f t="array" aca="1" ref="H341" ca="1">IF(N341=1, INDEX('Database Mitra'!$C$2:$C993,MATCH($C341,'Database Mitra'!$AK$2:$AK993,0)),"")</f>
        <v>Difa faradifa</v>
      </c>
      <c r="I341" s="71">
        <f ca="1">IF(N341=1,SUMIFS('Alokasi Honor'!$M$2:$M993,'Alokasi Honor'!$T$2:$T993,A341),"")</f>
        <v>504000</v>
      </c>
      <c r="J341" s="10">
        <f ca="1">IFERROR(__xludf.DUMMYFUNCTION("COUNTIF(FILTER('Alokasi Honor'!$H$2:$H993,'Alokasi Honor'!$H$2:$H993=""OB"",'Alokasi Honor'!$T$2:$T993=A341),""OB"")"),0)</f>
        <v>0</v>
      </c>
      <c r="K341" s="10">
        <f t="shared" ca="1" si="1"/>
        <v>1</v>
      </c>
      <c r="L341" s="70">
        <f t="array" aca="1" ref="L341" ca="1">IF(N341=1,INDEX('Batasan Honor'!$B$2:$B993,MATCH(CONCATENATE($F341,"-",$G341),'Batasan Honor'!$G$2:$G993,0)),"")</f>
        <v>5400000</v>
      </c>
      <c r="M341" s="10">
        <f t="shared" ca="1" si="4"/>
        <v>1</v>
      </c>
      <c r="N341" s="10">
        <f t="shared" ca="1" si="3"/>
        <v>1</v>
      </c>
    </row>
    <row r="342" spans="1:14" ht="12.5">
      <c r="A342" s="10" t="str">
        <f ca="1">IFERROR(__xludf.DUMMYFUNCTION("""COMPUTED_VALUE"""),"610422020045-2024-9-SURVEI-PPL")</f>
        <v>610422020045-2024-9-SURVEI-PPL</v>
      </c>
      <c r="B342" s="5" t="str">
        <f t="shared" ca="1" si="0"/>
        <v>610422020045-2024-9</v>
      </c>
      <c r="C342" s="5">
        <f ca="1">IFERROR(__xludf.DUMMYFUNCTION("IF(N342=1,SPLIT(A342,""-""),"""")"),610422020045)</f>
        <v>610422020045</v>
      </c>
      <c r="D342" s="10">
        <f ca="1">IFERROR(__xludf.DUMMYFUNCTION("""COMPUTED_VALUE"""),2024)</f>
        <v>2024</v>
      </c>
      <c r="E342" s="10">
        <f ca="1">IFERROR(__xludf.DUMMYFUNCTION("""COMPUTED_VALUE"""),9)</f>
        <v>9</v>
      </c>
      <c r="F342" s="5" t="str">
        <f ca="1">IFERROR(__xludf.DUMMYFUNCTION("""COMPUTED_VALUE"""),"SURVEI")</f>
        <v>SURVEI</v>
      </c>
      <c r="G342" s="5" t="str">
        <f ca="1">IFERROR(__xludf.DUMMYFUNCTION("""COMPUTED_VALUE"""),"PPL")</f>
        <v>PPL</v>
      </c>
      <c r="H342" s="5" t="str">
        <f t="array" aca="1" ref="H342" ca="1">IF(N342=1, INDEX('Database Mitra'!$C$2:$C993,MATCH($C342,'Database Mitra'!$AK$2:$AK993,0)),"")</f>
        <v>Herdinatara Febria</v>
      </c>
      <c r="I342" s="71">
        <f ca="1">IF(N342=1,SUMIFS('Alokasi Honor'!$M$2:$M993,'Alokasi Honor'!$T$2:$T993,A342),"")</f>
        <v>1862000</v>
      </c>
      <c r="J342" s="10">
        <f ca="1">IFERROR(__xludf.DUMMYFUNCTION("COUNTIF(FILTER('Alokasi Honor'!$H$2:$H993,'Alokasi Honor'!$H$2:$H993=""OB"",'Alokasi Honor'!$T$2:$T993=A342),""OB"")"),0)</f>
        <v>0</v>
      </c>
      <c r="K342" s="10">
        <f t="shared" ca="1" si="1"/>
        <v>1</v>
      </c>
      <c r="L342" s="70">
        <f t="array" aca="1" ref="L342" ca="1">IF(N342=1,INDEX('Batasan Honor'!$B$2:$B993,MATCH(CONCATENATE($F342,"-",$G342),'Batasan Honor'!$G$2:$G993,0)),"")</f>
        <v>5400000</v>
      </c>
      <c r="M342" s="10">
        <f t="shared" ca="1" si="4"/>
        <v>1</v>
      </c>
      <c r="N342" s="10">
        <f t="shared" ca="1" si="3"/>
        <v>1</v>
      </c>
    </row>
    <row r="343" spans="1:14" ht="12.5">
      <c r="A343" s="10" t="str">
        <f ca="1">IFERROR(__xludf.DUMMYFUNCTION("""COMPUTED_VALUE"""),"610422020016-2024-9-SURVEI-PPL")</f>
        <v>610422020016-2024-9-SURVEI-PPL</v>
      </c>
      <c r="B343" s="5" t="str">
        <f t="shared" ca="1" si="0"/>
        <v>610422020016-2024-9</v>
      </c>
      <c r="C343" s="5">
        <f ca="1">IFERROR(__xludf.DUMMYFUNCTION("IF(N343=1,SPLIT(A343,""-""),"""")"),610422020016)</f>
        <v>610422020016</v>
      </c>
      <c r="D343" s="10">
        <f ca="1">IFERROR(__xludf.DUMMYFUNCTION("""COMPUTED_VALUE"""),2024)</f>
        <v>2024</v>
      </c>
      <c r="E343" s="10">
        <f ca="1">IFERROR(__xludf.DUMMYFUNCTION("""COMPUTED_VALUE"""),9)</f>
        <v>9</v>
      </c>
      <c r="F343" s="5" t="str">
        <f ca="1">IFERROR(__xludf.DUMMYFUNCTION("""COMPUTED_VALUE"""),"SURVEI")</f>
        <v>SURVEI</v>
      </c>
      <c r="G343" s="5" t="str">
        <f ca="1">IFERROR(__xludf.DUMMYFUNCTION("""COMPUTED_VALUE"""),"PPL")</f>
        <v>PPL</v>
      </c>
      <c r="H343" s="5" t="str">
        <f t="array" aca="1" ref="H343" ca="1">IF(N343=1, INDEX('Database Mitra'!$C$2:$C993,MATCH($C343,'Database Mitra'!$AK$2:$AK993,0)),"")</f>
        <v>Abdul Aziz</v>
      </c>
      <c r="I343" s="71">
        <f ca="1">IF(N343=1,SUMIFS('Alokasi Honor'!$M$2:$M993,'Alokasi Honor'!$T$2:$T993,A343),"")</f>
        <v>2207000</v>
      </c>
      <c r="J343" s="10">
        <f ca="1">IFERROR(__xludf.DUMMYFUNCTION("COUNTIF(FILTER('Alokasi Honor'!$H$2:$H993,'Alokasi Honor'!$H$2:$H993=""OB"",'Alokasi Honor'!$T$2:$T993=A343),""OB"")"),0)</f>
        <v>0</v>
      </c>
      <c r="K343" s="10">
        <f t="shared" ca="1" si="1"/>
        <v>1</v>
      </c>
      <c r="L343" s="70">
        <f t="array" aca="1" ref="L343" ca="1">IF(N343=1,INDEX('Batasan Honor'!$B$2:$B993,MATCH(CONCATENATE($F343,"-",$G343),'Batasan Honor'!$G$2:$G993,0)),"")</f>
        <v>5400000</v>
      </c>
      <c r="M343" s="10">
        <f t="shared" ca="1" si="4"/>
        <v>1</v>
      </c>
      <c r="N343" s="10">
        <f t="shared" ca="1" si="3"/>
        <v>1</v>
      </c>
    </row>
    <row r="344" spans="1:14" ht="12.5">
      <c r="A344" s="10" t="str">
        <f ca="1">IFERROR(__xludf.DUMMYFUNCTION("""COMPUTED_VALUE"""),"610422100244-2024-9-SURVEI-PPL")</f>
        <v>610422100244-2024-9-SURVEI-PPL</v>
      </c>
      <c r="B344" s="5" t="str">
        <f t="shared" ca="1" si="0"/>
        <v>610422100244-2024-9</v>
      </c>
      <c r="C344" s="5">
        <f ca="1">IFERROR(__xludf.DUMMYFUNCTION("IF(N344=1,SPLIT(A344,""-""),"""")"),610422100244)</f>
        <v>610422100244</v>
      </c>
      <c r="D344" s="10">
        <f ca="1">IFERROR(__xludf.DUMMYFUNCTION("""COMPUTED_VALUE"""),2024)</f>
        <v>2024</v>
      </c>
      <c r="E344" s="10">
        <f ca="1">IFERROR(__xludf.DUMMYFUNCTION("""COMPUTED_VALUE"""),9)</f>
        <v>9</v>
      </c>
      <c r="F344" s="5" t="str">
        <f ca="1">IFERROR(__xludf.DUMMYFUNCTION("""COMPUTED_VALUE"""),"SURVEI")</f>
        <v>SURVEI</v>
      </c>
      <c r="G344" s="5" t="str">
        <f ca="1">IFERROR(__xludf.DUMMYFUNCTION("""COMPUTED_VALUE"""),"PPL")</f>
        <v>PPL</v>
      </c>
      <c r="H344" s="5" t="str">
        <f t="array" aca="1" ref="H344" ca="1">IF(N344=1, INDEX('Database Mitra'!$C$2:$C993,MATCH($C344,'Database Mitra'!$AK$2:$AK993,0)),"")</f>
        <v>Sugianto</v>
      </c>
      <c r="I344" s="71">
        <f ca="1">IF(N344=1,SUMIFS('Alokasi Honor'!$M$2:$M993,'Alokasi Honor'!$T$2:$T993,A344),"")</f>
        <v>2940000</v>
      </c>
      <c r="J344" s="10">
        <f ca="1">IFERROR(__xludf.DUMMYFUNCTION("COUNTIF(FILTER('Alokasi Honor'!$H$2:$H993,'Alokasi Honor'!$H$2:$H993=""OB"",'Alokasi Honor'!$T$2:$T993=A344),""OB"")"),0)</f>
        <v>0</v>
      </c>
      <c r="K344" s="10">
        <f t="shared" ca="1" si="1"/>
        <v>1</v>
      </c>
      <c r="L344" s="70">
        <f t="array" aca="1" ref="L344" ca="1">IF(N344=1,INDEX('Batasan Honor'!$B$2:$B993,MATCH(CONCATENATE($F344,"-",$G344),'Batasan Honor'!$G$2:$G993,0)),"")</f>
        <v>5400000</v>
      </c>
      <c r="M344" s="10">
        <f t="shared" ca="1" si="4"/>
        <v>1</v>
      </c>
      <c r="N344" s="10">
        <f t="shared" ca="1" si="3"/>
        <v>1</v>
      </c>
    </row>
    <row r="345" spans="1:14" ht="12.5">
      <c r="A345" s="10" t="str">
        <f ca="1">IFERROR(__xludf.DUMMYFUNCTION("""COMPUTED_VALUE"""),"610423040014-2024-9-SURVEI-PPL")</f>
        <v>610423040014-2024-9-SURVEI-PPL</v>
      </c>
      <c r="B345" s="5" t="str">
        <f t="shared" ca="1" si="0"/>
        <v>610423040014-2024-9</v>
      </c>
      <c r="C345" s="5">
        <f ca="1">IFERROR(__xludf.DUMMYFUNCTION("IF(N345=1,SPLIT(A345,""-""),"""")"),610423040014)</f>
        <v>610423040014</v>
      </c>
      <c r="D345" s="10">
        <f ca="1">IFERROR(__xludf.DUMMYFUNCTION("""COMPUTED_VALUE"""),2024)</f>
        <v>2024</v>
      </c>
      <c r="E345" s="10">
        <f ca="1">IFERROR(__xludf.DUMMYFUNCTION("""COMPUTED_VALUE"""),9)</f>
        <v>9</v>
      </c>
      <c r="F345" s="5" t="str">
        <f ca="1">IFERROR(__xludf.DUMMYFUNCTION("""COMPUTED_VALUE"""),"SURVEI")</f>
        <v>SURVEI</v>
      </c>
      <c r="G345" s="5" t="str">
        <f ca="1">IFERROR(__xludf.DUMMYFUNCTION("""COMPUTED_VALUE"""),"PPL")</f>
        <v>PPL</v>
      </c>
      <c r="H345" s="5" t="str">
        <f t="array" aca="1" ref="H345" ca="1">IF(N345=1, INDEX('Database Mitra'!$C$2:$C993,MATCH($C345,'Database Mitra'!$AK$2:$AK993,0)),"")</f>
        <v>Fransiska romana</v>
      </c>
      <c r="I345" s="71">
        <f ca="1">IF(N345=1,SUMIFS('Alokasi Honor'!$M$2:$M993,'Alokasi Honor'!$T$2:$T993,A345),"")</f>
        <v>336000</v>
      </c>
      <c r="J345" s="10">
        <f ca="1">IFERROR(__xludf.DUMMYFUNCTION("COUNTIF(FILTER('Alokasi Honor'!$H$2:$H993,'Alokasi Honor'!$H$2:$H993=""OB"",'Alokasi Honor'!$T$2:$T993=A345),""OB"")"),0)</f>
        <v>0</v>
      </c>
      <c r="K345" s="10">
        <f t="shared" ca="1" si="1"/>
        <v>1</v>
      </c>
      <c r="L345" s="70">
        <f t="array" aca="1" ref="L345" ca="1">IF(N345=1,INDEX('Batasan Honor'!$B$2:$B993,MATCH(CONCATENATE($F345,"-",$G345),'Batasan Honor'!$G$2:$G993,0)),"")</f>
        <v>5400000</v>
      </c>
      <c r="M345" s="10">
        <f t="shared" ca="1" si="4"/>
        <v>1</v>
      </c>
      <c r="N345" s="10">
        <f t="shared" ca="1" si="3"/>
        <v>1</v>
      </c>
    </row>
    <row r="346" spans="1:14" ht="12.5">
      <c r="A346" s="10" t="str">
        <f ca="1">IFERROR(__xludf.DUMMYFUNCTION("""COMPUTED_VALUE"""),"610422020040-2024-9-SURVEI-PPL")</f>
        <v>610422020040-2024-9-SURVEI-PPL</v>
      </c>
      <c r="B346" s="5" t="str">
        <f t="shared" ca="1" si="0"/>
        <v>610422020040-2024-9</v>
      </c>
      <c r="C346" s="5">
        <f ca="1">IFERROR(__xludf.DUMMYFUNCTION("IF(N346=1,SPLIT(A346,""-""),"""")"),610422020040)</f>
        <v>610422020040</v>
      </c>
      <c r="D346" s="10">
        <f ca="1">IFERROR(__xludf.DUMMYFUNCTION("""COMPUTED_VALUE"""),2024)</f>
        <v>2024</v>
      </c>
      <c r="E346" s="10">
        <f ca="1">IFERROR(__xludf.DUMMYFUNCTION("""COMPUTED_VALUE"""),9)</f>
        <v>9</v>
      </c>
      <c r="F346" s="5" t="str">
        <f ca="1">IFERROR(__xludf.DUMMYFUNCTION("""COMPUTED_VALUE"""),"SURVEI")</f>
        <v>SURVEI</v>
      </c>
      <c r="G346" s="5" t="str">
        <f ca="1">IFERROR(__xludf.DUMMYFUNCTION("""COMPUTED_VALUE"""),"PPL")</f>
        <v>PPL</v>
      </c>
      <c r="H346" s="5" t="str">
        <f t="array" aca="1" ref="H346" ca="1">IF(N346=1, INDEX('Database Mitra'!$C$2:$C993,MATCH($C346,'Database Mitra'!$AK$2:$AK993,0)),"")</f>
        <v>Shofyansyah</v>
      </c>
      <c r="I346" s="71">
        <f ca="1">IF(N346=1,SUMIFS('Alokasi Honor'!$M$2:$M993,'Alokasi Honor'!$T$2:$T993,A346),"")</f>
        <v>504000</v>
      </c>
      <c r="J346" s="10">
        <f ca="1">IFERROR(__xludf.DUMMYFUNCTION("COUNTIF(FILTER('Alokasi Honor'!$H$2:$H993,'Alokasi Honor'!$H$2:$H993=""OB"",'Alokasi Honor'!$T$2:$T993=A346),""OB"")"),0)</f>
        <v>0</v>
      </c>
      <c r="K346" s="10">
        <f t="shared" ca="1" si="1"/>
        <v>1</v>
      </c>
      <c r="L346" s="70">
        <f t="array" aca="1" ref="L346" ca="1">IF(N346=1,INDEX('Batasan Honor'!$B$2:$B993,MATCH(CONCATENATE($F346,"-",$G346),'Batasan Honor'!$G$2:$G993,0)),"")</f>
        <v>5400000</v>
      </c>
      <c r="M346" s="10">
        <f t="shared" ca="1" si="4"/>
        <v>1</v>
      </c>
      <c r="N346" s="10">
        <f t="shared" ca="1" si="3"/>
        <v>1</v>
      </c>
    </row>
    <row r="347" spans="1:14" ht="12.5">
      <c r="A347" s="10" t="str">
        <f ca="1">IFERROR(__xludf.DUMMYFUNCTION("""COMPUTED_VALUE"""),"610422040056-2024-9-SURVEI-PPL")</f>
        <v>610422040056-2024-9-SURVEI-PPL</v>
      </c>
      <c r="B347" s="5" t="str">
        <f t="shared" ca="1" si="0"/>
        <v>610422040056-2024-9</v>
      </c>
      <c r="C347" s="5">
        <f ca="1">IFERROR(__xludf.DUMMYFUNCTION("IF(N347=1,SPLIT(A347,""-""),"""")"),610422040056)</f>
        <v>610422040056</v>
      </c>
      <c r="D347" s="10">
        <f ca="1">IFERROR(__xludf.DUMMYFUNCTION("""COMPUTED_VALUE"""),2024)</f>
        <v>2024</v>
      </c>
      <c r="E347" s="10">
        <f ca="1">IFERROR(__xludf.DUMMYFUNCTION("""COMPUTED_VALUE"""),9)</f>
        <v>9</v>
      </c>
      <c r="F347" s="5" t="str">
        <f ca="1">IFERROR(__xludf.DUMMYFUNCTION("""COMPUTED_VALUE"""),"SURVEI")</f>
        <v>SURVEI</v>
      </c>
      <c r="G347" s="5" t="str">
        <f ca="1">IFERROR(__xludf.DUMMYFUNCTION("""COMPUTED_VALUE"""),"PPL")</f>
        <v>PPL</v>
      </c>
      <c r="H347" s="5" t="str">
        <f t="array" aca="1" ref="H347" ca="1">IF(N347=1, INDEX('Database Mitra'!$C$2:$C993,MATCH($C347,'Database Mitra'!$AK$2:$AK993,0)),"")</f>
        <v>Wandi Syafari</v>
      </c>
      <c r="I347" s="71">
        <f ca="1">IF(N347=1,SUMIFS('Alokasi Honor'!$M$2:$M993,'Alokasi Honor'!$T$2:$T993,A347),"")</f>
        <v>614000</v>
      </c>
      <c r="J347" s="10">
        <f ca="1">IFERROR(__xludf.DUMMYFUNCTION("COUNTIF(FILTER('Alokasi Honor'!$H$2:$H993,'Alokasi Honor'!$H$2:$H993=""OB"",'Alokasi Honor'!$T$2:$T993=A347),""OB"")"),0)</f>
        <v>0</v>
      </c>
      <c r="K347" s="10">
        <f t="shared" ca="1" si="1"/>
        <v>1</v>
      </c>
      <c r="L347" s="70">
        <f t="array" aca="1" ref="L347" ca="1">IF(N347=1,INDEX('Batasan Honor'!$B$2:$B993,MATCH(CONCATENATE($F347,"-",$G347),'Batasan Honor'!$G$2:$G993,0)),"")</f>
        <v>5400000</v>
      </c>
      <c r="M347" s="10">
        <f t="shared" ca="1" si="4"/>
        <v>1</v>
      </c>
      <c r="N347" s="10">
        <f t="shared" ca="1" si="3"/>
        <v>1</v>
      </c>
    </row>
    <row r="348" spans="1:14" ht="12.5">
      <c r="A348" s="10" t="str">
        <f ca="1">IFERROR(__xludf.DUMMYFUNCTION("""COMPUTED_VALUE"""),"610422040058-2024-9-SURVEI-PPL")</f>
        <v>610422040058-2024-9-SURVEI-PPL</v>
      </c>
      <c r="B348" s="5" t="str">
        <f t="shared" ca="1" si="0"/>
        <v>610422040058-2024-9</v>
      </c>
      <c r="C348" s="5">
        <f ca="1">IFERROR(__xludf.DUMMYFUNCTION("IF(N348=1,SPLIT(A348,""-""),"""")"),610422040058)</f>
        <v>610422040058</v>
      </c>
      <c r="D348" s="10">
        <f ca="1">IFERROR(__xludf.DUMMYFUNCTION("""COMPUTED_VALUE"""),2024)</f>
        <v>2024</v>
      </c>
      <c r="E348" s="10">
        <f ca="1">IFERROR(__xludf.DUMMYFUNCTION("""COMPUTED_VALUE"""),9)</f>
        <v>9</v>
      </c>
      <c r="F348" s="5" t="str">
        <f ca="1">IFERROR(__xludf.DUMMYFUNCTION("""COMPUTED_VALUE"""),"SURVEI")</f>
        <v>SURVEI</v>
      </c>
      <c r="G348" s="5" t="str">
        <f ca="1">IFERROR(__xludf.DUMMYFUNCTION("""COMPUTED_VALUE"""),"PPL")</f>
        <v>PPL</v>
      </c>
      <c r="H348" s="5" t="str">
        <f t="array" aca="1" ref="H348" ca="1">IF(N348=1, INDEX('Database Mitra'!$C$2:$C993,MATCH($C348,'Database Mitra'!$AK$2:$AK993,0)),"")</f>
        <v>Jamaluddin, SP</v>
      </c>
      <c r="I348" s="71">
        <f ca="1">IF(N348=1,SUMIFS('Alokasi Honor'!$M$2:$M993,'Alokasi Honor'!$T$2:$T993,A348),"")</f>
        <v>2452000</v>
      </c>
      <c r="J348" s="10">
        <f ca="1">IFERROR(__xludf.DUMMYFUNCTION("COUNTIF(FILTER('Alokasi Honor'!$H$2:$H993,'Alokasi Honor'!$H$2:$H993=""OB"",'Alokasi Honor'!$T$2:$T993=A348),""OB"")"),0)</f>
        <v>0</v>
      </c>
      <c r="K348" s="10">
        <f t="shared" ca="1" si="1"/>
        <v>1</v>
      </c>
      <c r="L348" s="70">
        <f t="array" aca="1" ref="L348" ca="1">IF(N348=1,INDEX('Batasan Honor'!$B$2:$B993,MATCH(CONCATENATE($F348,"-",$G348),'Batasan Honor'!$G$2:$G993,0)),"")</f>
        <v>5400000</v>
      </c>
      <c r="M348" s="10">
        <f t="shared" ca="1" si="4"/>
        <v>1</v>
      </c>
      <c r="N348" s="10">
        <f t="shared" ca="1" si="3"/>
        <v>1</v>
      </c>
    </row>
    <row r="349" spans="1:14" ht="12.5">
      <c r="A349" s="10" t="str">
        <f ca="1">IFERROR(__xludf.DUMMYFUNCTION("""COMPUTED_VALUE"""),"610422020032-2024-9-SURVEI-PPL")</f>
        <v>610422020032-2024-9-SURVEI-PPL</v>
      </c>
      <c r="B349" s="5" t="str">
        <f t="shared" ca="1" si="0"/>
        <v>610422020032-2024-9</v>
      </c>
      <c r="C349" s="5">
        <f ca="1">IFERROR(__xludf.DUMMYFUNCTION("IF(N349=1,SPLIT(A349,""-""),"""")"),610422020032)</f>
        <v>610422020032</v>
      </c>
      <c r="D349" s="10">
        <f ca="1">IFERROR(__xludf.DUMMYFUNCTION("""COMPUTED_VALUE"""),2024)</f>
        <v>2024</v>
      </c>
      <c r="E349" s="10">
        <f ca="1">IFERROR(__xludf.DUMMYFUNCTION("""COMPUTED_VALUE"""),9)</f>
        <v>9</v>
      </c>
      <c r="F349" s="5" t="str">
        <f ca="1">IFERROR(__xludf.DUMMYFUNCTION("""COMPUTED_VALUE"""),"SURVEI")</f>
        <v>SURVEI</v>
      </c>
      <c r="G349" s="5" t="str">
        <f ca="1">IFERROR(__xludf.DUMMYFUNCTION("""COMPUTED_VALUE"""),"PPL")</f>
        <v>PPL</v>
      </c>
      <c r="H349" s="5" t="str">
        <f t="array" aca="1" ref="H349" ca="1">IF(N349=1, INDEX('Database Mitra'!$C$2:$C993,MATCH($C349,'Database Mitra'!$AK$2:$AK993,0)),"")</f>
        <v>Lilis Suryani</v>
      </c>
      <c r="I349" s="71">
        <f ca="1">IF(N349=1,SUMIFS('Alokasi Honor'!$M$2:$M993,'Alokasi Honor'!$T$2:$T993,A349),"")</f>
        <v>2462000</v>
      </c>
      <c r="J349" s="10">
        <f ca="1">IFERROR(__xludf.DUMMYFUNCTION("COUNTIF(FILTER('Alokasi Honor'!$H$2:$H993,'Alokasi Honor'!$H$2:$H993=""OB"",'Alokasi Honor'!$T$2:$T993=A349),""OB"")"),0)</f>
        <v>0</v>
      </c>
      <c r="K349" s="10">
        <f t="shared" ca="1" si="1"/>
        <v>1</v>
      </c>
      <c r="L349" s="70">
        <f t="array" aca="1" ref="L349" ca="1">IF(N349=1,INDEX('Batasan Honor'!$B$2:$B993,MATCH(CONCATENATE($F349,"-",$G349),'Batasan Honor'!$G$2:$G993,0)),"")</f>
        <v>5400000</v>
      </c>
      <c r="M349" s="10">
        <f t="shared" ca="1" si="4"/>
        <v>1</v>
      </c>
      <c r="N349" s="10">
        <f t="shared" ca="1" si="3"/>
        <v>1</v>
      </c>
    </row>
    <row r="350" spans="1:14" ht="12.5">
      <c r="A350" s="10" t="str">
        <f ca="1">IFERROR(__xludf.DUMMYFUNCTION("""COMPUTED_VALUE"""),"610422040034-2024-9-SURVEI-PPL")</f>
        <v>610422040034-2024-9-SURVEI-PPL</v>
      </c>
      <c r="B350" s="5" t="str">
        <f t="shared" ca="1" si="0"/>
        <v>610422040034-2024-9</v>
      </c>
      <c r="C350" s="5">
        <f ca="1">IFERROR(__xludf.DUMMYFUNCTION("IF(N350=1,SPLIT(A350,""-""),"""")"),610422040034)</f>
        <v>610422040034</v>
      </c>
      <c r="D350" s="10">
        <f ca="1">IFERROR(__xludf.DUMMYFUNCTION("""COMPUTED_VALUE"""),2024)</f>
        <v>2024</v>
      </c>
      <c r="E350" s="10">
        <f ca="1">IFERROR(__xludf.DUMMYFUNCTION("""COMPUTED_VALUE"""),9)</f>
        <v>9</v>
      </c>
      <c r="F350" s="5" t="str">
        <f ca="1">IFERROR(__xludf.DUMMYFUNCTION("""COMPUTED_VALUE"""),"SURVEI")</f>
        <v>SURVEI</v>
      </c>
      <c r="G350" s="5" t="str">
        <f ca="1">IFERROR(__xludf.DUMMYFUNCTION("""COMPUTED_VALUE"""),"PPL")</f>
        <v>PPL</v>
      </c>
      <c r="H350" s="5" t="str">
        <f t="array" aca="1" ref="H350" ca="1">IF(N350=1, INDEX('Database Mitra'!$C$2:$C993,MATCH($C350,'Database Mitra'!$AK$2:$AK993,0)),"")</f>
        <v>Nelly Nalita</v>
      </c>
      <c r="I350" s="71">
        <f ca="1">IF(N350=1,SUMIFS('Alokasi Honor'!$M$2:$M993,'Alokasi Honor'!$T$2:$T993,A350),"")</f>
        <v>1862000</v>
      </c>
      <c r="J350" s="10">
        <f ca="1">IFERROR(__xludf.DUMMYFUNCTION("COUNTIF(FILTER('Alokasi Honor'!$H$2:$H993,'Alokasi Honor'!$H$2:$H993=""OB"",'Alokasi Honor'!$T$2:$T993=A350),""OB"")"),0)</f>
        <v>0</v>
      </c>
      <c r="K350" s="10">
        <f t="shared" ca="1" si="1"/>
        <v>1</v>
      </c>
      <c r="L350" s="70">
        <f t="array" aca="1" ref="L350" ca="1">IF(N350=1,INDEX('Batasan Honor'!$B$2:$B993,MATCH(CONCATENATE($F350,"-",$G350),'Batasan Honor'!$G$2:$G993,0)),"")</f>
        <v>5400000</v>
      </c>
      <c r="M350" s="10">
        <f t="shared" ca="1" si="4"/>
        <v>1</v>
      </c>
      <c r="N350" s="10">
        <f t="shared" ca="1" si="3"/>
        <v>1</v>
      </c>
    </row>
    <row r="351" spans="1:14" ht="12.5">
      <c r="A351" s="10" t="str">
        <f ca="1">IFERROR(__xludf.DUMMYFUNCTION("""COMPUTED_VALUE"""),"610422040051-2024-9-SURVEI-PPL")</f>
        <v>610422040051-2024-9-SURVEI-PPL</v>
      </c>
      <c r="B351" s="5" t="str">
        <f t="shared" ca="1" si="0"/>
        <v>610422040051-2024-9</v>
      </c>
      <c r="C351" s="5">
        <f ca="1">IFERROR(__xludf.DUMMYFUNCTION("IF(N351=1,SPLIT(A351,""-""),"""")"),610422040051)</f>
        <v>610422040051</v>
      </c>
      <c r="D351" s="10">
        <f ca="1">IFERROR(__xludf.DUMMYFUNCTION("""COMPUTED_VALUE"""),2024)</f>
        <v>2024</v>
      </c>
      <c r="E351" s="10">
        <f ca="1">IFERROR(__xludf.DUMMYFUNCTION("""COMPUTED_VALUE"""),9)</f>
        <v>9</v>
      </c>
      <c r="F351" s="5" t="str">
        <f ca="1">IFERROR(__xludf.DUMMYFUNCTION("""COMPUTED_VALUE"""),"SURVEI")</f>
        <v>SURVEI</v>
      </c>
      <c r="G351" s="5" t="str">
        <f ca="1">IFERROR(__xludf.DUMMYFUNCTION("""COMPUTED_VALUE"""),"PPL")</f>
        <v>PPL</v>
      </c>
      <c r="H351" s="5" t="str">
        <f t="array" aca="1" ref="H351" ca="1">IF(N351=1, INDEX('Database Mitra'!$C$2:$C993,MATCH($C351,'Database Mitra'!$AK$2:$AK993,0)),"")</f>
        <v>Dede sri delvey</v>
      </c>
      <c r="I351" s="71">
        <f ca="1">IF(N351=1,SUMIFS('Alokasi Honor'!$M$2:$M993,'Alokasi Honor'!$T$2:$T993,A351),"")</f>
        <v>504000</v>
      </c>
      <c r="J351" s="10">
        <f ca="1">IFERROR(__xludf.DUMMYFUNCTION("COUNTIF(FILTER('Alokasi Honor'!$H$2:$H993,'Alokasi Honor'!$H$2:$H993=""OB"",'Alokasi Honor'!$T$2:$T993=A351),""OB"")"),0)</f>
        <v>0</v>
      </c>
      <c r="K351" s="10">
        <f t="shared" ca="1" si="1"/>
        <v>1</v>
      </c>
      <c r="L351" s="70">
        <f t="array" aca="1" ref="L351" ca="1">IF(N351=1,INDEX('Batasan Honor'!$B$2:$B993,MATCH(CONCATENATE($F351,"-",$G351),'Batasan Honor'!$G$2:$G993,0)),"")</f>
        <v>5400000</v>
      </c>
      <c r="M351" s="10">
        <f t="shared" ca="1" si="4"/>
        <v>1</v>
      </c>
      <c r="N351" s="10">
        <f t="shared" ca="1" si="3"/>
        <v>1</v>
      </c>
    </row>
    <row r="352" spans="1:14" ht="12.5">
      <c r="A352" s="10" t="str">
        <f ca="1">IFERROR(__xludf.DUMMYFUNCTION("""COMPUTED_VALUE"""),"610423040013-2024-9-SURVEI-PPL")</f>
        <v>610423040013-2024-9-SURVEI-PPL</v>
      </c>
      <c r="B352" s="5" t="str">
        <f t="shared" ca="1" si="0"/>
        <v>610423040013-2024-9</v>
      </c>
      <c r="C352" s="5">
        <f ca="1">IFERROR(__xludf.DUMMYFUNCTION("IF(N352=1,SPLIT(A352,""-""),"""")"),610423040013)</f>
        <v>610423040013</v>
      </c>
      <c r="D352" s="10">
        <f ca="1">IFERROR(__xludf.DUMMYFUNCTION("""COMPUTED_VALUE"""),2024)</f>
        <v>2024</v>
      </c>
      <c r="E352" s="10">
        <f ca="1">IFERROR(__xludf.DUMMYFUNCTION("""COMPUTED_VALUE"""),9)</f>
        <v>9</v>
      </c>
      <c r="F352" s="5" t="str">
        <f ca="1">IFERROR(__xludf.DUMMYFUNCTION("""COMPUTED_VALUE"""),"SURVEI")</f>
        <v>SURVEI</v>
      </c>
      <c r="G352" s="5" t="str">
        <f ca="1">IFERROR(__xludf.DUMMYFUNCTION("""COMPUTED_VALUE"""),"PPL")</f>
        <v>PPL</v>
      </c>
      <c r="H352" s="5" t="str">
        <f t="array" aca="1" ref="H352" ca="1">IF(N352=1, INDEX('Database Mitra'!$C$2:$C993,MATCH($C352,'Database Mitra'!$AK$2:$AK993,0)),"")</f>
        <v>Lulu Gesti Gunawati</v>
      </c>
      <c r="I352" s="71">
        <f ca="1">IF(N352=1,SUMIFS('Alokasi Honor'!$M$2:$M993,'Alokasi Honor'!$T$2:$T993,A352),"")</f>
        <v>2462000</v>
      </c>
      <c r="J352" s="10">
        <f ca="1">IFERROR(__xludf.DUMMYFUNCTION("COUNTIF(FILTER('Alokasi Honor'!$H$2:$H993,'Alokasi Honor'!$H$2:$H993=""OB"",'Alokasi Honor'!$T$2:$T993=A352),""OB"")"),0)</f>
        <v>0</v>
      </c>
      <c r="K352" s="10">
        <f t="shared" ca="1" si="1"/>
        <v>1</v>
      </c>
      <c r="L352" s="70">
        <f t="array" aca="1" ref="L352" ca="1">IF(N352=1,INDEX('Batasan Honor'!$B$2:$B993,MATCH(CONCATENATE($F352,"-",$G352),'Batasan Honor'!$G$2:$G993,0)),"")</f>
        <v>5400000</v>
      </c>
      <c r="M352" s="10">
        <f t="shared" ca="1" si="4"/>
        <v>1</v>
      </c>
      <c r="N352" s="10">
        <f t="shared" ca="1" si="3"/>
        <v>1</v>
      </c>
    </row>
    <row r="353" spans="1:14" ht="12.5">
      <c r="A353" s="10" t="str">
        <f ca="1">IFERROR(__xludf.DUMMYFUNCTION("""COMPUTED_VALUE"""),"610422100001-2024-9-SURVEI-PPL")</f>
        <v>610422100001-2024-9-SURVEI-PPL</v>
      </c>
      <c r="B353" s="5" t="str">
        <f t="shared" ca="1" si="0"/>
        <v>610422100001-2024-9</v>
      </c>
      <c r="C353" s="5">
        <f ca="1">IFERROR(__xludf.DUMMYFUNCTION("IF(N353=1,SPLIT(A353,""-""),"""")"),610422100001)</f>
        <v>610422100001</v>
      </c>
      <c r="D353" s="10">
        <f ca="1">IFERROR(__xludf.DUMMYFUNCTION("""COMPUTED_VALUE"""),2024)</f>
        <v>2024</v>
      </c>
      <c r="E353" s="10">
        <f ca="1">IFERROR(__xludf.DUMMYFUNCTION("""COMPUTED_VALUE"""),9)</f>
        <v>9</v>
      </c>
      <c r="F353" s="5" t="str">
        <f ca="1">IFERROR(__xludf.DUMMYFUNCTION("""COMPUTED_VALUE"""),"SURVEI")</f>
        <v>SURVEI</v>
      </c>
      <c r="G353" s="5" t="str">
        <f ca="1">IFERROR(__xludf.DUMMYFUNCTION("""COMPUTED_VALUE"""),"PPL")</f>
        <v>PPL</v>
      </c>
      <c r="H353" s="5" t="str">
        <f t="array" aca="1" ref="H353" ca="1">IF(N353=1, INDEX('Database Mitra'!$C$2:$C993,MATCH($C353,'Database Mitra'!$AK$2:$AK993,0)),"")</f>
        <v>Fatmawati,S.Hut</v>
      </c>
      <c r="I353" s="71">
        <f ca="1">IF(N353=1,SUMIFS('Alokasi Honor'!$M$2:$M993,'Alokasi Honor'!$T$2:$T993,A353),"")</f>
        <v>504000</v>
      </c>
      <c r="J353" s="10">
        <f ca="1">IFERROR(__xludf.DUMMYFUNCTION("COUNTIF(FILTER('Alokasi Honor'!$H$2:$H993,'Alokasi Honor'!$H$2:$H993=""OB"",'Alokasi Honor'!$T$2:$T993=A353),""OB"")"),0)</f>
        <v>0</v>
      </c>
      <c r="K353" s="10">
        <f t="shared" ca="1" si="1"/>
        <v>1</v>
      </c>
      <c r="L353" s="70">
        <f t="array" aca="1" ref="L353" ca="1">IF(N353=1,INDEX('Batasan Honor'!$B$2:$B993,MATCH(CONCATENATE($F353,"-",$G353),'Batasan Honor'!$G$2:$G993,0)),"")</f>
        <v>5400000</v>
      </c>
      <c r="M353" s="10">
        <f t="shared" ca="1" si="4"/>
        <v>1</v>
      </c>
      <c r="N353" s="10">
        <f t="shared" ca="1" si="3"/>
        <v>1</v>
      </c>
    </row>
    <row r="354" spans="1:14" ht="12.5">
      <c r="A354" s="10" t="str">
        <f ca="1">IFERROR(__xludf.DUMMYFUNCTION("""COMPUTED_VALUE"""),"610422040053-2024-9-SURVEI-PPL")</f>
        <v>610422040053-2024-9-SURVEI-PPL</v>
      </c>
      <c r="B354" s="5" t="str">
        <f t="shared" ca="1" si="0"/>
        <v>610422040053-2024-9</v>
      </c>
      <c r="C354" s="5">
        <f ca="1">IFERROR(__xludf.DUMMYFUNCTION("IF(N354=1,SPLIT(A354,""-""),"""")"),610422040053)</f>
        <v>610422040053</v>
      </c>
      <c r="D354" s="10">
        <f ca="1">IFERROR(__xludf.DUMMYFUNCTION("""COMPUTED_VALUE"""),2024)</f>
        <v>2024</v>
      </c>
      <c r="E354" s="10">
        <f ca="1">IFERROR(__xludf.DUMMYFUNCTION("""COMPUTED_VALUE"""),9)</f>
        <v>9</v>
      </c>
      <c r="F354" s="5" t="str">
        <f ca="1">IFERROR(__xludf.DUMMYFUNCTION("""COMPUTED_VALUE"""),"SURVEI")</f>
        <v>SURVEI</v>
      </c>
      <c r="G354" s="5" t="str">
        <f ca="1">IFERROR(__xludf.DUMMYFUNCTION("""COMPUTED_VALUE"""),"PPL")</f>
        <v>PPL</v>
      </c>
      <c r="H354" s="5" t="str">
        <f t="array" aca="1" ref="H354" ca="1">IF(N354=1, INDEX('Database Mitra'!$C$2:$C993,MATCH($C354,'Database Mitra'!$AK$2:$AK993,0)),"")</f>
        <v>Veti Ningsi</v>
      </c>
      <c r="I354" s="71">
        <f ca="1">IF(N354=1,SUMIFS('Alokasi Honor'!$M$2:$M993,'Alokasi Honor'!$T$2:$T993,A354),"")</f>
        <v>2462000</v>
      </c>
      <c r="J354" s="10">
        <f ca="1">IFERROR(__xludf.DUMMYFUNCTION("COUNTIF(FILTER('Alokasi Honor'!$H$2:$H993,'Alokasi Honor'!$H$2:$H993=""OB"",'Alokasi Honor'!$T$2:$T993=A354),""OB"")"),0)</f>
        <v>0</v>
      </c>
      <c r="K354" s="10">
        <f t="shared" ca="1" si="1"/>
        <v>1</v>
      </c>
      <c r="L354" s="70">
        <f t="array" aca="1" ref="L354" ca="1">IF(N354=1,INDEX('Batasan Honor'!$B$2:$B993,MATCH(CONCATENATE($F354,"-",$G354),'Batasan Honor'!$G$2:$G993,0)),"")</f>
        <v>5400000</v>
      </c>
      <c r="M354" s="10">
        <f t="shared" ca="1" si="4"/>
        <v>1</v>
      </c>
      <c r="N354" s="10">
        <f t="shared" ca="1" si="3"/>
        <v>1</v>
      </c>
    </row>
    <row r="355" spans="1:14" ht="12.5">
      <c r="A355" s="10" t="str">
        <f ca="1">IFERROR(__xludf.DUMMYFUNCTION("""COMPUTED_VALUE"""),"610422020048-2024-9-SURVEI-PPL")</f>
        <v>610422020048-2024-9-SURVEI-PPL</v>
      </c>
      <c r="B355" s="5" t="str">
        <f t="shared" ca="1" si="0"/>
        <v>610422020048-2024-9</v>
      </c>
      <c r="C355" s="5">
        <f ca="1">IFERROR(__xludf.DUMMYFUNCTION("IF(N355=1,SPLIT(A355,""-""),"""")"),610422020048)</f>
        <v>610422020048</v>
      </c>
      <c r="D355" s="10">
        <f ca="1">IFERROR(__xludf.DUMMYFUNCTION("""COMPUTED_VALUE"""),2024)</f>
        <v>2024</v>
      </c>
      <c r="E355" s="10">
        <f ca="1">IFERROR(__xludf.DUMMYFUNCTION("""COMPUTED_VALUE"""),9)</f>
        <v>9</v>
      </c>
      <c r="F355" s="5" t="str">
        <f ca="1">IFERROR(__xludf.DUMMYFUNCTION("""COMPUTED_VALUE"""),"SURVEI")</f>
        <v>SURVEI</v>
      </c>
      <c r="G355" s="5" t="str">
        <f ca="1">IFERROR(__xludf.DUMMYFUNCTION("""COMPUTED_VALUE"""),"PPL")</f>
        <v>PPL</v>
      </c>
      <c r="H355" s="5" t="str">
        <f t="array" aca="1" ref="H355" ca="1">IF(N355=1, INDEX('Database Mitra'!$C$2:$C993,MATCH($C355,'Database Mitra'!$AK$2:$AK993,0)),"")</f>
        <v>Herri Gustaman</v>
      </c>
      <c r="I355" s="71">
        <f ca="1">IF(N355=1,SUMIFS('Alokasi Honor'!$M$2:$M993,'Alokasi Honor'!$T$2:$T993,A355),"")</f>
        <v>759000</v>
      </c>
      <c r="J355" s="10">
        <f ca="1">IFERROR(__xludf.DUMMYFUNCTION("COUNTIF(FILTER('Alokasi Honor'!$H$2:$H993,'Alokasi Honor'!$H$2:$H993=""OB"",'Alokasi Honor'!$T$2:$T993=A355),""OB"")"),0)</f>
        <v>0</v>
      </c>
      <c r="K355" s="10">
        <f t="shared" ca="1" si="1"/>
        <v>1</v>
      </c>
      <c r="L355" s="70">
        <f t="array" aca="1" ref="L355" ca="1">IF(N355=1,INDEX('Batasan Honor'!$B$2:$B993,MATCH(CONCATENATE($F355,"-",$G355),'Batasan Honor'!$G$2:$G993,0)),"")</f>
        <v>5400000</v>
      </c>
      <c r="M355" s="10">
        <f t="shared" ca="1" si="4"/>
        <v>1</v>
      </c>
      <c r="N355" s="10">
        <f t="shared" ca="1" si="3"/>
        <v>1</v>
      </c>
    </row>
    <row r="356" spans="1:14" ht="12.5">
      <c r="A356" s="10" t="str">
        <f ca="1">IFERROR(__xludf.DUMMYFUNCTION("""COMPUTED_VALUE"""),"610422040030-2024-9-SURVEI-PPL")</f>
        <v>610422040030-2024-9-SURVEI-PPL</v>
      </c>
      <c r="B356" s="5" t="str">
        <f t="shared" ca="1" si="0"/>
        <v>610422040030-2024-9</v>
      </c>
      <c r="C356" s="5">
        <f ca="1">IFERROR(__xludf.DUMMYFUNCTION("IF(N356=1,SPLIT(A356,""-""),"""")"),610422040030)</f>
        <v>610422040030</v>
      </c>
      <c r="D356" s="10">
        <f ca="1">IFERROR(__xludf.DUMMYFUNCTION("""COMPUTED_VALUE"""),2024)</f>
        <v>2024</v>
      </c>
      <c r="E356" s="10">
        <f ca="1">IFERROR(__xludf.DUMMYFUNCTION("""COMPUTED_VALUE"""),9)</f>
        <v>9</v>
      </c>
      <c r="F356" s="5" t="str">
        <f ca="1">IFERROR(__xludf.DUMMYFUNCTION("""COMPUTED_VALUE"""),"SURVEI")</f>
        <v>SURVEI</v>
      </c>
      <c r="G356" s="5" t="str">
        <f ca="1">IFERROR(__xludf.DUMMYFUNCTION("""COMPUTED_VALUE"""),"PPL")</f>
        <v>PPL</v>
      </c>
      <c r="H356" s="5" t="str">
        <f t="array" aca="1" ref="H356" ca="1">IF(N356=1, INDEX('Database Mitra'!$C$2:$C993,MATCH($C356,'Database Mitra'!$AK$2:$AK993,0)),"")</f>
        <v>Syarifah Desti Pratiwi</v>
      </c>
      <c r="I356" s="71">
        <f ca="1">IF(N356=1,SUMIFS('Alokasi Honor'!$M$2:$M993,'Alokasi Honor'!$T$2:$T993,A356),"")</f>
        <v>347000</v>
      </c>
      <c r="J356" s="10">
        <f ca="1">IFERROR(__xludf.DUMMYFUNCTION("COUNTIF(FILTER('Alokasi Honor'!$H$2:$H993,'Alokasi Honor'!$H$2:$H993=""OB"",'Alokasi Honor'!$T$2:$T993=A356),""OB"")"),0)</f>
        <v>0</v>
      </c>
      <c r="K356" s="10">
        <f t="shared" ca="1" si="1"/>
        <v>1</v>
      </c>
      <c r="L356" s="70">
        <f t="array" aca="1" ref="L356" ca="1">IF(N356=1,INDEX('Batasan Honor'!$B$2:$B993,MATCH(CONCATENATE($F356,"-",$G356),'Batasan Honor'!$G$2:$G993,0)),"")</f>
        <v>5400000</v>
      </c>
      <c r="M356" s="10">
        <f t="shared" ca="1" si="4"/>
        <v>1</v>
      </c>
      <c r="N356" s="10">
        <f t="shared" ca="1" si="3"/>
        <v>1</v>
      </c>
    </row>
    <row r="357" spans="1:14" ht="12.5">
      <c r="A357" s="10" t="str">
        <f ca="1">IFERROR(__xludf.DUMMYFUNCTION("""COMPUTED_VALUE"""),"610422100165-2024-9-SURVEI-PPL")</f>
        <v>610422100165-2024-9-SURVEI-PPL</v>
      </c>
      <c r="B357" s="5" t="str">
        <f t="shared" ca="1" si="0"/>
        <v>610422100165-2024-9</v>
      </c>
      <c r="C357" s="5">
        <f ca="1">IFERROR(__xludf.DUMMYFUNCTION("IF(N357=1,SPLIT(A357,""-""),"""")"),610422100165)</f>
        <v>610422100165</v>
      </c>
      <c r="D357" s="10">
        <f ca="1">IFERROR(__xludf.DUMMYFUNCTION("""COMPUTED_VALUE"""),2024)</f>
        <v>2024</v>
      </c>
      <c r="E357" s="10">
        <f ca="1">IFERROR(__xludf.DUMMYFUNCTION("""COMPUTED_VALUE"""),9)</f>
        <v>9</v>
      </c>
      <c r="F357" s="5" t="str">
        <f ca="1">IFERROR(__xludf.DUMMYFUNCTION("""COMPUTED_VALUE"""),"SURVEI")</f>
        <v>SURVEI</v>
      </c>
      <c r="G357" s="5" t="str">
        <f ca="1">IFERROR(__xludf.DUMMYFUNCTION("""COMPUTED_VALUE"""),"PPL")</f>
        <v>PPL</v>
      </c>
      <c r="H357" s="5" t="str">
        <f t="array" aca="1" ref="H357" ca="1">IF(N357=1, INDEX('Database Mitra'!$C$2:$C993,MATCH($C357,'Database Mitra'!$AK$2:$AK993,0)),"")</f>
        <v>Yanti</v>
      </c>
      <c r="I357" s="71">
        <f ca="1">IF(N357=1,SUMIFS('Alokasi Honor'!$M$2:$M993,'Alokasi Honor'!$T$2:$T993,A357),"")</f>
        <v>836000</v>
      </c>
      <c r="J357" s="10">
        <f ca="1">IFERROR(__xludf.DUMMYFUNCTION("COUNTIF(FILTER('Alokasi Honor'!$H$2:$H993,'Alokasi Honor'!$H$2:$H993=""OB"",'Alokasi Honor'!$T$2:$T993=A357),""OB"")"),0)</f>
        <v>0</v>
      </c>
      <c r="K357" s="10">
        <f t="shared" ca="1" si="1"/>
        <v>1</v>
      </c>
      <c r="L357" s="70">
        <f t="array" aca="1" ref="L357" ca="1">IF(N357=1,INDEX('Batasan Honor'!$B$2:$B993,MATCH(CONCATENATE($F357,"-",$G357),'Batasan Honor'!$G$2:$G993,0)),"")</f>
        <v>5400000</v>
      </c>
      <c r="M357" s="10">
        <f t="shared" ca="1" si="4"/>
        <v>1</v>
      </c>
      <c r="N357" s="10">
        <f t="shared" ca="1" si="3"/>
        <v>1</v>
      </c>
    </row>
    <row r="358" spans="1:14" ht="12.5">
      <c r="A358" s="10" t="str">
        <f ca="1">IFERROR(__xludf.DUMMYFUNCTION("""COMPUTED_VALUE"""),"610422040038-2024-9-SURVEI-PPL")</f>
        <v>610422040038-2024-9-SURVEI-PPL</v>
      </c>
      <c r="B358" s="5" t="str">
        <f t="shared" ca="1" si="0"/>
        <v>610422040038-2024-9</v>
      </c>
      <c r="C358" s="5">
        <f ca="1">IFERROR(__xludf.DUMMYFUNCTION("IF(N358=1,SPLIT(A358,""-""),"""")"),610422040038)</f>
        <v>610422040038</v>
      </c>
      <c r="D358" s="10">
        <f ca="1">IFERROR(__xludf.DUMMYFUNCTION("""COMPUTED_VALUE"""),2024)</f>
        <v>2024</v>
      </c>
      <c r="E358" s="10">
        <f ca="1">IFERROR(__xludf.DUMMYFUNCTION("""COMPUTED_VALUE"""),9)</f>
        <v>9</v>
      </c>
      <c r="F358" s="5" t="str">
        <f ca="1">IFERROR(__xludf.DUMMYFUNCTION("""COMPUTED_VALUE"""),"SURVEI")</f>
        <v>SURVEI</v>
      </c>
      <c r="G358" s="5" t="str">
        <f ca="1">IFERROR(__xludf.DUMMYFUNCTION("""COMPUTED_VALUE"""),"PPL")</f>
        <v>PPL</v>
      </c>
      <c r="H358" s="5" t="str">
        <f t="array" aca="1" ref="H358" ca="1">IF(N358=1, INDEX('Database Mitra'!$C$2:$C993,MATCH($C358,'Database Mitra'!$AK$2:$AK993,0)),"")</f>
        <v>YUYUN ANTONI, S.E.</v>
      </c>
      <c r="I358" s="71">
        <f ca="1">IF(N358=1,SUMIFS('Alokasi Honor'!$M$2:$M993,'Alokasi Honor'!$T$2:$T993,A358),"")</f>
        <v>1358000</v>
      </c>
      <c r="J358" s="10">
        <f ca="1">IFERROR(__xludf.DUMMYFUNCTION("COUNTIF(FILTER('Alokasi Honor'!$H$2:$H993,'Alokasi Honor'!$H$2:$H993=""OB"",'Alokasi Honor'!$T$2:$T993=A358),""OB"")"),0)</f>
        <v>0</v>
      </c>
      <c r="K358" s="10">
        <f t="shared" ca="1" si="1"/>
        <v>1</v>
      </c>
      <c r="L358" s="70">
        <f t="array" aca="1" ref="L358" ca="1">IF(N358=1,INDEX('Batasan Honor'!$B$2:$B993,MATCH(CONCATENATE($F358,"-",$G358),'Batasan Honor'!$G$2:$G993,0)),"")</f>
        <v>5400000</v>
      </c>
      <c r="M358" s="10">
        <f t="shared" ca="1" si="4"/>
        <v>1</v>
      </c>
      <c r="N358" s="10">
        <f t="shared" ca="1" si="3"/>
        <v>1</v>
      </c>
    </row>
    <row r="359" spans="1:14" ht="12.5">
      <c r="A359" s="10" t="str">
        <f ca="1">IFERROR(__xludf.DUMMYFUNCTION("""COMPUTED_VALUE"""),"610422100085-2024-9-SURVEI-PPL")</f>
        <v>610422100085-2024-9-SURVEI-PPL</v>
      </c>
      <c r="B359" s="5" t="str">
        <f t="shared" ca="1" si="0"/>
        <v>610422100085-2024-9</v>
      </c>
      <c r="C359" s="5">
        <f ca="1">IFERROR(__xludf.DUMMYFUNCTION("IF(N359=1,SPLIT(A359,""-""),"""")"),610422100085)</f>
        <v>610422100085</v>
      </c>
      <c r="D359" s="10">
        <f ca="1">IFERROR(__xludf.DUMMYFUNCTION("""COMPUTED_VALUE"""),2024)</f>
        <v>2024</v>
      </c>
      <c r="E359" s="10">
        <f ca="1">IFERROR(__xludf.DUMMYFUNCTION("""COMPUTED_VALUE"""),9)</f>
        <v>9</v>
      </c>
      <c r="F359" s="5" t="str">
        <f ca="1">IFERROR(__xludf.DUMMYFUNCTION("""COMPUTED_VALUE"""),"SURVEI")</f>
        <v>SURVEI</v>
      </c>
      <c r="G359" s="5" t="str">
        <f ca="1">IFERROR(__xludf.DUMMYFUNCTION("""COMPUTED_VALUE"""),"PPL")</f>
        <v>PPL</v>
      </c>
      <c r="H359" s="5" t="str">
        <f t="array" aca="1" ref="H359" ca="1">IF(N359=1, INDEX('Database Mitra'!$C$2:$C993,MATCH($C359,'Database Mitra'!$AK$2:$AK993,0)),"")</f>
        <v>LINA AGUSTIN WIDYA SIWI</v>
      </c>
      <c r="I359" s="71">
        <f ca="1">IF(N359=1,SUMIFS('Alokasi Honor'!$M$2:$M993,'Alokasi Honor'!$T$2:$T993,A359),"")</f>
        <v>1958000</v>
      </c>
      <c r="J359" s="10">
        <f ca="1">IFERROR(__xludf.DUMMYFUNCTION("COUNTIF(FILTER('Alokasi Honor'!$H$2:$H993,'Alokasi Honor'!$H$2:$H993=""OB"",'Alokasi Honor'!$T$2:$T993=A359),""OB"")"),0)</f>
        <v>0</v>
      </c>
      <c r="K359" s="10">
        <f t="shared" ca="1" si="1"/>
        <v>1</v>
      </c>
      <c r="L359" s="70">
        <f t="array" aca="1" ref="L359" ca="1">IF(N359=1,INDEX('Batasan Honor'!$B$2:$B993,MATCH(CONCATENATE($F359,"-",$G359),'Batasan Honor'!$G$2:$G993,0)),"")</f>
        <v>5400000</v>
      </c>
      <c r="M359" s="10">
        <f t="shared" ca="1" si="4"/>
        <v>1</v>
      </c>
      <c r="N359" s="10">
        <f t="shared" ca="1" si="3"/>
        <v>1</v>
      </c>
    </row>
    <row r="360" spans="1:14" ht="12.5">
      <c r="A360" s="10" t="str">
        <f ca="1">IFERROR(__xludf.DUMMYFUNCTION("""COMPUTED_VALUE"""),"610423040016-2024-9-SURVEI-PETUGAS ENTRI")</f>
        <v>610423040016-2024-9-SURVEI-PETUGAS ENTRI</v>
      </c>
      <c r="B360" s="5" t="str">
        <f t="shared" ca="1" si="0"/>
        <v>610423040016-2024-9</v>
      </c>
      <c r="C360" s="5">
        <f ca="1">IFERROR(__xludf.DUMMYFUNCTION("IF(N360=1,SPLIT(A360,""-""),"""")"),610423040016)</f>
        <v>610423040016</v>
      </c>
      <c r="D360" s="10">
        <f ca="1">IFERROR(__xludf.DUMMYFUNCTION("""COMPUTED_VALUE"""),2024)</f>
        <v>2024</v>
      </c>
      <c r="E360" s="10">
        <f ca="1">IFERROR(__xludf.DUMMYFUNCTION("""COMPUTED_VALUE"""),9)</f>
        <v>9</v>
      </c>
      <c r="F360" s="5" t="str">
        <f ca="1">IFERROR(__xludf.DUMMYFUNCTION("""COMPUTED_VALUE"""),"SURVEI")</f>
        <v>SURVEI</v>
      </c>
      <c r="G360" s="5" t="str">
        <f ca="1">IFERROR(__xludf.DUMMYFUNCTION("""COMPUTED_VALUE"""),"PETUGAS ENTRI")</f>
        <v>PETUGAS ENTRI</v>
      </c>
      <c r="H360" s="5" t="str">
        <f t="array" aca="1" ref="H360" ca="1">IF(N360=1, INDEX('Database Mitra'!$C$2:$C993,MATCH($C360,'Database Mitra'!$AK$2:$AK993,0)),"")</f>
        <v>Fairuztia Atiqah Putri</v>
      </c>
      <c r="I360" s="71">
        <f ca="1">IF(N360=1,SUMIFS('Alokasi Honor'!$M$2:$M993,'Alokasi Honor'!$T$2:$T993,A360),"")</f>
        <v>476000</v>
      </c>
      <c r="J360" s="10">
        <f ca="1">IFERROR(__xludf.DUMMYFUNCTION("COUNTIF(FILTER('Alokasi Honor'!$H$2:$H993,'Alokasi Honor'!$H$2:$H993=""OB"",'Alokasi Honor'!$T$2:$T993=A360),""OB"")"),0)</f>
        <v>0</v>
      </c>
      <c r="K360" s="10">
        <f t="shared" ca="1" si="1"/>
        <v>1</v>
      </c>
      <c r="L360" s="70">
        <f t="array" aca="1" ref="L360" ca="1">IF(N360=1,INDEX('Batasan Honor'!$B$2:$B993,MATCH(CONCATENATE($F360,"-",$G360),'Batasan Honor'!$G$2:$G993,0)),"")</f>
        <v>5400000</v>
      </c>
      <c r="M360" s="10">
        <f t="shared" ca="1" si="4"/>
        <v>1</v>
      </c>
      <c r="N360" s="10">
        <f t="shared" ca="1" si="3"/>
        <v>1</v>
      </c>
    </row>
    <row r="361" spans="1:14" ht="12.5">
      <c r="A361" s="10" t="str">
        <f ca="1">IFERROR(__xludf.DUMMYFUNCTION("""COMPUTED_VALUE"""),"610422030002-2024-9-SURVEI-PPL")</f>
        <v>610422030002-2024-9-SURVEI-PPL</v>
      </c>
      <c r="B361" s="5" t="str">
        <f t="shared" ca="1" si="0"/>
        <v>610422030002-2024-9</v>
      </c>
      <c r="C361" s="5">
        <f ca="1">IFERROR(__xludf.DUMMYFUNCTION("IF(N361=1,SPLIT(A361,""-""),"""")"),610422030002)</f>
        <v>610422030002</v>
      </c>
      <c r="D361" s="10">
        <f ca="1">IFERROR(__xludf.DUMMYFUNCTION("""COMPUTED_VALUE"""),2024)</f>
        <v>2024</v>
      </c>
      <c r="E361" s="10">
        <f ca="1">IFERROR(__xludf.DUMMYFUNCTION("""COMPUTED_VALUE"""),9)</f>
        <v>9</v>
      </c>
      <c r="F361" s="5" t="str">
        <f ca="1">IFERROR(__xludf.DUMMYFUNCTION("""COMPUTED_VALUE"""),"SURVEI")</f>
        <v>SURVEI</v>
      </c>
      <c r="G361" s="5" t="str">
        <f ca="1">IFERROR(__xludf.DUMMYFUNCTION("""COMPUTED_VALUE"""),"PPL")</f>
        <v>PPL</v>
      </c>
      <c r="H361" s="5" t="str">
        <f t="array" aca="1" ref="H361" ca="1">IF(N361=1, INDEX('Database Mitra'!$C$2:$C993,MATCH($C361,'Database Mitra'!$AK$2:$AK993,0)),"")</f>
        <v>Deti erni widiastuti</v>
      </c>
      <c r="I361" s="71">
        <f ca="1">IF(N361=1,SUMIFS('Alokasi Honor'!$M$2:$M993,'Alokasi Honor'!$T$2:$T993,A361),"")</f>
        <v>750000</v>
      </c>
      <c r="J361" s="10">
        <f ca="1">IFERROR(__xludf.DUMMYFUNCTION("COUNTIF(FILTER('Alokasi Honor'!$H$2:$H993,'Alokasi Honor'!$H$2:$H993=""OB"",'Alokasi Honor'!$T$2:$T993=A361),""OB"")"),0)</f>
        <v>0</v>
      </c>
      <c r="K361" s="10">
        <f t="shared" ca="1" si="1"/>
        <v>1</v>
      </c>
      <c r="L361" s="70">
        <f t="array" aca="1" ref="L361" ca="1">IF(N361=1,INDEX('Batasan Honor'!$B$2:$B993,MATCH(CONCATENATE($F361,"-",$G361),'Batasan Honor'!$G$2:$G993,0)),"")</f>
        <v>5400000</v>
      </c>
      <c r="M361" s="10">
        <f t="shared" ca="1" si="4"/>
        <v>1</v>
      </c>
      <c r="N361" s="10">
        <f t="shared" ca="1" si="3"/>
        <v>1</v>
      </c>
    </row>
    <row r="362" spans="1:14" ht="12.5">
      <c r="A362" s="10" t="str">
        <f ca="1">IFERROR(__xludf.DUMMYFUNCTION("""COMPUTED_VALUE"""),"610422100124-2024-9-SURVEI-PPL")</f>
        <v>610422100124-2024-9-SURVEI-PPL</v>
      </c>
      <c r="B362" s="5" t="str">
        <f t="shared" ca="1" si="0"/>
        <v>610422100124-2024-9</v>
      </c>
      <c r="C362" s="5">
        <f ca="1">IFERROR(__xludf.DUMMYFUNCTION("IF(N362=1,SPLIT(A362,""-""),"""")"),610422100124)</f>
        <v>610422100124</v>
      </c>
      <c r="D362" s="10">
        <f ca="1">IFERROR(__xludf.DUMMYFUNCTION("""COMPUTED_VALUE"""),2024)</f>
        <v>2024</v>
      </c>
      <c r="E362" s="10">
        <f ca="1">IFERROR(__xludf.DUMMYFUNCTION("""COMPUTED_VALUE"""),9)</f>
        <v>9</v>
      </c>
      <c r="F362" s="5" t="str">
        <f ca="1">IFERROR(__xludf.DUMMYFUNCTION("""COMPUTED_VALUE"""),"SURVEI")</f>
        <v>SURVEI</v>
      </c>
      <c r="G362" s="5" t="str">
        <f ca="1">IFERROR(__xludf.DUMMYFUNCTION("""COMPUTED_VALUE"""),"PPL")</f>
        <v>PPL</v>
      </c>
      <c r="H362" s="5" t="str">
        <f t="array" aca="1" ref="H362" ca="1">IF(N362=1, INDEX('Database Mitra'!$C$2:$C993,MATCH($C362,'Database Mitra'!$AK$2:$AK993,0)),"")</f>
        <v>Prabowo</v>
      </c>
      <c r="I362" s="71">
        <f ca="1">IF(N362=1,SUMIFS('Alokasi Honor'!$M$2:$M993,'Alokasi Honor'!$T$2:$T993,A362),"")</f>
        <v>325000</v>
      </c>
      <c r="J362" s="10">
        <f ca="1">IFERROR(__xludf.DUMMYFUNCTION("COUNTIF(FILTER('Alokasi Honor'!$H$2:$H993,'Alokasi Honor'!$H$2:$H993=""OB"",'Alokasi Honor'!$T$2:$T993=A362),""OB"")"),0)</f>
        <v>0</v>
      </c>
      <c r="K362" s="10">
        <f t="shared" ca="1" si="1"/>
        <v>1</v>
      </c>
      <c r="L362" s="70">
        <f t="array" aca="1" ref="L362" ca="1">IF(N362=1,INDEX('Batasan Honor'!$B$2:$B993,MATCH(CONCATENATE($F362,"-",$G362),'Batasan Honor'!$G$2:$G993,0)),"")</f>
        <v>5400000</v>
      </c>
      <c r="M362" s="10">
        <f t="shared" ca="1" si="4"/>
        <v>1</v>
      </c>
      <c r="N362" s="10">
        <f t="shared" ca="1" si="3"/>
        <v>1</v>
      </c>
    </row>
    <row r="363" spans="1:14" ht="12.5">
      <c r="A363" s="10" t="str">
        <f ca="1">IFERROR(__xludf.DUMMYFUNCTION("""COMPUTED_VALUE"""),"610422100016-2024-9-SURVEI-PPL")</f>
        <v>610422100016-2024-9-SURVEI-PPL</v>
      </c>
      <c r="B363" s="5" t="str">
        <f t="shared" ca="1" si="0"/>
        <v>610422100016-2024-9</v>
      </c>
      <c r="C363" s="5">
        <f ca="1">IFERROR(__xludf.DUMMYFUNCTION("IF(N363=1,SPLIT(A363,""-""),"""")"),610422100016)</f>
        <v>610422100016</v>
      </c>
      <c r="D363" s="10">
        <f ca="1">IFERROR(__xludf.DUMMYFUNCTION("""COMPUTED_VALUE"""),2024)</f>
        <v>2024</v>
      </c>
      <c r="E363" s="10">
        <f ca="1">IFERROR(__xludf.DUMMYFUNCTION("""COMPUTED_VALUE"""),9)</f>
        <v>9</v>
      </c>
      <c r="F363" s="5" t="str">
        <f ca="1">IFERROR(__xludf.DUMMYFUNCTION("""COMPUTED_VALUE"""),"SURVEI")</f>
        <v>SURVEI</v>
      </c>
      <c r="G363" s="5" t="str">
        <f ca="1">IFERROR(__xludf.DUMMYFUNCTION("""COMPUTED_VALUE"""),"PPL")</f>
        <v>PPL</v>
      </c>
      <c r="H363" s="5" t="str">
        <f t="array" aca="1" ref="H363" ca="1">IF(N363=1, INDEX('Database Mitra'!$C$2:$C993,MATCH($C363,'Database Mitra'!$AK$2:$AK993,0)),"")</f>
        <v>Amalia Faisya</v>
      </c>
      <c r="I363" s="71">
        <f ca="1">IF(N363=1,SUMIFS('Alokasi Honor'!$M$2:$M993,'Alokasi Honor'!$T$2:$T993,A363),"")</f>
        <v>250000</v>
      </c>
      <c r="J363" s="10">
        <f ca="1">IFERROR(__xludf.DUMMYFUNCTION("COUNTIF(FILTER('Alokasi Honor'!$H$2:$H993,'Alokasi Honor'!$H$2:$H993=""OB"",'Alokasi Honor'!$T$2:$T993=A363),""OB"")"),0)</f>
        <v>0</v>
      </c>
      <c r="K363" s="10">
        <f t="shared" ca="1" si="1"/>
        <v>1</v>
      </c>
      <c r="L363" s="70">
        <f t="array" aca="1" ref="L363" ca="1">IF(N363=1,INDEX('Batasan Honor'!$B$2:$B993,MATCH(CONCATENATE($F363,"-",$G363),'Batasan Honor'!$G$2:$G993,0)),"")</f>
        <v>5400000</v>
      </c>
      <c r="M363" s="10">
        <f t="shared" ca="1" si="4"/>
        <v>1</v>
      </c>
      <c r="N363" s="10">
        <f t="shared" ca="1" si="3"/>
        <v>1</v>
      </c>
    </row>
    <row r="364" spans="1:14" ht="12.5">
      <c r="A364" s="10" t="str">
        <f ca="1">IFERROR(__xludf.DUMMYFUNCTION("""COMPUTED_VALUE"""),"610422050001-2024-9-SURVEI-PPL")</f>
        <v>610422050001-2024-9-SURVEI-PPL</v>
      </c>
      <c r="B364" s="5" t="str">
        <f t="shared" ca="1" si="0"/>
        <v>610422050001-2024-9</v>
      </c>
      <c r="C364" s="5">
        <f ca="1">IFERROR(__xludf.DUMMYFUNCTION("IF(N364=1,SPLIT(A364,""-""),"""")"),610422050001)</f>
        <v>610422050001</v>
      </c>
      <c r="D364" s="10">
        <f ca="1">IFERROR(__xludf.DUMMYFUNCTION("""COMPUTED_VALUE"""),2024)</f>
        <v>2024</v>
      </c>
      <c r="E364" s="10">
        <f ca="1">IFERROR(__xludf.DUMMYFUNCTION("""COMPUTED_VALUE"""),9)</f>
        <v>9</v>
      </c>
      <c r="F364" s="5" t="str">
        <f ca="1">IFERROR(__xludf.DUMMYFUNCTION("""COMPUTED_VALUE"""),"SURVEI")</f>
        <v>SURVEI</v>
      </c>
      <c r="G364" s="5" t="str">
        <f ca="1">IFERROR(__xludf.DUMMYFUNCTION("""COMPUTED_VALUE"""),"PPL")</f>
        <v>PPL</v>
      </c>
      <c r="H364" s="5" t="str">
        <f t="array" aca="1" ref="H364" ca="1">IF(N364=1, INDEX('Database Mitra'!$C$2:$C993,MATCH($C364,'Database Mitra'!$AK$2:$AK993,0)),"")</f>
        <v>EVI JUNIARTY</v>
      </c>
      <c r="I364" s="71">
        <f ca="1">IF(N364=1,SUMIFS('Alokasi Honor'!$M$2:$M993,'Alokasi Honor'!$T$2:$T993,A364),"")</f>
        <v>415000</v>
      </c>
      <c r="J364" s="10">
        <f ca="1">IFERROR(__xludf.DUMMYFUNCTION("COUNTIF(FILTER('Alokasi Honor'!$H$2:$H993,'Alokasi Honor'!$H$2:$H993=""OB"",'Alokasi Honor'!$T$2:$T993=A364),""OB"")"),0)</f>
        <v>0</v>
      </c>
      <c r="K364" s="10">
        <f t="shared" ca="1" si="1"/>
        <v>1</v>
      </c>
      <c r="L364" s="70">
        <f t="array" aca="1" ref="L364" ca="1">IF(N364=1,INDEX('Batasan Honor'!$B$2:$B993,MATCH(CONCATENATE($F364,"-",$G364),'Batasan Honor'!$G$2:$G993,0)),"")</f>
        <v>5400000</v>
      </c>
      <c r="M364" s="10">
        <f t="shared" ca="1" si="4"/>
        <v>1</v>
      </c>
      <c r="N364" s="10">
        <f t="shared" ca="1" si="3"/>
        <v>1</v>
      </c>
    </row>
    <row r="365" spans="1:14" ht="12.5">
      <c r="A365" s="10" t="str">
        <f ca="1">IFERROR(__xludf.DUMMYFUNCTION("""COMPUTED_VALUE"""),"610422040012-2024-9-SURVEI-PPL")</f>
        <v>610422040012-2024-9-SURVEI-PPL</v>
      </c>
      <c r="B365" s="5" t="str">
        <f t="shared" ca="1" si="0"/>
        <v>610422040012-2024-9</v>
      </c>
      <c r="C365" s="5">
        <f ca="1">IFERROR(__xludf.DUMMYFUNCTION("IF(N365=1,SPLIT(A365,""-""),"""")"),610422040012)</f>
        <v>610422040012</v>
      </c>
      <c r="D365" s="10">
        <f ca="1">IFERROR(__xludf.DUMMYFUNCTION("""COMPUTED_VALUE"""),2024)</f>
        <v>2024</v>
      </c>
      <c r="E365" s="10">
        <f ca="1">IFERROR(__xludf.DUMMYFUNCTION("""COMPUTED_VALUE"""),9)</f>
        <v>9</v>
      </c>
      <c r="F365" s="5" t="str">
        <f ca="1">IFERROR(__xludf.DUMMYFUNCTION("""COMPUTED_VALUE"""),"SURVEI")</f>
        <v>SURVEI</v>
      </c>
      <c r="G365" s="5" t="str">
        <f ca="1">IFERROR(__xludf.DUMMYFUNCTION("""COMPUTED_VALUE"""),"PPL")</f>
        <v>PPL</v>
      </c>
      <c r="H365" s="5" t="str">
        <f t="array" aca="1" ref="H365" ca="1">IF(N365=1, INDEX('Database Mitra'!$C$2:$C993,MATCH($C365,'Database Mitra'!$AK$2:$AK993,0)),"")</f>
        <v>Misdi</v>
      </c>
      <c r="I365" s="71">
        <f ca="1">IF(N365=1,SUMIFS('Alokasi Honor'!$M$2:$M993,'Alokasi Honor'!$T$2:$T993,A365),"")</f>
        <v>1674000</v>
      </c>
      <c r="J365" s="10">
        <f ca="1">IFERROR(__xludf.DUMMYFUNCTION("COUNTIF(FILTER('Alokasi Honor'!$H$2:$H993,'Alokasi Honor'!$H$2:$H993=""OB"",'Alokasi Honor'!$T$2:$T993=A365),""OB"")"),0)</f>
        <v>0</v>
      </c>
      <c r="K365" s="10">
        <f t="shared" ca="1" si="1"/>
        <v>1</v>
      </c>
      <c r="L365" s="70">
        <f t="array" aca="1" ref="L365" ca="1">IF(N365=1,INDEX('Batasan Honor'!$B$2:$B993,MATCH(CONCATENATE($F365,"-",$G365),'Batasan Honor'!$G$2:$G993,0)),"")</f>
        <v>5400000</v>
      </c>
      <c r="M365" s="10">
        <f t="shared" ca="1" si="4"/>
        <v>1</v>
      </c>
      <c r="N365" s="10">
        <f t="shared" ca="1" si="3"/>
        <v>1</v>
      </c>
    </row>
    <row r="366" spans="1:14" ht="12.5">
      <c r="A366" s="10" t="str">
        <f ca="1">IFERROR(__xludf.DUMMYFUNCTION("""COMPUTED_VALUE"""),"610422040059-2024-9-SURVEI-PPL")</f>
        <v>610422040059-2024-9-SURVEI-PPL</v>
      </c>
      <c r="B366" s="5" t="str">
        <f t="shared" ca="1" si="0"/>
        <v>610422040059-2024-9</v>
      </c>
      <c r="C366" s="5">
        <f ca="1">IFERROR(__xludf.DUMMYFUNCTION("IF(N366=1,SPLIT(A366,""-""),"""")"),610422040059)</f>
        <v>610422040059</v>
      </c>
      <c r="D366" s="10">
        <f ca="1">IFERROR(__xludf.DUMMYFUNCTION("""COMPUTED_VALUE"""),2024)</f>
        <v>2024</v>
      </c>
      <c r="E366" s="10">
        <f ca="1">IFERROR(__xludf.DUMMYFUNCTION("""COMPUTED_VALUE"""),9)</f>
        <v>9</v>
      </c>
      <c r="F366" s="5" t="str">
        <f ca="1">IFERROR(__xludf.DUMMYFUNCTION("""COMPUTED_VALUE"""),"SURVEI")</f>
        <v>SURVEI</v>
      </c>
      <c r="G366" s="5" t="str">
        <f ca="1">IFERROR(__xludf.DUMMYFUNCTION("""COMPUTED_VALUE"""),"PPL")</f>
        <v>PPL</v>
      </c>
      <c r="H366" s="5" t="str">
        <f t="array" aca="1" ref="H366" ca="1">IF(N366=1, INDEX('Database Mitra'!$C$2:$C993,MATCH($C366,'Database Mitra'!$AK$2:$AK993,0)),"")</f>
        <v>Abang Handri</v>
      </c>
      <c r="I366" s="71">
        <f ca="1">IF(N366=1,SUMIFS('Alokasi Honor'!$M$2:$M993,'Alokasi Honor'!$T$2:$T993,A366),"")</f>
        <v>1052000</v>
      </c>
      <c r="J366" s="10">
        <f ca="1">IFERROR(__xludf.DUMMYFUNCTION("COUNTIF(FILTER('Alokasi Honor'!$H$2:$H993,'Alokasi Honor'!$H$2:$H993=""OB"",'Alokasi Honor'!$T$2:$T993=A366),""OB"")"),0)</f>
        <v>0</v>
      </c>
      <c r="K366" s="10">
        <f t="shared" ca="1" si="1"/>
        <v>1</v>
      </c>
      <c r="L366" s="70">
        <f t="array" aca="1" ref="L366" ca="1">IF(N366=1,INDEX('Batasan Honor'!$B$2:$B993,MATCH(CONCATENATE($F366,"-",$G366),'Batasan Honor'!$G$2:$G993,0)),"")</f>
        <v>5400000</v>
      </c>
      <c r="M366" s="10">
        <f t="shared" ca="1" si="4"/>
        <v>1</v>
      </c>
      <c r="N366" s="10">
        <f t="shared" ca="1" si="3"/>
        <v>1</v>
      </c>
    </row>
    <row r="367" spans="1:14" ht="12.5">
      <c r="A367" s="10" t="str">
        <f ca="1">IFERROR(__xludf.DUMMYFUNCTION("""COMPUTED_VALUE"""),"610422040061-2024-9-SURVEI-PPL")</f>
        <v>610422040061-2024-9-SURVEI-PPL</v>
      </c>
      <c r="B367" s="5" t="str">
        <f t="shared" ca="1" si="0"/>
        <v>610422040061-2024-9</v>
      </c>
      <c r="C367" s="5">
        <f ca="1">IFERROR(__xludf.DUMMYFUNCTION("IF(N367=1,SPLIT(A367,""-""),"""")"),610422040061)</f>
        <v>610422040061</v>
      </c>
      <c r="D367" s="10">
        <f ca="1">IFERROR(__xludf.DUMMYFUNCTION("""COMPUTED_VALUE"""),2024)</f>
        <v>2024</v>
      </c>
      <c r="E367" s="10">
        <f ca="1">IFERROR(__xludf.DUMMYFUNCTION("""COMPUTED_VALUE"""),9)</f>
        <v>9</v>
      </c>
      <c r="F367" s="5" t="str">
        <f ca="1">IFERROR(__xludf.DUMMYFUNCTION("""COMPUTED_VALUE"""),"SURVEI")</f>
        <v>SURVEI</v>
      </c>
      <c r="G367" s="5" t="str">
        <f ca="1">IFERROR(__xludf.DUMMYFUNCTION("""COMPUTED_VALUE"""),"PPL")</f>
        <v>PPL</v>
      </c>
      <c r="H367" s="5" t="str">
        <f t="array" aca="1" ref="H367" ca="1">IF(N367=1, INDEX('Database Mitra'!$C$2:$C993,MATCH($C367,'Database Mitra'!$AK$2:$AK993,0)),"")</f>
        <v>Sabani</v>
      </c>
      <c r="I367" s="71">
        <f ca="1">IF(N367=1,SUMIFS('Alokasi Honor'!$M$2:$M993,'Alokasi Honor'!$T$2:$T993,A367),"")</f>
        <v>1338000</v>
      </c>
      <c r="J367" s="10">
        <f ca="1">IFERROR(__xludf.DUMMYFUNCTION("COUNTIF(FILTER('Alokasi Honor'!$H$2:$H993,'Alokasi Honor'!$H$2:$H993=""OB"",'Alokasi Honor'!$T$2:$T993=A367),""OB"")"),0)</f>
        <v>0</v>
      </c>
      <c r="K367" s="10">
        <f t="shared" ca="1" si="1"/>
        <v>1</v>
      </c>
      <c r="L367" s="70">
        <f t="array" aca="1" ref="L367" ca="1">IF(N367=1,INDEX('Batasan Honor'!$B$2:$B993,MATCH(CONCATENATE($F367,"-",$G367),'Batasan Honor'!$G$2:$G993,0)),"")</f>
        <v>5400000</v>
      </c>
      <c r="M367" s="10">
        <f t="shared" ca="1" si="4"/>
        <v>1</v>
      </c>
      <c r="N367" s="10">
        <f t="shared" ca="1" si="3"/>
        <v>1</v>
      </c>
    </row>
    <row r="368" spans="1:14" ht="12.5">
      <c r="A368" s="10" t="str">
        <f ca="1">IFERROR(__xludf.DUMMYFUNCTION("""COMPUTED_VALUE"""),"610422100131-2024-9-SURVEI-PPL")</f>
        <v>610422100131-2024-9-SURVEI-PPL</v>
      </c>
      <c r="B368" s="5" t="str">
        <f t="shared" ca="1" si="0"/>
        <v>610422100131-2024-9</v>
      </c>
      <c r="C368" s="5">
        <f ca="1">IFERROR(__xludf.DUMMYFUNCTION("IF(N368=1,SPLIT(A368,""-""),"""")"),610422100131)</f>
        <v>610422100131</v>
      </c>
      <c r="D368" s="10">
        <f ca="1">IFERROR(__xludf.DUMMYFUNCTION("""COMPUTED_VALUE"""),2024)</f>
        <v>2024</v>
      </c>
      <c r="E368" s="10">
        <f ca="1">IFERROR(__xludf.DUMMYFUNCTION("""COMPUTED_VALUE"""),9)</f>
        <v>9</v>
      </c>
      <c r="F368" s="5" t="str">
        <f ca="1">IFERROR(__xludf.DUMMYFUNCTION("""COMPUTED_VALUE"""),"SURVEI")</f>
        <v>SURVEI</v>
      </c>
      <c r="G368" s="5" t="str">
        <f ca="1">IFERROR(__xludf.DUMMYFUNCTION("""COMPUTED_VALUE"""),"PPL")</f>
        <v>PPL</v>
      </c>
      <c r="H368" s="5" t="str">
        <f t="array" aca="1" ref="H368" ca="1">IF(N368=1, INDEX('Database Mitra'!$C$2:$C993,MATCH($C368,'Database Mitra'!$AK$2:$AK993,0)),"")</f>
        <v>SYAMSUL</v>
      </c>
      <c r="I368" s="71">
        <f ca="1">IF(N368=1,SUMIFS('Alokasi Honor'!$M$2:$M993,'Alokasi Honor'!$T$2:$T993,A368),"")</f>
        <v>2220000</v>
      </c>
      <c r="J368" s="10">
        <f ca="1">IFERROR(__xludf.DUMMYFUNCTION("COUNTIF(FILTER('Alokasi Honor'!$H$2:$H993,'Alokasi Honor'!$H$2:$H993=""OB"",'Alokasi Honor'!$T$2:$T993=A368),""OB"")"),0)</f>
        <v>0</v>
      </c>
      <c r="K368" s="10">
        <f t="shared" ca="1" si="1"/>
        <v>1</v>
      </c>
      <c r="L368" s="70">
        <f t="array" aca="1" ref="L368" ca="1">IF(N368=1,INDEX('Batasan Honor'!$B$2:$B993,MATCH(CONCATENATE($F368,"-",$G368),'Batasan Honor'!$G$2:$G993,0)),"")</f>
        <v>5400000</v>
      </c>
      <c r="M368" s="10">
        <f t="shared" ca="1" si="4"/>
        <v>1</v>
      </c>
      <c r="N368" s="10">
        <f t="shared" ca="1" si="3"/>
        <v>1</v>
      </c>
    </row>
    <row r="369" spans="1:14" ht="12.5">
      <c r="A369" s="10" t="str">
        <f ca="1">IFERROR(__xludf.DUMMYFUNCTION("""COMPUTED_VALUE"""),"610422100176-2024-9-SURVEI-PPL")</f>
        <v>610422100176-2024-9-SURVEI-PPL</v>
      </c>
      <c r="B369" s="5" t="str">
        <f t="shared" ca="1" si="0"/>
        <v>610422100176-2024-9</v>
      </c>
      <c r="C369" s="5">
        <f ca="1">IFERROR(__xludf.DUMMYFUNCTION("IF(N369=1,SPLIT(A369,""-""),"""")"),610422100176)</f>
        <v>610422100176</v>
      </c>
      <c r="D369" s="10">
        <f ca="1">IFERROR(__xludf.DUMMYFUNCTION("""COMPUTED_VALUE"""),2024)</f>
        <v>2024</v>
      </c>
      <c r="E369" s="10">
        <f ca="1">IFERROR(__xludf.DUMMYFUNCTION("""COMPUTED_VALUE"""),9)</f>
        <v>9</v>
      </c>
      <c r="F369" s="5" t="str">
        <f ca="1">IFERROR(__xludf.DUMMYFUNCTION("""COMPUTED_VALUE"""),"SURVEI")</f>
        <v>SURVEI</v>
      </c>
      <c r="G369" s="5" t="str">
        <f ca="1">IFERROR(__xludf.DUMMYFUNCTION("""COMPUTED_VALUE"""),"PPL")</f>
        <v>PPL</v>
      </c>
      <c r="H369" s="5" t="str">
        <f t="array" aca="1" ref="H369" ca="1">IF(N369=1, INDEX('Database Mitra'!$C$2:$C993,MATCH($C369,'Database Mitra'!$AK$2:$AK993,0)),"")</f>
        <v>Feri Firdaus</v>
      </c>
      <c r="I369" s="71">
        <f ca="1">IF(N369=1,SUMIFS('Alokasi Honor'!$M$2:$M993,'Alokasi Honor'!$T$2:$T993,A369),"")</f>
        <v>348000</v>
      </c>
      <c r="J369" s="10">
        <f ca="1">IFERROR(__xludf.DUMMYFUNCTION("COUNTIF(FILTER('Alokasi Honor'!$H$2:$H993,'Alokasi Honor'!$H$2:$H993=""OB"",'Alokasi Honor'!$T$2:$T993=A369),""OB"")"),0)</f>
        <v>0</v>
      </c>
      <c r="K369" s="10">
        <f t="shared" ca="1" si="1"/>
        <v>1</v>
      </c>
      <c r="L369" s="70">
        <f t="array" aca="1" ref="L369" ca="1">IF(N369=1,INDEX('Batasan Honor'!$B$2:$B993,MATCH(CONCATENATE($F369,"-",$G369),'Batasan Honor'!$G$2:$G993,0)),"")</f>
        <v>5400000</v>
      </c>
      <c r="M369" s="10">
        <f t="shared" ca="1" si="4"/>
        <v>1</v>
      </c>
      <c r="N369" s="10">
        <f t="shared" ca="1" si="3"/>
        <v>1</v>
      </c>
    </row>
    <row r="370" spans="1:14" ht="12.5">
      <c r="A370" s="10" t="str">
        <f ca="1">IFERROR(__xludf.DUMMYFUNCTION("""COMPUTED_VALUE"""),"610423110183-2024-9-SURVEI-PPL")</f>
        <v>610423110183-2024-9-SURVEI-PPL</v>
      </c>
      <c r="B370" s="5" t="str">
        <f t="shared" ca="1" si="0"/>
        <v>610423110183-2024-9</v>
      </c>
      <c r="C370" s="5">
        <f ca="1">IFERROR(__xludf.DUMMYFUNCTION("IF(N370=1,SPLIT(A370,""-""),"""")"),610423110183)</f>
        <v>610423110183</v>
      </c>
      <c r="D370" s="10">
        <f ca="1">IFERROR(__xludf.DUMMYFUNCTION("""COMPUTED_VALUE"""),2024)</f>
        <v>2024</v>
      </c>
      <c r="E370" s="10">
        <f ca="1">IFERROR(__xludf.DUMMYFUNCTION("""COMPUTED_VALUE"""),9)</f>
        <v>9</v>
      </c>
      <c r="F370" s="5" t="str">
        <f ca="1">IFERROR(__xludf.DUMMYFUNCTION("""COMPUTED_VALUE"""),"SURVEI")</f>
        <v>SURVEI</v>
      </c>
      <c r="G370" s="5" t="str">
        <f ca="1">IFERROR(__xludf.DUMMYFUNCTION("""COMPUTED_VALUE"""),"PPL")</f>
        <v>PPL</v>
      </c>
      <c r="H370" s="5" t="str">
        <f t="array" aca="1" ref="H370" ca="1">IF(N370=1, INDEX('Database Mitra'!$C$2:$C993,MATCH($C370,'Database Mitra'!$AK$2:$AK993,0)),"")</f>
        <v>azhar</v>
      </c>
      <c r="I370" s="71">
        <f ca="1">IF(N370=1,SUMIFS('Alokasi Honor'!$M$2:$M993,'Alokasi Honor'!$T$2:$T993,A370),"")</f>
        <v>1362000</v>
      </c>
      <c r="J370" s="10">
        <f ca="1">IFERROR(__xludf.DUMMYFUNCTION("COUNTIF(FILTER('Alokasi Honor'!$H$2:$H993,'Alokasi Honor'!$H$2:$H993=""OB"",'Alokasi Honor'!$T$2:$T993=A370),""OB"")"),0)</f>
        <v>0</v>
      </c>
      <c r="K370" s="10">
        <f t="shared" ca="1" si="1"/>
        <v>1</v>
      </c>
      <c r="L370" s="70">
        <f t="array" aca="1" ref="L370" ca="1">IF(N370=1,INDEX('Batasan Honor'!$B$2:$B993,MATCH(CONCATENATE($F370,"-",$G370),'Batasan Honor'!$G$2:$G993,0)),"")</f>
        <v>5400000</v>
      </c>
      <c r="M370" s="10">
        <f t="shared" ca="1" si="4"/>
        <v>1</v>
      </c>
      <c r="N370" s="10">
        <f t="shared" ca="1" si="3"/>
        <v>1</v>
      </c>
    </row>
    <row r="371" spans="1:14" ht="12.5">
      <c r="A371" s="10" t="str">
        <f ca="1">IFERROR(__xludf.DUMMYFUNCTION("""COMPUTED_VALUE"""),"610423040018-2024-9-SURVEI-PPL")</f>
        <v>610423040018-2024-9-SURVEI-PPL</v>
      </c>
      <c r="B371" s="5" t="str">
        <f t="shared" ca="1" si="0"/>
        <v>610423040018-2024-9</v>
      </c>
      <c r="C371" s="5">
        <f ca="1">IFERROR(__xludf.DUMMYFUNCTION("IF(N371=1,SPLIT(A371,""-""),"""")"),610423040018)</f>
        <v>610423040018</v>
      </c>
      <c r="D371" s="10">
        <f ca="1">IFERROR(__xludf.DUMMYFUNCTION("""COMPUTED_VALUE"""),2024)</f>
        <v>2024</v>
      </c>
      <c r="E371" s="10">
        <f ca="1">IFERROR(__xludf.DUMMYFUNCTION("""COMPUTED_VALUE"""),9)</f>
        <v>9</v>
      </c>
      <c r="F371" s="5" t="str">
        <f ca="1">IFERROR(__xludf.DUMMYFUNCTION("""COMPUTED_VALUE"""),"SURVEI")</f>
        <v>SURVEI</v>
      </c>
      <c r="G371" s="5" t="str">
        <f ca="1">IFERROR(__xludf.DUMMYFUNCTION("""COMPUTED_VALUE"""),"PPL")</f>
        <v>PPL</v>
      </c>
      <c r="H371" s="5" t="str">
        <f t="array" aca="1" ref="H371" ca="1">IF(N371=1, INDEX('Database Mitra'!$C$2:$C993,MATCH($C371,'Database Mitra'!$AK$2:$AK993,0)),"")</f>
        <v>Handoko Tuah Sabarman Sipayung</v>
      </c>
      <c r="I371" s="71">
        <f ca="1">IF(N371=1,SUMIFS('Alokasi Honor'!$M$2:$M993,'Alokasi Honor'!$T$2:$T993,A371),"")</f>
        <v>620000</v>
      </c>
      <c r="J371" s="10">
        <f ca="1">IFERROR(__xludf.DUMMYFUNCTION("COUNTIF(FILTER('Alokasi Honor'!$H$2:$H993,'Alokasi Honor'!$H$2:$H993=""OB"",'Alokasi Honor'!$T$2:$T993=A371),""OB"")"),0)</f>
        <v>0</v>
      </c>
      <c r="K371" s="10">
        <f t="shared" ca="1" si="1"/>
        <v>1</v>
      </c>
      <c r="L371" s="70">
        <f t="array" aca="1" ref="L371" ca="1">IF(N371=1,INDEX('Batasan Honor'!$B$2:$B993,MATCH(CONCATENATE($F371,"-",$G371),'Batasan Honor'!$G$2:$G993,0)),"")</f>
        <v>5400000</v>
      </c>
      <c r="M371" s="10">
        <f t="shared" ca="1" si="4"/>
        <v>1</v>
      </c>
      <c r="N371" s="10">
        <f t="shared" ca="1" si="3"/>
        <v>1</v>
      </c>
    </row>
    <row r="372" spans="1:14" ht="12.5">
      <c r="A372" s="10" t="str">
        <f ca="1">IFERROR(__xludf.DUMMYFUNCTION("""COMPUTED_VALUE"""),"610423040004-2024-9-SURVEI-PPL")</f>
        <v>610423040004-2024-9-SURVEI-PPL</v>
      </c>
      <c r="B372" s="5" t="str">
        <f t="shared" ca="1" si="0"/>
        <v>610423040004-2024-9</v>
      </c>
      <c r="C372" s="5">
        <f ca="1">IFERROR(__xludf.DUMMYFUNCTION("IF(N372=1,SPLIT(A372,""-""),"""")"),610423040004)</f>
        <v>610423040004</v>
      </c>
      <c r="D372" s="10">
        <f ca="1">IFERROR(__xludf.DUMMYFUNCTION("""COMPUTED_VALUE"""),2024)</f>
        <v>2024</v>
      </c>
      <c r="E372" s="10">
        <f ca="1">IFERROR(__xludf.DUMMYFUNCTION("""COMPUTED_VALUE"""),9)</f>
        <v>9</v>
      </c>
      <c r="F372" s="5" t="str">
        <f ca="1">IFERROR(__xludf.DUMMYFUNCTION("""COMPUTED_VALUE"""),"SURVEI")</f>
        <v>SURVEI</v>
      </c>
      <c r="G372" s="5" t="str">
        <f ca="1">IFERROR(__xludf.DUMMYFUNCTION("""COMPUTED_VALUE"""),"PPL")</f>
        <v>PPL</v>
      </c>
      <c r="H372" s="5" t="str">
        <f t="array" aca="1" ref="H372" ca="1">IF(N372=1, INDEX('Database Mitra'!$C$2:$C993,MATCH($C372,'Database Mitra'!$AK$2:$AK993,0)),"")</f>
        <v>Ayu Agustin</v>
      </c>
      <c r="I372" s="71">
        <f ca="1">IF(N372=1,SUMIFS('Alokasi Honor'!$M$2:$M993,'Alokasi Honor'!$T$2:$T993,A372),"")</f>
        <v>600000</v>
      </c>
      <c r="J372" s="10">
        <f ca="1">IFERROR(__xludf.DUMMYFUNCTION("COUNTIF(FILTER('Alokasi Honor'!$H$2:$H993,'Alokasi Honor'!$H$2:$H993=""OB"",'Alokasi Honor'!$T$2:$T993=A372),""OB"")"),0)</f>
        <v>0</v>
      </c>
      <c r="K372" s="10">
        <f t="shared" ca="1" si="1"/>
        <v>1</v>
      </c>
      <c r="L372" s="70">
        <f t="array" aca="1" ref="L372" ca="1">IF(N372=1,INDEX('Batasan Honor'!$B$2:$B993,MATCH(CONCATENATE($F372,"-",$G372),'Batasan Honor'!$G$2:$G993,0)),"")</f>
        <v>5400000</v>
      </c>
      <c r="M372" s="10">
        <f t="shared" ca="1" si="4"/>
        <v>1</v>
      </c>
      <c r="N372" s="10">
        <f t="shared" ca="1" si="3"/>
        <v>1</v>
      </c>
    </row>
    <row r="373" spans="1:14" ht="12.5">
      <c r="A373" s="10" t="str">
        <f ca="1">IFERROR(__xludf.DUMMYFUNCTION("""COMPUTED_VALUE"""),"610422100144-2024-9-SURVEI-PPL")</f>
        <v>610422100144-2024-9-SURVEI-PPL</v>
      </c>
      <c r="B373" s="5" t="str">
        <f t="shared" ca="1" si="0"/>
        <v>610422100144-2024-9</v>
      </c>
      <c r="C373" s="5">
        <f ca="1">IFERROR(__xludf.DUMMYFUNCTION("IF(N373=1,SPLIT(A373,""-""),"""")"),610422100144)</f>
        <v>610422100144</v>
      </c>
      <c r="D373" s="10">
        <f ca="1">IFERROR(__xludf.DUMMYFUNCTION("""COMPUTED_VALUE"""),2024)</f>
        <v>2024</v>
      </c>
      <c r="E373" s="10">
        <f ca="1">IFERROR(__xludf.DUMMYFUNCTION("""COMPUTED_VALUE"""),9)</f>
        <v>9</v>
      </c>
      <c r="F373" s="5" t="str">
        <f ca="1">IFERROR(__xludf.DUMMYFUNCTION("""COMPUTED_VALUE"""),"SURVEI")</f>
        <v>SURVEI</v>
      </c>
      <c r="G373" s="5" t="str">
        <f ca="1">IFERROR(__xludf.DUMMYFUNCTION("""COMPUTED_VALUE"""),"PPL")</f>
        <v>PPL</v>
      </c>
      <c r="H373" s="5" t="str">
        <f t="array" aca="1" ref="H373" ca="1">IF(N373=1, INDEX('Database Mitra'!$C$2:$C993,MATCH($C373,'Database Mitra'!$AK$2:$AK993,0)),"")</f>
        <v>Irfan faozi sunaryo</v>
      </c>
      <c r="I373" s="71">
        <f ca="1">IF(N373=1,SUMIFS('Alokasi Honor'!$M$2:$M993,'Alokasi Honor'!$T$2:$T993,A373),"")</f>
        <v>600000</v>
      </c>
      <c r="J373" s="10">
        <f ca="1">IFERROR(__xludf.DUMMYFUNCTION("COUNTIF(FILTER('Alokasi Honor'!$H$2:$H993,'Alokasi Honor'!$H$2:$H993=""OB"",'Alokasi Honor'!$T$2:$T993=A373),""OB"")"),0)</f>
        <v>0</v>
      </c>
      <c r="K373" s="10">
        <f t="shared" ca="1" si="1"/>
        <v>1</v>
      </c>
      <c r="L373" s="70">
        <f t="array" aca="1" ref="L373" ca="1">IF(N373=1,INDEX('Batasan Honor'!$B$2:$B993,MATCH(CONCATENATE($F373,"-",$G373),'Batasan Honor'!$G$2:$G993,0)),"")</f>
        <v>5400000</v>
      </c>
      <c r="M373" s="10">
        <f t="shared" ca="1" si="4"/>
        <v>1</v>
      </c>
      <c r="N373" s="10">
        <f t="shared" ca="1" si="3"/>
        <v>1</v>
      </c>
    </row>
    <row r="374" spans="1:14" ht="12.5">
      <c r="A374" s="10" t="str">
        <f ca="1">IFERROR(__xludf.DUMMYFUNCTION("""COMPUTED_VALUE"""),"610422100137-2024-9-SURVEI-PPL")</f>
        <v>610422100137-2024-9-SURVEI-PPL</v>
      </c>
      <c r="B374" s="5" t="str">
        <f t="shared" ca="1" si="0"/>
        <v>610422100137-2024-9</v>
      </c>
      <c r="C374" s="5">
        <f ca="1">IFERROR(__xludf.DUMMYFUNCTION("IF(N374=1,SPLIT(A374,""-""),"""")"),610422100137)</f>
        <v>610422100137</v>
      </c>
      <c r="D374" s="10">
        <f ca="1">IFERROR(__xludf.DUMMYFUNCTION("""COMPUTED_VALUE"""),2024)</f>
        <v>2024</v>
      </c>
      <c r="E374" s="10">
        <f ca="1">IFERROR(__xludf.DUMMYFUNCTION("""COMPUTED_VALUE"""),9)</f>
        <v>9</v>
      </c>
      <c r="F374" s="5" t="str">
        <f ca="1">IFERROR(__xludf.DUMMYFUNCTION("""COMPUTED_VALUE"""),"SURVEI")</f>
        <v>SURVEI</v>
      </c>
      <c r="G374" s="5" t="str">
        <f ca="1">IFERROR(__xludf.DUMMYFUNCTION("""COMPUTED_VALUE"""),"PPL")</f>
        <v>PPL</v>
      </c>
      <c r="H374" s="5" t="str">
        <f t="array" aca="1" ref="H374" ca="1">IF(N374=1, INDEX('Database Mitra'!$C$2:$C993,MATCH($C374,'Database Mitra'!$AK$2:$AK993,0)),"")</f>
        <v>MASTURI</v>
      </c>
      <c r="I374" s="71">
        <f ca="1">IF(N374=1,SUMIFS('Alokasi Honor'!$M$2:$M993,'Alokasi Honor'!$T$2:$T993,A374),"")</f>
        <v>600000</v>
      </c>
      <c r="J374" s="10">
        <f ca="1">IFERROR(__xludf.DUMMYFUNCTION("COUNTIF(FILTER('Alokasi Honor'!$H$2:$H993,'Alokasi Honor'!$H$2:$H993=""OB"",'Alokasi Honor'!$T$2:$T993=A374),""OB"")"),0)</f>
        <v>0</v>
      </c>
      <c r="K374" s="10">
        <f t="shared" ca="1" si="1"/>
        <v>1</v>
      </c>
      <c r="L374" s="70">
        <f t="array" aca="1" ref="L374" ca="1">IF(N374=1,INDEX('Batasan Honor'!$B$2:$B993,MATCH(CONCATENATE($F374,"-",$G374),'Batasan Honor'!$G$2:$G993,0)),"")</f>
        <v>5400000</v>
      </c>
      <c r="M374" s="10">
        <f t="shared" ca="1" si="4"/>
        <v>1</v>
      </c>
      <c r="N374" s="10">
        <f t="shared" ca="1" si="3"/>
        <v>1</v>
      </c>
    </row>
    <row r="375" spans="1:14" ht="12.5">
      <c r="A375" s="10" t="str">
        <f ca="1">IFERROR(__xludf.DUMMYFUNCTION("""COMPUTED_VALUE"""),"610422100256-2024-9-SURVEI-PPL")</f>
        <v>610422100256-2024-9-SURVEI-PPL</v>
      </c>
      <c r="B375" s="5" t="str">
        <f t="shared" ca="1" si="0"/>
        <v>610422100256-2024-9</v>
      </c>
      <c r="C375" s="5">
        <f ca="1">IFERROR(__xludf.DUMMYFUNCTION("IF(N375=1,SPLIT(A375,""-""),"""")"),610422100256)</f>
        <v>610422100256</v>
      </c>
      <c r="D375" s="10">
        <f ca="1">IFERROR(__xludf.DUMMYFUNCTION("""COMPUTED_VALUE"""),2024)</f>
        <v>2024</v>
      </c>
      <c r="E375" s="10">
        <f ca="1">IFERROR(__xludf.DUMMYFUNCTION("""COMPUTED_VALUE"""),9)</f>
        <v>9</v>
      </c>
      <c r="F375" s="5" t="str">
        <f ca="1">IFERROR(__xludf.DUMMYFUNCTION("""COMPUTED_VALUE"""),"SURVEI")</f>
        <v>SURVEI</v>
      </c>
      <c r="G375" s="5" t="str">
        <f ca="1">IFERROR(__xludf.DUMMYFUNCTION("""COMPUTED_VALUE"""),"PPL")</f>
        <v>PPL</v>
      </c>
      <c r="H375" s="5" t="str">
        <f t="array" aca="1" ref="H375" ca="1">IF(N375=1, INDEX('Database Mitra'!$C$2:$C993,MATCH($C375,'Database Mitra'!$AK$2:$AK993,0)),"")</f>
        <v>Meta</v>
      </c>
      <c r="I375" s="71">
        <f ca="1">IF(N375=1,SUMIFS('Alokasi Honor'!$M$2:$M993,'Alokasi Honor'!$T$2:$T993,A375),"")</f>
        <v>600000</v>
      </c>
      <c r="J375" s="10">
        <f ca="1">IFERROR(__xludf.DUMMYFUNCTION("COUNTIF(FILTER('Alokasi Honor'!$H$2:$H993,'Alokasi Honor'!$H$2:$H993=""OB"",'Alokasi Honor'!$T$2:$T993=A375),""OB"")"),0)</f>
        <v>0</v>
      </c>
      <c r="K375" s="10">
        <f t="shared" ca="1" si="1"/>
        <v>1</v>
      </c>
      <c r="L375" s="70">
        <f t="array" aca="1" ref="L375" ca="1">IF(N375=1,INDEX('Batasan Honor'!$B$2:$B993,MATCH(CONCATENATE($F375,"-",$G375),'Batasan Honor'!$G$2:$G993,0)),"")</f>
        <v>5400000</v>
      </c>
      <c r="M375" s="10">
        <f t="shared" ca="1" si="4"/>
        <v>1</v>
      </c>
      <c r="N375" s="10">
        <f t="shared" ca="1" si="3"/>
        <v>1</v>
      </c>
    </row>
    <row r="376" spans="1:14" ht="12.5">
      <c r="A376" s="10" t="str">
        <f ca="1">IFERROR(__xludf.DUMMYFUNCTION("""COMPUTED_VALUE"""),"610422040050-2024-9-SURVEI-PPL")</f>
        <v>610422040050-2024-9-SURVEI-PPL</v>
      </c>
      <c r="B376" s="5" t="str">
        <f t="shared" ca="1" si="0"/>
        <v>610422040050-2024-9</v>
      </c>
      <c r="C376" s="5">
        <f ca="1">IFERROR(__xludf.DUMMYFUNCTION("IF(N376=1,SPLIT(A376,""-""),"""")"),610422040050)</f>
        <v>610422040050</v>
      </c>
      <c r="D376" s="10">
        <f ca="1">IFERROR(__xludf.DUMMYFUNCTION("""COMPUTED_VALUE"""),2024)</f>
        <v>2024</v>
      </c>
      <c r="E376" s="10">
        <f ca="1">IFERROR(__xludf.DUMMYFUNCTION("""COMPUTED_VALUE"""),9)</f>
        <v>9</v>
      </c>
      <c r="F376" s="5" t="str">
        <f ca="1">IFERROR(__xludf.DUMMYFUNCTION("""COMPUTED_VALUE"""),"SURVEI")</f>
        <v>SURVEI</v>
      </c>
      <c r="G376" s="5" t="str">
        <f ca="1">IFERROR(__xludf.DUMMYFUNCTION("""COMPUTED_VALUE"""),"PPL")</f>
        <v>PPL</v>
      </c>
      <c r="H376" s="5" t="str">
        <f t="array" aca="1" ref="H376" ca="1">IF(N376=1, INDEX('Database Mitra'!$C$2:$C993,MATCH($C376,'Database Mitra'!$AK$2:$AK993,0)),"")</f>
        <v>NOVITA SARI</v>
      </c>
      <c r="I376" s="71">
        <f ca="1">IF(N376=1,SUMIFS('Alokasi Honor'!$M$2:$M993,'Alokasi Honor'!$T$2:$T993,A376),"")</f>
        <v>600000</v>
      </c>
      <c r="J376" s="10">
        <f ca="1">IFERROR(__xludf.DUMMYFUNCTION("COUNTIF(FILTER('Alokasi Honor'!$H$2:$H993,'Alokasi Honor'!$H$2:$H993=""OB"",'Alokasi Honor'!$T$2:$T993=A376),""OB"")"),0)</f>
        <v>0</v>
      </c>
      <c r="K376" s="10">
        <f t="shared" ca="1" si="1"/>
        <v>1</v>
      </c>
      <c r="L376" s="70">
        <f t="array" aca="1" ref="L376" ca="1">IF(N376=1,INDEX('Batasan Honor'!$B$2:$B993,MATCH(CONCATENATE($F376,"-",$G376),'Batasan Honor'!$G$2:$G993,0)),"")</f>
        <v>5400000</v>
      </c>
      <c r="M376" s="10">
        <f t="shared" ca="1" si="4"/>
        <v>1</v>
      </c>
      <c r="N376" s="10">
        <f t="shared" ca="1" si="3"/>
        <v>1</v>
      </c>
    </row>
    <row r="377" spans="1:14" ht="12.5">
      <c r="A377" s="10" t="str">
        <f ca="1">IFERROR(__xludf.DUMMYFUNCTION("""COMPUTED_VALUE"""),"610422100139-2024-9-SURVEI-PPL")</f>
        <v>610422100139-2024-9-SURVEI-PPL</v>
      </c>
      <c r="B377" s="5" t="str">
        <f t="shared" ca="1" si="0"/>
        <v>610422100139-2024-9</v>
      </c>
      <c r="C377" s="5">
        <f ca="1">IFERROR(__xludf.DUMMYFUNCTION("IF(N377=1,SPLIT(A377,""-""),"""")"),610422100139)</f>
        <v>610422100139</v>
      </c>
      <c r="D377" s="10">
        <f ca="1">IFERROR(__xludf.DUMMYFUNCTION("""COMPUTED_VALUE"""),2024)</f>
        <v>2024</v>
      </c>
      <c r="E377" s="10">
        <f ca="1">IFERROR(__xludf.DUMMYFUNCTION("""COMPUTED_VALUE"""),9)</f>
        <v>9</v>
      </c>
      <c r="F377" s="5" t="str">
        <f ca="1">IFERROR(__xludf.DUMMYFUNCTION("""COMPUTED_VALUE"""),"SURVEI")</f>
        <v>SURVEI</v>
      </c>
      <c r="G377" s="5" t="str">
        <f ca="1">IFERROR(__xludf.DUMMYFUNCTION("""COMPUTED_VALUE"""),"PPL")</f>
        <v>PPL</v>
      </c>
      <c r="H377" s="5" t="str">
        <f t="array" aca="1" ref="H377" ca="1">IF(N377=1, INDEX('Database Mitra'!$C$2:$C993,MATCH($C377,'Database Mitra'!$AK$2:$AK993,0)),"")</f>
        <v>Winda Dwi Ananda</v>
      </c>
      <c r="I377" s="71">
        <f ca="1">IF(N377=1,SUMIFS('Alokasi Honor'!$M$2:$M993,'Alokasi Honor'!$T$2:$T993,A377),"")</f>
        <v>600000</v>
      </c>
      <c r="J377" s="10">
        <f ca="1">IFERROR(__xludf.DUMMYFUNCTION("COUNTIF(FILTER('Alokasi Honor'!$H$2:$H993,'Alokasi Honor'!$H$2:$H993=""OB"",'Alokasi Honor'!$T$2:$T993=A377),""OB"")"),0)</f>
        <v>0</v>
      </c>
      <c r="K377" s="10">
        <f t="shared" ca="1" si="1"/>
        <v>1</v>
      </c>
      <c r="L377" s="70">
        <f t="array" aca="1" ref="L377" ca="1">IF(N377=1,INDEX('Batasan Honor'!$B$2:$B993,MATCH(CONCATENATE($F377,"-",$G377),'Batasan Honor'!$G$2:$G993,0)),"")</f>
        <v>5400000</v>
      </c>
      <c r="M377" s="10">
        <f t="shared" ca="1" si="4"/>
        <v>1</v>
      </c>
      <c r="N377" s="10">
        <f t="shared" ca="1" si="3"/>
        <v>1</v>
      </c>
    </row>
    <row r="378" spans="1:14" ht="12.5">
      <c r="A378" s="10" t="str">
        <f ca="1">IFERROR(__xludf.DUMMYFUNCTION("""COMPUTED_VALUE"""),"610423040016-2024-10-SURVEI-PPL")</f>
        <v>610423040016-2024-10-SURVEI-PPL</v>
      </c>
      <c r="B378" s="5" t="str">
        <f t="shared" ca="1" si="0"/>
        <v>610423040016-2024-10</v>
      </c>
      <c r="C378" s="5">
        <f ca="1">IFERROR(__xludf.DUMMYFUNCTION("IF(N378=1,SPLIT(A378,""-""),"""")"),610423040016)</f>
        <v>610423040016</v>
      </c>
      <c r="D378" s="10">
        <f ca="1">IFERROR(__xludf.DUMMYFUNCTION("""COMPUTED_VALUE"""),2024)</f>
        <v>2024</v>
      </c>
      <c r="E378" s="10">
        <f ca="1">IFERROR(__xludf.DUMMYFUNCTION("""COMPUTED_VALUE"""),10)</f>
        <v>10</v>
      </c>
      <c r="F378" s="5" t="str">
        <f ca="1">IFERROR(__xludf.DUMMYFUNCTION("""COMPUTED_VALUE"""),"SURVEI")</f>
        <v>SURVEI</v>
      </c>
      <c r="G378" s="5" t="str">
        <f ca="1">IFERROR(__xludf.DUMMYFUNCTION("""COMPUTED_VALUE"""),"PPL")</f>
        <v>PPL</v>
      </c>
      <c r="H378" s="5" t="str">
        <f t="array" aca="1" ref="H378" ca="1">IF(N378=1, INDEX('Database Mitra'!$C$2:$C993,MATCH($C378,'Database Mitra'!$AK$2:$AK993,0)),"")</f>
        <v>Fairuztia Atiqah Putri</v>
      </c>
      <c r="I378" s="71">
        <f ca="1">IF(N378=1,SUMIFS('Alokasi Honor'!$M$2:$M993,'Alokasi Honor'!$T$2:$T993,A378),"")</f>
        <v>962500</v>
      </c>
      <c r="J378" s="10">
        <f ca="1">IFERROR(__xludf.DUMMYFUNCTION("COUNTIF(FILTER('Alokasi Honor'!$H$2:$H993,'Alokasi Honor'!$H$2:$H993=""OB"",'Alokasi Honor'!$T$2:$T993=A378),""OB"")"),0)</f>
        <v>0</v>
      </c>
      <c r="K378" s="10">
        <f t="shared" ca="1" si="1"/>
        <v>2</v>
      </c>
      <c r="L378" s="70">
        <f t="array" aca="1" ref="L378" ca="1">IF(N378=1,INDEX('Batasan Honor'!$B$2:$B993,MATCH(CONCATENATE($F378,"-",$G378),'Batasan Honor'!$G$2:$G993,0)),"")</f>
        <v>5400000</v>
      </c>
      <c r="M378" s="10">
        <f t="shared" ca="1" si="4"/>
        <v>1</v>
      </c>
      <c r="N378" s="10">
        <f t="shared" ca="1" si="3"/>
        <v>1</v>
      </c>
    </row>
    <row r="379" spans="1:14" ht="12.5">
      <c r="A379" s="10" t="str">
        <f ca="1">IFERROR(__xludf.DUMMYFUNCTION("""COMPUTED_VALUE"""),"610422100108-2024-10-SURVEI-PPL")</f>
        <v>610422100108-2024-10-SURVEI-PPL</v>
      </c>
      <c r="B379" s="5" t="str">
        <f t="shared" ca="1" si="0"/>
        <v>610422100108-2024-10</v>
      </c>
      <c r="C379" s="5">
        <f ca="1">IFERROR(__xludf.DUMMYFUNCTION("IF(N379=1,SPLIT(A379,""-""),"""")"),610422100108)</f>
        <v>610422100108</v>
      </c>
      <c r="D379" s="10">
        <f ca="1">IFERROR(__xludf.DUMMYFUNCTION("""COMPUTED_VALUE"""),2024)</f>
        <v>2024</v>
      </c>
      <c r="E379" s="10">
        <f ca="1">IFERROR(__xludf.DUMMYFUNCTION("""COMPUTED_VALUE"""),10)</f>
        <v>10</v>
      </c>
      <c r="F379" s="5" t="str">
        <f ca="1">IFERROR(__xludf.DUMMYFUNCTION("""COMPUTED_VALUE"""),"SURVEI")</f>
        <v>SURVEI</v>
      </c>
      <c r="G379" s="5" t="str">
        <f ca="1">IFERROR(__xludf.DUMMYFUNCTION("""COMPUTED_VALUE"""),"PPL")</f>
        <v>PPL</v>
      </c>
      <c r="H379" s="5" t="str">
        <f t="array" aca="1" ref="H379" ca="1">IF(N379=1, INDEX('Database Mitra'!$C$2:$C993,MATCH($C379,'Database Mitra'!$AK$2:$AK993,0)),"")</f>
        <v>Ermi Tiyarni</v>
      </c>
      <c r="I379" s="71">
        <f ca="1">IF(N379=1,SUMIFS('Alokasi Honor'!$M$2:$M993,'Alokasi Honor'!$T$2:$T993,A379),"")</f>
        <v>962500</v>
      </c>
      <c r="J379" s="10">
        <f ca="1">IFERROR(__xludf.DUMMYFUNCTION("COUNTIF(FILTER('Alokasi Honor'!$H$2:$H993,'Alokasi Honor'!$H$2:$H993=""OB"",'Alokasi Honor'!$T$2:$T993=A379),""OB"")"),0)</f>
        <v>0</v>
      </c>
      <c r="K379" s="10">
        <f t="shared" ca="1" si="1"/>
        <v>2</v>
      </c>
      <c r="L379" s="70">
        <f t="array" aca="1" ref="L379" ca="1">IF(N379=1,INDEX('Batasan Honor'!$B$2:$B993,MATCH(CONCATENATE($F379,"-",$G379),'Batasan Honor'!$G$2:$G993,0)),"")</f>
        <v>5400000</v>
      </c>
      <c r="M379" s="10">
        <f t="shared" ca="1" si="4"/>
        <v>1</v>
      </c>
      <c r="N379" s="10">
        <f t="shared" ca="1" si="3"/>
        <v>1</v>
      </c>
    </row>
    <row r="380" spans="1:14" ht="12.5">
      <c r="A380" s="10" t="str">
        <f ca="1">IFERROR(__xludf.DUMMYFUNCTION("""COMPUTED_VALUE"""),"610422100016-2024-10-SURVEI-PPL")</f>
        <v>610422100016-2024-10-SURVEI-PPL</v>
      </c>
      <c r="B380" s="5" t="str">
        <f t="shared" ca="1" si="0"/>
        <v>610422100016-2024-10</v>
      </c>
      <c r="C380" s="5">
        <f ca="1">IFERROR(__xludf.DUMMYFUNCTION("IF(N380=1,SPLIT(A380,""-""),"""")"),610422100016)</f>
        <v>610422100016</v>
      </c>
      <c r="D380" s="10">
        <f ca="1">IFERROR(__xludf.DUMMYFUNCTION("""COMPUTED_VALUE"""),2024)</f>
        <v>2024</v>
      </c>
      <c r="E380" s="10">
        <f ca="1">IFERROR(__xludf.DUMMYFUNCTION("""COMPUTED_VALUE"""),10)</f>
        <v>10</v>
      </c>
      <c r="F380" s="5" t="str">
        <f ca="1">IFERROR(__xludf.DUMMYFUNCTION("""COMPUTED_VALUE"""),"SURVEI")</f>
        <v>SURVEI</v>
      </c>
      <c r="G380" s="5" t="str">
        <f ca="1">IFERROR(__xludf.DUMMYFUNCTION("""COMPUTED_VALUE"""),"PPL")</f>
        <v>PPL</v>
      </c>
      <c r="H380" s="5" t="str">
        <f t="array" aca="1" ref="H380" ca="1">IF(N380=1, INDEX('Database Mitra'!$C$2:$C993,MATCH($C380,'Database Mitra'!$AK$2:$AK993,0)),"")</f>
        <v>Amalia Faisya</v>
      </c>
      <c r="I380" s="71">
        <f ca="1">IF(N380=1,SUMIFS('Alokasi Honor'!$M$2:$M993,'Alokasi Honor'!$T$2:$T993,A380),"")</f>
        <v>1212500</v>
      </c>
      <c r="J380" s="10">
        <f ca="1">IFERROR(__xludf.DUMMYFUNCTION("COUNTIF(FILTER('Alokasi Honor'!$H$2:$H993,'Alokasi Honor'!$H$2:$H993=""OB"",'Alokasi Honor'!$T$2:$T993=A380),""OB"")"),0)</f>
        <v>0</v>
      </c>
      <c r="K380" s="10">
        <f t="shared" ca="1" si="1"/>
        <v>2</v>
      </c>
      <c r="L380" s="70">
        <f t="array" aca="1" ref="L380" ca="1">IF(N380=1,INDEX('Batasan Honor'!$B$2:$B993,MATCH(CONCATENATE($F380,"-",$G380),'Batasan Honor'!$G$2:$G993,0)),"")</f>
        <v>5400000</v>
      </c>
      <c r="M380" s="10">
        <f t="shared" ca="1" si="4"/>
        <v>1</v>
      </c>
      <c r="N380" s="10">
        <f t="shared" ca="1" si="3"/>
        <v>1</v>
      </c>
    </row>
    <row r="381" spans="1:14" ht="12.5">
      <c r="A381" s="10" t="str">
        <f ca="1">IFERROR(__xludf.DUMMYFUNCTION("""COMPUTED_VALUE"""),"610422100274-2024-10-SURVEI-PPL")</f>
        <v>610422100274-2024-10-SURVEI-PPL</v>
      </c>
      <c r="B381" s="5" t="str">
        <f t="shared" ca="1" si="0"/>
        <v>610422100274-2024-10</v>
      </c>
      <c r="C381" s="5">
        <f ca="1">IFERROR(__xludf.DUMMYFUNCTION("IF(N381=1,SPLIT(A381,""-""),"""")"),610422100274)</f>
        <v>610422100274</v>
      </c>
      <c r="D381" s="10">
        <f ca="1">IFERROR(__xludf.DUMMYFUNCTION("""COMPUTED_VALUE"""),2024)</f>
        <v>2024</v>
      </c>
      <c r="E381" s="10">
        <f ca="1">IFERROR(__xludf.DUMMYFUNCTION("""COMPUTED_VALUE"""),10)</f>
        <v>10</v>
      </c>
      <c r="F381" s="5" t="str">
        <f ca="1">IFERROR(__xludf.DUMMYFUNCTION("""COMPUTED_VALUE"""),"SURVEI")</f>
        <v>SURVEI</v>
      </c>
      <c r="G381" s="5" t="str">
        <f ca="1">IFERROR(__xludf.DUMMYFUNCTION("""COMPUTED_VALUE"""),"PPL")</f>
        <v>PPL</v>
      </c>
      <c r="H381" s="5" t="str">
        <f t="array" aca="1" ref="H381" ca="1">IF(N381=1, INDEX('Database Mitra'!$C$2:$C993,MATCH($C381,'Database Mitra'!$AK$2:$AK993,0)),"")</f>
        <v>Anisatunnabilah</v>
      </c>
      <c r="I381" s="71">
        <f ca="1">IF(N381=1,SUMIFS('Alokasi Honor'!$M$2:$M993,'Alokasi Honor'!$T$2:$T993,A381),"")</f>
        <v>962500</v>
      </c>
      <c r="J381" s="10">
        <f ca="1">IFERROR(__xludf.DUMMYFUNCTION("COUNTIF(FILTER('Alokasi Honor'!$H$2:$H993,'Alokasi Honor'!$H$2:$H993=""OB"",'Alokasi Honor'!$T$2:$T993=A381),""OB"")"),0)</f>
        <v>0</v>
      </c>
      <c r="K381" s="10">
        <f t="shared" ca="1" si="1"/>
        <v>2</v>
      </c>
      <c r="L381" s="70">
        <f t="array" aca="1" ref="L381" ca="1">IF(N381=1,INDEX('Batasan Honor'!$B$2:$B993,MATCH(CONCATENATE($F381,"-",$G381),'Batasan Honor'!$G$2:$G993,0)),"")</f>
        <v>5400000</v>
      </c>
      <c r="M381" s="10">
        <f t="shared" ca="1" si="4"/>
        <v>1</v>
      </c>
      <c r="N381" s="10">
        <f t="shared" ca="1" si="3"/>
        <v>1</v>
      </c>
    </row>
    <row r="382" spans="1:14" ht="12.5">
      <c r="A382" s="10" t="str">
        <f ca="1">IFERROR(__xludf.DUMMYFUNCTION("""COMPUTED_VALUE"""),"610423040016-2024-10-SURVEI-PETUGAS ENTRI")</f>
        <v>610423040016-2024-10-SURVEI-PETUGAS ENTRI</v>
      </c>
      <c r="B382" s="5" t="str">
        <f t="shared" ca="1" si="0"/>
        <v>610423040016-2024-10</v>
      </c>
      <c r="C382" s="5">
        <f ca="1">IFERROR(__xludf.DUMMYFUNCTION("IF(N382=1,SPLIT(A382,""-""),"""")"),610423040016)</f>
        <v>610423040016</v>
      </c>
      <c r="D382" s="10">
        <f ca="1">IFERROR(__xludf.DUMMYFUNCTION("""COMPUTED_VALUE"""),2024)</f>
        <v>2024</v>
      </c>
      <c r="E382" s="10">
        <f ca="1">IFERROR(__xludf.DUMMYFUNCTION("""COMPUTED_VALUE"""),10)</f>
        <v>10</v>
      </c>
      <c r="F382" s="5" t="str">
        <f ca="1">IFERROR(__xludf.DUMMYFUNCTION("""COMPUTED_VALUE"""),"SURVEI")</f>
        <v>SURVEI</v>
      </c>
      <c r="G382" s="5" t="str">
        <f ca="1">IFERROR(__xludf.DUMMYFUNCTION("""COMPUTED_VALUE"""),"PETUGAS ENTRI")</f>
        <v>PETUGAS ENTRI</v>
      </c>
      <c r="H382" s="5" t="str">
        <f t="array" aca="1" ref="H382" ca="1">IF(N382=1, INDEX('Database Mitra'!$C$2:$C993,MATCH($C382,'Database Mitra'!$AK$2:$AK993,0)),"")</f>
        <v>Fairuztia Atiqah Putri</v>
      </c>
      <c r="I382" s="71">
        <f ca="1">IF(N382=1,SUMIFS('Alokasi Honor'!$M$2:$M993,'Alokasi Honor'!$T$2:$T993,A382),"")</f>
        <v>420000</v>
      </c>
      <c r="J382" s="10">
        <f ca="1">IFERROR(__xludf.DUMMYFUNCTION("COUNTIF(FILTER('Alokasi Honor'!$H$2:$H993,'Alokasi Honor'!$H$2:$H993=""OB"",'Alokasi Honor'!$T$2:$T993=A382),""OB"")"),0)</f>
        <v>0</v>
      </c>
      <c r="K382" s="10">
        <f t="shared" ca="1" si="1"/>
        <v>2</v>
      </c>
      <c r="L382" s="70">
        <f t="array" aca="1" ref="L382" ca="1">IF(N382=1,INDEX('Batasan Honor'!$B$2:$B993,MATCH(CONCATENATE($F382,"-",$G382),'Batasan Honor'!$G$2:$G993,0)),"")</f>
        <v>5400000</v>
      </c>
      <c r="M382" s="10">
        <f t="shared" ca="1" si="4"/>
        <v>1</v>
      </c>
      <c r="N382" s="10">
        <f t="shared" ca="1" si="3"/>
        <v>1</v>
      </c>
    </row>
    <row r="383" spans="1:14" ht="12.5">
      <c r="A383" s="10" t="str">
        <f ca="1">IFERROR(__xludf.DUMMYFUNCTION("""COMPUTED_VALUE"""),"610422100108-2024-10-SURVEI-PETUGAS ENTRI")</f>
        <v>610422100108-2024-10-SURVEI-PETUGAS ENTRI</v>
      </c>
      <c r="B383" s="5" t="str">
        <f t="shared" ca="1" si="0"/>
        <v>610422100108-2024-10</v>
      </c>
      <c r="C383" s="5">
        <f ca="1">IFERROR(__xludf.DUMMYFUNCTION("IF(N383=1,SPLIT(A383,""-""),"""")"),610422100108)</f>
        <v>610422100108</v>
      </c>
      <c r="D383" s="10">
        <f ca="1">IFERROR(__xludf.DUMMYFUNCTION("""COMPUTED_VALUE"""),2024)</f>
        <v>2024</v>
      </c>
      <c r="E383" s="10">
        <f ca="1">IFERROR(__xludf.DUMMYFUNCTION("""COMPUTED_VALUE"""),10)</f>
        <v>10</v>
      </c>
      <c r="F383" s="5" t="str">
        <f ca="1">IFERROR(__xludf.DUMMYFUNCTION("""COMPUTED_VALUE"""),"SURVEI")</f>
        <v>SURVEI</v>
      </c>
      <c r="G383" s="5" t="str">
        <f ca="1">IFERROR(__xludf.DUMMYFUNCTION("""COMPUTED_VALUE"""),"PETUGAS ENTRI")</f>
        <v>PETUGAS ENTRI</v>
      </c>
      <c r="H383" s="5" t="str">
        <f t="array" aca="1" ref="H383" ca="1">IF(N383=1, INDEX('Database Mitra'!$C$2:$C993,MATCH($C383,'Database Mitra'!$AK$2:$AK993,0)),"")</f>
        <v>Ermi Tiyarni</v>
      </c>
      <c r="I383" s="71">
        <f ca="1">IF(N383=1,SUMIFS('Alokasi Honor'!$M$2:$M993,'Alokasi Honor'!$T$2:$T993,A383),"")</f>
        <v>420000</v>
      </c>
      <c r="J383" s="10">
        <f ca="1">IFERROR(__xludf.DUMMYFUNCTION("COUNTIF(FILTER('Alokasi Honor'!$H$2:$H993,'Alokasi Honor'!$H$2:$H993=""OB"",'Alokasi Honor'!$T$2:$T993=A383),""OB"")"),0)</f>
        <v>0</v>
      </c>
      <c r="K383" s="10">
        <f t="shared" ca="1" si="1"/>
        <v>2</v>
      </c>
      <c r="L383" s="70">
        <f t="array" aca="1" ref="L383" ca="1">IF(N383=1,INDEX('Batasan Honor'!$B$2:$B993,MATCH(CONCATENATE($F383,"-",$G383),'Batasan Honor'!$G$2:$G993,0)),"")</f>
        <v>5400000</v>
      </c>
      <c r="M383" s="10">
        <f t="shared" ca="1" si="4"/>
        <v>1</v>
      </c>
      <c r="N383" s="10">
        <f t="shared" ca="1" si="3"/>
        <v>1</v>
      </c>
    </row>
    <row r="384" spans="1:14" ht="12.5">
      <c r="A384" s="10" t="str">
        <f ca="1">IFERROR(__xludf.DUMMYFUNCTION("""COMPUTED_VALUE"""),"610422100016-2024-10-SURVEI-PETUGAS ENTRI")</f>
        <v>610422100016-2024-10-SURVEI-PETUGAS ENTRI</v>
      </c>
      <c r="B384" s="5" t="str">
        <f t="shared" ca="1" si="0"/>
        <v>610422100016-2024-10</v>
      </c>
      <c r="C384" s="5">
        <f ca="1">IFERROR(__xludf.DUMMYFUNCTION("IF(N384=1,SPLIT(A384,""-""),"""")"),610422100016)</f>
        <v>610422100016</v>
      </c>
      <c r="D384" s="10">
        <f ca="1">IFERROR(__xludf.DUMMYFUNCTION("""COMPUTED_VALUE"""),2024)</f>
        <v>2024</v>
      </c>
      <c r="E384" s="10">
        <f ca="1">IFERROR(__xludf.DUMMYFUNCTION("""COMPUTED_VALUE"""),10)</f>
        <v>10</v>
      </c>
      <c r="F384" s="5" t="str">
        <f ca="1">IFERROR(__xludf.DUMMYFUNCTION("""COMPUTED_VALUE"""),"SURVEI")</f>
        <v>SURVEI</v>
      </c>
      <c r="G384" s="5" t="str">
        <f ca="1">IFERROR(__xludf.DUMMYFUNCTION("""COMPUTED_VALUE"""),"PETUGAS ENTRI")</f>
        <v>PETUGAS ENTRI</v>
      </c>
      <c r="H384" s="5" t="str">
        <f t="array" aca="1" ref="H384" ca="1">IF(N384=1, INDEX('Database Mitra'!$C$2:$C993,MATCH($C384,'Database Mitra'!$AK$2:$AK993,0)),"")</f>
        <v>Amalia Faisya</v>
      </c>
      <c r="I384" s="71">
        <f ca="1">IF(N384=1,SUMIFS('Alokasi Honor'!$M$2:$M993,'Alokasi Honor'!$T$2:$T993,A384),"")</f>
        <v>420000</v>
      </c>
      <c r="J384" s="10">
        <f ca="1">IFERROR(__xludf.DUMMYFUNCTION("COUNTIF(FILTER('Alokasi Honor'!$H$2:$H993,'Alokasi Honor'!$H$2:$H993=""OB"",'Alokasi Honor'!$T$2:$T993=A384),""OB"")"),0)</f>
        <v>0</v>
      </c>
      <c r="K384" s="10">
        <f t="shared" ca="1" si="1"/>
        <v>2</v>
      </c>
      <c r="L384" s="70">
        <f t="array" aca="1" ref="L384" ca="1">IF(N384=1,INDEX('Batasan Honor'!$B$2:$B993,MATCH(CONCATENATE($F384,"-",$G384),'Batasan Honor'!$G$2:$G993,0)),"")</f>
        <v>5400000</v>
      </c>
      <c r="M384" s="10">
        <f t="shared" ca="1" si="4"/>
        <v>1</v>
      </c>
      <c r="N384" s="10">
        <f t="shared" ca="1" si="3"/>
        <v>1</v>
      </c>
    </row>
    <row r="385" spans="1:14" ht="12.5">
      <c r="A385" s="10" t="str">
        <f ca="1">IFERROR(__xludf.DUMMYFUNCTION("""COMPUTED_VALUE"""),"610422100274-2024-10-SURVEI-PETUGAS ENTRI")</f>
        <v>610422100274-2024-10-SURVEI-PETUGAS ENTRI</v>
      </c>
      <c r="B385" s="5" t="str">
        <f t="shared" ca="1" si="0"/>
        <v>610422100274-2024-10</v>
      </c>
      <c r="C385" s="5">
        <f ca="1">IFERROR(__xludf.DUMMYFUNCTION("IF(N385=1,SPLIT(A385,""-""),"""")"),610422100274)</f>
        <v>610422100274</v>
      </c>
      <c r="D385" s="10">
        <f ca="1">IFERROR(__xludf.DUMMYFUNCTION("""COMPUTED_VALUE"""),2024)</f>
        <v>2024</v>
      </c>
      <c r="E385" s="10">
        <f ca="1">IFERROR(__xludf.DUMMYFUNCTION("""COMPUTED_VALUE"""),10)</f>
        <v>10</v>
      </c>
      <c r="F385" s="5" t="str">
        <f ca="1">IFERROR(__xludf.DUMMYFUNCTION("""COMPUTED_VALUE"""),"SURVEI")</f>
        <v>SURVEI</v>
      </c>
      <c r="G385" s="5" t="str">
        <f ca="1">IFERROR(__xludf.DUMMYFUNCTION("""COMPUTED_VALUE"""),"PETUGAS ENTRI")</f>
        <v>PETUGAS ENTRI</v>
      </c>
      <c r="H385" s="5" t="str">
        <f t="array" aca="1" ref="H385" ca="1">IF(N385=1, INDEX('Database Mitra'!$C$2:$C993,MATCH($C385,'Database Mitra'!$AK$2:$AK993,0)),"")</f>
        <v>Anisatunnabilah</v>
      </c>
      <c r="I385" s="71">
        <f ca="1">IF(N385=1,SUMIFS('Alokasi Honor'!$M$2:$M993,'Alokasi Honor'!$T$2:$T993,A385),"")</f>
        <v>420000</v>
      </c>
      <c r="J385" s="10">
        <f ca="1">IFERROR(__xludf.DUMMYFUNCTION("COUNTIF(FILTER('Alokasi Honor'!$H$2:$H993,'Alokasi Honor'!$H$2:$H993=""OB"",'Alokasi Honor'!$T$2:$T993=A385),""OB"")"),0)</f>
        <v>0</v>
      </c>
      <c r="K385" s="10">
        <f t="shared" ca="1" si="1"/>
        <v>2</v>
      </c>
      <c r="L385" s="70">
        <f t="array" aca="1" ref="L385" ca="1">IF(N385=1,INDEX('Batasan Honor'!$B$2:$B993,MATCH(CONCATENATE($F385,"-",$G385),'Batasan Honor'!$G$2:$G993,0)),"")</f>
        <v>5400000</v>
      </c>
      <c r="M385" s="10">
        <f t="shared" ca="1" si="4"/>
        <v>1</v>
      </c>
      <c r="N385" s="10">
        <f t="shared" ca="1" si="3"/>
        <v>1</v>
      </c>
    </row>
    <row r="386" spans="1:14" ht="12.5">
      <c r="A386" s="10" t="str">
        <f ca="1">IFERROR(__xludf.DUMMYFUNCTION("""COMPUTED_VALUE"""),"610422030002-2024-10-SURVEI-PPL")</f>
        <v>610422030002-2024-10-SURVEI-PPL</v>
      </c>
      <c r="B386" s="5" t="str">
        <f t="shared" ca="1" si="0"/>
        <v>610422030002-2024-10</v>
      </c>
      <c r="C386" s="5">
        <f ca="1">IFERROR(__xludf.DUMMYFUNCTION("IF(N386=1,SPLIT(A386,""-""),"""")"),610422030002)</f>
        <v>610422030002</v>
      </c>
      <c r="D386" s="10">
        <f ca="1">IFERROR(__xludf.DUMMYFUNCTION("""COMPUTED_VALUE"""),2024)</f>
        <v>2024</v>
      </c>
      <c r="E386" s="10">
        <f ca="1">IFERROR(__xludf.DUMMYFUNCTION("""COMPUTED_VALUE"""),10)</f>
        <v>10</v>
      </c>
      <c r="F386" s="5" t="str">
        <f ca="1">IFERROR(__xludf.DUMMYFUNCTION("""COMPUTED_VALUE"""),"SURVEI")</f>
        <v>SURVEI</v>
      </c>
      <c r="G386" s="5" t="str">
        <f ca="1">IFERROR(__xludf.DUMMYFUNCTION("""COMPUTED_VALUE"""),"PPL")</f>
        <v>PPL</v>
      </c>
      <c r="H386" s="5" t="str">
        <f t="array" aca="1" ref="H386" ca="1">IF(N386=1, INDEX('Database Mitra'!$C$2:$C993,MATCH($C386,'Database Mitra'!$AK$2:$AK993,0)),"")</f>
        <v>Deti erni widiastuti</v>
      </c>
      <c r="I386" s="71">
        <f ca="1">IF(N386=1,SUMIFS('Alokasi Honor'!$M$2:$M993,'Alokasi Honor'!$T$2:$T993,A386),"")</f>
        <v>750000</v>
      </c>
      <c r="J386" s="10">
        <f ca="1">IFERROR(__xludf.DUMMYFUNCTION("COUNTIF(FILTER('Alokasi Honor'!$H$2:$H993,'Alokasi Honor'!$H$2:$H993=""OB"",'Alokasi Honor'!$T$2:$T993=A386),""OB"")"),0)</f>
        <v>0</v>
      </c>
      <c r="K386" s="10">
        <f t="shared" ca="1" si="1"/>
        <v>1</v>
      </c>
      <c r="L386" s="70">
        <f t="array" aca="1" ref="L386" ca="1">IF(N386=1,INDEX('Batasan Honor'!$B$2:$B993,MATCH(CONCATENATE($F386,"-",$G386),'Batasan Honor'!$G$2:$G993,0)),"")</f>
        <v>5400000</v>
      </c>
      <c r="M386" s="10">
        <f t="shared" ca="1" si="4"/>
        <v>1</v>
      </c>
      <c r="N386" s="10">
        <f t="shared" ca="1" si="3"/>
        <v>1</v>
      </c>
    </row>
    <row r="387" spans="1:14" ht="12.5">
      <c r="A387" s="10" t="str">
        <f ca="1">IFERROR(__xludf.DUMMYFUNCTION("""COMPUTED_VALUE"""),"610422100244-2024-10-SURVEI-PPL")</f>
        <v>610422100244-2024-10-SURVEI-PPL</v>
      </c>
      <c r="B387" s="5" t="str">
        <f t="shared" ca="1" si="0"/>
        <v>610422100244-2024-10</v>
      </c>
      <c r="C387" s="5">
        <f ca="1">IFERROR(__xludf.DUMMYFUNCTION("IF(N387=1,SPLIT(A387,""-""),"""")"),610422100244)</f>
        <v>610422100244</v>
      </c>
      <c r="D387" s="10">
        <f ca="1">IFERROR(__xludf.DUMMYFUNCTION("""COMPUTED_VALUE"""),2024)</f>
        <v>2024</v>
      </c>
      <c r="E387" s="10">
        <f ca="1">IFERROR(__xludf.DUMMYFUNCTION("""COMPUTED_VALUE"""),10)</f>
        <v>10</v>
      </c>
      <c r="F387" s="5" t="str">
        <f ca="1">IFERROR(__xludf.DUMMYFUNCTION("""COMPUTED_VALUE"""),"SURVEI")</f>
        <v>SURVEI</v>
      </c>
      <c r="G387" s="5" t="str">
        <f ca="1">IFERROR(__xludf.DUMMYFUNCTION("""COMPUTED_VALUE"""),"PPL")</f>
        <v>PPL</v>
      </c>
      <c r="H387" s="5" t="str">
        <f t="array" aca="1" ref="H387" ca="1">IF(N387=1, INDEX('Database Mitra'!$C$2:$C993,MATCH($C387,'Database Mitra'!$AK$2:$AK993,0)),"")</f>
        <v>Sugianto</v>
      </c>
      <c r="I387" s="71">
        <f ca="1">IF(N387=1,SUMIFS('Alokasi Honor'!$M$2:$M993,'Alokasi Honor'!$T$2:$T993,A387),"")</f>
        <v>1090000</v>
      </c>
      <c r="J387" s="10">
        <f ca="1">IFERROR(__xludf.DUMMYFUNCTION("COUNTIF(FILTER('Alokasi Honor'!$H$2:$H993,'Alokasi Honor'!$H$2:$H993=""OB"",'Alokasi Honor'!$T$2:$T993=A387),""OB"")"),0)</f>
        <v>0</v>
      </c>
      <c r="K387" s="10">
        <f t="shared" ca="1" si="1"/>
        <v>1</v>
      </c>
      <c r="L387" s="70">
        <f t="array" aca="1" ref="L387" ca="1">IF(N387=1,INDEX('Batasan Honor'!$B$2:$B993,MATCH(CONCATENATE($F387,"-",$G387),'Batasan Honor'!$G$2:$G993,0)),"")</f>
        <v>5400000</v>
      </c>
      <c r="M387" s="10">
        <f t="shared" ca="1" si="4"/>
        <v>1</v>
      </c>
      <c r="N387" s="10">
        <f t="shared" ca="1" si="3"/>
        <v>1</v>
      </c>
    </row>
    <row r="388" spans="1:14" ht="12.5">
      <c r="A388" s="10" t="str">
        <f ca="1">IFERROR(__xludf.DUMMYFUNCTION("""COMPUTED_VALUE"""),"610422100124-2024-10-SURVEI-PPL")</f>
        <v>610422100124-2024-10-SURVEI-PPL</v>
      </c>
      <c r="B388" s="5" t="str">
        <f t="shared" ca="1" si="0"/>
        <v>610422100124-2024-10</v>
      </c>
      <c r="C388" s="5">
        <f ca="1">IFERROR(__xludf.DUMMYFUNCTION("IF(N388=1,SPLIT(A388,""-""),"""")"),610422100124)</f>
        <v>610422100124</v>
      </c>
      <c r="D388" s="10">
        <f ca="1">IFERROR(__xludf.DUMMYFUNCTION("""COMPUTED_VALUE"""),2024)</f>
        <v>2024</v>
      </c>
      <c r="E388" s="10">
        <f ca="1">IFERROR(__xludf.DUMMYFUNCTION("""COMPUTED_VALUE"""),10)</f>
        <v>10</v>
      </c>
      <c r="F388" s="5" t="str">
        <f ca="1">IFERROR(__xludf.DUMMYFUNCTION("""COMPUTED_VALUE"""),"SURVEI")</f>
        <v>SURVEI</v>
      </c>
      <c r="G388" s="5" t="str">
        <f ca="1">IFERROR(__xludf.DUMMYFUNCTION("""COMPUTED_VALUE"""),"PPL")</f>
        <v>PPL</v>
      </c>
      <c r="H388" s="5" t="str">
        <f t="array" aca="1" ref="H388" ca="1">IF(N388=1, INDEX('Database Mitra'!$C$2:$C993,MATCH($C388,'Database Mitra'!$AK$2:$AK993,0)),"")</f>
        <v>Prabowo</v>
      </c>
      <c r="I388" s="71">
        <f ca="1">IF(N388=1,SUMIFS('Alokasi Honor'!$M$2:$M993,'Alokasi Honor'!$T$2:$T993,A388),"")</f>
        <v>325000</v>
      </c>
      <c r="J388" s="10">
        <f ca="1">IFERROR(__xludf.DUMMYFUNCTION("COUNTIF(FILTER('Alokasi Honor'!$H$2:$H993,'Alokasi Honor'!$H$2:$H993=""OB"",'Alokasi Honor'!$T$2:$T993=A388),""OB"")"),0)</f>
        <v>0</v>
      </c>
      <c r="K388" s="10">
        <f t="shared" ca="1" si="1"/>
        <v>1</v>
      </c>
      <c r="L388" s="70">
        <f t="array" aca="1" ref="L388" ca="1">IF(N388=1,INDEX('Batasan Honor'!$B$2:$B993,MATCH(CONCATENATE($F388,"-",$G388),'Batasan Honor'!$G$2:$G993,0)),"")</f>
        <v>5400000</v>
      </c>
      <c r="M388" s="10">
        <f t="shared" ca="1" si="4"/>
        <v>1</v>
      </c>
      <c r="N388" s="10">
        <f t="shared" ca="1" si="3"/>
        <v>1</v>
      </c>
    </row>
    <row r="389" spans="1:14" ht="12.5">
      <c r="A389" s="10" t="str">
        <f ca="1">IFERROR(__xludf.DUMMYFUNCTION("""COMPUTED_VALUE"""),"610422040029-2024-10-SURVEI-PPL")</f>
        <v>610422040029-2024-10-SURVEI-PPL</v>
      </c>
      <c r="B389" s="5" t="str">
        <f t="shared" ca="1" si="0"/>
        <v>610422040029-2024-10</v>
      </c>
      <c r="C389" s="5">
        <f ca="1">IFERROR(__xludf.DUMMYFUNCTION("IF(N389=1,SPLIT(A389,""-""),"""")"),610422040029)</f>
        <v>610422040029</v>
      </c>
      <c r="D389" s="10">
        <f ca="1">IFERROR(__xludf.DUMMYFUNCTION("""COMPUTED_VALUE"""),2024)</f>
        <v>2024</v>
      </c>
      <c r="E389" s="10">
        <f ca="1">IFERROR(__xludf.DUMMYFUNCTION("""COMPUTED_VALUE"""),10)</f>
        <v>10</v>
      </c>
      <c r="F389" s="5" t="str">
        <f ca="1">IFERROR(__xludf.DUMMYFUNCTION("""COMPUTED_VALUE"""),"SURVEI")</f>
        <v>SURVEI</v>
      </c>
      <c r="G389" s="5" t="str">
        <f ca="1">IFERROR(__xludf.DUMMYFUNCTION("""COMPUTED_VALUE"""),"PPL")</f>
        <v>PPL</v>
      </c>
      <c r="H389" s="5" t="str">
        <f t="array" aca="1" ref="H389" ca="1">IF(N389=1, INDEX('Database Mitra'!$C$2:$C993,MATCH($C389,'Database Mitra'!$AK$2:$AK993,0)),"")</f>
        <v>Zaini</v>
      </c>
      <c r="I389" s="71">
        <f ca="1">IF(N389=1,SUMIFS('Alokasi Honor'!$M$2:$M993,'Alokasi Honor'!$T$2:$T993,A389),"")</f>
        <v>1510000</v>
      </c>
      <c r="J389" s="10">
        <f ca="1">IFERROR(__xludf.DUMMYFUNCTION("COUNTIF(FILTER('Alokasi Honor'!$H$2:$H993,'Alokasi Honor'!$H$2:$H993=""OB"",'Alokasi Honor'!$T$2:$T993=A389),""OB"")"),0)</f>
        <v>0</v>
      </c>
      <c r="K389" s="10">
        <f t="shared" ca="1" si="1"/>
        <v>1</v>
      </c>
      <c r="L389" s="70">
        <f t="array" aca="1" ref="L389" ca="1">IF(N389=1,INDEX('Batasan Honor'!$B$2:$B993,MATCH(CONCATENATE($F389,"-",$G389),'Batasan Honor'!$G$2:$G993,0)),"")</f>
        <v>5400000</v>
      </c>
      <c r="M389" s="10">
        <f t="shared" ca="1" si="4"/>
        <v>1</v>
      </c>
      <c r="N389" s="10">
        <f t="shared" ca="1" si="3"/>
        <v>1</v>
      </c>
    </row>
    <row r="390" spans="1:14" ht="12.5">
      <c r="A390" s="10" t="str">
        <f ca="1">IFERROR(__xludf.DUMMYFUNCTION("""COMPUTED_VALUE"""),"610422020048-2024-10-SURVEI-PPL")</f>
        <v>610422020048-2024-10-SURVEI-PPL</v>
      </c>
      <c r="B390" s="5" t="str">
        <f t="shared" ca="1" si="0"/>
        <v>610422020048-2024-10</v>
      </c>
      <c r="C390" s="5">
        <f ca="1">IFERROR(__xludf.DUMMYFUNCTION("IF(N390=1,SPLIT(A390,""-""),"""")"),610422020048)</f>
        <v>610422020048</v>
      </c>
      <c r="D390" s="10">
        <f ca="1">IFERROR(__xludf.DUMMYFUNCTION("""COMPUTED_VALUE"""),2024)</f>
        <v>2024</v>
      </c>
      <c r="E390" s="10">
        <f ca="1">IFERROR(__xludf.DUMMYFUNCTION("""COMPUTED_VALUE"""),10)</f>
        <v>10</v>
      </c>
      <c r="F390" s="5" t="str">
        <f ca="1">IFERROR(__xludf.DUMMYFUNCTION("""COMPUTED_VALUE"""),"SURVEI")</f>
        <v>SURVEI</v>
      </c>
      <c r="G390" s="5" t="str">
        <f ca="1">IFERROR(__xludf.DUMMYFUNCTION("""COMPUTED_VALUE"""),"PPL")</f>
        <v>PPL</v>
      </c>
      <c r="H390" s="5" t="str">
        <f t="array" aca="1" ref="H390" ca="1">IF(N390=1, INDEX('Database Mitra'!$C$2:$C993,MATCH($C390,'Database Mitra'!$AK$2:$AK993,0)),"")</f>
        <v>Herri Gustaman</v>
      </c>
      <c r="I390" s="71">
        <f ca="1">IF(N390=1,SUMIFS('Alokasi Honor'!$M$2:$M993,'Alokasi Honor'!$T$2:$T993,A390),"")</f>
        <v>1119000</v>
      </c>
      <c r="J390" s="10">
        <f ca="1">IFERROR(__xludf.DUMMYFUNCTION("COUNTIF(FILTER('Alokasi Honor'!$H$2:$H993,'Alokasi Honor'!$H$2:$H993=""OB"",'Alokasi Honor'!$T$2:$T993=A390),""OB"")"),0)</f>
        <v>0</v>
      </c>
      <c r="K390" s="10">
        <f t="shared" ca="1" si="1"/>
        <v>1</v>
      </c>
      <c r="L390" s="70">
        <f t="array" aca="1" ref="L390" ca="1">IF(N390=1,INDEX('Batasan Honor'!$B$2:$B993,MATCH(CONCATENATE($F390,"-",$G390),'Batasan Honor'!$G$2:$G993,0)),"")</f>
        <v>5400000</v>
      </c>
      <c r="M390" s="10">
        <f t="shared" ca="1" si="4"/>
        <v>1</v>
      </c>
      <c r="N390" s="10">
        <f t="shared" ca="1" si="3"/>
        <v>1</v>
      </c>
    </row>
    <row r="391" spans="1:14" ht="12.5">
      <c r="A391" s="10" t="str">
        <f ca="1">IFERROR(__xludf.DUMMYFUNCTION("""COMPUTED_VALUE"""),"610422100165-2024-10-SURVEI-PPL")</f>
        <v>610422100165-2024-10-SURVEI-PPL</v>
      </c>
      <c r="B391" s="5" t="str">
        <f t="shared" ca="1" si="0"/>
        <v>610422100165-2024-10</v>
      </c>
      <c r="C391" s="5">
        <f ca="1">IFERROR(__xludf.DUMMYFUNCTION("IF(N391=1,SPLIT(A391,""-""),"""")"),610422100165)</f>
        <v>610422100165</v>
      </c>
      <c r="D391" s="10">
        <f ca="1">IFERROR(__xludf.DUMMYFUNCTION("""COMPUTED_VALUE"""),2024)</f>
        <v>2024</v>
      </c>
      <c r="E391" s="10">
        <f ca="1">IFERROR(__xludf.DUMMYFUNCTION("""COMPUTED_VALUE"""),10)</f>
        <v>10</v>
      </c>
      <c r="F391" s="5" t="str">
        <f ca="1">IFERROR(__xludf.DUMMYFUNCTION("""COMPUTED_VALUE"""),"SURVEI")</f>
        <v>SURVEI</v>
      </c>
      <c r="G391" s="5" t="str">
        <f ca="1">IFERROR(__xludf.DUMMYFUNCTION("""COMPUTED_VALUE"""),"PPL")</f>
        <v>PPL</v>
      </c>
      <c r="H391" s="5" t="str">
        <f t="array" aca="1" ref="H391" ca="1">IF(N391=1, INDEX('Database Mitra'!$C$2:$C993,MATCH($C391,'Database Mitra'!$AK$2:$AK993,0)),"")</f>
        <v>Yanti</v>
      </c>
      <c r="I391" s="71">
        <f ca="1">IF(N391=1,SUMIFS('Alokasi Honor'!$M$2:$M993,'Alokasi Honor'!$T$2:$T993,A391),"")</f>
        <v>685000</v>
      </c>
      <c r="J391" s="10">
        <f ca="1">IFERROR(__xludf.DUMMYFUNCTION("COUNTIF(FILTER('Alokasi Honor'!$H$2:$H993,'Alokasi Honor'!$H$2:$H993=""OB"",'Alokasi Honor'!$T$2:$T993=A391),""OB"")"),0)</f>
        <v>0</v>
      </c>
      <c r="K391" s="10">
        <f t="shared" ca="1" si="1"/>
        <v>1</v>
      </c>
      <c r="L391" s="70">
        <f t="array" aca="1" ref="L391" ca="1">IF(N391=1,INDEX('Batasan Honor'!$B$2:$B993,MATCH(CONCATENATE($F391,"-",$G391),'Batasan Honor'!$G$2:$G993,0)),"")</f>
        <v>5400000</v>
      </c>
      <c r="M391" s="10">
        <f t="shared" ca="1" si="4"/>
        <v>1</v>
      </c>
      <c r="N391" s="10">
        <f t="shared" ca="1" si="3"/>
        <v>1</v>
      </c>
    </row>
    <row r="392" spans="1:14" ht="12.5">
      <c r="A392" s="10" t="str">
        <f ca="1">IFERROR(__xludf.DUMMYFUNCTION("""COMPUTED_VALUE"""),"610422020052-2024-10-SURVEI-PPL")</f>
        <v>610422020052-2024-10-SURVEI-PPL</v>
      </c>
      <c r="B392" s="5" t="str">
        <f t="shared" ca="1" si="0"/>
        <v>610422020052-2024-10</v>
      </c>
      <c r="C392" s="5">
        <f ca="1">IFERROR(__xludf.DUMMYFUNCTION("IF(N392=1,SPLIT(A392,""-""),"""")"),610422020052)</f>
        <v>610422020052</v>
      </c>
      <c r="D392" s="10">
        <f ca="1">IFERROR(__xludf.DUMMYFUNCTION("""COMPUTED_VALUE"""),2024)</f>
        <v>2024</v>
      </c>
      <c r="E392" s="10">
        <f ca="1">IFERROR(__xludf.DUMMYFUNCTION("""COMPUTED_VALUE"""),10)</f>
        <v>10</v>
      </c>
      <c r="F392" s="5" t="str">
        <f ca="1">IFERROR(__xludf.DUMMYFUNCTION("""COMPUTED_VALUE"""),"SURVEI")</f>
        <v>SURVEI</v>
      </c>
      <c r="G392" s="5" t="str">
        <f ca="1">IFERROR(__xludf.DUMMYFUNCTION("""COMPUTED_VALUE"""),"PPL")</f>
        <v>PPL</v>
      </c>
      <c r="H392" s="5" t="str">
        <f t="array" aca="1" ref="H392" ca="1">IF(N392=1, INDEX('Database Mitra'!$C$2:$C993,MATCH($C392,'Database Mitra'!$AK$2:$AK993,0)),"")</f>
        <v>Agus Supriyanto</v>
      </c>
      <c r="I392" s="71">
        <f ca="1">IF(N392=1,SUMIFS('Alokasi Honor'!$M$2:$M993,'Alokasi Honor'!$T$2:$T993,A392),"")</f>
        <v>420000</v>
      </c>
      <c r="J392" s="10">
        <f ca="1">IFERROR(__xludf.DUMMYFUNCTION("COUNTIF(FILTER('Alokasi Honor'!$H$2:$H993,'Alokasi Honor'!$H$2:$H993=""OB"",'Alokasi Honor'!$T$2:$T993=A392),""OB"")"),0)</f>
        <v>0</v>
      </c>
      <c r="K392" s="10">
        <f t="shared" ca="1" si="1"/>
        <v>1</v>
      </c>
      <c r="L392" s="70">
        <f t="array" aca="1" ref="L392" ca="1">IF(N392=1,INDEX('Batasan Honor'!$B$2:$B993,MATCH(CONCATENATE($F392,"-",$G392),'Batasan Honor'!$G$2:$G993,0)),"")</f>
        <v>5400000</v>
      </c>
      <c r="M392" s="10">
        <f t="shared" ca="1" si="4"/>
        <v>1</v>
      </c>
      <c r="N392" s="10">
        <f t="shared" ca="1" si="3"/>
        <v>1</v>
      </c>
    </row>
    <row r="393" spans="1:14" ht="12.5">
      <c r="A393" s="10" t="str">
        <f ca="1">IFERROR(__xludf.DUMMYFUNCTION("""COMPUTED_VALUE"""),"610422050001-2024-10-SURVEI-PPL")</f>
        <v>610422050001-2024-10-SURVEI-PPL</v>
      </c>
      <c r="B393" s="5" t="str">
        <f t="shared" ca="1" si="0"/>
        <v>610422050001-2024-10</v>
      </c>
      <c r="C393" s="5">
        <f ca="1">IFERROR(__xludf.DUMMYFUNCTION("IF(N393=1,SPLIT(A393,""-""),"""")"),610422050001)</f>
        <v>610422050001</v>
      </c>
      <c r="D393" s="10">
        <f ca="1">IFERROR(__xludf.DUMMYFUNCTION("""COMPUTED_VALUE"""),2024)</f>
        <v>2024</v>
      </c>
      <c r="E393" s="10">
        <f ca="1">IFERROR(__xludf.DUMMYFUNCTION("""COMPUTED_VALUE"""),10)</f>
        <v>10</v>
      </c>
      <c r="F393" s="5" t="str">
        <f ca="1">IFERROR(__xludf.DUMMYFUNCTION("""COMPUTED_VALUE"""),"SURVEI")</f>
        <v>SURVEI</v>
      </c>
      <c r="G393" s="5" t="str">
        <f ca="1">IFERROR(__xludf.DUMMYFUNCTION("""COMPUTED_VALUE"""),"PPL")</f>
        <v>PPL</v>
      </c>
      <c r="H393" s="5" t="str">
        <f t="array" aca="1" ref="H393" ca="1">IF(N393=1, INDEX('Database Mitra'!$C$2:$C993,MATCH($C393,'Database Mitra'!$AK$2:$AK993,0)),"")</f>
        <v>EVI JUNIARTY</v>
      </c>
      <c r="I393" s="71">
        <f ca="1">IF(N393=1,SUMIFS('Alokasi Honor'!$M$2:$M993,'Alokasi Honor'!$T$2:$T993,A393),"")</f>
        <v>415000</v>
      </c>
      <c r="J393" s="10">
        <f ca="1">IFERROR(__xludf.DUMMYFUNCTION("COUNTIF(FILTER('Alokasi Honor'!$H$2:$H993,'Alokasi Honor'!$H$2:$H993=""OB"",'Alokasi Honor'!$T$2:$T993=A393),""OB"")"),0)</f>
        <v>0</v>
      </c>
      <c r="K393" s="10">
        <f t="shared" ca="1" si="1"/>
        <v>1</v>
      </c>
      <c r="L393" s="70">
        <f t="array" aca="1" ref="L393" ca="1">IF(N393=1,INDEX('Batasan Honor'!$B$2:$B993,MATCH(CONCATENATE($F393,"-",$G393),'Batasan Honor'!$G$2:$G993,0)),"")</f>
        <v>5400000</v>
      </c>
      <c r="M393" s="10">
        <f t="shared" ca="1" si="4"/>
        <v>1</v>
      </c>
      <c r="N393" s="10">
        <f t="shared" ca="1" si="3"/>
        <v>1</v>
      </c>
    </row>
    <row r="394" spans="1:14" ht="12.5">
      <c r="A394" s="10" t="str">
        <f ca="1">IFERROR(__xludf.DUMMYFUNCTION("""COMPUTED_VALUE"""),"610422040030-2024-10-SURVEI-PPL")</f>
        <v>610422040030-2024-10-SURVEI-PPL</v>
      </c>
      <c r="B394" s="5" t="str">
        <f t="shared" ca="1" si="0"/>
        <v>610422040030-2024-10</v>
      </c>
      <c r="C394" s="5">
        <f ca="1">IFERROR(__xludf.DUMMYFUNCTION("IF(N394=1,SPLIT(A394,""-""),"""")"),610422040030)</f>
        <v>610422040030</v>
      </c>
      <c r="D394" s="10">
        <f ca="1">IFERROR(__xludf.DUMMYFUNCTION("""COMPUTED_VALUE"""),2024)</f>
        <v>2024</v>
      </c>
      <c r="E394" s="10">
        <f ca="1">IFERROR(__xludf.DUMMYFUNCTION("""COMPUTED_VALUE"""),10)</f>
        <v>10</v>
      </c>
      <c r="F394" s="5" t="str">
        <f ca="1">IFERROR(__xludf.DUMMYFUNCTION("""COMPUTED_VALUE"""),"SURVEI")</f>
        <v>SURVEI</v>
      </c>
      <c r="G394" s="5" t="str">
        <f ca="1">IFERROR(__xludf.DUMMYFUNCTION("""COMPUTED_VALUE"""),"PPL")</f>
        <v>PPL</v>
      </c>
      <c r="H394" s="5" t="str">
        <f t="array" aca="1" ref="H394" ca="1">IF(N394=1, INDEX('Database Mitra'!$C$2:$C993,MATCH($C394,'Database Mitra'!$AK$2:$AK993,0)),"")</f>
        <v>Syarifah Desti Pratiwi</v>
      </c>
      <c r="I394" s="71">
        <f ca="1">IF(N394=1,SUMIFS('Alokasi Honor'!$M$2:$M993,'Alokasi Honor'!$T$2:$T993,A394),"")</f>
        <v>55000</v>
      </c>
      <c r="J394" s="10">
        <f ca="1">IFERROR(__xludf.DUMMYFUNCTION("COUNTIF(FILTER('Alokasi Honor'!$H$2:$H993,'Alokasi Honor'!$H$2:$H993=""OB"",'Alokasi Honor'!$T$2:$T993=A394),""OB"")"),0)</f>
        <v>0</v>
      </c>
      <c r="K394" s="10">
        <f t="shared" ca="1" si="1"/>
        <v>1</v>
      </c>
      <c r="L394" s="70">
        <f t="array" aca="1" ref="L394" ca="1">IF(N394=1,INDEX('Batasan Honor'!$B$2:$B993,MATCH(CONCATENATE($F394,"-",$G394),'Batasan Honor'!$G$2:$G993,0)),"")</f>
        <v>5400000</v>
      </c>
      <c r="M394" s="10">
        <f t="shared" ca="1" si="4"/>
        <v>1</v>
      </c>
      <c r="N394" s="10">
        <f t="shared" ca="1" si="3"/>
        <v>1</v>
      </c>
    </row>
    <row r="395" spans="1:14" ht="12.5">
      <c r="A395" s="10" t="str">
        <f ca="1">IFERROR(__xludf.DUMMYFUNCTION("""COMPUTED_VALUE"""),"610422020016-2024-10-SURVEI-PPL")</f>
        <v>610422020016-2024-10-SURVEI-PPL</v>
      </c>
      <c r="B395" s="5" t="str">
        <f t="shared" ca="1" si="0"/>
        <v>610422020016-2024-10</v>
      </c>
      <c r="C395" s="5">
        <f ca="1">IFERROR(__xludf.DUMMYFUNCTION("IF(N395=1,SPLIT(A395,""-""),"""")"),610422020016)</f>
        <v>610422020016</v>
      </c>
      <c r="D395" s="10">
        <f ca="1">IFERROR(__xludf.DUMMYFUNCTION("""COMPUTED_VALUE"""),2024)</f>
        <v>2024</v>
      </c>
      <c r="E395" s="10">
        <f ca="1">IFERROR(__xludf.DUMMYFUNCTION("""COMPUTED_VALUE"""),10)</f>
        <v>10</v>
      </c>
      <c r="F395" s="5" t="str">
        <f ca="1">IFERROR(__xludf.DUMMYFUNCTION("""COMPUTED_VALUE"""),"SURVEI")</f>
        <v>SURVEI</v>
      </c>
      <c r="G395" s="5" t="str">
        <f ca="1">IFERROR(__xludf.DUMMYFUNCTION("""COMPUTED_VALUE"""),"PPL")</f>
        <v>PPL</v>
      </c>
      <c r="H395" s="5" t="str">
        <f t="array" aca="1" ref="H395" ca="1">IF(N395=1, INDEX('Database Mitra'!$C$2:$C993,MATCH($C395,'Database Mitra'!$AK$2:$AK993,0)),"")</f>
        <v>Abdul Aziz</v>
      </c>
      <c r="I395" s="71">
        <f ca="1">IF(N395=1,SUMIFS('Alokasi Honor'!$M$2:$M993,'Alokasi Honor'!$T$2:$T993,A395),"")</f>
        <v>513000</v>
      </c>
      <c r="J395" s="10">
        <f ca="1">IFERROR(__xludf.DUMMYFUNCTION("COUNTIF(FILTER('Alokasi Honor'!$H$2:$H993,'Alokasi Honor'!$H$2:$H993=""OB"",'Alokasi Honor'!$T$2:$T993=A395),""OB"")"),0)</f>
        <v>0</v>
      </c>
      <c r="K395" s="10">
        <f t="shared" ca="1" si="1"/>
        <v>1</v>
      </c>
      <c r="L395" s="70">
        <f t="array" aca="1" ref="L395" ca="1">IF(N395=1,INDEX('Batasan Honor'!$B$2:$B993,MATCH(CONCATENATE($F395,"-",$G395),'Batasan Honor'!$G$2:$G993,0)),"")</f>
        <v>5400000</v>
      </c>
      <c r="M395" s="10">
        <f t="shared" ca="1" si="4"/>
        <v>1</v>
      </c>
      <c r="N395" s="10">
        <f t="shared" ca="1" si="3"/>
        <v>1</v>
      </c>
    </row>
    <row r="396" spans="1:14" ht="12.5">
      <c r="A396" s="10" t="str">
        <f ca="1">IFERROR(__xludf.DUMMYFUNCTION("""COMPUTED_VALUE"""),"610422040056-2024-10-SURVEI-PPL")</f>
        <v>610422040056-2024-10-SURVEI-PPL</v>
      </c>
      <c r="B396" s="5" t="str">
        <f t="shared" ca="1" si="0"/>
        <v>610422040056-2024-10</v>
      </c>
      <c r="C396" s="5">
        <f ca="1">IFERROR(__xludf.DUMMYFUNCTION("IF(N396=1,SPLIT(A396,""-""),"""")"),610422040056)</f>
        <v>610422040056</v>
      </c>
      <c r="D396" s="10">
        <f ca="1">IFERROR(__xludf.DUMMYFUNCTION("""COMPUTED_VALUE"""),2024)</f>
        <v>2024</v>
      </c>
      <c r="E396" s="10">
        <f ca="1">IFERROR(__xludf.DUMMYFUNCTION("""COMPUTED_VALUE"""),10)</f>
        <v>10</v>
      </c>
      <c r="F396" s="5" t="str">
        <f ca="1">IFERROR(__xludf.DUMMYFUNCTION("""COMPUTED_VALUE"""),"SURVEI")</f>
        <v>SURVEI</v>
      </c>
      <c r="G396" s="5" t="str">
        <f ca="1">IFERROR(__xludf.DUMMYFUNCTION("""COMPUTED_VALUE"""),"PPL")</f>
        <v>PPL</v>
      </c>
      <c r="H396" s="5" t="str">
        <f t="array" aca="1" ref="H396" ca="1">IF(N396=1, INDEX('Database Mitra'!$C$2:$C993,MATCH($C396,'Database Mitra'!$AK$2:$AK993,0)),"")</f>
        <v>Wandi Syafari</v>
      </c>
      <c r="I396" s="71">
        <f ca="1">IF(N396=1,SUMIFS('Alokasi Honor'!$M$2:$M993,'Alokasi Honor'!$T$2:$T993,A396),"")</f>
        <v>760000</v>
      </c>
      <c r="J396" s="10">
        <f ca="1">IFERROR(__xludf.DUMMYFUNCTION("COUNTIF(FILTER('Alokasi Honor'!$H$2:$H993,'Alokasi Honor'!$H$2:$H993=""OB"",'Alokasi Honor'!$T$2:$T993=A396),""OB"")"),0)</f>
        <v>0</v>
      </c>
      <c r="K396" s="10">
        <f t="shared" ca="1" si="1"/>
        <v>1</v>
      </c>
      <c r="L396" s="70">
        <f t="array" aca="1" ref="L396" ca="1">IF(N396=1,INDEX('Batasan Honor'!$B$2:$B993,MATCH(CONCATENATE($F396,"-",$G396),'Batasan Honor'!$G$2:$G993,0)),"")</f>
        <v>5400000</v>
      </c>
      <c r="M396" s="10">
        <f t="shared" ca="1" si="4"/>
        <v>1</v>
      </c>
      <c r="N396" s="10">
        <f t="shared" ca="1" si="3"/>
        <v>1</v>
      </c>
    </row>
    <row r="397" spans="1:14" ht="12.5">
      <c r="A397" s="10" t="str">
        <f ca="1">IFERROR(__xludf.DUMMYFUNCTION("""COMPUTED_VALUE"""),"610422040012-2024-10-SURVEI-PPL")</f>
        <v>610422040012-2024-10-SURVEI-PPL</v>
      </c>
      <c r="B397" s="5" t="str">
        <f t="shared" ca="1" si="0"/>
        <v>610422040012-2024-10</v>
      </c>
      <c r="C397" s="5">
        <f ca="1">IFERROR(__xludf.DUMMYFUNCTION("IF(N397=1,SPLIT(A397,""-""),"""")"),610422040012)</f>
        <v>610422040012</v>
      </c>
      <c r="D397" s="10">
        <f ca="1">IFERROR(__xludf.DUMMYFUNCTION("""COMPUTED_VALUE"""),2024)</f>
        <v>2024</v>
      </c>
      <c r="E397" s="10">
        <f ca="1">IFERROR(__xludf.DUMMYFUNCTION("""COMPUTED_VALUE"""),10)</f>
        <v>10</v>
      </c>
      <c r="F397" s="5" t="str">
        <f ca="1">IFERROR(__xludf.DUMMYFUNCTION("""COMPUTED_VALUE"""),"SURVEI")</f>
        <v>SURVEI</v>
      </c>
      <c r="G397" s="5" t="str">
        <f ca="1">IFERROR(__xludf.DUMMYFUNCTION("""COMPUTED_VALUE"""),"PPL")</f>
        <v>PPL</v>
      </c>
      <c r="H397" s="5" t="str">
        <f t="array" aca="1" ref="H397" ca="1">IF(N397=1, INDEX('Database Mitra'!$C$2:$C993,MATCH($C397,'Database Mitra'!$AK$2:$AK993,0)),"")</f>
        <v>Misdi</v>
      </c>
      <c r="I397" s="71">
        <f ca="1">IF(N397=1,SUMIFS('Alokasi Honor'!$M$2:$M993,'Alokasi Honor'!$T$2:$T993,A397),"")</f>
        <v>348000</v>
      </c>
      <c r="J397" s="10">
        <f ca="1">IFERROR(__xludf.DUMMYFUNCTION("COUNTIF(FILTER('Alokasi Honor'!$H$2:$H993,'Alokasi Honor'!$H$2:$H993=""OB"",'Alokasi Honor'!$T$2:$T993=A397),""OB"")"),0)</f>
        <v>0</v>
      </c>
      <c r="K397" s="10">
        <f t="shared" ca="1" si="1"/>
        <v>1</v>
      </c>
      <c r="L397" s="70">
        <f t="array" aca="1" ref="L397" ca="1">IF(N397=1,INDEX('Batasan Honor'!$B$2:$B993,MATCH(CONCATENATE($F397,"-",$G397),'Batasan Honor'!$G$2:$G993,0)),"")</f>
        <v>5400000</v>
      </c>
      <c r="M397" s="10">
        <f t="shared" ca="1" si="4"/>
        <v>1</v>
      </c>
      <c r="N397" s="10">
        <f t="shared" ca="1" si="3"/>
        <v>1</v>
      </c>
    </row>
    <row r="398" spans="1:14" ht="12.5">
      <c r="A398" s="10" t="str">
        <f ca="1">IFERROR(__xludf.DUMMYFUNCTION("""COMPUTED_VALUE"""),"610422040059-2024-10-SURVEI-PPL")</f>
        <v>610422040059-2024-10-SURVEI-PPL</v>
      </c>
      <c r="B398" s="5" t="str">
        <f t="shared" ca="1" si="0"/>
        <v>610422040059-2024-10</v>
      </c>
      <c r="C398" s="5">
        <f ca="1">IFERROR(__xludf.DUMMYFUNCTION("IF(N398=1,SPLIT(A398,""-""),"""")"),610422040059)</f>
        <v>610422040059</v>
      </c>
      <c r="D398" s="10">
        <f ca="1">IFERROR(__xludf.DUMMYFUNCTION("""COMPUTED_VALUE"""),2024)</f>
        <v>2024</v>
      </c>
      <c r="E398" s="10">
        <f ca="1">IFERROR(__xludf.DUMMYFUNCTION("""COMPUTED_VALUE"""),10)</f>
        <v>10</v>
      </c>
      <c r="F398" s="5" t="str">
        <f ca="1">IFERROR(__xludf.DUMMYFUNCTION("""COMPUTED_VALUE"""),"SURVEI")</f>
        <v>SURVEI</v>
      </c>
      <c r="G398" s="5" t="str">
        <f ca="1">IFERROR(__xludf.DUMMYFUNCTION("""COMPUTED_VALUE"""),"PPL")</f>
        <v>PPL</v>
      </c>
      <c r="H398" s="5" t="str">
        <f t="array" aca="1" ref="H398" ca="1">IF(N398=1, INDEX('Database Mitra'!$C$2:$C993,MATCH($C398,'Database Mitra'!$AK$2:$AK993,0)),"")</f>
        <v>Abang Handri</v>
      </c>
      <c r="I398" s="71">
        <f ca="1">IF(N398=1,SUMIFS('Alokasi Honor'!$M$2:$M993,'Alokasi Honor'!$T$2:$T993,A398),"")</f>
        <v>818000</v>
      </c>
      <c r="J398" s="10">
        <f ca="1">IFERROR(__xludf.DUMMYFUNCTION("COUNTIF(FILTER('Alokasi Honor'!$H$2:$H993,'Alokasi Honor'!$H$2:$H993=""OB"",'Alokasi Honor'!$T$2:$T993=A398),""OB"")"),0)</f>
        <v>0</v>
      </c>
      <c r="K398" s="10">
        <f t="shared" ca="1" si="1"/>
        <v>1</v>
      </c>
      <c r="L398" s="70">
        <f t="array" aca="1" ref="L398" ca="1">IF(N398=1,INDEX('Batasan Honor'!$B$2:$B993,MATCH(CONCATENATE($F398,"-",$G398),'Batasan Honor'!$G$2:$G993,0)),"")</f>
        <v>5400000</v>
      </c>
      <c r="M398" s="10">
        <f t="shared" ca="1" si="4"/>
        <v>1</v>
      </c>
      <c r="N398" s="10">
        <f t="shared" ca="1" si="3"/>
        <v>1</v>
      </c>
    </row>
    <row r="399" spans="1:14" ht="12.5">
      <c r="A399" s="10" t="str">
        <f ca="1">IFERROR(__xludf.DUMMYFUNCTION("""COMPUTED_VALUE"""),"610422040061-2024-10-SURVEI-PPL")</f>
        <v>610422040061-2024-10-SURVEI-PPL</v>
      </c>
      <c r="B399" s="5" t="str">
        <f t="shared" ca="1" si="0"/>
        <v>610422040061-2024-10</v>
      </c>
      <c r="C399" s="5">
        <f ca="1">IFERROR(__xludf.DUMMYFUNCTION("IF(N399=1,SPLIT(A399,""-""),"""")"),610422040061)</f>
        <v>610422040061</v>
      </c>
      <c r="D399" s="10">
        <f ca="1">IFERROR(__xludf.DUMMYFUNCTION("""COMPUTED_VALUE"""),2024)</f>
        <v>2024</v>
      </c>
      <c r="E399" s="10">
        <f ca="1">IFERROR(__xludf.DUMMYFUNCTION("""COMPUTED_VALUE"""),10)</f>
        <v>10</v>
      </c>
      <c r="F399" s="5" t="str">
        <f ca="1">IFERROR(__xludf.DUMMYFUNCTION("""COMPUTED_VALUE"""),"SURVEI")</f>
        <v>SURVEI</v>
      </c>
      <c r="G399" s="5" t="str">
        <f ca="1">IFERROR(__xludf.DUMMYFUNCTION("""COMPUTED_VALUE"""),"PPL")</f>
        <v>PPL</v>
      </c>
      <c r="H399" s="5" t="str">
        <f t="array" aca="1" ref="H399" ca="1">IF(N399=1, INDEX('Database Mitra'!$C$2:$C993,MATCH($C399,'Database Mitra'!$AK$2:$AK993,0)),"")</f>
        <v>Sabani</v>
      </c>
      <c r="I399" s="71">
        <f ca="1">IF(N399=1,SUMIFS('Alokasi Honor'!$M$2:$M993,'Alokasi Honor'!$T$2:$T993,A399),"")</f>
        <v>348000</v>
      </c>
      <c r="J399" s="10">
        <f ca="1">IFERROR(__xludf.DUMMYFUNCTION("COUNTIF(FILTER('Alokasi Honor'!$H$2:$H993,'Alokasi Honor'!$H$2:$H993=""OB"",'Alokasi Honor'!$T$2:$T993=A399),""OB"")"),0)</f>
        <v>0</v>
      </c>
      <c r="K399" s="10">
        <f t="shared" ca="1" si="1"/>
        <v>1</v>
      </c>
      <c r="L399" s="70">
        <f t="array" aca="1" ref="L399" ca="1">IF(N399=1,INDEX('Batasan Honor'!$B$2:$B993,MATCH(CONCATENATE($F399,"-",$G399),'Batasan Honor'!$G$2:$G993,0)),"")</f>
        <v>5400000</v>
      </c>
      <c r="M399" s="10">
        <f t="shared" ca="1" si="4"/>
        <v>1</v>
      </c>
      <c r="N399" s="10">
        <f t="shared" ca="1" si="3"/>
        <v>1</v>
      </c>
    </row>
    <row r="400" spans="1:14" ht="12.5">
      <c r="A400" s="10" t="str">
        <f ca="1">IFERROR(__xludf.DUMMYFUNCTION("""COMPUTED_VALUE"""),"610422100131-2024-10-SURVEI-PPL")</f>
        <v>610422100131-2024-10-SURVEI-PPL</v>
      </c>
      <c r="B400" s="5" t="str">
        <f t="shared" ca="1" si="0"/>
        <v>610422100131-2024-10</v>
      </c>
      <c r="C400" s="5">
        <f ca="1">IFERROR(__xludf.DUMMYFUNCTION("IF(N400=1,SPLIT(A400,""-""),"""")"),610422100131)</f>
        <v>610422100131</v>
      </c>
      <c r="D400" s="10">
        <f ca="1">IFERROR(__xludf.DUMMYFUNCTION("""COMPUTED_VALUE"""),2024)</f>
        <v>2024</v>
      </c>
      <c r="E400" s="10">
        <f ca="1">IFERROR(__xludf.DUMMYFUNCTION("""COMPUTED_VALUE"""),10)</f>
        <v>10</v>
      </c>
      <c r="F400" s="5" t="str">
        <f ca="1">IFERROR(__xludf.DUMMYFUNCTION("""COMPUTED_VALUE"""),"SURVEI")</f>
        <v>SURVEI</v>
      </c>
      <c r="G400" s="5" t="str">
        <f ca="1">IFERROR(__xludf.DUMMYFUNCTION("""COMPUTED_VALUE"""),"PPL")</f>
        <v>PPL</v>
      </c>
      <c r="H400" s="5" t="str">
        <f t="array" aca="1" ref="H400" ca="1">IF(N400=1, INDEX('Database Mitra'!$C$2:$C993,MATCH($C400,'Database Mitra'!$AK$2:$AK993,0)),"")</f>
        <v>SYAMSUL</v>
      </c>
      <c r="I400" s="71">
        <f ca="1">IF(N400=1,SUMIFS('Alokasi Honor'!$M$2:$M993,'Alokasi Honor'!$T$2:$T993,A400),"")</f>
        <v>348000</v>
      </c>
      <c r="J400" s="10">
        <f ca="1">IFERROR(__xludf.DUMMYFUNCTION("COUNTIF(FILTER('Alokasi Honor'!$H$2:$H993,'Alokasi Honor'!$H$2:$H993=""OB"",'Alokasi Honor'!$T$2:$T993=A400),""OB"")"),0)</f>
        <v>0</v>
      </c>
      <c r="K400" s="10">
        <f t="shared" ca="1" si="1"/>
        <v>1</v>
      </c>
      <c r="L400" s="70">
        <f t="array" aca="1" ref="L400" ca="1">IF(N400=1,INDEX('Batasan Honor'!$B$2:$B993,MATCH(CONCATENATE($F400,"-",$G400),'Batasan Honor'!$G$2:$G993,0)),"")</f>
        <v>5400000</v>
      </c>
      <c r="M400" s="10">
        <f t="shared" ca="1" si="4"/>
        <v>1</v>
      </c>
      <c r="N400" s="10">
        <f t="shared" ca="1" si="3"/>
        <v>1</v>
      </c>
    </row>
    <row r="401" spans="1:14" ht="12.5">
      <c r="A401" s="10" t="str">
        <f ca="1">IFERROR(__xludf.DUMMYFUNCTION("""COMPUTED_VALUE"""),"610422100176-2024-10-SURVEI-PPL")</f>
        <v>610422100176-2024-10-SURVEI-PPL</v>
      </c>
      <c r="B401" s="5" t="str">
        <f t="shared" ca="1" si="0"/>
        <v>610422100176-2024-10</v>
      </c>
      <c r="C401" s="5">
        <f ca="1">IFERROR(__xludf.DUMMYFUNCTION("IF(N401=1,SPLIT(A401,""-""),"""")"),610422100176)</f>
        <v>610422100176</v>
      </c>
      <c r="D401" s="10">
        <f ca="1">IFERROR(__xludf.DUMMYFUNCTION("""COMPUTED_VALUE"""),2024)</f>
        <v>2024</v>
      </c>
      <c r="E401" s="10">
        <f ca="1">IFERROR(__xludf.DUMMYFUNCTION("""COMPUTED_VALUE"""),10)</f>
        <v>10</v>
      </c>
      <c r="F401" s="5" t="str">
        <f ca="1">IFERROR(__xludf.DUMMYFUNCTION("""COMPUTED_VALUE"""),"SURVEI")</f>
        <v>SURVEI</v>
      </c>
      <c r="G401" s="5" t="str">
        <f ca="1">IFERROR(__xludf.DUMMYFUNCTION("""COMPUTED_VALUE"""),"PPL")</f>
        <v>PPL</v>
      </c>
      <c r="H401" s="5" t="str">
        <f t="array" aca="1" ref="H401" ca="1">IF(N401=1, INDEX('Database Mitra'!$C$2:$C993,MATCH($C401,'Database Mitra'!$AK$2:$AK993,0)),"")</f>
        <v>Feri Firdaus</v>
      </c>
      <c r="I401" s="71">
        <f ca="1">IF(N401=1,SUMIFS('Alokasi Honor'!$M$2:$M993,'Alokasi Honor'!$T$2:$T993,A401),"")</f>
        <v>348000</v>
      </c>
      <c r="J401" s="10">
        <f ca="1">IFERROR(__xludf.DUMMYFUNCTION("COUNTIF(FILTER('Alokasi Honor'!$H$2:$H993,'Alokasi Honor'!$H$2:$H993=""OB"",'Alokasi Honor'!$T$2:$T993=A401),""OB"")"),0)</f>
        <v>0</v>
      </c>
      <c r="K401" s="10">
        <f t="shared" ca="1" si="1"/>
        <v>1</v>
      </c>
      <c r="L401" s="70">
        <f t="array" aca="1" ref="L401" ca="1">IF(N401=1,INDEX('Batasan Honor'!$B$2:$B993,MATCH(CONCATENATE($F401,"-",$G401),'Batasan Honor'!$G$2:$G993,0)),"")</f>
        <v>5400000</v>
      </c>
      <c r="M401" s="10">
        <f t="shared" ca="1" si="4"/>
        <v>1</v>
      </c>
      <c r="N401" s="10">
        <f t="shared" ca="1" si="3"/>
        <v>1</v>
      </c>
    </row>
    <row r="402" spans="1:14" ht="12.5">
      <c r="A402" s="10" t="str">
        <f ca="1">IFERROR(__xludf.DUMMYFUNCTION("""COMPUTED_VALUE"""),"610423110183-2024-10-SURVEI-PPL")</f>
        <v>610423110183-2024-10-SURVEI-PPL</v>
      </c>
      <c r="B402" s="5" t="str">
        <f t="shared" ca="1" si="0"/>
        <v>610423110183-2024-10</v>
      </c>
      <c r="C402" s="5">
        <f ca="1">IFERROR(__xludf.DUMMYFUNCTION("IF(N402=1,SPLIT(A402,""-""),"""")"),610423110183)</f>
        <v>610423110183</v>
      </c>
      <c r="D402" s="10">
        <f ca="1">IFERROR(__xludf.DUMMYFUNCTION("""COMPUTED_VALUE"""),2024)</f>
        <v>2024</v>
      </c>
      <c r="E402" s="10">
        <f ca="1">IFERROR(__xludf.DUMMYFUNCTION("""COMPUTED_VALUE"""),10)</f>
        <v>10</v>
      </c>
      <c r="F402" s="5" t="str">
        <f ca="1">IFERROR(__xludf.DUMMYFUNCTION("""COMPUTED_VALUE"""),"SURVEI")</f>
        <v>SURVEI</v>
      </c>
      <c r="G402" s="5" t="str">
        <f ca="1">IFERROR(__xludf.DUMMYFUNCTION("""COMPUTED_VALUE"""),"PPL")</f>
        <v>PPL</v>
      </c>
      <c r="H402" s="5" t="str">
        <f t="array" aca="1" ref="H402" ca="1">IF(N402=1, INDEX('Database Mitra'!$C$2:$C993,MATCH($C402,'Database Mitra'!$AK$2:$AK993,0)),"")</f>
        <v>azhar</v>
      </c>
      <c r="I402" s="71">
        <f ca="1">IF(N402=1,SUMIFS('Alokasi Honor'!$M$2:$M993,'Alokasi Honor'!$T$2:$T993,A402),"")</f>
        <v>1050000</v>
      </c>
      <c r="J402" s="10">
        <f ca="1">IFERROR(__xludf.DUMMYFUNCTION("COUNTIF(FILTER('Alokasi Honor'!$H$2:$H993,'Alokasi Honor'!$H$2:$H993=""OB"",'Alokasi Honor'!$T$2:$T993=A402),""OB"")"),0)</f>
        <v>0</v>
      </c>
      <c r="K402" s="10">
        <f t="shared" ca="1" si="1"/>
        <v>1</v>
      </c>
      <c r="L402" s="70">
        <f t="array" aca="1" ref="L402" ca="1">IF(N402=1,INDEX('Batasan Honor'!$B$2:$B993,MATCH(CONCATENATE($F402,"-",$G402),'Batasan Honor'!$G$2:$G993,0)),"")</f>
        <v>5400000</v>
      </c>
      <c r="M402" s="10">
        <f t="shared" ca="1" si="4"/>
        <v>1</v>
      </c>
      <c r="N402" s="10">
        <f t="shared" ca="1" si="3"/>
        <v>1</v>
      </c>
    </row>
    <row r="403" spans="1:14" ht="12.5">
      <c r="A403" s="10" t="str">
        <f ca="1">IFERROR(__xludf.DUMMYFUNCTION("""COMPUTED_VALUE"""),"610423040018-2024-10-SURVEI-PPL")</f>
        <v>610423040018-2024-10-SURVEI-PPL</v>
      </c>
      <c r="B403" s="5" t="str">
        <f t="shared" ca="1" si="0"/>
        <v>610423040018-2024-10</v>
      </c>
      <c r="C403" s="5">
        <f ca="1">IFERROR(__xludf.DUMMYFUNCTION("IF(N403=1,SPLIT(A403,""-""),"""")"),610423040018)</f>
        <v>610423040018</v>
      </c>
      <c r="D403" s="10">
        <f ca="1">IFERROR(__xludf.DUMMYFUNCTION("""COMPUTED_VALUE"""),2024)</f>
        <v>2024</v>
      </c>
      <c r="E403" s="10">
        <f ca="1">IFERROR(__xludf.DUMMYFUNCTION("""COMPUTED_VALUE"""),10)</f>
        <v>10</v>
      </c>
      <c r="F403" s="5" t="str">
        <f ca="1">IFERROR(__xludf.DUMMYFUNCTION("""COMPUTED_VALUE"""),"SURVEI")</f>
        <v>SURVEI</v>
      </c>
      <c r="G403" s="5" t="str">
        <f ca="1">IFERROR(__xludf.DUMMYFUNCTION("""COMPUTED_VALUE"""),"PPL")</f>
        <v>PPL</v>
      </c>
      <c r="H403" s="5" t="str">
        <f t="array" aca="1" ref="H403" ca="1">IF(N403=1, INDEX('Database Mitra'!$C$2:$C993,MATCH($C403,'Database Mitra'!$AK$2:$AK993,0)),"")</f>
        <v>Handoko Tuah Sabarman Sipayung</v>
      </c>
      <c r="I403" s="71">
        <f ca="1">IF(N403=1,SUMIFS('Alokasi Honor'!$M$2:$M993,'Alokasi Honor'!$T$2:$T993,A403),"")</f>
        <v>464000</v>
      </c>
      <c r="J403" s="10">
        <f ca="1">IFERROR(__xludf.DUMMYFUNCTION("COUNTIF(FILTER('Alokasi Honor'!$H$2:$H993,'Alokasi Honor'!$H$2:$H993=""OB"",'Alokasi Honor'!$T$2:$T993=A403),""OB"")"),0)</f>
        <v>0</v>
      </c>
      <c r="K403" s="10">
        <f t="shared" ca="1" si="1"/>
        <v>1</v>
      </c>
      <c r="L403" s="70">
        <f t="array" aca="1" ref="L403" ca="1">IF(N403=1,INDEX('Batasan Honor'!$B$2:$B993,MATCH(CONCATENATE($F403,"-",$G403),'Batasan Honor'!$G$2:$G993,0)),"")</f>
        <v>5400000</v>
      </c>
      <c r="M403" s="10">
        <f t="shared" ca="1" si="4"/>
        <v>1</v>
      </c>
      <c r="N403" s="10">
        <f t="shared" ca="1" si="3"/>
        <v>1</v>
      </c>
    </row>
    <row r="404" spans="1:14" ht="12.5">
      <c r="A404" s="10" t="str">
        <f ca="1">IFERROR(__xludf.DUMMYFUNCTION("""COMPUTED_VALUE"""),"610422040058-2024-10-SURVEI-PPL")</f>
        <v>610422040058-2024-10-SURVEI-PPL</v>
      </c>
      <c r="B404" s="5" t="str">
        <f t="shared" ca="1" si="0"/>
        <v>610422040058-2024-10</v>
      </c>
      <c r="C404" s="5">
        <f ca="1">IFERROR(__xludf.DUMMYFUNCTION("IF(N404=1,SPLIT(A404,""-""),"""")"),610422040058)</f>
        <v>610422040058</v>
      </c>
      <c r="D404" s="10">
        <f ca="1">IFERROR(__xludf.DUMMYFUNCTION("""COMPUTED_VALUE"""),2024)</f>
        <v>2024</v>
      </c>
      <c r="E404" s="10">
        <f ca="1">IFERROR(__xludf.DUMMYFUNCTION("""COMPUTED_VALUE"""),10)</f>
        <v>10</v>
      </c>
      <c r="F404" s="5" t="str">
        <f ca="1">IFERROR(__xludf.DUMMYFUNCTION("""COMPUTED_VALUE"""),"SURVEI")</f>
        <v>SURVEI</v>
      </c>
      <c r="G404" s="5" t="str">
        <f ca="1">IFERROR(__xludf.DUMMYFUNCTION("""COMPUTED_VALUE"""),"PPL")</f>
        <v>PPL</v>
      </c>
      <c r="H404" s="5" t="str">
        <f t="array" aca="1" ref="H404" ca="1">IF(N404=1, INDEX('Database Mitra'!$C$2:$C993,MATCH($C404,'Database Mitra'!$AK$2:$AK993,0)),"")</f>
        <v>Jamaluddin, SP</v>
      </c>
      <c r="I404" s="71">
        <f ca="1">IF(N404=1,SUMIFS('Alokasi Honor'!$M$2:$M993,'Alokasi Honor'!$T$2:$T993,A404),"")</f>
        <v>590000</v>
      </c>
      <c r="J404" s="10">
        <f ca="1">IFERROR(__xludf.DUMMYFUNCTION("COUNTIF(FILTER('Alokasi Honor'!$H$2:$H993,'Alokasi Honor'!$H$2:$H993=""OB"",'Alokasi Honor'!$T$2:$T993=A404),""OB"")"),0)</f>
        <v>0</v>
      </c>
      <c r="K404" s="10">
        <f t="shared" ca="1" si="1"/>
        <v>1</v>
      </c>
      <c r="L404" s="70">
        <f t="array" aca="1" ref="L404" ca="1">IF(N404=1,INDEX('Batasan Honor'!$B$2:$B993,MATCH(CONCATENATE($F404,"-",$G404),'Batasan Honor'!$G$2:$G993,0)),"")</f>
        <v>5400000</v>
      </c>
      <c r="M404" s="10">
        <f t="shared" ca="1" si="4"/>
        <v>1</v>
      </c>
      <c r="N404" s="10">
        <f t="shared" ca="1" si="3"/>
        <v>1</v>
      </c>
    </row>
    <row r="405" spans="1:14" ht="12.5">
      <c r="A405" s="10" t="str">
        <f ca="1">IFERROR(__xludf.DUMMYFUNCTION("""COMPUTED_VALUE"""),"610422030002-2024-11-SURVEI-PPL")</f>
        <v>610422030002-2024-11-SURVEI-PPL</v>
      </c>
      <c r="B405" s="5" t="str">
        <f t="shared" ca="1" si="0"/>
        <v>610422030002-2024-11</v>
      </c>
      <c r="C405" s="5">
        <f ca="1">IFERROR(__xludf.DUMMYFUNCTION("IF(N405=1,SPLIT(A405,""-""),"""")"),610422030002)</f>
        <v>610422030002</v>
      </c>
      <c r="D405" s="10">
        <f ca="1">IFERROR(__xludf.DUMMYFUNCTION("""COMPUTED_VALUE"""),2024)</f>
        <v>2024</v>
      </c>
      <c r="E405" s="10">
        <f ca="1">IFERROR(__xludf.DUMMYFUNCTION("""COMPUTED_VALUE"""),11)</f>
        <v>11</v>
      </c>
      <c r="F405" s="5" t="str">
        <f ca="1">IFERROR(__xludf.DUMMYFUNCTION("""COMPUTED_VALUE"""),"SURVEI")</f>
        <v>SURVEI</v>
      </c>
      <c r="G405" s="5" t="str">
        <f ca="1">IFERROR(__xludf.DUMMYFUNCTION("""COMPUTED_VALUE"""),"PPL")</f>
        <v>PPL</v>
      </c>
      <c r="H405" s="5" t="str">
        <f t="array" aca="1" ref="H405" ca="1">IF(N405=1, INDEX('Database Mitra'!$C$2:$C993,MATCH($C405,'Database Mitra'!$AK$2:$AK993,0)),"")</f>
        <v>Deti erni widiastuti</v>
      </c>
      <c r="I405" s="71">
        <f ca="1">IF(N405=1,SUMIFS('Alokasi Honor'!$M$2:$M993,'Alokasi Honor'!$T$2:$T993,A405),"")</f>
        <v>750000</v>
      </c>
      <c r="J405" s="10">
        <f ca="1">IFERROR(__xludf.DUMMYFUNCTION("COUNTIF(FILTER('Alokasi Honor'!$H$2:$H993,'Alokasi Honor'!$H$2:$H993=""OB"",'Alokasi Honor'!$T$2:$T993=A405),""OB"")"),0)</f>
        <v>0</v>
      </c>
      <c r="K405" s="10">
        <f t="shared" ca="1" si="1"/>
        <v>1</v>
      </c>
      <c r="L405" s="70">
        <f t="array" aca="1" ref="L405" ca="1">IF(N405=1,INDEX('Batasan Honor'!$B$2:$B993,MATCH(CONCATENATE($F405,"-",$G405),'Batasan Honor'!$G$2:$G993,0)),"")</f>
        <v>5400000</v>
      </c>
      <c r="M405" s="10">
        <f t="shared" ca="1" si="4"/>
        <v>1</v>
      </c>
      <c r="N405" s="10">
        <f t="shared" ca="1" si="3"/>
        <v>1</v>
      </c>
    </row>
    <row r="406" spans="1:14" ht="12.5">
      <c r="A406" s="10" t="str">
        <f ca="1">IFERROR(__xludf.DUMMYFUNCTION("""COMPUTED_VALUE"""),"610422100244-2024-11-SURVEI-PPL")</f>
        <v>610422100244-2024-11-SURVEI-PPL</v>
      </c>
      <c r="B406" s="5" t="str">
        <f t="shared" ca="1" si="0"/>
        <v>610422100244-2024-11</v>
      </c>
      <c r="C406" s="5">
        <f ca="1">IFERROR(__xludf.DUMMYFUNCTION("IF(N406=1,SPLIT(A406,""-""),"""")"),610422100244)</f>
        <v>610422100244</v>
      </c>
      <c r="D406" s="10">
        <f ca="1">IFERROR(__xludf.DUMMYFUNCTION("""COMPUTED_VALUE"""),2024)</f>
        <v>2024</v>
      </c>
      <c r="E406" s="10">
        <f ca="1">IFERROR(__xludf.DUMMYFUNCTION("""COMPUTED_VALUE"""),11)</f>
        <v>11</v>
      </c>
      <c r="F406" s="5" t="str">
        <f ca="1">IFERROR(__xludf.DUMMYFUNCTION("""COMPUTED_VALUE"""),"SURVEI")</f>
        <v>SURVEI</v>
      </c>
      <c r="G406" s="5" t="str">
        <f ca="1">IFERROR(__xludf.DUMMYFUNCTION("""COMPUTED_VALUE"""),"PPL")</f>
        <v>PPL</v>
      </c>
      <c r="H406" s="5" t="str">
        <f t="array" aca="1" ref="H406" ca="1">IF(N406=1, INDEX('Database Mitra'!$C$2:$C993,MATCH($C406,'Database Mitra'!$AK$2:$AK993,0)),"")</f>
        <v>Sugianto</v>
      </c>
      <c r="I406" s="71">
        <f ca="1">IF(N406=1,SUMIFS('Alokasi Honor'!$M$2:$M993,'Alokasi Honor'!$T$2:$T993,A406),"")</f>
        <v>1090000</v>
      </c>
      <c r="J406" s="10">
        <f ca="1">IFERROR(__xludf.DUMMYFUNCTION("COUNTIF(FILTER('Alokasi Honor'!$H$2:$H993,'Alokasi Honor'!$H$2:$H993=""OB"",'Alokasi Honor'!$T$2:$T993=A406),""OB"")"),0)</f>
        <v>0</v>
      </c>
      <c r="K406" s="10">
        <f t="shared" ca="1" si="1"/>
        <v>1</v>
      </c>
      <c r="L406" s="70">
        <f t="array" aca="1" ref="L406" ca="1">IF(N406=1,INDEX('Batasan Honor'!$B$2:$B993,MATCH(CONCATENATE($F406,"-",$G406),'Batasan Honor'!$G$2:$G993,0)),"")</f>
        <v>5400000</v>
      </c>
      <c r="M406" s="10">
        <f t="shared" ca="1" si="4"/>
        <v>1</v>
      </c>
      <c r="N406" s="10">
        <f t="shared" ca="1" si="3"/>
        <v>1</v>
      </c>
    </row>
    <row r="407" spans="1:14" ht="12.5">
      <c r="A407" s="10" t="str">
        <f ca="1">IFERROR(__xludf.DUMMYFUNCTION("""COMPUTED_VALUE"""),"610422100124-2024-11-SURVEI-PPL")</f>
        <v>610422100124-2024-11-SURVEI-PPL</v>
      </c>
      <c r="B407" s="5" t="str">
        <f t="shared" ca="1" si="0"/>
        <v>610422100124-2024-11</v>
      </c>
      <c r="C407" s="5">
        <f ca="1">IFERROR(__xludf.DUMMYFUNCTION("IF(N407=1,SPLIT(A407,""-""),"""")"),610422100124)</f>
        <v>610422100124</v>
      </c>
      <c r="D407" s="10">
        <f ca="1">IFERROR(__xludf.DUMMYFUNCTION("""COMPUTED_VALUE"""),2024)</f>
        <v>2024</v>
      </c>
      <c r="E407" s="10">
        <f ca="1">IFERROR(__xludf.DUMMYFUNCTION("""COMPUTED_VALUE"""),11)</f>
        <v>11</v>
      </c>
      <c r="F407" s="5" t="str">
        <f ca="1">IFERROR(__xludf.DUMMYFUNCTION("""COMPUTED_VALUE"""),"SURVEI")</f>
        <v>SURVEI</v>
      </c>
      <c r="G407" s="5" t="str">
        <f ca="1">IFERROR(__xludf.DUMMYFUNCTION("""COMPUTED_VALUE"""),"PPL")</f>
        <v>PPL</v>
      </c>
      <c r="H407" s="5" t="str">
        <f t="array" aca="1" ref="H407" ca="1">IF(N407=1, INDEX('Database Mitra'!$C$2:$C993,MATCH($C407,'Database Mitra'!$AK$2:$AK993,0)),"")</f>
        <v>Prabowo</v>
      </c>
      <c r="I407" s="71">
        <f ca="1">IF(N407=1,SUMIFS('Alokasi Honor'!$M$2:$M993,'Alokasi Honor'!$T$2:$T993,A407),"")</f>
        <v>325000</v>
      </c>
      <c r="J407" s="10">
        <f ca="1">IFERROR(__xludf.DUMMYFUNCTION("COUNTIF(FILTER('Alokasi Honor'!$H$2:$H993,'Alokasi Honor'!$H$2:$H993=""OB"",'Alokasi Honor'!$T$2:$T993=A407),""OB"")"),0)</f>
        <v>0</v>
      </c>
      <c r="K407" s="10">
        <f t="shared" ca="1" si="1"/>
        <v>1</v>
      </c>
      <c r="L407" s="70">
        <f t="array" aca="1" ref="L407" ca="1">IF(N407=1,INDEX('Batasan Honor'!$B$2:$B993,MATCH(CONCATENATE($F407,"-",$G407),'Batasan Honor'!$G$2:$G993,0)),"")</f>
        <v>5400000</v>
      </c>
      <c r="M407" s="10">
        <f t="shared" ca="1" si="4"/>
        <v>1</v>
      </c>
      <c r="N407" s="10">
        <f t="shared" ca="1" si="3"/>
        <v>1</v>
      </c>
    </row>
    <row r="408" spans="1:14" ht="12.5">
      <c r="A408" s="10" t="str">
        <f ca="1">IFERROR(__xludf.DUMMYFUNCTION("""COMPUTED_VALUE"""),"610422100016-2024-11-SURVEI-PPL")</f>
        <v>610422100016-2024-11-SURVEI-PPL</v>
      </c>
      <c r="B408" s="5" t="str">
        <f t="shared" ca="1" si="0"/>
        <v>610422100016-2024-11</v>
      </c>
      <c r="C408" s="5">
        <f ca="1">IFERROR(__xludf.DUMMYFUNCTION("IF(N408=1,SPLIT(A408,""-""),"""")"),610422100016)</f>
        <v>610422100016</v>
      </c>
      <c r="D408" s="10">
        <f ca="1">IFERROR(__xludf.DUMMYFUNCTION("""COMPUTED_VALUE"""),2024)</f>
        <v>2024</v>
      </c>
      <c r="E408" s="10">
        <f ca="1">IFERROR(__xludf.DUMMYFUNCTION("""COMPUTED_VALUE"""),11)</f>
        <v>11</v>
      </c>
      <c r="F408" s="5" t="str">
        <f ca="1">IFERROR(__xludf.DUMMYFUNCTION("""COMPUTED_VALUE"""),"SURVEI")</f>
        <v>SURVEI</v>
      </c>
      <c r="G408" s="5" t="str">
        <f ca="1">IFERROR(__xludf.DUMMYFUNCTION("""COMPUTED_VALUE"""),"PPL")</f>
        <v>PPL</v>
      </c>
      <c r="H408" s="5" t="str">
        <f t="array" aca="1" ref="H408" ca="1">IF(N408=1, INDEX('Database Mitra'!$C$2:$C993,MATCH($C408,'Database Mitra'!$AK$2:$AK993,0)),"")</f>
        <v>Amalia Faisya</v>
      </c>
      <c r="I408" s="71">
        <f ca="1">IF(N408=1,SUMIFS('Alokasi Honor'!$M$2:$M993,'Alokasi Honor'!$T$2:$T993,A408),"")</f>
        <v>250000</v>
      </c>
      <c r="J408" s="10">
        <f ca="1">IFERROR(__xludf.DUMMYFUNCTION("COUNTIF(FILTER('Alokasi Honor'!$H$2:$H993,'Alokasi Honor'!$H$2:$H993=""OB"",'Alokasi Honor'!$T$2:$T993=A408),""OB"")"),0)</f>
        <v>0</v>
      </c>
      <c r="K408" s="10">
        <f t="shared" ca="1" si="1"/>
        <v>1</v>
      </c>
      <c r="L408" s="70">
        <f t="array" aca="1" ref="L408" ca="1">IF(N408=1,INDEX('Batasan Honor'!$B$2:$B993,MATCH(CONCATENATE($F408,"-",$G408),'Batasan Honor'!$G$2:$G993,0)),"")</f>
        <v>5400000</v>
      </c>
      <c r="M408" s="10">
        <f t="shared" ca="1" si="4"/>
        <v>1</v>
      </c>
      <c r="N408" s="10">
        <f t="shared" ca="1" si="3"/>
        <v>1</v>
      </c>
    </row>
    <row r="409" spans="1:14" ht="12.5">
      <c r="A409" s="10" t="str">
        <f ca="1">IFERROR(__xludf.DUMMYFUNCTION("""COMPUTED_VALUE"""),"610422050001-2024-11-SURVEI-PPL")</f>
        <v>610422050001-2024-11-SURVEI-PPL</v>
      </c>
      <c r="B409" s="5" t="str">
        <f t="shared" ca="1" si="0"/>
        <v>610422050001-2024-11</v>
      </c>
      <c r="C409" s="5">
        <f ca="1">IFERROR(__xludf.DUMMYFUNCTION("IF(N409=1,SPLIT(A409,""-""),"""")"),610422050001)</f>
        <v>610422050001</v>
      </c>
      <c r="D409" s="10">
        <f ca="1">IFERROR(__xludf.DUMMYFUNCTION("""COMPUTED_VALUE"""),2024)</f>
        <v>2024</v>
      </c>
      <c r="E409" s="10">
        <f ca="1">IFERROR(__xludf.DUMMYFUNCTION("""COMPUTED_VALUE"""),11)</f>
        <v>11</v>
      </c>
      <c r="F409" s="5" t="str">
        <f ca="1">IFERROR(__xludf.DUMMYFUNCTION("""COMPUTED_VALUE"""),"SURVEI")</f>
        <v>SURVEI</v>
      </c>
      <c r="G409" s="5" t="str">
        <f ca="1">IFERROR(__xludf.DUMMYFUNCTION("""COMPUTED_VALUE"""),"PPL")</f>
        <v>PPL</v>
      </c>
      <c r="H409" s="5" t="str">
        <f t="array" aca="1" ref="H409" ca="1">IF(N409=1, INDEX('Database Mitra'!$C$2:$C993,MATCH($C409,'Database Mitra'!$AK$2:$AK993,0)),"")</f>
        <v>EVI JUNIARTY</v>
      </c>
      <c r="I409" s="71">
        <f ca="1">IF(N409=1,SUMIFS('Alokasi Honor'!$M$2:$M993,'Alokasi Honor'!$T$2:$T993,A409),"")</f>
        <v>415000</v>
      </c>
      <c r="J409" s="10">
        <f ca="1">IFERROR(__xludf.DUMMYFUNCTION("COUNTIF(FILTER('Alokasi Honor'!$H$2:$H993,'Alokasi Honor'!$H$2:$H993=""OB"",'Alokasi Honor'!$T$2:$T993=A409),""OB"")"),0)</f>
        <v>0</v>
      </c>
      <c r="K409" s="10">
        <f t="shared" ca="1" si="1"/>
        <v>1</v>
      </c>
      <c r="L409" s="70">
        <f t="array" aca="1" ref="L409" ca="1">IF(N409=1,INDEX('Batasan Honor'!$B$2:$B993,MATCH(CONCATENATE($F409,"-",$G409),'Batasan Honor'!$G$2:$G993,0)),"")</f>
        <v>5400000</v>
      </c>
      <c r="M409" s="10">
        <f t="shared" ca="1" si="4"/>
        <v>1</v>
      </c>
      <c r="N409" s="10">
        <f t="shared" ca="1" si="3"/>
        <v>1</v>
      </c>
    </row>
    <row r="410" spans="1:14" ht="12.5">
      <c r="A410" s="10" t="str">
        <f ca="1">IFERROR(__xludf.DUMMYFUNCTION("""COMPUTED_VALUE"""),"610422040030-2024-11-SURVEI-PPL")</f>
        <v>610422040030-2024-11-SURVEI-PPL</v>
      </c>
      <c r="B410" s="5" t="str">
        <f t="shared" ca="1" si="0"/>
        <v>610422040030-2024-11</v>
      </c>
      <c r="C410" s="5">
        <f ca="1">IFERROR(__xludf.DUMMYFUNCTION("IF(N410=1,SPLIT(A410,""-""),"""")"),610422040030)</f>
        <v>610422040030</v>
      </c>
      <c r="D410" s="10">
        <f ca="1">IFERROR(__xludf.DUMMYFUNCTION("""COMPUTED_VALUE"""),2024)</f>
        <v>2024</v>
      </c>
      <c r="E410" s="10">
        <f ca="1">IFERROR(__xludf.DUMMYFUNCTION("""COMPUTED_VALUE"""),11)</f>
        <v>11</v>
      </c>
      <c r="F410" s="5" t="str">
        <f ca="1">IFERROR(__xludf.DUMMYFUNCTION("""COMPUTED_VALUE"""),"SURVEI")</f>
        <v>SURVEI</v>
      </c>
      <c r="G410" s="5" t="str">
        <f ca="1">IFERROR(__xludf.DUMMYFUNCTION("""COMPUTED_VALUE"""),"PPL")</f>
        <v>PPL</v>
      </c>
      <c r="H410" s="5" t="str">
        <f t="array" aca="1" ref="H410" ca="1">IF(N410=1, INDEX('Database Mitra'!$C$2:$C993,MATCH($C410,'Database Mitra'!$AK$2:$AK993,0)),"")</f>
        <v>Syarifah Desti Pratiwi</v>
      </c>
      <c r="I410" s="71">
        <f ca="1">IF(N410=1,SUMIFS('Alokasi Honor'!$M$2:$M993,'Alokasi Honor'!$T$2:$T993,A410),"")</f>
        <v>55000</v>
      </c>
      <c r="J410" s="10">
        <f ca="1">IFERROR(__xludf.DUMMYFUNCTION("COUNTIF(FILTER('Alokasi Honor'!$H$2:$H993,'Alokasi Honor'!$H$2:$H993=""OB"",'Alokasi Honor'!$T$2:$T993=A410),""OB"")"),0)</f>
        <v>0</v>
      </c>
      <c r="K410" s="10">
        <f t="shared" ca="1" si="1"/>
        <v>1</v>
      </c>
      <c r="L410" s="70">
        <f t="array" aca="1" ref="L410" ca="1">IF(N410=1,INDEX('Batasan Honor'!$B$2:$B993,MATCH(CONCATENATE($F410,"-",$G410),'Batasan Honor'!$G$2:$G993,0)),"")</f>
        <v>5400000</v>
      </c>
      <c r="M410" s="10">
        <f t="shared" ca="1" si="4"/>
        <v>1</v>
      </c>
      <c r="N410" s="10">
        <f t="shared" ca="1" si="3"/>
        <v>1</v>
      </c>
    </row>
    <row r="411" spans="1:14" ht="12.5">
      <c r="A411" s="10" t="str">
        <f ca="1">IFERROR(__xludf.DUMMYFUNCTION("""COMPUTED_VALUE"""),"610422020016-2024-11-SURVEI-PPL")</f>
        <v>610422020016-2024-11-SURVEI-PPL</v>
      </c>
      <c r="B411" s="5" t="str">
        <f t="shared" ca="1" si="0"/>
        <v>610422020016-2024-11</v>
      </c>
      <c r="C411" s="5">
        <f ca="1">IFERROR(__xludf.DUMMYFUNCTION("IF(N411=1,SPLIT(A411,""-""),"""")"),610422020016)</f>
        <v>610422020016</v>
      </c>
      <c r="D411" s="10">
        <f ca="1">IFERROR(__xludf.DUMMYFUNCTION("""COMPUTED_VALUE"""),2024)</f>
        <v>2024</v>
      </c>
      <c r="E411" s="10">
        <f ca="1">IFERROR(__xludf.DUMMYFUNCTION("""COMPUTED_VALUE"""),11)</f>
        <v>11</v>
      </c>
      <c r="F411" s="5" t="str">
        <f ca="1">IFERROR(__xludf.DUMMYFUNCTION("""COMPUTED_VALUE"""),"SURVEI")</f>
        <v>SURVEI</v>
      </c>
      <c r="G411" s="5" t="str">
        <f ca="1">IFERROR(__xludf.DUMMYFUNCTION("""COMPUTED_VALUE"""),"PPL")</f>
        <v>PPL</v>
      </c>
      <c r="H411" s="5" t="str">
        <f t="array" aca="1" ref="H411" ca="1">IF(N411=1, INDEX('Database Mitra'!$C$2:$C993,MATCH($C411,'Database Mitra'!$AK$2:$AK993,0)),"")</f>
        <v>Abdul Aziz</v>
      </c>
      <c r="I411" s="71">
        <f ca="1">IF(N411=1,SUMIFS('Alokasi Honor'!$M$2:$M993,'Alokasi Honor'!$T$2:$T993,A411),"")</f>
        <v>513000</v>
      </c>
      <c r="J411" s="10">
        <f ca="1">IFERROR(__xludf.DUMMYFUNCTION("COUNTIF(FILTER('Alokasi Honor'!$H$2:$H993,'Alokasi Honor'!$H$2:$H993=""OB"",'Alokasi Honor'!$T$2:$T993=A411),""OB"")"),0)</f>
        <v>0</v>
      </c>
      <c r="K411" s="10">
        <f t="shared" ca="1" si="1"/>
        <v>1</v>
      </c>
      <c r="L411" s="70">
        <f t="array" aca="1" ref="L411" ca="1">IF(N411=1,INDEX('Batasan Honor'!$B$2:$B993,MATCH(CONCATENATE($F411,"-",$G411),'Batasan Honor'!$G$2:$G993,0)),"")</f>
        <v>5400000</v>
      </c>
      <c r="M411" s="10">
        <f t="shared" ca="1" si="4"/>
        <v>1</v>
      </c>
      <c r="N411" s="10">
        <f t="shared" ca="1" si="3"/>
        <v>1</v>
      </c>
    </row>
    <row r="412" spans="1:14" ht="12.5">
      <c r="A412" s="10" t="str">
        <f ca="1">IFERROR(__xludf.DUMMYFUNCTION("""COMPUTED_VALUE"""),"610422020048-2024-11-SURVEI-PPL")</f>
        <v>610422020048-2024-11-SURVEI-PPL</v>
      </c>
      <c r="B412" s="5" t="str">
        <f t="shared" ca="1" si="0"/>
        <v>610422020048-2024-11</v>
      </c>
      <c r="C412" s="5">
        <f ca="1">IFERROR(__xludf.DUMMYFUNCTION("IF(N412=1,SPLIT(A412,""-""),"""")"),610422020048)</f>
        <v>610422020048</v>
      </c>
      <c r="D412" s="10">
        <f ca="1">IFERROR(__xludf.DUMMYFUNCTION("""COMPUTED_VALUE"""),2024)</f>
        <v>2024</v>
      </c>
      <c r="E412" s="10">
        <f ca="1">IFERROR(__xludf.DUMMYFUNCTION("""COMPUTED_VALUE"""),11)</f>
        <v>11</v>
      </c>
      <c r="F412" s="5" t="str">
        <f ca="1">IFERROR(__xludf.DUMMYFUNCTION("""COMPUTED_VALUE"""),"SURVEI")</f>
        <v>SURVEI</v>
      </c>
      <c r="G412" s="5" t="str">
        <f ca="1">IFERROR(__xludf.DUMMYFUNCTION("""COMPUTED_VALUE"""),"PPL")</f>
        <v>PPL</v>
      </c>
      <c r="H412" s="5" t="str">
        <f t="array" aca="1" ref="H412" ca="1">IF(N412=1, INDEX('Database Mitra'!$C$2:$C993,MATCH($C412,'Database Mitra'!$AK$2:$AK993,0)),"")</f>
        <v>Herri Gustaman</v>
      </c>
      <c r="I412" s="71">
        <f ca="1">IF(N412=1,SUMIFS('Alokasi Honor'!$M$2:$M993,'Alokasi Honor'!$T$2:$T993,A412),"")</f>
        <v>519000</v>
      </c>
      <c r="J412" s="10">
        <f ca="1">IFERROR(__xludf.DUMMYFUNCTION("COUNTIF(FILTER('Alokasi Honor'!$H$2:$H993,'Alokasi Honor'!$H$2:$H993=""OB"",'Alokasi Honor'!$T$2:$T993=A412),""OB"")"),0)</f>
        <v>0</v>
      </c>
      <c r="K412" s="10">
        <f t="shared" ca="1" si="1"/>
        <v>1</v>
      </c>
      <c r="L412" s="70">
        <f t="array" aca="1" ref="L412" ca="1">IF(N412=1,INDEX('Batasan Honor'!$B$2:$B993,MATCH(CONCATENATE($F412,"-",$G412),'Batasan Honor'!$G$2:$G993,0)),"")</f>
        <v>5400000</v>
      </c>
      <c r="M412" s="10">
        <f t="shared" ca="1" si="4"/>
        <v>1</v>
      </c>
      <c r="N412" s="10">
        <f t="shared" ca="1" si="3"/>
        <v>1</v>
      </c>
    </row>
    <row r="413" spans="1:14" ht="12.5">
      <c r="A413" s="10" t="str">
        <f ca="1">IFERROR(__xludf.DUMMYFUNCTION("""COMPUTED_VALUE"""),"610422040029-2024-11-SURVEI-PPL")</f>
        <v>610422040029-2024-11-SURVEI-PPL</v>
      </c>
      <c r="B413" s="5" t="str">
        <f t="shared" ca="1" si="0"/>
        <v>610422040029-2024-11</v>
      </c>
      <c r="C413" s="5">
        <f ca="1">IFERROR(__xludf.DUMMYFUNCTION("IF(N413=1,SPLIT(A413,""-""),"""")"),610422040029)</f>
        <v>610422040029</v>
      </c>
      <c r="D413" s="10">
        <f ca="1">IFERROR(__xludf.DUMMYFUNCTION("""COMPUTED_VALUE"""),2024)</f>
        <v>2024</v>
      </c>
      <c r="E413" s="10">
        <f ca="1">IFERROR(__xludf.DUMMYFUNCTION("""COMPUTED_VALUE"""),11)</f>
        <v>11</v>
      </c>
      <c r="F413" s="5" t="str">
        <f ca="1">IFERROR(__xludf.DUMMYFUNCTION("""COMPUTED_VALUE"""),"SURVEI")</f>
        <v>SURVEI</v>
      </c>
      <c r="G413" s="5" t="str">
        <f ca="1">IFERROR(__xludf.DUMMYFUNCTION("""COMPUTED_VALUE"""),"PPL")</f>
        <v>PPL</v>
      </c>
      <c r="H413" s="5" t="str">
        <f t="array" aca="1" ref="H413" ca="1">IF(N413=1, INDEX('Database Mitra'!$C$2:$C993,MATCH($C413,'Database Mitra'!$AK$2:$AK993,0)),"")</f>
        <v>Zaini</v>
      </c>
      <c r="I413" s="71">
        <f ca="1">IF(N413=1,SUMIFS('Alokasi Honor'!$M$2:$M993,'Alokasi Honor'!$T$2:$T993,A413),"")</f>
        <v>385000</v>
      </c>
      <c r="J413" s="10">
        <f ca="1">IFERROR(__xludf.DUMMYFUNCTION("COUNTIF(FILTER('Alokasi Honor'!$H$2:$H993,'Alokasi Honor'!$H$2:$H993=""OB"",'Alokasi Honor'!$T$2:$T993=A413),""OB"")"),0)</f>
        <v>0</v>
      </c>
      <c r="K413" s="10">
        <f t="shared" ca="1" si="1"/>
        <v>1</v>
      </c>
      <c r="L413" s="70">
        <f t="array" aca="1" ref="L413" ca="1">IF(N413=1,INDEX('Batasan Honor'!$B$2:$B993,MATCH(CONCATENATE($F413,"-",$G413),'Batasan Honor'!$G$2:$G993,0)),"")</f>
        <v>5400000</v>
      </c>
      <c r="M413" s="10">
        <f t="shared" ca="1" si="4"/>
        <v>1</v>
      </c>
      <c r="N413" s="10">
        <f t="shared" ca="1" si="3"/>
        <v>1</v>
      </c>
    </row>
    <row r="414" spans="1:14" ht="12.5">
      <c r="A414" s="10" t="str">
        <f ca="1">IFERROR(__xludf.DUMMYFUNCTION("""COMPUTED_VALUE"""),"610422100165-2024-11-SURVEI-PPL")</f>
        <v>610422100165-2024-11-SURVEI-PPL</v>
      </c>
      <c r="B414" s="5" t="str">
        <f t="shared" ca="1" si="0"/>
        <v>610422100165-2024-11</v>
      </c>
      <c r="C414" s="5">
        <f ca="1">IFERROR(__xludf.DUMMYFUNCTION("IF(N414=1,SPLIT(A414,""-""),"""")"),610422100165)</f>
        <v>610422100165</v>
      </c>
      <c r="D414" s="10">
        <f ca="1">IFERROR(__xludf.DUMMYFUNCTION("""COMPUTED_VALUE"""),2024)</f>
        <v>2024</v>
      </c>
      <c r="E414" s="10">
        <f ca="1">IFERROR(__xludf.DUMMYFUNCTION("""COMPUTED_VALUE"""),11)</f>
        <v>11</v>
      </c>
      <c r="F414" s="5" t="str">
        <f ca="1">IFERROR(__xludf.DUMMYFUNCTION("""COMPUTED_VALUE"""),"SURVEI")</f>
        <v>SURVEI</v>
      </c>
      <c r="G414" s="5" t="str">
        <f ca="1">IFERROR(__xludf.DUMMYFUNCTION("""COMPUTED_VALUE"""),"PPL")</f>
        <v>PPL</v>
      </c>
      <c r="H414" s="5" t="str">
        <f t="array" aca="1" ref="H414" ca="1">IF(N414=1, INDEX('Database Mitra'!$C$2:$C993,MATCH($C414,'Database Mitra'!$AK$2:$AK993,0)),"")</f>
        <v>Yanti</v>
      </c>
      <c r="I414" s="71">
        <f ca="1">IF(N414=1,SUMIFS('Alokasi Honor'!$M$2:$M993,'Alokasi Honor'!$T$2:$T993,A414),"")</f>
        <v>325000</v>
      </c>
      <c r="J414" s="10">
        <f ca="1">IFERROR(__xludf.DUMMYFUNCTION("COUNTIF(FILTER('Alokasi Honor'!$H$2:$H993,'Alokasi Honor'!$H$2:$H993=""OB"",'Alokasi Honor'!$T$2:$T993=A414),""OB"")"),0)</f>
        <v>0</v>
      </c>
      <c r="K414" s="10">
        <f t="shared" ca="1" si="1"/>
        <v>1</v>
      </c>
      <c r="L414" s="70">
        <f t="array" aca="1" ref="L414" ca="1">IF(N414=1,INDEX('Batasan Honor'!$B$2:$B993,MATCH(CONCATENATE($F414,"-",$G414),'Batasan Honor'!$G$2:$G993,0)),"")</f>
        <v>5400000</v>
      </c>
      <c r="M414" s="10">
        <f t="shared" ca="1" si="4"/>
        <v>1</v>
      </c>
      <c r="N414" s="10">
        <f t="shared" ca="1" si="3"/>
        <v>1</v>
      </c>
    </row>
    <row r="415" spans="1:14" ht="12.5">
      <c r="A415" s="10" t="str">
        <f ca="1">IFERROR(__xludf.DUMMYFUNCTION("""COMPUTED_VALUE"""),"610422040056-2024-11-SURVEI-PPL")</f>
        <v>610422040056-2024-11-SURVEI-PPL</v>
      </c>
      <c r="B415" s="5" t="str">
        <f t="shared" ca="1" si="0"/>
        <v>610422040056-2024-11</v>
      </c>
      <c r="C415" s="5">
        <f ca="1">IFERROR(__xludf.DUMMYFUNCTION("IF(N415=1,SPLIT(A415,""-""),"""")"),610422040056)</f>
        <v>610422040056</v>
      </c>
      <c r="D415" s="10">
        <f ca="1">IFERROR(__xludf.DUMMYFUNCTION("""COMPUTED_VALUE"""),2024)</f>
        <v>2024</v>
      </c>
      <c r="E415" s="10">
        <f ca="1">IFERROR(__xludf.DUMMYFUNCTION("""COMPUTED_VALUE"""),11)</f>
        <v>11</v>
      </c>
      <c r="F415" s="5" t="str">
        <f ca="1">IFERROR(__xludf.DUMMYFUNCTION("""COMPUTED_VALUE"""),"SURVEI")</f>
        <v>SURVEI</v>
      </c>
      <c r="G415" s="5" t="str">
        <f ca="1">IFERROR(__xludf.DUMMYFUNCTION("""COMPUTED_VALUE"""),"PPL")</f>
        <v>PPL</v>
      </c>
      <c r="H415" s="5" t="str">
        <f t="array" aca="1" ref="H415" ca="1">IF(N415=1, INDEX('Database Mitra'!$C$2:$C993,MATCH($C415,'Database Mitra'!$AK$2:$AK993,0)),"")</f>
        <v>Wandi Syafari</v>
      </c>
      <c r="I415" s="71">
        <f ca="1">IF(N415=1,SUMIFS('Alokasi Honor'!$M$2:$M993,'Alokasi Honor'!$T$2:$T993,A415),"")</f>
        <v>110000</v>
      </c>
      <c r="J415" s="10">
        <f ca="1">IFERROR(__xludf.DUMMYFUNCTION("COUNTIF(FILTER('Alokasi Honor'!$H$2:$H993,'Alokasi Honor'!$H$2:$H993=""OB"",'Alokasi Honor'!$T$2:$T993=A415),""OB"")"),0)</f>
        <v>0</v>
      </c>
      <c r="K415" s="10">
        <f t="shared" ca="1" si="1"/>
        <v>1</v>
      </c>
      <c r="L415" s="70">
        <f t="array" aca="1" ref="L415" ca="1">IF(N415=1,INDEX('Batasan Honor'!$B$2:$B993,MATCH(CONCATENATE($F415,"-",$G415),'Batasan Honor'!$G$2:$G993,0)),"")</f>
        <v>5400000</v>
      </c>
      <c r="M415" s="10">
        <f t="shared" ca="1" si="4"/>
        <v>1</v>
      </c>
      <c r="N415" s="10">
        <f t="shared" ca="1" si="3"/>
        <v>1</v>
      </c>
    </row>
    <row r="416" spans="1:14" ht="12.5">
      <c r="A416" s="10" t="str">
        <f ca="1">IFERROR(__xludf.DUMMYFUNCTION("""COMPUTED_VALUE"""),"610422040012-2024-11-SURVEI-PPL")</f>
        <v>610422040012-2024-11-SURVEI-PPL</v>
      </c>
      <c r="B416" s="5" t="str">
        <f t="shared" ca="1" si="0"/>
        <v>610422040012-2024-11</v>
      </c>
      <c r="C416" s="5">
        <f ca="1">IFERROR(__xludf.DUMMYFUNCTION("IF(N416=1,SPLIT(A416,""-""),"""")"),610422040012)</f>
        <v>610422040012</v>
      </c>
      <c r="D416" s="10">
        <f ca="1">IFERROR(__xludf.DUMMYFUNCTION("""COMPUTED_VALUE"""),2024)</f>
        <v>2024</v>
      </c>
      <c r="E416" s="10">
        <f ca="1">IFERROR(__xludf.DUMMYFUNCTION("""COMPUTED_VALUE"""),11)</f>
        <v>11</v>
      </c>
      <c r="F416" s="5" t="str">
        <f ca="1">IFERROR(__xludf.DUMMYFUNCTION("""COMPUTED_VALUE"""),"SURVEI")</f>
        <v>SURVEI</v>
      </c>
      <c r="G416" s="5" t="str">
        <f ca="1">IFERROR(__xludf.DUMMYFUNCTION("""COMPUTED_VALUE"""),"PPL")</f>
        <v>PPL</v>
      </c>
      <c r="H416" s="5" t="str">
        <f t="array" aca="1" ref="H416" ca="1">IF(N416=1, INDEX('Database Mitra'!$C$2:$C993,MATCH($C416,'Database Mitra'!$AK$2:$AK993,0)),"")</f>
        <v>Misdi</v>
      </c>
      <c r="I416" s="71">
        <f ca="1">IF(N416=1,SUMIFS('Alokasi Honor'!$M$2:$M993,'Alokasi Honor'!$T$2:$T993,A416),"")</f>
        <v>348000</v>
      </c>
      <c r="J416" s="10">
        <f ca="1">IFERROR(__xludf.DUMMYFUNCTION("COUNTIF(FILTER('Alokasi Honor'!$H$2:$H993,'Alokasi Honor'!$H$2:$H993=""OB"",'Alokasi Honor'!$T$2:$T993=A416),""OB"")"),0)</f>
        <v>0</v>
      </c>
      <c r="K416" s="10">
        <f t="shared" ca="1" si="1"/>
        <v>1</v>
      </c>
      <c r="L416" s="70">
        <f t="array" aca="1" ref="L416" ca="1">IF(N416=1,INDEX('Batasan Honor'!$B$2:$B993,MATCH(CONCATENATE($F416,"-",$G416),'Batasan Honor'!$G$2:$G993,0)),"")</f>
        <v>5400000</v>
      </c>
      <c r="M416" s="10">
        <f t="shared" ca="1" si="4"/>
        <v>1</v>
      </c>
      <c r="N416" s="10">
        <f t="shared" ca="1" si="3"/>
        <v>1</v>
      </c>
    </row>
    <row r="417" spans="1:15" ht="12.5">
      <c r="A417" s="10" t="str">
        <f ca="1">IFERROR(__xludf.DUMMYFUNCTION("""COMPUTED_VALUE"""),"610422040059-2024-11-SURVEI-PPL")</f>
        <v>610422040059-2024-11-SURVEI-PPL</v>
      </c>
      <c r="B417" s="5" t="str">
        <f t="shared" ca="1" si="0"/>
        <v>610422040059-2024-11</v>
      </c>
      <c r="C417" s="5">
        <f ca="1">IFERROR(__xludf.DUMMYFUNCTION("IF(N417=1,SPLIT(A417,""-""),"""")"),610422040059)</f>
        <v>610422040059</v>
      </c>
      <c r="D417" s="10">
        <f ca="1">IFERROR(__xludf.DUMMYFUNCTION("""COMPUTED_VALUE"""),2024)</f>
        <v>2024</v>
      </c>
      <c r="E417" s="10">
        <f ca="1">IFERROR(__xludf.DUMMYFUNCTION("""COMPUTED_VALUE"""),11)</f>
        <v>11</v>
      </c>
      <c r="F417" s="5" t="str">
        <f ca="1">IFERROR(__xludf.DUMMYFUNCTION("""COMPUTED_VALUE"""),"SURVEI")</f>
        <v>SURVEI</v>
      </c>
      <c r="G417" s="5" t="str">
        <f ca="1">IFERROR(__xludf.DUMMYFUNCTION("""COMPUTED_VALUE"""),"PPL")</f>
        <v>PPL</v>
      </c>
      <c r="H417" s="5" t="str">
        <f t="array" aca="1" ref="H417" ca="1">IF(N417=1, INDEX('Database Mitra'!$C$2:$C993,MATCH($C417,'Database Mitra'!$AK$2:$AK993,0)),"")</f>
        <v>Abang Handri</v>
      </c>
      <c r="I417" s="71">
        <f ca="1">IF(N417=1,SUMIFS('Alokasi Honor'!$M$2:$M993,'Alokasi Honor'!$T$2:$T993,A417),"")</f>
        <v>818000</v>
      </c>
      <c r="J417" s="10">
        <f ca="1">IFERROR(__xludf.DUMMYFUNCTION("COUNTIF(FILTER('Alokasi Honor'!$H$2:$H993,'Alokasi Honor'!$H$2:$H993=""OB"",'Alokasi Honor'!$T$2:$T993=A417),""OB"")"),0)</f>
        <v>0</v>
      </c>
      <c r="K417" s="10">
        <f t="shared" ca="1" si="1"/>
        <v>1</v>
      </c>
      <c r="L417" s="70">
        <f t="array" aca="1" ref="L417" ca="1">IF(N417=1,INDEX('Batasan Honor'!$B$2:$B993,MATCH(CONCATENATE($F417,"-",$G417),'Batasan Honor'!$G$2:$G993,0)),"")</f>
        <v>5400000</v>
      </c>
      <c r="M417" s="10">
        <f t="shared" ca="1" si="4"/>
        <v>1</v>
      </c>
      <c r="N417" s="10">
        <f t="shared" ca="1" si="3"/>
        <v>1</v>
      </c>
    </row>
    <row r="418" spans="1:15" ht="12.5">
      <c r="A418" s="10" t="str">
        <f ca="1">IFERROR(__xludf.DUMMYFUNCTION("""COMPUTED_VALUE"""),"610422040061-2024-11-SURVEI-PPL")</f>
        <v>610422040061-2024-11-SURVEI-PPL</v>
      </c>
      <c r="B418" s="5" t="str">
        <f t="shared" ca="1" si="0"/>
        <v>610422040061-2024-11</v>
      </c>
      <c r="C418" s="5">
        <f ca="1">IFERROR(__xludf.DUMMYFUNCTION("IF(N418=1,SPLIT(A418,""-""),"""")"),610422040061)</f>
        <v>610422040061</v>
      </c>
      <c r="D418" s="10">
        <f ca="1">IFERROR(__xludf.DUMMYFUNCTION("""COMPUTED_VALUE"""),2024)</f>
        <v>2024</v>
      </c>
      <c r="E418" s="10">
        <f ca="1">IFERROR(__xludf.DUMMYFUNCTION("""COMPUTED_VALUE"""),11)</f>
        <v>11</v>
      </c>
      <c r="F418" s="5" t="str">
        <f ca="1">IFERROR(__xludf.DUMMYFUNCTION("""COMPUTED_VALUE"""),"SURVEI")</f>
        <v>SURVEI</v>
      </c>
      <c r="G418" s="5" t="str">
        <f ca="1">IFERROR(__xludf.DUMMYFUNCTION("""COMPUTED_VALUE"""),"PPL")</f>
        <v>PPL</v>
      </c>
      <c r="H418" s="5" t="str">
        <f t="array" aca="1" ref="H418" ca="1">IF(N418=1, INDEX('Database Mitra'!$C$2:$C993,MATCH($C418,'Database Mitra'!$AK$2:$AK993,0)),"")</f>
        <v>Sabani</v>
      </c>
      <c r="I418" s="71">
        <f ca="1">IF(N418=1,SUMIFS('Alokasi Honor'!$M$2:$M993,'Alokasi Honor'!$T$2:$T993,A418),"")</f>
        <v>1258000</v>
      </c>
      <c r="J418" s="10">
        <f ca="1">IFERROR(__xludf.DUMMYFUNCTION("COUNTIF(FILTER('Alokasi Honor'!$H$2:$H993,'Alokasi Honor'!$H$2:$H993=""OB"",'Alokasi Honor'!$T$2:$T993=A418),""OB"")"),0)</f>
        <v>0</v>
      </c>
      <c r="K418" s="10">
        <f t="shared" ca="1" si="1"/>
        <v>1</v>
      </c>
      <c r="L418" s="70">
        <f t="array" aca="1" ref="L418" ca="1">IF(N418=1,INDEX('Batasan Honor'!$B$2:$B993,MATCH(CONCATENATE($F418,"-",$G418),'Batasan Honor'!$G$2:$G993,0)),"")</f>
        <v>5400000</v>
      </c>
      <c r="M418" s="10">
        <f t="shared" ca="1" si="4"/>
        <v>1</v>
      </c>
      <c r="N418" s="10">
        <f t="shared" ca="1" si="3"/>
        <v>1</v>
      </c>
    </row>
    <row r="419" spans="1:15" ht="12.5">
      <c r="A419" s="10" t="str">
        <f ca="1">IFERROR(__xludf.DUMMYFUNCTION("""COMPUTED_VALUE"""),"610422100131-2024-11-SURVEI-PPL")</f>
        <v>610422100131-2024-11-SURVEI-PPL</v>
      </c>
      <c r="B419" s="5" t="str">
        <f t="shared" ca="1" si="0"/>
        <v>610422100131-2024-11</v>
      </c>
      <c r="C419" s="5">
        <f ca="1">IFERROR(__xludf.DUMMYFUNCTION("IF(N419=1,SPLIT(A419,""-""),"""")"),610422100131)</f>
        <v>610422100131</v>
      </c>
      <c r="D419" s="10">
        <f ca="1">IFERROR(__xludf.DUMMYFUNCTION("""COMPUTED_VALUE"""),2024)</f>
        <v>2024</v>
      </c>
      <c r="E419" s="10">
        <f ca="1">IFERROR(__xludf.DUMMYFUNCTION("""COMPUTED_VALUE"""),11)</f>
        <v>11</v>
      </c>
      <c r="F419" s="5" t="str">
        <f ca="1">IFERROR(__xludf.DUMMYFUNCTION("""COMPUTED_VALUE"""),"SURVEI")</f>
        <v>SURVEI</v>
      </c>
      <c r="G419" s="5" t="str">
        <f ca="1">IFERROR(__xludf.DUMMYFUNCTION("""COMPUTED_VALUE"""),"PPL")</f>
        <v>PPL</v>
      </c>
      <c r="H419" s="5" t="str">
        <f t="array" aca="1" ref="H419" ca="1">IF(N419=1, INDEX('Database Mitra'!$C$2:$C993,MATCH($C419,'Database Mitra'!$AK$2:$AK993,0)),"")</f>
        <v>SYAMSUL</v>
      </c>
      <c r="I419" s="71">
        <f ca="1">IF(N419=1,SUMIFS('Alokasi Honor'!$M$2:$M993,'Alokasi Honor'!$T$2:$T993,A419),"")</f>
        <v>348000</v>
      </c>
      <c r="J419" s="10">
        <f ca="1">IFERROR(__xludf.DUMMYFUNCTION("COUNTIF(FILTER('Alokasi Honor'!$H$2:$H993,'Alokasi Honor'!$H$2:$H993=""OB"",'Alokasi Honor'!$T$2:$T993=A419),""OB"")"),0)</f>
        <v>0</v>
      </c>
      <c r="K419" s="10">
        <f t="shared" ca="1" si="1"/>
        <v>1</v>
      </c>
      <c r="L419" s="70">
        <f t="array" aca="1" ref="L419" ca="1">IF(N419=1,INDEX('Batasan Honor'!$B$2:$B993,MATCH(CONCATENATE($F419,"-",$G419),'Batasan Honor'!$G$2:$G993,0)),"")</f>
        <v>5400000</v>
      </c>
      <c r="M419" s="10">
        <f t="shared" ca="1" si="4"/>
        <v>1</v>
      </c>
      <c r="N419" s="10">
        <f t="shared" ca="1" si="3"/>
        <v>1</v>
      </c>
    </row>
    <row r="420" spans="1:15" ht="12.5">
      <c r="A420" s="10" t="str">
        <f ca="1">IFERROR(__xludf.DUMMYFUNCTION("""COMPUTED_VALUE"""),"610422100176-2024-11-SURVEI-PPL")</f>
        <v>610422100176-2024-11-SURVEI-PPL</v>
      </c>
      <c r="B420" s="5" t="str">
        <f t="shared" ca="1" si="0"/>
        <v>610422100176-2024-11</v>
      </c>
      <c r="C420" s="5">
        <f ca="1">IFERROR(__xludf.DUMMYFUNCTION("IF(N420=1,SPLIT(A420,""-""),"""")"),610422100176)</f>
        <v>610422100176</v>
      </c>
      <c r="D420" s="10">
        <f ca="1">IFERROR(__xludf.DUMMYFUNCTION("""COMPUTED_VALUE"""),2024)</f>
        <v>2024</v>
      </c>
      <c r="E420" s="10">
        <f ca="1">IFERROR(__xludf.DUMMYFUNCTION("""COMPUTED_VALUE"""),11)</f>
        <v>11</v>
      </c>
      <c r="F420" s="5" t="str">
        <f ca="1">IFERROR(__xludf.DUMMYFUNCTION("""COMPUTED_VALUE"""),"SURVEI")</f>
        <v>SURVEI</v>
      </c>
      <c r="G420" s="5" t="str">
        <f ca="1">IFERROR(__xludf.DUMMYFUNCTION("""COMPUTED_VALUE"""),"PPL")</f>
        <v>PPL</v>
      </c>
      <c r="H420" s="5" t="str">
        <f t="array" aca="1" ref="H420" ca="1">IF(N420=1, INDEX('Database Mitra'!$C$2:$C993,MATCH($C420,'Database Mitra'!$AK$2:$AK993,0)),"")</f>
        <v>Feri Firdaus</v>
      </c>
      <c r="I420" s="71">
        <f ca="1">IF(N420=1,SUMIFS('Alokasi Honor'!$M$2:$M993,'Alokasi Honor'!$T$2:$T993,A420),"")</f>
        <v>348000</v>
      </c>
      <c r="J420" s="10">
        <f ca="1">IFERROR(__xludf.DUMMYFUNCTION("COUNTIF(FILTER('Alokasi Honor'!$H$2:$H993,'Alokasi Honor'!$H$2:$H993=""OB"",'Alokasi Honor'!$T$2:$T993=A420),""OB"")"),0)</f>
        <v>0</v>
      </c>
      <c r="K420" s="10">
        <f t="shared" ca="1" si="1"/>
        <v>1</v>
      </c>
      <c r="L420" s="70">
        <f t="array" aca="1" ref="L420" ca="1">IF(N420=1,INDEX('Batasan Honor'!$B$2:$B993,MATCH(CONCATENATE($F420,"-",$G420),'Batasan Honor'!$G$2:$G993,0)),"")</f>
        <v>5400000</v>
      </c>
      <c r="M420" s="10">
        <f t="shared" ca="1" si="4"/>
        <v>1</v>
      </c>
      <c r="N420" s="10">
        <f t="shared" ca="1" si="3"/>
        <v>1</v>
      </c>
    </row>
    <row r="421" spans="1:15" ht="12.5">
      <c r="A421" s="10" t="str">
        <f ca="1">IFERROR(__xludf.DUMMYFUNCTION("""COMPUTED_VALUE"""),"610423110183-2024-11-SURVEI-PPL")</f>
        <v>610423110183-2024-11-SURVEI-PPL</v>
      </c>
      <c r="B421" s="5" t="str">
        <f t="shared" ca="1" si="0"/>
        <v>610423110183-2024-11</v>
      </c>
      <c r="C421" s="5">
        <f ca="1">IFERROR(__xludf.DUMMYFUNCTION("IF(N421=1,SPLIT(A421,""-""),"""")"),610423110183)</f>
        <v>610423110183</v>
      </c>
      <c r="D421" s="10">
        <f ca="1">IFERROR(__xludf.DUMMYFUNCTION("""COMPUTED_VALUE"""),2024)</f>
        <v>2024</v>
      </c>
      <c r="E421" s="10">
        <f ca="1">IFERROR(__xludf.DUMMYFUNCTION("""COMPUTED_VALUE"""),11)</f>
        <v>11</v>
      </c>
      <c r="F421" s="5" t="str">
        <f ca="1">IFERROR(__xludf.DUMMYFUNCTION("""COMPUTED_VALUE"""),"SURVEI")</f>
        <v>SURVEI</v>
      </c>
      <c r="G421" s="5" t="str">
        <f ca="1">IFERROR(__xludf.DUMMYFUNCTION("""COMPUTED_VALUE"""),"PPL")</f>
        <v>PPL</v>
      </c>
      <c r="H421" s="5" t="str">
        <f t="array" aca="1" ref="H421" ca="1">IF(N421=1, INDEX('Database Mitra'!$C$2:$C993,MATCH($C421,'Database Mitra'!$AK$2:$AK993,0)),"")</f>
        <v>azhar</v>
      </c>
      <c r="I421" s="71">
        <f ca="1">IF(N421=1,SUMIFS('Alokasi Honor'!$M$2:$M993,'Alokasi Honor'!$T$2:$T993,A421),"")</f>
        <v>1050000</v>
      </c>
      <c r="J421" s="10">
        <f ca="1">IFERROR(__xludf.DUMMYFUNCTION("COUNTIF(FILTER('Alokasi Honor'!$H$2:$H993,'Alokasi Honor'!$H$2:$H993=""OB"",'Alokasi Honor'!$T$2:$T993=A421),""OB"")"),0)</f>
        <v>0</v>
      </c>
      <c r="K421" s="10">
        <f t="shared" ca="1" si="1"/>
        <v>1</v>
      </c>
      <c r="L421" s="70">
        <f t="array" aca="1" ref="L421" ca="1">IF(N421=1,INDEX('Batasan Honor'!$B$2:$B993,MATCH(CONCATENATE($F421,"-",$G421),'Batasan Honor'!$G$2:$G993,0)),"")</f>
        <v>5400000</v>
      </c>
      <c r="M421" s="10">
        <f t="shared" ca="1" si="4"/>
        <v>1</v>
      </c>
      <c r="N421" s="10">
        <f t="shared" ca="1" si="3"/>
        <v>1</v>
      </c>
    </row>
    <row r="422" spans="1:15" ht="12.5">
      <c r="A422" s="10" t="str">
        <f ca="1">IFERROR(__xludf.DUMMYFUNCTION("""COMPUTED_VALUE"""),"610423040018-2024-11-SURVEI-PPL")</f>
        <v>610423040018-2024-11-SURVEI-PPL</v>
      </c>
      <c r="B422" s="5" t="str">
        <f t="shared" ca="1" si="0"/>
        <v>610423040018-2024-11</v>
      </c>
      <c r="C422" s="5">
        <f ca="1">IFERROR(__xludf.DUMMYFUNCTION("IF(N422=1,SPLIT(A422,""-""),"""")"),610423040018)</f>
        <v>610423040018</v>
      </c>
      <c r="D422" s="10">
        <f ca="1">IFERROR(__xludf.DUMMYFUNCTION("""COMPUTED_VALUE"""),2024)</f>
        <v>2024</v>
      </c>
      <c r="E422" s="10">
        <f ca="1">IFERROR(__xludf.DUMMYFUNCTION("""COMPUTED_VALUE"""),11)</f>
        <v>11</v>
      </c>
      <c r="F422" s="5" t="str">
        <f ca="1">IFERROR(__xludf.DUMMYFUNCTION("""COMPUTED_VALUE"""),"SURVEI")</f>
        <v>SURVEI</v>
      </c>
      <c r="G422" s="5" t="str">
        <f ca="1">IFERROR(__xludf.DUMMYFUNCTION("""COMPUTED_VALUE"""),"PPL")</f>
        <v>PPL</v>
      </c>
      <c r="H422" s="5" t="str">
        <f t="array" aca="1" ref="H422" ca="1">IF(N422=1, INDEX('Database Mitra'!$C$2:$C993,MATCH($C422,'Database Mitra'!$AK$2:$AK993,0)),"")</f>
        <v>Handoko Tuah Sabarman Sipayung</v>
      </c>
      <c r="I422" s="71">
        <f ca="1">IF(N422=1,SUMIFS('Alokasi Honor'!$M$2:$M993,'Alokasi Honor'!$T$2:$T993,A422),"")</f>
        <v>464000</v>
      </c>
      <c r="J422" s="10">
        <f ca="1">IFERROR(__xludf.DUMMYFUNCTION("COUNTIF(FILTER('Alokasi Honor'!$H$2:$H993,'Alokasi Honor'!$H$2:$H993=""OB"",'Alokasi Honor'!$T$2:$T993=A422),""OB"")"),0)</f>
        <v>0</v>
      </c>
      <c r="K422" s="10">
        <f t="shared" ca="1" si="1"/>
        <v>1</v>
      </c>
      <c r="L422" s="70">
        <f t="array" aca="1" ref="L422" ca="1">IF(N422=1,INDEX('Batasan Honor'!$B$2:$B993,MATCH(CONCATENATE($F422,"-",$G422),'Batasan Honor'!$G$2:$G993,0)),"")</f>
        <v>5400000</v>
      </c>
      <c r="M422" s="10">
        <f t="shared" ca="1" si="4"/>
        <v>1</v>
      </c>
      <c r="N422" s="10">
        <f t="shared" ca="1" si="3"/>
        <v>1</v>
      </c>
    </row>
    <row r="423" spans="1:15" ht="12.5">
      <c r="A423" s="10" t="str">
        <f ca="1">IFERROR(__xludf.DUMMYFUNCTION("""COMPUTED_VALUE"""),"610422040058-2024-11-SURVEI-PPL")</f>
        <v>610422040058-2024-11-SURVEI-PPL</v>
      </c>
      <c r="B423" s="5" t="str">
        <f t="shared" ca="1" si="0"/>
        <v>610422040058-2024-11</v>
      </c>
      <c r="C423" s="5">
        <f ca="1">IFERROR(__xludf.DUMMYFUNCTION("IF(N423=1,SPLIT(A423,""-""),"""")"),610422040058)</f>
        <v>610422040058</v>
      </c>
      <c r="D423" s="10">
        <f ca="1">IFERROR(__xludf.DUMMYFUNCTION("""COMPUTED_VALUE"""),2024)</f>
        <v>2024</v>
      </c>
      <c r="E423" s="10">
        <f ca="1">IFERROR(__xludf.DUMMYFUNCTION("""COMPUTED_VALUE"""),11)</f>
        <v>11</v>
      </c>
      <c r="F423" s="5" t="str">
        <f ca="1">IFERROR(__xludf.DUMMYFUNCTION("""COMPUTED_VALUE"""),"SURVEI")</f>
        <v>SURVEI</v>
      </c>
      <c r="G423" s="5" t="str">
        <f ca="1">IFERROR(__xludf.DUMMYFUNCTION("""COMPUTED_VALUE"""),"PPL")</f>
        <v>PPL</v>
      </c>
      <c r="H423" s="5" t="str">
        <f t="array" aca="1" ref="H423" ca="1">IF(N423=1, INDEX('Database Mitra'!$C$2:$C993,MATCH($C423,'Database Mitra'!$AK$2:$AK993,0)),"")</f>
        <v>Jamaluddin, SP</v>
      </c>
      <c r="I423" s="71">
        <f ca="1">IF(N423=1,SUMIFS('Alokasi Honor'!$M$2:$M993,'Alokasi Honor'!$T$2:$T993,A423),"")</f>
        <v>590000</v>
      </c>
      <c r="J423" s="10">
        <f ca="1">IFERROR(__xludf.DUMMYFUNCTION("COUNTIF(FILTER('Alokasi Honor'!$H$2:$H993,'Alokasi Honor'!$H$2:$H993=""OB"",'Alokasi Honor'!$T$2:$T993=A423),""OB"")"),0)</f>
        <v>0</v>
      </c>
      <c r="K423" s="10">
        <f t="shared" ca="1" si="1"/>
        <v>1</v>
      </c>
      <c r="L423" s="70">
        <f t="array" aca="1" ref="L423" ca="1">IF(N423=1,INDEX('Batasan Honor'!$B$2:$B993,MATCH(CONCATENATE($F423,"-",$G423),'Batasan Honor'!$G$2:$G993,0)),"")</f>
        <v>5400000</v>
      </c>
      <c r="M423" s="10">
        <f t="shared" ca="1" si="4"/>
        <v>1</v>
      </c>
      <c r="N423" s="10">
        <f t="shared" ca="1" si="3"/>
        <v>1</v>
      </c>
    </row>
    <row r="424" spans="1:15" ht="12.5">
      <c r="A424" s="10" t="str">
        <f ca="1">IFERROR(__xludf.DUMMYFUNCTION("""COMPUTED_VALUE"""),"610423040004-2024-11-SURVEI-PPL")</f>
        <v>610423040004-2024-11-SURVEI-PPL</v>
      </c>
      <c r="B424" s="5" t="str">
        <f t="shared" ca="1" si="0"/>
        <v>610423040004-2024-11</v>
      </c>
      <c r="C424" s="5">
        <f ca="1">IFERROR(__xludf.DUMMYFUNCTION("IF(N424=1,SPLIT(A424,""-""),"""")"),610423040004)</f>
        <v>610423040004</v>
      </c>
      <c r="D424" s="10">
        <f ca="1">IFERROR(__xludf.DUMMYFUNCTION("""COMPUTED_VALUE"""),2024)</f>
        <v>2024</v>
      </c>
      <c r="E424" s="10">
        <f ca="1">IFERROR(__xludf.DUMMYFUNCTION("""COMPUTED_VALUE"""),11)</f>
        <v>11</v>
      </c>
      <c r="F424" s="5" t="str">
        <f ca="1">IFERROR(__xludf.DUMMYFUNCTION("""COMPUTED_VALUE"""),"SURVEI")</f>
        <v>SURVEI</v>
      </c>
      <c r="G424" s="5" t="str">
        <f ca="1">IFERROR(__xludf.DUMMYFUNCTION("""COMPUTED_VALUE"""),"PPL")</f>
        <v>PPL</v>
      </c>
      <c r="H424" s="5" t="str">
        <f t="array" aca="1" ref="H424" ca="1">IF(N424=1, INDEX('Database Mitra'!$C$2:$C993,MATCH($C424,'Database Mitra'!$AK$2:$AK993,0)),"")</f>
        <v>Ayu Agustin</v>
      </c>
      <c r="I424" s="71">
        <f ca="1">IF(N424=1,SUMIFS('Alokasi Honor'!$M$2:$M993,'Alokasi Honor'!$T$2:$T993,A424),"")</f>
        <v>910000</v>
      </c>
      <c r="J424" s="10">
        <f ca="1">IFERROR(__xludf.DUMMYFUNCTION("COUNTIF(FILTER('Alokasi Honor'!$H$2:$H993,'Alokasi Honor'!$H$2:$H993=""OB"",'Alokasi Honor'!$T$2:$T993=A424),""OB"")"),0)</f>
        <v>0</v>
      </c>
      <c r="K424" s="10">
        <f t="shared" ca="1" si="1"/>
        <v>1</v>
      </c>
      <c r="L424" s="70">
        <f t="array" aca="1" ref="L424" ca="1">IF(N424=1,INDEX('Batasan Honor'!$B$2:$B993,MATCH(CONCATENATE($F424,"-",$G424),'Batasan Honor'!$G$2:$G993,0)),"")</f>
        <v>5400000</v>
      </c>
      <c r="M424" s="10">
        <f t="shared" ca="1" si="4"/>
        <v>1</v>
      </c>
      <c r="N424" s="10">
        <f t="shared" ca="1" si="3"/>
        <v>1</v>
      </c>
    </row>
    <row r="425" spans="1:15" ht="12.5">
      <c r="A425" s="10" t="str">
        <f ca="1">IFERROR(__xludf.DUMMYFUNCTION("""COMPUTED_VALUE"""),"610422100144-2024-11-SURVEI-PPL")</f>
        <v>610422100144-2024-11-SURVEI-PPL</v>
      </c>
      <c r="B425" s="5" t="str">
        <f t="shared" ca="1" si="0"/>
        <v>610422100144-2024-11</v>
      </c>
      <c r="C425" s="5">
        <f ca="1">IFERROR(__xludf.DUMMYFUNCTION("IF(N425=1,SPLIT(A425,""-""),"""")"),610422100144)</f>
        <v>610422100144</v>
      </c>
      <c r="D425" s="10">
        <f ca="1">IFERROR(__xludf.DUMMYFUNCTION("""COMPUTED_VALUE"""),2024)</f>
        <v>2024</v>
      </c>
      <c r="E425" s="10">
        <f ca="1">IFERROR(__xludf.DUMMYFUNCTION("""COMPUTED_VALUE"""),11)</f>
        <v>11</v>
      </c>
      <c r="F425" s="5" t="str">
        <f ca="1">IFERROR(__xludf.DUMMYFUNCTION("""COMPUTED_VALUE"""),"SURVEI")</f>
        <v>SURVEI</v>
      </c>
      <c r="G425" s="5" t="str">
        <f ca="1">IFERROR(__xludf.DUMMYFUNCTION("""COMPUTED_VALUE"""),"PPL")</f>
        <v>PPL</v>
      </c>
      <c r="H425" s="5" t="str">
        <f t="array" aca="1" ref="H425" ca="1">IF(N425=1, INDEX('Database Mitra'!$C$2:$C993,MATCH($C425,'Database Mitra'!$AK$2:$AK993,0)),"")</f>
        <v>Irfan faozi sunaryo</v>
      </c>
      <c r="I425" s="71">
        <f ca="1">IF(N425=1,SUMIFS('Alokasi Honor'!$M$2:$M993,'Alokasi Honor'!$T$2:$T993,A425),"")</f>
        <v>910000</v>
      </c>
      <c r="J425" s="10">
        <f ca="1">IFERROR(__xludf.DUMMYFUNCTION("COUNTIF(FILTER('Alokasi Honor'!$H$2:$H993,'Alokasi Honor'!$H$2:$H993=""OB"",'Alokasi Honor'!$T$2:$T993=A425),""OB"")"),0)</f>
        <v>0</v>
      </c>
      <c r="K425" s="10">
        <f t="shared" ca="1" si="1"/>
        <v>1</v>
      </c>
      <c r="L425" s="70">
        <f t="array" aca="1" ref="L425" ca="1">IF(N425=1,INDEX('Batasan Honor'!$B$2:$B993,MATCH(CONCATENATE($F425,"-",$G425),'Batasan Honor'!$G$2:$G993,0)),"")</f>
        <v>5400000</v>
      </c>
      <c r="M425" s="10">
        <f t="shared" ca="1" si="4"/>
        <v>1</v>
      </c>
      <c r="N425" s="10">
        <f t="shared" ca="1" si="3"/>
        <v>1</v>
      </c>
    </row>
    <row r="426" spans="1:15" ht="12.5">
      <c r="A426" s="10" t="str">
        <f ca="1">IFERROR(__xludf.DUMMYFUNCTION("""COMPUTED_VALUE"""),"610422020032-2024-11-SURVEI-PPL")</f>
        <v>610422020032-2024-11-SURVEI-PPL</v>
      </c>
      <c r="B426" s="5" t="str">
        <f t="shared" ca="1" si="0"/>
        <v>610422020032-2024-11</v>
      </c>
      <c r="C426" s="5">
        <f ca="1">IFERROR(__xludf.DUMMYFUNCTION("IF(N426=1,SPLIT(A426,""-""),"""")"),610422020032)</f>
        <v>610422020032</v>
      </c>
      <c r="D426" s="10">
        <f ca="1">IFERROR(__xludf.DUMMYFUNCTION("""COMPUTED_VALUE"""),2024)</f>
        <v>2024</v>
      </c>
      <c r="E426" s="10">
        <f ca="1">IFERROR(__xludf.DUMMYFUNCTION("""COMPUTED_VALUE"""),11)</f>
        <v>11</v>
      </c>
      <c r="F426" s="5" t="str">
        <f ca="1">IFERROR(__xludf.DUMMYFUNCTION("""COMPUTED_VALUE"""),"SURVEI")</f>
        <v>SURVEI</v>
      </c>
      <c r="G426" s="5" t="str">
        <f ca="1">IFERROR(__xludf.DUMMYFUNCTION("""COMPUTED_VALUE"""),"PPL")</f>
        <v>PPL</v>
      </c>
      <c r="H426" s="5" t="str">
        <f t="array" aca="1" ref="H426" ca="1">IF(N426=1, INDEX('Database Mitra'!$C$2:$C993,MATCH($C426,'Database Mitra'!$AK$2:$AK993,0)),"")</f>
        <v>Lilis Suryani</v>
      </c>
      <c r="I426" s="71">
        <f ca="1">IF(N426=1,SUMIFS('Alokasi Honor'!$M$2:$M993,'Alokasi Honor'!$T$2:$T993,A426),"")</f>
        <v>910000</v>
      </c>
      <c r="J426" s="10">
        <f ca="1">IFERROR(__xludf.DUMMYFUNCTION("COUNTIF(FILTER('Alokasi Honor'!$H$2:$H993,'Alokasi Honor'!$H$2:$H993=""OB"",'Alokasi Honor'!$T$2:$T993=A426),""OB"")"),0)</f>
        <v>0</v>
      </c>
      <c r="K426" s="10">
        <f t="shared" ca="1" si="1"/>
        <v>1</v>
      </c>
      <c r="L426" s="70">
        <f t="array" aca="1" ref="L426" ca="1">IF(N426=1,INDEX('Batasan Honor'!$B$2:$B993,MATCH(CONCATENATE($F426,"-",$G426),'Batasan Honor'!$G$2:$G993,0)),"")</f>
        <v>5400000</v>
      </c>
      <c r="M426" s="10">
        <f t="shared" ca="1" si="4"/>
        <v>1</v>
      </c>
      <c r="N426" s="10">
        <f t="shared" ca="1" si="3"/>
        <v>1</v>
      </c>
      <c r="O426" s="10" t="b">
        <f ca="1">IFERROR(__xludf.DUMMYFUNCTION("COUNT(FILTER($C$2:$C993,$B$2:$B993=B426))&gt;1"),FALSE)</f>
        <v>0</v>
      </c>
    </row>
    <row r="427" spans="1:15" ht="12.5">
      <c r="A427" s="10" t="str">
        <f ca="1">IFERROR(__xludf.DUMMYFUNCTION("""COMPUTED_VALUE"""),"610422100085-2024-11-SURVEI-PPL")</f>
        <v>610422100085-2024-11-SURVEI-PPL</v>
      </c>
      <c r="B427" s="5" t="str">
        <f t="shared" ca="1" si="0"/>
        <v>610422100085-2024-11</v>
      </c>
      <c r="C427" s="5">
        <f ca="1">IFERROR(__xludf.DUMMYFUNCTION("IF(N427=1,SPLIT(A427,""-""),"""")"),610422100085)</f>
        <v>610422100085</v>
      </c>
      <c r="D427" s="10">
        <f ca="1">IFERROR(__xludf.DUMMYFUNCTION("""COMPUTED_VALUE"""),2024)</f>
        <v>2024</v>
      </c>
      <c r="E427" s="10">
        <f ca="1">IFERROR(__xludf.DUMMYFUNCTION("""COMPUTED_VALUE"""),11)</f>
        <v>11</v>
      </c>
      <c r="F427" s="5" t="str">
        <f ca="1">IFERROR(__xludf.DUMMYFUNCTION("""COMPUTED_VALUE"""),"SURVEI")</f>
        <v>SURVEI</v>
      </c>
      <c r="G427" s="5" t="str">
        <f ca="1">IFERROR(__xludf.DUMMYFUNCTION("""COMPUTED_VALUE"""),"PPL")</f>
        <v>PPL</v>
      </c>
      <c r="H427" s="5" t="str">
        <f t="array" aca="1" ref="H427" ca="1">IF(N427=1, INDEX('Database Mitra'!$C$2:$C993,MATCH($C427,'Database Mitra'!$AK$2:$AK993,0)),"")</f>
        <v>LINA AGUSTIN WIDYA SIWI</v>
      </c>
      <c r="I427" s="71">
        <f ca="1">IF(N427=1,SUMIFS('Alokasi Honor'!$M$2:$M993,'Alokasi Honor'!$T$2:$T993,A427),"")</f>
        <v>910000</v>
      </c>
      <c r="J427" s="10">
        <f ca="1">IFERROR(__xludf.DUMMYFUNCTION("COUNTIF(FILTER('Alokasi Honor'!$H$2:$H993,'Alokasi Honor'!$H$2:$H993=""OB"",'Alokasi Honor'!$T$2:$T993=A427),""OB"")"),0)</f>
        <v>0</v>
      </c>
      <c r="K427" s="10">
        <f t="shared" ca="1" si="1"/>
        <v>1</v>
      </c>
      <c r="L427" s="70">
        <f t="array" aca="1" ref="L427" ca="1">IF(N427=1,INDEX('Batasan Honor'!$B$2:$B993,MATCH(CONCATENATE($F427,"-",$G427),'Batasan Honor'!$G$2:$G993,0)),"")</f>
        <v>5400000</v>
      </c>
      <c r="M427" s="10">
        <f t="shared" ca="1" si="4"/>
        <v>1</v>
      </c>
      <c r="N427" s="10">
        <f t="shared" ca="1" si="3"/>
        <v>1</v>
      </c>
      <c r="O427" s="10" t="b">
        <f ca="1">IFERROR(__xludf.DUMMYFUNCTION("COUNT(FILTER($C$2:$C993,$B$2:$B993=B427))&gt;1"),FALSE)</f>
        <v>0</v>
      </c>
    </row>
    <row r="428" spans="1:15" ht="12.5">
      <c r="A428" s="10" t="str">
        <f ca="1">IFERROR(__xludf.DUMMYFUNCTION("""COMPUTED_VALUE"""),"610423040013-2024-11-SURVEI-PPL")</f>
        <v>610423040013-2024-11-SURVEI-PPL</v>
      </c>
      <c r="B428" s="5" t="str">
        <f t="shared" ca="1" si="0"/>
        <v>610423040013-2024-11</v>
      </c>
      <c r="C428" s="5">
        <f ca="1">IFERROR(__xludf.DUMMYFUNCTION("IF(N428=1,SPLIT(A428,""-""),"""")"),610423040013)</f>
        <v>610423040013</v>
      </c>
      <c r="D428" s="10">
        <f ca="1">IFERROR(__xludf.DUMMYFUNCTION("""COMPUTED_VALUE"""),2024)</f>
        <v>2024</v>
      </c>
      <c r="E428" s="10">
        <f ca="1">IFERROR(__xludf.DUMMYFUNCTION("""COMPUTED_VALUE"""),11)</f>
        <v>11</v>
      </c>
      <c r="F428" s="5" t="str">
        <f ca="1">IFERROR(__xludf.DUMMYFUNCTION("""COMPUTED_VALUE"""),"SURVEI")</f>
        <v>SURVEI</v>
      </c>
      <c r="G428" s="5" t="str">
        <f ca="1">IFERROR(__xludf.DUMMYFUNCTION("""COMPUTED_VALUE"""),"PPL")</f>
        <v>PPL</v>
      </c>
      <c r="H428" s="5" t="str">
        <f t="array" aca="1" ref="H428" ca="1">IF(N428=1, INDEX('Database Mitra'!$C$2:$C993,MATCH($C428,'Database Mitra'!$AK$2:$AK993,0)),"")</f>
        <v>Lulu Gesti Gunawati</v>
      </c>
      <c r="I428" s="71">
        <f ca="1">IF(N428=1,SUMIFS('Alokasi Honor'!$M$2:$M993,'Alokasi Honor'!$T$2:$T993,A428),"")</f>
        <v>910000</v>
      </c>
      <c r="J428" s="10">
        <f ca="1">IFERROR(__xludf.DUMMYFUNCTION("COUNTIF(FILTER('Alokasi Honor'!$H$2:$H993,'Alokasi Honor'!$H$2:$H993=""OB"",'Alokasi Honor'!$T$2:$T993=A428),""OB"")"),0)</f>
        <v>0</v>
      </c>
      <c r="K428" s="10">
        <f t="shared" ca="1" si="1"/>
        <v>1</v>
      </c>
      <c r="L428" s="70">
        <f t="array" aca="1" ref="L428" ca="1">IF(N428=1,INDEX('Batasan Honor'!$B$2:$B993,MATCH(CONCATENATE($F428,"-",$G428),'Batasan Honor'!$G$2:$G993,0)),"")</f>
        <v>5400000</v>
      </c>
      <c r="M428" s="10">
        <f t="shared" ca="1" si="4"/>
        <v>1</v>
      </c>
      <c r="N428" s="10">
        <f t="shared" ca="1" si="3"/>
        <v>1</v>
      </c>
      <c r="O428" s="10" t="b">
        <f ca="1">IFERROR(__xludf.DUMMYFUNCTION("COUNT(FILTER($C$2:$C993,$B$2:$B993=B428))&gt;1"),FALSE)</f>
        <v>0</v>
      </c>
    </row>
    <row r="429" spans="1:15" ht="12.5">
      <c r="A429" s="10" t="str">
        <f ca="1">IFERROR(__xludf.DUMMYFUNCTION("""COMPUTED_VALUE"""),"610422100137-2024-11-SURVEI-PPL")</f>
        <v>610422100137-2024-11-SURVEI-PPL</v>
      </c>
      <c r="B429" s="5" t="str">
        <f t="shared" ca="1" si="0"/>
        <v>610422100137-2024-11</v>
      </c>
      <c r="C429" s="5">
        <f ca="1">IFERROR(__xludf.DUMMYFUNCTION("IF(N429=1,SPLIT(A429,""-""),"""")"),610422100137)</f>
        <v>610422100137</v>
      </c>
      <c r="D429" s="10">
        <f ca="1">IFERROR(__xludf.DUMMYFUNCTION("""COMPUTED_VALUE"""),2024)</f>
        <v>2024</v>
      </c>
      <c r="E429" s="10">
        <f ca="1">IFERROR(__xludf.DUMMYFUNCTION("""COMPUTED_VALUE"""),11)</f>
        <v>11</v>
      </c>
      <c r="F429" s="5" t="str">
        <f ca="1">IFERROR(__xludf.DUMMYFUNCTION("""COMPUTED_VALUE"""),"SURVEI")</f>
        <v>SURVEI</v>
      </c>
      <c r="G429" s="5" t="str">
        <f ca="1">IFERROR(__xludf.DUMMYFUNCTION("""COMPUTED_VALUE"""),"PPL")</f>
        <v>PPL</v>
      </c>
      <c r="H429" s="5" t="str">
        <f t="array" aca="1" ref="H429" ca="1">IF(N429=1, INDEX('Database Mitra'!$C$2:$C993,MATCH($C429,'Database Mitra'!$AK$2:$AK993,0)),"")</f>
        <v>MASTURI</v>
      </c>
      <c r="I429" s="71">
        <f ca="1">IF(N429=1,SUMIFS('Alokasi Honor'!$M$2:$M993,'Alokasi Honor'!$T$2:$T993,A429),"")</f>
        <v>910000</v>
      </c>
      <c r="J429" s="10">
        <f ca="1">IFERROR(__xludf.DUMMYFUNCTION("COUNTIF(FILTER('Alokasi Honor'!$H$2:$H993,'Alokasi Honor'!$H$2:$H993=""OB"",'Alokasi Honor'!$T$2:$T993=A429),""OB"")"),0)</f>
        <v>0</v>
      </c>
      <c r="K429" s="10">
        <f t="shared" ca="1" si="1"/>
        <v>1</v>
      </c>
      <c r="L429" s="70">
        <f t="array" aca="1" ref="L429" ca="1">IF(N429=1,INDEX('Batasan Honor'!$B$2:$B993,MATCH(CONCATENATE($F429,"-",$G429),'Batasan Honor'!$G$2:$G993,0)),"")</f>
        <v>5400000</v>
      </c>
      <c r="M429" s="10">
        <f t="shared" ca="1" si="4"/>
        <v>1</v>
      </c>
      <c r="N429" s="10">
        <f t="shared" ca="1" si="3"/>
        <v>1</v>
      </c>
      <c r="O429" s="10" t="b">
        <f ca="1">IFERROR(__xludf.DUMMYFUNCTION("COUNT(FILTER($C$2:$C993,$B$2:$B993=B429))&gt;1"),FALSE)</f>
        <v>0</v>
      </c>
    </row>
    <row r="430" spans="1:15" ht="12.5">
      <c r="A430" s="10" t="str">
        <f ca="1">IFERROR(__xludf.DUMMYFUNCTION("""COMPUTED_VALUE"""),"610422100256-2024-11-SURVEI-PPL")</f>
        <v>610422100256-2024-11-SURVEI-PPL</v>
      </c>
      <c r="B430" s="5" t="str">
        <f t="shared" ca="1" si="0"/>
        <v>610422100256-2024-11</v>
      </c>
      <c r="C430" s="5">
        <f ca="1">IFERROR(__xludf.DUMMYFUNCTION("IF(N430=1,SPLIT(A430,""-""),"""")"),610422100256)</f>
        <v>610422100256</v>
      </c>
      <c r="D430" s="10">
        <f ca="1">IFERROR(__xludf.DUMMYFUNCTION("""COMPUTED_VALUE"""),2024)</f>
        <v>2024</v>
      </c>
      <c r="E430" s="10">
        <f ca="1">IFERROR(__xludf.DUMMYFUNCTION("""COMPUTED_VALUE"""),11)</f>
        <v>11</v>
      </c>
      <c r="F430" s="5" t="str">
        <f ca="1">IFERROR(__xludf.DUMMYFUNCTION("""COMPUTED_VALUE"""),"SURVEI")</f>
        <v>SURVEI</v>
      </c>
      <c r="G430" s="5" t="str">
        <f ca="1">IFERROR(__xludf.DUMMYFUNCTION("""COMPUTED_VALUE"""),"PPL")</f>
        <v>PPL</v>
      </c>
      <c r="H430" s="5" t="str">
        <f t="array" aca="1" ref="H430" ca="1">IF(N430=1, INDEX('Database Mitra'!$C$2:$C993,MATCH($C430,'Database Mitra'!$AK$2:$AK993,0)),"")</f>
        <v>Meta</v>
      </c>
      <c r="I430" s="71">
        <f ca="1">IF(N430=1,SUMIFS('Alokasi Honor'!$M$2:$M993,'Alokasi Honor'!$T$2:$T993,A430),"")</f>
        <v>910000</v>
      </c>
      <c r="J430" s="10">
        <f ca="1">IFERROR(__xludf.DUMMYFUNCTION("COUNTIF(FILTER('Alokasi Honor'!$H$2:$H993,'Alokasi Honor'!$H$2:$H993=""OB"",'Alokasi Honor'!$T$2:$T993=A430),""OB"")"),0)</f>
        <v>0</v>
      </c>
      <c r="K430" s="10">
        <f t="shared" ca="1" si="1"/>
        <v>1</v>
      </c>
      <c r="L430" s="70">
        <f t="array" aca="1" ref="L430" ca="1">IF(N430=1,INDEX('Batasan Honor'!$B$2:$B993,MATCH(CONCATENATE($F430,"-",$G430),'Batasan Honor'!$G$2:$G993,0)),"")</f>
        <v>5400000</v>
      </c>
      <c r="M430" s="10">
        <f t="shared" ca="1" si="4"/>
        <v>1</v>
      </c>
      <c r="N430" s="10">
        <f t="shared" ca="1" si="3"/>
        <v>1</v>
      </c>
      <c r="O430" s="10" t="b">
        <f ca="1">IFERROR(__xludf.DUMMYFUNCTION("COUNT(FILTER($C$2:$C993,$B$2:$B993=B430))&gt;1"),FALSE)</f>
        <v>0</v>
      </c>
    </row>
    <row r="431" spans="1:15" ht="12.5">
      <c r="A431" s="10" t="str">
        <f ca="1">IFERROR(__xludf.DUMMYFUNCTION("""COMPUTED_VALUE"""),"610422040050-2024-11-SURVEI-PPL")</f>
        <v>610422040050-2024-11-SURVEI-PPL</v>
      </c>
      <c r="B431" s="5" t="str">
        <f t="shared" ca="1" si="0"/>
        <v>610422040050-2024-11</v>
      </c>
      <c r="C431" s="5">
        <f ca="1">IFERROR(__xludf.DUMMYFUNCTION("IF(N431=1,SPLIT(A431,""-""),"""")"),610422040050)</f>
        <v>610422040050</v>
      </c>
      <c r="D431" s="10">
        <f ca="1">IFERROR(__xludf.DUMMYFUNCTION("""COMPUTED_VALUE"""),2024)</f>
        <v>2024</v>
      </c>
      <c r="E431" s="10">
        <f ca="1">IFERROR(__xludf.DUMMYFUNCTION("""COMPUTED_VALUE"""),11)</f>
        <v>11</v>
      </c>
      <c r="F431" s="5" t="str">
        <f ca="1">IFERROR(__xludf.DUMMYFUNCTION("""COMPUTED_VALUE"""),"SURVEI")</f>
        <v>SURVEI</v>
      </c>
      <c r="G431" s="5" t="str">
        <f ca="1">IFERROR(__xludf.DUMMYFUNCTION("""COMPUTED_VALUE"""),"PPL")</f>
        <v>PPL</v>
      </c>
      <c r="H431" s="5" t="str">
        <f t="array" aca="1" ref="H431" ca="1">IF(N431=1, INDEX('Database Mitra'!$C$2:$C993,MATCH($C431,'Database Mitra'!$AK$2:$AK993,0)),"")</f>
        <v>NOVITA SARI</v>
      </c>
      <c r="I431" s="71">
        <f ca="1">IF(N431=1,SUMIFS('Alokasi Honor'!$M$2:$M993,'Alokasi Honor'!$T$2:$T993,A431),"")</f>
        <v>910000</v>
      </c>
      <c r="J431" s="10">
        <f ca="1">IFERROR(__xludf.DUMMYFUNCTION("COUNTIF(FILTER('Alokasi Honor'!$H$2:$H993,'Alokasi Honor'!$H$2:$H993=""OB"",'Alokasi Honor'!$T$2:$T993=A431),""OB"")"),0)</f>
        <v>0</v>
      </c>
      <c r="K431" s="10">
        <f t="shared" ca="1" si="1"/>
        <v>1</v>
      </c>
      <c r="L431" s="70">
        <f t="array" aca="1" ref="L431" ca="1">IF(N431=1,INDEX('Batasan Honor'!$B$2:$B993,MATCH(CONCATENATE($F431,"-",$G431),'Batasan Honor'!$G$2:$G993,0)),"")</f>
        <v>5400000</v>
      </c>
      <c r="M431" s="10">
        <f t="shared" ca="1" si="4"/>
        <v>1</v>
      </c>
      <c r="N431" s="10">
        <f t="shared" ca="1" si="3"/>
        <v>1</v>
      </c>
      <c r="O431" s="10" t="b">
        <f ca="1">IFERROR(__xludf.DUMMYFUNCTION("COUNT(FILTER($C$2:$C993,$B$2:$B993=B431))&gt;1"),FALSE)</f>
        <v>0</v>
      </c>
    </row>
    <row r="432" spans="1:15" ht="12.5">
      <c r="A432" s="10" t="str">
        <f ca="1">IFERROR(__xludf.DUMMYFUNCTION("""COMPUTED_VALUE"""),"610422040035-2024-11-SURVEI-PPL")</f>
        <v>610422040035-2024-11-SURVEI-PPL</v>
      </c>
      <c r="B432" s="5" t="str">
        <f t="shared" ca="1" si="0"/>
        <v>610422040035-2024-11</v>
      </c>
      <c r="C432" s="5">
        <f ca="1">IFERROR(__xludf.DUMMYFUNCTION("IF(N432=1,SPLIT(A432,""-""),"""")"),610422040035)</f>
        <v>610422040035</v>
      </c>
      <c r="D432" s="10">
        <f ca="1">IFERROR(__xludf.DUMMYFUNCTION("""COMPUTED_VALUE"""),2024)</f>
        <v>2024</v>
      </c>
      <c r="E432" s="10">
        <f ca="1">IFERROR(__xludf.DUMMYFUNCTION("""COMPUTED_VALUE"""),11)</f>
        <v>11</v>
      </c>
      <c r="F432" s="5" t="str">
        <f ca="1">IFERROR(__xludf.DUMMYFUNCTION("""COMPUTED_VALUE"""),"SURVEI")</f>
        <v>SURVEI</v>
      </c>
      <c r="G432" s="5" t="str">
        <f ca="1">IFERROR(__xludf.DUMMYFUNCTION("""COMPUTED_VALUE"""),"PPL")</f>
        <v>PPL</v>
      </c>
      <c r="H432" s="5" t="str">
        <f t="array" aca="1" ref="H432" ca="1">IF(N432=1, INDEX('Database Mitra'!$C$2:$C993,MATCH($C432,'Database Mitra'!$AK$2:$AK993,0)),"")</f>
        <v>Rahmayani</v>
      </c>
      <c r="I432" s="71">
        <f ca="1">IF(N432=1,SUMIFS('Alokasi Honor'!$M$2:$M993,'Alokasi Honor'!$T$2:$T993,A432),"")</f>
        <v>910000</v>
      </c>
      <c r="J432" s="10">
        <f ca="1">IFERROR(__xludf.DUMMYFUNCTION("COUNTIF(FILTER('Alokasi Honor'!$H$2:$H993,'Alokasi Honor'!$H$2:$H993=""OB"",'Alokasi Honor'!$T$2:$T993=A432),""OB"")"),0)</f>
        <v>0</v>
      </c>
      <c r="K432" s="10">
        <f t="shared" ca="1" si="1"/>
        <v>1</v>
      </c>
      <c r="L432" s="70">
        <f t="array" aca="1" ref="L432" ca="1">IF(N432=1,INDEX('Batasan Honor'!$B$2:$B993,MATCH(CONCATENATE($F432,"-",$G432),'Batasan Honor'!$G$2:$G993,0)),"")</f>
        <v>5400000</v>
      </c>
      <c r="M432" s="10">
        <f t="shared" ca="1" si="4"/>
        <v>1</v>
      </c>
      <c r="N432" s="10">
        <f t="shared" ca="1" si="3"/>
        <v>1</v>
      </c>
      <c r="O432" s="10" t="b">
        <f ca="1">IFERROR(__xludf.DUMMYFUNCTION("COUNT(FILTER($C$2:$C993,$B$2:$B993=B432))&gt;1"),FALSE)</f>
        <v>0</v>
      </c>
    </row>
    <row r="433" spans="1:15" ht="12.5">
      <c r="A433" s="10" t="str">
        <f ca="1">IFERROR(__xludf.DUMMYFUNCTION("""COMPUTED_VALUE"""),"610422040053-2024-11-SURVEI-PPL")</f>
        <v>610422040053-2024-11-SURVEI-PPL</v>
      </c>
      <c r="B433" s="5" t="str">
        <f t="shared" ca="1" si="0"/>
        <v>610422040053-2024-11</v>
      </c>
      <c r="C433" s="5">
        <f ca="1">IFERROR(__xludf.DUMMYFUNCTION("IF(N433=1,SPLIT(A433,""-""),"""")"),610422040053)</f>
        <v>610422040053</v>
      </c>
      <c r="D433" s="10">
        <f ca="1">IFERROR(__xludf.DUMMYFUNCTION("""COMPUTED_VALUE"""),2024)</f>
        <v>2024</v>
      </c>
      <c r="E433" s="10">
        <f ca="1">IFERROR(__xludf.DUMMYFUNCTION("""COMPUTED_VALUE"""),11)</f>
        <v>11</v>
      </c>
      <c r="F433" s="5" t="str">
        <f ca="1">IFERROR(__xludf.DUMMYFUNCTION("""COMPUTED_VALUE"""),"SURVEI")</f>
        <v>SURVEI</v>
      </c>
      <c r="G433" s="5" t="str">
        <f ca="1">IFERROR(__xludf.DUMMYFUNCTION("""COMPUTED_VALUE"""),"PPL")</f>
        <v>PPL</v>
      </c>
      <c r="H433" s="5" t="str">
        <f t="array" aca="1" ref="H433" ca="1">IF(N433=1, INDEX('Database Mitra'!$C$2:$C993,MATCH($C433,'Database Mitra'!$AK$2:$AK993,0)),"")</f>
        <v>Veti Ningsi</v>
      </c>
      <c r="I433" s="71">
        <f ca="1">IF(N433=1,SUMIFS('Alokasi Honor'!$M$2:$M993,'Alokasi Honor'!$T$2:$T993,A433),"")</f>
        <v>910000</v>
      </c>
      <c r="J433" s="10">
        <f ca="1">IFERROR(__xludf.DUMMYFUNCTION("COUNTIF(FILTER('Alokasi Honor'!$H$2:$H993,'Alokasi Honor'!$H$2:$H993=""OB"",'Alokasi Honor'!$T$2:$T993=A433),""OB"")"),0)</f>
        <v>0</v>
      </c>
      <c r="K433" s="10">
        <f t="shared" ca="1" si="1"/>
        <v>1</v>
      </c>
      <c r="L433" s="70">
        <f t="array" aca="1" ref="L433" ca="1">IF(N433=1,INDEX('Batasan Honor'!$B$2:$B993,MATCH(CONCATENATE($F433,"-",$G433),'Batasan Honor'!$G$2:$G993,0)),"")</f>
        <v>5400000</v>
      </c>
      <c r="M433" s="10">
        <f t="shared" ca="1" si="4"/>
        <v>1</v>
      </c>
      <c r="N433" s="10">
        <f t="shared" ca="1" si="3"/>
        <v>1</v>
      </c>
      <c r="O433" s="10" t="b">
        <f ca="1">IFERROR(__xludf.DUMMYFUNCTION("COUNT(FILTER($C$2:$C993,$B$2:$B993=B433))&gt;1"),FALSE)</f>
        <v>0</v>
      </c>
    </row>
    <row r="434" spans="1:15" ht="12.5">
      <c r="A434" s="10" t="str">
        <f ca="1">IFERROR(__xludf.DUMMYFUNCTION("""COMPUTED_VALUE"""),"610422100055-2024-11-SURVEI-PPL")</f>
        <v>610422100055-2024-11-SURVEI-PPL</v>
      </c>
      <c r="B434" s="5" t="str">
        <f t="shared" ca="1" si="0"/>
        <v>610422100055-2024-11</v>
      </c>
      <c r="C434" s="5">
        <f ca="1">IFERROR(__xludf.DUMMYFUNCTION("IF(N434=1,SPLIT(A434,""-""),"""")"),610422100055)</f>
        <v>610422100055</v>
      </c>
      <c r="D434" s="10">
        <f ca="1">IFERROR(__xludf.DUMMYFUNCTION("""COMPUTED_VALUE"""),2024)</f>
        <v>2024</v>
      </c>
      <c r="E434" s="10">
        <f ca="1">IFERROR(__xludf.DUMMYFUNCTION("""COMPUTED_VALUE"""),11)</f>
        <v>11</v>
      </c>
      <c r="F434" s="5" t="str">
        <f ca="1">IFERROR(__xludf.DUMMYFUNCTION("""COMPUTED_VALUE"""),"SURVEI")</f>
        <v>SURVEI</v>
      </c>
      <c r="G434" s="5" t="str">
        <f ca="1">IFERROR(__xludf.DUMMYFUNCTION("""COMPUTED_VALUE"""),"PPL")</f>
        <v>PPL</v>
      </c>
      <c r="H434" s="5" t="str">
        <f t="array" aca="1" ref="H434" ca="1">IF(N434=1, INDEX('Database Mitra'!$C$2:$C993,MATCH($C434,'Database Mitra'!$AK$2:$AK993,0)),"")</f>
        <v>Vika Rizkiani</v>
      </c>
      <c r="I434" s="71">
        <f ca="1">IF(N434=1,SUMIFS('Alokasi Honor'!$M$2:$M993,'Alokasi Honor'!$T$2:$T993,A434),"")</f>
        <v>910000</v>
      </c>
      <c r="J434" s="10">
        <f ca="1">IFERROR(__xludf.DUMMYFUNCTION("COUNTIF(FILTER('Alokasi Honor'!$H$2:$H993,'Alokasi Honor'!$H$2:$H993=""OB"",'Alokasi Honor'!$T$2:$T993=A434),""OB"")"),0)</f>
        <v>0</v>
      </c>
      <c r="K434" s="10">
        <f t="shared" ca="1" si="1"/>
        <v>1</v>
      </c>
      <c r="L434" s="70">
        <f t="array" aca="1" ref="L434" ca="1">IF(N434=1,INDEX('Batasan Honor'!$B$2:$B993,MATCH(CONCATENATE($F434,"-",$G434),'Batasan Honor'!$G$2:$G993,0)),"")</f>
        <v>5400000</v>
      </c>
      <c r="M434" s="10">
        <f t="shared" ca="1" si="4"/>
        <v>1</v>
      </c>
      <c r="N434" s="10">
        <f t="shared" ca="1" si="3"/>
        <v>1</v>
      </c>
      <c r="O434" s="10" t="b">
        <f ca="1">IFERROR(__xludf.DUMMYFUNCTION("COUNT(FILTER($C$2:$C993,$B$2:$B993=B434))&gt;1"),FALSE)</f>
        <v>0</v>
      </c>
    </row>
    <row r="435" spans="1:15" ht="12.5">
      <c r="A435" s="10" t="str">
        <f ca="1">IFERROR(__xludf.DUMMYFUNCTION("""COMPUTED_VALUE"""),"610422100139-2024-11-SURVEI-PPL")</f>
        <v>610422100139-2024-11-SURVEI-PPL</v>
      </c>
      <c r="B435" s="5" t="str">
        <f t="shared" ca="1" si="0"/>
        <v>610422100139-2024-11</v>
      </c>
      <c r="C435" s="5">
        <f ca="1">IFERROR(__xludf.DUMMYFUNCTION("IF(N435=1,SPLIT(A435,""-""),"""")"),610422100139)</f>
        <v>610422100139</v>
      </c>
      <c r="D435" s="10">
        <f ca="1">IFERROR(__xludf.DUMMYFUNCTION("""COMPUTED_VALUE"""),2024)</f>
        <v>2024</v>
      </c>
      <c r="E435" s="10">
        <f ca="1">IFERROR(__xludf.DUMMYFUNCTION("""COMPUTED_VALUE"""),11)</f>
        <v>11</v>
      </c>
      <c r="F435" s="5" t="str">
        <f ca="1">IFERROR(__xludf.DUMMYFUNCTION("""COMPUTED_VALUE"""),"SURVEI")</f>
        <v>SURVEI</v>
      </c>
      <c r="G435" s="5" t="str">
        <f ca="1">IFERROR(__xludf.DUMMYFUNCTION("""COMPUTED_VALUE"""),"PPL")</f>
        <v>PPL</v>
      </c>
      <c r="H435" s="5" t="str">
        <f t="array" aca="1" ref="H435" ca="1">IF(N435=1, INDEX('Database Mitra'!$C$2:$C993,MATCH($C435,'Database Mitra'!$AK$2:$AK993,0)),"")</f>
        <v>Winda Dwi Ananda</v>
      </c>
      <c r="I435" s="71">
        <f ca="1">IF(N435=1,SUMIFS('Alokasi Honor'!$M$2:$M993,'Alokasi Honor'!$T$2:$T993,A435),"")</f>
        <v>910000</v>
      </c>
      <c r="J435" s="10">
        <f ca="1">IFERROR(__xludf.DUMMYFUNCTION("COUNTIF(FILTER('Alokasi Honor'!$H$2:$H993,'Alokasi Honor'!$H$2:$H993=""OB"",'Alokasi Honor'!$T$2:$T993=A435),""OB"")"),0)</f>
        <v>0</v>
      </c>
      <c r="K435" s="10">
        <f t="shared" ca="1" si="1"/>
        <v>1</v>
      </c>
      <c r="L435" s="70">
        <f t="array" aca="1" ref="L435" ca="1">IF(N435=1,INDEX('Batasan Honor'!$B$2:$B993,MATCH(CONCATENATE($F435,"-",$G435),'Batasan Honor'!$G$2:$G993,0)),"")</f>
        <v>5400000</v>
      </c>
      <c r="M435" s="10">
        <f t="shared" ca="1" si="4"/>
        <v>1</v>
      </c>
      <c r="N435" s="10">
        <f t="shared" ca="1" si="3"/>
        <v>1</v>
      </c>
      <c r="O435" s="10" t="b">
        <f ca="1">IFERROR(__xludf.DUMMYFUNCTION("COUNT(FILTER($C$2:$C993,$B$2:$B993=B435))&gt;1"),FALSE)</f>
        <v>0</v>
      </c>
    </row>
    <row r="436" spans="1:15" ht="12.5">
      <c r="A436" s="10" t="str">
        <f ca="1">IFERROR(__xludf.DUMMYFUNCTION("""COMPUTED_VALUE"""),"610422040052-2024-11-SURVEI-PPL")</f>
        <v>610422040052-2024-11-SURVEI-PPL</v>
      </c>
      <c r="B436" s="5" t="str">
        <f t="shared" ca="1" si="0"/>
        <v>610422040052-2024-11</v>
      </c>
      <c r="C436" s="5">
        <f ca="1">IFERROR(__xludf.DUMMYFUNCTION("IF(N436=1,SPLIT(A436,""-""),"""")"),610422040052)</f>
        <v>610422040052</v>
      </c>
      <c r="D436" s="10">
        <f ca="1">IFERROR(__xludf.DUMMYFUNCTION("""COMPUTED_VALUE"""),2024)</f>
        <v>2024</v>
      </c>
      <c r="E436" s="10">
        <f ca="1">IFERROR(__xludf.DUMMYFUNCTION("""COMPUTED_VALUE"""),11)</f>
        <v>11</v>
      </c>
      <c r="F436" s="5" t="str">
        <f ca="1">IFERROR(__xludf.DUMMYFUNCTION("""COMPUTED_VALUE"""),"SURVEI")</f>
        <v>SURVEI</v>
      </c>
      <c r="G436" s="5" t="str">
        <f ca="1">IFERROR(__xludf.DUMMYFUNCTION("""COMPUTED_VALUE"""),"PPL")</f>
        <v>PPL</v>
      </c>
      <c r="H436" s="5" t="str">
        <f t="array" aca="1" ref="H436" ca="1">IF(N436=1, INDEX('Database Mitra'!$C$2:$C993,MATCH($C436,'Database Mitra'!$AK$2:$AK993,0)),"")</f>
        <v>Yusimianto</v>
      </c>
      <c r="I436" s="71">
        <f ca="1">IF(N436=1,SUMIFS('Alokasi Honor'!$M$2:$M993,'Alokasi Honor'!$T$2:$T993,A436),"")</f>
        <v>910000</v>
      </c>
      <c r="J436" s="10">
        <f ca="1">IFERROR(__xludf.DUMMYFUNCTION("COUNTIF(FILTER('Alokasi Honor'!$H$2:$H993,'Alokasi Honor'!$H$2:$H993=""OB"",'Alokasi Honor'!$T$2:$T993=A436),""OB"")"),0)</f>
        <v>0</v>
      </c>
      <c r="K436" s="10">
        <f t="shared" ca="1" si="1"/>
        <v>1</v>
      </c>
      <c r="L436" s="70">
        <f t="array" aca="1" ref="L436" ca="1">IF(N436=1,INDEX('Batasan Honor'!$B$2:$B993,MATCH(CONCATENATE($F436,"-",$G436),'Batasan Honor'!$G$2:$G993,0)),"")</f>
        <v>5400000</v>
      </c>
      <c r="M436" s="10">
        <f t="shared" ca="1" si="4"/>
        <v>1</v>
      </c>
      <c r="N436" s="10">
        <f t="shared" ca="1" si="3"/>
        <v>1</v>
      </c>
      <c r="O436" s="10" t="b">
        <f ca="1">IFERROR(__xludf.DUMMYFUNCTION("COUNT(FILTER($C$2:$C993,$B$2:$B993=B436))&gt;1"),FALSE)</f>
        <v>0</v>
      </c>
    </row>
    <row r="437" spans="1:15" ht="12.5">
      <c r="A437" s="10" t="str">
        <f ca="1">IFERROR(__xludf.DUMMYFUNCTION("""COMPUTED_VALUE"""),"610422030002-2024-12-SURVEI-PPL")</f>
        <v>610422030002-2024-12-SURVEI-PPL</v>
      </c>
      <c r="B437" s="5" t="str">
        <f t="shared" ca="1" si="0"/>
        <v>610422030002-2024-12</v>
      </c>
      <c r="C437" s="5">
        <f ca="1">IFERROR(__xludf.DUMMYFUNCTION("IF(N437=1,SPLIT(A437,""-""),"""")"),610422030002)</f>
        <v>610422030002</v>
      </c>
      <c r="D437" s="10">
        <f ca="1">IFERROR(__xludf.DUMMYFUNCTION("""COMPUTED_VALUE"""),2024)</f>
        <v>2024</v>
      </c>
      <c r="E437" s="10">
        <f ca="1">IFERROR(__xludf.DUMMYFUNCTION("""COMPUTED_VALUE"""),12)</f>
        <v>12</v>
      </c>
      <c r="F437" s="5" t="str">
        <f ca="1">IFERROR(__xludf.DUMMYFUNCTION("""COMPUTED_VALUE"""),"SURVEI")</f>
        <v>SURVEI</v>
      </c>
      <c r="G437" s="5" t="str">
        <f ca="1">IFERROR(__xludf.DUMMYFUNCTION("""COMPUTED_VALUE"""),"PPL")</f>
        <v>PPL</v>
      </c>
      <c r="H437" s="5" t="str">
        <f t="array" aca="1" ref="H437" ca="1">IF(N437=1, INDEX('Database Mitra'!$C$2:$C993,MATCH($C437,'Database Mitra'!$AK$2:$AK993,0)),"")</f>
        <v>Deti erni widiastuti</v>
      </c>
      <c r="I437" s="71">
        <f ca="1">IF(N437=1,SUMIFS('Alokasi Honor'!$M$2:$M993,'Alokasi Honor'!$T$2:$T993,A437),"")</f>
        <v>750000</v>
      </c>
      <c r="J437" s="10">
        <f ca="1">IFERROR(__xludf.DUMMYFUNCTION("COUNTIF(FILTER('Alokasi Honor'!$H$2:$H993,'Alokasi Honor'!$H$2:$H993=""OB"",'Alokasi Honor'!$T$2:$T993=A437),""OB"")"),0)</f>
        <v>0</v>
      </c>
      <c r="K437" s="10">
        <f t="shared" ca="1" si="1"/>
        <v>1</v>
      </c>
      <c r="L437" s="70">
        <f t="array" aca="1" ref="L437" ca="1">IF(N437=1,INDEX('Batasan Honor'!$B$2:$B993,MATCH(CONCATENATE($F437,"-",$G437),'Batasan Honor'!$G$2:$G993,0)),"")</f>
        <v>5400000</v>
      </c>
      <c r="M437" s="10">
        <f t="shared" ca="1" si="4"/>
        <v>1</v>
      </c>
      <c r="N437" s="10">
        <f t="shared" ca="1" si="3"/>
        <v>1</v>
      </c>
      <c r="O437" s="10" t="b">
        <f ca="1">IFERROR(__xludf.DUMMYFUNCTION("COUNT(FILTER($C$2:$C993,$B$2:$B993=B437))&gt;1"),FALSE)</f>
        <v>0</v>
      </c>
    </row>
    <row r="438" spans="1:15" ht="12.5">
      <c r="A438" s="10" t="str">
        <f ca="1">IFERROR(__xludf.DUMMYFUNCTION("""COMPUTED_VALUE"""),"610422100244-2024-12-SURVEI-PPL")</f>
        <v>610422100244-2024-12-SURVEI-PPL</v>
      </c>
      <c r="B438" s="5" t="str">
        <f t="shared" ca="1" si="0"/>
        <v>610422100244-2024-12</v>
      </c>
      <c r="C438" s="5">
        <f ca="1">IFERROR(__xludf.DUMMYFUNCTION("IF(N438=1,SPLIT(A438,""-""),"""")"),610422100244)</f>
        <v>610422100244</v>
      </c>
      <c r="D438" s="10">
        <f ca="1">IFERROR(__xludf.DUMMYFUNCTION("""COMPUTED_VALUE"""),2024)</f>
        <v>2024</v>
      </c>
      <c r="E438" s="10">
        <f ca="1">IFERROR(__xludf.DUMMYFUNCTION("""COMPUTED_VALUE"""),12)</f>
        <v>12</v>
      </c>
      <c r="F438" s="5" t="str">
        <f ca="1">IFERROR(__xludf.DUMMYFUNCTION("""COMPUTED_VALUE"""),"SURVEI")</f>
        <v>SURVEI</v>
      </c>
      <c r="G438" s="5" t="str">
        <f ca="1">IFERROR(__xludf.DUMMYFUNCTION("""COMPUTED_VALUE"""),"PPL")</f>
        <v>PPL</v>
      </c>
      <c r="H438" s="5" t="str">
        <f t="array" aca="1" ref="H438" ca="1">IF(N438=1, INDEX('Database Mitra'!$C$2:$C993,MATCH($C438,'Database Mitra'!$AK$2:$AK993,0)),"")</f>
        <v>Sugianto</v>
      </c>
      <c r="I438" s="71">
        <f ca="1">IF(N438=1,SUMIFS('Alokasi Honor'!$M$2:$M993,'Alokasi Honor'!$T$2:$T993,A438),"")</f>
        <v>1090000</v>
      </c>
      <c r="J438" s="10">
        <f ca="1">IFERROR(__xludf.DUMMYFUNCTION("COUNTIF(FILTER('Alokasi Honor'!$H$2:$H993,'Alokasi Honor'!$H$2:$H993=""OB"",'Alokasi Honor'!$T$2:$T993=A438),""OB"")"),0)</f>
        <v>0</v>
      </c>
      <c r="K438" s="10">
        <f t="shared" ca="1" si="1"/>
        <v>1</v>
      </c>
      <c r="L438" s="70">
        <f t="array" aca="1" ref="L438" ca="1">IF(N438=1,INDEX('Batasan Honor'!$B$2:$B993,MATCH(CONCATENATE($F438,"-",$G438),'Batasan Honor'!$G$2:$G993,0)),"")</f>
        <v>5400000</v>
      </c>
      <c r="M438" s="10">
        <f t="shared" ca="1" si="4"/>
        <v>1</v>
      </c>
      <c r="N438" s="10">
        <f t="shared" ca="1" si="3"/>
        <v>1</v>
      </c>
      <c r="O438" s="10" t="b">
        <f ca="1">IFERROR(__xludf.DUMMYFUNCTION("COUNT(FILTER($C$2:$C993,$B$2:$B993=B438))&gt;1"),FALSE)</f>
        <v>0</v>
      </c>
    </row>
    <row r="439" spans="1:15" ht="12.5">
      <c r="A439" s="10" t="str">
        <f ca="1">IFERROR(__xludf.DUMMYFUNCTION("""COMPUTED_VALUE"""),"610422100124-2024-12-SURVEI-PPL")</f>
        <v>610422100124-2024-12-SURVEI-PPL</v>
      </c>
      <c r="B439" s="5" t="str">
        <f t="shared" ca="1" si="0"/>
        <v>610422100124-2024-12</v>
      </c>
      <c r="C439" s="5">
        <f ca="1">IFERROR(__xludf.DUMMYFUNCTION("IF(N439=1,SPLIT(A439,""-""),"""")"),610422100124)</f>
        <v>610422100124</v>
      </c>
      <c r="D439" s="10">
        <f ca="1">IFERROR(__xludf.DUMMYFUNCTION("""COMPUTED_VALUE"""),2024)</f>
        <v>2024</v>
      </c>
      <c r="E439" s="10">
        <f ca="1">IFERROR(__xludf.DUMMYFUNCTION("""COMPUTED_VALUE"""),12)</f>
        <v>12</v>
      </c>
      <c r="F439" s="5" t="str">
        <f ca="1">IFERROR(__xludf.DUMMYFUNCTION("""COMPUTED_VALUE"""),"SURVEI")</f>
        <v>SURVEI</v>
      </c>
      <c r="G439" s="5" t="str">
        <f ca="1">IFERROR(__xludf.DUMMYFUNCTION("""COMPUTED_VALUE"""),"PPL")</f>
        <v>PPL</v>
      </c>
      <c r="H439" s="5" t="str">
        <f t="array" aca="1" ref="H439" ca="1">IF(N439=1, INDEX('Database Mitra'!$C$2:$C993,MATCH($C439,'Database Mitra'!$AK$2:$AK993,0)),"")</f>
        <v>Prabowo</v>
      </c>
      <c r="I439" s="71">
        <f ca="1">IF(N439=1,SUMIFS('Alokasi Honor'!$M$2:$M993,'Alokasi Honor'!$T$2:$T993,A439),"")</f>
        <v>325000</v>
      </c>
      <c r="J439" s="10">
        <f ca="1">IFERROR(__xludf.DUMMYFUNCTION("COUNTIF(FILTER('Alokasi Honor'!$H$2:$H993,'Alokasi Honor'!$H$2:$H993=""OB"",'Alokasi Honor'!$T$2:$T993=A439),""OB"")"),0)</f>
        <v>0</v>
      </c>
      <c r="K439" s="10">
        <f t="shared" ca="1" si="1"/>
        <v>1</v>
      </c>
      <c r="L439" s="70">
        <f t="array" aca="1" ref="L439" ca="1">IF(N439=1,INDEX('Batasan Honor'!$B$2:$B993,MATCH(CONCATENATE($F439,"-",$G439),'Batasan Honor'!$G$2:$G993,0)),"")</f>
        <v>5400000</v>
      </c>
      <c r="M439" s="10">
        <f t="shared" ca="1" si="4"/>
        <v>1</v>
      </c>
      <c r="N439" s="10">
        <f t="shared" ca="1" si="3"/>
        <v>1</v>
      </c>
      <c r="O439" s="10" t="b">
        <f ca="1">IFERROR(__xludf.DUMMYFUNCTION("COUNT(FILTER($C$2:$C993,$B$2:$B993=B439))&gt;1"),FALSE)</f>
        <v>0</v>
      </c>
    </row>
    <row r="440" spans="1:15" ht="12.5">
      <c r="A440" s="10" t="str">
        <f ca="1">IFERROR(__xludf.DUMMYFUNCTION("""COMPUTED_VALUE"""),"610422100016-2024-12-SURVEI-PPL")</f>
        <v>610422100016-2024-12-SURVEI-PPL</v>
      </c>
      <c r="B440" s="5" t="str">
        <f t="shared" ca="1" si="0"/>
        <v>610422100016-2024-12</v>
      </c>
      <c r="C440" s="5">
        <f ca="1">IFERROR(__xludf.DUMMYFUNCTION("IF(N440=1,SPLIT(A440,""-""),"""")"),610422100016)</f>
        <v>610422100016</v>
      </c>
      <c r="D440" s="10">
        <f ca="1">IFERROR(__xludf.DUMMYFUNCTION("""COMPUTED_VALUE"""),2024)</f>
        <v>2024</v>
      </c>
      <c r="E440" s="10">
        <f ca="1">IFERROR(__xludf.DUMMYFUNCTION("""COMPUTED_VALUE"""),12)</f>
        <v>12</v>
      </c>
      <c r="F440" s="5" t="str">
        <f ca="1">IFERROR(__xludf.DUMMYFUNCTION("""COMPUTED_VALUE"""),"SURVEI")</f>
        <v>SURVEI</v>
      </c>
      <c r="G440" s="5" t="str">
        <f ca="1">IFERROR(__xludf.DUMMYFUNCTION("""COMPUTED_VALUE"""),"PPL")</f>
        <v>PPL</v>
      </c>
      <c r="H440" s="5" t="str">
        <f t="array" aca="1" ref="H440" ca="1">IF(N440=1, INDEX('Database Mitra'!$C$2:$C993,MATCH($C440,'Database Mitra'!$AK$2:$AK993,0)),"")</f>
        <v>Amalia Faisya</v>
      </c>
      <c r="I440" s="71">
        <f ca="1">IF(N440=1,SUMIFS('Alokasi Honor'!$M$2:$M993,'Alokasi Honor'!$T$2:$T993,A440),"")</f>
        <v>250000</v>
      </c>
      <c r="J440" s="10">
        <f ca="1">IFERROR(__xludf.DUMMYFUNCTION("COUNTIF(FILTER('Alokasi Honor'!$H$2:$H993,'Alokasi Honor'!$H$2:$H993=""OB"",'Alokasi Honor'!$T$2:$T993=A440),""OB"")"),0)</f>
        <v>0</v>
      </c>
      <c r="K440" s="10">
        <f t="shared" ca="1" si="1"/>
        <v>1</v>
      </c>
      <c r="L440" s="70">
        <f t="array" aca="1" ref="L440" ca="1">IF(N440=1,INDEX('Batasan Honor'!$B$2:$B993,MATCH(CONCATENATE($F440,"-",$G440),'Batasan Honor'!$G$2:$G993,0)),"")</f>
        <v>5400000</v>
      </c>
      <c r="M440" s="10">
        <f t="shared" ca="1" si="4"/>
        <v>1</v>
      </c>
      <c r="N440" s="10">
        <f t="shared" ca="1" si="3"/>
        <v>1</v>
      </c>
      <c r="O440" s="10" t="b">
        <f ca="1">IFERROR(__xludf.DUMMYFUNCTION("COUNT(FILTER($C$2:$C993,$B$2:$B993=B440))&gt;1"),FALSE)</f>
        <v>0</v>
      </c>
    </row>
    <row r="441" spans="1:15" ht="12.5">
      <c r="A441" s="10" t="str">
        <f ca="1">IFERROR(__xludf.DUMMYFUNCTION("""COMPUTED_VALUE"""),"610422050001-2024-12-SURVEI-PPL")</f>
        <v>610422050001-2024-12-SURVEI-PPL</v>
      </c>
      <c r="B441" s="5" t="str">
        <f t="shared" ca="1" si="0"/>
        <v>610422050001-2024-12</v>
      </c>
      <c r="C441" s="5">
        <f ca="1">IFERROR(__xludf.DUMMYFUNCTION("IF(N441=1,SPLIT(A441,""-""),"""")"),610422050001)</f>
        <v>610422050001</v>
      </c>
      <c r="D441" s="10">
        <f ca="1">IFERROR(__xludf.DUMMYFUNCTION("""COMPUTED_VALUE"""),2024)</f>
        <v>2024</v>
      </c>
      <c r="E441" s="10">
        <f ca="1">IFERROR(__xludf.DUMMYFUNCTION("""COMPUTED_VALUE"""),12)</f>
        <v>12</v>
      </c>
      <c r="F441" s="5" t="str">
        <f ca="1">IFERROR(__xludf.DUMMYFUNCTION("""COMPUTED_VALUE"""),"SURVEI")</f>
        <v>SURVEI</v>
      </c>
      <c r="G441" s="5" t="str">
        <f ca="1">IFERROR(__xludf.DUMMYFUNCTION("""COMPUTED_VALUE"""),"PPL")</f>
        <v>PPL</v>
      </c>
      <c r="H441" s="5" t="str">
        <f t="array" aca="1" ref="H441" ca="1">IF(N441=1, INDEX('Database Mitra'!$C$2:$C993,MATCH($C441,'Database Mitra'!$AK$2:$AK993,0)),"")</f>
        <v>EVI JUNIARTY</v>
      </c>
      <c r="I441" s="71">
        <f ca="1">IF(N441=1,SUMIFS('Alokasi Honor'!$M$2:$M993,'Alokasi Honor'!$T$2:$T993,A441),"")</f>
        <v>415000</v>
      </c>
      <c r="J441" s="10">
        <f ca="1">IFERROR(__xludf.DUMMYFUNCTION("COUNTIF(FILTER('Alokasi Honor'!$H$2:$H993,'Alokasi Honor'!$H$2:$H993=""OB"",'Alokasi Honor'!$T$2:$T993=A441),""OB"")"),0)</f>
        <v>0</v>
      </c>
      <c r="K441" s="10">
        <f t="shared" ca="1" si="1"/>
        <v>1</v>
      </c>
      <c r="L441" s="70">
        <f t="array" aca="1" ref="L441" ca="1">IF(N441=1,INDEX('Batasan Honor'!$B$2:$B993,MATCH(CONCATENATE($F441,"-",$G441),'Batasan Honor'!$G$2:$G993,0)),"")</f>
        <v>5400000</v>
      </c>
      <c r="M441" s="10">
        <f t="shared" ca="1" si="4"/>
        <v>1</v>
      </c>
      <c r="N441" s="10">
        <f t="shared" ca="1" si="3"/>
        <v>1</v>
      </c>
      <c r="O441" s="10" t="b">
        <f ca="1">IFERROR(__xludf.DUMMYFUNCTION("COUNT(FILTER($C$2:$C993,$B$2:$B993=B441))&gt;1"),FALSE)</f>
        <v>0</v>
      </c>
    </row>
    <row r="442" spans="1:15" ht="12.5">
      <c r="A442" s="10" t="str">
        <f ca="1">IFERROR(__xludf.DUMMYFUNCTION("""COMPUTED_VALUE"""),"610422040030-2024-12-SURVEI-PPL")</f>
        <v>610422040030-2024-12-SURVEI-PPL</v>
      </c>
      <c r="B442" s="5" t="str">
        <f t="shared" ca="1" si="0"/>
        <v>610422040030-2024-12</v>
      </c>
      <c r="C442" s="5">
        <f ca="1">IFERROR(__xludf.DUMMYFUNCTION("IF(N442=1,SPLIT(A442,""-""),"""")"),610422040030)</f>
        <v>610422040030</v>
      </c>
      <c r="D442" s="10">
        <f ca="1">IFERROR(__xludf.DUMMYFUNCTION("""COMPUTED_VALUE"""),2024)</f>
        <v>2024</v>
      </c>
      <c r="E442" s="10">
        <f ca="1">IFERROR(__xludf.DUMMYFUNCTION("""COMPUTED_VALUE"""),12)</f>
        <v>12</v>
      </c>
      <c r="F442" s="5" t="str">
        <f ca="1">IFERROR(__xludf.DUMMYFUNCTION("""COMPUTED_VALUE"""),"SURVEI")</f>
        <v>SURVEI</v>
      </c>
      <c r="G442" s="5" t="str">
        <f ca="1">IFERROR(__xludf.DUMMYFUNCTION("""COMPUTED_VALUE"""),"PPL")</f>
        <v>PPL</v>
      </c>
      <c r="H442" s="5" t="str">
        <f t="array" aca="1" ref="H442" ca="1">IF(N442=1, INDEX('Database Mitra'!$C$2:$C993,MATCH($C442,'Database Mitra'!$AK$2:$AK993,0)),"")</f>
        <v>Syarifah Desti Pratiwi</v>
      </c>
      <c r="I442" s="71">
        <f ca="1">IF(N442=1,SUMIFS('Alokasi Honor'!$M$2:$M993,'Alokasi Honor'!$T$2:$T993,A442),"")</f>
        <v>55000</v>
      </c>
      <c r="J442" s="10">
        <f ca="1">IFERROR(__xludf.DUMMYFUNCTION("COUNTIF(FILTER('Alokasi Honor'!$H$2:$H993,'Alokasi Honor'!$H$2:$H993=""OB"",'Alokasi Honor'!$T$2:$T993=A442),""OB"")"),0)</f>
        <v>0</v>
      </c>
      <c r="K442" s="10">
        <f t="shared" ca="1" si="1"/>
        <v>1</v>
      </c>
      <c r="L442" s="70">
        <f t="array" aca="1" ref="L442" ca="1">IF(N442=1,INDEX('Batasan Honor'!$B$2:$B993,MATCH(CONCATENATE($F442,"-",$G442),'Batasan Honor'!$G$2:$G993,0)),"")</f>
        <v>5400000</v>
      </c>
      <c r="M442" s="10">
        <f t="shared" ca="1" si="4"/>
        <v>1</v>
      </c>
      <c r="N442" s="10">
        <f t="shared" ca="1" si="3"/>
        <v>1</v>
      </c>
      <c r="O442" s="10" t="b">
        <f ca="1">IFERROR(__xludf.DUMMYFUNCTION("COUNT(FILTER($C$2:$C993,$B$2:$B993=B442))&gt;1"),FALSE)</f>
        <v>0</v>
      </c>
    </row>
    <row r="443" spans="1:15" ht="12.5">
      <c r="A443" s="10" t="str">
        <f ca="1">IFERROR(__xludf.DUMMYFUNCTION("""COMPUTED_VALUE"""),"610422020016-2024-12-SURVEI-PPL")</f>
        <v>610422020016-2024-12-SURVEI-PPL</v>
      </c>
      <c r="B443" s="5" t="str">
        <f t="shared" ca="1" si="0"/>
        <v>610422020016-2024-12</v>
      </c>
      <c r="C443" s="5">
        <f ca="1">IFERROR(__xludf.DUMMYFUNCTION("IF(N443=1,SPLIT(A443,""-""),"""")"),610422020016)</f>
        <v>610422020016</v>
      </c>
      <c r="D443" s="10">
        <f ca="1">IFERROR(__xludf.DUMMYFUNCTION("""COMPUTED_VALUE"""),2024)</f>
        <v>2024</v>
      </c>
      <c r="E443" s="10">
        <f ca="1">IFERROR(__xludf.DUMMYFUNCTION("""COMPUTED_VALUE"""),12)</f>
        <v>12</v>
      </c>
      <c r="F443" s="5" t="str">
        <f ca="1">IFERROR(__xludf.DUMMYFUNCTION("""COMPUTED_VALUE"""),"SURVEI")</f>
        <v>SURVEI</v>
      </c>
      <c r="G443" s="5" t="str">
        <f ca="1">IFERROR(__xludf.DUMMYFUNCTION("""COMPUTED_VALUE"""),"PPL")</f>
        <v>PPL</v>
      </c>
      <c r="H443" s="5" t="str">
        <f t="array" aca="1" ref="H443" ca="1">IF(N443=1, INDEX('Database Mitra'!$C$2:$C993,MATCH($C443,'Database Mitra'!$AK$2:$AK993,0)),"")</f>
        <v>Abdul Aziz</v>
      </c>
      <c r="I443" s="71">
        <f ca="1">IF(N443=1,SUMIFS('Alokasi Honor'!$M$2:$M993,'Alokasi Honor'!$T$2:$T993,A443),"")</f>
        <v>513000</v>
      </c>
      <c r="J443" s="10">
        <f ca="1">IFERROR(__xludf.DUMMYFUNCTION("COUNTIF(FILTER('Alokasi Honor'!$H$2:$H993,'Alokasi Honor'!$H$2:$H993=""OB"",'Alokasi Honor'!$T$2:$T993=A443),""OB"")"),0)</f>
        <v>0</v>
      </c>
      <c r="K443" s="10">
        <f t="shared" ca="1" si="1"/>
        <v>1</v>
      </c>
      <c r="L443" s="70">
        <f t="array" aca="1" ref="L443" ca="1">IF(N443=1,INDEX('Batasan Honor'!$B$2:$B993,MATCH(CONCATENATE($F443,"-",$G443),'Batasan Honor'!$G$2:$G993,0)),"")</f>
        <v>5400000</v>
      </c>
      <c r="M443" s="10">
        <f t="shared" ca="1" si="4"/>
        <v>1</v>
      </c>
      <c r="N443" s="10">
        <f t="shared" ca="1" si="3"/>
        <v>1</v>
      </c>
      <c r="O443" s="10" t="b">
        <f ca="1">IFERROR(__xludf.DUMMYFUNCTION("COUNT(FILTER($C$2:$C993,$B$2:$B993=B443))&gt;1"),FALSE)</f>
        <v>0</v>
      </c>
    </row>
    <row r="444" spans="1:15" ht="12.5">
      <c r="A444" s="10" t="str">
        <f ca="1">IFERROR(__xludf.DUMMYFUNCTION("""COMPUTED_VALUE"""),"610422020048-2024-12-SURVEI-PPL")</f>
        <v>610422020048-2024-12-SURVEI-PPL</v>
      </c>
      <c r="B444" s="5" t="str">
        <f t="shared" ca="1" si="0"/>
        <v>610422020048-2024-12</v>
      </c>
      <c r="C444" s="5">
        <f ca="1">IFERROR(__xludf.DUMMYFUNCTION("IF(N444=1,SPLIT(A444,""-""),"""")"),610422020048)</f>
        <v>610422020048</v>
      </c>
      <c r="D444" s="10">
        <f ca="1">IFERROR(__xludf.DUMMYFUNCTION("""COMPUTED_VALUE"""),2024)</f>
        <v>2024</v>
      </c>
      <c r="E444" s="10">
        <f ca="1">IFERROR(__xludf.DUMMYFUNCTION("""COMPUTED_VALUE"""),12)</f>
        <v>12</v>
      </c>
      <c r="F444" s="5" t="str">
        <f ca="1">IFERROR(__xludf.DUMMYFUNCTION("""COMPUTED_VALUE"""),"SURVEI")</f>
        <v>SURVEI</v>
      </c>
      <c r="G444" s="5" t="str">
        <f ca="1">IFERROR(__xludf.DUMMYFUNCTION("""COMPUTED_VALUE"""),"PPL")</f>
        <v>PPL</v>
      </c>
      <c r="H444" s="5" t="str">
        <f t="array" aca="1" ref="H444" ca="1">IF(N444=1, INDEX('Database Mitra'!$C$2:$C993,MATCH($C444,'Database Mitra'!$AK$2:$AK993,0)),"")</f>
        <v>Herri Gustaman</v>
      </c>
      <c r="I444" s="71">
        <f ca="1">IF(N444=1,SUMIFS('Alokasi Honor'!$M$2:$M993,'Alokasi Honor'!$T$2:$T993,A444),"")</f>
        <v>519000</v>
      </c>
      <c r="J444" s="10">
        <f ca="1">IFERROR(__xludf.DUMMYFUNCTION("COUNTIF(FILTER('Alokasi Honor'!$H$2:$H993,'Alokasi Honor'!$H$2:$H993=""OB"",'Alokasi Honor'!$T$2:$T993=A444),""OB"")"),0)</f>
        <v>0</v>
      </c>
      <c r="K444" s="10">
        <f t="shared" ca="1" si="1"/>
        <v>1</v>
      </c>
      <c r="L444" s="70">
        <f t="array" aca="1" ref="L444" ca="1">IF(N444=1,INDEX('Batasan Honor'!$B$2:$B993,MATCH(CONCATENATE($F444,"-",$G444),'Batasan Honor'!$G$2:$G993,0)),"")</f>
        <v>5400000</v>
      </c>
      <c r="M444" s="10">
        <f t="shared" ref="M444:M993" ca="1" si="5">IF(N444=1,IF(I444&gt;L444,0,1),"")</f>
        <v>1</v>
      </c>
      <c r="N444" s="10">
        <f t="shared" ca="1" si="3"/>
        <v>1</v>
      </c>
      <c r="O444" s="10" t="b">
        <f ca="1">IFERROR(__xludf.DUMMYFUNCTION("COUNT(FILTER($C$2:$C993,$B$2:$B993=B444))&gt;1"),FALSE)</f>
        <v>0</v>
      </c>
    </row>
    <row r="445" spans="1:15" ht="12.5">
      <c r="A445" s="10" t="str">
        <f ca="1">IFERROR(__xludf.DUMMYFUNCTION("""COMPUTED_VALUE"""),"610422040029-2024-12-SURVEI-PPL")</f>
        <v>610422040029-2024-12-SURVEI-PPL</v>
      </c>
      <c r="B445" s="5" t="str">
        <f t="shared" ca="1" si="0"/>
        <v>610422040029-2024-12</v>
      </c>
      <c r="C445" s="5">
        <f ca="1">IFERROR(__xludf.DUMMYFUNCTION("IF(N445=1,SPLIT(A445,""-""),"""")"),610422040029)</f>
        <v>610422040029</v>
      </c>
      <c r="D445" s="10">
        <f ca="1">IFERROR(__xludf.DUMMYFUNCTION("""COMPUTED_VALUE"""),2024)</f>
        <v>2024</v>
      </c>
      <c r="E445" s="10">
        <f ca="1">IFERROR(__xludf.DUMMYFUNCTION("""COMPUTED_VALUE"""),12)</f>
        <v>12</v>
      </c>
      <c r="F445" s="5" t="str">
        <f ca="1">IFERROR(__xludf.DUMMYFUNCTION("""COMPUTED_VALUE"""),"SURVEI")</f>
        <v>SURVEI</v>
      </c>
      <c r="G445" s="5" t="str">
        <f ca="1">IFERROR(__xludf.DUMMYFUNCTION("""COMPUTED_VALUE"""),"PPL")</f>
        <v>PPL</v>
      </c>
      <c r="H445" s="5" t="str">
        <f t="array" aca="1" ref="H445" ca="1">IF(N445=1, INDEX('Database Mitra'!$C$2:$C993,MATCH($C445,'Database Mitra'!$AK$2:$AK993,0)),"")</f>
        <v>Zaini</v>
      </c>
      <c r="I445" s="71">
        <f ca="1">IF(N445=1,SUMIFS('Alokasi Honor'!$M$2:$M993,'Alokasi Honor'!$T$2:$T993,A445),"")</f>
        <v>385000</v>
      </c>
      <c r="J445" s="10">
        <f ca="1">IFERROR(__xludf.DUMMYFUNCTION("COUNTIF(FILTER('Alokasi Honor'!$H$2:$H993,'Alokasi Honor'!$H$2:$H993=""OB"",'Alokasi Honor'!$T$2:$T993=A445),""OB"")"),0)</f>
        <v>0</v>
      </c>
      <c r="K445" s="10">
        <f t="shared" ca="1" si="1"/>
        <v>1</v>
      </c>
      <c r="L445" s="70">
        <f t="array" aca="1" ref="L445" ca="1">IF(N445=1,INDEX('Batasan Honor'!$B$2:$B993,MATCH(CONCATENATE($F445,"-",$G445),'Batasan Honor'!$G$2:$G993,0)),"")</f>
        <v>5400000</v>
      </c>
      <c r="M445" s="10">
        <f t="shared" ca="1" si="5"/>
        <v>1</v>
      </c>
      <c r="N445" s="10">
        <f t="shared" ca="1" si="3"/>
        <v>1</v>
      </c>
      <c r="O445" s="10" t="b">
        <f ca="1">IFERROR(__xludf.DUMMYFUNCTION("COUNT(FILTER($C$2:$C993,$B$2:$B993=B445))&gt;1"),FALSE)</f>
        <v>0</v>
      </c>
    </row>
    <row r="446" spans="1:15" ht="12.5">
      <c r="A446" s="10" t="str">
        <f ca="1">IFERROR(__xludf.DUMMYFUNCTION("""COMPUTED_VALUE"""),"610422100165-2024-12-SURVEI-PPL")</f>
        <v>610422100165-2024-12-SURVEI-PPL</v>
      </c>
      <c r="B446" s="5" t="str">
        <f t="shared" ca="1" si="0"/>
        <v>610422100165-2024-12</v>
      </c>
      <c r="C446" s="5">
        <f ca="1">IFERROR(__xludf.DUMMYFUNCTION("IF(N446=1,SPLIT(A446,""-""),"""")"),610422100165)</f>
        <v>610422100165</v>
      </c>
      <c r="D446" s="10">
        <f ca="1">IFERROR(__xludf.DUMMYFUNCTION("""COMPUTED_VALUE"""),2024)</f>
        <v>2024</v>
      </c>
      <c r="E446" s="10">
        <f ca="1">IFERROR(__xludf.DUMMYFUNCTION("""COMPUTED_VALUE"""),12)</f>
        <v>12</v>
      </c>
      <c r="F446" s="5" t="str">
        <f ca="1">IFERROR(__xludf.DUMMYFUNCTION("""COMPUTED_VALUE"""),"SURVEI")</f>
        <v>SURVEI</v>
      </c>
      <c r="G446" s="5" t="str">
        <f ca="1">IFERROR(__xludf.DUMMYFUNCTION("""COMPUTED_VALUE"""),"PPL")</f>
        <v>PPL</v>
      </c>
      <c r="H446" s="5" t="str">
        <f t="array" aca="1" ref="H446" ca="1">IF(N446=1, INDEX('Database Mitra'!$C$2:$C993,MATCH($C446,'Database Mitra'!$AK$2:$AK993,0)),"")</f>
        <v>Yanti</v>
      </c>
      <c r="I446" s="71">
        <f ca="1">IF(N446=1,SUMIFS('Alokasi Honor'!$M$2:$M993,'Alokasi Honor'!$T$2:$T993,A446),"")</f>
        <v>325000</v>
      </c>
      <c r="J446" s="10">
        <f ca="1">IFERROR(__xludf.DUMMYFUNCTION("COUNTIF(FILTER('Alokasi Honor'!$H$2:$H993,'Alokasi Honor'!$H$2:$H993=""OB"",'Alokasi Honor'!$T$2:$T993=A446),""OB"")"),0)</f>
        <v>0</v>
      </c>
      <c r="K446" s="10">
        <f t="shared" ca="1" si="1"/>
        <v>1</v>
      </c>
      <c r="L446" s="70">
        <f t="array" aca="1" ref="L446" ca="1">IF(N446=1,INDEX('Batasan Honor'!$B$2:$B993,MATCH(CONCATENATE($F446,"-",$G446),'Batasan Honor'!$G$2:$G993,0)),"")</f>
        <v>5400000</v>
      </c>
      <c r="M446" s="10">
        <f t="shared" ca="1" si="5"/>
        <v>1</v>
      </c>
      <c r="N446" s="10">
        <f t="shared" ca="1" si="3"/>
        <v>1</v>
      </c>
      <c r="O446" s="10" t="b">
        <f ca="1">IFERROR(__xludf.DUMMYFUNCTION("COUNT(FILTER($C$2:$C993,$B$2:$B993=B446))&gt;1"),FALSE)</f>
        <v>0</v>
      </c>
    </row>
    <row r="447" spans="1:15" ht="12.5">
      <c r="A447" s="10" t="str">
        <f ca="1">IFERROR(__xludf.DUMMYFUNCTION("""COMPUTED_VALUE"""),"610422040056-2024-12-SURVEI-PPL")</f>
        <v>610422040056-2024-12-SURVEI-PPL</v>
      </c>
      <c r="B447" s="5" t="str">
        <f t="shared" ca="1" si="0"/>
        <v>610422040056-2024-12</v>
      </c>
      <c r="C447" s="5">
        <f ca="1">IFERROR(__xludf.DUMMYFUNCTION("IF(N447=1,SPLIT(A447,""-""),"""")"),610422040056)</f>
        <v>610422040056</v>
      </c>
      <c r="D447" s="10">
        <f ca="1">IFERROR(__xludf.DUMMYFUNCTION("""COMPUTED_VALUE"""),2024)</f>
        <v>2024</v>
      </c>
      <c r="E447" s="10">
        <f ca="1">IFERROR(__xludf.DUMMYFUNCTION("""COMPUTED_VALUE"""),12)</f>
        <v>12</v>
      </c>
      <c r="F447" s="5" t="str">
        <f ca="1">IFERROR(__xludf.DUMMYFUNCTION("""COMPUTED_VALUE"""),"SURVEI")</f>
        <v>SURVEI</v>
      </c>
      <c r="G447" s="5" t="str">
        <f ca="1">IFERROR(__xludf.DUMMYFUNCTION("""COMPUTED_VALUE"""),"PPL")</f>
        <v>PPL</v>
      </c>
      <c r="H447" s="5" t="str">
        <f t="array" aca="1" ref="H447" ca="1">IF(N447=1, INDEX('Database Mitra'!$C$2:$C993,MATCH($C447,'Database Mitra'!$AK$2:$AK993,0)),"")</f>
        <v>Wandi Syafari</v>
      </c>
      <c r="I447" s="71">
        <f ca="1">IF(N447=1,SUMIFS('Alokasi Honor'!$M$2:$M993,'Alokasi Honor'!$T$2:$T993,A447),"")</f>
        <v>760000</v>
      </c>
      <c r="J447" s="10">
        <f ca="1">IFERROR(__xludf.DUMMYFUNCTION("COUNTIF(FILTER('Alokasi Honor'!$H$2:$H993,'Alokasi Honor'!$H$2:$H993=""OB"",'Alokasi Honor'!$T$2:$T993=A447),""OB"")"),0)</f>
        <v>0</v>
      </c>
      <c r="K447" s="10">
        <f t="shared" ca="1" si="1"/>
        <v>1</v>
      </c>
      <c r="L447" s="70">
        <f t="array" aca="1" ref="L447" ca="1">IF(N447=1,INDEX('Batasan Honor'!$B$2:$B993,MATCH(CONCATENATE($F447,"-",$G447),'Batasan Honor'!$G$2:$G993,0)),"")</f>
        <v>5400000</v>
      </c>
      <c r="M447" s="10">
        <f t="shared" ca="1" si="5"/>
        <v>1</v>
      </c>
      <c r="N447" s="10">
        <f t="shared" ca="1" si="3"/>
        <v>1</v>
      </c>
      <c r="O447" s="10" t="b">
        <f ca="1">IFERROR(__xludf.DUMMYFUNCTION("COUNT(FILTER($C$2:$C993,$B$2:$B993=B447))&gt;1"),FALSE)</f>
        <v>0</v>
      </c>
    </row>
    <row r="448" spans="1:15" ht="12.5">
      <c r="A448" s="10" t="str">
        <f ca="1">IFERROR(__xludf.DUMMYFUNCTION("""COMPUTED_VALUE"""),"610422020006-2024-12-SURVEI-PETUGAS ENTRI")</f>
        <v>610422020006-2024-12-SURVEI-PETUGAS ENTRI</v>
      </c>
      <c r="B448" s="5" t="str">
        <f t="shared" ca="1" si="0"/>
        <v>610422020006-2024-12</v>
      </c>
      <c r="C448" s="5">
        <f ca="1">IFERROR(__xludf.DUMMYFUNCTION("IF(N448=1,SPLIT(A448,""-""),"""")"),610422020006)</f>
        <v>610422020006</v>
      </c>
      <c r="D448" s="10">
        <f ca="1">IFERROR(__xludf.DUMMYFUNCTION("""COMPUTED_VALUE"""),2024)</f>
        <v>2024</v>
      </c>
      <c r="E448" s="10">
        <f ca="1">IFERROR(__xludf.DUMMYFUNCTION("""COMPUTED_VALUE"""),12)</f>
        <v>12</v>
      </c>
      <c r="F448" s="5" t="str">
        <f ca="1">IFERROR(__xludf.DUMMYFUNCTION("""COMPUTED_VALUE"""),"SURVEI")</f>
        <v>SURVEI</v>
      </c>
      <c r="G448" s="5" t="str">
        <f ca="1">IFERROR(__xludf.DUMMYFUNCTION("""COMPUTED_VALUE"""),"PETUGAS ENTRI")</f>
        <v>PETUGAS ENTRI</v>
      </c>
      <c r="H448" s="5" t="str">
        <f t="array" aca="1" ref="H448" ca="1">IF(N448=1, INDEX('Database Mitra'!$C$2:$C993,MATCH($C448,'Database Mitra'!$AK$2:$AK993,0)),"")</f>
        <v>Nasrullah</v>
      </c>
      <c r="I448" s="71">
        <f ca="1">IF(N448=1,SUMIFS('Alokasi Honor'!$M$2:$M993,'Alokasi Honor'!$T$2:$T993,A448),"")</f>
        <v>221000</v>
      </c>
      <c r="J448" s="10">
        <f ca="1">IFERROR(__xludf.DUMMYFUNCTION("COUNTIF(FILTER('Alokasi Honor'!$H$2:$H993,'Alokasi Honor'!$H$2:$H993=""OB"",'Alokasi Honor'!$T$2:$T993=A448),""OB"")"),0)</f>
        <v>0</v>
      </c>
      <c r="K448" s="10">
        <f t="shared" ca="1" si="1"/>
        <v>1</v>
      </c>
      <c r="L448" s="70">
        <f t="array" aca="1" ref="L448" ca="1">IF(N448=1,INDEX('Batasan Honor'!$B$2:$B993,MATCH(CONCATENATE($F448,"-",$G448),'Batasan Honor'!$G$2:$G993,0)),"")</f>
        <v>5400000</v>
      </c>
      <c r="M448" s="10">
        <f t="shared" ca="1" si="5"/>
        <v>1</v>
      </c>
      <c r="N448" s="10">
        <f t="shared" ca="1" si="3"/>
        <v>1</v>
      </c>
      <c r="O448" s="10" t="b">
        <f ca="1">IFERROR(__xludf.DUMMYFUNCTION("COUNT(FILTER($C$2:$C993,$B$2:$B993=B448))&gt;1"),FALSE)</f>
        <v>0</v>
      </c>
    </row>
    <row r="449" spans="1:15" ht="12.5">
      <c r="A449" s="10" t="str">
        <f ca="1">IFERROR(__xludf.DUMMYFUNCTION("""COMPUTED_VALUE"""),"617122110049-2024-12-SURVEI-PETUGAS ENTRI")</f>
        <v>617122110049-2024-12-SURVEI-PETUGAS ENTRI</v>
      </c>
      <c r="B449" s="5" t="str">
        <f t="shared" ca="1" si="0"/>
        <v>617122110049-2024-12</v>
      </c>
      <c r="C449" s="5">
        <f ca="1">IFERROR(__xludf.DUMMYFUNCTION("IF(N449=1,SPLIT(A449,""-""),"""")"),617122110049)</f>
        <v>617122110049</v>
      </c>
      <c r="D449" s="10">
        <f ca="1">IFERROR(__xludf.DUMMYFUNCTION("""COMPUTED_VALUE"""),2024)</f>
        <v>2024</v>
      </c>
      <c r="E449" s="10">
        <f ca="1">IFERROR(__xludf.DUMMYFUNCTION("""COMPUTED_VALUE"""),12)</f>
        <v>12</v>
      </c>
      <c r="F449" s="5" t="str">
        <f ca="1">IFERROR(__xludf.DUMMYFUNCTION("""COMPUTED_VALUE"""),"SURVEI")</f>
        <v>SURVEI</v>
      </c>
      <c r="G449" s="5" t="str">
        <f ca="1">IFERROR(__xludf.DUMMYFUNCTION("""COMPUTED_VALUE"""),"PETUGAS ENTRI")</f>
        <v>PETUGAS ENTRI</v>
      </c>
      <c r="H449" s="5" t="str">
        <f t="array" aca="1" ref="H449" ca="1">IF(N449=1, INDEX('Database Mitra'!$C$2:$C993,MATCH($C449,'Database Mitra'!$AK$2:$AK993,0)),"")</f>
        <v>Muhammad Deny Hafizzul Muttaqin</v>
      </c>
      <c r="I449" s="71">
        <f ca="1">IF(N449=1,SUMIFS('Alokasi Honor'!$M$2:$M993,'Alokasi Honor'!$T$2:$T993,A449),"")</f>
        <v>221000</v>
      </c>
      <c r="J449" s="10">
        <f ca="1">IFERROR(__xludf.DUMMYFUNCTION("COUNTIF(FILTER('Alokasi Honor'!$H$2:$H993,'Alokasi Honor'!$H$2:$H993=""OB"",'Alokasi Honor'!$T$2:$T993=A449),""OB"")"),0)</f>
        <v>0</v>
      </c>
      <c r="K449" s="10">
        <f t="shared" ca="1" si="1"/>
        <v>1</v>
      </c>
      <c r="L449" s="70">
        <f t="array" aca="1" ref="L449" ca="1">IF(N449=1,INDEX('Batasan Honor'!$B$2:$B993,MATCH(CONCATENATE($F449,"-",$G449),'Batasan Honor'!$G$2:$G993,0)),"")</f>
        <v>5400000</v>
      </c>
      <c r="M449" s="10">
        <f t="shared" ca="1" si="5"/>
        <v>1</v>
      </c>
      <c r="N449" s="10">
        <f t="shared" ca="1" si="3"/>
        <v>1</v>
      </c>
      <c r="O449" s="10" t="b">
        <f ca="1">IFERROR(__xludf.DUMMYFUNCTION("COUNT(FILTER($C$2:$C993,$B$2:$B993=B449))&gt;1"),FALSE)</f>
        <v>0</v>
      </c>
    </row>
    <row r="450" spans="1:15" ht="12.5">
      <c r="A450" s="10" t="str">
        <f ca="1">IFERROR(__xludf.DUMMYFUNCTION("""COMPUTED_VALUE"""),"610422100010-2024-12-SURVEI-PETUGAS ENTRI")</f>
        <v>610422100010-2024-12-SURVEI-PETUGAS ENTRI</v>
      </c>
      <c r="B450" s="5" t="str">
        <f t="shared" ca="1" si="0"/>
        <v>610422100010-2024-12</v>
      </c>
      <c r="C450" s="5">
        <f ca="1">IFERROR(__xludf.DUMMYFUNCTION("IF(N450=1,SPLIT(A450,""-""),"""")"),610422100010)</f>
        <v>610422100010</v>
      </c>
      <c r="D450" s="10">
        <f ca="1">IFERROR(__xludf.DUMMYFUNCTION("""COMPUTED_VALUE"""),2024)</f>
        <v>2024</v>
      </c>
      <c r="E450" s="10">
        <f ca="1">IFERROR(__xludf.DUMMYFUNCTION("""COMPUTED_VALUE"""),12)</f>
        <v>12</v>
      </c>
      <c r="F450" s="5" t="str">
        <f ca="1">IFERROR(__xludf.DUMMYFUNCTION("""COMPUTED_VALUE"""),"SURVEI")</f>
        <v>SURVEI</v>
      </c>
      <c r="G450" s="5" t="str">
        <f ca="1">IFERROR(__xludf.DUMMYFUNCTION("""COMPUTED_VALUE"""),"PETUGAS ENTRI")</f>
        <v>PETUGAS ENTRI</v>
      </c>
      <c r="H450" s="5" t="str">
        <f t="array" aca="1" ref="H450" ca="1">IF(N450=1, INDEX('Database Mitra'!$C$2:$C993,MATCH($C450,'Database Mitra'!$AK$2:$AK993,0)),"")</f>
        <v>Muhammad Rendi Fakhrian</v>
      </c>
      <c r="I450" s="71">
        <f ca="1">IF(N450=1,SUMIFS('Alokasi Honor'!$M$2:$M993,'Alokasi Honor'!$T$2:$T993,A450),"")</f>
        <v>221000</v>
      </c>
      <c r="J450" s="10">
        <f ca="1">IFERROR(__xludf.DUMMYFUNCTION("COUNTIF(FILTER('Alokasi Honor'!$H$2:$H993,'Alokasi Honor'!$H$2:$H993=""OB"",'Alokasi Honor'!$T$2:$T993=A450),""OB"")"),0)</f>
        <v>0</v>
      </c>
      <c r="K450" s="10">
        <f t="shared" ca="1" si="1"/>
        <v>1</v>
      </c>
      <c r="L450" s="70">
        <f t="array" aca="1" ref="L450" ca="1">IF(N450=1,INDEX('Batasan Honor'!$B$2:$B993,MATCH(CONCATENATE($F450,"-",$G450),'Batasan Honor'!$G$2:$G993,0)),"")</f>
        <v>5400000</v>
      </c>
      <c r="M450" s="10">
        <f t="shared" ca="1" si="5"/>
        <v>1</v>
      </c>
      <c r="N450" s="10">
        <f t="shared" ca="1" si="3"/>
        <v>1</v>
      </c>
      <c r="O450" s="10" t="b">
        <f ca="1">IFERROR(__xludf.DUMMYFUNCTION("COUNT(FILTER($C$2:$C993,$B$2:$B993=B450))&gt;1"),FALSE)</f>
        <v>0</v>
      </c>
    </row>
    <row r="451" spans="1:15" ht="12.5">
      <c r="A451" s="10" t="str">
        <f ca="1">IFERROR(__xludf.DUMMYFUNCTION("""COMPUTED_VALUE"""),"610422100177-2024-12-SURVEI-PETUGAS ENTRI")</f>
        <v>610422100177-2024-12-SURVEI-PETUGAS ENTRI</v>
      </c>
      <c r="B451" s="5" t="str">
        <f t="shared" ca="1" si="0"/>
        <v>610422100177-2024-12</v>
      </c>
      <c r="C451" s="5">
        <f ca="1">IFERROR(__xludf.DUMMYFUNCTION("IF(N451=1,SPLIT(A451,""-""),"""")"),610422100177)</f>
        <v>610422100177</v>
      </c>
      <c r="D451" s="10">
        <f ca="1">IFERROR(__xludf.DUMMYFUNCTION("""COMPUTED_VALUE"""),2024)</f>
        <v>2024</v>
      </c>
      <c r="E451" s="10">
        <f ca="1">IFERROR(__xludf.DUMMYFUNCTION("""COMPUTED_VALUE"""),12)</f>
        <v>12</v>
      </c>
      <c r="F451" s="5" t="str">
        <f ca="1">IFERROR(__xludf.DUMMYFUNCTION("""COMPUTED_VALUE"""),"SURVEI")</f>
        <v>SURVEI</v>
      </c>
      <c r="G451" s="5" t="str">
        <f ca="1">IFERROR(__xludf.DUMMYFUNCTION("""COMPUTED_VALUE"""),"PETUGAS ENTRI")</f>
        <v>PETUGAS ENTRI</v>
      </c>
      <c r="H451" s="5" t="str">
        <f t="array" aca="1" ref="H451" ca="1">IF(N451=1, INDEX('Database Mitra'!$C$2:$C993,MATCH($C451,'Database Mitra'!$AK$2:$AK993,0)),"")</f>
        <v>Amirah</v>
      </c>
      <c r="I451" s="71">
        <f ca="1">IF(N451=1,SUMIFS('Alokasi Honor'!$M$2:$M993,'Alokasi Honor'!$T$2:$T993,A451),"")</f>
        <v>221000</v>
      </c>
      <c r="J451" s="10">
        <f ca="1">IFERROR(__xludf.DUMMYFUNCTION("COUNTIF(FILTER('Alokasi Honor'!$H$2:$H993,'Alokasi Honor'!$H$2:$H993=""OB"",'Alokasi Honor'!$T$2:$T993=A451),""OB"")"),0)</f>
        <v>0</v>
      </c>
      <c r="K451" s="10">
        <f t="shared" ca="1" si="1"/>
        <v>1</v>
      </c>
      <c r="L451" s="70">
        <f t="array" aca="1" ref="L451" ca="1">IF(N451=1,INDEX('Batasan Honor'!$B$2:$B993,MATCH(CONCATENATE($F451,"-",$G451),'Batasan Honor'!$G$2:$G993,0)),"")</f>
        <v>5400000</v>
      </c>
      <c r="M451" s="10">
        <f t="shared" ca="1" si="5"/>
        <v>1</v>
      </c>
      <c r="N451" s="10">
        <f t="shared" ca="1" si="3"/>
        <v>1</v>
      </c>
      <c r="O451" s="10" t="b">
        <f ca="1">IFERROR(__xludf.DUMMYFUNCTION("COUNT(FILTER($C$2:$C993,$B$2:$B993=B451))&gt;1"),FALSE)</f>
        <v>0</v>
      </c>
    </row>
    <row r="452" spans="1:15" ht="12.5">
      <c r="A452" s="10" t="str">
        <f ca="1">IFERROR(__xludf.DUMMYFUNCTION("""COMPUTED_VALUE"""),"610422100083-2024-12-SURVEI-PETUGAS ENTRI")</f>
        <v>610422100083-2024-12-SURVEI-PETUGAS ENTRI</v>
      </c>
      <c r="B452" s="5" t="str">
        <f t="shared" ca="1" si="0"/>
        <v>610422100083-2024-12</v>
      </c>
      <c r="C452" s="5">
        <f ca="1">IFERROR(__xludf.DUMMYFUNCTION("IF(N452=1,SPLIT(A452,""-""),"""")"),610422100083)</f>
        <v>610422100083</v>
      </c>
      <c r="D452" s="10">
        <f ca="1">IFERROR(__xludf.DUMMYFUNCTION("""COMPUTED_VALUE"""),2024)</f>
        <v>2024</v>
      </c>
      <c r="E452" s="10">
        <f ca="1">IFERROR(__xludf.DUMMYFUNCTION("""COMPUTED_VALUE"""),12)</f>
        <v>12</v>
      </c>
      <c r="F452" s="5" t="str">
        <f ca="1">IFERROR(__xludf.DUMMYFUNCTION("""COMPUTED_VALUE"""),"SURVEI")</f>
        <v>SURVEI</v>
      </c>
      <c r="G452" s="5" t="str">
        <f ca="1">IFERROR(__xludf.DUMMYFUNCTION("""COMPUTED_VALUE"""),"PETUGAS ENTRI")</f>
        <v>PETUGAS ENTRI</v>
      </c>
      <c r="H452" s="5" t="str">
        <f t="array" aca="1" ref="H452" ca="1">IF(N452=1, INDEX('Database Mitra'!$C$2:$C993,MATCH($C452,'Database Mitra'!$AK$2:$AK993,0)),"")</f>
        <v>ILHAM SUBAGIO</v>
      </c>
      <c r="I452" s="71">
        <f ca="1">IF(N452=1,SUMIFS('Alokasi Honor'!$M$2:$M993,'Alokasi Honor'!$T$2:$T993,A452),"")</f>
        <v>221000</v>
      </c>
      <c r="J452" s="10">
        <f ca="1">IFERROR(__xludf.DUMMYFUNCTION("COUNTIF(FILTER('Alokasi Honor'!$H$2:$H993,'Alokasi Honor'!$H$2:$H993=""OB"",'Alokasi Honor'!$T$2:$T993=A452),""OB"")"),0)</f>
        <v>0</v>
      </c>
      <c r="K452" s="10">
        <f t="shared" ca="1" si="1"/>
        <v>1</v>
      </c>
      <c r="L452" s="70">
        <f t="array" aca="1" ref="L452" ca="1">IF(N452=1,INDEX('Batasan Honor'!$B$2:$B993,MATCH(CONCATENATE($F452,"-",$G452),'Batasan Honor'!$G$2:$G993,0)),"")</f>
        <v>5400000</v>
      </c>
      <c r="M452" s="10">
        <f t="shared" ca="1" si="5"/>
        <v>1</v>
      </c>
      <c r="N452" s="10">
        <f t="shared" ca="1" si="3"/>
        <v>1</v>
      </c>
      <c r="O452" s="10" t="b">
        <f ca="1">IFERROR(__xludf.DUMMYFUNCTION("COUNT(FILTER($C$2:$C993,$B$2:$B993=B452))&gt;1"),FALSE)</f>
        <v>0</v>
      </c>
    </row>
    <row r="453" spans="1:15" ht="12.5">
      <c r="A453" s="10" t="str">
        <f ca="1">IFERROR(__xludf.DUMMYFUNCTION("""COMPUTED_VALUE"""),"610422110006-2024-12-SURVEI-PETUGAS ENTRI")</f>
        <v>610422110006-2024-12-SURVEI-PETUGAS ENTRI</v>
      </c>
      <c r="B453" s="5" t="str">
        <f t="shared" ca="1" si="0"/>
        <v>610422110006-2024-12</v>
      </c>
      <c r="C453" s="5">
        <f ca="1">IFERROR(__xludf.DUMMYFUNCTION("IF(N453=1,SPLIT(A453,""-""),"""")"),610422110006)</f>
        <v>610422110006</v>
      </c>
      <c r="D453" s="10">
        <f ca="1">IFERROR(__xludf.DUMMYFUNCTION("""COMPUTED_VALUE"""),2024)</f>
        <v>2024</v>
      </c>
      <c r="E453" s="10">
        <f ca="1">IFERROR(__xludf.DUMMYFUNCTION("""COMPUTED_VALUE"""),12)</f>
        <v>12</v>
      </c>
      <c r="F453" s="5" t="str">
        <f ca="1">IFERROR(__xludf.DUMMYFUNCTION("""COMPUTED_VALUE"""),"SURVEI")</f>
        <v>SURVEI</v>
      </c>
      <c r="G453" s="5" t="str">
        <f ca="1">IFERROR(__xludf.DUMMYFUNCTION("""COMPUTED_VALUE"""),"PETUGAS ENTRI")</f>
        <v>PETUGAS ENTRI</v>
      </c>
      <c r="H453" s="5" t="str">
        <f t="array" aca="1" ref="H453" ca="1">IF(N453=1, INDEX('Database Mitra'!$C$2:$C993,MATCH($C453,'Database Mitra'!$AK$2:$AK993,0)),"")</f>
        <v>Muhammad Habibie</v>
      </c>
      <c r="I453" s="71">
        <f ca="1">IF(N453=1,SUMIFS('Alokasi Honor'!$M$2:$M993,'Alokasi Honor'!$T$2:$T993,A453),"")</f>
        <v>221000</v>
      </c>
      <c r="J453" s="10">
        <f ca="1">IFERROR(__xludf.DUMMYFUNCTION("COUNTIF(FILTER('Alokasi Honor'!$H$2:$H993,'Alokasi Honor'!$H$2:$H993=""OB"",'Alokasi Honor'!$T$2:$T993=A453),""OB"")"),0)</f>
        <v>0</v>
      </c>
      <c r="K453" s="10">
        <f t="shared" ca="1" si="1"/>
        <v>1</v>
      </c>
      <c r="L453" s="70">
        <f t="array" aca="1" ref="L453" ca="1">IF(N453=1,INDEX('Batasan Honor'!$B$2:$B993,MATCH(CONCATENATE($F453,"-",$G453),'Batasan Honor'!$G$2:$G993,0)),"")</f>
        <v>5400000</v>
      </c>
      <c r="M453" s="10">
        <f t="shared" ca="1" si="5"/>
        <v>1</v>
      </c>
      <c r="N453" s="10">
        <f t="shared" ca="1" si="3"/>
        <v>1</v>
      </c>
      <c r="O453" s="10" t="b">
        <f ca="1">IFERROR(__xludf.DUMMYFUNCTION("COUNT(FILTER($C$2:$C993,$B$2:$B993=B453))&gt;1"),FALSE)</f>
        <v>0</v>
      </c>
    </row>
    <row r="454" spans="1:15" ht="12.5">
      <c r="A454" s="10" t="str">
        <f ca="1">IFERROR(__xludf.DUMMYFUNCTION("""COMPUTED_VALUE"""),"610422110005-2024-12-SURVEI-PETUGAS ENTRI")</f>
        <v>610422110005-2024-12-SURVEI-PETUGAS ENTRI</v>
      </c>
      <c r="B454" s="5" t="str">
        <f t="shared" ca="1" si="0"/>
        <v>610422110005-2024-12</v>
      </c>
      <c r="C454" s="5">
        <f ca="1">IFERROR(__xludf.DUMMYFUNCTION("IF(N454=1,SPLIT(A454,""-""),"""")"),610422110005)</f>
        <v>610422110005</v>
      </c>
      <c r="D454" s="10">
        <f ca="1">IFERROR(__xludf.DUMMYFUNCTION("""COMPUTED_VALUE"""),2024)</f>
        <v>2024</v>
      </c>
      <c r="E454" s="10">
        <f ca="1">IFERROR(__xludf.DUMMYFUNCTION("""COMPUTED_VALUE"""),12)</f>
        <v>12</v>
      </c>
      <c r="F454" s="5" t="str">
        <f ca="1">IFERROR(__xludf.DUMMYFUNCTION("""COMPUTED_VALUE"""),"SURVEI")</f>
        <v>SURVEI</v>
      </c>
      <c r="G454" s="5" t="str">
        <f ca="1">IFERROR(__xludf.DUMMYFUNCTION("""COMPUTED_VALUE"""),"PETUGAS ENTRI")</f>
        <v>PETUGAS ENTRI</v>
      </c>
      <c r="H454" s="5" t="str">
        <f t="array" aca="1" ref="H454" ca="1">IF(N454=1, INDEX('Database Mitra'!$C$2:$C993,MATCH($C454,'Database Mitra'!$AK$2:$AK993,0)),"")</f>
        <v>indra</v>
      </c>
      <c r="I454" s="71">
        <f ca="1">IF(N454=1,SUMIFS('Alokasi Honor'!$M$2:$M993,'Alokasi Honor'!$T$2:$T993,A454),"")</f>
        <v>221000</v>
      </c>
      <c r="J454" s="10">
        <f ca="1">IFERROR(__xludf.DUMMYFUNCTION("COUNTIF(FILTER('Alokasi Honor'!$H$2:$H993,'Alokasi Honor'!$H$2:$H993=""OB"",'Alokasi Honor'!$T$2:$T993=A454),""OB"")"),0)</f>
        <v>0</v>
      </c>
      <c r="K454" s="10">
        <f t="shared" ca="1" si="1"/>
        <v>1</v>
      </c>
      <c r="L454" s="70">
        <f t="array" aca="1" ref="L454" ca="1">IF(N454=1,INDEX('Batasan Honor'!$B$2:$B993,MATCH(CONCATENATE($F454,"-",$G454),'Batasan Honor'!$G$2:$G993,0)),"")</f>
        <v>5400000</v>
      </c>
      <c r="M454" s="10">
        <f t="shared" ca="1" si="5"/>
        <v>1</v>
      </c>
      <c r="N454" s="10">
        <f t="shared" ca="1" si="3"/>
        <v>1</v>
      </c>
      <c r="O454" s="10" t="b">
        <f ca="1">IFERROR(__xludf.DUMMYFUNCTION("COUNT(FILTER($C$2:$C993,$B$2:$B993=B454))&gt;1"),FALSE)</f>
        <v>0</v>
      </c>
    </row>
    <row r="455" spans="1:15" ht="12.5">
      <c r="A455" s="10" t="str">
        <f ca="1">IFERROR(__xludf.DUMMYFUNCTION("""COMPUTED_VALUE"""),"610423090021-2024-12-SURVEI-PETUGAS ENTRI")</f>
        <v>610423090021-2024-12-SURVEI-PETUGAS ENTRI</v>
      </c>
      <c r="B455" s="5" t="str">
        <f t="shared" ca="1" si="0"/>
        <v>610423090021-2024-12</v>
      </c>
      <c r="C455" s="5">
        <f ca="1">IFERROR(__xludf.DUMMYFUNCTION("IF(N455=1,SPLIT(A455,""-""),"""")"),610423090021)</f>
        <v>610423090021</v>
      </c>
      <c r="D455" s="10">
        <f ca="1">IFERROR(__xludf.DUMMYFUNCTION("""COMPUTED_VALUE"""),2024)</f>
        <v>2024</v>
      </c>
      <c r="E455" s="10">
        <f ca="1">IFERROR(__xludf.DUMMYFUNCTION("""COMPUTED_VALUE"""),12)</f>
        <v>12</v>
      </c>
      <c r="F455" s="5" t="str">
        <f ca="1">IFERROR(__xludf.DUMMYFUNCTION("""COMPUTED_VALUE"""),"SURVEI")</f>
        <v>SURVEI</v>
      </c>
      <c r="G455" s="5" t="str">
        <f ca="1">IFERROR(__xludf.DUMMYFUNCTION("""COMPUTED_VALUE"""),"PETUGAS ENTRI")</f>
        <v>PETUGAS ENTRI</v>
      </c>
      <c r="H455" s="5" t="str">
        <f t="array" aca="1" ref="H455" ca="1">IF(N455=1, INDEX('Database Mitra'!$C$2:$C993,MATCH($C455,'Database Mitra'!$AK$2:$AK993,0)),"")</f>
        <v>Thama Riewanty Oesman</v>
      </c>
      <c r="I455" s="71">
        <f ca="1">IF(N455=1,SUMIFS('Alokasi Honor'!$M$2:$M993,'Alokasi Honor'!$T$2:$T993,A455),"")</f>
        <v>221000</v>
      </c>
      <c r="J455" s="10">
        <f ca="1">IFERROR(__xludf.DUMMYFUNCTION("COUNTIF(FILTER('Alokasi Honor'!$H$2:$H993,'Alokasi Honor'!$H$2:$H993=""OB"",'Alokasi Honor'!$T$2:$T993=A455),""OB"")"),0)</f>
        <v>0</v>
      </c>
      <c r="K455" s="10">
        <f t="shared" ca="1" si="1"/>
        <v>1</v>
      </c>
      <c r="L455" s="70">
        <f t="array" aca="1" ref="L455" ca="1">IF(N455=1,INDEX('Batasan Honor'!$B$2:$B993,MATCH(CONCATENATE($F455,"-",$G455),'Batasan Honor'!$G$2:$G993,0)),"")</f>
        <v>5400000</v>
      </c>
      <c r="M455" s="10">
        <f t="shared" ca="1" si="5"/>
        <v>1</v>
      </c>
      <c r="N455" s="10">
        <f t="shared" ca="1" si="3"/>
        <v>1</v>
      </c>
      <c r="O455" s="10" t="b">
        <f ca="1">IFERROR(__xludf.DUMMYFUNCTION("COUNT(FILTER($C$2:$C993,$B$2:$B993=B455))&gt;1"),FALSE)</f>
        <v>0</v>
      </c>
    </row>
    <row r="456" spans="1:15" ht="12.5">
      <c r="A456" s="10" t="str">
        <f ca="1">IFERROR(__xludf.DUMMYFUNCTION("""COMPUTED_VALUE"""),"610423110150-2024-12-SURVEI-PETUGAS ENTRI")</f>
        <v>610423110150-2024-12-SURVEI-PETUGAS ENTRI</v>
      </c>
      <c r="B456" s="5" t="str">
        <f t="shared" ca="1" si="0"/>
        <v>610423110150-2024-12</v>
      </c>
      <c r="C456" s="5">
        <f ca="1">IFERROR(__xludf.DUMMYFUNCTION("IF(N456=1,SPLIT(A456,""-""),"""")"),610423110150)</f>
        <v>610423110150</v>
      </c>
      <c r="D456" s="10">
        <f ca="1">IFERROR(__xludf.DUMMYFUNCTION("""COMPUTED_VALUE"""),2024)</f>
        <v>2024</v>
      </c>
      <c r="E456" s="10">
        <f ca="1">IFERROR(__xludf.DUMMYFUNCTION("""COMPUTED_VALUE"""),12)</f>
        <v>12</v>
      </c>
      <c r="F456" s="5" t="str">
        <f ca="1">IFERROR(__xludf.DUMMYFUNCTION("""COMPUTED_VALUE"""),"SURVEI")</f>
        <v>SURVEI</v>
      </c>
      <c r="G456" s="5" t="str">
        <f ca="1">IFERROR(__xludf.DUMMYFUNCTION("""COMPUTED_VALUE"""),"PETUGAS ENTRI")</f>
        <v>PETUGAS ENTRI</v>
      </c>
      <c r="H456" s="5" t="str">
        <f t="array" aca="1" ref="H456" ca="1">IF(N456=1, INDEX('Database Mitra'!$C$2:$C993,MATCH($C456,'Database Mitra'!$AK$2:$AK993,0)),"")</f>
        <v>Risa Yolani</v>
      </c>
      <c r="I456" s="71">
        <f ca="1">IF(N456=1,SUMIFS('Alokasi Honor'!$M$2:$M993,'Alokasi Honor'!$T$2:$T993,A456),"")</f>
        <v>221000</v>
      </c>
      <c r="J456" s="10">
        <f ca="1">IFERROR(__xludf.DUMMYFUNCTION("COUNTIF(FILTER('Alokasi Honor'!$H$2:$H993,'Alokasi Honor'!$H$2:$H993=""OB"",'Alokasi Honor'!$T$2:$T993=A456),""OB"")"),0)</f>
        <v>0</v>
      </c>
      <c r="K456" s="10">
        <f t="shared" ca="1" si="1"/>
        <v>1</v>
      </c>
      <c r="L456" s="70">
        <f t="array" aca="1" ref="L456" ca="1">IF(N456=1,INDEX('Batasan Honor'!$B$2:$B993,MATCH(CONCATENATE($F456,"-",$G456),'Batasan Honor'!$G$2:$G993,0)),"")</f>
        <v>5400000</v>
      </c>
      <c r="M456" s="10">
        <f t="shared" ca="1" si="5"/>
        <v>1</v>
      </c>
      <c r="N456" s="10">
        <f t="shared" ca="1" si="3"/>
        <v>1</v>
      </c>
      <c r="O456" s="10" t="b">
        <f ca="1">IFERROR(__xludf.DUMMYFUNCTION("COUNT(FILTER($C$2:$C993,$B$2:$B993=B456))&gt;1"),FALSE)</f>
        <v>0</v>
      </c>
    </row>
    <row r="457" spans="1:15" ht="12.5">
      <c r="A457" s="10" t="str">
        <f ca="1">IFERROR(__xludf.DUMMYFUNCTION("""COMPUTED_VALUE"""),"610423110129-2024-12-SURVEI-PETUGAS ENTRI")</f>
        <v>610423110129-2024-12-SURVEI-PETUGAS ENTRI</v>
      </c>
      <c r="B457" s="5" t="str">
        <f t="shared" ca="1" si="0"/>
        <v>610423110129-2024-12</v>
      </c>
      <c r="C457" s="5">
        <f ca="1">IFERROR(__xludf.DUMMYFUNCTION("IF(N457=1,SPLIT(A457,""-""),"""")"),610423110129)</f>
        <v>610423110129</v>
      </c>
      <c r="D457" s="10">
        <f ca="1">IFERROR(__xludf.DUMMYFUNCTION("""COMPUTED_VALUE"""),2024)</f>
        <v>2024</v>
      </c>
      <c r="E457" s="10">
        <f ca="1">IFERROR(__xludf.DUMMYFUNCTION("""COMPUTED_VALUE"""),12)</f>
        <v>12</v>
      </c>
      <c r="F457" s="5" t="str">
        <f ca="1">IFERROR(__xludf.DUMMYFUNCTION("""COMPUTED_VALUE"""),"SURVEI")</f>
        <v>SURVEI</v>
      </c>
      <c r="G457" s="5" t="str">
        <f ca="1">IFERROR(__xludf.DUMMYFUNCTION("""COMPUTED_VALUE"""),"PETUGAS ENTRI")</f>
        <v>PETUGAS ENTRI</v>
      </c>
      <c r="H457" s="5" t="str">
        <f t="array" aca="1" ref="H457" ca="1">IF(N457=1, INDEX('Database Mitra'!$C$2:$C993,MATCH($C457,'Database Mitra'!$AK$2:$AK993,0)),"")</f>
        <v>Athalia Meifira</v>
      </c>
      <c r="I457" s="71">
        <f ca="1">IF(N457=1,SUMIFS('Alokasi Honor'!$M$2:$M993,'Alokasi Honor'!$T$2:$T993,A457),"")</f>
        <v>204000</v>
      </c>
      <c r="J457" s="10">
        <f ca="1">IFERROR(__xludf.DUMMYFUNCTION("COUNTIF(FILTER('Alokasi Honor'!$H$2:$H993,'Alokasi Honor'!$H$2:$H993=""OB"",'Alokasi Honor'!$T$2:$T993=A457),""OB"")"),0)</f>
        <v>0</v>
      </c>
      <c r="K457" s="10">
        <f t="shared" ca="1" si="1"/>
        <v>1</v>
      </c>
      <c r="L457" s="70">
        <f t="array" aca="1" ref="L457" ca="1">IF(N457=1,INDEX('Batasan Honor'!$B$2:$B993,MATCH(CONCATENATE($F457,"-",$G457),'Batasan Honor'!$G$2:$G993,0)),"")</f>
        <v>5400000</v>
      </c>
      <c r="M457" s="10">
        <f t="shared" ca="1" si="5"/>
        <v>1</v>
      </c>
      <c r="N457" s="10">
        <f t="shared" ca="1" si="3"/>
        <v>1</v>
      </c>
      <c r="O457" s="10" t="b">
        <f ca="1">IFERROR(__xludf.DUMMYFUNCTION("COUNT(FILTER($C$2:$C993,$B$2:$B993=B457))&gt;1"),FALSE)</f>
        <v>0</v>
      </c>
    </row>
    <row r="458" spans="1:15" ht="12.5">
      <c r="A458" s="10" t="str">
        <f ca="1">IFERROR(__xludf.DUMMYFUNCTION("""COMPUTED_VALUE"""),"610422040012-2024-12-SURVEI-PPL")</f>
        <v>610422040012-2024-12-SURVEI-PPL</v>
      </c>
      <c r="B458" s="5" t="str">
        <f t="shared" ca="1" si="0"/>
        <v>610422040012-2024-12</v>
      </c>
      <c r="C458" s="5">
        <f ca="1">IFERROR(__xludf.DUMMYFUNCTION("IF(N458=1,SPLIT(A458,""-""),"""")"),610422040012)</f>
        <v>610422040012</v>
      </c>
      <c r="D458" s="10">
        <f ca="1">IFERROR(__xludf.DUMMYFUNCTION("""COMPUTED_VALUE"""),2024)</f>
        <v>2024</v>
      </c>
      <c r="E458" s="10">
        <f ca="1">IFERROR(__xludf.DUMMYFUNCTION("""COMPUTED_VALUE"""),12)</f>
        <v>12</v>
      </c>
      <c r="F458" s="5" t="str">
        <f ca="1">IFERROR(__xludf.DUMMYFUNCTION("""COMPUTED_VALUE"""),"SURVEI")</f>
        <v>SURVEI</v>
      </c>
      <c r="G458" s="5" t="str">
        <f ca="1">IFERROR(__xludf.DUMMYFUNCTION("""COMPUTED_VALUE"""),"PPL")</f>
        <v>PPL</v>
      </c>
      <c r="H458" s="5" t="str">
        <f t="array" aca="1" ref="H458" ca="1">IF(N458=1, INDEX('Database Mitra'!$C$2:$C993,MATCH($C458,'Database Mitra'!$AK$2:$AK993,0)),"")</f>
        <v>Misdi</v>
      </c>
      <c r="I458" s="71">
        <f ca="1">IF(N458=1,SUMIFS('Alokasi Honor'!$M$2:$M993,'Alokasi Honor'!$T$2:$T993,A458),"")</f>
        <v>348000</v>
      </c>
      <c r="J458" s="10">
        <f ca="1">IFERROR(__xludf.DUMMYFUNCTION("COUNTIF(FILTER('Alokasi Honor'!$H$2:$H993,'Alokasi Honor'!$H$2:$H993=""OB"",'Alokasi Honor'!$T$2:$T993=A458),""OB"")"),0)</f>
        <v>0</v>
      </c>
      <c r="K458" s="10">
        <f t="shared" ca="1" si="1"/>
        <v>1</v>
      </c>
      <c r="L458" s="70">
        <f t="array" aca="1" ref="L458" ca="1">IF(N458=1,INDEX('Batasan Honor'!$B$2:$B993,MATCH(CONCATENATE($F458,"-",$G458),'Batasan Honor'!$G$2:$G993,0)),"")</f>
        <v>5400000</v>
      </c>
      <c r="M458" s="10">
        <f t="shared" ca="1" si="5"/>
        <v>1</v>
      </c>
      <c r="N458" s="10">
        <f t="shared" ca="1" si="3"/>
        <v>1</v>
      </c>
      <c r="O458" s="10" t="b">
        <f ca="1">IFERROR(__xludf.DUMMYFUNCTION("COUNT(FILTER($C$2:$C993,$B$2:$B993=B458))&gt;1"),FALSE)</f>
        <v>0</v>
      </c>
    </row>
    <row r="459" spans="1:15" ht="12.5">
      <c r="A459" s="10" t="str">
        <f ca="1">IFERROR(__xludf.DUMMYFUNCTION("""COMPUTED_VALUE"""),"610422040059-2024-12-SURVEI-PPL")</f>
        <v>610422040059-2024-12-SURVEI-PPL</v>
      </c>
      <c r="B459" s="5" t="str">
        <f t="shared" ca="1" si="0"/>
        <v>610422040059-2024-12</v>
      </c>
      <c r="C459" s="5">
        <f ca="1">IFERROR(__xludf.DUMMYFUNCTION("IF(N459=1,SPLIT(A459,""-""),"""")"),610422040059)</f>
        <v>610422040059</v>
      </c>
      <c r="D459" s="10">
        <f ca="1">IFERROR(__xludf.DUMMYFUNCTION("""COMPUTED_VALUE"""),2024)</f>
        <v>2024</v>
      </c>
      <c r="E459" s="10">
        <f ca="1">IFERROR(__xludf.DUMMYFUNCTION("""COMPUTED_VALUE"""),12)</f>
        <v>12</v>
      </c>
      <c r="F459" s="5" t="str">
        <f ca="1">IFERROR(__xludf.DUMMYFUNCTION("""COMPUTED_VALUE"""),"SURVEI")</f>
        <v>SURVEI</v>
      </c>
      <c r="G459" s="5" t="str">
        <f ca="1">IFERROR(__xludf.DUMMYFUNCTION("""COMPUTED_VALUE"""),"PPL")</f>
        <v>PPL</v>
      </c>
      <c r="H459" s="5" t="str">
        <f t="array" aca="1" ref="H459" ca="1">IF(N459=1, INDEX('Database Mitra'!$C$2:$C993,MATCH($C459,'Database Mitra'!$AK$2:$AK993,0)),"")</f>
        <v>Abang Handri</v>
      </c>
      <c r="I459" s="71">
        <f ca="1">IF(N459=1,SUMIFS('Alokasi Honor'!$M$2:$M993,'Alokasi Honor'!$T$2:$T993,A459),"")</f>
        <v>818000</v>
      </c>
      <c r="J459" s="10">
        <f ca="1">IFERROR(__xludf.DUMMYFUNCTION("COUNTIF(FILTER('Alokasi Honor'!$H$2:$H993,'Alokasi Honor'!$H$2:$H993=""OB"",'Alokasi Honor'!$T$2:$T993=A459),""OB"")"),0)</f>
        <v>0</v>
      </c>
      <c r="K459" s="10">
        <f t="shared" ca="1" si="1"/>
        <v>1</v>
      </c>
      <c r="L459" s="70">
        <f t="array" aca="1" ref="L459" ca="1">IF(N459=1,INDEX('Batasan Honor'!$B$2:$B993,MATCH(CONCATENATE($F459,"-",$G459),'Batasan Honor'!$G$2:$G993,0)),"")</f>
        <v>5400000</v>
      </c>
      <c r="M459" s="10">
        <f t="shared" ca="1" si="5"/>
        <v>1</v>
      </c>
      <c r="N459" s="10">
        <f t="shared" ca="1" si="3"/>
        <v>1</v>
      </c>
      <c r="O459" s="10" t="b">
        <f ca="1">IFERROR(__xludf.DUMMYFUNCTION("COUNT(FILTER($C$2:$C993,$B$2:$B993=B459))&gt;1"),FALSE)</f>
        <v>0</v>
      </c>
    </row>
    <row r="460" spans="1:15" ht="12.5">
      <c r="A460" s="10" t="str">
        <f ca="1">IFERROR(__xludf.DUMMYFUNCTION("""COMPUTED_VALUE"""),"610422040061-2024-12-SURVEI-PPL")</f>
        <v>610422040061-2024-12-SURVEI-PPL</v>
      </c>
      <c r="B460" s="5" t="str">
        <f t="shared" ca="1" si="0"/>
        <v>610422040061-2024-12</v>
      </c>
      <c r="C460" s="5">
        <f ca="1">IFERROR(__xludf.DUMMYFUNCTION("IF(N460=1,SPLIT(A460,""-""),"""")"),610422040061)</f>
        <v>610422040061</v>
      </c>
      <c r="D460" s="10">
        <f ca="1">IFERROR(__xludf.DUMMYFUNCTION("""COMPUTED_VALUE"""),2024)</f>
        <v>2024</v>
      </c>
      <c r="E460" s="10">
        <f ca="1">IFERROR(__xludf.DUMMYFUNCTION("""COMPUTED_VALUE"""),12)</f>
        <v>12</v>
      </c>
      <c r="F460" s="5" t="str">
        <f ca="1">IFERROR(__xludf.DUMMYFUNCTION("""COMPUTED_VALUE"""),"SURVEI")</f>
        <v>SURVEI</v>
      </c>
      <c r="G460" s="5" t="str">
        <f ca="1">IFERROR(__xludf.DUMMYFUNCTION("""COMPUTED_VALUE"""),"PPL")</f>
        <v>PPL</v>
      </c>
      <c r="H460" s="5" t="str">
        <f t="array" aca="1" ref="H460" ca="1">IF(N460=1, INDEX('Database Mitra'!$C$2:$C993,MATCH($C460,'Database Mitra'!$AK$2:$AK993,0)),"")</f>
        <v>Sabani</v>
      </c>
      <c r="I460" s="71">
        <f ca="1">IF(N460=1,SUMIFS('Alokasi Honor'!$M$2:$M993,'Alokasi Honor'!$T$2:$T993,A460),"")</f>
        <v>348000</v>
      </c>
      <c r="J460" s="10">
        <f ca="1">IFERROR(__xludf.DUMMYFUNCTION("COUNTIF(FILTER('Alokasi Honor'!$H$2:$H993,'Alokasi Honor'!$H$2:$H993=""OB"",'Alokasi Honor'!$T$2:$T993=A460),""OB"")"),0)</f>
        <v>0</v>
      </c>
      <c r="K460" s="10">
        <f t="shared" ca="1" si="1"/>
        <v>1</v>
      </c>
      <c r="L460" s="70">
        <f t="array" aca="1" ref="L460" ca="1">IF(N460=1,INDEX('Batasan Honor'!$B$2:$B993,MATCH(CONCATENATE($F460,"-",$G460),'Batasan Honor'!$G$2:$G993,0)),"")</f>
        <v>5400000</v>
      </c>
      <c r="M460" s="10">
        <f t="shared" ca="1" si="5"/>
        <v>1</v>
      </c>
      <c r="N460" s="10">
        <f t="shared" ca="1" si="3"/>
        <v>1</v>
      </c>
      <c r="O460" s="10" t="b">
        <f ca="1">IFERROR(__xludf.DUMMYFUNCTION("COUNT(FILTER($C$2:$C993,$B$2:$B993=B460))&gt;1"),FALSE)</f>
        <v>0</v>
      </c>
    </row>
    <row r="461" spans="1:15" ht="12.5">
      <c r="A461" s="10" t="str">
        <f ca="1">IFERROR(__xludf.DUMMYFUNCTION("""COMPUTED_VALUE"""),"610422100131-2024-12-SURVEI-PPL")</f>
        <v>610422100131-2024-12-SURVEI-PPL</v>
      </c>
      <c r="B461" s="5" t="str">
        <f t="shared" ca="1" si="0"/>
        <v>610422100131-2024-12</v>
      </c>
      <c r="C461" s="5">
        <f ca="1">IFERROR(__xludf.DUMMYFUNCTION("IF(N461=1,SPLIT(A461,""-""),"""")"),610422100131)</f>
        <v>610422100131</v>
      </c>
      <c r="D461" s="10">
        <f ca="1">IFERROR(__xludf.DUMMYFUNCTION("""COMPUTED_VALUE"""),2024)</f>
        <v>2024</v>
      </c>
      <c r="E461" s="10">
        <f ca="1">IFERROR(__xludf.DUMMYFUNCTION("""COMPUTED_VALUE"""),12)</f>
        <v>12</v>
      </c>
      <c r="F461" s="5" t="str">
        <f ca="1">IFERROR(__xludf.DUMMYFUNCTION("""COMPUTED_VALUE"""),"SURVEI")</f>
        <v>SURVEI</v>
      </c>
      <c r="G461" s="5" t="str">
        <f ca="1">IFERROR(__xludf.DUMMYFUNCTION("""COMPUTED_VALUE"""),"PPL")</f>
        <v>PPL</v>
      </c>
      <c r="H461" s="5" t="str">
        <f t="array" aca="1" ref="H461" ca="1">IF(N461=1, INDEX('Database Mitra'!$C$2:$C993,MATCH($C461,'Database Mitra'!$AK$2:$AK993,0)),"")</f>
        <v>SYAMSUL</v>
      </c>
      <c r="I461" s="71">
        <f ca="1">IF(N461=1,SUMIFS('Alokasi Honor'!$M$2:$M993,'Alokasi Honor'!$T$2:$T993,A461),"")</f>
        <v>348000</v>
      </c>
      <c r="J461" s="10">
        <f ca="1">IFERROR(__xludf.DUMMYFUNCTION("COUNTIF(FILTER('Alokasi Honor'!$H$2:$H993,'Alokasi Honor'!$H$2:$H993=""OB"",'Alokasi Honor'!$T$2:$T993=A461),""OB"")"),0)</f>
        <v>0</v>
      </c>
      <c r="K461" s="10">
        <f t="shared" ca="1" si="1"/>
        <v>1</v>
      </c>
      <c r="L461" s="70">
        <f t="array" aca="1" ref="L461" ca="1">IF(N461=1,INDEX('Batasan Honor'!$B$2:$B993,MATCH(CONCATENATE($F461,"-",$G461),'Batasan Honor'!$G$2:$G993,0)),"")</f>
        <v>5400000</v>
      </c>
      <c r="M461" s="10">
        <f t="shared" ca="1" si="5"/>
        <v>1</v>
      </c>
      <c r="N461" s="10">
        <f t="shared" ca="1" si="3"/>
        <v>1</v>
      </c>
      <c r="O461" s="10" t="b">
        <f ca="1">IFERROR(__xludf.DUMMYFUNCTION("COUNT(FILTER($C$2:$C993,$B$2:$B993=B461))&gt;1"),FALSE)</f>
        <v>0</v>
      </c>
    </row>
    <row r="462" spans="1:15" ht="12.5">
      <c r="A462" s="10" t="str">
        <f ca="1">IFERROR(__xludf.DUMMYFUNCTION("""COMPUTED_VALUE"""),"610422100176-2024-12-SURVEI-PPL")</f>
        <v>610422100176-2024-12-SURVEI-PPL</v>
      </c>
      <c r="B462" s="5" t="str">
        <f t="shared" ca="1" si="0"/>
        <v>610422100176-2024-12</v>
      </c>
      <c r="C462" s="5">
        <f ca="1">IFERROR(__xludf.DUMMYFUNCTION("IF(N462=1,SPLIT(A462,""-""),"""")"),610422100176)</f>
        <v>610422100176</v>
      </c>
      <c r="D462" s="10">
        <f ca="1">IFERROR(__xludf.DUMMYFUNCTION("""COMPUTED_VALUE"""),2024)</f>
        <v>2024</v>
      </c>
      <c r="E462" s="10">
        <f ca="1">IFERROR(__xludf.DUMMYFUNCTION("""COMPUTED_VALUE"""),12)</f>
        <v>12</v>
      </c>
      <c r="F462" s="5" t="str">
        <f ca="1">IFERROR(__xludf.DUMMYFUNCTION("""COMPUTED_VALUE"""),"SURVEI")</f>
        <v>SURVEI</v>
      </c>
      <c r="G462" s="5" t="str">
        <f ca="1">IFERROR(__xludf.DUMMYFUNCTION("""COMPUTED_VALUE"""),"PPL")</f>
        <v>PPL</v>
      </c>
      <c r="H462" s="5" t="str">
        <f t="array" aca="1" ref="H462" ca="1">IF(N462=1, INDEX('Database Mitra'!$C$2:$C993,MATCH($C462,'Database Mitra'!$AK$2:$AK993,0)),"")</f>
        <v>Feri Firdaus</v>
      </c>
      <c r="I462" s="71">
        <f ca="1">IF(N462=1,SUMIFS('Alokasi Honor'!$M$2:$M993,'Alokasi Honor'!$T$2:$T993,A462),"")</f>
        <v>348000</v>
      </c>
      <c r="J462" s="10">
        <f ca="1">IFERROR(__xludf.DUMMYFUNCTION("COUNTIF(FILTER('Alokasi Honor'!$H$2:$H993,'Alokasi Honor'!$H$2:$H993=""OB"",'Alokasi Honor'!$T$2:$T993=A462),""OB"")"),0)</f>
        <v>0</v>
      </c>
      <c r="K462" s="10">
        <f t="shared" ca="1" si="1"/>
        <v>1</v>
      </c>
      <c r="L462" s="70">
        <f t="array" aca="1" ref="L462" ca="1">IF(N462=1,INDEX('Batasan Honor'!$B$2:$B993,MATCH(CONCATENATE($F462,"-",$G462),'Batasan Honor'!$G$2:$G993,0)),"")</f>
        <v>5400000</v>
      </c>
      <c r="M462" s="10">
        <f t="shared" ca="1" si="5"/>
        <v>1</v>
      </c>
      <c r="N462" s="10">
        <f t="shared" ca="1" si="3"/>
        <v>1</v>
      </c>
      <c r="O462" s="10" t="b">
        <f ca="1">IFERROR(__xludf.DUMMYFUNCTION("COUNT(FILTER($C$2:$C993,$B$2:$B993=B462))&gt;1"),FALSE)</f>
        <v>0</v>
      </c>
    </row>
    <row r="463" spans="1:15" ht="12.5">
      <c r="A463" s="10" t="str">
        <f ca="1">IFERROR(__xludf.DUMMYFUNCTION("""COMPUTED_VALUE"""),"610423110183-2024-12-SURVEI-PPL")</f>
        <v>610423110183-2024-12-SURVEI-PPL</v>
      </c>
      <c r="B463" s="5" t="str">
        <f t="shared" ca="1" si="0"/>
        <v>610423110183-2024-12</v>
      </c>
      <c r="C463" s="5">
        <f ca="1">IFERROR(__xludf.DUMMYFUNCTION("IF(N463=1,SPLIT(A463,""-""),"""")"),610423110183)</f>
        <v>610423110183</v>
      </c>
      <c r="D463" s="10">
        <f ca="1">IFERROR(__xludf.DUMMYFUNCTION("""COMPUTED_VALUE"""),2024)</f>
        <v>2024</v>
      </c>
      <c r="E463" s="10">
        <f ca="1">IFERROR(__xludf.DUMMYFUNCTION("""COMPUTED_VALUE"""),12)</f>
        <v>12</v>
      </c>
      <c r="F463" s="5" t="str">
        <f ca="1">IFERROR(__xludf.DUMMYFUNCTION("""COMPUTED_VALUE"""),"SURVEI")</f>
        <v>SURVEI</v>
      </c>
      <c r="G463" s="5" t="str">
        <f ca="1">IFERROR(__xludf.DUMMYFUNCTION("""COMPUTED_VALUE"""),"PPL")</f>
        <v>PPL</v>
      </c>
      <c r="H463" s="5" t="str">
        <f t="array" aca="1" ref="H463" ca="1">IF(N463=1, INDEX('Database Mitra'!$C$2:$C993,MATCH($C463,'Database Mitra'!$AK$2:$AK993,0)),"")</f>
        <v>azhar</v>
      </c>
      <c r="I463" s="71">
        <f ca="1">IF(N463=1,SUMIFS('Alokasi Honor'!$M$2:$M993,'Alokasi Honor'!$T$2:$T993,A463),"")</f>
        <v>1050000</v>
      </c>
      <c r="J463" s="10">
        <f ca="1">IFERROR(__xludf.DUMMYFUNCTION("COUNTIF(FILTER('Alokasi Honor'!$H$2:$H993,'Alokasi Honor'!$H$2:$H993=""OB"",'Alokasi Honor'!$T$2:$T993=A463),""OB"")"),0)</f>
        <v>0</v>
      </c>
      <c r="K463" s="10">
        <f t="shared" ca="1" si="1"/>
        <v>1</v>
      </c>
      <c r="L463" s="70">
        <f t="array" aca="1" ref="L463" ca="1">IF(N463=1,INDEX('Batasan Honor'!$B$2:$B993,MATCH(CONCATENATE($F463,"-",$G463),'Batasan Honor'!$G$2:$G993,0)),"")</f>
        <v>5400000</v>
      </c>
      <c r="M463" s="10">
        <f t="shared" ca="1" si="5"/>
        <v>1</v>
      </c>
      <c r="N463" s="10">
        <f t="shared" ca="1" si="3"/>
        <v>1</v>
      </c>
      <c r="O463" s="10" t="b">
        <f ca="1">IFERROR(__xludf.DUMMYFUNCTION("COUNT(FILTER($C$2:$C993,$B$2:$B993=B463))&gt;1"),FALSE)</f>
        <v>0</v>
      </c>
    </row>
    <row r="464" spans="1:15" ht="12.5">
      <c r="A464" s="10" t="str">
        <f ca="1">IFERROR(__xludf.DUMMYFUNCTION("""COMPUTED_VALUE"""),"610423040018-2024-12-SURVEI-PPL")</f>
        <v>610423040018-2024-12-SURVEI-PPL</v>
      </c>
      <c r="B464" s="5" t="str">
        <f t="shared" ca="1" si="0"/>
        <v>610423040018-2024-12</v>
      </c>
      <c r="C464" s="5">
        <f ca="1">IFERROR(__xludf.DUMMYFUNCTION("IF(N464=1,SPLIT(A464,""-""),"""")"),610423040018)</f>
        <v>610423040018</v>
      </c>
      <c r="D464" s="10">
        <f ca="1">IFERROR(__xludf.DUMMYFUNCTION("""COMPUTED_VALUE"""),2024)</f>
        <v>2024</v>
      </c>
      <c r="E464" s="10">
        <f ca="1">IFERROR(__xludf.DUMMYFUNCTION("""COMPUTED_VALUE"""),12)</f>
        <v>12</v>
      </c>
      <c r="F464" s="5" t="str">
        <f ca="1">IFERROR(__xludf.DUMMYFUNCTION("""COMPUTED_VALUE"""),"SURVEI")</f>
        <v>SURVEI</v>
      </c>
      <c r="G464" s="5" t="str">
        <f ca="1">IFERROR(__xludf.DUMMYFUNCTION("""COMPUTED_VALUE"""),"PPL")</f>
        <v>PPL</v>
      </c>
      <c r="H464" s="5" t="str">
        <f t="array" aca="1" ref="H464" ca="1">IF(N464=1, INDEX('Database Mitra'!$C$2:$C993,MATCH($C464,'Database Mitra'!$AK$2:$AK993,0)),"")</f>
        <v>Handoko Tuah Sabarman Sipayung</v>
      </c>
      <c r="I464" s="71">
        <f ca="1">IF(N464=1,SUMIFS('Alokasi Honor'!$M$2:$M993,'Alokasi Honor'!$T$2:$T993,A464),"")</f>
        <v>464000</v>
      </c>
      <c r="J464" s="10">
        <f ca="1">IFERROR(__xludf.DUMMYFUNCTION("COUNTIF(FILTER('Alokasi Honor'!$H$2:$H993,'Alokasi Honor'!$H$2:$H993=""OB"",'Alokasi Honor'!$T$2:$T993=A464),""OB"")"),0)</f>
        <v>0</v>
      </c>
      <c r="K464" s="10">
        <f t="shared" ca="1" si="1"/>
        <v>1</v>
      </c>
      <c r="L464" s="70">
        <f t="array" aca="1" ref="L464" ca="1">IF(N464=1,INDEX('Batasan Honor'!$B$2:$B993,MATCH(CONCATENATE($F464,"-",$G464),'Batasan Honor'!$G$2:$G993,0)),"")</f>
        <v>5400000</v>
      </c>
      <c r="M464" s="10">
        <f t="shared" ca="1" si="5"/>
        <v>1</v>
      </c>
      <c r="N464" s="10">
        <f t="shared" ca="1" si="3"/>
        <v>1</v>
      </c>
      <c r="O464" s="10" t="b">
        <f ca="1">IFERROR(__xludf.DUMMYFUNCTION("COUNT(FILTER($C$2:$C993,$B$2:$B993=B464))&gt;1"),FALSE)</f>
        <v>0</v>
      </c>
    </row>
    <row r="465" spans="1:14" ht="12.5">
      <c r="A465" s="10" t="str">
        <f ca="1">IFERROR(__xludf.DUMMYFUNCTION("""COMPUTED_VALUE"""),"610422040058-2024-12-SURVEI-PPL")</f>
        <v>610422040058-2024-12-SURVEI-PPL</v>
      </c>
      <c r="B465" s="5"/>
      <c r="C465" s="5">
        <f ca="1">IFERROR(__xludf.DUMMYFUNCTION("IF(N465=1,SPLIT(A465,""-""),"""")"),610422040058)</f>
        <v>610422040058</v>
      </c>
      <c r="D465" s="10">
        <f ca="1">IFERROR(__xludf.DUMMYFUNCTION("""COMPUTED_VALUE"""),2024)</f>
        <v>2024</v>
      </c>
      <c r="E465" s="10">
        <f ca="1">IFERROR(__xludf.DUMMYFUNCTION("""COMPUTED_VALUE"""),12)</f>
        <v>12</v>
      </c>
      <c r="F465" s="5" t="str">
        <f ca="1">IFERROR(__xludf.DUMMYFUNCTION("""COMPUTED_VALUE"""),"SURVEI")</f>
        <v>SURVEI</v>
      </c>
      <c r="G465" s="5" t="str">
        <f ca="1">IFERROR(__xludf.DUMMYFUNCTION("""COMPUTED_VALUE"""),"PPL")</f>
        <v>PPL</v>
      </c>
      <c r="H465" s="5" t="str">
        <f t="array" aca="1" ref="H465" ca="1">IF(N465=1, INDEX('Database Mitra'!$C$2:$C993,MATCH($C465,'Database Mitra'!$AK$2:$AK993,0)),"")</f>
        <v>Jamaluddin, SP</v>
      </c>
      <c r="I465" s="71">
        <f ca="1">IF(N465=1,SUMIFS('Alokasi Honor'!$M$2:$M993,'Alokasi Honor'!$T$2:$T993,A465),"")</f>
        <v>590000</v>
      </c>
      <c r="L465" s="70">
        <f t="array" aca="1" ref="L465" ca="1">IF(N465=1,INDEX('Batasan Honor'!$B$2:$B993,MATCH(CONCATENATE($F465,"-",$G465),'Batasan Honor'!$G$2:$G993,0)),"")</f>
        <v>5400000</v>
      </c>
      <c r="M465" s="10">
        <f t="shared" ca="1" si="5"/>
        <v>1</v>
      </c>
      <c r="N465" s="10">
        <f t="shared" ca="1" si="3"/>
        <v>1</v>
      </c>
    </row>
    <row r="466" spans="1:14" ht="12.5">
      <c r="A466" s="10" t="str">
        <f ca="1">IFERROR(__xludf.DUMMYFUNCTION("""COMPUTED_VALUE"""),"610422040029-2025-1-SURVEI-PPL")</f>
        <v>610422040029-2025-1-SURVEI-PPL</v>
      </c>
      <c r="B466" s="5"/>
      <c r="C466" s="5">
        <f ca="1">IFERROR(__xludf.DUMMYFUNCTION("IF(N466=1,SPLIT(A466,""-""),"""")"),610422040029)</f>
        <v>610422040029</v>
      </c>
      <c r="D466" s="10">
        <f ca="1">IFERROR(__xludf.DUMMYFUNCTION("""COMPUTED_VALUE"""),2025)</f>
        <v>2025</v>
      </c>
      <c r="E466" s="10">
        <f ca="1">IFERROR(__xludf.DUMMYFUNCTION("""COMPUTED_VALUE"""),1)</f>
        <v>1</v>
      </c>
      <c r="F466" s="5" t="str">
        <f ca="1">IFERROR(__xludf.DUMMYFUNCTION("""COMPUTED_VALUE"""),"SURVEI")</f>
        <v>SURVEI</v>
      </c>
      <c r="G466" s="5" t="str">
        <f ca="1">IFERROR(__xludf.DUMMYFUNCTION("""COMPUTED_VALUE"""),"PPL")</f>
        <v>PPL</v>
      </c>
      <c r="H466" s="5" t="str">
        <f t="array" aca="1" ref="H466" ca="1">IF(N466=1, INDEX('Database Mitra'!$C$2:$C993,MATCH($C466,'Database Mitra'!$AK$2:$AK993,0)),"")</f>
        <v>Zaini</v>
      </c>
      <c r="I466" s="71">
        <f ca="1">IF(N466=1,SUMIFS('Alokasi Honor'!$M$2:$M993,'Alokasi Honor'!$T$2:$T993,A466),"")</f>
        <v>165000</v>
      </c>
      <c r="L466" s="70">
        <f t="array" aca="1" ref="L466" ca="1">IF(N466=1,INDEX('Batasan Honor'!$B$2:$B993,MATCH(CONCATENATE($F466,"-",$G466),'Batasan Honor'!$G$2:$G993,0)),"")</f>
        <v>5400000</v>
      </c>
      <c r="M466" s="10">
        <f t="shared" ca="1" si="5"/>
        <v>1</v>
      </c>
      <c r="N466" s="10">
        <f t="shared" ca="1" si="3"/>
        <v>1</v>
      </c>
    </row>
    <row r="467" spans="1:14" ht="12.5">
      <c r="A467" s="10"/>
      <c r="B467" s="5"/>
      <c r="C467" s="5" t="str">
        <f ca="1">IFERROR(__xludf.DUMMYFUNCTION("IF(N467=1,SPLIT(A467,""-""),"""")"),"")</f>
        <v/>
      </c>
      <c r="F467" s="5"/>
      <c r="G467" s="5"/>
      <c r="H467" s="5" t="str">
        <f t="array" ref="H467">IF(N467=1, INDEX('Database Mitra'!$C$2:$C993,MATCH($C467,'Database Mitra'!$AK$2:$AK993,0)),"")</f>
        <v/>
      </c>
      <c r="I467" s="71" t="str">
        <f>IF(N467=1,SUMIFS('Alokasi Honor'!$M$2:$M993,'Alokasi Honor'!$T$2:$T993,A467),"")</f>
        <v/>
      </c>
      <c r="L467" s="10" t="str">
        <f t="array" ref="L467">IF(N467=1,INDEX('Batasan Honor'!$B$2:$B993,MATCH(CONCATENATE($F467,"-",$G467),'Batasan Honor'!$G$2:$G993,0)),"")</f>
        <v/>
      </c>
      <c r="M467" s="10" t="str">
        <f t="shared" si="5"/>
        <v/>
      </c>
      <c r="N467" s="10" t="str">
        <f t="shared" si="3"/>
        <v/>
      </c>
    </row>
    <row r="468" spans="1:14" ht="12.5">
      <c r="B468" s="5"/>
      <c r="C468" s="5" t="str">
        <f ca="1">IFERROR(__xludf.DUMMYFUNCTION("IF(N468=1,SPLIT(A468,""-""),"""")"),"")</f>
        <v/>
      </c>
      <c r="F468" s="5"/>
      <c r="G468" s="5"/>
      <c r="H468" s="5" t="str">
        <f t="array" ref="H468">IF(N468=1, INDEX('Database Mitra'!$C$2:$C993,MATCH($C468,'Database Mitra'!$AK$2:$AK993,0)),"")</f>
        <v/>
      </c>
      <c r="I468" s="71" t="str">
        <f>IF(N468=1,SUMIFS('Alokasi Honor'!$M$2:$M993,'Alokasi Honor'!$T$2:$T993,A468),"")</f>
        <v/>
      </c>
      <c r="L468" s="10" t="str">
        <f t="array" ref="L468">IF(N468=1,INDEX('Batasan Honor'!$B$2:$B993,MATCH(CONCATENATE($F468,"-",$G468),'Batasan Honor'!$G$2:$G993,0)),"")</f>
        <v/>
      </c>
      <c r="M468" s="10" t="str">
        <f t="shared" si="5"/>
        <v/>
      </c>
      <c r="N468" s="10" t="str">
        <f t="shared" si="3"/>
        <v/>
      </c>
    </row>
    <row r="469" spans="1:14" ht="12.5">
      <c r="B469" s="5"/>
      <c r="C469" s="5" t="str">
        <f ca="1">IFERROR(__xludf.DUMMYFUNCTION("IF(N469=1,SPLIT(A469,""-""),"""")"),"")</f>
        <v/>
      </c>
      <c r="F469" s="5"/>
      <c r="G469" s="5"/>
      <c r="H469" s="5" t="str">
        <f t="array" ref="H469">IF(N469=1, INDEX('Database Mitra'!$C$2:$C993,MATCH($C469,'Database Mitra'!$AK$2:$AK993,0)),"")</f>
        <v/>
      </c>
      <c r="I469" s="71" t="str">
        <f>IF(N469=1,SUMIFS('Alokasi Honor'!$M$2:$M993,'Alokasi Honor'!$T$2:$T993,A469),"")</f>
        <v/>
      </c>
      <c r="L469" s="10" t="str">
        <f t="array" ref="L469">IF(N469=1,INDEX('Batasan Honor'!$B$2:$B993,MATCH(CONCATENATE($F469,"-",$G469),'Batasan Honor'!$G$2:$G993,0)),"")</f>
        <v/>
      </c>
      <c r="M469" s="10" t="str">
        <f t="shared" si="5"/>
        <v/>
      </c>
      <c r="N469" s="10" t="str">
        <f t="shared" si="3"/>
        <v/>
      </c>
    </row>
    <row r="470" spans="1:14" ht="12.5">
      <c r="B470" s="5"/>
      <c r="C470" s="5" t="str">
        <f ca="1">IFERROR(__xludf.DUMMYFUNCTION("IF(N470=1,SPLIT(A470,""-""),"""")"),"")</f>
        <v/>
      </c>
      <c r="F470" s="5"/>
      <c r="G470" s="5"/>
      <c r="H470" s="5" t="str">
        <f t="array" ref="H470">IF(N470=1, INDEX('Database Mitra'!$C$2:$C993,MATCH($C470,'Database Mitra'!$AK$2:$AK993,0)),"")</f>
        <v/>
      </c>
      <c r="I470" s="71" t="str">
        <f>IF(N470=1,SUMIFS('Alokasi Honor'!$M$2:$M993,'Alokasi Honor'!$T$2:$T993,A470),"")</f>
        <v/>
      </c>
      <c r="L470" s="10" t="str">
        <f t="array" ref="L470">IF(N470=1,INDEX('Batasan Honor'!$B$2:$B993,MATCH(CONCATENATE($F470,"-",$G470),'Batasan Honor'!$G$2:$G993,0)),"")</f>
        <v/>
      </c>
      <c r="M470" s="10" t="str">
        <f t="shared" si="5"/>
        <v/>
      </c>
      <c r="N470" s="10" t="str">
        <f t="shared" si="3"/>
        <v/>
      </c>
    </row>
    <row r="471" spans="1:14" ht="12.5">
      <c r="B471" s="5"/>
      <c r="C471" s="5" t="str">
        <f ca="1">IFERROR(__xludf.DUMMYFUNCTION("IF(N471=1,SPLIT(A471,""-""),"""")"),"")</f>
        <v/>
      </c>
      <c r="F471" s="5"/>
      <c r="G471" s="5"/>
      <c r="H471" s="5" t="str">
        <f t="array" ref="H471">IF(N471=1, INDEX('Database Mitra'!$C$2:$C993,MATCH($C471,'Database Mitra'!$AK$2:$AK993,0)),"")</f>
        <v/>
      </c>
      <c r="I471" s="71" t="str">
        <f>IF(N471=1,SUMIFS('Alokasi Honor'!$M$2:$M993,'Alokasi Honor'!$T$2:$T993,A471),"")</f>
        <v/>
      </c>
      <c r="L471" s="10" t="str">
        <f t="array" ref="L471">IF(N471=1,INDEX('Batasan Honor'!$B$2:$B993,MATCH(CONCATENATE($F471,"-",$G471),'Batasan Honor'!$G$2:$G993,0)),"")</f>
        <v/>
      </c>
      <c r="M471" s="10" t="str">
        <f t="shared" si="5"/>
        <v/>
      </c>
      <c r="N471" s="10" t="str">
        <f t="shared" si="3"/>
        <v/>
      </c>
    </row>
    <row r="472" spans="1:14" ht="12.5">
      <c r="B472" s="5"/>
      <c r="C472" s="5" t="str">
        <f ca="1">IFERROR(__xludf.DUMMYFUNCTION("IF(N472=1,SPLIT(A472,""-""),"""")"),"")</f>
        <v/>
      </c>
      <c r="F472" s="5"/>
      <c r="G472" s="5"/>
      <c r="H472" s="5" t="str">
        <f t="array" ref="H472">IF(N472=1, INDEX('Database Mitra'!$C$2:$C993,MATCH($C472,'Database Mitra'!$AK$2:$AK993,0)),"")</f>
        <v/>
      </c>
      <c r="I472" s="71" t="str">
        <f>IF(N472=1,SUMIFS('Alokasi Honor'!$M$2:$M993,'Alokasi Honor'!$T$2:$T993,A472),"")</f>
        <v/>
      </c>
      <c r="L472" s="10" t="str">
        <f t="array" ref="L472">IF(N472=1,INDEX('Batasan Honor'!$B$2:$B993,MATCH(CONCATENATE($F472,"-",$G472),'Batasan Honor'!$G$2:$G993,0)),"")</f>
        <v/>
      </c>
      <c r="M472" s="10" t="str">
        <f t="shared" si="5"/>
        <v/>
      </c>
      <c r="N472" s="10" t="str">
        <f t="shared" si="3"/>
        <v/>
      </c>
    </row>
    <row r="473" spans="1:14" ht="12.5">
      <c r="B473" s="5"/>
      <c r="C473" s="5" t="str">
        <f ca="1">IFERROR(__xludf.DUMMYFUNCTION("IF(N473=1,SPLIT(A473,""-""),"""")"),"")</f>
        <v/>
      </c>
      <c r="F473" s="5"/>
      <c r="G473" s="5"/>
      <c r="H473" s="5" t="str">
        <f t="array" ref="H473">IF(N473=1, INDEX('Database Mitra'!$C$2:$C993,MATCH($C473,'Database Mitra'!$AK$2:$AK993,0)),"")</f>
        <v/>
      </c>
      <c r="I473" s="71" t="str">
        <f>IF(N473=1,SUMIFS('Alokasi Honor'!$M$2:$M993,'Alokasi Honor'!$T$2:$T993,A473),"")</f>
        <v/>
      </c>
      <c r="L473" s="10" t="str">
        <f t="array" ref="L473">IF(N473=1,INDEX('Batasan Honor'!$B$2:$B993,MATCH(CONCATENATE($F473,"-",$G473),'Batasan Honor'!$G$2:$G993,0)),"")</f>
        <v/>
      </c>
      <c r="M473" s="10" t="str">
        <f t="shared" si="5"/>
        <v/>
      </c>
      <c r="N473" s="10" t="str">
        <f t="shared" si="3"/>
        <v/>
      </c>
    </row>
    <row r="474" spans="1:14" ht="12.5">
      <c r="B474" s="5"/>
      <c r="C474" s="5" t="str">
        <f ca="1">IFERROR(__xludf.DUMMYFUNCTION("IF(N474=1,SPLIT(A474,""-""),"""")"),"")</f>
        <v/>
      </c>
      <c r="F474" s="5"/>
      <c r="G474" s="5"/>
      <c r="H474" s="5" t="str">
        <f t="array" ref="H474">IF(N474=1, INDEX('Database Mitra'!$C$2:$C993,MATCH($C474,'Database Mitra'!$AK$2:$AK993,0)),"")</f>
        <v/>
      </c>
      <c r="I474" s="71" t="str">
        <f>IF(N474=1,SUMIFS('Alokasi Honor'!$M$2:$M993,'Alokasi Honor'!$T$2:$T993,A474),"")</f>
        <v/>
      </c>
      <c r="L474" s="10" t="str">
        <f t="array" ref="L474">IF(N474=1,INDEX('Batasan Honor'!$B$2:$B993,MATCH(CONCATENATE($F474,"-",$G474),'Batasan Honor'!$G$2:$G993,0)),"")</f>
        <v/>
      </c>
      <c r="M474" s="10" t="str">
        <f t="shared" si="5"/>
        <v/>
      </c>
      <c r="N474" s="10" t="str">
        <f t="shared" si="3"/>
        <v/>
      </c>
    </row>
    <row r="475" spans="1:14" ht="12.5">
      <c r="B475" s="5"/>
      <c r="C475" s="5" t="str">
        <f ca="1">IFERROR(__xludf.DUMMYFUNCTION("IF(N475=1,SPLIT(A475,""-""),"""")"),"")</f>
        <v/>
      </c>
      <c r="F475" s="5"/>
      <c r="G475" s="5"/>
      <c r="H475" s="5" t="str">
        <f t="array" ref="H475">IF(N475=1, INDEX('Database Mitra'!$C$2:$C993,MATCH($C475,'Database Mitra'!$AK$2:$AK993,0)),"")</f>
        <v/>
      </c>
      <c r="I475" s="71" t="str">
        <f>IF(N475=1,SUMIFS('Alokasi Honor'!$M$2:$M993,'Alokasi Honor'!$T$2:$T993,A475),"")</f>
        <v/>
      </c>
      <c r="L475" s="10" t="str">
        <f t="array" ref="L475">IF(N475=1,INDEX('Batasan Honor'!$B$2:$B993,MATCH(CONCATENATE($F475,"-",$G475),'Batasan Honor'!$G$2:$G993,0)),"")</f>
        <v/>
      </c>
      <c r="M475" s="10" t="str">
        <f t="shared" si="5"/>
        <v/>
      </c>
      <c r="N475" s="10" t="str">
        <f t="shared" si="3"/>
        <v/>
      </c>
    </row>
    <row r="476" spans="1:14" ht="12.5">
      <c r="B476" s="5"/>
      <c r="C476" s="5" t="str">
        <f ca="1">IFERROR(__xludf.DUMMYFUNCTION("IF(N476=1,SPLIT(A476,""-""),"""")"),"")</f>
        <v/>
      </c>
      <c r="F476" s="5"/>
      <c r="G476" s="5"/>
      <c r="H476" s="5" t="str">
        <f t="array" ref="H476">IF(N476=1, INDEX('Database Mitra'!$C$2:$C993,MATCH($C476,'Database Mitra'!$AK$2:$AK993,0)),"")</f>
        <v/>
      </c>
      <c r="I476" s="71" t="str">
        <f>IF(N476=1,SUMIFS('Alokasi Honor'!$M$2:$M993,'Alokasi Honor'!$T$2:$T993,A476),"")</f>
        <v/>
      </c>
      <c r="L476" s="10" t="str">
        <f t="array" ref="L476">IF(N476=1,INDEX('Batasan Honor'!$B$2:$B993,MATCH(CONCATENATE($F476,"-",$G476),'Batasan Honor'!$G$2:$G993,0)),"")</f>
        <v/>
      </c>
      <c r="M476" s="10" t="str">
        <f t="shared" si="5"/>
        <v/>
      </c>
      <c r="N476" s="10" t="str">
        <f t="shared" si="3"/>
        <v/>
      </c>
    </row>
    <row r="477" spans="1:14" ht="12.5">
      <c r="B477" s="5"/>
      <c r="C477" s="5" t="str">
        <f ca="1">IFERROR(__xludf.DUMMYFUNCTION("IF(N477=1,SPLIT(A477,""-""),"""")"),"")</f>
        <v/>
      </c>
      <c r="F477" s="5"/>
      <c r="G477" s="5"/>
      <c r="H477" s="5" t="str">
        <f t="array" ref="H477">IF(N477=1, INDEX('Database Mitra'!$C$2:$C993,MATCH($C477,'Database Mitra'!$AK$2:$AK993,0)),"")</f>
        <v/>
      </c>
      <c r="I477" s="71" t="str">
        <f>IF(N477=1,SUMIFS('Alokasi Honor'!$M$2:$M993,'Alokasi Honor'!$T$2:$T993,A477),"")</f>
        <v/>
      </c>
      <c r="L477" s="10" t="str">
        <f t="array" ref="L477">IF(N477=1,INDEX('Batasan Honor'!$B$2:$B993,MATCH(CONCATENATE($F477,"-",$G477),'Batasan Honor'!$G$2:$G993,0)),"")</f>
        <v/>
      </c>
      <c r="M477" s="10" t="str">
        <f t="shared" si="5"/>
        <v/>
      </c>
      <c r="N477" s="10" t="str">
        <f t="shared" si="3"/>
        <v/>
      </c>
    </row>
    <row r="478" spans="1:14" ht="12.5">
      <c r="B478" s="5"/>
      <c r="C478" s="5" t="str">
        <f ca="1">IFERROR(__xludf.DUMMYFUNCTION("IF(N478=1,SPLIT(A478,""-""),"""")"),"")</f>
        <v/>
      </c>
      <c r="F478" s="5"/>
      <c r="G478" s="5"/>
      <c r="H478" s="5" t="str">
        <f t="array" ref="H478">IF(N478=1, INDEX('Database Mitra'!$C$2:$C993,MATCH($C478,'Database Mitra'!$AK$2:$AK993,0)),"")</f>
        <v/>
      </c>
      <c r="I478" s="71" t="str">
        <f>IF(N478=1,SUMIFS('Alokasi Honor'!$M$2:$M993,'Alokasi Honor'!$T$2:$T993,A478),"")</f>
        <v/>
      </c>
      <c r="L478" s="10" t="str">
        <f t="array" ref="L478">IF(N478=1,INDEX('Batasan Honor'!$B$2:$B993,MATCH(CONCATENATE($F478,"-",$G478),'Batasan Honor'!$G$2:$G993,0)),"")</f>
        <v/>
      </c>
      <c r="M478" s="10" t="str">
        <f t="shared" si="5"/>
        <v/>
      </c>
      <c r="N478" s="10" t="str">
        <f t="shared" si="3"/>
        <v/>
      </c>
    </row>
    <row r="479" spans="1:14" ht="12.5">
      <c r="B479" s="5"/>
      <c r="C479" s="5" t="str">
        <f ca="1">IFERROR(__xludf.DUMMYFUNCTION("IF(N479=1,SPLIT(A479,""-""),"""")"),"")</f>
        <v/>
      </c>
      <c r="F479" s="5"/>
      <c r="G479" s="5"/>
      <c r="H479" s="5" t="str">
        <f t="array" ref="H479">IF(N479=1, INDEX('Database Mitra'!$C$2:$C993,MATCH($C479,'Database Mitra'!$AK$2:$AK993,0)),"")</f>
        <v/>
      </c>
      <c r="I479" s="71" t="str">
        <f>IF(N479=1,SUMIFS('Alokasi Honor'!$M$2:$M993,'Alokasi Honor'!$T$2:$T993,A479),"")</f>
        <v/>
      </c>
      <c r="L479" s="10" t="str">
        <f t="array" ref="L479">IF(N479=1,INDEX('Batasan Honor'!$B$2:$B993,MATCH(CONCATENATE($F479,"-",$G479),'Batasan Honor'!$G$2:$G993,0)),"")</f>
        <v/>
      </c>
      <c r="M479" s="10" t="str">
        <f t="shared" si="5"/>
        <v/>
      </c>
      <c r="N479" s="10" t="str">
        <f t="shared" si="3"/>
        <v/>
      </c>
    </row>
    <row r="480" spans="1:14" ht="12.5">
      <c r="B480" s="5"/>
      <c r="C480" s="5" t="str">
        <f ca="1">IFERROR(__xludf.DUMMYFUNCTION("IF(N480=1,SPLIT(A480,""-""),"""")"),"")</f>
        <v/>
      </c>
      <c r="F480" s="5"/>
      <c r="G480" s="5"/>
      <c r="H480" s="5" t="str">
        <f t="array" ref="H480">IF(N480=1, INDEX('Database Mitra'!$C$2:$C993,MATCH($C480,'Database Mitra'!$AK$2:$AK993,0)),"")</f>
        <v/>
      </c>
      <c r="I480" s="71" t="str">
        <f>IF(N480=1,SUMIFS('Alokasi Honor'!$M$2:$M993,'Alokasi Honor'!$T$2:$T993,A480),"")</f>
        <v/>
      </c>
      <c r="L480" s="10" t="str">
        <f t="array" ref="L480">IF(N480=1,INDEX('Batasan Honor'!$B$2:$B993,MATCH(CONCATENATE($F480,"-",$G480),'Batasan Honor'!$G$2:$G993,0)),"")</f>
        <v/>
      </c>
      <c r="M480" s="10" t="str">
        <f t="shared" si="5"/>
        <v/>
      </c>
      <c r="N480" s="10" t="str">
        <f t="shared" si="3"/>
        <v/>
      </c>
    </row>
    <row r="481" spans="2:14" ht="12.5">
      <c r="B481" s="5"/>
      <c r="C481" s="5" t="str">
        <f ca="1">IFERROR(__xludf.DUMMYFUNCTION("IF(N481=1,SPLIT(A481,""-""),"""")"),"")</f>
        <v/>
      </c>
      <c r="F481" s="5"/>
      <c r="G481" s="5"/>
      <c r="H481" s="5" t="str">
        <f t="array" ref="H481">IF(N481=1, INDEX('Database Mitra'!$C$2:$C993,MATCH($C481,'Database Mitra'!$AK$2:$AK993,0)),"")</f>
        <v/>
      </c>
      <c r="I481" s="71" t="str">
        <f>IF(N481=1,SUMIFS('Alokasi Honor'!$M$2:$M993,'Alokasi Honor'!$T$2:$T993,A481),"")</f>
        <v/>
      </c>
      <c r="L481" s="10" t="str">
        <f t="array" ref="L481">IF(N481=1,INDEX('Batasan Honor'!$B$2:$B993,MATCH(CONCATENATE($F481,"-",$G481),'Batasan Honor'!$G$2:$G993,0)),"")</f>
        <v/>
      </c>
      <c r="M481" s="10" t="str">
        <f t="shared" si="5"/>
        <v/>
      </c>
      <c r="N481" s="10" t="str">
        <f t="shared" si="3"/>
        <v/>
      </c>
    </row>
    <row r="482" spans="2:14" ht="12.5">
      <c r="B482" s="5"/>
      <c r="C482" s="5" t="str">
        <f ca="1">IFERROR(__xludf.DUMMYFUNCTION("IF(N482=1,SPLIT(A482,""-""),"""")"),"")</f>
        <v/>
      </c>
      <c r="F482" s="5"/>
      <c r="G482" s="5"/>
      <c r="H482" s="5" t="str">
        <f t="array" ref="H482">IF(N482=1, INDEX('Database Mitra'!$C$2:$C993,MATCH($C482,'Database Mitra'!$AK$2:$AK993,0)),"")</f>
        <v/>
      </c>
      <c r="I482" s="71" t="str">
        <f>IF(N482=1,SUMIFS('Alokasi Honor'!$M$2:$M993,'Alokasi Honor'!$T$2:$T993,A482),"")</f>
        <v/>
      </c>
      <c r="L482" s="10" t="str">
        <f t="array" ref="L482">IF(N482=1,INDEX('Batasan Honor'!$B$2:$B993,MATCH(CONCATENATE($F482,"-",$G482),'Batasan Honor'!$G$2:$G993,0)),"")</f>
        <v/>
      </c>
      <c r="M482" s="10" t="str">
        <f t="shared" si="5"/>
        <v/>
      </c>
      <c r="N482" s="10" t="str">
        <f t="shared" si="3"/>
        <v/>
      </c>
    </row>
    <row r="483" spans="2:14" ht="12.5">
      <c r="B483" s="5"/>
      <c r="C483" s="5" t="str">
        <f ca="1">IFERROR(__xludf.DUMMYFUNCTION("IF(N483=1,SPLIT(A483,""-""),"""")"),"")</f>
        <v/>
      </c>
      <c r="F483" s="5"/>
      <c r="G483" s="5"/>
      <c r="H483" s="5" t="str">
        <f t="array" ref="H483">IF(N483=1, INDEX('Database Mitra'!$C$2:$C993,MATCH($C483,'Database Mitra'!$AK$2:$AK993,0)),"")</f>
        <v/>
      </c>
      <c r="I483" s="71" t="str">
        <f>IF(N483=1,SUMIFS('Alokasi Honor'!$M$2:$M993,'Alokasi Honor'!$T$2:$T993,A483),"")</f>
        <v/>
      </c>
      <c r="L483" s="10" t="str">
        <f t="array" ref="L483">IF(N483=1,INDEX('Batasan Honor'!$B$2:$B993,MATCH(CONCATENATE($F483,"-",$G483),'Batasan Honor'!$G$2:$G993,0)),"")</f>
        <v/>
      </c>
      <c r="M483" s="10" t="str">
        <f t="shared" si="5"/>
        <v/>
      </c>
      <c r="N483" s="10" t="str">
        <f t="shared" si="3"/>
        <v/>
      </c>
    </row>
    <row r="484" spans="2:14" ht="12.5">
      <c r="B484" s="5"/>
      <c r="C484" s="5" t="str">
        <f ca="1">IFERROR(__xludf.DUMMYFUNCTION("IF(N484=1,SPLIT(A484,""-""),"""")"),"")</f>
        <v/>
      </c>
      <c r="F484" s="5"/>
      <c r="G484" s="5"/>
      <c r="H484" s="5" t="str">
        <f t="array" ref="H484">IF(N484=1, INDEX('Database Mitra'!$C$2:$C993,MATCH($C484,'Database Mitra'!$AK$2:$AK993,0)),"")</f>
        <v/>
      </c>
      <c r="I484" s="71" t="str">
        <f>IF(N484=1,SUMIFS('Alokasi Honor'!$M$2:$M993,'Alokasi Honor'!$T$2:$T993,A484),"")</f>
        <v/>
      </c>
      <c r="L484" s="10" t="str">
        <f t="array" ref="L484">IF(N484=1,INDEX('Batasan Honor'!$B$2:$B993,MATCH(CONCATENATE($F484,"-",$G484),'Batasan Honor'!$G$2:$G993,0)),"")</f>
        <v/>
      </c>
      <c r="M484" s="10" t="str">
        <f t="shared" si="5"/>
        <v/>
      </c>
      <c r="N484" s="10" t="str">
        <f t="shared" si="3"/>
        <v/>
      </c>
    </row>
    <row r="485" spans="2:14" ht="12.5">
      <c r="B485" s="5"/>
      <c r="C485" s="5" t="str">
        <f ca="1">IFERROR(__xludf.DUMMYFUNCTION("IF(N485=1,SPLIT(A485,""-""),"""")"),"")</f>
        <v/>
      </c>
      <c r="F485" s="5"/>
      <c r="G485" s="5"/>
      <c r="H485" s="5" t="str">
        <f t="array" ref="H485">IF(N485=1, INDEX('Database Mitra'!$C$2:$C993,MATCH($C485,'Database Mitra'!$AK$2:$AK993,0)),"")</f>
        <v/>
      </c>
      <c r="I485" s="71" t="str">
        <f>IF(N485=1,SUMIFS('Alokasi Honor'!$M$2:$M993,'Alokasi Honor'!$T$2:$T993,A485),"")</f>
        <v/>
      </c>
      <c r="L485" s="10" t="str">
        <f t="array" ref="L485">IF(N485=1,INDEX('Batasan Honor'!$B$2:$B993,MATCH(CONCATENATE($F485,"-",$G485),'Batasan Honor'!$G$2:$G993,0)),"")</f>
        <v/>
      </c>
      <c r="M485" s="10" t="str">
        <f t="shared" si="5"/>
        <v/>
      </c>
      <c r="N485" s="10" t="str">
        <f t="shared" si="3"/>
        <v/>
      </c>
    </row>
    <row r="486" spans="2:14" ht="12.5">
      <c r="B486" s="5"/>
      <c r="C486" s="5" t="str">
        <f ca="1">IFERROR(__xludf.DUMMYFUNCTION("IF(N486=1,SPLIT(A486,""-""),"""")"),"")</f>
        <v/>
      </c>
      <c r="F486" s="5"/>
      <c r="G486" s="5"/>
      <c r="H486" s="5" t="str">
        <f t="array" ref="H486">IF(N486=1, INDEX('Database Mitra'!$C$2:$C993,MATCH($C486,'Database Mitra'!$AK$2:$AK993,0)),"")</f>
        <v/>
      </c>
      <c r="I486" s="71" t="str">
        <f>IF(N486=1,SUMIFS('Alokasi Honor'!$M$2:$M993,'Alokasi Honor'!$T$2:$T993,A486),"")</f>
        <v/>
      </c>
      <c r="L486" s="10" t="str">
        <f t="array" ref="L486">IF(N486=1,INDEX('Batasan Honor'!$B$2:$B993,MATCH(CONCATENATE($F486,"-",$G486),'Batasan Honor'!$G$2:$G993,0)),"")</f>
        <v/>
      </c>
      <c r="M486" s="10" t="str">
        <f t="shared" si="5"/>
        <v/>
      </c>
      <c r="N486" s="10" t="str">
        <f t="shared" si="3"/>
        <v/>
      </c>
    </row>
    <row r="487" spans="2:14" ht="12.5">
      <c r="B487" s="5"/>
      <c r="C487" s="5" t="str">
        <f ca="1">IFERROR(__xludf.DUMMYFUNCTION("IF(N487=1,SPLIT(A487,""-""),"""")"),"")</f>
        <v/>
      </c>
      <c r="F487" s="5"/>
      <c r="G487" s="5"/>
      <c r="H487" s="5" t="str">
        <f t="array" ref="H487">IF(N487=1, INDEX('Database Mitra'!$C$2:$C993,MATCH($C487,'Database Mitra'!$AK$2:$AK993,0)),"")</f>
        <v/>
      </c>
      <c r="I487" s="71" t="str">
        <f>IF(N487=1,SUMIFS('Alokasi Honor'!$M$2:$M993,'Alokasi Honor'!$T$2:$T993,A487),"")</f>
        <v/>
      </c>
      <c r="L487" s="10" t="str">
        <f t="array" ref="L487">IF(N487=1,INDEX('Batasan Honor'!$B$2:$B993,MATCH(CONCATENATE($F487,"-",$G487),'Batasan Honor'!$G$2:$G993,0)),"")</f>
        <v/>
      </c>
      <c r="M487" s="10" t="str">
        <f t="shared" si="5"/>
        <v/>
      </c>
      <c r="N487" s="10" t="str">
        <f t="shared" si="3"/>
        <v/>
      </c>
    </row>
    <row r="488" spans="2:14" ht="12.5">
      <c r="B488" s="5"/>
      <c r="C488" s="5" t="str">
        <f ca="1">IFERROR(__xludf.DUMMYFUNCTION("IF(N488=1,SPLIT(A488,""-""),"""")"),"")</f>
        <v/>
      </c>
      <c r="F488" s="5"/>
      <c r="G488" s="5"/>
      <c r="H488" s="5" t="str">
        <f t="array" ref="H488">IF(N488=1, INDEX('Database Mitra'!$C$2:$C993,MATCH($C488,'Database Mitra'!$AK$2:$AK993,0)),"")</f>
        <v/>
      </c>
      <c r="I488" s="71" t="str">
        <f>IF(N488=1,SUMIFS('Alokasi Honor'!$M$2:$M993,'Alokasi Honor'!$T$2:$T993,A488),"")</f>
        <v/>
      </c>
      <c r="L488" s="10" t="str">
        <f t="array" ref="L488">IF(N488=1,INDEX('Batasan Honor'!$B$2:$B993,MATCH(CONCATENATE($F488,"-",$G488),'Batasan Honor'!$G$2:$G993,0)),"")</f>
        <v/>
      </c>
      <c r="M488" s="10" t="str">
        <f t="shared" si="5"/>
        <v/>
      </c>
      <c r="N488" s="10" t="str">
        <f t="shared" si="3"/>
        <v/>
      </c>
    </row>
    <row r="489" spans="2:14" ht="12.5">
      <c r="B489" s="5"/>
      <c r="C489" s="5" t="str">
        <f ca="1">IFERROR(__xludf.DUMMYFUNCTION("IF(N489=1,SPLIT(A489,""-""),"""")"),"")</f>
        <v/>
      </c>
      <c r="F489" s="5"/>
      <c r="G489" s="5"/>
      <c r="H489" s="5" t="str">
        <f t="array" ref="H489">IF(N489=1, INDEX('Database Mitra'!$C$2:$C993,MATCH($C489,'Database Mitra'!$AK$2:$AK993,0)),"")</f>
        <v/>
      </c>
      <c r="I489" s="71" t="str">
        <f>IF(N489=1,SUMIFS('Alokasi Honor'!$M$2:$M993,'Alokasi Honor'!$T$2:$T993,A489),"")</f>
        <v/>
      </c>
      <c r="L489" s="10" t="str">
        <f t="array" ref="L489">IF(N489=1,INDEX('Batasan Honor'!$B$2:$B993,MATCH(CONCATENATE($F489,"-",$G489),'Batasan Honor'!$G$2:$G993,0)),"")</f>
        <v/>
      </c>
      <c r="M489" s="10" t="str">
        <f t="shared" si="5"/>
        <v/>
      </c>
      <c r="N489" s="10" t="str">
        <f t="shared" si="3"/>
        <v/>
      </c>
    </row>
    <row r="490" spans="2:14" ht="12.5">
      <c r="B490" s="5"/>
      <c r="C490" s="5" t="str">
        <f ca="1">IFERROR(__xludf.DUMMYFUNCTION("IF(N490=1,SPLIT(A490,""-""),"""")"),"")</f>
        <v/>
      </c>
      <c r="F490" s="5"/>
      <c r="G490" s="5"/>
      <c r="H490" s="5" t="str">
        <f t="array" ref="H490">IF(N490=1, INDEX('Database Mitra'!$C$2:$C993,MATCH($C490,'Database Mitra'!$AK$2:$AK993,0)),"")</f>
        <v/>
      </c>
      <c r="I490" s="71" t="str">
        <f>IF(N490=1,SUMIFS('Alokasi Honor'!$M$2:$M993,'Alokasi Honor'!$T$2:$T993,A490),"")</f>
        <v/>
      </c>
      <c r="L490" s="10" t="str">
        <f t="array" ref="L490">IF(N490=1,INDEX('Batasan Honor'!$B$2:$B993,MATCH(CONCATENATE($F490,"-",$G490),'Batasan Honor'!$G$2:$G993,0)),"")</f>
        <v/>
      </c>
      <c r="M490" s="10" t="str">
        <f t="shared" si="5"/>
        <v/>
      </c>
      <c r="N490" s="10" t="str">
        <f t="shared" si="3"/>
        <v/>
      </c>
    </row>
    <row r="491" spans="2:14" ht="12.5">
      <c r="B491" s="5"/>
      <c r="C491" s="5" t="str">
        <f ca="1">IFERROR(__xludf.DUMMYFUNCTION("IF(N491=1,SPLIT(A491,""-""),"""")"),"")</f>
        <v/>
      </c>
      <c r="F491" s="5"/>
      <c r="G491" s="5"/>
      <c r="H491" s="5" t="str">
        <f t="array" ref="H491">IF(N491=1, INDEX('Database Mitra'!$C$2:$C993,MATCH($C491,'Database Mitra'!$AK$2:$AK993,0)),"")</f>
        <v/>
      </c>
      <c r="I491" s="71" t="str">
        <f>IF(N491=1,SUMIFS('Alokasi Honor'!$M$2:$M993,'Alokasi Honor'!$T$2:$T993,A491),"")</f>
        <v/>
      </c>
      <c r="L491" s="10" t="str">
        <f t="array" ref="L491">IF(N491=1,INDEX('Batasan Honor'!$B$2:$B993,MATCH(CONCATENATE($F491,"-",$G491),'Batasan Honor'!$G$2:$G993,0)),"")</f>
        <v/>
      </c>
      <c r="M491" s="10" t="str">
        <f t="shared" si="5"/>
        <v/>
      </c>
      <c r="N491" s="10" t="str">
        <f t="shared" si="3"/>
        <v/>
      </c>
    </row>
    <row r="492" spans="2:14" ht="12.5">
      <c r="B492" s="5"/>
      <c r="C492" s="5" t="str">
        <f ca="1">IFERROR(__xludf.DUMMYFUNCTION("IF(N492=1,SPLIT(A492,""-""),"""")"),"")</f>
        <v/>
      </c>
      <c r="F492" s="5"/>
      <c r="G492" s="5"/>
      <c r="H492" s="5" t="str">
        <f t="array" ref="H492">IF(N492=1, INDEX('Database Mitra'!$C$2:$C993,MATCH($C492,'Database Mitra'!$AK$2:$AK993,0)),"")</f>
        <v/>
      </c>
      <c r="I492" s="71" t="str">
        <f>IF(N492=1,SUMIFS('Alokasi Honor'!$M$2:$M993,'Alokasi Honor'!$T$2:$T993,A492),"")</f>
        <v/>
      </c>
      <c r="L492" s="10" t="str">
        <f t="array" ref="L492">IF(N492=1,INDEX('Batasan Honor'!$B$2:$B993,MATCH(CONCATENATE($F492,"-",$G492),'Batasan Honor'!$G$2:$G993,0)),"")</f>
        <v/>
      </c>
      <c r="M492" s="10" t="str">
        <f t="shared" si="5"/>
        <v/>
      </c>
      <c r="N492" s="10" t="str">
        <f t="shared" si="3"/>
        <v/>
      </c>
    </row>
    <row r="493" spans="2:14" ht="12.5">
      <c r="B493" s="5"/>
      <c r="C493" s="5" t="str">
        <f ca="1">IFERROR(__xludf.DUMMYFUNCTION("IF(N493=1,SPLIT(A493,""-""),"""")"),"")</f>
        <v/>
      </c>
      <c r="F493" s="5"/>
      <c r="G493" s="5"/>
      <c r="H493" s="5" t="str">
        <f t="array" ref="H493">IF(N493=1, INDEX('Database Mitra'!$C$2:$C993,MATCH($C493,'Database Mitra'!$AK$2:$AK993,0)),"")</f>
        <v/>
      </c>
      <c r="I493" s="71" t="str">
        <f>IF(N493=1,SUMIFS('Alokasi Honor'!$M$2:$M993,'Alokasi Honor'!$T$2:$T993,A493),"")</f>
        <v/>
      </c>
      <c r="L493" s="10" t="str">
        <f t="array" ref="L493">IF(N493=1,INDEX('Batasan Honor'!$B$2:$B993,MATCH(CONCATENATE($F493,"-",$G493),'Batasan Honor'!$G$2:$G993,0)),"")</f>
        <v/>
      </c>
      <c r="M493" s="10" t="str">
        <f t="shared" si="5"/>
        <v/>
      </c>
      <c r="N493" s="10" t="str">
        <f t="shared" si="3"/>
        <v/>
      </c>
    </row>
    <row r="494" spans="2:14" ht="12.5">
      <c r="B494" s="5"/>
      <c r="C494" s="5" t="str">
        <f ca="1">IFERROR(__xludf.DUMMYFUNCTION("IF(N494=1,SPLIT(A494,""-""),"""")"),"")</f>
        <v/>
      </c>
      <c r="F494" s="5"/>
      <c r="G494" s="5"/>
      <c r="H494" s="5" t="str">
        <f t="array" ref="H494">IF(N494=1, INDEX('Database Mitra'!$C$2:$C993,MATCH($C494,'Database Mitra'!$AK$2:$AK993,0)),"")</f>
        <v/>
      </c>
      <c r="I494" s="71" t="str">
        <f>IF(N494=1,SUMIFS('Alokasi Honor'!$M$2:$M993,'Alokasi Honor'!$T$2:$T993,A494),"")</f>
        <v/>
      </c>
      <c r="L494" s="10" t="str">
        <f t="array" ref="L494">IF(N494=1,INDEX('Batasan Honor'!$B$2:$B993,MATCH(CONCATENATE($F494,"-",$G494),'Batasan Honor'!$G$2:$G993,0)),"")</f>
        <v/>
      </c>
      <c r="M494" s="10" t="str">
        <f t="shared" si="5"/>
        <v/>
      </c>
      <c r="N494" s="10" t="str">
        <f t="shared" si="3"/>
        <v/>
      </c>
    </row>
    <row r="495" spans="2:14" ht="12.5">
      <c r="B495" s="5"/>
      <c r="C495" s="5" t="str">
        <f ca="1">IFERROR(__xludf.DUMMYFUNCTION("IF(N495=1,SPLIT(A495,""-""),"""")"),"")</f>
        <v/>
      </c>
      <c r="F495" s="5"/>
      <c r="G495" s="5"/>
      <c r="H495" s="5" t="str">
        <f t="array" ref="H495">IF(N495=1, INDEX('Database Mitra'!$C$2:$C993,MATCH($C495,'Database Mitra'!$AK$2:$AK993,0)),"")</f>
        <v/>
      </c>
      <c r="I495" s="71" t="str">
        <f>IF(N495=1,SUMIFS('Alokasi Honor'!$M$2:$M993,'Alokasi Honor'!$T$2:$T993,A495),"")</f>
        <v/>
      </c>
      <c r="L495" s="10" t="str">
        <f t="array" ref="L495">IF(N495=1,INDEX('Batasan Honor'!$B$2:$B993,MATCH(CONCATENATE($F495,"-",$G495),'Batasan Honor'!$G$2:$G993,0)),"")</f>
        <v/>
      </c>
      <c r="M495" s="10" t="str">
        <f t="shared" si="5"/>
        <v/>
      </c>
      <c r="N495" s="10" t="str">
        <f t="shared" si="3"/>
        <v/>
      </c>
    </row>
    <row r="496" spans="2:14" ht="12.5">
      <c r="B496" s="5"/>
      <c r="C496" s="5" t="str">
        <f ca="1">IFERROR(__xludf.DUMMYFUNCTION("IF(N496=1,SPLIT(A496,""-""),"""")"),"")</f>
        <v/>
      </c>
      <c r="F496" s="5"/>
      <c r="G496" s="5"/>
      <c r="H496" s="5" t="str">
        <f t="array" ref="H496">IF(N496=1, INDEX('Database Mitra'!$C$2:$C993,MATCH($C496,'Database Mitra'!$AK$2:$AK993,0)),"")</f>
        <v/>
      </c>
      <c r="I496" s="71" t="str">
        <f>IF(N496=1,SUMIFS('Alokasi Honor'!$M$2:$M993,'Alokasi Honor'!$T$2:$T993,A496),"")</f>
        <v/>
      </c>
      <c r="L496" s="10" t="str">
        <f t="array" ref="L496">IF(N496=1,INDEX('Batasan Honor'!$B$2:$B993,MATCH(CONCATENATE($F496,"-",$G496),'Batasan Honor'!$G$2:$G993,0)),"")</f>
        <v/>
      </c>
      <c r="M496" s="10" t="str">
        <f t="shared" si="5"/>
        <v/>
      </c>
      <c r="N496" s="10" t="str">
        <f t="shared" si="3"/>
        <v/>
      </c>
    </row>
    <row r="497" spans="2:14" ht="12.5">
      <c r="B497" s="5"/>
      <c r="C497" s="5" t="str">
        <f ca="1">IFERROR(__xludf.DUMMYFUNCTION("IF(N497=1,SPLIT(A497,""-""),"""")"),"")</f>
        <v/>
      </c>
      <c r="F497" s="5"/>
      <c r="G497" s="5"/>
      <c r="H497" s="5" t="str">
        <f t="array" ref="H497">IF(N497=1, INDEX('Database Mitra'!$C$2:$C993,MATCH($C497,'Database Mitra'!$AK$2:$AK993,0)),"")</f>
        <v/>
      </c>
      <c r="I497" s="71" t="str">
        <f>IF(N497=1,SUMIFS('Alokasi Honor'!$M$2:$M993,'Alokasi Honor'!$T$2:$T993,A497),"")</f>
        <v/>
      </c>
      <c r="L497" s="10" t="str">
        <f t="array" ref="L497">IF(N497=1,INDEX('Batasan Honor'!$B$2:$B993,MATCH(CONCATENATE($F497,"-",$G497),'Batasan Honor'!$G$2:$G993,0)),"")</f>
        <v/>
      </c>
      <c r="M497" s="10" t="str">
        <f t="shared" si="5"/>
        <v/>
      </c>
      <c r="N497" s="10" t="str">
        <f t="shared" si="3"/>
        <v/>
      </c>
    </row>
    <row r="498" spans="2:14" ht="12.5">
      <c r="B498" s="5"/>
      <c r="C498" s="5" t="str">
        <f ca="1">IFERROR(__xludf.DUMMYFUNCTION("IF(N498=1,SPLIT(A498,""-""),"""")"),"")</f>
        <v/>
      </c>
      <c r="F498" s="5"/>
      <c r="G498" s="5"/>
      <c r="H498" s="5" t="str">
        <f t="array" ref="H498">IF(N498=1, INDEX('Database Mitra'!$C$2:$C993,MATCH($C498,'Database Mitra'!$AK$2:$AK993,0)),"")</f>
        <v/>
      </c>
      <c r="I498" s="71" t="str">
        <f>IF(N498=1,SUMIFS('Alokasi Honor'!$M$2:$M993,'Alokasi Honor'!$T$2:$T993,A498),"")</f>
        <v/>
      </c>
      <c r="L498" s="10" t="str">
        <f t="array" ref="L498">IF(N498=1,INDEX('Batasan Honor'!$B$2:$B993,MATCH(CONCATENATE($F498,"-",$G498),'Batasan Honor'!$G$2:$G993,0)),"")</f>
        <v/>
      </c>
      <c r="M498" s="10" t="str">
        <f t="shared" si="5"/>
        <v/>
      </c>
      <c r="N498" s="10" t="str">
        <f t="shared" si="3"/>
        <v/>
      </c>
    </row>
    <row r="499" spans="2:14" ht="12.5">
      <c r="B499" s="5"/>
      <c r="C499" s="5" t="str">
        <f ca="1">IFERROR(__xludf.DUMMYFUNCTION("IF(N499=1,SPLIT(A499,""-""),"""")"),"")</f>
        <v/>
      </c>
      <c r="F499" s="5"/>
      <c r="G499" s="5"/>
      <c r="H499" s="5" t="str">
        <f t="array" ref="H499">IF(N499=1, INDEX('Database Mitra'!$C$2:$C993,MATCH($C499,'Database Mitra'!$AK$2:$AK993,0)),"")</f>
        <v/>
      </c>
      <c r="I499" s="71" t="str">
        <f>IF(N499=1,SUMIFS('Alokasi Honor'!$M$2:$M993,'Alokasi Honor'!$T$2:$T993,A499),"")</f>
        <v/>
      </c>
      <c r="L499" s="10" t="str">
        <f t="array" ref="L499">IF(N499=1,INDEX('Batasan Honor'!$B$2:$B993,MATCH(CONCATENATE($F499,"-",$G499),'Batasan Honor'!$G$2:$G993,0)),"")</f>
        <v/>
      </c>
      <c r="M499" s="10" t="str">
        <f t="shared" si="5"/>
        <v/>
      </c>
      <c r="N499" s="10" t="str">
        <f t="shared" si="3"/>
        <v/>
      </c>
    </row>
    <row r="500" spans="2:14" ht="12.5">
      <c r="B500" s="5"/>
      <c r="C500" s="5" t="str">
        <f ca="1">IFERROR(__xludf.DUMMYFUNCTION("IF(N500=1,SPLIT(A500,""-""),"""")"),"")</f>
        <v/>
      </c>
      <c r="F500" s="5"/>
      <c r="G500" s="5"/>
      <c r="H500" s="5" t="str">
        <f t="array" ref="H500">IF(N500=1, INDEX('Database Mitra'!$C$2:$C993,MATCH($C500,'Database Mitra'!$AK$2:$AK993,0)),"")</f>
        <v/>
      </c>
      <c r="I500" s="71" t="str">
        <f>IF(N500=1,SUMIFS('Alokasi Honor'!$M$2:$M993,'Alokasi Honor'!$T$2:$T993,A500),"")</f>
        <v/>
      </c>
      <c r="L500" s="10" t="str">
        <f t="array" ref="L500">IF(N500=1,INDEX('Batasan Honor'!$B$2:$B993,MATCH(CONCATENATE($F500,"-",$G500),'Batasan Honor'!$G$2:$G993,0)),"")</f>
        <v/>
      </c>
      <c r="M500" s="10" t="str">
        <f t="shared" si="5"/>
        <v/>
      </c>
      <c r="N500" s="10" t="str">
        <f t="shared" si="3"/>
        <v/>
      </c>
    </row>
    <row r="501" spans="2:14" ht="12.5">
      <c r="B501" s="5"/>
      <c r="C501" s="5" t="str">
        <f ca="1">IFERROR(__xludf.DUMMYFUNCTION("IF(N501=1,SPLIT(A501,""-""),"""")"),"")</f>
        <v/>
      </c>
      <c r="F501" s="5"/>
      <c r="G501" s="5"/>
      <c r="H501" s="5" t="str">
        <f t="array" ref="H501">IF(N501=1, INDEX('Database Mitra'!$C$2:$C993,MATCH($C501,'Database Mitra'!$AK$2:$AK993,0)),"")</f>
        <v/>
      </c>
      <c r="I501" s="71" t="str">
        <f>IF(N501=1,SUMIFS('Alokasi Honor'!$M$2:$M993,'Alokasi Honor'!$T$2:$T993,A501),"")</f>
        <v/>
      </c>
      <c r="L501" s="10" t="str">
        <f t="array" ref="L501">IF(N501=1,INDEX('Batasan Honor'!$B$2:$B993,MATCH(CONCATENATE($F501,"-",$G501),'Batasan Honor'!$G$2:$G993,0)),"")</f>
        <v/>
      </c>
      <c r="M501" s="10" t="str">
        <f t="shared" si="5"/>
        <v/>
      </c>
      <c r="N501" s="10" t="str">
        <f t="shared" si="3"/>
        <v/>
      </c>
    </row>
    <row r="502" spans="2:14" ht="12.5">
      <c r="B502" s="5"/>
      <c r="C502" s="5" t="str">
        <f ca="1">IFERROR(__xludf.DUMMYFUNCTION("IF(N502=1,SPLIT(A502,""-""),"""")"),"")</f>
        <v/>
      </c>
      <c r="F502" s="5"/>
      <c r="G502" s="5"/>
      <c r="H502" s="5" t="str">
        <f t="array" ref="H502">IF(N502=1, INDEX('Database Mitra'!$C$2:$C993,MATCH($C502,'Database Mitra'!$AK$2:$AK993,0)),"")</f>
        <v/>
      </c>
      <c r="I502" s="71" t="str">
        <f>IF(N502=1,SUMIFS('Alokasi Honor'!$M$2:$M993,'Alokasi Honor'!$T$2:$T993,A502),"")</f>
        <v/>
      </c>
      <c r="L502" s="10" t="str">
        <f t="array" ref="L502">IF(N502=1,INDEX('Batasan Honor'!$B$2:$B993,MATCH(CONCATENATE($F502,"-",$G502),'Batasan Honor'!$G$2:$G993,0)),"")</f>
        <v/>
      </c>
      <c r="M502" s="10" t="str">
        <f t="shared" si="5"/>
        <v/>
      </c>
      <c r="N502" s="10" t="str">
        <f t="shared" si="3"/>
        <v/>
      </c>
    </row>
    <row r="503" spans="2:14" ht="12.5">
      <c r="B503" s="5"/>
      <c r="C503" s="5" t="str">
        <f ca="1">IFERROR(__xludf.DUMMYFUNCTION("IF(N503=1,SPLIT(A503,""-""),"""")"),"")</f>
        <v/>
      </c>
      <c r="F503" s="5"/>
      <c r="G503" s="5"/>
      <c r="H503" s="5" t="str">
        <f t="array" ref="H503">IF(N503=1, INDEX('Database Mitra'!$C$2:$C993,MATCH($C503,'Database Mitra'!$AK$2:$AK993,0)),"")</f>
        <v/>
      </c>
      <c r="I503" s="71" t="str">
        <f>IF(N503=1,SUMIFS('Alokasi Honor'!$M$2:$M993,'Alokasi Honor'!$T$2:$T993,A503),"")</f>
        <v/>
      </c>
      <c r="L503" s="10" t="str">
        <f t="array" ref="L503">IF(N503=1,INDEX('Batasan Honor'!$B$2:$B993,MATCH(CONCATENATE($F503,"-",$G503),'Batasan Honor'!$G$2:$G993,0)),"")</f>
        <v/>
      </c>
      <c r="M503" s="10" t="str">
        <f t="shared" si="5"/>
        <v/>
      </c>
      <c r="N503" s="10" t="str">
        <f t="shared" si="3"/>
        <v/>
      </c>
    </row>
    <row r="504" spans="2:14" ht="12.5">
      <c r="B504" s="5"/>
      <c r="C504" s="5" t="str">
        <f ca="1">IFERROR(__xludf.DUMMYFUNCTION("IF(N504=1,SPLIT(A504,""-""),"""")"),"")</f>
        <v/>
      </c>
      <c r="F504" s="5"/>
      <c r="G504" s="5"/>
      <c r="H504" s="5" t="str">
        <f t="array" ref="H504">IF(N504=1, INDEX('Database Mitra'!$C$2:$C993,MATCH($C504,'Database Mitra'!$AK$2:$AK993,0)),"")</f>
        <v/>
      </c>
      <c r="I504" s="71" t="str">
        <f>IF(N504=1,SUMIFS('Alokasi Honor'!$M$2:$M993,'Alokasi Honor'!$T$2:$T993,A504),"")</f>
        <v/>
      </c>
      <c r="L504" s="10" t="str">
        <f t="array" ref="L504">IF(N504=1,INDEX('Batasan Honor'!$B$2:$B993,MATCH(CONCATENATE($F504,"-",$G504),'Batasan Honor'!$G$2:$G993,0)),"")</f>
        <v/>
      </c>
      <c r="M504" s="10" t="str">
        <f t="shared" si="5"/>
        <v/>
      </c>
      <c r="N504" s="10" t="str">
        <f t="shared" si="3"/>
        <v/>
      </c>
    </row>
    <row r="505" spans="2:14" ht="12.5">
      <c r="B505" s="5"/>
      <c r="C505" s="5" t="str">
        <f ca="1">IFERROR(__xludf.DUMMYFUNCTION("IF(N505=1,SPLIT(A505,""-""),"""")"),"")</f>
        <v/>
      </c>
      <c r="F505" s="5"/>
      <c r="G505" s="5"/>
      <c r="H505" s="5" t="str">
        <f t="array" ref="H505">IF(N505=1, INDEX('Database Mitra'!$C$2:$C993,MATCH($C505,'Database Mitra'!$AK$2:$AK993,0)),"")</f>
        <v/>
      </c>
      <c r="I505" s="71" t="str">
        <f>IF(N505=1,SUMIFS('Alokasi Honor'!$M$2:$M993,'Alokasi Honor'!$T$2:$T993,A505),"")</f>
        <v/>
      </c>
      <c r="L505" s="10" t="str">
        <f t="array" ref="L505">IF(N505=1,INDEX('Batasan Honor'!$B$2:$B993,MATCH(CONCATENATE($F505,"-",$G505),'Batasan Honor'!$G$2:$G993,0)),"")</f>
        <v/>
      </c>
      <c r="M505" s="10" t="str">
        <f t="shared" si="5"/>
        <v/>
      </c>
      <c r="N505" s="10" t="str">
        <f t="shared" si="3"/>
        <v/>
      </c>
    </row>
    <row r="506" spans="2:14" ht="12.5">
      <c r="B506" s="5"/>
      <c r="C506" s="5" t="str">
        <f ca="1">IFERROR(__xludf.DUMMYFUNCTION("IF(N506=1,SPLIT(A506,""-""),"""")"),"")</f>
        <v/>
      </c>
      <c r="F506" s="5"/>
      <c r="G506" s="5"/>
      <c r="H506" s="5" t="str">
        <f t="array" ref="H506">IF(N506=1, INDEX('Database Mitra'!$C$2:$C993,MATCH($C506,'Database Mitra'!$AK$2:$AK993,0)),"")</f>
        <v/>
      </c>
      <c r="I506" s="71" t="str">
        <f>IF(N506=1,SUMIFS('Alokasi Honor'!$M$2:$M993,'Alokasi Honor'!$T$2:$T993,A506),"")</f>
        <v/>
      </c>
      <c r="L506" s="10" t="str">
        <f t="array" ref="L506">IF(N506=1,INDEX('Batasan Honor'!$B$2:$B993,MATCH(CONCATENATE($F506,"-",$G506),'Batasan Honor'!$G$2:$G993,0)),"")</f>
        <v/>
      </c>
      <c r="M506" s="10" t="str">
        <f t="shared" si="5"/>
        <v/>
      </c>
      <c r="N506" s="10" t="str">
        <f t="shared" si="3"/>
        <v/>
      </c>
    </row>
    <row r="507" spans="2:14" ht="12.5">
      <c r="B507" s="5"/>
      <c r="C507" s="5" t="str">
        <f ca="1">IFERROR(__xludf.DUMMYFUNCTION("IF(N507=1,SPLIT(A507,""-""),"""")"),"")</f>
        <v/>
      </c>
      <c r="F507" s="5"/>
      <c r="G507" s="5"/>
      <c r="H507" s="5" t="str">
        <f t="array" ref="H507">IF(N507=1, INDEX('Database Mitra'!$C$2:$C993,MATCH($C507,'Database Mitra'!$AK$2:$AK993,0)),"")</f>
        <v/>
      </c>
      <c r="I507" s="71" t="str">
        <f>IF(N507=1,SUMIFS('Alokasi Honor'!$M$2:$M993,'Alokasi Honor'!$T$2:$T993,A507),"")</f>
        <v/>
      </c>
      <c r="L507" s="10" t="str">
        <f t="array" ref="L507">IF(N507=1,INDEX('Batasan Honor'!$B$2:$B993,MATCH(CONCATENATE($F507,"-",$G507),'Batasan Honor'!$G$2:$G993,0)),"")</f>
        <v/>
      </c>
      <c r="M507" s="10" t="str">
        <f t="shared" si="5"/>
        <v/>
      </c>
      <c r="N507" s="10" t="str">
        <f t="shared" si="3"/>
        <v/>
      </c>
    </row>
    <row r="508" spans="2:14" ht="12.5">
      <c r="B508" s="5"/>
      <c r="C508" s="5" t="str">
        <f ca="1">IFERROR(__xludf.DUMMYFUNCTION("IF(N508=1,SPLIT(A508,""-""),"""")"),"")</f>
        <v/>
      </c>
      <c r="F508" s="5"/>
      <c r="G508" s="5"/>
      <c r="H508" s="5" t="str">
        <f t="array" ref="H508">IF(N508=1, INDEX('Database Mitra'!$C$2:$C993,MATCH($C508,'Database Mitra'!$AK$2:$AK993,0)),"")</f>
        <v/>
      </c>
      <c r="I508" s="71" t="str">
        <f>IF(N508=1,SUMIFS('Alokasi Honor'!$M$2:$M993,'Alokasi Honor'!$T$2:$T993,A508),"")</f>
        <v/>
      </c>
      <c r="L508" s="10" t="str">
        <f t="array" ref="L508">IF(N508=1,INDEX('Batasan Honor'!$B$2:$B993,MATCH(CONCATENATE($F508,"-",$G508),'Batasan Honor'!$G$2:$G993,0)),"")</f>
        <v/>
      </c>
      <c r="M508" s="10" t="str">
        <f t="shared" si="5"/>
        <v/>
      </c>
      <c r="N508" s="10" t="str">
        <f t="shared" si="3"/>
        <v/>
      </c>
    </row>
    <row r="509" spans="2:14" ht="12.5">
      <c r="B509" s="5"/>
      <c r="C509" s="5" t="str">
        <f ca="1">IFERROR(__xludf.DUMMYFUNCTION("IF(N509=1,SPLIT(A509,""-""),"""")"),"")</f>
        <v/>
      </c>
      <c r="F509" s="5"/>
      <c r="G509" s="5"/>
      <c r="H509" s="5" t="str">
        <f t="array" ref="H509">IF(N509=1, INDEX('Database Mitra'!$C$2:$C993,MATCH($C509,'Database Mitra'!$AK$2:$AK993,0)),"")</f>
        <v/>
      </c>
      <c r="I509" s="71" t="str">
        <f>IF(N509=1,SUMIFS('Alokasi Honor'!$M$2:$M993,'Alokasi Honor'!$T$2:$T993,A509),"")</f>
        <v/>
      </c>
      <c r="L509" s="10" t="str">
        <f t="array" ref="L509">IF(N509=1,INDEX('Batasan Honor'!$B$2:$B993,MATCH(CONCATENATE($F509,"-",$G509),'Batasan Honor'!$G$2:$G993,0)),"")</f>
        <v/>
      </c>
      <c r="M509" s="10" t="str">
        <f t="shared" si="5"/>
        <v/>
      </c>
      <c r="N509" s="10" t="str">
        <f t="shared" si="3"/>
        <v/>
      </c>
    </row>
    <row r="510" spans="2:14" ht="12.5">
      <c r="B510" s="5"/>
      <c r="C510" s="5" t="str">
        <f ca="1">IFERROR(__xludf.DUMMYFUNCTION("IF(N510=1,SPLIT(A510,""-""),"""")"),"")</f>
        <v/>
      </c>
      <c r="F510" s="5"/>
      <c r="G510" s="5"/>
      <c r="H510" s="5" t="str">
        <f t="array" ref="H510">IF(N510=1, INDEX('Database Mitra'!$C$2:$C993,MATCH($C510,'Database Mitra'!$AK$2:$AK993,0)),"")</f>
        <v/>
      </c>
      <c r="I510" s="71" t="str">
        <f>IF(N510=1,SUMIFS('Alokasi Honor'!$M$2:$M993,'Alokasi Honor'!$T$2:$T993,A510),"")</f>
        <v/>
      </c>
      <c r="L510" s="10" t="str">
        <f t="array" ref="L510">IF(N510=1,INDEX('Batasan Honor'!$B$2:$B993,MATCH(CONCATENATE($F510,"-",$G510),'Batasan Honor'!$G$2:$G993,0)),"")</f>
        <v/>
      </c>
      <c r="M510" s="10" t="str">
        <f t="shared" si="5"/>
        <v/>
      </c>
      <c r="N510" s="10" t="str">
        <f t="shared" si="3"/>
        <v/>
      </c>
    </row>
    <row r="511" spans="2:14" ht="12.5">
      <c r="B511" s="5"/>
      <c r="C511" s="5" t="str">
        <f ca="1">IFERROR(__xludf.DUMMYFUNCTION("IF(N511=1,SPLIT(A511,""-""),"""")"),"")</f>
        <v/>
      </c>
      <c r="F511" s="5"/>
      <c r="G511" s="5"/>
      <c r="H511" s="5" t="str">
        <f t="array" ref="H511">IF(N511=1, INDEX('Database Mitra'!$C$2:$C993,MATCH($C511,'Database Mitra'!$AK$2:$AK993,0)),"")</f>
        <v/>
      </c>
      <c r="I511" s="71" t="str">
        <f>IF(N511=1,SUMIFS('Alokasi Honor'!$M$2:$M993,'Alokasi Honor'!$T$2:$T993,A511),"")</f>
        <v/>
      </c>
      <c r="L511" s="10" t="str">
        <f t="array" ref="L511">IF(N511=1,INDEX('Batasan Honor'!$B$2:$B993,MATCH(CONCATENATE($F511,"-",$G511),'Batasan Honor'!$G$2:$G993,0)),"")</f>
        <v/>
      </c>
      <c r="M511" s="10" t="str">
        <f t="shared" si="5"/>
        <v/>
      </c>
      <c r="N511" s="10" t="str">
        <f t="shared" si="3"/>
        <v/>
      </c>
    </row>
    <row r="512" spans="2:14" ht="12.5">
      <c r="B512" s="5"/>
      <c r="C512" s="5" t="str">
        <f ca="1">IFERROR(__xludf.DUMMYFUNCTION("IF(N512=1,SPLIT(A512,""-""),"""")"),"")</f>
        <v/>
      </c>
      <c r="F512" s="5"/>
      <c r="G512" s="5"/>
      <c r="H512" s="5" t="str">
        <f t="array" ref="H512">IF(N512=1, INDEX('Database Mitra'!$C$2:$C993,MATCH($C512,'Database Mitra'!$AK$2:$AK993,0)),"")</f>
        <v/>
      </c>
      <c r="I512" s="71" t="str">
        <f>IF(N512=1,SUMIFS('Alokasi Honor'!$M$2:$M993,'Alokasi Honor'!$T$2:$T993,A512),"")</f>
        <v/>
      </c>
      <c r="L512" s="10" t="str">
        <f t="array" ref="L512">IF(N512=1,INDEX('Batasan Honor'!$B$2:$B993,MATCH(CONCATENATE($F512,"-",$G512),'Batasan Honor'!$G$2:$G993,0)),"")</f>
        <v/>
      </c>
      <c r="M512" s="10" t="str">
        <f t="shared" si="5"/>
        <v/>
      </c>
      <c r="N512" s="10" t="str">
        <f t="shared" si="3"/>
        <v/>
      </c>
    </row>
    <row r="513" spans="2:14" ht="12.5">
      <c r="B513" s="5"/>
      <c r="C513" s="5" t="str">
        <f ca="1">IFERROR(__xludf.DUMMYFUNCTION("IF(N513=1,SPLIT(A513,""-""),"""")"),"")</f>
        <v/>
      </c>
      <c r="F513" s="5"/>
      <c r="G513" s="5"/>
      <c r="H513" s="5" t="str">
        <f t="array" ref="H513">IF(N513=1, INDEX('Database Mitra'!$C$2:$C993,MATCH($C513,'Database Mitra'!$AK$2:$AK993,0)),"")</f>
        <v/>
      </c>
      <c r="I513" s="71" t="str">
        <f>IF(N513=1,SUMIFS('Alokasi Honor'!$M$2:$M993,'Alokasi Honor'!$T$2:$T993,A513),"")</f>
        <v/>
      </c>
      <c r="L513" s="10" t="str">
        <f t="array" ref="L513">IF(N513=1,INDEX('Batasan Honor'!$B$2:$B993,MATCH(CONCATENATE($F513,"-",$G513),'Batasan Honor'!$G$2:$G993,0)),"")</f>
        <v/>
      </c>
      <c r="M513" s="10" t="str">
        <f t="shared" si="5"/>
        <v/>
      </c>
      <c r="N513" s="10" t="str">
        <f t="shared" si="3"/>
        <v/>
      </c>
    </row>
    <row r="514" spans="2:14" ht="12.5">
      <c r="B514" s="5"/>
      <c r="C514" s="5" t="str">
        <f ca="1">IFERROR(__xludf.DUMMYFUNCTION("IF(N514=1,SPLIT(A514,""-""),"""")"),"")</f>
        <v/>
      </c>
      <c r="F514" s="5"/>
      <c r="G514" s="5"/>
      <c r="H514" s="5" t="str">
        <f t="array" ref="H514">IF(N514=1, INDEX('Database Mitra'!$C$2:$C993,MATCH($C514,'Database Mitra'!$AK$2:$AK993,0)),"")</f>
        <v/>
      </c>
      <c r="I514" s="71" t="str">
        <f>IF(N514=1,SUMIFS('Alokasi Honor'!$M$2:$M993,'Alokasi Honor'!$T$2:$T993,A514),"")</f>
        <v/>
      </c>
      <c r="L514" s="10" t="str">
        <f t="array" ref="L514">IF(N514=1,INDEX('Batasan Honor'!$B$2:$B993,MATCH(CONCATENATE($F514,"-",$G514),'Batasan Honor'!$G$2:$G993,0)),"")</f>
        <v/>
      </c>
      <c r="M514" s="10" t="str">
        <f t="shared" si="5"/>
        <v/>
      </c>
      <c r="N514" s="10" t="str">
        <f t="shared" si="3"/>
        <v/>
      </c>
    </row>
    <row r="515" spans="2:14" ht="12.5">
      <c r="B515" s="5"/>
      <c r="C515" s="5" t="str">
        <f ca="1">IFERROR(__xludf.DUMMYFUNCTION("IF(N515=1,SPLIT(A515,""-""),"""")"),"")</f>
        <v/>
      </c>
      <c r="F515" s="5"/>
      <c r="G515" s="5"/>
      <c r="H515" s="5" t="str">
        <f t="array" ref="H515">IF(N515=1, INDEX('Database Mitra'!$C$2:$C993,MATCH($C515,'Database Mitra'!$AK$2:$AK993,0)),"")</f>
        <v/>
      </c>
      <c r="I515" s="71" t="str">
        <f>IF(N515=1,SUMIFS('Alokasi Honor'!$M$2:$M993,'Alokasi Honor'!$T$2:$T993,A515),"")</f>
        <v/>
      </c>
      <c r="L515" s="10" t="str">
        <f t="array" ref="L515">IF(N515=1,INDEX('Batasan Honor'!$B$2:$B993,MATCH(CONCATENATE($F515,"-",$G515),'Batasan Honor'!$G$2:$G993,0)),"")</f>
        <v/>
      </c>
      <c r="M515" s="10" t="str">
        <f t="shared" si="5"/>
        <v/>
      </c>
      <c r="N515" s="10" t="str">
        <f t="shared" si="3"/>
        <v/>
      </c>
    </row>
    <row r="516" spans="2:14" ht="12.5">
      <c r="B516" s="5"/>
      <c r="C516" s="5" t="str">
        <f ca="1">IFERROR(__xludf.DUMMYFUNCTION("IF(N516=1,SPLIT(A516,""-""),"""")"),"")</f>
        <v/>
      </c>
      <c r="F516" s="5"/>
      <c r="G516" s="5"/>
      <c r="H516" s="5" t="str">
        <f t="array" ref="H516">IF(N516=1, INDEX('Database Mitra'!$C$2:$C993,MATCH($C516,'Database Mitra'!$AK$2:$AK993,0)),"")</f>
        <v/>
      </c>
      <c r="I516" s="71" t="str">
        <f>IF(N516=1,SUMIFS('Alokasi Honor'!$M$2:$M993,'Alokasi Honor'!$T$2:$T993,A516),"")</f>
        <v/>
      </c>
      <c r="L516" s="10" t="str">
        <f t="array" ref="L516">IF(N516=1,INDEX('Batasan Honor'!$B$2:$B993,MATCH(CONCATENATE($F516,"-",$G516),'Batasan Honor'!$G$2:$G993,0)),"")</f>
        <v/>
      </c>
      <c r="M516" s="10" t="str">
        <f t="shared" si="5"/>
        <v/>
      </c>
      <c r="N516" s="10" t="str">
        <f t="shared" si="3"/>
        <v/>
      </c>
    </row>
    <row r="517" spans="2:14" ht="12.5">
      <c r="B517" s="5"/>
      <c r="C517" s="5" t="str">
        <f ca="1">IFERROR(__xludf.DUMMYFUNCTION("IF(N517=1,SPLIT(A517,""-""),"""")"),"")</f>
        <v/>
      </c>
      <c r="F517" s="5"/>
      <c r="G517" s="5"/>
      <c r="H517" s="5" t="str">
        <f t="array" ref="H517">IF(N517=1, INDEX('Database Mitra'!$C$2:$C993,MATCH($C517,'Database Mitra'!$AK$2:$AK993,0)),"")</f>
        <v/>
      </c>
      <c r="I517" s="71" t="str">
        <f>IF(N517=1,SUMIFS('Alokasi Honor'!$M$2:$M993,'Alokasi Honor'!$T$2:$T993,A517),"")</f>
        <v/>
      </c>
      <c r="L517" s="10" t="str">
        <f t="array" ref="L517">IF(N517=1,INDEX('Batasan Honor'!$B$2:$B993,MATCH(CONCATENATE($F517,"-",$G517),'Batasan Honor'!$G$2:$G993,0)),"")</f>
        <v/>
      </c>
      <c r="M517" s="10" t="str">
        <f t="shared" si="5"/>
        <v/>
      </c>
      <c r="N517" s="10" t="str">
        <f t="shared" si="3"/>
        <v/>
      </c>
    </row>
    <row r="518" spans="2:14" ht="12.5">
      <c r="B518" s="5"/>
      <c r="C518" s="5" t="str">
        <f ca="1">IFERROR(__xludf.DUMMYFUNCTION("IF(N518=1,SPLIT(A518,""-""),"""")"),"")</f>
        <v/>
      </c>
      <c r="F518" s="5"/>
      <c r="G518" s="5"/>
      <c r="H518" s="5" t="str">
        <f t="array" ref="H518">IF(N518=1, INDEX('Database Mitra'!$C$2:$C993,MATCH($C518,'Database Mitra'!$AK$2:$AK993,0)),"")</f>
        <v/>
      </c>
      <c r="I518" s="71" t="str">
        <f>IF(N518=1,SUMIFS('Alokasi Honor'!$M$2:$M993,'Alokasi Honor'!$T$2:$T993,A518),"")</f>
        <v/>
      </c>
      <c r="L518" s="10" t="str">
        <f t="array" ref="L518">IF(N518=1,INDEX('Batasan Honor'!$B$2:$B993,MATCH(CONCATENATE($F518,"-",$G518),'Batasan Honor'!$G$2:$G993,0)),"")</f>
        <v/>
      </c>
      <c r="M518" s="10" t="str">
        <f t="shared" si="5"/>
        <v/>
      </c>
      <c r="N518" s="10" t="str">
        <f t="shared" si="3"/>
        <v/>
      </c>
    </row>
    <row r="519" spans="2:14" ht="12.5">
      <c r="B519" s="5"/>
      <c r="C519" s="5" t="str">
        <f ca="1">IFERROR(__xludf.DUMMYFUNCTION("IF(N519=1,SPLIT(A519,""-""),"""")"),"")</f>
        <v/>
      </c>
      <c r="F519" s="5"/>
      <c r="G519" s="5"/>
      <c r="H519" s="5" t="str">
        <f t="array" ref="H519">IF(N519=1, INDEX('Database Mitra'!$C$2:$C993,MATCH($C519,'Database Mitra'!$AK$2:$AK993,0)),"")</f>
        <v/>
      </c>
      <c r="I519" s="71" t="str">
        <f>IF(N519=1,SUMIFS('Alokasi Honor'!$M$2:$M993,'Alokasi Honor'!$T$2:$T993,A519),"")</f>
        <v/>
      </c>
      <c r="L519" s="10" t="str">
        <f t="array" ref="L519">IF(N519=1,INDEX('Batasan Honor'!$B$2:$B993,MATCH(CONCATENATE($F519,"-",$G519),'Batasan Honor'!$G$2:$G993,0)),"")</f>
        <v/>
      </c>
      <c r="M519" s="10" t="str">
        <f t="shared" si="5"/>
        <v/>
      </c>
      <c r="N519" s="10" t="str">
        <f t="shared" si="3"/>
        <v/>
      </c>
    </row>
    <row r="520" spans="2:14" ht="12.5">
      <c r="B520" s="5"/>
      <c r="C520" s="5" t="str">
        <f ca="1">IFERROR(__xludf.DUMMYFUNCTION("IF(N520=1,SPLIT(A520,""-""),"""")"),"")</f>
        <v/>
      </c>
      <c r="F520" s="5"/>
      <c r="G520" s="5"/>
      <c r="H520" s="5" t="str">
        <f t="array" ref="H520">IF(N520=1, INDEX('Database Mitra'!$C$2:$C993,MATCH($C520,'Database Mitra'!$AK$2:$AK993,0)),"")</f>
        <v/>
      </c>
      <c r="I520" s="71" t="str">
        <f>IF(N520=1,SUMIFS('Alokasi Honor'!$M$2:$M993,'Alokasi Honor'!$T$2:$T993,A520),"")</f>
        <v/>
      </c>
      <c r="L520" s="10" t="str">
        <f t="array" ref="L520">IF(N520=1,INDEX('Batasan Honor'!$B$2:$B993,MATCH(CONCATENATE($F520,"-",$G520),'Batasan Honor'!$G$2:$G993,0)),"")</f>
        <v/>
      </c>
      <c r="M520" s="10" t="str">
        <f t="shared" si="5"/>
        <v/>
      </c>
      <c r="N520" s="10" t="str">
        <f t="shared" si="3"/>
        <v/>
      </c>
    </row>
    <row r="521" spans="2:14" ht="12.5">
      <c r="B521" s="5"/>
      <c r="C521" s="5" t="str">
        <f ca="1">IFERROR(__xludf.DUMMYFUNCTION("IF(N521=1,SPLIT(A521,""-""),"""")"),"")</f>
        <v/>
      </c>
      <c r="F521" s="5"/>
      <c r="G521" s="5"/>
      <c r="H521" s="5" t="str">
        <f t="array" ref="H521">IF(N521=1, INDEX('Database Mitra'!$C$2:$C993,MATCH($C521,'Database Mitra'!$AK$2:$AK993,0)),"")</f>
        <v/>
      </c>
      <c r="I521" s="71" t="str">
        <f>IF(N521=1,SUMIFS('Alokasi Honor'!$M$2:$M993,'Alokasi Honor'!$T$2:$T993,A521),"")</f>
        <v/>
      </c>
      <c r="L521" s="10" t="str">
        <f t="array" ref="L521">IF(N521=1,INDEX('Batasan Honor'!$B$2:$B993,MATCH(CONCATENATE($F521,"-",$G521),'Batasan Honor'!$G$2:$G993,0)),"")</f>
        <v/>
      </c>
      <c r="M521" s="10" t="str">
        <f t="shared" si="5"/>
        <v/>
      </c>
      <c r="N521" s="10" t="str">
        <f t="shared" si="3"/>
        <v/>
      </c>
    </row>
    <row r="522" spans="2:14" ht="12.5">
      <c r="B522" s="5"/>
      <c r="C522" s="5" t="str">
        <f ca="1">IFERROR(__xludf.DUMMYFUNCTION("IF(N522=1,SPLIT(A522,""-""),"""")"),"")</f>
        <v/>
      </c>
      <c r="F522" s="5"/>
      <c r="G522" s="5"/>
      <c r="H522" s="5" t="str">
        <f t="array" ref="H522">IF(N522=1, INDEX('Database Mitra'!$C$2:$C993,MATCH($C522,'Database Mitra'!$AK$2:$AK993,0)),"")</f>
        <v/>
      </c>
      <c r="I522" s="71" t="str">
        <f>IF(N522=1,SUMIFS('Alokasi Honor'!$M$2:$M993,'Alokasi Honor'!$T$2:$T993,A522),"")</f>
        <v/>
      </c>
      <c r="L522" s="10" t="str">
        <f t="array" ref="L522">IF(N522=1,INDEX('Batasan Honor'!$B$2:$B993,MATCH(CONCATENATE($F522,"-",$G522),'Batasan Honor'!$G$2:$G993,0)),"")</f>
        <v/>
      </c>
      <c r="M522" s="10" t="str">
        <f t="shared" si="5"/>
        <v/>
      </c>
      <c r="N522" s="10" t="str">
        <f t="shared" si="3"/>
        <v/>
      </c>
    </row>
    <row r="523" spans="2:14" ht="12.5">
      <c r="B523" s="5"/>
      <c r="C523" s="5" t="str">
        <f ca="1">IFERROR(__xludf.DUMMYFUNCTION("IF(N523=1,SPLIT(A523,""-""),"""")"),"")</f>
        <v/>
      </c>
      <c r="F523" s="5"/>
      <c r="G523" s="5"/>
      <c r="H523" s="5" t="str">
        <f t="array" ref="H523">IF(N523=1, INDEX('Database Mitra'!$C$2:$C993,MATCH($C523,'Database Mitra'!$AK$2:$AK993,0)),"")</f>
        <v/>
      </c>
      <c r="I523" s="71" t="str">
        <f>IF(N523=1,SUMIFS('Alokasi Honor'!$M$2:$M993,'Alokasi Honor'!$T$2:$T993,A523),"")</f>
        <v/>
      </c>
      <c r="L523" s="10" t="str">
        <f t="array" ref="L523">IF(N523=1,INDEX('Batasan Honor'!$B$2:$B993,MATCH(CONCATENATE($F523,"-",$G523),'Batasan Honor'!$G$2:$G993,0)),"")</f>
        <v/>
      </c>
      <c r="M523" s="10" t="str">
        <f t="shared" si="5"/>
        <v/>
      </c>
      <c r="N523" s="10" t="str">
        <f t="shared" si="3"/>
        <v/>
      </c>
    </row>
    <row r="524" spans="2:14" ht="12.5">
      <c r="B524" s="5"/>
      <c r="C524" s="5" t="str">
        <f ca="1">IFERROR(__xludf.DUMMYFUNCTION("IF(N524=1,SPLIT(A524,""-""),"""")"),"")</f>
        <v/>
      </c>
      <c r="F524" s="5"/>
      <c r="G524" s="5"/>
      <c r="H524" s="5" t="str">
        <f t="array" ref="H524">IF(N524=1, INDEX('Database Mitra'!$C$2:$C993,MATCH($C524,'Database Mitra'!$AK$2:$AK993,0)),"")</f>
        <v/>
      </c>
      <c r="I524" s="71" t="str">
        <f>IF(N524=1,SUMIFS('Alokasi Honor'!$M$2:$M993,'Alokasi Honor'!$T$2:$T993,A524),"")</f>
        <v/>
      </c>
      <c r="L524" s="10" t="str">
        <f t="array" ref="L524">IF(N524=1,INDEX('Batasan Honor'!$B$2:$B993,MATCH(CONCATENATE($F524,"-",$G524),'Batasan Honor'!$G$2:$G993,0)),"")</f>
        <v/>
      </c>
      <c r="M524" s="10" t="str">
        <f t="shared" si="5"/>
        <v/>
      </c>
      <c r="N524" s="10" t="str">
        <f t="shared" si="3"/>
        <v/>
      </c>
    </row>
    <row r="525" spans="2:14" ht="12.5">
      <c r="B525" s="5"/>
      <c r="C525" s="5" t="str">
        <f ca="1">IFERROR(__xludf.DUMMYFUNCTION("IF(N525=1,SPLIT(A525,""-""),"""")"),"")</f>
        <v/>
      </c>
      <c r="F525" s="5"/>
      <c r="G525" s="5"/>
      <c r="H525" s="5" t="str">
        <f t="array" ref="H525">IF(N525=1, INDEX('Database Mitra'!$C$2:$C993,MATCH($C525,'Database Mitra'!$AK$2:$AK993,0)),"")</f>
        <v/>
      </c>
      <c r="I525" s="71" t="str">
        <f>IF(N525=1,SUMIFS('Alokasi Honor'!$M$2:$M993,'Alokasi Honor'!$T$2:$T993,A525),"")</f>
        <v/>
      </c>
      <c r="L525" s="10" t="str">
        <f t="array" ref="L525">IF(N525=1,INDEX('Batasan Honor'!$B$2:$B993,MATCH(CONCATENATE($F525,"-",$G525),'Batasan Honor'!$G$2:$G993,0)),"")</f>
        <v/>
      </c>
      <c r="M525" s="10" t="str">
        <f t="shared" si="5"/>
        <v/>
      </c>
      <c r="N525" s="10" t="str">
        <f t="shared" si="3"/>
        <v/>
      </c>
    </row>
    <row r="526" spans="2:14" ht="12.5">
      <c r="B526" s="5"/>
      <c r="C526" s="5" t="str">
        <f ca="1">IFERROR(__xludf.DUMMYFUNCTION("IF(N526=1,SPLIT(A526,""-""),"""")"),"")</f>
        <v/>
      </c>
      <c r="F526" s="5"/>
      <c r="G526" s="5"/>
      <c r="H526" s="5" t="str">
        <f t="array" ref="H526">IF(N526=1, INDEX('Database Mitra'!$C$2:$C993,MATCH($C526,'Database Mitra'!$AK$2:$AK993,0)),"")</f>
        <v/>
      </c>
      <c r="I526" s="71" t="str">
        <f>IF(N526=1,SUMIFS('Alokasi Honor'!$M$2:$M993,'Alokasi Honor'!$T$2:$T993,A526),"")</f>
        <v/>
      </c>
      <c r="L526" s="10" t="str">
        <f t="array" ref="L526">IF(N526=1,INDEX('Batasan Honor'!$B$2:$B993,MATCH(CONCATENATE($F526,"-",$G526),'Batasan Honor'!$G$2:$G993,0)),"")</f>
        <v/>
      </c>
      <c r="M526" s="10" t="str">
        <f t="shared" si="5"/>
        <v/>
      </c>
      <c r="N526" s="10" t="str">
        <f t="shared" si="3"/>
        <v/>
      </c>
    </row>
    <row r="527" spans="2:14" ht="12.5">
      <c r="B527" s="5"/>
      <c r="C527" s="5" t="str">
        <f ca="1">IFERROR(__xludf.DUMMYFUNCTION("IF(N527=1,SPLIT(A527,""-""),"""")"),"")</f>
        <v/>
      </c>
      <c r="F527" s="5"/>
      <c r="G527" s="5"/>
      <c r="H527" s="5" t="str">
        <f t="array" ref="H527">IF(N527=1, INDEX('Database Mitra'!$C$2:$C993,MATCH($C527,'Database Mitra'!$AK$2:$AK993,0)),"")</f>
        <v/>
      </c>
      <c r="I527" s="71" t="str">
        <f>IF(N527=1,SUMIFS('Alokasi Honor'!$M$2:$M993,'Alokasi Honor'!$T$2:$T993,A527),"")</f>
        <v/>
      </c>
      <c r="L527" s="10" t="str">
        <f t="array" ref="L527">IF(N527=1,INDEX('Batasan Honor'!$B$2:$B993,MATCH(CONCATENATE($F527,"-",$G527),'Batasan Honor'!$G$2:$G993,0)),"")</f>
        <v/>
      </c>
      <c r="M527" s="10" t="str">
        <f t="shared" si="5"/>
        <v/>
      </c>
      <c r="N527" s="10" t="str">
        <f t="shared" si="3"/>
        <v/>
      </c>
    </row>
    <row r="528" spans="2:14" ht="12.5">
      <c r="B528" s="5"/>
      <c r="C528" s="5" t="str">
        <f ca="1">IFERROR(__xludf.DUMMYFUNCTION("IF(N528=1,SPLIT(A528,""-""),"""")"),"")</f>
        <v/>
      </c>
      <c r="F528" s="5"/>
      <c r="G528" s="5"/>
      <c r="H528" s="5" t="str">
        <f t="array" ref="H528">IF(N528=1, INDEX('Database Mitra'!$C$2:$C993,MATCH($C528,'Database Mitra'!$AK$2:$AK993,0)),"")</f>
        <v/>
      </c>
      <c r="I528" s="71" t="str">
        <f>IF(N528=1,SUMIFS('Alokasi Honor'!$M$2:$M993,'Alokasi Honor'!$T$2:$T993,A528),"")</f>
        <v/>
      </c>
      <c r="L528" s="10" t="str">
        <f t="array" ref="L528">IF(N528=1,INDEX('Batasan Honor'!$B$2:$B993,MATCH(CONCATENATE($F528,"-",$G528),'Batasan Honor'!$G$2:$G993,0)),"")</f>
        <v/>
      </c>
      <c r="M528" s="10" t="str">
        <f t="shared" si="5"/>
        <v/>
      </c>
      <c r="N528" s="10" t="str">
        <f t="shared" si="3"/>
        <v/>
      </c>
    </row>
    <row r="529" spans="2:14" ht="12.5">
      <c r="B529" s="5"/>
      <c r="C529" s="5" t="str">
        <f ca="1">IFERROR(__xludf.DUMMYFUNCTION("IF(N529=1,SPLIT(A529,""-""),"""")"),"")</f>
        <v/>
      </c>
      <c r="F529" s="5"/>
      <c r="G529" s="5"/>
      <c r="H529" s="5" t="str">
        <f t="array" ref="H529">IF(N529=1, INDEX('Database Mitra'!$C$2:$C993,MATCH($C529,'Database Mitra'!$AK$2:$AK993,0)),"")</f>
        <v/>
      </c>
      <c r="I529" s="71" t="str">
        <f>IF(N529=1,SUMIFS('Alokasi Honor'!$M$2:$M993,'Alokasi Honor'!$T$2:$T993,A529),"")</f>
        <v/>
      </c>
      <c r="L529" s="10" t="str">
        <f t="array" ref="L529">IF(N529=1,INDEX('Batasan Honor'!$B$2:$B993,MATCH(CONCATENATE($F529,"-",$G529),'Batasan Honor'!$G$2:$G993,0)),"")</f>
        <v/>
      </c>
      <c r="M529" s="10" t="str">
        <f t="shared" si="5"/>
        <v/>
      </c>
      <c r="N529" s="10" t="str">
        <f t="shared" si="3"/>
        <v/>
      </c>
    </row>
    <row r="530" spans="2:14" ht="12.5">
      <c r="B530" s="5"/>
      <c r="C530" s="5" t="str">
        <f ca="1">IFERROR(__xludf.DUMMYFUNCTION("IF(N530=1,SPLIT(A530,""-""),"""")"),"")</f>
        <v/>
      </c>
      <c r="F530" s="5"/>
      <c r="G530" s="5"/>
      <c r="H530" s="5" t="str">
        <f t="array" ref="H530">IF(N530=1, INDEX('Database Mitra'!$C$2:$C993,MATCH($C530,'Database Mitra'!$AK$2:$AK993,0)),"")</f>
        <v/>
      </c>
      <c r="I530" s="71" t="str">
        <f>IF(N530=1,SUMIFS('Alokasi Honor'!$M$2:$M993,'Alokasi Honor'!$T$2:$T993,A530),"")</f>
        <v/>
      </c>
      <c r="L530" s="10" t="str">
        <f t="array" ref="L530">IF(N530=1,INDEX('Batasan Honor'!$B$2:$B993,MATCH(CONCATENATE($F530,"-",$G530),'Batasan Honor'!$G$2:$G993,0)),"")</f>
        <v/>
      </c>
      <c r="M530" s="10" t="str">
        <f t="shared" si="5"/>
        <v/>
      </c>
      <c r="N530" s="10" t="str">
        <f t="shared" si="3"/>
        <v/>
      </c>
    </row>
    <row r="531" spans="2:14" ht="12.5">
      <c r="B531" s="5"/>
      <c r="C531" s="5" t="str">
        <f ca="1">IFERROR(__xludf.DUMMYFUNCTION("IF(N531=1,SPLIT(A531,""-""),"""")"),"")</f>
        <v/>
      </c>
      <c r="F531" s="5"/>
      <c r="G531" s="5"/>
      <c r="H531" s="5" t="str">
        <f t="array" ref="H531">IF(N531=1, INDEX('Database Mitra'!$C$2:$C993,MATCH($C531,'Database Mitra'!$AK$2:$AK993,0)),"")</f>
        <v/>
      </c>
      <c r="I531" s="71" t="str">
        <f>IF(N531=1,SUMIFS('Alokasi Honor'!$M$2:$M993,'Alokasi Honor'!$T$2:$T993,A531),"")</f>
        <v/>
      </c>
      <c r="L531" s="10" t="str">
        <f t="array" ref="L531">IF(N531=1,INDEX('Batasan Honor'!$B$2:$B993,MATCH(CONCATENATE($F531,"-",$G531),'Batasan Honor'!$G$2:$G993,0)),"")</f>
        <v/>
      </c>
      <c r="M531" s="10" t="str">
        <f t="shared" si="5"/>
        <v/>
      </c>
      <c r="N531" s="10" t="str">
        <f t="shared" si="3"/>
        <v/>
      </c>
    </row>
    <row r="532" spans="2:14" ht="12.5">
      <c r="B532" s="5"/>
      <c r="C532" s="5" t="str">
        <f ca="1">IFERROR(__xludf.DUMMYFUNCTION("IF(N532=1,SPLIT(A532,""-""),"""")"),"")</f>
        <v/>
      </c>
      <c r="F532" s="5"/>
      <c r="G532" s="5"/>
      <c r="H532" s="5" t="str">
        <f t="array" ref="H532">IF(N532=1, INDEX('Database Mitra'!$C$2:$C993,MATCH($C532,'Database Mitra'!$AK$2:$AK993,0)),"")</f>
        <v/>
      </c>
      <c r="I532" s="71" t="str">
        <f>IF(N532=1,SUMIFS('Alokasi Honor'!$M$2:$M993,'Alokasi Honor'!$T$2:$T993,A532),"")</f>
        <v/>
      </c>
      <c r="L532" s="10" t="str">
        <f t="array" ref="L532">IF(N532=1,INDEX('Batasan Honor'!$B$2:$B993,MATCH(CONCATENATE($F532,"-",$G532),'Batasan Honor'!$G$2:$G993,0)),"")</f>
        <v/>
      </c>
      <c r="M532" s="10" t="str">
        <f t="shared" si="5"/>
        <v/>
      </c>
      <c r="N532" s="10" t="str">
        <f t="shared" si="3"/>
        <v/>
      </c>
    </row>
    <row r="533" spans="2:14" ht="12.5">
      <c r="B533" s="5"/>
      <c r="C533" s="5" t="str">
        <f ca="1">IFERROR(__xludf.DUMMYFUNCTION("IF(N533=1,SPLIT(A533,""-""),"""")"),"")</f>
        <v/>
      </c>
      <c r="F533" s="5"/>
      <c r="G533" s="5"/>
      <c r="H533" s="5" t="str">
        <f t="array" ref="H533">IF(N533=1, INDEX('Database Mitra'!$C$2:$C993,MATCH($C533,'Database Mitra'!$AK$2:$AK993,0)),"")</f>
        <v/>
      </c>
      <c r="I533" s="71" t="str">
        <f>IF(N533=1,SUMIFS('Alokasi Honor'!$M$2:$M993,'Alokasi Honor'!$T$2:$T993,A533),"")</f>
        <v/>
      </c>
      <c r="L533" s="10" t="str">
        <f t="array" ref="L533">IF(N533=1,INDEX('Batasan Honor'!$B$2:$B993,MATCH(CONCATENATE($F533,"-",$G533),'Batasan Honor'!$G$2:$G993,0)),"")</f>
        <v/>
      </c>
      <c r="M533" s="10" t="str">
        <f t="shared" si="5"/>
        <v/>
      </c>
      <c r="N533" s="10" t="str">
        <f t="shared" si="3"/>
        <v/>
      </c>
    </row>
    <row r="534" spans="2:14" ht="12.5">
      <c r="B534" s="5"/>
      <c r="C534" s="5" t="str">
        <f ca="1">IFERROR(__xludf.DUMMYFUNCTION("IF(N534=1,SPLIT(A534,""-""),"""")"),"")</f>
        <v/>
      </c>
      <c r="F534" s="5"/>
      <c r="G534" s="5"/>
      <c r="H534" s="5" t="str">
        <f t="array" ref="H534">IF(N534=1, INDEX('Database Mitra'!$C$2:$C993,MATCH($C534,'Database Mitra'!$AK$2:$AK993,0)),"")</f>
        <v/>
      </c>
      <c r="I534" s="71" t="str">
        <f>IF(N534=1,SUMIFS('Alokasi Honor'!$M$2:$M993,'Alokasi Honor'!$T$2:$T993,A534),"")</f>
        <v/>
      </c>
      <c r="L534" s="10" t="str">
        <f t="array" ref="L534">IF(N534=1,INDEX('Batasan Honor'!$B$2:$B993,MATCH(CONCATENATE($F534,"-",$G534),'Batasan Honor'!$G$2:$G993,0)),"")</f>
        <v/>
      </c>
      <c r="M534" s="10" t="str">
        <f t="shared" si="5"/>
        <v/>
      </c>
      <c r="N534" s="10" t="str">
        <f t="shared" si="3"/>
        <v/>
      </c>
    </row>
    <row r="535" spans="2:14" ht="12.5">
      <c r="B535" s="5"/>
      <c r="C535" s="5" t="str">
        <f ca="1">IFERROR(__xludf.DUMMYFUNCTION("IF(N535=1,SPLIT(A535,""-""),"""")"),"")</f>
        <v/>
      </c>
      <c r="F535" s="5"/>
      <c r="G535" s="5"/>
      <c r="H535" s="5" t="str">
        <f t="array" ref="H535">IF(N535=1, INDEX('Database Mitra'!$C$2:$C993,MATCH($C535,'Database Mitra'!$AK$2:$AK993,0)),"")</f>
        <v/>
      </c>
      <c r="I535" s="71" t="str">
        <f>IF(N535=1,SUMIFS('Alokasi Honor'!$M$2:$M993,'Alokasi Honor'!$T$2:$T993,A535),"")</f>
        <v/>
      </c>
      <c r="L535" s="10" t="str">
        <f t="array" ref="L535">IF(N535=1,INDEX('Batasan Honor'!$B$2:$B993,MATCH(CONCATENATE($F535,"-",$G535),'Batasan Honor'!$G$2:$G993,0)),"")</f>
        <v/>
      </c>
      <c r="M535" s="10" t="str">
        <f t="shared" si="5"/>
        <v/>
      </c>
      <c r="N535" s="10" t="str">
        <f t="shared" si="3"/>
        <v/>
      </c>
    </row>
    <row r="536" spans="2:14" ht="12.5">
      <c r="B536" s="5"/>
      <c r="C536" s="5" t="str">
        <f ca="1">IFERROR(__xludf.DUMMYFUNCTION("IF(N536=1,SPLIT(A536,""-""),"""")"),"")</f>
        <v/>
      </c>
      <c r="F536" s="5"/>
      <c r="G536" s="5"/>
      <c r="H536" s="5" t="str">
        <f t="array" ref="H536">IF(N536=1, INDEX('Database Mitra'!$C$2:$C993,MATCH($C536,'Database Mitra'!$AK$2:$AK993,0)),"")</f>
        <v/>
      </c>
      <c r="I536" s="71" t="str">
        <f>IF(N536=1,SUMIFS('Alokasi Honor'!$M$2:$M993,'Alokasi Honor'!$T$2:$T993,A536),"")</f>
        <v/>
      </c>
      <c r="L536" s="10" t="str">
        <f t="array" ref="L536">IF(N536=1,INDEX('Batasan Honor'!$B$2:$B993,MATCH(CONCATENATE($F536,"-",$G536),'Batasan Honor'!$G$2:$G993,0)),"")</f>
        <v/>
      </c>
      <c r="M536" s="10" t="str">
        <f t="shared" si="5"/>
        <v/>
      </c>
      <c r="N536" s="10" t="str">
        <f t="shared" si="3"/>
        <v/>
      </c>
    </row>
    <row r="537" spans="2:14" ht="12.5">
      <c r="B537" s="5"/>
      <c r="C537" s="5" t="str">
        <f ca="1">IFERROR(__xludf.DUMMYFUNCTION("IF(N537=1,SPLIT(A537,""-""),"""")"),"")</f>
        <v/>
      </c>
      <c r="F537" s="5"/>
      <c r="G537" s="5"/>
      <c r="H537" s="5" t="str">
        <f t="array" ref="H537">IF(N537=1, INDEX('Database Mitra'!$C$2:$C993,MATCH($C537,'Database Mitra'!$AK$2:$AK993,0)),"")</f>
        <v/>
      </c>
      <c r="I537" s="71" t="str">
        <f>IF(N537=1,SUMIFS('Alokasi Honor'!$M$2:$M993,'Alokasi Honor'!$T$2:$T993,A537),"")</f>
        <v/>
      </c>
      <c r="L537" s="10" t="str">
        <f t="array" ref="L537">IF(N537=1,INDEX('Batasan Honor'!$B$2:$B993,MATCH(CONCATENATE($F537,"-",$G537),'Batasan Honor'!$G$2:$G993,0)),"")</f>
        <v/>
      </c>
      <c r="M537" s="10" t="str">
        <f t="shared" si="5"/>
        <v/>
      </c>
      <c r="N537" s="10" t="str">
        <f t="shared" si="3"/>
        <v/>
      </c>
    </row>
    <row r="538" spans="2:14" ht="12.5">
      <c r="B538" s="5"/>
      <c r="C538" s="5" t="str">
        <f ca="1">IFERROR(__xludf.DUMMYFUNCTION("IF(N538=1,SPLIT(A538,""-""),"""")"),"")</f>
        <v/>
      </c>
      <c r="F538" s="5"/>
      <c r="G538" s="5"/>
      <c r="H538" s="5" t="str">
        <f t="array" ref="H538">IF(N538=1, INDEX('Database Mitra'!$C$2:$C993,MATCH($C538,'Database Mitra'!$AK$2:$AK993,0)),"")</f>
        <v/>
      </c>
      <c r="I538" s="71" t="str">
        <f>IF(N538=1,SUMIFS('Alokasi Honor'!$M$2:$M993,'Alokasi Honor'!$T$2:$T993,A538),"")</f>
        <v/>
      </c>
      <c r="L538" s="10" t="str">
        <f t="array" ref="L538">IF(N538=1,INDEX('Batasan Honor'!$B$2:$B993,MATCH(CONCATENATE($F538,"-",$G538),'Batasan Honor'!$G$2:$G993,0)),"")</f>
        <v/>
      </c>
      <c r="M538" s="10" t="str">
        <f t="shared" si="5"/>
        <v/>
      </c>
      <c r="N538" s="10" t="str">
        <f t="shared" si="3"/>
        <v/>
      </c>
    </row>
    <row r="539" spans="2:14" ht="12.5">
      <c r="B539" s="5"/>
      <c r="C539" s="5" t="str">
        <f ca="1">IFERROR(__xludf.DUMMYFUNCTION("IF(N539=1,SPLIT(A539,""-""),"""")"),"")</f>
        <v/>
      </c>
      <c r="F539" s="5"/>
      <c r="G539" s="5"/>
      <c r="H539" s="5" t="str">
        <f t="array" ref="H539">IF(N539=1, INDEX('Database Mitra'!$C$2:$C993,MATCH($C539,'Database Mitra'!$AK$2:$AK993,0)),"")</f>
        <v/>
      </c>
      <c r="I539" s="71" t="str">
        <f>IF(N539=1,SUMIFS('Alokasi Honor'!$M$2:$M993,'Alokasi Honor'!$T$2:$T993,A539),"")</f>
        <v/>
      </c>
      <c r="L539" s="10" t="str">
        <f t="array" ref="L539">IF(N539=1,INDEX('Batasan Honor'!$B$2:$B993,MATCH(CONCATENATE($F539,"-",$G539),'Batasan Honor'!$G$2:$G993,0)),"")</f>
        <v/>
      </c>
      <c r="M539" s="10" t="str">
        <f t="shared" si="5"/>
        <v/>
      </c>
      <c r="N539" s="10" t="str">
        <f t="shared" si="3"/>
        <v/>
      </c>
    </row>
    <row r="540" spans="2:14" ht="12.5">
      <c r="B540" s="5"/>
      <c r="C540" s="5" t="str">
        <f ca="1">IFERROR(__xludf.DUMMYFUNCTION("IF(N540=1,SPLIT(A540,""-""),"""")"),"")</f>
        <v/>
      </c>
      <c r="F540" s="5"/>
      <c r="G540" s="5"/>
      <c r="H540" s="5" t="str">
        <f t="array" ref="H540">IF(N540=1, INDEX('Database Mitra'!$C$2:$C993,MATCH($C540,'Database Mitra'!$AK$2:$AK993,0)),"")</f>
        <v/>
      </c>
      <c r="I540" s="71" t="str">
        <f>IF(N540=1,SUMIFS('Alokasi Honor'!$M$2:$M993,'Alokasi Honor'!$T$2:$T993,A540),"")</f>
        <v/>
      </c>
      <c r="L540" s="10" t="str">
        <f t="array" ref="L540">IF(N540=1,INDEX('Batasan Honor'!$B$2:$B993,MATCH(CONCATENATE($F540,"-",$G540),'Batasan Honor'!$G$2:$G993,0)),"")</f>
        <v/>
      </c>
      <c r="M540" s="10" t="str">
        <f t="shared" si="5"/>
        <v/>
      </c>
      <c r="N540" s="10" t="str">
        <f t="shared" si="3"/>
        <v/>
      </c>
    </row>
    <row r="541" spans="2:14" ht="12.5">
      <c r="B541" s="5"/>
      <c r="C541" s="5" t="str">
        <f ca="1">IFERROR(__xludf.DUMMYFUNCTION("IF(N541=1,SPLIT(A541,""-""),"""")"),"")</f>
        <v/>
      </c>
      <c r="F541" s="5"/>
      <c r="G541" s="5"/>
      <c r="H541" s="5" t="str">
        <f t="array" ref="H541">IF(N541=1, INDEX('Database Mitra'!$C$2:$C993,MATCH($C541,'Database Mitra'!$AK$2:$AK993,0)),"")</f>
        <v/>
      </c>
      <c r="I541" s="71" t="str">
        <f>IF(N541=1,SUMIFS('Alokasi Honor'!$M$2:$M993,'Alokasi Honor'!$T$2:$T993,A541),"")</f>
        <v/>
      </c>
      <c r="L541" s="10" t="str">
        <f t="array" ref="L541">IF(N541=1,INDEX('Batasan Honor'!$B$2:$B993,MATCH(CONCATENATE($F541,"-",$G541),'Batasan Honor'!$G$2:$G993,0)),"")</f>
        <v/>
      </c>
      <c r="M541" s="10" t="str">
        <f t="shared" si="5"/>
        <v/>
      </c>
      <c r="N541" s="10" t="str">
        <f t="shared" si="3"/>
        <v/>
      </c>
    </row>
    <row r="542" spans="2:14" ht="12.5">
      <c r="B542" s="5"/>
      <c r="C542" s="5" t="str">
        <f ca="1">IFERROR(__xludf.DUMMYFUNCTION("IF(N542=1,SPLIT(A542,""-""),"""")"),"")</f>
        <v/>
      </c>
      <c r="F542" s="5"/>
      <c r="G542" s="5"/>
      <c r="H542" s="5" t="str">
        <f t="array" ref="H542">IF(N542=1, INDEX('Database Mitra'!$C$2:$C993,MATCH($C542,'Database Mitra'!$AK$2:$AK993,0)),"")</f>
        <v/>
      </c>
      <c r="I542" s="71" t="str">
        <f>IF(N542=1,SUMIFS('Alokasi Honor'!$M$2:$M993,'Alokasi Honor'!$T$2:$T993,A542),"")</f>
        <v/>
      </c>
      <c r="L542" s="10" t="str">
        <f t="array" ref="L542">IF(N542=1,INDEX('Batasan Honor'!$B$2:$B993,MATCH(CONCATENATE($F542,"-",$G542),'Batasan Honor'!$G$2:$G993,0)),"")</f>
        <v/>
      </c>
      <c r="M542" s="10" t="str">
        <f t="shared" si="5"/>
        <v/>
      </c>
      <c r="N542" s="10" t="str">
        <f t="shared" si="3"/>
        <v/>
      </c>
    </row>
    <row r="543" spans="2:14" ht="12.5">
      <c r="B543" s="5"/>
      <c r="C543" s="5" t="str">
        <f ca="1">IFERROR(__xludf.DUMMYFUNCTION("IF(N543=1,SPLIT(A543,""-""),"""")"),"")</f>
        <v/>
      </c>
      <c r="F543" s="5"/>
      <c r="G543" s="5"/>
      <c r="H543" s="5" t="str">
        <f t="array" ref="H543">IF(N543=1, INDEX('Database Mitra'!$C$2:$C993,MATCH($C543,'Database Mitra'!$AK$2:$AK993,0)),"")</f>
        <v/>
      </c>
      <c r="I543" s="71" t="str">
        <f>IF(N543=1,SUMIFS('Alokasi Honor'!$M$2:$M993,'Alokasi Honor'!$T$2:$T993,A543),"")</f>
        <v/>
      </c>
      <c r="L543" s="10" t="str">
        <f t="array" ref="L543">IF(N543=1,INDEX('Batasan Honor'!$B$2:$B993,MATCH(CONCATENATE($F543,"-",$G543),'Batasan Honor'!$G$2:$G993,0)),"")</f>
        <v/>
      </c>
      <c r="M543" s="10" t="str">
        <f t="shared" si="5"/>
        <v/>
      </c>
      <c r="N543" s="10" t="str">
        <f t="shared" si="3"/>
        <v/>
      </c>
    </row>
    <row r="544" spans="2:14" ht="12.5">
      <c r="B544" s="5"/>
      <c r="C544" s="5" t="str">
        <f ca="1">IFERROR(__xludf.DUMMYFUNCTION("IF(N544=1,SPLIT(A544,""-""),"""")"),"")</f>
        <v/>
      </c>
      <c r="F544" s="5"/>
      <c r="G544" s="5"/>
      <c r="H544" s="5" t="str">
        <f t="array" ref="H544">IF(N544=1, INDEX('Database Mitra'!$C$2:$C993,MATCH($C544,'Database Mitra'!$AK$2:$AK993,0)),"")</f>
        <v/>
      </c>
      <c r="I544" s="71" t="str">
        <f>IF(N544=1,SUMIFS('Alokasi Honor'!$M$2:$M993,'Alokasi Honor'!$T$2:$T993,A544),"")</f>
        <v/>
      </c>
      <c r="L544" s="10" t="str">
        <f t="array" ref="L544">IF(N544=1,INDEX('Batasan Honor'!$B$2:$B993,MATCH(CONCATENATE($F544,"-",$G544),'Batasan Honor'!$G$2:$G993,0)),"")</f>
        <v/>
      </c>
      <c r="M544" s="10" t="str">
        <f t="shared" si="5"/>
        <v/>
      </c>
      <c r="N544" s="10" t="str">
        <f t="shared" si="3"/>
        <v/>
      </c>
    </row>
    <row r="545" spans="2:14" ht="12.5">
      <c r="B545" s="5"/>
      <c r="C545" s="5" t="str">
        <f ca="1">IFERROR(__xludf.DUMMYFUNCTION("IF(N545=1,SPLIT(A545,""-""),"""")"),"")</f>
        <v/>
      </c>
      <c r="F545" s="5"/>
      <c r="G545" s="5"/>
      <c r="H545" s="5" t="str">
        <f t="array" ref="H545">IF(N545=1, INDEX('Database Mitra'!$C$2:$C993,MATCH($C545,'Database Mitra'!$AK$2:$AK993,0)),"")</f>
        <v/>
      </c>
      <c r="I545" s="71" t="str">
        <f>IF(N545=1,SUMIFS('Alokasi Honor'!$M$2:$M993,'Alokasi Honor'!$T$2:$T993,A545),"")</f>
        <v/>
      </c>
      <c r="L545" s="10" t="str">
        <f t="array" ref="L545">IF(N545=1,INDEX('Batasan Honor'!$B$2:$B993,MATCH(CONCATENATE($F545,"-",$G545),'Batasan Honor'!$G$2:$G993,0)),"")</f>
        <v/>
      </c>
      <c r="M545" s="10" t="str">
        <f t="shared" si="5"/>
        <v/>
      </c>
      <c r="N545" s="10" t="str">
        <f t="shared" si="3"/>
        <v/>
      </c>
    </row>
    <row r="546" spans="2:14" ht="12.5">
      <c r="B546" s="5"/>
      <c r="C546" s="5" t="str">
        <f ca="1">IFERROR(__xludf.DUMMYFUNCTION("IF(N546=1,SPLIT(A546,""-""),"""")"),"")</f>
        <v/>
      </c>
      <c r="F546" s="5"/>
      <c r="G546" s="5"/>
      <c r="H546" s="5" t="str">
        <f t="array" ref="H546">IF(N546=1, INDEX('Database Mitra'!$C$2:$C993,MATCH($C546,'Database Mitra'!$AK$2:$AK993,0)),"")</f>
        <v/>
      </c>
      <c r="I546" s="71" t="str">
        <f>IF(N546=1,SUMIFS('Alokasi Honor'!$M$2:$M993,'Alokasi Honor'!$T$2:$T993,A546),"")</f>
        <v/>
      </c>
      <c r="L546" s="10" t="str">
        <f t="array" ref="L546">IF(N546=1,INDEX('Batasan Honor'!$B$2:$B993,MATCH(CONCATENATE($F546,"-",$G546),'Batasan Honor'!$G$2:$G993,0)),"")</f>
        <v/>
      </c>
      <c r="M546" s="10" t="str">
        <f t="shared" si="5"/>
        <v/>
      </c>
      <c r="N546" s="10" t="str">
        <f t="shared" si="3"/>
        <v/>
      </c>
    </row>
    <row r="547" spans="2:14" ht="12.5">
      <c r="B547" s="5"/>
      <c r="C547" s="5" t="str">
        <f ca="1">IFERROR(__xludf.DUMMYFUNCTION("IF(N547=1,SPLIT(A547,""-""),"""")"),"")</f>
        <v/>
      </c>
      <c r="F547" s="5"/>
      <c r="G547" s="5"/>
      <c r="H547" s="5" t="str">
        <f t="array" ref="H547">IF(N547=1, INDEX('Database Mitra'!$C$2:$C993,MATCH($C547,'Database Mitra'!$AK$2:$AK993,0)),"")</f>
        <v/>
      </c>
      <c r="I547" s="71" t="str">
        <f>IF(N547=1,SUMIFS('Alokasi Honor'!$M$2:$M993,'Alokasi Honor'!$T$2:$T993,A547),"")</f>
        <v/>
      </c>
      <c r="L547" s="10" t="str">
        <f t="array" ref="L547">IF(N547=1,INDEX('Batasan Honor'!$B$2:$B993,MATCH(CONCATENATE($F547,"-",$G547),'Batasan Honor'!$G$2:$G993,0)),"")</f>
        <v/>
      </c>
      <c r="M547" s="10" t="str">
        <f t="shared" si="5"/>
        <v/>
      </c>
      <c r="N547" s="10" t="str">
        <f t="shared" si="3"/>
        <v/>
      </c>
    </row>
    <row r="548" spans="2:14" ht="12.5">
      <c r="B548" s="5"/>
      <c r="C548" s="5" t="str">
        <f ca="1">IFERROR(__xludf.DUMMYFUNCTION("IF(N548=1,SPLIT(A548,""-""),"""")"),"")</f>
        <v/>
      </c>
      <c r="F548" s="5"/>
      <c r="G548" s="5"/>
      <c r="H548" s="5" t="str">
        <f t="array" ref="H548">IF(N548=1, INDEX('Database Mitra'!$C$2:$C993,MATCH($C548,'Database Mitra'!$AK$2:$AK993,0)),"")</f>
        <v/>
      </c>
      <c r="I548" s="71" t="str">
        <f>IF(N548=1,SUMIFS('Alokasi Honor'!$M$2:$M993,'Alokasi Honor'!$T$2:$T993,A548),"")</f>
        <v/>
      </c>
      <c r="L548" s="10" t="str">
        <f t="array" ref="L548">IF(N548=1,INDEX('Batasan Honor'!$B$2:$B993,MATCH(CONCATENATE($F548,"-",$G548),'Batasan Honor'!$G$2:$G993,0)),"")</f>
        <v/>
      </c>
      <c r="M548" s="10" t="str">
        <f t="shared" si="5"/>
        <v/>
      </c>
      <c r="N548" s="10" t="str">
        <f t="shared" si="3"/>
        <v/>
      </c>
    </row>
    <row r="549" spans="2:14" ht="12.5">
      <c r="B549" s="5"/>
      <c r="C549" s="5" t="str">
        <f ca="1">IFERROR(__xludf.DUMMYFUNCTION("IF(N549=1,SPLIT(A549,""-""),"""")"),"")</f>
        <v/>
      </c>
      <c r="F549" s="5"/>
      <c r="G549" s="5"/>
      <c r="H549" s="5" t="str">
        <f t="array" ref="H549">IF(N549=1, INDEX('Database Mitra'!$C$2:$C993,MATCH($C549,'Database Mitra'!$AK$2:$AK993,0)),"")</f>
        <v/>
      </c>
      <c r="I549" s="71" t="str">
        <f>IF(N549=1,SUMIFS('Alokasi Honor'!$M$2:$M993,'Alokasi Honor'!$T$2:$T993,A549),"")</f>
        <v/>
      </c>
      <c r="L549" s="10" t="str">
        <f t="array" ref="L549">IF(N549=1,INDEX('Batasan Honor'!$B$2:$B993,MATCH(CONCATENATE($F549,"-",$G549),'Batasan Honor'!$G$2:$G993,0)),"")</f>
        <v/>
      </c>
      <c r="M549" s="10" t="str">
        <f t="shared" si="5"/>
        <v/>
      </c>
      <c r="N549" s="10" t="str">
        <f t="shared" si="3"/>
        <v/>
      </c>
    </row>
    <row r="550" spans="2:14" ht="12.5">
      <c r="B550" s="5"/>
      <c r="C550" s="5" t="str">
        <f ca="1">IFERROR(__xludf.DUMMYFUNCTION("IF(N550=1,SPLIT(A550,""-""),"""")"),"")</f>
        <v/>
      </c>
      <c r="F550" s="5"/>
      <c r="G550" s="5"/>
      <c r="H550" s="5" t="str">
        <f t="array" ref="H550">IF(N550=1, INDEX('Database Mitra'!$C$2:$C993,MATCH($C550,'Database Mitra'!$AK$2:$AK993,0)),"")</f>
        <v/>
      </c>
      <c r="I550" s="71" t="str">
        <f>IF(N550=1,SUMIFS('Alokasi Honor'!$M$2:$M993,'Alokasi Honor'!$T$2:$T993,A550),"")</f>
        <v/>
      </c>
      <c r="L550" s="10" t="str">
        <f t="array" ref="L550">IF(N550=1,INDEX('Batasan Honor'!$B$2:$B993,MATCH(CONCATENATE($F550,"-",$G550),'Batasan Honor'!$G$2:$G993,0)),"")</f>
        <v/>
      </c>
      <c r="M550" s="10" t="str">
        <f t="shared" si="5"/>
        <v/>
      </c>
      <c r="N550" s="10" t="str">
        <f t="shared" si="3"/>
        <v/>
      </c>
    </row>
    <row r="551" spans="2:14" ht="12.5">
      <c r="B551" s="5"/>
      <c r="C551" s="5" t="str">
        <f ca="1">IFERROR(__xludf.DUMMYFUNCTION("IF(N551=1,SPLIT(A551,""-""),"""")"),"")</f>
        <v/>
      </c>
      <c r="F551" s="5"/>
      <c r="G551" s="5"/>
      <c r="H551" s="5" t="str">
        <f t="array" ref="H551">IF(N551=1, INDEX('Database Mitra'!$C$2:$C993,MATCH($C551,'Database Mitra'!$AK$2:$AK993,0)),"")</f>
        <v/>
      </c>
      <c r="I551" s="71" t="str">
        <f>IF(N551=1,SUMIFS('Alokasi Honor'!$M$2:$M993,'Alokasi Honor'!$T$2:$T993,A551),"")</f>
        <v/>
      </c>
      <c r="L551" s="10" t="str">
        <f t="array" ref="L551">IF(N551=1,INDEX('Batasan Honor'!$B$2:$B993,MATCH(CONCATENATE($F551,"-",$G551),'Batasan Honor'!$G$2:$G993,0)),"")</f>
        <v/>
      </c>
      <c r="M551" s="10" t="str">
        <f t="shared" si="5"/>
        <v/>
      </c>
      <c r="N551" s="10" t="str">
        <f t="shared" si="3"/>
        <v/>
      </c>
    </row>
    <row r="552" spans="2:14" ht="12.5">
      <c r="B552" s="5"/>
      <c r="C552" s="5" t="str">
        <f ca="1">IFERROR(__xludf.DUMMYFUNCTION("IF(N552=1,SPLIT(A552,""-""),"""")"),"")</f>
        <v/>
      </c>
      <c r="F552" s="5"/>
      <c r="G552" s="5"/>
      <c r="H552" s="5" t="str">
        <f t="array" ref="H552">IF(N552=1, INDEX('Database Mitra'!$C$2:$C993,MATCH($C552,'Database Mitra'!$AK$2:$AK993,0)),"")</f>
        <v/>
      </c>
      <c r="I552" s="71" t="str">
        <f>IF(N552=1,SUMIFS('Alokasi Honor'!$M$2:$M993,'Alokasi Honor'!$T$2:$T993,A552),"")</f>
        <v/>
      </c>
      <c r="L552" s="10" t="str">
        <f t="array" ref="L552">IF(N552=1,INDEX('Batasan Honor'!$B$2:$B993,MATCH(CONCATENATE($F552,"-",$G552),'Batasan Honor'!$G$2:$G993,0)),"")</f>
        <v/>
      </c>
      <c r="M552" s="10" t="str">
        <f t="shared" si="5"/>
        <v/>
      </c>
      <c r="N552" s="10" t="str">
        <f t="shared" si="3"/>
        <v/>
      </c>
    </row>
    <row r="553" spans="2:14" ht="12.5">
      <c r="B553" s="5"/>
      <c r="C553" s="5" t="str">
        <f ca="1">IFERROR(__xludf.DUMMYFUNCTION("IF(N553=1,SPLIT(A553,""-""),"""")"),"")</f>
        <v/>
      </c>
      <c r="F553" s="5"/>
      <c r="G553" s="5"/>
      <c r="H553" s="5" t="str">
        <f t="array" ref="H553">IF(N553=1, INDEX('Database Mitra'!$C$2:$C993,MATCH($C553,'Database Mitra'!$AK$2:$AK993,0)),"")</f>
        <v/>
      </c>
      <c r="I553" s="71" t="str">
        <f>IF(N553=1,SUMIFS('Alokasi Honor'!$M$2:$M993,'Alokasi Honor'!$T$2:$T993,A553),"")</f>
        <v/>
      </c>
      <c r="L553" s="10" t="str">
        <f t="array" ref="L553">IF(N553=1,INDEX('Batasan Honor'!$B$2:$B993,MATCH(CONCATENATE($F553,"-",$G553),'Batasan Honor'!$G$2:$G993,0)),"")</f>
        <v/>
      </c>
      <c r="M553" s="10" t="str">
        <f t="shared" si="5"/>
        <v/>
      </c>
      <c r="N553" s="10" t="str">
        <f t="shared" si="3"/>
        <v/>
      </c>
    </row>
    <row r="554" spans="2:14" ht="12.5">
      <c r="B554" s="5"/>
      <c r="C554" s="5" t="str">
        <f ca="1">IFERROR(__xludf.DUMMYFUNCTION("IF(N554=1,SPLIT(A554,""-""),"""")"),"")</f>
        <v/>
      </c>
      <c r="F554" s="5"/>
      <c r="G554" s="5"/>
      <c r="H554" s="5" t="str">
        <f t="array" ref="H554">IF(N554=1, INDEX('Database Mitra'!$C$2:$C993,MATCH($C554,'Database Mitra'!$AK$2:$AK993,0)),"")</f>
        <v/>
      </c>
      <c r="I554" s="71" t="str">
        <f>IF(N554=1,SUMIFS('Alokasi Honor'!$M$2:$M993,'Alokasi Honor'!$T$2:$T993,A554),"")</f>
        <v/>
      </c>
      <c r="L554" s="10" t="str">
        <f t="array" ref="L554">IF(N554=1,INDEX('Batasan Honor'!$B$2:$B993,MATCH(CONCATENATE($F554,"-",$G554),'Batasan Honor'!$G$2:$G993,0)),"")</f>
        <v/>
      </c>
      <c r="M554" s="10" t="str">
        <f t="shared" si="5"/>
        <v/>
      </c>
      <c r="N554" s="10" t="str">
        <f t="shared" si="3"/>
        <v/>
      </c>
    </row>
    <row r="555" spans="2:14" ht="12.5">
      <c r="B555" s="5"/>
      <c r="C555" s="5" t="str">
        <f ca="1">IFERROR(__xludf.DUMMYFUNCTION("IF(N555=1,SPLIT(A555,""-""),"""")"),"")</f>
        <v/>
      </c>
      <c r="F555" s="5"/>
      <c r="G555" s="5"/>
      <c r="H555" s="5" t="str">
        <f t="array" ref="H555">IF(N555=1, INDEX('Database Mitra'!$C$2:$C993,MATCH($C555,'Database Mitra'!$AK$2:$AK993,0)),"")</f>
        <v/>
      </c>
      <c r="I555" s="71" t="str">
        <f>IF(N555=1,SUMIFS('Alokasi Honor'!$M$2:$M993,'Alokasi Honor'!$T$2:$T993,A555),"")</f>
        <v/>
      </c>
      <c r="L555" s="10" t="str">
        <f t="array" ref="L555">IF(N555=1,INDEX('Batasan Honor'!$B$2:$B993,MATCH(CONCATENATE($F555,"-",$G555),'Batasan Honor'!$G$2:$G993,0)),"")</f>
        <v/>
      </c>
      <c r="M555" s="10" t="str">
        <f t="shared" si="5"/>
        <v/>
      </c>
      <c r="N555" s="10" t="str">
        <f t="shared" si="3"/>
        <v/>
      </c>
    </row>
    <row r="556" spans="2:14" ht="12.5">
      <c r="B556" s="5"/>
      <c r="C556" s="5" t="str">
        <f ca="1">IFERROR(__xludf.DUMMYFUNCTION("IF(N556=1,SPLIT(A556,""-""),"""")"),"")</f>
        <v/>
      </c>
      <c r="F556" s="5"/>
      <c r="G556" s="5"/>
      <c r="H556" s="5" t="str">
        <f t="array" ref="H556">IF(N556=1, INDEX('Database Mitra'!$C$2:$C993,MATCH($C556,'Database Mitra'!$AK$2:$AK993,0)),"")</f>
        <v/>
      </c>
      <c r="I556" s="71" t="str">
        <f>IF(N556=1,SUMIFS('Alokasi Honor'!$M$2:$M993,'Alokasi Honor'!$T$2:$T993,A556),"")</f>
        <v/>
      </c>
      <c r="L556" s="10" t="str">
        <f t="array" ref="L556">IF(N556=1,INDEX('Batasan Honor'!$B$2:$B993,MATCH(CONCATENATE($F556,"-",$G556),'Batasan Honor'!$G$2:$G993,0)),"")</f>
        <v/>
      </c>
      <c r="M556" s="10" t="str">
        <f t="shared" si="5"/>
        <v/>
      </c>
      <c r="N556" s="10" t="str">
        <f t="shared" si="3"/>
        <v/>
      </c>
    </row>
    <row r="557" spans="2:14" ht="12.5">
      <c r="B557" s="5"/>
      <c r="C557" s="5" t="str">
        <f ca="1">IFERROR(__xludf.DUMMYFUNCTION("IF(N557=1,SPLIT(A557,""-""),"""")"),"")</f>
        <v/>
      </c>
      <c r="F557" s="5"/>
      <c r="G557" s="5"/>
      <c r="H557" s="5" t="str">
        <f t="array" ref="H557">IF(N557=1, INDEX('Database Mitra'!$C$2:$C993,MATCH($C557,'Database Mitra'!$AK$2:$AK993,0)),"")</f>
        <v/>
      </c>
      <c r="I557" s="71" t="str">
        <f>IF(N557=1,SUMIFS('Alokasi Honor'!$M$2:$M993,'Alokasi Honor'!$T$2:$T993,A557),"")</f>
        <v/>
      </c>
      <c r="L557" s="10" t="str">
        <f t="array" ref="L557">IF(N557=1,INDEX('Batasan Honor'!$B$2:$B993,MATCH(CONCATENATE($F557,"-",$G557),'Batasan Honor'!$G$2:$G993,0)),"")</f>
        <v/>
      </c>
      <c r="M557" s="10" t="str">
        <f t="shared" si="5"/>
        <v/>
      </c>
      <c r="N557" s="10" t="str">
        <f t="shared" si="3"/>
        <v/>
      </c>
    </row>
    <row r="558" spans="2:14" ht="12.5">
      <c r="B558" s="5"/>
      <c r="C558" s="5" t="str">
        <f ca="1">IFERROR(__xludf.DUMMYFUNCTION("IF(N558=1,SPLIT(A558,""-""),"""")"),"")</f>
        <v/>
      </c>
      <c r="F558" s="5"/>
      <c r="G558" s="5"/>
      <c r="H558" s="5" t="str">
        <f t="array" ref="H558">IF(N558=1, INDEX('Database Mitra'!$C$2:$C993,MATCH($C558,'Database Mitra'!$AK$2:$AK993,0)),"")</f>
        <v/>
      </c>
      <c r="I558" s="71" t="str">
        <f>IF(N558=1,SUMIFS('Alokasi Honor'!$M$2:$M993,'Alokasi Honor'!$T$2:$T993,A558),"")</f>
        <v/>
      </c>
      <c r="L558" s="10" t="str">
        <f t="array" ref="L558">IF(N558=1,INDEX('Batasan Honor'!$B$2:$B993,MATCH(CONCATENATE($F558,"-",$G558),'Batasan Honor'!$G$2:$G993,0)),"")</f>
        <v/>
      </c>
      <c r="M558" s="10" t="str">
        <f t="shared" si="5"/>
        <v/>
      </c>
      <c r="N558" s="10" t="str">
        <f t="shared" si="3"/>
        <v/>
      </c>
    </row>
    <row r="559" spans="2:14" ht="12.5">
      <c r="B559" s="5"/>
      <c r="C559" s="5" t="str">
        <f ca="1">IFERROR(__xludf.DUMMYFUNCTION("IF(N559=1,SPLIT(A559,""-""),"""")"),"")</f>
        <v/>
      </c>
      <c r="F559" s="5"/>
      <c r="G559" s="5"/>
      <c r="H559" s="5" t="str">
        <f t="array" ref="H559">IF(N559=1, INDEX('Database Mitra'!$C$2:$C993,MATCH($C559,'Database Mitra'!$AK$2:$AK993,0)),"")</f>
        <v/>
      </c>
      <c r="I559" s="71" t="str">
        <f>IF(N559=1,SUMIFS('Alokasi Honor'!$M$2:$M993,'Alokasi Honor'!$T$2:$T993,A559),"")</f>
        <v/>
      </c>
      <c r="L559" s="10" t="str">
        <f t="array" ref="L559">IF(N559=1,INDEX('Batasan Honor'!$B$2:$B993,MATCH(CONCATENATE($F559,"-",$G559),'Batasan Honor'!$G$2:$G993,0)),"")</f>
        <v/>
      </c>
      <c r="M559" s="10" t="str">
        <f t="shared" si="5"/>
        <v/>
      </c>
      <c r="N559" s="10" t="str">
        <f t="shared" si="3"/>
        <v/>
      </c>
    </row>
    <row r="560" spans="2:14" ht="12.5">
      <c r="B560" s="5"/>
      <c r="C560" s="5" t="str">
        <f ca="1">IFERROR(__xludf.DUMMYFUNCTION("IF(N560=1,SPLIT(A560,""-""),"""")"),"")</f>
        <v/>
      </c>
      <c r="F560" s="5"/>
      <c r="G560" s="5"/>
      <c r="H560" s="5" t="str">
        <f t="array" ref="H560">IF(N560=1, INDEX('Database Mitra'!$C$2:$C993,MATCH($C560,'Database Mitra'!$AK$2:$AK993,0)),"")</f>
        <v/>
      </c>
      <c r="I560" s="71" t="str">
        <f>IF(N560=1,SUMIFS('Alokasi Honor'!$M$2:$M993,'Alokasi Honor'!$T$2:$T993,A560),"")</f>
        <v/>
      </c>
      <c r="L560" s="10" t="str">
        <f t="array" ref="L560">IF(N560=1,INDEX('Batasan Honor'!$B$2:$B993,MATCH(CONCATENATE($F560,"-",$G560),'Batasan Honor'!$G$2:$G993,0)),"")</f>
        <v/>
      </c>
      <c r="M560" s="10" t="str">
        <f t="shared" si="5"/>
        <v/>
      </c>
      <c r="N560" s="10" t="str">
        <f t="shared" si="3"/>
        <v/>
      </c>
    </row>
    <row r="561" spans="2:14" ht="12.5">
      <c r="B561" s="5"/>
      <c r="C561" s="5" t="str">
        <f ca="1">IFERROR(__xludf.DUMMYFUNCTION("IF(N561=1,SPLIT(A561,""-""),"""")"),"")</f>
        <v/>
      </c>
      <c r="F561" s="5"/>
      <c r="G561" s="5"/>
      <c r="H561" s="5" t="str">
        <f t="array" ref="H561">IF(N561=1, INDEX('Database Mitra'!$C$2:$C993,MATCH($C561,'Database Mitra'!$AK$2:$AK993,0)),"")</f>
        <v/>
      </c>
      <c r="I561" s="71" t="str">
        <f>IF(N561=1,SUMIFS('Alokasi Honor'!$M$2:$M993,'Alokasi Honor'!$T$2:$T993,A561),"")</f>
        <v/>
      </c>
      <c r="L561" s="10" t="str">
        <f t="array" ref="L561">IF(N561=1,INDEX('Batasan Honor'!$B$2:$B993,MATCH(CONCATENATE($F561,"-",$G561),'Batasan Honor'!$G$2:$G993,0)),"")</f>
        <v/>
      </c>
      <c r="M561" s="10" t="str">
        <f t="shared" si="5"/>
        <v/>
      </c>
      <c r="N561" s="10" t="str">
        <f t="shared" si="3"/>
        <v/>
      </c>
    </row>
    <row r="562" spans="2:14" ht="12.5">
      <c r="B562" s="5"/>
      <c r="C562" s="5" t="str">
        <f ca="1">IFERROR(__xludf.DUMMYFUNCTION("IF(N562=1,SPLIT(A562,""-""),"""")"),"")</f>
        <v/>
      </c>
      <c r="F562" s="5"/>
      <c r="G562" s="5"/>
      <c r="H562" s="5" t="str">
        <f t="array" ref="H562">IF(N562=1, INDEX('Database Mitra'!$C$2:$C993,MATCH($C562,'Database Mitra'!$AK$2:$AK993,0)),"")</f>
        <v/>
      </c>
      <c r="I562" s="71" t="str">
        <f>IF(N562=1,SUMIFS('Alokasi Honor'!$M$2:$M993,'Alokasi Honor'!$T$2:$T993,A562),"")</f>
        <v/>
      </c>
      <c r="L562" s="10" t="str">
        <f t="array" ref="L562">IF(N562=1,INDEX('Batasan Honor'!$B$2:$B993,MATCH(CONCATENATE($F562,"-",$G562),'Batasan Honor'!$G$2:$G993,0)),"")</f>
        <v/>
      </c>
      <c r="M562" s="10" t="str">
        <f t="shared" si="5"/>
        <v/>
      </c>
      <c r="N562" s="10" t="str">
        <f t="shared" si="3"/>
        <v/>
      </c>
    </row>
    <row r="563" spans="2:14" ht="12.5">
      <c r="B563" s="5"/>
      <c r="C563" s="5" t="str">
        <f ca="1">IFERROR(__xludf.DUMMYFUNCTION("IF(N563=1,SPLIT(A563,""-""),"""")"),"")</f>
        <v/>
      </c>
      <c r="F563" s="5"/>
      <c r="G563" s="5"/>
      <c r="H563" s="5" t="str">
        <f t="array" ref="H563">IF(N563=1, INDEX('Database Mitra'!$C$2:$C993,MATCH($C563,'Database Mitra'!$AK$2:$AK993,0)),"")</f>
        <v/>
      </c>
      <c r="I563" s="71" t="str">
        <f>IF(N563=1,SUMIFS('Alokasi Honor'!$M$2:$M993,'Alokasi Honor'!$T$2:$T993,A563),"")</f>
        <v/>
      </c>
      <c r="L563" s="10" t="str">
        <f t="array" ref="L563">IF(N563=1,INDEX('Batasan Honor'!$B$2:$B993,MATCH(CONCATENATE($F563,"-",$G563),'Batasan Honor'!$G$2:$G993,0)),"")</f>
        <v/>
      </c>
      <c r="M563" s="10" t="str">
        <f t="shared" si="5"/>
        <v/>
      </c>
      <c r="N563" s="10" t="str">
        <f t="shared" si="3"/>
        <v/>
      </c>
    </row>
    <row r="564" spans="2:14" ht="12.5">
      <c r="B564" s="5"/>
      <c r="C564" s="5" t="str">
        <f ca="1">IFERROR(__xludf.DUMMYFUNCTION("IF(N564=1,SPLIT(A564,""-""),"""")"),"")</f>
        <v/>
      </c>
      <c r="F564" s="5"/>
      <c r="G564" s="5"/>
      <c r="H564" s="5" t="str">
        <f t="array" ref="H564">IF(N564=1, INDEX('Database Mitra'!$C$2:$C993,MATCH($C564,'Database Mitra'!$AK$2:$AK993,0)),"")</f>
        <v/>
      </c>
      <c r="I564" s="71" t="str">
        <f>IF(N564=1,SUMIFS('Alokasi Honor'!$M$2:$M993,'Alokasi Honor'!$T$2:$T993,A564),"")</f>
        <v/>
      </c>
      <c r="L564" s="10" t="str">
        <f t="array" ref="L564">IF(N564=1,INDEX('Batasan Honor'!$B$2:$B993,MATCH(CONCATENATE($F564,"-",$G564),'Batasan Honor'!$G$2:$G993,0)),"")</f>
        <v/>
      </c>
      <c r="M564" s="10" t="str">
        <f t="shared" si="5"/>
        <v/>
      </c>
      <c r="N564" s="10" t="str">
        <f t="shared" si="3"/>
        <v/>
      </c>
    </row>
    <row r="565" spans="2:14" ht="12.5">
      <c r="B565" s="5"/>
      <c r="C565" s="5" t="str">
        <f ca="1">IFERROR(__xludf.DUMMYFUNCTION("IF(N565=1,SPLIT(A565,""-""),"""")"),"")</f>
        <v/>
      </c>
      <c r="F565" s="5"/>
      <c r="G565" s="5"/>
      <c r="H565" s="5" t="str">
        <f t="array" ref="H565">IF(N565=1, INDEX('Database Mitra'!$C$2:$C993,MATCH($C565,'Database Mitra'!$AK$2:$AK993,0)),"")</f>
        <v/>
      </c>
      <c r="I565" s="71" t="str">
        <f>IF(N565=1,SUMIFS('Alokasi Honor'!$M$2:$M993,'Alokasi Honor'!$T$2:$T993,A565),"")</f>
        <v/>
      </c>
      <c r="L565" s="10" t="str">
        <f t="array" ref="L565">IF(N565=1,INDEX('Batasan Honor'!$B$2:$B993,MATCH(CONCATENATE($F565,"-",$G565),'Batasan Honor'!$G$2:$G993,0)),"")</f>
        <v/>
      </c>
      <c r="M565" s="10" t="str">
        <f t="shared" si="5"/>
        <v/>
      </c>
      <c r="N565" s="10" t="str">
        <f t="shared" si="3"/>
        <v/>
      </c>
    </row>
    <row r="566" spans="2:14" ht="12.5">
      <c r="B566" s="5"/>
      <c r="C566" s="5" t="str">
        <f ca="1">IFERROR(__xludf.DUMMYFUNCTION("IF(N566=1,SPLIT(A566,""-""),"""")"),"")</f>
        <v/>
      </c>
      <c r="F566" s="5"/>
      <c r="G566" s="5"/>
      <c r="H566" s="5" t="str">
        <f t="array" ref="H566">IF(N566=1, INDEX('Database Mitra'!$C$2:$C993,MATCH($C566,'Database Mitra'!$AK$2:$AK993,0)),"")</f>
        <v/>
      </c>
      <c r="I566" s="71" t="str">
        <f>IF(N566=1,SUMIFS('Alokasi Honor'!$M$2:$M993,'Alokasi Honor'!$T$2:$T993,A566),"")</f>
        <v/>
      </c>
      <c r="L566" s="10" t="str">
        <f t="array" ref="L566">IF(N566=1,INDEX('Batasan Honor'!$B$2:$B993,MATCH(CONCATENATE($F566,"-",$G566),'Batasan Honor'!$G$2:$G993,0)),"")</f>
        <v/>
      </c>
      <c r="M566" s="10" t="str">
        <f t="shared" si="5"/>
        <v/>
      </c>
      <c r="N566" s="10" t="str">
        <f t="shared" si="3"/>
        <v/>
      </c>
    </row>
    <row r="567" spans="2:14" ht="12.5">
      <c r="B567" s="5"/>
      <c r="C567" s="5" t="str">
        <f ca="1">IFERROR(__xludf.DUMMYFUNCTION("IF(N567=1,SPLIT(A567,""-""),"""")"),"")</f>
        <v/>
      </c>
      <c r="F567" s="5"/>
      <c r="G567" s="5"/>
      <c r="H567" s="5" t="str">
        <f t="array" ref="H567">IF(N567=1, INDEX('Database Mitra'!$C$2:$C993,MATCH($C567,'Database Mitra'!$AK$2:$AK993,0)),"")</f>
        <v/>
      </c>
      <c r="I567" s="71" t="str">
        <f>IF(N567=1,SUMIFS('Alokasi Honor'!$M$2:$M993,'Alokasi Honor'!$T$2:$T993,A567),"")</f>
        <v/>
      </c>
      <c r="L567" s="10" t="str">
        <f t="array" ref="L567">IF(N567=1,INDEX('Batasan Honor'!$B$2:$B993,MATCH(CONCATENATE($F567,"-",$G567),'Batasan Honor'!$G$2:$G993,0)),"")</f>
        <v/>
      </c>
      <c r="M567" s="10" t="str">
        <f t="shared" si="5"/>
        <v/>
      </c>
      <c r="N567" s="10" t="str">
        <f t="shared" si="3"/>
        <v/>
      </c>
    </row>
    <row r="568" spans="2:14" ht="12.5">
      <c r="B568" s="5"/>
      <c r="C568" s="5" t="str">
        <f ca="1">IFERROR(__xludf.DUMMYFUNCTION("IF(N568=1,SPLIT(A568,""-""),"""")"),"")</f>
        <v/>
      </c>
      <c r="F568" s="5"/>
      <c r="G568" s="5"/>
      <c r="H568" s="5" t="str">
        <f t="array" ref="H568">IF(N568=1, INDEX('Database Mitra'!$C$2:$C993,MATCH($C568,'Database Mitra'!$AK$2:$AK993,0)),"")</f>
        <v/>
      </c>
      <c r="I568" s="71" t="str">
        <f>IF(N568=1,SUMIFS('Alokasi Honor'!$M$2:$M993,'Alokasi Honor'!$T$2:$T993,A568),"")</f>
        <v/>
      </c>
      <c r="L568" s="10" t="str">
        <f t="array" ref="L568">IF(N568=1,INDEX('Batasan Honor'!$B$2:$B993,MATCH(CONCATENATE($F568,"-",$G568),'Batasan Honor'!$G$2:$G993,0)),"")</f>
        <v/>
      </c>
      <c r="M568" s="10" t="str">
        <f t="shared" si="5"/>
        <v/>
      </c>
      <c r="N568" s="10" t="str">
        <f t="shared" si="3"/>
        <v/>
      </c>
    </row>
    <row r="569" spans="2:14" ht="12.5">
      <c r="B569" s="5"/>
      <c r="C569" s="5" t="str">
        <f ca="1">IFERROR(__xludf.DUMMYFUNCTION("IF(N569=1,SPLIT(A569,""-""),"""")"),"")</f>
        <v/>
      </c>
      <c r="F569" s="5"/>
      <c r="G569" s="5"/>
      <c r="H569" s="5" t="str">
        <f t="array" ref="H569">IF(N569=1, INDEX('Database Mitra'!$C$2:$C993,MATCH($C569,'Database Mitra'!$AK$2:$AK993,0)),"")</f>
        <v/>
      </c>
      <c r="I569" s="71" t="str">
        <f>IF(N569=1,SUMIFS('Alokasi Honor'!$M$2:$M993,'Alokasi Honor'!$T$2:$T993,A569),"")</f>
        <v/>
      </c>
      <c r="L569" s="10" t="str">
        <f t="array" ref="L569">IF(N569=1,INDEX('Batasan Honor'!$B$2:$B993,MATCH(CONCATENATE($F569,"-",$G569),'Batasan Honor'!$G$2:$G993,0)),"")</f>
        <v/>
      </c>
      <c r="M569" s="10" t="str">
        <f t="shared" si="5"/>
        <v/>
      </c>
      <c r="N569" s="10" t="str">
        <f t="shared" si="3"/>
        <v/>
      </c>
    </row>
    <row r="570" spans="2:14" ht="12.5">
      <c r="B570" s="5"/>
      <c r="C570" s="5" t="str">
        <f ca="1">IFERROR(__xludf.DUMMYFUNCTION("IF(N570=1,SPLIT(A570,""-""),"""")"),"")</f>
        <v/>
      </c>
      <c r="F570" s="5"/>
      <c r="G570" s="5"/>
      <c r="H570" s="5" t="str">
        <f t="array" ref="H570">IF(N570=1, INDEX('Database Mitra'!$C$2:$C993,MATCH($C570,'Database Mitra'!$AK$2:$AK993,0)),"")</f>
        <v/>
      </c>
      <c r="I570" s="71" t="str">
        <f>IF(N570=1,SUMIFS('Alokasi Honor'!$M$2:$M993,'Alokasi Honor'!$T$2:$T993,A570),"")</f>
        <v/>
      </c>
      <c r="L570" s="10" t="str">
        <f t="array" ref="L570">IF(N570=1,INDEX('Batasan Honor'!$B$2:$B993,MATCH(CONCATENATE($F570,"-",$G570),'Batasan Honor'!$G$2:$G993,0)),"")</f>
        <v/>
      </c>
      <c r="M570" s="10" t="str">
        <f t="shared" si="5"/>
        <v/>
      </c>
      <c r="N570" s="10" t="str">
        <f t="shared" si="3"/>
        <v/>
      </c>
    </row>
    <row r="571" spans="2:14" ht="12.5">
      <c r="B571" s="5"/>
      <c r="C571" s="5" t="str">
        <f ca="1">IFERROR(__xludf.DUMMYFUNCTION("IF(N571=1,SPLIT(A571,""-""),"""")"),"")</f>
        <v/>
      </c>
      <c r="F571" s="5"/>
      <c r="G571" s="5"/>
      <c r="H571" s="5" t="str">
        <f t="array" ref="H571">IF(N571=1, INDEX('Database Mitra'!$C$2:$C993,MATCH($C571,'Database Mitra'!$AK$2:$AK993,0)),"")</f>
        <v/>
      </c>
      <c r="I571" s="71" t="str">
        <f>IF(N571=1,SUMIFS('Alokasi Honor'!$M$2:$M993,'Alokasi Honor'!$T$2:$T993,A571),"")</f>
        <v/>
      </c>
      <c r="L571" s="10" t="str">
        <f t="array" ref="L571">IF(N571=1,INDEX('Batasan Honor'!$B$2:$B993,MATCH(CONCATENATE($F571,"-",$G571),'Batasan Honor'!$G$2:$G993,0)),"")</f>
        <v/>
      </c>
      <c r="M571" s="10" t="str">
        <f t="shared" si="5"/>
        <v/>
      </c>
      <c r="N571" s="10" t="str">
        <f t="shared" si="3"/>
        <v/>
      </c>
    </row>
    <row r="572" spans="2:14" ht="12.5">
      <c r="B572" s="5"/>
      <c r="C572" s="5" t="str">
        <f ca="1">IFERROR(__xludf.DUMMYFUNCTION("IF(N572=1,SPLIT(A572,""-""),"""")"),"")</f>
        <v/>
      </c>
      <c r="F572" s="5"/>
      <c r="G572" s="5"/>
      <c r="H572" s="5" t="str">
        <f t="array" ref="H572">IF(N572=1, INDEX('Database Mitra'!$C$2:$C993,MATCH($C572,'Database Mitra'!$AK$2:$AK993,0)),"")</f>
        <v/>
      </c>
      <c r="I572" s="71" t="str">
        <f>IF(N572=1,SUMIFS('Alokasi Honor'!$M$2:$M993,'Alokasi Honor'!$T$2:$T993,A572),"")</f>
        <v/>
      </c>
      <c r="L572" s="10" t="str">
        <f t="array" ref="L572">IF(N572=1,INDEX('Batasan Honor'!$B$2:$B993,MATCH(CONCATENATE($F572,"-",$G572),'Batasan Honor'!$G$2:$G993,0)),"")</f>
        <v/>
      </c>
      <c r="M572" s="10" t="str">
        <f t="shared" si="5"/>
        <v/>
      </c>
      <c r="N572" s="10" t="str">
        <f t="shared" si="3"/>
        <v/>
      </c>
    </row>
    <row r="573" spans="2:14" ht="12.5">
      <c r="B573" s="5"/>
      <c r="C573" s="5" t="str">
        <f ca="1">IFERROR(__xludf.DUMMYFUNCTION("IF(N573=1,SPLIT(A573,""-""),"""")"),"")</f>
        <v/>
      </c>
      <c r="F573" s="5"/>
      <c r="G573" s="5"/>
      <c r="H573" s="5" t="str">
        <f t="array" ref="H573">IF(N573=1, INDEX('Database Mitra'!$C$2:$C993,MATCH($C573,'Database Mitra'!$AK$2:$AK993,0)),"")</f>
        <v/>
      </c>
      <c r="I573" s="71" t="str">
        <f>IF(N573=1,SUMIFS('Alokasi Honor'!$M$2:$M993,'Alokasi Honor'!$T$2:$T993,A573),"")</f>
        <v/>
      </c>
      <c r="L573" s="10" t="str">
        <f t="array" ref="L573">IF(N573=1,INDEX('Batasan Honor'!$B$2:$B993,MATCH(CONCATENATE($F573,"-",$G573),'Batasan Honor'!$G$2:$G993,0)),"")</f>
        <v/>
      </c>
      <c r="M573" s="10" t="str">
        <f t="shared" si="5"/>
        <v/>
      </c>
      <c r="N573" s="10" t="str">
        <f t="shared" si="3"/>
        <v/>
      </c>
    </row>
    <row r="574" spans="2:14" ht="12.5">
      <c r="B574" s="5"/>
      <c r="C574" s="5" t="str">
        <f ca="1">IFERROR(__xludf.DUMMYFUNCTION("IF(N574=1,SPLIT(A574,""-""),"""")"),"")</f>
        <v/>
      </c>
      <c r="F574" s="5"/>
      <c r="G574" s="5"/>
      <c r="H574" s="5" t="str">
        <f t="array" ref="H574">IF(N574=1, INDEX('Database Mitra'!$C$2:$C993,MATCH($C574,'Database Mitra'!$AK$2:$AK993,0)),"")</f>
        <v/>
      </c>
      <c r="I574" s="71" t="str">
        <f>IF(N574=1,SUMIFS('Alokasi Honor'!$M$2:$M993,'Alokasi Honor'!$T$2:$T993,A574),"")</f>
        <v/>
      </c>
      <c r="L574" s="10" t="str">
        <f t="array" ref="L574">IF(N574=1,INDEX('Batasan Honor'!$B$2:$B993,MATCH(CONCATENATE($F574,"-",$G574),'Batasan Honor'!$G$2:$G993,0)),"")</f>
        <v/>
      </c>
      <c r="M574" s="10" t="str">
        <f t="shared" si="5"/>
        <v/>
      </c>
      <c r="N574" s="10" t="str">
        <f t="shared" si="3"/>
        <v/>
      </c>
    </row>
    <row r="575" spans="2:14" ht="12.5">
      <c r="B575" s="5"/>
      <c r="C575" s="5" t="str">
        <f ca="1">IFERROR(__xludf.DUMMYFUNCTION("IF(N575=1,SPLIT(A575,""-""),"""")"),"")</f>
        <v/>
      </c>
      <c r="F575" s="5"/>
      <c r="G575" s="5"/>
      <c r="H575" s="5" t="str">
        <f t="array" ref="H575">IF(N575=1, INDEX('Database Mitra'!$C$2:$C993,MATCH($C575,'Database Mitra'!$AK$2:$AK993,0)),"")</f>
        <v/>
      </c>
      <c r="I575" s="71" t="str">
        <f>IF(N575=1,SUMIFS('Alokasi Honor'!$M$2:$M993,'Alokasi Honor'!$T$2:$T993,A575),"")</f>
        <v/>
      </c>
      <c r="L575" s="10" t="str">
        <f t="array" ref="L575">IF(N575=1,INDEX('Batasan Honor'!$B$2:$B993,MATCH(CONCATENATE($F575,"-",$G575),'Batasan Honor'!$G$2:$G993,0)),"")</f>
        <v/>
      </c>
      <c r="M575" s="10" t="str">
        <f t="shared" si="5"/>
        <v/>
      </c>
      <c r="N575" s="10" t="str">
        <f t="shared" si="3"/>
        <v/>
      </c>
    </row>
    <row r="576" spans="2:14" ht="12.5">
      <c r="B576" s="5"/>
      <c r="C576" s="5" t="str">
        <f ca="1">IFERROR(__xludf.DUMMYFUNCTION("IF(N576=1,SPLIT(A576,""-""),"""")"),"")</f>
        <v/>
      </c>
      <c r="F576" s="5"/>
      <c r="G576" s="5"/>
      <c r="H576" s="5" t="str">
        <f t="array" ref="H576">IF(N576=1, INDEX('Database Mitra'!$C$2:$C993,MATCH($C576,'Database Mitra'!$AK$2:$AK993,0)),"")</f>
        <v/>
      </c>
      <c r="I576" s="71" t="str">
        <f>IF(N576=1,SUMIFS('Alokasi Honor'!$M$2:$M993,'Alokasi Honor'!$T$2:$T993,A576),"")</f>
        <v/>
      </c>
      <c r="L576" s="10" t="str">
        <f t="array" ref="L576">IF(N576=1,INDEX('Batasan Honor'!$B$2:$B993,MATCH(CONCATENATE($F576,"-",$G576),'Batasan Honor'!$G$2:$G993,0)),"")</f>
        <v/>
      </c>
      <c r="M576" s="10" t="str">
        <f t="shared" si="5"/>
        <v/>
      </c>
      <c r="N576" s="10" t="str">
        <f t="shared" si="3"/>
        <v/>
      </c>
    </row>
    <row r="577" spans="2:14" ht="12.5">
      <c r="B577" s="5"/>
      <c r="C577" s="5" t="str">
        <f ca="1">IFERROR(__xludf.DUMMYFUNCTION("IF(N577=1,SPLIT(A577,""-""),"""")"),"")</f>
        <v/>
      </c>
      <c r="F577" s="5"/>
      <c r="G577" s="5"/>
      <c r="H577" s="5" t="str">
        <f t="array" ref="H577">IF(N577=1, INDEX('Database Mitra'!$C$2:$C993,MATCH($C577,'Database Mitra'!$AK$2:$AK993,0)),"")</f>
        <v/>
      </c>
      <c r="I577" s="71" t="str">
        <f>IF(N577=1,SUMIFS('Alokasi Honor'!$M$2:$M993,'Alokasi Honor'!$T$2:$T993,A577),"")</f>
        <v/>
      </c>
      <c r="L577" s="10" t="str">
        <f t="array" ref="L577">IF(N577=1,INDEX('Batasan Honor'!$B$2:$B993,MATCH(CONCATENATE($F577,"-",$G577),'Batasan Honor'!$G$2:$G993,0)),"")</f>
        <v/>
      </c>
      <c r="M577" s="10" t="str">
        <f t="shared" si="5"/>
        <v/>
      </c>
      <c r="N577" s="10" t="str">
        <f t="shared" si="3"/>
        <v/>
      </c>
    </row>
    <row r="578" spans="2:14" ht="12.5">
      <c r="B578" s="5"/>
      <c r="C578" s="5" t="str">
        <f ca="1">IFERROR(__xludf.DUMMYFUNCTION("IF(N578=1,SPLIT(A578,""-""),"""")"),"")</f>
        <v/>
      </c>
      <c r="F578" s="5"/>
      <c r="G578" s="5"/>
      <c r="H578" s="5" t="str">
        <f t="array" ref="H578">IF(N578=1, INDEX('Database Mitra'!$C$2:$C993,MATCH($C578,'Database Mitra'!$AK$2:$AK993,0)),"")</f>
        <v/>
      </c>
      <c r="I578" s="71" t="str">
        <f>IF(N578=1,SUMIFS('Alokasi Honor'!$M$2:$M993,'Alokasi Honor'!$T$2:$T993,A578),"")</f>
        <v/>
      </c>
      <c r="L578" s="10" t="str">
        <f t="array" ref="L578">IF(N578=1,INDEX('Batasan Honor'!$B$2:$B993,MATCH(CONCATENATE($F578,"-",$G578),'Batasan Honor'!$G$2:$G993,0)),"")</f>
        <v/>
      </c>
      <c r="M578" s="10" t="str">
        <f t="shared" si="5"/>
        <v/>
      </c>
      <c r="N578" s="10" t="str">
        <f t="shared" si="3"/>
        <v/>
      </c>
    </row>
    <row r="579" spans="2:14" ht="12.5">
      <c r="B579" s="5"/>
      <c r="C579" s="5" t="str">
        <f ca="1">IFERROR(__xludf.DUMMYFUNCTION("IF(N579=1,SPLIT(A579,""-""),"""")"),"")</f>
        <v/>
      </c>
      <c r="F579" s="5"/>
      <c r="G579" s="5"/>
      <c r="H579" s="5" t="str">
        <f t="array" ref="H579">IF(N579=1, INDEX('Database Mitra'!$C$2:$C993,MATCH($C579,'Database Mitra'!$AK$2:$AK993,0)),"")</f>
        <v/>
      </c>
      <c r="I579" s="71" t="str">
        <f>IF(N579=1,SUMIFS('Alokasi Honor'!$M$2:$M993,'Alokasi Honor'!$T$2:$T993,A579),"")</f>
        <v/>
      </c>
      <c r="L579" s="10" t="str">
        <f t="array" ref="L579">IF(N579=1,INDEX('Batasan Honor'!$B$2:$B993,MATCH(CONCATENATE($F579,"-",$G579),'Batasan Honor'!$G$2:$G993,0)),"")</f>
        <v/>
      </c>
      <c r="M579" s="10" t="str">
        <f t="shared" si="5"/>
        <v/>
      </c>
      <c r="N579" s="10" t="str">
        <f t="shared" si="3"/>
        <v/>
      </c>
    </row>
    <row r="580" spans="2:14" ht="12.5">
      <c r="B580" s="5"/>
      <c r="C580" s="5" t="str">
        <f ca="1">IFERROR(__xludf.DUMMYFUNCTION("IF(N580=1,SPLIT(A580,""-""),"""")"),"")</f>
        <v/>
      </c>
      <c r="F580" s="5"/>
      <c r="G580" s="5"/>
      <c r="H580" s="5" t="str">
        <f t="array" ref="H580">IF(N580=1, INDEX('Database Mitra'!$C$2:$C993,MATCH($C580,'Database Mitra'!$AK$2:$AK993,0)),"")</f>
        <v/>
      </c>
      <c r="I580" s="71" t="str">
        <f>IF(N580=1,SUMIFS('Alokasi Honor'!$M$2:$M993,'Alokasi Honor'!$T$2:$T993,A580),"")</f>
        <v/>
      </c>
      <c r="L580" s="10" t="str">
        <f t="array" ref="L580">IF(N580=1,INDEX('Batasan Honor'!$B$2:$B993,MATCH(CONCATENATE($F580,"-",$G580),'Batasan Honor'!$G$2:$G993,0)),"")</f>
        <v/>
      </c>
      <c r="M580" s="10" t="str">
        <f t="shared" si="5"/>
        <v/>
      </c>
      <c r="N580" s="10" t="str">
        <f t="shared" si="3"/>
        <v/>
      </c>
    </row>
    <row r="581" spans="2:14" ht="12.5">
      <c r="B581" s="5"/>
      <c r="C581" s="5" t="str">
        <f ca="1">IFERROR(__xludf.DUMMYFUNCTION("IF(N581=1,SPLIT(A581,""-""),"""")"),"")</f>
        <v/>
      </c>
      <c r="F581" s="5"/>
      <c r="G581" s="5"/>
      <c r="H581" s="5" t="str">
        <f t="array" ref="H581">IF(N581=1, INDEX('Database Mitra'!$C$2:$C993,MATCH($C581,'Database Mitra'!$AK$2:$AK993,0)),"")</f>
        <v/>
      </c>
      <c r="I581" s="71" t="str">
        <f>IF(N581=1,SUMIFS('Alokasi Honor'!$M$2:$M993,'Alokasi Honor'!$T$2:$T993,A581),"")</f>
        <v/>
      </c>
      <c r="L581" s="10" t="str">
        <f t="array" ref="L581">IF(N581=1,INDEX('Batasan Honor'!$B$2:$B993,MATCH(CONCATENATE($F581,"-",$G581),'Batasan Honor'!$G$2:$G993,0)),"")</f>
        <v/>
      </c>
      <c r="M581" s="10" t="str">
        <f t="shared" si="5"/>
        <v/>
      </c>
      <c r="N581" s="10" t="str">
        <f t="shared" si="3"/>
        <v/>
      </c>
    </row>
    <row r="582" spans="2:14" ht="12.5">
      <c r="B582" s="5"/>
      <c r="C582" s="5" t="str">
        <f ca="1">IFERROR(__xludf.DUMMYFUNCTION("IF(N582=1,SPLIT(A582,""-""),"""")"),"")</f>
        <v/>
      </c>
      <c r="F582" s="5"/>
      <c r="G582" s="5"/>
      <c r="H582" s="5" t="str">
        <f t="array" ref="H582">IF(N582=1, INDEX('Database Mitra'!$C$2:$C993,MATCH($C582,'Database Mitra'!$AK$2:$AK993,0)),"")</f>
        <v/>
      </c>
      <c r="I582" s="71" t="str">
        <f>IF(N582=1,SUMIFS('Alokasi Honor'!$M$2:$M993,'Alokasi Honor'!$T$2:$T993,A582),"")</f>
        <v/>
      </c>
      <c r="L582" s="10" t="str">
        <f t="array" ref="L582">IF(N582=1,INDEX('Batasan Honor'!$B$2:$B993,MATCH(CONCATENATE($F582,"-",$G582),'Batasan Honor'!$G$2:$G993,0)),"")</f>
        <v/>
      </c>
      <c r="M582" s="10" t="str">
        <f t="shared" si="5"/>
        <v/>
      </c>
      <c r="N582" s="10" t="str">
        <f t="shared" si="3"/>
        <v/>
      </c>
    </row>
    <row r="583" spans="2:14" ht="12.5">
      <c r="B583" s="5"/>
      <c r="C583" s="5" t="str">
        <f ca="1">IFERROR(__xludf.DUMMYFUNCTION("IF(N583=1,SPLIT(A583,""-""),"""")"),"")</f>
        <v/>
      </c>
      <c r="F583" s="5"/>
      <c r="G583" s="5"/>
      <c r="H583" s="5" t="str">
        <f t="array" ref="H583">IF(N583=1, INDEX('Database Mitra'!$C$2:$C993,MATCH($C583,'Database Mitra'!$AK$2:$AK993,0)),"")</f>
        <v/>
      </c>
      <c r="I583" s="71" t="str">
        <f>IF(N583=1,SUMIFS('Alokasi Honor'!$M$2:$M993,'Alokasi Honor'!$T$2:$T993,A583),"")</f>
        <v/>
      </c>
      <c r="L583" s="10" t="str">
        <f t="array" ref="L583">IF(N583=1,INDEX('Batasan Honor'!$B$2:$B993,MATCH(CONCATENATE($F583,"-",$G583),'Batasan Honor'!$G$2:$G993,0)),"")</f>
        <v/>
      </c>
      <c r="M583" s="10" t="str">
        <f t="shared" si="5"/>
        <v/>
      </c>
      <c r="N583" s="10" t="str">
        <f t="shared" si="3"/>
        <v/>
      </c>
    </row>
    <row r="584" spans="2:14" ht="12.5">
      <c r="B584" s="5"/>
      <c r="C584" s="5" t="str">
        <f ca="1">IFERROR(__xludf.DUMMYFUNCTION("IF(N584=1,SPLIT(A584,""-""),"""")"),"")</f>
        <v/>
      </c>
      <c r="F584" s="5"/>
      <c r="G584" s="5"/>
      <c r="H584" s="5" t="str">
        <f t="array" ref="H584">IF(N584=1, INDEX('Database Mitra'!$C$2:$C993,MATCH($C584,'Database Mitra'!$AK$2:$AK993,0)),"")</f>
        <v/>
      </c>
      <c r="I584" s="71" t="str">
        <f>IF(N584=1,SUMIFS('Alokasi Honor'!$M$2:$M993,'Alokasi Honor'!$T$2:$T993,A584),"")</f>
        <v/>
      </c>
      <c r="L584" s="10" t="str">
        <f t="array" ref="L584">IF(N584=1,INDEX('Batasan Honor'!$B$2:$B993,MATCH(CONCATENATE($F584,"-",$G584),'Batasan Honor'!$G$2:$G993,0)),"")</f>
        <v/>
      </c>
      <c r="M584" s="10" t="str">
        <f t="shared" si="5"/>
        <v/>
      </c>
      <c r="N584" s="10" t="str">
        <f t="shared" si="3"/>
        <v/>
      </c>
    </row>
    <row r="585" spans="2:14" ht="12.5">
      <c r="B585" s="5"/>
      <c r="C585" s="5" t="str">
        <f ca="1">IFERROR(__xludf.DUMMYFUNCTION("IF(N585=1,SPLIT(A585,""-""),"""")"),"")</f>
        <v/>
      </c>
      <c r="F585" s="5"/>
      <c r="G585" s="5"/>
      <c r="H585" s="5" t="str">
        <f t="array" ref="H585">IF(N585=1, INDEX('Database Mitra'!$C$2:$C993,MATCH($C585,'Database Mitra'!$AK$2:$AK993,0)),"")</f>
        <v/>
      </c>
      <c r="I585" s="71" t="str">
        <f>IF(N585=1,SUMIFS('Alokasi Honor'!$M$2:$M993,'Alokasi Honor'!$T$2:$T993,A585),"")</f>
        <v/>
      </c>
      <c r="L585" s="10" t="str">
        <f t="array" ref="L585">IF(N585=1,INDEX('Batasan Honor'!$B$2:$B993,MATCH(CONCATENATE($F585,"-",$G585),'Batasan Honor'!$G$2:$G993,0)),"")</f>
        <v/>
      </c>
      <c r="M585" s="10" t="str">
        <f t="shared" si="5"/>
        <v/>
      </c>
      <c r="N585" s="10" t="str">
        <f t="shared" si="3"/>
        <v/>
      </c>
    </row>
    <row r="586" spans="2:14" ht="12.5">
      <c r="B586" s="5"/>
      <c r="C586" s="5" t="str">
        <f ca="1">IFERROR(__xludf.DUMMYFUNCTION("IF(N586=1,SPLIT(A586,""-""),"""")"),"")</f>
        <v/>
      </c>
      <c r="F586" s="5"/>
      <c r="G586" s="5"/>
      <c r="H586" s="5" t="str">
        <f t="array" ref="H586">IF(N586=1, INDEX('Database Mitra'!$C$2:$C993,MATCH($C586,'Database Mitra'!$AK$2:$AK993,0)),"")</f>
        <v/>
      </c>
      <c r="I586" s="71" t="str">
        <f>IF(N586=1,SUMIFS('Alokasi Honor'!$M$2:$M993,'Alokasi Honor'!$T$2:$T993,A586),"")</f>
        <v/>
      </c>
      <c r="L586" s="10" t="str">
        <f t="array" ref="L586">IF(N586=1,INDEX('Batasan Honor'!$B$2:$B993,MATCH(CONCATENATE($F586,"-",$G586),'Batasan Honor'!$G$2:$G993,0)),"")</f>
        <v/>
      </c>
      <c r="M586" s="10" t="str">
        <f t="shared" si="5"/>
        <v/>
      </c>
      <c r="N586" s="10" t="str">
        <f t="shared" si="3"/>
        <v/>
      </c>
    </row>
    <row r="587" spans="2:14" ht="12.5">
      <c r="B587" s="5"/>
      <c r="C587" s="5" t="str">
        <f ca="1">IFERROR(__xludf.DUMMYFUNCTION("IF(N587=1,SPLIT(A587,""-""),"""")"),"")</f>
        <v/>
      </c>
      <c r="F587" s="5"/>
      <c r="G587" s="5"/>
      <c r="H587" s="5" t="str">
        <f t="array" ref="H587">IF(N587=1, INDEX('Database Mitra'!$C$2:$C993,MATCH($C587,'Database Mitra'!$AK$2:$AK993,0)),"")</f>
        <v/>
      </c>
      <c r="I587" s="71" t="str">
        <f>IF(N587=1,SUMIFS('Alokasi Honor'!$M$2:$M993,'Alokasi Honor'!$T$2:$T993,A587),"")</f>
        <v/>
      </c>
      <c r="L587" s="10" t="str">
        <f t="array" ref="L587">IF(N587=1,INDEX('Batasan Honor'!$B$2:$B993,MATCH(CONCATENATE($F587,"-",$G587),'Batasan Honor'!$G$2:$G993,0)),"")</f>
        <v/>
      </c>
      <c r="M587" s="10" t="str">
        <f t="shared" si="5"/>
        <v/>
      </c>
      <c r="N587" s="10" t="str">
        <f t="shared" si="3"/>
        <v/>
      </c>
    </row>
    <row r="588" spans="2:14" ht="12.5">
      <c r="B588" s="5"/>
      <c r="C588" s="5" t="str">
        <f ca="1">IFERROR(__xludf.DUMMYFUNCTION("IF(N588=1,SPLIT(A588,""-""),"""")"),"")</f>
        <v/>
      </c>
      <c r="F588" s="5"/>
      <c r="G588" s="5"/>
      <c r="H588" s="5" t="str">
        <f t="array" ref="H588">IF(N588=1, INDEX('Database Mitra'!$C$2:$C993,MATCH($C588,'Database Mitra'!$AK$2:$AK993,0)),"")</f>
        <v/>
      </c>
      <c r="I588" s="71" t="str">
        <f>IF(N588=1,SUMIFS('Alokasi Honor'!$M$2:$M993,'Alokasi Honor'!$T$2:$T993,A588),"")</f>
        <v/>
      </c>
      <c r="L588" s="10" t="str">
        <f t="array" ref="L588">IF(N588=1,INDEX('Batasan Honor'!$B$2:$B993,MATCH(CONCATENATE($F588,"-",$G588),'Batasan Honor'!$G$2:$G993,0)),"")</f>
        <v/>
      </c>
      <c r="M588" s="10" t="str">
        <f t="shared" si="5"/>
        <v/>
      </c>
      <c r="N588" s="10" t="str">
        <f t="shared" si="3"/>
        <v/>
      </c>
    </row>
    <row r="589" spans="2:14" ht="12.5">
      <c r="B589" s="5"/>
      <c r="C589" s="5" t="str">
        <f ca="1">IFERROR(__xludf.DUMMYFUNCTION("IF(N589=1,SPLIT(A589,""-""),"""")"),"")</f>
        <v/>
      </c>
      <c r="F589" s="5"/>
      <c r="G589" s="5"/>
      <c r="H589" s="5" t="str">
        <f t="array" ref="H589">IF(N589=1, INDEX('Database Mitra'!$C$2:$C993,MATCH($C589,'Database Mitra'!$AK$2:$AK993,0)),"")</f>
        <v/>
      </c>
      <c r="I589" s="71" t="str">
        <f>IF(N589=1,SUMIFS('Alokasi Honor'!$M$2:$M993,'Alokasi Honor'!$T$2:$T993,A589),"")</f>
        <v/>
      </c>
      <c r="L589" s="10" t="str">
        <f t="array" ref="L589">IF(N589=1,INDEX('Batasan Honor'!$B$2:$B993,MATCH(CONCATENATE($F589,"-",$G589),'Batasan Honor'!$G$2:$G993,0)),"")</f>
        <v/>
      </c>
      <c r="M589" s="10" t="str">
        <f t="shared" si="5"/>
        <v/>
      </c>
      <c r="N589" s="10" t="str">
        <f t="shared" si="3"/>
        <v/>
      </c>
    </row>
    <row r="590" spans="2:14" ht="12.5">
      <c r="B590" s="5"/>
      <c r="C590" s="5" t="str">
        <f ca="1">IFERROR(__xludf.DUMMYFUNCTION("IF(N590=1,SPLIT(A590,""-""),"""")"),"")</f>
        <v/>
      </c>
      <c r="F590" s="5"/>
      <c r="G590" s="5"/>
      <c r="H590" s="5" t="str">
        <f t="array" ref="H590">IF(N590=1, INDEX('Database Mitra'!$C$2:$C993,MATCH($C590,'Database Mitra'!$AK$2:$AK993,0)),"")</f>
        <v/>
      </c>
      <c r="I590" s="71" t="str">
        <f>IF(N590=1,SUMIFS('Alokasi Honor'!$M$2:$M993,'Alokasi Honor'!$T$2:$T993,A590),"")</f>
        <v/>
      </c>
      <c r="L590" s="10" t="str">
        <f t="array" ref="L590">IF(N590=1,INDEX('Batasan Honor'!$B$2:$B993,MATCH(CONCATENATE($F590,"-",$G590),'Batasan Honor'!$G$2:$G993,0)),"")</f>
        <v/>
      </c>
      <c r="M590" s="10" t="str">
        <f t="shared" si="5"/>
        <v/>
      </c>
      <c r="N590" s="10" t="str">
        <f t="shared" si="3"/>
        <v/>
      </c>
    </row>
    <row r="591" spans="2:14" ht="12.5">
      <c r="B591" s="5"/>
      <c r="C591" s="5" t="str">
        <f ca="1">IFERROR(__xludf.DUMMYFUNCTION("IF(N591=1,SPLIT(A591,""-""),"""")"),"")</f>
        <v/>
      </c>
      <c r="F591" s="5"/>
      <c r="G591" s="5"/>
      <c r="H591" s="5" t="str">
        <f t="array" ref="H591">IF(N591=1, INDEX('Database Mitra'!$C$2:$C993,MATCH($C591,'Database Mitra'!$AK$2:$AK993,0)),"")</f>
        <v/>
      </c>
      <c r="I591" s="71" t="str">
        <f>IF(N591=1,SUMIFS('Alokasi Honor'!$M$2:$M993,'Alokasi Honor'!$T$2:$T993,A591),"")</f>
        <v/>
      </c>
      <c r="L591" s="10" t="str">
        <f t="array" ref="L591">IF(N591=1,INDEX('Batasan Honor'!$B$2:$B993,MATCH(CONCATENATE($F591,"-",$G591),'Batasan Honor'!$G$2:$G993,0)),"")</f>
        <v/>
      </c>
      <c r="M591" s="10" t="str">
        <f t="shared" si="5"/>
        <v/>
      </c>
      <c r="N591" s="10" t="str">
        <f t="shared" si="3"/>
        <v/>
      </c>
    </row>
    <row r="592" spans="2:14" ht="12.5">
      <c r="B592" s="5"/>
      <c r="C592" s="5" t="str">
        <f ca="1">IFERROR(__xludf.DUMMYFUNCTION("IF(N592=1,SPLIT(A592,""-""),"""")"),"")</f>
        <v/>
      </c>
      <c r="F592" s="5"/>
      <c r="G592" s="5"/>
      <c r="H592" s="5" t="str">
        <f t="array" ref="H592">IF(N592=1, INDEX('Database Mitra'!$C$2:$C993,MATCH($C592,'Database Mitra'!$AK$2:$AK993,0)),"")</f>
        <v/>
      </c>
      <c r="I592" s="71" t="str">
        <f>IF(N592=1,SUMIFS('Alokasi Honor'!$M$2:$M993,'Alokasi Honor'!$T$2:$T993,A592),"")</f>
        <v/>
      </c>
      <c r="L592" s="10" t="str">
        <f t="array" ref="L592">IF(N592=1,INDEX('Batasan Honor'!$B$2:$B993,MATCH(CONCATENATE($F592,"-",$G592),'Batasan Honor'!$G$2:$G993,0)),"")</f>
        <v/>
      </c>
      <c r="M592" s="10" t="str">
        <f t="shared" si="5"/>
        <v/>
      </c>
      <c r="N592" s="10" t="str">
        <f t="shared" si="3"/>
        <v/>
      </c>
    </row>
    <row r="593" spans="2:14" ht="12.5">
      <c r="B593" s="5"/>
      <c r="C593" s="5" t="str">
        <f ca="1">IFERROR(__xludf.DUMMYFUNCTION("IF(N593=1,SPLIT(A593,""-""),"""")"),"")</f>
        <v/>
      </c>
      <c r="F593" s="5"/>
      <c r="G593" s="5"/>
      <c r="H593" s="5" t="str">
        <f t="array" ref="H593">IF(N593=1, INDEX('Database Mitra'!$C$2:$C993,MATCH($C593,'Database Mitra'!$AK$2:$AK993,0)),"")</f>
        <v/>
      </c>
      <c r="I593" s="71" t="str">
        <f>IF(N593=1,SUMIFS('Alokasi Honor'!$M$2:$M993,'Alokasi Honor'!$T$2:$T993,A593),"")</f>
        <v/>
      </c>
      <c r="L593" s="10" t="str">
        <f t="array" ref="L593">IF(N593=1,INDEX('Batasan Honor'!$B$2:$B993,MATCH(CONCATENATE($F593,"-",$G593),'Batasan Honor'!$G$2:$G993,0)),"")</f>
        <v/>
      </c>
      <c r="M593" s="10" t="str">
        <f t="shared" si="5"/>
        <v/>
      </c>
      <c r="N593" s="10" t="str">
        <f t="shared" si="3"/>
        <v/>
      </c>
    </row>
    <row r="594" spans="2:14" ht="12.5">
      <c r="B594" s="5"/>
      <c r="C594" s="5" t="str">
        <f ca="1">IFERROR(__xludf.DUMMYFUNCTION("IF(N594=1,SPLIT(A594,""-""),"""")"),"")</f>
        <v/>
      </c>
      <c r="F594" s="5"/>
      <c r="G594" s="5"/>
      <c r="H594" s="5" t="str">
        <f t="array" ref="H594">IF(N594=1, INDEX('Database Mitra'!$C$2:$C993,MATCH($C594,'Database Mitra'!$AK$2:$AK993,0)),"")</f>
        <v/>
      </c>
      <c r="I594" s="71" t="str">
        <f>IF(N594=1,SUMIFS('Alokasi Honor'!$M$2:$M993,'Alokasi Honor'!$T$2:$T993,A594),"")</f>
        <v/>
      </c>
      <c r="L594" s="10" t="str">
        <f t="array" ref="L594">IF(N594=1,INDEX('Batasan Honor'!$B$2:$B993,MATCH(CONCATENATE($F594,"-",$G594),'Batasan Honor'!$G$2:$G993,0)),"")</f>
        <v/>
      </c>
      <c r="M594" s="10" t="str">
        <f t="shared" si="5"/>
        <v/>
      </c>
      <c r="N594" s="10" t="str">
        <f t="shared" si="3"/>
        <v/>
      </c>
    </row>
    <row r="595" spans="2:14" ht="12.5">
      <c r="B595" s="5"/>
      <c r="C595" s="5" t="str">
        <f ca="1">IFERROR(__xludf.DUMMYFUNCTION("IF(N595=1,SPLIT(A595,""-""),"""")"),"")</f>
        <v/>
      </c>
      <c r="F595" s="5"/>
      <c r="G595" s="5"/>
      <c r="H595" s="5" t="str">
        <f t="array" ref="H595">IF(N595=1, INDEX('Database Mitra'!$C$2:$C993,MATCH($C595,'Database Mitra'!$AK$2:$AK993,0)),"")</f>
        <v/>
      </c>
      <c r="I595" s="71" t="str">
        <f>IF(N595=1,SUMIFS('Alokasi Honor'!$M$2:$M993,'Alokasi Honor'!$T$2:$T993,A595),"")</f>
        <v/>
      </c>
      <c r="L595" s="10" t="str">
        <f t="array" ref="L595">IF(N595=1,INDEX('Batasan Honor'!$B$2:$B993,MATCH(CONCATENATE($F595,"-",$G595),'Batasan Honor'!$G$2:$G993,0)),"")</f>
        <v/>
      </c>
      <c r="M595" s="10" t="str">
        <f t="shared" si="5"/>
        <v/>
      </c>
      <c r="N595" s="10" t="str">
        <f t="shared" si="3"/>
        <v/>
      </c>
    </row>
    <row r="596" spans="2:14" ht="12.5">
      <c r="B596" s="5"/>
      <c r="C596" s="5" t="str">
        <f ca="1">IFERROR(__xludf.DUMMYFUNCTION("IF(N596=1,SPLIT(A596,""-""),"""")"),"")</f>
        <v/>
      </c>
      <c r="F596" s="5"/>
      <c r="G596" s="5"/>
      <c r="H596" s="5" t="str">
        <f t="array" ref="H596">IF(N596=1, INDEX('Database Mitra'!$C$2:$C993,MATCH($C596,'Database Mitra'!$AK$2:$AK993,0)),"")</f>
        <v/>
      </c>
      <c r="I596" s="71" t="str">
        <f>IF(N596=1,SUMIFS('Alokasi Honor'!$M$2:$M993,'Alokasi Honor'!$T$2:$T993,A596),"")</f>
        <v/>
      </c>
      <c r="L596" s="10" t="str">
        <f t="array" ref="L596">IF(N596=1,INDEX('Batasan Honor'!$B$2:$B993,MATCH(CONCATENATE($F596,"-",$G596),'Batasan Honor'!$G$2:$G993,0)),"")</f>
        <v/>
      </c>
      <c r="M596" s="10" t="str">
        <f t="shared" si="5"/>
        <v/>
      </c>
      <c r="N596" s="10" t="str">
        <f t="shared" si="3"/>
        <v/>
      </c>
    </row>
    <row r="597" spans="2:14" ht="12.5">
      <c r="B597" s="5"/>
      <c r="C597" s="5" t="str">
        <f ca="1">IFERROR(__xludf.DUMMYFUNCTION("IF(N597=1,SPLIT(A597,""-""),"""")"),"")</f>
        <v/>
      </c>
      <c r="F597" s="5"/>
      <c r="G597" s="5"/>
      <c r="H597" s="5" t="str">
        <f t="array" ref="H597">IF(N597=1, INDEX('Database Mitra'!$C$2:$C993,MATCH($C597,'Database Mitra'!$AK$2:$AK993,0)),"")</f>
        <v/>
      </c>
      <c r="I597" s="71" t="str">
        <f>IF(N597=1,SUMIFS('Alokasi Honor'!$M$2:$M993,'Alokasi Honor'!$T$2:$T993,A597),"")</f>
        <v/>
      </c>
      <c r="L597" s="10" t="str">
        <f t="array" ref="L597">IF(N597=1,INDEX('Batasan Honor'!$B$2:$B993,MATCH(CONCATENATE($F597,"-",$G597),'Batasan Honor'!$G$2:$G993,0)),"")</f>
        <v/>
      </c>
      <c r="M597" s="10" t="str">
        <f t="shared" si="5"/>
        <v/>
      </c>
      <c r="N597" s="10" t="str">
        <f t="shared" si="3"/>
        <v/>
      </c>
    </row>
    <row r="598" spans="2:14" ht="12.5">
      <c r="B598" s="5"/>
      <c r="C598" s="5" t="str">
        <f ca="1">IFERROR(__xludf.DUMMYFUNCTION("IF(N598=1,SPLIT(A598,""-""),"""")"),"")</f>
        <v/>
      </c>
      <c r="F598" s="5"/>
      <c r="G598" s="5"/>
      <c r="H598" s="5" t="str">
        <f t="array" ref="H598">IF(N598=1, INDEX('Database Mitra'!$C$2:$C993,MATCH($C598,'Database Mitra'!$AK$2:$AK993,0)),"")</f>
        <v/>
      </c>
      <c r="I598" s="71" t="str">
        <f>IF(N598=1,SUMIFS('Alokasi Honor'!$M$2:$M993,'Alokasi Honor'!$T$2:$T993,A598),"")</f>
        <v/>
      </c>
      <c r="L598" s="10" t="str">
        <f t="array" ref="L598">IF(N598=1,INDEX('Batasan Honor'!$B$2:$B993,MATCH(CONCATENATE($F598,"-",$G598),'Batasan Honor'!$G$2:$G993,0)),"")</f>
        <v/>
      </c>
      <c r="M598" s="10" t="str">
        <f t="shared" si="5"/>
        <v/>
      </c>
      <c r="N598" s="10" t="str">
        <f t="shared" si="3"/>
        <v/>
      </c>
    </row>
    <row r="599" spans="2:14" ht="12.5">
      <c r="B599" s="5"/>
      <c r="C599" s="5" t="str">
        <f ca="1">IFERROR(__xludf.DUMMYFUNCTION("IF(N599=1,SPLIT(A599,""-""),"""")"),"")</f>
        <v/>
      </c>
      <c r="F599" s="5"/>
      <c r="G599" s="5"/>
      <c r="H599" s="5" t="str">
        <f t="array" ref="H599">IF(N599=1, INDEX('Database Mitra'!$C$2:$C993,MATCH($C599,'Database Mitra'!$AK$2:$AK993,0)),"")</f>
        <v/>
      </c>
      <c r="I599" s="71" t="str">
        <f>IF(N599=1,SUMIFS('Alokasi Honor'!$M$2:$M993,'Alokasi Honor'!$T$2:$T993,A599),"")</f>
        <v/>
      </c>
      <c r="L599" s="10" t="str">
        <f t="array" ref="L599">IF(N599=1,INDEX('Batasan Honor'!$B$2:$B993,MATCH(CONCATENATE($F599,"-",$G599),'Batasan Honor'!$G$2:$G993,0)),"")</f>
        <v/>
      </c>
      <c r="M599" s="10" t="str">
        <f t="shared" si="5"/>
        <v/>
      </c>
      <c r="N599" s="10" t="str">
        <f t="shared" si="3"/>
        <v/>
      </c>
    </row>
    <row r="600" spans="2:14" ht="12.5">
      <c r="B600" s="5"/>
      <c r="C600" s="5" t="str">
        <f ca="1">IFERROR(__xludf.DUMMYFUNCTION("IF(N600=1,SPLIT(A600,""-""),"""")"),"")</f>
        <v/>
      </c>
      <c r="F600" s="5"/>
      <c r="G600" s="5"/>
      <c r="H600" s="5" t="str">
        <f t="array" ref="H600">IF(N600=1, INDEX('Database Mitra'!$C$2:$C993,MATCH($C600,'Database Mitra'!$AK$2:$AK993,0)),"")</f>
        <v/>
      </c>
      <c r="I600" s="71" t="str">
        <f>IF(N600=1,SUMIFS('Alokasi Honor'!$M$2:$M993,'Alokasi Honor'!$T$2:$T993,A600),"")</f>
        <v/>
      </c>
      <c r="L600" s="10" t="str">
        <f t="array" ref="L600">IF(N600=1,INDEX('Batasan Honor'!$B$2:$B993,MATCH(CONCATENATE($F600,"-",$G600),'Batasan Honor'!$G$2:$G993,0)),"")</f>
        <v/>
      </c>
      <c r="M600" s="10" t="str">
        <f t="shared" si="5"/>
        <v/>
      </c>
      <c r="N600" s="10" t="str">
        <f t="shared" si="3"/>
        <v/>
      </c>
    </row>
    <row r="601" spans="2:14" ht="12.5">
      <c r="B601" s="5"/>
      <c r="C601" s="5" t="str">
        <f ca="1">IFERROR(__xludf.DUMMYFUNCTION("IF(N601=1,SPLIT(A601,""-""),"""")"),"")</f>
        <v/>
      </c>
      <c r="F601" s="5"/>
      <c r="G601" s="5"/>
      <c r="H601" s="5" t="str">
        <f t="array" ref="H601">IF(N601=1, INDEX('Database Mitra'!$C$2:$C993,MATCH($C601,'Database Mitra'!$AK$2:$AK993,0)),"")</f>
        <v/>
      </c>
      <c r="I601" s="71" t="str">
        <f>IF(N601=1,SUMIFS('Alokasi Honor'!$M$2:$M993,'Alokasi Honor'!$T$2:$T993,A601),"")</f>
        <v/>
      </c>
      <c r="L601" s="10" t="str">
        <f t="array" ref="L601">IF(N601=1,INDEX('Batasan Honor'!$B$2:$B993,MATCH(CONCATENATE($F601,"-",$G601),'Batasan Honor'!$G$2:$G993,0)),"")</f>
        <v/>
      </c>
      <c r="M601" s="10" t="str">
        <f t="shared" si="5"/>
        <v/>
      </c>
      <c r="N601" s="10" t="str">
        <f t="shared" si="3"/>
        <v/>
      </c>
    </row>
    <row r="602" spans="2:14" ht="12.5">
      <c r="B602" s="5"/>
      <c r="C602" s="5" t="str">
        <f ca="1">IFERROR(__xludf.DUMMYFUNCTION("IF(N602=1,SPLIT(A602,""-""),"""")"),"")</f>
        <v/>
      </c>
      <c r="F602" s="5"/>
      <c r="G602" s="5"/>
      <c r="H602" s="5" t="str">
        <f t="array" ref="H602">IF(N602=1, INDEX('Database Mitra'!$C$2:$C993,MATCH($C602,'Database Mitra'!$AK$2:$AK993,0)),"")</f>
        <v/>
      </c>
      <c r="I602" s="71" t="str">
        <f>IF(N602=1,SUMIFS('Alokasi Honor'!$M$2:$M993,'Alokasi Honor'!$T$2:$T993,A602),"")</f>
        <v/>
      </c>
      <c r="L602" s="10" t="str">
        <f t="array" ref="L602">IF(N602=1,INDEX('Batasan Honor'!$B$2:$B993,MATCH(CONCATENATE($F602,"-",$G602),'Batasan Honor'!$G$2:$G993,0)),"")</f>
        <v/>
      </c>
      <c r="M602" s="10" t="str">
        <f t="shared" si="5"/>
        <v/>
      </c>
      <c r="N602" s="10" t="str">
        <f t="shared" si="3"/>
        <v/>
      </c>
    </row>
    <row r="603" spans="2:14" ht="12.5">
      <c r="B603" s="5"/>
      <c r="C603" s="5" t="str">
        <f ca="1">IFERROR(__xludf.DUMMYFUNCTION("IF(N603=1,SPLIT(A603,""-""),"""")"),"")</f>
        <v/>
      </c>
      <c r="F603" s="5"/>
      <c r="G603" s="5"/>
      <c r="H603" s="5" t="str">
        <f t="array" ref="H603">IF(N603=1, INDEX('Database Mitra'!$C$2:$C993,MATCH($C603,'Database Mitra'!$AK$2:$AK993,0)),"")</f>
        <v/>
      </c>
      <c r="I603" s="71" t="str">
        <f>IF(N603=1,SUMIFS('Alokasi Honor'!$M$2:$M993,'Alokasi Honor'!$T$2:$T993,A603),"")</f>
        <v/>
      </c>
      <c r="L603" s="10" t="str">
        <f t="array" ref="L603">IF(N603=1,INDEX('Batasan Honor'!$B$2:$B993,MATCH(CONCATENATE($F603,"-",$G603),'Batasan Honor'!$G$2:$G993,0)),"")</f>
        <v/>
      </c>
      <c r="M603" s="10" t="str">
        <f t="shared" si="5"/>
        <v/>
      </c>
      <c r="N603" s="10" t="str">
        <f t="shared" si="3"/>
        <v/>
      </c>
    </row>
    <row r="604" spans="2:14" ht="12.5">
      <c r="B604" s="5"/>
      <c r="C604" s="5" t="str">
        <f ca="1">IFERROR(__xludf.DUMMYFUNCTION("IF(N604=1,SPLIT(A604,""-""),"""")"),"")</f>
        <v/>
      </c>
      <c r="F604" s="5"/>
      <c r="G604" s="5"/>
      <c r="H604" s="5" t="str">
        <f t="array" ref="H604">IF(N604=1, INDEX('Database Mitra'!$C$2:$C993,MATCH($C604,'Database Mitra'!$AK$2:$AK993,0)),"")</f>
        <v/>
      </c>
      <c r="I604" s="71" t="str">
        <f>IF(N604=1,SUMIFS('Alokasi Honor'!$M$2:$M993,'Alokasi Honor'!$T$2:$T993,A604),"")</f>
        <v/>
      </c>
      <c r="L604" s="10" t="str">
        <f t="array" ref="L604">IF(N604=1,INDEX('Batasan Honor'!$B$2:$B993,MATCH(CONCATENATE($F604,"-",$G604),'Batasan Honor'!$G$2:$G993,0)),"")</f>
        <v/>
      </c>
      <c r="M604" s="10" t="str">
        <f t="shared" si="5"/>
        <v/>
      </c>
      <c r="N604" s="10" t="str">
        <f t="shared" si="3"/>
        <v/>
      </c>
    </row>
    <row r="605" spans="2:14" ht="12.5">
      <c r="B605" s="5"/>
      <c r="C605" s="5" t="str">
        <f ca="1">IFERROR(__xludf.DUMMYFUNCTION("IF(N605=1,SPLIT(A605,""-""),"""")"),"")</f>
        <v/>
      </c>
      <c r="F605" s="5"/>
      <c r="G605" s="5"/>
      <c r="H605" s="5" t="str">
        <f t="array" ref="H605">IF(N605=1, INDEX('Database Mitra'!$C$2:$C993,MATCH($C605,'Database Mitra'!$AK$2:$AK993,0)),"")</f>
        <v/>
      </c>
      <c r="I605" s="71" t="str">
        <f>IF(N605=1,SUMIFS('Alokasi Honor'!$M$2:$M993,'Alokasi Honor'!$T$2:$T993,A605),"")</f>
        <v/>
      </c>
      <c r="L605" s="10" t="str">
        <f t="array" ref="L605">IF(N605=1,INDEX('Batasan Honor'!$B$2:$B993,MATCH(CONCATENATE($F605,"-",$G605),'Batasan Honor'!$G$2:$G993,0)),"")</f>
        <v/>
      </c>
      <c r="M605" s="10" t="str">
        <f t="shared" si="5"/>
        <v/>
      </c>
      <c r="N605" s="10" t="str">
        <f t="shared" si="3"/>
        <v/>
      </c>
    </row>
    <row r="606" spans="2:14" ht="12.5">
      <c r="B606" s="5"/>
      <c r="C606" s="5" t="str">
        <f ca="1">IFERROR(__xludf.DUMMYFUNCTION("IF(N606=1,SPLIT(A606,""-""),"""")"),"")</f>
        <v/>
      </c>
      <c r="F606" s="5"/>
      <c r="G606" s="5"/>
      <c r="H606" s="5" t="str">
        <f t="array" ref="H606">IF(N606=1, INDEX('Database Mitra'!$C$2:$C993,MATCH($C606,'Database Mitra'!$AK$2:$AK993,0)),"")</f>
        <v/>
      </c>
      <c r="I606" s="71" t="str">
        <f>IF(N606=1,SUMIFS('Alokasi Honor'!$M$2:$M993,'Alokasi Honor'!$T$2:$T993,A606),"")</f>
        <v/>
      </c>
      <c r="L606" s="10" t="str">
        <f t="array" ref="L606">IF(N606=1,INDEX('Batasan Honor'!$B$2:$B993,MATCH(CONCATENATE($F606,"-",$G606),'Batasan Honor'!$G$2:$G993,0)),"")</f>
        <v/>
      </c>
      <c r="M606" s="10" t="str">
        <f t="shared" si="5"/>
        <v/>
      </c>
      <c r="N606" s="10" t="str">
        <f t="shared" si="3"/>
        <v/>
      </c>
    </row>
    <row r="607" spans="2:14" ht="12.5">
      <c r="B607" s="5"/>
      <c r="C607" s="5" t="str">
        <f ca="1">IFERROR(__xludf.DUMMYFUNCTION("IF(N607=1,SPLIT(A607,""-""),"""")"),"")</f>
        <v/>
      </c>
      <c r="F607" s="5"/>
      <c r="G607" s="5"/>
      <c r="H607" s="5" t="str">
        <f t="array" ref="H607">IF(N607=1, INDEX('Database Mitra'!$C$2:$C993,MATCH($C607,'Database Mitra'!$AK$2:$AK993,0)),"")</f>
        <v/>
      </c>
      <c r="I607" s="71" t="str">
        <f>IF(N607=1,SUMIFS('Alokasi Honor'!$M$2:$M993,'Alokasi Honor'!$T$2:$T993,A607),"")</f>
        <v/>
      </c>
      <c r="L607" s="10" t="str">
        <f t="array" ref="L607">IF(N607=1,INDEX('Batasan Honor'!$B$2:$B993,MATCH(CONCATENATE($F607,"-",$G607),'Batasan Honor'!$G$2:$G993,0)),"")</f>
        <v/>
      </c>
      <c r="M607" s="10" t="str">
        <f t="shared" si="5"/>
        <v/>
      </c>
      <c r="N607" s="10" t="str">
        <f t="shared" si="3"/>
        <v/>
      </c>
    </row>
    <row r="608" spans="2:14" ht="12.5">
      <c r="B608" s="5"/>
      <c r="C608" s="5" t="str">
        <f ca="1">IFERROR(__xludf.DUMMYFUNCTION("IF(N608=1,SPLIT(A608,""-""),"""")"),"")</f>
        <v/>
      </c>
      <c r="F608" s="5"/>
      <c r="G608" s="5"/>
      <c r="H608" s="5" t="str">
        <f t="array" ref="H608">IF(N608=1, INDEX('Database Mitra'!$C$2:$C993,MATCH($C608,'Database Mitra'!$AK$2:$AK993,0)),"")</f>
        <v/>
      </c>
      <c r="I608" s="71" t="str">
        <f>IF(N608=1,SUMIFS('Alokasi Honor'!$M$2:$M993,'Alokasi Honor'!$T$2:$T993,A608),"")</f>
        <v/>
      </c>
      <c r="L608" s="10" t="str">
        <f t="array" ref="L608">IF(N608=1,INDEX('Batasan Honor'!$B$2:$B993,MATCH(CONCATENATE($F608,"-",$G608),'Batasan Honor'!$G$2:$G993,0)),"")</f>
        <v/>
      </c>
      <c r="M608" s="10" t="str">
        <f t="shared" si="5"/>
        <v/>
      </c>
      <c r="N608" s="10" t="str">
        <f t="shared" si="3"/>
        <v/>
      </c>
    </row>
    <row r="609" spans="2:14" ht="12.5">
      <c r="B609" s="5"/>
      <c r="C609" s="5" t="str">
        <f ca="1">IFERROR(__xludf.DUMMYFUNCTION("IF(N609=1,SPLIT(A609,""-""),"""")"),"")</f>
        <v/>
      </c>
      <c r="F609" s="5"/>
      <c r="G609" s="5"/>
      <c r="H609" s="5" t="str">
        <f t="array" ref="H609">IF(N609=1, INDEX('Database Mitra'!$C$2:$C993,MATCH($C609,'Database Mitra'!$AK$2:$AK993,0)),"")</f>
        <v/>
      </c>
      <c r="I609" s="71" t="str">
        <f>IF(N609=1,SUMIFS('Alokasi Honor'!$M$2:$M993,'Alokasi Honor'!$T$2:$T993,A609),"")</f>
        <v/>
      </c>
      <c r="L609" s="10" t="str">
        <f t="array" ref="L609">IF(N609=1,INDEX('Batasan Honor'!$B$2:$B993,MATCH(CONCATENATE($F609,"-",$G609),'Batasan Honor'!$G$2:$G993,0)),"")</f>
        <v/>
      </c>
      <c r="M609" s="10" t="str">
        <f t="shared" si="5"/>
        <v/>
      </c>
      <c r="N609" s="10" t="str">
        <f t="shared" si="3"/>
        <v/>
      </c>
    </row>
    <row r="610" spans="2:14" ht="12.5">
      <c r="B610" s="5"/>
      <c r="C610" s="5" t="str">
        <f ca="1">IFERROR(__xludf.DUMMYFUNCTION("IF(N610=1,SPLIT(A610,""-""),"""")"),"")</f>
        <v/>
      </c>
      <c r="F610" s="5"/>
      <c r="G610" s="5"/>
      <c r="H610" s="5" t="str">
        <f t="array" ref="H610">IF(N610=1, INDEX('Database Mitra'!$C$2:$C993,MATCH($C610,'Database Mitra'!$AK$2:$AK993,0)),"")</f>
        <v/>
      </c>
      <c r="I610" s="71" t="str">
        <f>IF(N610=1,SUMIFS('Alokasi Honor'!$M$2:$M993,'Alokasi Honor'!$T$2:$T993,A610),"")</f>
        <v/>
      </c>
      <c r="L610" s="10" t="str">
        <f t="array" ref="L610">IF(N610=1,INDEX('Batasan Honor'!$B$2:$B993,MATCH(CONCATENATE($F610,"-",$G610),'Batasan Honor'!$G$2:$G993,0)),"")</f>
        <v/>
      </c>
      <c r="M610" s="10" t="str">
        <f t="shared" si="5"/>
        <v/>
      </c>
      <c r="N610" s="10" t="str">
        <f t="shared" si="3"/>
        <v/>
      </c>
    </row>
    <row r="611" spans="2:14" ht="12.5">
      <c r="B611" s="5"/>
      <c r="C611" s="5" t="str">
        <f ca="1">IFERROR(__xludf.DUMMYFUNCTION("IF(N611=1,SPLIT(A611,""-""),"""")"),"")</f>
        <v/>
      </c>
      <c r="F611" s="5"/>
      <c r="G611" s="5"/>
      <c r="H611" s="5" t="str">
        <f t="array" ref="H611">IF(N611=1, INDEX('Database Mitra'!$C$2:$C993,MATCH($C611,'Database Mitra'!$AK$2:$AK993,0)),"")</f>
        <v/>
      </c>
      <c r="I611" s="71" t="str">
        <f>IF(N611=1,SUMIFS('Alokasi Honor'!$M$2:$M993,'Alokasi Honor'!$T$2:$T993,A611),"")</f>
        <v/>
      </c>
      <c r="L611" s="10" t="str">
        <f t="array" ref="L611">IF(N611=1,INDEX('Batasan Honor'!$B$2:$B993,MATCH(CONCATENATE($F611,"-",$G611),'Batasan Honor'!$G$2:$G993,0)),"")</f>
        <v/>
      </c>
      <c r="M611" s="10" t="str">
        <f t="shared" si="5"/>
        <v/>
      </c>
      <c r="N611" s="10" t="str">
        <f t="shared" si="3"/>
        <v/>
      </c>
    </row>
    <row r="612" spans="2:14" ht="12.5">
      <c r="B612" s="5"/>
      <c r="C612" s="5" t="str">
        <f ca="1">IFERROR(__xludf.DUMMYFUNCTION("IF(N612=1,SPLIT(A612,""-""),"""")"),"")</f>
        <v/>
      </c>
      <c r="F612" s="5"/>
      <c r="G612" s="5"/>
      <c r="H612" s="5" t="str">
        <f t="array" ref="H612">IF(N612=1, INDEX('Database Mitra'!$C$2:$C993,MATCH($C612,'Database Mitra'!$AK$2:$AK993,0)),"")</f>
        <v/>
      </c>
      <c r="I612" s="71" t="str">
        <f>IF(N612=1,SUMIFS('Alokasi Honor'!$M$2:$M993,'Alokasi Honor'!$T$2:$T993,A612),"")</f>
        <v/>
      </c>
      <c r="L612" s="10" t="str">
        <f t="array" ref="L612">IF(N612=1,INDEX('Batasan Honor'!$B$2:$B993,MATCH(CONCATENATE($F612,"-",$G612),'Batasan Honor'!$G$2:$G993,0)),"")</f>
        <v/>
      </c>
      <c r="M612" s="10" t="str">
        <f t="shared" si="5"/>
        <v/>
      </c>
      <c r="N612" s="10" t="str">
        <f t="shared" si="3"/>
        <v/>
      </c>
    </row>
    <row r="613" spans="2:14" ht="12.5">
      <c r="B613" s="5"/>
      <c r="C613" s="5" t="str">
        <f ca="1">IFERROR(__xludf.DUMMYFUNCTION("IF(N613=1,SPLIT(A613,""-""),"""")"),"")</f>
        <v/>
      </c>
      <c r="F613" s="5"/>
      <c r="G613" s="5"/>
      <c r="H613" s="5" t="str">
        <f t="array" ref="H613">IF(N613=1, INDEX('Database Mitra'!$C$2:$C993,MATCH($C613,'Database Mitra'!$AK$2:$AK993,0)),"")</f>
        <v/>
      </c>
      <c r="I613" s="71" t="str">
        <f>IF(N613=1,SUMIFS('Alokasi Honor'!$M$2:$M993,'Alokasi Honor'!$T$2:$T993,A613),"")</f>
        <v/>
      </c>
      <c r="L613" s="10" t="str">
        <f t="array" ref="L613">IF(N613=1,INDEX('Batasan Honor'!$B$2:$B993,MATCH(CONCATENATE($F613,"-",$G613),'Batasan Honor'!$G$2:$G993,0)),"")</f>
        <v/>
      </c>
      <c r="M613" s="10" t="str">
        <f t="shared" si="5"/>
        <v/>
      </c>
      <c r="N613" s="10" t="str">
        <f t="shared" si="3"/>
        <v/>
      </c>
    </row>
    <row r="614" spans="2:14" ht="12.5">
      <c r="B614" s="5"/>
      <c r="C614" s="5" t="str">
        <f ca="1">IFERROR(__xludf.DUMMYFUNCTION("IF(N614=1,SPLIT(A614,""-""),"""")"),"")</f>
        <v/>
      </c>
      <c r="F614" s="5"/>
      <c r="G614" s="5"/>
      <c r="H614" s="5" t="str">
        <f t="array" ref="H614">IF(N614=1, INDEX('Database Mitra'!$C$2:$C993,MATCH($C614,'Database Mitra'!$AK$2:$AK993,0)),"")</f>
        <v/>
      </c>
      <c r="I614" s="71" t="str">
        <f>IF(N614=1,SUMIFS('Alokasi Honor'!$M$2:$M993,'Alokasi Honor'!$T$2:$T993,A614),"")</f>
        <v/>
      </c>
      <c r="L614" s="10" t="str">
        <f t="array" ref="L614">IF(N614=1,INDEX('Batasan Honor'!$B$2:$B993,MATCH(CONCATENATE($F614,"-",$G614),'Batasan Honor'!$G$2:$G993,0)),"")</f>
        <v/>
      </c>
      <c r="M614" s="10" t="str">
        <f t="shared" si="5"/>
        <v/>
      </c>
      <c r="N614" s="10" t="str">
        <f t="shared" si="3"/>
        <v/>
      </c>
    </row>
    <row r="615" spans="2:14" ht="12.5">
      <c r="B615" s="5"/>
      <c r="C615" s="5" t="str">
        <f ca="1">IFERROR(__xludf.DUMMYFUNCTION("IF(N615=1,SPLIT(A615,""-""),"""")"),"")</f>
        <v/>
      </c>
      <c r="F615" s="5"/>
      <c r="G615" s="5"/>
      <c r="H615" s="5" t="str">
        <f t="array" ref="H615">IF(N615=1, INDEX('Database Mitra'!$C$2:$C993,MATCH($C615,'Database Mitra'!$AK$2:$AK993,0)),"")</f>
        <v/>
      </c>
      <c r="I615" s="71" t="str">
        <f>IF(N615=1,SUMIFS('Alokasi Honor'!$M$2:$M993,'Alokasi Honor'!$T$2:$T993,A615),"")</f>
        <v/>
      </c>
      <c r="L615" s="10" t="str">
        <f t="array" ref="L615">IF(N615=1,INDEX('Batasan Honor'!$B$2:$B993,MATCH(CONCATENATE($F615,"-",$G615),'Batasan Honor'!$G$2:$G993,0)),"")</f>
        <v/>
      </c>
      <c r="M615" s="10" t="str">
        <f t="shared" si="5"/>
        <v/>
      </c>
      <c r="N615" s="10" t="str">
        <f t="shared" si="3"/>
        <v/>
      </c>
    </row>
    <row r="616" spans="2:14" ht="12.5">
      <c r="B616" s="5"/>
      <c r="C616" s="5" t="str">
        <f ca="1">IFERROR(__xludf.DUMMYFUNCTION("IF(N616=1,SPLIT(A616,""-""),"""")"),"")</f>
        <v/>
      </c>
      <c r="F616" s="5"/>
      <c r="G616" s="5"/>
      <c r="H616" s="5" t="str">
        <f t="array" ref="H616">IF(N616=1, INDEX('Database Mitra'!$C$2:$C993,MATCH($C616,'Database Mitra'!$AK$2:$AK993,0)),"")</f>
        <v/>
      </c>
      <c r="I616" s="71" t="str">
        <f>IF(N616=1,SUMIFS('Alokasi Honor'!$M$2:$M993,'Alokasi Honor'!$T$2:$T993,A616),"")</f>
        <v/>
      </c>
      <c r="L616" s="10" t="str">
        <f t="array" ref="L616">IF(N616=1,INDEX('Batasan Honor'!$B$2:$B993,MATCH(CONCATENATE($F616,"-",$G616),'Batasan Honor'!$G$2:$G993,0)),"")</f>
        <v/>
      </c>
      <c r="M616" s="10" t="str">
        <f t="shared" si="5"/>
        <v/>
      </c>
      <c r="N616" s="10" t="str">
        <f t="shared" si="3"/>
        <v/>
      </c>
    </row>
    <row r="617" spans="2:14" ht="12.5">
      <c r="B617" s="5"/>
      <c r="C617" s="5" t="str">
        <f ca="1">IFERROR(__xludf.DUMMYFUNCTION("IF(N617=1,SPLIT(A617,""-""),"""")"),"")</f>
        <v/>
      </c>
      <c r="F617" s="5"/>
      <c r="G617" s="5"/>
      <c r="H617" s="5" t="str">
        <f t="array" ref="H617">IF(N617=1, INDEX('Database Mitra'!$C$2:$C993,MATCH($C617,'Database Mitra'!$AK$2:$AK993,0)),"")</f>
        <v/>
      </c>
      <c r="I617" s="71" t="str">
        <f>IF(N617=1,SUMIFS('Alokasi Honor'!$M$2:$M993,'Alokasi Honor'!$T$2:$T993,A617),"")</f>
        <v/>
      </c>
      <c r="L617" s="10" t="str">
        <f t="array" ref="L617">IF(N617=1,INDEX('Batasan Honor'!$B$2:$B993,MATCH(CONCATENATE($F617,"-",$G617),'Batasan Honor'!$G$2:$G993,0)),"")</f>
        <v/>
      </c>
      <c r="M617" s="10" t="str">
        <f t="shared" si="5"/>
        <v/>
      </c>
      <c r="N617" s="10" t="str">
        <f t="shared" si="3"/>
        <v/>
      </c>
    </row>
    <row r="618" spans="2:14" ht="12.5">
      <c r="B618" s="5"/>
      <c r="C618" s="5" t="str">
        <f ca="1">IFERROR(__xludf.DUMMYFUNCTION("IF(N618=1,SPLIT(A618,""-""),"""")"),"")</f>
        <v/>
      </c>
      <c r="F618" s="5"/>
      <c r="G618" s="5"/>
      <c r="H618" s="5" t="str">
        <f t="array" ref="H618">IF(N618=1, INDEX('Database Mitra'!$C$2:$C993,MATCH($C618,'Database Mitra'!$AK$2:$AK993,0)),"")</f>
        <v/>
      </c>
      <c r="I618" s="71" t="str">
        <f>IF(N618=1,SUMIFS('Alokasi Honor'!$M$2:$M993,'Alokasi Honor'!$T$2:$T993,A618),"")</f>
        <v/>
      </c>
      <c r="L618" s="10" t="str">
        <f t="array" ref="L618">IF(N618=1,INDEX('Batasan Honor'!$B$2:$B993,MATCH(CONCATENATE($F618,"-",$G618),'Batasan Honor'!$G$2:$G993,0)),"")</f>
        <v/>
      </c>
      <c r="M618" s="10" t="str">
        <f t="shared" si="5"/>
        <v/>
      </c>
      <c r="N618" s="10" t="str">
        <f t="shared" si="3"/>
        <v/>
      </c>
    </row>
    <row r="619" spans="2:14" ht="12.5">
      <c r="B619" s="5"/>
      <c r="C619" s="5" t="str">
        <f ca="1">IFERROR(__xludf.DUMMYFUNCTION("IF(N619=1,SPLIT(A619,""-""),"""")"),"")</f>
        <v/>
      </c>
      <c r="F619" s="5"/>
      <c r="G619" s="5"/>
      <c r="H619" s="5" t="str">
        <f t="array" ref="H619">IF(N619=1, INDEX('Database Mitra'!$C$2:$C993,MATCH($C619,'Database Mitra'!$AK$2:$AK993,0)),"")</f>
        <v/>
      </c>
      <c r="I619" s="71" t="str">
        <f>IF(N619=1,SUMIFS('Alokasi Honor'!$M$2:$M993,'Alokasi Honor'!$T$2:$T993,A619),"")</f>
        <v/>
      </c>
      <c r="L619" s="10" t="str">
        <f t="array" ref="L619">IF(N619=1,INDEX('Batasan Honor'!$B$2:$B993,MATCH(CONCATENATE($F619,"-",$G619),'Batasan Honor'!$G$2:$G993,0)),"")</f>
        <v/>
      </c>
      <c r="M619" s="10" t="str">
        <f t="shared" si="5"/>
        <v/>
      </c>
      <c r="N619" s="10" t="str">
        <f t="shared" si="3"/>
        <v/>
      </c>
    </row>
    <row r="620" spans="2:14" ht="12.5">
      <c r="B620" s="5"/>
      <c r="C620" s="5" t="str">
        <f ca="1">IFERROR(__xludf.DUMMYFUNCTION("IF(N620=1,SPLIT(A620,""-""),"""")"),"")</f>
        <v/>
      </c>
      <c r="F620" s="5"/>
      <c r="G620" s="5"/>
      <c r="H620" s="5" t="str">
        <f t="array" ref="H620">IF(N620=1, INDEX('Database Mitra'!$C$2:$C993,MATCH($C620,'Database Mitra'!$AK$2:$AK993,0)),"")</f>
        <v/>
      </c>
      <c r="I620" s="71" t="str">
        <f>IF(N620=1,SUMIFS('Alokasi Honor'!$M$2:$M993,'Alokasi Honor'!$T$2:$T993,A620),"")</f>
        <v/>
      </c>
      <c r="L620" s="10" t="str">
        <f t="array" ref="L620">IF(N620=1,INDEX('Batasan Honor'!$B$2:$B993,MATCH(CONCATENATE($F620,"-",$G620),'Batasan Honor'!$G$2:$G993,0)),"")</f>
        <v/>
      </c>
      <c r="M620" s="10" t="str">
        <f t="shared" si="5"/>
        <v/>
      </c>
      <c r="N620" s="10" t="str">
        <f t="shared" si="3"/>
        <v/>
      </c>
    </row>
    <row r="621" spans="2:14" ht="12.5">
      <c r="B621" s="5"/>
      <c r="C621" s="5" t="str">
        <f ca="1">IFERROR(__xludf.DUMMYFUNCTION("IF(N621=1,SPLIT(A621,""-""),"""")"),"")</f>
        <v/>
      </c>
      <c r="F621" s="5"/>
      <c r="G621" s="5"/>
      <c r="H621" s="5" t="str">
        <f t="array" ref="H621">IF(N621=1, INDEX('Database Mitra'!$C$2:$C993,MATCH($C621,'Database Mitra'!$AK$2:$AK993,0)),"")</f>
        <v/>
      </c>
      <c r="I621" s="71" t="str">
        <f>IF(N621=1,SUMIFS('Alokasi Honor'!$M$2:$M993,'Alokasi Honor'!$T$2:$T993,A621),"")</f>
        <v/>
      </c>
      <c r="L621" s="10" t="str">
        <f t="array" ref="L621">IF(N621=1,INDEX('Batasan Honor'!$B$2:$B993,MATCH(CONCATENATE($F621,"-",$G621),'Batasan Honor'!$G$2:$G993,0)),"")</f>
        <v/>
      </c>
      <c r="M621" s="10" t="str">
        <f t="shared" si="5"/>
        <v/>
      </c>
      <c r="N621" s="10" t="str">
        <f t="shared" si="3"/>
        <v/>
      </c>
    </row>
    <row r="622" spans="2:14" ht="12.5">
      <c r="B622" s="5"/>
      <c r="C622" s="5" t="str">
        <f ca="1">IFERROR(__xludf.DUMMYFUNCTION("IF(N622=1,SPLIT(A622,""-""),"""")"),"")</f>
        <v/>
      </c>
      <c r="F622" s="5"/>
      <c r="G622" s="5"/>
      <c r="H622" s="5" t="str">
        <f t="array" ref="H622">IF(N622=1, INDEX('Database Mitra'!$C$2:$C993,MATCH($C622,'Database Mitra'!$AK$2:$AK993,0)),"")</f>
        <v/>
      </c>
      <c r="I622" s="71" t="str">
        <f>IF(N622=1,SUMIFS('Alokasi Honor'!$M$2:$M993,'Alokasi Honor'!$T$2:$T993,A622),"")</f>
        <v/>
      </c>
      <c r="L622" s="10" t="str">
        <f t="array" ref="L622">IF(N622=1,INDEX('Batasan Honor'!$B$2:$B993,MATCH(CONCATENATE($F622,"-",$G622),'Batasan Honor'!$G$2:$G993,0)),"")</f>
        <v/>
      </c>
      <c r="M622" s="10" t="str">
        <f t="shared" si="5"/>
        <v/>
      </c>
      <c r="N622" s="10" t="str">
        <f t="shared" si="3"/>
        <v/>
      </c>
    </row>
    <row r="623" spans="2:14" ht="12.5">
      <c r="B623" s="5"/>
      <c r="C623" s="5" t="str">
        <f ca="1">IFERROR(__xludf.DUMMYFUNCTION("IF(N623=1,SPLIT(A623,""-""),"""")"),"")</f>
        <v/>
      </c>
      <c r="F623" s="5"/>
      <c r="G623" s="5"/>
      <c r="H623" s="5" t="str">
        <f t="array" ref="H623">IF(N623=1, INDEX('Database Mitra'!$C$2:$C993,MATCH($C623,'Database Mitra'!$AK$2:$AK993,0)),"")</f>
        <v/>
      </c>
      <c r="I623" s="71" t="str">
        <f>IF(N623=1,SUMIFS('Alokasi Honor'!$M$2:$M993,'Alokasi Honor'!$T$2:$T993,A623),"")</f>
        <v/>
      </c>
      <c r="L623" s="10" t="str">
        <f t="array" ref="L623">IF(N623=1,INDEX('Batasan Honor'!$B$2:$B993,MATCH(CONCATENATE($F623,"-",$G623),'Batasan Honor'!$G$2:$G993,0)),"")</f>
        <v/>
      </c>
      <c r="M623" s="10" t="str">
        <f t="shared" si="5"/>
        <v/>
      </c>
      <c r="N623" s="10" t="str">
        <f t="shared" si="3"/>
        <v/>
      </c>
    </row>
    <row r="624" spans="2:14" ht="12.5">
      <c r="B624" s="5"/>
      <c r="C624" s="5" t="str">
        <f ca="1">IFERROR(__xludf.DUMMYFUNCTION("IF(N624=1,SPLIT(A624,""-""),"""")"),"")</f>
        <v/>
      </c>
      <c r="F624" s="5"/>
      <c r="G624" s="5"/>
      <c r="H624" s="5" t="str">
        <f t="array" ref="H624">IF(N624=1, INDEX('Database Mitra'!$C$2:$C993,MATCH($C624,'Database Mitra'!$AK$2:$AK993,0)),"")</f>
        <v/>
      </c>
      <c r="I624" s="71" t="str">
        <f>IF(N624=1,SUMIFS('Alokasi Honor'!$M$2:$M993,'Alokasi Honor'!$T$2:$T993,A624),"")</f>
        <v/>
      </c>
      <c r="L624" s="10" t="str">
        <f t="array" ref="L624">IF(N624=1,INDEX('Batasan Honor'!$B$2:$B993,MATCH(CONCATENATE($F624,"-",$G624),'Batasan Honor'!$G$2:$G993,0)),"")</f>
        <v/>
      </c>
      <c r="M624" s="10" t="str">
        <f t="shared" si="5"/>
        <v/>
      </c>
      <c r="N624" s="10" t="str">
        <f t="shared" si="3"/>
        <v/>
      </c>
    </row>
    <row r="625" spans="2:14" ht="12.5">
      <c r="B625" s="5"/>
      <c r="C625" s="5" t="str">
        <f ca="1">IFERROR(__xludf.DUMMYFUNCTION("IF(N625=1,SPLIT(A625,""-""),"""")"),"")</f>
        <v/>
      </c>
      <c r="F625" s="5"/>
      <c r="G625" s="5"/>
      <c r="H625" s="5" t="str">
        <f t="array" ref="H625">IF(N625=1, INDEX('Database Mitra'!$C$2:$C993,MATCH($C625,'Database Mitra'!$AK$2:$AK993,0)),"")</f>
        <v/>
      </c>
      <c r="I625" s="71" t="str">
        <f>IF(N625=1,SUMIFS('Alokasi Honor'!$M$2:$M993,'Alokasi Honor'!$T$2:$T993,A625),"")</f>
        <v/>
      </c>
      <c r="L625" s="10" t="str">
        <f t="array" ref="L625">IF(N625=1,INDEX('Batasan Honor'!$B$2:$B993,MATCH(CONCATENATE($F625,"-",$G625),'Batasan Honor'!$G$2:$G993,0)),"")</f>
        <v/>
      </c>
      <c r="M625" s="10" t="str">
        <f t="shared" si="5"/>
        <v/>
      </c>
      <c r="N625" s="10" t="str">
        <f t="shared" si="3"/>
        <v/>
      </c>
    </row>
    <row r="626" spans="2:14" ht="12.5">
      <c r="B626" s="5"/>
      <c r="C626" s="5" t="str">
        <f ca="1">IFERROR(__xludf.DUMMYFUNCTION("IF(N626=1,SPLIT(A626,""-""),"""")"),"")</f>
        <v/>
      </c>
      <c r="F626" s="5"/>
      <c r="G626" s="5"/>
      <c r="H626" s="5" t="str">
        <f t="array" ref="H626">IF(N626=1, INDEX('Database Mitra'!$C$2:$C993,MATCH($C626,'Database Mitra'!$AK$2:$AK993,0)),"")</f>
        <v/>
      </c>
      <c r="I626" s="71" t="str">
        <f>IF(N626=1,SUMIFS('Alokasi Honor'!$M$2:$M993,'Alokasi Honor'!$T$2:$T993,A626),"")</f>
        <v/>
      </c>
      <c r="L626" s="10" t="str">
        <f t="array" ref="L626">IF(N626=1,INDEX('Batasan Honor'!$B$2:$B993,MATCH(CONCATENATE($F626,"-",$G626),'Batasan Honor'!$G$2:$G993,0)),"")</f>
        <v/>
      </c>
      <c r="M626" s="10" t="str">
        <f t="shared" si="5"/>
        <v/>
      </c>
      <c r="N626" s="10" t="str">
        <f t="shared" si="3"/>
        <v/>
      </c>
    </row>
    <row r="627" spans="2:14" ht="12.5">
      <c r="B627" s="5"/>
      <c r="C627" s="5" t="str">
        <f ca="1">IFERROR(__xludf.DUMMYFUNCTION("IF(N627=1,SPLIT(A627,""-""),"""")"),"")</f>
        <v/>
      </c>
      <c r="F627" s="5"/>
      <c r="G627" s="5"/>
      <c r="H627" s="5" t="str">
        <f t="array" ref="H627">IF(N627=1, INDEX('Database Mitra'!$C$2:$C993,MATCH($C627,'Database Mitra'!$AK$2:$AK993,0)),"")</f>
        <v/>
      </c>
      <c r="I627" s="71" t="str">
        <f>IF(N627=1,SUMIFS('Alokasi Honor'!$M$2:$M993,'Alokasi Honor'!$T$2:$T993,A627),"")</f>
        <v/>
      </c>
      <c r="L627" s="10" t="str">
        <f t="array" ref="L627">IF(N627=1,INDEX('Batasan Honor'!$B$2:$B993,MATCH(CONCATENATE($F627,"-",$G627),'Batasan Honor'!$G$2:$G993,0)),"")</f>
        <v/>
      </c>
      <c r="M627" s="10" t="str">
        <f t="shared" si="5"/>
        <v/>
      </c>
      <c r="N627" s="10" t="str">
        <f t="shared" si="3"/>
        <v/>
      </c>
    </row>
    <row r="628" spans="2:14" ht="12.5">
      <c r="B628" s="5"/>
      <c r="C628" s="5" t="str">
        <f ca="1">IFERROR(__xludf.DUMMYFUNCTION("IF(N628=1,SPLIT(A628,""-""),"""")"),"")</f>
        <v/>
      </c>
      <c r="F628" s="5"/>
      <c r="G628" s="5"/>
      <c r="H628" s="5" t="str">
        <f t="array" ref="H628">IF(N628=1, INDEX('Database Mitra'!$C$2:$C993,MATCH($C628,'Database Mitra'!$AK$2:$AK993,0)),"")</f>
        <v/>
      </c>
      <c r="I628" s="71" t="str">
        <f>IF(N628=1,SUMIFS('Alokasi Honor'!$M$2:$M993,'Alokasi Honor'!$T$2:$T993,A628),"")</f>
        <v/>
      </c>
      <c r="L628" s="10" t="str">
        <f t="array" ref="L628">IF(N628=1,INDEX('Batasan Honor'!$B$2:$B993,MATCH(CONCATENATE($F628,"-",$G628),'Batasan Honor'!$G$2:$G993,0)),"")</f>
        <v/>
      </c>
      <c r="M628" s="10" t="str">
        <f t="shared" si="5"/>
        <v/>
      </c>
      <c r="N628" s="10" t="str">
        <f t="shared" si="3"/>
        <v/>
      </c>
    </row>
    <row r="629" spans="2:14" ht="12.5">
      <c r="B629" s="5"/>
      <c r="C629" s="5" t="str">
        <f ca="1">IFERROR(__xludf.DUMMYFUNCTION("IF(N629=1,SPLIT(A629,""-""),"""")"),"")</f>
        <v/>
      </c>
      <c r="F629" s="5"/>
      <c r="G629" s="5"/>
      <c r="H629" s="5" t="str">
        <f t="array" ref="H629">IF(N629=1, INDEX('Database Mitra'!$C$2:$C993,MATCH($C629,'Database Mitra'!$AK$2:$AK993,0)),"")</f>
        <v/>
      </c>
      <c r="I629" s="71" t="str">
        <f>IF(N629=1,SUMIFS('Alokasi Honor'!$M$2:$M993,'Alokasi Honor'!$T$2:$T993,A629),"")</f>
        <v/>
      </c>
      <c r="L629" s="10" t="str">
        <f t="array" ref="L629">IF(N629=1,INDEX('Batasan Honor'!$B$2:$B993,MATCH(CONCATENATE($F629,"-",$G629),'Batasan Honor'!$G$2:$G993,0)),"")</f>
        <v/>
      </c>
      <c r="M629" s="10" t="str">
        <f t="shared" si="5"/>
        <v/>
      </c>
      <c r="N629" s="10" t="str">
        <f t="shared" si="3"/>
        <v/>
      </c>
    </row>
    <row r="630" spans="2:14" ht="12.5">
      <c r="B630" s="5"/>
      <c r="C630" s="5" t="str">
        <f ca="1">IFERROR(__xludf.DUMMYFUNCTION("IF(N630=1,SPLIT(A630,""-""),"""")"),"")</f>
        <v/>
      </c>
      <c r="F630" s="5"/>
      <c r="G630" s="5"/>
      <c r="H630" s="5" t="str">
        <f t="array" ref="H630">IF(N630=1, INDEX('Database Mitra'!$C$2:$C993,MATCH($C630,'Database Mitra'!$AK$2:$AK993,0)),"")</f>
        <v/>
      </c>
      <c r="I630" s="71" t="str">
        <f>IF(N630=1,SUMIFS('Alokasi Honor'!$M$2:$M993,'Alokasi Honor'!$T$2:$T993,A630),"")</f>
        <v/>
      </c>
      <c r="L630" s="10" t="str">
        <f t="array" ref="L630">IF(N630=1,INDEX('Batasan Honor'!$B$2:$B993,MATCH(CONCATENATE($F630,"-",$G630),'Batasan Honor'!$G$2:$G993,0)),"")</f>
        <v/>
      </c>
      <c r="M630" s="10" t="str">
        <f t="shared" si="5"/>
        <v/>
      </c>
      <c r="N630" s="10" t="str">
        <f t="shared" si="3"/>
        <v/>
      </c>
    </row>
    <row r="631" spans="2:14" ht="12.5">
      <c r="B631" s="5"/>
      <c r="C631" s="5" t="str">
        <f ca="1">IFERROR(__xludf.DUMMYFUNCTION("IF(N631=1,SPLIT(A631,""-""),"""")"),"")</f>
        <v/>
      </c>
      <c r="F631" s="5"/>
      <c r="G631" s="5"/>
      <c r="H631" s="5" t="str">
        <f t="array" ref="H631">IF(N631=1, INDEX('Database Mitra'!$C$2:$C993,MATCH($C631,'Database Mitra'!$AK$2:$AK993,0)),"")</f>
        <v/>
      </c>
      <c r="I631" s="71" t="str">
        <f>IF(N631=1,SUMIFS('Alokasi Honor'!$M$2:$M993,'Alokasi Honor'!$T$2:$T993,A631),"")</f>
        <v/>
      </c>
      <c r="L631" s="10" t="str">
        <f t="array" ref="L631">IF(N631=1,INDEX('Batasan Honor'!$B$2:$B993,MATCH(CONCATENATE($F631,"-",$G631),'Batasan Honor'!$G$2:$G993,0)),"")</f>
        <v/>
      </c>
      <c r="M631" s="10" t="str">
        <f t="shared" si="5"/>
        <v/>
      </c>
      <c r="N631" s="10" t="str">
        <f t="shared" si="3"/>
        <v/>
      </c>
    </row>
    <row r="632" spans="2:14" ht="12.5">
      <c r="B632" s="5"/>
      <c r="C632" s="5" t="str">
        <f ca="1">IFERROR(__xludf.DUMMYFUNCTION("IF(N632=1,SPLIT(A632,""-""),"""")"),"")</f>
        <v/>
      </c>
      <c r="F632" s="5"/>
      <c r="G632" s="5"/>
      <c r="H632" s="5" t="str">
        <f t="array" ref="H632">IF(N632=1, INDEX('Database Mitra'!$C$2:$C993,MATCH($C632,'Database Mitra'!$AK$2:$AK993,0)),"")</f>
        <v/>
      </c>
      <c r="I632" s="71" t="str">
        <f>IF(N632=1,SUMIFS('Alokasi Honor'!$M$2:$M993,'Alokasi Honor'!$T$2:$T993,A632),"")</f>
        <v/>
      </c>
      <c r="L632" s="10" t="str">
        <f t="array" ref="L632">IF(N632=1,INDEX('Batasan Honor'!$B$2:$B993,MATCH(CONCATENATE($F632,"-",$G632),'Batasan Honor'!$G$2:$G993,0)),"")</f>
        <v/>
      </c>
      <c r="M632" s="10" t="str">
        <f t="shared" si="5"/>
        <v/>
      </c>
      <c r="N632" s="10" t="str">
        <f t="shared" si="3"/>
        <v/>
      </c>
    </row>
    <row r="633" spans="2:14" ht="12.5">
      <c r="B633" s="5"/>
      <c r="C633" s="5" t="str">
        <f ca="1">IFERROR(__xludf.DUMMYFUNCTION("IF(N633=1,SPLIT(A633,""-""),"""")"),"")</f>
        <v/>
      </c>
      <c r="F633" s="5"/>
      <c r="G633" s="5"/>
      <c r="H633" s="5" t="str">
        <f t="array" ref="H633">IF(N633=1, INDEX('Database Mitra'!$C$2:$C993,MATCH($C633,'Database Mitra'!$AK$2:$AK993,0)),"")</f>
        <v/>
      </c>
      <c r="I633" s="71" t="str">
        <f>IF(N633=1,SUMIFS('Alokasi Honor'!$M$2:$M993,'Alokasi Honor'!$T$2:$T993,A633),"")</f>
        <v/>
      </c>
      <c r="L633" s="10" t="str">
        <f t="array" ref="L633">IF(N633=1,INDEX('Batasan Honor'!$B$2:$B993,MATCH(CONCATENATE($F633,"-",$G633),'Batasan Honor'!$G$2:$G993,0)),"")</f>
        <v/>
      </c>
      <c r="M633" s="10" t="str">
        <f t="shared" si="5"/>
        <v/>
      </c>
      <c r="N633" s="10" t="str">
        <f t="shared" si="3"/>
        <v/>
      </c>
    </row>
    <row r="634" spans="2:14" ht="12.5">
      <c r="B634" s="5"/>
      <c r="C634" s="5" t="str">
        <f ca="1">IFERROR(__xludf.DUMMYFUNCTION("IF(N634=1,SPLIT(A634,""-""),"""")"),"")</f>
        <v/>
      </c>
      <c r="F634" s="5"/>
      <c r="G634" s="5"/>
      <c r="H634" s="5" t="str">
        <f t="array" ref="H634">IF(N634=1, INDEX('Database Mitra'!$C$2:$C993,MATCH($C634,'Database Mitra'!$AK$2:$AK993,0)),"")</f>
        <v/>
      </c>
      <c r="I634" s="71" t="str">
        <f>IF(N634=1,SUMIFS('Alokasi Honor'!$M$2:$M993,'Alokasi Honor'!$T$2:$T993,A634),"")</f>
        <v/>
      </c>
      <c r="L634" s="10" t="str">
        <f t="array" ref="L634">IF(N634=1,INDEX('Batasan Honor'!$B$2:$B993,MATCH(CONCATENATE($F634,"-",$G634),'Batasan Honor'!$G$2:$G993,0)),"")</f>
        <v/>
      </c>
      <c r="M634" s="10" t="str">
        <f t="shared" si="5"/>
        <v/>
      </c>
      <c r="N634" s="10" t="str">
        <f t="shared" si="3"/>
        <v/>
      </c>
    </row>
    <row r="635" spans="2:14" ht="12.5">
      <c r="B635" s="5"/>
      <c r="C635" s="5" t="str">
        <f ca="1">IFERROR(__xludf.DUMMYFUNCTION("IF(N635=1,SPLIT(A635,""-""),"""")"),"")</f>
        <v/>
      </c>
      <c r="F635" s="5"/>
      <c r="G635" s="5"/>
      <c r="H635" s="5" t="str">
        <f t="array" ref="H635">IF(N635=1, INDEX('Database Mitra'!$C$2:$C993,MATCH($C635,'Database Mitra'!$AK$2:$AK993,0)),"")</f>
        <v/>
      </c>
      <c r="I635" s="71" t="str">
        <f>IF(N635=1,SUMIFS('Alokasi Honor'!$M$2:$M993,'Alokasi Honor'!$T$2:$T993,A635),"")</f>
        <v/>
      </c>
      <c r="L635" s="10" t="str">
        <f t="array" ref="L635">IF(N635=1,INDEX('Batasan Honor'!$B$2:$B993,MATCH(CONCATENATE($F635,"-",$G635),'Batasan Honor'!$G$2:$G993,0)),"")</f>
        <v/>
      </c>
      <c r="M635" s="10" t="str">
        <f t="shared" si="5"/>
        <v/>
      </c>
      <c r="N635" s="10" t="str">
        <f t="shared" si="3"/>
        <v/>
      </c>
    </row>
    <row r="636" spans="2:14" ht="12.5">
      <c r="B636" s="5"/>
      <c r="C636" s="5" t="str">
        <f ca="1">IFERROR(__xludf.DUMMYFUNCTION("IF(N636=1,SPLIT(A636,""-""),"""")"),"")</f>
        <v/>
      </c>
      <c r="F636" s="5"/>
      <c r="G636" s="5"/>
      <c r="H636" s="5" t="str">
        <f t="array" ref="H636">IF(N636=1, INDEX('Database Mitra'!$C$2:$C993,MATCH($C636,'Database Mitra'!$AK$2:$AK993,0)),"")</f>
        <v/>
      </c>
      <c r="I636" s="71" t="str">
        <f>IF(N636=1,SUMIFS('Alokasi Honor'!$M$2:$M993,'Alokasi Honor'!$T$2:$T993,A636),"")</f>
        <v/>
      </c>
      <c r="L636" s="10" t="str">
        <f t="array" ref="L636">IF(N636=1,INDEX('Batasan Honor'!$B$2:$B993,MATCH(CONCATENATE($F636,"-",$G636),'Batasan Honor'!$G$2:$G993,0)),"")</f>
        <v/>
      </c>
      <c r="M636" s="10" t="str">
        <f t="shared" si="5"/>
        <v/>
      </c>
      <c r="N636" s="10" t="str">
        <f t="shared" si="3"/>
        <v/>
      </c>
    </row>
    <row r="637" spans="2:14" ht="12.5">
      <c r="B637" s="5"/>
      <c r="C637" s="5" t="str">
        <f ca="1">IFERROR(__xludf.DUMMYFUNCTION("IF(N637=1,SPLIT(A637,""-""),"""")"),"")</f>
        <v/>
      </c>
      <c r="F637" s="5"/>
      <c r="G637" s="5"/>
      <c r="H637" s="5" t="str">
        <f t="array" ref="H637">IF(N637=1, INDEX('Database Mitra'!$C$2:$C993,MATCH($C637,'Database Mitra'!$AK$2:$AK993,0)),"")</f>
        <v/>
      </c>
      <c r="I637" s="71" t="str">
        <f>IF(N637=1,SUMIFS('Alokasi Honor'!$M$2:$M993,'Alokasi Honor'!$T$2:$T993,A637),"")</f>
        <v/>
      </c>
      <c r="L637" s="10" t="str">
        <f t="array" ref="L637">IF(N637=1,INDEX('Batasan Honor'!$B$2:$B993,MATCH(CONCATENATE($F637,"-",$G637),'Batasan Honor'!$G$2:$G993,0)),"")</f>
        <v/>
      </c>
      <c r="M637" s="10" t="str">
        <f t="shared" si="5"/>
        <v/>
      </c>
      <c r="N637" s="10" t="str">
        <f t="shared" si="3"/>
        <v/>
      </c>
    </row>
    <row r="638" spans="2:14" ht="12.5">
      <c r="B638" s="5"/>
      <c r="C638" s="5" t="str">
        <f ca="1">IFERROR(__xludf.DUMMYFUNCTION("IF(N638=1,SPLIT(A638,""-""),"""")"),"")</f>
        <v/>
      </c>
      <c r="F638" s="5"/>
      <c r="G638" s="5"/>
      <c r="H638" s="5" t="str">
        <f t="array" ref="H638">IF(N638=1, INDEX('Database Mitra'!$C$2:$C993,MATCH($C638,'Database Mitra'!$AK$2:$AK993,0)),"")</f>
        <v/>
      </c>
      <c r="I638" s="71" t="str">
        <f>IF(N638=1,SUMIFS('Alokasi Honor'!$M$2:$M993,'Alokasi Honor'!$T$2:$T993,A638),"")</f>
        <v/>
      </c>
      <c r="L638" s="10" t="str">
        <f t="array" ref="L638">IF(N638=1,INDEX('Batasan Honor'!$B$2:$B993,MATCH(CONCATENATE($F638,"-",$G638),'Batasan Honor'!$G$2:$G993,0)),"")</f>
        <v/>
      </c>
      <c r="M638" s="10" t="str">
        <f t="shared" si="5"/>
        <v/>
      </c>
      <c r="N638" s="10" t="str">
        <f t="shared" si="3"/>
        <v/>
      </c>
    </row>
    <row r="639" spans="2:14" ht="12.5">
      <c r="B639" s="5"/>
      <c r="C639" s="5" t="str">
        <f ca="1">IFERROR(__xludf.DUMMYFUNCTION("IF(N639=1,SPLIT(A639,""-""),"""")"),"")</f>
        <v/>
      </c>
      <c r="F639" s="5"/>
      <c r="G639" s="5"/>
      <c r="H639" s="5" t="str">
        <f t="array" ref="H639">IF(N639=1, INDEX('Database Mitra'!$C$2:$C993,MATCH($C639,'Database Mitra'!$AK$2:$AK993,0)),"")</f>
        <v/>
      </c>
      <c r="I639" s="71" t="str">
        <f>IF(N639=1,SUMIFS('Alokasi Honor'!$M$2:$M993,'Alokasi Honor'!$T$2:$T993,A639),"")</f>
        <v/>
      </c>
      <c r="L639" s="10" t="str">
        <f t="array" ref="L639">IF(N639=1,INDEX('Batasan Honor'!$B$2:$B993,MATCH(CONCATENATE($F639,"-",$G639),'Batasan Honor'!$G$2:$G993,0)),"")</f>
        <v/>
      </c>
      <c r="M639" s="10" t="str">
        <f t="shared" si="5"/>
        <v/>
      </c>
      <c r="N639" s="10" t="str">
        <f t="shared" si="3"/>
        <v/>
      </c>
    </row>
    <row r="640" spans="2:14" ht="12.5">
      <c r="B640" s="5"/>
      <c r="C640" s="5" t="str">
        <f ca="1">IFERROR(__xludf.DUMMYFUNCTION("IF(N640=1,SPLIT(A640,""-""),"""")"),"")</f>
        <v/>
      </c>
      <c r="F640" s="5"/>
      <c r="G640" s="5"/>
      <c r="H640" s="5" t="str">
        <f t="array" ref="H640">IF(N640=1, INDEX('Database Mitra'!$C$2:$C993,MATCH($C640,'Database Mitra'!$AK$2:$AK993,0)),"")</f>
        <v/>
      </c>
      <c r="I640" s="71" t="str">
        <f>IF(N640=1,SUMIFS('Alokasi Honor'!$M$2:$M993,'Alokasi Honor'!$T$2:$T993,A640),"")</f>
        <v/>
      </c>
      <c r="L640" s="10" t="str">
        <f t="array" ref="L640">IF(N640=1,INDEX('Batasan Honor'!$B$2:$B993,MATCH(CONCATENATE($F640,"-",$G640),'Batasan Honor'!$G$2:$G993,0)),"")</f>
        <v/>
      </c>
      <c r="M640" s="10" t="str">
        <f t="shared" si="5"/>
        <v/>
      </c>
      <c r="N640" s="10" t="str">
        <f t="shared" si="3"/>
        <v/>
      </c>
    </row>
    <row r="641" spans="2:14" ht="12.5">
      <c r="B641" s="5"/>
      <c r="C641" s="5" t="str">
        <f ca="1">IFERROR(__xludf.DUMMYFUNCTION("IF(N641=1,SPLIT(A641,""-""),"""")"),"")</f>
        <v/>
      </c>
      <c r="F641" s="5"/>
      <c r="G641" s="5"/>
      <c r="H641" s="5" t="str">
        <f t="array" ref="H641">IF(N641=1, INDEX('Database Mitra'!$C$2:$C993,MATCH($C641,'Database Mitra'!$AK$2:$AK993,0)),"")</f>
        <v/>
      </c>
      <c r="I641" s="71" t="str">
        <f>IF(N641=1,SUMIFS('Alokasi Honor'!$M$2:$M993,'Alokasi Honor'!$T$2:$T993,A641),"")</f>
        <v/>
      </c>
      <c r="L641" s="10" t="str">
        <f t="array" ref="L641">IF(N641=1,INDEX('Batasan Honor'!$B$2:$B993,MATCH(CONCATENATE($F641,"-",$G641),'Batasan Honor'!$G$2:$G993,0)),"")</f>
        <v/>
      </c>
      <c r="M641" s="10" t="str">
        <f t="shared" si="5"/>
        <v/>
      </c>
      <c r="N641" s="10" t="str">
        <f t="shared" si="3"/>
        <v/>
      </c>
    </row>
    <row r="642" spans="2:14" ht="12.5">
      <c r="B642" s="5"/>
      <c r="C642" s="5" t="str">
        <f ca="1">IFERROR(__xludf.DUMMYFUNCTION("IF(N642=1,SPLIT(A642,""-""),"""")"),"")</f>
        <v/>
      </c>
      <c r="F642" s="5"/>
      <c r="G642" s="5"/>
      <c r="H642" s="5" t="str">
        <f t="array" ref="H642">IF(N642=1, INDEX('Database Mitra'!$C$2:$C993,MATCH($C642,'Database Mitra'!$AK$2:$AK993,0)),"")</f>
        <v/>
      </c>
      <c r="I642" s="71" t="str">
        <f>IF(N642=1,SUMIFS('Alokasi Honor'!$M$2:$M993,'Alokasi Honor'!$T$2:$T993,A642),"")</f>
        <v/>
      </c>
      <c r="L642" s="10" t="str">
        <f t="array" ref="L642">IF(N642=1,INDEX('Batasan Honor'!$B$2:$B993,MATCH(CONCATENATE($F642,"-",$G642),'Batasan Honor'!$G$2:$G993,0)),"")</f>
        <v/>
      </c>
      <c r="M642" s="10" t="str">
        <f t="shared" si="5"/>
        <v/>
      </c>
      <c r="N642" s="10" t="str">
        <f t="shared" si="3"/>
        <v/>
      </c>
    </row>
    <row r="643" spans="2:14" ht="12.5">
      <c r="B643" s="5"/>
      <c r="C643" s="5" t="str">
        <f ca="1">IFERROR(__xludf.DUMMYFUNCTION("IF(N643=1,SPLIT(A643,""-""),"""")"),"")</f>
        <v/>
      </c>
      <c r="F643" s="5"/>
      <c r="G643" s="5"/>
      <c r="H643" s="5" t="str">
        <f t="array" ref="H643">IF(N643=1, INDEX('Database Mitra'!$C$2:$C993,MATCH($C643,'Database Mitra'!$AK$2:$AK993,0)),"")</f>
        <v/>
      </c>
      <c r="I643" s="71" t="str">
        <f>IF(N643=1,SUMIFS('Alokasi Honor'!$M$2:$M993,'Alokasi Honor'!$T$2:$T993,A643),"")</f>
        <v/>
      </c>
      <c r="L643" s="10" t="str">
        <f t="array" ref="L643">IF(N643=1,INDEX('Batasan Honor'!$B$2:$B993,MATCH(CONCATENATE($F643,"-",$G643),'Batasan Honor'!$G$2:$G993,0)),"")</f>
        <v/>
      </c>
      <c r="M643" s="10" t="str">
        <f t="shared" si="5"/>
        <v/>
      </c>
      <c r="N643" s="10" t="str">
        <f t="shared" si="3"/>
        <v/>
      </c>
    </row>
    <row r="644" spans="2:14" ht="12.5">
      <c r="B644" s="5"/>
      <c r="C644" s="5" t="str">
        <f ca="1">IFERROR(__xludf.DUMMYFUNCTION("IF(N644=1,SPLIT(A644,""-""),"""")"),"")</f>
        <v/>
      </c>
      <c r="F644" s="5"/>
      <c r="G644" s="5"/>
      <c r="H644" s="5" t="str">
        <f t="array" ref="H644">IF(N644=1, INDEX('Database Mitra'!$C$2:$C993,MATCH($C644,'Database Mitra'!$AK$2:$AK993,0)),"")</f>
        <v/>
      </c>
      <c r="I644" s="71" t="str">
        <f>IF(N644=1,SUMIFS('Alokasi Honor'!$M$2:$M993,'Alokasi Honor'!$T$2:$T993,A644),"")</f>
        <v/>
      </c>
      <c r="L644" s="10" t="str">
        <f t="array" ref="L644">IF(N644=1,INDEX('Batasan Honor'!$B$2:$B993,MATCH(CONCATENATE($F644,"-",$G644),'Batasan Honor'!$G$2:$G993,0)),"")</f>
        <v/>
      </c>
      <c r="M644" s="10" t="str">
        <f t="shared" si="5"/>
        <v/>
      </c>
      <c r="N644" s="10" t="str">
        <f t="shared" si="3"/>
        <v/>
      </c>
    </row>
    <row r="645" spans="2:14" ht="12.5">
      <c r="B645" s="5"/>
      <c r="C645" s="5" t="str">
        <f ca="1">IFERROR(__xludf.DUMMYFUNCTION("IF(N645=1,SPLIT(A645,""-""),"""")"),"")</f>
        <v/>
      </c>
      <c r="F645" s="5"/>
      <c r="G645" s="5"/>
      <c r="H645" s="5" t="str">
        <f t="array" ref="H645">IF(N645=1, INDEX('Database Mitra'!$C$2:$C993,MATCH($C645,'Database Mitra'!$AK$2:$AK993,0)),"")</f>
        <v/>
      </c>
      <c r="I645" s="71" t="str">
        <f>IF(N645=1,SUMIFS('Alokasi Honor'!$M$2:$M993,'Alokasi Honor'!$T$2:$T993,A645),"")</f>
        <v/>
      </c>
      <c r="L645" s="10" t="str">
        <f t="array" ref="L645">IF(N645=1,INDEX('Batasan Honor'!$B$2:$B993,MATCH(CONCATENATE($F645,"-",$G645),'Batasan Honor'!$G$2:$G993,0)),"")</f>
        <v/>
      </c>
      <c r="M645" s="10" t="str">
        <f t="shared" si="5"/>
        <v/>
      </c>
      <c r="N645" s="10" t="str">
        <f t="shared" si="3"/>
        <v/>
      </c>
    </row>
    <row r="646" spans="2:14" ht="12.5">
      <c r="B646" s="5"/>
      <c r="C646" s="5" t="str">
        <f ca="1">IFERROR(__xludf.DUMMYFUNCTION("IF(N646=1,SPLIT(A646,""-""),"""")"),"")</f>
        <v/>
      </c>
      <c r="F646" s="5"/>
      <c r="G646" s="5"/>
      <c r="H646" s="5" t="str">
        <f t="array" ref="H646">IF(N646=1, INDEX('Database Mitra'!$C$2:$C993,MATCH($C646,'Database Mitra'!$AK$2:$AK993,0)),"")</f>
        <v/>
      </c>
      <c r="I646" s="71" t="str">
        <f>IF(N646=1,SUMIFS('Alokasi Honor'!$M$2:$M993,'Alokasi Honor'!$T$2:$T993,A646),"")</f>
        <v/>
      </c>
      <c r="L646" s="10" t="str">
        <f t="array" ref="L646">IF(N646=1,INDEX('Batasan Honor'!$B$2:$B993,MATCH(CONCATENATE($F646,"-",$G646),'Batasan Honor'!$G$2:$G993,0)),"")</f>
        <v/>
      </c>
      <c r="M646" s="10" t="str">
        <f t="shared" si="5"/>
        <v/>
      </c>
      <c r="N646" s="10" t="str">
        <f t="shared" si="3"/>
        <v/>
      </c>
    </row>
    <row r="647" spans="2:14" ht="12.5">
      <c r="B647" s="5"/>
      <c r="C647" s="5" t="str">
        <f ca="1">IFERROR(__xludf.DUMMYFUNCTION("IF(N647=1,SPLIT(A647,""-""),"""")"),"")</f>
        <v/>
      </c>
      <c r="F647" s="5"/>
      <c r="G647" s="5"/>
      <c r="H647" s="5" t="str">
        <f t="array" ref="H647">IF(N647=1, INDEX('Database Mitra'!$C$2:$C993,MATCH($C647,'Database Mitra'!$AK$2:$AK993,0)),"")</f>
        <v/>
      </c>
      <c r="I647" s="71" t="str">
        <f>IF(N647=1,SUMIFS('Alokasi Honor'!$M$2:$M993,'Alokasi Honor'!$T$2:$T993,A647),"")</f>
        <v/>
      </c>
      <c r="L647" s="10" t="str">
        <f t="array" ref="L647">IF(N647=1,INDEX('Batasan Honor'!$B$2:$B993,MATCH(CONCATENATE($F647,"-",$G647),'Batasan Honor'!$G$2:$G993,0)),"")</f>
        <v/>
      </c>
      <c r="M647" s="10" t="str">
        <f t="shared" si="5"/>
        <v/>
      </c>
      <c r="N647" s="10" t="str">
        <f t="shared" si="3"/>
        <v/>
      </c>
    </row>
    <row r="648" spans="2:14" ht="12.5">
      <c r="B648" s="5"/>
      <c r="C648" s="5" t="str">
        <f ca="1">IFERROR(__xludf.DUMMYFUNCTION("IF(N648=1,SPLIT(A648,""-""),"""")"),"")</f>
        <v/>
      </c>
      <c r="F648" s="5"/>
      <c r="G648" s="5"/>
      <c r="H648" s="5" t="str">
        <f t="array" ref="H648">IF(N648=1, INDEX('Database Mitra'!$C$2:$C993,MATCH($C648,'Database Mitra'!$AK$2:$AK993,0)),"")</f>
        <v/>
      </c>
      <c r="I648" s="71" t="str">
        <f>IF(N648=1,SUMIFS('Alokasi Honor'!$M$2:$M993,'Alokasi Honor'!$T$2:$T993,A648),"")</f>
        <v/>
      </c>
      <c r="L648" s="10" t="str">
        <f t="array" ref="L648">IF(N648=1,INDEX('Batasan Honor'!$B$2:$B993,MATCH(CONCATENATE($F648,"-",$G648),'Batasan Honor'!$G$2:$G993,0)),"")</f>
        <v/>
      </c>
      <c r="M648" s="10" t="str">
        <f t="shared" si="5"/>
        <v/>
      </c>
      <c r="N648" s="10" t="str">
        <f t="shared" si="3"/>
        <v/>
      </c>
    </row>
    <row r="649" spans="2:14" ht="12.5">
      <c r="B649" s="5"/>
      <c r="C649" s="5" t="str">
        <f ca="1">IFERROR(__xludf.DUMMYFUNCTION("IF(N649=1,SPLIT(A649,""-""),"""")"),"")</f>
        <v/>
      </c>
      <c r="F649" s="5"/>
      <c r="G649" s="5"/>
      <c r="H649" s="5" t="str">
        <f t="array" ref="H649">IF(N649=1, INDEX('Database Mitra'!$C$2:$C993,MATCH($C649,'Database Mitra'!$AK$2:$AK993,0)),"")</f>
        <v/>
      </c>
      <c r="I649" s="71" t="str">
        <f>IF(N649=1,SUMIFS('Alokasi Honor'!$M$2:$M993,'Alokasi Honor'!$T$2:$T993,A649),"")</f>
        <v/>
      </c>
      <c r="L649" s="10" t="str">
        <f t="array" ref="L649">IF(N649=1,INDEX('Batasan Honor'!$B$2:$B993,MATCH(CONCATENATE($F649,"-",$G649),'Batasan Honor'!$G$2:$G993,0)),"")</f>
        <v/>
      </c>
      <c r="M649" s="10" t="str">
        <f t="shared" si="5"/>
        <v/>
      </c>
      <c r="N649" s="10" t="str">
        <f t="shared" si="3"/>
        <v/>
      </c>
    </row>
    <row r="650" spans="2:14" ht="12.5">
      <c r="B650" s="5"/>
      <c r="C650" s="5" t="str">
        <f ca="1">IFERROR(__xludf.DUMMYFUNCTION("IF(N650=1,SPLIT(A650,""-""),"""")"),"")</f>
        <v/>
      </c>
      <c r="F650" s="5"/>
      <c r="G650" s="5"/>
      <c r="H650" s="5" t="str">
        <f t="array" ref="H650">IF(N650=1, INDEX('Database Mitra'!$C$2:$C993,MATCH($C650,'Database Mitra'!$AK$2:$AK993,0)),"")</f>
        <v/>
      </c>
      <c r="I650" s="71" t="str">
        <f>IF(N650=1,SUMIFS('Alokasi Honor'!$M$2:$M993,'Alokasi Honor'!$T$2:$T993,A650),"")</f>
        <v/>
      </c>
      <c r="L650" s="10" t="str">
        <f t="array" ref="L650">IF(N650=1,INDEX('Batasan Honor'!$B$2:$B993,MATCH(CONCATENATE($F650,"-",$G650),'Batasan Honor'!$G$2:$G993,0)),"")</f>
        <v/>
      </c>
      <c r="M650" s="10" t="str">
        <f t="shared" si="5"/>
        <v/>
      </c>
      <c r="N650" s="10" t="str">
        <f t="shared" si="3"/>
        <v/>
      </c>
    </row>
    <row r="651" spans="2:14" ht="12.5">
      <c r="B651" s="5"/>
      <c r="C651" s="5" t="str">
        <f ca="1">IFERROR(__xludf.DUMMYFUNCTION("IF(N651=1,SPLIT(A651,""-""),"""")"),"")</f>
        <v/>
      </c>
      <c r="F651" s="5"/>
      <c r="G651" s="5"/>
      <c r="H651" s="5" t="str">
        <f t="array" ref="H651">IF(N651=1, INDEX('Database Mitra'!$C$2:$C993,MATCH($C651,'Database Mitra'!$AK$2:$AK993,0)),"")</f>
        <v/>
      </c>
      <c r="I651" s="71" t="str">
        <f>IF(N651=1,SUMIFS('Alokasi Honor'!$M$2:$M993,'Alokasi Honor'!$T$2:$T993,A651),"")</f>
        <v/>
      </c>
      <c r="L651" s="10" t="str">
        <f t="array" ref="L651">IF(N651=1,INDEX('Batasan Honor'!$B$2:$B993,MATCH(CONCATENATE($F651,"-",$G651),'Batasan Honor'!$G$2:$G993,0)),"")</f>
        <v/>
      </c>
      <c r="M651" s="10" t="str">
        <f t="shared" si="5"/>
        <v/>
      </c>
      <c r="N651" s="10" t="str">
        <f t="shared" si="3"/>
        <v/>
      </c>
    </row>
    <row r="652" spans="2:14" ht="12.5">
      <c r="B652" s="5"/>
      <c r="C652" s="5" t="str">
        <f ca="1">IFERROR(__xludf.DUMMYFUNCTION("IF(N652=1,SPLIT(A652,""-""),"""")"),"")</f>
        <v/>
      </c>
      <c r="F652" s="5"/>
      <c r="G652" s="5"/>
      <c r="H652" s="5" t="str">
        <f t="array" ref="H652">IF(N652=1, INDEX('Database Mitra'!$C$2:$C993,MATCH($C652,'Database Mitra'!$AK$2:$AK993,0)),"")</f>
        <v/>
      </c>
      <c r="I652" s="71" t="str">
        <f>IF(N652=1,SUMIFS('Alokasi Honor'!$M$2:$M993,'Alokasi Honor'!$T$2:$T993,A652),"")</f>
        <v/>
      </c>
      <c r="L652" s="10" t="str">
        <f t="array" ref="L652">IF(N652=1,INDEX('Batasan Honor'!$B$2:$B993,MATCH(CONCATENATE($F652,"-",$G652),'Batasan Honor'!$G$2:$G993,0)),"")</f>
        <v/>
      </c>
      <c r="M652" s="10" t="str">
        <f t="shared" si="5"/>
        <v/>
      </c>
      <c r="N652" s="10" t="str">
        <f t="shared" si="3"/>
        <v/>
      </c>
    </row>
    <row r="653" spans="2:14" ht="12.5">
      <c r="B653" s="5"/>
      <c r="C653" s="5" t="str">
        <f ca="1">IFERROR(__xludf.DUMMYFUNCTION("IF(N653=1,SPLIT(A653,""-""),"""")"),"")</f>
        <v/>
      </c>
      <c r="F653" s="5"/>
      <c r="G653" s="5"/>
      <c r="H653" s="5" t="str">
        <f t="array" ref="H653">IF(N653=1, INDEX('Database Mitra'!$C$2:$C993,MATCH($C653,'Database Mitra'!$AK$2:$AK993,0)),"")</f>
        <v/>
      </c>
      <c r="I653" s="71" t="str">
        <f>IF(N653=1,SUMIFS('Alokasi Honor'!$M$2:$M993,'Alokasi Honor'!$T$2:$T993,A653),"")</f>
        <v/>
      </c>
      <c r="L653" s="10" t="str">
        <f t="array" ref="L653">IF(N653=1,INDEX('Batasan Honor'!$B$2:$B993,MATCH(CONCATENATE($F653,"-",$G653),'Batasan Honor'!$G$2:$G993,0)),"")</f>
        <v/>
      </c>
      <c r="M653" s="10" t="str">
        <f t="shared" si="5"/>
        <v/>
      </c>
      <c r="N653" s="10" t="str">
        <f t="shared" si="3"/>
        <v/>
      </c>
    </row>
    <row r="654" spans="2:14" ht="12.5">
      <c r="B654" s="5"/>
      <c r="C654" s="5" t="str">
        <f ca="1">IFERROR(__xludf.DUMMYFUNCTION("IF(N654=1,SPLIT(A654,""-""),"""")"),"")</f>
        <v/>
      </c>
      <c r="F654" s="5"/>
      <c r="G654" s="5"/>
      <c r="H654" s="5" t="str">
        <f t="array" ref="H654">IF(N654=1, INDEX('Database Mitra'!$C$2:$C993,MATCH($C654,'Database Mitra'!$AK$2:$AK993,0)),"")</f>
        <v/>
      </c>
      <c r="I654" s="71" t="str">
        <f>IF(N654=1,SUMIFS('Alokasi Honor'!$M$2:$M993,'Alokasi Honor'!$T$2:$T993,A654),"")</f>
        <v/>
      </c>
      <c r="L654" s="10" t="str">
        <f t="array" ref="L654">IF(N654=1,INDEX('Batasan Honor'!$B$2:$B993,MATCH(CONCATENATE($F654,"-",$G654),'Batasan Honor'!$G$2:$G993,0)),"")</f>
        <v/>
      </c>
      <c r="M654" s="10" t="str">
        <f t="shared" si="5"/>
        <v/>
      </c>
      <c r="N654" s="10" t="str">
        <f t="shared" si="3"/>
        <v/>
      </c>
    </row>
    <row r="655" spans="2:14" ht="12.5">
      <c r="B655" s="5"/>
      <c r="C655" s="5" t="str">
        <f ca="1">IFERROR(__xludf.DUMMYFUNCTION("IF(N655=1,SPLIT(A655,""-""),"""")"),"")</f>
        <v/>
      </c>
      <c r="F655" s="5"/>
      <c r="G655" s="5"/>
      <c r="H655" s="5" t="str">
        <f t="array" ref="H655">IF(N655=1, INDEX('Database Mitra'!$C$2:$C993,MATCH($C655,'Database Mitra'!$AK$2:$AK993,0)),"")</f>
        <v/>
      </c>
      <c r="I655" s="71" t="str">
        <f>IF(N655=1,SUMIFS('Alokasi Honor'!$M$2:$M993,'Alokasi Honor'!$T$2:$T993,A655),"")</f>
        <v/>
      </c>
      <c r="L655" s="10" t="str">
        <f t="array" ref="L655">IF(N655=1,INDEX('Batasan Honor'!$B$2:$B993,MATCH(CONCATENATE($F655,"-",$G655),'Batasan Honor'!$G$2:$G993,0)),"")</f>
        <v/>
      </c>
      <c r="M655" s="10" t="str">
        <f t="shared" si="5"/>
        <v/>
      </c>
      <c r="N655" s="10" t="str">
        <f t="shared" si="3"/>
        <v/>
      </c>
    </row>
    <row r="656" spans="2:14" ht="12.5">
      <c r="B656" s="5"/>
      <c r="C656" s="5" t="str">
        <f ca="1">IFERROR(__xludf.DUMMYFUNCTION("IF(N656=1,SPLIT(A656,""-""),"""")"),"")</f>
        <v/>
      </c>
      <c r="F656" s="5"/>
      <c r="G656" s="5"/>
      <c r="H656" s="5" t="str">
        <f t="array" ref="H656">IF(N656=1, INDEX('Database Mitra'!$C$2:$C993,MATCH($C656,'Database Mitra'!$AK$2:$AK993,0)),"")</f>
        <v/>
      </c>
      <c r="I656" s="71" t="str">
        <f>IF(N656=1,SUMIFS('Alokasi Honor'!$M$2:$M993,'Alokasi Honor'!$T$2:$T993,A656),"")</f>
        <v/>
      </c>
      <c r="L656" s="10" t="str">
        <f t="array" ref="L656">IF(N656=1,INDEX('Batasan Honor'!$B$2:$B993,MATCH(CONCATENATE($F656,"-",$G656),'Batasan Honor'!$G$2:$G993,0)),"")</f>
        <v/>
      </c>
      <c r="M656" s="10" t="str">
        <f t="shared" si="5"/>
        <v/>
      </c>
      <c r="N656" s="10" t="str">
        <f t="shared" si="3"/>
        <v/>
      </c>
    </row>
    <row r="657" spans="2:14" ht="12.5">
      <c r="B657" s="5"/>
      <c r="C657" s="5" t="str">
        <f ca="1">IFERROR(__xludf.DUMMYFUNCTION("IF(N657=1,SPLIT(A657,""-""),"""")"),"")</f>
        <v/>
      </c>
      <c r="F657" s="5"/>
      <c r="G657" s="5"/>
      <c r="H657" s="5" t="str">
        <f t="array" ref="H657">IF(N657=1, INDEX('Database Mitra'!$C$2:$C993,MATCH($C657,'Database Mitra'!$AK$2:$AK993,0)),"")</f>
        <v/>
      </c>
      <c r="I657" s="71" t="str">
        <f>IF(N657=1,SUMIFS('Alokasi Honor'!$M$2:$M993,'Alokasi Honor'!$T$2:$T993,A657),"")</f>
        <v/>
      </c>
      <c r="L657" s="10" t="str">
        <f t="array" ref="L657">IF(N657=1,INDEX('Batasan Honor'!$B$2:$B993,MATCH(CONCATENATE($F657,"-",$G657),'Batasan Honor'!$G$2:$G993,0)),"")</f>
        <v/>
      </c>
      <c r="M657" s="10" t="str">
        <f t="shared" si="5"/>
        <v/>
      </c>
      <c r="N657" s="10" t="str">
        <f t="shared" si="3"/>
        <v/>
      </c>
    </row>
    <row r="658" spans="2:14" ht="12.5">
      <c r="B658" s="5"/>
      <c r="C658" s="5" t="str">
        <f ca="1">IFERROR(__xludf.DUMMYFUNCTION("IF(N658=1,SPLIT(A658,""-""),"""")"),"")</f>
        <v/>
      </c>
      <c r="F658" s="5"/>
      <c r="G658" s="5"/>
      <c r="H658" s="5" t="str">
        <f t="array" ref="H658">IF(N658=1, INDEX('Database Mitra'!$C$2:$C993,MATCH($C658,'Database Mitra'!$AK$2:$AK993,0)),"")</f>
        <v/>
      </c>
      <c r="I658" s="71" t="str">
        <f>IF(N658=1,SUMIFS('Alokasi Honor'!$M$2:$M993,'Alokasi Honor'!$T$2:$T993,A658),"")</f>
        <v/>
      </c>
      <c r="L658" s="10" t="str">
        <f t="array" ref="L658">IF(N658=1,INDEX('Batasan Honor'!$B$2:$B993,MATCH(CONCATENATE($F658,"-",$G658),'Batasan Honor'!$G$2:$G993,0)),"")</f>
        <v/>
      </c>
      <c r="M658" s="10" t="str">
        <f t="shared" si="5"/>
        <v/>
      </c>
      <c r="N658" s="10" t="str">
        <f t="shared" si="3"/>
        <v/>
      </c>
    </row>
    <row r="659" spans="2:14" ht="12.5">
      <c r="B659" s="5"/>
      <c r="C659" s="5" t="str">
        <f ca="1">IFERROR(__xludf.DUMMYFUNCTION("IF(N659=1,SPLIT(A659,""-""),"""")"),"")</f>
        <v/>
      </c>
      <c r="F659" s="5"/>
      <c r="G659" s="5"/>
      <c r="H659" s="5" t="str">
        <f t="array" ref="H659">IF(N659=1, INDEX('Database Mitra'!$C$2:$C993,MATCH($C659,'Database Mitra'!$AK$2:$AK993,0)),"")</f>
        <v/>
      </c>
      <c r="I659" s="71" t="str">
        <f>IF(N659=1,SUMIFS('Alokasi Honor'!$M$2:$M993,'Alokasi Honor'!$T$2:$T993,A659),"")</f>
        <v/>
      </c>
      <c r="L659" s="10" t="str">
        <f t="array" ref="L659">IF(N659=1,INDEX('Batasan Honor'!$B$2:$B993,MATCH(CONCATENATE($F659,"-",$G659),'Batasan Honor'!$G$2:$G993,0)),"")</f>
        <v/>
      </c>
      <c r="M659" s="10" t="str">
        <f t="shared" si="5"/>
        <v/>
      </c>
      <c r="N659" s="10" t="str">
        <f t="shared" si="3"/>
        <v/>
      </c>
    </row>
    <row r="660" spans="2:14" ht="12.5">
      <c r="B660" s="5"/>
      <c r="C660" s="5" t="str">
        <f ca="1">IFERROR(__xludf.DUMMYFUNCTION("IF(N660=1,SPLIT(A660,""-""),"""")"),"")</f>
        <v/>
      </c>
      <c r="F660" s="5"/>
      <c r="G660" s="5"/>
      <c r="H660" s="5" t="str">
        <f t="array" ref="H660">IF(N660=1, INDEX('Database Mitra'!$C$2:$C993,MATCH($C660,'Database Mitra'!$AK$2:$AK993,0)),"")</f>
        <v/>
      </c>
      <c r="I660" s="71" t="str">
        <f>IF(N660=1,SUMIFS('Alokasi Honor'!$M$2:$M993,'Alokasi Honor'!$T$2:$T993,A660),"")</f>
        <v/>
      </c>
      <c r="L660" s="10" t="str">
        <f t="array" ref="L660">IF(N660=1,INDEX('Batasan Honor'!$B$2:$B993,MATCH(CONCATENATE($F660,"-",$G660),'Batasan Honor'!$G$2:$G993,0)),"")</f>
        <v/>
      </c>
      <c r="M660" s="10" t="str">
        <f t="shared" si="5"/>
        <v/>
      </c>
      <c r="N660" s="10" t="str">
        <f t="shared" si="3"/>
        <v/>
      </c>
    </row>
    <row r="661" spans="2:14" ht="12.5">
      <c r="B661" s="5"/>
      <c r="C661" s="5" t="str">
        <f ca="1">IFERROR(__xludf.DUMMYFUNCTION("IF(N661=1,SPLIT(A661,""-""),"""")"),"")</f>
        <v/>
      </c>
      <c r="F661" s="5"/>
      <c r="G661" s="5"/>
      <c r="H661" s="5" t="str">
        <f t="array" ref="H661">IF(N661=1, INDEX('Database Mitra'!$C$2:$C993,MATCH($C661,'Database Mitra'!$AK$2:$AK993,0)),"")</f>
        <v/>
      </c>
      <c r="I661" s="71" t="str">
        <f>IF(N661=1,SUMIFS('Alokasi Honor'!$M$2:$M993,'Alokasi Honor'!$T$2:$T993,A661),"")</f>
        <v/>
      </c>
      <c r="L661" s="10" t="str">
        <f t="array" ref="L661">IF(N661=1,INDEX('Batasan Honor'!$B$2:$B993,MATCH(CONCATENATE($F661,"-",$G661),'Batasan Honor'!$G$2:$G993,0)),"")</f>
        <v/>
      </c>
      <c r="M661" s="10" t="str">
        <f t="shared" si="5"/>
        <v/>
      </c>
      <c r="N661" s="10" t="str">
        <f t="shared" si="3"/>
        <v/>
      </c>
    </row>
    <row r="662" spans="2:14" ht="12.5">
      <c r="B662" s="5"/>
      <c r="C662" s="5" t="str">
        <f ca="1">IFERROR(__xludf.DUMMYFUNCTION("IF(N662=1,SPLIT(A662,""-""),"""")"),"")</f>
        <v/>
      </c>
      <c r="F662" s="5"/>
      <c r="G662" s="5"/>
      <c r="H662" s="5" t="str">
        <f t="array" ref="H662">IF(N662=1, INDEX('Database Mitra'!$C$2:$C993,MATCH($C662,'Database Mitra'!$AK$2:$AK993,0)),"")</f>
        <v/>
      </c>
      <c r="I662" s="71" t="str">
        <f>IF(N662=1,SUMIFS('Alokasi Honor'!$M$2:$M993,'Alokasi Honor'!$T$2:$T993,A662),"")</f>
        <v/>
      </c>
      <c r="L662" s="10" t="str">
        <f t="array" ref="L662">IF(N662=1,INDEX('Batasan Honor'!$B$2:$B993,MATCH(CONCATENATE($F662,"-",$G662),'Batasan Honor'!$G$2:$G993,0)),"")</f>
        <v/>
      </c>
      <c r="M662" s="10" t="str">
        <f t="shared" si="5"/>
        <v/>
      </c>
      <c r="N662" s="10" t="str">
        <f t="shared" si="3"/>
        <v/>
      </c>
    </row>
    <row r="663" spans="2:14" ht="12.5">
      <c r="B663" s="5"/>
      <c r="C663" s="5" t="str">
        <f ca="1">IFERROR(__xludf.DUMMYFUNCTION("IF(N663=1,SPLIT(A663,""-""),"""")"),"")</f>
        <v/>
      </c>
      <c r="F663" s="5"/>
      <c r="G663" s="5"/>
      <c r="H663" s="5" t="str">
        <f t="array" ref="H663">IF(N663=1, INDEX('Database Mitra'!$C$2:$C993,MATCH($C663,'Database Mitra'!$AK$2:$AK993,0)),"")</f>
        <v/>
      </c>
      <c r="I663" s="71" t="str">
        <f>IF(N663=1,SUMIFS('Alokasi Honor'!$M$2:$M993,'Alokasi Honor'!$T$2:$T993,A663),"")</f>
        <v/>
      </c>
      <c r="L663" s="10" t="str">
        <f t="array" ref="L663">IF(N663=1,INDEX('Batasan Honor'!$B$2:$B993,MATCH(CONCATENATE($F663,"-",$G663),'Batasan Honor'!$G$2:$G993,0)),"")</f>
        <v/>
      </c>
      <c r="M663" s="10" t="str">
        <f t="shared" si="5"/>
        <v/>
      </c>
      <c r="N663" s="10" t="str">
        <f t="shared" si="3"/>
        <v/>
      </c>
    </row>
    <row r="664" spans="2:14" ht="12.5">
      <c r="B664" s="5"/>
      <c r="C664" s="5" t="str">
        <f ca="1">IFERROR(__xludf.DUMMYFUNCTION("IF(N664=1,SPLIT(A664,""-""),"""")"),"")</f>
        <v/>
      </c>
      <c r="F664" s="5"/>
      <c r="G664" s="5"/>
      <c r="H664" s="5" t="str">
        <f t="array" ref="H664">IF(N664=1, INDEX('Database Mitra'!$C$2:$C993,MATCH($C664,'Database Mitra'!$AK$2:$AK993,0)),"")</f>
        <v/>
      </c>
      <c r="I664" s="71" t="str">
        <f>IF(N664=1,SUMIFS('Alokasi Honor'!$M$2:$M993,'Alokasi Honor'!$T$2:$T993,A664),"")</f>
        <v/>
      </c>
      <c r="L664" s="10" t="str">
        <f t="array" ref="L664">IF(N664=1,INDEX('Batasan Honor'!$B$2:$B993,MATCH(CONCATENATE($F664,"-",$G664),'Batasan Honor'!$G$2:$G993,0)),"")</f>
        <v/>
      </c>
      <c r="M664" s="10" t="str">
        <f t="shared" si="5"/>
        <v/>
      </c>
      <c r="N664" s="10" t="str">
        <f t="shared" si="3"/>
        <v/>
      </c>
    </row>
    <row r="665" spans="2:14" ht="12.5">
      <c r="B665" s="5"/>
      <c r="C665" s="5" t="str">
        <f ca="1">IFERROR(__xludf.DUMMYFUNCTION("IF(N665=1,SPLIT(A665,""-""),"""")"),"")</f>
        <v/>
      </c>
      <c r="F665" s="5"/>
      <c r="G665" s="5"/>
      <c r="H665" s="5" t="str">
        <f t="array" ref="H665">IF(N665=1, INDEX('Database Mitra'!$C$2:$C993,MATCH($C665,'Database Mitra'!$AK$2:$AK993,0)),"")</f>
        <v/>
      </c>
      <c r="I665" s="71" t="str">
        <f>IF(N665=1,SUMIFS('Alokasi Honor'!$M$2:$M993,'Alokasi Honor'!$T$2:$T993,A665),"")</f>
        <v/>
      </c>
      <c r="L665" s="10" t="str">
        <f t="array" ref="L665">IF(N665=1,INDEX('Batasan Honor'!$B$2:$B993,MATCH(CONCATENATE($F665,"-",$G665),'Batasan Honor'!$G$2:$G993,0)),"")</f>
        <v/>
      </c>
      <c r="M665" s="10" t="str">
        <f t="shared" si="5"/>
        <v/>
      </c>
      <c r="N665" s="10" t="str">
        <f t="shared" si="3"/>
        <v/>
      </c>
    </row>
    <row r="666" spans="2:14" ht="12.5">
      <c r="B666" s="5"/>
      <c r="C666" s="5" t="str">
        <f ca="1">IFERROR(__xludf.DUMMYFUNCTION("IF(N666=1,SPLIT(A666,""-""),"""")"),"")</f>
        <v/>
      </c>
      <c r="F666" s="5"/>
      <c r="G666" s="5"/>
      <c r="H666" s="5" t="str">
        <f t="array" ref="H666">IF(N666=1, INDEX('Database Mitra'!$C$2:$C993,MATCH($C666,'Database Mitra'!$AK$2:$AK993,0)),"")</f>
        <v/>
      </c>
      <c r="I666" s="71" t="str">
        <f>IF(N666=1,SUMIFS('Alokasi Honor'!$M$2:$M993,'Alokasi Honor'!$T$2:$T993,A666),"")</f>
        <v/>
      </c>
      <c r="L666" s="10" t="str">
        <f t="array" ref="L666">IF(N666=1,INDEX('Batasan Honor'!$B$2:$B993,MATCH(CONCATENATE($F666,"-",$G666),'Batasan Honor'!$G$2:$G993,0)),"")</f>
        <v/>
      </c>
      <c r="M666" s="10" t="str">
        <f t="shared" si="5"/>
        <v/>
      </c>
      <c r="N666" s="10" t="str">
        <f t="shared" si="3"/>
        <v/>
      </c>
    </row>
    <row r="667" spans="2:14" ht="12.5">
      <c r="B667" s="5"/>
      <c r="C667" s="5" t="str">
        <f ca="1">IFERROR(__xludf.DUMMYFUNCTION("IF(N667=1,SPLIT(A667,""-""),"""")"),"")</f>
        <v/>
      </c>
      <c r="F667" s="5"/>
      <c r="G667" s="5"/>
      <c r="H667" s="5" t="str">
        <f t="array" ref="H667">IF(N667=1, INDEX('Database Mitra'!$C$2:$C993,MATCH($C667,'Database Mitra'!$AK$2:$AK993,0)),"")</f>
        <v/>
      </c>
      <c r="I667" s="71" t="str">
        <f>IF(N667=1,SUMIFS('Alokasi Honor'!$M$2:$M993,'Alokasi Honor'!$T$2:$T993,A667),"")</f>
        <v/>
      </c>
      <c r="L667" s="10" t="str">
        <f t="array" ref="L667">IF(N667=1,INDEX('Batasan Honor'!$B$2:$B993,MATCH(CONCATENATE($F667,"-",$G667),'Batasan Honor'!$G$2:$G993,0)),"")</f>
        <v/>
      </c>
      <c r="M667" s="10" t="str">
        <f t="shared" si="5"/>
        <v/>
      </c>
      <c r="N667" s="10" t="str">
        <f t="shared" si="3"/>
        <v/>
      </c>
    </row>
    <row r="668" spans="2:14" ht="12.5">
      <c r="B668" s="5"/>
      <c r="C668" s="5" t="str">
        <f ca="1">IFERROR(__xludf.DUMMYFUNCTION("IF(N668=1,SPLIT(A668,""-""),"""")"),"")</f>
        <v/>
      </c>
      <c r="F668" s="5"/>
      <c r="G668" s="5"/>
      <c r="H668" s="5" t="str">
        <f t="array" ref="H668">IF(N668=1, INDEX('Database Mitra'!$C$2:$C993,MATCH($C668,'Database Mitra'!$AK$2:$AK993,0)),"")</f>
        <v/>
      </c>
      <c r="I668" s="71" t="str">
        <f>IF(N668=1,SUMIFS('Alokasi Honor'!$M$2:$M993,'Alokasi Honor'!$T$2:$T993,A668),"")</f>
        <v/>
      </c>
      <c r="L668" s="10" t="str">
        <f t="array" ref="L668">IF(N668=1,INDEX('Batasan Honor'!$B$2:$B993,MATCH(CONCATENATE($F668,"-",$G668),'Batasan Honor'!$G$2:$G993,0)),"")</f>
        <v/>
      </c>
      <c r="M668" s="10" t="str">
        <f t="shared" si="5"/>
        <v/>
      </c>
      <c r="N668" s="10" t="str">
        <f t="shared" si="3"/>
        <v/>
      </c>
    </row>
    <row r="669" spans="2:14" ht="12.5">
      <c r="B669" s="5"/>
      <c r="C669" s="5" t="str">
        <f ca="1">IFERROR(__xludf.DUMMYFUNCTION("IF(N669=1,SPLIT(A669,""-""),"""")"),"")</f>
        <v/>
      </c>
      <c r="F669" s="5"/>
      <c r="G669" s="5"/>
      <c r="H669" s="5" t="str">
        <f t="array" ref="H669">IF(N669=1, INDEX('Database Mitra'!$C$2:$C993,MATCH($C669,'Database Mitra'!$AK$2:$AK993,0)),"")</f>
        <v/>
      </c>
      <c r="I669" s="71" t="str">
        <f>IF(N669=1,SUMIFS('Alokasi Honor'!$M$2:$M993,'Alokasi Honor'!$T$2:$T993,A669),"")</f>
        <v/>
      </c>
      <c r="L669" s="10" t="str">
        <f t="array" ref="L669">IF(N669=1,INDEX('Batasan Honor'!$B$2:$B993,MATCH(CONCATENATE($F669,"-",$G669),'Batasan Honor'!$G$2:$G993,0)),"")</f>
        <v/>
      </c>
      <c r="M669" s="10" t="str">
        <f t="shared" si="5"/>
        <v/>
      </c>
      <c r="N669" s="10" t="str">
        <f t="shared" si="3"/>
        <v/>
      </c>
    </row>
    <row r="670" spans="2:14" ht="12.5">
      <c r="B670" s="5"/>
      <c r="C670" s="5" t="str">
        <f ca="1">IFERROR(__xludf.DUMMYFUNCTION("IF(N670=1,SPLIT(A670,""-""),"""")"),"")</f>
        <v/>
      </c>
      <c r="F670" s="5"/>
      <c r="G670" s="5"/>
      <c r="H670" s="5" t="str">
        <f t="array" ref="H670">IF(N670=1, INDEX('Database Mitra'!$C$2:$C993,MATCH($C670,'Database Mitra'!$AK$2:$AK993,0)),"")</f>
        <v/>
      </c>
      <c r="I670" s="71" t="str">
        <f>IF(N670=1,SUMIFS('Alokasi Honor'!$M$2:$M993,'Alokasi Honor'!$T$2:$T993,A670),"")</f>
        <v/>
      </c>
      <c r="L670" s="10" t="str">
        <f t="array" ref="L670">IF(N670=1,INDEX('Batasan Honor'!$B$2:$B993,MATCH(CONCATENATE($F670,"-",$G670),'Batasan Honor'!$G$2:$G993,0)),"")</f>
        <v/>
      </c>
      <c r="M670" s="10" t="str">
        <f t="shared" si="5"/>
        <v/>
      </c>
      <c r="N670" s="10" t="str">
        <f t="shared" si="3"/>
        <v/>
      </c>
    </row>
    <row r="671" spans="2:14" ht="12.5">
      <c r="B671" s="5"/>
      <c r="C671" s="5" t="str">
        <f ca="1">IFERROR(__xludf.DUMMYFUNCTION("IF(N671=1,SPLIT(A671,""-""),"""")"),"")</f>
        <v/>
      </c>
      <c r="F671" s="5"/>
      <c r="G671" s="5"/>
      <c r="H671" s="5" t="str">
        <f t="array" ref="H671">IF(N671=1, INDEX('Database Mitra'!$C$2:$C993,MATCH($C671,'Database Mitra'!$AK$2:$AK993,0)),"")</f>
        <v/>
      </c>
      <c r="I671" s="71" t="str">
        <f>IF(N671=1,SUMIFS('Alokasi Honor'!$M$2:$M993,'Alokasi Honor'!$T$2:$T993,A671),"")</f>
        <v/>
      </c>
      <c r="L671" s="10" t="str">
        <f t="array" ref="L671">IF(N671=1,INDEX('Batasan Honor'!$B$2:$B993,MATCH(CONCATENATE($F671,"-",$G671),'Batasan Honor'!$G$2:$G993,0)),"")</f>
        <v/>
      </c>
      <c r="M671" s="10" t="str">
        <f t="shared" si="5"/>
        <v/>
      </c>
      <c r="N671" s="10" t="str">
        <f t="shared" si="3"/>
        <v/>
      </c>
    </row>
    <row r="672" spans="2:14" ht="12.5">
      <c r="B672" s="5"/>
      <c r="C672" s="5" t="str">
        <f ca="1">IFERROR(__xludf.DUMMYFUNCTION("IF(N672=1,SPLIT(A672,""-""),"""")"),"")</f>
        <v/>
      </c>
      <c r="F672" s="5"/>
      <c r="G672" s="5"/>
      <c r="H672" s="5" t="str">
        <f t="array" ref="H672">IF(N672=1, INDEX('Database Mitra'!$C$2:$C993,MATCH($C672,'Database Mitra'!$AK$2:$AK993,0)),"")</f>
        <v/>
      </c>
      <c r="I672" s="71" t="str">
        <f>IF(N672=1,SUMIFS('Alokasi Honor'!$M$2:$M993,'Alokasi Honor'!$T$2:$T993,A672),"")</f>
        <v/>
      </c>
      <c r="L672" s="10" t="str">
        <f t="array" ref="L672">IF(N672=1,INDEX('Batasan Honor'!$B$2:$B993,MATCH(CONCATENATE($F672,"-",$G672),'Batasan Honor'!$G$2:$G993,0)),"")</f>
        <v/>
      </c>
      <c r="M672" s="10" t="str">
        <f t="shared" si="5"/>
        <v/>
      </c>
      <c r="N672" s="10" t="str">
        <f t="shared" si="3"/>
        <v/>
      </c>
    </row>
    <row r="673" spans="2:14" ht="12.5">
      <c r="B673" s="5"/>
      <c r="C673" s="5" t="str">
        <f ca="1">IFERROR(__xludf.DUMMYFUNCTION("IF(N673=1,SPLIT(A673,""-""),"""")"),"")</f>
        <v/>
      </c>
      <c r="F673" s="5"/>
      <c r="G673" s="5"/>
      <c r="H673" s="5" t="str">
        <f t="array" ref="H673">IF(N673=1, INDEX('Database Mitra'!$C$2:$C993,MATCH($C673,'Database Mitra'!$AK$2:$AK993,0)),"")</f>
        <v/>
      </c>
      <c r="I673" s="71" t="str">
        <f>IF(N673=1,SUMIFS('Alokasi Honor'!$M$2:$M993,'Alokasi Honor'!$T$2:$T993,A673),"")</f>
        <v/>
      </c>
      <c r="L673" s="10" t="str">
        <f t="array" ref="L673">IF(N673=1,INDEX('Batasan Honor'!$B$2:$B993,MATCH(CONCATENATE($F673,"-",$G673),'Batasan Honor'!$G$2:$G993,0)),"")</f>
        <v/>
      </c>
      <c r="M673" s="10" t="str">
        <f t="shared" si="5"/>
        <v/>
      </c>
      <c r="N673" s="10" t="str">
        <f t="shared" si="3"/>
        <v/>
      </c>
    </row>
    <row r="674" spans="2:14" ht="12.5">
      <c r="B674" s="5"/>
      <c r="C674" s="5" t="str">
        <f ca="1">IFERROR(__xludf.DUMMYFUNCTION("IF(N674=1,SPLIT(A674,""-""),"""")"),"")</f>
        <v/>
      </c>
      <c r="F674" s="5"/>
      <c r="G674" s="5"/>
      <c r="H674" s="5" t="str">
        <f t="array" ref="H674">IF(N674=1, INDEX('Database Mitra'!$C$2:$C993,MATCH($C674,'Database Mitra'!$AK$2:$AK993,0)),"")</f>
        <v/>
      </c>
      <c r="I674" s="71" t="str">
        <f>IF(N674=1,SUMIFS('Alokasi Honor'!$M$2:$M993,'Alokasi Honor'!$T$2:$T993,A674),"")</f>
        <v/>
      </c>
      <c r="L674" s="10" t="str">
        <f t="array" ref="L674">IF(N674=1,INDEX('Batasan Honor'!$B$2:$B993,MATCH(CONCATENATE($F674,"-",$G674),'Batasan Honor'!$G$2:$G993,0)),"")</f>
        <v/>
      </c>
      <c r="M674" s="10" t="str">
        <f t="shared" si="5"/>
        <v/>
      </c>
      <c r="N674" s="10" t="str">
        <f t="shared" si="3"/>
        <v/>
      </c>
    </row>
    <row r="675" spans="2:14" ht="12.5">
      <c r="B675" s="5"/>
      <c r="C675" s="5" t="str">
        <f ca="1">IFERROR(__xludf.DUMMYFUNCTION("IF(N675=1,SPLIT(A675,""-""),"""")"),"")</f>
        <v/>
      </c>
      <c r="F675" s="5"/>
      <c r="G675" s="5"/>
      <c r="H675" s="5" t="str">
        <f t="array" ref="H675">IF(N675=1, INDEX('Database Mitra'!$C$2:$C993,MATCH($C675,'Database Mitra'!$AK$2:$AK993,0)),"")</f>
        <v/>
      </c>
      <c r="I675" s="71" t="str">
        <f>IF(N675=1,SUMIFS('Alokasi Honor'!$M$2:$M993,'Alokasi Honor'!$T$2:$T993,A675),"")</f>
        <v/>
      </c>
      <c r="L675" s="10" t="str">
        <f t="array" ref="L675">IF(N675=1,INDEX('Batasan Honor'!$B$2:$B993,MATCH(CONCATENATE($F675,"-",$G675),'Batasan Honor'!$G$2:$G993,0)),"")</f>
        <v/>
      </c>
      <c r="M675" s="10" t="str">
        <f t="shared" si="5"/>
        <v/>
      </c>
      <c r="N675" s="10" t="str">
        <f t="shared" si="3"/>
        <v/>
      </c>
    </row>
    <row r="676" spans="2:14" ht="12.5">
      <c r="B676" s="5"/>
      <c r="C676" s="5" t="str">
        <f ca="1">IFERROR(__xludf.DUMMYFUNCTION("IF(N676=1,SPLIT(A676,""-""),"""")"),"")</f>
        <v/>
      </c>
      <c r="F676" s="5"/>
      <c r="G676" s="5"/>
      <c r="H676" s="5" t="str">
        <f t="array" ref="H676">IF(N676=1, INDEX('Database Mitra'!$C$2:$C993,MATCH($C676,'Database Mitra'!$AK$2:$AK993,0)),"")</f>
        <v/>
      </c>
      <c r="I676" s="71" t="str">
        <f>IF(N676=1,SUMIFS('Alokasi Honor'!$M$2:$M993,'Alokasi Honor'!$T$2:$T993,A676),"")</f>
        <v/>
      </c>
      <c r="L676" s="10" t="str">
        <f t="array" ref="L676">IF(N676=1,INDEX('Batasan Honor'!$B$2:$B993,MATCH(CONCATENATE($F676,"-",$G676),'Batasan Honor'!$G$2:$G993,0)),"")</f>
        <v/>
      </c>
      <c r="M676" s="10" t="str">
        <f t="shared" si="5"/>
        <v/>
      </c>
      <c r="N676" s="10" t="str">
        <f t="shared" si="3"/>
        <v/>
      </c>
    </row>
    <row r="677" spans="2:14" ht="12.5">
      <c r="B677" s="5"/>
      <c r="C677" s="5" t="str">
        <f ca="1">IFERROR(__xludf.DUMMYFUNCTION("IF(N677=1,SPLIT(A677,""-""),"""")"),"")</f>
        <v/>
      </c>
      <c r="F677" s="5"/>
      <c r="G677" s="5"/>
      <c r="H677" s="5" t="str">
        <f t="array" ref="H677">IF(N677=1, INDEX('Database Mitra'!$C$2:$C993,MATCH($C677,'Database Mitra'!$AK$2:$AK993,0)),"")</f>
        <v/>
      </c>
      <c r="I677" s="71" t="str">
        <f>IF(N677=1,SUMIFS('Alokasi Honor'!$M$2:$M993,'Alokasi Honor'!$T$2:$T993,A677),"")</f>
        <v/>
      </c>
      <c r="L677" s="10" t="str">
        <f t="array" ref="L677">IF(N677=1,INDEX('Batasan Honor'!$B$2:$B993,MATCH(CONCATENATE($F677,"-",$G677),'Batasan Honor'!$G$2:$G993,0)),"")</f>
        <v/>
      </c>
      <c r="M677" s="10" t="str">
        <f t="shared" si="5"/>
        <v/>
      </c>
      <c r="N677" s="10" t="str">
        <f t="shared" si="3"/>
        <v/>
      </c>
    </row>
    <row r="678" spans="2:14" ht="12.5">
      <c r="B678" s="5"/>
      <c r="C678" s="5" t="str">
        <f ca="1">IFERROR(__xludf.DUMMYFUNCTION("IF(N678=1,SPLIT(A678,""-""),"""")"),"")</f>
        <v/>
      </c>
      <c r="F678" s="5"/>
      <c r="G678" s="5"/>
      <c r="H678" s="5" t="str">
        <f t="array" ref="H678">IF(N678=1, INDEX('Database Mitra'!$C$2:$C993,MATCH($C678,'Database Mitra'!$AK$2:$AK993,0)),"")</f>
        <v/>
      </c>
      <c r="I678" s="71" t="str">
        <f>IF(N678=1,SUMIFS('Alokasi Honor'!$M$2:$M993,'Alokasi Honor'!$T$2:$T993,A678),"")</f>
        <v/>
      </c>
      <c r="L678" s="10" t="str">
        <f t="array" ref="L678">IF(N678=1,INDEX('Batasan Honor'!$B$2:$B993,MATCH(CONCATENATE($F678,"-",$G678),'Batasan Honor'!$G$2:$G993,0)),"")</f>
        <v/>
      </c>
      <c r="M678" s="10" t="str">
        <f t="shared" si="5"/>
        <v/>
      </c>
      <c r="N678" s="10" t="str">
        <f t="shared" si="3"/>
        <v/>
      </c>
    </row>
    <row r="679" spans="2:14" ht="12.5">
      <c r="B679" s="5"/>
      <c r="C679" s="5" t="str">
        <f ca="1">IFERROR(__xludf.DUMMYFUNCTION("IF(N679=1,SPLIT(A679,""-""),"""")"),"")</f>
        <v/>
      </c>
      <c r="F679" s="5"/>
      <c r="G679" s="5"/>
      <c r="H679" s="5" t="str">
        <f t="array" ref="H679">IF(N679=1, INDEX('Database Mitra'!$C$2:$C993,MATCH($C679,'Database Mitra'!$AK$2:$AK993,0)),"")</f>
        <v/>
      </c>
      <c r="I679" s="71" t="str">
        <f>IF(N679=1,SUMIFS('Alokasi Honor'!$M$2:$M993,'Alokasi Honor'!$T$2:$T993,A679),"")</f>
        <v/>
      </c>
      <c r="L679" s="10" t="str">
        <f t="array" ref="L679">IF(N679=1,INDEX('Batasan Honor'!$B$2:$B993,MATCH(CONCATENATE($F679,"-",$G679),'Batasan Honor'!$G$2:$G993,0)),"")</f>
        <v/>
      </c>
      <c r="M679" s="10" t="str">
        <f t="shared" si="5"/>
        <v/>
      </c>
      <c r="N679" s="10" t="str">
        <f t="shared" si="3"/>
        <v/>
      </c>
    </row>
    <row r="680" spans="2:14" ht="12.5">
      <c r="B680" s="5"/>
      <c r="C680" s="5" t="str">
        <f ca="1">IFERROR(__xludf.DUMMYFUNCTION("IF(N680=1,SPLIT(A680,""-""),"""")"),"")</f>
        <v/>
      </c>
      <c r="F680" s="5"/>
      <c r="G680" s="5"/>
      <c r="H680" s="5" t="str">
        <f t="array" ref="H680">IF(N680=1, INDEX('Database Mitra'!$C$2:$C993,MATCH($C680,'Database Mitra'!$AK$2:$AK993,0)),"")</f>
        <v/>
      </c>
      <c r="I680" s="71" t="str">
        <f>IF(N680=1,SUMIFS('Alokasi Honor'!$M$2:$M993,'Alokasi Honor'!$T$2:$T993,A680),"")</f>
        <v/>
      </c>
      <c r="L680" s="10" t="str">
        <f t="array" ref="L680">IF(N680=1,INDEX('Batasan Honor'!$B$2:$B993,MATCH(CONCATENATE($F680,"-",$G680),'Batasan Honor'!$G$2:$G993,0)),"")</f>
        <v/>
      </c>
      <c r="M680" s="10" t="str">
        <f t="shared" si="5"/>
        <v/>
      </c>
      <c r="N680" s="10" t="str">
        <f t="shared" si="3"/>
        <v/>
      </c>
    </row>
    <row r="681" spans="2:14" ht="12.5">
      <c r="B681" s="5"/>
      <c r="C681" s="5" t="str">
        <f ca="1">IFERROR(__xludf.DUMMYFUNCTION("IF(N681=1,SPLIT(A681,""-""),"""")"),"")</f>
        <v/>
      </c>
      <c r="F681" s="5"/>
      <c r="G681" s="5"/>
      <c r="H681" s="5" t="str">
        <f t="array" ref="H681">IF(N681=1, INDEX('Database Mitra'!$C$2:$C993,MATCH($C681,'Database Mitra'!$AK$2:$AK993,0)),"")</f>
        <v/>
      </c>
      <c r="I681" s="71" t="str">
        <f>IF(N681=1,SUMIFS('Alokasi Honor'!$M$2:$M993,'Alokasi Honor'!$T$2:$T993,A681),"")</f>
        <v/>
      </c>
      <c r="L681" s="10" t="str">
        <f t="array" ref="L681">IF(N681=1,INDEX('Batasan Honor'!$B$2:$B993,MATCH(CONCATENATE($F681,"-",$G681),'Batasan Honor'!$G$2:$G993,0)),"")</f>
        <v/>
      </c>
      <c r="M681" s="10" t="str">
        <f t="shared" si="5"/>
        <v/>
      </c>
      <c r="N681" s="10" t="str">
        <f t="shared" si="3"/>
        <v/>
      </c>
    </row>
    <row r="682" spans="2:14" ht="12.5">
      <c r="B682" s="5"/>
      <c r="C682" s="5" t="str">
        <f ca="1">IFERROR(__xludf.DUMMYFUNCTION("IF(N682=1,SPLIT(A682,""-""),"""")"),"")</f>
        <v/>
      </c>
      <c r="F682" s="5"/>
      <c r="G682" s="5"/>
      <c r="H682" s="5" t="str">
        <f t="array" ref="H682">IF(N682=1, INDEX('Database Mitra'!$C$2:$C993,MATCH($C682,'Database Mitra'!$AK$2:$AK993,0)),"")</f>
        <v/>
      </c>
      <c r="I682" s="71" t="str">
        <f>IF(N682=1,SUMIFS('Alokasi Honor'!$M$2:$M993,'Alokasi Honor'!$T$2:$T993,A682),"")</f>
        <v/>
      </c>
      <c r="L682" s="10" t="str">
        <f t="array" ref="L682">IF(N682=1,INDEX('Batasan Honor'!$B$2:$B993,MATCH(CONCATENATE($F682,"-",$G682),'Batasan Honor'!$G$2:$G993,0)),"")</f>
        <v/>
      </c>
      <c r="M682" s="10" t="str">
        <f t="shared" si="5"/>
        <v/>
      </c>
      <c r="N682" s="10" t="str">
        <f t="shared" si="3"/>
        <v/>
      </c>
    </row>
    <row r="683" spans="2:14" ht="12.5">
      <c r="B683" s="5"/>
      <c r="C683" s="5" t="str">
        <f ca="1">IFERROR(__xludf.DUMMYFUNCTION("IF(N683=1,SPLIT(A683,""-""),"""")"),"")</f>
        <v/>
      </c>
      <c r="F683" s="5"/>
      <c r="G683" s="5"/>
      <c r="H683" s="5" t="str">
        <f t="array" ref="H683">IF(N683=1, INDEX('Database Mitra'!$C$2:$C993,MATCH($C683,'Database Mitra'!$AK$2:$AK993,0)),"")</f>
        <v/>
      </c>
      <c r="I683" s="71" t="str">
        <f>IF(N683=1,SUMIFS('Alokasi Honor'!$M$2:$M993,'Alokasi Honor'!$T$2:$T993,A683),"")</f>
        <v/>
      </c>
      <c r="L683" s="10" t="str">
        <f t="array" ref="L683">IF(N683=1,INDEX('Batasan Honor'!$B$2:$B993,MATCH(CONCATENATE($F683,"-",$G683),'Batasan Honor'!$G$2:$G993,0)),"")</f>
        <v/>
      </c>
      <c r="M683" s="10" t="str">
        <f t="shared" si="5"/>
        <v/>
      </c>
      <c r="N683" s="10" t="str">
        <f t="shared" si="3"/>
        <v/>
      </c>
    </row>
    <row r="684" spans="2:14" ht="12.5">
      <c r="B684" s="5"/>
      <c r="C684" s="5" t="str">
        <f ca="1">IFERROR(__xludf.DUMMYFUNCTION("IF(N684=1,SPLIT(A684,""-""),"""")"),"")</f>
        <v/>
      </c>
      <c r="F684" s="5"/>
      <c r="G684" s="5"/>
      <c r="H684" s="5" t="str">
        <f t="array" ref="H684">IF(N684=1, INDEX('Database Mitra'!$C$2:$C993,MATCH($C684,'Database Mitra'!$AK$2:$AK993,0)),"")</f>
        <v/>
      </c>
      <c r="I684" s="71" t="str">
        <f>IF(N684=1,SUMIFS('Alokasi Honor'!$M$2:$M993,'Alokasi Honor'!$T$2:$T993,A684),"")</f>
        <v/>
      </c>
      <c r="L684" s="10" t="str">
        <f t="array" ref="L684">IF(N684=1,INDEX('Batasan Honor'!$B$2:$B993,MATCH(CONCATENATE($F684,"-",$G684),'Batasan Honor'!$G$2:$G993,0)),"")</f>
        <v/>
      </c>
      <c r="M684" s="10" t="str">
        <f t="shared" si="5"/>
        <v/>
      </c>
      <c r="N684" s="10" t="str">
        <f t="shared" si="3"/>
        <v/>
      </c>
    </row>
    <row r="685" spans="2:14" ht="12.5">
      <c r="B685" s="5"/>
      <c r="C685" s="5" t="str">
        <f ca="1">IFERROR(__xludf.DUMMYFUNCTION("IF(N685=1,SPLIT(A685,""-""),"""")"),"")</f>
        <v/>
      </c>
      <c r="F685" s="5"/>
      <c r="G685" s="5"/>
      <c r="H685" s="5" t="str">
        <f t="array" ref="H685">IF(N685=1, INDEX('Database Mitra'!$C$2:$C993,MATCH($C685,'Database Mitra'!$AK$2:$AK993,0)),"")</f>
        <v/>
      </c>
      <c r="I685" s="71" t="str">
        <f>IF(N685=1,SUMIFS('Alokasi Honor'!$M$2:$M993,'Alokasi Honor'!$T$2:$T993,A685),"")</f>
        <v/>
      </c>
      <c r="L685" s="10" t="str">
        <f t="array" ref="L685">IF(N685=1,INDEX('Batasan Honor'!$B$2:$B993,MATCH(CONCATENATE($F685,"-",$G685),'Batasan Honor'!$G$2:$G993,0)),"")</f>
        <v/>
      </c>
      <c r="M685" s="10" t="str">
        <f t="shared" si="5"/>
        <v/>
      </c>
      <c r="N685" s="10" t="str">
        <f t="shared" si="3"/>
        <v/>
      </c>
    </row>
    <row r="686" spans="2:14" ht="12.5">
      <c r="B686" s="5"/>
      <c r="C686" s="5" t="str">
        <f ca="1">IFERROR(__xludf.DUMMYFUNCTION("IF(N686=1,SPLIT(A686,""-""),"""")"),"")</f>
        <v/>
      </c>
      <c r="F686" s="5"/>
      <c r="G686" s="5"/>
      <c r="H686" s="5" t="str">
        <f t="array" ref="H686">IF(N686=1, INDEX('Database Mitra'!$C$2:$C993,MATCH($C686,'Database Mitra'!$AK$2:$AK993,0)),"")</f>
        <v/>
      </c>
      <c r="I686" s="71" t="str">
        <f>IF(N686=1,SUMIFS('Alokasi Honor'!$M$2:$M993,'Alokasi Honor'!$T$2:$T993,A686),"")</f>
        <v/>
      </c>
      <c r="L686" s="10" t="str">
        <f t="array" ref="L686">IF(N686=1,INDEX('Batasan Honor'!$B$2:$B993,MATCH(CONCATENATE($F686,"-",$G686),'Batasan Honor'!$G$2:$G993,0)),"")</f>
        <v/>
      </c>
      <c r="M686" s="10" t="str">
        <f t="shared" si="5"/>
        <v/>
      </c>
      <c r="N686" s="10" t="str">
        <f t="shared" si="3"/>
        <v/>
      </c>
    </row>
    <row r="687" spans="2:14" ht="12.5">
      <c r="B687" s="5"/>
      <c r="C687" s="5" t="str">
        <f ca="1">IFERROR(__xludf.DUMMYFUNCTION("IF(N687=1,SPLIT(A687,""-""),"""")"),"")</f>
        <v/>
      </c>
      <c r="F687" s="5"/>
      <c r="G687" s="5"/>
      <c r="H687" s="5" t="str">
        <f t="array" ref="H687">IF(N687=1, INDEX('Database Mitra'!$C$2:$C993,MATCH($C687,'Database Mitra'!$AK$2:$AK993,0)),"")</f>
        <v/>
      </c>
      <c r="I687" s="71" t="str">
        <f>IF(N687=1,SUMIFS('Alokasi Honor'!$M$2:$M993,'Alokasi Honor'!$T$2:$T993,A687),"")</f>
        <v/>
      </c>
      <c r="L687" s="10" t="str">
        <f t="array" ref="L687">IF(N687=1,INDEX('Batasan Honor'!$B$2:$B993,MATCH(CONCATENATE($F687,"-",$G687),'Batasan Honor'!$G$2:$G993,0)),"")</f>
        <v/>
      </c>
      <c r="M687" s="10" t="str">
        <f t="shared" si="5"/>
        <v/>
      </c>
      <c r="N687" s="10" t="str">
        <f t="shared" si="3"/>
        <v/>
      </c>
    </row>
    <row r="688" spans="2:14" ht="12.5">
      <c r="B688" s="5"/>
      <c r="C688" s="5" t="str">
        <f ca="1">IFERROR(__xludf.DUMMYFUNCTION("IF(N688=1,SPLIT(A688,""-""),"""")"),"")</f>
        <v/>
      </c>
      <c r="F688" s="5"/>
      <c r="G688" s="5"/>
      <c r="H688" s="5" t="str">
        <f t="array" ref="H688">IF(N688=1, INDEX('Database Mitra'!$C$2:$C993,MATCH($C688,'Database Mitra'!$AK$2:$AK993,0)),"")</f>
        <v/>
      </c>
      <c r="I688" s="71" t="str">
        <f>IF(N688=1,SUMIFS('Alokasi Honor'!$M$2:$M993,'Alokasi Honor'!$T$2:$T993,A688),"")</f>
        <v/>
      </c>
      <c r="L688" s="10" t="str">
        <f t="array" ref="L688">IF(N688=1,INDEX('Batasan Honor'!$B$2:$B993,MATCH(CONCATENATE($F688,"-",$G688),'Batasan Honor'!$G$2:$G993,0)),"")</f>
        <v/>
      </c>
      <c r="M688" s="10" t="str">
        <f t="shared" si="5"/>
        <v/>
      </c>
      <c r="N688" s="10" t="str">
        <f t="shared" si="3"/>
        <v/>
      </c>
    </row>
    <row r="689" spans="2:14" ht="12.5">
      <c r="B689" s="5"/>
      <c r="C689" s="5" t="str">
        <f ca="1">IFERROR(__xludf.DUMMYFUNCTION("IF(N689=1,SPLIT(A689,""-""),"""")"),"")</f>
        <v/>
      </c>
      <c r="F689" s="5"/>
      <c r="G689" s="5"/>
      <c r="H689" s="5" t="str">
        <f t="array" ref="H689">IF(N689=1, INDEX('Database Mitra'!$C$2:$C993,MATCH($C689,'Database Mitra'!$AK$2:$AK993,0)),"")</f>
        <v/>
      </c>
      <c r="I689" s="71" t="str">
        <f>IF(N689=1,SUMIFS('Alokasi Honor'!$M$2:$M993,'Alokasi Honor'!$T$2:$T993,A689),"")</f>
        <v/>
      </c>
      <c r="L689" s="10" t="str">
        <f t="array" ref="L689">IF(N689=1,INDEX('Batasan Honor'!$B$2:$B993,MATCH(CONCATENATE($F689,"-",$G689),'Batasan Honor'!$G$2:$G993,0)),"")</f>
        <v/>
      </c>
      <c r="M689" s="10" t="str">
        <f t="shared" si="5"/>
        <v/>
      </c>
      <c r="N689" s="10" t="str">
        <f t="shared" si="3"/>
        <v/>
      </c>
    </row>
    <row r="690" spans="2:14" ht="12.5">
      <c r="B690" s="5"/>
      <c r="C690" s="5" t="str">
        <f ca="1">IFERROR(__xludf.DUMMYFUNCTION("IF(N690=1,SPLIT(A690,""-""),"""")"),"")</f>
        <v/>
      </c>
      <c r="F690" s="5"/>
      <c r="G690" s="5"/>
      <c r="H690" s="5" t="str">
        <f t="array" ref="H690">IF(N690=1, INDEX('Database Mitra'!$C$2:$C993,MATCH($C690,'Database Mitra'!$AK$2:$AK993,0)),"")</f>
        <v/>
      </c>
      <c r="I690" s="71" t="str">
        <f>IF(N690=1,SUMIFS('Alokasi Honor'!$M$2:$M993,'Alokasi Honor'!$T$2:$T993,A690),"")</f>
        <v/>
      </c>
      <c r="L690" s="10" t="str">
        <f t="array" ref="L690">IF(N690=1,INDEX('Batasan Honor'!$B$2:$B993,MATCH(CONCATENATE($F690,"-",$G690),'Batasan Honor'!$G$2:$G993,0)),"")</f>
        <v/>
      </c>
      <c r="M690" s="10" t="str">
        <f t="shared" si="5"/>
        <v/>
      </c>
      <c r="N690" s="10" t="str">
        <f t="shared" si="3"/>
        <v/>
      </c>
    </row>
    <row r="691" spans="2:14" ht="12.5">
      <c r="B691" s="5"/>
      <c r="C691" s="5" t="str">
        <f ca="1">IFERROR(__xludf.DUMMYFUNCTION("IF(N691=1,SPLIT(A691,""-""),"""")"),"")</f>
        <v/>
      </c>
      <c r="F691" s="5"/>
      <c r="G691" s="5"/>
      <c r="H691" s="5" t="str">
        <f t="array" ref="H691">IF(N691=1, INDEX('Database Mitra'!$C$2:$C993,MATCH($C691,'Database Mitra'!$AK$2:$AK993,0)),"")</f>
        <v/>
      </c>
      <c r="I691" s="71" t="str">
        <f>IF(N691=1,SUMIFS('Alokasi Honor'!$M$2:$M993,'Alokasi Honor'!$T$2:$T993,A691),"")</f>
        <v/>
      </c>
      <c r="L691" s="10" t="str">
        <f t="array" ref="L691">IF(N691=1,INDEX('Batasan Honor'!$B$2:$B993,MATCH(CONCATENATE($F691,"-",$G691),'Batasan Honor'!$G$2:$G993,0)),"")</f>
        <v/>
      </c>
      <c r="M691" s="10" t="str">
        <f t="shared" si="5"/>
        <v/>
      </c>
      <c r="N691" s="10" t="str">
        <f t="shared" si="3"/>
        <v/>
      </c>
    </row>
    <row r="692" spans="2:14" ht="12.5">
      <c r="B692" s="5"/>
      <c r="C692" s="5" t="str">
        <f ca="1">IFERROR(__xludf.DUMMYFUNCTION("IF(N692=1,SPLIT(A692,""-""),"""")"),"")</f>
        <v/>
      </c>
      <c r="F692" s="5"/>
      <c r="G692" s="5"/>
      <c r="H692" s="5" t="str">
        <f t="array" ref="H692">IF(N692=1, INDEX('Database Mitra'!$C$2:$C993,MATCH($C692,'Database Mitra'!$AK$2:$AK993,0)),"")</f>
        <v/>
      </c>
      <c r="I692" s="71" t="str">
        <f>IF(N692=1,SUMIFS('Alokasi Honor'!$M$2:$M993,'Alokasi Honor'!$T$2:$T993,A692),"")</f>
        <v/>
      </c>
      <c r="L692" s="10" t="str">
        <f t="array" ref="L692">IF(N692=1,INDEX('Batasan Honor'!$B$2:$B993,MATCH(CONCATENATE($F692,"-",$G692),'Batasan Honor'!$G$2:$G993,0)),"")</f>
        <v/>
      </c>
      <c r="M692" s="10" t="str">
        <f t="shared" si="5"/>
        <v/>
      </c>
      <c r="N692" s="10" t="str">
        <f t="shared" si="3"/>
        <v/>
      </c>
    </row>
    <row r="693" spans="2:14" ht="12.5">
      <c r="B693" s="5"/>
      <c r="C693" s="5" t="str">
        <f ca="1">IFERROR(__xludf.DUMMYFUNCTION("IF(N693=1,SPLIT(A693,""-""),"""")"),"")</f>
        <v/>
      </c>
      <c r="F693" s="5"/>
      <c r="G693" s="5"/>
      <c r="H693" s="5" t="str">
        <f t="array" ref="H693">IF(N693=1, INDEX('Database Mitra'!$C$2:$C993,MATCH($C693,'Database Mitra'!$AK$2:$AK993,0)),"")</f>
        <v/>
      </c>
      <c r="I693" s="71" t="str">
        <f>IF(N693=1,SUMIFS('Alokasi Honor'!$M$2:$M993,'Alokasi Honor'!$T$2:$T993,A693),"")</f>
        <v/>
      </c>
      <c r="L693" s="10" t="str">
        <f t="array" ref="L693">IF(N693=1,INDEX('Batasan Honor'!$B$2:$B993,MATCH(CONCATENATE($F693,"-",$G693),'Batasan Honor'!$G$2:$G993,0)),"")</f>
        <v/>
      </c>
      <c r="M693" s="10" t="str">
        <f t="shared" si="5"/>
        <v/>
      </c>
      <c r="N693" s="10" t="str">
        <f t="shared" si="3"/>
        <v/>
      </c>
    </row>
    <row r="694" spans="2:14" ht="12.5">
      <c r="B694" s="5"/>
      <c r="C694" s="5" t="str">
        <f ca="1">IFERROR(__xludf.DUMMYFUNCTION("IF(N694=1,SPLIT(A694,""-""),"""")"),"")</f>
        <v/>
      </c>
      <c r="F694" s="5"/>
      <c r="G694" s="5"/>
      <c r="H694" s="5" t="str">
        <f t="array" ref="H694">IF(N694=1, INDEX('Database Mitra'!$C$2:$C993,MATCH($C694,'Database Mitra'!$AK$2:$AK993,0)),"")</f>
        <v/>
      </c>
      <c r="I694" s="71" t="str">
        <f>IF(N694=1,SUMIFS('Alokasi Honor'!$M$2:$M993,'Alokasi Honor'!$T$2:$T993,A694),"")</f>
        <v/>
      </c>
      <c r="L694" s="10" t="str">
        <f t="array" ref="L694">IF(N694=1,INDEX('Batasan Honor'!$B$2:$B993,MATCH(CONCATENATE($F694,"-",$G694),'Batasan Honor'!$G$2:$G993,0)),"")</f>
        <v/>
      </c>
      <c r="M694" s="10" t="str">
        <f t="shared" si="5"/>
        <v/>
      </c>
      <c r="N694" s="10" t="str">
        <f t="shared" si="3"/>
        <v/>
      </c>
    </row>
    <row r="695" spans="2:14" ht="12.5">
      <c r="B695" s="5"/>
      <c r="C695" s="5" t="str">
        <f ca="1">IFERROR(__xludf.DUMMYFUNCTION("IF(N695=1,SPLIT(A695,""-""),"""")"),"")</f>
        <v/>
      </c>
      <c r="F695" s="5"/>
      <c r="G695" s="5"/>
      <c r="H695" s="5" t="str">
        <f t="array" ref="H695">IF(N695=1, INDEX('Database Mitra'!$C$2:$C993,MATCH($C695,'Database Mitra'!$AK$2:$AK993,0)),"")</f>
        <v/>
      </c>
      <c r="I695" s="71" t="str">
        <f>IF(N695=1,SUMIFS('Alokasi Honor'!$M$2:$M993,'Alokasi Honor'!$T$2:$T993,A695),"")</f>
        <v/>
      </c>
      <c r="L695" s="10" t="str">
        <f t="array" ref="L695">IF(N695=1,INDEX('Batasan Honor'!$B$2:$B993,MATCH(CONCATENATE($F695,"-",$G695),'Batasan Honor'!$G$2:$G993,0)),"")</f>
        <v/>
      </c>
      <c r="M695" s="10" t="str">
        <f t="shared" si="5"/>
        <v/>
      </c>
      <c r="N695" s="10" t="str">
        <f t="shared" si="3"/>
        <v/>
      </c>
    </row>
    <row r="696" spans="2:14" ht="12.5">
      <c r="B696" s="5"/>
      <c r="C696" s="5" t="str">
        <f ca="1">IFERROR(__xludf.DUMMYFUNCTION("IF(N696=1,SPLIT(A696,""-""),"""")"),"")</f>
        <v/>
      </c>
      <c r="F696" s="5"/>
      <c r="G696" s="5"/>
      <c r="H696" s="5" t="str">
        <f t="array" ref="H696">IF(N696=1, INDEX('Database Mitra'!$C$2:$C993,MATCH($C696,'Database Mitra'!$AK$2:$AK993,0)),"")</f>
        <v/>
      </c>
      <c r="I696" s="71" t="str">
        <f>IF(N696=1,SUMIFS('Alokasi Honor'!$M$2:$M993,'Alokasi Honor'!$T$2:$T993,A696),"")</f>
        <v/>
      </c>
      <c r="L696" s="10" t="str">
        <f t="array" ref="L696">IF(N696=1,INDEX('Batasan Honor'!$B$2:$B993,MATCH(CONCATENATE($F696,"-",$G696),'Batasan Honor'!$G$2:$G993,0)),"")</f>
        <v/>
      </c>
      <c r="M696" s="10" t="str">
        <f t="shared" si="5"/>
        <v/>
      </c>
      <c r="N696" s="10" t="str">
        <f t="shared" si="3"/>
        <v/>
      </c>
    </row>
    <row r="697" spans="2:14" ht="12.5">
      <c r="B697" s="5"/>
      <c r="C697" s="5" t="str">
        <f ca="1">IFERROR(__xludf.DUMMYFUNCTION("IF(N697=1,SPLIT(A697,""-""),"""")"),"")</f>
        <v/>
      </c>
      <c r="F697" s="5"/>
      <c r="G697" s="5"/>
      <c r="H697" s="5" t="str">
        <f t="array" ref="H697">IF(N697=1, INDEX('Database Mitra'!$C$2:$C993,MATCH($C697,'Database Mitra'!$AK$2:$AK993,0)),"")</f>
        <v/>
      </c>
      <c r="I697" s="71" t="str">
        <f>IF(N697=1,SUMIFS('Alokasi Honor'!$M$2:$M993,'Alokasi Honor'!$T$2:$T993,A697),"")</f>
        <v/>
      </c>
      <c r="L697" s="10" t="str">
        <f t="array" ref="L697">IF(N697=1,INDEX('Batasan Honor'!$B$2:$B993,MATCH(CONCATENATE($F697,"-",$G697),'Batasan Honor'!$G$2:$G993,0)),"")</f>
        <v/>
      </c>
      <c r="M697" s="10" t="str">
        <f t="shared" si="5"/>
        <v/>
      </c>
      <c r="N697" s="10" t="str">
        <f t="shared" si="3"/>
        <v/>
      </c>
    </row>
    <row r="698" spans="2:14" ht="12.5">
      <c r="B698" s="5"/>
      <c r="C698" s="5" t="str">
        <f ca="1">IFERROR(__xludf.DUMMYFUNCTION("IF(N698=1,SPLIT(A698,""-""),"""")"),"")</f>
        <v/>
      </c>
      <c r="F698" s="5"/>
      <c r="G698" s="5"/>
      <c r="H698" s="5" t="str">
        <f t="array" ref="H698">IF(N698=1, INDEX('Database Mitra'!$C$2:$C993,MATCH($C698,'Database Mitra'!$AK$2:$AK993,0)),"")</f>
        <v/>
      </c>
      <c r="I698" s="71" t="str">
        <f>IF(N698=1,SUMIFS('Alokasi Honor'!$M$2:$M993,'Alokasi Honor'!$T$2:$T993,A698),"")</f>
        <v/>
      </c>
      <c r="L698" s="10" t="str">
        <f t="array" ref="L698">IF(N698=1,INDEX('Batasan Honor'!$B$2:$B993,MATCH(CONCATENATE($F698,"-",$G698),'Batasan Honor'!$G$2:$G993,0)),"")</f>
        <v/>
      </c>
      <c r="M698" s="10" t="str">
        <f t="shared" si="5"/>
        <v/>
      </c>
      <c r="N698" s="10" t="str">
        <f t="shared" si="3"/>
        <v/>
      </c>
    </row>
    <row r="699" spans="2:14" ht="12.5">
      <c r="B699" s="5"/>
      <c r="C699" s="5" t="str">
        <f ca="1">IFERROR(__xludf.DUMMYFUNCTION("IF(N699=1,SPLIT(A699,""-""),"""")"),"")</f>
        <v/>
      </c>
      <c r="F699" s="5"/>
      <c r="G699" s="5"/>
      <c r="H699" s="5" t="str">
        <f t="array" ref="H699">IF(N699=1, INDEX('Database Mitra'!$C$2:$C993,MATCH($C699,'Database Mitra'!$AK$2:$AK993,0)),"")</f>
        <v/>
      </c>
      <c r="I699" s="71" t="str">
        <f>IF(N699=1,SUMIFS('Alokasi Honor'!$M$2:$M993,'Alokasi Honor'!$T$2:$T993,A699),"")</f>
        <v/>
      </c>
      <c r="L699" s="10" t="str">
        <f t="array" ref="L699">IF(N699=1,INDEX('Batasan Honor'!$B$2:$B993,MATCH(CONCATENATE($F699,"-",$G699),'Batasan Honor'!$G$2:$G993,0)),"")</f>
        <v/>
      </c>
      <c r="M699" s="10" t="str">
        <f t="shared" si="5"/>
        <v/>
      </c>
      <c r="N699" s="10" t="str">
        <f t="shared" si="3"/>
        <v/>
      </c>
    </row>
    <row r="700" spans="2:14" ht="12.5">
      <c r="B700" s="5"/>
      <c r="C700" s="5" t="str">
        <f ca="1">IFERROR(__xludf.DUMMYFUNCTION("IF(N700=1,SPLIT(A700,""-""),"""")"),"")</f>
        <v/>
      </c>
      <c r="F700" s="5"/>
      <c r="G700" s="5"/>
      <c r="H700" s="5" t="str">
        <f t="array" ref="H700">IF(N700=1, INDEX('Database Mitra'!$C$2:$C993,MATCH($C700,'Database Mitra'!$AK$2:$AK993,0)),"")</f>
        <v/>
      </c>
      <c r="I700" s="71" t="str">
        <f>IF(N700=1,SUMIFS('Alokasi Honor'!$M$2:$M993,'Alokasi Honor'!$T$2:$T993,A700),"")</f>
        <v/>
      </c>
      <c r="L700" s="10" t="str">
        <f t="array" ref="L700">IF(N700=1,INDEX('Batasan Honor'!$B$2:$B993,MATCH(CONCATENATE($F700,"-",$G700),'Batasan Honor'!$G$2:$G993,0)),"")</f>
        <v/>
      </c>
      <c r="M700" s="10" t="str">
        <f t="shared" si="5"/>
        <v/>
      </c>
      <c r="N700" s="10" t="str">
        <f t="shared" si="3"/>
        <v/>
      </c>
    </row>
    <row r="701" spans="2:14" ht="12.5">
      <c r="B701" s="5"/>
      <c r="C701" s="5" t="str">
        <f ca="1">IFERROR(__xludf.DUMMYFUNCTION("IF(N701=1,SPLIT(A701,""-""),"""")"),"")</f>
        <v/>
      </c>
      <c r="F701" s="5"/>
      <c r="G701" s="5"/>
      <c r="H701" s="5" t="str">
        <f t="array" ref="H701">IF(N701=1, INDEX('Database Mitra'!$C$2:$C993,MATCH($C701,'Database Mitra'!$AK$2:$AK993,0)),"")</f>
        <v/>
      </c>
      <c r="I701" s="71" t="str">
        <f>IF(N701=1,SUMIFS('Alokasi Honor'!$M$2:$M993,'Alokasi Honor'!$T$2:$T993,A701),"")</f>
        <v/>
      </c>
      <c r="L701" s="10" t="str">
        <f t="array" ref="L701">IF(N701=1,INDEX('Batasan Honor'!$B$2:$B993,MATCH(CONCATENATE($F701,"-",$G701),'Batasan Honor'!$G$2:$G993,0)),"")</f>
        <v/>
      </c>
      <c r="M701" s="10" t="str">
        <f t="shared" si="5"/>
        <v/>
      </c>
      <c r="N701" s="10" t="str">
        <f t="shared" si="3"/>
        <v/>
      </c>
    </row>
    <row r="702" spans="2:14" ht="12.5">
      <c r="B702" s="5"/>
      <c r="C702" s="5" t="str">
        <f ca="1">IFERROR(__xludf.DUMMYFUNCTION("IF(N702=1,SPLIT(A702,""-""),"""")"),"")</f>
        <v/>
      </c>
      <c r="F702" s="5"/>
      <c r="G702" s="5"/>
      <c r="H702" s="5" t="str">
        <f t="array" ref="H702">IF(N702=1, INDEX('Database Mitra'!$C$2:$C993,MATCH($C702,'Database Mitra'!$AK$2:$AK993,0)),"")</f>
        <v/>
      </c>
      <c r="I702" s="71" t="str">
        <f>IF(N702=1,SUMIFS('Alokasi Honor'!$M$2:$M993,'Alokasi Honor'!$T$2:$T993,A702),"")</f>
        <v/>
      </c>
      <c r="L702" s="10" t="str">
        <f t="array" ref="L702">IF(N702=1,INDEX('Batasan Honor'!$B$2:$B993,MATCH(CONCATENATE($F702,"-",$G702),'Batasan Honor'!$G$2:$G993,0)),"")</f>
        <v/>
      </c>
      <c r="M702" s="10" t="str">
        <f t="shared" si="5"/>
        <v/>
      </c>
      <c r="N702" s="10" t="str">
        <f t="shared" si="3"/>
        <v/>
      </c>
    </row>
    <row r="703" spans="2:14" ht="12.5">
      <c r="B703" s="5"/>
      <c r="C703" s="5" t="str">
        <f ca="1">IFERROR(__xludf.DUMMYFUNCTION("IF(N703=1,SPLIT(A703,""-""),"""")"),"")</f>
        <v/>
      </c>
      <c r="F703" s="5"/>
      <c r="G703" s="5"/>
      <c r="H703" s="5" t="str">
        <f t="array" ref="H703">IF(N703=1, INDEX('Database Mitra'!$C$2:$C993,MATCH($C703,'Database Mitra'!$AK$2:$AK993,0)),"")</f>
        <v/>
      </c>
      <c r="I703" s="71" t="str">
        <f>IF(N703=1,SUMIFS('Alokasi Honor'!$M$2:$M993,'Alokasi Honor'!$T$2:$T993,A703),"")</f>
        <v/>
      </c>
      <c r="L703" s="10" t="str">
        <f t="array" ref="L703">IF(N703=1,INDEX('Batasan Honor'!$B$2:$B993,MATCH(CONCATENATE($F703,"-",$G703),'Batasan Honor'!$G$2:$G993,0)),"")</f>
        <v/>
      </c>
      <c r="M703" s="10" t="str">
        <f t="shared" si="5"/>
        <v/>
      </c>
      <c r="N703" s="10" t="str">
        <f t="shared" si="3"/>
        <v/>
      </c>
    </row>
    <row r="704" spans="2:14" ht="12.5">
      <c r="B704" s="5"/>
      <c r="C704" s="5" t="str">
        <f ca="1">IFERROR(__xludf.DUMMYFUNCTION("IF(N704=1,SPLIT(A704,""-""),"""")"),"")</f>
        <v/>
      </c>
      <c r="F704" s="5"/>
      <c r="G704" s="5"/>
      <c r="H704" s="5" t="str">
        <f t="array" ref="H704">IF(N704=1, INDEX('Database Mitra'!$C$2:$C993,MATCH($C704,'Database Mitra'!$AK$2:$AK993,0)),"")</f>
        <v/>
      </c>
      <c r="I704" s="71" t="str">
        <f>IF(N704=1,SUMIFS('Alokasi Honor'!$M$2:$M993,'Alokasi Honor'!$T$2:$T993,A704),"")</f>
        <v/>
      </c>
      <c r="L704" s="10" t="str">
        <f t="array" ref="L704">IF(N704=1,INDEX('Batasan Honor'!$B$2:$B993,MATCH(CONCATENATE($F704,"-",$G704),'Batasan Honor'!$G$2:$G993,0)),"")</f>
        <v/>
      </c>
      <c r="M704" s="10" t="str">
        <f t="shared" si="5"/>
        <v/>
      </c>
      <c r="N704" s="10" t="str">
        <f t="shared" si="3"/>
        <v/>
      </c>
    </row>
    <row r="705" spans="2:14" ht="12.5">
      <c r="B705" s="5"/>
      <c r="C705" s="5" t="str">
        <f ca="1">IFERROR(__xludf.DUMMYFUNCTION("IF(N705=1,SPLIT(A705,""-""),"""")"),"")</f>
        <v/>
      </c>
      <c r="F705" s="5"/>
      <c r="G705" s="5"/>
      <c r="H705" s="5" t="str">
        <f t="array" ref="H705">IF(N705=1, INDEX('Database Mitra'!$C$2:$C993,MATCH($C705,'Database Mitra'!$AK$2:$AK993,0)),"")</f>
        <v/>
      </c>
      <c r="I705" s="71" t="str">
        <f>IF(N705=1,SUMIFS('Alokasi Honor'!$M$2:$M993,'Alokasi Honor'!$T$2:$T993,A705),"")</f>
        <v/>
      </c>
      <c r="L705" s="10" t="str">
        <f t="array" ref="L705">IF(N705=1,INDEX('Batasan Honor'!$B$2:$B993,MATCH(CONCATENATE($F705,"-",$G705),'Batasan Honor'!$G$2:$G993,0)),"")</f>
        <v/>
      </c>
      <c r="M705" s="10" t="str">
        <f t="shared" si="5"/>
        <v/>
      </c>
      <c r="N705" s="10" t="str">
        <f t="shared" si="3"/>
        <v/>
      </c>
    </row>
    <row r="706" spans="2:14" ht="12.5">
      <c r="B706" s="5"/>
      <c r="C706" s="5" t="str">
        <f ca="1">IFERROR(__xludf.DUMMYFUNCTION("IF(N706=1,SPLIT(A706,""-""),"""")"),"")</f>
        <v/>
      </c>
      <c r="F706" s="5"/>
      <c r="G706" s="5"/>
      <c r="H706" s="5" t="str">
        <f t="array" ref="H706">IF(N706=1, INDEX('Database Mitra'!$C$2:$C993,MATCH($C706,'Database Mitra'!$AK$2:$AK993,0)),"")</f>
        <v/>
      </c>
      <c r="I706" s="71" t="str">
        <f>IF(N706=1,SUMIFS('Alokasi Honor'!$M$2:$M993,'Alokasi Honor'!$T$2:$T993,A706),"")</f>
        <v/>
      </c>
      <c r="L706" s="10" t="str">
        <f t="array" ref="L706">IF(N706=1,INDEX('Batasan Honor'!$B$2:$B993,MATCH(CONCATENATE($F706,"-",$G706),'Batasan Honor'!$G$2:$G993,0)),"")</f>
        <v/>
      </c>
      <c r="M706" s="10" t="str">
        <f t="shared" si="5"/>
        <v/>
      </c>
      <c r="N706" s="10" t="str">
        <f t="shared" si="3"/>
        <v/>
      </c>
    </row>
    <row r="707" spans="2:14" ht="12.5">
      <c r="B707" s="5"/>
      <c r="C707" s="5" t="str">
        <f ca="1">IFERROR(__xludf.DUMMYFUNCTION("IF(N707=1,SPLIT(A707,""-""),"""")"),"")</f>
        <v/>
      </c>
      <c r="F707" s="5"/>
      <c r="G707" s="5"/>
      <c r="H707" s="5" t="str">
        <f t="array" ref="H707">IF(N707=1, INDEX('Database Mitra'!$C$2:$C993,MATCH($C707,'Database Mitra'!$AK$2:$AK993,0)),"")</f>
        <v/>
      </c>
      <c r="I707" s="71" t="str">
        <f>IF(N707=1,SUMIFS('Alokasi Honor'!$M$2:$M993,'Alokasi Honor'!$T$2:$T993,A707),"")</f>
        <v/>
      </c>
      <c r="L707" s="10" t="str">
        <f t="array" ref="L707">IF(N707=1,INDEX('Batasan Honor'!$B$2:$B993,MATCH(CONCATENATE($F707,"-",$G707),'Batasan Honor'!$G$2:$G993,0)),"")</f>
        <v/>
      </c>
      <c r="M707" s="10" t="str">
        <f t="shared" si="5"/>
        <v/>
      </c>
      <c r="N707" s="10" t="str">
        <f t="shared" si="3"/>
        <v/>
      </c>
    </row>
    <row r="708" spans="2:14" ht="12.5">
      <c r="B708" s="5"/>
      <c r="C708" s="5" t="str">
        <f ca="1">IFERROR(__xludf.DUMMYFUNCTION("IF(N708=1,SPLIT(A708,""-""),"""")"),"")</f>
        <v/>
      </c>
      <c r="F708" s="5"/>
      <c r="G708" s="5"/>
      <c r="H708" s="5" t="str">
        <f t="array" ref="H708">IF(N708=1, INDEX('Database Mitra'!$C$2:$C993,MATCH($C708,'Database Mitra'!$AK$2:$AK993,0)),"")</f>
        <v/>
      </c>
      <c r="I708" s="71" t="str">
        <f>IF(N708=1,SUMIFS('Alokasi Honor'!$M$2:$M993,'Alokasi Honor'!$T$2:$T993,A708),"")</f>
        <v/>
      </c>
      <c r="L708" s="10" t="str">
        <f t="array" ref="L708">IF(N708=1,INDEX('Batasan Honor'!$B$2:$B993,MATCH(CONCATENATE($F708,"-",$G708),'Batasan Honor'!$G$2:$G993,0)),"")</f>
        <v/>
      </c>
      <c r="M708" s="10" t="str">
        <f t="shared" si="5"/>
        <v/>
      </c>
      <c r="N708" s="10" t="str">
        <f t="shared" si="3"/>
        <v/>
      </c>
    </row>
    <row r="709" spans="2:14" ht="12.5">
      <c r="B709" s="5"/>
      <c r="C709" s="5" t="str">
        <f ca="1">IFERROR(__xludf.DUMMYFUNCTION("IF(N709=1,SPLIT(A709,""-""),"""")"),"")</f>
        <v/>
      </c>
      <c r="F709" s="5"/>
      <c r="G709" s="5"/>
      <c r="H709" s="5" t="str">
        <f t="array" ref="H709">IF(N709=1, INDEX('Database Mitra'!$C$2:$C993,MATCH($C709,'Database Mitra'!$AK$2:$AK993,0)),"")</f>
        <v/>
      </c>
      <c r="I709" s="71" t="str">
        <f>IF(N709=1,SUMIFS('Alokasi Honor'!$M$2:$M993,'Alokasi Honor'!$T$2:$T993,A709),"")</f>
        <v/>
      </c>
      <c r="L709" s="10" t="str">
        <f t="array" ref="L709">IF(N709=1,INDEX('Batasan Honor'!$B$2:$B993,MATCH(CONCATENATE($F709,"-",$G709),'Batasan Honor'!$G$2:$G993,0)),"")</f>
        <v/>
      </c>
      <c r="M709" s="10" t="str">
        <f t="shared" si="5"/>
        <v/>
      </c>
      <c r="N709" s="10" t="str">
        <f t="shared" si="3"/>
        <v/>
      </c>
    </row>
    <row r="710" spans="2:14" ht="12.5">
      <c r="B710" s="5"/>
      <c r="C710" s="5" t="str">
        <f ca="1">IFERROR(__xludf.DUMMYFUNCTION("IF(N710=1,SPLIT(A710,""-""),"""")"),"")</f>
        <v/>
      </c>
      <c r="F710" s="5"/>
      <c r="G710" s="5"/>
      <c r="H710" s="5" t="str">
        <f t="array" ref="H710">IF(N710=1, INDEX('Database Mitra'!$C$2:$C993,MATCH($C710,'Database Mitra'!$AK$2:$AK993,0)),"")</f>
        <v/>
      </c>
      <c r="I710" s="71" t="str">
        <f>IF(N710=1,SUMIFS('Alokasi Honor'!$M$2:$M993,'Alokasi Honor'!$T$2:$T993,A710),"")</f>
        <v/>
      </c>
      <c r="L710" s="10" t="str">
        <f t="array" ref="L710">IF(N710=1,INDEX('Batasan Honor'!$B$2:$B993,MATCH(CONCATENATE($F710,"-",$G710),'Batasan Honor'!$G$2:$G993,0)),"")</f>
        <v/>
      </c>
      <c r="M710" s="10" t="str">
        <f t="shared" si="5"/>
        <v/>
      </c>
      <c r="N710" s="10" t="str">
        <f t="shared" si="3"/>
        <v/>
      </c>
    </row>
    <row r="711" spans="2:14" ht="12.5">
      <c r="B711" s="5"/>
      <c r="C711" s="5" t="str">
        <f ca="1">IFERROR(__xludf.DUMMYFUNCTION("IF(N711=1,SPLIT(A711,""-""),"""")"),"")</f>
        <v/>
      </c>
      <c r="F711" s="5"/>
      <c r="G711" s="5"/>
      <c r="H711" s="5" t="str">
        <f t="array" ref="H711">IF(N711=1, INDEX('Database Mitra'!$C$2:$C993,MATCH($C711,'Database Mitra'!$AK$2:$AK993,0)),"")</f>
        <v/>
      </c>
      <c r="I711" s="71" t="str">
        <f>IF(N711=1,SUMIFS('Alokasi Honor'!$M$2:$M993,'Alokasi Honor'!$T$2:$T993,A711),"")</f>
        <v/>
      </c>
      <c r="L711" s="10" t="str">
        <f t="array" ref="L711">IF(N711=1,INDEX('Batasan Honor'!$B$2:$B993,MATCH(CONCATENATE($F711,"-",$G711),'Batasan Honor'!$G$2:$G993,0)),"")</f>
        <v/>
      </c>
      <c r="M711" s="10" t="str">
        <f t="shared" si="5"/>
        <v/>
      </c>
      <c r="N711" s="10" t="str">
        <f t="shared" si="3"/>
        <v/>
      </c>
    </row>
    <row r="712" spans="2:14" ht="12.5">
      <c r="B712" s="5"/>
      <c r="C712" s="5" t="str">
        <f ca="1">IFERROR(__xludf.DUMMYFUNCTION("IF(N712=1,SPLIT(A712,""-""),"""")"),"")</f>
        <v/>
      </c>
      <c r="F712" s="5"/>
      <c r="G712" s="5"/>
      <c r="H712" s="5" t="str">
        <f t="array" ref="H712">IF(N712=1, INDEX('Database Mitra'!$C$2:$C993,MATCH($C712,'Database Mitra'!$AK$2:$AK993,0)),"")</f>
        <v/>
      </c>
      <c r="I712" s="71" t="str">
        <f>IF(N712=1,SUMIFS('Alokasi Honor'!$M$2:$M993,'Alokasi Honor'!$T$2:$T993,A712),"")</f>
        <v/>
      </c>
      <c r="L712" s="10" t="str">
        <f t="array" ref="L712">IF(N712=1,INDEX('Batasan Honor'!$B$2:$B993,MATCH(CONCATENATE($F712,"-",$G712),'Batasan Honor'!$G$2:$G993,0)),"")</f>
        <v/>
      </c>
      <c r="M712" s="10" t="str">
        <f t="shared" si="5"/>
        <v/>
      </c>
      <c r="N712" s="10" t="str">
        <f t="shared" si="3"/>
        <v/>
      </c>
    </row>
    <row r="713" spans="2:14" ht="12.5">
      <c r="B713" s="5"/>
      <c r="C713" s="5" t="str">
        <f ca="1">IFERROR(__xludf.DUMMYFUNCTION("IF(N713=1,SPLIT(A713,""-""),"""")"),"")</f>
        <v/>
      </c>
      <c r="F713" s="5"/>
      <c r="G713" s="5"/>
      <c r="H713" s="5" t="str">
        <f t="array" ref="H713">IF(N713=1, INDEX('Database Mitra'!$C$2:$C993,MATCH($C713,'Database Mitra'!$AK$2:$AK993,0)),"")</f>
        <v/>
      </c>
      <c r="I713" s="71" t="str">
        <f>IF(N713=1,SUMIFS('Alokasi Honor'!$M$2:$M993,'Alokasi Honor'!$T$2:$T993,A713),"")</f>
        <v/>
      </c>
      <c r="L713" s="10" t="str">
        <f t="array" ref="L713">IF(N713=1,INDEX('Batasan Honor'!$B$2:$B993,MATCH(CONCATENATE($F713,"-",$G713),'Batasan Honor'!$G$2:$G993,0)),"")</f>
        <v/>
      </c>
      <c r="M713" s="10" t="str">
        <f t="shared" si="5"/>
        <v/>
      </c>
      <c r="N713" s="10" t="str">
        <f t="shared" si="3"/>
        <v/>
      </c>
    </row>
    <row r="714" spans="2:14" ht="12.5">
      <c r="B714" s="5"/>
      <c r="C714" s="5" t="str">
        <f ca="1">IFERROR(__xludf.DUMMYFUNCTION("IF(N714=1,SPLIT(A714,""-""),"""")"),"")</f>
        <v/>
      </c>
      <c r="F714" s="5"/>
      <c r="G714" s="5"/>
      <c r="H714" s="5" t="str">
        <f t="array" ref="H714">IF(N714=1, INDEX('Database Mitra'!$C$2:$C993,MATCH($C714,'Database Mitra'!$AK$2:$AK993,0)),"")</f>
        <v/>
      </c>
      <c r="I714" s="71" t="str">
        <f>IF(N714=1,SUMIFS('Alokasi Honor'!$M$2:$M993,'Alokasi Honor'!$T$2:$T993,A714),"")</f>
        <v/>
      </c>
      <c r="L714" s="10" t="str">
        <f t="array" ref="L714">IF(N714=1,INDEX('Batasan Honor'!$B$2:$B993,MATCH(CONCATENATE($F714,"-",$G714),'Batasan Honor'!$G$2:$G993,0)),"")</f>
        <v/>
      </c>
      <c r="M714" s="10" t="str">
        <f t="shared" si="5"/>
        <v/>
      </c>
      <c r="N714" s="10" t="str">
        <f t="shared" si="3"/>
        <v/>
      </c>
    </row>
    <row r="715" spans="2:14" ht="12.5">
      <c r="B715" s="5"/>
      <c r="C715" s="5" t="str">
        <f ca="1">IFERROR(__xludf.DUMMYFUNCTION("IF(N715=1,SPLIT(A715,""-""),"""")"),"")</f>
        <v/>
      </c>
      <c r="F715" s="5"/>
      <c r="G715" s="5"/>
      <c r="H715" s="5" t="str">
        <f t="array" ref="H715">IF(N715=1, INDEX('Database Mitra'!$C$2:$C993,MATCH($C715,'Database Mitra'!$AK$2:$AK993,0)),"")</f>
        <v/>
      </c>
      <c r="I715" s="71" t="str">
        <f>IF(N715=1,SUMIFS('Alokasi Honor'!$M$2:$M993,'Alokasi Honor'!$T$2:$T993,A715),"")</f>
        <v/>
      </c>
      <c r="L715" s="10" t="str">
        <f t="array" ref="L715">IF(N715=1,INDEX('Batasan Honor'!$B$2:$B993,MATCH(CONCATENATE($F715,"-",$G715),'Batasan Honor'!$G$2:$G993,0)),"")</f>
        <v/>
      </c>
      <c r="M715" s="10" t="str">
        <f t="shared" si="5"/>
        <v/>
      </c>
      <c r="N715" s="10" t="str">
        <f t="shared" si="3"/>
        <v/>
      </c>
    </row>
    <row r="716" spans="2:14" ht="12.5">
      <c r="B716" s="5"/>
      <c r="C716" s="5" t="str">
        <f ca="1">IFERROR(__xludf.DUMMYFUNCTION("IF(N716=1,SPLIT(A716,""-""),"""")"),"")</f>
        <v/>
      </c>
      <c r="F716" s="5"/>
      <c r="G716" s="5"/>
      <c r="H716" s="5" t="str">
        <f t="array" ref="H716">IF(N716=1, INDEX('Database Mitra'!$C$2:$C993,MATCH($C716,'Database Mitra'!$AK$2:$AK993,0)),"")</f>
        <v/>
      </c>
      <c r="I716" s="71" t="str">
        <f>IF(N716=1,SUMIFS('Alokasi Honor'!$M$2:$M993,'Alokasi Honor'!$T$2:$T993,A716),"")</f>
        <v/>
      </c>
      <c r="L716" s="10" t="str">
        <f t="array" ref="L716">IF(N716=1,INDEX('Batasan Honor'!$B$2:$B993,MATCH(CONCATENATE($F716,"-",$G716),'Batasan Honor'!$G$2:$G993,0)),"")</f>
        <v/>
      </c>
      <c r="M716" s="10" t="str">
        <f t="shared" si="5"/>
        <v/>
      </c>
      <c r="N716" s="10" t="str">
        <f t="shared" si="3"/>
        <v/>
      </c>
    </row>
    <row r="717" spans="2:14" ht="12.5">
      <c r="B717" s="5"/>
      <c r="C717" s="5" t="str">
        <f ca="1">IFERROR(__xludf.DUMMYFUNCTION("IF(N717=1,SPLIT(A717,""-""),"""")"),"")</f>
        <v/>
      </c>
      <c r="F717" s="5"/>
      <c r="G717" s="5"/>
      <c r="H717" s="5" t="str">
        <f t="array" ref="H717">IF(N717=1, INDEX('Database Mitra'!$C$2:$C993,MATCH($C717,'Database Mitra'!$AK$2:$AK993,0)),"")</f>
        <v/>
      </c>
      <c r="I717" s="71" t="str">
        <f>IF(N717=1,SUMIFS('Alokasi Honor'!$M$2:$M993,'Alokasi Honor'!$T$2:$T993,A717),"")</f>
        <v/>
      </c>
      <c r="L717" s="10" t="str">
        <f t="array" ref="L717">IF(N717=1,INDEX('Batasan Honor'!$B$2:$B993,MATCH(CONCATENATE($F717,"-",$G717),'Batasan Honor'!$G$2:$G993,0)),"")</f>
        <v/>
      </c>
      <c r="M717" s="10" t="str">
        <f t="shared" si="5"/>
        <v/>
      </c>
      <c r="N717" s="10" t="str">
        <f t="shared" si="3"/>
        <v/>
      </c>
    </row>
    <row r="718" spans="2:14" ht="12.5">
      <c r="B718" s="5"/>
      <c r="C718" s="5" t="str">
        <f ca="1">IFERROR(__xludf.DUMMYFUNCTION("IF(N718=1,SPLIT(A718,""-""),"""")"),"")</f>
        <v/>
      </c>
      <c r="F718" s="5"/>
      <c r="G718" s="5"/>
      <c r="H718" s="5" t="str">
        <f t="array" ref="H718">IF(N718=1, INDEX('Database Mitra'!$C$2:$C993,MATCH($C718,'Database Mitra'!$AK$2:$AK993,0)),"")</f>
        <v/>
      </c>
      <c r="I718" s="71" t="str">
        <f>IF(N718=1,SUMIFS('Alokasi Honor'!$M$2:$M993,'Alokasi Honor'!$T$2:$T993,A718),"")</f>
        <v/>
      </c>
      <c r="L718" s="10" t="str">
        <f t="array" ref="L718">IF(N718=1,INDEX('Batasan Honor'!$B$2:$B993,MATCH(CONCATENATE($F718,"-",$G718),'Batasan Honor'!$G$2:$G993,0)),"")</f>
        <v/>
      </c>
      <c r="M718" s="10" t="str">
        <f t="shared" si="5"/>
        <v/>
      </c>
      <c r="N718" s="10" t="str">
        <f t="shared" si="3"/>
        <v/>
      </c>
    </row>
    <row r="719" spans="2:14" ht="12.5">
      <c r="B719" s="5"/>
      <c r="C719" s="5" t="str">
        <f ca="1">IFERROR(__xludf.DUMMYFUNCTION("IF(N719=1,SPLIT(A719,""-""),"""")"),"")</f>
        <v/>
      </c>
      <c r="F719" s="5"/>
      <c r="G719" s="5"/>
      <c r="H719" s="5" t="str">
        <f t="array" ref="H719">IF(N719=1, INDEX('Database Mitra'!$C$2:$C993,MATCH($C719,'Database Mitra'!$AK$2:$AK993,0)),"")</f>
        <v/>
      </c>
      <c r="I719" s="71" t="str">
        <f>IF(N719=1,SUMIFS('Alokasi Honor'!$M$2:$M993,'Alokasi Honor'!$T$2:$T993,A719),"")</f>
        <v/>
      </c>
      <c r="L719" s="10" t="str">
        <f t="array" ref="L719">IF(N719=1,INDEX('Batasan Honor'!$B$2:$B993,MATCH(CONCATENATE($F719,"-",$G719),'Batasan Honor'!$G$2:$G993,0)),"")</f>
        <v/>
      </c>
      <c r="M719" s="10" t="str">
        <f t="shared" si="5"/>
        <v/>
      </c>
      <c r="N719" s="10" t="str">
        <f t="shared" si="3"/>
        <v/>
      </c>
    </row>
    <row r="720" spans="2:14" ht="12.5">
      <c r="B720" s="5"/>
      <c r="C720" s="5" t="str">
        <f ca="1">IFERROR(__xludf.DUMMYFUNCTION("IF(N720=1,SPLIT(A720,""-""),"""")"),"")</f>
        <v/>
      </c>
      <c r="F720" s="5"/>
      <c r="G720" s="5"/>
      <c r="H720" s="5" t="str">
        <f t="array" ref="H720">IF(N720=1, INDEX('Database Mitra'!$C$2:$C993,MATCH($C720,'Database Mitra'!$AK$2:$AK993,0)),"")</f>
        <v/>
      </c>
      <c r="I720" s="71" t="str">
        <f>IF(N720=1,SUMIFS('Alokasi Honor'!$M$2:$M993,'Alokasi Honor'!$T$2:$T993,A720),"")</f>
        <v/>
      </c>
      <c r="L720" s="10" t="str">
        <f t="array" ref="L720">IF(N720=1,INDEX('Batasan Honor'!$B$2:$B993,MATCH(CONCATENATE($F720,"-",$G720),'Batasan Honor'!$G$2:$G993,0)),"")</f>
        <v/>
      </c>
      <c r="M720" s="10" t="str">
        <f t="shared" si="5"/>
        <v/>
      </c>
      <c r="N720" s="10" t="str">
        <f t="shared" si="3"/>
        <v/>
      </c>
    </row>
    <row r="721" spans="2:14" ht="12.5">
      <c r="B721" s="5"/>
      <c r="C721" s="5" t="str">
        <f ca="1">IFERROR(__xludf.DUMMYFUNCTION("IF(N721=1,SPLIT(A721,""-""),"""")"),"")</f>
        <v/>
      </c>
      <c r="F721" s="5"/>
      <c r="G721" s="5"/>
      <c r="H721" s="5" t="str">
        <f t="array" ref="H721">IF(N721=1, INDEX('Database Mitra'!$C$2:$C993,MATCH($C721,'Database Mitra'!$AK$2:$AK993,0)),"")</f>
        <v/>
      </c>
      <c r="I721" s="71" t="str">
        <f>IF(N721=1,SUMIFS('Alokasi Honor'!$M$2:$M993,'Alokasi Honor'!$T$2:$T993,A721),"")</f>
        <v/>
      </c>
      <c r="L721" s="10" t="str">
        <f t="array" ref="L721">IF(N721=1,INDEX('Batasan Honor'!$B$2:$B993,MATCH(CONCATENATE($F721,"-",$G721),'Batasan Honor'!$G$2:$G993,0)),"")</f>
        <v/>
      </c>
      <c r="M721" s="10" t="str">
        <f t="shared" si="5"/>
        <v/>
      </c>
      <c r="N721" s="10" t="str">
        <f t="shared" si="3"/>
        <v/>
      </c>
    </row>
    <row r="722" spans="2:14" ht="12.5">
      <c r="B722" s="5"/>
      <c r="C722" s="5" t="str">
        <f ca="1">IFERROR(__xludf.DUMMYFUNCTION("IF(N722=1,SPLIT(A722,""-""),"""")"),"")</f>
        <v/>
      </c>
      <c r="F722" s="5"/>
      <c r="G722" s="5"/>
      <c r="H722" s="5" t="str">
        <f t="array" ref="H722">IF(N722=1, INDEX('Database Mitra'!$C$2:$C993,MATCH($C722,'Database Mitra'!$AK$2:$AK993,0)),"")</f>
        <v/>
      </c>
      <c r="I722" s="71" t="str">
        <f>IF(N722=1,SUMIFS('Alokasi Honor'!$M$2:$M993,'Alokasi Honor'!$T$2:$T993,A722),"")</f>
        <v/>
      </c>
      <c r="L722" s="10" t="str">
        <f t="array" ref="L722">IF(N722=1,INDEX('Batasan Honor'!$B$2:$B993,MATCH(CONCATENATE($F722,"-",$G722),'Batasan Honor'!$G$2:$G993,0)),"")</f>
        <v/>
      </c>
      <c r="M722" s="10" t="str">
        <f t="shared" si="5"/>
        <v/>
      </c>
      <c r="N722" s="10" t="str">
        <f t="shared" si="3"/>
        <v/>
      </c>
    </row>
    <row r="723" spans="2:14" ht="12.5">
      <c r="B723" s="5"/>
      <c r="C723" s="5" t="str">
        <f ca="1">IFERROR(__xludf.DUMMYFUNCTION("IF(N723=1,SPLIT(A723,""-""),"""")"),"")</f>
        <v/>
      </c>
      <c r="F723" s="5"/>
      <c r="G723" s="5"/>
      <c r="H723" s="5" t="str">
        <f t="array" ref="H723">IF(N723=1, INDEX('Database Mitra'!$C$2:$C993,MATCH($C723,'Database Mitra'!$AK$2:$AK993,0)),"")</f>
        <v/>
      </c>
      <c r="I723" s="71" t="str">
        <f>IF(N723=1,SUMIFS('Alokasi Honor'!$M$2:$M993,'Alokasi Honor'!$T$2:$T993,A723),"")</f>
        <v/>
      </c>
      <c r="L723" s="10" t="str">
        <f t="array" ref="L723">IF(N723=1,INDEX('Batasan Honor'!$B$2:$B993,MATCH(CONCATENATE($F723,"-",$G723),'Batasan Honor'!$G$2:$G993,0)),"")</f>
        <v/>
      </c>
      <c r="M723" s="10" t="str">
        <f t="shared" si="5"/>
        <v/>
      </c>
      <c r="N723" s="10" t="str">
        <f t="shared" si="3"/>
        <v/>
      </c>
    </row>
    <row r="724" spans="2:14" ht="12.5">
      <c r="B724" s="5"/>
      <c r="C724" s="5" t="str">
        <f ca="1">IFERROR(__xludf.DUMMYFUNCTION("IF(N724=1,SPLIT(A724,""-""),"""")"),"")</f>
        <v/>
      </c>
      <c r="F724" s="5"/>
      <c r="G724" s="5"/>
      <c r="H724" s="5" t="str">
        <f t="array" ref="H724">IF(N724=1, INDEX('Database Mitra'!$C$2:$C993,MATCH($C724,'Database Mitra'!$AK$2:$AK993,0)),"")</f>
        <v/>
      </c>
      <c r="I724" s="71" t="str">
        <f>IF(N724=1,SUMIFS('Alokasi Honor'!$M$2:$M993,'Alokasi Honor'!$T$2:$T993,A724),"")</f>
        <v/>
      </c>
      <c r="L724" s="10" t="str">
        <f t="array" ref="L724">IF(N724=1,INDEX('Batasan Honor'!$B$2:$B993,MATCH(CONCATENATE($F724,"-",$G724),'Batasan Honor'!$G$2:$G993,0)),"")</f>
        <v/>
      </c>
      <c r="M724" s="10" t="str">
        <f t="shared" si="5"/>
        <v/>
      </c>
      <c r="N724" s="10" t="str">
        <f t="shared" si="3"/>
        <v/>
      </c>
    </row>
    <row r="725" spans="2:14" ht="12.5">
      <c r="B725" s="5"/>
      <c r="C725" s="5" t="str">
        <f ca="1">IFERROR(__xludf.DUMMYFUNCTION("IF(N725=1,SPLIT(A725,""-""),"""")"),"")</f>
        <v/>
      </c>
      <c r="F725" s="5"/>
      <c r="G725" s="5"/>
      <c r="H725" s="5" t="str">
        <f t="array" ref="H725">IF(N725=1, INDEX('Database Mitra'!$C$2:$C993,MATCH($C725,'Database Mitra'!$AK$2:$AK993,0)),"")</f>
        <v/>
      </c>
      <c r="I725" s="71" t="str">
        <f>IF(N725=1,SUMIFS('Alokasi Honor'!$M$2:$M993,'Alokasi Honor'!$T$2:$T993,A725),"")</f>
        <v/>
      </c>
      <c r="L725" s="10" t="str">
        <f t="array" ref="L725">IF(N725=1,INDEX('Batasan Honor'!$B$2:$B993,MATCH(CONCATENATE($F725,"-",$G725),'Batasan Honor'!$G$2:$G993,0)),"")</f>
        <v/>
      </c>
      <c r="M725" s="10" t="str">
        <f t="shared" si="5"/>
        <v/>
      </c>
      <c r="N725" s="10" t="str">
        <f t="shared" si="3"/>
        <v/>
      </c>
    </row>
    <row r="726" spans="2:14" ht="12.5">
      <c r="B726" s="5"/>
      <c r="C726" s="5" t="str">
        <f ca="1">IFERROR(__xludf.DUMMYFUNCTION("IF(N726=1,SPLIT(A726,""-""),"""")"),"")</f>
        <v/>
      </c>
      <c r="F726" s="5"/>
      <c r="G726" s="5"/>
      <c r="H726" s="5" t="str">
        <f t="array" ref="H726">IF(N726=1, INDEX('Database Mitra'!$C$2:$C993,MATCH($C726,'Database Mitra'!$AK$2:$AK993,0)),"")</f>
        <v/>
      </c>
      <c r="I726" s="71" t="str">
        <f>IF(N726=1,SUMIFS('Alokasi Honor'!$M$2:$M993,'Alokasi Honor'!$T$2:$T993,A726),"")</f>
        <v/>
      </c>
      <c r="L726" s="10" t="str">
        <f t="array" ref="L726">IF(N726=1,INDEX('Batasan Honor'!$B$2:$B993,MATCH(CONCATENATE($F726,"-",$G726),'Batasan Honor'!$G$2:$G993,0)),"")</f>
        <v/>
      </c>
      <c r="M726" s="10" t="str">
        <f t="shared" si="5"/>
        <v/>
      </c>
      <c r="N726" s="10" t="str">
        <f t="shared" si="3"/>
        <v/>
      </c>
    </row>
    <row r="727" spans="2:14" ht="12.5">
      <c r="B727" s="5"/>
      <c r="C727" s="5" t="str">
        <f ca="1">IFERROR(__xludf.DUMMYFUNCTION("IF(N727=1,SPLIT(A727,""-""),"""")"),"")</f>
        <v/>
      </c>
      <c r="F727" s="5"/>
      <c r="G727" s="5"/>
      <c r="H727" s="5" t="str">
        <f t="array" ref="H727">IF(N727=1, INDEX('Database Mitra'!$C$2:$C993,MATCH($C727,'Database Mitra'!$AK$2:$AK993,0)),"")</f>
        <v/>
      </c>
      <c r="I727" s="71" t="str">
        <f>IF(N727=1,SUMIFS('Alokasi Honor'!$M$2:$M993,'Alokasi Honor'!$T$2:$T993,A727),"")</f>
        <v/>
      </c>
      <c r="L727" s="10" t="str">
        <f t="array" ref="L727">IF(N727=1,INDEX('Batasan Honor'!$B$2:$B993,MATCH(CONCATENATE($F727,"-",$G727),'Batasan Honor'!$G$2:$G993,0)),"")</f>
        <v/>
      </c>
      <c r="M727" s="10" t="str">
        <f t="shared" si="5"/>
        <v/>
      </c>
      <c r="N727" s="10" t="str">
        <f t="shared" si="3"/>
        <v/>
      </c>
    </row>
    <row r="728" spans="2:14" ht="12.5">
      <c r="B728" s="5"/>
      <c r="C728" s="5" t="str">
        <f ca="1">IFERROR(__xludf.DUMMYFUNCTION("IF(N728=1,SPLIT(A728,""-""),"""")"),"")</f>
        <v/>
      </c>
      <c r="F728" s="5"/>
      <c r="G728" s="5"/>
      <c r="H728" s="5" t="str">
        <f t="array" ref="H728">IF(N728=1, INDEX('Database Mitra'!$C$2:$C993,MATCH($C728,'Database Mitra'!$AK$2:$AK993,0)),"")</f>
        <v/>
      </c>
      <c r="I728" s="71" t="str">
        <f>IF(N728=1,SUMIFS('Alokasi Honor'!$M$2:$M993,'Alokasi Honor'!$T$2:$T993,A728),"")</f>
        <v/>
      </c>
      <c r="L728" s="10" t="str">
        <f t="array" ref="L728">IF(N728=1,INDEX('Batasan Honor'!$B$2:$B993,MATCH(CONCATENATE($F728,"-",$G728),'Batasan Honor'!$G$2:$G993,0)),"")</f>
        <v/>
      </c>
      <c r="M728" s="10" t="str">
        <f t="shared" si="5"/>
        <v/>
      </c>
      <c r="N728" s="10" t="str">
        <f t="shared" si="3"/>
        <v/>
      </c>
    </row>
    <row r="729" spans="2:14" ht="12.5">
      <c r="B729" s="5"/>
      <c r="C729" s="5" t="str">
        <f ca="1">IFERROR(__xludf.DUMMYFUNCTION("IF(N729=1,SPLIT(A729,""-""),"""")"),"")</f>
        <v/>
      </c>
      <c r="F729" s="5"/>
      <c r="G729" s="5"/>
      <c r="H729" s="5" t="str">
        <f t="array" ref="H729">IF(N729=1, INDEX('Database Mitra'!$C$2:$C993,MATCH($C729,'Database Mitra'!$AK$2:$AK993,0)),"")</f>
        <v/>
      </c>
      <c r="I729" s="71" t="str">
        <f>IF(N729=1,SUMIFS('Alokasi Honor'!$M$2:$M993,'Alokasi Honor'!$T$2:$T993,A729),"")</f>
        <v/>
      </c>
      <c r="L729" s="10" t="str">
        <f t="array" ref="L729">IF(N729=1,INDEX('Batasan Honor'!$B$2:$B993,MATCH(CONCATENATE($F729,"-",$G729),'Batasan Honor'!$G$2:$G993,0)),"")</f>
        <v/>
      </c>
      <c r="M729" s="10" t="str">
        <f t="shared" si="5"/>
        <v/>
      </c>
      <c r="N729" s="10" t="str">
        <f t="shared" si="3"/>
        <v/>
      </c>
    </row>
    <row r="730" spans="2:14" ht="12.5">
      <c r="B730" s="5"/>
      <c r="C730" s="5" t="str">
        <f ca="1">IFERROR(__xludf.DUMMYFUNCTION("IF(N730=1,SPLIT(A730,""-""),"""")"),"")</f>
        <v/>
      </c>
      <c r="F730" s="5"/>
      <c r="G730" s="5"/>
      <c r="H730" s="5" t="str">
        <f t="array" ref="H730">IF(N730=1, INDEX('Database Mitra'!$C$2:$C993,MATCH($C730,'Database Mitra'!$AK$2:$AK993,0)),"")</f>
        <v/>
      </c>
      <c r="I730" s="71" t="str">
        <f>IF(N730=1,SUMIFS('Alokasi Honor'!$M$2:$M993,'Alokasi Honor'!$T$2:$T993,A730),"")</f>
        <v/>
      </c>
      <c r="L730" s="10" t="str">
        <f t="array" ref="L730">IF(N730=1,INDEX('Batasan Honor'!$B$2:$B993,MATCH(CONCATENATE($F730,"-",$G730),'Batasan Honor'!$G$2:$G993,0)),"")</f>
        <v/>
      </c>
      <c r="M730" s="10" t="str">
        <f t="shared" si="5"/>
        <v/>
      </c>
      <c r="N730" s="10" t="str">
        <f t="shared" si="3"/>
        <v/>
      </c>
    </row>
    <row r="731" spans="2:14" ht="12.5">
      <c r="B731" s="5"/>
      <c r="C731" s="5" t="str">
        <f ca="1">IFERROR(__xludf.DUMMYFUNCTION("IF(N731=1,SPLIT(A731,""-""),"""")"),"")</f>
        <v/>
      </c>
      <c r="F731" s="5"/>
      <c r="G731" s="5"/>
      <c r="H731" s="5" t="str">
        <f t="array" ref="H731">IF(N731=1, INDEX('Database Mitra'!$C$2:$C993,MATCH($C731,'Database Mitra'!$AK$2:$AK993,0)),"")</f>
        <v/>
      </c>
      <c r="I731" s="71" t="str">
        <f>IF(N731=1,SUMIFS('Alokasi Honor'!$M$2:$M993,'Alokasi Honor'!$T$2:$T993,A731),"")</f>
        <v/>
      </c>
      <c r="L731" s="10" t="str">
        <f t="array" ref="L731">IF(N731=1,INDEX('Batasan Honor'!$B$2:$B993,MATCH(CONCATENATE($F731,"-",$G731),'Batasan Honor'!$G$2:$G993,0)),"")</f>
        <v/>
      </c>
      <c r="M731" s="10" t="str">
        <f t="shared" si="5"/>
        <v/>
      </c>
      <c r="N731" s="10" t="str">
        <f t="shared" si="3"/>
        <v/>
      </c>
    </row>
    <row r="732" spans="2:14" ht="12.5">
      <c r="B732" s="5"/>
      <c r="C732" s="5" t="str">
        <f ca="1">IFERROR(__xludf.DUMMYFUNCTION("IF(N732=1,SPLIT(A732,""-""),"""")"),"")</f>
        <v/>
      </c>
      <c r="F732" s="5"/>
      <c r="G732" s="5"/>
      <c r="H732" s="5" t="str">
        <f t="array" ref="H732">IF(N732=1, INDEX('Database Mitra'!$C$2:$C993,MATCH($C732,'Database Mitra'!$AK$2:$AK993,0)),"")</f>
        <v/>
      </c>
      <c r="I732" s="71" t="str">
        <f>IF(N732=1,SUMIFS('Alokasi Honor'!$M$2:$M993,'Alokasi Honor'!$T$2:$T993,A732),"")</f>
        <v/>
      </c>
      <c r="L732" s="10" t="str">
        <f t="array" ref="L732">IF(N732=1,INDEX('Batasan Honor'!$B$2:$B993,MATCH(CONCATENATE($F732,"-",$G732),'Batasan Honor'!$G$2:$G993,0)),"")</f>
        <v/>
      </c>
      <c r="M732" s="10" t="str">
        <f t="shared" si="5"/>
        <v/>
      </c>
      <c r="N732" s="10" t="str">
        <f t="shared" si="3"/>
        <v/>
      </c>
    </row>
    <row r="733" spans="2:14" ht="12.5">
      <c r="B733" s="5"/>
      <c r="C733" s="5" t="str">
        <f ca="1">IFERROR(__xludf.DUMMYFUNCTION("IF(N733=1,SPLIT(A733,""-""),"""")"),"")</f>
        <v/>
      </c>
      <c r="F733" s="5"/>
      <c r="G733" s="5"/>
      <c r="H733" s="5" t="str">
        <f t="array" ref="H733">IF(N733=1, INDEX('Database Mitra'!$C$2:$C993,MATCH($C733,'Database Mitra'!$AK$2:$AK993,0)),"")</f>
        <v/>
      </c>
      <c r="I733" s="71" t="str">
        <f>IF(N733=1,SUMIFS('Alokasi Honor'!$M$2:$M993,'Alokasi Honor'!$T$2:$T993,A733),"")</f>
        <v/>
      </c>
      <c r="L733" s="10" t="str">
        <f t="array" ref="L733">IF(N733=1,INDEX('Batasan Honor'!$B$2:$B993,MATCH(CONCATENATE($F733,"-",$G733),'Batasan Honor'!$G$2:$G993,0)),"")</f>
        <v/>
      </c>
      <c r="M733" s="10" t="str">
        <f t="shared" si="5"/>
        <v/>
      </c>
      <c r="N733" s="10" t="str">
        <f t="shared" si="3"/>
        <v/>
      </c>
    </row>
    <row r="734" spans="2:14" ht="12.5">
      <c r="B734" s="5"/>
      <c r="C734" s="5" t="str">
        <f ca="1">IFERROR(__xludf.DUMMYFUNCTION("IF(N734=1,SPLIT(A734,""-""),"""")"),"")</f>
        <v/>
      </c>
      <c r="F734" s="5"/>
      <c r="G734" s="5"/>
      <c r="H734" s="5" t="str">
        <f t="array" ref="H734">IF(N734=1, INDEX('Database Mitra'!$C$2:$C993,MATCH($C734,'Database Mitra'!$AK$2:$AK993,0)),"")</f>
        <v/>
      </c>
      <c r="I734" s="71" t="str">
        <f>IF(N734=1,SUMIFS('Alokasi Honor'!$M$2:$M993,'Alokasi Honor'!$T$2:$T993,A734),"")</f>
        <v/>
      </c>
      <c r="L734" s="10" t="str">
        <f t="array" ref="L734">IF(N734=1,INDEX('Batasan Honor'!$B$2:$B993,MATCH(CONCATENATE($F734,"-",$G734),'Batasan Honor'!$G$2:$G993,0)),"")</f>
        <v/>
      </c>
      <c r="M734" s="10" t="str">
        <f t="shared" si="5"/>
        <v/>
      </c>
      <c r="N734" s="10" t="str">
        <f t="shared" si="3"/>
        <v/>
      </c>
    </row>
    <row r="735" spans="2:14" ht="12.5">
      <c r="B735" s="5"/>
      <c r="C735" s="5" t="str">
        <f ca="1">IFERROR(__xludf.DUMMYFUNCTION("IF(N735=1,SPLIT(A735,""-""),"""")"),"")</f>
        <v/>
      </c>
      <c r="F735" s="5"/>
      <c r="G735" s="5"/>
      <c r="H735" s="5" t="str">
        <f t="array" ref="H735">IF(N735=1, INDEX('Database Mitra'!$C$2:$C993,MATCH($C735,'Database Mitra'!$AK$2:$AK993,0)),"")</f>
        <v/>
      </c>
      <c r="I735" s="71" t="str">
        <f>IF(N735=1,SUMIFS('Alokasi Honor'!$M$2:$M993,'Alokasi Honor'!$T$2:$T993,A735),"")</f>
        <v/>
      </c>
      <c r="L735" s="10" t="str">
        <f t="array" ref="L735">IF(N735=1,INDEX('Batasan Honor'!$B$2:$B993,MATCH(CONCATENATE($F735,"-",$G735),'Batasan Honor'!$G$2:$G993,0)),"")</f>
        <v/>
      </c>
      <c r="M735" s="10" t="str">
        <f t="shared" si="5"/>
        <v/>
      </c>
      <c r="N735" s="10" t="str">
        <f t="shared" si="3"/>
        <v/>
      </c>
    </row>
    <row r="736" spans="2:14" ht="12.5">
      <c r="B736" s="5"/>
      <c r="C736" s="5" t="str">
        <f ca="1">IFERROR(__xludf.DUMMYFUNCTION("IF(N736=1,SPLIT(A736,""-""),"""")"),"")</f>
        <v/>
      </c>
      <c r="F736" s="5"/>
      <c r="G736" s="5"/>
      <c r="H736" s="5" t="str">
        <f t="array" ref="H736">IF(N736=1, INDEX('Database Mitra'!$C$2:$C993,MATCH($C736,'Database Mitra'!$AK$2:$AK993,0)),"")</f>
        <v/>
      </c>
      <c r="I736" s="71" t="str">
        <f>IF(N736=1,SUMIFS('Alokasi Honor'!$M$2:$M993,'Alokasi Honor'!$T$2:$T993,A736),"")</f>
        <v/>
      </c>
      <c r="L736" s="10" t="str">
        <f t="array" ref="L736">IF(N736=1,INDEX('Batasan Honor'!$B$2:$B993,MATCH(CONCATENATE($F736,"-",$G736),'Batasan Honor'!$G$2:$G993,0)),"")</f>
        <v/>
      </c>
      <c r="M736" s="10" t="str">
        <f t="shared" si="5"/>
        <v/>
      </c>
      <c r="N736" s="10" t="str">
        <f t="shared" si="3"/>
        <v/>
      </c>
    </row>
    <row r="737" spans="2:14" ht="12.5">
      <c r="B737" s="5"/>
      <c r="C737" s="5" t="str">
        <f ca="1">IFERROR(__xludf.DUMMYFUNCTION("IF(N737=1,SPLIT(A737,""-""),"""")"),"")</f>
        <v/>
      </c>
      <c r="F737" s="5"/>
      <c r="G737" s="5"/>
      <c r="H737" s="5" t="str">
        <f t="array" ref="H737">IF(N737=1, INDEX('Database Mitra'!$C$2:$C993,MATCH($C737,'Database Mitra'!$AK$2:$AK993,0)),"")</f>
        <v/>
      </c>
      <c r="I737" s="71" t="str">
        <f>IF(N737=1,SUMIFS('Alokasi Honor'!$M$2:$M993,'Alokasi Honor'!$T$2:$T993,A737),"")</f>
        <v/>
      </c>
      <c r="L737" s="10" t="str">
        <f t="array" ref="L737">IF(N737=1,INDEX('Batasan Honor'!$B$2:$B993,MATCH(CONCATENATE($F737,"-",$G737),'Batasan Honor'!$G$2:$G993,0)),"")</f>
        <v/>
      </c>
      <c r="M737" s="10" t="str">
        <f t="shared" si="5"/>
        <v/>
      </c>
      <c r="N737" s="10" t="str">
        <f t="shared" si="3"/>
        <v/>
      </c>
    </row>
    <row r="738" spans="2:14" ht="12.5">
      <c r="B738" s="5"/>
      <c r="C738" s="5" t="str">
        <f ca="1">IFERROR(__xludf.DUMMYFUNCTION("IF(N738=1,SPLIT(A738,""-""),"""")"),"")</f>
        <v/>
      </c>
      <c r="F738" s="5"/>
      <c r="G738" s="5"/>
      <c r="H738" s="5" t="str">
        <f t="array" ref="H738">IF(N738=1, INDEX('Database Mitra'!$C$2:$C993,MATCH($C738,'Database Mitra'!$AK$2:$AK993,0)),"")</f>
        <v/>
      </c>
      <c r="I738" s="71" t="str">
        <f>IF(N738=1,SUMIFS('Alokasi Honor'!$M$2:$M993,'Alokasi Honor'!$T$2:$T993,A738),"")</f>
        <v/>
      </c>
      <c r="L738" s="10" t="str">
        <f t="array" ref="L738">IF(N738=1,INDEX('Batasan Honor'!$B$2:$B993,MATCH(CONCATENATE($F738,"-",$G738),'Batasan Honor'!$G$2:$G993,0)),"")</f>
        <v/>
      </c>
      <c r="M738" s="10" t="str">
        <f t="shared" si="5"/>
        <v/>
      </c>
      <c r="N738" s="10" t="str">
        <f t="shared" si="3"/>
        <v/>
      </c>
    </row>
    <row r="739" spans="2:14" ht="12.5">
      <c r="B739" s="5"/>
      <c r="C739" s="5" t="str">
        <f ca="1">IFERROR(__xludf.DUMMYFUNCTION("IF(N739=1,SPLIT(A739,""-""),"""")"),"")</f>
        <v/>
      </c>
      <c r="F739" s="5"/>
      <c r="G739" s="5"/>
      <c r="H739" s="5" t="str">
        <f t="array" ref="H739">IF(N739=1, INDEX('Database Mitra'!$C$2:$C993,MATCH($C739,'Database Mitra'!$AK$2:$AK993,0)),"")</f>
        <v/>
      </c>
      <c r="I739" s="71" t="str">
        <f>IF(N739=1,SUMIFS('Alokasi Honor'!$M$2:$M993,'Alokasi Honor'!$T$2:$T993,A739),"")</f>
        <v/>
      </c>
      <c r="L739" s="10" t="str">
        <f t="array" ref="L739">IF(N739=1,INDEX('Batasan Honor'!$B$2:$B993,MATCH(CONCATENATE($F739,"-",$G739),'Batasan Honor'!$G$2:$G993,0)),"")</f>
        <v/>
      </c>
      <c r="M739" s="10" t="str">
        <f t="shared" si="5"/>
        <v/>
      </c>
      <c r="N739" s="10" t="str">
        <f t="shared" si="3"/>
        <v/>
      </c>
    </row>
    <row r="740" spans="2:14" ht="12.5">
      <c r="B740" s="5"/>
      <c r="C740" s="5" t="str">
        <f ca="1">IFERROR(__xludf.DUMMYFUNCTION("IF(N740=1,SPLIT(A740,""-""),"""")"),"")</f>
        <v/>
      </c>
      <c r="F740" s="5"/>
      <c r="G740" s="5"/>
      <c r="H740" s="5" t="str">
        <f t="array" ref="H740">IF(N740=1, INDEX('Database Mitra'!$C$2:$C993,MATCH($C740,'Database Mitra'!$AK$2:$AK993,0)),"")</f>
        <v/>
      </c>
      <c r="I740" s="71" t="str">
        <f>IF(N740=1,SUMIFS('Alokasi Honor'!$M$2:$M993,'Alokasi Honor'!$T$2:$T993,A740),"")</f>
        <v/>
      </c>
      <c r="L740" s="10" t="str">
        <f t="array" ref="L740">IF(N740=1,INDEX('Batasan Honor'!$B$2:$B993,MATCH(CONCATENATE($F740,"-",$G740),'Batasan Honor'!$G$2:$G993,0)),"")</f>
        <v/>
      </c>
      <c r="M740" s="10" t="str">
        <f t="shared" si="5"/>
        <v/>
      </c>
      <c r="N740" s="10" t="str">
        <f t="shared" si="3"/>
        <v/>
      </c>
    </row>
    <row r="741" spans="2:14" ht="12.5">
      <c r="B741" s="5"/>
      <c r="C741" s="5" t="str">
        <f ca="1">IFERROR(__xludf.DUMMYFUNCTION("IF(N741=1,SPLIT(A741,""-""),"""")"),"")</f>
        <v/>
      </c>
      <c r="F741" s="5"/>
      <c r="G741" s="5"/>
      <c r="H741" s="5" t="str">
        <f t="array" ref="H741">IF(N741=1, INDEX('Database Mitra'!$C$2:$C993,MATCH($C741,'Database Mitra'!$AK$2:$AK993,0)),"")</f>
        <v/>
      </c>
      <c r="I741" s="71" t="str">
        <f>IF(N741=1,SUMIFS('Alokasi Honor'!$M$2:$M993,'Alokasi Honor'!$T$2:$T993,A741),"")</f>
        <v/>
      </c>
      <c r="L741" s="10" t="str">
        <f t="array" ref="L741">IF(N741=1,INDEX('Batasan Honor'!$B$2:$B993,MATCH(CONCATENATE($F741,"-",$G741),'Batasan Honor'!$G$2:$G993,0)),"")</f>
        <v/>
      </c>
      <c r="M741" s="10" t="str">
        <f t="shared" si="5"/>
        <v/>
      </c>
      <c r="N741" s="10" t="str">
        <f t="shared" si="3"/>
        <v/>
      </c>
    </row>
    <row r="742" spans="2:14" ht="12.5">
      <c r="B742" s="5"/>
      <c r="C742" s="5" t="str">
        <f ca="1">IFERROR(__xludf.DUMMYFUNCTION("IF(N742=1,SPLIT(A742,""-""),"""")"),"")</f>
        <v/>
      </c>
      <c r="F742" s="5"/>
      <c r="G742" s="5"/>
      <c r="H742" s="5" t="str">
        <f t="array" ref="H742">IF(N742=1, INDEX('Database Mitra'!$C$2:$C993,MATCH($C742,'Database Mitra'!$AK$2:$AK993,0)),"")</f>
        <v/>
      </c>
      <c r="I742" s="71" t="str">
        <f>IF(N742=1,SUMIFS('Alokasi Honor'!$M$2:$M993,'Alokasi Honor'!$T$2:$T993,A742),"")</f>
        <v/>
      </c>
      <c r="L742" s="10" t="str">
        <f t="array" ref="L742">IF(N742=1,INDEX('Batasan Honor'!$B$2:$B993,MATCH(CONCATENATE($F742,"-",$G742),'Batasan Honor'!$G$2:$G993,0)),"")</f>
        <v/>
      </c>
      <c r="M742" s="10" t="str">
        <f t="shared" si="5"/>
        <v/>
      </c>
      <c r="N742" s="10" t="str">
        <f t="shared" si="3"/>
        <v/>
      </c>
    </row>
    <row r="743" spans="2:14" ht="12.5">
      <c r="B743" s="5"/>
      <c r="C743" s="5" t="str">
        <f ca="1">IFERROR(__xludf.DUMMYFUNCTION("IF(N743=1,SPLIT(A743,""-""),"""")"),"")</f>
        <v/>
      </c>
      <c r="F743" s="5"/>
      <c r="G743" s="5"/>
      <c r="H743" s="5" t="str">
        <f t="array" ref="H743">IF(N743=1, INDEX('Database Mitra'!$C$2:$C993,MATCH($C743,'Database Mitra'!$AK$2:$AK993,0)),"")</f>
        <v/>
      </c>
      <c r="I743" s="71" t="str">
        <f>IF(N743=1,SUMIFS('Alokasi Honor'!$M$2:$M993,'Alokasi Honor'!$T$2:$T993,A743),"")</f>
        <v/>
      </c>
      <c r="L743" s="10" t="str">
        <f t="array" ref="L743">IF(N743=1,INDEX('Batasan Honor'!$B$2:$B993,MATCH(CONCATENATE($F743,"-",$G743),'Batasan Honor'!$G$2:$G993,0)),"")</f>
        <v/>
      </c>
      <c r="M743" s="10" t="str">
        <f t="shared" si="5"/>
        <v/>
      </c>
      <c r="N743" s="10" t="str">
        <f t="shared" si="3"/>
        <v/>
      </c>
    </row>
    <row r="744" spans="2:14" ht="12.5">
      <c r="B744" s="5"/>
      <c r="C744" s="5" t="str">
        <f ca="1">IFERROR(__xludf.DUMMYFUNCTION("IF(N744=1,SPLIT(A744,""-""),"""")"),"")</f>
        <v/>
      </c>
      <c r="F744" s="5"/>
      <c r="G744" s="5"/>
      <c r="H744" s="5" t="str">
        <f t="array" ref="H744">IF(N744=1, INDEX('Database Mitra'!$C$2:$C993,MATCH($C744,'Database Mitra'!$AK$2:$AK993,0)),"")</f>
        <v/>
      </c>
      <c r="I744" s="71" t="str">
        <f>IF(N744=1,SUMIFS('Alokasi Honor'!$M$2:$M993,'Alokasi Honor'!$T$2:$T993,A744),"")</f>
        <v/>
      </c>
      <c r="L744" s="10" t="str">
        <f t="array" ref="L744">IF(N744=1,INDEX('Batasan Honor'!$B$2:$B993,MATCH(CONCATENATE($F744,"-",$G744),'Batasan Honor'!$G$2:$G993,0)),"")</f>
        <v/>
      </c>
      <c r="M744" s="10" t="str">
        <f t="shared" si="5"/>
        <v/>
      </c>
      <c r="N744" s="10" t="str">
        <f t="shared" si="3"/>
        <v/>
      </c>
    </row>
    <row r="745" spans="2:14" ht="12.5">
      <c r="B745" s="5"/>
      <c r="C745" s="5" t="str">
        <f ca="1">IFERROR(__xludf.DUMMYFUNCTION("IF(N745=1,SPLIT(A745,""-""),"""")"),"")</f>
        <v/>
      </c>
      <c r="F745" s="5"/>
      <c r="G745" s="5"/>
      <c r="H745" s="5" t="str">
        <f t="array" ref="H745">IF(N745=1, INDEX('Database Mitra'!$C$2:$C993,MATCH($C745,'Database Mitra'!$AK$2:$AK993,0)),"")</f>
        <v/>
      </c>
      <c r="I745" s="71" t="str">
        <f>IF(N745=1,SUMIFS('Alokasi Honor'!$M$2:$M993,'Alokasi Honor'!$T$2:$T993,A745),"")</f>
        <v/>
      </c>
      <c r="L745" s="10" t="str">
        <f t="array" ref="L745">IF(N745=1,INDEX('Batasan Honor'!$B$2:$B993,MATCH(CONCATENATE($F745,"-",$G745),'Batasan Honor'!$G$2:$G993,0)),"")</f>
        <v/>
      </c>
      <c r="M745" s="10" t="str">
        <f t="shared" si="5"/>
        <v/>
      </c>
      <c r="N745" s="10" t="str">
        <f t="shared" si="3"/>
        <v/>
      </c>
    </row>
    <row r="746" spans="2:14" ht="12.5">
      <c r="B746" s="5"/>
      <c r="C746" s="5" t="str">
        <f ca="1">IFERROR(__xludf.DUMMYFUNCTION("IF(N746=1,SPLIT(A746,""-""),"""")"),"")</f>
        <v/>
      </c>
      <c r="F746" s="5"/>
      <c r="G746" s="5"/>
      <c r="H746" s="5" t="str">
        <f t="array" ref="H746">IF(N746=1, INDEX('Database Mitra'!$C$2:$C993,MATCH($C746,'Database Mitra'!$AK$2:$AK993,0)),"")</f>
        <v/>
      </c>
      <c r="I746" s="71" t="str">
        <f>IF(N746=1,SUMIFS('Alokasi Honor'!$M$2:$M993,'Alokasi Honor'!$T$2:$T993,A746),"")</f>
        <v/>
      </c>
      <c r="L746" s="10" t="str">
        <f t="array" ref="L746">IF(N746=1,INDEX('Batasan Honor'!$B$2:$B993,MATCH(CONCATENATE($F746,"-",$G746),'Batasan Honor'!$G$2:$G993,0)),"")</f>
        <v/>
      </c>
      <c r="M746" s="10" t="str">
        <f t="shared" si="5"/>
        <v/>
      </c>
      <c r="N746" s="10" t="str">
        <f t="shared" si="3"/>
        <v/>
      </c>
    </row>
    <row r="747" spans="2:14" ht="12.5">
      <c r="B747" s="5"/>
      <c r="C747" s="5" t="str">
        <f ca="1">IFERROR(__xludf.DUMMYFUNCTION("IF(N747=1,SPLIT(A747,""-""),"""")"),"")</f>
        <v/>
      </c>
      <c r="F747" s="5"/>
      <c r="G747" s="5"/>
      <c r="H747" s="5" t="str">
        <f t="array" ref="H747">IF(N747=1, INDEX('Database Mitra'!$C$2:$C993,MATCH($C747,'Database Mitra'!$AK$2:$AK993,0)),"")</f>
        <v/>
      </c>
      <c r="I747" s="71" t="str">
        <f>IF(N747=1,SUMIFS('Alokasi Honor'!$M$2:$M993,'Alokasi Honor'!$T$2:$T993,A747),"")</f>
        <v/>
      </c>
      <c r="L747" s="10" t="str">
        <f t="array" ref="L747">IF(N747=1,INDEX('Batasan Honor'!$B$2:$B993,MATCH(CONCATENATE($F747,"-",$G747),'Batasan Honor'!$G$2:$G993,0)),"")</f>
        <v/>
      </c>
      <c r="M747" s="10" t="str">
        <f t="shared" si="5"/>
        <v/>
      </c>
      <c r="N747" s="10" t="str">
        <f t="shared" si="3"/>
        <v/>
      </c>
    </row>
    <row r="748" spans="2:14" ht="12.5">
      <c r="B748" s="5"/>
      <c r="C748" s="5" t="str">
        <f ca="1">IFERROR(__xludf.DUMMYFUNCTION("IF(N748=1,SPLIT(A748,""-""),"""")"),"")</f>
        <v/>
      </c>
      <c r="F748" s="5"/>
      <c r="G748" s="5"/>
      <c r="H748" s="5" t="str">
        <f t="array" ref="H748">IF(N748=1, INDEX('Database Mitra'!$C$2:$C993,MATCH($C748,'Database Mitra'!$AK$2:$AK993,0)),"")</f>
        <v/>
      </c>
      <c r="I748" s="71" t="str">
        <f>IF(N748=1,SUMIFS('Alokasi Honor'!$M$2:$M993,'Alokasi Honor'!$T$2:$T993,A748),"")</f>
        <v/>
      </c>
      <c r="L748" s="10" t="str">
        <f t="array" ref="L748">IF(N748=1,INDEX('Batasan Honor'!$B$2:$B993,MATCH(CONCATENATE($F748,"-",$G748),'Batasan Honor'!$G$2:$G993,0)),"")</f>
        <v/>
      </c>
      <c r="M748" s="10" t="str">
        <f t="shared" si="5"/>
        <v/>
      </c>
      <c r="N748" s="10" t="str">
        <f t="shared" si="3"/>
        <v/>
      </c>
    </row>
    <row r="749" spans="2:14" ht="12.5">
      <c r="B749" s="5"/>
      <c r="C749" s="5" t="str">
        <f ca="1">IFERROR(__xludf.DUMMYFUNCTION("IF(N749=1,SPLIT(A749,""-""),"""")"),"")</f>
        <v/>
      </c>
      <c r="F749" s="5"/>
      <c r="G749" s="5"/>
      <c r="H749" s="5" t="str">
        <f t="array" ref="H749">IF(N749=1, INDEX('Database Mitra'!$C$2:$C993,MATCH($C749,'Database Mitra'!$AK$2:$AK993,0)),"")</f>
        <v/>
      </c>
      <c r="I749" s="71" t="str">
        <f>IF(N749=1,SUMIFS('Alokasi Honor'!$M$2:$M993,'Alokasi Honor'!$T$2:$T993,A749),"")</f>
        <v/>
      </c>
      <c r="L749" s="10" t="str">
        <f t="array" ref="L749">IF(N749=1,INDEX('Batasan Honor'!$B$2:$B993,MATCH(CONCATENATE($F749,"-",$G749),'Batasan Honor'!$G$2:$G993,0)),"")</f>
        <v/>
      </c>
      <c r="M749" s="10" t="str">
        <f t="shared" si="5"/>
        <v/>
      </c>
      <c r="N749" s="10" t="str">
        <f t="shared" si="3"/>
        <v/>
      </c>
    </row>
    <row r="750" spans="2:14" ht="12.5">
      <c r="B750" s="5"/>
      <c r="C750" s="5" t="str">
        <f ca="1">IFERROR(__xludf.DUMMYFUNCTION("IF(N750=1,SPLIT(A750,""-""),"""")"),"")</f>
        <v/>
      </c>
      <c r="F750" s="5"/>
      <c r="G750" s="5"/>
      <c r="H750" s="5" t="str">
        <f t="array" ref="H750">IF(N750=1, INDEX('Database Mitra'!$C$2:$C993,MATCH($C750,'Database Mitra'!$AK$2:$AK993,0)),"")</f>
        <v/>
      </c>
      <c r="I750" s="71" t="str">
        <f>IF(N750=1,SUMIFS('Alokasi Honor'!$M$2:$M993,'Alokasi Honor'!$T$2:$T993,A750),"")</f>
        <v/>
      </c>
      <c r="L750" s="10" t="str">
        <f t="array" ref="L750">IF(N750=1,INDEX('Batasan Honor'!$B$2:$B993,MATCH(CONCATENATE($F750,"-",$G750),'Batasan Honor'!$G$2:$G993,0)),"")</f>
        <v/>
      </c>
      <c r="M750" s="10" t="str">
        <f t="shared" si="5"/>
        <v/>
      </c>
      <c r="N750" s="10" t="str">
        <f t="shared" si="3"/>
        <v/>
      </c>
    </row>
    <row r="751" spans="2:14" ht="12.5">
      <c r="B751" s="5"/>
      <c r="C751" s="5" t="str">
        <f ca="1">IFERROR(__xludf.DUMMYFUNCTION("IF(N751=1,SPLIT(A751,""-""),"""")"),"")</f>
        <v/>
      </c>
      <c r="F751" s="5"/>
      <c r="G751" s="5"/>
      <c r="H751" s="5" t="str">
        <f t="array" ref="H751">IF(N751=1, INDEX('Database Mitra'!$C$2:$C993,MATCH($C751,'Database Mitra'!$AK$2:$AK993,0)),"")</f>
        <v/>
      </c>
      <c r="I751" s="71" t="str">
        <f>IF(N751=1,SUMIFS('Alokasi Honor'!$M$2:$M993,'Alokasi Honor'!$T$2:$T993,A751),"")</f>
        <v/>
      </c>
      <c r="L751" s="10" t="str">
        <f t="array" ref="L751">IF(N751=1,INDEX('Batasan Honor'!$B$2:$B993,MATCH(CONCATENATE($F751,"-",$G751),'Batasan Honor'!$G$2:$G993,0)),"")</f>
        <v/>
      </c>
      <c r="M751" s="10" t="str">
        <f t="shared" si="5"/>
        <v/>
      </c>
      <c r="N751" s="10" t="str">
        <f t="shared" si="3"/>
        <v/>
      </c>
    </row>
    <row r="752" spans="2:14" ht="12.5">
      <c r="B752" s="5"/>
      <c r="C752" s="5" t="str">
        <f ca="1">IFERROR(__xludf.DUMMYFUNCTION("IF(N752=1,SPLIT(A752,""-""),"""")"),"")</f>
        <v/>
      </c>
      <c r="F752" s="5"/>
      <c r="G752" s="5"/>
      <c r="H752" s="5" t="str">
        <f t="array" ref="H752">IF(N752=1, INDEX('Database Mitra'!$C$2:$C993,MATCH($C752,'Database Mitra'!$AK$2:$AK993,0)),"")</f>
        <v/>
      </c>
      <c r="I752" s="71" t="str">
        <f>IF(N752=1,SUMIFS('Alokasi Honor'!$M$2:$M993,'Alokasi Honor'!$T$2:$T993,A752),"")</f>
        <v/>
      </c>
      <c r="L752" s="10" t="str">
        <f t="array" ref="L752">IF(N752=1,INDEX('Batasan Honor'!$B$2:$B993,MATCH(CONCATENATE($F752,"-",$G752),'Batasan Honor'!$G$2:$G993,0)),"")</f>
        <v/>
      </c>
      <c r="M752" s="10" t="str">
        <f t="shared" si="5"/>
        <v/>
      </c>
      <c r="N752" s="10" t="str">
        <f t="shared" si="3"/>
        <v/>
      </c>
    </row>
    <row r="753" spans="2:14" ht="12.5">
      <c r="B753" s="5"/>
      <c r="C753" s="5" t="str">
        <f ca="1">IFERROR(__xludf.DUMMYFUNCTION("IF(N753=1,SPLIT(A753,""-""),"""")"),"")</f>
        <v/>
      </c>
      <c r="F753" s="5"/>
      <c r="G753" s="5"/>
      <c r="H753" s="5" t="str">
        <f t="array" ref="H753">IF(N753=1, INDEX('Database Mitra'!$C$2:$C993,MATCH($C753,'Database Mitra'!$AK$2:$AK993,0)),"")</f>
        <v/>
      </c>
      <c r="I753" s="71" t="str">
        <f>IF(N753=1,SUMIFS('Alokasi Honor'!$M$2:$M993,'Alokasi Honor'!$T$2:$T993,A753),"")</f>
        <v/>
      </c>
      <c r="L753" s="10" t="str">
        <f t="array" ref="L753">IF(N753=1,INDEX('Batasan Honor'!$B$2:$B993,MATCH(CONCATENATE($F753,"-",$G753),'Batasan Honor'!$G$2:$G993,0)),"")</f>
        <v/>
      </c>
      <c r="M753" s="10" t="str">
        <f t="shared" si="5"/>
        <v/>
      </c>
      <c r="N753" s="10" t="str">
        <f t="shared" si="3"/>
        <v/>
      </c>
    </row>
    <row r="754" spans="2:14" ht="12.5">
      <c r="B754" s="5"/>
      <c r="C754" s="5" t="str">
        <f ca="1">IFERROR(__xludf.DUMMYFUNCTION("IF(N754=1,SPLIT(A754,""-""),"""")"),"")</f>
        <v/>
      </c>
      <c r="F754" s="5"/>
      <c r="G754" s="5"/>
      <c r="H754" s="5" t="str">
        <f t="array" ref="H754">IF(N754=1, INDEX('Database Mitra'!$C$2:$C993,MATCH($C754,'Database Mitra'!$AK$2:$AK993,0)),"")</f>
        <v/>
      </c>
      <c r="I754" s="71" t="str">
        <f>IF(N754=1,SUMIFS('Alokasi Honor'!$M$2:$M993,'Alokasi Honor'!$T$2:$T993,A754),"")</f>
        <v/>
      </c>
      <c r="L754" s="10" t="str">
        <f t="array" ref="L754">IF(N754=1,INDEX('Batasan Honor'!$B$2:$B993,MATCH(CONCATENATE($F754,"-",$G754),'Batasan Honor'!$G$2:$G993,0)),"")</f>
        <v/>
      </c>
      <c r="M754" s="10" t="str">
        <f t="shared" si="5"/>
        <v/>
      </c>
      <c r="N754" s="10" t="str">
        <f t="shared" si="3"/>
        <v/>
      </c>
    </row>
    <row r="755" spans="2:14" ht="12.5">
      <c r="B755" s="5"/>
      <c r="C755" s="5" t="str">
        <f ca="1">IFERROR(__xludf.DUMMYFUNCTION("IF(N755=1,SPLIT(A755,""-""),"""")"),"")</f>
        <v/>
      </c>
      <c r="F755" s="5"/>
      <c r="G755" s="5"/>
      <c r="H755" s="5" t="str">
        <f t="array" ref="H755">IF(N755=1, INDEX('Database Mitra'!$C$2:$C993,MATCH($C755,'Database Mitra'!$AK$2:$AK993,0)),"")</f>
        <v/>
      </c>
      <c r="I755" s="71" t="str">
        <f>IF(N755=1,SUMIFS('Alokasi Honor'!$M$2:$M993,'Alokasi Honor'!$T$2:$T993,A755),"")</f>
        <v/>
      </c>
      <c r="L755" s="10" t="str">
        <f t="array" ref="L755">IF(N755=1,INDEX('Batasan Honor'!$B$2:$B993,MATCH(CONCATENATE($F755,"-",$G755),'Batasan Honor'!$G$2:$G993,0)),"")</f>
        <v/>
      </c>
      <c r="M755" s="10" t="str">
        <f t="shared" si="5"/>
        <v/>
      </c>
      <c r="N755" s="10" t="str">
        <f t="shared" si="3"/>
        <v/>
      </c>
    </row>
    <row r="756" spans="2:14" ht="12.5">
      <c r="B756" s="5"/>
      <c r="C756" s="5" t="str">
        <f ca="1">IFERROR(__xludf.DUMMYFUNCTION("IF(N756=1,SPLIT(A756,""-""),"""")"),"")</f>
        <v/>
      </c>
      <c r="F756" s="5"/>
      <c r="G756" s="5"/>
      <c r="H756" s="5" t="str">
        <f t="array" ref="H756">IF(N756=1, INDEX('Database Mitra'!$C$2:$C993,MATCH($C756,'Database Mitra'!$AK$2:$AK993,0)),"")</f>
        <v/>
      </c>
      <c r="I756" s="71" t="str">
        <f>IF(N756=1,SUMIFS('Alokasi Honor'!$M$2:$M993,'Alokasi Honor'!$T$2:$T993,A756),"")</f>
        <v/>
      </c>
      <c r="L756" s="10" t="str">
        <f t="array" ref="L756">IF(N756=1,INDEX('Batasan Honor'!$B$2:$B993,MATCH(CONCATENATE($F756,"-",$G756),'Batasan Honor'!$G$2:$G993,0)),"")</f>
        <v/>
      </c>
      <c r="M756" s="10" t="str">
        <f t="shared" si="5"/>
        <v/>
      </c>
      <c r="N756" s="10" t="str">
        <f t="shared" si="3"/>
        <v/>
      </c>
    </row>
    <row r="757" spans="2:14" ht="12.5">
      <c r="B757" s="5"/>
      <c r="C757" s="5" t="str">
        <f ca="1">IFERROR(__xludf.DUMMYFUNCTION("IF(N757=1,SPLIT(A757,""-""),"""")"),"")</f>
        <v/>
      </c>
      <c r="F757" s="5"/>
      <c r="G757" s="5"/>
      <c r="H757" s="5" t="str">
        <f t="array" ref="H757">IF(N757=1, INDEX('Database Mitra'!$C$2:$C993,MATCH($C757,'Database Mitra'!$AK$2:$AK993,0)),"")</f>
        <v/>
      </c>
      <c r="I757" s="71" t="str">
        <f>IF(N757=1,SUMIFS('Alokasi Honor'!$M$2:$M993,'Alokasi Honor'!$T$2:$T993,A757),"")</f>
        <v/>
      </c>
      <c r="L757" s="10" t="str">
        <f t="array" ref="L757">IF(N757=1,INDEX('Batasan Honor'!$B$2:$B993,MATCH(CONCATENATE($F757,"-",$G757),'Batasan Honor'!$G$2:$G993,0)),"")</f>
        <v/>
      </c>
      <c r="M757" s="10" t="str">
        <f t="shared" si="5"/>
        <v/>
      </c>
      <c r="N757" s="10" t="str">
        <f t="shared" si="3"/>
        <v/>
      </c>
    </row>
    <row r="758" spans="2:14" ht="12.5">
      <c r="B758" s="5"/>
      <c r="C758" s="5" t="str">
        <f ca="1">IFERROR(__xludf.DUMMYFUNCTION("IF(N758=1,SPLIT(A758,""-""),"""")"),"")</f>
        <v/>
      </c>
      <c r="F758" s="5"/>
      <c r="G758" s="5"/>
      <c r="H758" s="5" t="str">
        <f t="array" ref="H758">IF(N758=1, INDEX('Database Mitra'!$C$2:$C993,MATCH($C758,'Database Mitra'!$AK$2:$AK993,0)),"")</f>
        <v/>
      </c>
      <c r="I758" s="71" t="str">
        <f>IF(N758=1,SUMIFS('Alokasi Honor'!$M$2:$M993,'Alokasi Honor'!$T$2:$T993,A758),"")</f>
        <v/>
      </c>
      <c r="L758" s="10" t="str">
        <f t="array" ref="L758">IF(N758=1,INDEX('Batasan Honor'!$B$2:$B993,MATCH(CONCATENATE($F758,"-",$G758),'Batasan Honor'!$G$2:$G993,0)),"")</f>
        <v/>
      </c>
      <c r="M758" s="10" t="str">
        <f t="shared" si="5"/>
        <v/>
      </c>
      <c r="N758" s="10" t="str">
        <f t="shared" si="3"/>
        <v/>
      </c>
    </row>
    <row r="759" spans="2:14" ht="12.5">
      <c r="B759" s="5"/>
      <c r="C759" s="5" t="str">
        <f ca="1">IFERROR(__xludf.DUMMYFUNCTION("IF(N759=1,SPLIT(A759,""-""),"""")"),"")</f>
        <v/>
      </c>
      <c r="F759" s="5"/>
      <c r="G759" s="5"/>
      <c r="H759" s="5" t="str">
        <f t="array" ref="H759">IF(N759=1, INDEX('Database Mitra'!$C$2:$C993,MATCH($C759,'Database Mitra'!$AK$2:$AK993,0)),"")</f>
        <v/>
      </c>
      <c r="I759" s="71" t="str">
        <f>IF(N759=1,SUMIFS('Alokasi Honor'!$M$2:$M993,'Alokasi Honor'!$T$2:$T993,A759),"")</f>
        <v/>
      </c>
      <c r="L759" s="10" t="str">
        <f t="array" ref="L759">IF(N759=1,INDEX('Batasan Honor'!$B$2:$B993,MATCH(CONCATENATE($F759,"-",$G759),'Batasan Honor'!$G$2:$G993,0)),"")</f>
        <v/>
      </c>
      <c r="M759" s="10" t="str">
        <f t="shared" si="5"/>
        <v/>
      </c>
      <c r="N759" s="10" t="str">
        <f t="shared" si="3"/>
        <v/>
      </c>
    </row>
    <row r="760" spans="2:14" ht="12.5">
      <c r="B760" s="5"/>
      <c r="C760" s="5" t="str">
        <f ca="1">IFERROR(__xludf.DUMMYFUNCTION("IF(N760=1,SPLIT(A760,""-""),"""")"),"")</f>
        <v/>
      </c>
      <c r="F760" s="5"/>
      <c r="G760" s="5"/>
      <c r="H760" s="5" t="str">
        <f t="array" ref="H760">IF(N760=1, INDEX('Database Mitra'!$C$2:$C993,MATCH($C760,'Database Mitra'!$AK$2:$AK993,0)),"")</f>
        <v/>
      </c>
      <c r="I760" s="71" t="str">
        <f>IF(N760=1,SUMIFS('Alokasi Honor'!$M$2:$M993,'Alokasi Honor'!$T$2:$T993,A760),"")</f>
        <v/>
      </c>
      <c r="L760" s="10" t="str">
        <f t="array" ref="L760">IF(N760=1,INDEX('Batasan Honor'!$B$2:$B993,MATCH(CONCATENATE($F760,"-",$G760),'Batasan Honor'!$G$2:$G993,0)),"")</f>
        <v/>
      </c>
      <c r="M760" s="10" t="str">
        <f t="shared" si="5"/>
        <v/>
      </c>
      <c r="N760" s="10" t="str">
        <f t="shared" si="3"/>
        <v/>
      </c>
    </row>
    <row r="761" spans="2:14" ht="12.5">
      <c r="B761" s="5"/>
      <c r="C761" s="5" t="str">
        <f ca="1">IFERROR(__xludf.DUMMYFUNCTION("IF(N761=1,SPLIT(A761,""-""),"""")"),"")</f>
        <v/>
      </c>
      <c r="F761" s="5"/>
      <c r="G761" s="5"/>
      <c r="H761" s="5" t="str">
        <f t="array" ref="H761">IF(N761=1, INDEX('Database Mitra'!$C$2:$C993,MATCH($C761,'Database Mitra'!$AK$2:$AK993,0)),"")</f>
        <v/>
      </c>
      <c r="I761" s="71" t="str">
        <f>IF(N761=1,SUMIFS('Alokasi Honor'!$M$2:$M993,'Alokasi Honor'!$T$2:$T993,A761),"")</f>
        <v/>
      </c>
      <c r="L761" s="10" t="str">
        <f t="array" ref="L761">IF(N761=1,INDEX('Batasan Honor'!$B$2:$B993,MATCH(CONCATENATE($F761,"-",$G761),'Batasan Honor'!$G$2:$G993,0)),"")</f>
        <v/>
      </c>
      <c r="M761" s="10" t="str">
        <f t="shared" si="5"/>
        <v/>
      </c>
      <c r="N761" s="10" t="str">
        <f t="shared" si="3"/>
        <v/>
      </c>
    </row>
    <row r="762" spans="2:14" ht="12.5">
      <c r="B762" s="5"/>
      <c r="C762" s="5" t="str">
        <f ca="1">IFERROR(__xludf.DUMMYFUNCTION("IF(N762=1,SPLIT(A762,""-""),"""")"),"")</f>
        <v/>
      </c>
      <c r="F762" s="5"/>
      <c r="G762" s="5"/>
      <c r="H762" s="5" t="str">
        <f t="array" ref="H762">IF(N762=1, INDEX('Database Mitra'!$C$2:$C993,MATCH($C762,'Database Mitra'!$AK$2:$AK993,0)),"")</f>
        <v/>
      </c>
      <c r="I762" s="71" t="str">
        <f>IF(N762=1,SUMIFS('Alokasi Honor'!$M$2:$M993,'Alokasi Honor'!$T$2:$T993,A762),"")</f>
        <v/>
      </c>
      <c r="L762" s="10" t="str">
        <f t="array" ref="L762">IF(N762=1,INDEX('Batasan Honor'!$B$2:$B993,MATCH(CONCATENATE($F762,"-",$G762),'Batasan Honor'!$G$2:$G993,0)),"")</f>
        <v/>
      </c>
      <c r="M762" s="10" t="str">
        <f t="shared" si="5"/>
        <v/>
      </c>
      <c r="N762" s="10" t="str">
        <f t="shared" si="3"/>
        <v/>
      </c>
    </row>
    <row r="763" spans="2:14" ht="12.5">
      <c r="B763" s="5"/>
      <c r="C763" s="5" t="str">
        <f ca="1">IFERROR(__xludf.DUMMYFUNCTION("IF(N763=1,SPLIT(A763,""-""),"""")"),"")</f>
        <v/>
      </c>
      <c r="F763" s="5"/>
      <c r="G763" s="5"/>
      <c r="H763" s="5" t="str">
        <f t="array" ref="H763">IF(N763=1, INDEX('Database Mitra'!$C$2:$C993,MATCH($C763,'Database Mitra'!$AK$2:$AK993,0)),"")</f>
        <v/>
      </c>
      <c r="I763" s="71" t="str">
        <f>IF(N763=1,SUMIFS('Alokasi Honor'!$M$2:$M993,'Alokasi Honor'!$T$2:$T993,A763),"")</f>
        <v/>
      </c>
      <c r="L763" s="10" t="str">
        <f t="array" ref="L763">IF(N763=1,INDEX('Batasan Honor'!$B$2:$B993,MATCH(CONCATENATE($F763,"-",$G763),'Batasan Honor'!$G$2:$G993,0)),"")</f>
        <v/>
      </c>
      <c r="M763" s="10" t="str">
        <f t="shared" si="5"/>
        <v/>
      </c>
      <c r="N763" s="10" t="str">
        <f t="shared" si="3"/>
        <v/>
      </c>
    </row>
    <row r="764" spans="2:14" ht="12.5">
      <c r="B764" s="5"/>
      <c r="C764" s="5" t="str">
        <f ca="1">IFERROR(__xludf.DUMMYFUNCTION("IF(N764=1,SPLIT(A764,""-""),"""")"),"")</f>
        <v/>
      </c>
      <c r="F764" s="5"/>
      <c r="G764" s="5"/>
      <c r="H764" s="5" t="str">
        <f t="array" ref="H764">IF(N764=1, INDEX('Database Mitra'!$C$2:$C993,MATCH($C764,'Database Mitra'!$AK$2:$AK993,0)),"")</f>
        <v/>
      </c>
      <c r="I764" s="71" t="str">
        <f>IF(N764=1,SUMIFS('Alokasi Honor'!$M$2:$M993,'Alokasi Honor'!$T$2:$T993,A764),"")</f>
        <v/>
      </c>
      <c r="L764" s="10" t="str">
        <f t="array" ref="L764">IF(N764=1,INDEX('Batasan Honor'!$B$2:$B993,MATCH(CONCATENATE($F764,"-",$G764),'Batasan Honor'!$G$2:$G993,0)),"")</f>
        <v/>
      </c>
      <c r="M764" s="10" t="str">
        <f t="shared" si="5"/>
        <v/>
      </c>
      <c r="N764" s="10" t="str">
        <f t="shared" si="3"/>
        <v/>
      </c>
    </row>
    <row r="765" spans="2:14" ht="12.5">
      <c r="B765" s="5"/>
      <c r="C765" s="5" t="str">
        <f ca="1">IFERROR(__xludf.DUMMYFUNCTION("IF(N765=1,SPLIT(A765,""-""),"""")"),"")</f>
        <v/>
      </c>
      <c r="F765" s="5"/>
      <c r="G765" s="5"/>
      <c r="H765" s="5" t="str">
        <f t="array" ref="H765">IF(N765=1, INDEX('Database Mitra'!$C$2:$C993,MATCH($C765,'Database Mitra'!$AK$2:$AK993,0)),"")</f>
        <v/>
      </c>
      <c r="I765" s="71" t="str">
        <f>IF(N765=1,SUMIFS('Alokasi Honor'!$M$2:$M993,'Alokasi Honor'!$T$2:$T993,A765),"")</f>
        <v/>
      </c>
      <c r="L765" s="10" t="str">
        <f t="array" ref="L765">IF(N765=1,INDEX('Batasan Honor'!$B$2:$B993,MATCH(CONCATENATE($F765,"-",$G765),'Batasan Honor'!$G$2:$G993,0)),"")</f>
        <v/>
      </c>
      <c r="M765" s="10" t="str">
        <f t="shared" si="5"/>
        <v/>
      </c>
      <c r="N765" s="10" t="str">
        <f t="shared" si="3"/>
        <v/>
      </c>
    </row>
    <row r="766" spans="2:14" ht="12.5">
      <c r="B766" s="5"/>
      <c r="C766" s="5" t="str">
        <f ca="1">IFERROR(__xludf.DUMMYFUNCTION("IF(N766=1,SPLIT(A766,""-""),"""")"),"")</f>
        <v/>
      </c>
      <c r="F766" s="5"/>
      <c r="G766" s="5"/>
      <c r="H766" s="5" t="str">
        <f t="array" ref="H766">IF(N766=1, INDEX('Database Mitra'!$C$2:$C993,MATCH($C766,'Database Mitra'!$AK$2:$AK993,0)),"")</f>
        <v/>
      </c>
      <c r="I766" s="71" t="str">
        <f>IF(N766=1,SUMIFS('Alokasi Honor'!$M$2:$M993,'Alokasi Honor'!$T$2:$T993,A766),"")</f>
        <v/>
      </c>
      <c r="L766" s="10" t="str">
        <f t="array" ref="L766">IF(N766=1,INDEX('Batasan Honor'!$B$2:$B993,MATCH(CONCATENATE($F766,"-",$G766),'Batasan Honor'!$G$2:$G993,0)),"")</f>
        <v/>
      </c>
      <c r="M766" s="10" t="str">
        <f t="shared" si="5"/>
        <v/>
      </c>
      <c r="N766" s="10" t="str">
        <f t="shared" si="3"/>
        <v/>
      </c>
    </row>
    <row r="767" spans="2:14" ht="12.5">
      <c r="B767" s="5"/>
      <c r="C767" s="5" t="str">
        <f ca="1">IFERROR(__xludf.DUMMYFUNCTION("IF(N767=1,SPLIT(A767,""-""),"""")"),"")</f>
        <v/>
      </c>
      <c r="F767" s="5"/>
      <c r="G767" s="5"/>
      <c r="H767" s="5" t="str">
        <f t="array" ref="H767">IF(N767=1, INDEX('Database Mitra'!$C$2:$C993,MATCH($C767,'Database Mitra'!$AK$2:$AK993,0)),"")</f>
        <v/>
      </c>
      <c r="I767" s="71" t="str">
        <f>IF(N767=1,SUMIFS('Alokasi Honor'!$M$2:$M993,'Alokasi Honor'!$T$2:$T993,A767),"")</f>
        <v/>
      </c>
      <c r="L767" s="10" t="str">
        <f t="array" ref="L767">IF(N767=1,INDEX('Batasan Honor'!$B$2:$B993,MATCH(CONCATENATE($F767,"-",$G767),'Batasan Honor'!$G$2:$G993,0)),"")</f>
        <v/>
      </c>
      <c r="M767" s="10" t="str">
        <f t="shared" si="5"/>
        <v/>
      </c>
      <c r="N767" s="10" t="str">
        <f t="shared" si="3"/>
        <v/>
      </c>
    </row>
    <row r="768" spans="2:14" ht="12.5">
      <c r="B768" s="5"/>
      <c r="C768" s="5" t="str">
        <f ca="1">IFERROR(__xludf.DUMMYFUNCTION("IF(N768=1,SPLIT(A768,""-""),"""")"),"")</f>
        <v/>
      </c>
      <c r="F768" s="5"/>
      <c r="G768" s="5"/>
      <c r="H768" s="5" t="str">
        <f t="array" ref="H768">IF(N768=1, INDEX('Database Mitra'!$C$2:$C993,MATCH($C768,'Database Mitra'!$AK$2:$AK993,0)),"")</f>
        <v/>
      </c>
      <c r="I768" s="71" t="str">
        <f>IF(N768=1,SUMIFS('Alokasi Honor'!$M$2:$M993,'Alokasi Honor'!$T$2:$T993,A768),"")</f>
        <v/>
      </c>
      <c r="L768" s="10" t="str">
        <f t="array" ref="L768">IF(N768=1,INDEX('Batasan Honor'!$B$2:$B993,MATCH(CONCATENATE($F768,"-",$G768),'Batasan Honor'!$G$2:$G993,0)),"")</f>
        <v/>
      </c>
      <c r="M768" s="10" t="str">
        <f t="shared" si="5"/>
        <v/>
      </c>
      <c r="N768" s="10" t="str">
        <f t="shared" si="3"/>
        <v/>
      </c>
    </row>
    <row r="769" spans="2:14" ht="12.5">
      <c r="B769" s="5"/>
      <c r="C769" s="5" t="str">
        <f ca="1">IFERROR(__xludf.DUMMYFUNCTION("IF(N769=1,SPLIT(A769,""-""),"""")"),"")</f>
        <v/>
      </c>
      <c r="F769" s="5"/>
      <c r="G769" s="5"/>
      <c r="H769" s="5" t="str">
        <f t="array" ref="H769">IF(N769=1, INDEX('Database Mitra'!$C$2:$C993,MATCH($C769,'Database Mitra'!$AK$2:$AK993,0)),"")</f>
        <v/>
      </c>
      <c r="I769" s="71" t="str">
        <f>IF(N769=1,SUMIFS('Alokasi Honor'!$M$2:$M993,'Alokasi Honor'!$T$2:$T993,A769),"")</f>
        <v/>
      </c>
      <c r="L769" s="10" t="str">
        <f t="array" ref="L769">IF(N769=1,INDEX('Batasan Honor'!$B$2:$B993,MATCH(CONCATENATE($F769,"-",$G769),'Batasan Honor'!$G$2:$G993,0)),"")</f>
        <v/>
      </c>
      <c r="M769" s="10" t="str">
        <f t="shared" si="5"/>
        <v/>
      </c>
      <c r="N769" s="10" t="str">
        <f t="shared" si="3"/>
        <v/>
      </c>
    </row>
    <row r="770" spans="2:14" ht="12.5">
      <c r="B770" s="5"/>
      <c r="C770" s="5" t="str">
        <f ca="1">IFERROR(__xludf.DUMMYFUNCTION("IF(N770=1,SPLIT(A770,""-""),"""")"),"")</f>
        <v/>
      </c>
      <c r="F770" s="5"/>
      <c r="G770" s="5"/>
      <c r="H770" s="5" t="str">
        <f t="array" ref="H770">IF(N770=1, INDEX('Database Mitra'!$C$2:$C993,MATCH($C770,'Database Mitra'!$AK$2:$AK993,0)),"")</f>
        <v/>
      </c>
      <c r="I770" s="71" t="str">
        <f>IF(N770=1,SUMIFS('Alokasi Honor'!$M$2:$M993,'Alokasi Honor'!$T$2:$T993,A770),"")</f>
        <v/>
      </c>
      <c r="L770" s="10" t="str">
        <f t="array" ref="L770">IF(N770=1,INDEX('Batasan Honor'!$B$2:$B993,MATCH(CONCATENATE($F770,"-",$G770),'Batasan Honor'!$G$2:$G993,0)),"")</f>
        <v/>
      </c>
      <c r="M770" s="10" t="str">
        <f t="shared" si="5"/>
        <v/>
      </c>
      <c r="N770" s="10" t="str">
        <f t="shared" si="3"/>
        <v/>
      </c>
    </row>
    <row r="771" spans="2:14" ht="12.5">
      <c r="B771" s="5"/>
      <c r="C771" s="5" t="str">
        <f ca="1">IFERROR(__xludf.DUMMYFUNCTION("IF(N771=1,SPLIT(A771,""-""),"""")"),"")</f>
        <v/>
      </c>
      <c r="F771" s="5"/>
      <c r="G771" s="5"/>
      <c r="H771" s="5" t="str">
        <f t="array" ref="H771">IF(N771=1, INDEX('Database Mitra'!$C$2:$C993,MATCH($C771,'Database Mitra'!$AK$2:$AK993,0)),"")</f>
        <v/>
      </c>
      <c r="I771" s="71" t="str">
        <f>IF(N771=1,SUMIFS('Alokasi Honor'!$M$2:$M993,'Alokasi Honor'!$T$2:$T993,A771),"")</f>
        <v/>
      </c>
      <c r="L771" s="10" t="str">
        <f t="array" ref="L771">IF(N771=1,INDEX('Batasan Honor'!$B$2:$B993,MATCH(CONCATENATE($F771,"-",$G771),'Batasan Honor'!$G$2:$G993,0)),"")</f>
        <v/>
      </c>
      <c r="M771" s="10" t="str">
        <f t="shared" si="5"/>
        <v/>
      </c>
      <c r="N771" s="10" t="str">
        <f t="shared" si="3"/>
        <v/>
      </c>
    </row>
    <row r="772" spans="2:14" ht="12.5">
      <c r="B772" s="5"/>
      <c r="C772" s="5" t="str">
        <f ca="1">IFERROR(__xludf.DUMMYFUNCTION("IF(N772=1,SPLIT(A772,""-""),"""")"),"")</f>
        <v/>
      </c>
      <c r="F772" s="5"/>
      <c r="G772" s="5"/>
      <c r="H772" s="5" t="str">
        <f t="array" ref="H772">IF(N772=1, INDEX('Database Mitra'!$C$2:$C993,MATCH($C772,'Database Mitra'!$AK$2:$AK993,0)),"")</f>
        <v/>
      </c>
      <c r="I772" s="71" t="str">
        <f>IF(N772=1,SUMIFS('Alokasi Honor'!$M$2:$M993,'Alokasi Honor'!$T$2:$T993,A772),"")</f>
        <v/>
      </c>
      <c r="L772" s="10" t="str">
        <f t="array" ref="L772">IF(N772=1,INDEX('Batasan Honor'!$B$2:$B993,MATCH(CONCATENATE($F772,"-",$G772),'Batasan Honor'!$G$2:$G993,0)),"")</f>
        <v/>
      </c>
      <c r="M772" s="10" t="str">
        <f t="shared" si="5"/>
        <v/>
      </c>
      <c r="N772" s="10" t="str">
        <f t="shared" si="3"/>
        <v/>
      </c>
    </row>
    <row r="773" spans="2:14" ht="12.5">
      <c r="B773" s="5"/>
      <c r="C773" s="5" t="str">
        <f ca="1">IFERROR(__xludf.DUMMYFUNCTION("IF(N773=1,SPLIT(A773,""-""),"""")"),"")</f>
        <v/>
      </c>
      <c r="F773" s="5"/>
      <c r="G773" s="5"/>
      <c r="H773" s="5" t="str">
        <f t="array" ref="H773">IF(N773=1, INDEX('Database Mitra'!$C$2:$C993,MATCH($C773,'Database Mitra'!$AK$2:$AK993,0)),"")</f>
        <v/>
      </c>
      <c r="I773" s="71" t="str">
        <f>IF(N773=1,SUMIFS('Alokasi Honor'!$M$2:$M993,'Alokasi Honor'!$T$2:$T993,A773),"")</f>
        <v/>
      </c>
      <c r="L773" s="10" t="str">
        <f t="array" ref="L773">IF(N773=1,INDEX('Batasan Honor'!$B$2:$B993,MATCH(CONCATENATE($F773,"-",$G773),'Batasan Honor'!$G$2:$G993,0)),"")</f>
        <v/>
      </c>
      <c r="M773" s="10" t="str">
        <f t="shared" si="5"/>
        <v/>
      </c>
      <c r="N773" s="10" t="str">
        <f t="shared" si="3"/>
        <v/>
      </c>
    </row>
    <row r="774" spans="2:14" ht="12.5">
      <c r="B774" s="5"/>
      <c r="C774" s="5" t="str">
        <f ca="1">IFERROR(__xludf.DUMMYFUNCTION("IF(N774=1,SPLIT(A774,""-""),"""")"),"")</f>
        <v/>
      </c>
      <c r="F774" s="5"/>
      <c r="G774" s="5"/>
      <c r="H774" s="5" t="str">
        <f t="array" ref="H774">IF(N774=1, INDEX('Database Mitra'!$C$2:$C993,MATCH($C774,'Database Mitra'!$AK$2:$AK993,0)),"")</f>
        <v/>
      </c>
      <c r="I774" s="71" t="str">
        <f>IF(N774=1,SUMIFS('Alokasi Honor'!$M$2:$M993,'Alokasi Honor'!$T$2:$T993,A774),"")</f>
        <v/>
      </c>
      <c r="L774" s="10" t="str">
        <f t="array" ref="L774">IF(N774=1,INDEX('Batasan Honor'!$B$2:$B993,MATCH(CONCATENATE($F774,"-",$G774),'Batasan Honor'!$G$2:$G993,0)),"")</f>
        <v/>
      </c>
      <c r="M774" s="10" t="str">
        <f t="shared" si="5"/>
        <v/>
      </c>
      <c r="N774" s="10" t="str">
        <f t="shared" si="3"/>
        <v/>
      </c>
    </row>
    <row r="775" spans="2:14" ht="12.5">
      <c r="B775" s="5"/>
      <c r="C775" s="5" t="str">
        <f ca="1">IFERROR(__xludf.DUMMYFUNCTION("IF(N775=1,SPLIT(A775,""-""),"""")"),"")</f>
        <v/>
      </c>
      <c r="F775" s="5"/>
      <c r="G775" s="5"/>
      <c r="H775" s="5" t="str">
        <f t="array" ref="H775">IF(N775=1, INDEX('Database Mitra'!$C$2:$C993,MATCH($C775,'Database Mitra'!$AK$2:$AK993,0)),"")</f>
        <v/>
      </c>
      <c r="I775" s="71" t="str">
        <f>IF(N775=1,SUMIFS('Alokasi Honor'!$M$2:$M993,'Alokasi Honor'!$T$2:$T993,A775),"")</f>
        <v/>
      </c>
      <c r="L775" s="10" t="str">
        <f t="array" ref="L775">IF(N775=1,INDEX('Batasan Honor'!$B$2:$B993,MATCH(CONCATENATE($F775,"-",$G775),'Batasan Honor'!$G$2:$G993,0)),"")</f>
        <v/>
      </c>
      <c r="M775" s="10" t="str">
        <f t="shared" si="5"/>
        <v/>
      </c>
      <c r="N775" s="10" t="str">
        <f t="shared" si="3"/>
        <v/>
      </c>
    </row>
    <row r="776" spans="2:14" ht="12.5">
      <c r="B776" s="5"/>
      <c r="C776" s="5" t="str">
        <f ca="1">IFERROR(__xludf.DUMMYFUNCTION("IF(N776=1,SPLIT(A776,""-""),"""")"),"")</f>
        <v/>
      </c>
      <c r="F776" s="5"/>
      <c r="G776" s="5"/>
      <c r="H776" s="5" t="str">
        <f t="array" ref="H776">IF(N776=1, INDEX('Database Mitra'!$C$2:$C993,MATCH($C776,'Database Mitra'!$AK$2:$AK993,0)),"")</f>
        <v/>
      </c>
      <c r="I776" s="71" t="str">
        <f>IF(N776=1,SUMIFS('Alokasi Honor'!$M$2:$M993,'Alokasi Honor'!$T$2:$T993,A776),"")</f>
        <v/>
      </c>
      <c r="L776" s="10" t="str">
        <f t="array" ref="L776">IF(N776=1,INDEX('Batasan Honor'!$B$2:$B993,MATCH(CONCATENATE($F776,"-",$G776),'Batasan Honor'!$G$2:$G993,0)),"")</f>
        <v/>
      </c>
      <c r="M776" s="10" t="str">
        <f t="shared" si="5"/>
        <v/>
      </c>
      <c r="N776" s="10" t="str">
        <f t="shared" si="3"/>
        <v/>
      </c>
    </row>
    <row r="777" spans="2:14" ht="12.5">
      <c r="B777" s="5"/>
      <c r="C777" s="5" t="str">
        <f ca="1">IFERROR(__xludf.DUMMYFUNCTION("IF(N777=1,SPLIT(A777,""-""),"""")"),"")</f>
        <v/>
      </c>
      <c r="F777" s="5"/>
      <c r="G777" s="5"/>
      <c r="H777" s="5" t="str">
        <f t="array" ref="H777">IF(N777=1, INDEX('Database Mitra'!$C$2:$C993,MATCH($C777,'Database Mitra'!$AK$2:$AK993,0)),"")</f>
        <v/>
      </c>
      <c r="I777" s="71" t="str">
        <f>IF(N777=1,SUMIFS('Alokasi Honor'!$M$2:$M993,'Alokasi Honor'!$T$2:$T993,A777),"")</f>
        <v/>
      </c>
      <c r="L777" s="10" t="str">
        <f t="array" ref="L777">IF(N777=1,INDEX('Batasan Honor'!$B$2:$B993,MATCH(CONCATENATE($F777,"-",$G777),'Batasan Honor'!$G$2:$G993,0)),"")</f>
        <v/>
      </c>
      <c r="M777" s="10" t="str">
        <f t="shared" si="5"/>
        <v/>
      </c>
      <c r="N777" s="10" t="str">
        <f t="shared" si="3"/>
        <v/>
      </c>
    </row>
    <row r="778" spans="2:14" ht="12.5">
      <c r="B778" s="5"/>
      <c r="C778" s="5" t="str">
        <f ca="1">IFERROR(__xludf.DUMMYFUNCTION("IF(N778=1,SPLIT(A778,""-""),"""")"),"")</f>
        <v/>
      </c>
      <c r="F778" s="5"/>
      <c r="G778" s="5"/>
      <c r="H778" s="5" t="str">
        <f t="array" ref="H778">IF(N778=1, INDEX('Database Mitra'!$C$2:$C993,MATCH($C778,'Database Mitra'!$AK$2:$AK993,0)),"")</f>
        <v/>
      </c>
      <c r="I778" s="71" t="str">
        <f>IF(N778=1,SUMIFS('Alokasi Honor'!$M$2:$M993,'Alokasi Honor'!$T$2:$T993,A778),"")</f>
        <v/>
      </c>
      <c r="L778" s="10" t="str">
        <f t="array" ref="L778">IF(N778=1,INDEX('Batasan Honor'!$B$2:$B993,MATCH(CONCATENATE($F778,"-",$G778),'Batasan Honor'!$G$2:$G993,0)),"")</f>
        <v/>
      </c>
      <c r="M778" s="10" t="str">
        <f t="shared" si="5"/>
        <v/>
      </c>
      <c r="N778" s="10" t="str">
        <f t="shared" si="3"/>
        <v/>
      </c>
    </row>
    <row r="779" spans="2:14" ht="12.5">
      <c r="B779" s="5"/>
      <c r="C779" s="5" t="str">
        <f ca="1">IFERROR(__xludf.DUMMYFUNCTION("IF(N779=1,SPLIT(A779,""-""),"""")"),"")</f>
        <v/>
      </c>
      <c r="F779" s="5"/>
      <c r="G779" s="5"/>
      <c r="H779" s="5" t="str">
        <f t="array" ref="H779">IF(N779=1, INDEX('Database Mitra'!$C$2:$C993,MATCH($C779,'Database Mitra'!$AK$2:$AK993,0)),"")</f>
        <v/>
      </c>
      <c r="I779" s="71" t="str">
        <f>IF(N779=1,SUMIFS('Alokasi Honor'!$M$2:$M993,'Alokasi Honor'!$T$2:$T993,A779),"")</f>
        <v/>
      </c>
      <c r="L779" s="10" t="str">
        <f t="array" ref="L779">IF(N779=1,INDEX('Batasan Honor'!$B$2:$B993,MATCH(CONCATENATE($F779,"-",$G779),'Batasan Honor'!$G$2:$G993,0)),"")</f>
        <v/>
      </c>
      <c r="M779" s="10" t="str">
        <f t="shared" si="5"/>
        <v/>
      </c>
      <c r="N779" s="10" t="str">
        <f t="shared" si="3"/>
        <v/>
      </c>
    </row>
    <row r="780" spans="2:14" ht="12.5">
      <c r="B780" s="5"/>
      <c r="C780" s="5" t="str">
        <f ca="1">IFERROR(__xludf.DUMMYFUNCTION("IF(N780=1,SPLIT(A780,""-""),"""")"),"")</f>
        <v/>
      </c>
      <c r="F780" s="5"/>
      <c r="G780" s="5"/>
      <c r="H780" s="5" t="str">
        <f t="array" ref="H780">IF(N780=1, INDEX('Database Mitra'!$C$2:$C993,MATCH($C780,'Database Mitra'!$AK$2:$AK993,0)),"")</f>
        <v/>
      </c>
      <c r="I780" s="71" t="str">
        <f>IF(N780=1,SUMIFS('Alokasi Honor'!$M$2:$M993,'Alokasi Honor'!$T$2:$T993,A780),"")</f>
        <v/>
      </c>
      <c r="L780" s="10" t="str">
        <f t="array" ref="L780">IF(N780=1,INDEX('Batasan Honor'!$B$2:$B993,MATCH(CONCATENATE($F780,"-",$G780),'Batasan Honor'!$G$2:$G993,0)),"")</f>
        <v/>
      </c>
      <c r="M780" s="10" t="str">
        <f t="shared" si="5"/>
        <v/>
      </c>
      <c r="N780" s="10" t="str">
        <f t="shared" si="3"/>
        <v/>
      </c>
    </row>
    <row r="781" spans="2:14" ht="12.5">
      <c r="B781" s="5"/>
      <c r="C781" s="5" t="str">
        <f ca="1">IFERROR(__xludf.DUMMYFUNCTION("IF(N781=1,SPLIT(A781,""-""),"""")"),"")</f>
        <v/>
      </c>
      <c r="F781" s="5"/>
      <c r="G781" s="5"/>
      <c r="H781" s="5" t="str">
        <f t="array" ref="H781">IF(N781=1, INDEX('Database Mitra'!$C$2:$C993,MATCH($C781,'Database Mitra'!$AK$2:$AK993,0)),"")</f>
        <v/>
      </c>
      <c r="I781" s="71" t="str">
        <f>IF(N781=1,SUMIFS('Alokasi Honor'!$M$2:$M993,'Alokasi Honor'!$T$2:$T993,A781),"")</f>
        <v/>
      </c>
      <c r="L781" s="10" t="str">
        <f t="array" ref="L781">IF(N781=1,INDEX('Batasan Honor'!$B$2:$B993,MATCH(CONCATENATE($F781,"-",$G781),'Batasan Honor'!$G$2:$G993,0)),"")</f>
        <v/>
      </c>
      <c r="M781" s="10" t="str">
        <f t="shared" si="5"/>
        <v/>
      </c>
      <c r="N781" s="10" t="str">
        <f t="shared" si="3"/>
        <v/>
      </c>
    </row>
    <row r="782" spans="2:14" ht="12.5">
      <c r="B782" s="5"/>
      <c r="C782" s="5" t="str">
        <f ca="1">IFERROR(__xludf.DUMMYFUNCTION("IF(N782=1,SPLIT(A782,""-""),"""")"),"")</f>
        <v/>
      </c>
      <c r="F782" s="5"/>
      <c r="G782" s="5"/>
      <c r="H782" s="5" t="str">
        <f t="array" ref="H782">IF(N782=1, INDEX('Database Mitra'!$C$2:$C993,MATCH($C782,'Database Mitra'!$AK$2:$AK993,0)),"")</f>
        <v/>
      </c>
      <c r="I782" s="71" t="str">
        <f>IF(N782=1,SUMIFS('Alokasi Honor'!$M$2:$M993,'Alokasi Honor'!$T$2:$T993,A782),"")</f>
        <v/>
      </c>
      <c r="L782" s="10" t="str">
        <f t="array" ref="L782">IF(N782=1,INDEX('Batasan Honor'!$B$2:$B993,MATCH(CONCATENATE($F782,"-",$G782),'Batasan Honor'!$G$2:$G993,0)),"")</f>
        <v/>
      </c>
      <c r="M782" s="10" t="str">
        <f t="shared" si="5"/>
        <v/>
      </c>
      <c r="N782" s="10" t="str">
        <f t="shared" si="3"/>
        <v/>
      </c>
    </row>
    <row r="783" spans="2:14" ht="12.5">
      <c r="B783" s="5"/>
      <c r="C783" s="5" t="str">
        <f ca="1">IFERROR(__xludf.DUMMYFUNCTION("IF(N783=1,SPLIT(A783,""-""),"""")"),"")</f>
        <v/>
      </c>
      <c r="F783" s="5"/>
      <c r="G783" s="5"/>
      <c r="H783" s="5" t="str">
        <f t="array" ref="H783">IF(N783=1, INDEX('Database Mitra'!$C$2:$C993,MATCH($C783,'Database Mitra'!$AK$2:$AK993,0)),"")</f>
        <v/>
      </c>
      <c r="I783" s="71" t="str">
        <f>IF(N783=1,SUMIFS('Alokasi Honor'!$M$2:$M993,'Alokasi Honor'!$T$2:$T993,A783),"")</f>
        <v/>
      </c>
      <c r="L783" s="10" t="str">
        <f t="array" ref="L783">IF(N783=1,INDEX('Batasan Honor'!$B$2:$B993,MATCH(CONCATENATE($F783,"-",$G783),'Batasan Honor'!$G$2:$G993,0)),"")</f>
        <v/>
      </c>
      <c r="M783" s="10" t="str">
        <f t="shared" si="5"/>
        <v/>
      </c>
      <c r="N783" s="10" t="str">
        <f t="shared" si="3"/>
        <v/>
      </c>
    </row>
    <row r="784" spans="2:14" ht="12.5">
      <c r="B784" s="5"/>
      <c r="C784" s="5" t="str">
        <f ca="1">IFERROR(__xludf.DUMMYFUNCTION("IF(N784=1,SPLIT(A784,""-""),"""")"),"")</f>
        <v/>
      </c>
      <c r="F784" s="5"/>
      <c r="G784" s="5"/>
      <c r="H784" s="5" t="str">
        <f t="array" ref="H784">IF(N784=1, INDEX('Database Mitra'!$C$2:$C993,MATCH($C784,'Database Mitra'!$AK$2:$AK993,0)),"")</f>
        <v/>
      </c>
      <c r="I784" s="71" t="str">
        <f>IF(N784=1,SUMIFS('Alokasi Honor'!$M$2:$M993,'Alokasi Honor'!$T$2:$T993,A784),"")</f>
        <v/>
      </c>
      <c r="L784" s="10" t="str">
        <f t="array" ref="L784">IF(N784=1,INDEX('Batasan Honor'!$B$2:$B993,MATCH(CONCATENATE($F784,"-",$G784),'Batasan Honor'!$G$2:$G993,0)),"")</f>
        <v/>
      </c>
      <c r="M784" s="10" t="str">
        <f t="shared" si="5"/>
        <v/>
      </c>
      <c r="N784" s="10" t="str">
        <f t="shared" si="3"/>
        <v/>
      </c>
    </row>
    <row r="785" spans="2:14" ht="12.5">
      <c r="B785" s="5"/>
      <c r="C785" s="5" t="str">
        <f ca="1">IFERROR(__xludf.DUMMYFUNCTION("IF(N785=1,SPLIT(A785,""-""),"""")"),"")</f>
        <v/>
      </c>
      <c r="F785" s="5"/>
      <c r="G785" s="5"/>
      <c r="H785" s="5" t="str">
        <f t="array" ref="H785">IF(N785=1, INDEX('Database Mitra'!$C$2:$C993,MATCH($C785,'Database Mitra'!$AK$2:$AK993,0)),"")</f>
        <v/>
      </c>
      <c r="I785" s="71" t="str">
        <f>IF(N785=1,SUMIFS('Alokasi Honor'!$M$2:$M993,'Alokasi Honor'!$T$2:$T993,A785),"")</f>
        <v/>
      </c>
      <c r="L785" s="10" t="str">
        <f t="array" ref="L785">IF(N785=1,INDEX('Batasan Honor'!$B$2:$B993,MATCH(CONCATENATE($F785,"-",$G785),'Batasan Honor'!$G$2:$G993,0)),"")</f>
        <v/>
      </c>
      <c r="M785" s="10" t="str">
        <f t="shared" si="5"/>
        <v/>
      </c>
      <c r="N785" s="10" t="str">
        <f t="shared" si="3"/>
        <v/>
      </c>
    </row>
    <row r="786" spans="2:14" ht="12.5">
      <c r="B786" s="5"/>
      <c r="C786" s="5" t="str">
        <f ca="1">IFERROR(__xludf.DUMMYFUNCTION("IF(N786=1,SPLIT(A786,""-""),"""")"),"")</f>
        <v/>
      </c>
      <c r="F786" s="5"/>
      <c r="G786" s="5"/>
      <c r="H786" s="5" t="str">
        <f t="array" ref="H786">IF(N786=1, INDEX('Database Mitra'!$C$2:$C993,MATCH($C786,'Database Mitra'!$AK$2:$AK993,0)),"")</f>
        <v/>
      </c>
      <c r="I786" s="71" t="str">
        <f>IF(N786=1,SUMIFS('Alokasi Honor'!$M$2:$M993,'Alokasi Honor'!$T$2:$T993,A786),"")</f>
        <v/>
      </c>
      <c r="L786" s="10" t="str">
        <f t="array" ref="L786">IF(N786=1,INDEX('Batasan Honor'!$B$2:$B993,MATCH(CONCATENATE($F786,"-",$G786),'Batasan Honor'!$G$2:$G993,0)),"")</f>
        <v/>
      </c>
      <c r="M786" s="10" t="str">
        <f t="shared" si="5"/>
        <v/>
      </c>
      <c r="N786" s="10" t="str">
        <f t="shared" si="3"/>
        <v/>
      </c>
    </row>
    <row r="787" spans="2:14" ht="12.5">
      <c r="B787" s="5"/>
      <c r="C787" s="5" t="str">
        <f ca="1">IFERROR(__xludf.DUMMYFUNCTION("IF(N787=1,SPLIT(A787,""-""),"""")"),"")</f>
        <v/>
      </c>
      <c r="F787" s="5"/>
      <c r="G787" s="5"/>
      <c r="H787" s="5" t="str">
        <f t="array" ref="H787">IF(N787=1, INDEX('Database Mitra'!$C$2:$C993,MATCH($C787,'Database Mitra'!$AK$2:$AK993,0)),"")</f>
        <v/>
      </c>
      <c r="I787" s="71" t="str">
        <f>IF(N787=1,SUMIFS('Alokasi Honor'!$M$2:$M993,'Alokasi Honor'!$T$2:$T993,A787),"")</f>
        <v/>
      </c>
      <c r="L787" s="10" t="str">
        <f t="array" ref="L787">IF(N787=1,INDEX('Batasan Honor'!$B$2:$B993,MATCH(CONCATENATE($F787,"-",$G787),'Batasan Honor'!$G$2:$G993,0)),"")</f>
        <v/>
      </c>
      <c r="M787" s="10" t="str">
        <f t="shared" si="5"/>
        <v/>
      </c>
      <c r="N787" s="10" t="str">
        <f t="shared" si="3"/>
        <v/>
      </c>
    </row>
    <row r="788" spans="2:14" ht="12.5">
      <c r="B788" s="5"/>
      <c r="C788" s="5" t="str">
        <f ca="1">IFERROR(__xludf.DUMMYFUNCTION("IF(N788=1,SPLIT(A788,""-""),"""")"),"")</f>
        <v/>
      </c>
      <c r="F788" s="5"/>
      <c r="G788" s="5"/>
      <c r="H788" s="5" t="str">
        <f t="array" ref="H788">IF(N788=1, INDEX('Database Mitra'!$C$2:$C993,MATCH($C788,'Database Mitra'!$AK$2:$AK993,0)),"")</f>
        <v/>
      </c>
      <c r="I788" s="71" t="str">
        <f>IF(N788=1,SUMIFS('Alokasi Honor'!$M$2:$M993,'Alokasi Honor'!$T$2:$T993,A788),"")</f>
        <v/>
      </c>
      <c r="L788" s="10" t="str">
        <f t="array" ref="L788">IF(N788=1,INDEX('Batasan Honor'!$B$2:$B993,MATCH(CONCATENATE($F788,"-",$G788),'Batasan Honor'!$G$2:$G993,0)),"")</f>
        <v/>
      </c>
      <c r="M788" s="10" t="str">
        <f t="shared" si="5"/>
        <v/>
      </c>
      <c r="N788" s="10" t="str">
        <f t="shared" si="3"/>
        <v/>
      </c>
    </row>
    <row r="789" spans="2:14" ht="12.5">
      <c r="B789" s="5"/>
      <c r="C789" s="5" t="str">
        <f ca="1">IFERROR(__xludf.DUMMYFUNCTION("IF(N789=1,SPLIT(A789,""-""),"""")"),"")</f>
        <v/>
      </c>
      <c r="F789" s="5"/>
      <c r="G789" s="5"/>
      <c r="H789" s="5" t="str">
        <f t="array" ref="H789">IF(N789=1, INDEX('Database Mitra'!$C$2:$C993,MATCH($C789,'Database Mitra'!$AK$2:$AK993,0)),"")</f>
        <v/>
      </c>
      <c r="I789" s="71" t="str">
        <f>IF(N789=1,SUMIFS('Alokasi Honor'!$M$2:$M993,'Alokasi Honor'!$T$2:$T993,A789),"")</f>
        <v/>
      </c>
      <c r="L789" s="10" t="str">
        <f t="array" ref="L789">IF(N789=1,INDEX('Batasan Honor'!$B$2:$B993,MATCH(CONCATENATE($F789,"-",$G789),'Batasan Honor'!$G$2:$G993,0)),"")</f>
        <v/>
      </c>
      <c r="M789" s="10" t="str">
        <f t="shared" si="5"/>
        <v/>
      </c>
      <c r="N789" s="10" t="str">
        <f t="shared" si="3"/>
        <v/>
      </c>
    </row>
    <row r="790" spans="2:14" ht="12.5">
      <c r="B790" s="5"/>
      <c r="C790" s="5" t="str">
        <f ca="1">IFERROR(__xludf.DUMMYFUNCTION("IF(N790=1,SPLIT(A790,""-""),"""")"),"")</f>
        <v/>
      </c>
      <c r="F790" s="5"/>
      <c r="G790" s="5"/>
      <c r="H790" s="5" t="str">
        <f t="array" ref="H790">IF(N790=1, INDEX('Database Mitra'!$C$2:$C993,MATCH($C790,'Database Mitra'!$AK$2:$AK993,0)),"")</f>
        <v/>
      </c>
      <c r="I790" s="71" t="str">
        <f>IF(N790=1,SUMIFS('Alokasi Honor'!$M$2:$M993,'Alokasi Honor'!$T$2:$T993,A790),"")</f>
        <v/>
      </c>
      <c r="L790" s="10" t="str">
        <f t="array" ref="L790">IF(N790=1,INDEX('Batasan Honor'!$B$2:$B993,MATCH(CONCATENATE($F790,"-",$G790),'Batasan Honor'!$G$2:$G993,0)),"")</f>
        <v/>
      </c>
      <c r="M790" s="10" t="str">
        <f t="shared" si="5"/>
        <v/>
      </c>
      <c r="N790" s="10" t="str">
        <f t="shared" si="3"/>
        <v/>
      </c>
    </row>
    <row r="791" spans="2:14" ht="12.5">
      <c r="B791" s="5"/>
      <c r="C791" s="5" t="str">
        <f ca="1">IFERROR(__xludf.DUMMYFUNCTION("IF(N791=1,SPLIT(A791,""-""),"""")"),"")</f>
        <v/>
      </c>
      <c r="F791" s="5"/>
      <c r="G791" s="5"/>
      <c r="H791" s="5" t="str">
        <f t="array" ref="H791">IF(N791=1, INDEX('Database Mitra'!$C$2:$C993,MATCH($C791,'Database Mitra'!$AK$2:$AK993,0)),"")</f>
        <v/>
      </c>
      <c r="I791" s="71" t="str">
        <f>IF(N791=1,SUMIFS('Alokasi Honor'!$M$2:$M993,'Alokasi Honor'!$T$2:$T993,A791),"")</f>
        <v/>
      </c>
      <c r="L791" s="10" t="str">
        <f t="array" ref="L791">IF(N791=1,INDEX('Batasan Honor'!$B$2:$B993,MATCH(CONCATENATE($F791,"-",$G791),'Batasan Honor'!$G$2:$G993,0)),"")</f>
        <v/>
      </c>
      <c r="M791" s="10" t="str">
        <f t="shared" si="5"/>
        <v/>
      </c>
      <c r="N791" s="10" t="str">
        <f t="shared" si="3"/>
        <v/>
      </c>
    </row>
    <row r="792" spans="2:14" ht="12.5">
      <c r="B792" s="5"/>
      <c r="C792" s="5" t="str">
        <f ca="1">IFERROR(__xludf.DUMMYFUNCTION("IF(N792=1,SPLIT(A792,""-""),"""")"),"")</f>
        <v/>
      </c>
      <c r="F792" s="5"/>
      <c r="G792" s="5"/>
      <c r="H792" s="5" t="str">
        <f t="array" ref="H792">IF(N792=1, INDEX('Database Mitra'!$C$2:$C993,MATCH($C792,'Database Mitra'!$AK$2:$AK993,0)),"")</f>
        <v/>
      </c>
      <c r="I792" s="71" t="str">
        <f>IF(N792=1,SUMIFS('Alokasi Honor'!$M$2:$M993,'Alokasi Honor'!$T$2:$T993,A792),"")</f>
        <v/>
      </c>
      <c r="L792" s="10" t="str">
        <f t="array" ref="L792">IF(N792=1,INDEX('Batasan Honor'!$B$2:$B993,MATCH(CONCATENATE($F792,"-",$G792),'Batasan Honor'!$G$2:$G993,0)),"")</f>
        <v/>
      </c>
      <c r="M792" s="10" t="str">
        <f t="shared" si="5"/>
        <v/>
      </c>
      <c r="N792" s="10" t="str">
        <f t="shared" si="3"/>
        <v/>
      </c>
    </row>
    <row r="793" spans="2:14" ht="12.5">
      <c r="B793" s="5"/>
      <c r="C793" s="5" t="str">
        <f ca="1">IFERROR(__xludf.DUMMYFUNCTION("IF(N793=1,SPLIT(A793,""-""),"""")"),"")</f>
        <v/>
      </c>
      <c r="F793" s="5"/>
      <c r="G793" s="5"/>
      <c r="H793" s="5" t="str">
        <f t="array" ref="H793">IF(N793=1, INDEX('Database Mitra'!$C$2:$C993,MATCH($C793,'Database Mitra'!$AK$2:$AK993,0)),"")</f>
        <v/>
      </c>
      <c r="I793" s="71" t="str">
        <f>IF(N793=1,SUMIFS('Alokasi Honor'!$M$2:$M993,'Alokasi Honor'!$T$2:$T993,A793),"")</f>
        <v/>
      </c>
      <c r="L793" s="10" t="str">
        <f t="array" ref="L793">IF(N793=1,INDEX('Batasan Honor'!$B$2:$B993,MATCH(CONCATENATE($F793,"-",$G793),'Batasan Honor'!$G$2:$G993,0)),"")</f>
        <v/>
      </c>
      <c r="M793" s="10" t="str">
        <f t="shared" si="5"/>
        <v/>
      </c>
      <c r="N793" s="10" t="str">
        <f t="shared" si="3"/>
        <v/>
      </c>
    </row>
    <row r="794" spans="2:14" ht="12.5">
      <c r="B794" s="5"/>
      <c r="C794" s="5" t="str">
        <f ca="1">IFERROR(__xludf.DUMMYFUNCTION("IF(N794=1,SPLIT(A794,""-""),"""")"),"")</f>
        <v/>
      </c>
      <c r="F794" s="5"/>
      <c r="G794" s="5"/>
      <c r="H794" s="5" t="str">
        <f t="array" ref="H794">IF(N794=1, INDEX('Database Mitra'!$C$2:$C993,MATCH($C794,'Database Mitra'!$AK$2:$AK993,0)),"")</f>
        <v/>
      </c>
      <c r="I794" s="71" t="str">
        <f>IF(N794=1,SUMIFS('Alokasi Honor'!$M$2:$M993,'Alokasi Honor'!$T$2:$T993,A794),"")</f>
        <v/>
      </c>
      <c r="L794" s="10" t="str">
        <f t="array" ref="L794">IF(N794=1,INDEX('Batasan Honor'!$B$2:$B993,MATCH(CONCATENATE($F794,"-",$G794),'Batasan Honor'!$G$2:$G993,0)),"")</f>
        <v/>
      </c>
      <c r="M794" s="10" t="str">
        <f t="shared" si="5"/>
        <v/>
      </c>
      <c r="N794" s="10" t="str">
        <f t="shared" si="3"/>
        <v/>
      </c>
    </row>
    <row r="795" spans="2:14" ht="12.5">
      <c r="B795" s="5"/>
      <c r="C795" s="5" t="str">
        <f ca="1">IFERROR(__xludf.DUMMYFUNCTION("IF(N795=1,SPLIT(A795,""-""),"""")"),"")</f>
        <v/>
      </c>
      <c r="F795" s="5"/>
      <c r="G795" s="5"/>
      <c r="H795" s="5" t="str">
        <f t="array" ref="H795">IF(N795=1, INDEX('Database Mitra'!$C$2:$C993,MATCH($C795,'Database Mitra'!$AK$2:$AK993,0)),"")</f>
        <v/>
      </c>
      <c r="I795" s="71" t="str">
        <f>IF(N795=1,SUMIFS('Alokasi Honor'!$M$2:$M993,'Alokasi Honor'!$T$2:$T993,A795),"")</f>
        <v/>
      </c>
      <c r="L795" s="10" t="str">
        <f t="array" ref="L795">IF(N795=1,INDEX('Batasan Honor'!$B$2:$B993,MATCH(CONCATENATE($F795,"-",$G795),'Batasan Honor'!$G$2:$G993,0)),"")</f>
        <v/>
      </c>
      <c r="M795" s="10" t="str">
        <f t="shared" si="5"/>
        <v/>
      </c>
      <c r="N795" s="10" t="str">
        <f t="shared" si="3"/>
        <v/>
      </c>
    </row>
    <row r="796" spans="2:14" ht="12.5">
      <c r="B796" s="5"/>
      <c r="C796" s="5" t="str">
        <f ca="1">IFERROR(__xludf.DUMMYFUNCTION("IF(N796=1,SPLIT(A796,""-""),"""")"),"")</f>
        <v/>
      </c>
      <c r="F796" s="5"/>
      <c r="G796" s="5"/>
      <c r="H796" s="5" t="str">
        <f t="array" ref="H796">IF(N796=1, INDEX('Database Mitra'!$C$2:$C993,MATCH($C796,'Database Mitra'!$AK$2:$AK993,0)),"")</f>
        <v/>
      </c>
      <c r="I796" s="71" t="str">
        <f>IF(N796=1,SUMIFS('Alokasi Honor'!$M$2:$M993,'Alokasi Honor'!$T$2:$T993,A796),"")</f>
        <v/>
      </c>
      <c r="L796" s="10" t="str">
        <f t="array" ref="L796">IF(N796=1,INDEX('Batasan Honor'!$B$2:$B993,MATCH(CONCATENATE($F796,"-",$G796),'Batasan Honor'!$G$2:$G993,0)),"")</f>
        <v/>
      </c>
      <c r="M796" s="10" t="str">
        <f t="shared" si="5"/>
        <v/>
      </c>
      <c r="N796" s="10" t="str">
        <f t="shared" si="3"/>
        <v/>
      </c>
    </row>
    <row r="797" spans="2:14" ht="12.5">
      <c r="B797" s="5"/>
      <c r="C797" s="5" t="str">
        <f ca="1">IFERROR(__xludf.DUMMYFUNCTION("IF(N797=1,SPLIT(A797,""-""),"""")"),"")</f>
        <v/>
      </c>
      <c r="F797" s="5"/>
      <c r="G797" s="5"/>
      <c r="H797" s="5" t="str">
        <f t="array" ref="H797">IF(N797=1, INDEX('Database Mitra'!$C$2:$C993,MATCH($C797,'Database Mitra'!$AK$2:$AK993,0)),"")</f>
        <v/>
      </c>
      <c r="I797" s="71" t="str">
        <f>IF(N797=1,SUMIFS('Alokasi Honor'!$M$2:$M993,'Alokasi Honor'!$T$2:$T993,A797),"")</f>
        <v/>
      </c>
      <c r="L797" s="10" t="str">
        <f t="array" ref="L797">IF(N797=1,INDEX('Batasan Honor'!$B$2:$B993,MATCH(CONCATENATE($F797,"-",$G797),'Batasan Honor'!$G$2:$G993,0)),"")</f>
        <v/>
      </c>
      <c r="M797" s="10" t="str">
        <f t="shared" si="5"/>
        <v/>
      </c>
      <c r="N797" s="10" t="str">
        <f t="shared" si="3"/>
        <v/>
      </c>
    </row>
    <row r="798" spans="2:14" ht="12.5">
      <c r="B798" s="5"/>
      <c r="C798" s="5" t="str">
        <f ca="1">IFERROR(__xludf.DUMMYFUNCTION("IF(N798=1,SPLIT(A798,""-""),"""")"),"")</f>
        <v/>
      </c>
      <c r="F798" s="5"/>
      <c r="G798" s="5"/>
      <c r="H798" s="5" t="str">
        <f t="array" ref="H798">IF(N798=1, INDEX('Database Mitra'!$C$2:$C993,MATCH($C798,'Database Mitra'!$AK$2:$AK993,0)),"")</f>
        <v/>
      </c>
      <c r="I798" s="71" t="str">
        <f>IF(N798=1,SUMIFS('Alokasi Honor'!$M$2:$M993,'Alokasi Honor'!$T$2:$T993,A798),"")</f>
        <v/>
      </c>
      <c r="L798" s="10" t="str">
        <f t="array" ref="L798">IF(N798=1,INDEX('Batasan Honor'!$B$2:$B993,MATCH(CONCATENATE($F798,"-",$G798),'Batasan Honor'!$G$2:$G993,0)),"")</f>
        <v/>
      </c>
      <c r="M798" s="10" t="str">
        <f t="shared" si="5"/>
        <v/>
      </c>
      <c r="N798" s="10" t="str">
        <f t="shared" si="3"/>
        <v/>
      </c>
    </row>
    <row r="799" spans="2:14" ht="12.5">
      <c r="B799" s="5"/>
      <c r="C799" s="5" t="str">
        <f ca="1">IFERROR(__xludf.DUMMYFUNCTION("IF(N799=1,SPLIT(A799,""-""),"""")"),"")</f>
        <v/>
      </c>
      <c r="F799" s="5"/>
      <c r="G799" s="5"/>
      <c r="H799" s="5" t="str">
        <f t="array" ref="H799">IF(N799=1, INDEX('Database Mitra'!$C$2:$C993,MATCH($C799,'Database Mitra'!$AK$2:$AK993,0)),"")</f>
        <v/>
      </c>
      <c r="I799" s="71" t="str">
        <f>IF(N799=1,SUMIFS('Alokasi Honor'!$M$2:$M993,'Alokasi Honor'!$T$2:$T993,A799),"")</f>
        <v/>
      </c>
      <c r="L799" s="10" t="str">
        <f t="array" ref="L799">IF(N799=1,INDEX('Batasan Honor'!$B$2:$B993,MATCH(CONCATENATE($F799,"-",$G799),'Batasan Honor'!$G$2:$G993,0)),"")</f>
        <v/>
      </c>
      <c r="M799" s="10" t="str">
        <f t="shared" si="5"/>
        <v/>
      </c>
      <c r="N799" s="10" t="str">
        <f t="shared" si="3"/>
        <v/>
      </c>
    </row>
    <row r="800" spans="2:14" ht="12.5">
      <c r="B800" s="5"/>
      <c r="C800" s="5" t="str">
        <f ca="1">IFERROR(__xludf.DUMMYFUNCTION("IF(N800=1,SPLIT(A800,""-""),"""")"),"")</f>
        <v/>
      </c>
      <c r="F800" s="5"/>
      <c r="G800" s="5"/>
      <c r="H800" s="5" t="str">
        <f t="array" ref="H800">IF(N800=1, INDEX('Database Mitra'!$C$2:$C993,MATCH($C800,'Database Mitra'!$AK$2:$AK993,0)),"")</f>
        <v/>
      </c>
      <c r="I800" s="71" t="str">
        <f>IF(N800=1,SUMIFS('Alokasi Honor'!$M$2:$M993,'Alokasi Honor'!$T$2:$T993,A800),"")</f>
        <v/>
      </c>
      <c r="L800" s="10" t="str">
        <f t="array" ref="L800">IF(N800=1,INDEX('Batasan Honor'!$B$2:$B993,MATCH(CONCATENATE($F800,"-",$G800),'Batasan Honor'!$G$2:$G993,0)),"")</f>
        <v/>
      </c>
      <c r="M800" s="10" t="str">
        <f t="shared" si="5"/>
        <v/>
      </c>
      <c r="N800" s="10" t="str">
        <f t="shared" si="3"/>
        <v/>
      </c>
    </row>
    <row r="801" spans="2:14" ht="12.5">
      <c r="B801" s="5"/>
      <c r="C801" s="5" t="str">
        <f ca="1">IFERROR(__xludf.DUMMYFUNCTION("IF(N801=1,SPLIT(A801,""-""),"""")"),"")</f>
        <v/>
      </c>
      <c r="F801" s="5"/>
      <c r="G801" s="5"/>
      <c r="H801" s="5" t="str">
        <f t="array" ref="H801">IF(N801=1, INDEX('Database Mitra'!$C$2:$C993,MATCH($C801,'Database Mitra'!$AK$2:$AK993,0)),"")</f>
        <v/>
      </c>
      <c r="I801" s="71" t="str">
        <f>IF(N801=1,SUMIFS('Alokasi Honor'!$M$2:$M993,'Alokasi Honor'!$T$2:$T993,A801),"")</f>
        <v/>
      </c>
      <c r="L801" s="10" t="str">
        <f t="array" ref="L801">IF(N801=1,INDEX('Batasan Honor'!$B$2:$B993,MATCH(CONCATENATE($F801,"-",$G801),'Batasan Honor'!$G$2:$G993,0)),"")</f>
        <v/>
      </c>
      <c r="M801" s="10" t="str">
        <f t="shared" si="5"/>
        <v/>
      </c>
      <c r="N801" s="10" t="str">
        <f t="shared" si="3"/>
        <v/>
      </c>
    </row>
    <row r="802" spans="2:14" ht="12.5">
      <c r="B802" s="5"/>
      <c r="C802" s="5" t="str">
        <f ca="1">IFERROR(__xludf.DUMMYFUNCTION("IF(N802=1,SPLIT(A802,""-""),"""")"),"")</f>
        <v/>
      </c>
      <c r="F802" s="5"/>
      <c r="G802" s="5"/>
      <c r="H802" s="5" t="str">
        <f t="array" ref="H802">IF(N802=1, INDEX('Database Mitra'!$C$2:$C993,MATCH($C802,'Database Mitra'!$AK$2:$AK993,0)),"")</f>
        <v/>
      </c>
      <c r="I802" s="71" t="str">
        <f>IF(N802=1,SUMIFS('Alokasi Honor'!$M$2:$M993,'Alokasi Honor'!$T$2:$T993,A802),"")</f>
        <v/>
      </c>
      <c r="L802" s="10" t="str">
        <f t="array" ref="L802">IF(N802=1,INDEX('Batasan Honor'!$B$2:$B993,MATCH(CONCATENATE($F802,"-",$G802),'Batasan Honor'!$G$2:$G993,0)),"")</f>
        <v/>
      </c>
      <c r="M802" s="10" t="str">
        <f t="shared" si="5"/>
        <v/>
      </c>
      <c r="N802" s="10" t="str">
        <f t="shared" si="3"/>
        <v/>
      </c>
    </row>
    <row r="803" spans="2:14" ht="12.5">
      <c r="B803" s="5"/>
      <c r="C803" s="5" t="str">
        <f ca="1">IFERROR(__xludf.DUMMYFUNCTION("IF(N803=1,SPLIT(A803,""-""),"""")"),"")</f>
        <v/>
      </c>
      <c r="F803" s="5"/>
      <c r="G803" s="5"/>
      <c r="H803" s="5" t="str">
        <f t="array" ref="H803">IF(N803=1, INDEX('Database Mitra'!$C$2:$C993,MATCH($C803,'Database Mitra'!$AK$2:$AK993,0)),"")</f>
        <v/>
      </c>
      <c r="I803" s="71" t="str">
        <f>IF(N803=1,SUMIFS('Alokasi Honor'!$M$2:$M993,'Alokasi Honor'!$T$2:$T993,A803),"")</f>
        <v/>
      </c>
      <c r="L803" s="10" t="str">
        <f t="array" ref="L803">IF(N803=1,INDEX('Batasan Honor'!$B$2:$B993,MATCH(CONCATENATE($F803,"-",$G803),'Batasan Honor'!$G$2:$G993,0)),"")</f>
        <v/>
      </c>
      <c r="M803" s="10" t="str">
        <f t="shared" si="5"/>
        <v/>
      </c>
      <c r="N803" s="10" t="str">
        <f t="shared" si="3"/>
        <v/>
      </c>
    </row>
    <row r="804" spans="2:14" ht="12.5">
      <c r="B804" s="5"/>
      <c r="C804" s="5" t="str">
        <f ca="1">IFERROR(__xludf.DUMMYFUNCTION("IF(N804=1,SPLIT(A804,""-""),"""")"),"")</f>
        <v/>
      </c>
      <c r="F804" s="5"/>
      <c r="G804" s="5"/>
      <c r="H804" s="5" t="str">
        <f t="array" ref="H804">IF(N804=1, INDEX('Database Mitra'!$C$2:$C993,MATCH($C804,'Database Mitra'!$AK$2:$AK993,0)),"")</f>
        <v/>
      </c>
      <c r="I804" s="71" t="str">
        <f>IF(N804=1,SUMIFS('Alokasi Honor'!$M$2:$M993,'Alokasi Honor'!$T$2:$T993,A804),"")</f>
        <v/>
      </c>
      <c r="L804" s="10" t="str">
        <f t="array" ref="L804">IF(N804=1,INDEX('Batasan Honor'!$B$2:$B993,MATCH(CONCATENATE($F804,"-",$G804),'Batasan Honor'!$G$2:$G993,0)),"")</f>
        <v/>
      </c>
      <c r="M804" s="10" t="str">
        <f t="shared" si="5"/>
        <v/>
      </c>
      <c r="N804" s="10" t="str">
        <f t="shared" si="3"/>
        <v/>
      </c>
    </row>
    <row r="805" spans="2:14" ht="12.5">
      <c r="B805" s="5"/>
      <c r="C805" s="5" t="str">
        <f ca="1">IFERROR(__xludf.DUMMYFUNCTION("IF(N805=1,SPLIT(A805,""-""),"""")"),"")</f>
        <v/>
      </c>
      <c r="F805" s="5"/>
      <c r="G805" s="5"/>
      <c r="H805" s="5" t="str">
        <f t="array" ref="H805">IF(N805=1, INDEX('Database Mitra'!$C$2:$C993,MATCH($C805,'Database Mitra'!$AK$2:$AK993,0)),"")</f>
        <v/>
      </c>
      <c r="I805" s="71" t="str">
        <f>IF(N805=1,SUMIFS('Alokasi Honor'!$M$2:$M993,'Alokasi Honor'!$T$2:$T993,A805),"")</f>
        <v/>
      </c>
      <c r="L805" s="10" t="str">
        <f t="array" ref="L805">IF(N805=1,INDEX('Batasan Honor'!$B$2:$B993,MATCH(CONCATENATE($F805,"-",$G805),'Batasan Honor'!$G$2:$G993,0)),"")</f>
        <v/>
      </c>
      <c r="M805" s="10" t="str">
        <f t="shared" si="5"/>
        <v/>
      </c>
      <c r="N805" s="10" t="str">
        <f t="shared" si="3"/>
        <v/>
      </c>
    </row>
    <row r="806" spans="2:14" ht="12.5">
      <c r="B806" s="5"/>
      <c r="C806" s="5" t="str">
        <f ca="1">IFERROR(__xludf.DUMMYFUNCTION("IF(N806=1,SPLIT(A806,""-""),"""")"),"")</f>
        <v/>
      </c>
      <c r="F806" s="5"/>
      <c r="G806" s="5"/>
      <c r="H806" s="5" t="str">
        <f t="array" ref="H806">IF(N806=1, INDEX('Database Mitra'!$C$2:$C993,MATCH($C806,'Database Mitra'!$AK$2:$AK993,0)),"")</f>
        <v/>
      </c>
      <c r="I806" s="71" t="str">
        <f>IF(N806=1,SUMIFS('Alokasi Honor'!$M$2:$M993,'Alokasi Honor'!$T$2:$T993,A806),"")</f>
        <v/>
      </c>
      <c r="L806" s="10" t="str">
        <f t="array" ref="L806">IF(N806=1,INDEX('Batasan Honor'!$B$2:$B993,MATCH(CONCATENATE($F806,"-",$G806),'Batasan Honor'!$G$2:$G993,0)),"")</f>
        <v/>
      </c>
      <c r="M806" s="10" t="str">
        <f t="shared" si="5"/>
        <v/>
      </c>
      <c r="N806" s="10" t="str">
        <f t="shared" si="3"/>
        <v/>
      </c>
    </row>
    <row r="807" spans="2:14" ht="12.5">
      <c r="B807" s="5"/>
      <c r="C807" s="5" t="str">
        <f ca="1">IFERROR(__xludf.DUMMYFUNCTION("IF(N807=1,SPLIT(A807,""-""),"""")"),"")</f>
        <v/>
      </c>
      <c r="F807" s="5"/>
      <c r="G807" s="5"/>
      <c r="H807" s="5" t="str">
        <f t="array" ref="H807">IF(N807=1, INDEX('Database Mitra'!$C$2:$C993,MATCH($C807,'Database Mitra'!$AK$2:$AK993,0)),"")</f>
        <v/>
      </c>
      <c r="I807" s="71" t="str">
        <f>IF(N807=1,SUMIFS('Alokasi Honor'!$M$2:$M993,'Alokasi Honor'!$T$2:$T993,A807),"")</f>
        <v/>
      </c>
      <c r="L807" s="10" t="str">
        <f t="array" ref="L807">IF(N807=1,INDEX('Batasan Honor'!$B$2:$B993,MATCH(CONCATENATE($F807,"-",$G807),'Batasan Honor'!$G$2:$G993,0)),"")</f>
        <v/>
      </c>
      <c r="M807" s="10" t="str">
        <f t="shared" si="5"/>
        <v/>
      </c>
      <c r="N807" s="10" t="str">
        <f t="shared" si="3"/>
        <v/>
      </c>
    </row>
    <row r="808" spans="2:14" ht="12.5">
      <c r="B808" s="5"/>
      <c r="C808" s="5" t="str">
        <f ca="1">IFERROR(__xludf.DUMMYFUNCTION("IF(N808=1,SPLIT(A808,""-""),"""")"),"")</f>
        <v/>
      </c>
      <c r="F808" s="5"/>
      <c r="G808" s="5"/>
      <c r="H808" s="5" t="str">
        <f t="array" ref="H808">IF(N808=1, INDEX('Database Mitra'!$C$2:$C993,MATCH($C808,'Database Mitra'!$AK$2:$AK993,0)),"")</f>
        <v/>
      </c>
      <c r="I808" s="71" t="str">
        <f>IF(N808=1,SUMIFS('Alokasi Honor'!$M$2:$M993,'Alokasi Honor'!$T$2:$T993,A808),"")</f>
        <v/>
      </c>
      <c r="L808" s="10" t="str">
        <f t="array" ref="L808">IF(N808=1,INDEX('Batasan Honor'!$B$2:$B993,MATCH(CONCATENATE($F808,"-",$G808),'Batasan Honor'!$G$2:$G993,0)),"")</f>
        <v/>
      </c>
      <c r="M808" s="10" t="str">
        <f t="shared" si="5"/>
        <v/>
      </c>
      <c r="N808" s="10" t="str">
        <f t="shared" si="3"/>
        <v/>
      </c>
    </row>
    <row r="809" spans="2:14" ht="12.5">
      <c r="B809" s="5"/>
      <c r="C809" s="5" t="str">
        <f ca="1">IFERROR(__xludf.DUMMYFUNCTION("IF(N809=1,SPLIT(A809,""-""),"""")"),"")</f>
        <v/>
      </c>
      <c r="F809" s="5"/>
      <c r="G809" s="5"/>
      <c r="H809" s="5" t="str">
        <f t="array" ref="H809">IF(N809=1, INDEX('Database Mitra'!$C$2:$C993,MATCH($C809,'Database Mitra'!$AK$2:$AK993,0)),"")</f>
        <v/>
      </c>
      <c r="I809" s="71" t="str">
        <f>IF(N809=1,SUMIFS('Alokasi Honor'!$M$2:$M993,'Alokasi Honor'!$T$2:$T993,A809),"")</f>
        <v/>
      </c>
      <c r="L809" s="10" t="str">
        <f t="array" ref="L809">IF(N809=1,INDEX('Batasan Honor'!$B$2:$B993,MATCH(CONCATENATE($F809,"-",$G809),'Batasan Honor'!$G$2:$G993,0)),"")</f>
        <v/>
      </c>
      <c r="M809" s="10" t="str">
        <f t="shared" si="5"/>
        <v/>
      </c>
      <c r="N809" s="10" t="str">
        <f t="shared" si="3"/>
        <v/>
      </c>
    </row>
    <row r="810" spans="2:14" ht="12.5">
      <c r="B810" s="5"/>
      <c r="C810" s="5" t="str">
        <f ca="1">IFERROR(__xludf.DUMMYFUNCTION("IF(N810=1,SPLIT(A810,""-""),"""")"),"")</f>
        <v/>
      </c>
      <c r="F810" s="5"/>
      <c r="G810" s="5"/>
      <c r="H810" s="5" t="str">
        <f t="array" ref="H810">IF(N810=1, INDEX('Database Mitra'!$C$2:$C993,MATCH($C810,'Database Mitra'!$AK$2:$AK993,0)),"")</f>
        <v/>
      </c>
      <c r="I810" s="71" t="str">
        <f>IF(N810=1,SUMIFS('Alokasi Honor'!$M$2:$M993,'Alokasi Honor'!$T$2:$T993,A810),"")</f>
        <v/>
      </c>
      <c r="L810" s="10" t="str">
        <f t="array" ref="L810">IF(N810=1,INDEX('Batasan Honor'!$B$2:$B993,MATCH(CONCATENATE($F810,"-",$G810),'Batasan Honor'!$G$2:$G993,0)),"")</f>
        <v/>
      </c>
      <c r="M810" s="10" t="str">
        <f t="shared" si="5"/>
        <v/>
      </c>
      <c r="N810" s="10" t="str">
        <f t="shared" si="3"/>
        <v/>
      </c>
    </row>
    <row r="811" spans="2:14" ht="12.5">
      <c r="B811" s="5"/>
      <c r="C811" s="5" t="str">
        <f ca="1">IFERROR(__xludf.DUMMYFUNCTION("IF(N811=1,SPLIT(A811,""-""),"""")"),"")</f>
        <v/>
      </c>
      <c r="F811" s="5"/>
      <c r="G811" s="5"/>
      <c r="H811" s="5" t="str">
        <f t="array" ref="H811">IF(N811=1, INDEX('Database Mitra'!$C$2:$C993,MATCH($C811,'Database Mitra'!$AK$2:$AK993,0)),"")</f>
        <v/>
      </c>
      <c r="I811" s="71" t="str">
        <f>IF(N811=1,SUMIFS('Alokasi Honor'!$M$2:$M993,'Alokasi Honor'!$T$2:$T993,A811),"")</f>
        <v/>
      </c>
      <c r="L811" s="10" t="str">
        <f t="array" ref="L811">IF(N811=1,INDEX('Batasan Honor'!$B$2:$B993,MATCH(CONCATENATE($F811,"-",$G811),'Batasan Honor'!$G$2:$G993,0)),"")</f>
        <v/>
      </c>
      <c r="M811" s="10" t="str">
        <f t="shared" si="5"/>
        <v/>
      </c>
      <c r="N811" s="10" t="str">
        <f t="shared" si="3"/>
        <v/>
      </c>
    </row>
    <row r="812" spans="2:14" ht="12.5">
      <c r="B812" s="5"/>
      <c r="C812" s="5" t="str">
        <f ca="1">IFERROR(__xludf.DUMMYFUNCTION("IF(N812=1,SPLIT(A812,""-""),"""")"),"")</f>
        <v/>
      </c>
      <c r="F812" s="5"/>
      <c r="G812" s="5"/>
      <c r="H812" s="5" t="str">
        <f t="array" ref="H812">IF(N812=1, INDEX('Database Mitra'!$C$2:$C993,MATCH($C812,'Database Mitra'!$AK$2:$AK993,0)),"")</f>
        <v/>
      </c>
      <c r="I812" s="71" t="str">
        <f>IF(N812=1,SUMIFS('Alokasi Honor'!$M$2:$M993,'Alokasi Honor'!$T$2:$T993,A812),"")</f>
        <v/>
      </c>
      <c r="L812" s="10" t="str">
        <f t="array" ref="L812">IF(N812=1,INDEX('Batasan Honor'!$B$2:$B993,MATCH(CONCATENATE($F812,"-",$G812),'Batasan Honor'!$G$2:$G993,0)),"")</f>
        <v/>
      </c>
      <c r="M812" s="10" t="str">
        <f t="shared" si="5"/>
        <v/>
      </c>
      <c r="N812" s="10" t="str">
        <f t="shared" si="3"/>
        <v/>
      </c>
    </row>
    <row r="813" spans="2:14" ht="12.5">
      <c r="B813" s="5"/>
      <c r="C813" s="5" t="str">
        <f ca="1">IFERROR(__xludf.DUMMYFUNCTION("IF(N813=1,SPLIT(A813,""-""),"""")"),"")</f>
        <v/>
      </c>
      <c r="F813" s="5"/>
      <c r="G813" s="5"/>
      <c r="H813" s="5" t="str">
        <f t="array" ref="H813">IF(N813=1, INDEX('Database Mitra'!$C$2:$C993,MATCH($C813,'Database Mitra'!$AK$2:$AK993,0)),"")</f>
        <v/>
      </c>
      <c r="I813" s="71" t="str">
        <f>IF(N813=1,SUMIFS('Alokasi Honor'!$M$2:$M993,'Alokasi Honor'!$T$2:$T993,A813),"")</f>
        <v/>
      </c>
      <c r="L813" s="10" t="str">
        <f t="array" ref="L813">IF(N813=1,INDEX('Batasan Honor'!$B$2:$B993,MATCH(CONCATENATE($F813,"-",$G813),'Batasan Honor'!$G$2:$G993,0)),"")</f>
        <v/>
      </c>
      <c r="M813" s="10" t="str">
        <f t="shared" si="5"/>
        <v/>
      </c>
      <c r="N813" s="10" t="str">
        <f t="shared" si="3"/>
        <v/>
      </c>
    </row>
    <row r="814" spans="2:14" ht="12.5">
      <c r="B814" s="5"/>
      <c r="C814" s="5" t="str">
        <f ca="1">IFERROR(__xludf.DUMMYFUNCTION("IF(N814=1,SPLIT(A814,""-""),"""")"),"")</f>
        <v/>
      </c>
      <c r="F814" s="5"/>
      <c r="G814" s="5"/>
      <c r="H814" s="5" t="str">
        <f t="array" ref="H814">IF(N814=1, INDEX('Database Mitra'!$C$2:$C993,MATCH($C814,'Database Mitra'!$AK$2:$AK993,0)),"")</f>
        <v/>
      </c>
      <c r="I814" s="71" t="str">
        <f>IF(N814=1,SUMIFS('Alokasi Honor'!$M$2:$M993,'Alokasi Honor'!$T$2:$T993,A814),"")</f>
        <v/>
      </c>
      <c r="L814" s="10" t="str">
        <f t="array" ref="L814">IF(N814=1,INDEX('Batasan Honor'!$B$2:$B993,MATCH(CONCATENATE($F814,"-",$G814),'Batasan Honor'!$G$2:$G993,0)),"")</f>
        <v/>
      </c>
      <c r="M814" s="10" t="str">
        <f t="shared" si="5"/>
        <v/>
      </c>
      <c r="N814" s="10" t="str">
        <f t="shared" si="3"/>
        <v/>
      </c>
    </row>
    <row r="815" spans="2:14" ht="12.5">
      <c r="B815" s="5"/>
      <c r="C815" s="5" t="str">
        <f ca="1">IFERROR(__xludf.DUMMYFUNCTION("IF(N815=1,SPLIT(A815,""-""),"""")"),"")</f>
        <v/>
      </c>
      <c r="F815" s="5"/>
      <c r="G815" s="5"/>
      <c r="H815" s="5" t="str">
        <f t="array" ref="H815">IF(N815=1, INDEX('Database Mitra'!$C$2:$C993,MATCH($C815,'Database Mitra'!$AK$2:$AK993,0)),"")</f>
        <v/>
      </c>
      <c r="I815" s="71" t="str">
        <f>IF(N815=1,SUMIFS('Alokasi Honor'!$M$2:$M993,'Alokasi Honor'!$T$2:$T993,A815),"")</f>
        <v/>
      </c>
      <c r="L815" s="10" t="str">
        <f t="array" ref="L815">IF(N815=1,INDEX('Batasan Honor'!$B$2:$B993,MATCH(CONCATENATE($F815,"-",$G815),'Batasan Honor'!$G$2:$G993,0)),"")</f>
        <v/>
      </c>
      <c r="M815" s="10" t="str">
        <f t="shared" si="5"/>
        <v/>
      </c>
      <c r="N815" s="10" t="str">
        <f t="shared" si="3"/>
        <v/>
      </c>
    </row>
    <row r="816" spans="2:14" ht="12.5">
      <c r="B816" s="5"/>
      <c r="C816" s="5" t="str">
        <f ca="1">IFERROR(__xludf.DUMMYFUNCTION("IF(N816=1,SPLIT(A816,""-""),"""")"),"")</f>
        <v/>
      </c>
      <c r="F816" s="5"/>
      <c r="G816" s="5"/>
      <c r="H816" s="5" t="str">
        <f t="array" ref="H816">IF(N816=1, INDEX('Database Mitra'!$C$2:$C993,MATCH($C816,'Database Mitra'!$AK$2:$AK993,0)),"")</f>
        <v/>
      </c>
      <c r="I816" s="71" t="str">
        <f>IF(N816=1,SUMIFS('Alokasi Honor'!$M$2:$M993,'Alokasi Honor'!$T$2:$T993,A816),"")</f>
        <v/>
      </c>
      <c r="L816" s="10" t="str">
        <f t="array" ref="L816">IF(N816=1,INDEX('Batasan Honor'!$B$2:$B993,MATCH(CONCATENATE($F816,"-",$G816),'Batasan Honor'!$G$2:$G993,0)),"")</f>
        <v/>
      </c>
      <c r="M816" s="10" t="str">
        <f t="shared" si="5"/>
        <v/>
      </c>
      <c r="N816" s="10" t="str">
        <f t="shared" si="3"/>
        <v/>
      </c>
    </row>
    <row r="817" spans="2:14" ht="12.5">
      <c r="B817" s="5"/>
      <c r="C817" s="5" t="str">
        <f ca="1">IFERROR(__xludf.DUMMYFUNCTION("IF(N817=1,SPLIT(A817,""-""),"""")"),"")</f>
        <v/>
      </c>
      <c r="F817" s="5"/>
      <c r="G817" s="5"/>
      <c r="H817" s="5" t="str">
        <f t="array" ref="H817">IF(N817=1, INDEX('Database Mitra'!$C$2:$C993,MATCH($C817,'Database Mitra'!$AK$2:$AK993,0)),"")</f>
        <v/>
      </c>
      <c r="I817" s="71" t="str">
        <f>IF(N817=1,SUMIFS('Alokasi Honor'!$M$2:$M993,'Alokasi Honor'!$T$2:$T993,A817),"")</f>
        <v/>
      </c>
      <c r="L817" s="10" t="str">
        <f t="array" ref="L817">IF(N817=1,INDEX('Batasan Honor'!$B$2:$B993,MATCH(CONCATENATE($F817,"-",$G817),'Batasan Honor'!$G$2:$G993,0)),"")</f>
        <v/>
      </c>
      <c r="M817" s="10" t="str">
        <f t="shared" si="5"/>
        <v/>
      </c>
      <c r="N817" s="10" t="str">
        <f t="shared" si="3"/>
        <v/>
      </c>
    </row>
    <row r="818" spans="2:14" ht="12.5">
      <c r="B818" s="5"/>
      <c r="C818" s="5" t="str">
        <f ca="1">IFERROR(__xludf.DUMMYFUNCTION("IF(N818=1,SPLIT(A818,""-""),"""")"),"")</f>
        <v/>
      </c>
      <c r="F818" s="5"/>
      <c r="G818" s="5"/>
      <c r="H818" s="5" t="str">
        <f t="array" ref="H818">IF(N818=1, INDEX('Database Mitra'!$C$2:$C993,MATCH($C818,'Database Mitra'!$AK$2:$AK993,0)),"")</f>
        <v/>
      </c>
      <c r="I818" s="71" t="str">
        <f>IF(N818=1,SUMIFS('Alokasi Honor'!$M$2:$M993,'Alokasi Honor'!$T$2:$T993,A818),"")</f>
        <v/>
      </c>
      <c r="L818" s="10" t="str">
        <f t="array" ref="L818">IF(N818=1,INDEX('Batasan Honor'!$B$2:$B993,MATCH(CONCATENATE($F818,"-",$G818),'Batasan Honor'!$G$2:$G993,0)),"")</f>
        <v/>
      </c>
      <c r="M818" s="10" t="str">
        <f t="shared" si="5"/>
        <v/>
      </c>
      <c r="N818" s="10" t="str">
        <f t="shared" si="3"/>
        <v/>
      </c>
    </row>
    <row r="819" spans="2:14" ht="12.5">
      <c r="B819" s="5"/>
      <c r="C819" s="5" t="str">
        <f ca="1">IFERROR(__xludf.DUMMYFUNCTION("IF(N819=1,SPLIT(A819,""-""),"""")"),"")</f>
        <v/>
      </c>
      <c r="F819" s="5"/>
      <c r="G819" s="5"/>
      <c r="H819" s="5" t="str">
        <f t="array" ref="H819">IF(N819=1, INDEX('Database Mitra'!$C$2:$C993,MATCH($C819,'Database Mitra'!$AK$2:$AK993,0)),"")</f>
        <v/>
      </c>
      <c r="I819" s="71" t="str">
        <f>IF(N819=1,SUMIFS('Alokasi Honor'!$M$2:$M993,'Alokasi Honor'!$T$2:$T993,A819),"")</f>
        <v/>
      </c>
      <c r="L819" s="10" t="str">
        <f t="array" ref="L819">IF(N819=1,INDEX('Batasan Honor'!$B$2:$B993,MATCH(CONCATENATE($F819,"-",$G819),'Batasan Honor'!$G$2:$G993,0)),"")</f>
        <v/>
      </c>
      <c r="M819" s="10" t="str">
        <f t="shared" si="5"/>
        <v/>
      </c>
      <c r="N819" s="10" t="str">
        <f t="shared" si="3"/>
        <v/>
      </c>
    </row>
    <row r="820" spans="2:14" ht="12.5">
      <c r="B820" s="5"/>
      <c r="C820" s="5" t="str">
        <f ca="1">IFERROR(__xludf.DUMMYFUNCTION("IF(N820=1,SPLIT(A820,""-""),"""")"),"")</f>
        <v/>
      </c>
      <c r="F820" s="5"/>
      <c r="G820" s="5"/>
      <c r="H820" s="5" t="str">
        <f t="array" ref="H820">IF(N820=1, INDEX('Database Mitra'!$C$2:$C993,MATCH($C820,'Database Mitra'!$AK$2:$AK993,0)),"")</f>
        <v/>
      </c>
      <c r="I820" s="71" t="str">
        <f>IF(N820=1,SUMIFS('Alokasi Honor'!$M$2:$M993,'Alokasi Honor'!$T$2:$T993,A820),"")</f>
        <v/>
      </c>
      <c r="L820" s="10" t="str">
        <f t="array" ref="L820">IF(N820=1,INDEX('Batasan Honor'!$B$2:$B993,MATCH(CONCATENATE($F820,"-",$G820),'Batasan Honor'!$G$2:$G993,0)),"")</f>
        <v/>
      </c>
      <c r="M820" s="10" t="str">
        <f t="shared" si="5"/>
        <v/>
      </c>
      <c r="N820" s="10" t="str">
        <f t="shared" si="3"/>
        <v/>
      </c>
    </row>
    <row r="821" spans="2:14" ht="12.5">
      <c r="B821" s="5"/>
      <c r="C821" s="5" t="str">
        <f ca="1">IFERROR(__xludf.DUMMYFUNCTION("IF(N821=1,SPLIT(A821,""-""),"""")"),"")</f>
        <v/>
      </c>
      <c r="F821" s="5"/>
      <c r="G821" s="5"/>
      <c r="H821" s="5" t="str">
        <f t="array" ref="H821">IF(N821=1, INDEX('Database Mitra'!$C$2:$C993,MATCH($C821,'Database Mitra'!$AK$2:$AK993,0)),"")</f>
        <v/>
      </c>
      <c r="I821" s="71" t="str">
        <f>IF(N821=1,SUMIFS('Alokasi Honor'!$M$2:$M993,'Alokasi Honor'!$T$2:$T993,A821),"")</f>
        <v/>
      </c>
      <c r="L821" s="10" t="str">
        <f t="array" ref="L821">IF(N821=1,INDEX('Batasan Honor'!$B$2:$B993,MATCH(CONCATENATE($F821,"-",$G821),'Batasan Honor'!$G$2:$G993,0)),"")</f>
        <v/>
      </c>
      <c r="M821" s="10" t="str">
        <f t="shared" si="5"/>
        <v/>
      </c>
      <c r="N821" s="10" t="str">
        <f t="shared" si="3"/>
        <v/>
      </c>
    </row>
    <row r="822" spans="2:14" ht="12.5">
      <c r="B822" s="5"/>
      <c r="C822" s="5" t="str">
        <f ca="1">IFERROR(__xludf.DUMMYFUNCTION("IF(N822=1,SPLIT(A822,""-""),"""")"),"")</f>
        <v/>
      </c>
      <c r="F822" s="5"/>
      <c r="G822" s="5"/>
      <c r="H822" s="5" t="str">
        <f t="array" ref="H822">IF(N822=1, INDEX('Database Mitra'!$C$2:$C993,MATCH($C822,'Database Mitra'!$AK$2:$AK993,0)),"")</f>
        <v/>
      </c>
      <c r="I822" s="71" t="str">
        <f>IF(N822=1,SUMIFS('Alokasi Honor'!$M$2:$M993,'Alokasi Honor'!$T$2:$T993,A822),"")</f>
        <v/>
      </c>
      <c r="L822" s="10" t="str">
        <f t="array" ref="L822">IF(N822=1,INDEX('Batasan Honor'!$B$2:$B993,MATCH(CONCATENATE($F822,"-",$G822),'Batasan Honor'!$G$2:$G993,0)),"")</f>
        <v/>
      </c>
      <c r="M822" s="10" t="str">
        <f t="shared" si="5"/>
        <v/>
      </c>
      <c r="N822" s="10" t="str">
        <f t="shared" si="3"/>
        <v/>
      </c>
    </row>
    <row r="823" spans="2:14" ht="12.5">
      <c r="B823" s="5"/>
      <c r="C823" s="5" t="str">
        <f ca="1">IFERROR(__xludf.DUMMYFUNCTION("IF(N823=1,SPLIT(A823,""-""),"""")"),"")</f>
        <v/>
      </c>
      <c r="F823" s="5"/>
      <c r="G823" s="5"/>
      <c r="H823" s="5" t="str">
        <f t="array" ref="H823">IF(N823=1, INDEX('Database Mitra'!$C$2:$C993,MATCH($C823,'Database Mitra'!$AK$2:$AK993,0)),"")</f>
        <v/>
      </c>
      <c r="I823" s="71" t="str">
        <f>IF(N823=1,SUMIFS('Alokasi Honor'!$M$2:$M993,'Alokasi Honor'!$T$2:$T993,A823),"")</f>
        <v/>
      </c>
      <c r="L823" s="10" t="str">
        <f t="array" ref="L823">IF(N823=1,INDEX('Batasan Honor'!$B$2:$B993,MATCH(CONCATENATE($F823,"-",$G823),'Batasan Honor'!$G$2:$G993,0)),"")</f>
        <v/>
      </c>
      <c r="M823" s="10" t="str">
        <f t="shared" si="5"/>
        <v/>
      </c>
      <c r="N823" s="10" t="str">
        <f t="shared" si="3"/>
        <v/>
      </c>
    </row>
    <row r="824" spans="2:14" ht="12.5">
      <c r="B824" s="5"/>
      <c r="C824" s="5" t="str">
        <f ca="1">IFERROR(__xludf.DUMMYFUNCTION("IF(N824=1,SPLIT(A824,""-""),"""")"),"")</f>
        <v/>
      </c>
      <c r="F824" s="5"/>
      <c r="G824" s="5"/>
      <c r="H824" s="5" t="str">
        <f t="array" ref="H824">IF(N824=1, INDEX('Database Mitra'!$C$2:$C993,MATCH($C824,'Database Mitra'!$AK$2:$AK993,0)),"")</f>
        <v/>
      </c>
      <c r="I824" s="71" t="str">
        <f>IF(N824=1,SUMIFS('Alokasi Honor'!$M$2:$M993,'Alokasi Honor'!$T$2:$T993,A824),"")</f>
        <v/>
      </c>
      <c r="L824" s="10" t="str">
        <f t="array" ref="L824">IF(N824=1,INDEX('Batasan Honor'!$B$2:$B993,MATCH(CONCATENATE($F824,"-",$G824),'Batasan Honor'!$G$2:$G993,0)),"")</f>
        <v/>
      </c>
      <c r="M824" s="10" t="str">
        <f t="shared" si="5"/>
        <v/>
      </c>
      <c r="N824" s="10" t="str">
        <f t="shared" si="3"/>
        <v/>
      </c>
    </row>
    <row r="825" spans="2:14" ht="12.5">
      <c r="B825" s="5"/>
      <c r="C825" s="5" t="str">
        <f ca="1">IFERROR(__xludf.DUMMYFUNCTION("IF(N825=1,SPLIT(A825,""-""),"""")"),"")</f>
        <v/>
      </c>
      <c r="F825" s="5"/>
      <c r="G825" s="5"/>
      <c r="H825" s="5" t="str">
        <f t="array" ref="H825">IF(N825=1, INDEX('Database Mitra'!$C$2:$C993,MATCH($C825,'Database Mitra'!$AK$2:$AK993,0)),"")</f>
        <v/>
      </c>
      <c r="I825" s="71" t="str">
        <f>IF(N825=1,SUMIFS('Alokasi Honor'!$M$2:$M993,'Alokasi Honor'!$T$2:$T993,A825),"")</f>
        <v/>
      </c>
      <c r="L825" s="10" t="str">
        <f t="array" ref="L825">IF(N825=1,INDEX('Batasan Honor'!$B$2:$B993,MATCH(CONCATENATE($F825,"-",$G825),'Batasan Honor'!$G$2:$G993,0)),"")</f>
        <v/>
      </c>
      <c r="M825" s="10" t="str">
        <f t="shared" si="5"/>
        <v/>
      </c>
      <c r="N825" s="10" t="str">
        <f t="shared" si="3"/>
        <v/>
      </c>
    </row>
    <row r="826" spans="2:14" ht="12.5">
      <c r="B826" s="5"/>
      <c r="C826" s="5" t="str">
        <f ca="1">IFERROR(__xludf.DUMMYFUNCTION("IF(N826=1,SPLIT(A826,""-""),"""")"),"")</f>
        <v/>
      </c>
      <c r="F826" s="5"/>
      <c r="G826" s="5"/>
      <c r="H826" s="5" t="str">
        <f t="array" ref="H826">IF(N826=1, INDEX('Database Mitra'!$C$2:$C993,MATCH($C826,'Database Mitra'!$AK$2:$AK993,0)),"")</f>
        <v/>
      </c>
      <c r="I826" s="71" t="str">
        <f>IF(N826=1,SUMIFS('Alokasi Honor'!$M$2:$M993,'Alokasi Honor'!$T$2:$T993,A826),"")</f>
        <v/>
      </c>
      <c r="L826" s="10" t="str">
        <f t="array" ref="L826">IF(N826=1,INDEX('Batasan Honor'!$B$2:$B993,MATCH(CONCATENATE($F826,"-",$G826),'Batasan Honor'!$G$2:$G993,0)),"")</f>
        <v/>
      </c>
      <c r="M826" s="10" t="str">
        <f t="shared" si="5"/>
        <v/>
      </c>
      <c r="N826" s="10" t="str">
        <f t="shared" si="3"/>
        <v/>
      </c>
    </row>
    <row r="827" spans="2:14" ht="12.5">
      <c r="B827" s="5"/>
      <c r="C827" s="5" t="str">
        <f ca="1">IFERROR(__xludf.DUMMYFUNCTION("IF(N827=1,SPLIT(A827,""-""),"""")"),"")</f>
        <v/>
      </c>
      <c r="F827" s="5"/>
      <c r="G827" s="5"/>
      <c r="H827" s="5" t="str">
        <f t="array" ref="H827">IF(N827=1, INDEX('Database Mitra'!$C$2:$C993,MATCH($C827,'Database Mitra'!$AK$2:$AK993,0)),"")</f>
        <v/>
      </c>
      <c r="I827" s="71" t="str">
        <f>IF(N827=1,SUMIFS('Alokasi Honor'!$M$2:$M993,'Alokasi Honor'!$T$2:$T993,A827),"")</f>
        <v/>
      </c>
      <c r="L827" s="10" t="str">
        <f t="array" ref="L827">IF(N827=1,INDEX('Batasan Honor'!$B$2:$B993,MATCH(CONCATENATE($F827,"-",$G827),'Batasan Honor'!$G$2:$G993,0)),"")</f>
        <v/>
      </c>
      <c r="M827" s="10" t="str">
        <f t="shared" si="5"/>
        <v/>
      </c>
      <c r="N827" s="10" t="str">
        <f t="shared" si="3"/>
        <v/>
      </c>
    </row>
    <row r="828" spans="2:14" ht="12.5">
      <c r="B828" s="5"/>
      <c r="C828" s="5" t="str">
        <f ca="1">IFERROR(__xludf.DUMMYFUNCTION("IF(N828=1,SPLIT(A828,""-""),"""")"),"")</f>
        <v/>
      </c>
      <c r="F828" s="5"/>
      <c r="G828" s="5"/>
      <c r="H828" s="5" t="str">
        <f t="array" ref="H828">IF(N828=1, INDEX('Database Mitra'!$C$2:$C993,MATCH($C828,'Database Mitra'!$AK$2:$AK993,0)),"")</f>
        <v/>
      </c>
      <c r="I828" s="71" t="str">
        <f>IF(N828=1,SUMIFS('Alokasi Honor'!$M$2:$M993,'Alokasi Honor'!$T$2:$T993,A828),"")</f>
        <v/>
      </c>
      <c r="L828" s="10" t="str">
        <f t="array" ref="L828">IF(N828=1,INDEX('Batasan Honor'!$B$2:$B993,MATCH(CONCATENATE($F828,"-",$G828),'Batasan Honor'!$G$2:$G993,0)),"")</f>
        <v/>
      </c>
      <c r="M828" s="10" t="str">
        <f t="shared" si="5"/>
        <v/>
      </c>
      <c r="N828" s="10" t="str">
        <f t="shared" si="3"/>
        <v/>
      </c>
    </row>
    <row r="829" spans="2:14" ht="12.5">
      <c r="B829" s="5"/>
      <c r="C829" s="5" t="str">
        <f ca="1">IFERROR(__xludf.DUMMYFUNCTION("IF(N829=1,SPLIT(A829,""-""),"""")"),"")</f>
        <v/>
      </c>
      <c r="F829" s="5"/>
      <c r="G829" s="5"/>
      <c r="H829" s="5" t="str">
        <f t="array" ref="H829">IF(N829=1, INDEX('Database Mitra'!$C$2:$C993,MATCH($C829,'Database Mitra'!$AK$2:$AK993,0)),"")</f>
        <v/>
      </c>
      <c r="I829" s="71" t="str">
        <f>IF(N829=1,SUMIFS('Alokasi Honor'!$M$2:$M993,'Alokasi Honor'!$T$2:$T993,A829),"")</f>
        <v/>
      </c>
      <c r="L829" s="10" t="str">
        <f t="array" ref="L829">IF(N829=1,INDEX('Batasan Honor'!$B$2:$B993,MATCH(CONCATENATE($F829,"-",$G829),'Batasan Honor'!$G$2:$G993,0)),"")</f>
        <v/>
      </c>
      <c r="M829" s="10" t="str">
        <f t="shared" si="5"/>
        <v/>
      </c>
      <c r="N829" s="10" t="str">
        <f t="shared" si="3"/>
        <v/>
      </c>
    </row>
    <row r="830" spans="2:14" ht="12.5">
      <c r="B830" s="5"/>
      <c r="C830" s="5" t="str">
        <f ca="1">IFERROR(__xludf.DUMMYFUNCTION("IF(N830=1,SPLIT(A830,""-""),"""")"),"")</f>
        <v/>
      </c>
      <c r="F830" s="5"/>
      <c r="G830" s="5"/>
      <c r="H830" s="5" t="str">
        <f t="array" ref="H830">IF(N830=1, INDEX('Database Mitra'!$C$2:$C993,MATCH($C830,'Database Mitra'!$AK$2:$AK993,0)),"")</f>
        <v/>
      </c>
      <c r="I830" s="71" t="str">
        <f>IF(N830=1,SUMIFS('Alokasi Honor'!$M$2:$M993,'Alokasi Honor'!$T$2:$T993,A830),"")</f>
        <v/>
      </c>
      <c r="L830" s="10" t="str">
        <f t="array" ref="L830">IF(N830=1,INDEX('Batasan Honor'!$B$2:$B993,MATCH(CONCATENATE($F830,"-",$G830),'Batasan Honor'!$G$2:$G993,0)),"")</f>
        <v/>
      </c>
      <c r="M830" s="10" t="str">
        <f t="shared" si="5"/>
        <v/>
      </c>
      <c r="N830" s="10" t="str">
        <f t="shared" si="3"/>
        <v/>
      </c>
    </row>
    <row r="831" spans="2:14" ht="12.5">
      <c r="B831" s="5"/>
      <c r="C831" s="5" t="str">
        <f ca="1">IFERROR(__xludf.DUMMYFUNCTION("IF(N831=1,SPLIT(A831,""-""),"""")"),"")</f>
        <v/>
      </c>
      <c r="F831" s="5"/>
      <c r="G831" s="5"/>
      <c r="H831" s="5" t="str">
        <f t="array" ref="H831">IF(N831=1, INDEX('Database Mitra'!$C$2:$C993,MATCH($C831,'Database Mitra'!$AK$2:$AK993,0)),"")</f>
        <v/>
      </c>
      <c r="I831" s="71" t="str">
        <f>IF(N831=1,SUMIFS('Alokasi Honor'!$M$2:$M993,'Alokasi Honor'!$T$2:$T993,A831),"")</f>
        <v/>
      </c>
      <c r="L831" s="10" t="str">
        <f t="array" ref="L831">IF(N831=1,INDEX('Batasan Honor'!$B$2:$B993,MATCH(CONCATENATE($F831,"-",$G831),'Batasan Honor'!$G$2:$G993,0)),"")</f>
        <v/>
      </c>
      <c r="M831" s="10" t="str">
        <f t="shared" si="5"/>
        <v/>
      </c>
      <c r="N831" s="10" t="str">
        <f t="shared" si="3"/>
        <v/>
      </c>
    </row>
    <row r="832" spans="2:14" ht="12.5">
      <c r="B832" s="5"/>
      <c r="C832" s="5" t="str">
        <f ca="1">IFERROR(__xludf.DUMMYFUNCTION("IF(N832=1,SPLIT(A832,""-""),"""")"),"")</f>
        <v/>
      </c>
      <c r="F832" s="5"/>
      <c r="G832" s="5"/>
      <c r="H832" s="5" t="str">
        <f t="array" ref="H832">IF(N832=1, INDEX('Database Mitra'!$C$2:$C993,MATCH($C832,'Database Mitra'!$AK$2:$AK993,0)),"")</f>
        <v/>
      </c>
      <c r="I832" s="71" t="str">
        <f>IF(N832=1,SUMIFS('Alokasi Honor'!$M$2:$M993,'Alokasi Honor'!$T$2:$T993,A832),"")</f>
        <v/>
      </c>
      <c r="L832" s="10" t="str">
        <f t="array" ref="L832">IF(N832=1,INDEX('Batasan Honor'!$B$2:$B993,MATCH(CONCATENATE($F832,"-",$G832),'Batasan Honor'!$G$2:$G993,0)),"")</f>
        <v/>
      </c>
      <c r="M832" s="10" t="str">
        <f t="shared" si="5"/>
        <v/>
      </c>
      <c r="N832" s="10" t="str">
        <f t="shared" si="3"/>
        <v/>
      </c>
    </row>
    <row r="833" spans="2:14" ht="12.5">
      <c r="B833" s="5"/>
      <c r="C833" s="5" t="str">
        <f ca="1">IFERROR(__xludf.DUMMYFUNCTION("IF(N833=1,SPLIT(A833,""-""),"""")"),"")</f>
        <v/>
      </c>
      <c r="F833" s="5"/>
      <c r="G833" s="5"/>
      <c r="H833" s="5" t="str">
        <f t="array" ref="H833">IF(N833=1, INDEX('Database Mitra'!$C$2:$C993,MATCH($C833,'Database Mitra'!$AK$2:$AK993,0)),"")</f>
        <v/>
      </c>
      <c r="I833" s="71" t="str">
        <f>IF(N833=1,SUMIFS('Alokasi Honor'!$M$2:$M993,'Alokasi Honor'!$T$2:$T993,A833),"")</f>
        <v/>
      </c>
      <c r="L833" s="10" t="str">
        <f t="array" ref="L833">IF(N833=1,INDEX('Batasan Honor'!$B$2:$B993,MATCH(CONCATENATE($F833,"-",$G833),'Batasan Honor'!$G$2:$G993,0)),"")</f>
        <v/>
      </c>
      <c r="M833" s="10" t="str">
        <f t="shared" si="5"/>
        <v/>
      </c>
      <c r="N833" s="10" t="str">
        <f t="shared" si="3"/>
        <v/>
      </c>
    </row>
    <row r="834" spans="2:14" ht="12.5">
      <c r="B834" s="5"/>
      <c r="C834" s="5" t="str">
        <f ca="1">IFERROR(__xludf.DUMMYFUNCTION("IF(N834=1,SPLIT(A834,""-""),"""")"),"")</f>
        <v/>
      </c>
      <c r="F834" s="5"/>
      <c r="G834" s="5"/>
      <c r="H834" s="5" t="str">
        <f t="array" ref="H834">IF(N834=1, INDEX('Database Mitra'!$C$2:$C993,MATCH($C834,'Database Mitra'!$AK$2:$AK993,0)),"")</f>
        <v/>
      </c>
      <c r="I834" s="71" t="str">
        <f>IF(N834=1,SUMIFS('Alokasi Honor'!$M$2:$M993,'Alokasi Honor'!$T$2:$T993,A834),"")</f>
        <v/>
      </c>
      <c r="L834" s="10" t="str">
        <f t="array" ref="L834">IF(N834=1,INDEX('Batasan Honor'!$B$2:$B993,MATCH(CONCATENATE($F834,"-",$G834),'Batasan Honor'!$G$2:$G993,0)),"")</f>
        <v/>
      </c>
      <c r="M834" s="10" t="str">
        <f t="shared" si="5"/>
        <v/>
      </c>
      <c r="N834" s="10" t="str">
        <f t="shared" si="3"/>
        <v/>
      </c>
    </row>
    <row r="835" spans="2:14" ht="12.5">
      <c r="B835" s="5"/>
      <c r="C835" s="5" t="str">
        <f ca="1">IFERROR(__xludf.DUMMYFUNCTION("IF(N835=1,SPLIT(A835,""-""),"""")"),"")</f>
        <v/>
      </c>
      <c r="F835" s="5"/>
      <c r="G835" s="5"/>
      <c r="H835" s="5" t="str">
        <f t="array" ref="H835">IF(N835=1, INDEX('Database Mitra'!$C$2:$C993,MATCH($C835,'Database Mitra'!$AK$2:$AK993,0)),"")</f>
        <v/>
      </c>
      <c r="I835" s="71" t="str">
        <f>IF(N835=1,SUMIFS('Alokasi Honor'!$M$2:$M993,'Alokasi Honor'!$T$2:$T993,A835),"")</f>
        <v/>
      </c>
      <c r="L835" s="10" t="str">
        <f t="array" ref="L835">IF(N835=1,INDEX('Batasan Honor'!$B$2:$B993,MATCH(CONCATENATE($F835,"-",$G835),'Batasan Honor'!$G$2:$G993,0)),"")</f>
        <v/>
      </c>
      <c r="M835" s="10" t="str">
        <f t="shared" si="5"/>
        <v/>
      </c>
      <c r="N835" s="10" t="str">
        <f t="shared" si="3"/>
        <v/>
      </c>
    </row>
    <row r="836" spans="2:14" ht="12.5">
      <c r="B836" s="5"/>
      <c r="C836" s="5" t="str">
        <f ca="1">IFERROR(__xludf.DUMMYFUNCTION("IF(N836=1,SPLIT(A836,""-""),"""")"),"")</f>
        <v/>
      </c>
      <c r="F836" s="5"/>
      <c r="G836" s="5"/>
      <c r="H836" s="5" t="str">
        <f t="array" ref="H836">IF(N836=1, INDEX('Database Mitra'!$C$2:$C993,MATCH($C836,'Database Mitra'!$AK$2:$AK993,0)),"")</f>
        <v/>
      </c>
      <c r="I836" s="71" t="str">
        <f>IF(N836=1,SUMIFS('Alokasi Honor'!$M$2:$M993,'Alokasi Honor'!$T$2:$T993,A836),"")</f>
        <v/>
      </c>
      <c r="L836" s="10" t="str">
        <f t="array" ref="L836">IF(N836=1,INDEX('Batasan Honor'!$B$2:$B993,MATCH(CONCATENATE($F836,"-",$G836),'Batasan Honor'!$G$2:$G993,0)),"")</f>
        <v/>
      </c>
      <c r="M836" s="10" t="str">
        <f t="shared" si="5"/>
        <v/>
      </c>
      <c r="N836" s="10" t="str">
        <f t="shared" si="3"/>
        <v/>
      </c>
    </row>
    <row r="837" spans="2:14" ht="12.5">
      <c r="B837" s="5"/>
      <c r="C837" s="5" t="str">
        <f ca="1">IFERROR(__xludf.DUMMYFUNCTION("IF(N837=1,SPLIT(A837,""-""),"""")"),"")</f>
        <v/>
      </c>
      <c r="F837" s="5"/>
      <c r="G837" s="5"/>
      <c r="H837" s="5" t="str">
        <f t="array" ref="H837">IF(N837=1, INDEX('Database Mitra'!$C$2:$C993,MATCH($C837,'Database Mitra'!$AK$2:$AK993,0)),"")</f>
        <v/>
      </c>
      <c r="I837" s="71" t="str">
        <f>IF(N837=1,SUMIFS('Alokasi Honor'!$M$2:$M993,'Alokasi Honor'!$T$2:$T993,A837),"")</f>
        <v/>
      </c>
      <c r="L837" s="10" t="str">
        <f t="array" ref="L837">IF(N837=1,INDEX('Batasan Honor'!$B$2:$B993,MATCH(CONCATENATE($F837,"-",$G837),'Batasan Honor'!$G$2:$G993,0)),"")</f>
        <v/>
      </c>
      <c r="M837" s="10" t="str">
        <f t="shared" si="5"/>
        <v/>
      </c>
      <c r="N837" s="10" t="str">
        <f t="shared" si="3"/>
        <v/>
      </c>
    </row>
    <row r="838" spans="2:14" ht="12.5">
      <c r="B838" s="5"/>
      <c r="C838" s="5" t="str">
        <f ca="1">IFERROR(__xludf.DUMMYFUNCTION("IF(N838=1,SPLIT(A838,""-""),"""")"),"")</f>
        <v/>
      </c>
      <c r="F838" s="5"/>
      <c r="G838" s="5"/>
      <c r="H838" s="5" t="str">
        <f t="array" ref="H838">IF(N838=1, INDEX('Database Mitra'!$C$2:$C993,MATCH($C838,'Database Mitra'!$AK$2:$AK993,0)),"")</f>
        <v/>
      </c>
      <c r="I838" s="71" t="str">
        <f>IF(N838=1,SUMIFS('Alokasi Honor'!$M$2:$M993,'Alokasi Honor'!$T$2:$T993,A838),"")</f>
        <v/>
      </c>
      <c r="L838" s="10" t="str">
        <f t="array" ref="L838">IF(N838=1,INDEX('Batasan Honor'!$B$2:$B993,MATCH(CONCATENATE($F838,"-",$G838),'Batasan Honor'!$G$2:$G993,0)),"")</f>
        <v/>
      </c>
      <c r="M838" s="10" t="str">
        <f t="shared" si="5"/>
        <v/>
      </c>
      <c r="N838" s="10" t="str">
        <f t="shared" si="3"/>
        <v/>
      </c>
    </row>
    <row r="839" spans="2:14" ht="12.5">
      <c r="B839" s="5"/>
      <c r="C839" s="5" t="str">
        <f ca="1">IFERROR(__xludf.DUMMYFUNCTION("IF(N839=1,SPLIT(A839,""-""),"""")"),"")</f>
        <v/>
      </c>
      <c r="F839" s="5"/>
      <c r="G839" s="5"/>
      <c r="H839" s="5" t="str">
        <f t="array" ref="H839">IF(N839=1, INDEX('Database Mitra'!$C$2:$C993,MATCH($C839,'Database Mitra'!$AK$2:$AK993,0)),"")</f>
        <v/>
      </c>
      <c r="I839" s="71" t="str">
        <f>IF(N839=1,SUMIFS('Alokasi Honor'!$M$2:$M993,'Alokasi Honor'!$T$2:$T993,A839),"")</f>
        <v/>
      </c>
      <c r="L839" s="10" t="str">
        <f t="array" ref="L839">IF(N839=1,INDEX('Batasan Honor'!$B$2:$B993,MATCH(CONCATENATE($F839,"-",$G839),'Batasan Honor'!$G$2:$G993,0)),"")</f>
        <v/>
      </c>
      <c r="M839" s="10" t="str">
        <f t="shared" si="5"/>
        <v/>
      </c>
      <c r="N839" s="10" t="str">
        <f t="shared" si="3"/>
        <v/>
      </c>
    </row>
    <row r="840" spans="2:14" ht="12.5">
      <c r="B840" s="5"/>
      <c r="C840" s="5" t="str">
        <f ca="1">IFERROR(__xludf.DUMMYFUNCTION("IF(N840=1,SPLIT(A840,""-""),"""")"),"")</f>
        <v/>
      </c>
      <c r="F840" s="5"/>
      <c r="G840" s="5"/>
      <c r="H840" s="5" t="str">
        <f t="array" ref="H840">IF(N840=1, INDEX('Database Mitra'!$C$2:$C993,MATCH($C840,'Database Mitra'!$AK$2:$AK993,0)),"")</f>
        <v/>
      </c>
      <c r="I840" s="71" t="str">
        <f>IF(N840=1,SUMIFS('Alokasi Honor'!$M$2:$M993,'Alokasi Honor'!$T$2:$T993,A840),"")</f>
        <v/>
      </c>
      <c r="L840" s="10" t="str">
        <f t="array" ref="L840">IF(N840=1,INDEX('Batasan Honor'!$B$2:$B993,MATCH(CONCATENATE($F840,"-",$G840),'Batasan Honor'!$G$2:$G993,0)),"")</f>
        <v/>
      </c>
      <c r="M840" s="10" t="str">
        <f t="shared" si="5"/>
        <v/>
      </c>
      <c r="N840" s="10" t="str">
        <f t="shared" si="3"/>
        <v/>
      </c>
    </row>
    <row r="841" spans="2:14" ht="12.5">
      <c r="B841" s="5"/>
      <c r="C841" s="5" t="str">
        <f ca="1">IFERROR(__xludf.DUMMYFUNCTION("IF(N841=1,SPLIT(A841,""-""),"""")"),"")</f>
        <v/>
      </c>
      <c r="F841" s="5"/>
      <c r="G841" s="5"/>
      <c r="H841" s="5" t="str">
        <f t="array" ref="H841">IF(N841=1, INDEX('Database Mitra'!$C$2:$C993,MATCH($C841,'Database Mitra'!$AK$2:$AK993,0)),"")</f>
        <v/>
      </c>
      <c r="I841" s="71" t="str">
        <f>IF(N841=1,SUMIFS('Alokasi Honor'!$M$2:$M993,'Alokasi Honor'!$T$2:$T993,A841),"")</f>
        <v/>
      </c>
      <c r="L841" s="10" t="str">
        <f t="array" ref="L841">IF(N841=1,INDEX('Batasan Honor'!$B$2:$B993,MATCH(CONCATENATE($F841,"-",$G841),'Batasan Honor'!$G$2:$G993,0)),"")</f>
        <v/>
      </c>
      <c r="M841" s="10" t="str">
        <f t="shared" si="5"/>
        <v/>
      </c>
      <c r="N841" s="10" t="str">
        <f t="shared" si="3"/>
        <v/>
      </c>
    </row>
    <row r="842" spans="2:14" ht="12.5">
      <c r="B842" s="5"/>
      <c r="C842" s="5" t="str">
        <f ca="1">IFERROR(__xludf.DUMMYFUNCTION("IF(N842=1,SPLIT(A842,""-""),"""")"),"")</f>
        <v/>
      </c>
      <c r="F842" s="5"/>
      <c r="G842" s="5"/>
      <c r="H842" s="5" t="str">
        <f t="array" ref="H842">IF(N842=1, INDEX('Database Mitra'!$C$2:$C993,MATCH($C842,'Database Mitra'!$AK$2:$AK993,0)),"")</f>
        <v/>
      </c>
      <c r="I842" s="71" t="str">
        <f>IF(N842=1,SUMIFS('Alokasi Honor'!$M$2:$M993,'Alokasi Honor'!$T$2:$T993,A842),"")</f>
        <v/>
      </c>
      <c r="L842" s="10" t="str">
        <f t="array" ref="L842">IF(N842=1,INDEX('Batasan Honor'!$B$2:$B993,MATCH(CONCATENATE($F842,"-",$G842),'Batasan Honor'!$G$2:$G993,0)),"")</f>
        <v/>
      </c>
      <c r="M842" s="10" t="str">
        <f t="shared" si="5"/>
        <v/>
      </c>
      <c r="N842" s="10" t="str">
        <f t="shared" si="3"/>
        <v/>
      </c>
    </row>
    <row r="843" spans="2:14" ht="12.5">
      <c r="B843" s="5"/>
      <c r="C843" s="5" t="str">
        <f ca="1">IFERROR(__xludf.DUMMYFUNCTION("IF(N843=1,SPLIT(A843,""-""),"""")"),"")</f>
        <v/>
      </c>
      <c r="F843" s="5"/>
      <c r="G843" s="5"/>
      <c r="H843" s="5" t="str">
        <f t="array" ref="H843">IF(N843=1, INDEX('Database Mitra'!$C$2:$C993,MATCH($C843,'Database Mitra'!$AK$2:$AK993,0)),"")</f>
        <v/>
      </c>
      <c r="I843" s="71" t="str">
        <f>IF(N843=1,SUMIFS('Alokasi Honor'!$M$2:$M993,'Alokasi Honor'!$T$2:$T993,A843),"")</f>
        <v/>
      </c>
      <c r="L843" s="10" t="str">
        <f t="array" ref="L843">IF(N843=1,INDEX('Batasan Honor'!$B$2:$B993,MATCH(CONCATENATE($F843,"-",$G843),'Batasan Honor'!$G$2:$G993,0)),"")</f>
        <v/>
      </c>
      <c r="M843" s="10" t="str">
        <f t="shared" si="5"/>
        <v/>
      </c>
      <c r="N843" s="10" t="str">
        <f t="shared" si="3"/>
        <v/>
      </c>
    </row>
    <row r="844" spans="2:14" ht="12.5">
      <c r="B844" s="5"/>
      <c r="C844" s="5" t="str">
        <f ca="1">IFERROR(__xludf.DUMMYFUNCTION("IF(N844=1,SPLIT(A844,""-""),"""")"),"")</f>
        <v/>
      </c>
      <c r="F844" s="5"/>
      <c r="G844" s="5"/>
      <c r="H844" s="5" t="str">
        <f t="array" ref="H844">IF(N844=1, INDEX('Database Mitra'!$C$2:$C993,MATCH($C844,'Database Mitra'!$AK$2:$AK993,0)),"")</f>
        <v/>
      </c>
      <c r="I844" s="71" t="str">
        <f>IF(N844=1,SUMIFS('Alokasi Honor'!$M$2:$M993,'Alokasi Honor'!$T$2:$T993,A844),"")</f>
        <v/>
      </c>
      <c r="L844" s="10" t="str">
        <f t="array" ref="L844">IF(N844=1,INDEX('Batasan Honor'!$B$2:$B993,MATCH(CONCATENATE($F844,"-",$G844),'Batasan Honor'!$G$2:$G993,0)),"")</f>
        <v/>
      </c>
      <c r="M844" s="10" t="str">
        <f t="shared" si="5"/>
        <v/>
      </c>
      <c r="N844" s="10" t="str">
        <f t="shared" si="3"/>
        <v/>
      </c>
    </row>
    <row r="845" spans="2:14" ht="12.5">
      <c r="B845" s="5"/>
      <c r="C845" s="5" t="str">
        <f ca="1">IFERROR(__xludf.DUMMYFUNCTION("IF(N845=1,SPLIT(A845,""-""),"""")"),"")</f>
        <v/>
      </c>
      <c r="F845" s="5"/>
      <c r="G845" s="5"/>
      <c r="H845" s="5" t="str">
        <f t="array" ref="H845">IF(N845=1, INDEX('Database Mitra'!$C$2:$C993,MATCH($C845,'Database Mitra'!$AK$2:$AK993,0)),"")</f>
        <v/>
      </c>
      <c r="I845" s="71" t="str">
        <f>IF(N845=1,SUMIFS('Alokasi Honor'!$M$2:$M993,'Alokasi Honor'!$T$2:$T993,A845),"")</f>
        <v/>
      </c>
      <c r="L845" s="10" t="str">
        <f t="array" ref="L845">IF(N845=1,INDEX('Batasan Honor'!$B$2:$B993,MATCH(CONCATENATE($F845,"-",$G845),'Batasan Honor'!$G$2:$G993,0)),"")</f>
        <v/>
      </c>
      <c r="M845" s="10" t="str">
        <f t="shared" si="5"/>
        <v/>
      </c>
      <c r="N845" s="10" t="str">
        <f t="shared" si="3"/>
        <v/>
      </c>
    </row>
    <row r="846" spans="2:14" ht="12.5">
      <c r="B846" s="5"/>
      <c r="C846" s="5" t="str">
        <f ca="1">IFERROR(__xludf.DUMMYFUNCTION("IF(N846=1,SPLIT(A846,""-""),"""")"),"")</f>
        <v/>
      </c>
      <c r="F846" s="5"/>
      <c r="G846" s="5"/>
      <c r="H846" s="5" t="str">
        <f t="array" ref="H846">IF(N846=1, INDEX('Database Mitra'!$C$2:$C993,MATCH($C846,'Database Mitra'!$AK$2:$AK993,0)),"")</f>
        <v/>
      </c>
      <c r="I846" s="71" t="str">
        <f>IF(N846=1,SUMIFS('Alokasi Honor'!$M$2:$M993,'Alokasi Honor'!$T$2:$T993,A846),"")</f>
        <v/>
      </c>
      <c r="L846" s="10" t="str">
        <f t="array" ref="L846">IF(N846=1,INDEX('Batasan Honor'!$B$2:$B993,MATCH(CONCATENATE($F846,"-",$G846),'Batasan Honor'!$G$2:$G993,0)),"")</f>
        <v/>
      </c>
      <c r="M846" s="10" t="str">
        <f t="shared" si="5"/>
        <v/>
      </c>
      <c r="N846" s="10" t="str">
        <f t="shared" si="3"/>
        <v/>
      </c>
    </row>
    <row r="847" spans="2:14" ht="12.5">
      <c r="B847" s="5"/>
      <c r="C847" s="5" t="str">
        <f ca="1">IFERROR(__xludf.DUMMYFUNCTION("IF(N847=1,SPLIT(A847,""-""),"""")"),"")</f>
        <v/>
      </c>
      <c r="F847" s="5"/>
      <c r="G847" s="5"/>
      <c r="H847" s="5" t="str">
        <f t="array" ref="H847">IF(N847=1, INDEX('Database Mitra'!$C$2:$C993,MATCH($C847,'Database Mitra'!$AK$2:$AK993,0)),"")</f>
        <v/>
      </c>
      <c r="I847" s="71" t="str">
        <f>IF(N847=1,SUMIFS('Alokasi Honor'!$M$2:$M993,'Alokasi Honor'!$T$2:$T993,A847),"")</f>
        <v/>
      </c>
      <c r="L847" s="10" t="str">
        <f t="array" ref="L847">IF(N847=1,INDEX('Batasan Honor'!$B$2:$B993,MATCH(CONCATENATE($F847,"-",$G847),'Batasan Honor'!$G$2:$G993,0)),"")</f>
        <v/>
      </c>
      <c r="M847" s="10" t="str">
        <f t="shared" si="5"/>
        <v/>
      </c>
      <c r="N847" s="10" t="str">
        <f t="shared" si="3"/>
        <v/>
      </c>
    </row>
    <row r="848" spans="2:14" ht="12.5">
      <c r="B848" s="5"/>
      <c r="C848" s="5" t="str">
        <f ca="1">IFERROR(__xludf.DUMMYFUNCTION("IF(N848=1,SPLIT(A848,""-""),"""")"),"")</f>
        <v/>
      </c>
      <c r="F848" s="5"/>
      <c r="G848" s="5"/>
      <c r="H848" s="5" t="str">
        <f t="array" ref="H848">IF(N848=1, INDEX('Database Mitra'!$C$2:$C993,MATCH($C848,'Database Mitra'!$AK$2:$AK993,0)),"")</f>
        <v/>
      </c>
      <c r="I848" s="71" t="str">
        <f>IF(N848=1,SUMIFS('Alokasi Honor'!$M$2:$M993,'Alokasi Honor'!$T$2:$T993,A848),"")</f>
        <v/>
      </c>
      <c r="L848" s="10" t="str">
        <f t="array" ref="L848">IF(N848=1,INDEX('Batasan Honor'!$B$2:$B993,MATCH(CONCATENATE($F848,"-",$G848),'Batasan Honor'!$G$2:$G993,0)),"")</f>
        <v/>
      </c>
      <c r="M848" s="10" t="str">
        <f t="shared" si="5"/>
        <v/>
      </c>
      <c r="N848" s="10" t="str">
        <f t="shared" si="3"/>
        <v/>
      </c>
    </row>
    <row r="849" spans="2:14" ht="12.5">
      <c r="B849" s="5"/>
      <c r="C849" s="5" t="str">
        <f ca="1">IFERROR(__xludf.DUMMYFUNCTION("IF(N849=1,SPLIT(A849,""-""),"""")"),"")</f>
        <v/>
      </c>
      <c r="F849" s="5"/>
      <c r="G849" s="5"/>
      <c r="H849" s="5" t="str">
        <f t="array" ref="H849">IF(N849=1, INDEX('Database Mitra'!$C$2:$C993,MATCH($C849,'Database Mitra'!$AK$2:$AK993,0)),"")</f>
        <v/>
      </c>
      <c r="I849" s="71" t="str">
        <f>IF(N849=1,SUMIFS('Alokasi Honor'!$M$2:$M993,'Alokasi Honor'!$T$2:$T993,A849),"")</f>
        <v/>
      </c>
      <c r="L849" s="10" t="str">
        <f t="array" ref="L849">IF(N849=1,INDEX('Batasan Honor'!$B$2:$B993,MATCH(CONCATENATE($F849,"-",$G849),'Batasan Honor'!$G$2:$G993,0)),"")</f>
        <v/>
      </c>
      <c r="M849" s="10" t="str">
        <f t="shared" si="5"/>
        <v/>
      </c>
      <c r="N849" s="10" t="str">
        <f t="shared" si="3"/>
        <v/>
      </c>
    </row>
    <row r="850" spans="2:14" ht="12.5">
      <c r="B850" s="5"/>
      <c r="C850" s="5" t="str">
        <f ca="1">IFERROR(__xludf.DUMMYFUNCTION("IF(N850=1,SPLIT(A850,""-""),"""")"),"")</f>
        <v/>
      </c>
      <c r="F850" s="5"/>
      <c r="G850" s="5"/>
      <c r="H850" s="5" t="str">
        <f t="array" ref="H850">IF(N850=1, INDEX('Database Mitra'!$C$2:$C993,MATCH($C850,'Database Mitra'!$AK$2:$AK993,0)),"")</f>
        <v/>
      </c>
      <c r="I850" s="71" t="str">
        <f>IF(N850=1,SUMIFS('Alokasi Honor'!$M$2:$M993,'Alokasi Honor'!$T$2:$T993,A850),"")</f>
        <v/>
      </c>
      <c r="L850" s="10" t="str">
        <f t="array" ref="L850">IF(N850=1,INDEX('Batasan Honor'!$B$2:$B993,MATCH(CONCATENATE($F850,"-",$G850),'Batasan Honor'!$G$2:$G993,0)),"")</f>
        <v/>
      </c>
      <c r="M850" s="10" t="str">
        <f t="shared" si="5"/>
        <v/>
      </c>
      <c r="N850" s="10" t="str">
        <f t="shared" si="3"/>
        <v/>
      </c>
    </row>
    <row r="851" spans="2:14" ht="12.5">
      <c r="B851" s="5"/>
      <c r="C851" s="5" t="str">
        <f ca="1">IFERROR(__xludf.DUMMYFUNCTION("IF(N851=1,SPLIT(A851,""-""),"""")"),"")</f>
        <v/>
      </c>
      <c r="F851" s="5"/>
      <c r="G851" s="5"/>
      <c r="H851" s="5" t="str">
        <f t="array" ref="H851">IF(N851=1, INDEX('Database Mitra'!$C$2:$C993,MATCH($C851,'Database Mitra'!$AK$2:$AK993,0)),"")</f>
        <v/>
      </c>
      <c r="I851" s="71" t="str">
        <f>IF(N851=1,SUMIFS('Alokasi Honor'!$M$2:$M993,'Alokasi Honor'!$T$2:$T993,A851),"")</f>
        <v/>
      </c>
      <c r="L851" s="10" t="str">
        <f t="array" ref="L851">IF(N851=1,INDEX('Batasan Honor'!$B$2:$B993,MATCH(CONCATENATE($F851,"-",$G851),'Batasan Honor'!$G$2:$G993,0)),"")</f>
        <v/>
      </c>
      <c r="M851" s="10" t="str">
        <f t="shared" si="5"/>
        <v/>
      </c>
      <c r="N851" s="10" t="str">
        <f t="shared" si="3"/>
        <v/>
      </c>
    </row>
    <row r="852" spans="2:14" ht="12.5">
      <c r="B852" s="5"/>
      <c r="C852" s="5" t="str">
        <f ca="1">IFERROR(__xludf.DUMMYFUNCTION("IF(N852=1,SPLIT(A852,""-""),"""")"),"")</f>
        <v/>
      </c>
      <c r="F852" s="5"/>
      <c r="G852" s="5"/>
      <c r="H852" s="5" t="str">
        <f t="array" ref="H852">IF(N852=1, INDEX('Database Mitra'!$C$2:$C993,MATCH($C852,'Database Mitra'!$AK$2:$AK993,0)),"")</f>
        <v/>
      </c>
      <c r="I852" s="71" t="str">
        <f>IF(N852=1,SUMIFS('Alokasi Honor'!$M$2:$M993,'Alokasi Honor'!$T$2:$T993,A852),"")</f>
        <v/>
      </c>
      <c r="L852" s="10" t="str">
        <f t="array" ref="L852">IF(N852=1,INDEX('Batasan Honor'!$B$2:$B993,MATCH(CONCATENATE($F852,"-",$G852),'Batasan Honor'!$G$2:$G993,0)),"")</f>
        <v/>
      </c>
      <c r="M852" s="10" t="str">
        <f t="shared" si="5"/>
        <v/>
      </c>
      <c r="N852" s="10" t="str">
        <f t="shared" si="3"/>
        <v/>
      </c>
    </row>
    <row r="853" spans="2:14" ht="12.5">
      <c r="B853" s="5"/>
      <c r="C853" s="5" t="str">
        <f ca="1">IFERROR(__xludf.DUMMYFUNCTION("IF(N853=1,SPLIT(A853,""-""),"""")"),"")</f>
        <v/>
      </c>
      <c r="F853" s="5"/>
      <c r="G853" s="5"/>
      <c r="H853" s="5" t="str">
        <f t="array" ref="H853">IF(N853=1, INDEX('Database Mitra'!$C$2:$C993,MATCH($C853,'Database Mitra'!$AK$2:$AK993,0)),"")</f>
        <v/>
      </c>
      <c r="I853" s="71" t="str">
        <f>IF(N853=1,SUMIFS('Alokasi Honor'!$M$2:$M993,'Alokasi Honor'!$T$2:$T993,A853),"")</f>
        <v/>
      </c>
      <c r="L853" s="10" t="str">
        <f t="array" ref="L853">IF(N853=1,INDEX('Batasan Honor'!$B$2:$B993,MATCH(CONCATENATE($F853,"-",$G853),'Batasan Honor'!$G$2:$G993,0)),"")</f>
        <v/>
      </c>
      <c r="M853" s="10" t="str">
        <f t="shared" si="5"/>
        <v/>
      </c>
      <c r="N853" s="10" t="str">
        <f t="shared" si="3"/>
        <v/>
      </c>
    </row>
    <row r="854" spans="2:14" ht="12.5">
      <c r="B854" s="5"/>
      <c r="C854" s="5" t="str">
        <f ca="1">IFERROR(__xludf.DUMMYFUNCTION("IF(N854=1,SPLIT(A854,""-""),"""")"),"")</f>
        <v/>
      </c>
      <c r="F854" s="5"/>
      <c r="G854" s="5"/>
      <c r="H854" s="5" t="str">
        <f t="array" ref="H854">IF(N854=1, INDEX('Database Mitra'!$C$2:$C993,MATCH($C854,'Database Mitra'!$AK$2:$AK993,0)),"")</f>
        <v/>
      </c>
      <c r="I854" s="71" t="str">
        <f>IF(N854=1,SUMIFS('Alokasi Honor'!$M$2:$M993,'Alokasi Honor'!$T$2:$T993,A854),"")</f>
        <v/>
      </c>
      <c r="L854" s="10" t="str">
        <f t="array" ref="L854">IF(N854=1,INDEX('Batasan Honor'!$B$2:$B993,MATCH(CONCATENATE($F854,"-",$G854),'Batasan Honor'!$G$2:$G993,0)),"")</f>
        <v/>
      </c>
      <c r="M854" s="10" t="str">
        <f t="shared" si="5"/>
        <v/>
      </c>
      <c r="N854" s="10" t="str">
        <f t="shared" si="3"/>
        <v/>
      </c>
    </row>
    <row r="855" spans="2:14" ht="12.5">
      <c r="B855" s="5"/>
      <c r="C855" s="5" t="str">
        <f ca="1">IFERROR(__xludf.DUMMYFUNCTION("IF(N855=1,SPLIT(A855,""-""),"""")"),"")</f>
        <v/>
      </c>
      <c r="F855" s="5"/>
      <c r="G855" s="5"/>
      <c r="H855" s="5" t="str">
        <f t="array" ref="H855">IF(N855=1, INDEX('Database Mitra'!$C$2:$C993,MATCH($C855,'Database Mitra'!$AK$2:$AK993,0)),"")</f>
        <v/>
      </c>
      <c r="I855" s="71" t="str">
        <f>IF(N855=1,SUMIFS('Alokasi Honor'!$M$2:$M993,'Alokasi Honor'!$T$2:$T993,A855),"")</f>
        <v/>
      </c>
      <c r="L855" s="10" t="str">
        <f t="array" ref="L855">IF(N855=1,INDEX('Batasan Honor'!$B$2:$B993,MATCH(CONCATENATE($F855,"-",$G855),'Batasan Honor'!$G$2:$G993,0)),"")</f>
        <v/>
      </c>
      <c r="M855" s="10" t="str">
        <f t="shared" si="5"/>
        <v/>
      </c>
      <c r="N855" s="10" t="str">
        <f t="shared" si="3"/>
        <v/>
      </c>
    </row>
    <row r="856" spans="2:14" ht="12.5">
      <c r="B856" s="5"/>
      <c r="C856" s="5" t="str">
        <f ca="1">IFERROR(__xludf.DUMMYFUNCTION("IF(N856=1,SPLIT(A856,""-""),"""")"),"")</f>
        <v/>
      </c>
      <c r="F856" s="5"/>
      <c r="G856" s="5"/>
      <c r="H856" s="5" t="str">
        <f t="array" ref="H856">IF(N856=1, INDEX('Database Mitra'!$C$2:$C993,MATCH($C856,'Database Mitra'!$AK$2:$AK993,0)),"")</f>
        <v/>
      </c>
      <c r="I856" s="71" t="str">
        <f>IF(N856=1,SUMIFS('Alokasi Honor'!$M$2:$M993,'Alokasi Honor'!$T$2:$T993,A856),"")</f>
        <v/>
      </c>
      <c r="L856" s="10" t="str">
        <f t="array" ref="L856">IF(N856=1,INDEX('Batasan Honor'!$B$2:$B993,MATCH(CONCATENATE($F856,"-",$G856),'Batasan Honor'!$G$2:$G993,0)),"")</f>
        <v/>
      </c>
      <c r="M856" s="10" t="str">
        <f t="shared" si="5"/>
        <v/>
      </c>
      <c r="N856" s="10" t="str">
        <f t="shared" si="3"/>
        <v/>
      </c>
    </row>
    <row r="857" spans="2:14" ht="12.5">
      <c r="B857" s="5"/>
      <c r="C857" s="5" t="str">
        <f ca="1">IFERROR(__xludf.DUMMYFUNCTION("IF(N857=1,SPLIT(A857,""-""),"""")"),"")</f>
        <v/>
      </c>
      <c r="F857" s="5"/>
      <c r="G857" s="5"/>
      <c r="H857" s="5" t="str">
        <f t="array" ref="H857">IF(N857=1, INDEX('Database Mitra'!$C$2:$C993,MATCH($C857,'Database Mitra'!$AK$2:$AK993,0)),"")</f>
        <v/>
      </c>
      <c r="I857" s="71" t="str">
        <f>IF(N857=1,SUMIFS('Alokasi Honor'!$M$2:$M993,'Alokasi Honor'!$T$2:$T993,A857),"")</f>
        <v/>
      </c>
      <c r="L857" s="10" t="str">
        <f t="array" ref="L857">IF(N857=1,INDEX('Batasan Honor'!$B$2:$B993,MATCH(CONCATENATE($F857,"-",$G857),'Batasan Honor'!$G$2:$G993,0)),"")</f>
        <v/>
      </c>
      <c r="M857" s="10" t="str">
        <f t="shared" si="5"/>
        <v/>
      </c>
      <c r="N857" s="10" t="str">
        <f t="shared" si="3"/>
        <v/>
      </c>
    </row>
    <row r="858" spans="2:14" ht="12.5">
      <c r="B858" s="5"/>
      <c r="C858" s="5" t="str">
        <f ca="1">IFERROR(__xludf.DUMMYFUNCTION("IF(N858=1,SPLIT(A858,""-""),"""")"),"")</f>
        <v/>
      </c>
      <c r="F858" s="5"/>
      <c r="G858" s="5"/>
      <c r="H858" s="5" t="str">
        <f t="array" ref="H858">IF(N858=1, INDEX('Database Mitra'!$C$2:$C993,MATCH($C858,'Database Mitra'!$AK$2:$AK993,0)),"")</f>
        <v/>
      </c>
      <c r="I858" s="71" t="str">
        <f>IF(N858=1,SUMIFS('Alokasi Honor'!$M$2:$M993,'Alokasi Honor'!$T$2:$T993,A858),"")</f>
        <v/>
      </c>
      <c r="L858" s="10" t="str">
        <f t="array" ref="L858">IF(N858=1,INDEX('Batasan Honor'!$B$2:$B993,MATCH(CONCATENATE($F858,"-",$G858),'Batasan Honor'!$G$2:$G993,0)),"")</f>
        <v/>
      </c>
      <c r="M858" s="10" t="str">
        <f t="shared" si="5"/>
        <v/>
      </c>
      <c r="N858" s="10" t="str">
        <f t="shared" si="3"/>
        <v/>
      </c>
    </row>
    <row r="859" spans="2:14" ht="12.5">
      <c r="B859" s="5"/>
      <c r="C859" s="5" t="str">
        <f ca="1">IFERROR(__xludf.DUMMYFUNCTION("IF(N859=1,SPLIT(A859,""-""),"""")"),"")</f>
        <v/>
      </c>
      <c r="F859" s="5"/>
      <c r="G859" s="5"/>
      <c r="H859" s="5" t="str">
        <f t="array" ref="H859">IF(N859=1, INDEX('Database Mitra'!$C$2:$C993,MATCH($C859,'Database Mitra'!$AK$2:$AK993,0)),"")</f>
        <v/>
      </c>
      <c r="I859" s="71" t="str">
        <f>IF(N859=1,SUMIFS('Alokasi Honor'!$M$2:$M993,'Alokasi Honor'!$T$2:$T993,A859),"")</f>
        <v/>
      </c>
      <c r="L859" s="10" t="str">
        <f t="array" ref="L859">IF(N859=1,INDEX('Batasan Honor'!$B$2:$B993,MATCH(CONCATENATE($F859,"-",$G859),'Batasan Honor'!$G$2:$G993,0)),"")</f>
        <v/>
      </c>
      <c r="M859" s="10" t="str">
        <f t="shared" si="5"/>
        <v/>
      </c>
      <c r="N859" s="10" t="str">
        <f t="shared" si="3"/>
        <v/>
      </c>
    </row>
    <row r="860" spans="2:14" ht="12.5">
      <c r="B860" s="5"/>
      <c r="C860" s="5" t="str">
        <f ca="1">IFERROR(__xludf.DUMMYFUNCTION("IF(N860=1,SPLIT(A860,""-""),"""")"),"")</f>
        <v/>
      </c>
      <c r="F860" s="5"/>
      <c r="G860" s="5"/>
      <c r="H860" s="5" t="str">
        <f t="array" ref="H860">IF(N860=1, INDEX('Database Mitra'!$C$2:$C993,MATCH($C860,'Database Mitra'!$AK$2:$AK993,0)),"")</f>
        <v/>
      </c>
      <c r="I860" s="71" t="str">
        <f>IF(N860=1,SUMIFS('Alokasi Honor'!$M$2:$M993,'Alokasi Honor'!$T$2:$T993,A860),"")</f>
        <v/>
      </c>
      <c r="L860" s="10" t="str">
        <f t="array" ref="L860">IF(N860=1,INDEX('Batasan Honor'!$B$2:$B993,MATCH(CONCATENATE($F860,"-",$G860),'Batasan Honor'!$G$2:$G993,0)),"")</f>
        <v/>
      </c>
      <c r="M860" s="10" t="str">
        <f t="shared" si="5"/>
        <v/>
      </c>
      <c r="N860" s="10" t="str">
        <f t="shared" si="3"/>
        <v/>
      </c>
    </row>
    <row r="861" spans="2:14" ht="12.5">
      <c r="B861" s="5"/>
      <c r="C861" s="5" t="str">
        <f ca="1">IFERROR(__xludf.DUMMYFUNCTION("IF(N861=1,SPLIT(A861,""-""),"""")"),"")</f>
        <v/>
      </c>
      <c r="F861" s="5"/>
      <c r="G861" s="5"/>
      <c r="H861" s="5" t="str">
        <f t="array" ref="H861">IF(N861=1, INDEX('Database Mitra'!$C$2:$C993,MATCH($C861,'Database Mitra'!$AK$2:$AK993,0)),"")</f>
        <v/>
      </c>
      <c r="I861" s="71" t="str">
        <f>IF(N861=1,SUMIFS('Alokasi Honor'!$M$2:$M993,'Alokasi Honor'!$T$2:$T993,A861),"")</f>
        <v/>
      </c>
      <c r="L861" s="10" t="str">
        <f t="array" ref="L861">IF(N861=1,INDEX('Batasan Honor'!$B$2:$B993,MATCH(CONCATENATE($F861,"-",$G861),'Batasan Honor'!$G$2:$G993,0)),"")</f>
        <v/>
      </c>
      <c r="M861" s="10" t="str">
        <f t="shared" si="5"/>
        <v/>
      </c>
      <c r="N861" s="10" t="str">
        <f t="shared" si="3"/>
        <v/>
      </c>
    </row>
    <row r="862" spans="2:14" ht="12.5">
      <c r="B862" s="5"/>
      <c r="C862" s="5" t="str">
        <f ca="1">IFERROR(__xludf.DUMMYFUNCTION("IF(N862=1,SPLIT(A862,""-""),"""")"),"")</f>
        <v/>
      </c>
      <c r="F862" s="5"/>
      <c r="G862" s="5"/>
      <c r="H862" s="5" t="str">
        <f t="array" ref="H862">IF(N862=1, INDEX('Database Mitra'!$C$2:$C993,MATCH($C862,'Database Mitra'!$AK$2:$AK993,0)),"")</f>
        <v/>
      </c>
      <c r="I862" s="71" t="str">
        <f>IF(N862=1,SUMIFS('Alokasi Honor'!$M$2:$M993,'Alokasi Honor'!$T$2:$T993,A862),"")</f>
        <v/>
      </c>
      <c r="L862" s="10" t="str">
        <f t="array" ref="L862">IF(N862=1,INDEX('Batasan Honor'!$B$2:$B993,MATCH(CONCATENATE($F862,"-",$G862),'Batasan Honor'!$G$2:$G993,0)),"")</f>
        <v/>
      </c>
      <c r="M862" s="10" t="str">
        <f t="shared" si="5"/>
        <v/>
      </c>
      <c r="N862" s="10" t="str">
        <f t="shared" si="3"/>
        <v/>
      </c>
    </row>
    <row r="863" spans="2:14" ht="12.5">
      <c r="B863" s="5"/>
      <c r="C863" s="5" t="str">
        <f ca="1">IFERROR(__xludf.DUMMYFUNCTION("IF(N863=1,SPLIT(A863,""-""),"""")"),"")</f>
        <v/>
      </c>
      <c r="F863" s="5"/>
      <c r="G863" s="5"/>
      <c r="H863" s="5" t="str">
        <f t="array" ref="H863">IF(N863=1, INDEX('Database Mitra'!$C$2:$C993,MATCH($C863,'Database Mitra'!$AK$2:$AK993,0)),"")</f>
        <v/>
      </c>
      <c r="I863" s="71" t="str">
        <f>IF(N863=1,SUMIFS('Alokasi Honor'!$M$2:$M993,'Alokasi Honor'!$T$2:$T993,A863),"")</f>
        <v/>
      </c>
      <c r="L863" s="10" t="str">
        <f t="array" ref="L863">IF(N863=1,INDEX('Batasan Honor'!$B$2:$B993,MATCH(CONCATENATE($F863,"-",$G863),'Batasan Honor'!$G$2:$G993,0)),"")</f>
        <v/>
      </c>
      <c r="M863" s="10" t="str">
        <f t="shared" si="5"/>
        <v/>
      </c>
      <c r="N863" s="10" t="str">
        <f t="shared" si="3"/>
        <v/>
      </c>
    </row>
    <row r="864" spans="2:14" ht="12.5">
      <c r="B864" s="5"/>
      <c r="C864" s="5" t="str">
        <f ca="1">IFERROR(__xludf.DUMMYFUNCTION("IF(N864=1,SPLIT(A864,""-""),"""")"),"")</f>
        <v/>
      </c>
      <c r="F864" s="5"/>
      <c r="G864" s="5"/>
      <c r="H864" s="5" t="str">
        <f t="array" ref="H864">IF(N864=1, INDEX('Database Mitra'!$C$2:$C993,MATCH($C864,'Database Mitra'!$AK$2:$AK993,0)),"")</f>
        <v/>
      </c>
      <c r="I864" s="71" t="str">
        <f>IF(N864=1,SUMIFS('Alokasi Honor'!$M$2:$M993,'Alokasi Honor'!$T$2:$T993,A864),"")</f>
        <v/>
      </c>
      <c r="L864" s="10" t="str">
        <f t="array" ref="L864">IF(N864=1,INDEX('Batasan Honor'!$B$2:$B993,MATCH(CONCATENATE($F864,"-",$G864),'Batasan Honor'!$G$2:$G993,0)),"")</f>
        <v/>
      </c>
      <c r="M864" s="10" t="str">
        <f t="shared" si="5"/>
        <v/>
      </c>
      <c r="N864" s="10" t="str">
        <f t="shared" si="3"/>
        <v/>
      </c>
    </row>
    <row r="865" spans="2:14" ht="12.5">
      <c r="B865" s="5"/>
      <c r="C865" s="5" t="str">
        <f ca="1">IFERROR(__xludf.DUMMYFUNCTION("IF(N865=1,SPLIT(A865,""-""),"""")"),"")</f>
        <v/>
      </c>
      <c r="F865" s="5"/>
      <c r="G865" s="5"/>
      <c r="H865" s="5" t="str">
        <f t="array" ref="H865">IF(N865=1, INDEX('Database Mitra'!$C$2:$C993,MATCH($C865,'Database Mitra'!$AK$2:$AK993,0)),"")</f>
        <v/>
      </c>
      <c r="I865" s="71" t="str">
        <f>IF(N865=1,SUMIFS('Alokasi Honor'!$M$2:$M993,'Alokasi Honor'!$T$2:$T993,A865),"")</f>
        <v/>
      </c>
      <c r="L865" s="10" t="str">
        <f t="array" ref="L865">IF(N865=1,INDEX('Batasan Honor'!$B$2:$B993,MATCH(CONCATENATE($F865,"-",$G865),'Batasan Honor'!$G$2:$G993,0)),"")</f>
        <v/>
      </c>
      <c r="M865" s="10" t="str">
        <f t="shared" si="5"/>
        <v/>
      </c>
      <c r="N865" s="10" t="str">
        <f t="shared" si="3"/>
        <v/>
      </c>
    </row>
    <row r="866" spans="2:14" ht="12.5">
      <c r="B866" s="5"/>
      <c r="C866" s="5" t="str">
        <f ca="1">IFERROR(__xludf.DUMMYFUNCTION("IF(N866=1,SPLIT(A866,""-""),"""")"),"")</f>
        <v/>
      </c>
      <c r="F866" s="5"/>
      <c r="G866" s="5"/>
      <c r="H866" s="5" t="str">
        <f t="array" ref="H866">IF(N866=1, INDEX('Database Mitra'!$C$2:$C993,MATCH($C866,'Database Mitra'!$AK$2:$AK993,0)),"")</f>
        <v/>
      </c>
      <c r="I866" s="71" t="str">
        <f>IF(N866=1,SUMIFS('Alokasi Honor'!$M$2:$M993,'Alokasi Honor'!$T$2:$T993,A866),"")</f>
        <v/>
      </c>
      <c r="L866" s="10" t="str">
        <f t="array" ref="L866">IF(N866=1,INDEX('Batasan Honor'!$B$2:$B993,MATCH(CONCATENATE($F866,"-",$G866),'Batasan Honor'!$G$2:$G993,0)),"")</f>
        <v/>
      </c>
      <c r="M866" s="10" t="str">
        <f t="shared" si="5"/>
        <v/>
      </c>
      <c r="N866" s="10" t="str">
        <f t="shared" si="3"/>
        <v/>
      </c>
    </row>
    <row r="867" spans="2:14" ht="12.5">
      <c r="B867" s="5"/>
      <c r="C867" s="5" t="str">
        <f ca="1">IFERROR(__xludf.DUMMYFUNCTION("IF(N867=1,SPLIT(A867,""-""),"""")"),"")</f>
        <v/>
      </c>
      <c r="F867" s="5"/>
      <c r="G867" s="5"/>
      <c r="H867" s="5" t="str">
        <f t="array" ref="H867">IF(N867=1, INDEX('Database Mitra'!$C$2:$C993,MATCH($C867,'Database Mitra'!$AK$2:$AK993,0)),"")</f>
        <v/>
      </c>
      <c r="I867" s="71" t="str">
        <f>IF(N867=1,SUMIFS('Alokasi Honor'!$M$2:$M993,'Alokasi Honor'!$T$2:$T993,A867),"")</f>
        <v/>
      </c>
      <c r="L867" s="10" t="str">
        <f t="array" ref="L867">IF(N867=1,INDEX('Batasan Honor'!$B$2:$B993,MATCH(CONCATENATE($F867,"-",$G867),'Batasan Honor'!$G$2:$G993,0)),"")</f>
        <v/>
      </c>
      <c r="M867" s="10" t="str">
        <f t="shared" si="5"/>
        <v/>
      </c>
      <c r="N867" s="10" t="str">
        <f t="shared" si="3"/>
        <v/>
      </c>
    </row>
    <row r="868" spans="2:14" ht="12.5">
      <c r="B868" s="5"/>
      <c r="C868" s="5" t="str">
        <f ca="1">IFERROR(__xludf.DUMMYFUNCTION("IF(N868=1,SPLIT(A868,""-""),"""")"),"")</f>
        <v/>
      </c>
      <c r="F868" s="5"/>
      <c r="G868" s="5"/>
      <c r="H868" s="5" t="str">
        <f t="array" ref="H868">IF(N868=1, INDEX('Database Mitra'!$C$2:$C993,MATCH($C868,'Database Mitra'!$AK$2:$AK993,0)),"")</f>
        <v/>
      </c>
      <c r="I868" s="71" t="str">
        <f>IF(N868=1,SUMIFS('Alokasi Honor'!$M$2:$M993,'Alokasi Honor'!$T$2:$T993,A868),"")</f>
        <v/>
      </c>
      <c r="L868" s="10" t="str">
        <f t="array" ref="L868">IF(N868=1,INDEX('Batasan Honor'!$B$2:$B993,MATCH(CONCATENATE($F868,"-",$G868),'Batasan Honor'!$G$2:$G993,0)),"")</f>
        <v/>
      </c>
      <c r="M868" s="10" t="str">
        <f t="shared" si="5"/>
        <v/>
      </c>
      <c r="N868" s="10" t="str">
        <f t="shared" si="3"/>
        <v/>
      </c>
    </row>
    <row r="869" spans="2:14" ht="12.5">
      <c r="B869" s="5"/>
      <c r="C869" s="5" t="str">
        <f ca="1">IFERROR(__xludf.DUMMYFUNCTION("IF(N869=1,SPLIT(A869,""-""),"""")"),"")</f>
        <v/>
      </c>
      <c r="F869" s="5"/>
      <c r="G869" s="5"/>
      <c r="H869" s="5" t="str">
        <f t="array" ref="H869">IF(N869=1, INDEX('Database Mitra'!$C$2:$C993,MATCH($C869,'Database Mitra'!$AK$2:$AK993,0)),"")</f>
        <v/>
      </c>
      <c r="I869" s="71" t="str">
        <f>IF(N869=1,SUMIFS('Alokasi Honor'!$M$2:$M993,'Alokasi Honor'!$T$2:$T993,A869),"")</f>
        <v/>
      </c>
      <c r="L869" s="10" t="str">
        <f t="array" ref="L869">IF(N869=1,INDEX('Batasan Honor'!$B$2:$B993,MATCH(CONCATENATE($F869,"-",$G869),'Batasan Honor'!$G$2:$G993,0)),"")</f>
        <v/>
      </c>
      <c r="M869" s="10" t="str">
        <f t="shared" si="5"/>
        <v/>
      </c>
      <c r="N869" s="10" t="str">
        <f t="shared" si="3"/>
        <v/>
      </c>
    </row>
    <row r="870" spans="2:14" ht="12.5">
      <c r="B870" s="5"/>
      <c r="C870" s="5" t="str">
        <f ca="1">IFERROR(__xludf.DUMMYFUNCTION("IF(N870=1,SPLIT(A870,""-""),"""")"),"")</f>
        <v/>
      </c>
      <c r="F870" s="5"/>
      <c r="G870" s="5"/>
      <c r="H870" s="5" t="str">
        <f t="array" ref="H870">IF(N870=1, INDEX('Database Mitra'!$C$2:$C993,MATCH($C870,'Database Mitra'!$AK$2:$AK993,0)),"")</f>
        <v/>
      </c>
      <c r="I870" s="71" t="str">
        <f>IF(N870=1,SUMIFS('Alokasi Honor'!$M$2:$M993,'Alokasi Honor'!$T$2:$T993,A870),"")</f>
        <v/>
      </c>
      <c r="L870" s="10" t="str">
        <f t="array" ref="L870">IF(N870=1,INDEX('Batasan Honor'!$B$2:$B993,MATCH(CONCATENATE($F870,"-",$G870),'Batasan Honor'!$G$2:$G993,0)),"")</f>
        <v/>
      </c>
      <c r="M870" s="10" t="str">
        <f t="shared" si="5"/>
        <v/>
      </c>
      <c r="N870" s="10" t="str">
        <f t="shared" si="3"/>
        <v/>
      </c>
    </row>
    <row r="871" spans="2:14" ht="12.5">
      <c r="B871" s="5"/>
      <c r="C871" s="5" t="str">
        <f ca="1">IFERROR(__xludf.DUMMYFUNCTION("IF(N871=1,SPLIT(A871,""-""),"""")"),"")</f>
        <v/>
      </c>
      <c r="F871" s="5"/>
      <c r="G871" s="5"/>
      <c r="H871" s="5" t="str">
        <f t="array" ref="H871">IF(N871=1, INDEX('Database Mitra'!$C$2:$C993,MATCH($C871,'Database Mitra'!$AK$2:$AK993,0)),"")</f>
        <v/>
      </c>
      <c r="I871" s="71" t="str">
        <f>IF(N871=1,SUMIFS('Alokasi Honor'!$M$2:$M993,'Alokasi Honor'!$T$2:$T993,A871),"")</f>
        <v/>
      </c>
      <c r="L871" s="10" t="str">
        <f t="array" ref="L871">IF(N871=1,INDEX('Batasan Honor'!$B$2:$B993,MATCH(CONCATENATE($F871,"-",$G871),'Batasan Honor'!$G$2:$G993,0)),"")</f>
        <v/>
      </c>
      <c r="M871" s="10" t="str">
        <f t="shared" si="5"/>
        <v/>
      </c>
      <c r="N871" s="10" t="str">
        <f t="shared" si="3"/>
        <v/>
      </c>
    </row>
    <row r="872" spans="2:14" ht="12.5">
      <c r="B872" s="5"/>
      <c r="C872" s="5" t="str">
        <f ca="1">IFERROR(__xludf.DUMMYFUNCTION("IF(N872=1,SPLIT(A872,""-""),"""")"),"")</f>
        <v/>
      </c>
      <c r="F872" s="5"/>
      <c r="G872" s="5"/>
      <c r="H872" s="5" t="str">
        <f t="array" ref="H872">IF(N872=1, INDEX('Database Mitra'!$C$2:$C993,MATCH($C872,'Database Mitra'!$AK$2:$AK993,0)),"")</f>
        <v/>
      </c>
      <c r="I872" s="71" t="str">
        <f>IF(N872=1,SUMIFS('Alokasi Honor'!$M$2:$M993,'Alokasi Honor'!$T$2:$T993,A872),"")</f>
        <v/>
      </c>
      <c r="L872" s="10" t="str">
        <f t="array" ref="L872">IF(N872=1,INDEX('Batasan Honor'!$B$2:$B993,MATCH(CONCATENATE($F872,"-",$G872),'Batasan Honor'!$G$2:$G993,0)),"")</f>
        <v/>
      </c>
      <c r="M872" s="10" t="str">
        <f t="shared" si="5"/>
        <v/>
      </c>
      <c r="N872" s="10" t="str">
        <f t="shared" si="3"/>
        <v/>
      </c>
    </row>
    <row r="873" spans="2:14" ht="12.5">
      <c r="B873" s="5"/>
      <c r="C873" s="5" t="str">
        <f ca="1">IFERROR(__xludf.DUMMYFUNCTION("IF(N873=1,SPLIT(A873,""-""),"""")"),"")</f>
        <v/>
      </c>
      <c r="F873" s="5"/>
      <c r="G873" s="5"/>
      <c r="H873" s="5" t="str">
        <f t="array" ref="H873">IF(N873=1, INDEX('Database Mitra'!$C$2:$C993,MATCH($C873,'Database Mitra'!$AK$2:$AK993,0)),"")</f>
        <v/>
      </c>
      <c r="I873" s="71" t="str">
        <f>IF(N873=1,SUMIFS('Alokasi Honor'!$M$2:$M993,'Alokasi Honor'!$T$2:$T993,A873),"")</f>
        <v/>
      </c>
      <c r="L873" s="10" t="str">
        <f t="array" ref="L873">IF(N873=1,INDEX('Batasan Honor'!$B$2:$B993,MATCH(CONCATENATE($F873,"-",$G873),'Batasan Honor'!$G$2:$G993,0)),"")</f>
        <v/>
      </c>
      <c r="M873" s="10" t="str">
        <f t="shared" si="5"/>
        <v/>
      </c>
      <c r="N873" s="10" t="str">
        <f t="shared" si="3"/>
        <v/>
      </c>
    </row>
    <row r="874" spans="2:14" ht="12.5">
      <c r="B874" s="5"/>
      <c r="C874" s="5" t="str">
        <f ca="1">IFERROR(__xludf.DUMMYFUNCTION("IF(N874=1,SPLIT(A874,""-""),"""")"),"")</f>
        <v/>
      </c>
      <c r="F874" s="5"/>
      <c r="G874" s="5"/>
      <c r="H874" s="5" t="str">
        <f t="array" ref="H874">IF(N874=1, INDEX('Database Mitra'!$C$2:$C993,MATCH($C874,'Database Mitra'!$AK$2:$AK993,0)),"")</f>
        <v/>
      </c>
      <c r="I874" s="71" t="str">
        <f>IF(N874=1,SUMIFS('Alokasi Honor'!$M$2:$M993,'Alokasi Honor'!$T$2:$T993,A874),"")</f>
        <v/>
      </c>
      <c r="L874" s="10" t="str">
        <f t="array" ref="L874">IF(N874=1,INDEX('Batasan Honor'!$B$2:$B993,MATCH(CONCATENATE($F874,"-",$G874),'Batasan Honor'!$G$2:$G993,0)),"")</f>
        <v/>
      </c>
      <c r="M874" s="10" t="str">
        <f t="shared" si="5"/>
        <v/>
      </c>
      <c r="N874" s="10" t="str">
        <f t="shared" si="3"/>
        <v/>
      </c>
    </row>
    <row r="875" spans="2:14" ht="12.5">
      <c r="B875" s="5"/>
      <c r="C875" s="5" t="str">
        <f ca="1">IFERROR(__xludf.DUMMYFUNCTION("IF(N875=1,SPLIT(A875,""-""),"""")"),"")</f>
        <v/>
      </c>
      <c r="F875" s="5"/>
      <c r="G875" s="5"/>
      <c r="H875" s="5" t="str">
        <f t="array" ref="H875">IF(N875=1, INDEX('Database Mitra'!$C$2:$C993,MATCH($C875,'Database Mitra'!$AK$2:$AK993,0)),"")</f>
        <v/>
      </c>
      <c r="I875" s="71" t="str">
        <f>IF(N875=1,SUMIFS('Alokasi Honor'!$M$2:$M993,'Alokasi Honor'!$T$2:$T993,A875),"")</f>
        <v/>
      </c>
      <c r="L875" s="10" t="str">
        <f t="array" ref="L875">IF(N875=1,INDEX('Batasan Honor'!$B$2:$B993,MATCH(CONCATENATE($F875,"-",$G875),'Batasan Honor'!$G$2:$G993,0)),"")</f>
        <v/>
      </c>
      <c r="M875" s="10" t="str">
        <f t="shared" si="5"/>
        <v/>
      </c>
      <c r="N875" s="10" t="str">
        <f t="shared" si="3"/>
        <v/>
      </c>
    </row>
    <row r="876" spans="2:14" ht="12.5">
      <c r="B876" s="5"/>
      <c r="C876" s="5" t="str">
        <f ca="1">IFERROR(__xludf.DUMMYFUNCTION("IF(N876=1,SPLIT(A876,""-""),"""")"),"")</f>
        <v/>
      </c>
      <c r="F876" s="5"/>
      <c r="G876" s="5"/>
      <c r="H876" s="5" t="str">
        <f t="array" ref="H876">IF(N876=1, INDEX('Database Mitra'!$C$2:$C993,MATCH($C876,'Database Mitra'!$AK$2:$AK993,0)),"")</f>
        <v/>
      </c>
      <c r="I876" s="71" t="str">
        <f>IF(N876=1,SUMIFS('Alokasi Honor'!$M$2:$M993,'Alokasi Honor'!$T$2:$T993,A876),"")</f>
        <v/>
      </c>
      <c r="L876" s="10" t="str">
        <f t="array" ref="L876">IF(N876=1,INDEX('Batasan Honor'!$B$2:$B993,MATCH(CONCATENATE($F876,"-",$G876),'Batasan Honor'!$G$2:$G993,0)),"")</f>
        <v/>
      </c>
      <c r="M876" s="10" t="str">
        <f t="shared" si="5"/>
        <v/>
      </c>
      <c r="N876" s="10" t="str">
        <f t="shared" si="3"/>
        <v/>
      </c>
    </row>
    <row r="877" spans="2:14" ht="12.5">
      <c r="B877" s="5"/>
      <c r="C877" s="5" t="str">
        <f ca="1">IFERROR(__xludf.DUMMYFUNCTION("IF(N877=1,SPLIT(A877,""-""),"""")"),"")</f>
        <v/>
      </c>
      <c r="F877" s="5"/>
      <c r="G877" s="5"/>
      <c r="H877" s="5" t="str">
        <f t="array" ref="H877">IF(N877=1, INDEX('Database Mitra'!$C$2:$C993,MATCH($C877,'Database Mitra'!$AK$2:$AK993,0)),"")</f>
        <v/>
      </c>
      <c r="I877" s="71" t="str">
        <f>IF(N877=1,SUMIFS('Alokasi Honor'!$M$2:$M993,'Alokasi Honor'!$T$2:$T993,A877),"")</f>
        <v/>
      </c>
      <c r="L877" s="10" t="str">
        <f t="array" ref="L877">IF(N877=1,INDEX('Batasan Honor'!$B$2:$B993,MATCH(CONCATENATE($F877,"-",$G877),'Batasan Honor'!$G$2:$G993,0)),"")</f>
        <v/>
      </c>
      <c r="M877" s="10" t="str">
        <f t="shared" si="5"/>
        <v/>
      </c>
      <c r="N877" s="10" t="str">
        <f t="shared" si="3"/>
        <v/>
      </c>
    </row>
    <row r="878" spans="2:14" ht="12.5">
      <c r="B878" s="5"/>
      <c r="C878" s="5" t="str">
        <f ca="1">IFERROR(__xludf.DUMMYFUNCTION("IF(N878=1,SPLIT(A878,""-""),"""")"),"")</f>
        <v/>
      </c>
      <c r="F878" s="5"/>
      <c r="G878" s="5"/>
      <c r="H878" s="5" t="str">
        <f t="array" ref="H878">IF(N878=1, INDEX('Database Mitra'!$C$2:$C993,MATCH($C878,'Database Mitra'!$AK$2:$AK993,0)),"")</f>
        <v/>
      </c>
      <c r="I878" s="71" t="str">
        <f>IF(N878=1,SUMIFS('Alokasi Honor'!$M$2:$M993,'Alokasi Honor'!$T$2:$T993,A878),"")</f>
        <v/>
      </c>
      <c r="L878" s="10" t="str">
        <f t="array" ref="L878">IF(N878=1,INDEX('Batasan Honor'!$B$2:$B993,MATCH(CONCATENATE($F878,"-",$G878),'Batasan Honor'!$G$2:$G993,0)),"")</f>
        <v/>
      </c>
      <c r="M878" s="10" t="str">
        <f t="shared" si="5"/>
        <v/>
      </c>
      <c r="N878" s="10" t="str">
        <f t="shared" si="3"/>
        <v/>
      </c>
    </row>
    <row r="879" spans="2:14" ht="12.5">
      <c r="B879" s="5"/>
      <c r="C879" s="5" t="str">
        <f ca="1">IFERROR(__xludf.DUMMYFUNCTION("IF(N879=1,SPLIT(A879,""-""),"""")"),"")</f>
        <v/>
      </c>
      <c r="F879" s="5"/>
      <c r="G879" s="5"/>
      <c r="H879" s="5" t="str">
        <f t="array" ref="H879">IF(N879=1, INDEX('Database Mitra'!$C$2:$C993,MATCH($C879,'Database Mitra'!$AK$2:$AK993,0)),"")</f>
        <v/>
      </c>
      <c r="I879" s="71" t="str">
        <f>IF(N879=1,SUMIFS('Alokasi Honor'!$M$2:$M993,'Alokasi Honor'!$T$2:$T993,A879),"")</f>
        <v/>
      </c>
      <c r="L879" s="10" t="str">
        <f t="array" ref="L879">IF(N879=1,INDEX('Batasan Honor'!$B$2:$B993,MATCH(CONCATENATE($F879,"-",$G879),'Batasan Honor'!$G$2:$G993,0)),"")</f>
        <v/>
      </c>
      <c r="M879" s="10" t="str">
        <f t="shared" si="5"/>
        <v/>
      </c>
      <c r="N879" s="10" t="str">
        <f t="shared" si="3"/>
        <v/>
      </c>
    </row>
    <row r="880" spans="2:14" ht="12.5">
      <c r="B880" s="5"/>
      <c r="C880" s="5" t="str">
        <f ca="1">IFERROR(__xludf.DUMMYFUNCTION("IF(N880=1,SPLIT(A880,""-""),"""")"),"")</f>
        <v/>
      </c>
      <c r="F880" s="5"/>
      <c r="G880" s="5"/>
      <c r="H880" s="5" t="str">
        <f t="array" ref="H880">IF(N880=1, INDEX('Database Mitra'!$C$2:$C993,MATCH($C880,'Database Mitra'!$AK$2:$AK993,0)),"")</f>
        <v/>
      </c>
      <c r="I880" s="71" t="str">
        <f>IF(N880=1,SUMIFS('Alokasi Honor'!$M$2:$M993,'Alokasi Honor'!$T$2:$T993,A880),"")</f>
        <v/>
      </c>
      <c r="L880" s="10" t="str">
        <f t="array" ref="L880">IF(N880=1,INDEX('Batasan Honor'!$B$2:$B993,MATCH(CONCATENATE($F880,"-",$G880),'Batasan Honor'!$G$2:$G993,0)),"")</f>
        <v/>
      </c>
      <c r="M880" s="10" t="str">
        <f t="shared" si="5"/>
        <v/>
      </c>
      <c r="N880" s="10" t="str">
        <f t="shared" si="3"/>
        <v/>
      </c>
    </row>
    <row r="881" spans="2:14" ht="12.5">
      <c r="B881" s="5"/>
      <c r="C881" s="5" t="str">
        <f ca="1">IFERROR(__xludf.DUMMYFUNCTION("IF(N881=1,SPLIT(A881,""-""),"""")"),"")</f>
        <v/>
      </c>
      <c r="F881" s="5"/>
      <c r="G881" s="5"/>
      <c r="H881" s="5" t="str">
        <f t="array" ref="H881">IF(N881=1, INDEX('Database Mitra'!$C$2:$C993,MATCH($C881,'Database Mitra'!$AK$2:$AK993,0)),"")</f>
        <v/>
      </c>
      <c r="I881" s="71" t="str">
        <f>IF(N881=1,SUMIFS('Alokasi Honor'!$M$2:$M993,'Alokasi Honor'!$T$2:$T993,A881),"")</f>
        <v/>
      </c>
      <c r="L881" s="10" t="str">
        <f t="array" ref="L881">IF(N881=1,INDEX('Batasan Honor'!$B$2:$B993,MATCH(CONCATENATE($F881,"-",$G881),'Batasan Honor'!$G$2:$G993,0)),"")</f>
        <v/>
      </c>
      <c r="M881" s="10" t="str">
        <f t="shared" si="5"/>
        <v/>
      </c>
      <c r="N881" s="10" t="str">
        <f t="shared" si="3"/>
        <v/>
      </c>
    </row>
    <row r="882" spans="2:14" ht="12.5">
      <c r="B882" s="5"/>
      <c r="C882" s="5" t="str">
        <f ca="1">IFERROR(__xludf.DUMMYFUNCTION("IF(N882=1,SPLIT(A882,""-""),"""")"),"")</f>
        <v/>
      </c>
      <c r="F882" s="5"/>
      <c r="G882" s="5"/>
      <c r="H882" s="5" t="str">
        <f t="array" ref="H882">IF(N882=1, INDEX('Database Mitra'!$C$2:$C993,MATCH($C882,'Database Mitra'!$AK$2:$AK993,0)),"")</f>
        <v/>
      </c>
      <c r="I882" s="71" t="str">
        <f>IF(N882=1,SUMIFS('Alokasi Honor'!$M$2:$M993,'Alokasi Honor'!$T$2:$T993,A882),"")</f>
        <v/>
      </c>
      <c r="L882" s="10" t="str">
        <f t="array" ref="L882">IF(N882=1,INDEX('Batasan Honor'!$B$2:$B993,MATCH(CONCATENATE($F882,"-",$G882),'Batasan Honor'!$G$2:$G993,0)),"")</f>
        <v/>
      </c>
      <c r="M882" s="10" t="str">
        <f t="shared" si="5"/>
        <v/>
      </c>
      <c r="N882" s="10" t="str">
        <f t="shared" si="3"/>
        <v/>
      </c>
    </row>
    <row r="883" spans="2:14" ht="12.5">
      <c r="B883" s="5"/>
      <c r="C883" s="5" t="str">
        <f ca="1">IFERROR(__xludf.DUMMYFUNCTION("IF(N883=1,SPLIT(A883,""-""),"""")"),"")</f>
        <v/>
      </c>
      <c r="F883" s="5"/>
      <c r="G883" s="5"/>
      <c r="H883" s="5" t="str">
        <f t="array" ref="H883">IF(N883=1, INDEX('Database Mitra'!$C$2:$C993,MATCH($C883,'Database Mitra'!$AK$2:$AK993,0)),"")</f>
        <v/>
      </c>
      <c r="I883" s="71" t="str">
        <f>IF(N883=1,SUMIFS('Alokasi Honor'!$M$2:$M993,'Alokasi Honor'!$T$2:$T993,A883),"")</f>
        <v/>
      </c>
      <c r="L883" s="10" t="str">
        <f t="array" ref="L883">IF(N883=1,INDEX('Batasan Honor'!$B$2:$B993,MATCH(CONCATENATE($F883,"-",$G883),'Batasan Honor'!$G$2:$G993,0)),"")</f>
        <v/>
      </c>
      <c r="M883" s="10" t="str">
        <f t="shared" si="5"/>
        <v/>
      </c>
      <c r="N883" s="10" t="str">
        <f t="shared" si="3"/>
        <v/>
      </c>
    </row>
    <row r="884" spans="2:14" ht="12.5">
      <c r="B884" s="5"/>
      <c r="C884" s="5" t="str">
        <f ca="1">IFERROR(__xludf.DUMMYFUNCTION("IF(N884=1,SPLIT(A884,""-""),"""")"),"")</f>
        <v/>
      </c>
      <c r="F884" s="5"/>
      <c r="G884" s="5"/>
      <c r="H884" s="5" t="str">
        <f t="array" ref="H884">IF(N884=1, INDEX('Database Mitra'!$C$2:$C993,MATCH($C884,'Database Mitra'!$AK$2:$AK993,0)),"")</f>
        <v/>
      </c>
      <c r="I884" s="71" t="str">
        <f>IF(N884=1,SUMIFS('Alokasi Honor'!$M$2:$M993,'Alokasi Honor'!$T$2:$T993,A884),"")</f>
        <v/>
      </c>
      <c r="L884" s="10" t="str">
        <f t="array" ref="L884">IF(N884=1,INDEX('Batasan Honor'!$B$2:$B993,MATCH(CONCATENATE($F884,"-",$G884),'Batasan Honor'!$G$2:$G993,0)),"")</f>
        <v/>
      </c>
      <c r="M884" s="10" t="str">
        <f t="shared" si="5"/>
        <v/>
      </c>
      <c r="N884" s="10" t="str">
        <f t="shared" si="3"/>
        <v/>
      </c>
    </row>
    <row r="885" spans="2:14" ht="12.5">
      <c r="B885" s="5"/>
      <c r="C885" s="5" t="str">
        <f ca="1">IFERROR(__xludf.DUMMYFUNCTION("IF(N885=1,SPLIT(A885,""-""),"""")"),"")</f>
        <v/>
      </c>
      <c r="F885" s="5"/>
      <c r="G885" s="5"/>
      <c r="H885" s="5" t="str">
        <f t="array" ref="H885">IF(N885=1, INDEX('Database Mitra'!$C$2:$C993,MATCH($C885,'Database Mitra'!$AK$2:$AK993,0)),"")</f>
        <v/>
      </c>
      <c r="I885" s="71" t="str">
        <f>IF(N885=1,SUMIFS('Alokasi Honor'!$M$2:$M993,'Alokasi Honor'!$T$2:$T993,A885),"")</f>
        <v/>
      </c>
      <c r="L885" s="10" t="str">
        <f t="array" ref="L885">IF(N885=1,INDEX('Batasan Honor'!$B$2:$B993,MATCH(CONCATENATE($F885,"-",$G885),'Batasan Honor'!$G$2:$G993,0)),"")</f>
        <v/>
      </c>
      <c r="M885" s="10" t="str">
        <f t="shared" si="5"/>
        <v/>
      </c>
      <c r="N885" s="10" t="str">
        <f t="shared" si="3"/>
        <v/>
      </c>
    </row>
    <row r="886" spans="2:14" ht="12.5">
      <c r="B886" s="5"/>
      <c r="C886" s="5" t="str">
        <f ca="1">IFERROR(__xludf.DUMMYFUNCTION("IF(N886=1,SPLIT(A886,""-""),"""")"),"")</f>
        <v/>
      </c>
      <c r="F886" s="5"/>
      <c r="G886" s="5"/>
      <c r="H886" s="5" t="str">
        <f t="array" ref="H886">IF(N886=1, INDEX('Database Mitra'!$C$2:$C993,MATCH($C886,'Database Mitra'!$AK$2:$AK993,0)),"")</f>
        <v/>
      </c>
      <c r="I886" s="71" t="str">
        <f>IF(N886=1,SUMIFS('Alokasi Honor'!$M$2:$M993,'Alokasi Honor'!$T$2:$T993,A886),"")</f>
        <v/>
      </c>
      <c r="L886" s="10" t="str">
        <f t="array" ref="L886">IF(N886=1,INDEX('Batasan Honor'!$B$2:$B993,MATCH(CONCATENATE($F886,"-",$G886),'Batasan Honor'!$G$2:$G993,0)),"")</f>
        <v/>
      </c>
      <c r="M886" s="10" t="str">
        <f t="shared" si="5"/>
        <v/>
      </c>
      <c r="N886" s="10" t="str">
        <f t="shared" si="3"/>
        <v/>
      </c>
    </row>
    <row r="887" spans="2:14" ht="12.5">
      <c r="B887" s="5"/>
      <c r="C887" s="5" t="str">
        <f ca="1">IFERROR(__xludf.DUMMYFUNCTION("IF(N887=1,SPLIT(A887,""-""),"""")"),"")</f>
        <v/>
      </c>
      <c r="F887" s="5"/>
      <c r="G887" s="5"/>
      <c r="H887" s="5" t="str">
        <f t="array" ref="H887">IF(N887=1, INDEX('Database Mitra'!$C$2:$C993,MATCH($C887,'Database Mitra'!$AK$2:$AK993,0)),"")</f>
        <v/>
      </c>
      <c r="I887" s="71" t="str">
        <f>IF(N887=1,SUMIFS('Alokasi Honor'!$M$2:$M993,'Alokasi Honor'!$T$2:$T993,A887),"")</f>
        <v/>
      </c>
      <c r="L887" s="10" t="str">
        <f t="array" ref="L887">IF(N887=1,INDEX('Batasan Honor'!$B$2:$B993,MATCH(CONCATENATE($F887,"-",$G887),'Batasan Honor'!$G$2:$G993,0)),"")</f>
        <v/>
      </c>
      <c r="M887" s="10" t="str">
        <f t="shared" si="5"/>
        <v/>
      </c>
      <c r="N887" s="10" t="str">
        <f t="shared" si="3"/>
        <v/>
      </c>
    </row>
    <row r="888" spans="2:14" ht="12.5">
      <c r="B888" s="5"/>
      <c r="C888" s="5" t="str">
        <f ca="1">IFERROR(__xludf.DUMMYFUNCTION("IF(N888=1,SPLIT(A888,""-""),"""")"),"")</f>
        <v/>
      </c>
      <c r="F888" s="5"/>
      <c r="G888" s="5"/>
      <c r="H888" s="5" t="str">
        <f t="array" ref="H888">IF(N888=1, INDEX('Database Mitra'!$C$2:$C993,MATCH($C888,'Database Mitra'!$AK$2:$AK993,0)),"")</f>
        <v/>
      </c>
      <c r="I888" s="71" t="str">
        <f>IF(N888=1,SUMIFS('Alokasi Honor'!$M$2:$M993,'Alokasi Honor'!$T$2:$T993,A888),"")</f>
        <v/>
      </c>
      <c r="L888" s="10" t="str">
        <f t="array" ref="L888">IF(N888=1,INDEX('Batasan Honor'!$B$2:$B993,MATCH(CONCATENATE($F888,"-",$G888),'Batasan Honor'!$G$2:$G993,0)),"")</f>
        <v/>
      </c>
      <c r="M888" s="10" t="str">
        <f t="shared" si="5"/>
        <v/>
      </c>
      <c r="N888" s="10" t="str">
        <f t="shared" si="3"/>
        <v/>
      </c>
    </row>
    <row r="889" spans="2:14" ht="12.5">
      <c r="B889" s="5"/>
      <c r="C889" s="5" t="str">
        <f ca="1">IFERROR(__xludf.DUMMYFUNCTION("IF(N889=1,SPLIT(A889,""-""),"""")"),"")</f>
        <v/>
      </c>
      <c r="F889" s="5"/>
      <c r="G889" s="5"/>
      <c r="H889" s="5" t="str">
        <f t="array" ref="H889">IF(N889=1, INDEX('Database Mitra'!$C$2:$C993,MATCH($C889,'Database Mitra'!$AK$2:$AK993,0)),"")</f>
        <v/>
      </c>
      <c r="I889" s="71" t="str">
        <f>IF(N889=1,SUMIFS('Alokasi Honor'!$M$2:$M993,'Alokasi Honor'!$T$2:$T993,A889),"")</f>
        <v/>
      </c>
      <c r="L889" s="10" t="str">
        <f t="array" ref="L889">IF(N889=1,INDEX('Batasan Honor'!$B$2:$B993,MATCH(CONCATENATE($F889,"-",$G889),'Batasan Honor'!$G$2:$G993,0)),"")</f>
        <v/>
      </c>
      <c r="M889" s="10" t="str">
        <f t="shared" si="5"/>
        <v/>
      </c>
      <c r="N889" s="10" t="str">
        <f t="shared" si="3"/>
        <v/>
      </c>
    </row>
    <row r="890" spans="2:14" ht="12.5">
      <c r="B890" s="5"/>
      <c r="C890" s="5" t="str">
        <f ca="1">IFERROR(__xludf.DUMMYFUNCTION("IF(N890=1,SPLIT(A890,""-""),"""")"),"")</f>
        <v/>
      </c>
      <c r="F890" s="5"/>
      <c r="G890" s="5"/>
      <c r="H890" s="5" t="str">
        <f t="array" ref="H890">IF(N890=1, INDEX('Database Mitra'!$C$2:$C993,MATCH($C890,'Database Mitra'!$AK$2:$AK993,0)),"")</f>
        <v/>
      </c>
      <c r="I890" s="71" t="str">
        <f>IF(N890=1,SUMIFS('Alokasi Honor'!$M$2:$M993,'Alokasi Honor'!$T$2:$T993,A890),"")</f>
        <v/>
      </c>
      <c r="L890" s="10" t="str">
        <f t="array" ref="L890">IF(N890=1,INDEX('Batasan Honor'!$B$2:$B993,MATCH(CONCATENATE($F890,"-",$G890),'Batasan Honor'!$G$2:$G993,0)),"")</f>
        <v/>
      </c>
      <c r="M890" s="10" t="str">
        <f t="shared" si="5"/>
        <v/>
      </c>
      <c r="N890" s="10" t="str">
        <f t="shared" si="3"/>
        <v/>
      </c>
    </row>
    <row r="891" spans="2:14" ht="12.5">
      <c r="B891" s="5"/>
      <c r="C891" s="5" t="str">
        <f ca="1">IFERROR(__xludf.DUMMYFUNCTION("IF(N891=1,SPLIT(A891,""-""),"""")"),"")</f>
        <v/>
      </c>
      <c r="F891" s="5"/>
      <c r="G891" s="5"/>
      <c r="H891" s="5" t="str">
        <f t="array" ref="H891">IF(N891=1, INDEX('Database Mitra'!$C$2:$C993,MATCH($C891,'Database Mitra'!$AK$2:$AK993,0)),"")</f>
        <v/>
      </c>
      <c r="I891" s="71" t="str">
        <f>IF(N891=1,SUMIFS('Alokasi Honor'!$M$2:$M993,'Alokasi Honor'!$T$2:$T993,A891),"")</f>
        <v/>
      </c>
      <c r="L891" s="10" t="str">
        <f t="array" ref="L891">IF(N891=1,INDEX('Batasan Honor'!$B$2:$B993,MATCH(CONCATENATE($F891,"-",$G891),'Batasan Honor'!$G$2:$G993,0)),"")</f>
        <v/>
      </c>
      <c r="M891" s="10" t="str">
        <f t="shared" si="5"/>
        <v/>
      </c>
      <c r="N891" s="10" t="str">
        <f t="shared" si="3"/>
        <v/>
      </c>
    </row>
    <row r="892" spans="2:14" ht="12.5">
      <c r="B892" s="5"/>
      <c r="C892" s="5" t="str">
        <f ca="1">IFERROR(__xludf.DUMMYFUNCTION("IF(N892=1,SPLIT(A892,""-""),"""")"),"")</f>
        <v/>
      </c>
      <c r="F892" s="5"/>
      <c r="G892" s="5"/>
      <c r="H892" s="5" t="str">
        <f t="array" ref="H892">IF(N892=1, INDEX('Database Mitra'!$C$2:$C993,MATCH($C892,'Database Mitra'!$AK$2:$AK993,0)),"")</f>
        <v/>
      </c>
      <c r="I892" s="71" t="str">
        <f>IF(N892=1,SUMIFS('Alokasi Honor'!$M$2:$M993,'Alokasi Honor'!$T$2:$T993,A892),"")</f>
        <v/>
      </c>
      <c r="L892" s="10" t="str">
        <f t="array" ref="L892">IF(N892=1,INDEX('Batasan Honor'!$B$2:$B993,MATCH(CONCATENATE($F892,"-",$G892),'Batasan Honor'!$G$2:$G993,0)),"")</f>
        <v/>
      </c>
      <c r="M892" s="10" t="str">
        <f t="shared" si="5"/>
        <v/>
      </c>
      <c r="N892" s="10" t="str">
        <f t="shared" si="3"/>
        <v/>
      </c>
    </row>
    <row r="893" spans="2:14" ht="12.5">
      <c r="B893" s="5"/>
      <c r="C893" s="5" t="str">
        <f ca="1">IFERROR(__xludf.DUMMYFUNCTION("IF(N893=1,SPLIT(A893,""-""),"""")"),"")</f>
        <v/>
      </c>
      <c r="F893" s="5"/>
      <c r="G893" s="5"/>
      <c r="H893" s="5" t="str">
        <f t="array" ref="H893">IF(N893=1, INDEX('Database Mitra'!$C$2:$C993,MATCH($C893,'Database Mitra'!$AK$2:$AK993,0)),"")</f>
        <v/>
      </c>
      <c r="I893" s="71" t="str">
        <f>IF(N893=1,SUMIFS('Alokasi Honor'!$M$2:$M993,'Alokasi Honor'!$T$2:$T993,A893),"")</f>
        <v/>
      </c>
      <c r="L893" s="10" t="str">
        <f t="array" ref="L893">IF(N893=1,INDEX('Batasan Honor'!$B$2:$B993,MATCH(CONCATENATE($F893,"-",$G893),'Batasan Honor'!$G$2:$G993,0)),"")</f>
        <v/>
      </c>
      <c r="M893" s="10" t="str">
        <f t="shared" si="5"/>
        <v/>
      </c>
      <c r="N893" s="10" t="str">
        <f t="shared" si="3"/>
        <v/>
      </c>
    </row>
    <row r="894" spans="2:14" ht="12.5">
      <c r="B894" s="5"/>
      <c r="C894" s="5" t="str">
        <f ca="1">IFERROR(__xludf.DUMMYFUNCTION("IF(N894=1,SPLIT(A894,""-""),"""")"),"")</f>
        <v/>
      </c>
      <c r="F894" s="5"/>
      <c r="G894" s="5"/>
      <c r="H894" s="5" t="str">
        <f t="array" ref="H894">IF(N894=1, INDEX('Database Mitra'!$C$2:$C993,MATCH($C894,'Database Mitra'!$AK$2:$AK993,0)),"")</f>
        <v/>
      </c>
      <c r="I894" s="71" t="str">
        <f>IF(N894=1,SUMIFS('Alokasi Honor'!$M$2:$M993,'Alokasi Honor'!$T$2:$T993,A894),"")</f>
        <v/>
      </c>
      <c r="L894" s="10" t="str">
        <f t="array" ref="L894">IF(N894=1,INDEX('Batasan Honor'!$B$2:$B993,MATCH(CONCATENATE($F894,"-",$G894),'Batasan Honor'!$G$2:$G993,0)),"")</f>
        <v/>
      </c>
      <c r="M894" s="10" t="str">
        <f t="shared" si="5"/>
        <v/>
      </c>
      <c r="N894" s="10" t="str">
        <f t="shared" si="3"/>
        <v/>
      </c>
    </row>
    <row r="895" spans="2:14" ht="12.5">
      <c r="B895" s="5"/>
      <c r="C895" s="5" t="str">
        <f ca="1">IFERROR(__xludf.DUMMYFUNCTION("IF(N895=1,SPLIT(A895,""-""),"""")"),"")</f>
        <v/>
      </c>
      <c r="F895" s="5"/>
      <c r="G895" s="5"/>
      <c r="H895" s="5" t="str">
        <f t="array" ref="H895">IF(N895=1, INDEX('Database Mitra'!$C$2:$C993,MATCH($C895,'Database Mitra'!$AK$2:$AK993,0)),"")</f>
        <v/>
      </c>
      <c r="I895" s="71" t="str">
        <f>IF(N895=1,SUMIFS('Alokasi Honor'!$M$2:$M993,'Alokasi Honor'!$T$2:$T993,A895),"")</f>
        <v/>
      </c>
      <c r="L895" s="10" t="str">
        <f t="array" ref="L895">IF(N895=1,INDEX('Batasan Honor'!$B$2:$B993,MATCH(CONCATENATE($F895,"-",$G895),'Batasan Honor'!$G$2:$G993,0)),"")</f>
        <v/>
      </c>
      <c r="M895" s="10" t="str">
        <f t="shared" si="5"/>
        <v/>
      </c>
      <c r="N895" s="10" t="str">
        <f t="shared" si="3"/>
        <v/>
      </c>
    </row>
    <row r="896" spans="2:14" ht="12.5">
      <c r="B896" s="5"/>
      <c r="C896" s="5" t="str">
        <f ca="1">IFERROR(__xludf.DUMMYFUNCTION("IF(N896=1,SPLIT(A896,""-""),"""")"),"")</f>
        <v/>
      </c>
      <c r="F896" s="5"/>
      <c r="G896" s="5"/>
      <c r="H896" s="5" t="str">
        <f t="array" ref="H896">IF(N896=1, INDEX('Database Mitra'!$C$2:$C993,MATCH($C896,'Database Mitra'!$AK$2:$AK993,0)),"")</f>
        <v/>
      </c>
      <c r="I896" s="71" t="str">
        <f>IF(N896=1,SUMIFS('Alokasi Honor'!$M$2:$M993,'Alokasi Honor'!$T$2:$T993,A896),"")</f>
        <v/>
      </c>
      <c r="L896" s="10" t="str">
        <f t="array" ref="L896">IF(N896=1,INDEX('Batasan Honor'!$B$2:$B993,MATCH(CONCATENATE($F896,"-",$G896),'Batasan Honor'!$G$2:$G993,0)),"")</f>
        <v/>
      </c>
      <c r="M896" s="10" t="str">
        <f t="shared" si="5"/>
        <v/>
      </c>
      <c r="N896" s="10" t="str">
        <f t="shared" si="3"/>
        <v/>
      </c>
    </row>
    <row r="897" spans="2:14" ht="12.5">
      <c r="B897" s="5"/>
      <c r="C897" s="5" t="str">
        <f ca="1">IFERROR(__xludf.DUMMYFUNCTION("IF(N897=1,SPLIT(A897,""-""),"""")"),"")</f>
        <v/>
      </c>
      <c r="F897" s="5"/>
      <c r="G897" s="5"/>
      <c r="H897" s="5" t="str">
        <f t="array" ref="H897">IF(N897=1, INDEX('Database Mitra'!$C$2:$C993,MATCH($C897,'Database Mitra'!$AK$2:$AK993,0)),"")</f>
        <v/>
      </c>
      <c r="I897" s="71" t="str">
        <f>IF(N897=1,SUMIFS('Alokasi Honor'!$M$2:$M993,'Alokasi Honor'!$T$2:$T993,A897),"")</f>
        <v/>
      </c>
      <c r="L897" s="10" t="str">
        <f t="array" ref="L897">IF(N897=1,INDEX('Batasan Honor'!$B$2:$B993,MATCH(CONCATENATE($F897,"-",$G897),'Batasan Honor'!$G$2:$G993,0)),"")</f>
        <v/>
      </c>
      <c r="M897" s="10" t="str">
        <f t="shared" si="5"/>
        <v/>
      </c>
      <c r="N897" s="10" t="str">
        <f t="shared" si="3"/>
        <v/>
      </c>
    </row>
    <row r="898" spans="2:14" ht="12.5">
      <c r="B898" s="5"/>
      <c r="C898" s="5" t="str">
        <f ca="1">IFERROR(__xludf.DUMMYFUNCTION("IF(N898=1,SPLIT(A898,""-""),"""")"),"")</f>
        <v/>
      </c>
      <c r="F898" s="5"/>
      <c r="G898" s="5"/>
      <c r="H898" s="5" t="str">
        <f t="array" ref="H898">IF(N898=1, INDEX('Database Mitra'!$C$2:$C993,MATCH($C898,'Database Mitra'!$AK$2:$AK993,0)),"")</f>
        <v/>
      </c>
      <c r="I898" s="71" t="str">
        <f>IF(N898=1,SUMIFS('Alokasi Honor'!$M$2:$M993,'Alokasi Honor'!$T$2:$T993,A898),"")</f>
        <v/>
      </c>
      <c r="L898" s="10" t="str">
        <f t="array" ref="L898">IF(N898=1,INDEX('Batasan Honor'!$B$2:$B993,MATCH(CONCATENATE($F898,"-",$G898),'Batasan Honor'!$G$2:$G993,0)),"")</f>
        <v/>
      </c>
      <c r="M898" s="10" t="str">
        <f t="shared" si="5"/>
        <v/>
      </c>
      <c r="N898" s="10" t="str">
        <f t="shared" si="3"/>
        <v/>
      </c>
    </row>
    <row r="899" spans="2:14" ht="12.5">
      <c r="B899" s="5"/>
      <c r="C899" s="5" t="str">
        <f ca="1">IFERROR(__xludf.DUMMYFUNCTION("IF(N899=1,SPLIT(A899,""-""),"""")"),"")</f>
        <v/>
      </c>
      <c r="F899" s="5"/>
      <c r="G899" s="5"/>
      <c r="H899" s="5" t="str">
        <f t="array" ref="H899">IF(N899=1, INDEX('Database Mitra'!$C$2:$C993,MATCH($C899,'Database Mitra'!$AK$2:$AK993,0)),"")</f>
        <v/>
      </c>
      <c r="I899" s="71" t="str">
        <f>IF(N899=1,SUMIFS('Alokasi Honor'!$M$2:$M993,'Alokasi Honor'!$T$2:$T993,A899),"")</f>
        <v/>
      </c>
      <c r="L899" s="10" t="str">
        <f t="array" ref="L899">IF(N899=1,INDEX('Batasan Honor'!$B$2:$B993,MATCH(CONCATENATE($F899,"-",$G899),'Batasan Honor'!$G$2:$G993,0)),"")</f>
        <v/>
      </c>
      <c r="M899" s="10" t="str">
        <f t="shared" si="5"/>
        <v/>
      </c>
      <c r="N899" s="10" t="str">
        <f t="shared" si="3"/>
        <v/>
      </c>
    </row>
    <row r="900" spans="2:14" ht="12.5">
      <c r="B900" s="5"/>
      <c r="C900" s="5" t="str">
        <f ca="1">IFERROR(__xludf.DUMMYFUNCTION("IF(N900=1,SPLIT(A900,""-""),"""")"),"")</f>
        <v/>
      </c>
      <c r="F900" s="5"/>
      <c r="G900" s="5"/>
      <c r="H900" s="5" t="str">
        <f t="array" ref="H900">IF(N900=1, INDEX('Database Mitra'!$C$2:$C993,MATCH($C900,'Database Mitra'!$AK$2:$AK993,0)),"")</f>
        <v/>
      </c>
      <c r="I900" s="71" t="str">
        <f>IF(N900=1,SUMIFS('Alokasi Honor'!$M$2:$M993,'Alokasi Honor'!$T$2:$T993,A900),"")</f>
        <v/>
      </c>
      <c r="L900" s="10" t="str">
        <f t="array" ref="L900">IF(N900=1,INDEX('Batasan Honor'!$B$2:$B993,MATCH(CONCATENATE($F900,"-",$G900),'Batasan Honor'!$G$2:$G993,0)),"")</f>
        <v/>
      </c>
      <c r="M900" s="10" t="str">
        <f t="shared" si="5"/>
        <v/>
      </c>
      <c r="N900" s="10" t="str">
        <f t="shared" si="3"/>
        <v/>
      </c>
    </row>
    <row r="901" spans="2:14" ht="12.5">
      <c r="B901" s="5"/>
      <c r="C901" s="5" t="str">
        <f ca="1">IFERROR(__xludf.DUMMYFUNCTION("IF(N901=1,SPLIT(A901,""-""),"""")"),"")</f>
        <v/>
      </c>
      <c r="F901" s="5"/>
      <c r="G901" s="5"/>
      <c r="H901" s="5" t="str">
        <f t="array" ref="H901">IF(N901=1, INDEX('Database Mitra'!$C$2:$C993,MATCH($C901,'Database Mitra'!$AK$2:$AK993,0)),"")</f>
        <v/>
      </c>
      <c r="I901" s="71" t="str">
        <f>IF(N901=1,SUMIFS('Alokasi Honor'!$M$2:$M993,'Alokasi Honor'!$T$2:$T993,A901),"")</f>
        <v/>
      </c>
      <c r="L901" s="10" t="str">
        <f t="array" ref="L901">IF(N901=1,INDEX('Batasan Honor'!$B$2:$B993,MATCH(CONCATENATE($F901,"-",$G901),'Batasan Honor'!$G$2:$G993,0)),"")</f>
        <v/>
      </c>
      <c r="M901" s="10" t="str">
        <f t="shared" si="5"/>
        <v/>
      </c>
      <c r="N901" s="10" t="str">
        <f t="shared" si="3"/>
        <v/>
      </c>
    </row>
    <row r="902" spans="2:14" ht="12.5">
      <c r="B902" s="5"/>
      <c r="C902" s="5" t="str">
        <f ca="1">IFERROR(__xludf.DUMMYFUNCTION("IF(N902=1,SPLIT(A902,""-""),"""")"),"")</f>
        <v/>
      </c>
      <c r="F902" s="5"/>
      <c r="G902" s="5"/>
      <c r="H902" s="5" t="str">
        <f t="array" ref="H902">IF(N902=1, INDEX('Database Mitra'!$C$2:$C993,MATCH($C902,'Database Mitra'!$AK$2:$AK993,0)),"")</f>
        <v/>
      </c>
      <c r="I902" s="71" t="str">
        <f>IF(N902=1,SUMIFS('Alokasi Honor'!$M$2:$M993,'Alokasi Honor'!$T$2:$T993,A902),"")</f>
        <v/>
      </c>
      <c r="L902" s="10" t="str">
        <f t="array" ref="L902">IF(N902=1,INDEX('Batasan Honor'!$B$2:$B993,MATCH(CONCATENATE($F902,"-",$G902),'Batasan Honor'!$G$2:$G993,0)),"")</f>
        <v/>
      </c>
      <c r="M902" s="10" t="str">
        <f t="shared" si="5"/>
        <v/>
      </c>
      <c r="N902" s="10" t="str">
        <f t="shared" si="3"/>
        <v/>
      </c>
    </row>
    <row r="903" spans="2:14" ht="12.5">
      <c r="B903" s="5"/>
      <c r="C903" s="5" t="str">
        <f ca="1">IFERROR(__xludf.DUMMYFUNCTION("IF(N903=1,SPLIT(A903,""-""),"""")"),"")</f>
        <v/>
      </c>
      <c r="F903" s="5"/>
      <c r="G903" s="5"/>
      <c r="H903" s="5" t="str">
        <f t="array" ref="H903">IF(N903=1, INDEX('Database Mitra'!$C$2:$C993,MATCH($C903,'Database Mitra'!$AK$2:$AK993,0)),"")</f>
        <v/>
      </c>
      <c r="I903" s="71" t="str">
        <f>IF(N903=1,SUMIFS('Alokasi Honor'!$M$2:$M993,'Alokasi Honor'!$T$2:$T993,A903),"")</f>
        <v/>
      </c>
      <c r="L903" s="10" t="str">
        <f t="array" ref="L903">IF(N903=1,INDEX('Batasan Honor'!$B$2:$B993,MATCH(CONCATENATE($F903,"-",$G903),'Batasan Honor'!$G$2:$G993,0)),"")</f>
        <v/>
      </c>
      <c r="M903" s="10" t="str">
        <f t="shared" si="5"/>
        <v/>
      </c>
      <c r="N903" s="10" t="str">
        <f t="shared" si="3"/>
        <v/>
      </c>
    </row>
    <row r="904" spans="2:14" ht="12.5">
      <c r="B904" s="5"/>
      <c r="C904" s="5" t="str">
        <f ca="1">IFERROR(__xludf.DUMMYFUNCTION("IF(N904=1,SPLIT(A904,""-""),"""")"),"")</f>
        <v/>
      </c>
      <c r="F904" s="5"/>
      <c r="G904" s="5"/>
      <c r="H904" s="5" t="str">
        <f t="array" ref="H904">IF(N904=1, INDEX('Database Mitra'!$C$2:$C993,MATCH($C904,'Database Mitra'!$AK$2:$AK993,0)),"")</f>
        <v/>
      </c>
      <c r="I904" s="71" t="str">
        <f>IF(N904=1,SUMIFS('Alokasi Honor'!$M$2:$M993,'Alokasi Honor'!$T$2:$T993,A904),"")</f>
        <v/>
      </c>
      <c r="L904" s="10" t="str">
        <f t="array" ref="L904">IF(N904=1,INDEX('Batasan Honor'!$B$2:$B993,MATCH(CONCATENATE($F904,"-",$G904),'Batasan Honor'!$G$2:$G993,0)),"")</f>
        <v/>
      </c>
      <c r="M904" s="10" t="str">
        <f t="shared" si="5"/>
        <v/>
      </c>
      <c r="N904" s="10" t="str">
        <f t="shared" si="3"/>
        <v/>
      </c>
    </row>
    <row r="905" spans="2:14" ht="12.5">
      <c r="B905" s="5"/>
      <c r="C905" s="5" t="str">
        <f ca="1">IFERROR(__xludf.DUMMYFUNCTION("IF(N905=1,SPLIT(A905,""-""),"""")"),"")</f>
        <v/>
      </c>
      <c r="F905" s="5"/>
      <c r="G905" s="5"/>
      <c r="H905" s="5" t="str">
        <f t="array" ref="H905">IF(N905=1, INDEX('Database Mitra'!$C$2:$C993,MATCH($C905,'Database Mitra'!$AK$2:$AK993,0)),"")</f>
        <v/>
      </c>
      <c r="I905" s="71" t="str">
        <f>IF(N905=1,SUMIFS('Alokasi Honor'!$M$2:$M993,'Alokasi Honor'!$T$2:$T993,A905),"")</f>
        <v/>
      </c>
      <c r="L905" s="10" t="str">
        <f t="array" ref="L905">IF(N905=1,INDEX('Batasan Honor'!$B$2:$B993,MATCH(CONCATENATE($F905,"-",$G905),'Batasan Honor'!$G$2:$G993,0)),"")</f>
        <v/>
      </c>
      <c r="M905" s="10" t="str">
        <f t="shared" si="5"/>
        <v/>
      </c>
      <c r="N905" s="10" t="str">
        <f t="shared" si="3"/>
        <v/>
      </c>
    </row>
    <row r="906" spans="2:14" ht="12.5">
      <c r="B906" s="5"/>
      <c r="C906" s="5" t="str">
        <f ca="1">IFERROR(__xludf.DUMMYFUNCTION("IF(N906=1,SPLIT(A906,""-""),"""")"),"")</f>
        <v/>
      </c>
      <c r="F906" s="5"/>
      <c r="G906" s="5"/>
      <c r="H906" s="5" t="str">
        <f t="array" ref="H906">IF(N906=1, INDEX('Database Mitra'!$C$2:$C993,MATCH($C906,'Database Mitra'!$AK$2:$AK993,0)),"")</f>
        <v/>
      </c>
      <c r="I906" s="71" t="str">
        <f>IF(N906=1,SUMIFS('Alokasi Honor'!$M$2:$M993,'Alokasi Honor'!$T$2:$T993,A906),"")</f>
        <v/>
      </c>
      <c r="L906" s="10" t="str">
        <f t="array" ref="L906">IF(N906=1,INDEX('Batasan Honor'!$B$2:$B993,MATCH(CONCATENATE($F906,"-",$G906),'Batasan Honor'!$G$2:$G993,0)),"")</f>
        <v/>
      </c>
      <c r="M906" s="10" t="str">
        <f t="shared" si="5"/>
        <v/>
      </c>
      <c r="N906" s="10" t="str">
        <f t="shared" si="3"/>
        <v/>
      </c>
    </row>
    <row r="907" spans="2:14" ht="12.5">
      <c r="B907" s="5"/>
      <c r="C907" s="5" t="str">
        <f ca="1">IFERROR(__xludf.DUMMYFUNCTION("IF(N907=1,SPLIT(A907,""-""),"""")"),"")</f>
        <v/>
      </c>
      <c r="F907" s="5"/>
      <c r="G907" s="5"/>
      <c r="H907" s="5" t="str">
        <f t="array" ref="H907">IF(N907=1, INDEX('Database Mitra'!$C$2:$C993,MATCH($C907,'Database Mitra'!$AK$2:$AK993,0)),"")</f>
        <v/>
      </c>
      <c r="I907" s="71" t="str">
        <f>IF(N907=1,SUMIFS('Alokasi Honor'!$M$2:$M993,'Alokasi Honor'!$T$2:$T993,A907),"")</f>
        <v/>
      </c>
      <c r="L907" s="10" t="str">
        <f t="array" ref="L907">IF(N907=1,INDEX('Batasan Honor'!$B$2:$B993,MATCH(CONCATENATE($F907,"-",$G907),'Batasan Honor'!$G$2:$G993,0)),"")</f>
        <v/>
      </c>
      <c r="M907" s="10" t="str">
        <f t="shared" si="5"/>
        <v/>
      </c>
      <c r="N907" s="10" t="str">
        <f t="shared" si="3"/>
        <v/>
      </c>
    </row>
    <row r="908" spans="2:14" ht="12.5">
      <c r="B908" s="5"/>
      <c r="C908" s="5" t="str">
        <f ca="1">IFERROR(__xludf.DUMMYFUNCTION("IF(N908=1,SPLIT(A908,""-""),"""")"),"")</f>
        <v/>
      </c>
      <c r="F908" s="5"/>
      <c r="G908" s="5"/>
      <c r="H908" s="5" t="str">
        <f t="array" ref="H908">IF(N908=1, INDEX('Database Mitra'!$C$2:$C993,MATCH($C908,'Database Mitra'!$AK$2:$AK993,0)),"")</f>
        <v/>
      </c>
      <c r="I908" s="71" t="str">
        <f>IF(N908=1,SUMIFS('Alokasi Honor'!$M$2:$M993,'Alokasi Honor'!$T$2:$T993,A908),"")</f>
        <v/>
      </c>
      <c r="L908" s="10" t="str">
        <f t="array" ref="L908">IF(N908=1,INDEX('Batasan Honor'!$B$2:$B993,MATCH(CONCATENATE($F908,"-",$G908),'Batasan Honor'!$G$2:$G993,0)),"")</f>
        <v/>
      </c>
      <c r="M908" s="10" t="str">
        <f t="shared" si="5"/>
        <v/>
      </c>
      <c r="N908" s="10" t="str">
        <f t="shared" si="3"/>
        <v/>
      </c>
    </row>
    <row r="909" spans="2:14" ht="12.5">
      <c r="B909" s="5"/>
      <c r="C909" s="5" t="str">
        <f ca="1">IFERROR(__xludf.DUMMYFUNCTION("IF(N909=1,SPLIT(A909,""-""),"""")"),"")</f>
        <v/>
      </c>
      <c r="F909" s="5"/>
      <c r="G909" s="5"/>
      <c r="H909" s="5" t="str">
        <f t="array" ref="H909">IF(N909=1, INDEX('Database Mitra'!$C$2:$C993,MATCH($C909,'Database Mitra'!$AK$2:$AK993,0)),"")</f>
        <v/>
      </c>
      <c r="I909" s="71" t="str">
        <f>IF(N909=1,SUMIFS('Alokasi Honor'!$M$2:$M993,'Alokasi Honor'!$T$2:$T993,A909),"")</f>
        <v/>
      </c>
      <c r="L909" s="10" t="str">
        <f t="array" ref="L909">IF(N909=1,INDEX('Batasan Honor'!$B$2:$B993,MATCH(CONCATENATE($F909,"-",$G909),'Batasan Honor'!$G$2:$G993,0)),"")</f>
        <v/>
      </c>
      <c r="M909" s="10" t="str">
        <f t="shared" si="5"/>
        <v/>
      </c>
      <c r="N909" s="10" t="str">
        <f t="shared" si="3"/>
        <v/>
      </c>
    </row>
    <row r="910" spans="2:14" ht="12.5">
      <c r="B910" s="5"/>
      <c r="C910" s="5" t="str">
        <f ca="1">IFERROR(__xludf.DUMMYFUNCTION("IF(N910=1,SPLIT(A910,""-""),"""")"),"")</f>
        <v/>
      </c>
      <c r="F910" s="5"/>
      <c r="G910" s="5"/>
      <c r="H910" s="5" t="str">
        <f t="array" ref="H910">IF(N910=1, INDEX('Database Mitra'!$C$2:$C993,MATCH($C910,'Database Mitra'!$AK$2:$AK993,0)),"")</f>
        <v/>
      </c>
      <c r="I910" s="71" t="str">
        <f>IF(N910=1,SUMIFS('Alokasi Honor'!$M$2:$M993,'Alokasi Honor'!$T$2:$T993,A910),"")</f>
        <v/>
      </c>
      <c r="L910" s="10" t="str">
        <f t="array" ref="L910">IF(N910=1,INDEX('Batasan Honor'!$B$2:$B993,MATCH(CONCATENATE($F910,"-",$G910),'Batasan Honor'!$G$2:$G993,0)),"")</f>
        <v/>
      </c>
      <c r="M910" s="10" t="str">
        <f t="shared" si="5"/>
        <v/>
      </c>
      <c r="N910" s="10" t="str">
        <f t="shared" si="3"/>
        <v/>
      </c>
    </row>
    <row r="911" spans="2:14" ht="12.5">
      <c r="B911" s="5"/>
      <c r="C911" s="5" t="str">
        <f ca="1">IFERROR(__xludf.DUMMYFUNCTION("IF(N911=1,SPLIT(A911,""-""),"""")"),"")</f>
        <v/>
      </c>
      <c r="F911" s="5"/>
      <c r="G911" s="5"/>
      <c r="H911" s="5" t="str">
        <f t="array" ref="H911">IF(N911=1, INDEX('Database Mitra'!$C$2:$C993,MATCH($C911,'Database Mitra'!$AK$2:$AK993,0)),"")</f>
        <v/>
      </c>
      <c r="I911" s="71" t="str">
        <f>IF(N911=1,SUMIFS('Alokasi Honor'!$M$2:$M993,'Alokasi Honor'!$T$2:$T993,A911),"")</f>
        <v/>
      </c>
      <c r="L911" s="10" t="str">
        <f t="array" ref="L911">IF(N911=1,INDEX('Batasan Honor'!$B$2:$B993,MATCH(CONCATENATE($F911,"-",$G911),'Batasan Honor'!$G$2:$G993,0)),"")</f>
        <v/>
      </c>
      <c r="M911" s="10" t="str">
        <f t="shared" si="5"/>
        <v/>
      </c>
      <c r="N911" s="10" t="str">
        <f t="shared" si="3"/>
        <v/>
      </c>
    </row>
    <row r="912" spans="2:14" ht="12.5">
      <c r="B912" s="5"/>
      <c r="C912" s="5" t="str">
        <f ca="1">IFERROR(__xludf.DUMMYFUNCTION("IF(N912=1,SPLIT(A912,""-""),"""")"),"")</f>
        <v/>
      </c>
      <c r="F912" s="5"/>
      <c r="G912" s="5"/>
      <c r="H912" s="5" t="str">
        <f t="array" ref="H912">IF(N912=1, INDEX('Database Mitra'!$C$2:$C993,MATCH($C912,'Database Mitra'!$AK$2:$AK993,0)),"")</f>
        <v/>
      </c>
      <c r="I912" s="71" t="str">
        <f>IF(N912=1,SUMIFS('Alokasi Honor'!$M$2:$M993,'Alokasi Honor'!$T$2:$T993,A912),"")</f>
        <v/>
      </c>
      <c r="L912" s="10" t="str">
        <f t="array" ref="L912">IF(N912=1,INDEX('Batasan Honor'!$B$2:$B993,MATCH(CONCATENATE($F912,"-",$G912),'Batasan Honor'!$G$2:$G993,0)),"")</f>
        <v/>
      </c>
      <c r="M912" s="10" t="str">
        <f t="shared" si="5"/>
        <v/>
      </c>
      <c r="N912" s="10" t="str">
        <f t="shared" si="3"/>
        <v/>
      </c>
    </row>
    <row r="913" spans="2:14" ht="12.5">
      <c r="B913" s="5"/>
      <c r="C913" s="5" t="str">
        <f ca="1">IFERROR(__xludf.DUMMYFUNCTION("IF(N913=1,SPLIT(A913,""-""),"""")"),"")</f>
        <v/>
      </c>
      <c r="F913" s="5"/>
      <c r="G913" s="5"/>
      <c r="H913" s="5" t="str">
        <f t="array" ref="H913">IF(N913=1, INDEX('Database Mitra'!$C$2:$C993,MATCH($C913,'Database Mitra'!$AK$2:$AK993,0)),"")</f>
        <v/>
      </c>
      <c r="I913" s="71" t="str">
        <f>IF(N913=1,SUMIFS('Alokasi Honor'!$M$2:$M993,'Alokasi Honor'!$T$2:$T993,A913),"")</f>
        <v/>
      </c>
      <c r="L913" s="10" t="str">
        <f t="array" ref="L913">IF(N913=1,INDEX('Batasan Honor'!$B$2:$B993,MATCH(CONCATENATE($F913,"-",$G913),'Batasan Honor'!$G$2:$G993,0)),"")</f>
        <v/>
      </c>
      <c r="M913" s="10" t="str">
        <f t="shared" si="5"/>
        <v/>
      </c>
      <c r="N913" s="10" t="str">
        <f t="shared" si="3"/>
        <v/>
      </c>
    </row>
    <row r="914" spans="2:14" ht="12.5">
      <c r="B914" s="5"/>
      <c r="C914" s="5" t="str">
        <f ca="1">IFERROR(__xludf.DUMMYFUNCTION("IF(N914=1,SPLIT(A914,""-""),"""")"),"")</f>
        <v/>
      </c>
      <c r="F914" s="5"/>
      <c r="G914" s="5"/>
      <c r="H914" s="5" t="str">
        <f t="array" ref="H914">IF(N914=1, INDEX('Database Mitra'!$C$2:$C993,MATCH($C914,'Database Mitra'!$AK$2:$AK993,0)),"")</f>
        <v/>
      </c>
      <c r="I914" s="71" t="str">
        <f>IF(N914=1,SUMIFS('Alokasi Honor'!$M$2:$M993,'Alokasi Honor'!$T$2:$T993,A914),"")</f>
        <v/>
      </c>
      <c r="L914" s="10" t="str">
        <f t="array" ref="L914">IF(N914=1,INDEX('Batasan Honor'!$B$2:$B993,MATCH(CONCATENATE($F914,"-",$G914),'Batasan Honor'!$G$2:$G993,0)),"")</f>
        <v/>
      </c>
      <c r="M914" s="10" t="str">
        <f t="shared" si="5"/>
        <v/>
      </c>
      <c r="N914" s="10" t="str">
        <f t="shared" si="3"/>
        <v/>
      </c>
    </row>
    <row r="915" spans="2:14" ht="12.5">
      <c r="B915" s="5"/>
      <c r="C915" s="5" t="str">
        <f ca="1">IFERROR(__xludf.DUMMYFUNCTION("IF(N915=1,SPLIT(A915,""-""),"""")"),"")</f>
        <v/>
      </c>
      <c r="F915" s="5"/>
      <c r="G915" s="5"/>
      <c r="H915" s="5" t="str">
        <f t="array" ref="H915">IF(N915=1, INDEX('Database Mitra'!$C$2:$C993,MATCH($C915,'Database Mitra'!$AK$2:$AK993,0)),"")</f>
        <v/>
      </c>
      <c r="I915" s="71" t="str">
        <f>IF(N915=1,SUMIFS('Alokasi Honor'!$M$2:$M993,'Alokasi Honor'!$T$2:$T993,A915),"")</f>
        <v/>
      </c>
      <c r="L915" s="10" t="str">
        <f t="array" ref="L915">IF(N915=1,INDEX('Batasan Honor'!$B$2:$B993,MATCH(CONCATENATE($F915,"-",$G915),'Batasan Honor'!$G$2:$G993,0)),"")</f>
        <v/>
      </c>
      <c r="M915" s="10" t="str">
        <f t="shared" si="5"/>
        <v/>
      </c>
      <c r="N915" s="10" t="str">
        <f t="shared" si="3"/>
        <v/>
      </c>
    </row>
    <row r="916" spans="2:14" ht="12.5">
      <c r="B916" s="5"/>
      <c r="C916" s="5" t="str">
        <f ca="1">IFERROR(__xludf.DUMMYFUNCTION("IF(N916=1,SPLIT(A916,""-""),"""")"),"")</f>
        <v/>
      </c>
      <c r="F916" s="5"/>
      <c r="G916" s="5"/>
      <c r="H916" s="5" t="str">
        <f t="array" ref="H916">IF(N916=1, INDEX('Database Mitra'!$C$2:$C993,MATCH($C916,'Database Mitra'!$AK$2:$AK993,0)),"")</f>
        <v/>
      </c>
      <c r="I916" s="71" t="str">
        <f>IF(N916=1,SUMIFS('Alokasi Honor'!$M$2:$M993,'Alokasi Honor'!$T$2:$T993,A916),"")</f>
        <v/>
      </c>
      <c r="L916" s="10" t="str">
        <f t="array" ref="L916">IF(N916=1,INDEX('Batasan Honor'!$B$2:$B993,MATCH(CONCATENATE($F916,"-",$G916),'Batasan Honor'!$G$2:$G993,0)),"")</f>
        <v/>
      </c>
      <c r="M916" s="10" t="str">
        <f t="shared" si="5"/>
        <v/>
      </c>
      <c r="N916" s="10" t="str">
        <f t="shared" si="3"/>
        <v/>
      </c>
    </row>
    <row r="917" spans="2:14" ht="12.5">
      <c r="B917" s="5"/>
      <c r="C917" s="5" t="str">
        <f ca="1">IFERROR(__xludf.DUMMYFUNCTION("IF(N917=1,SPLIT(A917,""-""),"""")"),"")</f>
        <v/>
      </c>
      <c r="F917" s="5"/>
      <c r="G917" s="5"/>
      <c r="H917" s="5" t="str">
        <f t="array" ref="H917">IF(N917=1, INDEX('Database Mitra'!$C$2:$C993,MATCH($C917,'Database Mitra'!$AK$2:$AK993,0)),"")</f>
        <v/>
      </c>
      <c r="I917" s="71" t="str">
        <f>IF(N917=1,SUMIFS('Alokasi Honor'!$M$2:$M993,'Alokasi Honor'!$T$2:$T993,A917),"")</f>
        <v/>
      </c>
      <c r="L917" s="10" t="str">
        <f t="array" ref="L917">IF(N917=1,INDEX('Batasan Honor'!$B$2:$B993,MATCH(CONCATENATE($F917,"-",$G917),'Batasan Honor'!$G$2:$G993,0)),"")</f>
        <v/>
      </c>
      <c r="M917" s="10" t="str">
        <f t="shared" si="5"/>
        <v/>
      </c>
      <c r="N917" s="10" t="str">
        <f t="shared" si="3"/>
        <v/>
      </c>
    </row>
    <row r="918" spans="2:14" ht="12.5">
      <c r="B918" s="5"/>
      <c r="C918" s="5" t="str">
        <f ca="1">IFERROR(__xludf.DUMMYFUNCTION("IF(N918=1,SPLIT(A918,""-""),"""")"),"")</f>
        <v/>
      </c>
      <c r="F918" s="5"/>
      <c r="G918" s="5"/>
      <c r="H918" s="5" t="str">
        <f t="array" ref="H918">IF(N918=1, INDEX('Database Mitra'!$C$2:$C993,MATCH($C918,'Database Mitra'!$AK$2:$AK993,0)),"")</f>
        <v/>
      </c>
      <c r="I918" s="71" t="str">
        <f>IF(N918=1,SUMIFS('Alokasi Honor'!$M$2:$M993,'Alokasi Honor'!$T$2:$T993,A918),"")</f>
        <v/>
      </c>
      <c r="L918" s="10" t="str">
        <f t="array" ref="L918">IF(N918=1,INDEX('Batasan Honor'!$B$2:$B993,MATCH(CONCATENATE($F918,"-",$G918),'Batasan Honor'!$G$2:$G993,0)),"")</f>
        <v/>
      </c>
      <c r="M918" s="10" t="str">
        <f t="shared" si="5"/>
        <v/>
      </c>
      <c r="N918" s="10" t="str">
        <f t="shared" si="3"/>
        <v/>
      </c>
    </row>
    <row r="919" spans="2:14" ht="12.5">
      <c r="B919" s="5"/>
      <c r="C919" s="5" t="str">
        <f ca="1">IFERROR(__xludf.DUMMYFUNCTION("IF(N919=1,SPLIT(A919,""-""),"""")"),"")</f>
        <v/>
      </c>
      <c r="F919" s="5"/>
      <c r="G919" s="5"/>
      <c r="H919" s="5" t="str">
        <f t="array" ref="H919">IF(N919=1, INDEX('Database Mitra'!$C$2:$C993,MATCH($C919,'Database Mitra'!$AK$2:$AK993,0)),"")</f>
        <v/>
      </c>
      <c r="I919" s="71" t="str">
        <f>IF(N919=1,SUMIFS('Alokasi Honor'!$M$2:$M993,'Alokasi Honor'!$T$2:$T993,A919),"")</f>
        <v/>
      </c>
      <c r="L919" s="10" t="str">
        <f t="array" ref="L919">IF(N919=1,INDEX('Batasan Honor'!$B$2:$B993,MATCH(CONCATENATE($F919,"-",$G919),'Batasan Honor'!$G$2:$G993,0)),"")</f>
        <v/>
      </c>
      <c r="M919" s="10" t="str">
        <f t="shared" si="5"/>
        <v/>
      </c>
      <c r="N919" s="10" t="str">
        <f t="shared" si="3"/>
        <v/>
      </c>
    </row>
    <row r="920" spans="2:14" ht="12.5">
      <c r="B920" s="5"/>
      <c r="C920" s="5" t="str">
        <f ca="1">IFERROR(__xludf.DUMMYFUNCTION("IF(N920=1,SPLIT(A920,""-""),"""")"),"")</f>
        <v/>
      </c>
      <c r="F920" s="5"/>
      <c r="G920" s="5"/>
      <c r="H920" s="5" t="str">
        <f t="array" ref="H920">IF(N920=1, INDEX('Database Mitra'!$C$2:$C993,MATCH($C920,'Database Mitra'!$AK$2:$AK993,0)),"")</f>
        <v/>
      </c>
      <c r="I920" s="71" t="str">
        <f>IF(N920=1,SUMIFS('Alokasi Honor'!$M$2:$M993,'Alokasi Honor'!$T$2:$T993,A920),"")</f>
        <v/>
      </c>
      <c r="L920" s="10" t="str">
        <f t="array" ref="L920">IF(N920=1,INDEX('Batasan Honor'!$B$2:$B993,MATCH(CONCATENATE($F920,"-",$G920),'Batasan Honor'!$G$2:$G993,0)),"")</f>
        <v/>
      </c>
      <c r="M920" s="10" t="str">
        <f t="shared" si="5"/>
        <v/>
      </c>
      <c r="N920" s="10" t="str">
        <f t="shared" si="3"/>
        <v/>
      </c>
    </row>
    <row r="921" spans="2:14" ht="12.5">
      <c r="B921" s="5"/>
      <c r="C921" s="5" t="str">
        <f ca="1">IFERROR(__xludf.DUMMYFUNCTION("IF(N921=1,SPLIT(A921,""-""),"""")"),"")</f>
        <v/>
      </c>
      <c r="F921" s="5"/>
      <c r="G921" s="5"/>
      <c r="H921" s="5" t="str">
        <f t="array" ref="H921">IF(N921=1, INDEX('Database Mitra'!$C$2:$C993,MATCH($C921,'Database Mitra'!$AK$2:$AK993,0)),"")</f>
        <v/>
      </c>
      <c r="I921" s="71" t="str">
        <f>IF(N921=1,SUMIFS('Alokasi Honor'!$M$2:$M993,'Alokasi Honor'!$T$2:$T993,A921),"")</f>
        <v/>
      </c>
      <c r="L921" s="10" t="str">
        <f t="array" ref="L921">IF(N921=1,INDEX('Batasan Honor'!$B$2:$B993,MATCH(CONCATENATE($F921,"-",$G921),'Batasan Honor'!$G$2:$G993,0)),"")</f>
        <v/>
      </c>
      <c r="M921" s="10" t="str">
        <f t="shared" si="5"/>
        <v/>
      </c>
      <c r="N921" s="10" t="str">
        <f t="shared" si="3"/>
        <v/>
      </c>
    </row>
    <row r="922" spans="2:14" ht="12.5">
      <c r="B922" s="5"/>
      <c r="C922" s="5" t="str">
        <f ca="1">IFERROR(__xludf.DUMMYFUNCTION("IF(N922=1,SPLIT(A922,""-""),"""")"),"")</f>
        <v/>
      </c>
      <c r="F922" s="5"/>
      <c r="G922" s="5"/>
      <c r="H922" s="5" t="str">
        <f t="array" ref="H922">IF(N922=1, INDEX('Database Mitra'!$C$2:$C993,MATCH($C922,'Database Mitra'!$AK$2:$AK993,0)),"")</f>
        <v/>
      </c>
      <c r="I922" s="71" t="str">
        <f>IF(N922=1,SUMIFS('Alokasi Honor'!$M$2:$M993,'Alokasi Honor'!$T$2:$T993,A922),"")</f>
        <v/>
      </c>
      <c r="L922" s="10" t="str">
        <f t="array" ref="L922">IF(N922=1,INDEX('Batasan Honor'!$B$2:$B993,MATCH(CONCATENATE($F922,"-",$G922),'Batasan Honor'!$G$2:$G993,0)),"")</f>
        <v/>
      </c>
      <c r="M922" s="10" t="str">
        <f t="shared" si="5"/>
        <v/>
      </c>
      <c r="N922" s="10" t="str">
        <f t="shared" si="3"/>
        <v/>
      </c>
    </row>
    <row r="923" spans="2:14" ht="12.5">
      <c r="B923" s="5"/>
      <c r="C923" s="5" t="str">
        <f ca="1">IFERROR(__xludf.DUMMYFUNCTION("IF(N923=1,SPLIT(A923,""-""),"""")"),"")</f>
        <v/>
      </c>
      <c r="F923" s="5"/>
      <c r="G923" s="5"/>
      <c r="H923" s="5" t="str">
        <f t="array" ref="H923">IF(N923=1, INDEX('Database Mitra'!$C$2:$C993,MATCH($C923,'Database Mitra'!$AK$2:$AK993,0)),"")</f>
        <v/>
      </c>
      <c r="I923" s="71" t="str">
        <f>IF(N923=1,SUMIFS('Alokasi Honor'!$M$2:$M993,'Alokasi Honor'!$T$2:$T993,A923),"")</f>
        <v/>
      </c>
      <c r="L923" s="10" t="str">
        <f t="array" ref="L923">IF(N923=1,INDEX('Batasan Honor'!$B$2:$B993,MATCH(CONCATENATE($F923,"-",$G923),'Batasan Honor'!$G$2:$G993,0)),"")</f>
        <v/>
      </c>
      <c r="M923" s="10" t="str">
        <f t="shared" si="5"/>
        <v/>
      </c>
      <c r="N923" s="10" t="str">
        <f t="shared" si="3"/>
        <v/>
      </c>
    </row>
    <row r="924" spans="2:14" ht="12.5">
      <c r="B924" s="5"/>
      <c r="C924" s="5" t="str">
        <f ca="1">IFERROR(__xludf.DUMMYFUNCTION("IF(N924=1,SPLIT(A924,""-""),"""")"),"")</f>
        <v/>
      </c>
      <c r="F924" s="5"/>
      <c r="G924" s="5"/>
      <c r="H924" s="5" t="str">
        <f t="array" ref="H924">IF(N924=1, INDEX('Database Mitra'!$C$2:$C993,MATCH($C924,'Database Mitra'!$AK$2:$AK993,0)),"")</f>
        <v/>
      </c>
      <c r="I924" s="71" t="str">
        <f>IF(N924=1,SUMIFS('Alokasi Honor'!$M$2:$M993,'Alokasi Honor'!$T$2:$T993,A924),"")</f>
        <v/>
      </c>
      <c r="L924" s="10" t="str">
        <f t="array" ref="L924">IF(N924=1,INDEX('Batasan Honor'!$B$2:$B993,MATCH(CONCATENATE($F924,"-",$G924),'Batasan Honor'!$G$2:$G993,0)),"")</f>
        <v/>
      </c>
      <c r="M924" s="10" t="str">
        <f t="shared" si="5"/>
        <v/>
      </c>
      <c r="N924" s="10" t="str">
        <f t="shared" si="3"/>
        <v/>
      </c>
    </row>
    <row r="925" spans="2:14" ht="12.5">
      <c r="B925" s="5"/>
      <c r="C925" s="5" t="str">
        <f ca="1">IFERROR(__xludf.DUMMYFUNCTION("IF(N925=1,SPLIT(A925,""-""),"""")"),"")</f>
        <v/>
      </c>
      <c r="F925" s="5"/>
      <c r="G925" s="5"/>
      <c r="H925" s="5" t="str">
        <f t="array" ref="H925">IF(N925=1, INDEX('Database Mitra'!$C$2:$C993,MATCH($C925,'Database Mitra'!$AK$2:$AK993,0)),"")</f>
        <v/>
      </c>
      <c r="I925" s="71" t="str">
        <f>IF(N925=1,SUMIFS('Alokasi Honor'!$M$2:$M993,'Alokasi Honor'!$T$2:$T993,A925),"")</f>
        <v/>
      </c>
      <c r="L925" s="10" t="str">
        <f t="array" ref="L925">IF(N925=1,INDEX('Batasan Honor'!$B$2:$B993,MATCH(CONCATENATE($F925,"-",$G925),'Batasan Honor'!$G$2:$G993,0)),"")</f>
        <v/>
      </c>
      <c r="M925" s="10" t="str">
        <f t="shared" si="5"/>
        <v/>
      </c>
      <c r="N925" s="10" t="str">
        <f t="shared" si="3"/>
        <v/>
      </c>
    </row>
    <row r="926" spans="2:14" ht="12.5">
      <c r="B926" s="5"/>
      <c r="C926" s="5" t="str">
        <f ca="1">IFERROR(__xludf.DUMMYFUNCTION("IF(N926=1,SPLIT(A926,""-""),"""")"),"")</f>
        <v/>
      </c>
      <c r="F926" s="5"/>
      <c r="G926" s="5"/>
      <c r="H926" s="5" t="str">
        <f t="array" ref="H926">IF(N926=1, INDEX('Database Mitra'!$C$2:$C993,MATCH($C926,'Database Mitra'!$AK$2:$AK993,0)),"")</f>
        <v/>
      </c>
      <c r="I926" s="71" t="str">
        <f>IF(N926=1,SUMIFS('Alokasi Honor'!$M$2:$M993,'Alokasi Honor'!$T$2:$T993,A926),"")</f>
        <v/>
      </c>
      <c r="L926" s="10" t="str">
        <f t="array" ref="L926">IF(N926=1,INDEX('Batasan Honor'!$B$2:$B993,MATCH(CONCATENATE($F926,"-",$G926),'Batasan Honor'!$G$2:$G993,0)),"")</f>
        <v/>
      </c>
      <c r="M926" s="10" t="str">
        <f t="shared" si="5"/>
        <v/>
      </c>
      <c r="N926" s="10" t="str">
        <f t="shared" si="3"/>
        <v/>
      </c>
    </row>
    <row r="927" spans="2:14" ht="12.5">
      <c r="B927" s="5"/>
      <c r="C927" s="5" t="str">
        <f ca="1">IFERROR(__xludf.DUMMYFUNCTION("IF(N927=1,SPLIT(A927,""-""),"""")"),"")</f>
        <v/>
      </c>
      <c r="F927" s="5"/>
      <c r="G927" s="5"/>
      <c r="H927" s="5" t="str">
        <f t="array" ref="H927">IF(N927=1, INDEX('Database Mitra'!$C$2:$C993,MATCH($C927,'Database Mitra'!$AK$2:$AK993,0)),"")</f>
        <v/>
      </c>
      <c r="I927" s="71" t="str">
        <f>IF(N927=1,SUMIFS('Alokasi Honor'!$M$2:$M993,'Alokasi Honor'!$T$2:$T993,A927),"")</f>
        <v/>
      </c>
      <c r="L927" s="10" t="str">
        <f t="array" ref="L927">IF(N927=1,INDEX('Batasan Honor'!$B$2:$B993,MATCH(CONCATENATE($F927,"-",$G927),'Batasan Honor'!$G$2:$G993,0)),"")</f>
        <v/>
      </c>
      <c r="M927" s="10" t="str">
        <f t="shared" si="5"/>
        <v/>
      </c>
      <c r="N927" s="10" t="str">
        <f t="shared" si="3"/>
        <v/>
      </c>
    </row>
    <row r="928" spans="2:14" ht="12.5">
      <c r="B928" s="5"/>
      <c r="C928" s="5" t="str">
        <f ca="1">IFERROR(__xludf.DUMMYFUNCTION("IF(N928=1,SPLIT(A928,""-""),"""")"),"")</f>
        <v/>
      </c>
      <c r="F928" s="5"/>
      <c r="G928" s="5"/>
      <c r="H928" s="5" t="str">
        <f t="array" ref="H928">IF(N928=1, INDEX('Database Mitra'!$C$2:$C993,MATCH($C928,'Database Mitra'!$AK$2:$AK993,0)),"")</f>
        <v/>
      </c>
      <c r="I928" s="71" t="str">
        <f>IF(N928=1,SUMIFS('Alokasi Honor'!$M$2:$M993,'Alokasi Honor'!$T$2:$T993,A928),"")</f>
        <v/>
      </c>
      <c r="L928" s="10" t="str">
        <f t="array" ref="L928">IF(N928=1,INDEX('Batasan Honor'!$B$2:$B993,MATCH(CONCATENATE($F928,"-",$G928),'Batasan Honor'!$G$2:$G993,0)),"")</f>
        <v/>
      </c>
      <c r="M928" s="10" t="str">
        <f t="shared" si="5"/>
        <v/>
      </c>
      <c r="N928" s="10" t="str">
        <f t="shared" si="3"/>
        <v/>
      </c>
    </row>
    <row r="929" spans="2:14" ht="12.5">
      <c r="B929" s="5"/>
      <c r="C929" s="5" t="str">
        <f ca="1">IFERROR(__xludf.DUMMYFUNCTION("IF(N929=1,SPLIT(A929,""-""),"""")"),"")</f>
        <v/>
      </c>
      <c r="F929" s="5"/>
      <c r="G929" s="5"/>
      <c r="H929" s="5" t="str">
        <f t="array" ref="H929">IF(N929=1, INDEX('Database Mitra'!$C$2:$C993,MATCH($C929,'Database Mitra'!$AK$2:$AK993,0)),"")</f>
        <v/>
      </c>
      <c r="I929" s="71" t="str">
        <f>IF(N929=1,SUMIFS('Alokasi Honor'!$M$2:$M993,'Alokasi Honor'!$T$2:$T993,A929),"")</f>
        <v/>
      </c>
      <c r="L929" s="10" t="str">
        <f t="array" ref="L929">IF(N929=1,INDEX('Batasan Honor'!$B$2:$B993,MATCH(CONCATENATE($F929,"-",$G929),'Batasan Honor'!$G$2:$G993,0)),"")</f>
        <v/>
      </c>
      <c r="M929" s="10" t="str">
        <f t="shared" si="5"/>
        <v/>
      </c>
      <c r="N929" s="10" t="str">
        <f t="shared" si="3"/>
        <v/>
      </c>
    </row>
    <row r="930" spans="2:14" ht="12.5">
      <c r="B930" s="5"/>
      <c r="C930" s="5" t="str">
        <f ca="1">IFERROR(__xludf.DUMMYFUNCTION("IF(N930=1,SPLIT(A930,""-""),"""")"),"")</f>
        <v/>
      </c>
      <c r="F930" s="5"/>
      <c r="G930" s="5"/>
      <c r="H930" s="5" t="str">
        <f t="array" ref="H930">IF(N930=1, INDEX('Database Mitra'!$C$2:$C993,MATCH($C930,'Database Mitra'!$AK$2:$AK993,0)),"")</f>
        <v/>
      </c>
      <c r="I930" s="71" t="str">
        <f>IF(N930=1,SUMIFS('Alokasi Honor'!$M$2:$M993,'Alokasi Honor'!$T$2:$T993,A930),"")</f>
        <v/>
      </c>
      <c r="L930" s="10" t="str">
        <f t="array" ref="L930">IF(N930=1,INDEX('Batasan Honor'!$B$2:$B993,MATCH(CONCATENATE($F930,"-",$G930),'Batasan Honor'!$G$2:$G993,0)),"")</f>
        <v/>
      </c>
      <c r="M930" s="10" t="str">
        <f t="shared" si="5"/>
        <v/>
      </c>
      <c r="N930" s="10" t="str">
        <f t="shared" si="3"/>
        <v/>
      </c>
    </row>
    <row r="931" spans="2:14" ht="12.5">
      <c r="B931" s="5"/>
      <c r="C931" s="5" t="str">
        <f ca="1">IFERROR(__xludf.DUMMYFUNCTION("IF(N931=1,SPLIT(A931,""-""),"""")"),"")</f>
        <v/>
      </c>
      <c r="F931" s="5"/>
      <c r="G931" s="5"/>
      <c r="H931" s="5" t="str">
        <f t="array" ref="H931">IF(N931=1, INDEX('Database Mitra'!$C$2:$C993,MATCH($C931,'Database Mitra'!$AK$2:$AK993,0)),"")</f>
        <v/>
      </c>
      <c r="I931" s="71" t="str">
        <f>IF(N931=1,SUMIFS('Alokasi Honor'!$M$2:$M993,'Alokasi Honor'!$T$2:$T993,A931),"")</f>
        <v/>
      </c>
      <c r="L931" s="10" t="str">
        <f t="array" ref="L931">IF(N931=1,INDEX('Batasan Honor'!$B$2:$B993,MATCH(CONCATENATE($F931,"-",$G931),'Batasan Honor'!$G$2:$G993,0)),"")</f>
        <v/>
      </c>
      <c r="M931" s="10" t="str">
        <f t="shared" si="5"/>
        <v/>
      </c>
      <c r="N931" s="10" t="str">
        <f t="shared" si="3"/>
        <v/>
      </c>
    </row>
    <row r="932" spans="2:14" ht="12.5">
      <c r="B932" s="5"/>
      <c r="C932" s="5" t="str">
        <f ca="1">IFERROR(__xludf.DUMMYFUNCTION("IF(N932=1,SPLIT(A932,""-""),"""")"),"")</f>
        <v/>
      </c>
      <c r="F932" s="5"/>
      <c r="G932" s="5"/>
      <c r="H932" s="5" t="str">
        <f t="array" ref="H932">IF(N932=1, INDEX('Database Mitra'!$C$2:$C993,MATCH($C932,'Database Mitra'!$AK$2:$AK993,0)),"")</f>
        <v/>
      </c>
      <c r="I932" s="71" t="str">
        <f>IF(N932=1,SUMIFS('Alokasi Honor'!$M$2:$M993,'Alokasi Honor'!$T$2:$T993,A932),"")</f>
        <v/>
      </c>
      <c r="L932" s="10" t="str">
        <f t="array" ref="L932">IF(N932=1,INDEX('Batasan Honor'!$B$2:$B993,MATCH(CONCATENATE($F932,"-",$G932),'Batasan Honor'!$G$2:$G993,0)),"")</f>
        <v/>
      </c>
      <c r="M932" s="10" t="str">
        <f t="shared" si="5"/>
        <v/>
      </c>
      <c r="N932" s="10" t="str">
        <f t="shared" si="3"/>
        <v/>
      </c>
    </row>
    <row r="933" spans="2:14" ht="12.5">
      <c r="B933" s="5"/>
      <c r="C933" s="5" t="str">
        <f ca="1">IFERROR(__xludf.DUMMYFUNCTION("IF(N933=1,SPLIT(A933,""-""),"""")"),"")</f>
        <v/>
      </c>
      <c r="F933" s="5"/>
      <c r="G933" s="5"/>
      <c r="H933" s="5" t="str">
        <f t="array" ref="H933">IF(N933=1, INDEX('Database Mitra'!$C$2:$C993,MATCH($C933,'Database Mitra'!$AK$2:$AK993,0)),"")</f>
        <v/>
      </c>
      <c r="I933" s="71" t="str">
        <f>IF(N933=1,SUMIFS('Alokasi Honor'!$M$2:$M993,'Alokasi Honor'!$T$2:$T993,A933),"")</f>
        <v/>
      </c>
      <c r="L933" s="10" t="str">
        <f t="array" ref="L933">IF(N933=1,INDEX('Batasan Honor'!$B$2:$B993,MATCH(CONCATENATE($F933,"-",$G933),'Batasan Honor'!$G$2:$G993,0)),"")</f>
        <v/>
      </c>
      <c r="M933" s="10" t="str">
        <f t="shared" si="5"/>
        <v/>
      </c>
      <c r="N933" s="10" t="str">
        <f t="shared" si="3"/>
        <v/>
      </c>
    </row>
    <row r="934" spans="2:14" ht="12.5">
      <c r="B934" s="5"/>
      <c r="C934" s="5" t="str">
        <f ca="1">IFERROR(__xludf.DUMMYFUNCTION("IF(N934=1,SPLIT(A934,""-""),"""")"),"")</f>
        <v/>
      </c>
      <c r="F934" s="5"/>
      <c r="G934" s="5"/>
      <c r="H934" s="5" t="str">
        <f t="array" ref="H934">IF(N934=1, INDEX('Database Mitra'!$C$2:$C993,MATCH($C934,'Database Mitra'!$AK$2:$AK993,0)),"")</f>
        <v/>
      </c>
      <c r="I934" s="71" t="str">
        <f>IF(N934=1,SUMIFS('Alokasi Honor'!$M$2:$M993,'Alokasi Honor'!$T$2:$T993,A934),"")</f>
        <v/>
      </c>
      <c r="L934" s="10" t="str">
        <f t="array" ref="L934">IF(N934=1,INDEX('Batasan Honor'!$B$2:$B993,MATCH(CONCATENATE($F934,"-",$G934),'Batasan Honor'!$G$2:$G993,0)),"")</f>
        <v/>
      </c>
      <c r="M934" s="10" t="str">
        <f t="shared" si="5"/>
        <v/>
      </c>
      <c r="N934" s="10" t="str">
        <f t="shared" si="3"/>
        <v/>
      </c>
    </row>
    <row r="935" spans="2:14" ht="12.5">
      <c r="B935" s="5"/>
      <c r="C935" s="5" t="str">
        <f ca="1">IFERROR(__xludf.DUMMYFUNCTION("IF(N935=1,SPLIT(A935,""-""),"""")"),"")</f>
        <v/>
      </c>
      <c r="F935" s="5"/>
      <c r="G935" s="5"/>
      <c r="H935" s="5" t="str">
        <f t="array" ref="H935">IF(N935=1, INDEX('Database Mitra'!$C$2:$C993,MATCH($C935,'Database Mitra'!$AK$2:$AK993,0)),"")</f>
        <v/>
      </c>
      <c r="I935" s="71" t="str">
        <f>IF(N935=1,SUMIFS('Alokasi Honor'!$M$2:$M993,'Alokasi Honor'!$T$2:$T993,A935),"")</f>
        <v/>
      </c>
      <c r="L935" s="10" t="str">
        <f t="array" ref="L935">IF(N935=1,INDEX('Batasan Honor'!$B$2:$B993,MATCH(CONCATENATE($F935,"-",$G935),'Batasan Honor'!$G$2:$G993,0)),"")</f>
        <v/>
      </c>
      <c r="M935" s="10" t="str">
        <f t="shared" si="5"/>
        <v/>
      </c>
      <c r="N935" s="10" t="str">
        <f t="shared" si="3"/>
        <v/>
      </c>
    </row>
    <row r="936" spans="2:14" ht="12.5">
      <c r="B936" s="5"/>
      <c r="C936" s="5" t="str">
        <f ca="1">IFERROR(__xludf.DUMMYFUNCTION("IF(N936=1,SPLIT(A936,""-""),"""")"),"")</f>
        <v/>
      </c>
      <c r="F936" s="5"/>
      <c r="G936" s="5"/>
      <c r="H936" s="5" t="str">
        <f t="array" ref="H936">IF(N936=1, INDEX('Database Mitra'!$C$2:$C993,MATCH($C936,'Database Mitra'!$AK$2:$AK993,0)),"")</f>
        <v/>
      </c>
      <c r="I936" s="71" t="str">
        <f>IF(N936=1,SUMIFS('Alokasi Honor'!$M$2:$M993,'Alokasi Honor'!$T$2:$T993,A936),"")</f>
        <v/>
      </c>
      <c r="L936" s="10" t="str">
        <f t="array" ref="L936">IF(N936=1,INDEX('Batasan Honor'!$B$2:$B993,MATCH(CONCATENATE($F936,"-",$G936),'Batasan Honor'!$G$2:$G993,0)),"")</f>
        <v/>
      </c>
      <c r="M936" s="10" t="str">
        <f t="shared" si="5"/>
        <v/>
      </c>
      <c r="N936" s="10" t="str">
        <f t="shared" si="3"/>
        <v/>
      </c>
    </row>
    <row r="937" spans="2:14" ht="12.5">
      <c r="B937" s="5"/>
      <c r="C937" s="5" t="str">
        <f ca="1">IFERROR(__xludf.DUMMYFUNCTION("IF(N937=1,SPLIT(A937,""-""),"""")"),"")</f>
        <v/>
      </c>
      <c r="F937" s="5"/>
      <c r="G937" s="5"/>
      <c r="H937" s="5" t="str">
        <f t="array" ref="H937">IF(N937=1, INDEX('Database Mitra'!$C$2:$C993,MATCH($C937,'Database Mitra'!$AK$2:$AK993,0)),"")</f>
        <v/>
      </c>
      <c r="I937" s="71" t="str">
        <f>IF(N937=1,SUMIFS('Alokasi Honor'!$M$2:$M993,'Alokasi Honor'!$T$2:$T993,A937),"")</f>
        <v/>
      </c>
      <c r="L937" s="10" t="str">
        <f t="array" ref="L937">IF(N937=1,INDEX('Batasan Honor'!$B$2:$B993,MATCH(CONCATENATE($F937,"-",$G937),'Batasan Honor'!$G$2:$G993,0)),"")</f>
        <v/>
      </c>
      <c r="M937" s="10" t="str">
        <f t="shared" si="5"/>
        <v/>
      </c>
      <c r="N937" s="10" t="str">
        <f t="shared" si="3"/>
        <v/>
      </c>
    </row>
    <row r="938" spans="2:14" ht="12.5">
      <c r="B938" s="5"/>
      <c r="C938" s="5" t="str">
        <f ca="1">IFERROR(__xludf.DUMMYFUNCTION("IF(N938=1,SPLIT(A938,""-""),"""")"),"")</f>
        <v/>
      </c>
      <c r="F938" s="5"/>
      <c r="G938" s="5"/>
      <c r="H938" s="5" t="str">
        <f t="array" ref="H938">IF(N938=1, INDEX('Database Mitra'!$C$2:$C993,MATCH($C938,'Database Mitra'!$AK$2:$AK993,0)),"")</f>
        <v/>
      </c>
      <c r="I938" s="71" t="str">
        <f>IF(N938=1,SUMIFS('Alokasi Honor'!$M$2:$M993,'Alokasi Honor'!$T$2:$T993,A938),"")</f>
        <v/>
      </c>
      <c r="L938" s="10" t="str">
        <f t="array" ref="L938">IF(N938=1,INDEX('Batasan Honor'!$B$2:$B993,MATCH(CONCATENATE($F938,"-",$G938),'Batasan Honor'!$G$2:$G993,0)),"")</f>
        <v/>
      </c>
      <c r="M938" s="10" t="str">
        <f t="shared" si="5"/>
        <v/>
      </c>
      <c r="N938" s="10" t="str">
        <f t="shared" si="3"/>
        <v/>
      </c>
    </row>
    <row r="939" spans="2:14" ht="12.5">
      <c r="B939" s="5"/>
      <c r="C939" s="5" t="str">
        <f ca="1">IFERROR(__xludf.DUMMYFUNCTION("IF(N939=1,SPLIT(A939,""-""),"""")"),"")</f>
        <v/>
      </c>
      <c r="F939" s="5"/>
      <c r="G939" s="5"/>
      <c r="H939" s="5" t="str">
        <f t="array" ref="H939">IF(N939=1, INDEX('Database Mitra'!$C$2:$C993,MATCH($C939,'Database Mitra'!$AK$2:$AK993,0)),"")</f>
        <v/>
      </c>
      <c r="I939" s="71" t="str">
        <f>IF(N939=1,SUMIFS('Alokasi Honor'!$M$2:$M993,'Alokasi Honor'!$T$2:$T993,A939),"")</f>
        <v/>
      </c>
      <c r="L939" s="10" t="str">
        <f t="array" ref="L939">IF(N939=1,INDEX('Batasan Honor'!$B$2:$B993,MATCH(CONCATENATE($F939,"-",$G939),'Batasan Honor'!$G$2:$G993,0)),"")</f>
        <v/>
      </c>
      <c r="M939" s="10" t="str">
        <f t="shared" si="5"/>
        <v/>
      </c>
      <c r="N939" s="10" t="str">
        <f t="shared" si="3"/>
        <v/>
      </c>
    </row>
    <row r="940" spans="2:14" ht="12.5">
      <c r="B940" s="5"/>
      <c r="C940" s="5" t="str">
        <f ca="1">IFERROR(__xludf.DUMMYFUNCTION("IF(N940=1,SPLIT(A940,""-""),"""")"),"")</f>
        <v/>
      </c>
      <c r="F940" s="5"/>
      <c r="G940" s="5"/>
      <c r="H940" s="5" t="str">
        <f t="array" ref="H940">IF(N940=1, INDEX('Database Mitra'!$C$2:$C993,MATCH($C940,'Database Mitra'!$AK$2:$AK993,0)),"")</f>
        <v/>
      </c>
      <c r="I940" s="71" t="str">
        <f>IF(N940=1,SUMIFS('Alokasi Honor'!$M$2:$M993,'Alokasi Honor'!$T$2:$T993,A940),"")</f>
        <v/>
      </c>
      <c r="L940" s="10" t="str">
        <f t="array" ref="L940">IF(N940=1,INDEX('Batasan Honor'!$B$2:$B993,MATCH(CONCATENATE($F940,"-",$G940),'Batasan Honor'!$G$2:$G993,0)),"")</f>
        <v/>
      </c>
      <c r="M940" s="10" t="str">
        <f t="shared" si="5"/>
        <v/>
      </c>
      <c r="N940" s="10" t="str">
        <f t="shared" si="3"/>
        <v/>
      </c>
    </row>
    <row r="941" spans="2:14" ht="12.5">
      <c r="B941" s="5"/>
      <c r="C941" s="5" t="str">
        <f ca="1">IFERROR(__xludf.DUMMYFUNCTION("IF(N941=1,SPLIT(A941,""-""),"""")"),"")</f>
        <v/>
      </c>
      <c r="F941" s="5"/>
      <c r="G941" s="5"/>
      <c r="H941" s="5" t="str">
        <f t="array" ref="H941">IF(N941=1, INDEX('Database Mitra'!$C$2:$C993,MATCH($C941,'Database Mitra'!$AK$2:$AK993,0)),"")</f>
        <v/>
      </c>
      <c r="I941" s="71" t="str">
        <f>IF(N941=1,SUMIFS('Alokasi Honor'!$M$2:$M993,'Alokasi Honor'!$T$2:$T993,A941),"")</f>
        <v/>
      </c>
      <c r="L941" s="10" t="str">
        <f t="array" ref="L941">IF(N941=1,INDEX('Batasan Honor'!$B$2:$B993,MATCH(CONCATENATE($F941,"-",$G941),'Batasan Honor'!$G$2:$G993,0)),"")</f>
        <v/>
      </c>
      <c r="M941" s="10" t="str">
        <f t="shared" si="5"/>
        <v/>
      </c>
      <c r="N941" s="10" t="str">
        <f t="shared" si="3"/>
        <v/>
      </c>
    </row>
    <row r="942" spans="2:14" ht="12.5">
      <c r="B942" s="5"/>
      <c r="C942" s="5" t="str">
        <f ca="1">IFERROR(__xludf.DUMMYFUNCTION("IF(N942=1,SPLIT(A942,""-""),"""")"),"")</f>
        <v/>
      </c>
      <c r="F942" s="5"/>
      <c r="G942" s="5"/>
      <c r="H942" s="5" t="str">
        <f t="array" ref="H942">IF(N942=1, INDEX('Database Mitra'!$C$2:$C993,MATCH($C942,'Database Mitra'!$AK$2:$AK993,0)),"")</f>
        <v/>
      </c>
      <c r="I942" s="71" t="str">
        <f>IF(N942=1,SUMIFS('Alokasi Honor'!$M$2:$M993,'Alokasi Honor'!$T$2:$T993,A942),"")</f>
        <v/>
      </c>
      <c r="L942" s="10" t="str">
        <f t="array" ref="L942">IF(N942=1,INDEX('Batasan Honor'!$B$2:$B993,MATCH(CONCATENATE($F942,"-",$G942),'Batasan Honor'!$G$2:$G993,0)),"")</f>
        <v/>
      </c>
      <c r="M942" s="10" t="str">
        <f t="shared" si="5"/>
        <v/>
      </c>
      <c r="N942" s="10" t="str">
        <f t="shared" si="3"/>
        <v/>
      </c>
    </row>
    <row r="943" spans="2:14" ht="12.5">
      <c r="B943" s="5"/>
      <c r="C943" s="5" t="str">
        <f ca="1">IFERROR(__xludf.DUMMYFUNCTION("IF(N943=1,SPLIT(A943,""-""),"""")"),"")</f>
        <v/>
      </c>
      <c r="F943" s="5"/>
      <c r="G943" s="5"/>
      <c r="H943" s="5" t="str">
        <f t="array" ref="H943">IF(N943=1, INDEX('Database Mitra'!$C$2:$C993,MATCH($C943,'Database Mitra'!$AK$2:$AK993,0)),"")</f>
        <v/>
      </c>
      <c r="I943" s="71" t="str">
        <f>IF(N943=1,SUMIFS('Alokasi Honor'!$M$2:$M993,'Alokasi Honor'!$T$2:$T993,A943),"")</f>
        <v/>
      </c>
      <c r="L943" s="10" t="str">
        <f t="array" ref="L943">IF(N943=1,INDEX('Batasan Honor'!$B$2:$B993,MATCH(CONCATENATE($F943,"-",$G943),'Batasan Honor'!$G$2:$G993,0)),"")</f>
        <v/>
      </c>
      <c r="M943" s="10" t="str">
        <f t="shared" si="5"/>
        <v/>
      </c>
      <c r="N943" s="10" t="str">
        <f t="shared" si="3"/>
        <v/>
      </c>
    </row>
    <row r="944" spans="2:14" ht="12.5">
      <c r="B944" s="5"/>
      <c r="C944" s="5" t="str">
        <f ca="1">IFERROR(__xludf.DUMMYFUNCTION("IF(N944=1,SPLIT(A944,""-""),"""")"),"")</f>
        <v/>
      </c>
      <c r="F944" s="5"/>
      <c r="G944" s="5"/>
      <c r="H944" s="5" t="str">
        <f t="array" ref="H944">IF(N944=1, INDEX('Database Mitra'!$C$2:$C993,MATCH($C944,'Database Mitra'!$AK$2:$AK993,0)),"")</f>
        <v/>
      </c>
      <c r="I944" s="71" t="str">
        <f>IF(N944=1,SUMIFS('Alokasi Honor'!$M$2:$M993,'Alokasi Honor'!$T$2:$T993,A944),"")</f>
        <v/>
      </c>
      <c r="L944" s="10" t="str">
        <f t="array" ref="L944">IF(N944=1,INDEX('Batasan Honor'!$B$2:$B993,MATCH(CONCATENATE($F944,"-",$G944),'Batasan Honor'!$G$2:$G993,0)),"")</f>
        <v/>
      </c>
      <c r="M944" s="10" t="str">
        <f t="shared" si="5"/>
        <v/>
      </c>
      <c r="N944" s="10" t="str">
        <f t="shared" si="3"/>
        <v/>
      </c>
    </row>
    <row r="945" spans="2:14" ht="12.5">
      <c r="B945" s="5"/>
      <c r="C945" s="5" t="str">
        <f ca="1">IFERROR(__xludf.DUMMYFUNCTION("IF(N945=1,SPLIT(A945,""-""),"""")"),"")</f>
        <v/>
      </c>
      <c r="F945" s="5"/>
      <c r="G945" s="5"/>
      <c r="H945" s="5" t="str">
        <f t="array" ref="H945">IF(N945=1, INDEX('Database Mitra'!$C$2:$C993,MATCH($C945,'Database Mitra'!$AK$2:$AK993,0)),"")</f>
        <v/>
      </c>
      <c r="I945" s="71" t="str">
        <f>IF(N945=1,SUMIFS('Alokasi Honor'!$M$2:$M993,'Alokasi Honor'!$T$2:$T993,A945),"")</f>
        <v/>
      </c>
      <c r="L945" s="10" t="str">
        <f t="array" ref="L945">IF(N945=1,INDEX('Batasan Honor'!$B$2:$B993,MATCH(CONCATENATE($F945,"-",$G945),'Batasan Honor'!$G$2:$G993,0)),"")</f>
        <v/>
      </c>
      <c r="M945" s="10" t="str">
        <f t="shared" si="5"/>
        <v/>
      </c>
      <c r="N945" s="10" t="str">
        <f t="shared" si="3"/>
        <v/>
      </c>
    </row>
    <row r="946" spans="2:14" ht="12.5">
      <c r="B946" s="5"/>
      <c r="C946" s="5" t="str">
        <f ca="1">IFERROR(__xludf.DUMMYFUNCTION("IF(N946=1,SPLIT(A946,""-""),"""")"),"")</f>
        <v/>
      </c>
      <c r="F946" s="5"/>
      <c r="G946" s="5"/>
      <c r="H946" s="5" t="str">
        <f t="array" ref="H946">IF(N946=1, INDEX('Database Mitra'!$C$2:$C993,MATCH($C946,'Database Mitra'!$AK$2:$AK993,0)),"")</f>
        <v/>
      </c>
      <c r="I946" s="71" t="str">
        <f>IF(N946=1,SUMIFS('Alokasi Honor'!$M$2:$M993,'Alokasi Honor'!$T$2:$T993,A946),"")</f>
        <v/>
      </c>
      <c r="L946" s="10" t="str">
        <f t="array" ref="L946">IF(N946=1,INDEX('Batasan Honor'!$B$2:$B993,MATCH(CONCATENATE($F946,"-",$G946),'Batasan Honor'!$G$2:$G993,0)),"")</f>
        <v/>
      </c>
      <c r="M946" s="10" t="str">
        <f t="shared" si="5"/>
        <v/>
      </c>
      <c r="N946" s="10" t="str">
        <f t="shared" si="3"/>
        <v/>
      </c>
    </row>
    <row r="947" spans="2:14" ht="12.5">
      <c r="B947" s="5"/>
      <c r="C947" s="5" t="str">
        <f ca="1">IFERROR(__xludf.DUMMYFUNCTION("IF(N947=1,SPLIT(A947,""-""),"""")"),"")</f>
        <v/>
      </c>
      <c r="F947" s="5"/>
      <c r="G947" s="5"/>
      <c r="H947" s="5" t="str">
        <f t="array" ref="H947">IF(N947=1, INDEX('Database Mitra'!$C$2:$C993,MATCH($C947,'Database Mitra'!$AK$2:$AK993,0)),"")</f>
        <v/>
      </c>
      <c r="I947" s="71" t="str">
        <f>IF(N947=1,SUMIFS('Alokasi Honor'!$M$2:$M993,'Alokasi Honor'!$T$2:$T993,A947),"")</f>
        <v/>
      </c>
      <c r="L947" s="10" t="str">
        <f t="array" ref="L947">IF(N947=1,INDEX('Batasan Honor'!$B$2:$B993,MATCH(CONCATENATE($F947,"-",$G947),'Batasan Honor'!$G$2:$G993,0)),"")</f>
        <v/>
      </c>
      <c r="M947" s="10" t="str">
        <f t="shared" si="5"/>
        <v/>
      </c>
      <c r="N947" s="10" t="str">
        <f t="shared" si="3"/>
        <v/>
      </c>
    </row>
    <row r="948" spans="2:14" ht="12.5">
      <c r="B948" s="5"/>
      <c r="C948" s="5" t="str">
        <f ca="1">IFERROR(__xludf.DUMMYFUNCTION("IF(N948=1,SPLIT(A948,""-""),"""")"),"")</f>
        <v/>
      </c>
      <c r="F948" s="5"/>
      <c r="G948" s="5"/>
      <c r="H948" s="5" t="str">
        <f t="array" ref="H948">IF(N948=1, INDEX('Database Mitra'!$C$2:$C993,MATCH($C948,'Database Mitra'!$AK$2:$AK993,0)),"")</f>
        <v/>
      </c>
      <c r="I948" s="71" t="str">
        <f>IF(N948=1,SUMIFS('Alokasi Honor'!$M$2:$M993,'Alokasi Honor'!$T$2:$T993,A948),"")</f>
        <v/>
      </c>
      <c r="L948" s="10" t="str">
        <f t="array" ref="L948">IF(N948=1,INDEX('Batasan Honor'!$B$2:$B993,MATCH(CONCATENATE($F948,"-",$G948),'Batasan Honor'!$G$2:$G993,0)),"")</f>
        <v/>
      </c>
      <c r="M948" s="10" t="str">
        <f t="shared" si="5"/>
        <v/>
      </c>
      <c r="N948" s="10" t="str">
        <f t="shared" si="3"/>
        <v/>
      </c>
    </row>
    <row r="949" spans="2:14" ht="12.5">
      <c r="B949" s="5"/>
      <c r="C949" s="5" t="str">
        <f ca="1">IFERROR(__xludf.DUMMYFUNCTION("IF(N949=1,SPLIT(A949,""-""),"""")"),"")</f>
        <v/>
      </c>
      <c r="F949" s="5"/>
      <c r="G949" s="5"/>
      <c r="H949" s="5" t="str">
        <f t="array" ref="H949">IF(N949=1, INDEX('Database Mitra'!$C$2:$C993,MATCH($C949,'Database Mitra'!$AK$2:$AK993,0)),"")</f>
        <v/>
      </c>
      <c r="I949" s="71" t="str">
        <f>IF(N949=1,SUMIFS('Alokasi Honor'!$M$2:$M993,'Alokasi Honor'!$T$2:$T993,A949),"")</f>
        <v/>
      </c>
      <c r="L949" s="10" t="str">
        <f t="array" ref="L949">IF(N949=1,INDEX('Batasan Honor'!$B$2:$B993,MATCH(CONCATENATE($F949,"-",$G949),'Batasan Honor'!$G$2:$G993,0)),"")</f>
        <v/>
      </c>
      <c r="M949" s="10" t="str">
        <f t="shared" si="5"/>
        <v/>
      </c>
      <c r="N949" s="10" t="str">
        <f t="shared" si="3"/>
        <v/>
      </c>
    </row>
    <row r="950" spans="2:14" ht="12.5">
      <c r="B950" s="5"/>
      <c r="C950" s="5" t="str">
        <f ca="1">IFERROR(__xludf.DUMMYFUNCTION("IF(N950=1,SPLIT(A950,""-""),"""")"),"")</f>
        <v/>
      </c>
      <c r="F950" s="5"/>
      <c r="G950" s="5"/>
      <c r="H950" s="5" t="str">
        <f t="array" ref="H950">IF(N950=1, INDEX('Database Mitra'!$C$2:$C993,MATCH($C950,'Database Mitra'!$AK$2:$AK993,0)),"")</f>
        <v/>
      </c>
      <c r="I950" s="71" t="str">
        <f>IF(N950=1,SUMIFS('Alokasi Honor'!$M$2:$M993,'Alokasi Honor'!$T$2:$T993,A950),"")</f>
        <v/>
      </c>
      <c r="L950" s="10" t="str">
        <f t="array" ref="L950">IF(N950=1,INDEX('Batasan Honor'!$B$2:$B993,MATCH(CONCATENATE($F950,"-",$G950),'Batasan Honor'!$G$2:$G993,0)),"")</f>
        <v/>
      </c>
      <c r="M950" s="10" t="str">
        <f t="shared" si="5"/>
        <v/>
      </c>
      <c r="N950" s="10" t="str">
        <f t="shared" si="3"/>
        <v/>
      </c>
    </row>
    <row r="951" spans="2:14" ht="12.5">
      <c r="B951" s="5"/>
      <c r="C951" s="5" t="str">
        <f ca="1">IFERROR(__xludf.DUMMYFUNCTION("IF(N951=1,SPLIT(A951,""-""),"""")"),"")</f>
        <v/>
      </c>
      <c r="F951" s="5"/>
      <c r="G951" s="5"/>
      <c r="H951" s="5" t="str">
        <f t="array" ref="H951">IF(N951=1, INDEX('Database Mitra'!$C$2:$C993,MATCH($C951,'Database Mitra'!$AK$2:$AK993,0)),"")</f>
        <v/>
      </c>
      <c r="I951" s="71" t="str">
        <f>IF(N951=1,SUMIFS('Alokasi Honor'!$M$2:$M993,'Alokasi Honor'!$T$2:$T993,A951),"")</f>
        <v/>
      </c>
      <c r="L951" s="10" t="str">
        <f t="array" ref="L951">IF(N951=1,INDEX('Batasan Honor'!$B$2:$B993,MATCH(CONCATENATE($F951,"-",$G951),'Batasan Honor'!$G$2:$G993,0)),"")</f>
        <v/>
      </c>
      <c r="M951" s="10" t="str">
        <f t="shared" si="5"/>
        <v/>
      </c>
      <c r="N951" s="10" t="str">
        <f t="shared" si="3"/>
        <v/>
      </c>
    </row>
    <row r="952" spans="2:14" ht="12.5">
      <c r="B952" s="5"/>
      <c r="C952" s="5" t="str">
        <f ca="1">IFERROR(__xludf.DUMMYFUNCTION("IF(N952=1,SPLIT(A952,""-""),"""")"),"")</f>
        <v/>
      </c>
      <c r="F952" s="5"/>
      <c r="G952" s="5"/>
      <c r="H952" s="5" t="str">
        <f t="array" ref="H952">IF(N952=1, INDEX('Database Mitra'!$C$2:$C993,MATCH($C952,'Database Mitra'!$AK$2:$AK993,0)),"")</f>
        <v/>
      </c>
      <c r="I952" s="71" t="str">
        <f>IF(N952=1,SUMIFS('Alokasi Honor'!$M$2:$M993,'Alokasi Honor'!$T$2:$T993,A952),"")</f>
        <v/>
      </c>
      <c r="L952" s="10" t="str">
        <f t="array" ref="L952">IF(N952=1,INDEX('Batasan Honor'!$B$2:$B993,MATCH(CONCATENATE($F952,"-",$G952),'Batasan Honor'!$G$2:$G993,0)),"")</f>
        <v/>
      </c>
      <c r="M952" s="10" t="str">
        <f t="shared" si="5"/>
        <v/>
      </c>
      <c r="N952" s="10" t="str">
        <f t="shared" si="3"/>
        <v/>
      </c>
    </row>
    <row r="953" spans="2:14" ht="12.5">
      <c r="B953" s="5"/>
      <c r="C953" s="5" t="str">
        <f ca="1">IFERROR(__xludf.DUMMYFUNCTION("IF(N953=1,SPLIT(A953,""-""),"""")"),"")</f>
        <v/>
      </c>
      <c r="F953" s="5"/>
      <c r="G953" s="5"/>
      <c r="H953" s="5" t="str">
        <f t="array" ref="H953">IF(N953=1, INDEX('Database Mitra'!$C$2:$C993,MATCH($C953,'Database Mitra'!$AK$2:$AK993,0)),"")</f>
        <v/>
      </c>
      <c r="I953" s="71" t="str">
        <f>IF(N953=1,SUMIFS('Alokasi Honor'!$M$2:$M993,'Alokasi Honor'!$T$2:$T993,A953),"")</f>
        <v/>
      </c>
      <c r="L953" s="10" t="str">
        <f t="array" ref="L953">IF(N953=1,INDEX('Batasan Honor'!$B$2:$B993,MATCH(CONCATENATE($F953,"-",$G953),'Batasan Honor'!$G$2:$G993,0)),"")</f>
        <v/>
      </c>
      <c r="M953" s="10" t="str">
        <f t="shared" si="5"/>
        <v/>
      </c>
      <c r="N953" s="10" t="str">
        <f t="shared" si="3"/>
        <v/>
      </c>
    </row>
    <row r="954" spans="2:14" ht="12.5">
      <c r="B954" s="5"/>
      <c r="C954" s="5" t="str">
        <f ca="1">IFERROR(__xludf.DUMMYFUNCTION("IF(N954=1,SPLIT(A954,""-""),"""")"),"")</f>
        <v/>
      </c>
      <c r="F954" s="5"/>
      <c r="G954" s="5"/>
      <c r="H954" s="5" t="str">
        <f t="array" ref="H954">IF(N954=1, INDEX('Database Mitra'!$C$2:$C993,MATCH($C954,'Database Mitra'!$AK$2:$AK993,0)),"")</f>
        <v/>
      </c>
      <c r="I954" s="71" t="str">
        <f>IF(N954=1,SUMIFS('Alokasi Honor'!$M$2:$M993,'Alokasi Honor'!$T$2:$T993,A954),"")</f>
        <v/>
      </c>
      <c r="L954" s="10" t="str">
        <f t="array" ref="L954">IF(N954=1,INDEX('Batasan Honor'!$B$2:$B993,MATCH(CONCATENATE($F954,"-",$G954),'Batasan Honor'!$G$2:$G993,0)),"")</f>
        <v/>
      </c>
      <c r="M954" s="10" t="str">
        <f t="shared" si="5"/>
        <v/>
      </c>
      <c r="N954" s="10" t="str">
        <f t="shared" si="3"/>
        <v/>
      </c>
    </row>
    <row r="955" spans="2:14" ht="12.5">
      <c r="B955" s="5"/>
      <c r="C955" s="5" t="str">
        <f ca="1">IFERROR(__xludf.DUMMYFUNCTION("IF(N955=1,SPLIT(A955,""-""),"""")"),"")</f>
        <v/>
      </c>
      <c r="F955" s="5"/>
      <c r="G955" s="5"/>
      <c r="H955" s="5" t="str">
        <f t="array" ref="H955">IF(N955=1, INDEX('Database Mitra'!$C$2:$C993,MATCH($C955,'Database Mitra'!$AK$2:$AK993,0)),"")</f>
        <v/>
      </c>
      <c r="I955" s="71" t="str">
        <f>IF(N955=1,SUMIFS('Alokasi Honor'!$M$2:$M993,'Alokasi Honor'!$T$2:$T993,A955),"")</f>
        <v/>
      </c>
      <c r="L955" s="10" t="str">
        <f t="array" ref="L955">IF(N955=1,INDEX('Batasan Honor'!$B$2:$B993,MATCH(CONCATENATE($F955,"-",$G955),'Batasan Honor'!$G$2:$G993,0)),"")</f>
        <v/>
      </c>
      <c r="M955" s="10" t="str">
        <f t="shared" si="5"/>
        <v/>
      </c>
      <c r="N955" s="10" t="str">
        <f t="shared" si="3"/>
        <v/>
      </c>
    </row>
    <row r="956" spans="2:14" ht="12.5">
      <c r="B956" s="5"/>
      <c r="C956" s="5" t="str">
        <f ca="1">IFERROR(__xludf.DUMMYFUNCTION("IF(N956=1,SPLIT(A956,""-""),"""")"),"")</f>
        <v/>
      </c>
      <c r="F956" s="5"/>
      <c r="G956" s="5"/>
      <c r="H956" s="5" t="str">
        <f t="array" ref="H956">IF(N956=1, INDEX('Database Mitra'!$C$2:$C993,MATCH($C956,'Database Mitra'!$AK$2:$AK993,0)),"")</f>
        <v/>
      </c>
      <c r="I956" s="71" t="str">
        <f>IF(N956=1,SUMIFS('Alokasi Honor'!$M$2:$M993,'Alokasi Honor'!$T$2:$T993,A956),"")</f>
        <v/>
      </c>
      <c r="L956" s="10" t="str">
        <f t="array" ref="L956">IF(N956=1,INDEX('Batasan Honor'!$B$2:$B993,MATCH(CONCATENATE($F956,"-",$G956),'Batasan Honor'!$G$2:$G993,0)),"")</f>
        <v/>
      </c>
      <c r="M956" s="10" t="str">
        <f t="shared" si="5"/>
        <v/>
      </c>
      <c r="N956" s="10" t="str">
        <f t="shared" si="3"/>
        <v/>
      </c>
    </row>
    <row r="957" spans="2:14" ht="12.5">
      <c r="B957" s="5"/>
      <c r="C957" s="5" t="str">
        <f ca="1">IFERROR(__xludf.DUMMYFUNCTION("IF(N957=1,SPLIT(A957,""-""),"""")"),"")</f>
        <v/>
      </c>
      <c r="F957" s="5"/>
      <c r="G957" s="5"/>
      <c r="H957" s="5" t="str">
        <f t="array" ref="H957">IF(N957=1, INDEX('Database Mitra'!$C$2:$C993,MATCH($C957,'Database Mitra'!$AK$2:$AK993,0)),"")</f>
        <v/>
      </c>
      <c r="I957" s="71" t="str">
        <f>IF(N957=1,SUMIFS('Alokasi Honor'!$M$2:$M993,'Alokasi Honor'!$T$2:$T993,A957),"")</f>
        <v/>
      </c>
      <c r="L957" s="10" t="str">
        <f t="array" ref="L957">IF(N957=1,INDEX('Batasan Honor'!$B$2:$B993,MATCH(CONCATENATE($F957,"-",$G957),'Batasan Honor'!$G$2:$G993,0)),"")</f>
        <v/>
      </c>
      <c r="M957" s="10" t="str">
        <f t="shared" si="5"/>
        <v/>
      </c>
      <c r="N957" s="10" t="str">
        <f t="shared" si="3"/>
        <v/>
      </c>
    </row>
    <row r="958" spans="2:14" ht="12.5">
      <c r="B958" s="5"/>
      <c r="C958" s="5" t="str">
        <f ca="1">IFERROR(__xludf.DUMMYFUNCTION("IF(N958=1,SPLIT(A958,""-""),"""")"),"")</f>
        <v/>
      </c>
      <c r="F958" s="5"/>
      <c r="G958" s="5"/>
      <c r="H958" s="5" t="str">
        <f t="array" ref="H958">IF(N958=1, INDEX('Database Mitra'!$C$2:$C993,MATCH($C958,'Database Mitra'!$AK$2:$AK993,0)),"")</f>
        <v/>
      </c>
      <c r="I958" s="71" t="str">
        <f>IF(N958=1,SUMIFS('Alokasi Honor'!$M$2:$M993,'Alokasi Honor'!$T$2:$T993,A958),"")</f>
        <v/>
      </c>
      <c r="L958" s="10" t="str">
        <f t="array" ref="L958">IF(N958=1,INDEX('Batasan Honor'!$B$2:$B993,MATCH(CONCATENATE($F958,"-",$G958),'Batasan Honor'!$G$2:$G993,0)),"")</f>
        <v/>
      </c>
      <c r="M958" s="10" t="str">
        <f t="shared" si="5"/>
        <v/>
      </c>
      <c r="N958" s="10" t="str">
        <f t="shared" si="3"/>
        <v/>
      </c>
    </row>
    <row r="959" spans="2:14" ht="12.5">
      <c r="B959" s="5"/>
      <c r="C959" s="5" t="str">
        <f ca="1">IFERROR(__xludf.DUMMYFUNCTION("IF(N959=1,SPLIT(A959,""-""),"""")"),"")</f>
        <v/>
      </c>
      <c r="F959" s="5"/>
      <c r="G959" s="5"/>
      <c r="H959" s="5" t="str">
        <f t="array" ref="H959">IF(N959=1, INDEX('Database Mitra'!$C$2:$C993,MATCH($C959,'Database Mitra'!$AK$2:$AK993,0)),"")</f>
        <v/>
      </c>
      <c r="I959" s="71" t="str">
        <f>IF(N959=1,SUMIFS('Alokasi Honor'!$M$2:$M993,'Alokasi Honor'!$T$2:$T993,A959),"")</f>
        <v/>
      </c>
      <c r="L959" s="10" t="str">
        <f t="array" ref="L959">IF(N959=1,INDEX('Batasan Honor'!$B$2:$B993,MATCH(CONCATENATE($F959,"-",$G959),'Batasan Honor'!$G$2:$G993,0)),"")</f>
        <v/>
      </c>
      <c r="M959" s="10" t="str">
        <f t="shared" si="5"/>
        <v/>
      </c>
      <c r="N959" s="10" t="str">
        <f t="shared" si="3"/>
        <v/>
      </c>
    </row>
    <row r="960" spans="2:14" ht="12.5">
      <c r="B960" s="5"/>
      <c r="C960" s="5" t="str">
        <f ca="1">IFERROR(__xludf.DUMMYFUNCTION("IF(N960=1,SPLIT(A960,""-""),"""")"),"")</f>
        <v/>
      </c>
      <c r="F960" s="5"/>
      <c r="G960" s="5"/>
      <c r="H960" s="5" t="str">
        <f t="array" ref="H960">IF(N960=1, INDEX('Database Mitra'!$C$2:$C993,MATCH($C960,'Database Mitra'!$AK$2:$AK993,0)),"")</f>
        <v/>
      </c>
      <c r="I960" s="71" t="str">
        <f>IF(N960=1,SUMIFS('Alokasi Honor'!$M$2:$M993,'Alokasi Honor'!$T$2:$T993,A960),"")</f>
        <v/>
      </c>
      <c r="L960" s="10" t="str">
        <f t="array" ref="L960">IF(N960=1,INDEX('Batasan Honor'!$B$2:$B993,MATCH(CONCATENATE($F960,"-",$G960),'Batasan Honor'!$G$2:$G993,0)),"")</f>
        <v/>
      </c>
      <c r="M960" s="10" t="str">
        <f t="shared" si="5"/>
        <v/>
      </c>
      <c r="N960" s="10" t="str">
        <f t="shared" si="3"/>
        <v/>
      </c>
    </row>
    <row r="961" spans="2:14" ht="12.5">
      <c r="B961" s="5"/>
      <c r="C961" s="5" t="str">
        <f ca="1">IFERROR(__xludf.DUMMYFUNCTION("IF(N961=1,SPLIT(A961,""-""),"""")"),"")</f>
        <v/>
      </c>
      <c r="F961" s="5"/>
      <c r="G961" s="5"/>
      <c r="H961" s="5" t="str">
        <f t="array" ref="H961">IF(N961=1, INDEX('Database Mitra'!$C$2:$C993,MATCH($C961,'Database Mitra'!$AK$2:$AK993,0)),"")</f>
        <v/>
      </c>
      <c r="I961" s="71" t="str">
        <f>IF(N961=1,SUMIFS('Alokasi Honor'!$M$2:$M993,'Alokasi Honor'!$T$2:$T993,A961),"")</f>
        <v/>
      </c>
      <c r="L961" s="10" t="str">
        <f t="array" ref="L961">IF(N961=1,INDEX('Batasan Honor'!$B$2:$B993,MATCH(CONCATENATE($F961,"-",$G961),'Batasan Honor'!$G$2:$G993,0)),"")</f>
        <v/>
      </c>
      <c r="M961" s="10" t="str">
        <f t="shared" si="5"/>
        <v/>
      </c>
      <c r="N961" s="10" t="str">
        <f t="shared" si="3"/>
        <v/>
      </c>
    </row>
    <row r="962" spans="2:14" ht="12.5">
      <c r="B962" s="5"/>
      <c r="C962" s="5" t="str">
        <f ca="1">IFERROR(__xludf.DUMMYFUNCTION("IF(N962=1,SPLIT(A962,""-""),"""")"),"")</f>
        <v/>
      </c>
      <c r="F962" s="5"/>
      <c r="G962" s="5"/>
      <c r="H962" s="5" t="str">
        <f t="array" ref="H962">IF(N962=1, INDEX('Database Mitra'!$C$2:$C993,MATCH($C962,'Database Mitra'!$AK$2:$AK993,0)),"")</f>
        <v/>
      </c>
      <c r="I962" s="71" t="str">
        <f>IF(N962=1,SUMIFS('Alokasi Honor'!$M$2:$M993,'Alokasi Honor'!$T$2:$T993,A962),"")</f>
        <v/>
      </c>
      <c r="L962" s="10" t="str">
        <f t="array" ref="L962">IF(N962=1,INDEX('Batasan Honor'!$B$2:$B993,MATCH(CONCATENATE($F962,"-",$G962),'Batasan Honor'!$G$2:$G993,0)),"")</f>
        <v/>
      </c>
      <c r="M962" s="10" t="str">
        <f t="shared" si="5"/>
        <v/>
      </c>
      <c r="N962" s="10" t="str">
        <f t="shared" si="3"/>
        <v/>
      </c>
    </row>
    <row r="963" spans="2:14" ht="12.5">
      <c r="B963" s="5"/>
      <c r="C963" s="5" t="str">
        <f ca="1">IFERROR(__xludf.DUMMYFUNCTION("IF(N963=1,SPLIT(A963,""-""),"""")"),"")</f>
        <v/>
      </c>
      <c r="F963" s="5"/>
      <c r="G963" s="5"/>
      <c r="H963" s="5" t="str">
        <f t="array" ref="H963">IF(N963=1, INDEX('Database Mitra'!$C$2:$C993,MATCH($C963,'Database Mitra'!$AK$2:$AK993,0)),"")</f>
        <v/>
      </c>
      <c r="I963" s="71" t="str">
        <f>IF(N963=1,SUMIFS('Alokasi Honor'!$M$2:$M993,'Alokasi Honor'!$T$2:$T993,A963),"")</f>
        <v/>
      </c>
      <c r="L963" s="10" t="str">
        <f t="array" ref="L963">IF(N963=1,INDEX('Batasan Honor'!$B$2:$B993,MATCH(CONCATENATE($F963,"-",$G963),'Batasan Honor'!$G$2:$G993,0)),"")</f>
        <v/>
      </c>
      <c r="M963" s="10" t="str">
        <f t="shared" si="5"/>
        <v/>
      </c>
      <c r="N963" s="10" t="str">
        <f t="shared" si="3"/>
        <v/>
      </c>
    </row>
    <row r="964" spans="2:14" ht="12.5">
      <c r="B964" s="5"/>
      <c r="C964" s="5" t="str">
        <f ca="1">IFERROR(__xludf.DUMMYFUNCTION("IF(N964=1,SPLIT(A964,""-""),"""")"),"")</f>
        <v/>
      </c>
      <c r="F964" s="5"/>
      <c r="G964" s="5"/>
      <c r="H964" s="5" t="str">
        <f t="array" ref="H964">IF(N964=1, INDEX('Database Mitra'!$C$2:$C993,MATCH($C964,'Database Mitra'!$AK$2:$AK993,0)),"")</f>
        <v/>
      </c>
      <c r="I964" s="71" t="str">
        <f>IF(N964=1,SUMIFS('Alokasi Honor'!$M$2:$M993,'Alokasi Honor'!$T$2:$T993,A964),"")</f>
        <v/>
      </c>
      <c r="L964" s="10" t="str">
        <f t="array" ref="L964">IF(N964=1,INDEX('Batasan Honor'!$B$2:$B993,MATCH(CONCATENATE($F964,"-",$G964),'Batasan Honor'!$G$2:$G993,0)),"")</f>
        <v/>
      </c>
      <c r="M964" s="10" t="str">
        <f t="shared" si="5"/>
        <v/>
      </c>
      <c r="N964" s="10" t="str">
        <f t="shared" si="3"/>
        <v/>
      </c>
    </row>
    <row r="965" spans="2:14" ht="12.5">
      <c r="B965" s="5"/>
      <c r="C965" s="5" t="str">
        <f ca="1">IFERROR(__xludf.DUMMYFUNCTION("IF(N965=1,SPLIT(A965,""-""),"""")"),"")</f>
        <v/>
      </c>
      <c r="F965" s="5"/>
      <c r="G965" s="5"/>
      <c r="H965" s="5" t="str">
        <f t="array" ref="H965">IF(N965=1, INDEX('Database Mitra'!$C$2:$C993,MATCH($C965,'Database Mitra'!$AK$2:$AK993,0)),"")</f>
        <v/>
      </c>
      <c r="I965" s="71" t="str">
        <f>IF(N965=1,SUMIFS('Alokasi Honor'!$M$2:$M993,'Alokasi Honor'!$T$2:$T993,A965),"")</f>
        <v/>
      </c>
      <c r="L965" s="10" t="str">
        <f t="array" ref="L965">IF(N965=1,INDEX('Batasan Honor'!$B$2:$B993,MATCH(CONCATENATE($F965,"-",$G965),'Batasan Honor'!$G$2:$G993,0)),"")</f>
        <v/>
      </c>
      <c r="M965" s="10" t="str">
        <f t="shared" si="5"/>
        <v/>
      </c>
      <c r="N965" s="10" t="str">
        <f t="shared" si="3"/>
        <v/>
      </c>
    </row>
    <row r="966" spans="2:14" ht="12.5">
      <c r="B966" s="5"/>
      <c r="C966" s="5" t="str">
        <f ca="1">IFERROR(__xludf.DUMMYFUNCTION("IF(N966=1,SPLIT(A966,""-""),"""")"),"")</f>
        <v/>
      </c>
      <c r="F966" s="5"/>
      <c r="G966" s="5"/>
      <c r="H966" s="5" t="str">
        <f t="array" ref="H966">IF(N966=1, INDEX('Database Mitra'!$C$2:$C993,MATCH($C966,'Database Mitra'!$AK$2:$AK993,0)),"")</f>
        <v/>
      </c>
      <c r="I966" s="71" t="str">
        <f>IF(N966=1,SUMIFS('Alokasi Honor'!$M$2:$M993,'Alokasi Honor'!$T$2:$T993,A966),"")</f>
        <v/>
      </c>
      <c r="L966" s="10" t="str">
        <f t="array" ref="L966">IF(N966=1,INDEX('Batasan Honor'!$B$2:$B993,MATCH(CONCATENATE($F966,"-",$G966),'Batasan Honor'!$G$2:$G993,0)),"")</f>
        <v/>
      </c>
      <c r="M966" s="10" t="str">
        <f t="shared" si="5"/>
        <v/>
      </c>
      <c r="N966" s="10" t="str">
        <f t="shared" si="3"/>
        <v/>
      </c>
    </row>
    <row r="967" spans="2:14" ht="12.5">
      <c r="B967" s="5"/>
      <c r="C967" s="5" t="str">
        <f ca="1">IFERROR(__xludf.DUMMYFUNCTION("IF(N967=1,SPLIT(A967,""-""),"""")"),"")</f>
        <v/>
      </c>
      <c r="F967" s="5"/>
      <c r="G967" s="5"/>
      <c r="H967" s="5" t="str">
        <f t="array" ref="H967">IF(N967=1, INDEX('Database Mitra'!$C$2:$C993,MATCH($C967,'Database Mitra'!$AK$2:$AK993,0)),"")</f>
        <v/>
      </c>
      <c r="I967" s="71" t="str">
        <f>IF(N967=1,SUMIFS('Alokasi Honor'!$M$2:$M993,'Alokasi Honor'!$T$2:$T993,A967),"")</f>
        <v/>
      </c>
      <c r="L967" s="10" t="str">
        <f t="array" ref="L967">IF(N967=1,INDEX('Batasan Honor'!$B$2:$B993,MATCH(CONCATENATE($F967,"-",$G967),'Batasan Honor'!$G$2:$G993,0)),"")</f>
        <v/>
      </c>
      <c r="M967" s="10" t="str">
        <f t="shared" si="5"/>
        <v/>
      </c>
      <c r="N967" s="10" t="str">
        <f t="shared" si="3"/>
        <v/>
      </c>
    </row>
    <row r="968" spans="2:14" ht="12.5">
      <c r="B968" s="5"/>
      <c r="C968" s="5" t="str">
        <f ca="1">IFERROR(__xludf.DUMMYFUNCTION("IF(N968=1,SPLIT(A968,""-""),"""")"),"")</f>
        <v/>
      </c>
      <c r="F968" s="5"/>
      <c r="G968" s="5"/>
      <c r="H968" s="5" t="str">
        <f t="array" ref="H968">IF(N968=1, INDEX('Database Mitra'!$C$2:$C993,MATCH($C968,'Database Mitra'!$AK$2:$AK993,0)),"")</f>
        <v/>
      </c>
      <c r="I968" s="71" t="str">
        <f>IF(N968=1,SUMIFS('Alokasi Honor'!$M$2:$M993,'Alokasi Honor'!$T$2:$T993,A968),"")</f>
        <v/>
      </c>
      <c r="L968" s="10" t="str">
        <f t="array" ref="L968">IF(N968=1,INDEX('Batasan Honor'!$B$2:$B993,MATCH(CONCATENATE($F968,"-",$G968),'Batasan Honor'!$G$2:$G993,0)),"")</f>
        <v/>
      </c>
      <c r="M968" s="10" t="str">
        <f t="shared" si="5"/>
        <v/>
      </c>
      <c r="N968" s="10" t="str">
        <f t="shared" si="3"/>
        <v/>
      </c>
    </row>
    <row r="969" spans="2:14" ht="12.5">
      <c r="B969" s="5"/>
      <c r="C969" s="5" t="str">
        <f ca="1">IFERROR(__xludf.DUMMYFUNCTION("IF(N969=1,SPLIT(A969,""-""),"""")"),"")</f>
        <v/>
      </c>
      <c r="F969" s="5"/>
      <c r="G969" s="5"/>
      <c r="H969" s="5" t="str">
        <f t="array" ref="H969">IF(N969=1, INDEX('Database Mitra'!$C$2:$C993,MATCH($C969,'Database Mitra'!$AK$2:$AK993,0)),"")</f>
        <v/>
      </c>
      <c r="I969" s="71" t="str">
        <f>IF(N969=1,SUMIFS('Alokasi Honor'!$M$2:$M993,'Alokasi Honor'!$T$2:$T993,A969),"")</f>
        <v/>
      </c>
      <c r="L969" s="10" t="str">
        <f t="array" ref="L969">IF(N969=1,INDEX('Batasan Honor'!$B$2:$B993,MATCH(CONCATENATE($F969,"-",$G969),'Batasan Honor'!$G$2:$G993,0)),"")</f>
        <v/>
      </c>
      <c r="M969" s="10" t="str">
        <f t="shared" si="5"/>
        <v/>
      </c>
      <c r="N969" s="10" t="str">
        <f t="shared" si="3"/>
        <v/>
      </c>
    </row>
    <row r="970" spans="2:14" ht="12.5">
      <c r="B970" s="5"/>
      <c r="C970" s="5" t="str">
        <f ca="1">IFERROR(__xludf.DUMMYFUNCTION("IF(N970=1,SPLIT(A970,""-""),"""")"),"")</f>
        <v/>
      </c>
      <c r="F970" s="5"/>
      <c r="G970" s="5"/>
      <c r="H970" s="5" t="str">
        <f t="array" ref="H970">IF(N970=1, INDEX('Database Mitra'!$C$2:$C993,MATCH($C970,'Database Mitra'!$AK$2:$AK993,0)),"")</f>
        <v/>
      </c>
      <c r="I970" s="71" t="str">
        <f>IF(N970=1,SUMIFS('Alokasi Honor'!$M$2:$M993,'Alokasi Honor'!$T$2:$T993,A970),"")</f>
        <v/>
      </c>
      <c r="L970" s="10" t="str">
        <f t="array" ref="L970">IF(N970=1,INDEX('Batasan Honor'!$B$2:$B993,MATCH(CONCATENATE($F970,"-",$G970),'Batasan Honor'!$G$2:$G993,0)),"")</f>
        <v/>
      </c>
      <c r="M970" s="10" t="str">
        <f t="shared" si="5"/>
        <v/>
      </c>
      <c r="N970" s="10" t="str">
        <f t="shared" si="3"/>
        <v/>
      </c>
    </row>
    <row r="971" spans="2:14" ht="12.5">
      <c r="B971" s="5"/>
      <c r="C971" s="5" t="str">
        <f ca="1">IFERROR(__xludf.DUMMYFUNCTION("IF(N971=1,SPLIT(A971,""-""),"""")"),"")</f>
        <v/>
      </c>
      <c r="F971" s="5"/>
      <c r="G971" s="5"/>
      <c r="H971" s="5" t="str">
        <f t="array" ref="H971">IF(N971=1, INDEX('Database Mitra'!$C$2:$C993,MATCH($C971,'Database Mitra'!$AK$2:$AK993,0)),"")</f>
        <v/>
      </c>
      <c r="I971" s="71" t="str">
        <f>IF(N971=1,SUMIFS('Alokasi Honor'!$M$2:$M993,'Alokasi Honor'!$T$2:$T993,A971),"")</f>
        <v/>
      </c>
      <c r="L971" s="10" t="str">
        <f t="array" ref="L971">IF(N971=1,INDEX('Batasan Honor'!$B$2:$B993,MATCH(CONCATENATE($F971,"-",$G971),'Batasan Honor'!$G$2:$G993,0)),"")</f>
        <v/>
      </c>
      <c r="M971" s="10" t="str">
        <f t="shared" si="5"/>
        <v/>
      </c>
      <c r="N971" s="10" t="str">
        <f t="shared" si="3"/>
        <v/>
      </c>
    </row>
    <row r="972" spans="2:14" ht="12.5">
      <c r="B972" s="5"/>
      <c r="C972" s="5" t="str">
        <f ca="1">IFERROR(__xludf.DUMMYFUNCTION("IF(N972=1,SPLIT(A972,""-""),"""")"),"")</f>
        <v/>
      </c>
      <c r="F972" s="5"/>
      <c r="G972" s="5"/>
      <c r="H972" s="5" t="str">
        <f t="array" ref="H972">IF(N972=1, INDEX('Database Mitra'!$C$2:$C993,MATCH($C972,'Database Mitra'!$AK$2:$AK993,0)),"")</f>
        <v/>
      </c>
      <c r="I972" s="71" t="str">
        <f>IF(N972=1,SUMIFS('Alokasi Honor'!$M$2:$M993,'Alokasi Honor'!$T$2:$T993,A972),"")</f>
        <v/>
      </c>
      <c r="L972" s="10" t="str">
        <f t="array" ref="L972">IF(N972=1,INDEX('Batasan Honor'!$B$2:$B993,MATCH(CONCATENATE($F972,"-",$G972),'Batasan Honor'!$G$2:$G993,0)),"")</f>
        <v/>
      </c>
      <c r="M972" s="10" t="str">
        <f t="shared" si="5"/>
        <v/>
      </c>
      <c r="N972" s="10" t="str">
        <f t="shared" si="3"/>
        <v/>
      </c>
    </row>
    <row r="973" spans="2:14" ht="12.5">
      <c r="B973" s="5"/>
      <c r="C973" s="5" t="str">
        <f ca="1">IFERROR(__xludf.DUMMYFUNCTION("IF(N973=1,SPLIT(A973,""-""),"""")"),"")</f>
        <v/>
      </c>
      <c r="F973" s="5"/>
      <c r="G973" s="5"/>
      <c r="H973" s="5" t="str">
        <f t="array" ref="H973">IF(N973=1, INDEX('Database Mitra'!$C$2:$C993,MATCH($C973,'Database Mitra'!$AK$2:$AK993,0)),"")</f>
        <v/>
      </c>
      <c r="I973" s="71" t="str">
        <f>IF(N973=1,SUMIFS('Alokasi Honor'!$M$2:$M993,'Alokasi Honor'!$T$2:$T993,A973),"")</f>
        <v/>
      </c>
      <c r="L973" s="10" t="str">
        <f t="array" ref="L973">IF(N973=1,INDEX('Batasan Honor'!$B$2:$B993,MATCH(CONCATENATE($F973,"-",$G973),'Batasan Honor'!$G$2:$G993,0)),"")</f>
        <v/>
      </c>
      <c r="M973" s="10" t="str">
        <f t="shared" si="5"/>
        <v/>
      </c>
      <c r="N973" s="10" t="str">
        <f t="shared" si="3"/>
        <v/>
      </c>
    </row>
    <row r="974" spans="2:14" ht="12.5">
      <c r="B974" s="5"/>
      <c r="C974" s="5" t="str">
        <f ca="1">IFERROR(__xludf.DUMMYFUNCTION("IF(N974=1,SPLIT(A974,""-""),"""")"),"")</f>
        <v/>
      </c>
      <c r="F974" s="5"/>
      <c r="G974" s="5"/>
      <c r="H974" s="5" t="str">
        <f t="array" ref="H974">IF(N974=1, INDEX('Database Mitra'!$C$2:$C993,MATCH($C974,'Database Mitra'!$AK$2:$AK993,0)),"")</f>
        <v/>
      </c>
      <c r="I974" s="71" t="str">
        <f>IF(N974=1,SUMIFS('Alokasi Honor'!$M$2:$M993,'Alokasi Honor'!$T$2:$T993,A974),"")</f>
        <v/>
      </c>
      <c r="L974" s="10" t="str">
        <f t="array" ref="L974">IF(N974=1,INDEX('Batasan Honor'!$B$2:$B993,MATCH(CONCATENATE($F974,"-",$G974),'Batasan Honor'!$G$2:$G993,0)),"")</f>
        <v/>
      </c>
      <c r="M974" s="10" t="str">
        <f t="shared" si="5"/>
        <v/>
      </c>
      <c r="N974" s="10" t="str">
        <f t="shared" si="3"/>
        <v/>
      </c>
    </row>
    <row r="975" spans="2:14" ht="12.5">
      <c r="B975" s="5"/>
      <c r="C975" s="5" t="str">
        <f ca="1">IFERROR(__xludf.DUMMYFUNCTION("IF(N975=1,SPLIT(A975,""-""),"""")"),"")</f>
        <v/>
      </c>
      <c r="F975" s="5"/>
      <c r="G975" s="5"/>
      <c r="H975" s="5" t="str">
        <f t="array" ref="H975">IF(N975=1, INDEX('Database Mitra'!$C$2:$C993,MATCH($C975,'Database Mitra'!$AK$2:$AK993,0)),"")</f>
        <v/>
      </c>
      <c r="I975" s="71" t="str">
        <f>IF(N975=1,SUMIFS('Alokasi Honor'!$M$2:$M993,'Alokasi Honor'!$T$2:$T993,A975),"")</f>
        <v/>
      </c>
      <c r="L975" s="10" t="str">
        <f t="array" ref="L975">IF(N975=1,INDEX('Batasan Honor'!$B$2:$B993,MATCH(CONCATENATE($F975,"-",$G975),'Batasan Honor'!$G$2:$G993,0)),"")</f>
        <v/>
      </c>
      <c r="M975" s="10" t="str">
        <f t="shared" si="5"/>
        <v/>
      </c>
      <c r="N975" s="10" t="str">
        <f t="shared" si="3"/>
        <v/>
      </c>
    </row>
    <row r="976" spans="2:14" ht="12.5">
      <c r="B976" s="5"/>
      <c r="C976" s="5" t="str">
        <f ca="1">IFERROR(__xludf.DUMMYFUNCTION("IF(N976=1,SPLIT(A976,""-""),"""")"),"")</f>
        <v/>
      </c>
      <c r="F976" s="5"/>
      <c r="G976" s="5"/>
      <c r="H976" s="5" t="str">
        <f t="array" ref="H976">IF(N976=1, INDEX('Database Mitra'!$C$2:$C993,MATCH($C976,'Database Mitra'!$AK$2:$AK993,0)),"")</f>
        <v/>
      </c>
      <c r="I976" s="71" t="str">
        <f>IF(N976=1,SUMIFS('Alokasi Honor'!$M$2:$M993,'Alokasi Honor'!$T$2:$T993,A976),"")</f>
        <v/>
      </c>
      <c r="L976" s="10" t="str">
        <f t="array" ref="L976">IF(N976=1,INDEX('Batasan Honor'!$B$2:$B993,MATCH(CONCATENATE($F976,"-",$G976),'Batasan Honor'!$G$2:$G993,0)),"")</f>
        <v/>
      </c>
      <c r="M976" s="10" t="str">
        <f t="shared" si="5"/>
        <v/>
      </c>
      <c r="N976" s="10" t="str">
        <f t="shared" si="3"/>
        <v/>
      </c>
    </row>
    <row r="977" spans="2:14" ht="12.5">
      <c r="B977" s="5"/>
      <c r="C977" s="5" t="str">
        <f ca="1">IFERROR(__xludf.DUMMYFUNCTION("IF(N977=1,SPLIT(A977,""-""),"""")"),"")</f>
        <v/>
      </c>
      <c r="F977" s="5"/>
      <c r="G977" s="5"/>
      <c r="H977" s="5" t="str">
        <f t="array" ref="H977">IF(N977=1, INDEX('Database Mitra'!$C$2:$C993,MATCH($C977,'Database Mitra'!$AK$2:$AK993,0)),"")</f>
        <v/>
      </c>
      <c r="I977" s="71" t="str">
        <f>IF(N977=1,SUMIFS('Alokasi Honor'!$M$2:$M993,'Alokasi Honor'!$T$2:$T993,A977),"")</f>
        <v/>
      </c>
      <c r="L977" s="10" t="str">
        <f t="array" ref="L977">IF(N977=1,INDEX('Batasan Honor'!$B$2:$B993,MATCH(CONCATENATE($F977,"-",$G977),'Batasan Honor'!$G$2:$G993,0)),"")</f>
        <v/>
      </c>
      <c r="M977" s="10" t="str">
        <f t="shared" si="5"/>
        <v/>
      </c>
      <c r="N977" s="10" t="str">
        <f t="shared" si="3"/>
        <v/>
      </c>
    </row>
    <row r="978" spans="2:14" ht="12.5">
      <c r="B978" s="5"/>
      <c r="C978" s="5" t="str">
        <f ca="1">IFERROR(__xludf.DUMMYFUNCTION("IF(N978=1,SPLIT(A978,""-""),"""")"),"")</f>
        <v/>
      </c>
      <c r="F978" s="5"/>
      <c r="G978" s="5"/>
      <c r="H978" s="5" t="str">
        <f t="array" ref="H978">IF(N978=1, INDEX('Database Mitra'!$C$2:$C993,MATCH($C978,'Database Mitra'!$AK$2:$AK993,0)),"")</f>
        <v/>
      </c>
      <c r="I978" s="71" t="str">
        <f>IF(N978=1,SUMIFS('Alokasi Honor'!$M$2:$M993,'Alokasi Honor'!$T$2:$T993,A978),"")</f>
        <v/>
      </c>
      <c r="L978" s="10" t="str">
        <f t="array" ref="L978">IF(N978=1,INDEX('Batasan Honor'!$B$2:$B993,MATCH(CONCATENATE($F978,"-",$G978),'Batasan Honor'!$G$2:$G993,0)),"")</f>
        <v/>
      </c>
      <c r="M978" s="10" t="str">
        <f t="shared" si="5"/>
        <v/>
      </c>
      <c r="N978" s="10" t="str">
        <f t="shared" si="3"/>
        <v/>
      </c>
    </row>
    <row r="979" spans="2:14" ht="12.5">
      <c r="B979" s="5"/>
      <c r="C979" s="5" t="str">
        <f ca="1">IFERROR(__xludf.DUMMYFUNCTION("IF(N979=1,SPLIT(A979,""-""),"""")"),"")</f>
        <v/>
      </c>
      <c r="F979" s="5"/>
      <c r="G979" s="5"/>
      <c r="H979" s="5" t="str">
        <f t="array" ref="H979">IF(N979=1, INDEX('Database Mitra'!$C$2:$C993,MATCH($C979,'Database Mitra'!$AK$2:$AK993,0)),"")</f>
        <v/>
      </c>
      <c r="I979" s="71" t="str">
        <f>IF(N979=1,SUMIFS('Alokasi Honor'!$M$2:$M993,'Alokasi Honor'!$T$2:$T993,A979),"")</f>
        <v/>
      </c>
      <c r="L979" s="10" t="str">
        <f t="array" ref="L979">IF(N979=1,INDEX('Batasan Honor'!$B$2:$B993,MATCH(CONCATENATE($F979,"-",$G979),'Batasan Honor'!$G$2:$G993,0)),"")</f>
        <v/>
      </c>
      <c r="M979" s="10" t="str">
        <f t="shared" si="5"/>
        <v/>
      </c>
      <c r="N979" s="10" t="str">
        <f t="shared" si="3"/>
        <v/>
      </c>
    </row>
    <row r="980" spans="2:14" ht="12.5">
      <c r="B980" s="5"/>
      <c r="C980" s="5" t="str">
        <f ca="1">IFERROR(__xludf.DUMMYFUNCTION("IF(N980=1,SPLIT(A980,""-""),"""")"),"")</f>
        <v/>
      </c>
      <c r="F980" s="5"/>
      <c r="G980" s="5"/>
      <c r="H980" s="5" t="str">
        <f t="array" ref="H980">IF(N980=1, INDEX('Database Mitra'!$C$2:$C993,MATCH($C980,'Database Mitra'!$AK$2:$AK993,0)),"")</f>
        <v/>
      </c>
      <c r="I980" s="71" t="str">
        <f>IF(N980=1,SUMIFS('Alokasi Honor'!$M$2:$M993,'Alokasi Honor'!$T$2:$T993,A980),"")</f>
        <v/>
      </c>
      <c r="L980" s="10" t="str">
        <f t="array" ref="L980">IF(N980=1,INDEX('Batasan Honor'!$B$2:$B993,MATCH(CONCATENATE($F980,"-",$G980),'Batasan Honor'!$G$2:$G993,0)),"")</f>
        <v/>
      </c>
      <c r="M980" s="10" t="str">
        <f t="shared" si="5"/>
        <v/>
      </c>
      <c r="N980" s="10" t="str">
        <f t="shared" si="3"/>
        <v/>
      </c>
    </row>
    <row r="981" spans="2:14" ht="12.5">
      <c r="B981" s="5"/>
      <c r="C981" s="5" t="str">
        <f ca="1">IFERROR(__xludf.DUMMYFUNCTION("IF(N981=1,SPLIT(A981,""-""),"""")"),"")</f>
        <v/>
      </c>
      <c r="F981" s="5"/>
      <c r="G981" s="5"/>
      <c r="H981" s="5" t="str">
        <f t="array" ref="H981">IF(N981=1, INDEX('Database Mitra'!$C$2:$C993,MATCH($C981,'Database Mitra'!$AK$2:$AK993,0)),"")</f>
        <v/>
      </c>
      <c r="I981" s="71" t="str">
        <f>IF(N981=1,SUMIFS('Alokasi Honor'!$M$2:$M993,'Alokasi Honor'!$T$2:$T993,A981),"")</f>
        <v/>
      </c>
      <c r="L981" s="10" t="str">
        <f t="array" ref="L981">IF(N981=1,INDEX('Batasan Honor'!$B$2:$B993,MATCH(CONCATENATE($F981,"-",$G981),'Batasan Honor'!$G$2:$G993,0)),"")</f>
        <v/>
      </c>
      <c r="M981" s="10" t="str">
        <f t="shared" si="5"/>
        <v/>
      </c>
      <c r="N981" s="10" t="str">
        <f t="shared" si="3"/>
        <v/>
      </c>
    </row>
    <row r="982" spans="2:14" ht="12.5">
      <c r="B982" s="5"/>
      <c r="C982" s="5" t="str">
        <f ca="1">IFERROR(__xludf.DUMMYFUNCTION("IF(N982=1,SPLIT(A982,""-""),"""")"),"")</f>
        <v/>
      </c>
      <c r="F982" s="5"/>
      <c r="G982" s="5"/>
      <c r="H982" s="5" t="str">
        <f t="array" ref="H982">IF(N982=1, INDEX('Database Mitra'!$C$2:$C993,MATCH($C982,'Database Mitra'!$AK$2:$AK993,0)),"")</f>
        <v/>
      </c>
      <c r="I982" s="71" t="str">
        <f>IF(N982=1,SUMIFS('Alokasi Honor'!$M$2:$M993,'Alokasi Honor'!$T$2:$T993,A982),"")</f>
        <v/>
      </c>
      <c r="L982" s="10" t="str">
        <f t="array" ref="L982">IF(N982=1,INDEX('Batasan Honor'!$B$2:$B993,MATCH(CONCATENATE($F982,"-",$G982),'Batasan Honor'!$G$2:$G993,0)),"")</f>
        <v/>
      </c>
      <c r="M982" s="10" t="str">
        <f t="shared" si="5"/>
        <v/>
      </c>
      <c r="N982" s="10" t="str">
        <f t="shared" si="3"/>
        <v/>
      </c>
    </row>
    <row r="983" spans="2:14" ht="12.5">
      <c r="B983" s="5"/>
      <c r="C983" s="5" t="str">
        <f ca="1">IFERROR(__xludf.DUMMYFUNCTION("IF(N983=1,SPLIT(A983,""-""),"""")"),"")</f>
        <v/>
      </c>
      <c r="F983" s="5"/>
      <c r="G983" s="5"/>
      <c r="H983" s="5" t="str">
        <f t="array" ref="H983">IF(N983=1, INDEX('Database Mitra'!$C$2:$C993,MATCH($C983,'Database Mitra'!$AK$2:$AK993,0)),"")</f>
        <v/>
      </c>
      <c r="I983" s="71" t="str">
        <f>IF(N983=1,SUMIFS('Alokasi Honor'!$M$2:$M993,'Alokasi Honor'!$T$2:$T993,A983),"")</f>
        <v/>
      </c>
      <c r="L983" s="10" t="str">
        <f t="array" ref="L983">IF(N983=1,INDEX('Batasan Honor'!$B$2:$B993,MATCH(CONCATENATE($F983,"-",$G983),'Batasan Honor'!$G$2:$G993,0)),"")</f>
        <v/>
      </c>
      <c r="M983" s="10" t="str">
        <f t="shared" si="5"/>
        <v/>
      </c>
      <c r="N983" s="10" t="str">
        <f t="shared" si="3"/>
        <v/>
      </c>
    </row>
    <row r="984" spans="2:14" ht="12.5">
      <c r="B984" s="5"/>
      <c r="C984" s="5" t="str">
        <f ca="1">IFERROR(__xludf.DUMMYFUNCTION("IF(N984=1,SPLIT(A984,""-""),"""")"),"")</f>
        <v/>
      </c>
      <c r="F984" s="5"/>
      <c r="G984" s="5"/>
      <c r="H984" s="5" t="str">
        <f t="array" ref="H984">IF(N984=1, INDEX('Database Mitra'!$C$2:$C993,MATCH($C984,'Database Mitra'!$AK$2:$AK993,0)),"")</f>
        <v/>
      </c>
      <c r="I984" s="71" t="str">
        <f>IF(N984=1,SUMIFS('Alokasi Honor'!$M$2:$M993,'Alokasi Honor'!$T$2:$T993,A984),"")</f>
        <v/>
      </c>
      <c r="L984" s="10" t="str">
        <f t="array" ref="L984">IF(N984=1,INDEX('Batasan Honor'!$B$2:$B993,MATCH(CONCATENATE($F984,"-",$G984),'Batasan Honor'!$G$2:$G993,0)),"")</f>
        <v/>
      </c>
      <c r="M984" s="10" t="str">
        <f t="shared" si="5"/>
        <v/>
      </c>
      <c r="N984" s="10" t="str">
        <f t="shared" si="3"/>
        <v/>
      </c>
    </row>
    <row r="985" spans="2:14" ht="12.5">
      <c r="B985" s="5"/>
      <c r="C985" s="5" t="str">
        <f ca="1">IFERROR(__xludf.DUMMYFUNCTION("IF(N985=1,SPLIT(A985,""-""),"""")"),"")</f>
        <v/>
      </c>
      <c r="F985" s="5"/>
      <c r="G985" s="5"/>
      <c r="H985" s="5" t="str">
        <f t="array" ref="H985">IF(N985=1, INDEX('Database Mitra'!$C$2:$C993,MATCH($C985,'Database Mitra'!$AK$2:$AK993,0)),"")</f>
        <v/>
      </c>
      <c r="I985" s="71" t="str">
        <f>IF(N985=1,SUMIFS('Alokasi Honor'!$M$2:$M993,'Alokasi Honor'!$T$2:$T993,A985),"")</f>
        <v/>
      </c>
      <c r="L985" s="10" t="str">
        <f t="array" ref="L985">IF(N985=1,INDEX('Batasan Honor'!$B$2:$B993,MATCH(CONCATENATE($F985,"-",$G985),'Batasan Honor'!$G$2:$G993,0)),"")</f>
        <v/>
      </c>
      <c r="M985" s="10" t="str">
        <f t="shared" si="5"/>
        <v/>
      </c>
      <c r="N985" s="10" t="str">
        <f t="shared" si="3"/>
        <v/>
      </c>
    </row>
    <row r="986" spans="2:14" ht="12.5">
      <c r="B986" s="5"/>
      <c r="C986" s="5" t="str">
        <f ca="1">IFERROR(__xludf.DUMMYFUNCTION("IF(N986=1,SPLIT(A986,""-""),"""")"),"")</f>
        <v/>
      </c>
      <c r="F986" s="5"/>
      <c r="G986" s="5"/>
      <c r="H986" s="5" t="str">
        <f t="array" ref="H986">IF(N986=1, INDEX('Database Mitra'!$C$2:$C993,MATCH($C986,'Database Mitra'!$AK$2:$AK993,0)),"")</f>
        <v/>
      </c>
      <c r="I986" s="71" t="str">
        <f>IF(N986=1,SUMIFS('Alokasi Honor'!$M$2:$M993,'Alokasi Honor'!$T$2:$T993,A986),"")</f>
        <v/>
      </c>
      <c r="L986" s="10" t="str">
        <f t="array" ref="L986">IF(N986=1,INDEX('Batasan Honor'!$B$2:$B993,MATCH(CONCATENATE($F986,"-",$G986),'Batasan Honor'!$G$2:$G993,0)),"")</f>
        <v/>
      </c>
      <c r="M986" s="10" t="str">
        <f t="shared" si="5"/>
        <v/>
      </c>
      <c r="N986" s="10" t="str">
        <f t="shared" si="3"/>
        <v/>
      </c>
    </row>
    <row r="987" spans="2:14" ht="12.5">
      <c r="B987" s="5"/>
      <c r="C987" s="5" t="str">
        <f ca="1">IFERROR(__xludf.DUMMYFUNCTION("IF(N987=1,SPLIT(A987,""-""),"""")"),"")</f>
        <v/>
      </c>
      <c r="F987" s="5"/>
      <c r="G987" s="5"/>
      <c r="H987" s="5" t="str">
        <f t="array" ref="H987">IF(N987=1, INDEX('Database Mitra'!$C$2:$C993,MATCH($C987,'Database Mitra'!$AK$2:$AK993,0)),"")</f>
        <v/>
      </c>
      <c r="I987" s="71" t="str">
        <f>IF(N987=1,SUMIFS('Alokasi Honor'!$M$2:$M993,'Alokasi Honor'!$T$2:$T993,A987),"")</f>
        <v/>
      </c>
      <c r="L987" s="10" t="str">
        <f t="array" ref="L987">IF(N987=1,INDEX('Batasan Honor'!$B$2:$B993,MATCH(CONCATENATE($F987,"-",$G987),'Batasan Honor'!$G$2:$G993,0)),"")</f>
        <v/>
      </c>
      <c r="M987" s="10" t="str">
        <f t="shared" si="5"/>
        <v/>
      </c>
      <c r="N987" s="10" t="str">
        <f t="shared" si="3"/>
        <v/>
      </c>
    </row>
    <row r="988" spans="2:14" ht="12.5">
      <c r="B988" s="5"/>
      <c r="C988" s="5" t="str">
        <f ca="1">IFERROR(__xludf.DUMMYFUNCTION("IF(N988=1,SPLIT(A988,""-""),"""")"),"")</f>
        <v/>
      </c>
      <c r="F988" s="5"/>
      <c r="G988" s="5"/>
      <c r="H988" s="5" t="str">
        <f t="array" ref="H988">IF(N988=1, INDEX('Database Mitra'!$C$2:$C993,MATCH($C988,'Database Mitra'!$AK$2:$AK993,0)),"")</f>
        <v/>
      </c>
      <c r="I988" s="71" t="str">
        <f>IF(N988=1,SUMIFS('Alokasi Honor'!$M$2:$M993,'Alokasi Honor'!$T$2:$T993,A988),"")</f>
        <v/>
      </c>
      <c r="L988" s="10" t="str">
        <f t="array" ref="L988">IF(N988=1,INDEX('Batasan Honor'!$B$2:$B993,MATCH(CONCATENATE($F988,"-",$G988),'Batasan Honor'!$G$2:$G993,0)),"")</f>
        <v/>
      </c>
      <c r="M988" s="10" t="str">
        <f t="shared" si="5"/>
        <v/>
      </c>
      <c r="N988" s="10" t="str">
        <f t="shared" si="3"/>
        <v/>
      </c>
    </row>
    <row r="989" spans="2:14" ht="12.5">
      <c r="B989" s="5"/>
      <c r="C989" s="5" t="str">
        <f ca="1">IFERROR(__xludf.DUMMYFUNCTION("IF(N989=1,SPLIT(A989,""-""),"""")"),"")</f>
        <v/>
      </c>
      <c r="F989" s="5"/>
      <c r="G989" s="5"/>
      <c r="H989" s="5" t="str">
        <f t="array" ref="H989">IF(N989=1, INDEX('Database Mitra'!$C$2:$C993,MATCH($C989,'Database Mitra'!$AK$2:$AK993,0)),"")</f>
        <v/>
      </c>
      <c r="I989" s="71" t="str">
        <f>IF(N989=1,SUMIFS('Alokasi Honor'!$M$2:$M993,'Alokasi Honor'!$T$2:$T993,A989),"")</f>
        <v/>
      </c>
      <c r="L989" s="10" t="str">
        <f t="array" ref="L989">IF(N989=1,INDEX('Batasan Honor'!$B$2:$B993,MATCH(CONCATENATE($F989,"-",$G989),'Batasan Honor'!$G$2:$G993,0)),"")</f>
        <v/>
      </c>
      <c r="M989" s="10" t="str">
        <f t="shared" si="5"/>
        <v/>
      </c>
      <c r="N989" s="10" t="str">
        <f t="shared" si="3"/>
        <v/>
      </c>
    </row>
    <row r="990" spans="2:14" ht="12.5">
      <c r="B990" s="5"/>
      <c r="C990" s="5" t="str">
        <f ca="1">IFERROR(__xludf.DUMMYFUNCTION("IF(N990=1,SPLIT(A990,""-""),"""")"),"")</f>
        <v/>
      </c>
      <c r="F990" s="5"/>
      <c r="G990" s="5"/>
      <c r="H990" s="5" t="str">
        <f t="array" ref="H990">IF(N990=1, INDEX('Database Mitra'!$C$2:$C993,MATCH($C990,'Database Mitra'!$AK$2:$AK993,0)),"")</f>
        <v/>
      </c>
      <c r="I990" s="71" t="str">
        <f>IF(N990=1,SUMIFS('Alokasi Honor'!$M$2:$M993,'Alokasi Honor'!$T$2:$T993,A990),"")</f>
        <v/>
      </c>
      <c r="L990" s="10" t="str">
        <f t="array" ref="L990">IF(N990=1,INDEX('Batasan Honor'!$B$2:$B993,MATCH(CONCATENATE($F990,"-",$G990),'Batasan Honor'!$G$2:$G993,0)),"")</f>
        <v/>
      </c>
      <c r="M990" s="10" t="str">
        <f t="shared" si="5"/>
        <v/>
      </c>
      <c r="N990" s="10" t="str">
        <f t="shared" si="3"/>
        <v/>
      </c>
    </row>
    <row r="991" spans="2:14" ht="12.5">
      <c r="B991" s="5"/>
      <c r="C991" s="5" t="str">
        <f ca="1">IFERROR(__xludf.DUMMYFUNCTION("IF(N991=1,SPLIT(A991,""-""),"""")"),"")</f>
        <v/>
      </c>
      <c r="F991" s="5"/>
      <c r="G991" s="5"/>
      <c r="H991" s="5" t="str">
        <f t="array" ref="H991">IF(N991=1, INDEX('Database Mitra'!$C$2:$C993,MATCH($C991,'Database Mitra'!$AK$2:$AK993,0)),"")</f>
        <v/>
      </c>
      <c r="I991" s="71" t="str">
        <f>IF(N991=1,SUMIFS('Alokasi Honor'!$M$2:$M993,'Alokasi Honor'!$T$2:$T993,A991),"")</f>
        <v/>
      </c>
      <c r="L991" s="10" t="str">
        <f t="array" ref="L991">IF(N991=1,INDEX('Batasan Honor'!$B$2:$B993,MATCH(CONCATENATE($F991,"-",$G991),'Batasan Honor'!$G$2:$G993,0)),"")</f>
        <v/>
      </c>
      <c r="M991" s="10" t="str">
        <f t="shared" si="5"/>
        <v/>
      </c>
      <c r="N991" s="10" t="str">
        <f t="shared" si="3"/>
        <v/>
      </c>
    </row>
    <row r="992" spans="2:14" ht="12.5">
      <c r="B992" s="5"/>
      <c r="C992" s="5" t="str">
        <f ca="1">IFERROR(__xludf.DUMMYFUNCTION("IF(N992=1,SPLIT(A992,""-""),"""")"),"")</f>
        <v/>
      </c>
      <c r="F992" s="5"/>
      <c r="G992" s="5"/>
      <c r="H992" s="5" t="str">
        <f t="array" ref="H992">IF(N992=1, INDEX('Database Mitra'!$C$2:$C993,MATCH($C992,'Database Mitra'!$AK$2:$AK993,0)),"")</f>
        <v/>
      </c>
      <c r="I992" s="71" t="str">
        <f>IF(N992=1,SUMIFS('Alokasi Honor'!$M$2:$M993,'Alokasi Honor'!$T$2:$T993,A992),"")</f>
        <v/>
      </c>
      <c r="L992" s="10" t="str">
        <f t="array" ref="L992">IF(N992=1,INDEX('Batasan Honor'!$B$2:$B993,MATCH(CONCATENATE($F992,"-",$G992),'Batasan Honor'!$G$2:$G993,0)),"")</f>
        <v/>
      </c>
      <c r="M992" s="10" t="str">
        <f t="shared" si="5"/>
        <v/>
      </c>
      <c r="N992" s="10" t="str">
        <f t="shared" si="3"/>
        <v/>
      </c>
    </row>
    <row r="993" spans="2:14" ht="12.5">
      <c r="B993" s="5"/>
      <c r="C993" s="5" t="str">
        <f ca="1">IFERROR(__xludf.DUMMYFUNCTION("IF(N993=1,SPLIT(A993,""-""),"""")"),"")</f>
        <v/>
      </c>
      <c r="F993" s="5"/>
      <c r="G993" s="5"/>
      <c r="H993" s="5" t="str">
        <f t="array" ref="H993">IF(N993=1, INDEX('Database Mitra'!$C$2:$C993,MATCH($C993,'Database Mitra'!$AK$2:$AK993,0)),"")</f>
        <v/>
      </c>
      <c r="I993" s="71" t="str">
        <f>IF(N993=1,SUMIFS('Alokasi Honor'!$M$2:$M993,'Alokasi Honor'!$T$2:$T993,A993),"")</f>
        <v/>
      </c>
      <c r="L993" s="10" t="str">
        <f t="array" ref="L993">IF(N993=1,INDEX('Batasan Honor'!$B$2:$B993,MATCH(CONCATENATE($F993,"-",$G993),'Batasan Honor'!$G$2:$G993,0)),"")</f>
        <v/>
      </c>
      <c r="M993" s="10" t="str">
        <f t="shared" si="5"/>
        <v/>
      </c>
      <c r="N993" s="10" t="str">
        <f t="shared" si="3"/>
        <v/>
      </c>
    </row>
  </sheetData>
  <autoFilter ref="A1:O443" xr:uid="{00000000-0009-0000-0000-00000A000000}"/>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outlinePr summaryBelow="0" summaryRight="0"/>
  </sheetPr>
  <dimension ref="A1:B999"/>
  <sheetViews>
    <sheetView workbookViewId="0"/>
  </sheetViews>
  <sheetFormatPr defaultColWidth="12.6328125" defaultRowHeight="15.75" customHeight="1"/>
  <cols>
    <col min="2" max="2" width="182" customWidth="1"/>
  </cols>
  <sheetData>
    <row r="1" spans="1:2">
      <c r="A1" s="112" t="s">
        <v>3222</v>
      </c>
      <c r="B1" s="2" t="s">
        <v>3223</v>
      </c>
    </row>
    <row r="2" spans="1:2" ht="15.75" customHeight="1">
      <c r="A2" s="112">
        <v>1</v>
      </c>
      <c r="B2" s="5" t="s">
        <v>3224</v>
      </c>
    </row>
    <row r="3" spans="1:2" ht="15.75" customHeight="1">
      <c r="A3" s="112">
        <v>2</v>
      </c>
      <c r="B3" s="5" t="s">
        <v>3225</v>
      </c>
    </row>
    <row r="4" spans="1:2" ht="15.75" customHeight="1">
      <c r="A4" s="112"/>
    </row>
    <row r="5" spans="1:2" ht="15.75" customHeight="1">
      <c r="A5" s="113"/>
    </row>
    <row r="6" spans="1:2" ht="15.75" customHeight="1">
      <c r="A6" s="113"/>
    </row>
    <row r="7" spans="1:2" ht="15.75" customHeight="1">
      <c r="A7" s="113"/>
    </row>
    <row r="8" spans="1:2" ht="15.75" customHeight="1">
      <c r="A8" s="113"/>
    </row>
    <row r="9" spans="1:2" ht="15.75" customHeight="1">
      <c r="A9" s="113"/>
    </row>
    <row r="10" spans="1:2" ht="15.75" customHeight="1">
      <c r="A10" s="113"/>
    </row>
    <row r="11" spans="1:2" ht="15.75" customHeight="1">
      <c r="A11" s="113"/>
    </row>
    <row r="12" spans="1:2" ht="15.75" customHeight="1">
      <c r="A12" s="113"/>
    </row>
    <row r="13" spans="1:2" ht="15.75" customHeight="1">
      <c r="A13" s="113"/>
    </row>
    <row r="14" spans="1:2" ht="15.75" customHeight="1">
      <c r="A14" s="113"/>
    </row>
    <row r="15" spans="1:2" ht="15.75" customHeight="1">
      <c r="A15" s="113"/>
    </row>
    <row r="16" spans="1:2" ht="15.75" customHeight="1">
      <c r="A16" s="113"/>
    </row>
    <row r="17" spans="1:1" ht="15.75" customHeight="1">
      <c r="A17" s="113"/>
    </row>
    <row r="18" spans="1:1" ht="15.75" customHeight="1">
      <c r="A18" s="113"/>
    </row>
    <row r="19" spans="1:1" ht="15.75" customHeight="1">
      <c r="A19" s="113"/>
    </row>
    <row r="20" spans="1:1" ht="15.75" customHeight="1">
      <c r="A20" s="113"/>
    </row>
    <row r="21" spans="1:1" ht="15.75" customHeight="1">
      <c r="A21" s="113"/>
    </row>
    <row r="22" spans="1:1" ht="15.75" customHeight="1">
      <c r="A22" s="113"/>
    </row>
    <row r="23" spans="1:1" ht="15.75" customHeight="1">
      <c r="A23" s="113"/>
    </row>
    <row r="24" spans="1:1" ht="15.75" customHeight="1">
      <c r="A24" s="113"/>
    </row>
    <row r="25" spans="1:1" ht="15.75" customHeight="1">
      <c r="A25" s="113"/>
    </row>
    <row r="26" spans="1:1" ht="15.75" customHeight="1">
      <c r="A26" s="113"/>
    </row>
    <row r="27" spans="1:1" ht="15.75" customHeight="1">
      <c r="A27" s="113"/>
    </row>
    <row r="28" spans="1:1" ht="15.75" customHeight="1">
      <c r="A28" s="113"/>
    </row>
    <row r="29" spans="1:1" ht="12.5">
      <c r="A29" s="113"/>
    </row>
    <row r="30" spans="1:1" ht="12.5">
      <c r="A30" s="113"/>
    </row>
    <row r="31" spans="1:1" ht="12.5">
      <c r="A31" s="113"/>
    </row>
    <row r="32" spans="1:1" ht="12.5">
      <c r="A32" s="113"/>
    </row>
    <row r="33" spans="1:1" ht="12.5">
      <c r="A33" s="113"/>
    </row>
    <row r="34" spans="1:1" ht="12.5">
      <c r="A34" s="113"/>
    </row>
    <row r="35" spans="1:1" ht="12.5">
      <c r="A35" s="113"/>
    </row>
    <row r="36" spans="1:1" ht="12.5">
      <c r="A36" s="113"/>
    </row>
    <row r="37" spans="1:1" ht="12.5">
      <c r="A37" s="113"/>
    </row>
    <row r="38" spans="1:1" ht="12.5">
      <c r="A38" s="113"/>
    </row>
    <row r="39" spans="1:1" ht="12.5">
      <c r="A39" s="113"/>
    </row>
    <row r="40" spans="1:1" ht="12.5">
      <c r="A40" s="113"/>
    </row>
    <row r="41" spans="1:1" ht="12.5">
      <c r="A41" s="113"/>
    </row>
    <row r="42" spans="1:1" ht="12.5">
      <c r="A42" s="113"/>
    </row>
    <row r="43" spans="1:1" ht="12.5">
      <c r="A43" s="113"/>
    </row>
    <row r="44" spans="1:1" ht="12.5">
      <c r="A44" s="113"/>
    </row>
    <row r="45" spans="1:1" ht="12.5">
      <c r="A45" s="113"/>
    </row>
    <row r="46" spans="1:1" ht="12.5">
      <c r="A46" s="113"/>
    </row>
    <row r="47" spans="1:1" ht="12.5">
      <c r="A47" s="113"/>
    </row>
    <row r="48" spans="1:1" ht="12.5">
      <c r="A48" s="113"/>
    </row>
    <row r="49" spans="1:1" ht="12.5">
      <c r="A49" s="113"/>
    </row>
    <row r="50" spans="1:1" ht="12.5">
      <c r="A50" s="113"/>
    </row>
    <row r="51" spans="1:1" ht="12.5">
      <c r="A51" s="113"/>
    </row>
    <row r="52" spans="1:1" ht="12.5">
      <c r="A52" s="113"/>
    </row>
    <row r="53" spans="1:1" ht="12.5">
      <c r="A53" s="113"/>
    </row>
    <row r="54" spans="1:1" ht="12.5">
      <c r="A54" s="113"/>
    </row>
    <row r="55" spans="1:1" ht="12.5">
      <c r="A55" s="113"/>
    </row>
    <row r="56" spans="1:1" ht="12.5">
      <c r="A56" s="113"/>
    </row>
    <row r="57" spans="1:1" ht="12.5">
      <c r="A57" s="113"/>
    </row>
    <row r="58" spans="1:1" ht="12.5">
      <c r="A58" s="113"/>
    </row>
    <row r="59" spans="1:1" ht="12.5">
      <c r="A59" s="113"/>
    </row>
    <row r="60" spans="1:1" ht="12.5">
      <c r="A60" s="113"/>
    </row>
    <row r="61" spans="1:1" ht="12.5">
      <c r="A61" s="113"/>
    </row>
    <row r="62" spans="1:1" ht="12.5">
      <c r="A62" s="113"/>
    </row>
    <row r="63" spans="1:1" ht="12.5">
      <c r="A63" s="113"/>
    </row>
    <row r="64" spans="1:1" ht="12.5">
      <c r="A64" s="113"/>
    </row>
    <row r="65" spans="1:1" ht="12.5">
      <c r="A65" s="113"/>
    </row>
    <row r="66" spans="1:1" ht="12.5">
      <c r="A66" s="113"/>
    </row>
    <row r="67" spans="1:1" ht="12.5">
      <c r="A67" s="113"/>
    </row>
    <row r="68" spans="1:1" ht="12.5">
      <c r="A68" s="113"/>
    </row>
    <row r="69" spans="1:1" ht="12.5">
      <c r="A69" s="113"/>
    </row>
    <row r="70" spans="1:1" ht="12.5">
      <c r="A70" s="113"/>
    </row>
    <row r="71" spans="1:1" ht="12.5">
      <c r="A71" s="113"/>
    </row>
    <row r="72" spans="1:1" ht="12.5">
      <c r="A72" s="113"/>
    </row>
    <row r="73" spans="1:1" ht="12.5">
      <c r="A73" s="113"/>
    </row>
    <row r="74" spans="1:1" ht="12.5">
      <c r="A74" s="113"/>
    </row>
    <row r="75" spans="1:1" ht="12.5">
      <c r="A75" s="113"/>
    </row>
    <row r="76" spans="1:1" ht="12.5">
      <c r="A76" s="113"/>
    </row>
    <row r="77" spans="1:1" ht="12.5">
      <c r="A77" s="113"/>
    </row>
    <row r="78" spans="1:1" ht="12.5">
      <c r="A78" s="113"/>
    </row>
    <row r="79" spans="1:1" ht="12.5">
      <c r="A79" s="113"/>
    </row>
    <row r="80" spans="1:1" ht="12.5">
      <c r="A80" s="113"/>
    </row>
    <row r="81" spans="1:1" ht="12.5">
      <c r="A81" s="113"/>
    </row>
    <row r="82" spans="1:1" ht="12.5">
      <c r="A82" s="113"/>
    </row>
    <row r="83" spans="1:1" ht="12.5">
      <c r="A83" s="113"/>
    </row>
    <row r="84" spans="1:1" ht="12.5">
      <c r="A84" s="113"/>
    </row>
    <row r="85" spans="1:1" ht="12.5">
      <c r="A85" s="113"/>
    </row>
    <row r="86" spans="1:1" ht="12.5">
      <c r="A86" s="113"/>
    </row>
    <row r="87" spans="1:1" ht="12.5">
      <c r="A87" s="113"/>
    </row>
    <row r="88" spans="1:1" ht="12.5">
      <c r="A88" s="113"/>
    </row>
    <row r="89" spans="1:1" ht="12.5">
      <c r="A89" s="113"/>
    </row>
    <row r="90" spans="1:1" ht="12.5">
      <c r="A90" s="113"/>
    </row>
    <row r="91" spans="1:1" ht="12.5">
      <c r="A91" s="113"/>
    </row>
    <row r="92" spans="1:1" ht="12.5">
      <c r="A92" s="113"/>
    </row>
    <row r="93" spans="1:1" ht="12.5">
      <c r="A93" s="113"/>
    </row>
    <row r="94" spans="1:1" ht="12.5">
      <c r="A94" s="113"/>
    </row>
    <row r="95" spans="1:1" ht="12.5">
      <c r="A95" s="113"/>
    </row>
    <row r="96" spans="1:1" ht="12.5">
      <c r="A96" s="113"/>
    </row>
    <row r="97" spans="1:1" ht="12.5">
      <c r="A97" s="113"/>
    </row>
    <row r="98" spans="1:1" ht="12.5">
      <c r="A98" s="113"/>
    </row>
    <row r="99" spans="1:1" ht="12.5">
      <c r="A99" s="113"/>
    </row>
    <row r="100" spans="1:1" ht="12.5">
      <c r="A100" s="113"/>
    </row>
    <row r="101" spans="1:1" ht="12.5">
      <c r="A101" s="113"/>
    </row>
    <row r="102" spans="1:1" ht="12.5">
      <c r="A102" s="113"/>
    </row>
    <row r="103" spans="1:1" ht="12.5">
      <c r="A103" s="113"/>
    </row>
    <row r="104" spans="1:1" ht="12.5">
      <c r="A104" s="113"/>
    </row>
    <row r="105" spans="1:1" ht="12.5">
      <c r="A105" s="113"/>
    </row>
    <row r="106" spans="1:1" ht="12.5">
      <c r="A106" s="113"/>
    </row>
    <row r="107" spans="1:1" ht="12.5">
      <c r="A107" s="113"/>
    </row>
    <row r="108" spans="1:1" ht="12.5">
      <c r="A108" s="113"/>
    </row>
    <row r="109" spans="1:1" ht="12.5">
      <c r="A109" s="113"/>
    </row>
    <row r="110" spans="1:1" ht="12.5">
      <c r="A110" s="113"/>
    </row>
    <row r="111" spans="1:1" ht="12.5">
      <c r="A111" s="113"/>
    </row>
    <row r="112" spans="1:1" ht="12.5">
      <c r="A112" s="113"/>
    </row>
    <row r="113" spans="1:1" ht="12.5">
      <c r="A113" s="113"/>
    </row>
    <row r="114" spans="1:1" ht="12.5">
      <c r="A114" s="113"/>
    </row>
    <row r="115" spans="1:1" ht="12.5">
      <c r="A115" s="113"/>
    </row>
    <row r="116" spans="1:1" ht="12.5">
      <c r="A116" s="113"/>
    </row>
    <row r="117" spans="1:1" ht="12.5">
      <c r="A117" s="113"/>
    </row>
    <row r="118" spans="1:1" ht="12.5">
      <c r="A118" s="113"/>
    </row>
    <row r="119" spans="1:1" ht="12.5">
      <c r="A119" s="113"/>
    </row>
    <row r="120" spans="1:1" ht="12.5">
      <c r="A120" s="113"/>
    </row>
    <row r="121" spans="1:1" ht="12.5">
      <c r="A121" s="113"/>
    </row>
    <row r="122" spans="1:1" ht="12.5">
      <c r="A122" s="113"/>
    </row>
    <row r="123" spans="1:1" ht="12.5">
      <c r="A123" s="113"/>
    </row>
    <row r="124" spans="1:1" ht="12.5">
      <c r="A124" s="113"/>
    </row>
    <row r="125" spans="1:1" ht="12.5">
      <c r="A125" s="113"/>
    </row>
    <row r="126" spans="1:1" ht="12.5">
      <c r="A126" s="113"/>
    </row>
    <row r="127" spans="1:1" ht="12.5">
      <c r="A127" s="113"/>
    </row>
    <row r="128" spans="1:1" ht="12.5">
      <c r="A128" s="113"/>
    </row>
    <row r="129" spans="1:1" ht="12.5">
      <c r="A129" s="113"/>
    </row>
    <row r="130" spans="1:1" ht="12.5">
      <c r="A130" s="113"/>
    </row>
    <row r="131" spans="1:1" ht="12.5">
      <c r="A131" s="113"/>
    </row>
    <row r="132" spans="1:1" ht="12.5">
      <c r="A132" s="113"/>
    </row>
    <row r="133" spans="1:1" ht="12.5">
      <c r="A133" s="113"/>
    </row>
    <row r="134" spans="1:1" ht="12.5">
      <c r="A134" s="113"/>
    </row>
    <row r="135" spans="1:1" ht="12.5">
      <c r="A135" s="113"/>
    </row>
    <row r="136" spans="1:1" ht="12.5">
      <c r="A136" s="113"/>
    </row>
    <row r="137" spans="1:1" ht="12.5">
      <c r="A137" s="113"/>
    </row>
    <row r="138" spans="1:1" ht="12.5">
      <c r="A138" s="113"/>
    </row>
    <row r="139" spans="1:1" ht="12.5">
      <c r="A139" s="113"/>
    </row>
    <row r="140" spans="1:1" ht="12.5">
      <c r="A140" s="113"/>
    </row>
    <row r="141" spans="1:1" ht="12.5">
      <c r="A141" s="113"/>
    </row>
    <row r="142" spans="1:1" ht="12.5">
      <c r="A142" s="113"/>
    </row>
    <row r="143" spans="1:1" ht="12.5">
      <c r="A143" s="113"/>
    </row>
    <row r="144" spans="1:1" ht="12.5">
      <c r="A144" s="113"/>
    </row>
    <row r="145" spans="1:1" ht="12.5">
      <c r="A145" s="113"/>
    </row>
    <row r="146" spans="1:1" ht="12.5">
      <c r="A146" s="113"/>
    </row>
    <row r="147" spans="1:1" ht="12.5">
      <c r="A147" s="113"/>
    </row>
    <row r="148" spans="1:1" ht="12.5">
      <c r="A148" s="113"/>
    </row>
    <row r="149" spans="1:1" ht="12.5">
      <c r="A149" s="113"/>
    </row>
    <row r="150" spans="1:1" ht="12.5">
      <c r="A150" s="113"/>
    </row>
    <row r="151" spans="1:1" ht="12.5">
      <c r="A151" s="113"/>
    </row>
    <row r="152" spans="1:1" ht="12.5">
      <c r="A152" s="113"/>
    </row>
    <row r="153" spans="1:1" ht="12.5">
      <c r="A153" s="113"/>
    </row>
    <row r="154" spans="1:1" ht="12.5">
      <c r="A154" s="113"/>
    </row>
    <row r="155" spans="1:1" ht="12.5">
      <c r="A155" s="113"/>
    </row>
    <row r="156" spans="1:1" ht="12.5">
      <c r="A156" s="113"/>
    </row>
    <row r="157" spans="1:1" ht="12.5">
      <c r="A157" s="113"/>
    </row>
    <row r="158" spans="1:1" ht="12.5">
      <c r="A158" s="113"/>
    </row>
    <row r="159" spans="1:1" ht="12.5">
      <c r="A159" s="113"/>
    </row>
    <row r="160" spans="1:1" ht="12.5">
      <c r="A160" s="113"/>
    </row>
    <row r="161" spans="1:1" ht="12.5">
      <c r="A161" s="113"/>
    </row>
    <row r="162" spans="1:1" ht="12.5">
      <c r="A162" s="113"/>
    </row>
    <row r="163" spans="1:1" ht="12.5">
      <c r="A163" s="113"/>
    </row>
    <row r="164" spans="1:1" ht="12.5">
      <c r="A164" s="113"/>
    </row>
    <row r="165" spans="1:1" ht="12.5">
      <c r="A165" s="113"/>
    </row>
    <row r="166" spans="1:1" ht="12.5">
      <c r="A166" s="113"/>
    </row>
    <row r="167" spans="1:1" ht="12.5">
      <c r="A167" s="113"/>
    </row>
    <row r="168" spans="1:1" ht="12.5">
      <c r="A168" s="113"/>
    </row>
    <row r="169" spans="1:1" ht="12.5">
      <c r="A169" s="113"/>
    </row>
    <row r="170" spans="1:1" ht="12.5">
      <c r="A170" s="113"/>
    </row>
    <row r="171" spans="1:1" ht="12.5">
      <c r="A171" s="113"/>
    </row>
    <row r="172" spans="1:1" ht="12.5">
      <c r="A172" s="113"/>
    </row>
    <row r="173" spans="1:1" ht="12.5">
      <c r="A173" s="113"/>
    </row>
    <row r="174" spans="1:1" ht="12.5">
      <c r="A174" s="113"/>
    </row>
    <row r="175" spans="1:1" ht="12.5">
      <c r="A175" s="113"/>
    </row>
    <row r="176" spans="1:1" ht="12.5">
      <c r="A176" s="113"/>
    </row>
    <row r="177" spans="1:1" ht="12.5">
      <c r="A177" s="113"/>
    </row>
    <row r="178" spans="1:1" ht="12.5">
      <c r="A178" s="113"/>
    </row>
    <row r="179" spans="1:1" ht="12.5">
      <c r="A179" s="113"/>
    </row>
    <row r="180" spans="1:1" ht="12.5">
      <c r="A180" s="113"/>
    </row>
    <row r="181" spans="1:1" ht="12.5">
      <c r="A181" s="113"/>
    </row>
    <row r="182" spans="1:1" ht="12.5">
      <c r="A182" s="113"/>
    </row>
    <row r="183" spans="1:1" ht="12.5">
      <c r="A183" s="113"/>
    </row>
    <row r="184" spans="1:1" ht="12.5">
      <c r="A184" s="113"/>
    </row>
    <row r="185" spans="1:1" ht="12.5">
      <c r="A185" s="113"/>
    </row>
    <row r="186" spans="1:1" ht="12.5">
      <c r="A186" s="113"/>
    </row>
    <row r="187" spans="1:1" ht="12.5">
      <c r="A187" s="113"/>
    </row>
    <row r="188" spans="1:1" ht="12.5">
      <c r="A188" s="113"/>
    </row>
    <row r="189" spans="1:1" ht="12.5">
      <c r="A189" s="113"/>
    </row>
    <row r="190" spans="1:1" ht="12.5">
      <c r="A190" s="113"/>
    </row>
    <row r="191" spans="1:1" ht="12.5">
      <c r="A191" s="113"/>
    </row>
    <row r="192" spans="1:1" ht="12.5">
      <c r="A192" s="113"/>
    </row>
    <row r="193" spans="1:1" ht="12.5">
      <c r="A193" s="113"/>
    </row>
    <row r="194" spans="1:1" ht="12.5">
      <c r="A194" s="113"/>
    </row>
    <row r="195" spans="1:1" ht="12.5">
      <c r="A195" s="113"/>
    </row>
    <row r="196" spans="1:1" ht="12.5">
      <c r="A196" s="113"/>
    </row>
    <row r="197" spans="1:1" ht="12.5">
      <c r="A197" s="113"/>
    </row>
    <row r="198" spans="1:1" ht="12.5">
      <c r="A198" s="113"/>
    </row>
    <row r="199" spans="1:1" ht="12.5">
      <c r="A199" s="113"/>
    </row>
    <row r="200" spans="1:1" ht="12.5">
      <c r="A200" s="113"/>
    </row>
    <row r="201" spans="1:1" ht="12.5">
      <c r="A201" s="113"/>
    </row>
    <row r="202" spans="1:1" ht="12.5">
      <c r="A202" s="113"/>
    </row>
    <row r="203" spans="1:1" ht="12.5">
      <c r="A203" s="113"/>
    </row>
    <row r="204" spans="1:1" ht="12.5">
      <c r="A204" s="113"/>
    </row>
    <row r="205" spans="1:1" ht="12.5">
      <c r="A205" s="113"/>
    </row>
    <row r="206" spans="1:1" ht="12.5">
      <c r="A206" s="113"/>
    </row>
    <row r="207" spans="1:1" ht="12.5">
      <c r="A207" s="113"/>
    </row>
    <row r="208" spans="1:1" ht="12.5">
      <c r="A208" s="113"/>
    </row>
    <row r="209" spans="1:1" ht="12.5">
      <c r="A209" s="113"/>
    </row>
    <row r="210" spans="1:1" ht="12.5">
      <c r="A210" s="113"/>
    </row>
    <row r="211" spans="1:1" ht="12.5">
      <c r="A211" s="113"/>
    </row>
    <row r="212" spans="1:1" ht="12.5">
      <c r="A212" s="113"/>
    </row>
    <row r="213" spans="1:1" ht="12.5">
      <c r="A213" s="113"/>
    </row>
    <row r="214" spans="1:1" ht="12.5">
      <c r="A214" s="113"/>
    </row>
    <row r="215" spans="1:1" ht="12.5">
      <c r="A215" s="113"/>
    </row>
    <row r="216" spans="1:1" ht="12.5">
      <c r="A216" s="113"/>
    </row>
    <row r="217" spans="1:1" ht="12.5">
      <c r="A217" s="113"/>
    </row>
    <row r="218" spans="1:1" ht="12.5">
      <c r="A218" s="113"/>
    </row>
    <row r="219" spans="1:1" ht="12.5">
      <c r="A219" s="113"/>
    </row>
    <row r="220" spans="1:1" ht="12.5">
      <c r="A220" s="113"/>
    </row>
    <row r="221" spans="1:1" ht="12.5">
      <c r="A221" s="113"/>
    </row>
    <row r="222" spans="1:1" ht="12.5">
      <c r="A222" s="113"/>
    </row>
    <row r="223" spans="1:1" ht="12.5">
      <c r="A223" s="113"/>
    </row>
    <row r="224" spans="1:1" ht="12.5">
      <c r="A224" s="113"/>
    </row>
    <row r="225" spans="1:1" ht="12.5">
      <c r="A225" s="113"/>
    </row>
    <row r="226" spans="1:1" ht="12.5">
      <c r="A226" s="113"/>
    </row>
    <row r="227" spans="1:1" ht="12.5">
      <c r="A227" s="113"/>
    </row>
    <row r="228" spans="1:1" ht="12.5">
      <c r="A228" s="113"/>
    </row>
    <row r="229" spans="1:1" ht="12.5">
      <c r="A229" s="113"/>
    </row>
    <row r="230" spans="1:1" ht="12.5">
      <c r="A230" s="113"/>
    </row>
    <row r="231" spans="1:1" ht="12.5">
      <c r="A231" s="113"/>
    </row>
    <row r="232" spans="1:1" ht="12.5">
      <c r="A232" s="113"/>
    </row>
    <row r="233" spans="1:1" ht="12.5">
      <c r="A233" s="113"/>
    </row>
    <row r="234" spans="1:1" ht="12.5">
      <c r="A234" s="113"/>
    </row>
    <row r="235" spans="1:1" ht="12.5">
      <c r="A235" s="113"/>
    </row>
    <row r="236" spans="1:1" ht="12.5">
      <c r="A236" s="113"/>
    </row>
    <row r="237" spans="1:1" ht="12.5">
      <c r="A237" s="113"/>
    </row>
    <row r="238" spans="1:1" ht="12.5">
      <c r="A238" s="113"/>
    </row>
    <row r="239" spans="1:1" ht="12.5">
      <c r="A239" s="113"/>
    </row>
    <row r="240" spans="1:1" ht="12.5">
      <c r="A240" s="113"/>
    </row>
    <row r="241" spans="1:1" ht="12.5">
      <c r="A241" s="113"/>
    </row>
    <row r="242" spans="1:1" ht="12.5">
      <c r="A242" s="113"/>
    </row>
    <row r="243" spans="1:1" ht="12.5">
      <c r="A243" s="113"/>
    </row>
    <row r="244" spans="1:1" ht="12.5">
      <c r="A244" s="113"/>
    </row>
    <row r="245" spans="1:1" ht="12.5">
      <c r="A245" s="113"/>
    </row>
    <row r="246" spans="1:1" ht="12.5">
      <c r="A246" s="113"/>
    </row>
    <row r="247" spans="1:1" ht="12.5">
      <c r="A247" s="113"/>
    </row>
    <row r="248" spans="1:1" ht="12.5">
      <c r="A248" s="113"/>
    </row>
    <row r="249" spans="1:1" ht="12.5">
      <c r="A249" s="113"/>
    </row>
    <row r="250" spans="1:1" ht="12.5">
      <c r="A250" s="113"/>
    </row>
    <row r="251" spans="1:1" ht="12.5">
      <c r="A251" s="113"/>
    </row>
    <row r="252" spans="1:1" ht="12.5">
      <c r="A252" s="113"/>
    </row>
    <row r="253" spans="1:1" ht="12.5">
      <c r="A253" s="113"/>
    </row>
    <row r="254" spans="1:1" ht="12.5">
      <c r="A254" s="113"/>
    </row>
    <row r="255" spans="1:1" ht="12.5">
      <c r="A255" s="113"/>
    </row>
    <row r="256" spans="1:1" ht="12.5">
      <c r="A256" s="113"/>
    </row>
    <row r="257" spans="1:1" ht="12.5">
      <c r="A257" s="113"/>
    </row>
    <row r="258" spans="1:1" ht="12.5">
      <c r="A258" s="113"/>
    </row>
    <row r="259" spans="1:1" ht="12.5">
      <c r="A259" s="113"/>
    </row>
    <row r="260" spans="1:1" ht="12.5">
      <c r="A260" s="113"/>
    </row>
    <row r="261" spans="1:1" ht="12.5">
      <c r="A261" s="113"/>
    </row>
    <row r="262" spans="1:1" ht="12.5">
      <c r="A262" s="113"/>
    </row>
    <row r="263" spans="1:1" ht="12.5">
      <c r="A263" s="113"/>
    </row>
    <row r="264" spans="1:1" ht="12.5">
      <c r="A264" s="113"/>
    </row>
    <row r="265" spans="1:1" ht="12.5">
      <c r="A265" s="113"/>
    </row>
    <row r="266" spans="1:1" ht="12.5">
      <c r="A266" s="113"/>
    </row>
    <row r="267" spans="1:1" ht="12.5">
      <c r="A267" s="113"/>
    </row>
    <row r="268" spans="1:1" ht="12.5">
      <c r="A268" s="113"/>
    </row>
    <row r="269" spans="1:1" ht="12.5">
      <c r="A269" s="113"/>
    </row>
    <row r="270" spans="1:1" ht="12.5">
      <c r="A270" s="113"/>
    </row>
    <row r="271" spans="1:1" ht="12.5">
      <c r="A271" s="113"/>
    </row>
    <row r="272" spans="1:1" ht="12.5">
      <c r="A272" s="113"/>
    </row>
    <row r="273" spans="1:1" ht="12.5">
      <c r="A273" s="113"/>
    </row>
    <row r="274" spans="1:1" ht="12.5">
      <c r="A274" s="113"/>
    </row>
    <row r="275" spans="1:1" ht="12.5">
      <c r="A275" s="113"/>
    </row>
    <row r="276" spans="1:1" ht="12.5">
      <c r="A276" s="113"/>
    </row>
    <row r="277" spans="1:1" ht="12.5">
      <c r="A277" s="113"/>
    </row>
    <row r="278" spans="1:1" ht="12.5">
      <c r="A278" s="113"/>
    </row>
    <row r="279" spans="1:1" ht="12.5">
      <c r="A279" s="113"/>
    </row>
    <row r="280" spans="1:1" ht="12.5">
      <c r="A280" s="113"/>
    </row>
    <row r="281" spans="1:1" ht="12.5">
      <c r="A281" s="113"/>
    </row>
    <row r="282" spans="1:1" ht="12.5">
      <c r="A282" s="113"/>
    </row>
    <row r="283" spans="1:1" ht="12.5">
      <c r="A283" s="113"/>
    </row>
    <row r="284" spans="1:1" ht="12.5">
      <c r="A284" s="113"/>
    </row>
    <row r="285" spans="1:1" ht="12.5">
      <c r="A285" s="113"/>
    </row>
    <row r="286" spans="1:1" ht="12.5">
      <c r="A286" s="113"/>
    </row>
    <row r="287" spans="1:1" ht="12.5">
      <c r="A287" s="113"/>
    </row>
    <row r="288" spans="1:1" ht="12.5">
      <c r="A288" s="113"/>
    </row>
    <row r="289" spans="1:1" ht="12.5">
      <c r="A289" s="113"/>
    </row>
    <row r="290" spans="1:1" ht="12.5">
      <c r="A290" s="113"/>
    </row>
    <row r="291" spans="1:1" ht="12.5">
      <c r="A291" s="113"/>
    </row>
    <row r="292" spans="1:1" ht="12.5">
      <c r="A292" s="113"/>
    </row>
    <row r="293" spans="1:1" ht="12.5">
      <c r="A293" s="113"/>
    </row>
    <row r="294" spans="1:1" ht="12.5">
      <c r="A294" s="113"/>
    </row>
    <row r="295" spans="1:1" ht="12.5">
      <c r="A295" s="113"/>
    </row>
    <row r="296" spans="1:1" ht="12.5">
      <c r="A296" s="113"/>
    </row>
    <row r="297" spans="1:1" ht="12.5">
      <c r="A297" s="113"/>
    </row>
    <row r="298" spans="1:1" ht="12.5">
      <c r="A298" s="113"/>
    </row>
    <row r="299" spans="1:1" ht="12.5">
      <c r="A299" s="113"/>
    </row>
    <row r="300" spans="1:1" ht="12.5">
      <c r="A300" s="113"/>
    </row>
    <row r="301" spans="1:1" ht="12.5">
      <c r="A301" s="113"/>
    </row>
    <row r="302" spans="1:1" ht="12.5">
      <c r="A302" s="113"/>
    </row>
    <row r="303" spans="1:1" ht="12.5">
      <c r="A303" s="113"/>
    </row>
    <row r="304" spans="1:1" ht="12.5">
      <c r="A304" s="113"/>
    </row>
    <row r="305" spans="1:1" ht="12.5">
      <c r="A305" s="113"/>
    </row>
    <row r="306" spans="1:1" ht="12.5">
      <c r="A306" s="113"/>
    </row>
    <row r="307" spans="1:1" ht="12.5">
      <c r="A307" s="113"/>
    </row>
    <row r="308" spans="1:1" ht="12.5">
      <c r="A308" s="113"/>
    </row>
    <row r="309" spans="1:1" ht="12.5">
      <c r="A309" s="113"/>
    </row>
    <row r="310" spans="1:1" ht="12.5">
      <c r="A310" s="113"/>
    </row>
    <row r="311" spans="1:1" ht="12.5">
      <c r="A311" s="113"/>
    </row>
    <row r="312" spans="1:1" ht="12.5">
      <c r="A312" s="113"/>
    </row>
    <row r="313" spans="1:1" ht="12.5">
      <c r="A313" s="113"/>
    </row>
    <row r="314" spans="1:1" ht="12.5">
      <c r="A314" s="113"/>
    </row>
    <row r="315" spans="1:1" ht="12.5">
      <c r="A315" s="113"/>
    </row>
    <row r="316" spans="1:1" ht="12.5">
      <c r="A316" s="113"/>
    </row>
    <row r="317" spans="1:1" ht="12.5">
      <c r="A317" s="113"/>
    </row>
    <row r="318" spans="1:1" ht="12.5">
      <c r="A318" s="113"/>
    </row>
    <row r="319" spans="1:1" ht="12.5">
      <c r="A319" s="113"/>
    </row>
    <row r="320" spans="1:1" ht="12.5">
      <c r="A320" s="113"/>
    </row>
    <row r="321" spans="1:1" ht="12.5">
      <c r="A321" s="113"/>
    </row>
    <row r="322" spans="1:1" ht="12.5">
      <c r="A322" s="113"/>
    </row>
    <row r="323" spans="1:1" ht="12.5">
      <c r="A323" s="113"/>
    </row>
    <row r="324" spans="1:1" ht="12.5">
      <c r="A324" s="113"/>
    </row>
    <row r="325" spans="1:1" ht="12.5">
      <c r="A325" s="113"/>
    </row>
    <row r="326" spans="1:1" ht="12.5">
      <c r="A326" s="113"/>
    </row>
    <row r="327" spans="1:1" ht="12.5">
      <c r="A327" s="113"/>
    </row>
    <row r="328" spans="1:1" ht="12.5">
      <c r="A328" s="113"/>
    </row>
    <row r="329" spans="1:1" ht="12.5">
      <c r="A329" s="113"/>
    </row>
    <row r="330" spans="1:1" ht="12.5">
      <c r="A330" s="113"/>
    </row>
    <row r="331" spans="1:1" ht="12.5">
      <c r="A331" s="113"/>
    </row>
    <row r="332" spans="1:1" ht="12.5">
      <c r="A332" s="113"/>
    </row>
    <row r="333" spans="1:1" ht="12.5">
      <c r="A333" s="113"/>
    </row>
    <row r="334" spans="1:1" ht="12.5">
      <c r="A334" s="113"/>
    </row>
    <row r="335" spans="1:1" ht="12.5">
      <c r="A335" s="113"/>
    </row>
    <row r="336" spans="1:1" ht="12.5">
      <c r="A336" s="113"/>
    </row>
    <row r="337" spans="1:1" ht="12.5">
      <c r="A337" s="113"/>
    </row>
    <row r="338" spans="1:1" ht="12.5">
      <c r="A338" s="113"/>
    </row>
    <row r="339" spans="1:1" ht="12.5">
      <c r="A339" s="113"/>
    </row>
    <row r="340" spans="1:1" ht="12.5">
      <c r="A340" s="113"/>
    </row>
    <row r="341" spans="1:1" ht="12.5">
      <c r="A341" s="113"/>
    </row>
    <row r="342" spans="1:1" ht="12.5">
      <c r="A342" s="113"/>
    </row>
    <row r="343" spans="1:1" ht="12.5">
      <c r="A343" s="113"/>
    </row>
    <row r="344" spans="1:1" ht="12.5">
      <c r="A344" s="113"/>
    </row>
    <row r="345" spans="1:1" ht="12.5">
      <c r="A345" s="113"/>
    </row>
    <row r="346" spans="1:1" ht="12.5">
      <c r="A346" s="113"/>
    </row>
    <row r="347" spans="1:1" ht="12.5">
      <c r="A347" s="113"/>
    </row>
    <row r="348" spans="1:1" ht="12.5">
      <c r="A348" s="113"/>
    </row>
    <row r="349" spans="1:1" ht="12.5">
      <c r="A349" s="113"/>
    </row>
    <row r="350" spans="1:1" ht="12.5">
      <c r="A350" s="113"/>
    </row>
    <row r="351" spans="1:1" ht="12.5">
      <c r="A351" s="113"/>
    </row>
    <row r="352" spans="1:1" ht="12.5">
      <c r="A352" s="113"/>
    </row>
    <row r="353" spans="1:1" ht="12.5">
      <c r="A353" s="113"/>
    </row>
    <row r="354" spans="1:1" ht="12.5">
      <c r="A354" s="113"/>
    </row>
    <row r="355" spans="1:1" ht="12.5">
      <c r="A355" s="113"/>
    </row>
    <row r="356" spans="1:1" ht="12.5">
      <c r="A356" s="113"/>
    </row>
    <row r="357" spans="1:1" ht="12.5">
      <c r="A357" s="113"/>
    </row>
    <row r="358" spans="1:1" ht="12.5">
      <c r="A358" s="113"/>
    </row>
    <row r="359" spans="1:1" ht="12.5">
      <c r="A359" s="113"/>
    </row>
    <row r="360" spans="1:1" ht="12.5">
      <c r="A360" s="113"/>
    </row>
    <row r="361" spans="1:1" ht="12.5">
      <c r="A361" s="113"/>
    </row>
    <row r="362" spans="1:1" ht="12.5">
      <c r="A362" s="113"/>
    </row>
    <row r="363" spans="1:1" ht="12.5">
      <c r="A363" s="113"/>
    </row>
    <row r="364" spans="1:1" ht="12.5">
      <c r="A364" s="113"/>
    </row>
    <row r="365" spans="1:1" ht="12.5">
      <c r="A365" s="113"/>
    </row>
    <row r="366" spans="1:1" ht="12.5">
      <c r="A366" s="113"/>
    </row>
    <row r="367" spans="1:1" ht="12.5">
      <c r="A367" s="113"/>
    </row>
    <row r="368" spans="1:1" ht="12.5">
      <c r="A368" s="113"/>
    </row>
    <row r="369" spans="1:1" ht="12.5">
      <c r="A369" s="113"/>
    </row>
    <row r="370" spans="1:1" ht="12.5">
      <c r="A370" s="113"/>
    </row>
    <row r="371" spans="1:1" ht="12.5">
      <c r="A371" s="113"/>
    </row>
    <row r="372" spans="1:1" ht="12.5">
      <c r="A372" s="113"/>
    </row>
    <row r="373" spans="1:1" ht="12.5">
      <c r="A373" s="113"/>
    </row>
    <row r="374" spans="1:1" ht="12.5">
      <c r="A374" s="113"/>
    </row>
    <row r="375" spans="1:1" ht="12.5">
      <c r="A375" s="113"/>
    </row>
    <row r="376" spans="1:1" ht="12.5">
      <c r="A376" s="113"/>
    </row>
    <row r="377" spans="1:1" ht="12.5">
      <c r="A377" s="113"/>
    </row>
    <row r="378" spans="1:1" ht="12.5">
      <c r="A378" s="113"/>
    </row>
    <row r="379" spans="1:1" ht="12.5">
      <c r="A379" s="113"/>
    </row>
    <row r="380" spans="1:1" ht="12.5">
      <c r="A380" s="113"/>
    </row>
    <row r="381" spans="1:1" ht="12.5">
      <c r="A381" s="113"/>
    </row>
    <row r="382" spans="1:1" ht="12.5">
      <c r="A382" s="113"/>
    </row>
    <row r="383" spans="1:1" ht="12.5">
      <c r="A383" s="113"/>
    </row>
    <row r="384" spans="1:1" ht="12.5">
      <c r="A384" s="113"/>
    </row>
    <row r="385" spans="1:1" ht="12.5">
      <c r="A385" s="113"/>
    </row>
    <row r="386" spans="1:1" ht="12.5">
      <c r="A386" s="113"/>
    </row>
    <row r="387" spans="1:1" ht="12.5">
      <c r="A387" s="113"/>
    </row>
    <row r="388" spans="1:1" ht="12.5">
      <c r="A388" s="113"/>
    </row>
    <row r="389" spans="1:1" ht="12.5">
      <c r="A389" s="113"/>
    </row>
    <row r="390" spans="1:1" ht="12.5">
      <c r="A390" s="113"/>
    </row>
    <row r="391" spans="1:1" ht="12.5">
      <c r="A391" s="113"/>
    </row>
    <row r="392" spans="1:1" ht="12.5">
      <c r="A392" s="113"/>
    </row>
    <row r="393" spans="1:1" ht="12.5">
      <c r="A393" s="113"/>
    </row>
    <row r="394" spans="1:1" ht="12.5">
      <c r="A394" s="113"/>
    </row>
    <row r="395" spans="1:1" ht="12.5">
      <c r="A395" s="113"/>
    </row>
    <row r="396" spans="1:1" ht="12.5">
      <c r="A396" s="113"/>
    </row>
    <row r="397" spans="1:1" ht="12.5">
      <c r="A397" s="113"/>
    </row>
    <row r="398" spans="1:1" ht="12.5">
      <c r="A398" s="113"/>
    </row>
    <row r="399" spans="1:1" ht="12.5">
      <c r="A399" s="113"/>
    </row>
    <row r="400" spans="1:1" ht="12.5">
      <c r="A400" s="113"/>
    </row>
    <row r="401" spans="1:1" ht="12.5">
      <c r="A401" s="113"/>
    </row>
    <row r="402" spans="1:1" ht="12.5">
      <c r="A402" s="113"/>
    </row>
    <row r="403" spans="1:1" ht="12.5">
      <c r="A403" s="113"/>
    </row>
    <row r="404" spans="1:1" ht="12.5">
      <c r="A404" s="113"/>
    </row>
    <row r="405" spans="1:1" ht="12.5">
      <c r="A405" s="113"/>
    </row>
    <row r="406" spans="1:1" ht="12.5">
      <c r="A406" s="113"/>
    </row>
    <row r="407" spans="1:1" ht="12.5">
      <c r="A407" s="113"/>
    </row>
    <row r="408" spans="1:1" ht="12.5">
      <c r="A408" s="113"/>
    </row>
    <row r="409" spans="1:1" ht="12.5">
      <c r="A409" s="113"/>
    </row>
    <row r="410" spans="1:1" ht="12.5">
      <c r="A410" s="113"/>
    </row>
    <row r="411" spans="1:1" ht="12.5">
      <c r="A411" s="113"/>
    </row>
    <row r="412" spans="1:1" ht="12.5">
      <c r="A412" s="113"/>
    </row>
    <row r="413" spans="1:1" ht="12.5">
      <c r="A413" s="113"/>
    </row>
    <row r="414" spans="1:1" ht="12.5">
      <c r="A414" s="113"/>
    </row>
    <row r="415" spans="1:1" ht="12.5">
      <c r="A415" s="113"/>
    </row>
    <row r="416" spans="1:1" ht="12.5">
      <c r="A416" s="113"/>
    </row>
    <row r="417" spans="1:1" ht="12.5">
      <c r="A417" s="113"/>
    </row>
    <row r="418" spans="1:1" ht="12.5">
      <c r="A418" s="113"/>
    </row>
    <row r="419" spans="1:1" ht="12.5">
      <c r="A419" s="113"/>
    </row>
    <row r="420" spans="1:1" ht="12.5">
      <c r="A420" s="113"/>
    </row>
    <row r="421" spans="1:1" ht="12.5">
      <c r="A421" s="113"/>
    </row>
    <row r="422" spans="1:1" ht="12.5">
      <c r="A422" s="113"/>
    </row>
    <row r="423" spans="1:1" ht="12.5">
      <c r="A423" s="113"/>
    </row>
    <row r="424" spans="1:1" ht="12.5">
      <c r="A424" s="113"/>
    </row>
    <row r="425" spans="1:1" ht="12.5">
      <c r="A425" s="113"/>
    </row>
    <row r="426" spans="1:1" ht="12.5">
      <c r="A426" s="113"/>
    </row>
    <row r="427" spans="1:1" ht="12.5">
      <c r="A427" s="113"/>
    </row>
    <row r="428" spans="1:1" ht="12.5">
      <c r="A428" s="113"/>
    </row>
    <row r="429" spans="1:1" ht="12.5">
      <c r="A429" s="113"/>
    </row>
    <row r="430" spans="1:1" ht="12.5">
      <c r="A430" s="113"/>
    </row>
    <row r="431" spans="1:1" ht="12.5">
      <c r="A431" s="113"/>
    </row>
    <row r="432" spans="1:1" ht="12.5">
      <c r="A432" s="113"/>
    </row>
    <row r="433" spans="1:1" ht="12.5">
      <c r="A433" s="113"/>
    </row>
    <row r="434" spans="1:1" ht="12.5">
      <c r="A434" s="113"/>
    </row>
    <row r="435" spans="1:1" ht="12.5">
      <c r="A435" s="113"/>
    </row>
    <row r="436" spans="1:1" ht="12.5">
      <c r="A436" s="113"/>
    </row>
    <row r="437" spans="1:1" ht="12.5">
      <c r="A437" s="113"/>
    </row>
    <row r="438" spans="1:1" ht="12.5">
      <c r="A438" s="113"/>
    </row>
    <row r="439" spans="1:1" ht="12.5">
      <c r="A439" s="113"/>
    </row>
    <row r="440" spans="1:1" ht="12.5">
      <c r="A440" s="113"/>
    </row>
    <row r="441" spans="1:1" ht="12.5">
      <c r="A441" s="113"/>
    </row>
    <row r="442" spans="1:1" ht="12.5">
      <c r="A442" s="113"/>
    </row>
    <row r="443" spans="1:1" ht="12.5">
      <c r="A443" s="113"/>
    </row>
    <row r="444" spans="1:1" ht="12.5">
      <c r="A444" s="113"/>
    </row>
    <row r="445" spans="1:1" ht="12.5">
      <c r="A445" s="113"/>
    </row>
    <row r="446" spans="1:1" ht="12.5">
      <c r="A446" s="113"/>
    </row>
    <row r="447" spans="1:1" ht="12.5">
      <c r="A447" s="113"/>
    </row>
    <row r="448" spans="1:1" ht="12.5">
      <c r="A448" s="113"/>
    </row>
    <row r="449" spans="1:1" ht="12.5">
      <c r="A449" s="113"/>
    </row>
    <row r="450" spans="1:1" ht="12.5">
      <c r="A450" s="113"/>
    </row>
    <row r="451" spans="1:1" ht="12.5">
      <c r="A451" s="113"/>
    </row>
    <row r="452" spans="1:1" ht="12.5">
      <c r="A452" s="113"/>
    </row>
    <row r="453" spans="1:1" ht="12.5">
      <c r="A453" s="113"/>
    </row>
    <row r="454" spans="1:1" ht="12.5">
      <c r="A454" s="113"/>
    </row>
    <row r="455" spans="1:1" ht="12.5">
      <c r="A455" s="113"/>
    </row>
    <row r="456" spans="1:1" ht="12.5">
      <c r="A456" s="113"/>
    </row>
    <row r="457" spans="1:1" ht="12.5">
      <c r="A457" s="113"/>
    </row>
    <row r="458" spans="1:1" ht="12.5">
      <c r="A458" s="113"/>
    </row>
    <row r="459" spans="1:1" ht="12.5">
      <c r="A459" s="113"/>
    </row>
    <row r="460" spans="1:1" ht="12.5">
      <c r="A460" s="113"/>
    </row>
    <row r="461" spans="1:1" ht="12.5">
      <c r="A461" s="113"/>
    </row>
    <row r="462" spans="1:1" ht="12.5">
      <c r="A462" s="113"/>
    </row>
    <row r="463" spans="1:1" ht="12.5">
      <c r="A463" s="113"/>
    </row>
    <row r="464" spans="1:1" ht="12.5">
      <c r="A464" s="113"/>
    </row>
    <row r="465" spans="1:1" ht="12.5">
      <c r="A465" s="113"/>
    </row>
    <row r="466" spans="1:1" ht="12.5">
      <c r="A466" s="113"/>
    </row>
    <row r="467" spans="1:1" ht="12.5">
      <c r="A467" s="113"/>
    </row>
    <row r="468" spans="1:1" ht="12.5">
      <c r="A468" s="113"/>
    </row>
    <row r="469" spans="1:1" ht="12.5">
      <c r="A469" s="113"/>
    </row>
    <row r="470" spans="1:1" ht="12.5">
      <c r="A470" s="113"/>
    </row>
    <row r="471" spans="1:1" ht="12.5">
      <c r="A471" s="113"/>
    </row>
    <row r="472" spans="1:1" ht="12.5">
      <c r="A472" s="113"/>
    </row>
    <row r="473" spans="1:1" ht="12.5">
      <c r="A473" s="113"/>
    </row>
    <row r="474" spans="1:1" ht="12.5">
      <c r="A474" s="113"/>
    </row>
    <row r="475" spans="1:1" ht="12.5">
      <c r="A475" s="113"/>
    </row>
    <row r="476" spans="1:1" ht="12.5">
      <c r="A476" s="113"/>
    </row>
    <row r="477" spans="1:1" ht="12.5">
      <c r="A477" s="113"/>
    </row>
    <row r="478" spans="1:1" ht="12.5">
      <c r="A478" s="113"/>
    </row>
    <row r="479" spans="1:1" ht="12.5">
      <c r="A479" s="113"/>
    </row>
    <row r="480" spans="1:1" ht="12.5">
      <c r="A480" s="113"/>
    </row>
    <row r="481" spans="1:1" ht="12.5">
      <c r="A481" s="113"/>
    </row>
    <row r="482" spans="1:1" ht="12.5">
      <c r="A482" s="113"/>
    </row>
    <row r="483" spans="1:1" ht="12.5">
      <c r="A483" s="113"/>
    </row>
    <row r="484" spans="1:1" ht="12.5">
      <c r="A484" s="113"/>
    </row>
    <row r="485" spans="1:1" ht="12.5">
      <c r="A485" s="113"/>
    </row>
    <row r="486" spans="1:1" ht="12.5">
      <c r="A486" s="113"/>
    </row>
    <row r="487" spans="1:1" ht="12.5">
      <c r="A487" s="113"/>
    </row>
    <row r="488" spans="1:1" ht="12.5">
      <c r="A488" s="113"/>
    </row>
    <row r="489" spans="1:1" ht="12.5">
      <c r="A489" s="113"/>
    </row>
    <row r="490" spans="1:1" ht="12.5">
      <c r="A490" s="113"/>
    </row>
    <row r="491" spans="1:1" ht="12.5">
      <c r="A491" s="113"/>
    </row>
    <row r="492" spans="1:1" ht="12.5">
      <c r="A492" s="113"/>
    </row>
    <row r="493" spans="1:1" ht="12.5">
      <c r="A493" s="113"/>
    </row>
    <row r="494" spans="1:1" ht="12.5">
      <c r="A494" s="113"/>
    </row>
    <row r="495" spans="1:1" ht="12.5">
      <c r="A495" s="113"/>
    </row>
    <row r="496" spans="1:1" ht="12.5">
      <c r="A496" s="113"/>
    </row>
    <row r="497" spans="1:1" ht="12.5">
      <c r="A497" s="113"/>
    </row>
    <row r="498" spans="1:1" ht="12.5">
      <c r="A498" s="113"/>
    </row>
    <row r="499" spans="1:1" ht="12.5">
      <c r="A499" s="113"/>
    </row>
    <row r="500" spans="1:1" ht="12.5">
      <c r="A500" s="113"/>
    </row>
    <row r="501" spans="1:1" ht="12.5">
      <c r="A501" s="113"/>
    </row>
    <row r="502" spans="1:1" ht="12.5">
      <c r="A502" s="113"/>
    </row>
    <row r="503" spans="1:1" ht="12.5">
      <c r="A503" s="113"/>
    </row>
    <row r="504" spans="1:1" ht="12.5">
      <c r="A504" s="113"/>
    </row>
    <row r="505" spans="1:1" ht="12.5">
      <c r="A505" s="113"/>
    </row>
    <row r="506" spans="1:1" ht="12.5">
      <c r="A506" s="113"/>
    </row>
    <row r="507" spans="1:1" ht="12.5">
      <c r="A507" s="113"/>
    </row>
    <row r="508" spans="1:1" ht="12.5">
      <c r="A508" s="113"/>
    </row>
    <row r="509" spans="1:1" ht="12.5">
      <c r="A509" s="113"/>
    </row>
    <row r="510" spans="1:1" ht="12.5">
      <c r="A510" s="113"/>
    </row>
    <row r="511" spans="1:1" ht="12.5">
      <c r="A511" s="113"/>
    </row>
    <row r="512" spans="1:1" ht="12.5">
      <c r="A512" s="113"/>
    </row>
    <row r="513" spans="1:1" ht="12.5">
      <c r="A513" s="113"/>
    </row>
    <row r="514" spans="1:1" ht="12.5">
      <c r="A514" s="113"/>
    </row>
    <row r="515" spans="1:1" ht="12.5">
      <c r="A515" s="113"/>
    </row>
    <row r="516" spans="1:1" ht="12.5">
      <c r="A516" s="113"/>
    </row>
    <row r="517" spans="1:1" ht="12.5">
      <c r="A517" s="113"/>
    </row>
    <row r="518" spans="1:1" ht="12.5">
      <c r="A518" s="113"/>
    </row>
    <row r="519" spans="1:1" ht="12.5">
      <c r="A519" s="113"/>
    </row>
    <row r="520" spans="1:1" ht="12.5">
      <c r="A520" s="113"/>
    </row>
    <row r="521" spans="1:1" ht="12.5">
      <c r="A521" s="113"/>
    </row>
    <row r="522" spans="1:1" ht="12.5">
      <c r="A522" s="113"/>
    </row>
    <row r="523" spans="1:1" ht="12.5">
      <c r="A523" s="113"/>
    </row>
    <row r="524" spans="1:1" ht="12.5">
      <c r="A524" s="113"/>
    </row>
    <row r="525" spans="1:1" ht="12.5">
      <c r="A525" s="113"/>
    </row>
    <row r="526" spans="1:1" ht="12.5">
      <c r="A526" s="113"/>
    </row>
    <row r="527" spans="1:1" ht="12.5">
      <c r="A527" s="113"/>
    </row>
    <row r="528" spans="1:1" ht="12.5">
      <c r="A528" s="113"/>
    </row>
    <row r="529" spans="1:1" ht="12.5">
      <c r="A529" s="113"/>
    </row>
    <row r="530" spans="1:1" ht="12.5">
      <c r="A530" s="113"/>
    </row>
    <row r="531" spans="1:1" ht="12.5">
      <c r="A531" s="113"/>
    </row>
    <row r="532" spans="1:1" ht="12.5">
      <c r="A532" s="113"/>
    </row>
    <row r="533" spans="1:1" ht="12.5">
      <c r="A533" s="113"/>
    </row>
    <row r="534" spans="1:1" ht="12.5">
      <c r="A534" s="113"/>
    </row>
    <row r="535" spans="1:1" ht="12.5">
      <c r="A535" s="113"/>
    </row>
    <row r="536" spans="1:1" ht="12.5">
      <c r="A536" s="113"/>
    </row>
    <row r="537" spans="1:1" ht="12.5">
      <c r="A537" s="113"/>
    </row>
    <row r="538" spans="1:1" ht="12.5">
      <c r="A538" s="113"/>
    </row>
    <row r="539" spans="1:1" ht="12.5">
      <c r="A539" s="113"/>
    </row>
    <row r="540" spans="1:1" ht="12.5">
      <c r="A540" s="113"/>
    </row>
    <row r="541" spans="1:1" ht="12.5">
      <c r="A541" s="113"/>
    </row>
    <row r="542" spans="1:1" ht="12.5">
      <c r="A542" s="113"/>
    </row>
    <row r="543" spans="1:1" ht="12.5">
      <c r="A543" s="113"/>
    </row>
    <row r="544" spans="1:1" ht="12.5">
      <c r="A544" s="113"/>
    </row>
    <row r="545" spans="1:1" ht="12.5">
      <c r="A545" s="113"/>
    </row>
    <row r="546" spans="1:1" ht="12.5">
      <c r="A546" s="113"/>
    </row>
    <row r="547" spans="1:1" ht="12.5">
      <c r="A547" s="113"/>
    </row>
    <row r="548" spans="1:1" ht="12.5">
      <c r="A548" s="113"/>
    </row>
    <row r="549" spans="1:1" ht="12.5">
      <c r="A549" s="113"/>
    </row>
    <row r="550" spans="1:1" ht="12.5">
      <c r="A550" s="113"/>
    </row>
    <row r="551" spans="1:1" ht="12.5">
      <c r="A551" s="113"/>
    </row>
    <row r="552" spans="1:1" ht="12.5">
      <c r="A552" s="113"/>
    </row>
    <row r="553" spans="1:1" ht="12.5">
      <c r="A553" s="113"/>
    </row>
    <row r="554" spans="1:1" ht="12.5">
      <c r="A554" s="113"/>
    </row>
    <row r="555" spans="1:1" ht="12.5">
      <c r="A555" s="113"/>
    </row>
    <row r="556" spans="1:1" ht="12.5">
      <c r="A556" s="113"/>
    </row>
    <row r="557" spans="1:1" ht="12.5">
      <c r="A557" s="113"/>
    </row>
    <row r="558" spans="1:1" ht="12.5">
      <c r="A558" s="113"/>
    </row>
    <row r="559" spans="1:1" ht="12.5">
      <c r="A559" s="113"/>
    </row>
    <row r="560" spans="1:1" ht="12.5">
      <c r="A560" s="113"/>
    </row>
    <row r="561" spans="1:1" ht="12.5">
      <c r="A561" s="113"/>
    </row>
    <row r="562" spans="1:1" ht="12.5">
      <c r="A562" s="113"/>
    </row>
    <row r="563" spans="1:1" ht="12.5">
      <c r="A563" s="113"/>
    </row>
    <row r="564" spans="1:1" ht="12.5">
      <c r="A564" s="113"/>
    </row>
    <row r="565" spans="1:1" ht="12.5">
      <c r="A565" s="113"/>
    </row>
    <row r="566" spans="1:1" ht="12.5">
      <c r="A566" s="113"/>
    </row>
    <row r="567" spans="1:1" ht="12.5">
      <c r="A567" s="113"/>
    </row>
    <row r="568" spans="1:1" ht="12.5">
      <c r="A568" s="113"/>
    </row>
    <row r="569" spans="1:1" ht="12.5">
      <c r="A569" s="113"/>
    </row>
    <row r="570" spans="1:1" ht="12.5">
      <c r="A570" s="113"/>
    </row>
    <row r="571" spans="1:1" ht="12.5">
      <c r="A571" s="113"/>
    </row>
    <row r="572" spans="1:1" ht="12.5">
      <c r="A572" s="113"/>
    </row>
    <row r="573" spans="1:1" ht="12.5">
      <c r="A573" s="113"/>
    </row>
    <row r="574" spans="1:1" ht="12.5">
      <c r="A574" s="113"/>
    </row>
    <row r="575" spans="1:1" ht="12.5">
      <c r="A575" s="113"/>
    </row>
    <row r="576" spans="1:1" ht="12.5">
      <c r="A576" s="113"/>
    </row>
    <row r="577" spans="1:1" ht="12.5">
      <c r="A577" s="113"/>
    </row>
    <row r="578" spans="1:1" ht="12.5">
      <c r="A578" s="113"/>
    </row>
    <row r="579" spans="1:1" ht="12.5">
      <c r="A579" s="113"/>
    </row>
    <row r="580" spans="1:1" ht="12.5">
      <c r="A580" s="113"/>
    </row>
    <row r="581" spans="1:1" ht="12.5">
      <c r="A581" s="113"/>
    </row>
    <row r="582" spans="1:1" ht="12.5">
      <c r="A582" s="113"/>
    </row>
    <row r="583" spans="1:1" ht="12.5">
      <c r="A583" s="113"/>
    </row>
    <row r="584" spans="1:1" ht="12.5">
      <c r="A584" s="113"/>
    </row>
    <row r="585" spans="1:1" ht="12.5">
      <c r="A585" s="113"/>
    </row>
    <row r="586" spans="1:1" ht="12.5">
      <c r="A586" s="113"/>
    </row>
    <row r="587" spans="1:1" ht="12.5">
      <c r="A587" s="113"/>
    </row>
    <row r="588" spans="1:1" ht="12.5">
      <c r="A588" s="113"/>
    </row>
    <row r="589" spans="1:1" ht="12.5">
      <c r="A589" s="113"/>
    </row>
    <row r="590" spans="1:1" ht="12.5">
      <c r="A590" s="113"/>
    </row>
    <row r="591" spans="1:1" ht="12.5">
      <c r="A591" s="113"/>
    </row>
    <row r="592" spans="1:1" ht="12.5">
      <c r="A592" s="113"/>
    </row>
    <row r="593" spans="1:1" ht="12.5">
      <c r="A593" s="113"/>
    </row>
    <row r="594" spans="1:1" ht="12.5">
      <c r="A594" s="113"/>
    </row>
    <row r="595" spans="1:1" ht="12.5">
      <c r="A595" s="113"/>
    </row>
    <row r="596" spans="1:1" ht="12.5">
      <c r="A596" s="113"/>
    </row>
    <row r="597" spans="1:1" ht="12.5">
      <c r="A597" s="113"/>
    </row>
    <row r="598" spans="1:1" ht="12.5">
      <c r="A598" s="113"/>
    </row>
    <row r="599" spans="1:1" ht="12.5">
      <c r="A599" s="113"/>
    </row>
    <row r="600" spans="1:1" ht="12.5">
      <c r="A600" s="113"/>
    </row>
    <row r="601" spans="1:1" ht="12.5">
      <c r="A601" s="113"/>
    </row>
    <row r="602" spans="1:1" ht="12.5">
      <c r="A602" s="113"/>
    </row>
    <row r="603" spans="1:1" ht="12.5">
      <c r="A603" s="113"/>
    </row>
    <row r="604" spans="1:1" ht="12.5">
      <c r="A604" s="113"/>
    </row>
    <row r="605" spans="1:1" ht="12.5">
      <c r="A605" s="113"/>
    </row>
    <row r="606" spans="1:1" ht="12.5">
      <c r="A606" s="113"/>
    </row>
    <row r="607" spans="1:1" ht="12.5">
      <c r="A607" s="113"/>
    </row>
    <row r="608" spans="1:1" ht="12.5">
      <c r="A608" s="113"/>
    </row>
    <row r="609" spans="1:1" ht="12.5">
      <c r="A609" s="113"/>
    </row>
    <row r="610" spans="1:1" ht="12.5">
      <c r="A610" s="113"/>
    </row>
    <row r="611" spans="1:1" ht="12.5">
      <c r="A611" s="113"/>
    </row>
    <row r="612" spans="1:1" ht="12.5">
      <c r="A612" s="113"/>
    </row>
    <row r="613" spans="1:1" ht="12.5">
      <c r="A613" s="113"/>
    </row>
    <row r="614" spans="1:1" ht="12.5">
      <c r="A614" s="113"/>
    </row>
    <row r="615" spans="1:1" ht="12.5">
      <c r="A615" s="113"/>
    </row>
    <row r="616" spans="1:1" ht="12.5">
      <c r="A616" s="113"/>
    </row>
    <row r="617" spans="1:1" ht="12.5">
      <c r="A617" s="113"/>
    </row>
    <row r="618" spans="1:1" ht="12.5">
      <c r="A618" s="113"/>
    </row>
    <row r="619" spans="1:1" ht="12.5">
      <c r="A619" s="113"/>
    </row>
    <row r="620" spans="1:1" ht="12.5">
      <c r="A620" s="113"/>
    </row>
    <row r="621" spans="1:1" ht="12.5">
      <c r="A621" s="113"/>
    </row>
    <row r="622" spans="1:1" ht="12.5">
      <c r="A622" s="113"/>
    </row>
    <row r="623" spans="1:1" ht="12.5">
      <c r="A623" s="113"/>
    </row>
    <row r="624" spans="1:1" ht="12.5">
      <c r="A624" s="113"/>
    </row>
    <row r="625" spans="1:1" ht="12.5">
      <c r="A625" s="113"/>
    </row>
    <row r="626" spans="1:1" ht="12.5">
      <c r="A626" s="113"/>
    </row>
    <row r="627" spans="1:1" ht="12.5">
      <c r="A627" s="113"/>
    </row>
    <row r="628" spans="1:1" ht="12.5">
      <c r="A628" s="113"/>
    </row>
    <row r="629" spans="1:1" ht="12.5">
      <c r="A629" s="113"/>
    </row>
    <row r="630" spans="1:1" ht="12.5">
      <c r="A630" s="113"/>
    </row>
    <row r="631" spans="1:1" ht="12.5">
      <c r="A631" s="113"/>
    </row>
    <row r="632" spans="1:1" ht="12.5">
      <c r="A632" s="113"/>
    </row>
    <row r="633" spans="1:1" ht="12.5">
      <c r="A633" s="113"/>
    </row>
    <row r="634" spans="1:1" ht="12.5">
      <c r="A634" s="113"/>
    </row>
    <row r="635" spans="1:1" ht="12.5">
      <c r="A635" s="113"/>
    </row>
    <row r="636" spans="1:1" ht="12.5">
      <c r="A636" s="113"/>
    </row>
    <row r="637" spans="1:1" ht="12.5">
      <c r="A637" s="113"/>
    </row>
    <row r="638" spans="1:1" ht="12.5">
      <c r="A638" s="113"/>
    </row>
    <row r="639" spans="1:1" ht="12.5">
      <c r="A639" s="113"/>
    </row>
    <row r="640" spans="1:1" ht="12.5">
      <c r="A640" s="113"/>
    </row>
    <row r="641" spans="1:1" ht="12.5">
      <c r="A641" s="113"/>
    </row>
    <row r="642" spans="1:1" ht="12.5">
      <c r="A642" s="113"/>
    </row>
    <row r="643" spans="1:1" ht="12.5">
      <c r="A643" s="113"/>
    </row>
    <row r="644" spans="1:1" ht="12.5">
      <c r="A644" s="113"/>
    </row>
    <row r="645" spans="1:1" ht="12.5">
      <c r="A645" s="113"/>
    </row>
    <row r="646" spans="1:1" ht="12.5">
      <c r="A646" s="113"/>
    </row>
    <row r="647" spans="1:1" ht="12.5">
      <c r="A647" s="113"/>
    </row>
    <row r="648" spans="1:1" ht="12.5">
      <c r="A648" s="113"/>
    </row>
    <row r="649" spans="1:1" ht="12.5">
      <c r="A649" s="113"/>
    </row>
    <row r="650" spans="1:1" ht="12.5">
      <c r="A650" s="113"/>
    </row>
    <row r="651" spans="1:1" ht="12.5">
      <c r="A651" s="113"/>
    </row>
    <row r="652" spans="1:1" ht="12.5">
      <c r="A652" s="113"/>
    </row>
    <row r="653" spans="1:1" ht="12.5">
      <c r="A653" s="113"/>
    </row>
    <row r="654" spans="1:1" ht="12.5">
      <c r="A654" s="113"/>
    </row>
    <row r="655" spans="1:1" ht="12.5">
      <c r="A655" s="113"/>
    </row>
    <row r="656" spans="1:1" ht="12.5">
      <c r="A656" s="113"/>
    </row>
    <row r="657" spans="1:1" ht="12.5">
      <c r="A657" s="113"/>
    </row>
    <row r="658" spans="1:1" ht="12.5">
      <c r="A658" s="113"/>
    </row>
    <row r="659" spans="1:1" ht="12.5">
      <c r="A659" s="113"/>
    </row>
    <row r="660" spans="1:1" ht="12.5">
      <c r="A660" s="113"/>
    </row>
    <row r="661" spans="1:1" ht="12.5">
      <c r="A661" s="113"/>
    </row>
    <row r="662" spans="1:1" ht="12.5">
      <c r="A662" s="113"/>
    </row>
    <row r="663" spans="1:1" ht="12.5">
      <c r="A663" s="113"/>
    </row>
    <row r="664" spans="1:1" ht="12.5">
      <c r="A664" s="113"/>
    </row>
    <row r="665" spans="1:1" ht="12.5">
      <c r="A665" s="113"/>
    </row>
    <row r="666" spans="1:1" ht="12.5">
      <c r="A666" s="113"/>
    </row>
    <row r="667" spans="1:1" ht="12.5">
      <c r="A667" s="113"/>
    </row>
    <row r="668" spans="1:1" ht="12.5">
      <c r="A668" s="113"/>
    </row>
    <row r="669" spans="1:1" ht="12.5">
      <c r="A669" s="113"/>
    </row>
    <row r="670" spans="1:1" ht="12.5">
      <c r="A670" s="113"/>
    </row>
    <row r="671" spans="1:1" ht="12.5">
      <c r="A671" s="113"/>
    </row>
    <row r="672" spans="1:1" ht="12.5">
      <c r="A672" s="113"/>
    </row>
    <row r="673" spans="1:1" ht="12.5">
      <c r="A673" s="113"/>
    </row>
    <row r="674" spans="1:1" ht="12.5">
      <c r="A674" s="113"/>
    </row>
    <row r="675" spans="1:1" ht="12.5">
      <c r="A675" s="113"/>
    </row>
    <row r="676" spans="1:1" ht="12.5">
      <c r="A676" s="113"/>
    </row>
    <row r="677" spans="1:1" ht="12.5">
      <c r="A677" s="113"/>
    </row>
    <row r="678" spans="1:1" ht="12.5">
      <c r="A678" s="113"/>
    </row>
    <row r="679" spans="1:1" ht="12.5">
      <c r="A679" s="113"/>
    </row>
    <row r="680" spans="1:1" ht="12.5">
      <c r="A680" s="113"/>
    </row>
    <row r="681" spans="1:1" ht="12.5">
      <c r="A681" s="113"/>
    </row>
    <row r="682" spans="1:1" ht="12.5">
      <c r="A682" s="113"/>
    </row>
    <row r="683" spans="1:1" ht="12.5">
      <c r="A683" s="113"/>
    </row>
    <row r="684" spans="1:1" ht="12.5">
      <c r="A684" s="113"/>
    </row>
    <row r="685" spans="1:1" ht="12.5">
      <c r="A685" s="113"/>
    </row>
    <row r="686" spans="1:1" ht="12.5">
      <c r="A686" s="113"/>
    </row>
    <row r="687" spans="1:1" ht="12.5">
      <c r="A687" s="113"/>
    </row>
    <row r="688" spans="1:1" ht="12.5">
      <c r="A688" s="113"/>
    </row>
    <row r="689" spans="1:1" ht="12.5">
      <c r="A689" s="113"/>
    </row>
    <row r="690" spans="1:1" ht="12.5">
      <c r="A690" s="113"/>
    </row>
    <row r="691" spans="1:1" ht="12.5">
      <c r="A691" s="113"/>
    </row>
    <row r="692" spans="1:1" ht="12.5">
      <c r="A692" s="113"/>
    </row>
    <row r="693" spans="1:1" ht="12.5">
      <c r="A693" s="113"/>
    </row>
    <row r="694" spans="1:1" ht="12.5">
      <c r="A694" s="113"/>
    </row>
    <row r="695" spans="1:1" ht="12.5">
      <c r="A695" s="113"/>
    </row>
    <row r="696" spans="1:1" ht="12.5">
      <c r="A696" s="113"/>
    </row>
    <row r="697" spans="1:1" ht="12.5">
      <c r="A697" s="113"/>
    </row>
    <row r="698" spans="1:1" ht="12.5">
      <c r="A698" s="113"/>
    </row>
    <row r="699" spans="1:1" ht="12.5">
      <c r="A699" s="113"/>
    </row>
    <row r="700" spans="1:1" ht="12.5">
      <c r="A700" s="113"/>
    </row>
    <row r="701" spans="1:1" ht="12.5">
      <c r="A701" s="113"/>
    </row>
    <row r="702" spans="1:1" ht="12.5">
      <c r="A702" s="113"/>
    </row>
    <row r="703" spans="1:1" ht="12.5">
      <c r="A703" s="113"/>
    </row>
    <row r="704" spans="1:1" ht="12.5">
      <c r="A704" s="113"/>
    </row>
    <row r="705" spans="1:1" ht="12.5">
      <c r="A705" s="113"/>
    </row>
    <row r="706" spans="1:1" ht="12.5">
      <c r="A706" s="113"/>
    </row>
    <row r="707" spans="1:1" ht="12.5">
      <c r="A707" s="113"/>
    </row>
    <row r="708" spans="1:1" ht="12.5">
      <c r="A708" s="113"/>
    </row>
    <row r="709" spans="1:1" ht="12.5">
      <c r="A709" s="113"/>
    </row>
    <row r="710" spans="1:1" ht="12.5">
      <c r="A710" s="113"/>
    </row>
    <row r="711" spans="1:1" ht="12.5">
      <c r="A711" s="113"/>
    </row>
    <row r="712" spans="1:1" ht="12.5">
      <c r="A712" s="113"/>
    </row>
    <row r="713" spans="1:1" ht="12.5">
      <c r="A713" s="113"/>
    </row>
    <row r="714" spans="1:1" ht="12.5">
      <c r="A714" s="113"/>
    </row>
    <row r="715" spans="1:1" ht="12.5">
      <c r="A715" s="113"/>
    </row>
    <row r="716" spans="1:1" ht="12.5">
      <c r="A716" s="113"/>
    </row>
    <row r="717" spans="1:1" ht="12.5">
      <c r="A717" s="113"/>
    </row>
    <row r="718" spans="1:1" ht="12.5">
      <c r="A718" s="113"/>
    </row>
    <row r="719" spans="1:1" ht="12.5">
      <c r="A719" s="113"/>
    </row>
    <row r="720" spans="1:1" ht="12.5">
      <c r="A720" s="113"/>
    </row>
    <row r="721" spans="1:1" ht="12.5">
      <c r="A721" s="113"/>
    </row>
    <row r="722" spans="1:1" ht="12.5">
      <c r="A722" s="113"/>
    </row>
    <row r="723" spans="1:1" ht="12.5">
      <c r="A723" s="113"/>
    </row>
    <row r="724" spans="1:1" ht="12.5">
      <c r="A724" s="113"/>
    </row>
    <row r="725" spans="1:1" ht="12.5">
      <c r="A725" s="113"/>
    </row>
    <row r="726" spans="1:1" ht="12.5">
      <c r="A726" s="113"/>
    </row>
    <row r="727" spans="1:1" ht="12.5">
      <c r="A727" s="113"/>
    </row>
    <row r="728" spans="1:1" ht="12.5">
      <c r="A728" s="113"/>
    </row>
    <row r="729" spans="1:1" ht="12.5">
      <c r="A729" s="113"/>
    </row>
    <row r="730" spans="1:1" ht="12.5">
      <c r="A730" s="113"/>
    </row>
    <row r="731" spans="1:1" ht="12.5">
      <c r="A731" s="113"/>
    </row>
    <row r="732" spans="1:1" ht="12.5">
      <c r="A732" s="113"/>
    </row>
    <row r="733" spans="1:1" ht="12.5">
      <c r="A733" s="113"/>
    </row>
    <row r="734" spans="1:1" ht="12.5">
      <c r="A734" s="113"/>
    </row>
    <row r="735" spans="1:1" ht="12.5">
      <c r="A735" s="113"/>
    </row>
    <row r="736" spans="1:1" ht="12.5">
      <c r="A736" s="113"/>
    </row>
    <row r="737" spans="1:1" ht="12.5">
      <c r="A737" s="113"/>
    </row>
    <row r="738" spans="1:1" ht="12.5">
      <c r="A738" s="113"/>
    </row>
    <row r="739" spans="1:1" ht="12.5">
      <c r="A739" s="113"/>
    </row>
    <row r="740" spans="1:1" ht="12.5">
      <c r="A740" s="113"/>
    </row>
    <row r="741" spans="1:1" ht="12.5">
      <c r="A741" s="113"/>
    </row>
    <row r="742" spans="1:1" ht="12.5">
      <c r="A742" s="113"/>
    </row>
    <row r="743" spans="1:1" ht="12.5">
      <c r="A743" s="113"/>
    </row>
    <row r="744" spans="1:1" ht="12.5">
      <c r="A744" s="113"/>
    </row>
    <row r="745" spans="1:1" ht="12.5">
      <c r="A745" s="113"/>
    </row>
    <row r="746" spans="1:1" ht="12.5">
      <c r="A746" s="113"/>
    </row>
    <row r="747" spans="1:1" ht="12.5">
      <c r="A747" s="113"/>
    </row>
    <row r="748" spans="1:1" ht="12.5">
      <c r="A748" s="113"/>
    </row>
    <row r="749" spans="1:1" ht="12.5">
      <c r="A749" s="113"/>
    </row>
    <row r="750" spans="1:1" ht="12.5">
      <c r="A750" s="113"/>
    </row>
    <row r="751" spans="1:1" ht="12.5">
      <c r="A751" s="113"/>
    </row>
    <row r="752" spans="1:1" ht="12.5">
      <c r="A752" s="113"/>
    </row>
    <row r="753" spans="1:1" ht="12.5">
      <c r="A753" s="113"/>
    </row>
    <row r="754" spans="1:1" ht="12.5">
      <c r="A754" s="113"/>
    </row>
    <row r="755" spans="1:1" ht="12.5">
      <c r="A755" s="113"/>
    </row>
    <row r="756" spans="1:1" ht="12.5">
      <c r="A756" s="113"/>
    </row>
    <row r="757" spans="1:1" ht="12.5">
      <c r="A757" s="113"/>
    </row>
    <row r="758" spans="1:1" ht="12.5">
      <c r="A758" s="113"/>
    </row>
    <row r="759" spans="1:1" ht="12.5">
      <c r="A759" s="113"/>
    </row>
    <row r="760" spans="1:1" ht="12.5">
      <c r="A760" s="113"/>
    </row>
    <row r="761" spans="1:1" ht="12.5">
      <c r="A761" s="113"/>
    </row>
    <row r="762" spans="1:1" ht="12.5">
      <c r="A762" s="113"/>
    </row>
    <row r="763" spans="1:1" ht="12.5">
      <c r="A763" s="113"/>
    </row>
    <row r="764" spans="1:1" ht="12.5">
      <c r="A764" s="113"/>
    </row>
    <row r="765" spans="1:1" ht="12.5">
      <c r="A765" s="113"/>
    </row>
    <row r="766" spans="1:1" ht="12.5">
      <c r="A766" s="113"/>
    </row>
    <row r="767" spans="1:1" ht="12.5">
      <c r="A767" s="113"/>
    </row>
    <row r="768" spans="1:1" ht="12.5">
      <c r="A768" s="113"/>
    </row>
    <row r="769" spans="1:1" ht="12.5">
      <c r="A769" s="113"/>
    </row>
    <row r="770" spans="1:1" ht="12.5">
      <c r="A770" s="113"/>
    </row>
    <row r="771" spans="1:1" ht="12.5">
      <c r="A771" s="113"/>
    </row>
    <row r="772" spans="1:1" ht="12.5">
      <c r="A772" s="113"/>
    </row>
    <row r="773" spans="1:1" ht="12.5">
      <c r="A773" s="113"/>
    </row>
    <row r="774" spans="1:1" ht="12.5">
      <c r="A774" s="113"/>
    </row>
    <row r="775" spans="1:1" ht="12.5">
      <c r="A775" s="113"/>
    </row>
    <row r="776" spans="1:1" ht="12.5">
      <c r="A776" s="113"/>
    </row>
    <row r="777" spans="1:1" ht="12.5">
      <c r="A777" s="113"/>
    </row>
    <row r="778" spans="1:1" ht="12.5">
      <c r="A778" s="113"/>
    </row>
    <row r="779" spans="1:1" ht="12.5">
      <c r="A779" s="113"/>
    </row>
    <row r="780" spans="1:1" ht="12.5">
      <c r="A780" s="113"/>
    </row>
    <row r="781" spans="1:1" ht="12.5">
      <c r="A781" s="113"/>
    </row>
    <row r="782" spans="1:1" ht="12.5">
      <c r="A782" s="113"/>
    </row>
    <row r="783" spans="1:1" ht="12.5">
      <c r="A783" s="113"/>
    </row>
    <row r="784" spans="1:1" ht="12.5">
      <c r="A784" s="113"/>
    </row>
    <row r="785" spans="1:1" ht="12.5">
      <c r="A785" s="113"/>
    </row>
    <row r="786" spans="1:1" ht="12.5">
      <c r="A786" s="113"/>
    </row>
    <row r="787" spans="1:1" ht="12.5">
      <c r="A787" s="113"/>
    </row>
    <row r="788" spans="1:1" ht="12.5">
      <c r="A788" s="113"/>
    </row>
    <row r="789" spans="1:1" ht="12.5">
      <c r="A789" s="113"/>
    </row>
    <row r="790" spans="1:1" ht="12.5">
      <c r="A790" s="113"/>
    </row>
    <row r="791" spans="1:1" ht="12.5">
      <c r="A791" s="113"/>
    </row>
    <row r="792" spans="1:1" ht="12.5">
      <c r="A792" s="113"/>
    </row>
    <row r="793" spans="1:1" ht="12.5">
      <c r="A793" s="113"/>
    </row>
    <row r="794" spans="1:1" ht="12.5">
      <c r="A794" s="113"/>
    </row>
    <row r="795" spans="1:1" ht="12.5">
      <c r="A795" s="113"/>
    </row>
    <row r="796" spans="1:1" ht="12.5">
      <c r="A796" s="113"/>
    </row>
    <row r="797" spans="1:1" ht="12.5">
      <c r="A797" s="113"/>
    </row>
    <row r="798" spans="1:1" ht="12.5">
      <c r="A798" s="113"/>
    </row>
    <row r="799" spans="1:1" ht="12.5">
      <c r="A799" s="113"/>
    </row>
    <row r="800" spans="1:1" ht="12.5">
      <c r="A800" s="113"/>
    </row>
    <row r="801" spans="1:1" ht="12.5">
      <c r="A801" s="113"/>
    </row>
    <row r="802" spans="1:1" ht="12.5">
      <c r="A802" s="113"/>
    </row>
    <row r="803" spans="1:1" ht="12.5">
      <c r="A803" s="113"/>
    </row>
    <row r="804" spans="1:1" ht="12.5">
      <c r="A804" s="113"/>
    </row>
    <row r="805" spans="1:1" ht="12.5">
      <c r="A805" s="113"/>
    </row>
    <row r="806" spans="1:1" ht="12.5">
      <c r="A806" s="113"/>
    </row>
    <row r="807" spans="1:1" ht="12.5">
      <c r="A807" s="113"/>
    </row>
    <row r="808" spans="1:1" ht="12.5">
      <c r="A808" s="113"/>
    </row>
    <row r="809" spans="1:1" ht="12.5">
      <c r="A809" s="113"/>
    </row>
    <row r="810" spans="1:1" ht="12.5">
      <c r="A810" s="113"/>
    </row>
    <row r="811" spans="1:1" ht="12.5">
      <c r="A811" s="113"/>
    </row>
    <row r="812" spans="1:1" ht="12.5">
      <c r="A812" s="113"/>
    </row>
    <row r="813" spans="1:1" ht="12.5">
      <c r="A813" s="113"/>
    </row>
    <row r="814" spans="1:1" ht="12.5">
      <c r="A814" s="113"/>
    </row>
    <row r="815" spans="1:1" ht="12.5">
      <c r="A815" s="113"/>
    </row>
    <row r="816" spans="1:1" ht="12.5">
      <c r="A816" s="113"/>
    </row>
    <row r="817" spans="1:1" ht="12.5">
      <c r="A817" s="113"/>
    </row>
    <row r="818" spans="1:1" ht="12.5">
      <c r="A818" s="113"/>
    </row>
    <row r="819" spans="1:1" ht="12.5">
      <c r="A819" s="113"/>
    </row>
    <row r="820" spans="1:1" ht="12.5">
      <c r="A820" s="113"/>
    </row>
    <row r="821" spans="1:1" ht="12.5">
      <c r="A821" s="113"/>
    </row>
    <row r="822" spans="1:1" ht="12.5">
      <c r="A822" s="113"/>
    </row>
    <row r="823" spans="1:1" ht="12.5">
      <c r="A823" s="113"/>
    </row>
    <row r="824" spans="1:1" ht="12.5">
      <c r="A824" s="113"/>
    </row>
    <row r="825" spans="1:1" ht="12.5">
      <c r="A825" s="113"/>
    </row>
    <row r="826" spans="1:1" ht="12.5">
      <c r="A826" s="113"/>
    </row>
    <row r="827" spans="1:1" ht="12.5">
      <c r="A827" s="113"/>
    </row>
    <row r="828" spans="1:1" ht="12.5">
      <c r="A828" s="113"/>
    </row>
    <row r="829" spans="1:1" ht="12.5">
      <c r="A829" s="113"/>
    </row>
    <row r="830" spans="1:1" ht="12.5">
      <c r="A830" s="113"/>
    </row>
    <row r="831" spans="1:1" ht="12.5">
      <c r="A831" s="113"/>
    </row>
    <row r="832" spans="1:1" ht="12.5">
      <c r="A832" s="113"/>
    </row>
    <row r="833" spans="1:1" ht="12.5">
      <c r="A833" s="113"/>
    </row>
    <row r="834" spans="1:1" ht="12.5">
      <c r="A834" s="113"/>
    </row>
    <row r="835" spans="1:1" ht="12.5">
      <c r="A835" s="113"/>
    </row>
    <row r="836" spans="1:1" ht="12.5">
      <c r="A836" s="113"/>
    </row>
    <row r="837" spans="1:1" ht="12.5">
      <c r="A837" s="113"/>
    </row>
    <row r="838" spans="1:1" ht="12.5">
      <c r="A838" s="113"/>
    </row>
    <row r="839" spans="1:1" ht="12.5">
      <c r="A839" s="113"/>
    </row>
    <row r="840" spans="1:1" ht="12.5">
      <c r="A840" s="113"/>
    </row>
    <row r="841" spans="1:1" ht="12.5">
      <c r="A841" s="113"/>
    </row>
    <row r="842" spans="1:1" ht="12.5">
      <c r="A842" s="113"/>
    </row>
    <row r="843" spans="1:1" ht="12.5">
      <c r="A843" s="113"/>
    </row>
    <row r="844" spans="1:1" ht="12.5">
      <c r="A844" s="113"/>
    </row>
    <row r="845" spans="1:1" ht="12.5">
      <c r="A845" s="113"/>
    </row>
    <row r="846" spans="1:1" ht="12.5">
      <c r="A846" s="113"/>
    </row>
    <row r="847" spans="1:1" ht="12.5">
      <c r="A847" s="113"/>
    </row>
    <row r="848" spans="1:1" ht="12.5">
      <c r="A848" s="113"/>
    </row>
    <row r="849" spans="1:1" ht="12.5">
      <c r="A849" s="113"/>
    </row>
    <row r="850" spans="1:1" ht="12.5">
      <c r="A850" s="113"/>
    </row>
    <row r="851" spans="1:1" ht="12.5">
      <c r="A851" s="113"/>
    </row>
    <row r="852" spans="1:1" ht="12.5">
      <c r="A852" s="113"/>
    </row>
    <row r="853" spans="1:1" ht="12.5">
      <c r="A853" s="113"/>
    </row>
    <row r="854" spans="1:1" ht="12.5">
      <c r="A854" s="113"/>
    </row>
    <row r="855" spans="1:1" ht="12.5">
      <c r="A855" s="113"/>
    </row>
    <row r="856" spans="1:1" ht="12.5">
      <c r="A856" s="113"/>
    </row>
    <row r="857" spans="1:1" ht="12.5">
      <c r="A857" s="113"/>
    </row>
    <row r="858" spans="1:1" ht="12.5">
      <c r="A858" s="113"/>
    </row>
    <row r="859" spans="1:1" ht="12.5">
      <c r="A859" s="113"/>
    </row>
    <row r="860" spans="1:1" ht="12.5">
      <c r="A860" s="113"/>
    </row>
    <row r="861" spans="1:1" ht="12.5">
      <c r="A861" s="113"/>
    </row>
    <row r="862" spans="1:1" ht="12.5">
      <c r="A862" s="113"/>
    </row>
    <row r="863" spans="1:1" ht="12.5">
      <c r="A863" s="113"/>
    </row>
    <row r="864" spans="1:1" ht="12.5">
      <c r="A864" s="113"/>
    </row>
    <row r="865" spans="1:1" ht="12.5">
      <c r="A865" s="113"/>
    </row>
    <row r="866" spans="1:1" ht="12.5">
      <c r="A866" s="113"/>
    </row>
    <row r="867" spans="1:1" ht="12.5">
      <c r="A867" s="113"/>
    </row>
    <row r="868" spans="1:1" ht="12.5">
      <c r="A868" s="113"/>
    </row>
    <row r="869" spans="1:1" ht="12.5">
      <c r="A869" s="113"/>
    </row>
    <row r="870" spans="1:1" ht="12.5">
      <c r="A870" s="113"/>
    </row>
    <row r="871" spans="1:1" ht="12.5">
      <c r="A871" s="113"/>
    </row>
    <row r="872" spans="1:1" ht="12.5">
      <c r="A872" s="113"/>
    </row>
    <row r="873" spans="1:1" ht="12.5">
      <c r="A873" s="113"/>
    </row>
    <row r="874" spans="1:1" ht="12.5">
      <c r="A874" s="113"/>
    </row>
    <row r="875" spans="1:1" ht="12.5">
      <c r="A875" s="113"/>
    </row>
    <row r="876" spans="1:1" ht="12.5">
      <c r="A876" s="113"/>
    </row>
    <row r="877" spans="1:1" ht="12.5">
      <c r="A877" s="113"/>
    </row>
    <row r="878" spans="1:1" ht="12.5">
      <c r="A878" s="113"/>
    </row>
    <row r="879" spans="1:1" ht="12.5">
      <c r="A879" s="113"/>
    </row>
    <row r="880" spans="1:1" ht="12.5">
      <c r="A880" s="113"/>
    </row>
    <row r="881" spans="1:1" ht="12.5">
      <c r="A881" s="113"/>
    </row>
    <row r="882" spans="1:1" ht="12.5">
      <c r="A882" s="113"/>
    </row>
    <row r="883" spans="1:1" ht="12.5">
      <c r="A883" s="113"/>
    </row>
    <row r="884" spans="1:1" ht="12.5">
      <c r="A884" s="113"/>
    </row>
    <row r="885" spans="1:1" ht="12.5">
      <c r="A885" s="113"/>
    </row>
    <row r="886" spans="1:1" ht="12.5">
      <c r="A886" s="113"/>
    </row>
    <row r="887" spans="1:1" ht="12.5">
      <c r="A887" s="113"/>
    </row>
    <row r="888" spans="1:1" ht="12.5">
      <c r="A888" s="113"/>
    </row>
    <row r="889" spans="1:1" ht="12.5">
      <c r="A889" s="113"/>
    </row>
    <row r="890" spans="1:1" ht="12.5">
      <c r="A890" s="113"/>
    </row>
    <row r="891" spans="1:1" ht="12.5">
      <c r="A891" s="113"/>
    </row>
    <row r="892" spans="1:1" ht="12.5">
      <c r="A892" s="113"/>
    </row>
    <row r="893" spans="1:1" ht="12.5">
      <c r="A893" s="113"/>
    </row>
    <row r="894" spans="1:1" ht="12.5">
      <c r="A894" s="113"/>
    </row>
    <row r="895" spans="1:1" ht="12.5">
      <c r="A895" s="113"/>
    </row>
    <row r="896" spans="1:1" ht="12.5">
      <c r="A896" s="113"/>
    </row>
    <row r="897" spans="1:1" ht="12.5">
      <c r="A897" s="113"/>
    </row>
    <row r="898" spans="1:1" ht="12.5">
      <c r="A898" s="113"/>
    </row>
    <row r="899" spans="1:1" ht="12.5">
      <c r="A899" s="113"/>
    </row>
    <row r="900" spans="1:1" ht="12.5">
      <c r="A900" s="113"/>
    </row>
    <row r="901" spans="1:1" ht="12.5">
      <c r="A901" s="113"/>
    </row>
    <row r="902" spans="1:1" ht="12.5">
      <c r="A902" s="113"/>
    </row>
    <row r="903" spans="1:1" ht="12.5">
      <c r="A903" s="113"/>
    </row>
    <row r="904" spans="1:1" ht="12.5">
      <c r="A904" s="113"/>
    </row>
    <row r="905" spans="1:1" ht="12.5">
      <c r="A905" s="113"/>
    </row>
    <row r="906" spans="1:1" ht="12.5">
      <c r="A906" s="113"/>
    </row>
    <row r="907" spans="1:1" ht="12.5">
      <c r="A907" s="113"/>
    </row>
    <row r="908" spans="1:1" ht="12.5">
      <c r="A908" s="113"/>
    </row>
    <row r="909" spans="1:1" ht="12.5">
      <c r="A909" s="113"/>
    </row>
    <row r="910" spans="1:1" ht="12.5">
      <c r="A910" s="113"/>
    </row>
    <row r="911" spans="1:1" ht="12.5">
      <c r="A911" s="113"/>
    </row>
    <row r="912" spans="1:1" ht="12.5">
      <c r="A912" s="113"/>
    </row>
    <row r="913" spans="1:1" ht="12.5">
      <c r="A913" s="113"/>
    </row>
    <row r="914" spans="1:1" ht="12.5">
      <c r="A914" s="113"/>
    </row>
    <row r="915" spans="1:1" ht="12.5">
      <c r="A915" s="113"/>
    </row>
    <row r="916" spans="1:1" ht="12.5">
      <c r="A916" s="113"/>
    </row>
    <row r="917" spans="1:1" ht="12.5">
      <c r="A917" s="113"/>
    </row>
    <row r="918" spans="1:1" ht="12.5">
      <c r="A918" s="113"/>
    </row>
    <row r="919" spans="1:1" ht="12.5">
      <c r="A919" s="113"/>
    </row>
    <row r="920" spans="1:1" ht="12.5">
      <c r="A920" s="113"/>
    </row>
    <row r="921" spans="1:1" ht="12.5">
      <c r="A921" s="113"/>
    </row>
    <row r="922" spans="1:1" ht="12.5">
      <c r="A922" s="113"/>
    </row>
    <row r="923" spans="1:1" ht="12.5">
      <c r="A923" s="113"/>
    </row>
    <row r="924" spans="1:1" ht="12.5">
      <c r="A924" s="113"/>
    </row>
    <row r="925" spans="1:1" ht="12.5">
      <c r="A925" s="113"/>
    </row>
    <row r="926" spans="1:1" ht="12.5">
      <c r="A926" s="113"/>
    </row>
    <row r="927" spans="1:1" ht="12.5">
      <c r="A927" s="113"/>
    </row>
    <row r="928" spans="1:1" ht="12.5">
      <c r="A928" s="113"/>
    </row>
    <row r="929" spans="1:1" ht="12.5">
      <c r="A929" s="113"/>
    </row>
    <row r="930" spans="1:1" ht="12.5">
      <c r="A930" s="113"/>
    </row>
    <row r="931" spans="1:1" ht="12.5">
      <c r="A931" s="113"/>
    </row>
    <row r="932" spans="1:1" ht="12.5">
      <c r="A932" s="113"/>
    </row>
    <row r="933" spans="1:1" ht="12.5">
      <c r="A933" s="113"/>
    </row>
    <row r="934" spans="1:1" ht="12.5">
      <c r="A934" s="113"/>
    </row>
    <row r="935" spans="1:1" ht="12.5">
      <c r="A935" s="113"/>
    </row>
    <row r="936" spans="1:1" ht="12.5">
      <c r="A936" s="113"/>
    </row>
    <row r="937" spans="1:1" ht="12.5">
      <c r="A937" s="113"/>
    </row>
    <row r="938" spans="1:1" ht="12.5">
      <c r="A938" s="113"/>
    </row>
    <row r="939" spans="1:1" ht="12.5">
      <c r="A939" s="113"/>
    </row>
    <row r="940" spans="1:1" ht="12.5">
      <c r="A940" s="113"/>
    </row>
    <row r="941" spans="1:1" ht="12.5">
      <c r="A941" s="113"/>
    </row>
    <row r="942" spans="1:1" ht="12.5">
      <c r="A942" s="113"/>
    </row>
    <row r="943" spans="1:1" ht="12.5">
      <c r="A943" s="113"/>
    </row>
    <row r="944" spans="1:1" ht="12.5">
      <c r="A944" s="113"/>
    </row>
    <row r="945" spans="1:1" ht="12.5">
      <c r="A945" s="113"/>
    </row>
    <row r="946" spans="1:1" ht="12.5">
      <c r="A946" s="113"/>
    </row>
    <row r="947" spans="1:1" ht="12.5">
      <c r="A947" s="113"/>
    </row>
    <row r="948" spans="1:1" ht="12.5">
      <c r="A948" s="113"/>
    </row>
    <row r="949" spans="1:1" ht="12.5">
      <c r="A949" s="113"/>
    </row>
    <row r="950" spans="1:1" ht="12.5">
      <c r="A950" s="113"/>
    </row>
    <row r="951" spans="1:1" ht="12.5">
      <c r="A951" s="113"/>
    </row>
    <row r="952" spans="1:1" ht="12.5">
      <c r="A952" s="113"/>
    </row>
    <row r="953" spans="1:1" ht="12.5">
      <c r="A953" s="113"/>
    </row>
    <row r="954" spans="1:1" ht="12.5">
      <c r="A954" s="113"/>
    </row>
    <row r="955" spans="1:1" ht="12.5">
      <c r="A955" s="113"/>
    </row>
    <row r="956" spans="1:1" ht="12.5">
      <c r="A956" s="113"/>
    </row>
    <row r="957" spans="1:1" ht="12.5">
      <c r="A957" s="113"/>
    </row>
    <row r="958" spans="1:1" ht="12.5">
      <c r="A958" s="113"/>
    </row>
    <row r="959" spans="1:1" ht="12.5">
      <c r="A959" s="113"/>
    </row>
    <row r="960" spans="1:1" ht="12.5">
      <c r="A960" s="113"/>
    </row>
    <row r="961" spans="1:1" ht="12.5">
      <c r="A961" s="113"/>
    </row>
    <row r="962" spans="1:1" ht="12.5">
      <c r="A962" s="113"/>
    </row>
    <row r="963" spans="1:1" ht="12.5">
      <c r="A963" s="113"/>
    </row>
    <row r="964" spans="1:1" ht="12.5">
      <c r="A964" s="113"/>
    </row>
    <row r="965" spans="1:1" ht="12.5">
      <c r="A965" s="113"/>
    </row>
    <row r="966" spans="1:1" ht="12.5">
      <c r="A966" s="113"/>
    </row>
    <row r="967" spans="1:1" ht="12.5">
      <c r="A967" s="113"/>
    </row>
    <row r="968" spans="1:1" ht="12.5">
      <c r="A968" s="113"/>
    </row>
    <row r="969" spans="1:1" ht="12.5">
      <c r="A969" s="113"/>
    </row>
    <row r="970" spans="1:1" ht="12.5">
      <c r="A970" s="113"/>
    </row>
    <row r="971" spans="1:1" ht="12.5">
      <c r="A971" s="113"/>
    </row>
    <row r="972" spans="1:1" ht="12.5">
      <c r="A972" s="113"/>
    </row>
    <row r="973" spans="1:1" ht="12.5">
      <c r="A973" s="113"/>
    </row>
    <row r="974" spans="1:1" ht="12.5">
      <c r="A974" s="113"/>
    </row>
    <row r="975" spans="1:1" ht="12.5">
      <c r="A975" s="113"/>
    </row>
    <row r="976" spans="1:1" ht="12.5">
      <c r="A976" s="113"/>
    </row>
    <row r="977" spans="1:1" ht="12.5">
      <c r="A977" s="113"/>
    </row>
    <row r="978" spans="1:1" ht="12.5">
      <c r="A978" s="113"/>
    </row>
    <row r="979" spans="1:1" ht="12.5">
      <c r="A979" s="113"/>
    </row>
    <row r="980" spans="1:1" ht="12.5">
      <c r="A980" s="113"/>
    </row>
    <row r="981" spans="1:1" ht="12.5">
      <c r="A981" s="113"/>
    </row>
    <row r="982" spans="1:1" ht="12.5">
      <c r="A982" s="113"/>
    </row>
    <row r="983" spans="1:1" ht="12.5">
      <c r="A983" s="113"/>
    </row>
    <row r="984" spans="1:1" ht="12.5">
      <c r="A984" s="113"/>
    </row>
    <row r="985" spans="1:1" ht="12.5">
      <c r="A985" s="113"/>
    </row>
    <row r="986" spans="1:1" ht="12.5">
      <c r="A986" s="113"/>
    </row>
    <row r="987" spans="1:1" ht="12.5">
      <c r="A987" s="113"/>
    </row>
    <row r="988" spans="1:1" ht="12.5">
      <c r="A988" s="113"/>
    </row>
    <row r="989" spans="1:1" ht="12.5">
      <c r="A989" s="113"/>
    </row>
    <row r="990" spans="1:1" ht="12.5">
      <c r="A990" s="113"/>
    </row>
    <row r="991" spans="1:1" ht="12.5">
      <c r="A991" s="113"/>
    </row>
    <row r="992" spans="1:1" ht="12.5">
      <c r="A992" s="113"/>
    </row>
    <row r="993" spans="1:1" ht="12.5">
      <c r="A993" s="113"/>
    </row>
    <row r="994" spans="1:1" ht="12.5">
      <c r="A994" s="113"/>
    </row>
    <row r="995" spans="1:1" ht="12.5">
      <c r="A995" s="113"/>
    </row>
    <row r="996" spans="1:1" ht="12.5">
      <c r="A996" s="113"/>
    </row>
    <row r="997" spans="1:1" ht="12.5">
      <c r="A997" s="113"/>
    </row>
    <row r="998" spans="1:1" ht="12.5">
      <c r="A998" s="113"/>
    </row>
    <row r="999" spans="1:1" ht="12.5">
      <c r="A999" s="113"/>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outlinePr summaryBelow="0" summaryRight="0"/>
  </sheetPr>
  <dimension ref="A1:O1330"/>
  <sheetViews>
    <sheetView workbookViewId="0"/>
  </sheetViews>
  <sheetFormatPr defaultColWidth="12.6328125" defaultRowHeight="15.75" customHeight="1"/>
  <cols>
    <col min="1" max="1" width="28.453125" customWidth="1"/>
    <col min="9" max="9" width="20.90625" customWidth="1"/>
    <col min="10" max="10" width="36.7265625" customWidth="1"/>
  </cols>
  <sheetData>
    <row r="1" spans="1:15">
      <c r="A1" s="114" t="s">
        <v>3226</v>
      </c>
      <c r="B1" s="2" t="s">
        <v>3227</v>
      </c>
      <c r="C1" s="2" t="s">
        <v>3228</v>
      </c>
      <c r="D1" s="2" t="s">
        <v>3229</v>
      </c>
      <c r="E1" s="2" t="s">
        <v>3230</v>
      </c>
      <c r="F1" s="2" t="s">
        <v>3231</v>
      </c>
      <c r="G1" s="2" t="s">
        <v>3232</v>
      </c>
      <c r="H1" s="2" t="s">
        <v>3233</v>
      </c>
      <c r="I1" s="2" t="s">
        <v>3234</v>
      </c>
      <c r="J1" s="2" t="s">
        <v>3235</v>
      </c>
      <c r="K1" s="2" t="s">
        <v>362</v>
      </c>
      <c r="L1" s="5" t="s">
        <v>3236</v>
      </c>
      <c r="M1" s="5" t="s">
        <v>3237</v>
      </c>
      <c r="N1" s="5" t="s">
        <v>3238</v>
      </c>
      <c r="O1" s="5" t="s">
        <v>3239</v>
      </c>
    </row>
    <row r="2" spans="1:15" ht="15.75" customHeight="1">
      <c r="A2" s="115" t="s">
        <v>3240</v>
      </c>
      <c r="B2" s="5">
        <v>0</v>
      </c>
      <c r="C2" s="5">
        <v>61</v>
      </c>
      <c r="D2" s="5">
        <v>4</v>
      </c>
      <c r="E2" s="5">
        <v>80</v>
      </c>
      <c r="F2" s="5">
        <v>1</v>
      </c>
      <c r="G2" s="5">
        <v>100</v>
      </c>
      <c r="H2" s="5" t="s">
        <v>3241</v>
      </c>
      <c r="I2" s="5" t="s">
        <v>3242</v>
      </c>
      <c r="J2" s="5" t="s">
        <v>3243</v>
      </c>
      <c r="K2" s="10" t="e">
        <f t="shared" ref="K2:K1330" si="0">CONCATENATE(C2:F2)</f>
        <v>#VALUE!</v>
      </c>
      <c r="L2" s="10">
        <f t="shared" ref="L2:L1330" si="1">IF(LEFT(J2,2)="RT",1,0)</f>
        <v>1</v>
      </c>
      <c r="M2" s="10" t="str">
        <f t="shared" ref="M2:M1330" si="2">MID(J2,4,3)</f>
        <v>001</v>
      </c>
      <c r="N2" s="10" t="str">
        <f t="shared" ref="N2:N1330" si="3">TRIM(MID(J2,11,3))</f>
        <v>01</v>
      </c>
      <c r="O2" s="10" t="str">
        <f t="shared" ref="O2:O392" si="4">TRIM(MID(J2,20,20))</f>
        <v>MAWAR</v>
      </c>
    </row>
    <row r="3" spans="1:15" ht="15.75" customHeight="1">
      <c r="A3" s="115" t="s">
        <v>3244</v>
      </c>
      <c r="B3" s="5">
        <v>0</v>
      </c>
      <c r="C3" s="5">
        <v>61</v>
      </c>
      <c r="D3" s="5">
        <v>4</v>
      </c>
      <c r="E3" s="5">
        <v>80</v>
      </c>
      <c r="F3" s="5">
        <v>1</v>
      </c>
      <c r="G3" s="5">
        <v>200</v>
      </c>
      <c r="H3" s="5" t="s">
        <v>3241</v>
      </c>
      <c r="I3" s="5" t="s">
        <v>3242</v>
      </c>
      <c r="J3" s="5" t="s">
        <v>3245</v>
      </c>
      <c r="K3" s="10" t="e">
        <f t="shared" si="0"/>
        <v>#VALUE!</v>
      </c>
      <c r="L3" s="10">
        <f t="shared" si="1"/>
        <v>1</v>
      </c>
      <c r="M3" s="10" t="str">
        <f t="shared" si="2"/>
        <v>002</v>
      </c>
      <c r="N3" s="10" t="str">
        <f t="shared" si="3"/>
        <v>01</v>
      </c>
      <c r="O3" s="10" t="str">
        <f t="shared" si="4"/>
        <v>MAWAR</v>
      </c>
    </row>
    <row r="4" spans="1:15" ht="15.75" customHeight="1">
      <c r="A4" s="115" t="s">
        <v>3246</v>
      </c>
      <c r="B4" s="5">
        <v>0</v>
      </c>
      <c r="C4" s="5">
        <v>61</v>
      </c>
      <c r="D4" s="5">
        <v>4</v>
      </c>
      <c r="E4" s="5">
        <v>80</v>
      </c>
      <c r="F4" s="5">
        <v>1</v>
      </c>
      <c r="G4" s="5">
        <v>300</v>
      </c>
      <c r="H4" s="5" t="s">
        <v>3241</v>
      </c>
      <c r="I4" s="5" t="s">
        <v>3242</v>
      </c>
      <c r="J4" s="5" t="s">
        <v>3247</v>
      </c>
      <c r="K4" s="10" t="e">
        <f t="shared" si="0"/>
        <v>#VALUE!</v>
      </c>
      <c r="L4" s="10">
        <f t="shared" si="1"/>
        <v>1</v>
      </c>
      <c r="M4" s="10" t="str">
        <f t="shared" si="2"/>
        <v>003</v>
      </c>
      <c r="N4" s="10" t="str">
        <f t="shared" si="3"/>
        <v>01</v>
      </c>
      <c r="O4" s="10" t="str">
        <f t="shared" si="4"/>
        <v>MAWAR</v>
      </c>
    </row>
    <row r="5" spans="1:15" ht="15.75" customHeight="1">
      <c r="A5" s="115" t="s">
        <v>3248</v>
      </c>
      <c r="B5" s="5">
        <v>0</v>
      </c>
      <c r="C5" s="5">
        <v>61</v>
      </c>
      <c r="D5" s="5">
        <v>4</v>
      </c>
      <c r="E5" s="5">
        <v>80</v>
      </c>
      <c r="F5" s="5">
        <v>1</v>
      </c>
      <c r="G5" s="5">
        <v>400</v>
      </c>
      <c r="H5" s="5" t="s">
        <v>3241</v>
      </c>
      <c r="I5" s="5" t="s">
        <v>3242</v>
      </c>
      <c r="J5" s="5" t="s">
        <v>3249</v>
      </c>
      <c r="K5" s="10" t="e">
        <f t="shared" si="0"/>
        <v>#VALUE!</v>
      </c>
      <c r="L5" s="10">
        <f t="shared" si="1"/>
        <v>1</v>
      </c>
      <c r="M5" s="10" t="str">
        <f t="shared" si="2"/>
        <v>004</v>
      </c>
      <c r="N5" s="10" t="str">
        <f t="shared" si="3"/>
        <v>01</v>
      </c>
      <c r="O5" s="10" t="str">
        <f t="shared" si="4"/>
        <v>MAWAR</v>
      </c>
    </row>
    <row r="6" spans="1:15" ht="15.75" customHeight="1">
      <c r="A6" s="115" t="s">
        <v>3250</v>
      </c>
      <c r="B6" s="5">
        <v>0</v>
      </c>
      <c r="C6" s="5">
        <v>61</v>
      </c>
      <c r="D6" s="5">
        <v>4</v>
      </c>
      <c r="E6" s="5">
        <v>80</v>
      </c>
      <c r="F6" s="5">
        <v>1</v>
      </c>
      <c r="G6" s="5">
        <v>500</v>
      </c>
      <c r="H6" s="5" t="s">
        <v>3241</v>
      </c>
      <c r="I6" s="5" t="s">
        <v>3242</v>
      </c>
      <c r="J6" s="5" t="s">
        <v>3251</v>
      </c>
      <c r="K6" s="10" t="e">
        <f t="shared" si="0"/>
        <v>#VALUE!</v>
      </c>
      <c r="L6" s="10">
        <f t="shared" si="1"/>
        <v>1</v>
      </c>
      <c r="M6" s="10" t="str">
        <f t="shared" si="2"/>
        <v>020</v>
      </c>
      <c r="N6" s="10" t="str">
        <f t="shared" si="3"/>
        <v>01</v>
      </c>
      <c r="O6" s="10" t="str">
        <f t="shared" si="4"/>
        <v>MAWAR</v>
      </c>
    </row>
    <row r="7" spans="1:15" ht="15.75" customHeight="1">
      <c r="A7" s="115" t="s">
        <v>3252</v>
      </c>
      <c r="B7" s="5">
        <v>0</v>
      </c>
      <c r="C7" s="5">
        <v>61</v>
      </c>
      <c r="D7" s="5">
        <v>4</v>
      </c>
      <c r="E7" s="5">
        <v>80</v>
      </c>
      <c r="F7" s="5">
        <v>1</v>
      </c>
      <c r="G7" s="5">
        <v>600</v>
      </c>
      <c r="H7" s="5" t="s">
        <v>3241</v>
      </c>
      <c r="I7" s="5" t="s">
        <v>3242</v>
      </c>
      <c r="J7" s="5" t="s">
        <v>3253</v>
      </c>
      <c r="K7" s="10" t="e">
        <f t="shared" si="0"/>
        <v>#VALUE!</v>
      </c>
      <c r="L7" s="10">
        <f t="shared" si="1"/>
        <v>1</v>
      </c>
      <c r="M7" s="10" t="str">
        <f t="shared" si="2"/>
        <v>021</v>
      </c>
      <c r="N7" s="10" t="str">
        <f t="shared" si="3"/>
        <v>01</v>
      </c>
      <c r="O7" s="10" t="str">
        <f t="shared" si="4"/>
        <v>MAWAR</v>
      </c>
    </row>
    <row r="8" spans="1:15" ht="15.75" customHeight="1">
      <c r="A8" s="115" t="s">
        <v>3254</v>
      </c>
      <c r="B8" s="5">
        <v>0</v>
      </c>
      <c r="C8" s="5">
        <v>61</v>
      </c>
      <c r="D8" s="5">
        <v>4</v>
      </c>
      <c r="E8" s="5">
        <v>80</v>
      </c>
      <c r="F8" s="5">
        <v>1</v>
      </c>
      <c r="G8" s="5">
        <v>700</v>
      </c>
      <c r="H8" s="5" t="s">
        <v>3241</v>
      </c>
      <c r="I8" s="5" t="s">
        <v>3242</v>
      </c>
      <c r="J8" s="5" t="s">
        <v>3255</v>
      </c>
      <c r="K8" s="10" t="e">
        <f t="shared" si="0"/>
        <v>#VALUE!</v>
      </c>
      <c r="L8" s="10">
        <f t="shared" si="1"/>
        <v>1</v>
      </c>
      <c r="M8" s="10" t="str">
        <f t="shared" si="2"/>
        <v>005</v>
      </c>
      <c r="N8" s="10" t="str">
        <f t="shared" si="3"/>
        <v>02</v>
      </c>
      <c r="O8" s="10" t="str">
        <f t="shared" si="4"/>
        <v>MAWAR</v>
      </c>
    </row>
    <row r="9" spans="1:15" ht="15.75" customHeight="1">
      <c r="A9" s="115" t="s">
        <v>3256</v>
      </c>
      <c r="B9" s="5">
        <v>0</v>
      </c>
      <c r="C9" s="5">
        <v>61</v>
      </c>
      <c r="D9" s="5">
        <v>4</v>
      </c>
      <c r="E9" s="5">
        <v>80</v>
      </c>
      <c r="F9" s="5">
        <v>1</v>
      </c>
      <c r="G9" s="5">
        <v>800</v>
      </c>
      <c r="H9" s="5" t="s">
        <v>3241</v>
      </c>
      <c r="I9" s="5" t="s">
        <v>3242</v>
      </c>
      <c r="J9" s="5" t="s">
        <v>3257</v>
      </c>
      <c r="K9" s="10" t="e">
        <f t="shared" si="0"/>
        <v>#VALUE!</v>
      </c>
      <c r="L9" s="10">
        <f t="shared" si="1"/>
        <v>1</v>
      </c>
      <c r="M9" s="10" t="str">
        <f t="shared" si="2"/>
        <v>006</v>
      </c>
      <c r="N9" s="10" t="str">
        <f t="shared" si="3"/>
        <v>02</v>
      </c>
      <c r="O9" s="10" t="str">
        <f t="shared" si="4"/>
        <v>MAWAR</v>
      </c>
    </row>
    <row r="10" spans="1:15" ht="15.75" customHeight="1">
      <c r="A10" s="115" t="s">
        <v>3258</v>
      </c>
      <c r="B10" s="5">
        <v>0</v>
      </c>
      <c r="C10" s="5">
        <v>61</v>
      </c>
      <c r="D10" s="5">
        <v>4</v>
      </c>
      <c r="E10" s="5">
        <v>80</v>
      </c>
      <c r="F10" s="5">
        <v>1</v>
      </c>
      <c r="G10" s="5">
        <v>900</v>
      </c>
      <c r="H10" s="5" t="s">
        <v>3241</v>
      </c>
      <c r="I10" s="5" t="s">
        <v>3242</v>
      </c>
      <c r="J10" s="5" t="s">
        <v>3259</v>
      </c>
      <c r="K10" s="10" t="e">
        <f t="shared" si="0"/>
        <v>#VALUE!</v>
      </c>
      <c r="L10" s="10">
        <f t="shared" si="1"/>
        <v>1</v>
      </c>
      <c r="M10" s="10" t="str">
        <f t="shared" si="2"/>
        <v>007</v>
      </c>
      <c r="N10" s="10" t="str">
        <f t="shared" si="3"/>
        <v>02</v>
      </c>
      <c r="O10" s="10" t="str">
        <f t="shared" si="4"/>
        <v>MAWAR</v>
      </c>
    </row>
    <row r="11" spans="1:15" ht="15.75" customHeight="1">
      <c r="A11" s="115" t="s">
        <v>3260</v>
      </c>
      <c r="B11" s="5">
        <v>0</v>
      </c>
      <c r="C11" s="5">
        <v>61</v>
      </c>
      <c r="D11" s="5">
        <v>4</v>
      </c>
      <c r="E11" s="5">
        <v>80</v>
      </c>
      <c r="F11" s="5">
        <v>1</v>
      </c>
      <c r="G11" s="5">
        <v>1000</v>
      </c>
      <c r="H11" s="5" t="s">
        <v>3241</v>
      </c>
      <c r="I11" s="5" t="s">
        <v>3242</v>
      </c>
      <c r="J11" s="5" t="s">
        <v>3261</v>
      </c>
      <c r="K11" s="10" t="e">
        <f t="shared" si="0"/>
        <v>#VALUE!</v>
      </c>
      <c r="L11" s="10">
        <f t="shared" si="1"/>
        <v>1</v>
      </c>
      <c r="M11" s="10" t="str">
        <f t="shared" si="2"/>
        <v>008</v>
      </c>
      <c r="N11" s="10" t="str">
        <f t="shared" si="3"/>
        <v>02</v>
      </c>
      <c r="O11" s="10" t="str">
        <f t="shared" si="4"/>
        <v>MAWAR</v>
      </c>
    </row>
    <row r="12" spans="1:15" ht="15.75" customHeight="1">
      <c r="A12" s="115" t="s">
        <v>3262</v>
      </c>
      <c r="B12" s="5">
        <v>0</v>
      </c>
      <c r="C12" s="5">
        <v>61</v>
      </c>
      <c r="D12" s="5">
        <v>4</v>
      </c>
      <c r="E12" s="5">
        <v>80</v>
      </c>
      <c r="F12" s="5">
        <v>1</v>
      </c>
      <c r="G12" s="5">
        <v>1100</v>
      </c>
      <c r="H12" s="5" t="s">
        <v>3241</v>
      </c>
      <c r="I12" s="5" t="s">
        <v>3242</v>
      </c>
      <c r="J12" s="5" t="s">
        <v>3263</v>
      </c>
      <c r="K12" s="10" t="e">
        <f t="shared" si="0"/>
        <v>#VALUE!</v>
      </c>
      <c r="L12" s="10">
        <f t="shared" si="1"/>
        <v>1</v>
      </c>
      <c r="M12" s="10" t="str">
        <f t="shared" si="2"/>
        <v>009</v>
      </c>
      <c r="N12" s="10" t="str">
        <f t="shared" si="3"/>
        <v>02</v>
      </c>
      <c r="O12" s="10" t="str">
        <f t="shared" si="4"/>
        <v>MAWAR</v>
      </c>
    </row>
    <row r="13" spans="1:15" ht="15.75" customHeight="1">
      <c r="A13" s="115" t="s">
        <v>3264</v>
      </c>
      <c r="B13" s="5">
        <v>0</v>
      </c>
      <c r="C13" s="5">
        <v>61</v>
      </c>
      <c r="D13" s="5">
        <v>4</v>
      </c>
      <c r="E13" s="5">
        <v>80</v>
      </c>
      <c r="F13" s="5">
        <v>1</v>
      </c>
      <c r="G13" s="5">
        <v>1200</v>
      </c>
      <c r="H13" s="5" t="s">
        <v>3241</v>
      </c>
      <c r="I13" s="5" t="s">
        <v>3242</v>
      </c>
      <c r="J13" s="5" t="s">
        <v>3265</v>
      </c>
      <c r="K13" s="10" t="e">
        <f t="shared" si="0"/>
        <v>#VALUE!</v>
      </c>
      <c r="L13" s="10">
        <f t="shared" si="1"/>
        <v>1</v>
      </c>
      <c r="M13" s="10" t="str">
        <f t="shared" si="2"/>
        <v>010</v>
      </c>
      <c r="N13" s="10" t="str">
        <f t="shared" si="3"/>
        <v>03</v>
      </c>
      <c r="O13" s="10" t="str">
        <f t="shared" si="4"/>
        <v>MELATI</v>
      </c>
    </row>
    <row r="14" spans="1:15" ht="15.75" customHeight="1">
      <c r="A14" s="115" t="s">
        <v>3266</v>
      </c>
      <c r="B14" s="5">
        <v>0</v>
      </c>
      <c r="C14" s="5">
        <v>61</v>
      </c>
      <c r="D14" s="5">
        <v>4</v>
      </c>
      <c r="E14" s="5">
        <v>80</v>
      </c>
      <c r="F14" s="5">
        <v>1</v>
      </c>
      <c r="G14" s="5">
        <v>1300</v>
      </c>
      <c r="H14" s="5" t="s">
        <v>3241</v>
      </c>
      <c r="I14" s="5" t="s">
        <v>3242</v>
      </c>
      <c r="J14" s="5" t="s">
        <v>3267</v>
      </c>
      <c r="K14" s="10" t="e">
        <f t="shared" si="0"/>
        <v>#VALUE!</v>
      </c>
      <c r="L14" s="10">
        <f t="shared" si="1"/>
        <v>1</v>
      </c>
      <c r="M14" s="10" t="str">
        <f t="shared" si="2"/>
        <v>011</v>
      </c>
      <c r="N14" s="10" t="str">
        <f t="shared" si="3"/>
        <v>03</v>
      </c>
      <c r="O14" s="10" t="str">
        <f t="shared" si="4"/>
        <v>MELATI</v>
      </c>
    </row>
    <row r="15" spans="1:15" ht="15.75" customHeight="1">
      <c r="A15" s="115" t="s">
        <v>3268</v>
      </c>
      <c r="B15" s="5">
        <v>0</v>
      </c>
      <c r="C15" s="5">
        <v>61</v>
      </c>
      <c r="D15" s="5">
        <v>4</v>
      </c>
      <c r="E15" s="5">
        <v>80</v>
      </c>
      <c r="F15" s="5">
        <v>1</v>
      </c>
      <c r="G15" s="5">
        <v>1400</v>
      </c>
      <c r="H15" s="5" t="s">
        <v>3241</v>
      </c>
      <c r="I15" s="5" t="s">
        <v>3242</v>
      </c>
      <c r="J15" s="5" t="s">
        <v>3269</v>
      </c>
      <c r="K15" s="10" t="e">
        <f t="shared" si="0"/>
        <v>#VALUE!</v>
      </c>
      <c r="L15" s="10">
        <f t="shared" si="1"/>
        <v>1</v>
      </c>
      <c r="M15" s="10" t="str">
        <f t="shared" si="2"/>
        <v>012</v>
      </c>
      <c r="N15" s="10" t="str">
        <f t="shared" si="3"/>
        <v>03</v>
      </c>
      <c r="O15" s="10" t="str">
        <f t="shared" si="4"/>
        <v>MELATI</v>
      </c>
    </row>
    <row r="16" spans="1:15" ht="15.75" customHeight="1">
      <c r="A16" s="115" t="s">
        <v>3270</v>
      </c>
      <c r="B16" s="5">
        <v>0</v>
      </c>
      <c r="C16" s="5">
        <v>61</v>
      </c>
      <c r="D16" s="5">
        <v>4</v>
      </c>
      <c r="E16" s="5">
        <v>80</v>
      </c>
      <c r="F16" s="5">
        <v>1</v>
      </c>
      <c r="G16" s="5">
        <v>1500</v>
      </c>
      <c r="H16" s="5" t="s">
        <v>3241</v>
      </c>
      <c r="I16" s="5" t="s">
        <v>3242</v>
      </c>
      <c r="J16" s="5" t="s">
        <v>3271</v>
      </c>
      <c r="K16" s="10" t="e">
        <f t="shared" si="0"/>
        <v>#VALUE!</v>
      </c>
      <c r="L16" s="10">
        <f t="shared" si="1"/>
        <v>1</v>
      </c>
      <c r="M16" s="10" t="str">
        <f t="shared" si="2"/>
        <v>013</v>
      </c>
      <c r="N16" s="10" t="str">
        <f t="shared" si="3"/>
        <v>03</v>
      </c>
      <c r="O16" s="10" t="str">
        <f t="shared" si="4"/>
        <v>MELATI</v>
      </c>
    </row>
    <row r="17" spans="1:15" ht="15.75" customHeight="1">
      <c r="A17" s="115" t="s">
        <v>3272</v>
      </c>
      <c r="B17" s="5">
        <v>0</v>
      </c>
      <c r="C17" s="5">
        <v>61</v>
      </c>
      <c r="D17" s="5">
        <v>4</v>
      </c>
      <c r="E17" s="5">
        <v>80</v>
      </c>
      <c r="F17" s="5">
        <v>1</v>
      </c>
      <c r="G17" s="5">
        <v>1600</v>
      </c>
      <c r="H17" s="5" t="s">
        <v>3241</v>
      </c>
      <c r="I17" s="5" t="s">
        <v>3242</v>
      </c>
      <c r="J17" s="5" t="s">
        <v>3273</v>
      </c>
      <c r="K17" s="10" t="e">
        <f t="shared" si="0"/>
        <v>#VALUE!</v>
      </c>
      <c r="L17" s="10">
        <f t="shared" si="1"/>
        <v>1</v>
      </c>
      <c r="M17" s="10" t="str">
        <f t="shared" si="2"/>
        <v>014</v>
      </c>
      <c r="N17" s="10" t="str">
        <f t="shared" si="3"/>
        <v>03</v>
      </c>
      <c r="O17" s="10" t="str">
        <f t="shared" si="4"/>
        <v>MELATI</v>
      </c>
    </row>
    <row r="18" spans="1:15" ht="15.75" customHeight="1">
      <c r="A18" s="115" t="s">
        <v>3274</v>
      </c>
      <c r="B18" s="5">
        <v>0</v>
      </c>
      <c r="C18" s="5">
        <v>61</v>
      </c>
      <c r="D18" s="5">
        <v>4</v>
      </c>
      <c r="E18" s="5">
        <v>80</v>
      </c>
      <c r="F18" s="5">
        <v>1</v>
      </c>
      <c r="G18" s="5">
        <v>1700</v>
      </c>
      <c r="H18" s="5" t="s">
        <v>3241</v>
      </c>
      <c r="I18" s="5" t="s">
        <v>3242</v>
      </c>
      <c r="J18" s="5" t="s">
        <v>3275</v>
      </c>
      <c r="K18" s="10" t="e">
        <f t="shared" si="0"/>
        <v>#VALUE!</v>
      </c>
      <c r="L18" s="10">
        <f t="shared" si="1"/>
        <v>1</v>
      </c>
      <c r="M18" s="10" t="str">
        <f t="shared" si="2"/>
        <v>022</v>
      </c>
      <c r="N18" s="10" t="str">
        <f t="shared" si="3"/>
        <v>03</v>
      </c>
      <c r="O18" s="10" t="str">
        <f t="shared" si="4"/>
        <v>MELATI</v>
      </c>
    </row>
    <row r="19" spans="1:15" ht="15.75" customHeight="1">
      <c r="A19" s="115" t="s">
        <v>3276</v>
      </c>
      <c r="B19" s="5">
        <v>0</v>
      </c>
      <c r="C19" s="5">
        <v>61</v>
      </c>
      <c r="D19" s="5">
        <v>4</v>
      </c>
      <c r="E19" s="5">
        <v>80</v>
      </c>
      <c r="F19" s="5">
        <v>1</v>
      </c>
      <c r="G19" s="5">
        <v>1800</v>
      </c>
      <c r="H19" s="5" t="s">
        <v>3241</v>
      </c>
      <c r="I19" s="5" t="s">
        <v>3242</v>
      </c>
      <c r="J19" s="5" t="s">
        <v>3277</v>
      </c>
      <c r="K19" s="10" t="e">
        <f t="shared" si="0"/>
        <v>#VALUE!</v>
      </c>
      <c r="L19" s="10">
        <f t="shared" si="1"/>
        <v>1</v>
      </c>
      <c r="M19" s="10" t="str">
        <f t="shared" si="2"/>
        <v>015</v>
      </c>
      <c r="N19" s="10" t="str">
        <f t="shared" si="3"/>
        <v>04</v>
      </c>
      <c r="O19" s="10" t="str">
        <f t="shared" si="4"/>
        <v>MELATI</v>
      </c>
    </row>
    <row r="20" spans="1:15" ht="15.75" customHeight="1">
      <c r="A20" s="115" t="s">
        <v>3278</v>
      </c>
      <c r="B20" s="5">
        <v>0</v>
      </c>
      <c r="C20" s="5">
        <v>61</v>
      </c>
      <c r="D20" s="5">
        <v>4</v>
      </c>
      <c r="E20" s="5">
        <v>80</v>
      </c>
      <c r="F20" s="5">
        <v>1</v>
      </c>
      <c r="G20" s="5">
        <v>1900</v>
      </c>
      <c r="H20" s="5" t="s">
        <v>3241</v>
      </c>
      <c r="I20" s="5" t="s">
        <v>3242</v>
      </c>
      <c r="J20" s="5" t="s">
        <v>3279</v>
      </c>
      <c r="K20" s="10" t="e">
        <f t="shared" si="0"/>
        <v>#VALUE!</v>
      </c>
      <c r="L20" s="10">
        <f t="shared" si="1"/>
        <v>1</v>
      </c>
      <c r="M20" s="10" t="str">
        <f t="shared" si="2"/>
        <v>016</v>
      </c>
      <c r="N20" s="10" t="str">
        <f t="shared" si="3"/>
        <v>04</v>
      </c>
      <c r="O20" s="10" t="str">
        <f t="shared" si="4"/>
        <v>MELATI</v>
      </c>
    </row>
    <row r="21" spans="1:15" ht="15.75" customHeight="1">
      <c r="A21" s="115" t="s">
        <v>3280</v>
      </c>
      <c r="B21" s="5">
        <v>0</v>
      </c>
      <c r="C21" s="5">
        <v>61</v>
      </c>
      <c r="D21" s="5">
        <v>4</v>
      </c>
      <c r="E21" s="5">
        <v>80</v>
      </c>
      <c r="F21" s="5">
        <v>1</v>
      </c>
      <c r="G21" s="5">
        <v>2000</v>
      </c>
      <c r="H21" s="5" t="s">
        <v>3241</v>
      </c>
      <c r="I21" s="5" t="s">
        <v>3242</v>
      </c>
      <c r="J21" s="5" t="s">
        <v>3281</v>
      </c>
      <c r="K21" s="10" t="e">
        <f t="shared" si="0"/>
        <v>#VALUE!</v>
      </c>
      <c r="L21" s="10">
        <f t="shared" si="1"/>
        <v>1</v>
      </c>
      <c r="M21" s="10" t="str">
        <f t="shared" si="2"/>
        <v>017</v>
      </c>
      <c r="N21" s="10" t="str">
        <f t="shared" si="3"/>
        <v>04</v>
      </c>
      <c r="O21" s="10" t="str">
        <f t="shared" si="4"/>
        <v>MELATI</v>
      </c>
    </row>
    <row r="22" spans="1:15" ht="15.75" customHeight="1">
      <c r="A22" s="115" t="s">
        <v>3282</v>
      </c>
      <c r="B22" s="5">
        <v>0</v>
      </c>
      <c r="C22" s="5">
        <v>61</v>
      </c>
      <c r="D22" s="5">
        <v>4</v>
      </c>
      <c r="E22" s="5">
        <v>80</v>
      </c>
      <c r="F22" s="5">
        <v>1</v>
      </c>
      <c r="G22" s="5">
        <v>2100</v>
      </c>
      <c r="H22" s="5" t="s">
        <v>3241</v>
      </c>
      <c r="I22" s="5" t="s">
        <v>3242</v>
      </c>
      <c r="J22" s="5" t="s">
        <v>3283</v>
      </c>
      <c r="K22" s="10" t="e">
        <f t="shared" si="0"/>
        <v>#VALUE!</v>
      </c>
      <c r="L22" s="10">
        <f t="shared" si="1"/>
        <v>1</v>
      </c>
      <c r="M22" s="10" t="str">
        <f t="shared" si="2"/>
        <v>018</v>
      </c>
      <c r="N22" s="10" t="str">
        <f t="shared" si="3"/>
        <v>04</v>
      </c>
      <c r="O22" s="10" t="str">
        <f t="shared" si="4"/>
        <v>MELATI</v>
      </c>
    </row>
    <row r="23" spans="1:15" ht="15.75" customHeight="1">
      <c r="A23" s="115" t="s">
        <v>3284</v>
      </c>
      <c r="B23" s="5">
        <v>0</v>
      </c>
      <c r="C23" s="5">
        <v>61</v>
      </c>
      <c r="D23" s="5">
        <v>4</v>
      </c>
      <c r="E23" s="5">
        <v>80</v>
      </c>
      <c r="F23" s="5">
        <v>1</v>
      </c>
      <c r="G23" s="5">
        <v>2200</v>
      </c>
      <c r="H23" s="5" t="s">
        <v>3241</v>
      </c>
      <c r="I23" s="5" t="s">
        <v>3242</v>
      </c>
      <c r="J23" s="5" t="s">
        <v>3285</v>
      </c>
      <c r="K23" s="10" t="e">
        <f t="shared" si="0"/>
        <v>#VALUE!</v>
      </c>
      <c r="L23" s="10">
        <f t="shared" si="1"/>
        <v>1</v>
      </c>
      <c r="M23" s="10" t="str">
        <f t="shared" si="2"/>
        <v>019</v>
      </c>
      <c r="N23" s="10" t="str">
        <f t="shared" si="3"/>
        <v>04</v>
      </c>
      <c r="O23" s="10" t="str">
        <f t="shared" si="4"/>
        <v>MELATI</v>
      </c>
    </row>
    <row r="24" spans="1:15" ht="15.75" customHeight="1">
      <c r="A24" s="115" t="s">
        <v>3286</v>
      </c>
      <c r="B24" s="5">
        <v>9</v>
      </c>
      <c r="C24" s="5" t="e">
        <v>#N/A</v>
      </c>
      <c r="D24" s="5" t="e">
        <v>#N/A</v>
      </c>
      <c r="E24" s="5" t="e">
        <v>#N/A</v>
      </c>
      <c r="F24" s="5" t="e">
        <v>#N/A</v>
      </c>
      <c r="G24" s="5" t="e">
        <v>#N/A</v>
      </c>
      <c r="H24" s="5" t="s">
        <v>3241</v>
      </c>
      <c r="I24" s="5" t="s">
        <v>3242</v>
      </c>
      <c r="J24" s="5" t="s">
        <v>3287</v>
      </c>
      <c r="K24" s="10" t="e">
        <f t="shared" si="0"/>
        <v>#VALUE!</v>
      </c>
      <c r="L24" s="10">
        <f t="shared" si="1"/>
        <v>1</v>
      </c>
      <c r="M24" s="10" t="str">
        <f t="shared" si="2"/>
        <v xml:space="preserve">23 </v>
      </c>
      <c r="N24" s="10" t="str">
        <f t="shared" si="3"/>
        <v>3 D</v>
      </c>
      <c r="O24" s="10" t="str">
        <f t="shared" si="4"/>
        <v>ELATI</v>
      </c>
    </row>
    <row r="25" spans="1:15" ht="15.75" customHeight="1">
      <c r="A25" s="115" t="s">
        <v>3288</v>
      </c>
      <c r="B25" s="5">
        <v>0</v>
      </c>
      <c r="C25" s="5">
        <v>61</v>
      </c>
      <c r="D25" s="5">
        <v>4</v>
      </c>
      <c r="E25" s="5">
        <v>80</v>
      </c>
      <c r="F25" s="5">
        <v>2</v>
      </c>
      <c r="G25" s="5">
        <v>100</v>
      </c>
      <c r="H25" s="5" t="s">
        <v>3241</v>
      </c>
      <c r="I25" s="5" t="s">
        <v>3289</v>
      </c>
      <c r="J25" s="5" t="s">
        <v>3290</v>
      </c>
      <c r="K25" s="10" t="e">
        <f t="shared" si="0"/>
        <v>#VALUE!</v>
      </c>
      <c r="L25" s="10">
        <f t="shared" si="1"/>
        <v>1</v>
      </c>
      <c r="M25" s="10" t="str">
        <f t="shared" si="2"/>
        <v>001</v>
      </c>
      <c r="N25" s="10" t="str">
        <f t="shared" si="3"/>
        <v>016</v>
      </c>
      <c r="O25" s="10" t="str">
        <f t="shared" si="4"/>
        <v>DAENG MANAMBON</v>
      </c>
    </row>
    <row r="26" spans="1:15" ht="15.75" customHeight="1">
      <c r="A26" s="115" t="s">
        <v>3291</v>
      </c>
      <c r="B26" s="5">
        <v>0</v>
      </c>
      <c r="C26" s="5">
        <v>61</v>
      </c>
      <c r="D26" s="5">
        <v>4</v>
      </c>
      <c r="E26" s="5">
        <v>80</v>
      </c>
      <c r="F26" s="5">
        <v>2</v>
      </c>
      <c r="G26" s="5">
        <v>200</v>
      </c>
      <c r="H26" s="5" t="s">
        <v>3241</v>
      </c>
      <c r="I26" s="5" t="s">
        <v>3289</v>
      </c>
      <c r="J26" s="5" t="s">
        <v>3292</v>
      </c>
      <c r="K26" s="10" t="e">
        <f t="shared" si="0"/>
        <v>#VALUE!</v>
      </c>
      <c r="L26" s="10">
        <f t="shared" si="1"/>
        <v>1</v>
      </c>
      <c r="M26" s="10" t="str">
        <f t="shared" si="2"/>
        <v>002</v>
      </c>
      <c r="N26" s="10" t="str">
        <f t="shared" si="3"/>
        <v>016</v>
      </c>
      <c r="O26" s="10" t="str">
        <f t="shared" si="4"/>
        <v>DAENG MANAMBON</v>
      </c>
    </row>
    <row r="27" spans="1:15" ht="15.75" customHeight="1">
      <c r="A27" s="115" t="s">
        <v>3293</v>
      </c>
      <c r="B27" s="5">
        <v>0</v>
      </c>
      <c r="C27" s="5">
        <v>61</v>
      </c>
      <c r="D27" s="5">
        <v>4</v>
      </c>
      <c r="E27" s="5">
        <v>80</v>
      </c>
      <c r="F27" s="5">
        <v>2</v>
      </c>
      <c r="G27" s="5">
        <v>300</v>
      </c>
      <c r="H27" s="5" t="s">
        <v>3241</v>
      </c>
      <c r="I27" s="5" t="s">
        <v>3289</v>
      </c>
      <c r="J27" s="5" t="s">
        <v>3294</v>
      </c>
      <c r="K27" s="10" t="e">
        <f t="shared" si="0"/>
        <v>#VALUE!</v>
      </c>
      <c r="L27" s="10">
        <f t="shared" si="1"/>
        <v>1</v>
      </c>
      <c r="M27" s="10" t="str">
        <f t="shared" si="2"/>
        <v>003</v>
      </c>
      <c r="N27" s="10" t="str">
        <f t="shared" si="3"/>
        <v>016</v>
      </c>
      <c r="O27" s="10" t="str">
        <f t="shared" si="4"/>
        <v>DAENG MANAMBON</v>
      </c>
    </row>
    <row r="28" spans="1:15" ht="15.75" customHeight="1">
      <c r="A28" s="115" t="s">
        <v>3295</v>
      </c>
      <c r="B28" s="5">
        <v>0</v>
      </c>
      <c r="C28" s="5">
        <v>61</v>
      </c>
      <c r="D28" s="5">
        <v>4</v>
      </c>
      <c r="E28" s="5">
        <v>80</v>
      </c>
      <c r="F28" s="5">
        <v>2</v>
      </c>
      <c r="G28" s="5">
        <v>400</v>
      </c>
      <c r="H28" s="5" t="s">
        <v>3241</v>
      </c>
      <c r="I28" s="5" t="s">
        <v>3289</v>
      </c>
      <c r="J28" s="5" t="s">
        <v>3296</v>
      </c>
      <c r="K28" s="10" t="e">
        <f t="shared" si="0"/>
        <v>#VALUE!</v>
      </c>
      <c r="L28" s="10">
        <f t="shared" si="1"/>
        <v>1</v>
      </c>
      <c r="M28" s="10" t="str">
        <f t="shared" si="2"/>
        <v>001</v>
      </c>
      <c r="N28" s="10" t="str">
        <f t="shared" si="3"/>
        <v>019</v>
      </c>
      <c r="O28" s="10" t="str">
        <f t="shared" si="4"/>
        <v>DAENG MANAMBON</v>
      </c>
    </row>
    <row r="29" spans="1:15" ht="12.5">
      <c r="A29" s="115" t="s">
        <v>3297</v>
      </c>
      <c r="B29" s="5">
        <v>0</v>
      </c>
      <c r="C29" s="5">
        <v>61</v>
      </c>
      <c r="D29" s="5">
        <v>4</v>
      </c>
      <c r="E29" s="5">
        <v>80</v>
      </c>
      <c r="F29" s="5">
        <v>2</v>
      </c>
      <c r="G29" s="5">
        <v>500</v>
      </c>
      <c r="H29" s="5" t="s">
        <v>3241</v>
      </c>
      <c r="I29" s="5" t="s">
        <v>3289</v>
      </c>
      <c r="J29" s="5" t="s">
        <v>3298</v>
      </c>
      <c r="K29" s="10" t="e">
        <f t="shared" si="0"/>
        <v>#VALUE!</v>
      </c>
      <c r="L29" s="10">
        <f t="shared" si="1"/>
        <v>1</v>
      </c>
      <c r="M29" s="10" t="str">
        <f t="shared" si="2"/>
        <v>003</v>
      </c>
      <c r="N29" s="10" t="str">
        <f t="shared" si="3"/>
        <v>019</v>
      </c>
      <c r="O29" s="10" t="str">
        <f t="shared" si="4"/>
        <v>DAENG MANAMBON</v>
      </c>
    </row>
    <row r="30" spans="1:15" ht="12.5">
      <c r="A30" s="115" t="s">
        <v>3299</v>
      </c>
      <c r="B30" s="5">
        <v>0</v>
      </c>
      <c r="C30" s="5">
        <v>61</v>
      </c>
      <c r="D30" s="5">
        <v>4</v>
      </c>
      <c r="E30" s="5">
        <v>80</v>
      </c>
      <c r="F30" s="5">
        <v>2</v>
      </c>
      <c r="G30" s="5">
        <v>600</v>
      </c>
      <c r="H30" s="5" t="s">
        <v>3241</v>
      </c>
      <c r="I30" s="5" t="s">
        <v>3289</v>
      </c>
      <c r="J30" s="5" t="s">
        <v>3300</v>
      </c>
      <c r="K30" s="10" t="e">
        <f t="shared" si="0"/>
        <v>#VALUE!</v>
      </c>
      <c r="L30" s="10">
        <f t="shared" si="1"/>
        <v>1</v>
      </c>
      <c r="M30" s="10" t="str">
        <f t="shared" si="2"/>
        <v>001</v>
      </c>
      <c r="N30" s="10" t="str">
        <f t="shared" si="3"/>
        <v>002</v>
      </c>
      <c r="O30" s="10" t="str">
        <f t="shared" si="4"/>
        <v>URAI BAWADI</v>
      </c>
    </row>
    <row r="31" spans="1:15" ht="12.5">
      <c r="A31" s="115" t="s">
        <v>3301</v>
      </c>
      <c r="B31" s="5">
        <v>0</v>
      </c>
      <c r="C31" s="5">
        <v>61</v>
      </c>
      <c r="D31" s="5">
        <v>4</v>
      </c>
      <c r="E31" s="5">
        <v>80</v>
      </c>
      <c r="F31" s="5">
        <v>2</v>
      </c>
      <c r="G31" s="5">
        <v>700</v>
      </c>
      <c r="H31" s="5" t="s">
        <v>3241</v>
      </c>
      <c r="I31" s="5" t="s">
        <v>3289</v>
      </c>
      <c r="J31" s="5" t="s">
        <v>3302</v>
      </c>
      <c r="K31" s="10" t="e">
        <f t="shared" si="0"/>
        <v>#VALUE!</v>
      </c>
      <c r="L31" s="10">
        <f t="shared" si="1"/>
        <v>1</v>
      </c>
      <c r="M31" s="10" t="str">
        <f t="shared" si="2"/>
        <v>002</v>
      </c>
      <c r="N31" s="10" t="str">
        <f t="shared" si="3"/>
        <v>002</v>
      </c>
      <c r="O31" s="10" t="str">
        <f t="shared" si="4"/>
        <v>URAI BAWADI</v>
      </c>
    </row>
    <row r="32" spans="1:15" ht="12.5">
      <c r="A32" s="115" t="s">
        <v>3303</v>
      </c>
      <c r="B32" s="5">
        <v>0</v>
      </c>
      <c r="C32" s="5">
        <v>61</v>
      </c>
      <c r="D32" s="5">
        <v>4</v>
      </c>
      <c r="E32" s="5">
        <v>80</v>
      </c>
      <c r="F32" s="5">
        <v>2</v>
      </c>
      <c r="G32" s="5">
        <v>800</v>
      </c>
      <c r="H32" s="5" t="s">
        <v>3241</v>
      </c>
      <c r="I32" s="5" t="s">
        <v>3289</v>
      </c>
      <c r="J32" s="5" t="s">
        <v>3304</v>
      </c>
      <c r="K32" s="10" t="e">
        <f t="shared" si="0"/>
        <v>#VALUE!</v>
      </c>
      <c r="L32" s="10">
        <f t="shared" si="1"/>
        <v>1</v>
      </c>
      <c r="M32" s="10" t="str">
        <f t="shared" si="2"/>
        <v>003</v>
      </c>
      <c r="N32" s="10" t="str">
        <f t="shared" si="3"/>
        <v>002</v>
      </c>
      <c r="O32" s="10" t="str">
        <f t="shared" si="4"/>
        <v>URAI BAWADI</v>
      </c>
    </row>
    <row r="33" spans="1:15" ht="12.5">
      <c r="A33" s="115" t="s">
        <v>3305</v>
      </c>
      <c r="B33" s="5">
        <v>0</v>
      </c>
      <c r="C33" s="5">
        <v>61</v>
      </c>
      <c r="D33" s="5">
        <v>4</v>
      </c>
      <c r="E33" s="5">
        <v>80</v>
      </c>
      <c r="F33" s="5">
        <v>2</v>
      </c>
      <c r="G33" s="5">
        <v>900</v>
      </c>
      <c r="H33" s="5" t="s">
        <v>3241</v>
      </c>
      <c r="I33" s="5" t="s">
        <v>3289</v>
      </c>
      <c r="J33" s="5" t="s">
        <v>3306</v>
      </c>
      <c r="K33" s="10" t="e">
        <f t="shared" si="0"/>
        <v>#VALUE!</v>
      </c>
      <c r="L33" s="10">
        <f t="shared" si="1"/>
        <v>1</v>
      </c>
      <c r="M33" s="10" t="str">
        <f t="shared" si="2"/>
        <v>001</v>
      </c>
      <c r="N33" s="10" t="str">
        <f t="shared" si="3"/>
        <v>014</v>
      </c>
      <c r="O33" s="10" t="str">
        <f t="shared" si="4"/>
        <v>URAI BAWADI</v>
      </c>
    </row>
    <row r="34" spans="1:15" ht="12.5">
      <c r="A34" s="115" t="s">
        <v>3307</v>
      </c>
      <c r="B34" s="5">
        <v>0</v>
      </c>
      <c r="C34" s="5">
        <v>61</v>
      </c>
      <c r="D34" s="5">
        <v>4</v>
      </c>
      <c r="E34" s="5">
        <v>80</v>
      </c>
      <c r="F34" s="5">
        <v>2</v>
      </c>
      <c r="G34" s="5">
        <v>1000</v>
      </c>
      <c r="H34" s="5" t="s">
        <v>3241</v>
      </c>
      <c r="I34" s="5" t="s">
        <v>3289</v>
      </c>
      <c r="J34" s="5" t="s">
        <v>3308</v>
      </c>
      <c r="K34" s="10" t="e">
        <f t="shared" si="0"/>
        <v>#VALUE!</v>
      </c>
      <c r="L34" s="10">
        <f t="shared" si="1"/>
        <v>1</v>
      </c>
      <c r="M34" s="10" t="str">
        <f t="shared" si="2"/>
        <v>002</v>
      </c>
      <c r="N34" s="10" t="str">
        <f t="shared" si="3"/>
        <v>014</v>
      </c>
      <c r="O34" s="10" t="str">
        <f t="shared" si="4"/>
        <v>URAI BAWADI</v>
      </c>
    </row>
    <row r="35" spans="1:15" ht="12.5">
      <c r="A35" s="115" t="s">
        <v>3309</v>
      </c>
      <c r="B35" s="5">
        <v>0</v>
      </c>
      <c r="C35" s="5">
        <v>61</v>
      </c>
      <c r="D35" s="5">
        <v>4</v>
      </c>
      <c r="E35" s="5">
        <v>80</v>
      </c>
      <c r="F35" s="5">
        <v>2</v>
      </c>
      <c r="G35" s="5">
        <v>1100</v>
      </c>
      <c r="H35" s="5" t="s">
        <v>3241</v>
      </c>
      <c r="I35" s="5" t="s">
        <v>3289</v>
      </c>
      <c r="J35" s="5" t="s">
        <v>3310</v>
      </c>
      <c r="K35" s="10" t="e">
        <f t="shared" si="0"/>
        <v>#VALUE!</v>
      </c>
      <c r="L35" s="10">
        <f t="shared" si="1"/>
        <v>1</v>
      </c>
      <c r="M35" s="10" t="str">
        <f t="shared" si="2"/>
        <v>003</v>
      </c>
      <c r="N35" s="10" t="str">
        <f t="shared" si="3"/>
        <v>014</v>
      </c>
      <c r="O35" s="10" t="str">
        <f t="shared" si="4"/>
        <v>URAI BAWADI</v>
      </c>
    </row>
    <row r="36" spans="1:15" ht="12.5">
      <c r="A36" s="115" t="s">
        <v>3311</v>
      </c>
      <c r="B36" s="5">
        <v>0</v>
      </c>
      <c r="C36" s="5">
        <v>61</v>
      </c>
      <c r="D36" s="5">
        <v>4</v>
      </c>
      <c r="E36" s="5">
        <v>80</v>
      </c>
      <c r="F36" s="5">
        <v>2</v>
      </c>
      <c r="G36" s="5">
        <v>1200</v>
      </c>
      <c r="H36" s="5" t="s">
        <v>3241</v>
      </c>
      <c r="I36" s="5" t="s">
        <v>3289</v>
      </c>
      <c r="J36" s="5" t="s">
        <v>3312</v>
      </c>
      <c r="K36" s="10" t="e">
        <f t="shared" si="0"/>
        <v>#VALUE!</v>
      </c>
      <c r="L36" s="10">
        <f t="shared" si="1"/>
        <v>1</v>
      </c>
      <c r="M36" s="10" t="str">
        <f t="shared" si="2"/>
        <v>001</v>
      </c>
      <c r="N36" s="10" t="str">
        <f t="shared" si="3"/>
        <v>006</v>
      </c>
      <c r="O36" s="10" t="str">
        <f t="shared" si="4"/>
        <v>PANGERAN ADIPATI</v>
      </c>
    </row>
    <row r="37" spans="1:15" ht="12.5">
      <c r="A37" s="115" t="s">
        <v>3313</v>
      </c>
      <c r="B37" s="5">
        <v>0</v>
      </c>
      <c r="C37" s="5">
        <v>61</v>
      </c>
      <c r="D37" s="5">
        <v>4</v>
      </c>
      <c r="E37" s="5">
        <v>80</v>
      </c>
      <c r="F37" s="5">
        <v>2</v>
      </c>
      <c r="G37" s="5">
        <v>1300</v>
      </c>
      <c r="H37" s="5" t="s">
        <v>3241</v>
      </c>
      <c r="I37" s="5" t="s">
        <v>3289</v>
      </c>
      <c r="J37" s="5" t="s">
        <v>3314</v>
      </c>
      <c r="K37" s="10" t="e">
        <f t="shared" si="0"/>
        <v>#VALUE!</v>
      </c>
      <c r="L37" s="10">
        <f t="shared" si="1"/>
        <v>1</v>
      </c>
      <c r="M37" s="10" t="str">
        <f t="shared" si="2"/>
        <v>002</v>
      </c>
      <c r="N37" s="10" t="str">
        <f t="shared" si="3"/>
        <v>006</v>
      </c>
      <c r="O37" s="10" t="str">
        <f t="shared" si="4"/>
        <v>PANGERAN ADIPATI</v>
      </c>
    </row>
    <row r="38" spans="1:15" ht="12.5">
      <c r="A38" s="115" t="s">
        <v>3315</v>
      </c>
      <c r="B38" s="5">
        <v>0</v>
      </c>
      <c r="C38" s="5">
        <v>61</v>
      </c>
      <c r="D38" s="5">
        <v>4</v>
      </c>
      <c r="E38" s="5">
        <v>80</v>
      </c>
      <c r="F38" s="5">
        <v>2</v>
      </c>
      <c r="G38" s="5">
        <v>1400</v>
      </c>
      <c r="H38" s="5" t="s">
        <v>3241</v>
      </c>
      <c r="I38" s="5" t="s">
        <v>3289</v>
      </c>
      <c r="J38" s="5" t="s">
        <v>3316</v>
      </c>
      <c r="K38" s="10" t="e">
        <f t="shared" si="0"/>
        <v>#VALUE!</v>
      </c>
      <c r="L38" s="10">
        <f t="shared" si="1"/>
        <v>1</v>
      </c>
      <c r="M38" s="10" t="str">
        <f t="shared" si="2"/>
        <v>003</v>
      </c>
      <c r="N38" s="10" t="str">
        <f t="shared" si="3"/>
        <v>006</v>
      </c>
      <c r="O38" s="10" t="str">
        <f t="shared" si="4"/>
        <v>PANGERAN ADIPATI</v>
      </c>
    </row>
    <row r="39" spans="1:15" ht="12.5">
      <c r="A39" s="115" t="s">
        <v>3317</v>
      </c>
      <c r="B39" s="5">
        <v>0</v>
      </c>
      <c r="C39" s="5">
        <v>61</v>
      </c>
      <c r="D39" s="5">
        <v>4</v>
      </c>
      <c r="E39" s="5">
        <v>80</v>
      </c>
      <c r="F39" s="5">
        <v>2</v>
      </c>
      <c r="G39" s="5">
        <v>1500</v>
      </c>
      <c r="H39" s="5" t="s">
        <v>3241</v>
      </c>
      <c r="I39" s="5" t="s">
        <v>3289</v>
      </c>
      <c r="J39" s="5" t="s">
        <v>3318</v>
      </c>
      <c r="K39" s="10" t="e">
        <f t="shared" si="0"/>
        <v>#VALUE!</v>
      </c>
      <c r="L39" s="10">
        <f t="shared" si="1"/>
        <v>1</v>
      </c>
      <c r="M39" s="10" t="str">
        <f t="shared" si="2"/>
        <v>001</v>
      </c>
      <c r="N39" s="10" t="str">
        <f t="shared" si="3"/>
        <v>012</v>
      </c>
      <c r="O39" s="10" t="str">
        <f t="shared" si="4"/>
        <v>PANGERAN ADIPATI</v>
      </c>
    </row>
    <row r="40" spans="1:15" ht="12.5">
      <c r="A40" s="115" t="s">
        <v>3319</v>
      </c>
      <c r="B40" s="5">
        <v>0</v>
      </c>
      <c r="C40" s="5">
        <v>61</v>
      </c>
      <c r="D40" s="5">
        <v>4</v>
      </c>
      <c r="E40" s="5">
        <v>80</v>
      </c>
      <c r="F40" s="5">
        <v>2</v>
      </c>
      <c r="G40" s="5">
        <v>1600</v>
      </c>
      <c r="H40" s="5" t="s">
        <v>3241</v>
      </c>
      <c r="I40" s="5" t="s">
        <v>3289</v>
      </c>
      <c r="J40" s="5" t="s">
        <v>3320</v>
      </c>
      <c r="K40" s="10" t="e">
        <f t="shared" si="0"/>
        <v>#VALUE!</v>
      </c>
      <c r="L40" s="10">
        <f t="shared" si="1"/>
        <v>1</v>
      </c>
      <c r="M40" s="10" t="str">
        <f t="shared" si="2"/>
        <v>002</v>
      </c>
      <c r="N40" s="10" t="str">
        <f t="shared" si="3"/>
        <v>012</v>
      </c>
      <c r="O40" s="10" t="str">
        <f t="shared" si="4"/>
        <v>PANGERAN ADIPATI</v>
      </c>
    </row>
    <row r="41" spans="1:15" ht="12.5">
      <c r="A41" s="115" t="s">
        <v>3321</v>
      </c>
      <c r="B41" s="5">
        <v>0</v>
      </c>
      <c r="C41" s="5">
        <v>61</v>
      </c>
      <c r="D41" s="5">
        <v>4</v>
      </c>
      <c r="E41" s="5">
        <v>80</v>
      </c>
      <c r="F41" s="5">
        <v>2</v>
      </c>
      <c r="G41" s="5">
        <v>1700</v>
      </c>
      <c r="H41" s="5" t="s">
        <v>3241</v>
      </c>
      <c r="I41" s="5" t="s">
        <v>3289</v>
      </c>
      <c r="J41" s="5" t="s">
        <v>3322</v>
      </c>
      <c r="K41" s="10" t="e">
        <f t="shared" si="0"/>
        <v>#VALUE!</v>
      </c>
      <c r="L41" s="10">
        <f t="shared" si="1"/>
        <v>1</v>
      </c>
      <c r="M41" s="10" t="str">
        <f t="shared" si="2"/>
        <v>003</v>
      </c>
      <c r="N41" s="10" t="str">
        <f t="shared" si="3"/>
        <v>012</v>
      </c>
      <c r="O41" s="10" t="str">
        <f t="shared" si="4"/>
        <v>PANGERAN ADIPATI</v>
      </c>
    </row>
    <row r="42" spans="1:15" ht="12.5">
      <c r="A42" s="115" t="s">
        <v>3323</v>
      </c>
      <c r="B42" s="5">
        <v>0</v>
      </c>
      <c r="C42" s="5">
        <v>61</v>
      </c>
      <c r="D42" s="5">
        <v>4</v>
      </c>
      <c r="E42" s="5">
        <v>80</v>
      </c>
      <c r="F42" s="5">
        <v>2</v>
      </c>
      <c r="G42" s="5">
        <v>1800</v>
      </c>
      <c r="H42" s="5" t="s">
        <v>3241</v>
      </c>
      <c r="I42" s="5" t="s">
        <v>3289</v>
      </c>
      <c r="J42" s="5" t="s">
        <v>3324</v>
      </c>
      <c r="K42" s="10" t="e">
        <f t="shared" si="0"/>
        <v>#VALUE!</v>
      </c>
      <c r="L42" s="10">
        <f t="shared" si="1"/>
        <v>1</v>
      </c>
      <c r="M42" s="10" t="str">
        <f t="shared" si="2"/>
        <v>004</v>
      </c>
      <c r="N42" s="10" t="str">
        <f t="shared" si="3"/>
        <v>012</v>
      </c>
      <c r="O42" s="10" t="str">
        <f t="shared" si="4"/>
        <v>PANGERAN ADIPATI</v>
      </c>
    </row>
    <row r="43" spans="1:15" ht="12.5">
      <c r="A43" s="115" t="s">
        <v>3325</v>
      </c>
      <c r="B43" s="5">
        <v>0</v>
      </c>
      <c r="C43" s="5">
        <v>61</v>
      </c>
      <c r="D43" s="5">
        <v>4</v>
      </c>
      <c r="E43" s="5">
        <v>80</v>
      </c>
      <c r="F43" s="5">
        <v>2</v>
      </c>
      <c r="G43" s="5">
        <v>1900</v>
      </c>
      <c r="H43" s="5" t="s">
        <v>3241</v>
      </c>
      <c r="I43" s="5" t="s">
        <v>3289</v>
      </c>
      <c r="J43" s="5" t="s">
        <v>3326</v>
      </c>
      <c r="K43" s="10" t="e">
        <f t="shared" si="0"/>
        <v>#VALUE!</v>
      </c>
      <c r="L43" s="10">
        <f t="shared" si="1"/>
        <v>1</v>
      </c>
      <c r="M43" s="10" t="str">
        <f t="shared" si="2"/>
        <v>005</v>
      </c>
      <c r="N43" s="10" t="str">
        <f t="shared" si="3"/>
        <v>012</v>
      </c>
      <c r="O43" s="10" t="str">
        <f t="shared" si="4"/>
        <v>PANGERAN ADIPATI</v>
      </c>
    </row>
    <row r="44" spans="1:15" ht="12.5">
      <c r="A44" s="115" t="s">
        <v>3327</v>
      </c>
      <c r="B44" s="5">
        <v>0</v>
      </c>
      <c r="C44" s="5">
        <v>61</v>
      </c>
      <c r="D44" s="5">
        <v>4</v>
      </c>
      <c r="E44" s="5">
        <v>80</v>
      </c>
      <c r="F44" s="5">
        <v>2</v>
      </c>
      <c r="G44" s="5">
        <v>2000</v>
      </c>
      <c r="H44" s="5" t="s">
        <v>3241</v>
      </c>
      <c r="I44" s="5" t="s">
        <v>3289</v>
      </c>
      <c r="J44" s="5" t="s">
        <v>3328</v>
      </c>
      <c r="K44" s="10" t="e">
        <f t="shared" si="0"/>
        <v>#VALUE!</v>
      </c>
      <c r="L44" s="10">
        <f t="shared" si="1"/>
        <v>1</v>
      </c>
      <c r="M44" s="10" t="str">
        <f t="shared" si="2"/>
        <v>001</v>
      </c>
      <c r="N44" s="10" t="str">
        <f t="shared" si="3"/>
        <v>003</v>
      </c>
      <c r="O44" s="10" t="str">
        <f t="shared" si="4"/>
        <v>SULTAN ABDURRAHMAN</v>
      </c>
    </row>
    <row r="45" spans="1:15" ht="12.5">
      <c r="A45" s="115" t="s">
        <v>3329</v>
      </c>
      <c r="B45" s="5">
        <v>0</v>
      </c>
      <c r="C45" s="5">
        <v>61</v>
      </c>
      <c r="D45" s="5">
        <v>4</v>
      </c>
      <c r="E45" s="5">
        <v>80</v>
      </c>
      <c r="F45" s="5">
        <v>2</v>
      </c>
      <c r="G45" s="5">
        <v>2100</v>
      </c>
      <c r="H45" s="5" t="s">
        <v>3241</v>
      </c>
      <c r="I45" s="5" t="s">
        <v>3289</v>
      </c>
      <c r="J45" s="5" t="s">
        <v>3330</v>
      </c>
      <c r="K45" s="10" t="e">
        <f t="shared" si="0"/>
        <v>#VALUE!</v>
      </c>
      <c r="L45" s="10">
        <f t="shared" si="1"/>
        <v>1</v>
      </c>
      <c r="M45" s="10" t="str">
        <f t="shared" si="2"/>
        <v>002</v>
      </c>
      <c r="N45" s="10" t="str">
        <f t="shared" si="3"/>
        <v>003</v>
      </c>
      <c r="O45" s="10" t="str">
        <f t="shared" si="4"/>
        <v>SULTAN ABDURRAHMAN</v>
      </c>
    </row>
    <row r="46" spans="1:15" ht="12.5">
      <c r="A46" s="115" t="s">
        <v>3331</v>
      </c>
      <c r="B46" s="5">
        <v>0</v>
      </c>
      <c r="C46" s="5">
        <v>61</v>
      </c>
      <c r="D46" s="5">
        <v>4</v>
      </c>
      <c r="E46" s="5">
        <v>80</v>
      </c>
      <c r="F46" s="5">
        <v>2</v>
      </c>
      <c r="G46" s="5">
        <v>2200</v>
      </c>
      <c r="H46" s="5" t="s">
        <v>3241</v>
      </c>
      <c r="I46" s="5" t="s">
        <v>3289</v>
      </c>
      <c r="J46" s="5" t="s">
        <v>3332</v>
      </c>
      <c r="K46" s="10" t="e">
        <f t="shared" si="0"/>
        <v>#VALUE!</v>
      </c>
      <c r="L46" s="10">
        <f t="shared" si="1"/>
        <v>1</v>
      </c>
      <c r="M46" s="10" t="str">
        <f t="shared" si="2"/>
        <v>003</v>
      </c>
      <c r="N46" s="10" t="str">
        <f t="shared" si="3"/>
        <v>003</v>
      </c>
      <c r="O46" s="10" t="str">
        <f t="shared" si="4"/>
        <v>SULTAN ABDURRAHMAN</v>
      </c>
    </row>
    <row r="47" spans="1:15" ht="12.5">
      <c r="A47" s="115" t="s">
        <v>3333</v>
      </c>
      <c r="B47" s="5">
        <v>0</v>
      </c>
      <c r="C47" s="5">
        <v>61</v>
      </c>
      <c r="D47" s="5">
        <v>4</v>
      </c>
      <c r="E47" s="5">
        <v>80</v>
      </c>
      <c r="F47" s="5">
        <v>2</v>
      </c>
      <c r="G47" s="5">
        <v>2300</v>
      </c>
      <c r="H47" s="5" t="s">
        <v>3241</v>
      </c>
      <c r="I47" s="5" t="s">
        <v>3289</v>
      </c>
      <c r="J47" s="5" t="s">
        <v>3334</v>
      </c>
      <c r="K47" s="10" t="e">
        <f t="shared" si="0"/>
        <v>#VALUE!</v>
      </c>
      <c r="L47" s="10">
        <f t="shared" si="1"/>
        <v>1</v>
      </c>
      <c r="M47" s="10" t="str">
        <f t="shared" si="2"/>
        <v>001</v>
      </c>
      <c r="N47" s="10" t="str">
        <f t="shared" si="3"/>
        <v>013</v>
      </c>
      <c r="O47" s="10" t="str">
        <f t="shared" si="4"/>
        <v>SULTAN ABDURRAHMAN</v>
      </c>
    </row>
    <row r="48" spans="1:15" ht="12.5">
      <c r="A48" s="115" t="s">
        <v>3335</v>
      </c>
      <c r="B48" s="5">
        <v>0</v>
      </c>
      <c r="C48" s="5">
        <v>61</v>
      </c>
      <c r="D48" s="5">
        <v>4</v>
      </c>
      <c r="E48" s="5">
        <v>80</v>
      </c>
      <c r="F48" s="5">
        <v>2</v>
      </c>
      <c r="G48" s="5">
        <v>2400</v>
      </c>
      <c r="H48" s="5" t="s">
        <v>3241</v>
      </c>
      <c r="I48" s="5" t="s">
        <v>3289</v>
      </c>
      <c r="J48" s="5" t="s">
        <v>3336</v>
      </c>
      <c r="K48" s="10" t="e">
        <f t="shared" si="0"/>
        <v>#VALUE!</v>
      </c>
      <c r="L48" s="10">
        <f t="shared" si="1"/>
        <v>1</v>
      </c>
      <c r="M48" s="10" t="str">
        <f t="shared" si="2"/>
        <v>002</v>
      </c>
      <c r="N48" s="10" t="str">
        <f t="shared" si="3"/>
        <v>013</v>
      </c>
      <c r="O48" s="10" t="str">
        <f t="shared" si="4"/>
        <v>SULTAN ABDURRAHMAN</v>
      </c>
    </row>
    <row r="49" spans="1:15" ht="12.5">
      <c r="A49" s="115" t="s">
        <v>3337</v>
      </c>
      <c r="B49" s="5">
        <v>0</v>
      </c>
      <c r="C49" s="5">
        <v>61</v>
      </c>
      <c r="D49" s="5">
        <v>4</v>
      </c>
      <c r="E49" s="5">
        <v>80</v>
      </c>
      <c r="F49" s="5">
        <v>2</v>
      </c>
      <c r="G49" s="5">
        <v>2500</v>
      </c>
      <c r="H49" s="5" t="s">
        <v>3241</v>
      </c>
      <c r="I49" s="5" t="s">
        <v>3289</v>
      </c>
      <c r="J49" s="5" t="s">
        <v>3338</v>
      </c>
      <c r="K49" s="10" t="e">
        <f t="shared" si="0"/>
        <v>#VALUE!</v>
      </c>
      <c r="L49" s="10">
        <f t="shared" si="1"/>
        <v>1</v>
      </c>
      <c r="M49" s="10" t="str">
        <f t="shared" si="2"/>
        <v>003</v>
      </c>
      <c r="N49" s="10" t="str">
        <f t="shared" si="3"/>
        <v>013</v>
      </c>
      <c r="O49" s="10" t="str">
        <f t="shared" si="4"/>
        <v>SULTAN ABDURRAHMAN</v>
      </c>
    </row>
    <row r="50" spans="1:15" ht="12.5">
      <c r="A50" s="115" t="s">
        <v>3339</v>
      </c>
      <c r="B50" s="5">
        <v>0</v>
      </c>
      <c r="C50" s="5">
        <v>61</v>
      </c>
      <c r="D50" s="5">
        <v>4</v>
      </c>
      <c r="E50" s="5">
        <v>80</v>
      </c>
      <c r="F50" s="5">
        <v>2</v>
      </c>
      <c r="G50" s="5">
        <v>2600</v>
      </c>
      <c r="H50" s="5" t="s">
        <v>3241</v>
      </c>
      <c r="I50" s="5" t="s">
        <v>3289</v>
      </c>
      <c r="J50" s="5" t="s">
        <v>3340</v>
      </c>
      <c r="K50" s="10" t="e">
        <f t="shared" si="0"/>
        <v>#VALUE!</v>
      </c>
      <c r="L50" s="10">
        <f t="shared" si="1"/>
        <v>1</v>
      </c>
      <c r="M50" s="10" t="str">
        <f t="shared" si="2"/>
        <v>004</v>
      </c>
      <c r="N50" s="10" t="str">
        <f t="shared" si="3"/>
        <v>013</v>
      </c>
      <c r="O50" s="10" t="str">
        <f t="shared" si="4"/>
        <v>SULTAN ABDURRAHMAN</v>
      </c>
    </row>
    <row r="51" spans="1:15" ht="12.5">
      <c r="A51" s="115" t="s">
        <v>3341</v>
      </c>
      <c r="B51" s="5">
        <v>0</v>
      </c>
      <c r="C51" s="5">
        <v>61</v>
      </c>
      <c r="D51" s="5">
        <v>4</v>
      </c>
      <c r="E51" s="5">
        <v>80</v>
      </c>
      <c r="F51" s="5">
        <v>2</v>
      </c>
      <c r="G51" s="5">
        <v>2700</v>
      </c>
      <c r="H51" s="5" t="s">
        <v>3241</v>
      </c>
      <c r="I51" s="5" t="s">
        <v>3289</v>
      </c>
      <c r="J51" s="5" t="s">
        <v>3342</v>
      </c>
      <c r="K51" s="10" t="e">
        <f t="shared" si="0"/>
        <v>#VALUE!</v>
      </c>
      <c r="L51" s="10">
        <f t="shared" si="1"/>
        <v>1</v>
      </c>
      <c r="M51" s="10" t="str">
        <f t="shared" si="2"/>
        <v>005</v>
      </c>
      <c r="N51" s="10" t="str">
        <f t="shared" si="3"/>
        <v>013</v>
      </c>
      <c r="O51" s="10" t="str">
        <f t="shared" si="4"/>
        <v>SULTAN ABDURRAHMAN</v>
      </c>
    </row>
    <row r="52" spans="1:15" ht="12.5">
      <c r="A52" s="115" t="s">
        <v>3343</v>
      </c>
      <c r="B52" s="5">
        <v>0</v>
      </c>
      <c r="C52" s="5">
        <v>61</v>
      </c>
      <c r="D52" s="5">
        <v>4</v>
      </c>
      <c r="E52" s="5">
        <v>80</v>
      </c>
      <c r="F52" s="5">
        <v>2</v>
      </c>
      <c r="G52" s="5">
        <v>2800</v>
      </c>
      <c r="H52" s="5" t="s">
        <v>3241</v>
      </c>
      <c r="I52" s="5" t="s">
        <v>3289</v>
      </c>
      <c r="J52" s="5" t="s">
        <v>3344</v>
      </c>
      <c r="K52" s="10" t="e">
        <f t="shared" si="0"/>
        <v>#VALUE!</v>
      </c>
      <c r="L52" s="10">
        <f t="shared" si="1"/>
        <v>1</v>
      </c>
      <c r="M52" s="10" t="str">
        <f t="shared" si="2"/>
        <v>001</v>
      </c>
      <c r="N52" s="10" t="str">
        <f t="shared" si="3"/>
        <v>005</v>
      </c>
      <c r="O52" s="10" t="str">
        <f t="shared" si="4"/>
        <v>PANGSUMA</v>
      </c>
    </row>
    <row r="53" spans="1:15" ht="12.5">
      <c r="A53" s="115" t="s">
        <v>3345</v>
      </c>
      <c r="B53" s="5">
        <v>0</v>
      </c>
      <c r="C53" s="5">
        <v>61</v>
      </c>
      <c r="D53" s="5">
        <v>4</v>
      </c>
      <c r="E53" s="5">
        <v>80</v>
      </c>
      <c r="F53" s="5">
        <v>2</v>
      </c>
      <c r="G53" s="5">
        <v>2900</v>
      </c>
      <c r="H53" s="5" t="s">
        <v>3241</v>
      </c>
      <c r="I53" s="5" t="s">
        <v>3289</v>
      </c>
      <c r="J53" s="5" t="s">
        <v>3346</v>
      </c>
      <c r="K53" s="10" t="e">
        <f t="shared" si="0"/>
        <v>#VALUE!</v>
      </c>
      <c r="L53" s="10">
        <f t="shared" si="1"/>
        <v>1</v>
      </c>
      <c r="M53" s="10" t="str">
        <f t="shared" si="2"/>
        <v>002</v>
      </c>
      <c r="N53" s="10" t="str">
        <f t="shared" si="3"/>
        <v>005</v>
      </c>
      <c r="O53" s="10" t="str">
        <f t="shared" si="4"/>
        <v>PANGSUMA</v>
      </c>
    </row>
    <row r="54" spans="1:15" ht="12.5">
      <c r="A54" s="115" t="s">
        <v>3347</v>
      </c>
      <c r="B54" s="5">
        <v>0</v>
      </c>
      <c r="C54" s="5">
        <v>61</v>
      </c>
      <c r="D54" s="5">
        <v>4</v>
      </c>
      <c r="E54" s="5">
        <v>80</v>
      </c>
      <c r="F54" s="5">
        <v>2</v>
      </c>
      <c r="G54" s="5">
        <v>3000</v>
      </c>
      <c r="H54" s="5" t="s">
        <v>3241</v>
      </c>
      <c r="I54" s="5" t="s">
        <v>3289</v>
      </c>
      <c r="J54" s="5" t="s">
        <v>3348</v>
      </c>
      <c r="K54" s="10" t="e">
        <f t="shared" si="0"/>
        <v>#VALUE!</v>
      </c>
      <c r="L54" s="10">
        <f t="shared" si="1"/>
        <v>1</v>
      </c>
      <c r="M54" s="10" t="str">
        <f t="shared" si="2"/>
        <v>003</v>
      </c>
      <c r="N54" s="10" t="str">
        <f t="shared" si="3"/>
        <v>005</v>
      </c>
      <c r="O54" s="10" t="str">
        <f t="shared" si="4"/>
        <v>PANGSUMA</v>
      </c>
    </row>
    <row r="55" spans="1:15" ht="12.5">
      <c r="A55" s="115" t="s">
        <v>3349</v>
      </c>
      <c r="B55" s="5">
        <v>0</v>
      </c>
      <c r="C55" s="5">
        <v>61</v>
      </c>
      <c r="D55" s="5">
        <v>4</v>
      </c>
      <c r="E55" s="5">
        <v>80</v>
      </c>
      <c r="F55" s="5">
        <v>2</v>
      </c>
      <c r="G55" s="5">
        <v>3100</v>
      </c>
      <c r="H55" s="5" t="s">
        <v>3241</v>
      </c>
      <c r="I55" s="5" t="s">
        <v>3289</v>
      </c>
      <c r="J55" s="5" t="s">
        <v>3350</v>
      </c>
      <c r="K55" s="10" t="e">
        <f t="shared" si="0"/>
        <v>#VALUE!</v>
      </c>
      <c r="L55" s="10">
        <f t="shared" si="1"/>
        <v>1</v>
      </c>
      <c r="M55" s="10" t="str">
        <f t="shared" si="2"/>
        <v>004</v>
      </c>
      <c r="N55" s="10" t="str">
        <f t="shared" si="3"/>
        <v>005</v>
      </c>
      <c r="O55" s="10" t="str">
        <f t="shared" si="4"/>
        <v>PANGSUMA</v>
      </c>
    </row>
    <row r="56" spans="1:15" ht="12.5">
      <c r="A56" s="115" t="s">
        <v>3351</v>
      </c>
      <c r="B56" s="5">
        <v>0</v>
      </c>
      <c r="C56" s="5">
        <v>61</v>
      </c>
      <c r="D56" s="5">
        <v>4</v>
      </c>
      <c r="E56" s="5">
        <v>80</v>
      </c>
      <c r="F56" s="5">
        <v>2</v>
      </c>
      <c r="G56" s="5">
        <v>3200</v>
      </c>
      <c r="H56" s="5" t="s">
        <v>3241</v>
      </c>
      <c r="I56" s="5" t="s">
        <v>3289</v>
      </c>
      <c r="J56" s="5" t="s">
        <v>3352</v>
      </c>
      <c r="K56" s="10" t="e">
        <f t="shared" si="0"/>
        <v>#VALUE!</v>
      </c>
      <c r="L56" s="10">
        <f t="shared" si="1"/>
        <v>1</v>
      </c>
      <c r="M56" s="10" t="str">
        <f t="shared" si="2"/>
        <v>005</v>
      </c>
      <c r="N56" s="10" t="str">
        <f t="shared" si="3"/>
        <v>005</v>
      </c>
      <c r="O56" s="10" t="str">
        <f t="shared" si="4"/>
        <v>PANGSUMA</v>
      </c>
    </row>
    <row r="57" spans="1:15" ht="12.5">
      <c r="A57" s="115" t="s">
        <v>3353</v>
      </c>
      <c r="B57" s="5">
        <v>0</v>
      </c>
      <c r="C57" s="5">
        <v>61</v>
      </c>
      <c r="D57" s="5">
        <v>4</v>
      </c>
      <c r="E57" s="5">
        <v>80</v>
      </c>
      <c r="F57" s="5">
        <v>2</v>
      </c>
      <c r="G57" s="5">
        <v>3300</v>
      </c>
      <c r="H57" s="5" t="s">
        <v>3241</v>
      </c>
      <c r="I57" s="5" t="s">
        <v>3289</v>
      </c>
      <c r="J57" s="5" t="s">
        <v>3354</v>
      </c>
      <c r="K57" s="10" t="e">
        <f t="shared" si="0"/>
        <v>#VALUE!</v>
      </c>
      <c r="L57" s="10">
        <f t="shared" si="1"/>
        <v>1</v>
      </c>
      <c r="M57" s="10" t="str">
        <f t="shared" si="2"/>
        <v>001</v>
      </c>
      <c r="N57" s="10" t="str">
        <f t="shared" si="3"/>
        <v>007</v>
      </c>
      <c r="O57" s="10" t="str">
        <f t="shared" si="4"/>
        <v>PANGSUMA</v>
      </c>
    </row>
    <row r="58" spans="1:15" ht="12.5">
      <c r="A58" s="115" t="s">
        <v>3355</v>
      </c>
      <c r="B58" s="5">
        <v>0</v>
      </c>
      <c r="C58" s="5">
        <v>61</v>
      </c>
      <c r="D58" s="5">
        <v>4</v>
      </c>
      <c r="E58" s="5">
        <v>80</v>
      </c>
      <c r="F58" s="5">
        <v>2</v>
      </c>
      <c r="G58" s="5">
        <v>3400</v>
      </c>
      <c r="H58" s="5" t="s">
        <v>3241</v>
      </c>
      <c r="I58" s="5" t="s">
        <v>3289</v>
      </c>
      <c r="J58" s="5" t="s">
        <v>3356</v>
      </c>
      <c r="K58" s="10" t="e">
        <f t="shared" si="0"/>
        <v>#VALUE!</v>
      </c>
      <c r="L58" s="10">
        <f t="shared" si="1"/>
        <v>1</v>
      </c>
      <c r="M58" s="10" t="str">
        <f t="shared" si="2"/>
        <v>002</v>
      </c>
      <c r="N58" s="10" t="str">
        <f t="shared" si="3"/>
        <v>007</v>
      </c>
      <c r="O58" s="10" t="str">
        <f t="shared" si="4"/>
        <v>PANGSUMA</v>
      </c>
    </row>
    <row r="59" spans="1:15" ht="12.5">
      <c r="A59" s="115" t="s">
        <v>3357</v>
      </c>
      <c r="B59" s="5">
        <v>0</v>
      </c>
      <c r="C59" s="5">
        <v>61</v>
      </c>
      <c r="D59" s="5">
        <v>4</v>
      </c>
      <c r="E59" s="5">
        <v>80</v>
      </c>
      <c r="F59" s="5">
        <v>2</v>
      </c>
      <c r="G59" s="5">
        <v>3500</v>
      </c>
      <c r="H59" s="5" t="s">
        <v>3241</v>
      </c>
      <c r="I59" s="5" t="s">
        <v>3289</v>
      </c>
      <c r="J59" s="5" t="s">
        <v>3358</v>
      </c>
      <c r="K59" s="10" t="e">
        <f t="shared" si="0"/>
        <v>#VALUE!</v>
      </c>
      <c r="L59" s="10">
        <f t="shared" si="1"/>
        <v>1</v>
      </c>
      <c r="M59" s="10" t="str">
        <f t="shared" si="2"/>
        <v>003</v>
      </c>
      <c r="N59" s="10" t="str">
        <f t="shared" si="3"/>
        <v>007</v>
      </c>
      <c r="O59" s="10" t="str">
        <f t="shared" si="4"/>
        <v>PANGSUMA</v>
      </c>
    </row>
    <row r="60" spans="1:15" ht="12.5">
      <c r="A60" s="115" t="s">
        <v>3359</v>
      </c>
      <c r="B60" s="5">
        <v>0</v>
      </c>
      <c r="C60" s="5">
        <v>61</v>
      </c>
      <c r="D60" s="5">
        <v>4</v>
      </c>
      <c r="E60" s="5">
        <v>80</v>
      </c>
      <c r="F60" s="5">
        <v>2</v>
      </c>
      <c r="G60" s="5">
        <v>3600</v>
      </c>
      <c r="H60" s="5" t="s">
        <v>3241</v>
      </c>
      <c r="I60" s="5" t="s">
        <v>3289</v>
      </c>
      <c r="J60" s="5" t="s">
        <v>3360</v>
      </c>
      <c r="K60" s="10" t="e">
        <f t="shared" si="0"/>
        <v>#VALUE!</v>
      </c>
      <c r="L60" s="10">
        <f t="shared" si="1"/>
        <v>1</v>
      </c>
      <c r="M60" s="10" t="str">
        <f t="shared" si="2"/>
        <v>004</v>
      </c>
      <c r="N60" s="10" t="str">
        <f t="shared" si="3"/>
        <v>007</v>
      </c>
      <c r="O60" s="10" t="str">
        <f t="shared" si="4"/>
        <v>PANGSUMA</v>
      </c>
    </row>
    <row r="61" spans="1:15" ht="12.5">
      <c r="A61" s="115" t="s">
        <v>3361</v>
      </c>
      <c r="B61" s="5">
        <v>0</v>
      </c>
      <c r="C61" s="5">
        <v>61</v>
      </c>
      <c r="D61" s="5">
        <v>4</v>
      </c>
      <c r="E61" s="5">
        <v>80</v>
      </c>
      <c r="F61" s="5">
        <v>2</v>
      </c>
      <c r="G61" s="5">
        <v>3700</v>
      </c>
      <c r="H61" s="5" t="s">
        <v>3241</v>
      </c>
      <c r="I61" s="5" t="s">
        <v>3289</v>
      </c>
      <c r="J61" s="5" t="s">
        <v>3362</v>
      </c>
      <c r="K61" s="10" t="e">
        <f t="shared" si="0"/>
        <v>#VALUE!</v>
      </c>
      <c r="L61" s="10">
        <f t="shared" si="1"/>
        <v>1</v>
      </c>
      <c r="M61" s="10" t="str">
        <f t="shared" si="2"/>
        <v>005</v>
      </c>
      <c r="N61" s="10" t="str">
        <f t="shared" si="3"/>
        <v>007</v>
      </c>
      <c r="O61" s="10" t="str">
        <f t="shared" si="4"/>
        <v>PANGSUMA</v>
      </c>
    </row>
    <row r="62" spans="1:15" ht="12.5">
      <c r="A62" s="115" t="s">
        <v>3363</v>
      </c>
      <c r="B62" s="5">
        <v>0</v>
      </c>
      <c r="C62" s="5">
        <v>61</v>
      </c>
      <c r="D62" s="5">
        <v>4</v>
      </c>
      <c r="E62" s="5">
        <v>80</v>
      </c>
      <c r="F62" s="5">
        <v>2</v>
      </c>
      <c r="G62" s="5">
        <v>3800</v>
      </c>
      <c r="H62" s="5" t="s">
        <v>3241</v>
      </c>
      <c r="I62" s="5" t="s">
        <v>3289</v>
      </c>
      <c r="J62" s="5" t="s">
        <v>3364</v>
      </c>
      <c r="K62" s="10" t="e">
        <f t="shared" si="0"/>
        <v>#VALUE!</v>
      </c>
      <c r="L62" s="10">
        <f t="shared" si="1"/>
        <v>1</v>
      </c>
      <c r="M62" s="10" t="str">
        <f t="shared" si="2"/>
        <v>001</v>
      </c>
      <c r="N62" s="10" t="str">
        <f t="shared" si="3"/>
        <v>008</v>
      </c>
      <c r="O62" s="10" t="str">
        <f t="shared" si="4"/>
        <v>ALIANYANG</v>
      </c>
    </row>
    <row r="63" spans="1:15" ht="12.5">
      <c r="A63" s="115" t="s">
        <v>3365</v>
      </c>
      <c r="B63" s="5">
        <v>0</v>
      </c>
      <c r="C63" s="5">
        <v>61</v>
      </c>
      <c r="D63" s="5">
        <v>4</v>
      </c>
      <c r="E63" s="5">
        <v>80</v>
      </c>
      <c r="F63" s="5">
        <v>2</v>
      </c>
      <c r="G63" s="5">
        <v>3900</v>
      </c>
      <c r="H63" s="5" t="s">
        <v>3241</v>
      </c>
      <c r="I63" s="5" t="s">
        <v>3289</v>
      </c>
      <c r="J63" s="5" t="s">
        <v>3366</v>
      </c>
      <c r="K63" s="10" t="e">
        <f t="shared" si="0"/>
        <v>#VALUE!</v>
      </c>
      <c r="L63" s="10">
        <f t="shared" si="1"/>
        <v>1</v>
      </c>
      <c r="M63" s="10" t="str">
        <f t="shared" si="2"/>
        <v>002</v>
      </c>
      <c r="N63" s="10" t="str">
        <f t="shared" si="3"/>
        <v>008</v>
      </c>
      <c r="O63" s="10" t="str">
        <f t="shared" si="4"/>
        <v>ALIANYANG</v>
      </c>
    </row>
    <row r="64" spans="1:15" ht="12.5">
      <c r="A64" s="115" t="s">
        <v>3367</v>
      </c>
      <c r="B64" s="5">
        <v>0</v>
      </c>
      <c r="C64" s="5">
        <v>61</v>
      </c>
      <c r="D64" s="5">
        <v>4</v>
      </c>
      <c r="E64" s="5">
        <v>80</v>
      </c>
      <c r="F64" s="5">
        <v>2</v>
      </c>
      <c r="G64" s="5">
        <v>4000</v>
      </c>
      <c r="H64" s="5" t="s">
        <v>3241</v>
      </c>
      <c r="I64" s="5" t="s">
        <v>3289</v>
      </c>
      <c r="J64" s="5" t="s">
        <v>3368</v>
      </c>
      <c r="K64" s="10" t="e">
        <f t="shared" si="0"/>
        <v>#VALUE!</v>
      </c>
      <c r="L64" s="10">
        <f t="shared" si="1"/>
        <v>1</v>
      </c>
      <c r="M64" s="10" t="str">
        <f t="shared" si="2"/>
        <v>003</v>
      </c>
      <c r="N64" s="10" t="str">
        <f t="shared" si="3"/>
        <v>008</v>
      </c>
      <c r="O64" s="10" t="str">
        <f t="shared" si="4"/>
        <v>ALIANYANG</v>
      </c>
    </row>
    <row r="65" spans="1:15" ht="12.5">
      <c r="A65" s="115" t="s">
        <v>3369</v>
      </c>
      <c r="B65" s="5">
        <v>0</v>
      </c>
      <c r="C65" s="5">
        <v>61</v>
      </c>
      <c r="D65" s="5">
        <v>4</v>
      </c>
      <c r="E65" s="5">
        <v>80</v>
      </c>
      <c r="F65" s="5">
        <v>2</v>
      </c>
      <c r="G65" s="5">
        <v>4100</v>
      </c>
      <c r="H65" s="5" t="s">
        <v>3241</v>
      </c>
      <c r="I65" s="5" t="s">
        <v>3289</v>
      </c>
      <c r="J65" s="5" t="s">
        <v>3370</v>
      </c>
      <c r="K65" s="10" t="e">
        <f t="shared" si="0"/>
        <v>#VALUE!</v>
      </c>
      <c r="L65" s="10">
        <f t="shared" si="1"/>
        <v>1</v>
      </c>
      <c r="M65" s="10" t="str">
        <f t="shared" si="2"/>
        <v>001</v>
      </c>
      <c r="N65" s="10" t="str">
        <f t="shared" si="3"/>
        <v>009</v>
      </c>
      <c r="O65" s="10" t="str">
        <f t="shared" si="4"/>
        <v>ALIANYANG</v>
      </c>
    </row>
    <row r="66" spans="1:15" ht="12.5">
      <c r="A66" s="115" t="s">
        <v>3371</v>
      </c>
      <c r="B66" s="5">
        <v>0</v>
      </c>
      <c r="C66" s="5">
        <v>61</v>
      </c>
      <c r="D66" s="5">
        <v>4</v>
      </c>
      <c r="E66" s="5">
        <v>80</v>
      </c>
      <c r="F66" s="5">
        <v>2</v>
      </c>
      <c r="G66" s="5">
        <v>4200</v>
      </c>
      <c r="H66" s="5" t="s">
        <v>3241</v>
      </c>
      <c r="I66" s="5" t="s">
        <v>3289</v>
      </c>
      <c r="J66" s="5" t="s">
        <v>3372</v>
      </c>
      <c r="K66" s="10" t="e">
        <f t="shared" si="0"/>
        <v>#VALUE!</v>
      </c>
      <c r="L66" s="10">
        <f t="shared" si="1"/>
        <v>1</v>
      </c>
      <c r="M66" s="10" t="str">
        <f t="shared" si="2"/>
        <v>002</v>
      </c>
      <c r="N66" s="10" t="str">
        <f t="shared" si="3"/>
        <v>009</v>
      </c>
      <c r="O66" s="10" t="str">
        <f t="shared" si="4"/>
        <v>ALIANYANG</v>
      </c>
    </row>
    <row r="67" spans="1:15" ht="12.5">
      <c r="A67" s="115" t="s">
        <v>3373</v>
      </c>
      <c r="B67" s="5">
        <v>0</v>
      </c>
      <c r="C67" s="5">
        <v>61</v>
      </c>
      <c r="D67" s="5">
        <v>4</v>
      </c>
      <c r="E67" s="5">
        <v>80</v>
      </c>
      <c r="F67" s="5">
        <v>2</v>
      </c>
      <c r="G67" s="5">
        <v>4300</v>
      </c>
      <c r="H67" s="5" t="s">
        <v>3241</v>
      </c>
      <c r="I67" s="5" t="s">
        <v>3289</v>
      </c>
      <c r="J67" s="5" t="s">
        <v>3374</v>
      </c>
      <c r="K67" s="10" t="e">
        <f t="shared" si="0"/>
        <v>#VALUE!</v>
      </c>
      <c r="L67" s="10">
        <f t="shared" si="1"/>
        <v>1</v>
      </c>
      <c r="M67" s="10" t="str">
        <f t="shared" si="2"/>
        <v>003</v>
      </c>
      <c r="N67" s="10" t="str">
        <f t="shared" si="3"/>
        <v>009</v>
      </c>
      <c r="O67" s="10" t="str">
        <f t="shared" si="4"/>
        <v>ALIANYANG</v>
      </c>
    </row>
    <row r="68" spans="1:15" ht="12.5">
      <c r="A68" s="115" t="s">
        <v>3375</v>
      </c>
      <c r="B68" s="5">
        <v>0</v>
      </c>
      <c r="C68" s="5">
        <v>61</v>
      </c>
      <c r="D68" s="5">
        <v>4</v>
      </c>
      <c r="E68" s="5">
        <v>80</v>
      </c>
      <c r="F68" s="5">
        <v>2</v>
      </c>
      <c r="G68" s="5">
        <v>4400</v>
      </c>
      <c r="H68" s="5" t="s">
        <v>3241</v>
      </c>
      <c r="I68" s="5" t="s">
        <v>3289</v>
      </c>
      <c r="J68" s="5" t="s">
        <v>3376</v>
      </c>
      <c r="K68" s="10" t="e">
        <f t="shared" si="0"/>
        <v>#VALUE!</v>
      </c>
      <c r="L68" s="10">
        <f t="shared" si="1"/>
        <v>1</v>
      </c>
      <c r="M68" s="10" t="str">
        <f t="shared" si="2"/>
        <v>001</v>
      </c>
      <c r="N68" s="10" t="str">
        <f t="shared" si="3"/>
        <v>017</v>
      </c>
      <c r="O68" s="10" t="str">
        <f t="shared" si="4"/>
        <v>SULTAN MUHAMMAD</v>
      </c>
    </row>
    <row r="69" spans="1:15" ht="12.5">
      <c r="A69" s="115" t="s">
        <v>3377</v>
      </c>
      <c r="B69" s="5">
        <v>0</v>
      </c>
      <c r="C69" s="5">
        <v>61</v>
      </c>
      <c r="D69" s="5">
        <v>4</v>
      </c>
      <c r="E69" s="5">
        <v>80</v>
      </c>
      <c r="F69" s="5">
        <v>2</v>
      </c>
      <c r="G69" s="5">
        <v>4500</v>
      </c>
      <c r="H69" s="5" t="s">
        <v>3241</v>
      </c>
      <c r="I69" s="5" t="s">
        <v>3289</v>
      </c>
      <c r="J69" s="5" t="s">
        <v>3378</v>
      </c>
      <c r="K69" s="10" t="e">
        <f t="shared" si="0"/>
        <v>#VALUE!</v>
      </c>
      <c r="L69" s="10">
        <f t="shared" si="1"/>
        <v>1</v>
      </c>
      <c r="M69" s="10" t="str">
        <f t="shared" si="2"/>
        <v>002</v>
      </c>
      <c r="N69" s="10" t="str">
        <f t="shared" si="3"/>
        <v>017</v>
      </c>
      <c r="O69" s="10" t="str">
        <f t="shared" si="4"/>
        <v>SULTAN MUHAMMAD</v>
      </c>
    </row>
    <row r="70" spans="1:15" ht="12.5">
      <c r="A70" s="115" t="s">
        <v>3379</v>
      </c>
      <c r="B70" s="5">
        <v>0</v>
      </c>
      <c r="C70" s="5">
        <v>61</v>
      </c>
      <c r="D70" s="5">
        <v>4</v>
      </c>
      <c r="E70" s="5">
        <v>80</v>
      </c>
      <c r="F70" s="5">
        <v>2</v>
      </c>
      <c r="G70" s="5">
        <v>4600</v>
      </c>
      <c r="H70" s="5" t="s">
        <v>3241</v>
      </c>
      <c r="I70" s="5" t="s">
        <v>3289</v>
      </c>
      <c r="J70" s="5" t="s">
        <v>3380</v>
      </c>
      <c r="K70" s="10" t="e">
        <f t="shared" si="0"/>
        <v>#VALUE!</v>
      </c>
      <c r="L70" s="10">
        <f t="shared" si="1"/>
        <v>1</v>
      </c>
      <c r="M70" s="10" t="str">
        <f t="shared" si="2"/>
        <v>001</v>
      </c>
      <c r="N70" s="10" t="str">
        <f t="shared" si="3"/>
        <v>018</v>
      </c>
      <c r="O70" s="10" t="str">
        <f t="shared" si="4"/>
        <v>SULTAN MUHAMMAD</v>
      </c>
    </row>
    <row r="71" spans="1:15" ht="12.5">
      <c r="A71" s="115" t="s">
        <v>3381</v>
      </c>
      <c r="B71" s="5">
        <v>0</v>
      </c>
      <c r="C71" s="5">
        <v>61</v>
      </c>
      <c r="D71" s="5">
        <v>4</v>
      </c>
      <c r="E71" s="5">
        <v>80</v>
      </c>
      <c r="F71" s="5">
        <v>2</v>
      </c>
      <c r="G71" s="5">
        <v>4700</v>
      </c>
      <c r="H71" s="5" t="s">
        <v>3241</v>
      </c>
      <c r="I71" s="5" t="s">
        <v>3289</v>
      </c>
      <c r="J71" s="5" t="s">
        <v>3382</v>
      </c>
      <c r="K71" s="10" t="e">
        <f t="shared" si="0"/>
        <v>#VALUE!</v>
      </c>
      <c r="L71" s="10">
        <f t="shared" si="1"/>
        <v>1</v>
      </c>
      <c r="M71" s="10" t="str">
        <f t="shared" si="2"/>
        <v>002</v>
      </c>
      <c r="N71" s="10" t="str">
        <f t="shared" si="3"/>
        <v>018</v>
      </c>
      <c r="O71" s="10" t="str">
        <f t="shared" si="4"/>
        <v>SULTAN MUHAMMAD</v>
      </c>
    </row>
    <row r="72" spans="1:15" ht="12.5">
      <c r="A72" s="115" t="s">
        <v>3383</v>
      </c>
      <c r="B72" s="5">
        <v>0</v>
      </c>
      <c r="C72" s="5">
        <v>61</v>
      </c>
      <c r="D72" s="5">
        <v>4</v>
      </c>
      <c r="E72" s="5">
        <v>80</v>
      </c>
      <c r="F72" s="5">
        <v>2</v>
      </c>
      <c r="G72" s="5">
        <v>4800</v>
      </c>
      <c r="H72" s="5" t="s">
        <v>3241</v>
      </c>
      <c r="I72" s="5" t="s">
        <v>3289</v>
      </c>
      <c r="J72" s="5" t="s">
        <v>3384</v>
      </c>
      <c r="K72" s="10" t="e">
        <f t="shared" si="0"/>
        <v>#VALUE!</v>
      </c>
      <c r="L72" s="10">
        <f t="shared" si="1"/>
        <v>1</v>
      </c>
      <c r="M72" s="10" t="str">
        <f t="shared" si="2"/>
        <v>001</v>
      </c>
      <c r="N72" s="10" t="str">
        <f t="shared" si="3"/>
        <v>010</v>
      </c>
      <c r="O72" s="10" t="str">
        <f t="shared" si="4"/>
        <v>RADEN TAUFIK</v>
      </c>
    </row>
    <row r="73" spans="1:15" ht="12.5">
      <c r="A73" s="115" t="s">
        <v>3385</v>
      </c>
      <c r="B73" s="5">
        <v>0</v>
      </c>
      <c r="C73" s="5">
        <v>61</v>
      </c>
      <c r="D73" s="5">
        <v>4</v>
      </c>
      <c r="E73" s="5">
        <v>80</v>
      </c>
      <c r="F73" s="5">
        <v>2</v>
      </c>
      <c r="G73" s="5">
        <v>4900</v>
      </c>
      <c r="H73" s="5" t="s">
        <v>3241</v>
      </c>
      <c r="I73" s="5" t="s">
        <v>3289</v>
      </c>
      <c r="J73" s="5" t="s">
        <v>3386</v>
      </c>
      <c r="K73" s="10" t="e">
        <f t="shared" si="0"/>
        <v>#VALUE!</v>
      </c>
      <c r="L73" s="10">
        <f t="shared" si="1"/>
        <v>1</v>
      </c>
      <c r="M73" s="10" t="str">
        <f t="shared" si="2"/>
        <v>002</v>
      </c>
      <c r="N73" s="10" t="str">
        <f t="shared" si="3"/>
        <v>010</v>
      </c>
      <c r="O73" s="10" t="str">
        <f t="shared" si="4"/>
        <v>RADEN TAUFIK</v>
      </c>
    </row>
    <row r="74" spans="1:15" ht="12.5">
      <c r="A74" s="115" t="s">
        <v>3387</v>
      </c>
      <c r="B74" s="5">
        <v>0</v>
      </c>
      <c r="C74" s="5">
        <v>61</v>
      </c>
      <c r="D74" s="5">
        <v>4</v>
      </c>
      <c r="E74" s="5">
        <v>80</v>
      </c>
      <c r="F74" s="5">
        <v>2</v>
      </c>
      <c r="G74" s="5">
        <v>5000</v>
      </c>
      <c r="H74" s="5" t="s">
        <v>3241</v>
      </c>
      <c r="I74" s="5" t="s">
        <v>3289</v>
      </c>
      <c r="J74" s="5" t="s">
        <v>3388</v>
      </c>
      <c r="K74" s="10" t="e">
        <f t="shared" si="0"/>
        <v>#VALUE!</v>
      </c>
      <c r="L74" s="10">
        <f t="shared" si="1"/>
        <v>1</v>
      </c>
      <c r="M74" s="10" t="str">
        <f t="shared" si="2"/>
        <v>003</v>
      </c>
      <c r="N74" s="10" t="str">
        <f t="shared" si="3"/>
        <v>010</v>
      </c>
      <c r="O74" s="10" t="str">
        <f t="shared" si="4"/>
        <v>RADEN TAUFIK</v>
      </c>
    </row>
    <row r="75" spans="1:15" ht="12.5">
      <c r="A75" s="115" t="s">
        <v>3389</v>
      </c>
      <c r="B75" s="5">
        <v>0</v>
      </c>
      <c r="C75" s="5">
        <v>61</v>
      </c>
      <c r="D75" s="5">
        <v>4</v>
      </c>
      <c r="E75" s="5">
        <v>80</v>
      </c>
      <c r="F75" s="5">
        <v>2</v>
      </c>
      <c r="G75" s="5">
        <v>5100</v>
      </c>
      <c r="H75" s="5" t="s">
        <v>3241</v>
      </c>
      <c r="I75" s="5" t="s">
        <v>3289</v>
      </c>
      <c r="J75" s="5" t="s">
        <v>3390</v>
      </c>
      <c r="K75" s="10" t="e">
        <f t="shared" si="0"/>
        <v>#VALUE!</v>
      </c>
      <c r="L75" s="10">
        <f t="shared" si="1"/>
        <v>1</v>
      </c>
      <c r="M75" s="10" t="str">
        <f t="shared" si="2"/>
        <v>004</v>
      </c>
      <c r="N75" s="10" t="str">
        <f t="shared" si="3"/>
        <v>010</v>
      </c>
      <c r="O75" s="10" t="str">
        <f t="shared" si="4"/>
        <v>RADEN TAUFIK</v>
      </c>
    </row>
    <row r="76" spans="1:15" ht="12.5">
      <c r="A76" s="115" t="s">
        <v>3391</v>
      </c>
      <c r="B76" s="5">
        <v>0</v>
      </c>
      <c r="C76" s="5">
        <v>61</v>
      </c>
      <c r="D76" s="5">
        <v>4</v>
      </c>
      <c r="E76" s="5">
        <v>80</v>
      </c>
      <c r="F76" s="5">
        <v>2</v>
      </c>
      <c r="G76" s="5">
        <v>5200</v>
      </c>
      <c r="H76" s="5" t="s">
        <v>3241</v>
      </c>
      <c r="I76" s="5" t="s">
        <v>3289</v>
      </c>
      <c r="J76" s="5" t="s">
        <v>3392</v>
      </c>
      <c r="K76" s="10" t="e">
        <f t="shared" si="0"/>
        <v>#VALUE!</v>
      </c>
      <c r="L76" s="10">
        <f t="shared" si="1"/>
        <v>1</v>
      </c>
      <c r="M76" s="10" t="str">
        <f t="shared" si="2"/>
        <v>005</v>
      </c>
      <c r="N76" s="10" t="str">
        <f t="shared" si="3"/>
        <v>010</v>
      </c>
      <c r="O76" s="10" t="str">
        <f t="shared" si="4"/>
        <v>RADEN TAUFIK</v>
      </c>
    </row>
    <row r="77" spans="1:15" ht="12.5">
      <c r="A77" s="115" t="s">
        <v>3393</v>
      </c>
      <c r="B77" s="5">
        <v>0</v>
      </c>
      <c r="C77" s="5">
        <v>61</v>
      </c>
      <c r="D77" s="5">
        <v>4</v>
      </c>
      <c r="E77" s="5">
        <v>80</v>
      </c>
      <c r="F77" s="5">
        <v>2</v>
      </c>
      <c r="G77" s="5">
        <v>5300</v>
      </c>
      <c r="H77" s="5" t="s">
        <v>3241</v>
      </c>
      <c r="I77" s="5" t="s">
        <v>3289</v>
      </c>
      <c r="J77" s="5" t="s">
        <v>3394</v>
      </c>
      <c r="K77" s="10" t="e">
        <f t="shared" si="0"/>
        <v>#VALUE!</v>
      </c>
      <c r="L77" s="10">
        <f t="shared" si="1"/>
        <v>1</v>
      </c>
      <c r="M77" s="10" t="str">
        <f t="shared" si="2"/>
        <v>001</v>
      </c>
      <c r="N77" s="10" t="str">
        <f t="shared" si="3"/>
        <v>011</v>
      </c>
      <c r="O77" s="10" t="str">
        <f t="shared" si="4"/>
        <v>RADEN TAUFIK</v>
      </c>
    </row>
    <row r="78" spans="1:15" ht="12.5">
      <c r="A78" s="115" t="s">
        <v>3395</v>
      </c>
      <c r="B78" s="5">
        <v>0</v>
      </c>
      <c r="C78" s="5">
        <v>61</v>
      </c>
      <c r="D78" s="5">
        <v>4</v>
      </c>
      <c r="E78" s="5">
        <v>80</v>
      </c>
      <c r="F78" s="5">
        <v>2</v>
      </c>
      <c r="G78" s="5">
        <v>5400</v>
      </c>
      <c r="H78" s="5" t="s">
        <v>3241</v>
      </c>
      <c r="I78" s="5" t="s">
        <v>3289</v>
      </c>
      <c r="J78" s="5" t="s">
        <v>3396</v>
      </c>
      <c r="K78" s="10" t="e">
        <f t="shared" si="0"/>
        <v>#VALUE!</v>
      </c>
      <c r="L78" s="10">
        <f t="shared" si="1"/>
        <v>1</v>
      </c>
      <c r="M78" s="10" t="str">
        <f t="shared" si="2"/>
        <v>002</v>
      </c>
      <c r="N78" s="10" t="str">
        <f t="shared" si="3"/>
        <v>11</v>
      </c>
      <c r="O78" s="10" t="str">
        <f t="shared" si="4"/>
        <v>RADEN TAUFIK</v>
      </c>
    </row>
    <row r="79" spans="1:15" ht="12.5">
      <c r="A79" s="115" t="s">
        <v>3397</v>
      </c>
      <c r="B79" s="5">
        <v>0</v>
      </c>
      <c r="C79" s="5">
        <v>61</v>
      </c>
      <c r="D79" s="5">
        <v>4</v>
      </c>
      <c r="E79" s="5">
        <v>80</v>
      </c>
      <c r="F79" s="5">
        <v>2</v>
      </c>
      <c r="G79" s="5">
        <v>5500</v>
      </c>
      <c r="H79" s="5" t="s">
        <v>3241</v>
      </c>
      <c r="I79" s="5" t="s">
        <v>3289</v>
      </c>
      <c r="J79" s="5" t="s">
        <v>3398</v>
      </c>
      <c r="K79" s="10" t="e">
        <f t="shared" si="0"/>
        <v>#VALUE!</v>
      </c>
      <c r="L79" s="10">
        <f t="shared" si="1"/>
        <v>1</v>
      </c>
      <c r="M79" s="10" t="str">
        <f t="shared" si="2"/>
        <v>001</v>
      </c>
      <c r="N79" s="10" t="str">
        <f t="shared" si="3"/>
        <v>01</v>
      </c>
      <c r="O79" s="10" t="str">
        <f t="shared" si="4"/>
        <v>RAHADI USMAN</v>
      </c>
    </row>
    <row r="80" spans="1:15" ht="12.5">
      <c r="A80" s="115" t="s">
        <v>3399</v>
      </c>
      <c r="B80" s="5">
        <v>0</v>
      </c>
      <c r="C80" s="5">
        <v>61</v>
      </c>
      <c r="D80" s="5">
        <v>4</v>
      </c>
      <c r="E80" s="5">
        <v>80</v>
      </c>
      <c r="F80" s="5">
        <v>2</v>
      </c>
      <c r="G80" s="5">
        <v>5600</v>
      </c>
      <c r="H80" s="5" t="s">
        <v>3241</v>
      </c>
      <c r="I80" s="5" t="s">
        <v>3289</v>
      </c>
      <c r="J80" s="5" t="s">
        <v>3400</v>
      </c>
      <c r="K80" s="10" t="e">
        <f t="shared" si="0"/>
        <v>#VALUE!</v>
      </c>
      <c r="L80" s="10">
        <f t="shared" si="1"/>
        <v>1</v>
      </c>
      <c r="M80" s="10" t="str">
        <f t="shared" si="2"/>
        <v>002</v>
      </c>
      <c r="N80" s="10" t="str">
        <f t="shared" si="3"/>
        <v>01</v>
      </c>
      <c r="O80" s="10" t="str">
        <f t="shared" si="4"/>
        <v>RAHADI USMAN</v>
      </c>
    </row>
    <row r="81" spans="1:15" ht="12.5">
      <c r="A81" s="115" t="s">
        <v>3401</v>
      </c>
      <c r="B81" s="5">
        <v>0</v>
      </c>
      <c r="C81" s="5">
        <v>61</v>
      </c>
      <c r="D81" s="5">
        <v>4</v>
      </c>
      <c r="E81" s="5">
        <v>80</v>
      </c>
      <c r="F81" s="5">
        <v>2</v>
      </c>
      <c r="G81" s="5">
        <v>5700</v>
      </c>
      <c r="H81" s="5" t="s">
        <v>3241</v>
      </c>
      <c r="I81" s="5" t="s">
        <v>3289</v>
      </c>
      <c r="J81" s="5" t="s">
        <v>3402</v>
      </c>
      <c r="K81" s="10" t="e">
        <f t="shared" si="0"/>
        <v>#VALUE!</v>
      </c>
      <c r="L81" s="10">
        <f t="shared" si="1"/>
        <v>1</v>
      </c>
      <c r="M81" s="10" t="str">
        <f t="shared" si="2"/>
        <v>003</v>
      </c>
      <c r="N81" s="10" t="str">
        <f t="shared" si="3"/>
        <v>01</v>
      </c>
      <c r="O81" s="10" t="str">
        <f t="shared" si="4"/>
        <v>RAHADI USMAN</v>
      </c>
    </row>
    <row r="82" spans="1:15" ht="12.5">
      <c r="A82" s="115" t="s">
        <v>3403</v>
      </c>
      <c r="B82" s="5">
        <v>0</v>
      </c>
      <c r="C82" s="5">
        <v>61</v>
      </c>
      <c r="D82" s="5">
        <v>4</v>
      </c>
      <c r="E82" s="5">
        <v>80</v>
      </c>
      <c r="F82" s="5">
        <v>2</v>
      </c>
      <c r="G82" s="5">
        <v>5800</v>
      </c>
      <c r="H82" s="5" t="s">
        <v>3241</v>
      </c>
      <c r="I82" s="5" t="s">
        <v>3289</v>
      </c>
      <c r="J82" s="5" t="s">
        <v>3404</v>
      </c>
      <c r="K82" s="10" t="e">
        <f t="shared" si="0"/>
        <v>#VALUE!</v>
      </c>
      <c r="L82" s="10">
        <f t="shared" si="1"/>
        <v>1</v>
      </c>
      <c r="M82" s="10" t="str">
        <f t="shared" si="2"/>
        <v>001</v>
      </c>
      <c r="N82" s="10" t="str">
        <f t="shared" si="3"/>
        <v>15</v>
      </c>
      <c r="O82" s="10" t="str">
        <f t="shared" si="4"/>
        <v>RAHADI USMAN</v>
      </c>
    </row>
    <row r="83" spans="1:15" ht="12.5">
      <c r="A83" s="115" t="s">
        <v>3405</v>
      </c>
      <c r="B83" s="5">
        <v>0</v>
      </c>
      <c r="C83" s="5">
        <v>61</v>
      </c>
      <c r="D83" s="5">
        <v>4</v>
      </c>
      <c r="E83" s="5">
        <v>80</v>
      </c>
      <c r="F83" s="5">
        <v>2</v>
      </c>
      <c r="G83" s="5">
        <v>5900</v>
      </c>
      <c r="H83" s="5" t="s">
        <v>3241</v>
      </c>
      <c r="I83" s="5" t="s">
        <v>3289</v>
      </c>
      <c r="J83" s="5" t="s">
        <v>3406</v>
      </c>
      <c r="K83" s="10" t="e">
        <f t="shared" si="0"/>
        <v>#VALUE!</v>
      </c>
      <c r="L83" s="10">
        <f t="shared" si="1"/>
        <v>1</v>
      </c>
      <c r="M83" s="10" t="str">
        <f t="shared" si="2"/>
        <v>002</v>
      </c>
      <c r="N83" s="10" t="str">
        <f t="shared" si="3"/>
        <v>15</v>
      </c>
      <c r="O83" s="10" t="str">
        <f t="shared" si="4"/>
        <v>RAHADI USMAN</v>
      </c>
    </row>
    <row r="84" spans="1:15" ht="12.5">
      <c r="A84" s="115" t="s">
        <v>3407</v>
      </c>
      <c r="B84" s="5">
        <v>0</v>
      </c>
      <c r="C84" s="5">
        <v>61</v>
      </c>
      <c r="D84" s="5">
        <v>4</v>
      </c>
      <c r="E84" s="5">
        <v>80</v>
      </c>
      <c r="F84" s="5">
        <v>2</v>
      </c>
      <c r="G84" s="5">
        <v>6000</v>
      </c>
      <c r="H84" s="5" t="s">
        <v>3241</v>
      </c>
      <c r="I84" s="5" t="s">
        <v>3289</v>
      </c>
      <c r="J84" s="5" t="s">
        <v>3408</v>
      </c>
      <c r="K84" s="10" t="e">
        <f t="shared" si="0"/>
        <v>#VALUE!</v>
      </c>
      <c r="L84" s="10">
        <f t="shared" si="1"/>
        <v>1</v>
      </c>
      <c r="M84" s="10" t="str">
        <f t="shared" si="2"/>
        <v>003</v>
      </c>
      <c r="N84" s="10" t="str">
        <f t="shared" si="3"/>
        <v>15</v>
      </c>
      <c r="O84" s="10" t="str">
        <f t="shared" si="4"/>
        <v>RAHADI USMAN</v>
      </c>
    </row>
    <row r="85" spans="1:15" ht="12.5">
      <c r="A85" s="115" t="s">
        <v>3409</v>
      </c>
      <c r="B85" s="5">
        <v>0</v>
      </c>
      <c r="C85" s="5">
        <v>61</v>
      </c>
      <c r="D85" s="5">
        <v>4</v>
      </c>
      <c r="E85" s="5">
        <v>80</v>
      </c>
      <c r="F85" s="5">
        <v>2</v>
      </c>
      <c r="G85" s="5">
        <v>6100</v>
      </c>
      <c r="H85" s="5" t="s">
        <v>3241</v>
      </c>
      <c r="I85" s="5" t="s">
        <v>3289</v>
      </c>
      <c r="J85" s="5" t="s">
        <v>3410</v>
      </c>
      <c r="K85" s="10" t="e">
        <f t="shared" si="0"/>
        <v>#VALUE!</v>
      </c>
      <c r="L85" s="10">
        <f t="shared" si="1"/>
        <v>1</v>
      </c>
      <c r="M85" s="10" t="str">
        <f t="shared" si="2"/>
        <v>004</v>
      </c>
      <c r="N85" s="10" t="str">
        <f t="shared" si="3"/>
        <v>15</v>
      </c>
      <c r="O85" s="10" t="str">
        <f t="shared" si="4"/>
        <v>RAHADI USMAN</v>
      </c>
    </row>
    <row r="86" spans="1:15" ht="12.5">
      <c r="A86" s="115" t="s">
        <v>3411</v>
      </c>
      <c r="B86" s="5">
        <v>0</v>
      </c>
      <c r="C86" s="5">
        <v>61</v>
      </c>
      <c r="D86" s="5">
        <v>4</v>
      </c>
      <c r="E86" s="5">
        <v>80</v>
      </c>
      <c r="F86" s="5">
        <v>2</v>
      </c>
      <c r="G86" s="5">
        <v>6200</v>
      </c>
      <c r="H86" s="5" t="s">
        <v>3241</v>
      </c>
      <c r="I86" s="5" t="s">
        <v>3289</v>
      </c>
      <c r="J86" s="5" t="s">
        <v>3412</v>
      </c>
      <c r="K86" s="10" t="e">
        <f t="shared" si="0"/>
        <v>#VALUE!</v>
      </c>
      <c r="L86" s="10">
        <f t="shared" si="1"/>
        <v>1</v>
      </c>
      <c r="M86" s="10" t="str">
        <f t="shared" si="2"/>
        <v>005</v>
      </c>
      <c r="N86" s="10" t="str">
        <f t="shared" si="3"/>
        <v>15</v>
      </c>
      <c r="O86" s="10" t="str">
        <f t="shared" si="4"/>
        <v>RAHADI USMAN</v>
      </c>
    </row>
    <row r="87" spans="1:15" ht="12.5">
      <c r="A87" s="115" t="s">
        <v>3413</v>
      </c>
      <c r="B87" s="5">
        <v>0</v>
      </c>
      <c r="C87" s="5">
        <v>61</v>
      </c>
      <c r="D87" s="5">
        <v>4</v>
      </c>
      <c r="E87" s="5">
        <v>80</v>
      </c>
      <c r="F87" s="5">
        <v>2</v>
      </c>
      <c r="G87" s="5">
        <v>6300</v>
      </c>
      <c r="H87" s="5" t="s">
        <v>3241</v>
      </c>
      <c r="I87" s="5" t="s">
        <v>3289</v>
      </c>
      <c r="J87" s="5" t="s">
        <v>3414</v>
      </c>
      <c r="K87" s="10" t="e">
        <f t="shared" si="0"/>
        <v>#VALUE!</v>
      </c>
      <c r="L87" s="10">
        <f t="shared" si="1"/>
        <v>1</v>
      </c>
      <c r="M87" s="10" t="str">
        <f t="shared" si="2"/>
        <v>001</v>
      </c>
      <c r="N87" s="10" t="str">
        <f t="shared" si="3"/>
        <v>20</v>
      </c>
      <c r="O87" s="10" t="str">
        <f t="shared" si="4"/>
        <v>RADEN WIJAYA</v>
      </c>
    </row>
    <row r="88" spans="1:15" ht="12.5">
      <c r="A88" s="115" t="s">
        <v>3415</v>
      </c>
      <c r="B88" s="5">
        <v>0</v>
      </c>
      <c r="C88" s="5">
        <v>61</v>
      </c>
      <c r="D88" s="5">
        <v>4</v>
      </c>
      <c r="E88" s="5">
        <v>80</v>
      </c>
      <c r="F88" s="5">
        <v>2</v>
      </c>
      <c r="G88" s="5">
        <v>6400</v>
      </c>
      <c r="H88" s="5" t="s">
        <v>3241</v>
      </c>
      <c r="I88" s="5" t="s">
        <v>3289</v>
      </c>
      <c r="J88" s="5" t="s">
        <v>3416</v>
      </c>
      <c r="K88" s="10" t="e">
        <f t="shared" si="0"/>
        <v>#VALUE!</v>
      </c>
      <c r="L88" s="10">
        <f t="shared" si="1"/>
        <v>1</v>
      </c>
      <c r="M88" s="10" t="str">
        <f t="shared" si="2"/>
        <v>002</v>
      </c>
      <c r="N88" s="10" t="str">
        <f t="shared" si="3"/>
        <v>20</v>
      </c>
      <c r="O88" s="10" t="str">
        <f t="shared" si="4"/>
        <v>RADEN WIJAYA</v>
      </c>
    </row>
    <row r="89" spans="1:15" ht="12.5">
      <c r="A89" s="115" t="s">
        <v>3417</v>
      </c>
      <c r="B89" s="5">
        <v>0</v>
      </c>
      <c r="C89" s="5">
        <v>61</v>
      </c>
      <c r="D89" s="5">
        <v>4</v>
      </c>
      <c r="E89" s="5">
        <v>80</v>
      </c>
      <c r="F89" s="5">
        <v>2</v>
      </c>
      <c r="G89" s="5">
        <v>6500</v>
      </c>
      <c r="H89" s="5" t="s">
        <v>3241</v>
      </c>
      <c r="I89" s="5" t="s">
        <v>3289</v>
      </c>
      <c r="J89" s="5" t="s">
        <v>3418</v>
      </c>
      <c r="K89" s="10" t="e">
        <f t="shared" si="0"/>
        <v>#VALUE!</v>
      </c>
      <c r="L89" s="10">
        <f t="shared" si="1"/>
        <v>1</v>
      </c>
      <c r="M89" s="10" t="str">
        <f t="shared" si="2"/>
        <v>001</v>
      </c>
      <c r="N89" s="10" t="str">
        <f t="shared" si="3"/>
        <v>21</v>
      </c>
      <c r="O89" s="10" t="str">
        <f t="shared" si="4"/>
        <v>RADEN WIJAYA</v>
      </c>
    </row>
    <row r="90" spans="1:15" ht="12.5">
      <c r="A90" s="115" t="s">
        <v>3419</v>
      </c>
      <c r="B90" s="5">
        <v>0</v>
      </c>
      <c r="C90" s="5">
        <v>61</v>
      </c>
      <c r="D90" s="5">
        <v>4</v>
      </c>
      <c r="E90" s="5">
        <v>80</v>
      </c>
      <c r="F90" s="5">
        <v>2</v>
      </c>
      <c r="G90" s="5">
        <v>6600</v>
      </c>
      <c r="H90" s="5" t="s">
        <v>3241</v>
      </c>
      <c r="I90" s="5" t="s">
        <v>3289</v>
      </c>
      <c r="J90" s="5" t="s">
        <v>3420</v>
      </c>
      <c r="K90" s="10" t="e">
        <f t="shared" si="0"/>
        <v>#VALUE!</v>
      </c>
      <c r="L90" s="10">
        <f t="shared" si="1"/>
        <v>1</v>
      </c>
      <c r="M90" s="10" t="str">
        <f t="shared" si="2"/>
        <v>002</v>
      </c>
      <c r="N90" s="10" t="str">
        <f t="shared" si="3"/>
        <v>21</v>
      </c>
      <c r="O90" s="10" t="str">
        <f t="shared" si="4"/>
        <v>RADEN WIJAYA</v>
      </c>
    </row>
    <row r="91" spans="1:15" ht="12.5">
      <c r="A91" s="115" t="s">
        <v>3421</v>
      </c>
      <c r="B91" s="5">
        <v>0</v>
      </c>
      <c r="C91" s="5">
        <v>61</v>
      </c>
      <c r="D91" s="5">
        <v>4</v>
      </c>
      <c r="E91" s="5">
        <v>80</v>
      </c>
      <c r="F91" s="5">
        <v>2</v>
      </c>
      <c r="G91" s="5">
        <v>6700</v>
      </c>
      <c r="H91" s="5" t="s">
        <v>3241</v>
      </c>
      <c r="I91" s="5" t="s">
        <v>3289</v>
      </c>
      <c r="J91" s="5" t="s">
        <v>3422</v>
      </c>
      <c r="K91" s="10" t="e">
        <f t="shared" si="0"/>
        <v>#VALUE!</v>
      </c>
      <c r="L91" s="10">
        <f t="shared" si="1"/>
        <v>1</v>
      </c>
      <c r="M91" s="10" t="str">
        <f t="shared" si="2"/>
        <v>001</v>
      </c>
      <c r="N91" s="10" t="str">
        <f t="shared" si="3"/>
        <v>22</v>
      </c>
      <c r="O91" s="10" t="str">
        <f t="shared" si="4"/>
        <v>RADEN WIJAYA</v>
      </c>
    </row>
    <row r="92" spans="1:15" ht="12.5">
      <c r="A92" s="115" t="s">
        <v>3423</v>
      </c>
      <c r="B92" s="5">
        <v>0</v>
      </c>
      <c r="C92" s="5">
        <v>61</v>
      </c>
      <c r="D92" s="5">
        <v>4</v>
      </c>
      <c r="E92" s="5">
        <v>80</v>
      </c>
      <c r="F92" s="5">
        <v>2</v>
      </c>
      <c r="G92" s="5">
        <v>6800</v>
      </c>
      <c r="H92" s="5" t="s">
        <v>3241</v>
      </c>
      <c r="I92" s="5" t="s">
        <v>3289</v>
      </c>
      <c r="J92" s="5" t="s">
        <v>3424</v>
      </c>
      <c r="K92" s="10" t="e">
        <f t="shared" si="0"/>
        <v>#VALUE!</v>
      </c>
      <c r="L92" s="10">
        <f t="shared" si="1"/>
        <v>1</v>
      </c>
      <c r="M92" s="10" t="str">
        <f t="shared" si="2"/>
        <v>002</v>
      </c>
      <c r="N92" s="10" t="str">
        <f t="shared" si="3"/>
        <v>22</v>
      </c>
      <c r="O92" s="10" t="str">
        <f t="shared" si="4"/>
        <v>RADEN WIJAYA</v>
      </c>
    </row>
    <row r="93" spans="1:15" ht="12.5">
      <c r="A93" s="115" t="s">
        <v>3425</v>
      </c>
      <c r="B93" s="5">
        <v>0</v>
      </c>
      <c r="C93" s="5">
        <v>61</v>
      </c>
      <c r="D93" s="5">
        <v>4</v>
      </c>
      <c r="E93" s="5">
        <v>80</v>
      </c>
      <c r="F93" s="5">
        <v>2</v>
      </c>
      <c r="G93" s="5">
        <v>6900</v>
      </c>
      <c r="H93" s="5" t="s">
        <v>3241</v>
      </c>
      <c r="I93" s="5" t="s">
        <v>3289</v>
      </c>
      <c r="J93" s="5" t="s">
        <v>3426</v>
      </c>
      <c r="K93" s="10" t="e">
        <f t="shared" si="0"/>
        <v>#VALUE!</v>
      </c>
      <c r="L93" s="10">
        <f t="shared" si="1"/>
        <v>1</v>
      </c>
      <c r="M93" s="10" t="str">
        <f t="shared" si="2"/>
        <v>006</v>
      </c>
      <c r="N93" s="10" t="str">
        <f t="shared" si="3"/>
        <v>12</v>
      </c>
      <c r="O93" s="10" t="str">
        <f t="shared" si="4"/>
        <v>PANGERAN ADIPATI</v>
      </c>
    </row>
    <row r="94" spans="1:15" ht="12.5">
      <c r="A94" s="115" t="s">
        <v>3427</v>
      </c>
      <c r="B94" s="5">
        <v>0</v>
      </c>
      <c r="C94" s="5">
        <v>61</v>
      </c>
      <c r="D94" s="5">
        <v>4</v>
      </c>
      <c r="E94" s="5">
        <v>80</v>
      </c>
      <c r="F94" s="5">
        <v>2</v>
      </c>
      <c r="G94" s="5">
        <v>7000</v>
      </c>
      <c r="H94" s="5" t="s">
        <v>3241</v>
      </c>
      <c r="I94" s="5" t="s">
        <v>3289</v>
      </c>
      <c r="J94" s="5" t="s">
        <v>3428</v>
      </c>
      <c r="K94" s="10" t="e">
        <f t="shared" si="0"/>
        <v>#VALUE!</v>
      </c>
      <c r="L94" s="10">
        <f t="shared" si="1"/>
        <v>1</v>
      </c>
      <c r="M94" s="10" t="str">
        <f t="shared" si="2"/>
        <v>006</v>
      </c>
      <c r="N94" s="10" t="str">
        <f t="shared" si="3"/>
        <v>10</v>
      </c>
      <c r="O94" s="10" t="str">
        <f t="shared" si="4"/>
        <v>RADEN TAUFIK</v>
      </c>
    </row>
    <row r="95" spans="1:15" ht="12.5">
      <c r="A95" s="115" t="s">
        <v>3429</v>
      </c>
      <c r="B95" s="5">
        <v>0</v>
      </c>
      <c r="C95" s="5">
        <v>61</v>
      </c>
      <c r="D95" s="5">
        <v>4</v>
      </c>
      <c r="E95" s="5">
        <v>80</v>
      </c>
      <c r="F95" s="5">
        <v>3</v>
      </c>
      <c r="G95" s="5">
        <v>100</v>
      </c>
      <c r="H95" s="5" t="s">
        <v>3241</v>
      </c>
      <c r="I95" s="5" t="s">
        <v>3430</v>
      </c>
      <c r="J95" s="5" t="s">
        <v>3431</v>
      </c>
      <c r="K95" s="10" t="e">
        <f t="shared" si="0"/>
        <v>#VALUE!</v>
      </c>
      <c r="L95" s="10">
        <f t="shared" si="1"/>
        <v>1</v>
      </c>
      <c r="M95" s="10" t="str">
        <f t="shared" si="2"/>
        <v>001</v>
      </c>
      <c r="N95" s="10" t="str">
        <f t="shared" si="3"/>
        <v>01</v>
      </c>
      <c r="O95" s="10" t="str">
        <f t="shared" si="4"/>
        <v>JERUK</v>
      </c>
    </row>
    <row r="96" spans="1:15" ht="12.5">
      <c r="A96" s="115" t="s">
        <v>3432</v>
      </c>
      <c r="B96" s="5">
        <v>0</v>
      </c>
      <c r="C96" s="5">
        <v>61</v>
      </c>
      <c r="D96" s="5">
        <v>4</v>
      </c>
      <c r="E96" s="5">
        <v>80</v>
      </c>
      <c r="F96" s="5">
        <v>3</v>
      </c>
      <c r="G96" s="5">
        <v>200</v>
      </c>
      <c r="H96" s="5" t="s">
        <v>3241</v>
      </c>
      <c r="I96" s="5" t="s">
        <v>3430</v>
      </c>
      <c r="J96" s="5" t="s">
        <v>3433</v>
      </c>
      <c r="K96" s="10" t="e">
        <f t="shared" si="0"/>
        <v>#VALUE!</v>
      </c>
      <c r="L96" s="10">
        <f t="shared" si="1"/>
        <v>1</v>
      </c>
      <c r="M96" s="10" t="str">
        <f t="shared" si="2"/>
        <v>002</v>
      </c>
      <c r="N96" s="10" t="str">
        <f t="shared" si="3"/>
        <v>01</v>
      </c>
      <c r="O96" s="10" t="str">
        <f t="shared" si="4"/>
        <v>JERUK</v>
      </c>
    </row>
    <row r="97" spans="1:15" ht="12.5">
      <c r="A97" s="115" t="s">
        <v>3434</v>
      </c>
      <c r="B97" s="5">
        <v>0</v>
      </c>
      <c r="C97" s="5">
        <v>61</v>
      </c>
      <c r="D97" s="5">
        <v>4</v>
      </c>
      <c r="E97" s="5">
        <v>80</v>
      </c>
      <c r="F97" s="5">
        <v>3</v>
      </c>
      <c r="G97" s="5">
        <v>300</v>
      </c>
      <c r="H97" s="5" t="s">
        <v>3241</v>
      </c>
      <c r="I97" s="5" t="s">
        <v>3430</v>
      </c>
      <c r="J97" s="5" t="s">
        <v>3435</v>
      </c>
      <c r="K97" s="10" t="e">
        <f t="shared" si="0"/>
        <v>#VALUE!</v>
      </c>
      <c r="L97" s="10">
        <f t="shared" si="1"/>
        <v>1</v>
      </c>
      <c r="M97" s="10" t="str">
        <f t="shared" si="2"/>
        <v>003</v>
      </c>
      <c r="N97" s="10" t="str">
        <f t="shared" si="3"/>
        <v>01</v>
      </c>
      <c r="O97" s="10" t="str">
        <f t="shared" si="4"/>
        <v>JERUK</v>
      </c>
    </row>
    <row r="98" spans="1:15" ht="12.5">
      <c r="A98" s="115" t="s">
        <v>3436</v>
      </c>
      <c r="B98" s="5">
        <v>0</v>
      </c>
      <c r="C98" s="5">
        <v>61</v>
      </c>
      <c r="D98" s="5">
        <v>4</v>
      </c>
      <c r="E98" s="5">
        <v>80</v>
      </c>
      <c r="F98" s="5">
        <v>3</v>
      </c>
      <c r="G98" s="5">
        <v>400</v>
      </c>
      <c r="H98" s="5" t="s">
        <v>3241</v>
      </c>
      <c r="I98" s="5" t="s">
        <v>3430</v>
      </c>
      <c r="J98" s="5" t="s">
        <v>3437</v>
      </c>
      <c r="K98" s="10" t="e">
        <f t="shared" si="0"/>
        <v>#VALUE!</v>
      </c>
      <c r="L98" s="10">
        <f t="shared" si="1"/>
        <v>1</v>
      </c>
      <c r="M98" s="10" t="str">
        <f t="shared" si="2"/>
        <v>004</v>
      </c>
      <c r="N98" s="10" t="str">
        <f t="shared" si="3"/>
        <v>01</v>
      </c>
      <c r="O98" s="10" t="str">
        <f t="shared" si="4"/>
        <v>JERUK</v>
      </c>
    </row>
    <row r="99" spans="1:15" ht="12.5">
      <c r="A99" s="115" t="s">
        <v>3438</v>
      </c>
      <c r="B99" s="5">
        <v>0</v>
      </c>
      <c r="C99" s="5">
        <v>61</v>
      </c>
      <c r="D99" s="5">
        <v>4</v>
      </c>
      <c r="E99" s="5">
        <v>80</v>
      </c>
      <c r="F99" s="5">
        <v>3</v>
      </c>
      <c r="G99" s="5">
        <v>500</v>
      </c>
      <c r="H99" s="5" t="s">
        <v>3241</v>
      </c>
      <c r="I99" s="5" t="s">
        <v>3430</v>
      </c>
      <c r="J99" s="5" t="s">
        <v>3439</v>
      </c>
      <c r="K99" s="10" t="e">
        <f t="shared" si="0"/>
        <v>#VALUE!</v>
      </c>
      <c r="L99" s="10">
        <f t="shared" si="1"/>
        <v>1</v>
      </c>
      <c r="M99" s="10" t="str">
        <f t="shared" si="2"/>
        <v>005</v>
      </c>
      <c r="N99" s="10" t="str">
        <f t="shared" si="3"/>
        <v>01</v>
      </c>
      <c r="O99" s="10" t="str">
        <f t="shared" si="4"/>
        <v>JERUK</v>
      </c>
    </row>
    <row r="100" spans="1:15" ht="12.5">
      <c r="A100" s="115" t="s">
        <v>3440</v>
      </c>
      <c r="B100" s="5">
        <v>0</v>
      </c>
      <c r="C100" s="5">
        <v>61</v>
      </c>
      <c r="D100" s="5">
        <v>4</v>
      </c>
      <c r="E100" s="5">
        <v>80</v>
      </c>
      <c r="F100" s="5">
        <v>3</v>
      </c>
      <c r="G100" s="5">
        <v>600</v>
      </c>
      <c r="H100" s="5" t="s">
        <v>3241</v>
      </c>
      <c r="I100" s="5" t="s">
        <v>3430</v>
      </c>
      <c r="J100" s="5" t="s">
        <v>3441</v>
      </c>
      <c r="K100" s="10" t="e">
        <f t="shared" si="0"/>
        <v>#VALUE!</v>
      </c>
      <c r="L100" s="10">
        <f t="shared" si="1"/>
        <v>1</v>
      </c>
      <c r="M100" s="10" t="str">
        <f t="shared" si="2"/>
        <v>001</v>
      </c>
      <c r="N100" s="10" t="str">
        <f t="shared" si="3"/>
        <v>13</v>
      </c>
      <c r="O100" s="10" t="str">
        <f t="shared" si="4"/>
        <v>JERUK</v>
      </c>
    </row>
    <row r="101" spans="1:15" ht="12.5">
      <c r="A101" s="115" t="s">
        <v>3442</v>
      </c>
      <c r="B101" s="5">
        <v>0</v>
      </c>
      <c r="C101" s="5">
        <v>61</v>
      </c>
      <c r="D101" s="5">
        <v>4</v>
      </c>
      <c r="E101" s="5">
        <v>80</v>
      </c>
      <c r="F101" s="5">
        <v>3</v>
      </c>
      <c r="G101" s="5">
        <v>700</v>
      </c>
      <c r="H101" s="5" t="s">
        <v>3241</v>
      </c>
      <c r="I101" s="5" t="s">
        <v>3430</v>
      </c>
      <c r="J101" s="5" t="s">
        <v>3443</v>
      </c>
      <c r="K101" s="10" t="e">
        <f t="shared" si="0"/>
        <v>#VALUE!</v>
      </c>
      <c r="L101" s="10">
        <f t="shared" si="1"/>
        <v>1</v>
      </c>
      <c r="M101" s="10" t="str">
        <f t="shared" si="2"/>
        <v>002</v>
      </c>
      <c r="N101" s="10" t="str">
        <f t="shared" si="3"/>
        <v>13</v>
      </c>
      <c r="O101" s="10" t="str">
        <f t="shared" si="4"/>
        <v>JERUK</v>
      </c>
    </row>
    <row r="102" spans="1:15" ht="12.5">
      <c r="A102" s="115" t="s">
        <v>3444</v>
      </c>
      <c r="B102" s="5">
        <v>0</v>
      </c>
      <c r="C102" s="5">
        <v>61</v>
      </c>
      <c r="D102" s="5">
        <v>4</v>
      </c>
      <c r="E102" s="5">
        <v>80</v>
      </c>
      <c r="F102" s="5">
        <v>3</v>
      </c>
      <c r="G102" s="5">
        <v>800</v>
      </c>
      <c r="H102" s="5" t="s">
        <v>3241</v>
      </c>
      <c r="I102" s="5" t="s">
        <v>3430</v>
      </c>
      <c r="J102" s="5" t="s">
        <v>3445</v>
      </c>
      <c r="K102" s="10" t="e">
        <f t="shared" si="0"/>
        <v>#VALUE!</v>
      </c>
      <c r="L102" s="10">
        <f t="shared" si="1"/>
        <v>1</v>
      </c>
      <c r="M102" s="10" t="str">
        <f t="shared" si="2"/>
        <v>003</v>
      </c>
      <c r="N102" s="10" t="str">
        <f t="shared" si="3"/>
        <v>13</v>
      </c>
      <c r="O102" s="10" t="str">
        <f t="shared" si="4"/>
        <v>JERUK</v>
      </c>
    </row>
    <row r="103" spans="1:15" ht="12.5">
      <c r="A103" s="115" t="s">
        <v>3446</v>
      </c>
      <c r="B103" s="5">
        <v>0</v>
      </c>
      <c r="C103" s="5">
        <v>61</v>
      </c>
      <c r="D103" s="5">
        <v>4</v>
      </c>
      <c r="E103" s="5">
        <v>80</v>
      </c>
      <c r="F103" s="5">
        <v>3</v>
      </c>
      <c r="G103" s="5">
        <v>900</v>
      </c>
      <c r="H103" s="5" t="s">
        <v>3241</v>
      </c>
      <c r="I103" s="5" t="s">
        <v>3430</v>
      </c>
      <c r="J103" s="5" t="s">
        <v>3447</v>
      </c>
      <c r="K103" s="10" t="e">
        <f t="shared" si="0"/>
        <v>#VALUE!</v>
      </c>
      <c r="L103" s="10">
        <f t="shared" si="1"/>
        <v>1</v>
      </c>
      <c r="M103" s="10" t="str">
        <f t="shared" si="2"/>
        <v>004</v>
      </c>
      <c r="N103" s="10" t="str">
        <f t="shared" si="3"/>
        <v>13</v>
      </c>
      <c r="O103" s="10" t="str">
        <f t="shared" si="4"/>
        <v>JERUK</v>
      </c>
    </row>
    <row r="104" spans="1:15" ht="12.5">
      <c r="A104" s="115" t="s">
        <v>3448</v>
      </c>
      <c r="B104" s="5">
        <v>0</v>
      </c>
      <c r="C104" s="5">
        <v>61</v>
      </c>
      <c r="D104" s="5">
        <v>4</v>
      </c>
      <c r="E104" s="5">
        <v>80</v>
      </c>
      <c r="F104" s="5">
        <v>3</v>
      </c>
      <c r="G104" s="5">
        <v>1000</v>
      </c>
      <c r="H104" s="5" t="s">
        <v>3241</v>
      </c>
      <c r="I104" s="5" t="s">
        <v>3430</v>
      </c>
      <c r="J104" s="5" t="s">
        <v>3449</v>
      </c>
      <c r="K104" s="10" t="e">
        <f t="shared" si="0"/>
        <v>#VALUE!</v>
      </c>
      <c r="L104" s="10">
        <f t="shared" si="1"/>
        <v>1</v>
      </c>
      <c r="M104" s="10" t="str">
        <f t="shared" si="2"/>
        <v>001</v>
      </c>
      <c r="N104" s="10" t="str">
        <f t="shared" si="3"/>
        <v>06</v>
      </c>
      <c r="O104" s="10" t="str">
        <f t="shared" si="4"/>
        <v>NANAS</v>
      </c>
    </row>
    <row r="105" spans="1:15" ht="12.5">
      <c r="A105" s="115" t="s">
        <v>3450</v>
      </c>
      <c r="B105" s="5">
        <v>0</v>
      </c>
      <c r="C105" s="5">
        <v>61</v>
      </c>
      <c r="D105" s="5">
        <v>4</v>
      </c>
      <c r="E105" s="5">
        <v>80</v>
      </c>
      <c r="F105" s="5">
        <v>3</v>
      </c>
      <c r="G105" s="5">
        <v>1100</v>
      </c>
      <c r="H105" s="5" t="s">
        <v>3241</v>
      </c>
      <c r="I105" s="5" t="s">
        <v>3430</v>
      </c>
      <c r="J105" s="5" t="s">
        <v>3451</v>
      </c>
      <c r="K105" s="10" t="e">
        <f t="shared" si="0"/>
        <v>#VALUE!</v>
      </c>
      <c r="L105" s="10">
        <f t="shared" si="1"/>
        <v>1</v>
      </c>
      <c r="M105" s="10" t="str">
        <f t="shared" si="2"/>
        <v>002</v>
      </c>
      <c r="N105" s="10" t="str">
        <f t="shared" si="3"/>
        <v>06</v>
      </c>
      <c r="O105" s="10" t="str">
        <f t="shared" si="4"/>
        <v>NANAS</v>
      </c>
    </row>
    <row r="106" spans="1:15" ht="12.5">
      <c r="A106" s="115" t="s">
        <v>3452</v>
      </c>
      <c r="B106" s="5">
        <v>0</v>
      </c>
      <c r="C106" s="5">
        <v>61</v>
      </c>
      <c r="D106" s="5">
        <v>4</v>
      </c>
      <c r="E106" s="5">
        <v>80</v>
      </c>
      <c r="F106" s="5">
        <v>3</v>
      </c>
      <c r="G106" s="5">
        <v>1200</v>
      </c>
      <c r="H106" s="5" t="s">
        <v>3241</v>
      </c>
      <c r="I106" s="5" t="s">
        <v>3430</v>
      </c>
      <c r="J106" s="5" t="s">
        <v>3453</v>
      </c>
      <c r="K106" s="10" t="e">
        <f t="shared" si="0"/>
        <v>#VALUE!</v>
      </c>
      <c r="L106" s="10">
        <f t="shared" si="1"/>
        <v>1</v>
      </c>
      <c r="M106" s="10" t="str">
        <f t="shared" si="2"/>
        <v>001</v>
      </c>
      <c r="N106" s="10" t="str">
        <f t="shared" si="3"/>
        <v>11</v>
      </c>
      <c r="O106" s="10" t="str">
        <f t="shared" si="4"/>
        <v>NANAS</v>
      </c>
    </row>
    <row r="107" spans="1:15" ht="12.5">
      <c r="A107" s="115" t="s">
        <v>3454</v>
      </c>
      <c r="B107" s="5">
        <v>0</v>
      </c>
      <c r="C107" s="5">
        <v>61</v>
      </c>
      <c r="D107" s="5">
        <v>4</v>
      </c>
      <c r="E107" s="5">
        <v>80</v>
      </c>
      <c r="F107" s="5">
        <v>3</v>
      </c>
      <c r="G107" s="5">
        <v>1300</v>
      </c>
      <c r="H107" s="5" t="s">
        <v>3241</v>
      </c>
      <c r="I107" s="5" t="s">
        <v>3430</v>
      </c>
      <c r="J107" s="5" t="s">
        <v>3455</v>
      </c>
      <c r="K107" s="10" t="e">
        <f t="shared" si="0"/>
        <v>#VALUE!</v>
      </c>
      <c r="L107" s="10">
        <f t="shared" si="1"/>
        <v>1</v>
      </c>
      <c r="M107" s="10" t="str">
        <f t="shared" si="2"/>
        <v>002</v>
      </c>
      <c r="N107" s="10" t="str">
        <f t="shared" si="3"/>
        <v>11</v>
      </c>
      <c r="O107" s="10" t="str">
        <f t="shared" si="4"/>
        <v>NANAS</v>
      </c>
    </row>
    <row r="108" spans="1:15" ht="12.5">
      <c r="A108" s="115" t="s">
        <v>3456</v>
      </c>
      <c r="B108" s="5">
        <v>0</v>
      </c>
      <c r="C108" s="5">
        <v>61</v>
      </c>
      <c r="D108" s="5">
        <v>4</v>
      </c>
      <c r="E108" s="5">
        <v>80</v>
      </c>
      <c r="F108" s="5">
        <v>3</v>
      </c>
      <c r="G108" s="5">
        <v>1400</v>
      </c>
      <c r="H108" s="5" t="s">
        <v>3241</v>
      </c>
      <c r="I108" s="5" t="s">
        <v>3430</v>
      </c>
      <c r="J108" s="5" t="s">
        <v>3457</v>
      </c>
      <c r="K108" s="10" t="e">
        <f t="shared" si="0"/>
        <v>#VALUE!</v>
      </c>
      <c r="L108" s="10">
        <f t="shared" si="1"/>
        <v>1</v>
      </c>
      <c r="M108" s="10" t="str">
        <f t="shared" si="2"/>
        <v>001</v>
      </c>
      <c r="N108" s="10" t="str">
        <f t="shared" si="3"/>
        <v>02</v>
      </c>
      <c r="O108" s="10" t="str">
        <f t="shared" si="4"/>
        <v>PADI</v>
      </c>
    </row>
    <row r="109" spans="1:15" ht="12.5">
      <c r="A109" s="115" t="s">
        <v>3458</v>
      </c>
      <c r="B109" s="5">
        <v>0</v>
      </c>
      <c r="C109" s="5">
        <v>61</v>
      </c>
      <c r="D109" s="5">
        <v>4</v>
      </c>
      <c r="E109" s="5">
        <v>80</v>
      </c>
      <c r="F109" s="5">
        <v>3</v>
      </c>
      <c r="G109" s="5">
        <v>1500</v>
      </c>
      <c r="H109" s="5" t="s">
        <v>3241</v>
      </c>
      <c r="I109" s="5" t="s">
        <v>3430</v>
      </c>
      <c r="J109" s="5" t="s">
        <v>3459</v>
      </c>
      <c r="K109" s="10" t="e">
        <f t="shared" si="0"/>
        <v>#VALUE!</v>
      </c>
      <c r="L109" s="10">
        <f t="shared" si="1"/>
        <v>1</v>
      </c>
      <c r="M109" s="10" t="str">
        <f t="shared" si="2"/>
        <v>002</v>
      </c>
      <c r="N109" s="10" t="str">
        <f t="shared" si="3"/>
        <v>02</v>
      </c>
      <c r="O109" s="10" t="str">
        <f t="shared" si="4"/>
        <v>PADI</v>
      </c>
    </row>
    <row r="110" spans="1:15" ht="12.5">
      <c r="A110" s="115" t="s">
        <v>3460</v>
      </c>
      <c r="B110" s="5">
        <v>0</v>
      </c>
      <c r="C110" s="5">
        <v>61</v>
      </c>
      <c r="D110" s="5">
        <v>4</v>
      </c>
      <c r="E110" s="5">
        <v>80</v>
      </c>
      <c r="F110" s="5">
        <v>3</v>
      </c>
      <c r="G110" s="5">
        <v>1600</v>
      </c>
      <c r="H110" s="5" t="s">
        <v>3241</v>
      </c>
      <c r="I110" s="5" t="s">
        <v>3430</v>
      </c>
      <c r="J110" s="5" t="s">
        <v>3461</v>
      </c>
      <c r="K110" s="10" t="e">
        <f t="shared" si="0"/>
        <v>#VALUE!</v>
      </c>
      <c r="L110" s="10">
        <f t="shared" si="1"/>
        <v>1</v>
      </c>
      <c r="M110" s="10" t="str">
        <f t="shared" si="2"/>
        <v>001</v>
      </c>
      <c r="N110" s="10" t="str">
        <f t="shared" si="3"/>
        <v>12</v>
      </c>
      <c r="O110" s="10" t="str">
        <f t="shared" si="4"/>
        <v>PADI</v>
      </c>
    </row>
    <row r="111" spans="1:15" ht="12.5">
      <c r="A111" s="115" t="s">
        <v>3462</v>
      </c>
      <c r="B111" s="5">
        <v>0</v>
      </c>
      <c r="C111" s="5">
        <v>61</v>
      </c>
      <c r="D111" s="5">
        <v>4</v>
      </c>
      <c r="E111" s="5">
        <v>80</v>
      </c>
      <c r="F111" s="5">
        <v>3</v>
      </c>
      <c r="G111" s="5">
        <v>1700</v>
      </c>
      <c r="H111" s="5" t="s">
        <v>3241</v>
      </c>
      <c r="I111" s="5" t="s">
        <v>3430</v>
      </c>
      <c r="J111" s="5" t="s">
        <v>3463</v>
      </c>
      <c r="K111" s="10" t="e">
        <f t="shared" si="0"/>
        <v>#VALUE!</v>
      </c>
      <c r="L111" s="10">
        <f t="shared" si="1"/>
        <v>1</v>
      </c>
      <c r="M111" s="10" t="str">
        <f t="shared" si="2"/>
        <v>002</v>
      </c>
      <c r="N111" s="10" t="str">
        <f t="shared" si="3"/>
        <v>12</v>
      </c>
      <c r="O111" s="10" t="str">
        <f t="shared" si="4"/>
        <v>PADI</v>
      </c>
    </row>
    <row r="112" spans="1:15" ht="12.5">
      <c r="A112" s="115" t="s">
        <v>3464</v>
      </c>
      <c r="B112" s="5">
        <v>0</v>
      </c>
      <c r="C112" s="5">
        <v>61</v>
      </c>
      <c r="D112" s="5">
        <v>4</v>
      </c>
      <c r="E112" s="5">
        <v>80</v>
      </c>
      <c r="F112" s="5">
        <v>3</v>
      </c>
      <c r="G112" s="5">
        <v>1800</v>
      </c>
      <c r="H112" s="5" t="s">
        <v>3241</v>
      </c>
      <c r="I112" s="5" t="s">
        <v>3430</v>
      </c>
      <c r="J112" s="5" t="s">
        <v>3465</v>
      </c>
      <c r="K112" s="10" t="e">
        <f t="shared" si="0"/>
        <v>#VALUE!</v>
      </c>
      <c r="L112" s="10">
        <f t="shared" si="1"/>
        <v>1</v>
      </c>
      <c r="M112" s="10" t="str">
        <f t="shared" si="2"/>
        <v>001</v>
      </c>
      <c r="N112" s="10" t="str">
        <f t="shared" si="3"/>
        <v>05</v>
      </c>
      <c r="O112" s="10" t="str">
        <f t="shared" si="4"/>
        <v>KOPI</v>
      </c>
    </row>
    <row r="113" spans="1:15" ht="12.5">
      <c r="A113" s="115" t="s">
        <v>3466</v>
      </c>
      <c r="B113" s="5">
        <v>0</v>
      </c>
      <c r="C113" s="5">
        <v>61</v>
      </c>
      <c r="D113" s="5">
        <v>4</v>
      </c>
      <c r="E113" s="5">
        <v>80</v>
      </c>
      <c r="F113" s="5">
        <v>3</v>
      </c>
      <c r="G113" s="5">
        <v>1900</v>
      </c>
      <c r="H113" s="5" t="s">
        <v>3241</v>
      </c>
      <c r="I113" s="5" t="s">
        <v>3430</v>
      </c>
      <c r="J113" s="5" t="s">
        <v>3467</v>
      </c>
      <c r="K113" s="10" t="e">
        <f t="shared" si="0"/>
        <v>#VALUE!</v>
      </c>
      <c r="L113" s="10">
        <f t="shared" si="1"/>
        <v>1</v>
      </c>
      <c r="M113" s="10" t="str">
        <f t="shared" si="2"/>
        <v>002</v>
      </c>
      <c r="N113" s="10" t="str">
        <f t="shared" si="3"/>
        <v>05</v>
      </c>
      <c r="O113" s="10" t="str">
        <f t="shared" si="4"/>
        <v>KOPI</v>
      </c>
    </row>
    <row r="114" spans="1:15" ht="12.5">
      <c r="A114" s="115" t="s">
        <v>3468</v>
      </c>
      <c r="B114" s="5">
        <v>0</v>
      </c>
      <c r="C114" s="5">
        <v>61</v>
      </c>
      <c r="D114" s="5">
        <v>4</v>
      </c>
      <c r="E114" s="5">
        <v>80</v>
      </c>
      <c r="F114" s="5">
        <v>3</v>
      </c>
      <c r="G114" s="5">
        <v>2000</v>
      </c>
      <c r="H114" s="5" t="s">
        <v>3241</v>
      </c>
      <c r="I114" s="5" t="s">
        <v>3430</v>
      </c>
      <c r="J114" s="5" t="s">
        <v>3469</v>
      </c>
      <c r="K114" s="10" t="e">
        <f t="shared" si="0"/>
        <v>#VALUE!</v>
      </c>
      <c r="L114" s="10">
        <f t="shared" si="1"/>
        <v>1</v>
      </c>
      <c r="M114" s="10" t="str">
        <f t="shared" si="2"/>
        <v>003</v>
      </c>
      <c r="N114" s="10" t="str">
        <f t="shared" si="3"/>
        <v>05</v>
      </c>
      <c r="O114" s="10" t="str">
        <f t="shared" si="4"/>
        <v>KOPI</v>
      </c>
    </row>
    <row r="115" spans="1:15" ht="12.5">
      <c r="A115" s="115" t="s">
        <v>3470</v>
      </c>
      <c r="B115" s="5">
        <v>0</v>
      </c>
      <c r="C115" s="5">
        <v>61</v>
      </c>
      <c r="D115" s="5">
        <v>4</v>
      </c>
      <c r="E115" s="5">
        <v>80</v>
      </c>
      <c r="F115" s="5">
        <v>3</v>
      </c>
      <c r="G115" s="5">
        <v>2100</v>
      </c>
      <c r="H115" s="5" t="s">
        <v>3241</v>
      </c>
      <c r="I115" s="5" t="s">
        <v>3430</v>
      </c>
      <c r="J115" s="5" t="s">
        <v>3471</v>
      </c>
      <c r="K115" s="10" t="e">
        <f t="shared" si="0"/>
        <v>#VALUE!</v>
      </c>
      <c r="L115" s="10">
        <f t="shared" si="1"/>
        <v>1</v>
      </c>
      <c r="M115" s="10" t="str">
        <f t="shared" si="2"/>
        <v>004</v>
      </c>
      <c r="N115" s="10" t="str">
        <f t="shared" si="3"/>
        <v>05</v>
      </c>
      <c r="O115" s="10" t="str">
        <f t="shared" si="4"/>
        <v>KOPI</v>
      </c>
    </row>
    <row r="116" spans="1:15" ht="12.5">
      <c r="A116" s="115" t="s">
        <v>3472</v>
      </c>
      <c r="B116" s="5">
        <v>0</v>
      </c>
      <c r="C116" s="5">
        <v>61</v>
      </c>
      <c r="D116" s="5">
        <v>4</v>
      </c>
      <c r="E116" s="5">
        <v>80</v>
      </c>
      <c r="F116" s="5">
        <v>3</v>
      </c>
      <c r="G116" s="5">
        <v>2200</v>
      </c>
      <c r="H116" s="5" t="s">
        <v>3241</v>
      </c>
      <c r="I116" s="5" t="s">
        <v>3430</v>
      </c>
      <c r="J116" s="5" t="s">
        <v>3473</v>
      </c>
      <c r="K116" s="10" t="e">
        <f t="shared" si="0"/>
        <v>#VALUE!</v>
      </c>
      <c r="L116" s="10">
        <f t="shared" si="1"/>
        <v>1</v>
      </c>
      <c r="M116" s="10" t="str">
        <f t="shared" si="2"/>
        <v>005</v>
      </c>
      <c r="N116" s="10" t="str">
        <f t="shared" si="3"/>
        <v>05</v>
      </c>
      <c r="O116" s="10" t="str">
        <f t="shared" si="4"/>
        <v>KOPI</v>
      </c>
    </row>
    <row r="117" spans="1:15" ht="12.5">
      <c r="A117" s="115" t="s">
        <v>3474</v>
      </c>
      <c r="B117" s="5">
        <v>0</v>
      </c>
      <c r="C117" s="5">
        <v>61</v>
      </c>
      <c r="D117" s="5">
        <v>4</v>
      </c>
      <c r="E117" s="5">
        <v>80</v>
      </c>
      <c r="F117" s="5">
        <v>3</v>
      </c>
      <c r="G117" s="5">
        <v>2300</v>
      </c>
      <c r="H117" s="5" t="s">
        <v>3241</v>
      </c>
      <c r="I117" s="5" t="s">
        <v>3430</v>
      </c>
      <c r="J117" s="5" t="s">
        <v>3475</v>
      </c>
      <c r="K117" s="10" t="e">
        <f t="shared" si="0"/>
        <v>#VALUE!</v>
      </c>
      <c r="L117" s="10">
        <f t="shared" si="1"/>
        <v>1</v>
      </c>
      <c r="M117" s="10" t="str">
        <f t="shared" si="2"/>
        <v>006</v>
      </c>
      <c r="N117" s="10" t="str">
        <f t="shared" si="3"/>
        <v>05</v>
      </c>
      <c r="O117" s="10" t="str">
        <f t="shared" si="4"/>
        <v>KOPI</v>
      </c>
    </row>
    <row r="118" spans="1:15" ht="12.5">
      <c r="A118" s="115" t="s">
        <v>3476</v>
      </c>
      <c r="B118" s="5">
        <v>0</v>
      </c>
      <c r="C118" s="5">
        <v>61</v>
      </c>
      <c r="D118" s="5">
        <v>4</v>
      </c>
      <c r="E118" s="5">
        <v>80</v>
      </c>
      <c r="F118" s="5">
        <v>3</v>
      </c>
      <c r="G118" s="5">
        <v>2400</v>
      </c>
      <c r="H118" s="5" t="s">
        <v>3241</v>
      </c>
      <c r="I118" s="5" t="s">
        <v>3430</v>
      </c>
      <c r="J118" s="5" t="s">
        <v>3477</v>
      </c>
      <c r="K118" s="10" t="e">
        <f t="shared" si="0"/>
        <v>#VALUE!</v>
      </c>
      <c r="L118" s="10">
        <f t="shared" si="1"/>
        <v>1</v>
      </c>
      <c r="M118" s="10" t="str">
        <f t="shared" si="2"/>
        <v>001</v>
      </c>
      <c r="N118" s="10" t="str">
        <f t="shared" si="3"/>
        <v>07</v>
      </c>
      <c r="O118" s="10" t="str">
        <f t="shared" si="4"/>
        <v>KELAPA</v>
      </c>
    </row>
    <row r="119" spans="1:15" ht="12.5">
      <c r="A119" s="115" t="s">
        <v>3478</v>
      </c>
      <c r="B119" s="5">
        <v>0</v>
      </c>
      <c r="C119" s="5">
        <v>61</v>
      </c>
      <c r="D119" s="5">
        <v>4</v>
      </c>
      <c r="E119" s="5">
        <v>80</v>
      </c>
      <c r="F119" s="5">
        <v>3</v>
      </c>
      <c r="G119" s="5">
        <v>2500</v>
      </c>
      <c r="H119" s="5" t="s">
        <v>3241</v>
      </c>
      <c r="I119" s="5" t="s">
        <v>3430</v>
      </c>
      <c r="J119" s="5" t="s">
        <v>3479</v>
      </c>
      <c r="K119" s="10" t="e">
        <f t="shared" si="0"/>
        <v>#VALUE!</v>
      </c>
      <c r="L119" s="10">
        <f t="shared" si="1"/>
        <v>1</v>
      </c>
      <c r="M119" s="10" t="str">
        <f t="shared" si="2"/>
        <v>002</v>
      </c>
      <c r="N119" s="10" t="str">
        <f t="shared" si="3"/>
        <v>07</v>
      </c>
      <c r="O119" s="10" t="str">
        <f t="shared" si="4"/>
        <v>KELAPA</v>
      </c>
    </row>
    <row r="120" spans="1:15" ht="12.5">
      <c r="A120" s="115" t="s">
        <v>3480</v>
      </c>
      <c r="B120" s="5">
        <v>0</v>
      </c>
      <c r="C120" s="5">
        <v>61</v>
      </c>
      <c r="D120" s="5">
        <v>4</v>
      </c>
      <c r="E120" s="5">
        <v>80</v>
      </c>
      <c r="F120" s="5">
        <v>3</v>
      </c>
      <c r="G120" s="5">
        <v>2600</v>
      </c>
      <c r="H120" s="5" t="s">
        <v>3241</v>
      </c>
      <c r="I120" s="5" t="s">
        <v>3430</v>
      </c>
      <c r="J120" s="5" t="s">
        <v>3481</v>
      </c>
      <c r="K120" s="10" t="e">
        <f t="shared" si="0"/>
        <v>#VALUE!</v>
      </c>
      <c r="L120" s="10">
        <f t="shared" si="1"/>
        <v>1</v>
      </c>
      <c r="M120" s="10" t="str">
        <f t="shared" si="2"/>
        <v>001</v>
      </c>
      <c r="N120" s="10" t="str">
        <f t="shared" si="3"/>
        <v>08</v>
      </c>
      <c r="O120" s="10" t="str">
        <f t="shared" si="4"/>
        <v>KELAPA</v>
      </c>
    </row>
    <row r="121" spans="1:15" ht="12.5">
      <c r="A121" s="115" t="s">
        <v>3482</v>
      </c>
      <c r="B121" s="5">
        <v>0</v>
      </c>
      <c r="C121" s="5">
        <v>61</v>
      </c>
      <c r="D121" s="5">
        <v>4</v>
      </c>
      <c r="E121" s="5">
        <v>80</v>
      </c>
      <c r="F121" s="5">
        <v>3</v>
      </c>
      <c r="G121" s="5">
        <v>2700</v>
      </c>
      <c r="H121" s="5" t="s">
        <v>3241</v>
      </c>
      <c r="I121" s="5" t="s">
        <v>3430</v>
      </c>
      <c r="J121" s="5" t="s">
        <v>3483</v>
      </c>
      <c r="K121" s="10" t="e">
        <f t="shared" si="0"/>
        <v>#VALUE!</v>
      </c>
      <c r="L121" s="10">
        <f t="shared" si="1"/>
        <v>1</v>
      </c>
      <c r="M121" s="10" t="str">
        <f t="shared" si="2"/>
        <v>002</v>
      </c>
      <c r="N121" s="10" t="str">
        <f t="shared" si="3"/>
        <v>08</v>
      </c>
      <c r="O121" s="10" t="str">
        <f t="shared" si="4"/>
        <v>KELAPA</v>
      </c>
    </row>
    <row r="122" spans="1:15" ht="12.5">
      <c r="A122" s="115" t="s">
        <v>3484</v>
      </c>
      <c r="B122" s="5">
        <v>0</v>
      </c>
      <c r="C122" s="5">
        <v>61</v>
      </c>
      <c r="D122" s="5">
        <v>4</v>
      </c>
      <c r="E122" s="5">
        <v>80</v>
      </c>
      <c r="F122" s="5">
        <v>3</v>
      </c>
      <c r="G122" s="5">
        <v>2800</v>
      </c>
      <c r="H122" s="5" t="s">
        <v>3241</v>
      </c>
      <c r="I122" s="5" t="s">
        <v>3430</v>
      </c>
      <c r="J122" s="5" t="s">
        <v>3485</v>
      </c>
      <c r="K122" s="10" t="e">
        <f t="shared" si="0"/>
        <v>#VALUE!</v>
      </c>
      <c r="L122" s="10">
        <f t="shared" si="1"/>
        <v>1</v>
      </c>
      <c r="M122" s="10" t="str">
        <f t="shared" si="2"/>
        <v>001</v>
      </c>
      <c r="N122" s="10" t="str">
        <f t="shared" si="3"/>
        <v>03</v>
      </c>
      <c r="O122" s="10" t="str">
        <f t="shared" si="4"/>
        <v/>
      </c>
    </row>
    <row r="123" spans="1:15" ht="12.5">
      <c r="A123" s="115" t="s">
        <v>3486</v>
      </c>
      <c r="B123" s="5">
        <v>0</v>
      </c>
      <c r="C123" s="5">
        <v>61</v>
      </c>
      <c r="D123" s="5">
        <v>4</v>
      </c>
      <c r="E123" s="5">
        <v>80</v>
      </c>
      <c r="F123" s="5">
        <v>3</v>
      </c>
      <c r="G123" s="5">
        <v>2900</v>
      </c>
      <c r="H123" s="5" t="s">
        <v>3241</v>
      </c>
      <c r="I123" s="5" t="s">
        <v>3430</v>
      </c>
      <c r="J123" s="5" t="s">
        <v>3487</v>
      </c>
      <c r="K123" s="10" t="e">
        <f t="shared" si="0"/>
        <v>#VALUE!</v>
      </c>
      <c r="L123" s="10">
        <f t="shared" si="1"/>
        <v>1</v>
      </c>
      <c r="M123" s="10" t="str">
        <f t="shared" si="2"/>
        <v>002</v>
      </c>
      <c r="N123" s="10" t="str">
        <f t="shared" si="3"/>
        <v>03</v>
      </c>
      <c r="O123" s="10" t="str">
        <f t="shared" si="4"/>
        <v/>
      </c>
    </row>
    <row r="124" spans="1:15" ht="12.5">
      <c r="A124" s="115" t="s">
        <v>3488</v>
      </c>
      <c r="B124" s="5">
        <v>0</v>
      </c>
      <c r="C124" s="5">
        <v>61</v>
      </c>
      <c r="D124" s="5">
        <v>4</v>
      </c>
      <c r="E124" s="5">
        <v>80</v>
      </c>
      <c r="F124" s="5">
        <v>3</v>
      </c>
      <c r="G124" s="5">
        <v>3000</v>
      </c>
      <c r="H124" s="5" t="s">
        <v>3241</v>
      </c>
      <c r="I124" s="5" t="s">
        <v>3430</v>
      </c>
      <c r="J124" s="5" t="s">
        <v>3489</v>
      </c>
      <c r="K124" s="10" t="e">
        <f t="shared" si="0"/>
        <v>#VALUE!</v>
      </c>
      <c r="L124" s="10">
        <f t="shared" si="1"/>
        <v>1</v>
      </c>
      <c r="M124" s="10" t="str">
        <f t="shared" si="2"/>
        <v>003</v>
      </c>
      <c r="N124" s="10" t="str">
        <f t="shared" si="3"/>
        <v>03</v>
      </c>
      <c r="O124" s="10" t="str">
        <f t="shared" si="4"/>
        <v/>
      </c>
    </row>
    <row r="125" spans="1:15" ht="12.5">
      <c r="A125" s="115" t="s">
        <v>3490</v>
      </c>
      <c r="B125" s="5">
        <v>0</v>
      </c>
      <c r="C125" s="5">
        <v>61</v>
      </c>
      <c r="D125" s="5">
        <v>4</v>
      </c>
      <c r="E125" s="5">
        <v>80</v>
      </c>
      <c r="F125" s="5">
        <v>3</v>
      </c>
      <c r="G125" s="5">
        <v>3100</v>
      </c>
      <c r="H125" s="5" t="s">
        <v>3241</v>
      </c>
      <c r="I125" s="5" t="s">
        <v>3430</v>
      </c>
      <c r="J125" s="5" t="s">
        <v>3491</v>
      </c>
      <c r="K125" s="10" t="e">
        <f t="shared" si="0"/>
        <v>#VALUE!</v>
      </c>
      <c r="L125" s="10">
        <f t="shared" si="1"/>
        <v>1</v>
      </c>
      <c r="M125" s="10" t="str">
        <f t="shared" si="2"/>
        <v>001</v>
      </c>
      <c r="N125" s="10" t="str">
        <f t="shared" si="3"/>
        <v>04</v>
      </c>
      <c r="O125" s="10" t="str">
        <f t="shared" si="4"/>
        <v/>
      </c>
    </row>
    <row r="126" spans="1:15" ht="12.5">
      <c r="A126" s="115" t="s">
        <v>3492</v>
      </c>
      <c r="B126" s="5">
        <v>0</v>
      </c>
      <c r="C126" s="5">
        <v>61</v>
      </c>
      <c r="D126" s="5">
        <v>4</v>
      </c>
      <c r="E126" s="5">
        <v>80</v>
      </c>
      <c r="F126" s="5">
        <v>3</v>
      </c>
      <c r="G126" s="5">
        <v>3200</v>
      </c>
      <c r="H126" s="5" t="s">
        <v>3241</v>
      </c>
      <c r="I126" s="5" t="s">
        <v>3430</v>
      </c>
      <c r="J126" s="5" t="s">
        <v>3493</v>
      </c>
      <c r="K126" s="10" t="e">
        <f t="shared" si="0"/>
        <v>#VALUE!</v>
      </c>
      <c r="L126" s="10">
        <f t="shared" si="1"/>
        <v>1</v>
      </c>
      <c r="M126" s="10" t="str">
        <f t="shared" si="2"/>
        <v>002</v>
      </c>
      <c r="N126" s="10" t="str">
        <f t="shared" si="3"/>
        <v>04</v>
      </c>
      <c r="O126" s="10" t="str">
        <f t="shared" si="4"/>
        <v/>
      </c>
    </row>
    <row r="127" spans="1:15" ht="12.5">
      <c r="A127" s="115" t="s">
        <v>3494</v>
      </c>
      <c r="B127" s="5">
        <v>0</v>
      </c>
      <c r="C127" s="5">
        <v>61</v>
      </c>
      <c r="D127" s="5">
        <v>4</v>
      </c>
      <c r="E127" s="5">
        <v>80</v>
      </c>
      <c r="F127" s="5">
        <v>3</v>
      </c>
      <c r="G127" s="5">
        <v>3300</v>
      </c>
      <c r="H127" s="5" t="s">
        <v>3241</v>
      </c>
      <c r="I127" s="5" t="s">
        <v>3430</v>
      </c>
      <c r="J127" s="5" t="s">
        <v>3495</v>
      </c>
      <c r="K127" s="10" t="e">
        <f t="shared" si="0"/>
        <v>#VALUE!</v>
      </c>
      <c r="L127" s="10">
        <f t="shared" si="1"/>
        <v>1</v>
      </c>
      <c r="M127" s="10" t="str">
        <f t="shared" si="2"/>
        <v>003</v>
      </c>
      <c r="N127" s="10" t="str">
        <f t="shared" si="3"/>
        <v>04</v>
      </c>
      <c r="O127" s="10" t="str">
        <f t="shared" si="4"/>
        <v/>
      </c>
    </row>
    <row r="128" spans="1:15" ht="12.5">
      <c r="A128" s="115" t="s">
        <v>3496</v>
      </c>
      <c r="B128" s="5">
        <v>0</v>
      </c>
      <c r="C128" s="5">
        <v>61</v>
      </c>
      <c r="D128" s="5">
        <v>4</v>
      </c>
      <c r="E128" s="5">
        <v>80</v>
      </c>
      <c r="F128" s="5">
        <v>3</v>
      </c>
      <c r="G128" s="5">
        <v>3400</v>
      </c>
      <c r="H128" s="5" t="s">
        <v>3241</v>
      </c>
      <c r="I128" s="5" t="s">
        <v>3430</v>
      </c>
      <c r="J128" s="5" t="s">
        <v>3497</v>
      </c>
      <c r="K128" s="10" t="e">
        <f t="shared" si="0"/>
        <v>#VALUE!</v>
      </c>
      <c r="L128" s="10">
        <f t="shared" si="1"/>
        <v>1</v>
      </c>
      <c r="M128" s="10" t="str">
        <f t="shared" si="2"/>
        <v>001</v>
      </c>
      <c r="N128" s="10" t="str">
        <f t="shared" si="3"/>
        <v>09</v>
      </c>
      <c r="O128" s="10" t="str">
        <f t="shared" si="4"/>
        <v>PALAWIJA</v>
      </c>
    </row>
    <row r="129" spans="1:15" ht="12.5">
      <c r="A129" s="115" t="s">
        <v>3498</v>
      </c>
      <c r="B129" s="5">
        <v>0</v>
      </c>
      <c r="C129" s="5">
        <v>61</v>
      </c>
      <c r="D129" s="5">
        <v>4</v>
      </c>
      <c r="E129" s="5">
        <v>80</v>
      </c>
      <c r="F129" s="5">
        <v>3</v>
      </c>
      <c r="G129" s="5">
        <v>3500</v>
      </c>
      <c r="H129" s="5" t="s">
        <v>3241</v>
      </c>
      <c r="I129" s="5" t="s">
        <v>3430</v>
      </c>
      <c r="J129" s="5" t="s">
        <v>3499</v>
      </c>
      <c r="K129" s="10" t="e">
        <f t="shared" si="0"/>
        <v>#VALUE!</v>
      </c>
      <c r="L129" s="10">
        <f t="shared" si="1"/>
        <v>1</v>
      </c>
      <c r="M129" s="10" t="str">
        <f t="shared" si="2"/>
        <v>002</v>
      </c>
      <c r="N129" s="10" t="str">
        <f t="shared" si="3"/>
        <v>09</v>
      </c>
      <c r="O129" s="10" t="str">
        <f t="shared" si="4"/>
        <v>PALAWIJA</v>
      </c>
    </row>
    <row r="130" spans="1:15" ht="12.5">
      <c r="A130" s="115" t="s">
        <v>3500</v>
      </c>
      <c r="B130" s="5">
        <v>0</v>
      </c>
      <c r="C130" s="5">
        <v>61</v>
      </c>
      <c r="D130" s="5">
        <v>4</v>
      </c>
      <c r="E130" s="5">
        <v>80</v>
      </c>
      <c r="F130" s="5">
        <v>3</v>
      </c>
      <c r="G130" s="5">
        <v>3600</v>
      </c>
      <c r="H130" s="5" t="s">
        <v>3241</v>
      </c>
      <c r="I130" s="5" t="s">
        <v>3430</v>
      </c>
      <c r="J130" s="5" t="s">
        <v>3501</v>
      </c>
      <c r="K130" s="10" t="e">
        <f t="shared" si="0"/>
        <v>#VALUE!</v>
      </c>
      <c r="L130" s="10">
        <f t="shared" si="1"/>
        <v>1</v>
      </c>
      <c r="M130" s="10" t="str">
        <f t="shared" si="2"/>
        <v>003</v>
      </c>
      <c r="N130" s="10" t="str">
        <f t="shared" si="3"/>
        <v>09</v>
      </c>
      <c r="O130" s="10" t="str">
        <f t="shared" si="4"/>
        <v>PALAWIJA</v>
      </c>
    </row>
    <row r="131" spans="1:15" ht="12.5">
      <c r="A131" s="115" t="s">
        <v>3502</v>
      </c>
      <c r="B131" s="5">
        <v>0</v>
      </c>
      <c r="C131" s="5">
        <v>61</v>
      </c>
      <c r="D131" s="5">
        <v>4</v>
      </c>
      <c r="E131" s="5">
        <v>80</v>
      </c>
      <c r="F131" s="5">
        <v>3</v>
      </c>
      <c r="G131" s="5">
        <v>3700</v>
      </c>
      <c r="H131" s="5" t="s">
        <v>3241</v>
      </c>
      <c r="I131" s="5" t="s">
        <v>3430</v>
      </c>
      <c r="J131" s="5" t="s">
        <v>3503</v>
      </c>
      <c r="K131" s="10" t="e">
        <f t="shared" si="0"/>
        <v>#VALUE!</v>
      </c>
      <c r="L131" s="10">
        <f t="shared" si="1"/>
        <v>1</v>
      </c>
      <c r="M131" s="10" t="str">
        <f t="shared" si="2"/>
        <v>004</v>
      </c>
      <c r="N131" s="10" t="str">
        <f t="shared" si="3"/>
        <v>09</v>
      </c>
      <c r="O131" s="10" t="str">
        <f t="shared" si="4"/>
        <v>PALAWIJA</v>
      </c>
    </row>
    <row r="132" spans="1:15" ht="12.5">
      <c r="A132" s="115" t="s">
        <v>3504</v>
      </c>
      <c r="B132" s="5">
        <v>0</v>
      </c>
      <c r="C132" s="5">
        <v>61</v>
      </c>
      <c r="D132" s="5">
        <v>4</v>
      </c>
      <c r="E132" s="5">
        <v>80</v>
      </c>
      <c r="F132" s="5">
        <v>3</v>
      </c>
      <c r="G132" s="5">
        <v>3800</v>
      </c>
      <c r="H132" s="5" t="s">
        <v>3241</v>
      </c>
      <c r="I132" s="5" t="s">
        <v>3430</v>
      </c>
      <c r="J132" s="5" t="s">
        <v>3505</v>
      </c>
      <c r="K132" s="10" t="e">
        <f t="shared" si="0"/>
        <v>#VALUE!</v>
      </c>
      <c r="L132" s="10">
        <f t="shared" si="1"/>
        <v>1</v>
      </c>
      <c r="M132" s="10" t="str">
        <f t="shared" si="2"/>
        <v>001</v>
      </c>
      <c r="N132" s="10" t="str">
        <f t="shared" si="3"/>
        <v>10</v>
      </c>
      <c r="O132" s="10" t="str">
        <f t="shared" si="4"/>
        <v>PALAWIJA</v>
      </c>
    </row>
    <row r="133" spans="1:15" ht="12.5">
      <c r="A133" s="115" t="s">
        <v>3506</v>
      </c>
      <c r="B133" s="5">
        <v>0</v>
      </c>
      <c r="C133" s="5">
        <v>61</v>
      </c>
      <c r="D133" s="5">
        <v>4</v>
      </c>
      <c r="E133" s="5">
        <v>80</v>
      </c>
      <c r="F133" s="5">
        <v>3</v>
      </c>
      <c r="G133" s="5">
        <v>3900</v>
      </c>
      <c r="H133" s="5" t="s">
        <v>3241</v>
      </c>
      <c r="I133" s="5" t="s">
        <v>3430</v>
      </c>
      <c r="J133" s="5" t="s">
        <v>3507</v>
      </c>
      <c r="K133" s="10" t="e">
        <f t="shared" si="0"/>
        <v>#VALUE!</v>
      </c>
      <c r="L133" s="10">
        <f t="shared" si="1"/>
        <v>1</v>
      </c>
      <c r="M133" s="10" t="str">
        <f t="shared" si="2"/>
        <v>002</v>
      </c>
      <c r="N133" s="10" t="str">
        <f t="shared" si="3"/>
        <v>10</v>
      </c>
      <c r="O133" s="10" t="str">
        <f t="shared" si="4"/>
        <v>PALAWIJA</v>
      </c>
    </row>
    <row r="134" spans="1:15" ht="12.5">
      <c r="A134" s="115" t="s">
        <v>3508</v>
      </c>
      <c r="B134" s="5">
        <v>0</v>
      </c>
      <c r="C134" s="5">
        <v>61</v>
      </c>
      <c r="D134" s="5">
        <v>4</v>
      </c>
      <c r="E134" s="5">
        <v>80</v>
      </c>
      <c r="F134" s="5">
        <v>3</v>
      </c>
      <c r="G134" s="5">
        <v>4000</v>
      </c>
      <c r="H134" s="5" t="s">
        <v>3241</v>
      </c>
      <c r="I134" s="5" t="s">
        <v>3430</v>
      </c>
      <c r="J134" s="5" t="s">
        <v>3509</v>
      </c>
      <c r="K134" s="10" t="e">
        <f t="shared" si="0"/>
        <v>#VALUE!</v>
      </c>
      <c r="L134" s="10">
        <f t="shared" si="1"/>
        <v>1</v>
      </c>
      <c r="M134" s="10" t="str">
        <f t="shared" si="2"/>
        <v>003</v>
      </c>
      <c r="N134" s="10" t="str">
        <f t="shared" si="3"/>
        <v>10</v>
      </c>
      <c r="O134" s="10" t="str">
        <f t="shared" si="4"/>
        <v>PALAWIJA</v>
      </c>
    </row>
    <row r="135" spans="1:15" ht="12.5">
      <c r="A135" s="115" t="s">
        <v>3510</v>
      </c>
      <c r="B135" s="5">
        <v>0</v>
      </c>
      <c r="C135" s="5">
        <v>61</v>
      </c>
      <c r="D135" s="5">
        <v>4</v>
      </c>
      <c r="E135" s="5">
        <v>80</v>
      </c>
      <c r="F135" s="5">
        <v>3</v>
      </c>
      <c r="G135" s="5">
        <v>4100</v>
      </c>
      <c r="H135" s="5" t="s">
        <v>3241</v>
      </c>
      <c r="I135" s="5" t="s">
        <v>3430</v>
      </c>
      <c r="J135" s="5" t="s">
        <v>3511</v>
      </c>
      <c r="K135" s="10" t="e">
        <f t="shared" si="0"/>
        <v>#VALUE!</v>
      </c>
      <c r="L135" s="10">
        <f t="shared" si="1"/>
        <v>1</v>
      </c>
      <c r="M135" s="10" t="str">
        <f t="shared" si="2"/>
        <v>004</v>
      </c>
      <c r="N135" s="10" t="str">
        <f t="shared" si="3"/>
        <v>003</v>
      </c>
      <c r="O135" s="10" t="str">
        <f t="shared" si="4"/>
        <v>COKLAT</v>
      </c>
    </row>
    <row r="136" spans="1:15" ht="12.5">
      <c r="A136" s="115" t="s">
        <v>3512</v>
      </c>
      <c r="B136" s="5">
        <v>1</v>
      </c>
      <c r="C136" s="5">
        <v>61</v>
      </c>
      <c r="D136" s="5">
        <v>4</v>
      </c>
      <c r="E136" s="5">
        <v>80</v>
      </c>
      <c r="F136" s="5">
        <v>3</v>
      </c>
      <c r="G136" s="5">
        <v>100600</v>
      </c>
      <c r="H136" s="5" t="s">
        <v>3241</v>
      </c>
      <c r="I136" s="5" t="s">
        <v>3430</v>
      </c>
      <c r="J136" s="5" t="s">
        <v>3513</v>
      </c>
      <c r="K136" s="10" t="e">
        <f t="shared" si="0"/>
        <v>#VALUE!</v>
      </c>
      <c r="L136" s="10">
        <f t="shared" si="1"/>
        <v>0</v>
      </c>
      <c r="M136" s="10" t="str">
        <f t="shared" si="2"/>
        <v xml:space="preserve">UN </v>
      </c>
      <c r="N136" s="10" t="str">
        <f t="shared" si="3"/>
        <v>T</v>
      </c>
      <c r="O136" s="10" t="str">
        <f t="shared" si="4"/>
        <v/>
      </c>
    </row>
    <row r="137" spans="1:15" ht="12.5">
      <c r="A137" s="115" t="s">
        <v>3514</v>
      </c>
      <c r="B137" s="5">
        <v>1</v>
      </c>
      <c r="C137" s="5">
        <v>61</v>
      </c>
      <c r="D137" s="5">
        <v>4</v>
      </c>
      <c r="E137" s="5">
        <v>80</v>
      </c>
      <c r="F137" s="5">
        <v>3</v>
      </c>
      <c r="G137" s="5">
        <v>100700</v>
      </c>
      <c r="H137" s="5" t="s">
        <v>3241</v>
      </c>
      <c r="I137" s="5" t="s">
        <v>3430</v>
      </c>
      <c r="J137" s="5" t="s">
        <v>3515</v>
      </c>
      <c r="K137" s="10" t="e">
        <f t="shared" si="0"/>
        <v>#VALUE!</v>
      </c>
      <c r="L137" s="10">
        <f t="shared" si="1"/>
        <v>0</v>
      </c>
      <c r="M137" s="10" t="str">
        <f t="shared" si="2"/>
        <v>KEB</v>
      </c>
      <c r="N137" s="10" t="str">
        <f t="shared" si="3"/>
        <v>SA</v>
      </c>
      <c r="O137" s="10" t="str">
        <f t="shared" si="4"/>
        <v/>
      </c>
    </row>
    <row r="138" spans="1:15" ht="12.5">
      <c r="A138" s="115" t="s">
        <v>3516</v>
      </c>
      <c r="B138" s="5">
        <v>2</v>
      </c>
      <c r="C138" s="5">
        <v>61</v>
      </c>
      <c r="D138" s="5">
        <v>4</v>
      </c>
      <c r="E138" s="5">
        <v>80</v>
      </c>
      <c r="F138" s="5">
        <v>3</v>
      </c>
      <c r="G138" s="5">
        <v>200100</v>
      </c>
      <c r="H138" s="5" t="s">
        <v>3241</v>
      </c>
      <c r="I138" s="5" t="s">
        <v>3430</v>
      </c>
      <c r="J138" s="5" t="s">
        <v>3517</v>
      </c>
      <c r="K138" s="10" t="e">
        <f t="shared" si="0"/>
        <v>#VALUE!</v>
      </c>
      <c r="L138" s="10">
        <f t="shared" si="1"/>
        <v>0</v>
      </c>
      <c r="M138" s="10" t="str">
        <f t="shared" si="2"/>
        <v>AN</v>
      </c>
      <c r="N138" s="10" t="str">
        <f t="shared" si="3"/>
        <v/>
      </c>
      <c r="O138" s="10" t="str">
        <f t="shared" si="4"/>
        <v/>
      </c>
    </row>
    <row r="139" spans="1:15" ht="12.5">
      <c r="A139" s="115" t="s">
        <v>3518</v>
      </c>
      <c r="B139" s="5">
        <v>2</v>
      </c>
      <c r="C139" s="5">
        <v>61</v>
      </c>
      <c r="D139" s="5">
        <v>4</v>
      </c>
      <c r="E139" s="5">
        <v>80</v>
      </c>
      <c r="F139" s="5">
        <v>3</v>
      </c>
      <c r="G139" s="5">
        <v>200200</v>
      </c>
      <c r="H139" s="5" t="s">
        <v>3241</v>
      </c>
      <c r="I139" s="5" t="s">
        <v>3430</v>
      </c>
      <c r="J139" s="5" t="s">
        <v>3519</v>
      </c>
      <c r="K139" s="10" t="e">
        <f t="shared" si="0"/>
        <v>#VALUE!</v>
      </c>
      <c r="L139" s="10">
        <f t="shared" si="1"/>
        <v>0</v>
      </c>
      <c r="M139" s="10" t="str">
        <f t="shared" si="2"/>
        <v xml:space="preserve">AU </v>
      </c>
      <c r="N139" s="10" t="str">
        <f t="shared" si="3"/>
        <v>ANG</v>
      </c>
      <c r="O139" s="10" t="str">
        <f t="shared" si="4"/>
        <v/>
      </c>
    </row>
    <row r="140" spans="1:15" ht="12.5">
      <c r="A140" s="115" t="s">
        <v>3520</v>
      </c>
      <c r="B140" s="5">
        <v>2</v>
      </c>
      <c r="C140" s="5">
        <v>61</v>
      </c>
      <c r="D140" s="5">
        <v>4</v>
      </c>
      <c r="E140" s="5">
        <v>80</v>
      </c>
      <c r="F140" s="5">
        <v>3</v>
      </c>
      <c r="G140" s="5">
        <v>200300</v>
      </c>
      <c r="H140" s="5" t="s">
        <v>3241</v>
      </c>
      <c r="I140" s="5" t="s">
        <v>3430</v>
      </c>
      <c r="J140" s="5" t="s">
        <v>3521</v>
      </c>
      <c r="K140" s="10" t="e">
        <f t="shared" si="0"/>
        <v>#VALUE!</v>
      </c>
      <c r="L140" s="10">
        <f t="shared" si="1"/>
        <v>0</v>
      </c>
      <c r="M140" s="10" t="str">
        <f t="shared" si="2"/>
        <v xml:space="preserve">AU </v>
      </c>
      <c r="N140" s="10" t="str">
        <f t="shared" si="3"/>
        <v/>
      </c>
      <c r="O140" s="10" t="str">
        <f t="shared" si="4"/>
        <v/>
      </c>
    </row>
    <row r="141" spans="1:15" ht="12.5">
      <c r="A141" s="115" t="s">
        <v>3522</v>
      </c>
      <c r="B141" s="5">
        <v>2</v>
      </c>
      <c r="C141" s="5">
        <v>61</v>
      </c>
      <c r="D141" s="5">
        <v>4</v>
      </c>
      <c r="E141" s="5">
        <v>80</v>
      </c>
      <c r="F141" s="5">
        <v>3</v>
      </c>
      <c r="G141" s="5">
        <v>200400</v>
      </c>
      <c r="H141" s="5" t="s">
        <v>3241</v>
      </c>
      <c r="I141" s="5" t="s">
        <v>3430</v>
      </c>
      <c r="J141" s="5" t="s">
        <v>3523</v>
      </c>
      <c r="K141" s="10" t="e">
        <f t="shared" si="0"/>
        <v>#VALUE!</v>
      </c>
      <c r="L141" s="10">
        <f t="shared" si="1"/>
        <v>0</v>
      </c>
      <c r="M141" s="10" t="str">
        <f t="shared" si="2"/>
        <v xml:space="preserve">AU </v>
      </c>
      <c r="N141" s="10" t="str">
        <f t="shared" si="3"/>
        <v>N</v>
      </c>
      <c r="O141" s="10" t="str">
        <f t="shared" si="4"/>
        <v/>
      </c>
    </row>
    <row r="142" spans="1:15" ht="12.5">
      <c r="A142" s="115" t="s">
        <v>3524</v>
      </c>
      <c r="B142" s="5">
        <v>2</v>
      </c>
      <c r="C142" s="5">
        <v>61</v>
      </c>
      <c r="D142" s="5">
        <v>4</v>
      </c>
      <c r="E142" s="5">
        <v>80</v>
      </c>
      <c r="F142" s="5">
        <v>3</v>
      </c>
      <c r="G142" s="5">
        <v>200500</v>
      </c>
      <c r="H142" s="5" t="s">
        <v>3241</v>
      </c>
      <c r="I142" s="5" t="s">
        <v>3430</v>
      </c>
      <c r="J142" s="5" t="s">
        <v>3525</v>
      </c>
      <c r="K142" s="10" t="e">
        <f t="shared" si="0"/>
        <v>#VALUE!</v>
      </c>
      <c r="L142" s="10">
        <f t="shared" si="1"/>
        <v>0</v>
      </c>
      <c r="M142" s="10" t="str">
        <f t="shared" si="2"/>
        <v xml:space="preserve">AU </v>
      </c>
      <c r="N142" s="10" t="str">
        <f t="shared" si="3"/>
        <v/>
      </c>
      <c r="O142" s="10" t="str">
        <f t="shared" si="4"/>
        <v/>
      </c>
    </row>
    <row r="143" spans="1:15" ht="12.5">
      <c r="A143" s="115" t="s">
        <v>3526</v>
      </c>
      <c r="B143" s="5">
        <v>0</v>
      </c>
      <c r="C143" s="5">
        <v>61</v>
      </c>
      <c r="D143" s="5">
        <v>4</v>
      </c>
      <c r="E143" s="5">
        <v>80</v>
      </c>
      <c r="F143" s="5">
        <v>4</v>
      </c>
      <c r="G143" s="5">
        <v>100</v>
      </c>
      <c r="H143" s="5" t="s">
        <v>3241</v>
      </c>
      <c r="I143" s="5" t="s">
        <v>3527</v>
      </c>
      <c r="J143" s="5" t="s">
        <v>3528</v>
      </c>
      <c r="K143" s="10" t="e">
        <f t="shared" si="0"/>
        <v>#VALUE!</v>
      </c>
      <c r="L143" s="10">
        <f t="shared" si="1"/>
        <v>1</v>
      </c>
      <c r="M143" s="10" t="str">
        <f t="shared" si="2"/>
        <v>002</v>
      </c>
      <c r="N143" s="10" t="str">
        <f t="shared" si="3"/>
        <v>12</v>
      </c>
      <c r="O143" s="10" t="str">
        <f t="shared" si="4"/>
        <v>BRAHIMA</v>
      </c>
    </row>
    <row r="144" spans="1:15" ht="12.5">
      <c r="A144" s="115" t="s">
        <v>3529</v>
      </c>
      <c r="B144" s="5">
        <v>0</v>
      </c>
      <c r="C144" s="5">
        <v>61</v>
      </c>
      <c r="D144" s="5">
        <v>4</v>
      </c>
      <c r="E144" s="5">
        <v>80</v>
      </c>
      <c r="F144" s="5">
        <v>4</v>
      </c>
      <c r="G144" s="5">
        <v>200</v>
      </c>
      <c r="H144" s="5" t="s">
        <v>3241</v>
      </c>
      <c r="I144" s="5" t="s">
        <v>3527</v>
      </c>
      <c r="J144" s="5" t="s">
        <v>3530</v>
      </c>
      <c r="K144" s="10" t="e">
        <f t="shared" si="0"/>
        <v>#VALUE!</v>
      </c>
      <c r="L144" s="10">
        <f t="shared" si="1"/>
        <v>1</v>
      </c>
      <c r="M144" s="10" t="str">
        <f t="shared" si="2"/>
        <v>003</v>
      </c>
      <c r="N144" s="10" t="str">
        <f t="shared" si="3"/>
        <v>04</v>
      </c>
      <c r="O144" s="10" t="str">
        <f t="shared" si="4"/>
        <v>BRAHIMA</v>
      </c>
    </row>
    <row r="145" spans="1:15" ht="12.5">
      <c r="A145" s="115" t="s">
        <v>3531</v>
      </c>
      <c r="B145" s="5">
        <v>0</v>
      </c>
      <c r="C145" s="5">
        <v>61</v>
      </c>
      <c r="D145" s="5">
        <v>4</v>
      </c>
      <c r="E145" s="5">
        <v>80</v>
      </c>
      <c r="F145" s="5">
        <v>4</v>
      </c>
      <c r="G145" s="5">
        <v>300</v>
      </c>
      <c r="H145" s="5" t="s">
        <v>3241</v>
      </c>
      <c r="I145" s="5" t="s">
        <v>3527</v>
      </c>
      <c r="J145" s="5" t="s">
        <v>3532</v>
      </c>
      <c r="K145" s="10" t="e">
        <f t="shared" si="0"/>
        <v>#VALUE!</v>
      </c>
      <c r="L145" s="10">
        <f t="shared" si="1"/>
        <v>1</v>
      </c>
      <c r="M145" s="10" t="str">
        <f t="shared" si="2"/>
        <v>001</v>
      </c>
      <c r="N145" s="10" t="str">
        <f t="shared" si="3"/>
        <v>04</v>
      </c>
      <c r="O145" s="10" t="str">
        <f t="shared" si="4"/>
        <v>BRAHIMA</v>
      </c>
    </row>
    <row r="146" spans="1:15" ht="12.5">
      <c r="A146" s="115" t="s">
        <v>3533</v>
      </c>
      <c r="B146" s="5">
        <v>0</v>
      </c>
      <c r="C146" s="5">
        <v>61</v>
      </c>
      <c r="D146" s="5">
        <v>4</v>
      </c>
      <c r="E146" s="5">
        <v>80</v>
      </c>
      <c r="F146" s="5">
        <v>4</v>
      </c>
      <c r="G146" s="5">
        <v>400</v>
      </c>
      <c r="H146" s="5" t="s">
        <v>3241</v>
      </c>
      <c r="I146" s="5" t="s">
        <v>3527</v>
      </c>
      <c r="J146" s="5" t="s">
        <v>3534</v>
      </c>
      <c r="K146" s="10" t="e">
        <f t="shared" si="0"/>
        <v>#VALUE!</v>
      </c>
      <c r="L146" s="10">
        <f t="shared" si="1"/>
        <v>1</v>
      </c>
      <c r="M146" s="10" t="str">
        <f t="shared" si="2"/>
        <v>001</v>
      </c>
      <c r="N146" s="10" t="str">
        <f t="shared" si="3"/>
        <v>11</v>
      </c>
      <c r="O146" s="10" t="str">
        <f t="shared" si="4"/>
        <v>BRAHIMA</v>
      </c>
    </row>
    <row r="147" spans="1:15" ht="12.5">
      <c r="A147" s="115" t="s">
        <v>3535</v>
      </c>
      <c r="B147" s="5">
        <v>0</v>
      </c>
      <c r="C147" s="5">
        <v>61</v>
      </c>
      <c r="D147" s="5">
        <v>4</v>
      </c>
      <c r="E147" s="5">
        <v>80</v>
      </c>
      <c r="F147" s="5">
        <v>4</v>
      </c>
      <c r="G147" s="5">
        <v>500</v>
      </c>
      <c r="H147" s="5" t="s">
        <v>3241</v>
      </c>
      <c r="I147" s="5" t="s">
        <v>3527</v>
      </c>
      <c r="J147" s="5" t="s">
        <v>3536</v>
      </c>
      <c r="K147" s="10" t="e">
        <f t="shared" si="0"/>
        <v>#VALUE!</v>
      </c>
      <c r="L147" s="10">
        <f t="shared" si="1"/>
        <v>1</v>
      </c>
      <c r="M147" s="10" t="str">
        <f t="shared" si="2"/>
        <v>002</v>
      </c>
      <c r="N147" s="10" t="str">
        <f t="shared" si="3"/>
        <v>11</v>
      </c>
      <c r="O147" s="10" t="str">
        <f t="shared" si="4"/>
        <v>BRAHIMA</v>
      </c>
    </row>
    <row r="148" spans="1:15" ht="12.5">
      <c r="A148" s="115" t="s">
        <v>3537</v>
      </c>
      <c r="B148" s="5">
        <v>0</v>
      </c>
      <c r="C148" s="5">
        <v>61</v>
      </c>
      <c r="D148" s="5">
        <v>4</v>
      </c>
      <c r="E148" s="5">
        <v>80</v>
      </c>
      <c r="F148" s="5">
        <v>4</v>
      </c>
      <c r="G148" s="5">
        <v>600</v>
      </c>
      <c r="H148" s="5" t="s">
        <v>3241</v>
      </c>
      <c r="I148" s="5" t="s">
        <v>3527</v>
      </c>
      <c r="J148" s="5" t="s">
        <v>3538</v>
      </c>
      <c r="K148" s="10" t="e">
        <f t="shared" si="0"/>
        <v>#VALUE!</v>
      </c>
      <c r="L148" s="10">
        <f t="shared" si="1"/>
        <v>1</v>
      </c>
      <c r="M148" s="10" t="str">
        <f t="shared" si="2"/>
        <v>003</v>
      </c>
      <c r="N148" s="10" t="str">
        <f t="shared" si="3"/>
        <v>11</v>
      </c>
      <c r="O148" s="10" t="str">
        <f t="shared" si="4"/>
        <v>BRAHIMA</v>
      </c>
    </row>
    <row r="149" spans="1:15" ht="12.5">
      <c r="A149" s="115" t="s">
        <v>3539</v>
      </c>
      <c r="B149" s="5">
        <v>0</v>
      </c>
      <c r="C149" s="5">
        <v>61</v>
      </c>
      <c r="D149" s="5">
        <v>4</v>
      </c>
      <c r="E149" s="5">
        <v>80</v>
      </c>
      <c r="F149" s="5">
        <v>4</v>
      </c>
      <c r="G149" s="5">
        <v>700</v>
      </c>
      <c r="H149" s="5" t="s">
        <v>3241</v>
      </c>
      <c r="I149" s="5" t="s">
        <v>3527</v>
      </c>
      <c r="J149" s="5" t="s">
        <v>3540</v>
      </c>
      <c r="K149" s="10" t="e">
        <f t="shared" si="0"/>
        <v>#VALUE!</v>
      </c>
      <c r="L149" s="10">
        <f t="shared" si="1"/>
        <v>1</v>
      </c>
      <c r="M149" s="10" t="str">
        <f t="shared" si="2"/>
        <v>001</v>
      </c>
      <c r="N149" s="10" t="str">
        <f t="shared" si="3"/>
        <v>07</v>
      </c>
      <c r="O149" s="10" t="str">
        <f t="shared" si="4"/>
        <v>DURIAN</v>
      </c>
    </row>
    <row r="150" spans="1:15" ht="12.5">
      <c r="A150" s="115" t="s">
        <v>3541</v>
      </c>
      <c r="B150" s="5">
        <v>0</v>
      </c>
      <c r="C150" s="5">
        <v>61</v>
      </c>
      <c r="D150" s="5">
        <v>4</v>
      </c>
      <c r="E150" s="5">
        <v>80</v>
      </c>
      <c r="F150" s="5">
        <v>4</v>
      </c>
      <c r="G150" s="5">
        <v>800</v>
      </c>
      <c r="H150" s="5" t="s">
        <v>3241</v>
      </c>
      <c r="I150" s="5" t="s">
        <v>3527</v>
      </c>
      <c r="J150" s="5" t="s">
        <v>3542</v>
      </c>
      <c r="K150" s="10" t="e">
        <f t="shared" si="0"/>
        <v>#VALUE!</v>
      </c>
      <c r="L150" s="10">
        <f t="shared" si="1"/>
        <v>1</v>
      </c>
      <c r="M150" s="10" t="str">
        <f t="shared" si="2"/>
        <v>002</v>
      </c>
      <c r="N150" s="10" t="str">
        <f t="shared" si="3"/>
        <v>07</v>
      </c>
      <c r="O150" s="10" t="str">
        <f t="shared" si="4"/>
        <v>DURIAN</v>
      </c>
    </row>
    <row r="151" spans="1:15" ht="12.5">
      <c r="A151" s="115" t="s">
        <v>3543</v>
      </c>
      <c r="B151" s="5">
        <v>0</v>
      </c>
      <c r="C151" s="5">
        <v>61</v>
      </c>
      <c r="D151" s="5">
        <v>4</v>
      </c>
      <c r="E151" s="5">
        <v>80</v>
      </c>
      <c r="F151" s="5">
        <v>4</v>
      </c>
      <c r="G151" s="5">
        <v>900</v>
      </c>
      <c r="H151" s="5" t="s">
        <v>3241</v>
      </c>
      <c r="I151" s="5" t="s">
        <v>3527</v>
      </c>
      <c r="J151" s="5" t="s">
        <v>3544</v>
      </c>
      <c r="K151" s="10" t="e">
        <f t="shared" si="0"/>
        <v>#VALUE!</v>
      </c>
      <c r="L151" s="10">
        <f t="shared" si="1"/>
        <v>1</v>
      </c>
      <c r="M151" s="10" t="str">
        <f t="shared" si="2"/>
        <v>003</v>
      </c>
      <c r="N151" s="10" t="str">
        <f t="shared" si="3"/>
        <v>07</v>
      </c>
      <c r="O151" s="10" t="str">
        <f t="shared" si="4"/>
        <v>DURIAN</v>
      </c>
    </row>
    <row r="152" spans="1:15" ht="12.5">
      <c r="A152" s="115" t="s">
        <v>3545</v>
      </c>
      <c r="B152" s="5">
        <v>0</v>
      </c>
      <c r="C152" s="5">
        <v>61</v>
      </c>
      <c r="D152" s="5">
        <v>4</v>
      </c>
      <c r="E152" s="5">
        <v>80</v>
      </c>
      <c r="F152" s="5">
        <v>4</v>
      </c>
      <c r="G152" s="5">
        <v>1000</v>
      </c>
      <c r="H152" s="5" t="s">
        <v>3241</v>
      </c>
      <c r="I152" s="5" t="s">
        <v>3527</v>
      </c>
      <c r="J152" s="5" t="s">
        <v>3546</v>
      </c>
      <c r="K152" s="10" t="e">
        <f t="shared" si="0"/>
        <v>#VALUE!</v>
      </c>
      <c r="L152" s="10">
        <f t="shared" si="1"/>
        <v>1</v>
      </c>
      <c r="M152" s="10" t="str">
        <f t="shared" si="2"/>
        <v>003</v>
      </c>
      <c r="N152" s="10" t="str">
        <f t="shared" si="3"/>
        <v>09</v>
      </c>
      <c r="O152" s="10" t="str">
        <f t="shared" si="4"/>
        <v>DURIAN</v>
      </c>
    </row>
    <row r="153" spans="1:15" ht="12.5">
      <c r="A153" s="115" t="s">
        <v>3547</v>
      </c>
      <c r="B153" s="5">
        <v>0</v>
      </c>
      <c r="C153" s="5">
        <v>61</v>
      </c>
      <c r="D153" s="5">
        <v>4</v>
      </c>
      <c r="E153" s="5">
        <v>80</v>
      </c>
      <c r="F153" s="5">
        <v>4</v>
      </c>
      <c r="G153" s="5">
        <v>1100</v>
      </c>
      <c r="H153" s="5" t="s">
        <v>3241</v>
      </c>
      <c r="I153" s="5" t="s">
        <v>3527</v>
      </c>
      <c r="J153" s="5" t="s">
        <v>3548</v>
      </c>
      <c r="K153" s="10" t="e">
        <f t="shared" si="0"/>
        <v>#VALUE!</v>
      </c>
      <c r="L153" s="10">
        <f t="shared" si="1"/>
        <v>1</v>
      </c>
      <c r="M153" s="10" t="str">
        <f t="shared" si="2"/>
        <v>004</v>
      </c>
      <c r="N153" s="10" t="str">
        <f t="shared" si="3"/>
        <v>09</v>
      </c>
      <c r="O153" s="10" t="str">
        <f t="shared" si="4"/>
        <v>DURIAN</v>
      </c>
    </row>
    <row r="154" spans="1:15" ht="12.5">
      <c r="A154" s="115" t="s">
        <v>3549</v>
      </c>
      <c r="B154" s="5">
        <v>0</v>
      </c>
      <c r="C154" s="5">
        <v>61</v>
      </c>
      <c r="D154" s="5">
        <v>4</v>
      </c>
      <c r="E154" s="5">
        <v>80</v>
      </c>
      <c r="F154" s="5">
        <v>4</v>
      </c>
      <c r="G154" s="5">
        <v>1200</v>
      </c>
      <c r="H154" s="5" t="s">
        <v>3241</v>
      </c>
      <c r="I154" s="5" t="s">
        <v>3527</v>
      </c>
      <c r="J154" s="5" t="s">
        <v>3550</v>
      </c>
      <c r="K154" s="10" t="e">
        <f t="shared" si="0"/>
        <v>#VALUE!</v>
      </c>
      <c r="L154" s="10">
        <f t="shared" si="1"/>
        <v>1</v>
      </c>
      <c r="M154" s="10" t="str">
        <f t="shared" si="2"/>
        <v>005</v>
      </c>
      <c r="N154" s="10" t="str">
        <f t="shared" si="3"/>
        <v>09</v>
      </c>
      <c r="O154" s="10" t="str">
        <f t="shared" si="4"/>
        <v>DURIAN</v>
      </c>
    </row>
    <row r="155" spans="1:15" ht="12.5">
      <c r="A155" s="115" t="s">
        <v>3551</v>
      </c>
      <c r="B155" s="5">
        <v>0</v>
      </c>
      <c r="C155" s="5">
        <v>61</v>
      </c>
      <c r="D155" s="5">
        <v>4</v>
      </c>
      <c r="E155" s="5">
        <v>80</v>
      </c>
      <c r="F155" s="5">
        <v>4</v>
      </c>
      <c r="G155" s="5">
        <v>1300</v>
      </c>
      <c r="H155" s="5" t="s">
        <v>3241</v>
      </c>
      <c r="I155" s="5" t="s">
        <v>3527</v>
      </c>
      <c r="J155" s="5" t="s">
        <v>3552</v>
      </c>
      <c r="K155" s="10" t="e">
        <f t="shared" si="0"/>
        <v>#VALUE!</v>
      </c>
      <c r="L155" s="10">
        <f t="shared" si="1"/>
        <v>1</v>
      </c>
      <c r="M155" s="10" t="str">
        <f t="shared" si="2"/>
        <v>006</v>
      </c>
      <c r="N155" s="10" t="str">
        <f t="shared" si="3"/>
        <v>09</v>
      </c>
      <c r="O155" s="10" t="str">
        <f t="shared" si="4"/>
        <v>DURIAN</v>
      </c>
    </row>
    <row r="156" spans="1:15" ht="12.5">
      <c r="A156" s="115" t="s">
        <v>3553</v>
      </c>
      <c r="B156" s="5">
        <v>0</v>
      </c>
      <c r="C156" s="5">
        <v>61</v>
      </c>
      <c r="D156" s="5">
        <v>4</v>
      </c>
      <c r="E156" s="5">
        <v>80</v>
      </c>
      <c r="F156" s="5">
        <v>4</v>
      </c>
      <c r="G156" s="5">
        <v>1400</v>
      </c>
      <c r="H156" s="5" t="s">
        <v>3241</v>
      </c>
      <c r="I156" s="5" t="s">
        <v>3527</v>
      </c>
      <c r="J156" s="5" t="s">
        <v>3554</v>
      </c>
      <c r="K156" s="10" t="e">
        <f t="shared" si="0"/>
        <v>#VALUE!</v>
      </c>
      <c r="L156" s="10">
        <f t="shared" si="1"/>
        <v>1</v>
      </c>
      <c r="M156" s="10" t="str">
        <f t="shared" si="2"/>
        <v>009</v>
      </c>
      <c r="N156" s="10" t="str">
        <f t="shared" si="3"/>
        <v>09</v>
      </c>
      <c r="O156" s="10" t="str">
        <f t="shared" si="4"/>
        <v>DURIAN</v>
      </c>
    </row>
    <row r="157" spans="1:15" ht="12.5">
      <c r="A157" s="115" t="s">
        <v>3555</v>
      </c>
      <c r="B157" s="5">
        <v>0</v>
      </c>
      <c r="C157" s="5">
        <v>61</v>
      </c>
      <c r="D157" s="5">
        <v>4</v>
      </c>
      <c r="E157" s="5">
        <v>80</v>
      </c>
      <c r="F157" s="5">
        <v>4</v>
      </c>
      <c r="G157" s="5">
        <v>1500</v>
      </c>
      <c r="H157" s="5" t="s">
        <v>3241</v>
      </c>
      <c r="I157" s="5" t="s">
        <v>3527</v>
      </c>
      <c r="J157" s="5" t="s">
        <v>3556</v>
      </c>
      <c r="K157" s="10" t="e">
        <f t="shared" si="0"/>
        <v>#VALUE!</v>
      </c>
      <c r="L157" s="10">
        <f t="shared" si="1"/>
        <v>1</v>
      </c>
      <c r="M157" s="10" t="str">
        <f t="shared" si="2"/>
        <v>001</v>
      </c>
      <c r="N157" s="10" t="str">
        <f t="shared" si="3"/>
        <v>01</v>
      </c>
      <c r="O157" s="10" t="str">
        <f t="shared" si="4"/>
        <v>MAMBO</v>
      </c>
    </row>
    <row r="158" spans="1:15" ht="12.5">
      <c r="A158" s="115" t="s">
        <v>3557</v>
      </c>
      <c r="B158" s="5">
        <v>0</v>
      </c>
      <c r="C158" s="5">
        <v>61</v>
      </c>
      <c r="D158" s="5">
        <v>4</v>
      </c>
      <c r="E158" s="5">
        <v>80</v>
      </c>
      <c r="F158" s="5">
        <v>4</v>
      </c>
      <c r="G158" s="5">
        <v>1600</v>
      </c>
      <c r="H158" s="5" t="s">
        <v>3241</v>
      </c>
      <c r="I158" s="5" t="s">
        <v>3527</v>
      </c>
      <c r="J158" s="5" t="s">
        <v>3558</v>
      </c>
      <c r="K158" s="10" t="e">
        <f t="shared" si="0"/>
        <v>#VALUE!</v>
      </c>
      <c r="L158" s="10">
        <f t="shared" si="1"/>
        <v>1</v>
      </c>
      <c r="M158" s="10" t="str">
        <f t="shared" si="2"/>
        <v>008</v>
      </c>
      <c r="N158" s="10" t="str">
        <f t="shared" si="3"/>
        <v>01</v>
      </c>
      <c r="O158" s="10" t="str">
        <f t="shared" si="4"/>
        <v>MAMBO</v>
      </c>
    </row>
    <row r="159" spans="1:15" ht="12.5">
      <c r="A159" s="115" t="s">
        <v>3559</v>
      </c>
      <c r="B159" s="5">
        <v>0</v>
      </c>
      <c r="C159" s="5">
        <v>61</v>
      </c>
      <c r="D159" s="5">
        <v>4</v>
      </c>
      <c r="E159" s="5">
        <v>80</v>
      </c>
      <c r="F159" s="5">
        <v>4</v>
      </c>
      <c r="G159" s="5">
        <v>1700</v>
      </c>
      <c r="H159" s="5" t="s">
        <v>3241</v>
      </c>
      <c r="I159" s="5" t="s">
        <v>3527</v>
      </c>
      <c r="J159" s="5" t="s">
        <v>3560</v>
      </c>
      <c r="K159" s="10" t="e">
        <f t="shared" si="0"/>
        <v>#VALUE!</v>
      </c>
      <c r="L159" s="10">
        <f t="shared" si="1"/>
        <v>1</v>
      </c>
      <c r="M159" s="10" t="str">
        <f t="shared" si="2"/>
        <v>002</v>
      </c>
      <c r="N159" s="10" t="str">
        <f t="shared" si="3"/>
        <v>06</v>
      </c>
      <c r="O159" s="10" t="str">
        <f t="shared" si="4"/>
        <v>KUNYIT</v>
      </c>
    </row>
    <row r="160" spans="1:15" ht="12.5">
      <c r="A160" s="115" t="s">
        <v>3561</v>
      </c>
      <c r="B160" s="5">
        <v>0</v>
      </c>
      <c r="C160" s="5">
        <v>61</v>
      </c>
      <c r="D160" s="5">
        <v>4</v>
      </c>
      <c r="E160" s="5">
        <v>80</v>
      </c>
      <c r="F160" s="5">
        <v>4</v>
      </c>
      <c r="G160" s="5">
        <v>1800</v>
      </c>
      <c r="H160" s="5" t="s">
        <v>3241</v>
      </c>
      <c r="I160" s="5" t="s">
        <v>3527</v>
      </c>
      <c r="J160" s="5" t="s">
        <v>3562</v>
      </c>
      <c r="K160" s="10" t="e">
        <f t="shared" si="0"/>
        <v>#VALUE!</v>
      </c>
      <c r="L160" s="10">
        <f t="shared" si="1"/>
        <v>1</v>
      </c>
      <c r="M160" s="10" t="str">
        <f t="shared" si="2"/>
        <v>003</v>
      </c>
      <c r="N160" s="10" t="str">
        <f t="shared" si="3"/>
        <v>06</v>
      </c>
      <c r="O160" s="10" t="str">
        <f t="shared" si="4"/>
        <v>KUNYIT</v>
      </c>
    </row>
    <row r="161" spans="1:15" ht="12.5">
      <c r="A161" s="115" t="s">
        <v>3563</v>
      </c>
      <c r="B161" s="5">
        <v>0</v>
      </c>
      <c r="C161" s="5">
        <v>61</v>
      </c>
      <c r="D161" s="5">
        <v>4</v>
      </c>
      <c r="E161" s="5">
        <v>80</v>
      </c>
      <c r="F161" s="5">
        <v>4</v>
      </c>
      <c r="G161" s="5">
        <v>1900</v>
      </c>
      <c r="H161" s="5" t="s">
        <v>3241</v>
      </c>
      <c r="I161" s="5" t="s">
        <v>3527</v>
      </c>
      <c r="J161" s="5" t="s">
        <v>3564</v>
      </c>
      <c r="K161" s="10" t="e">
        <f t="shared" si="0"/>
        <v>#VALUE!</v>
      </c>
      <c r="L161" s="10">
        <f t="shared" si="1"/>
        <v>1</v>
      </c>
      <c r="M161" s="10" t="str">
        <f t="shared" si="2"/>
        <v>004</v>
      </c>
      <c r="N161" s="10" t="str">
        <f t="shared" si="3"/>
        <v>06</v>
      </c>
      <c r="O161" s="10" t="str">
        <f t="shared" si="4"/>
        <v>KUNYIT</v>
      </c>
    </row>
    <row r="162" spans="1:15" ht="12.5">
      <c r="A162" s="115" t="s">
        <v>3565</v>
      </c>
      <c r="B162" s="5">
        <v>0</v>
      </c>
      <c r="C162" s="5">
        <v>61</v>
      </c>
      <c r="D162" s="5">
        <v>4</v>
      </c>
      <c r="E162" s="5">
        <v>80</v>
      </c>
      <c r="F162" s="5">
        <v>4</v>
      </c>
      <c r="G162" s="5">
        <v>2000</v>
      </c>
      <c r="H162" s="5" t="s">
        <v>3241</v>
      </c>
      <c r="I162" s="5" t="s">
        <v>3527</v>
      </c>
      <c r="J162" s="5" t="s">
        <v>3566</v>
      </c>
      <c r="K162" s="10" t="e">
        <f t="shared" si="0"/>
        <v>#VALUE!</v>
      </c>
      <c r="L162" s="10">
        <f t="shared" si="1"/>
        <v>1</v>
      </c>
      <c r="M162" s="10" t="str">
        <f t="shared" si="2"/>
        <v>005</v>
      </c>
      <c r="N162" s="10" t="str">
        <f t="shared" si="3"/>
        <v>06</v>
      </c>
      <c r="O162" s="10" t="str">
        <f t="shared" si="4"/>
        <v>KUNYIT</v>
      </c>
    </row>
    <row r="163" spans="1:15" ht="12.5">
      <c r="A163" s="115" t="s">
        <v>3567</v>
      </c>
      <c r="B163" s="5">
        <v>0</v>
      </c>
      <c r="C163" s="5">
        <v>61</v>
      </c>
      <c r="D163" s="5">
        <v>4</v>
      </c>
      <c r="E163" s="5">
        <v>80</v>
      </c>
      <c r="F163" s="5">
        <v>4</v>
      </c>
      <c r="G163" s="5">
        <v>2100</v>
      </c>
      <c r="H163" s="5" t="s">
        <v>3241</v>
      </c>
      <c r="I163" s="5" t="s">
        <v>3527</v>
      </c>
      <c r="J163" s="5" t="s">
        <v>3568</v>
      </c>
      <c r="K163" s="10" t="e">
        <f t="shared" si="0"/>
        <v>#VALUE!</v>
      </c>
      <c r="L163" s="10">
        <f t="shared" si="1"/>
        <v>1</v>
      </c>
      <c r="M163" s="10" t="str">
        <f t="shared" si="2"/>
        <v>006</v>
      </c>
      <c r="N163" s="10" t="str">
        <f t="shared" si="3"/>
        <v>06</v>
      </c>
      <c r="O163" s="10" t="str">
        <f t="shared" si="4"/>
        <v>KUNYIT</v>
      </c>
    </row>
    <row r="164" spans="1:15" ht="12.5">
      <c r="A164" s="115" t="s">
        <v>3569</v>
      </c>
      <c r="B164" s="5">
        <v>0</v>
      </c>
      <c r="C164" s="5">
        <v>61</v>
      </c>
      <c r="D164" s="5">
        <v>4</v>
      </c>
      <c r="E164" s="5">
        <v>80</v>
      </c>
      <c r="F164" s="5">
        <v>4</v>
      </c>
      <c r="G164" s="5">
        <v>2200</v>
      </c>
      <c r="H164" s="5" t="s">
        <v>3241</v>
      </c>
      <c r="I164" s="5" t="s">
        <v>3527</v>
      </c>
      <c r="J164" s="5" t="s">
        <v>3570</v>
      </c>
      <c r="K164" s="10" t="e">
        <f t="shared" si="0"/>
        <v>#VALUE!</v>
      </c>
      <c r="L164" s="10">
        <f t="shared" si="1"/>
        <v>1</v>
      </c>
      <c r="M164" s="10" t="str">
        <f t="shared" si="2"/>
        <v>007</v>
      </c>
      <c r="N164" s="10" t="str">
        <f t="shared" si="3"/>
        <v>06</v>
      </c>
      <c r="O164" s="10" t="str">
        <f t="shared" si="4"/>
        <v>KUNYIT</v>
      </c>
    </row>
    <row r="165" spans="1:15" ht="12.5">
      <c r="A165" s="115" t="s">
        <v>3571</v>
      </c>
      <c r="B165" s="5">
        <v>0</v>
      </c>
      <c r="C165" s="5">
        <v>61</v>
      </c>
      <c r="D165" s="5">
        <v>4</v>
      </c>
      <c r="E165" s="5">
        <v>80</v>
      </c>
      <c r="F165" s="5">
        <v>4</v>
      </c>
      <c r="G165" s="5">
        <v>2300</v>
      </c>
      <c r="H165" s="5" t="s">
        <v>3241</v>
      </c>
      <c r="I165" s="5" t="s">
        <v>3527</v>
      </c>
      <c r="J165" s="5" t="s">
        <v>3572</v>
      </c>
      <c r="K165" s="10" t="e">
        <f t="shared" si="0"/>
        <v>#VALUE!</v>
      </c>
      <c r="L165" s="10">
        <f t="shared" si="1"/>
        <v>1</v>
      </c>
      <c r="M165" s="10" t="str">
        <f t="shared" si="2"/>
        <v>009</v>
      </c>
      <c r="N165" s="10" t="str">
        <f t="shared" si="3"/>
        <v>06</v>
      </c>
      <c r="O165" s="10" t="str">
        <f t="shared" si="4"/>
        <v>PANDAN</v>
      </c>
    </row>
    <row r="166" spans="1:15" ht="12.5">
      <c r="A166" s="115" t="s">
        <v>3573</v>
      </c>
      <c r="B166" s="5">
        <v>0</v>
      </c>
      <c r="C166" s="5">
        <v>61</v>
      </c>
      <c r="D166" s="5">
        <v>4</v>
      </c>
      <c r="E166" s="5">
        <v>80</v>
      </c>
      <c r="F166" s="5">
        <v>4</v>
      </c>
      <c r="G166" s="5">
        <v>2400</v>
      </c>
      <c r="H166" s="5" t="s">
        <v>3241</v>
      </c>
      <c r="I166" s="5" t="s">
        <v>3527</v>
      </c>
      <c r="J166" s="5" t="s">
        <v>3574</v>
      </c>
      <c r="K166" s="10" t="e">
        <f t="shared" si="0"/>
        <v>#VALUE!</v>
      </c>
      <c r="L166" s="10">
        <f t="shared" si="1"/>
        <v>1</v>
      </c>
      <c r="M166" s="10" t="str">
        <f t="shared" si="2"/>
        <v>010</v>
      </c>
      <c r="N166" s="10" t="str">
        <f t="shared" si="3"/>
        <v>06</v>
      </c>
      <c r="O166" s="10" t="str">
        <f t="shared" si="4"/>
        <v>KUNYIT</v>
      </c>
    </row>
    <row r="167" spans="1:15" ht="12.5">
      <c r="A167" s="115" t="s">
        <v>3575</v>
      </c>
      <c r="B167" s="5">
        <v>0</v>
      </c>
      <c r="C167" s="5">
        <v>61</v>
      </c>
      <c r="D167" s="5">
        <v>4</v>
      </c>
      <c r="E167" s="5">
        <v>80</v>
      </c>
      <c r="F167" s="5">
        <v>4</v>
      </c>
      <c r="G167" s="5">
        <v>2500</v>
      </c>
      <c r="H167" s="5" t="s">
        <v>3241</v>
      </c>
      <c r="I167" s="5" t="s">
        <v>3527</v>
      </c>
      <c r="J167" s="5" t="s">
        <v>3576</v>
      </c>
      <c r="K167" s="10" t="e">
        <f t="shared" si="0"/>
        <v>#VALUE!</v>
      </c>
      <c r="L167" s="10">
        <f t="shared" si="1"/>
        <v>1</v>
      </c>
      <c r="M167" s="10" t="str">
        <f t="shared" si="2"/>
        <v>011</v>
      </c>
      <c r="N167" s="10" t="str">
        <f t="shared" si="3"/>
        <v>06</v>
      </c>
      <c r="O167" s="10" t="str">
        <f t="shared" si="4"/>
        <v>KUNYIT</v>
      </c>
    </row>
    <row r="168" spans="1:15" ht="12.5">
      <c r="A168" s="115" t="s">
        <v>3577</v>
      </c>
      <c r="B168" s="5">
        <v>0</v>
      </c>
      <c r="C168" s="5">
        <v>61</v>
      </c>
      <c r="D168" s="5">
        <v>4</v>
      </c>
      <c r="E168" s="5">
        <v>80</v>
      </c>
      <c r="F168" s="5">
        <v>4</v>
      </c>
      <c r="G168" s="5">
        <v>2600</v>
      </c>
      <c r="H168" s="5" t="s">
        <v>3241</v>
      </c>
      <c r="I168" s="5" t="s">
        <v>3527</v>
      </c>
      <c r="J168" s="5" t="s">
        <v>3578</v>
      </c>
      <c r="K168" s="10" t="e">
        <f t="shared" si="0"/>
        <v>#VALUE!</v>
      </c>
      <c r="L168" s="10">
        <f t="shared" si="1"/>
        <v>1</v>
      </c>
      <c r="M168" s="10" t="str">
        <f t="shared" si="2"/>
        <v>012</v>
      </c>
      <c r="N168" s="10" t="str">
        <f t="shared" si="3"/>
        <v>06</v>
      </c>
      <c r="O168" s="10" t="str">
        <f t="shared" si="4"/>
        <v>KUNYIT</v>
      </c>
    </row>
    <row r="169" spans="1:15" ht="12.5">
      <c r="A169" s="115" t="s">
        <v>3579</v>
      </c>
      <c r="B169" s="5">
        <v>0</v>
      </c>
      <c r="C169" s="5">
        <v>61</v>
      </c>
      <c r="D169" s="5">
        <v>4</v>
      </c>
      <c r="E169" s="5">
        <v>80</v>
      </c>
      <c r="F169" s="5">
        <v>4</v>
      </c>
      <c r="G169" s="5">
        <v>2700</v>
      </c>
      <c r="H169" s="5" t="s">
        <v>3241</v>
      </c>
      <c r="I169" s="5" t="s">
        <v>3527</v>
      </c>
      <c r="J169" s="5" t="s">
        <v>3580</v>
      </c>
      <c r="K169" s="10" t="e">
        <f t="shared" si="0"/>
        <v>#VALUE!</v>
      </c>
      <c r="L169" s="10">
        <f t="shared" si="1"/>
        <v>1</v>
      </c>
      <c r="M169" s="10" t="str">
        <f t="shared" si="2"/>
        <v>002</v>
      </c>
      <c r="N169" s="10" t="str">
        <f t="shared" si="3"/>
        <v>14</v>
      </c>
      <c r="O169" s="10" t="str">
        <f t="shared" si="4"/>
        <v>LAPAN</v>
      </c>
    </row>
    <row r="170" spans="1:15" ht="12.5">
      <c r="A170" s="115" t="s">
        <v>3581</v>
      </c>
      <c r="B170" s="5">
        <v>0</v>
      </c>
      <c r="C170" s="5">
        <v>61</v>
      </c>
      <c r="D170" s="5">
        <v>4</v>
      </c>
      <c r="E170" s="5">
        <v>80</v>
      </c>
      <c r="F170" s="5">
        <v>4</v>
      </c>
      <c r="G170" s="5">
        <v>2800</v>
      </c>
      <c r="H170" s="5" t="s">
        <v>3241</v>
      </c>
      <c r="I170" s="5" t="s">
        <v>3527</v>
      </c>
      <c r="J170" s="5" t="s">
        <v>3582</v>
      </c>
      <c r="K170" s="10" t="e">
        <f t="shared" si="0"/>
        <v>#VALUE!</v>
      </c>
      <c r="L170" s="10">
        <f t="shared" si="1"/>
        <v>1</v>
      </c>
      <c r="M170" s="10" t="str">
        <f t="shared" si="2"/>
        <v>003</v>
      </c>
      <c r="N170" s="10" t="str">
        <f t="shared" si="3"/>
        <v>14</v>
      </c>
      <c r="O170" s="10" t="str">
        <f t="shared" si="4"/>
        <v>LAPAN</v>
      </c>
    </row>
    <row r="171" spans="1:15" ht="12.5">
      <c r="A171" s="115" t="s">
        <v>3583</v>
      </c>
      <c r="B171" s="5">
        <v>0</v>
      </c>
      <c r="C171" s="5">
        <v>61</v>
      </c>
      <c r="D171" s="5">
        <v>4</v>
      </c>
      <c r="E171" s="5">
        <v>80</v>
      </c>
      <c r="F171" s="5">
        <v>4</v>
      </c>
      <c r="G171" s="5">
        <v>2900</v>
      </c>
      <c r="H171" s="5" t="s">
        <v>3241</v>
      </c>
      <c r="I171" s="5" t="s">
        <v>3527</v>
      </c>
      <c r="J171" s="5" t="s">
        <v>3584</v>
      </c>
      <c r="K171" s="10" t="e">
        <f t="shared" si="0"/>
        <v>#VALUE!</v>
      </c>
      <c r="L171" s="10">
        <f t="shared" si="1"/>
        <v>1</v>
      </c>
      <c r="M171" s="10" t="str">
        <f t="shared" si="2"/>
        <v>006</v>
      </c>
      <c r="N171" s="10" t="str">
        <f t="shared" si="3"/>
        <v>14</v>
      </c>
      <c r="O171" s="10" t="str">
        <f t="shared" si="4"/>
        <v>LAPAN</v>
      </c>
    </row>
    <row r="172" spans="1:15" ht="12.5">
      <c r="A172" s="115" t="s">
        <v>3585</v>
      </c>
      <c r="B172" s="5">
        <v>0</v>
      </c>
      <c r="C172" s="5">
        <v>61</v>
      </c>
      <c r="D172" s="5">
        <v>4</v>
      </c>
      <c r="E172" s="5">
        <v>80</v>
      </c>
      <c r="F172" s="5">
        <v>4</v>
      </c>
      <c r="G172" s="5">
        <v>3000</v>
      </c>
      <c r="H172" s="5" t="s">
        <v>3241</v>
      </c>
      <c r="I172" s="5" t="s">
        <v>3527</v>
      </c>
      <c r="J172" s="5" t="s">
        <v>3586</v>
      </c>
      <c r="K172" s="10" t="e">
        <f t="shared" si="0"/>
        <v>#VALUE!</v>
      </c>
      <c r="L172" s="10">
        <f t="shared" si="1"/>
        <v>1</v>
      </c>
      <c r="M172" s="10" t="str">
        <f t="shared" si="2"/>
        <v>001</v>
      </c>
      <c r="N172" s="10" t="str">
        <f t="shared" si="3"/>
        <v>02</v>
      </c>
      <c r="O172" s="10" t="str">
        <f t="shared" si="4"/>
        <v>LAPAN</v>
      </c>
    </row>
    <row r="173" spans="1:15" ht="12.5">
      <c r="A173" s="115" t="s">
        <v>3587</v>
      </c>
      <c r="B173" s="5">
        <v>0</v>
      </c>
      <c r="C173" s="5">
        <v>61</v>
      </c>
      <c r="D173" s="5">
        <v>4</v>
      </c>
      <c r="E173" s="5">
        <v>80</v>
      </c>
      <c r="F173" s="5">
        <v>4</v>
      </c>
      <c r="G173" s="5">
        <v>3100</v>
      </c>
      <c r="H173" s="5" t="s">
        <v>3241</v>
      </c>
      <c r="I173" s="5" t="s">
        <v>3527</v>
      </c>
      <c r="J173" s="5" t="s">
        <v>3588</v>
      </c>
      <c r="K173" s="10" t="e">
        <f t="shared" si="0"/>
        <v>#VALUE!</v>
      </c>
      <c r="L173" s="10">
        <f t="shared" si="1"/>
        <v>1</v>
      </c>
      <c r="M173" s="10" t="str">
        <f t="shared" si="2"/>
        <v>002</v>
      </c>
      <c r="N173" s="10" t="str">
        <f t="shared" si="3"/>
        <v>02</v>
      </c>
      <c r="O173" s="10" t="str">
        <f t="shared" si="4"/>
        <v>LAPAN</v>
      </c>
    </row>
    <row r="174" spans="1:15" ht="12.5">
      <c r="A174" s="115" t="s">
        <v>3589</v>
      </c>
      <c r="B174" s="5">
        <v>0</v>
      </c>
      <c r="C174" s="5">
        <v>61</v>
      </c>
      <c r="D174" s="5">
        <v>4</v>
      </c>
      <c r="E174" s="5">
        <v>80</v>
      </c>
      <c r="F174" s="5">
        <v>4</v>
      </c>
      <c r="G174" s="5">
        <v>3200</v>
      </c>
      <c r="H174" s="5" t="s">
        <v>3241</v>
      </c>
      <c r="I174" s="5" t="s">
        <v>3527</v>
      </c>
      <c r="J174" s="5" t="s">
        <v>3590</v>
      </c>
      <c r="K174" s="10" t="e">
        <f t="shared" si="0"/>
        <v>#VALUE!</v>
      </c>
      <c r="L174" s="10">
        <f t="shared" si="1"/>
        <v>1</v>
      </c>
      <c r="M174" s="10" t="str">
        <f t="shared" si="2"/>
        <v>003</v>
      </c>
      <c r="N174" s="10" t="str">
        <f t="shared" si="3"/>
        <v>02</v>
      </c>
      <c r="O174" s="10" t="str">
        <f t="shared" si="4"/>
        <v>LAPAN</v>
      </c>
    </row>
    <row r="175" spans="1:15" ht="12.5">
      <c r="A175" s="115" t="s">
        <v>3591</v>
      </c>
      <c r="B175" s="5">
        <v>0</v>
      </c>
      <c r="C175" s="5">
        <v>61</v>
      </c>
      <c r="D175" s="5">
        <v>4</v>
      </c>
      <c r="E175" s="5">
        <v>80</v>
      </c>
      <c r="F175" s="5">
        <v>4</v>
      </c>
      <c r="G175" s="5">
        <v>3300</v>
      </c>
      <c r="H175" s="5" t="s">
        <v>3241</v>
      </c>
      <c r="I175" s="5" t="s">
        <v>3527</v>
      </c>
      <c r="J175" s="5" t="s">
        <v>3592</v>
      </c>
      <c r="K175" s="10" t="e">
        <f t="shared" si="0"/>
        <v>#VALUE!</v>
      </c>
      <c r="L175" s="10">
        <f t="shared" si="1"/>
        <v>1</v>
      </c>
      <c r="M175" s="10" t="str">
        <f t="shared" si="2"/>
        <v>004</v>
      </c>
      <c r="N175" s="10" t="str">
        <f t="shared" si="3"/>
        <v>02</v>
      </c>
      <c r="O175" s="10" t="str">
        <f t="shared" si="4"/>
        <v>LAPAN</v>
      </c>
    </row>
    <row r="176" spans="1:15" ht="12.5">
      <c r="A176" s="115" t="s">
        <v>3593</v>
      </c>
      <c r="B176" s="5">
        <v>0</v>
      </c>
      <c r="C176" s="5">
        <v>61</v>
      </c>
      <c r="D176" s="5">
        <v>4</v>
      </c>
      <c r="E176" s="5">
        <v>80</v>
      </c>
      <c r="F176" s="5">
        <v>4</v>
      </c>
      <c r="G176" s="5">
        <v>3400</v>
      </c>
      <c r="H176" s="5" t="s">
        <v>3241</v>
      </c>
      <c r="I176" s="5" t="s">
        <v>3527</v>
      </c>
      <c r="J176" s="5" t="s">
        <v>3594</v>
      </c>
      <c r="K176" s="10" t="e">
        <f t="shared" si="0"/>
        <v>#VALUE!</v>
      </c>
      <c r="L176" s="10">
        <f t="shared" si="1"/>
        <v>1</v>
      </c>
      <c r="M176" s="10" t="str">
        <f t="shared" si="2"/>
        <v>005</v>
      </c>
      <c r="N176" s="10" t="str">
        <f t="shared" si="3"/>
        <v>02</v>
      </c>
      <c r="O176" s="10" t="str">
        <f t="shared" si="4"/>
        <v>LAPAN</v>
      </c>
    </row>
    <row r="177" spans="1:15" ht="12.5">
      <c r="A177" s="115" t="s">
        <v>3595</v>
      </c>
      <c r="B177" s="5">
        <v>0</v>
      </c>
      <c r="C177" s="5">
        <v>61</v>
      </c>
      <c r="D177" s="5">
        <v>4</v>
      </c>
      <c r="E177" s="5">
        <v>80</v>
      </c>
      <c r="F177" s="5">
        <v>4</v>
      </c>
      <c r="G177" s="5">
        <v>3500</v>
      </c>
      <c r="H177" s="5" t="s">
        <v>3241</v>
      </c>
      <c r="I177" s="5" t="s">
        <v>3527</v>
      </c>
      <c r="J177" s="5" t="s">
        <v>3596</v>
      </c>
      <c r="K177" s="10" t="e">
        <f t="shared" si="0"/>
        <v>#VALUE!</v>
      </c>
      <c r="L177" s="10">
        <f t="shared" si="1"/>
        <v>1</v>
      </c>
      <c r="M177" s="10" t="str">
        <f t="shared" si="2"/>
        <v>007</v>
      </c>
      <c r="N177" s="10" t="str">
        <f t="shared" si="3"/>
        <v>02</v>
      </c>
      <c r="O177" s="10" t="str">
        <f t="shared" si="4"/>
        <v>LAPAN</v>
      </c>
    </row>
    <row r="178" spans="1:15" ht="12.5">
      <c r="A178" s="115" t="s">
        <v>3597</v>
      </c>
      <c r="B178" s="5">
        <v>0</v>
      </c>
      <c r="C178" s="5">
        <v>61</v>
      </c>
      <c r="D178" s="5">
        <v>4</v>
      </c>
      <c r="E178" s="5">
        <v>80</v>
      </c>
      <c r="F178" s="5">
        <v>4</v>
      </c>
      <c r="G178" s="5">
        <v>3600</v>
      </c>
      <c r="H178" s="5" t="s">
        <v>3241</v>
      </c>
      <c r="I178" s="5" t="s">
        <v>3527</v>
      </c>
      <c r="J178" s="5" t="s">
        <v>3598</v>
      </c>
      <c r="K178" s="10" t="e">
        <f t="shared" si="0"/>
        <v>#VALUE!</v>
      </c>
      <c r="L178" s="10">
        <f t="shared" si="1"/>
        <v>1</v>
      </c>
      <c r="M178" s="10" t="str">
        <f t="shared" si="2"/>
        <v xml:space="preserve">KH </v>
      </c>
      <c r="N178" s="10" t="str">
        <f t="shared" si="3"/>
        <v>H D</v>
      </c>
      <c r="O178" s="10" t="str">
        <f t="shared" si="4"/>
        <v>APAN</v>
      </c>
    </row>
    <row r="179" spans="1:15" ht="12.5">
      <c r="A179" s="115" t="s">
        <v>3599</v>
      </c>
      <c r="B179" s="5">
        <v>0</v>
      </c>
      <c r="C179" s="5">
        <v>61</v>
      </c>
      <c r="D179" s="5">
        <v>4</v>
      </c>
      <c r="E179" s="5">
        <v>80</v>
      </c>
      <c r="F179" s="5">
        <v>4</v>
      </c>
      <c r="G179" s="5">
        <v>3700</v>
      </c>
      <c r="H179" s="5" t="s">
        <v>3241</v>
      </c>
      <c r="I179" s="5" t="s">
        <v>3527</v>
      </c>
      <c r="J179" s="5" t="s">
        <v>3600</v>
      </c>
      <c r="K179" s="10" t="e">
        <f t="shared" si="0"/>
        <v>#VALUE!</v>
      </c>
      <c r="L179" s="10">
        <f t="shared" si="1"/>
        <v>1</v>
      </c>
      <c r="M179" s="10" t="str">
        <f t="shared" si="2"/>
        <v>001</v>
      </c>
      <c r="N179" s="10" t="str">
        <f t="shared" si="3"/>
        <v>08</v>
      </c>
      <c r="O179" s="10" t="str">
        <f t="shared" si="4"/>
        <v>MAMBO</v>
      </c>
    </row>
    <row r="180" spans="1:15" ht="12.5">
      <c r="A180" s="115" t="s">
        <v>3601</v>
      </c>
      <c r="B180" s="5">
        <v>0</v>
      </c>
      <c r="C180" s="5">
        <v>61</v>
      </c>
      <c r="D180" s="5">
        <v>4</v>
      </c>
      <c r="E180" s="5">
        <v>80</v>
      </c>
      <c r="F180" s="5">
        <v>4</v>
      </c>
      <c r="G180" s="5">
        <v>3800</v>
      </c>
      <c r="H180" s="5" t="s">
        <v>3241</v>
      </c>
      <c r="I180" s="5" t="s">
        <v>3527</v>
      </c>
      <c r="J180" s="5" t="s">
        <v>3602</v>
      </c>
      <c r="K180" s="10" t="e">
        <f t="shared" si="0"/>
        <v>#VALUE!</v>
      </c>
      <c r="L180" s="10">
        <f t="shared" si="1"/>
        <v>1</v>
      </c>
      <c r="M180" s="10" t="str">
        <f t="shared" si="2"/>
        <v>002</v>
      </c>
      <c r="N180" s="10" t="str">
        <f t="shared" si="3"/>
        <v>08</v>
      </c>
      <c r="O180" s="10" t="str">
        <f t="shared" si="4"/>
        <v>MAMBO</v>
      </c>
    </row>
    <row r="181" spans="1:15" ht="12.5">
      <c r="A181" s="115" t="s">
        <v>3603</v>
      </c>
      <c r="B181" s="5">
        <v>0</v>
      </c>
      <c r="C181" s="5">
        <v>61</v>
      </c>
      <c r="D181" s="5">
        <v>4</v>
      </c>
      <c r="E181" s="5">
        <v>80</v>
      </c>
      <c r="F181" s="5">
        <v>4</v>
      </c>
      <c r="G181" s="5">
        <v>3900</v>
      </c>
      <c r="H181" s="5" t="s">
        <v>3241</v>
      </c>
      <c r="I181" s="5" t="s">
        <v>3527</v>
      </c>
      <c r="J181" s="5" t="s">
        <v>3604</v>
      </c>
      <c r="K181" s="10" t="e">
        <f t="shared" si="0"/>
        <v>#VALUE!</v>
      </c>
      <c r="L181" s="10">
        <f t="shared" si="1"/>
        <v>1</v>
      </c>
      <c r="M181" s="10" t="str">
        <f t="shared" si="2"/>
        <v>003</v>
      </c>
      <c r="N181" s="10" t="str">
        <f t="shared" si="3"/>
        <v>08</v>
      </c>
      <c r="O181" s="10" t="str">
        <f t="shared" si="4"/>
        <v>MAMBO</v>
      </c>
    </row>
    <row r="182" spans="1:15" ht="12.5">
      <c r="A182" s="115" t="s">
        <v>3605</v>
      </c>
      <c r="B182" s="5">
        <v>0</v>
      </c>
      <c r="C182" s="5">
        <v>61</v>
      </c>
      <c r="D182" s="5">
        <v>4</v>
      </c>
      <c r="E182" s="5">
        <v>80</v>
      </c>
      <c r="F182" s="5">
        <v>4</v>
      </c>
      <c r="G182" s="5">
        <v>4000</v>
      </c>
      <c r="H182" s="5" t="s">
        <v>3241</v>
      </c>
      <c r="I182" s="5" t="s">
        <v>3527</v>
      </c>
      <c r="J182" s="5" t="s">
        <v>3606</v>
      </c>
      <c r="K182" s="10" t="e">
        <f t="shared" si="0"/>
        <v>#VALUE!</v>
      </c>
      <c r="L182" s="10">
        <f t="shared" si="1"/>
        <v>1</v>
      </c>
      <c r="M182" s="10" t="str">
        <f t="shared" si="2"/>
        <v>001</v>
      </c>
      <c r="N182" s="10" t="str">
        <f t="shared" si="3"/>
        <v>05</v>
      </c>
      <c r="O182" s="10" t="str">
        <f t="shared" si="4"/>
        <v>PANDAN</v>
      </c>
    </row>
    <row r="183" spans="1:15" ht="12.5">
      <c r="A183" s="115" t="s">
        <v>3607</v>
      </c>
      <c r="B183" s="5">
        <v>0</v>
      </c>
      <c r="C183" s="5">
        <v>61</v>
      </c>
      <c r="D183" s="5">
        <v>4</v>
      </c>
      <c r="E183" s="5">
        <v>80</v>
      </c>
      <c r="F183" s="5">
        <v>4</v>
      </c>
      <c r="G183" s="5">
        <v>4100</v>
      </c>
      <c r="H183" s="5" t="s">
        <v>3241</v>
      </c>
      <c r="I183" s="5" t="s">
        <v>3527</v>
      </c>
      <c r="J183" s="5" t="s">
        <v>3608</v>
      </c>
      <c r="K183" s="10" t="e">
        <f t="shared" si="0"/>
        <v>#VALUE!</v>
      </c>
      <c r="L183" s="10">
        <f t="shared" si="1"/>
        <v>1</v>
      </c>
      <c r="M183" s="10" t="str">
        <f t="shared" si="2"/>
        <v>002</v>
      </c>
      <c r="N183" s="10" t="str">
        <f t="shared" si="3"/>
        <v>05</v>
      </c>
      <c r="O183" s="10" t="str">
        <f t="shared" si="4"/>
        <v>PANDAN</v>
      </c>
    </row>
    <row r="184" spans="1:15" ht="12.5">
      <c r="A184" s="115" t="s">
        <v>3609</v>
      </c>
      <c r="B184" s="5">
        <v>0</v>
      </c>
      <c r="C184" s="5">
        <v>61</v>
      </c>
      <c r="D184" s="5">
        <v>4</v>
      </c>
      <c r="E184" s="5">
        <v>80</v>
      </c>
      <c r="F184" s="5">
        <v>4</v>
      </c>
      <c r="G184" s="5">
        <v>4200</v>
      </c>
      <c r="H184" s="5" t="s">
        <v>3241</v>
      </c>
      <c r="I184" s="5" t="s">
        <v>3527</v>
      </c>
      <c r="J184" s="5" t="s">
        <v>3610</v>
      </c>
      <c r="K184" s="10" t="e">
        <f t="shared" si="0"/>
        <v>#VALUE!</v>
      </c>
      <c r="L184" s="10">
        <f t="shared" si="1"/>
        <v>1</v>
      </c>
      <c r="M184" s="10" t="str">
        <f t="shared" si="2"/>
        <v>003</v>
      </c>
      <c r="N184" s="10" t="str">
        <f t="shared" si="3"/>
        <v>05</v>
      </c>
      <c r="O184" s="10" t="str">
        <f t="shared" si="4"/>
        <v>PANDAN</v>
      </c>
    </row>
    <row r="185" spans="1:15" ht="12.5">
      <c r="A185" s="115" t="s">
        <v>3611</v>
      </c>
      <c r="B185" s="5">
        <v>0</v>
      </c>
      <c r="C185" s="5">
        <v>61</v>
      </c>
      <c r="D185" s="5">
        <v>4</v>
      </c>
      <c r="E185" s="5">
        <v>80</v>
      </c>
      <c r="F185" s="5">
        <v>4</v>
      </c>
      <c r="G185" s="5">
        <v>4300</v>
      </c>
      <c r="H185" s="5" t="s">
        <v>3241</v>
      </c>
      <c r="I185" s="5" t="s">
        <v>3527</v>
      </c>
      <c r="J185" s="5" t="s">
        <v>3612</v>
      </c>
      <c r="K185" s="10" t="e">
        <f t="shared" si="0"/>
        <v>#VALUE!</v>
      </c>
      <c r="L185" s="10">
        <f t="shared" si="1"/>
        <v>1</v>
      </c>
      <c r="M185" s="10" t="str">
        <f t="shared" si="2"/>
        <v>004</v>
      </c>
      <c r="N185" s="10" t="str">
        <f t="shared" si="3"/>
        <v>05</v>
      </c>
      <c r="O185" s="10" t="str">
        <f t="shared" si="4"/>
        <v>PANDAN</v>
      </c>
    </row>
    <row r="186" spans="1:15" ht="12.5">
      <c r="A186" s="115" t="s">
        <v>3613</v>
      </c>
      <c r="B186" s="5">
        <v>0</v>
      </c>
      <c r="C186" s="5">
        <v>61</v>
      </c>
      <c r="D186" s="5">
        <v>4</v>
      </c>
      <c r="E186" s="5">
        <v>80</v>
      </c>
      <c r="F186" s="5">
        <v>4</v>
      </c>
      <c r="G186" s="5">
        <v>4400</v>
      </c>
      <c r="H186" s="5" t="s">
        <v>3241</v>
      </c>
      <c r="I186" s="5" t="s">
        <v>3527</v>
      </c>
      <c r="J186" s="5" t="s">
        <v>3614</v>
      </c>
      <c r="K186" s="10" t="e">
        <f t="shared" si="0"/>
        <v>#VALUE!</v>
      </c>
      <c r="L186" s="10">
        <f t="shared" si="1"/>
        <v>1</v>
      </c>
      <c r="M186" s="10" t="str">
        <f t="shared" si="2"/>
        <v>005</v>
      </c>
      <c r="N186" s="10" t="str">
        <f t="shared" si="3"/>
        <v>05</v>
      </c>
      <c r="O186" s="10" t="str">
        <f t="shared" si="4"/>
        <v>PANDAN</v>
      </c>
    </row>
    <row r="187" spans="1:15" ht="12.5">
      <c r="A187" s="115" t="s">
        <v>3615</v>
      </c>
      <c r="B187" s="5">
        <v>0</v>
      </c>
      <c r="C187" s="5">
        <v>61</v>
      </c>
      <c r="D187" s="5">
        <v>4</v>
      </c>
      <c r="E187" s="5">
        <v>80</v>
      </c>
      <c r="F187" s="5">
        <v>4</v>
      </c>
      <c r="G187" s="5">
        <v>4500</v>
      </c>
      <c r="H187" s="5" t="s">
        <v>3241</v>
      </c>
      <c r="I187" s="5" t="s">
        <v>3527</v>
      </c>
      <c r="J187" s="5" t="s">
        <v>3616</v>
      </c>
      <c r="K187" s="10" t="e">
        <f t="shared" si="0"/>
        <v>#VALUE!</v>
      </c>
      <c r="L187" s="10">
        <f t="shared" si="1"/>
        <v>1</v>
      </c>
      <c r="M187" s="10" t="str">
        <f t="shared" si="2"/>
        <v>006</v>
      </c>
      <c r="N187" s="10" t="str">
        <f t="shared" si="3"/>
        <v>05</v>
      </c>
      <c r="O187" s="10" t="str">
        <f t="shared" si="4"/>
        <v>PANDAN</v>
      </c>
    </row>
    <row r="188" spans="1:15" ht="12.5">
      <c r="A188" s="115" t="s">
        <v>3617</v>
      </c>
      <c r="B188" s="5">
        <v>0</v>
      </c>
      <c r="C188" s="5">
        <v>61</v>
      </c>
      <c r="D188" s="5">
        <v>4</v>
      </c>
      <c r="E188" s="5">
        <v>80</v>
      </c>
      <c r="F188" s="5">
        <v>4</v>
      </c>
      <c r="G188" s="5">
        <v>4600</v>
      </c>
      <c r="H188" s="5" t="s">
        <v>3241</v>
      </c>
      <c r="I188" s="5" t="s">
        <v>3527</v>
      </c>
      <c r="J188" s="5" t="s">
        <v>3618</v>
      </c>
      <c r="K188" s="10" t="e">
        <f t="shared" si="0"/>
        <v>#VALUE!</v>
      </c>
      <c r="L188" s="10">
        <f t="shared" si="1"/>
        <v>1</v>
      </c>
      <c r="M188" s="10" t="str">
        <f t="shared" si="2"/>
        <v>007</v>
      </c>
      <c r="N188" s="10" t="str">
        <f t="shared" si="3"/>
        <v>05</v>
      </c>
      <c r="O188" s="10" t="str">
        <f t="shared" si="4"/>
        <v>PANDAN</v>
      </c>
    </row>
    <row r="189" spans="1:15" ht="12.5">
      <c r="A189" s="115" t="s">
        <v>3619</v>
      </c>
      <c r="B189" s="5">
        <v>0</v>
      </c>
      <c r="C189" s="5">
        <v>61</v>
      </c>
      <c r="D189" s="5">
        <v>4</v>
      </c>
      <c r="E189" s="5">
        <v>80</v>
      </c>
      <c r="F189" s="5">
        <v>4</v>
      </c>
      <c r="G189" s="5">
        <v>4700</v>
      </c>
      <c r="H189" s="5" t="s">
        <v>3241</v>
      </c>
      <c r="I189" s="5" t="s">
        <v>3527</v>
      </c>
      <c r="J189" s="5" t="s">
        <v>3620</v>
      </c>
      <c r="K189" s="10" t="e">
        <f t="shared" si="0"/>
        <v>#VALUE!</v>
      </c>
      <c r="L189" s="10">
        <f t="shared" si="1"/>
        <v>1</v>
      </c>
      <c r="M189" s="10" t="str">
        <f t="shared" si="2"/>
        <v>008</v>
      </c>
      <c r="N189" s="10" t="str">
        <f t="shared" si="3"/>
        <v>05</v>
      </c>
      <c r="O189" s="10" t="str">
        <f t="shared" si="4"/>
        <v>PANDAN</v>
      </c>
    </row>
    <row r="190" spans="1:15" ht="12.5">
      <c r="A190" s="115" t="s">
        <v>3621</v>
      </c>
      <c r="B190" s="5">
        <v>0</v>
      </c>
      <c r="C190" s="5">
        <v>61</v>
      </c>
      <c r="D190" s="5">
        <v>4</v>
      </c>
      <c r="E190" s="5">
        <v>80</v>
      </c>
      <c r="F190" s="5">
        <v>4</v>
      </c>
      <c r="G190" s="5">
        <v>4800</v>
      </c>
      <c r="H190" s="5" t="s">
        <v>3241</v>
      </c>
      <c r="I190" s="5" t="s">
        <v>3527</v>
      </c>
      <c r="J190" s="5" t="s">
        <v>3622</v>
      </c>
      <c r="K190" s="10" t="e">
        <f t="shared" si="0"/>
        <v>#VALUE!</v>
      </c>
      <c r="L190" s="10">
        <f t="shared" si="1"/>
        <v>1</v>
      </c>
      <c r="M190" s="10" t="str">
        <f t="shared" si="2"/>
        <v>009</v>
      </c>
      <c r="N190" s="10" t="str">
        <f t="shared" si="3"/>
        <v>05</v>
      </c>
      <c r="O190" s="10" t="str">
        <f t="shared" si="4"/>
        <v>PANDAN</v>
      </c>
    </row>
    <row r="191" spans="1:15" ht="12.5">
      <c r="A191" s="115" t="s">
        <v>3623</v>
      </c>
      <c r="B191" s="5">
        <v>0</v>
      </c>
      <c r="C191" s="5">
        <v>61</v>
      </c>
      <c r="D191" s="5">
        <v>4</v>
      </c>
      <c r="E191" s="5">
        <v>80</v>
      </c>
      <c r="F191" s="5">
        <v>4</v>
      </c>
      <c r="G191" s="5">
        <v>4900</v>
      </c>
      <c r="H191" s="5" t="s">
        <v>3241</v>
      </c>
      <c r="I191" s="5" t="s">
        <v>3527</v>
      </c>
      <c r="J191" s="5" t="s">
        <v>3624</v>
      </c>
      <c r="K191" s="10" t="e">
        <f t="shared" si="0"/>
        <v>#VALUE!</v>
      </c>
      <c r="L191" s="10">
        <f t="shared" si="1"/>
        <v>1</v>
      </c>
      <c r="M191" s="10" t="str">
        <f t="shared" si="2"/>
        <v>010</v>
      </c>
      <c r="N191" s="10" t="str">
        <f t="shared" si="3"/>
        <v>05</v>
      </c>
      <c r="O191" s="10" t="str">
        <f t="shared" si="4"/>
        <v>PANDAN</v>
      </c>
    </row>
    <row r="192" spans="1:15" ht="12.5">
      <c r="A192" s="115" t="s">
        <v>3625</v>
      </c>
      <c r="B192" s="5">
        <v>0</v>
      </c>
      <c r="C192" s="5">
        <v>61</v>
      </c>
      <c r="D192" s="5">
        <v>4</v>
      </c>
      <c r="E192" s="5">
        <v>80</v>
      </c>
      <c r="F192" s="5">
        <v>4</v>
      </c>
      <c r="G192" s="5">
        <v>5000</v>
      </c>
      <c r="H192" s="5" t="s">
        <v>3241</v>
      </c>
      <c r="I192" s="5" t="s">
        <v>3527</v>
      </c>
      <c r="J192" s="5" t="s">
        <v>3626</v>
      </c>
      <c r="K192" s="10" t="e">
        <f t="shared" si="0"/>
        <v>#VALUE!</v>
      </c>
      <c r="L192" s="10">
        <f t="shared" si="1"/>
        <v>1</v>
      </c>
      <c r="M192" s="10" t="str">
        <f t="shared" si="2"/>
        <v>001</v>
      </c>
      <c r="N192" s="10" t="str">
        <f t="shared" si="3"/>
        <v>06</v>
      </c>
      <c r="O192" s="10" t="str">
        <f t="shared" si="4"/>
        <v>PANDAN</v>
      </c>
    </row>
    <row r="193" spans="1:15" ht="12.5">
      <c r="A193" s="115" t="s">
        <v>3627</v>
      </c>
      <c r="B193" s="5">
        <v>0</v>
      </c>
      <c r="C193" s="5">
        <v>61</v>
      </c>
      <c r="D193" s="5">
        <v>4</v>
      </c>
      <c r="E193" s="5">
        <v>80</v>
      </c>
      <c r="F193" s="5">
        <v>4</v>
      </c>
      <c r="G193" s="5">
        <v>5100</v>
      </c>
      <c r="H193" s="5" t="s">
        <v>3241</v>
      </c>
      <c r="I193" s="5" t="s">
        <v>3527</v>
      </c>
      <c r="J193" s="5" t="s">
        <v>3628</v>
      </c>
      <c r="K193" s="10" t="e">
        <f t="shared" si="0"/>
        <v>#VALUE!</v>
      </c>
      <c r="L193" s="10">
        <f t="shared" si="1"/>
        <v>1</v>
      </c>
      <c r="M193" s="10" t="str">
        <f t="shared" si="2"/>
        <v>008</v>
      </c>
      <c r="N193" s="10" t="str">
        <f t="shared" si="3"/>
        <v>06</v>
      </c>
      <c r="O193" s="10" t="str">
        <f t="shared" si="4"/>
        <v>PANDAN</v>
      </c>
    </row>
    <row r="194" spans="1:15" ht="12.5">
      <c r="A194" s="115" t="s">
        <v>3629</v>
      </c>
      <c r="B194" s="5">
        <v>0</v>
      </c>
      <c r="C194" s="5">
        <v>61</v>
      </c>
      <c r="D194" s="5">
        <v>4</v>
      </c>
      <c r="E194" s="5">
        <v>80</v>
      </c>
      <c r="F194" s="5">
        <v>4</v>
      </c>
      <c r="G194" s="5">
        <v>5200</v>
      </c>
      <c r="H194" s="5" t="s">
        <v>3241</v>
      </c>
      <c r="I194" s="5" t="s">
        <v>3527</v>
      </c>
      <c r="J194" s="5" t="s">
        <v>3630</v>
      </c>
      <c r="K194" s="10" t="e">
        <f t="shared" si="0"/>
        <v>#VALUE!</v>
      </c>
      <c r="L194" s="10">
        <f t="shared" si="1"/>
        <v>1</v>
      </c>
      <c r="M194" s="10" t="str">
        <f t="shared" si="2"/>
        <v>001</v>
      </c>
      <c r="N194" s="10" t="str">
        <f t="shared" si="3"/>
        <v>03</v>
      </c>
      <c r="O194" s="10" t="str">
        <f t="shared" si="4"/>
        <v>TELUK DALAM</v>
      </c>
    </row>
    <row r="195" spans="1:15" ht="12.5">
      <c r="A195" s="115" t="s">
        <v>3631</v>
      </c>
      <c r="B195" s="5">
        <v>0</v>
      </c>
      <c r="C195" s="5">
        <v>61</v>
      </c>
      <c r="D195" s="5">
        <v>4</v>
      </c>
      <c r="E195" s="5">
        <v>80</v>
      </c>
      <c r="F195" s="5">
        <v>4</v>
      </c>
      <c r="G195" s="5">
        <v>5300</v>
      </c>
      <c r="H195" s="5" t="s">
        <v>3241</v>
      </c>
      <c r="I195" s="5" t="s">
        <v>3527</v>
      </c>
      <c r="J195" s="5" t="s">
        <v>3632</v>
      </c>
      <c r="K195" s="10" t="e">
        <f t="shared" si="0"/>
        <v>#VALUE!</v>
      </c>
      <c r="L195" s="10">
        <f t="shared" si="1"/>
        <v>1</v>
      </c>
      <c r="M195" s="10" t="str">
        <f t="shared" si="2"/>
        <v>002</v>
      </c>
      <c r="N195" s="10" t="str">
        <f t="shared" si="3"/>
        <v>03</v>
      </c>
      <c r="O195" s="10" t="str">
        <f t="shared" si="4"/>
        <v>TELUK DALAM</v>
      </c>
    </row>
    <row r="196" spans="1:15" ht="12.5">
      <c r="A196" s="115" t="s">
        <v>3633</v>
      </c>
      <c r="B196" s="5">
        <v>0</v>
      </c>
      <c r="C196" s="5">
        <v>61</v>
      </c>
      <c r="D196" s="5">
        <v>4</v>
      </c>
      <c r="E196" s="5">
        <v>80</v>
      </c>
      <c r="F196" s="5">
        <v>4</v>
      </c>
      <c r="G196" s="5">
        <v>5400</v>
      </c>
      <c r="H196" s="5" t="s">
        <v>3241</v>
      </c>
      <c r="I196" s="5" t="s">
        <v>3527</v>
      </c>
      <c r="J196" s="5" t="s">
        <v>3634</v>
      </c>
      <c r="K196" s="10" t="e">
        <f t="shared" si="0"/>
        <v>#VALUE!</v>
      </c>
      <c r="L196" s="10">
        <f t="shared" si="1"/>
        <v>1</v>
      </c>
      <c r="M196" s="10" t="str">
        <f t="shared" si="2"/>
        <v>004</v>
      </c>
      <c r="N196" s="10" t="str">
        <f t="shared" si="3"/>
        <v>03</v>
      </c>
      <c r="O196" s="10" t="str">
        <f t="shared" si="4"/>
        <v>TELUK DALAM</v>
      </c>
    </row>
    <row r="197" spans="1:15" ht="12.5">
      <c r="A197" s="115" t="s">
        <v>3635</v>
      </c>
      <c r="B197" s="5">
        <v>0</v>
      </c>
      <c r="C197" s="5">
        <v>61</v>
      </c>
      <c r="D197" s="5">
        <v>4</v>
      </c>
      <c r="E197" s="5">
        <v>80</v>
      </c>
      <c r="F197" s="5">
        <v>4</v>
      </c>
      <c r="G197" s="5">
        <v>5500</v>
      </c>
      <c r="H197" s="5" t="s">
        <v>3241</v>
      </c>
      <c r="I197" s="5" t="s">
        <v>3527</v>
      </c>
      <c r="J197" s="5" t="s">
        <v>3636</v>
      </c>
      <c r="K197" s="10" t="e">
        <f t="shared" si="0"/>
        <v>#VALUE!</v>
      </c>
      <c r="L197" s="10">
        <f t="shared" si="1"/>
        <v>1</v>
      </c>
      <c r="M197" s="10" t="str">
        <f t="shared" si="2"/>
        <v>001</v>
      </c>
      <c r="N197" s="10" t="str">
        <f t="shared" si="3"/>
        <v>09</v>
      </c>
      <c r="O197" s="10" t="str">
        <f t="shared" si="4"/>
        <v>TELUK DALAM</v>
      </c>
    </row>
    <row r="198" spans="1:15" ht="12.5">
      <c r="A198" s="115" t="s">
        <v>3637</v>
      </c>
      <c r="B198" s="5">
        <v>0</v>
      </c>
      <c r="C198" s="5">
        <v>61</v>
      </c>
      <c r="D198" s="5">
        <v>4</v>
      </c>
      <c r="E198" s="5">
        <v>80</v>
      </c>
      <c r="F198" s="5">
        <v>4</v>
      </c>
      <c r="G198" s="5">
        <v>5600</v>
      </c>
      <c r="H198" s="5" t="s">
        <v>3241</v>
      </c>
      <c r="I198" s="5" t="s">
        <v>3527</v>
      </c>
      <c r="J198" s="5" t="s">
        <v>3638</v>
      </c>
      <c r="K198" s="10" t="e">
        <f t="shared" si="0"/>
        <v>#VALUE!</v>
      </c>
      <c r="L198" s="10">
        <f t="shared" si="1"/>
        <v>1</v>
      </c>
      <c r="M198" s="10" t="str">
        <f t="shared" si="2"/>
        <v>002</v>
      </c>
      <c r="N198" s="10" t="str">
        <f t="shared" si="3"/>
        <v>09</v>
      </c>
      <c r="O198" s="10" t="str">
        <f t="shared" si="4"/>
        <v>TELUK DALAM</v>
      </c>
    </row>
    <row r="199" spans="1:15" ht="12.5">
      <c r="A199" s="115" t="s">
        <v>3639</v>
      </c>
      <c r="B199" s="5">
        <v>0</v>
      </c>
      <c r="C199" s="5">
        <v>61</v>
      </c>
      <c r="D199" s="5">
        <v>4</v>
      </c>
      <c r="E199" s="5">
        <v>80</v>
      </c>
      <c r="F199" s="5">
        <v>4</v>
      </c>
      <c r="G199" s="5">
        <v>5700</v>
      </c>
      <c r="H199" s="5" t="s">
        <v>3241</v>
      </c>
      <c r="I199" s="5" t="s">
        <v>3527</v>
      </c>
      <c r="J199" s="5" t="s">
        <v>3640</v>
      </c>
      <c r="K199" s="10" t="e">
        <f t="shared" si="0"/>
        <v>#VALUE!</v>
      </c>
      <c r="L199" s="10">
        <f t="shared" si="1"/>
        <v>1</v>
      </c>
      <c r="M199" s="10" t="str">
        <f t="shared" si="2"/>
        <v>007</v>
      </c>
      <c r="N199" s="10" t="str">
        <f t="shared" si="3"/>
        <v>09</v>
      </c>
      <c r="O199" s="10" t="str">
        <f t="shared" si="4"/>
        <v>TELUK DALAM</v>
      </c>
    </row>
    <row r="200" spans="1:15" ht="12.5">
      <c r="A200" s="115" t="s">
        <v>3641</v>
      </c>
      <c r="B200" s="5">
        <v>0</v>
      </c>
      <c r="C200" s="5">
        <v>61</v>
      </c>
      <c r="D200" s="5">
        <v>4</v>
      </c>
      <c r="E200" s="5">
        <v>80</v>
      </c>
      <c r="F200" s="5">
        <v>4</v>
      </c>
      <c r="G200" s="5">
        <v>5800</v>
      </c>
      <c r="H200" s="5" t="s">
        <v>3241</v>
      </c>
      <c r="I200" s="5" t="s">
        <v>3527</v>
      </c>
      <c r="J200" s="5" t="s">
        <v>3642</v>
      </c>
      <c r="K200" s="10" t="e">
        <f t="shared" si="0"/>
        <v>#VALUE!</v>
      </c>
      <c r="L200" s="10">
        <f t="shared" si="1"/>
        <v>1</v>
      </c>
      <c r="M200" s="10" t="str">
        <f t="shared" si="2"/>
        <v>008</v>
      </c>
      <c r="N200" s="10" t="str">
        <f t="shared" si="3"/>
        <v>09</v>
      </c>
      <c r="O200" s="10" t="str">
        <f t="shared" si="4"/>
        <v>TELUK DALAM</v>
      </c>
    </row>
    <row r="201" spans="1:15" ht="12.5">
      <c r="A201" s="115" t="s">
        <v>3643</v>
      </c>
      <c r="B201" s="5">
        <v>0</v>
      </c>
      <c r="C201" s="5">
        <v>61</v>
      </c>
      <c r="D201" s="5">
        <v>4</v>
      </c>
      <c r="E201" s="5">
        <v>80</v>
      </c>
      <c r="F201" s="5">
        <v>4</v>
      </c>
      <c r="G201" s="5">
        <v>5900</v>
      </c>
      <c r="H201" s="5" t="s">
        <v>3241</v>
      </c>
      <c r="I201" s="5" t="s">
        <v>3527</v>
      </c>
      <c r="J201" s="5" t="s">
        <v>3644</v>
      </c>
      <c r="K201" s="10" t="e">
        <f t="shared" si="0"/>
        <v>#VALUE!</v>
      </c>
      <c r="L201" s="10">
        <f t="shared" si="1"/>
        <v>1</v>
      </c>
      <c r="M201" s="10" t="str">
        <f t="shared" si="2"/>
        <v>001</v>
      </c>
      <c r="N201" s="10" t="str">
        <f t="shared" si="3"/>
        <v>10</v>
      </c>
      <c r="O201" s="10" t="str">
        <f t="shared" si="4"/>
        <v>TELUK DALAM</v>
      </c>
    </row>
    <row r="202" spans="1:15" ht="12.5">
      <c r="A202" s="115" t="s">
        <v>3645</v>
      </c>
      <c r="B202" s="5">
        <v>0</v>
      </c>
      <c r="C202" s="5">
        <v>61</v>
      </c>
      <c r="D202" s="5">
        <v>4</v>
      </c>
      <c r="E202" s="5">
        <v>80</v>
      </c>
      <c r="F202" s="5">
        <v>4</v>
      </c>
      <c r="G202" s="5">
        <v>6000</v>
      </c>
      <c r="H202" s="5" t="s">
        <v>3241</v>
      </c>
      <c r="I202" s="5" t="s">
        <v>3527</v>
      </c>
      <c r="J202" s="5" t="s">
        <v>3646</v>
      </c>
      <c r="K202" s="10" t="e">
        <f t="shared" si="0"/>
        <v>#VALUE!</v>
      </c>
      <c r="L202" s="10">
        <f t="shared" si="1"/>
        <v>1</v>
      </c>
      <c r="M202" s="10" t="str">
        <f t="shared" si="2"/>
        <v>002</v>
      </c>
      <c r="N202" s="10" t="str">
        <f t="shared" si="3"/>
        <v>10</v>
      </c>
      <c r="O202" s="10" t="str">
        <f t="shared" si="4"/>
        <v>TELUK DALAM</v>
      </c>
    </row>
    <row r="203" spans="1:15" ht="12.5">
      <c r="A203" s="115" t="s">
        <v>3647</v>
      </c>
      <c r="B203" s="5">
        <v>0</v>
      </c>
      <c r="C203" s="5">
        <v>61</v>
      </c>
      <c r="D203" s="5">
        <v>4</v>
      </c>
      <c r="E203" s="5">
        <v>80</v>
      </c>
      <c r="F203" s="5">
        <v>4</v>
      </c>
      <c r="G203" s="5">
        <v>6100</v>
      </c>
      <c r="H203" s="5" t="s">
        <v>3241</v>
      </c>
      <c r="I203" s="5" t="s">
        <v>3527</v>
      </c>
      <c r="J203" s="5" t="s">
        <v>3648</v>
      </c>
      <c r="K203" s="10" t="e">
        <f t="shared" si="0"/>
        <v>#VALUE!</v>
      </c>
      <c r="L203" s="10">
        <f t="shared" si="1"/>
        <v>1</v>
      </c>
      <c r="M203" s="10" t="str">
        <f t="shared" si="2"/>
        <v>003</v>
      </c>
      <c r="N203" s="10" t="str">
        <f t="shared" si="3"/>
        <v>10</v>
      </c>
      <c r="O203" s="10" t="str">
        <f t="shared" si="4"/>
        <v>TELUK DALAM</v>
      </c>
    </row>
    <row r="204" spans="1:15" ht="12.5">
      <c r="A204" s="115" t="s">
        <v>3649</v>
      </c>
      <c r="B204" s="5">
        <v>0</v>
      </c>
      <c r="C204" s="5">
        <v>61</v>
      </c>
      <c r="D204" s="5">
        <v>4</v>
      </c>
      <c r="E204" s="5">
        <v>80</v>
      </c>
      <c r="F204" s="5">
        <v>4</v>
      </c>
      <c r="G204" s="5">
        <v>6200</v>
      </c>
      <c r="H204" s="5" t="s">
        <v>3241</v>
      </c>
      <c r="I204" s="5" t="s">
        <v>3527</v>
      </c>
      <c r="J204" s="5" t="s">
        <v>3650</v>
      </c>
      <c r="K204" s="10" t="e">
        <f t="shared" si="0"/>
        <v>#VALUE!</v>
      </c>
      <c r="L204" s="10">
        <f t="shared" si="1"/>
        <v>1</v>
      </c>
      <c r="M204" s="10" t="str">
        <f t="shared" si="2"/>
        <v>003</v>
      </c>
      <c r="N204" s="10" t="str">
        <f t="shared" si="3"/>
        <v>03</v>
      </c>
      <c r="O204" s="10" t="str">
        <f t="shared" si="4"/>
        <v>TELUK DALAM</v>
      </c>
    </row>
    <row r="205" spans="1:15" ht="12.5">
      <c r="A205" s="115" t="s">
        <v>3651</v>
      </c>
      <c r="B205" s="5">
        <v>0</v>
      </c>
      <c r="C205" s="5">
        <v>61</v>
      </c>
      <c r="D205" s="5">
        <v>4</v>
      </c>
      <c r="E205" s="5">
        <v>80</v>
      </c>
      <c r="F205" s="5">
        <v>4</v>
      </c>
      <c r="G205" s="5">
        <v>6300</v>
      </c>
      <c r="H205" s="5" t="s">
        <v>3241</v>
      </c>
      <c r="I205" s="5" t="s">
        <v>3527</v>
      </c>
      <c r="J205" s="5" t="s">
        <v>3652</v>
      </c>
      <c r="K205" s="10" t="e">
        <f t="shared" si="0"/>
        <v>#VALUE!</v>
      </c>
      <c r="L205" s="10">
        <f t="shared" si="1"/>
        <v>1</v>
      </c>
      <c r="M205" s="10" t="str">
        <f t="shared" si="2"/>
        <v>001</v>
      </c>
      <c r="N205" s="10" t="str">
        <f t="shared" si="3"/>
        <v>12</v>
      </c>
      <c r="O205" s="10" t="str">
        <f t="shared" si="4"/>
        <v>BRAHIMA</v>
      </c>
    </row>
    <row r="206" spans="1:15" ht="12.5">
      <c r="A206" s="115" t="s">
        <v>3653</v>
      </c>
      <c r="B206" s="5">
        <v>0</v>
      </c>
      <c r="C206" s="5">
        <v>61</v>
      </c>
      <c r="D206" s="5">
        <v>4</v>
      </c>
      <c r="E206" s="5">
        <v>80</v>
      </c>
      <c r="F206" s="5">
        <v>4</v>
      </c>
      <c r="G206" s="5">
        <v>6400</v>
      </c>
      <c r="H206" s="5" t="s">
        <v>3241</v>
      </c>
      <c r="I206" s="5" t="s">
        <v>3527</v>
      </c>
      <c r="J206" s="5" t="s">
        <v>3654</v>
      </c>
      <c r="K206" s="10" t="e">
        <f t="shared" si="0"/>
        <v>#VALUE!</v>
      </c>
      <c r="L206" s="10">
        <f t="shared" si="1"/>
        <v>1</v>
      </c>
      <c r="M206" s="10" t="str">
        <f t="shared" si="2"/>
        <v>003</v>
      </c>
      <c r="N206" s="10" t="str">
        <f t="shared" si="3"/>
        <v>12</v>
      </c>
      <c r="O206" s="10" t="str">
        <f t="shared" si="4"/>
        <v>BRAHIMA</v>
      </c>
    </row>
    <row r="207" spans="1:15" ht="12.5">
      <c r="A207" s="115" t="s">
        <v>3655</v>
      </c>
      <c r="B207" s="5">
        <v>0</v>
      </c>
      <c r="C207" s="5">
        <v>61</v>
      </c>
      <c r="D207" s="5">
        <v>4</v>
      </c>
      <c r="E207" s="5">
        <v>80</v>
      </c>
      <c r="F207" s="5">
        <v>4</v>
      </c>
      <c r="G207" s="5">
        <v>6500</v>
      </c>
      <c r="H207" s="5" t="s">
        <v>3241</v>
      </c>
      <c r="I207" s="5" t="s">
        <v>3527</v>
      </c>
      <c r="J207" s="5" t="s">
        <v>3656</v>
      </c>
      <c r="K207" s="10" t="e">
        <f t="shared" si="0"/>
        <v>#VALUE!</v>
      </c>
      <c r="L207" s="10">
        <f t="shared" si="1"/>
        <v>1</v>
      </c>
      <c r="M207" s="10" t="str">
        <f t="shared" si="2"/>
        <v>004</v>
      </c>
      <c r="N207" s="10" t="str">
        <f t="shared" si="3"/>
        <v>04</v>
      </c>
      <c r="O207" s="10" t="str">
        <f t="shared" si="4"/>
        <v>BRAHIMA</v>
      </c>
    </row>
    <row r="208" spans="1:15" ht="12.5">
      <c r="A208" s="115" t="s">
        <v>3657</v>
      </c>
      <c r="B208" s="5">
        <v>0</v>
      </c>
      <c r="C208" s="5">
        <v>61</v>
      </c>
      <c r="D208" s="5">
        <v>4</v>
      </c>
      <c r="E208" s="5">
        <v>80</v>
      </c>
      <c r="F208" s="5">
        <v>4</v>
      </c>
      <c r="G208" s="5">
        <v>6600</v>
      </c>
      <c r="H208" s="5" t="s">
        <v>3241</v>
      </c>
      <c r="I208" s="5" t="s">
        <v>3527</v>
      </c>
      <c r="J208" s="5" t="s">
        <v>3658</v>
      </c>
      <c r="K208" s="10" t="e">
        <f t="shared" si="0"/>
        <v>#VALUE!</v>
      </c>
      <c r="L208" s="10">
        <f t="shared" si="1"/>
        <v>1</v>
      </c>
      <c r="M208" s="10" t="str">
        <f t="shared" si="2"/>
        <v>002</v>
      </c>
      <c r="N208" s="10" t="str">
        <f t="shared" si="3"/>
        <v>04</v>
      </c>
      <c r="O208" s="10" t="str">
        <f t="shared" si="4"/>
        <v>BRAHIMA</v>
      </c>
    </row>
    <row r="209" spans="1:15" ht="12.5">
      <c r="A209" s="115" t="s">
        <v>3659</v>
      </c>
      <c r="B209" s="5">
        <v>0</v>
      </c>
      <c r="C209" s="5">
        <v>61</v>
      </c>
      <c r="D209" s="5">
        <v>4</v>
      </c>
      <c r="E209" s="5">
        <v>80</v>
      </c>
      <c r="F209" s="5">
        <v>4</v>
      </c>
      <c r="G209" s="5">
        <v>6700</v>
      </c>
      <c r="H209" s="5" t="s">
        <v>3241</v>
      </c>
      <c r="I209" s="5" t="s">
        <v>3527</v>
      </c>
      <c r="J209" s="5" t="s">
        <v>3660</v>
      </c>
      <c r="K209" s="10" t="e">
        <f t="shared" si="0"/>
        <v>#VALUE!</v>
      </c>
      <c r="L209" s="10">
        <f t="shared" si="1"/>
        <v>1</v>
      </c>
      <c r="M209" s="10" t="str">
        <f t="shared" si="2"/>
        <v>004</v>
      </c>
      <c r="N209" s="10" t="str">
        <f t="shared" si="3"/>
        <v>12</v>
      </c>
      <c r="O209" s="10" t="str">
        <f t="shared" si="4"/>
        <v>BRAHIMA</v>
      </c>
    </row>
    <row r="210" spans="1:15" ht="12.5">
      <c r="A210" s="115" t="s">
        <v>3661</v>
      </c>
      <c r="B210" s="5">
        <v>0</v>
      </c>
      <c r="C210" s="5">
        <v>61</v>
      </c>
      <c r="D210" s="5">
        <v>4</v>
      </c>
      <c r="E210" s="5">
        <v>80</v>
      </c>
      <c r="F210" s="5">
        <v>4</v>
      </c>
      <c r="G210" s="5">
        <v>6800</v>
      </c>
      <c r="H210" s="5" t="s">
        <v>3241</v>
      </c>
      <c r="I210" s="5" t="s">
        <v>3527</v>
      </c>
      <c r="J210" s="5" t="s">
        <v>3662</v>
      </c>
      <c r="K210" s="10" t="e">
        <f t="shared" si="0"/>
        <v>#VALUE!</v>
      </c>
      <c r="L210" s="10">
        <f t="shared" si="1"/>
        <v>1</v>
      </c>
      <c r="M210" s="10" t="str">
        <f t="shared" si="2"/>
        <v>006</v>
      </c>
      <c r="N210" s="10" t="str">
        <f t="shared" si="3"/>
        <v>02</v>
      </c>
      <c r="O210" s="10" t="str">
        <f t="shared" si="4"/>
        <v>LAPAN</v>
      </c>
    </row>
    <row r="211" spans="1:15" ht="12.5">
      <c r="A211" s="115" t="s">
        <v>3663</v>
      </c>
      <c r="B211" s="5">
        <v>0</v>
      </c>
      <c r="C211" s="5">
        <v>61</v>
      </c>
      <c r="D211" s="5">
        <v>4</v>
      </c>
      <c r="E211" s="5">
        <v>80</v>
      </c>
      <c r="F211" s="5">
        <v>4</v>
      </c>
      <c r="G211" s="5">
        <v>6900</v>
      </c>
      <c r="H211" s="5" t="s">
        <v>3241</v>
      </c>
      <c r="I211" s="5" t="s">
        <v>3527</v>
      </c>
      <c r="J211" s="5" t="s">
        <v>3664</v>
      </c>
      <c r="K211" s="10" t="e">
        <f t="shared" si="0"/>
        <v>#VALUE!</v>
      </c>
      <c r="L211" s="10">
        <f t="shared" si="1"/>
        <v>1</v>
      </c>
      <c r="M211" s="10" t="str">
        <f t="shared" si="2"/>
        <v>004</v>
      </c>
      <c r="N211" s="10" t="str">
        <f t="shared" si="3"/>
        <v>11</v>
      </c>
      <c r="O211" s="10" t="str">
        <f t="shared" si="4"/>
        <v>BRAHIMA</v>
      </c>
    </row>
    <row r="212" spans="1:15" ht="12.5">
      <c r="A212" s="115" t="s">
        <v>3665</v>
      </c>
      <c r="B212" s="5">
        <v>0</v>
      </c>
      <c r="C212" s="5">
        <v>61</v>
      </c>
      <c r="D212" s="5">
        <v>4</v>
      </c>
      <c r="E212" s="5">
        <v>80</v>
      </c>
      <c r="F212" s="5">
        <v>4</v>
      </c>
      <c r="G212" s="5">
        <v>7000</v>
      </c>
      <c r="H212" s="5" t="s">
        <v>3241</v>
      </c>
      <c r="I212" s="5" t="s">
        <v>3527</v>
      </c>
      <c r="J212" s="5" t="s">
        <v>3666</v>
      </c>
      <c r="K212" s="10" t="e">
        <f t="shared" si="0"/>
        <v>#VALUE!</v>
      </c>
      <c r="L212" s="10">
        <f t="shared" si="1"/>
        <v>1</v>
      </c>
      <c r="M212" s="10" t="str">
        <f t="shared" si="2"/>
        <v>001</v>
      </c>
      <c r="N212" s="10" t="str">
        <f t="shared" si="3"/>
        <v>13</v>
      </c>
      <c r="O212" s="10" t="str">
        <f t="shared" si="4"/>
        <v>DURIAN</v>
      </c>
    </row>
    <row r="213" spans="1:15" ht="12.5">
      <c r="A213" s="115" t="s">
        <v>3667</v>
      </c>
      <c r="B213" s="5">
        <v>0</v>
      </c>
      <c r="C213" s="5">
        <v>61</v>
      </c>
      <c r="D213" s="5">
        <v>4</v>
      </c>
      <c r="E213" s="5">
        <v>80</v>
      </c>
      <c r="F213" s="5">
        <v>4</v>
      </c>
      <c r="G213" s="5">
        <v>7100</v>
      </c>
      <c r="H213" s="5" t="s">
        <v>3241</v>
      </c>
      <c r="I213" s="5" t="s">
        <v>3527</v>
      </c>
      <c r="J213" s="5" t="s">
        <v>3668</v>
      </c>
      <c r="K213" s="10" t="e">
        <f t="shared" si="0"/>
        <v>#VALUE!</v>
      </c>
      <c r="L213" s="10">
        <f t="shared" si="1"/>
        <v>1</v>
      </c>
      <c r="M213" s="10" t="str">
        <f t="shared" si="2"/>
        <v>002</v>
      </c>
      <c r="N213" s="10" t="str">
        <f t="shared" si="3"/>
        <v>13</v>
      </c>
      <c r="O213" s="10" t="str">
        <f t="shared" si="4"/>
        <v>DURIAN</v>
      </c>
    </row>
    <row r="214" spans="1:15" ht="12.5">
      <c r="A214" s="115" t="s">
        <v>3669</v>
      </c>
      <c r="B214" s="5">
        <v>0</v>
      </c>
      <c r="C214" s="5">
        <v>61</v>
      </c>
      <c r="D214" s="5">
        <v>4</v>
      </c>
      <c r="E214" s="5">
        <v>80</v>
      </c>
      <c r="F214" s="5">
        <v>4</v>
      </c>
      <c r="G214" s="5">
        <v>7200</v>
      </c>
      <c r="H214" s="5" t="s">
        <v>3241</v>
      </c>
      <c r="I214" s="5" t="s">
        <v>3527</v>
      </c>
      <c r="J214" s="5" t="s">
        <v>3670</v>
      </c>
      <c r="K214" s="10" t="e">
        <f t="shared" si="0"/>
        <v>#VALUE!</v>
      </c>
      <c r="L214" s="10">
        <f t="shared" si="1"/>
        <v>1</v>
      </c>
      <c r="M214" s="10" t="str">
        <f t="shared" si="2"/>
        <v>003</v>
      </c>
      <c r="N214" s="10" t="str">
        <f t="shared" si="3"/>
        <v>13</v>
      </c>
      <c r="O214" s="10" t="str">
        <f t="shared" si="4"/>
        <v>DURIAN</v>
      </c>
    </row>
    <row r="215" spans="1:15" ht="12.5">
      <c r="A215" s="115" t="s">
        <v>3671</v>
      </c>
      <c r="B215" s="5">
        <v>1</v>
      </c>
      <c r="C215" s="5">
        <v>61</v>
      </c>
      <c r="D215" s="5">
        <v>4</v>
      </c>
      <c r="E215" s="5">
        <v>80</v>
      </c>
      <c r="F215" s="5">
        <v>4</v>
      </c>
      <c r="G215" s="5">
        <v>100100</v>
      </c>
      <c r="H215" s="5" t="s">
        <v>3241</v>
      </c>
      <c r="I215" s="5" t="s">
        <v>3527</v>
      </c>
      <c r="J215" s="5" t="s">
        <v>3513</v>
      </c>
      <c r="K215" s="10" t="e">
        <f t="shared" si="0"/>
        <v>#VALUE!</v>
      </c>
      <c r="L215" s="10">
        <f t="shared" si="1"/>
        <v>0</v>
      </c>
      <c r="M215" s="10" t="str">
        <f t="shared" si="2"/>
        <v xml:space="preserve">UN </v>
      </c>
      <c r="N215" s="10" t="str">
        <f t="shared" si="3"/>
        <v>T</v>
      </c>
      <c r="O215" s="10" t="str">
        <f t="shared" si="4"/>
        <v/>
      </c>
    </row>
    <row r="216" spans="1:15" ht="12.5">
      <c r="A216" s="115" t="s">
        <v>3672</v>
      </c>
      <c r="B216" s="5">
        <v>1</v>
      </c>
      <c r="C216" s="5">
        <v>61</v>
      </c>
      <c r="D216" s="5">
        <v>4</v>
      </c>
      <c r="E216" s="5">
        <v>80</v>
      </c>
      <c r="F216" s="5">
        <v>4</v>
      </c>
      <c r="G216" s="5">
        <v>100300</v>
      </c>
      <c r="H216" s="5" t="s">
        <v>3241</v>
      </c>
      <c r="I216" s="5" t="s">
        <v>3527</v>
      </c>
      <c r="J216" s="5" t="s">
        <v>3673</v>
      </c>
      <c r="K216" s="10" t="e">
        <f t="shared" si="0"/>
        <v>#VALUE!</v>
      </c>
      <c r="L216" s="10">
        <f t="shared" si="1"/>
        <v>0</v>
      </c>
      <c r="M216" s="10" t="str">
        <f t="shared" si="2"/>
        <v xml:space="preserve">UN </v>
      </c>
      <c r="N216" s="10" t="str">
        <f t="shared" si="3"/>
        <v>25P</v>
      </c>
      <c r="O216" s="10" t="str">
        <f t="shared" si="4"/>
        <v/>
      </c>
    </row>
    <row r="217" spans="1:15" ht="12.5">
      <c r="A217" s="115" t="s">
        <v>3674</v>
      </c>
      <c r="B217" s="5">
        <v>2</v>
      </c>
      <c r="C217" s="5">
        <v>61</v>
      </c>
      <c r="D217" s="5">
        <v>4</v>
      </c>
      <c r="E217" s="5">
        <v>80</v>
      </c>
      <c r="F217" s="5">
        <v>4</v>
      </c>
      <c r="G217" s="5">
        <v>200200</v>
      </c>
      <c r="H217" s="5" t="s">
        <v>3241</v>
      </c>
      <c r="I217" s="5" t="s">
        <v>3527</v>
      </c>
      <c r="J217" s="5" t="s">
        <v>3517</v>
      </c>
      <c r="K217" s="10" t="e">
        <f t="shared" si="0"/>
        <v>#VALUE!</v>
      </c>
      <c r="L217" s="10">
        <f t="shared" si="1"/>
        <v>0</v>
      </c>
      <c r="M217" s="10" t="str">
        <f t="shared" si="2"/>
        <v>AN</v>
      </c>
      <c r="N217" s="10" t="str">
        <f t="shared" si="3"/>
        <v/>
      </c>
      <c r="O217" s="10" t="str">
        <f t="shared" si="4"/>
        <v/>
      </c>
    </row>
    <row r="218" spans="1:15" ht="12.5">
      <c r="A218" s="115" t="s">
        <v>3675</v>
      </c>
      <c r="B218" s="5">
        <v>0</v>
      </c>
      <c r="C218" s="5">
        <v>61</v>
      </c>
      <c r="D218" s="5">
        <v>4</v>
      </c>
      <c r="E218" s="5">
        <v>80</v>
      </c>
      <c r="F218" s="5">
        <v>6</v>
      </c>
      <c r="G218" s="5">
        <v>100</v>
      </c>
      <c r="H218" s="5" t="s">
        <v>3241</v>
      </c>
      <c r="I218" s="5" t="s">
        <v>3676</v>
      </c>
      <c r="J218" s="5" t="s">
        <v>3677</v>
      </c>
      <c r="K218" s="10" t="e">
        <f t="shared" si="0"/>
        <v>#VALUE!</v>
      </c>
      <c r="L218" s="10">
        <f t="shared" si="1"/>
        <v>1</v>
      </c>
      <c r="M218" s="10" t="str">
        <f t="shared" si="2"/>
        <v>001</v>
      </c>
      <c r="N218" s="10" t="str">
        <f t="shared" si="3"/>
        <v>01</v>
      </c>
      <c r="O218" s="10" t="str">
        <f t="shared" si="4"/>
        <v>KARYA BHAKTI</v>
      </c>
    </row>
    <row r="219" spans="1:15" ht="12.5">
      <c r="A219" s="115" t="s">
        <v>3678</v>
      </c>
      <c r="B219" s="5">
        <v>0</v>
      </c>
      <c r="C219" s="5">
        <v>61</v>
      </c>
      <c r="D219" s="5">
        <v>4</v>
      </c>
      <c r="E219" s="5">
        <v>80</v>
      </c>
      <c r="F219" s="5">
        <v>6</v>
      </c>
      <c r="G219" s="5">
        <v>200</v>
      </c>
      <c r="H219" s="5" t="s">
        <v>3241</v>
      </c>
      <c r="I219" s="5" t="s">
        <v>3676</v>
      </c>
      <c r="J219" s="5" t="s">
        <v>3679</v>
      </c>
      <c r="K219" s="10" t="e">
        <f t="shared" si="0"/>
        <v>#VALUE!</v>
      </c>
      <c r="L219" s="10">
        <f t="shared" si="1"/>
        <v>1</v>
      </c>
      <c r="M219" s="10" t="str">
        <f t="shared" si="2"/>
        <v>002</v>
      </c>
      <c r="N219" s="10" t="str">
        <f t="shared" si="3"/>
        <v>01</v>
      </c>
      <c r="O219" s="10" t="str">
        <f t="shared" si="4"/>
        <v>KARYA BHAKTI</v>
      </c>
    </row>
    <row r="220" spans="1:15" ht="12.5">
      <c r="A220" s="115" t="s">
        <v>3680</v>
      </c>
      <c r="B220" s="5">
        <v>0</v>
      </c>
      <c r="C220" s="5">
        <v>61</v>
      </c>
      <c r="D220" s="5">
        <v>4</v>
      </c>
      <c r="E220" s="5">
        <v>80</v>
      </c>
      <c r="F220" s="5">
        <v>6</v>
      </c>
      <c r="G220" s="5">
        <v>300</v>
      </c>
      <c r="H220" s="5" t="s">
        <v>3241</v>
      </c>
      <c r="I220" s="5" t="s">
        <v>3676</v>
      </c>
      <c r="J220" s="5" t="s">
        <v>3681</v>
      </c>
      <c r="K220" s="10" t="e">
        <f t="shared" si="0"/>
        <v>#VALUE!</v>
      </c>
      <c r="L220" s="10">
        <f t="shared" si="1"/>
        <v>1</v>
      </c>
      <c r="M220" s="10" t="str">
        <f t="shared" si="2"/>
        <v>003</v>
      </c>
      <c r="N220" s="10" t="str">
        <f t="shared" si="3"/>
        <v>01</v>
      </c>
      <c r="O220" s="10" t="str">
        <f t="shared" si="4"/>
        <v>KARYA BHAKTI</v>
      </c>
    </row>
    <row r="221" spans="1:15" ht="12.5">
      <c r="A221" s="115" t="s">
        <v>3682</v>
      </c>
      <c r="B221" s="5">
        <v>0</v>
      </c>
      <c r="C221" s="5">
        <v>61</v>
      </c>
      <c r="D221" s="5">
        <v>4</v>
      </c>
      <c r="E221" s="5">
        <v>80</v>
      </c>
      <c r="F221" s="5">
        <v>6</v>
      </c>
      <c r="G221" s="5">
        <v>400</v>
      </c>
      <c r="H221" s="5" t="s">
        <v>3241</v>
      </c>
      <c r="I221" s="5" t="s">
        <v>3676</v>
      </c>
      <c r="J221" s="5" t="s">
        <v>3683</v>
      </c>
      <c r="K221" s="10" t="e">
        <f t="shared" si="0"/>
        <v>#VALUE!</v>
      </c>
      <c r="L221" s="10">
        <f t="shared" si="1"/>
        <v>1</v>
      </c>
      <c r="M221" s="10" t="str">
        <f t="shared" si="2"/>
        <v>004</v>
      </c>
      <c r="N221" s="10" t="str">
        <f t="shared" si="3"/>
        <v>01</v>
      </c>
      <c r="O221" s="10" t="str">
        <f t="shared" si="4"/>
        <v>KARYA BHAKTI</v>
      </c>
    </row>
    <row r="222" spans="1:15" ht="12.5">
      <c r="A222" s="115" t="s">
        <v>3684</v>
      </c>
      <c r="B222" s="5">
        <v>0</v>
      </c>
      <c r="C222" s="5">
        <v>61</v>
      </c>
      <c r="D222" s="5">
        <v>4</v>
      </c>
      <c r="E222" s="5">
        <v>80</v>
      </c>
      <c r="F222" s="5">
        <v>6</v>
      </c>
      <c r="G222" s="5">
        <v>500</v>
      </c>
      <c r="H222" s="5" t="s">
        <v>3241</v>
      </c>
      <c r="I222" s="5" t="s">
        <v>3676</v>
      </c>
      <c r="J222" s="5" t="s">
        <v>3685</v>
      </c>
      <c r="K222" s="10" t="e">
        <f t="shared" si="0"/>
        <v>#VALUE!</v>
      </c>
      <c r="L222" s="10">
        <f t="shared" si="1"/>
        <v>1</v>
      </c>
      <c r="M222" s="10" t="str">
        <f t="shared" si="2"/>
        <v>001</v>
      </c>
      <c r="N222" s="10" t="str">
        <f t="shared" si="3"/>
        <v>02</v>
      </c>
      <c r="O222" s="10" t="str">
        <f t="shared" si="4"/>
        <v>KARYA BHAKTI</v>
      </c>
    </row>
    <row r="223" spans="1:15" ht="12.5">
      <c r="A223" s="115" t="s">
        <v>3686</v>
      </c>
      <c r="B223" s="5">
        <v>0</v>
      </c>
      <c r="C223" s="5">
        <v>61</v>
      </c>
      <c r="D223" s="5">
        <v>4</v>
      </c>
      <c r="E223" s="5">
        <v>80</v>
      </c>
      <c r="F223" s="5">
        <v>6</v>
      </c>
      <c r="G223" s="5">
        <v>600</v>
      </c>
      <c r="H223" s="5" t="s">
        <v>3241</v>
      </c>
      <c r="I223" s="5" t="s">
        <v>3676</v>
      </c>
      <c r="J223" s="5" t="s">
        <v>3687</v>
      </c>
      <c r="K223" s="10" t="e">
        <f t="shared" si="0"/>
        <v>#VALUE!</v>
      </c>
      <c r="L223" s="10">
        <f t="shared" si="1"/>
        <v>1</v>
      </c>
      <c r="M223" s="10" t="str">
        <f t="shared" si="2"/>
        <v>002</v>
      </c>
      <c r="N223" s="10" t="str">
        <f t="shared" si="3"/>
        <v>02</v>
      </c>
      <c r="O223" s="10" t="str">
        <f t="shared" si="4"/>
        <v>KARYA BHAKTI</v>
      </c>
    </row>
    <row r="224" spans="1:15" ht="12.5">
      <c r="A224" s="115" t="s">
        <v>3688</v>
      </c>
      <c r="B224" s="5">
        <v>0</v>
      </c>
      <c r="C224" s="5">
        <v>61</v>
      </c>
      <c r="D224" s="5">
        <v>4</v>
      </c>
      <c r="E224" s="5">
        <v>80</v>
      </c>
      <c r="F224" s="5">
        <v>6</v>
      </c>
      <c r="G224" s="5">
        <v>700</v>
      </c>
      <c r="H224" s="5" t="s">
        <v>3241</v>
      </c>
      <c r="I224" s="5" t="s">
        <v>3676</v>
      </c>
      <c r="J224" s="5" t="s">
        <v>3689</v>
      </c>
      <c r="K224" s="10" t="e">
        <f t="shared" si="0"/>
        <v>#VALUE!</v>
      </c>
      <c r="L224" s="10">
        <f t="shared" si="1"/>
        <v>1</v>
      </c>
      <c r="M224" s="10" t="str">
        <f t="shared" si="2"/>
        <v>003</v>
      </c>
      <c r="N224" s="10" t="str">
        <f t="shared" si="3"/>
        <v>02</v>
      </c>
      <c r="O224" s="10" t="str">
        <f t="shared" si="4"/>
        <v>KARYA BHAKTI</v>
      </c>
    </row>
    <row r="225" spans="1:15" ht="12.5">
      <c r="A225" s="115" t="s">
        <v>3690</v>
      </c>
      <c r="B225" s="5">
        <v>0</v>
      </c>
      <c r="C225" s="5">
        <v>61</v>
      </c>
      <c r="D225" s="5">
        <v>4</v>
      </c>
      <c r="E225" s="5">
        <v>80</v>
      </c>
      <c r="F225" s="5">
        <v>6</v>
      </c>
      <c r="G225" s="5">
        <v>800</v>
      </c>
      <c r="H225" s="5" t="s">
        <v>3241</v>
      </c>
      <c r="I225" s="5" t="s">
        <v>3676</v>
      </c>
      <c r="J225" s="5" t="s">
        <v>3691</v>
      </c>
      <c r="K225" s="10" t="e">
        <f t="shared" si="0"/>
        <v>#VALUE!</v>
      </c>
      <c r="L225" s="10">
        <f t="shared" si="1"/>
        <v>1</v>
      </c>
      <c r="M225" s="10" t="str">
        <f t="shared" si="2"/>
        <v>004</v>
      </c>
      <c r="N225" s="10" t="str">
        <f t="shared" si="3"/>
        <v>02</v>
      </c>
      <c r="O225" s="10" t="str">
        <f t="shared" si="4"/>
        <v>KARYA BHAKTI</v>
      </c>
    </row>
    <row r="226" spans="1:15" ht="12.5">
      <c r="A226" s="115" t="s">
        <v>3692</v>
      </c>
      <c r="B226" s="5">
        <v>0</v>
      </c>
      <c r="C226" s="5">
        <v>61</v>
      </c>
      <c r="D226" s="5">
        <v>4</v>
      </c>
      <c r="E226" s="5">
        <v>80</v>
      </c>
      <c r="F226" s="5">
        <v>6</v>
      </c>
      <c r="G226" s="5">
        <v>900</v>
      </c>
      <c r="H226" s="5" t="s">
        <v>3241</v>
      </c>
      <c r="I226" s="5" t="s">
        <v>3676</v>
      </c>
      <c r="J226" s="5" t="s">
        <v>3693</v>
      </c>
      <c r="K226" s="10" t="e">
        <f t="shared" si="0"/>
        <v>#VALUE!</v>
      </c>
      <c r="L226" s="10">
        <f t="shared" si="1"/>
        <v>1</v>
      </c>
      <c r="M226" s="10" t="str">
        <f t="shared" si="2"/>
        <v>005</v>
      </c>
      <c r="N226" s="10" t="str">
        <f t="shared" si="3"/>
        <v>02</v>
      </c>
      <c r="O226" s="10" t="str">
        <f t="shared" si="4"/>
        <v>KARYA BHAKTI</v>
      </c>
    </row>
    <row r="227" spans="1:15" ht="12.5">
      <c r="A227" s="115" t="s">
        <v>3694</v>
      </c>
      <c r="B227" s="5">
        <v>0</v>
      </c>
      <c r="C227" s="5">
        <v>61</v>
      </c>
      <c r="D227" s="5">
        <v>4</v>
      </c>
      <c r="E227" s="5">
        <v>80</v>
      </c>
      <c r="F227" s="5">
        <v>6</v>
      </c>
      <c r="G227" s="5">
        <v>1000</v>
      </c>
      <c r="H227" s="5" t="s">
        <v>3241</v>
      </c>
      <c r="I227" s="5" t="s">
        <v>3676</v>
      </c>
      <c r="J227" s="5" t="s">
        <v>3695</v>
      </c>
      <c r="K227" s="10" t="e">
        <f t="shared" si="0"/>
        <v>#VALUE!</v>
      </c>
      <c r="L227" s="10">
        <f t="shared" si="1"/>
        <v>1</v>
      </c>
      <c r="M227" s="10" t="str">
        <f t="shared" si="2"/>
        <v>001</v>
      </c>
      <c r="N227" s="10" t="str">
        <f t="shared" si="3"/>
        <v>03</v>
      </c>
      <c r="O227" s="10" t="str">
        <f t="shared" si="4"/>
        <v>PANCA BHAKTI</v>
      </c>
    </row>
    <row r="228" spans="1:15" ht="12.5">
      <c r="A228" s="115" t="s">
        <v>3696</v>
      </c>
      <c r="B228" s="5">
        <v>0</v>
      </c>
      <c r="C228" s="5">
        <v>61</v>
      </c>
      <c r="D228" s="5">
        <v>4</v>
      </c>
      <c r="E228" s="5">
        <v>80</v>
      </c>
      <c r="F228" s="5">
        <v>6</v>
      </c>
      <c r="G228" s="5">
        <v>1100</v>
      </c>
      <c r="H228" s="5" t="s">
        <v>3241</v>
      </c>
      <c r="I228" s="5" t="s">
        <v>3676</v>
      </c>
      <c r="J228" s="5" t="s">
        <v>3697</v>
      </c>
      <c r="K228" s="10" t="e">
        <f t="shared" si="0"/>
        <v>#VALUE!</v>
      </c>
      <c r="L228" s="10">
        <f t="shared" si="1"/>
        <v>1</v>
      </c>
      <c r="M228" s="10" t="str">
        <f t="shared" si="2"/>
        <v>002</v>
      </c>
      <c r="N228" s="10" t="str">
        <f t="shared" si="3"/>
        <v>03</v>
      </c>
      <c r="O228" s="10" t="str">
        <f t="shared" si="4"/>
        <v>PANCA BHAKTI</v>
      </c>
    </row>
    <row r="229" spans="1:15" ht="12.5">
      <c r="A229" s="115" t="s">
        <v>3698</v>
      </c>
      <c r="B229" s="5">
        <v>0</v>
      </c>
      <c r="C229" s="5">
        <v>61</v>
      </c>
      <c r="D229" s="5">
        <v>4</v>
      </c>
      <c r="E229" s="5">
        <v>80</v>
      </c>
      <c r="F229" s="5">
        <v>6</v>
      </c>
      <c r="G229" s="5">
        <v>1200</v>
      </c>
      <c r="H229" s="5" t="s">
        <v>3241</v>
      </c>
      <c r="I229" s="5" t="s">
        <v>3676</v>
      </c>
      <c r="J229" s="5" t="s">
        <v>3699</v>
      </c>
      <c r="K229" s="10" t="e">
        <f t="shared" si="0"/>
        <v>#VALUE!</v>
      </c>
      <c r="L229" s="10">
        <f t="shared" si="1"/>
        <v>1</v>
      </c>
      <c r="M229" s="10" t="str">
        <f t="shared" si="2"/>
        <v>003</v>
      </c>
      <c r="N229" s="10" t="str">
        <f t="shared" si="3"/>
        <v>03</v>
      </c>
      <c r="O229" s="10" t="str">
        <f t="shared" si="4"/>
        <v>PANCA BHAKTI</v>
      </c>
    </row>
    <row r="230" spans="1:15" ht="12.5">
      <c r="A230" s="115" t="s">
        <v>3700</v>
      </c>
      <c r="B230" s="5">
        <v>0</v>
      </c>
      <c r="C230" s="5">
        <v>61</v>
      </c>
      <c r="D230" s="5">
        <v>4</v>
      </c>
      <c r="E230" s="5">
        <v>80</v>
      </c>
      <c r="F230" s="5">
        <v>6</v>
      </c>
      <c r="G230" s="5">
        <v>1300</v>
      </c>
      <c r="H230" s="5" t="s">
        <v>3241</v>
      </c>
      <c r="I230" s="5" t="s">
        <v>3676</v>
      </c>
      <c r="J230" s="5" t="s">
        <v>3701</v>
      </c>
      <c r="K230" s="10" t="e">
        <f t="shared" si="0"/>
        <v>#VALUE!</v>
      </c>
      <c r="L230" s="10">
        <f t="shared" si="1"/>
        <v>1</v>
      </c>
      <c r="M230" s="10" t="str">
        <f t="shared" si="2"/>
        <v>004</v>
      </c>
      <c r="N230" s="10" t="str">
        <f t="shared" si="3"/>
        <v>03</v>
      </c>
      <c r="O230" s="10" t="str">
        <f t="shared" si="4"/>
        <v>PANCA BHAKTI</v>
      </c>
    </row>
    <row r="231" spans="1:15" ht="12.5">
      <c r="A231" s="115" t="s">
        <v>3702</v>
      </c>
      <c r="B231" s="5">
        <v>0</v>
      </c>
      <c r="C231" s="5">
        <v>61</v>
      </c>
      <c r="D231" s="5">
        <v>4</v>
      </c>
      <c r="E231" s="5">
        <v>80</v>
      </c>
      <c r="F231" s="5">
        <v>6</v>
      </c>
      <c r="G231" s="5">
        <v>1400</v>
      </c>
      <c r="H231" s="5" t="s">
        <v>3241</v>
      </c>
      <c r="I231" s="5" t="s">
        <v>3676</v>
      </c>
      <c r="J231" s="5" t="s">
        <v>3703</v>
      </c>
      <c r="K231" s="10" t="e">
        <f t="shared" si="0"/>
        <v>#VALUE!</v>
      </c>
      <c r="L231" s="10">
        <f t="shared" si="1"/>
        <v>1</v>
      </c>
      <c r="M231" s="10" t="str">
        <f t="shared" si="2"/>
        <v>001</v>
      </c>
      <c r="N231" s="10" t="str">
        <f t="shared" si="3"/>
        <v>04</v>
      </c>
      <c r="O231" s="10" t="str">
        <f t="shared" si="4"/>
        <v>TARUNA BHAKTI</v>
      </c>
    </row>
    <row r="232" spans="1:15" ht="12.5">
      <c r="A232" s="115" t="s">
        <v>3704</v>
      </c>
      <c r="B232" s="5">
        <v>0</v>
      </c>
      <c r="C232" s="5">
        <v>61</v>
      </c>
      <c r="D232" s="5">
        <v>4</v>
      </c>
      <c r="E232" s="5">
        <v>80</v>
      </c>
      <c r="F232" s="5">
        <v>6</v>
      </c>
      <c r="G232" s="5">
        <v>1500</v>
      </c>
      <c r="H232" s="5" t="s">
        <v>3241</v>
      </c>
      <c r="I232" s="5" t="s">
        <v>3676</v>
      </c>
      <c r="J232" s="5" t="s">
        <v>3705</v>
      </c>
      <c r="K232" s="10" t="e">
        <f t="shared" si="0"/>
        <v>#VALUE!</v>
      </c>
      <c r="L232" s="10">
        <f t="shared" si="1"/>
        <v>1</v>
      </c>
      <c r="M232" s="10" t="str">
        <f t="shared" si="2"/>
        <v>002</v>
      </c>
      <c r="N232" s="10" t="str">
        <f t="shared" si="3"/>
        <v>04</v>
      </c>
      <c r="O232" s="10" t="str">
        <f t="shared" si="4"/>
        <v>TARUNA BHAKTI</v>
      </c>
    </row>
    <row r="233" spans="1:15" ht="12.5">
      <c r="A233" s="115" t="s">
        <v>3706</v>
      </c>
      <c r="B233" s="5">
        <v>0</v>
      </c>
      <c r="C233" s="5">
        <v>61</v>
      </c>
      <c r="D233" s="5">
        <v>4</v>
      </c>
      <c r="E233" s="5">
        <v>80</v>
      </c>
      <c r="F233" s="5">
        <v>6</v>
      </c>
      <c r="G233" s="5">
        <v>1600</v>
      </c>
      <c r="H233" s="5" t="s">
        <v>3241</v>
      </c>
      <c r="I233" s="5" t="s">
        <v>3676</v>
      </c>
      <c r="J233" s="5" t="s">
        <v>3707</v>
      </c>
      <c r="K233" s="10" t="e">
        <f t="shared" si="0"/>
        <v>#VALUE!</v>
      </c>
      <c r="L233" s="10">
        <f t="shared" si="1"/>
        <v>1</v>
      </c>
      <c r="M233" s="10" t="str">
        <f t="shared" si="2"/>
        <v>001</v>
      </c>
      <c r="N233" s="10" t="str">
        <f t="shared" si="3"/>
        <v>05</v>
      </c>
      <c r="O233" s="10" t="str">
        <f t="shared" si="4"/>
        <v>TARUNA BHAKTI</v>
      </c>
    </row>
    <row r="234" spans="1:15" ht="12.5">
      <c r="A234" s="115" t="s">
        <v>3708</v>
      </c>
      <c r="B234" s="5">
        <v>0</v>
      </c>
      <c r="C234" s="5">
        <v>61</v>
      </c>
      <c r="D234" s="5">
        <v>4</v>
      </c>
      <c r="E234" s="5">
        <v>80</v>
      </c>
      <c r="F234" s="5">
        <v>6</v>
      </c>
      <c r="G234" s="5">
        <v>1700</v>
      </c>
      <c r="H234" s="5" t="s">
        <v>3241</v>
      </c>
      <c r="I234" s="5" t="s">
        <v>3676</v>
      </c>
      <c r="J234" s="5" t="s">
        <v>3709</v>
      </c>
      <c r="K234" s="10" t="e">
        <f t="shared" si="0"/>
        <v>#VALUE!</v>
      </c>
      <c r="L234" s="10">
        <f t="shared" si="1"/>
        <v>1</v>
      </c>
      <c r="M234" s="10" t="str">
        <f t="shared" si="2"/>
        <v>002</v>
      </c>
      <c r="N234" s="10" t="str">
        <f t="shared" si="3"/>
        <v>05</v>
      </c>
      <c r="O234" s="10" t="str">
        <f t="shared" si="4"/>
        <v>TARUNA BHAKTI</v>
      </c>
    </row>
    <row r="235" spans="1:15" ht="12.5">
      <c r="A235" s="115" t="s">
        <v>3710</v>
      </c>
      <c r="B235" s="5">
        <v>0</v>
      </c>
      <c r="C235" s="5">
        <v>61</v>
      </c>
      <c r="D235" s="5">
        <v>4</v>
      </c>
      <c r="E235" s="5">
        <v>80</v>
      </c>
      <c r="F235" s="5">
        <v>6</v>
      </c>
      <c r="G235" s="5">
        <v>1800</v>
      </c>
      <c r="H235" s="5" t="s">
        <v>3241</v>
      </c>
      <c r="I235" s="5" t="s">
        <v>3676</v>
      </c>
      <c r="J235" s="5" t="s">
        <v>3711</v>
      </c>
      <c r="K235" s="10" t="e">
        <f t="shared" si="0"/>
        <v>#VALUE!</v>
      </c>
      <c r="L235" s="10">
        <f t="shared" si="1"/>
        <v>1</v>
      </c>
      <c r="M235" s="10" t="str">
        <f t="shared" si="2"/>
        <v>006</v>
      </c>
      <c r="N235" s="10" t="str">
        <f t="shared" si="3"/>
        <v>02</v>
      </c>
      <c r="O235" s="10" t="str">
        <f t="shared" si="4"/>
        <v>KARYA BHAKTI</v>
      </c>
    </row>
    <row r="236" spans="1:15" ht="12.5">
      <c r="A236" s="115" t="s">
        <v>3712</v>
      </c>
      <c r="B236" s="5">
        <v>0</v>
      </c>
      <c r="C236" s="5">
        <v>61</v>
      </c>
      <c r="D236" s="5">
        <v>4</v>
      </c>
      <c r="E236" s="5">
        <v>80</v>
      </c>
      <c r="F236" s="5">
        <v>6</v>
      </c>
      <c r="G236" s="5">
        <v>1901</v>
      </c>
      <c r="H236" s="5" t="s">
        <v>3241</v>
      </c>
      <c r="I236" s="5" t="s">
        <v>3676</v>
      </c>
      <c r="J236" s="5" t="s">
        <v>3713</v>
      </c>
      <c r="K236" s="10" t="e">
        <f t="shared" si="0"/>
        <v>#VALUE!</v>
      </c>
      <c r="L236" s="10">
        <f t="shared" si="1"/>
        <v>1</v>
      </c>
      <c r="M236" s="10" t="str">
        <f t="shared" si="2"/>
        <v>007</v>
      </c>
      <c r="N236" s="10" t="str">
        <f t="shared" si="3"/>
        <v>02</v>
      </c>
      <c r="O236" s="10" t="str">
        <f t="shared" si="4"/>
        <v>KARYA BHAKTI</v>
      </c>
    </row>
    <row r="237" spans="1:15" ht="12.5">
      <c r="A237" s="115" t="s">
        <v>3712</v>
      </c>
      <c r="B237" s="5">
        <v>0</v>
      </c>
      <c r="C237" s="5">
        <v>61</v>
      </c>
      <c r="D237" s="5">
        <v>4</v>
      </c>
      <c r="E237" s="5">
        <v>80</v>
      </c>
      <c r="F237" s="5">
        <v>6</v>
      </c>
      <c r="G237" s="5">
        <v>1902</v>
      </c>
      <c r="H237" s="5" t="s">
        <v>3241</v>
      </c>
      <c r="I237" s="5" t="s">
        <v>3676</v>
      </c>
      <c r="J237" s="5" t="s">
        <v>3713</v>
      </c>
      <c r="K237" s="10" t="e">
        <f t="shared" si="0"/>
        <v>#VALUE!</v>
      </c>
      <c r="L237" s="10">
        <f t="shared" si="1"/>
        <v>1</v>
      </c>
      <c r="M237" s="10" t="str">
        <f t="shared" si="2"/>
        <v>007</v>
      </c>
      <c r="N237" s="10" t="str">
        <f t="shared" si="3"/>
        <v>02</v>
      </c>
      <c r="O237" s="10" t="str">
        <f t="shared" si="4"/>
        <v>KARYA BHAKTI</v>
      </c>
    </row>
    <row r="238" spans="1:15" ht="12.5">
      <c r="A238" s="115" t="s">
        <v>3714</v>
      </c>
      <c r="B238" s="5">
        <v>0</v>
      </c>
      <c r="C238" s="5">
        <v>61</v>
      </c>
      <c r="D238" s="5">
        <v>4</v>
      </c>
      <c r="E238" s="5">
        <v>81</v>
      </c>
      <c r="F238" s="5">
        <v>1</v>
      </c>
      <c r="G238" s="5">
        <v>100</v>
      </c>
      <c r="H238" s="5" t="s">
        <v>3715</v>
      </c>
      <c r="I238" s="5" t="s">
        <v>3716</v>
      </c>
      <c r="J238" s="5" t="s">
        <v>3717</v>
      </c>
      <c r="K238" s="10" t="e">
        <f t="shared" si="0"/>
        <v>#VALUE!</v>
      </c>
      <c r="L238" s="10">
        <f t="shared" si="1"/>
        <v>1</v>
      </c>
      <c r="M238" s="10" t="str">
        <f t="shared" si="2"/>
        <v>001</v>
      </c>
      <c r="N238" s="10" t="str">
        <f t="shared" si="3"/>
        <v>001</v>
      </c>
      <c r="O238" s="10" t="str">
        <f t="shared" si="4"/>
        <v>SY. ABU BAKAR</v>
      </c>
    </row>
    <row r="239" spans="1:15" ht="12.5">
      <c r="A239" s="115" t="s">
        <v>3718</v>
      </c>
      <c r="B239" s="5">
        <v>0</v>
      </c>
      <c r="C239" s="5">
        <v>61</v>
      </c>
      <c r="D239" s="5">
        <v>4</v>
      </c>
      <c r="E239" s="5">
        <v>81</v>
      </c>
      <c r="F239" s="5">
        <v>1</v>
      </c>
      <c r="G239" s="5">
        <v>200</v>
      </c>
      <c r="H239" s="5" t="s">
        <v>3715</v>
      </c>
      <c r="I239" s="5" t="s">
        <v>3716</v>
      </c>
      <c r="J239" s="5" t="s">
        <v>3719</v>
      </c>
      <c r="K239" s="10" t="e">
        <f t="shared" si="0"/>
        <v>#VALUE!</v>
      </c>
      <c r="L239" s="10">
        <f t="shared" si="1"/>
        <v>1</v>
      </c>
      <c r="M239" s="10" t="str">
        <f t="shared" si="2"/>
        <v>002</v>
      </c>
      <c r="N239" s="10" t="str">
        <f t="shared" si="3"/>
        <v>001</v>
      </c>
      <c r="O239" s="10" t="str">
        <f t="shared" si="4"/>
        <v>SY. ABU BAKAR</v>
      </c>
    </row>
    <row r="240" spans="1:15" ht="12.5">
      <c r="A240" s="115" t="s">
        <v>3720</v>
      </c>
      <c r="B240" s="5">
        <v>0</v>
      </c>
      <c r="C240" s="5">
        <v>61</v>
      </c>
      <c r="D240" s="5">
        <v>4</v>
      </c>
      <c r="E240" s="5">
        <v>81</v>
      </c>
      <c r="F240" s="5">
        <v>1</v>
      </c>
      <c r="G240" s="5">
        <v>300</v>
      </c>
      <c r="H240" s="5" t="s">
        <v>3715</v>
      </c>
      <c r="I240" s="5" t="s">
        <v>3716</v>
      </c>
      <c r="J240" s="5" t="s">
        <v>3721</v>
      </c>
      <c r="K240" s="10" t="e">
        <f t="shared" si="0"/>
        <v>#VALUE!</v>
      </c>
      <c r="L240" s="10">
        <f t="shared" si="1"/>
        <v>1</v>
      </c>
      <c r="M240" s="10" t="str">
        <f t="shared" si="2"/>
        <v>003</v>
      </c>
      <c r="N240" s="10" t="str">
        <f t="shared" si="3"/>
        <v>001</v>
      </c>
      <c r="O240" s="10" t="str">
        <f t="shared" si="4"/>
        <v>SY. ABU BAKAR</v>
      </c>
    </row>
    <row r="241" spans="1:15" ht="12.5">
      <c r="A241" s="115" t="s">
        <v>3722</v>
      </c>
      <c r="B241" s="5">
        <v>0</v>
      </c>
      <c r="C241" s="5">
        <v>61</v>
      </c>
      <c r="D241" s="5">
        <v>4</v>
      </c>
      <c r="E241" s="5">
        <v>81</v>
      </c>
      <c r="F241" s="5">
        <v>1</v>
      </c>
      <c r="G241" s="5">
        <v>400</v>
      </c>
      <c r="H241" s="5" t="s">
        <v>3715</v>
      </c>
      <c r="I241" s="5" t="s">
        <v>3716</v>
      </c>
      <c r="J241" s="5" t="s">
        <v>3723</v>
      </c>
      <c r="K241" s="10" t="e">
        <f t="shared" si="0"/>
        <v>#VALUE!</v>
      </c>
      <c r="L241" s="10">
        <f t="shared" si="1"/>
        <v>1</v>
      </c>
      <c r="M241" s="10" t="str">
        <f t="shared" si="2"/>
        <v>004</v>
      </c>
      <c r="N241" s="10" t="str">
        <f t="shared" si="3"/>
        <v>001</v>
      </c>
      <c r="O241" s="10" t="str">
        <f t="shared" si="4"/>
        <v>SY. ABU BAKAR</v>
      </c>
    </row>
    <row r="242" spans="1:15" ht="12.5">
      <c r="A242" s="115" t="s">
        <v>3724</v>
      </c>
      <c r="B242" s="5">
        <v>0</v>
      </c>
      <c r="C242" s="5">
        <v>61</v>
      </c>
      <c r="D242" s="5">
        <v>4</v>
      </c>
      <c r="E242" s="5">
        <v>81</v>
      </c>
      <c r="F242" s="5">
        <v>1</v>
      </c>
      <c r="G242" s="5">
        <v>500</v>
      </c>
      <c r="H242" s="5" t="s">
        <v>3715</v>
      </c>
      <c r="I242" s="5" t="s">
        <v>3716</v>
      </c>
      <c r="J242" s="5" t="s">
        <v>3725</v>
      </c>
      <c r="K242" s="10" t="e">
        <f t="shared" si="0"/>
        <v>#VALUE!</v>
      </c>
      <c r="L242" s="10">
        <f t="shared" si="1"/>
        <v>1</v>
      </c>
      <c r="M242" s="10" t="str">
        <f t="shared" si="2"/>
        <v>005</v>
      </c>
      <c r="N242" s="10" t="str">
        <f t="shared" si="3"/>
        <v>002</v>
      </c>
      <c r="O242" s="10" t="str">
        <f t="shared" si="4"/>
        <v>SY. ABU BAKAR</v>
      </c>
    </row>
    <row r="243" spans="1:15" ht="12.5">
      <c r="A243" s="115" t="s">
        <v>3726</v>
      </c>
      <c r="B243" s="5">
        <v>0</v>
      </c>
      <c r="C243" s="5">
        <v>61</v>
      </c>
      <c r="D243" s="5">
        <v>4</v>
      </c>
      <c r="E243" s="5">
        <v>81</v>
      </c>
      <c r="F243" s="5">
        <v>1</v>
      </c>
      <c r="G243" s="5">
        <v>600</v>
      </c>
      <c r="H243" s="5" t="s">
        <v>3715</v>
      </c>
      <c r="I243" s="5" t="s">
        <v>3716</v>
      </c>
      <c r="J243" s="5" t="s">
        <v>3727</v>
      </c>
      <c r="K243" s="10" t="e">
        <f t="shared" si="0"/>
        <v>#VALUE!</v>
      </c>
      <c r="L243" s="10">
        <f t="shared" si="1"/>
        <v>1</v>
      </c>
      <c r="M243" s="10" t="str">
        <f t="shared" si="2"/>
        <v>006</v>
      </c>
      <c r="N243" s="10" t="str">
        <f t="shared" si="3"/>
        <v>002</v>
      </c>
      <c r="O243" s="10" t="str">
        <f t="shared" si="4"/>
        <v>SY. ABU BAKAR</v>
      </c>
    </row>
    <row r="244" spans="1:15" ht="12.5">
      <c r="A244" s="115" t="s">
        <v>3728</v>
      </c>
      <c r="B244" s="5">
        <v>0</v>
      </c>
      <c r="C244" s="5">
        <v>61</v>
      </c>
      <c r="D244" s="5">
        <v>4</v>
      </c>
      <c r="E244" s="5">
        <v>81</v>
      </c>
      <c r="F244" s="5">
        <v>1</v>
      </c>
      <c r="G244" s="5">
        <v>700</v>
      </c>
      <c r="H244" s="5" t="s">
        <v>3715</v>
      </c>
      <c r="I244" s="5" t="s">
        <v>3716</v>
      </c>
      <c r="J244" s="5" t="s">
        <v>3729</v>
      </c>
      <c r="K244" s="10" t="e">
        <f t="shared" si="0"/>
        <v>#VALUE!</v>
      </c>
      <c r="L244" s="10">
        <f t="shared" si="1"/>
        <v>1</v>
      </c>
      <c r="M244" s="10" t="str">
        <f t="shared" si="2"/>
        <v>007</v>
      </c>
      <c r="N244" s="10" t="str">
        <f t="shared" si="3"/>
        <v>002</v>
      </c>
      <c r="O244" s="10" t="str">
        <f t="shared" si="4"/>
        <v>SY. ABU BAKAR</v>
      </c>
    </row>
    <row r="245" spans="1:15" ht="12.5">
      <c r="A245" s="115" t="s">
        <v>3730</v>
      </c>
      <c r="B245" s="5">
        <v>0</v>
      </c>
      <c r="C245" s="5">
        <v>61</v>
      </c>
      <c r="D245" s="5">
        <v>4</v>
      </c>
      <c r="E245" s="5">
        <v>81</v>
      </c>
      <c r="F245" s="5">
        <v>1</v>
      </c>
      <c r="G245" s="5">
        <v>800</v>
      </c>
      <c r="H245" s="5" t="s">
        <v>3715</v>
      </c>
      <c r="I245" s="5" t="s">
        <v>3716</v>
      </c>
      <c r="J245" s="5" t="s">
        <v>3731</v>
      </c>
      <c r="K245" s="10" t="e">
        <f t="shared" si="0"/>
        <v>#VALUE!</v>
      </c>
      <c r="L245" s="10">
        <f t="shared" si="1"/>
        <v>1</v>
      </c>
      <c r="M245" s="10" t="str">
        <f t="shared" si="2"/>
        <v>008</v>
      </c>
      <c r="N245" s="10" t="str">
        <f t="shared" si="3"/>
        <v>002</v>
      </c>
      <c r="O245" s="10" t="str">
        <f t="shared" si="4"/>
        <v>SY. ABU BAKAR</v>
      </c>
    </row>
    <row r="246" spans="1:15" ht="12.5">
      <c r="A246" s="115" t="s">
        <v>3732</v>
      </c>
      <c r="B246" s="5">
        <v>0</v>
      </c>
      <c r="C246" s="5">
        <v>61</v>
      </c>
      <c r="D246" s="5">
        <v>4</v>
      </c>
      <c r="E246" s="5">
        <v>81</v>
      </c>
      <c r="F246" s="5">
        <v>1</v>
      </c>
      <c r="G246" s="5">
        <v>900</v>
      </c>
      <c r="H246" s="5" t="s">
        <v>3715</v>
      </c>
      <c r="I246" s="5" t="s">
        <v>3716</v>
      </c>
      <c r="J246" s="5" t="s">
        <v>3733</v>
      </c>
      <c r="K246" s="10" t="e">
        <f t="shared" si="0"/>
        <v>#VALUE!</v>
      </c>
      <c r="L246" s="10">
        <f t="shared" si="1"/>
        <v>1</v>
      </c>
      <c r="M246" s="10" t="str">
        <f t="shared" si="2"/>
        <v>009</v>
      </c>
      <c r="N246" s="10" t="str">
        <f t="shared" si="3"/>
        <v>003</v>
      </c>
      <c r="O246" s="10" t="str">
        <f t="shared" si="4"/>
        <v>WAK PAIK</v>
      </c>
    </row>
    <row r="247" spans="1:15" ht="12.5">
      <c r="A247" s="115" t="s">
        <v>3734</v>
      </c>
      <c r="B247" s="5">
        <v>0</v>
      </c>
      <c r="C247" s="5">
        <v>61</v>
      </c>
      <c r="D247" s="5">
        <v>4</v>
      </c>
      <c r="E247" s="5">
        <v>81</v>
      </c>
      <c r="F247" s="5">
        <v>1</v>
      </c>
      <c r="G247" s="5">
        <v>1000</v>
      </c>
      <c r="H247" s="5" t="s">
        <v>3715</v>
      </c>
      <c r="I247" s="5" t="s">
        <v>3716</v>
      </c>
      <c r="J247" s="5" t="s">
        <v>3735</v>
      </c>
      <c r="K247" s="10" t="e">
        <f t="shared" si="0"/>
        <v>#VALUE!</v>
      </c>
      <c r="L247" s="10">
        <f t="shared" si="1"/>
        <v>1</v>
      </c>
      <c r="M247" s="10" t="str">
        <f t="shared" si="2"/>
        <v>010</v>
      </c>
      <c r="N247" s="10" t="str">
        <f t="shared" si="3"/>
        <v>003</v>
      </c>
      <c r="O247" s="10" t="str">
        <f t="shared" si="4"/>
        <v>WAK PAIK</v>
      </c>
    </row>
    <row r="248" spans="1:15" ht="12.5">
      <c r="A248" s="115" t="s">
        <v>3736</v>
      </c>
      <c r="B248" s="5">
        <v>0</v>
      </c>
      <c r="C248" s="5">
        <v>61</v>
      </c>
      <c r="D248" s="5">
        <v>4</v>
      </c>
      <c r="E248" s="5">
        <v>81</v>
      </c>
      <c r="F248" s="5">
        <v>1</v>
      </c>
      <c r="G248" s="5">
        <v>1100</v>
      </c>
      <c r="H248" s="5" t="s">
        <v>3715</v>
      </c>
      <c r="I248" s="5" t="s">
        <v>3716</v>
      </c>
      <c r="J248" s="5" t="s">
        <v>3737</v>
      </c>
      <c r="K248" s="10" t="e">
        <f t="shared" si="0"/>
        <v>#VALUE!</v>
      </c>
      <c r="L248" s="10">
        <f t="shared" si="1"/>
        <v>1</v>
      </c>
      <c r="M248" s="10" t="str">
        <f t="shared" si="2"/>
        <v>011</v>
      </c>
      <c r="N248" s="10" t="str">
        <f t="shared" si="3"/>
        <v>003</v>
      </c>
      <c r="O248" s="10" t="str">
        <f t="shared" si="4"/>
        <v>WAK PAIK</v>
      </c>
    </row>
    <row r="249" spans="1:15" ht="12.5">
      <c r="A249" s="115" t="s">
        <v>3738</v>
      </c>
      <c r="B249" s="5">
        <v>0</v>
      </c>
      <c r="C249" s="5">
        <v>61</v>
      </c>
      <c r="D249" s="5">
        <v>4</v>
      </c>
      <c r="E249" s="5">
        <v>81</v>
      </c>
      <c r="F249" s="5">
        <v>1</v>
      </c>
      <c r="G249" s="5">
        <v>1200</v>
      </c>
      <c r="H249" s="5" t="s">
        <v>3715</v>
      </c>
      <c r="I249" s="5" t="s">
        <v>3716</v>
      </c>
      <c r="J249" s="5" t="s">
        <v>3739</v>
      </c>
      <c r="K249" s="10" t="e">
        <f t="shared" si="0"/>
        <v>#VALUE!</v>
      </c>
      <c r="L249" s="10">
        <f t="shared" si="1"/>
        <v>1</v>
      </c>
      <c r="M249" s="10" t="str">
        <f t="shared" si="2"/>
        <v>012</v>
      </c>
      <c r="N249" s="10" t="str">
        <f t="shared" si="3"/>
        <v>003</v>
      </c>
      <c r="O249" s="10" t="str">
        <f t="shared" si="4"/>
        <v>WAK PAIK</v>
      </c>
    </row>
    <row r="250" spans="1:15" ht="12.5">
      <c r="A250" s="115" t="s">
        <v>3740</v>
      </c>
      <c r="B250" s="5">
        <v>0</v>
      </c>
      <c r="C250" s="5">
        <v>61</v>
      </c>
      <c r="D250" s="5">
        <v>4</v>
      </c>
      <c r="E250" s="5">
        <v>81</v>
      </c>
      <c r="F250" s="5">
        <v>1</v>
      </c>
      <c r="G250" s="5">
        <v>1300</v>
      </c>
      <c r="H250" s="5" t="s">
        <v>3715</v>
      </c>
      <c r="I250" s="5" t="s">
        <v>3716</v>
      </c>
      <c r="J250" s="5" t="s">
        <v>3741</v>
      </c>
      <c r="K250" s="10" t="e">
        <f t="shared" si="0"/>
        <v>#VALUE!</v>
      </c>
      <c r="L250" s="10">
        <f t="shared" si="1"/>
        <v>1</v>
      </c>
      <c r="M250" s="10" t="str">
        <f t="shared" si="2"/>
        <v>013</v>
      </c>
      <c r="N250" s="10" t="str">
        <f t="shared" si="3"/>
        <v>004</v>
      </c>
      <c r="O250" s="10" t="str">
        <f t="shared" si="4"/>
        <v>WAK PAIK</v>
      </c>
    </row>
    <row r="251" spans="1:15" ht="12.5">
      <c r="A251" s="115" t="s">
        <v>3742</v>
      </c>
      <c r="B251" s="5">
        <v>0</v>
      </c>
      <c r="C251" s="5">
        <v>61</v>
      </c>
      <c r="D251" s="5">
        <v>4</v>
      </c>
      <c r="E251" s="5">
        <v>81</v>
      </c>
      <c r="F251" s="5">
        <v>1</v>
      </c>
      <c r="G251" s="5">
        <v>1400</v>
      </c>
      <c r="H251" s="5" t="s">
        <v>3715</v>
      </c>
      <c r="I251" s="5" t="s">
        <v>3716</v>
      </c>
      <c r="J251" s="5" t="s">
        <v>3743</v>
      </c>
      <c r="K251" s="10" t="e">
        <f t="shared" si="0"/>
        <v>#VALUE!</v>
      </c>
      <c r="L251" s="10">
        <f t="shared" si="1"/>
        <v>1</v>
      </c>
      <c r="M251" s="10" t="str">
        <f t="shared" si="2"/>
        <v>014</v>
      </c>
      <c r="N251" s="10" t="str">
        <f t="shared" si="3"/>
        <v>004</v>
      </c>
      <c r="O251" s="10" t="str">
        <f t="shared" si="4"/>
        <v>WAK PAIK</v>
      </c>
    </row>
    <row r="252" spans="1:15" ht="12.5">
      <c r="A252" s="115" t="s">
        <v>3744</v>
      </c>
      <c r="B252" s="5">
        <v>0</v>
      </c>
      <c r="C252" s="5">
        <v>61</v>
      </c>
      <c r="D252" s="5">
        <v>4</v>
      </c>
      <c r="E252" s="5">
        <v>81</v>
      </c>
      <c r="F252" s="5">
        <v>1</v>
      </c>
      <c r="G252" s="5">
        <v>1500</v>
      </c>
      <c r="H252" s="5" t="s">
        <v>3715</v>
      </c>
      <c r="I252" s="5" t="s">
        <v>3716</v>
      </c>
      <c r="J252" s="5" t="s">
        <v>3745</v>
      </c>
      <c r="K252" s="10" t="e">
        <f t="shared" si="0"/>
        <v>#VALUE!</v>
      </c>
      <c r="L252" s="10">
        <f t="shared" si="1"/>
        <v>1</v>
      </c>
      <c r="M252" s="10" t="str">
        <f t="shared" si="2"/>
        <v>015</v>
      </c>
      <c r="N252" s="10" t="str">
        <f t="shared" si="3"/>
        <v>004</v>
      </c>
      <c r="O252" s="10" t="str">
        <f t="shared" si="4"/>
        <v>WAK PAIK</v>
      </c>
    </row>
    <row r="253" spans="1:15" ht="12.5">
      <c r="A253" s="115" t="s">
        <v>3746</v>
      </c>
      <c r="B253" s="5">
        <v>0</v>
      </c>
      <c r="C253" s="5">
        <v>61</v>
      </c>
      <c r="D253" s="5">
        <v>4</v>
      </c>
      <c r="E253" s="5">
        <v>81</v>
      </c>
      <c r="F253" s="5">
        <v>1</v>
      </c>
      <c r="G253" s="5">
        <v>1600</v>
      </c>
      <c r="H253" s="5" t="s">
        <v>3715</v>
      </c>
      <c r="I253" s="5" t="s">
        <v>3716</v>
      </c>
      <c r="J253" s="5" t="s">
        <v>3747</v>
      </c>
      <c r="K253" s="10" t="e">
        <f t="shared" si="0"/>
        <v>#VALUE!</v>
      </c>
      <c r="L253" s="10">
        <f t="shared" si="1"/>
        <v>1</v>
      </c>
      <c r="M253" s="10" t="str">
        <f t="shared" si="2"/>
        <v>016</v>
      </c>
      <c r="N253" s="10" t="str">
        <f t="shared" si="3"/>
        <v>004</v>
      </c>
      <c r="O253" s="10" t="str">
        <f t="shared" si="4"/>
        <v>WAK PAIK</v>
      </c>
    </row>
    <row r="254" spans="1:15" ht="12.5">
      <c r="A254" s="115" t="s">
        <v>3748</v>
      </c>
      <c r="B254" s="5">
        <v>0</v>
      </c>
      <c r="C254" s="5">
        <v>61</v>
      </c>
      <c r="D254" s="5">
        <v>4</v>
      </c>
      <c r="E254" s="5">
        <v>81</v>
      </c>
      <c r="F254" s="5">
        <v>1</v>
      </c>
      <c r="G254" s="5">
        <v>1700</v>
      </c>
      <c r="H254" s="5" t="s">
        <v>3715</v>
      </c>
      <c r="I254" s="5" t="s">
        <v>3716</v>
      </c>
      <c r="J254" s="5" t="s">
        <v>3749</v>
      </c>
      <c r="K254" s="10" t="e">
        <f t="shared" si="0"/>
        <v>#VALUE!</v>
      </c>
      <c r="L254" s="10">
        <f t="shared" si="1"/>
        <v>1</v>
      </c>
      <c r="M254" s="10" t="str">
        <f t="shared" si="2"/>
        <v>017</v>
      </c>
      <c r="N254" s="10" t="str">
        <f t="shared" si="3"/>
        <v>005</v>
      </c>
      <c r="O254" s="10" t="str">
        <f t="shared" si="4"/>
        <v>AMBO PINANG</v>
      </c>
    </row>
    <row r="255" spans="1:15" ht="12.5">
      <c r="A255" s="115" t="s">
        <v>3750</v>
      </c>
      <c r="B255" s="5">
        <v>0</v>
      </c>
      <c r="C255" s="5">
        <v>61</v>
      </c>
      <c r="D255" s="5">
        <v>4</v>
      </c>
      <c r="E255" s="5">
        <v>81</v>
      </c>
      <c r="F255" s="5">
        <v>1</v>
      </c>
      <c r="G255" s="5">
        <v>1800</v>
      </c>
      <c r="H255" s="5" t="s">
        <v>3715</v>
      </c>
      <c r="I255" s="5" t="s">
        <v>3716</v>
      </c>
      <c r="J255" s="5" t="s">
        <v>3751</v>
      </c>
      <c r="K255" s="10" t="e">
        <f t="shared" si="0"/>
        <v>#VALUE!</v>
      </c>
      <c r="L255" s="10">
        <f t="shared" si="1"/>
        <v>1</v>
      </c>
      <c r="M255" s="10" t="str">
        <f t="shared" si="2"/>
        <v>018</v>
      </c>
      <c r="N255" s="10" t="str">
        <f t="shared" si="3"/>
        <v>005</v>
      </c>
      <c r="O255" s="10" t="str">
        <f t="shared" si="4"/>
        <v>AMBO PINANG</v>
      </c>
    </row>
    <row r="256" spans="1:15" ht="12.5">
      <c r="A256" s="115" t="s">
        <v>3752</v>
      </c>
      <c r="B256" s="5">
        <v>0</v>
      </c>
      <c r="C256" s="5">
        <v>61</v>
      </c>
      <c r="D256" s="5">
        <v>4</v>
      </c>
      <c r="E256" s="5">
        <v>81</v>
      </c>
      <c r="F256" s="5">
        <v>1</v>
      </c>
      <c r="G256" s="5">
        <v>1900</v>
      </c>
      <c r="H256" s="5" t="s">
        <v>3715</v>
      </c>
      <c r="I256" s="5" t="s">
        <v>3716</v>
      </c>
      <c r="J256" s="5" t="s">
        <v>3753</v>
      </c>
      <c r="K256" s="10" t="e">
        <f t="shared" si="0"/>
        <v>#VALUE!</v>
      </c>
      <c r="L256" s="10">
        <f t="shared" si="1"/>
        <v>1</v>
      </c>
      <c r="M256" s="10" t="str">
        <f t="shared" si="2"/>
        <v>019</v>
      </c>
      <c r="N256" s="10" t="str">
        <f t="shared" si="3"/>
        <v>005</v>
      </c>
      <c r="O256" s="10" t="str">
        <f t="shared" si="4"/>
        <v>AMBO PINANG</v>
      </c>
    </row>
    <row r="257" spans="1:15" ht="12.5">
      <c r="A257" s="115" t="s">
        <v>3754</v>
      </c>
      <c r="B257" s="5">
        <v>0</v>
      </c>
      <c r="C257" s="5">
        <v>61</v>
      </c>
      <c r="D257" s="5">
        <v>4</v>
      </c>
      <c r="E257" s="5">
        <v>81</v>
      </c>
      <c r="F257" s="5">
        <v>1</v>
      </c>
      <c r="G257" s="5">
        <v>2000</v>
      </c>
      <c r="H257" s="5" t="s">
        <v>3715</v>
      </c>
      <c r="I257" s="5" t="s">
        <v>3716</v>
      </c>
      <c r="J257" s="5" t="s">
        <v>3755</v>
      </c>
      <c r="K257" s="10" t="e">
        <f t="shared" si="0"/>
        <v>#VALUE!</v>
      </c>
      <c r="L257" s="10">
        <f t="shared" si="1"/>
        <v>1</v>
      </c>
      <c r="M257" s="10" t="str">
        <f t="shared" si="2"/>
        <v>020</v>
      </c>
      <c r="N257" s="10" t="str">
        <f t="shared" si="3"/>
        <v>005</v>
      </c>
      <c r="O257" s="10" t="str">
        <f t="shared" si="4"/>
        <v>AMBO PINANG</v>
      </c>
    </row>
    <row r="258" spans="1:15" ht="12.5">
      <c r="A258" s="115" t="s">
        <v>3756</v>
      </c>
      <c r="B258" s="5">
        <v>0</v>
      </c>
      <c r="C258" s="5">
        <v>61</v>
      </c>
      <c r="D258" s="5">
        <v>4</v>
      </c>
      <c r="E258" s="5">
        <v>81</v>
      </c>
      <c r="F258" s="5">
        <v>1</v>
      </c>
      <c r="G258" s="5">
        <v>2100</v>
      </c>
      <c r="H258" s="5" t="s">
        <v>3715</v>
      </c>
      <c r="I258" s="5" t="s">
        <v>3716</v>
      </c>
      <c r="J258" s="5" t="s">
        <v>3757</v>
      </c>
      <c r="K258" s="10" t="e">
        <f t="shared" si="0"/>
        <v>#VALUE!</v>
      </c>
      <c r="L258" s="10">
        <f t="shared" si="1"/>
        <v>1</v>
      </c>
      <c r="M258" s="10" t="str">
        <f t="shared" si="2"/>
        <v>021</v>
      </c>
      <c r="N258" s="10" t="str">
        <f t="shared" si="3"/>
        <v>006</v>
      </c>
      <c r="O258" s="10" t="str">
        <f t="shared" si="4"/>
        <v>AMBO PINANG</v>
      </c>
    </row>
    <row r="259" spans="1:15" ht="12.5">
      <c r="A259" s="115" t="s">
        <v>3758</v>
      </c>
      <c r="B259" s="5">
        <v>0</v>
      </c>
      <c r="C259" s="5">
        <v>61</v>
      </c>
      <c r="D259" s="5">
        <v>4</v>
      </c>
      <c r="E259" s="5">
        <v>81</v>
      </c>
      <c r="F259" s="5">
        <v>1</v>
      </c>
      <c r="G259" s="5">
        <v>2200</v>
      </c>
      <c r="H259" s="5" t="s">
        <v>3715</v>
      </c>
      <c r="I259" s="5" t="s">
        <v>3716</v>
      </c>
      <c r="J259" s="5" t="s">
        <v>3759</v>
      </c>
      <c r="K259" s="10" t="e">
        <f t="shared" si="0"/>
        <v>#VALUE!</v>
      </c>
      <c r="L259" s="10">
        <f t="shared" si="1"/>
        <v>1</v>
      </c>
      <c r="M259" s="10" t="str">
        <f t="shared" si="2"/>
        <v>022</v>
      </c>
      <c r="N259" s="10" t="str">
        <f t="shared" si="3"/>
        <v>006</v>
      </c>
      <c r="O259" s="10" t="str">
        <f t="shared" si="4"/>
        <v>AMBO PINANG</v>
      </c>
    </row>
    <row r="260" spans="1:15" ht="12.5">
      <c r="A260" s="115" t="s">
        <v>3760</v>
      </c>
      <c r="B260" s="5">
        <v>0</v>
      </c>
      <c r="C260" s="5">
        <v>61</v>
      </c>
      <c r="D260" s="5">
        <v>4</v>
      </c>
      <c r="E260" s="5">
        <v>81</v>
      </c>
      <c r="F260" s="5">
        <v>1</v>
      </c>
      <c r="G260" s="5">
        <v>2300</v>
      </c>
      <c r="H260" s="5" t="s">
        <v>3715</v>
      </c>
      <c r="I260" s="5" t="s">
        <v>3716</v>
      </c>
      <c r="J260" s="5" t="s">
        <v>3761</v>
      </c>
      <c r="K260" s="10" t="e">
        <f t="shared" si="0"/>
        <v>#VALUE!</v>
      </c>
      <c r="L260" s="10">
        <f t="shared" si="1"/>
        <v>1</v>
      </c>
      <c r="M260" s="10" t="str">
        <f t="shared" si="2"/>
        <v>023</v>
      </c>
      <c r="N260" s="10" t="str">
        <f t="shared" si="3"/>
        <v>006</v>
      </c>
      <c r="O260" s="10" t="str">
        <f t="shared" si="4"/>
        <v>AMBO PINANG</v>
      </c>
    </row>
    <row r="261" spans="1:15" ht="12.5">
      <c r="A261" s="115" t="s">
        <v>3762</v>
      </c>
      <c r="B261" s="5">
        <v>0</v>
      </c>
      <c r="C261" s="5">
        <v>61</v>
      </c>
      <c r="D261" s="5">
        <v>4</v>
      </c>
      <c r="E261" s="5">
        <v>81</v>
      </c>
      <c r="F261" s="5">
        <v>1</v>
      </c>
      <c r="G261" s="5">
        <v>2400</v>
      </c>
      <c r="H261" s="5" t="s">
        <v>3715</v>
      </c>
      <c r="I261" s="5" t="s">
        <v>3716</v>
      </c>
      <c r="J261" s="5" t="s">
        <v>3763</v>
      </c>
      <c r="K261" s="10" t="e">
        <f t="shared" si="0"/>
        <v>#VALUE!</v>
      </c>
      <c r="L261" s="10">
        <f t="shared" si="1"/>
        <v>1</v>
      </c>
      <c r="M261" s="10" t="str">
        <f t="shared" si="2"/>
        <v>024</v>
      </c>
      <c r="N261" s="10" t="str">
        <f t="shared" si="3"/>
        <v>006</v>
      </c>
      <c r="O261" s="10" t="str">
        <f t="shared" si="4"/>
        <v>AMBO PINANG</v>
      </c>
    </row>
    <row r="262" spans="1:15" ht="12.5">
      <c r="A262" s="115" t="s">
        <v>3764</v>
      </c>
      <c r="B262" s="5">
        <v>0</v>
      </c>
      <c r="C262" s="5">
        <v>61</v>
      </c>
      <c r="D262" s="5">
        <v>4</v>
      </c>
      <c r="E262" s="5">
        <v>81</v>
      </c>
      <c r="F262" s="5">
        <v>2</v>
      </c>
      <c r="G262" s="5">
        <v>100</v>
      </c>
      <c r="H262" s="5" t="s">
        <v>3715</v>
      </c>
      <c r="I262" s="5" t="s">
        <v>3765</v>
      </c>
      <c r="J262" s="5" t="s">
        <v>3766</v>
      </c>
      <c r="K262" s="10" t="e">
        <f t="shared" si="0"/>
        <v>#VALUE!</v>
      </c>
      <c r="L262" s="10">
        <f t="shared" si="1"/>
        <v>1</v>
      </c>
      <c r="M262" s="10" t="str">
        <f t="shared" si="2"/>
        <v>001</v>
      </c>
      <c r="N262" s="10" t="str">
        <f t="shared" si="3"/>
        <v>001</v>
      </c>
      <c r="O262" s="10" t="str">
        <f t="shared" si="4"/>
        <v>SUBUR 1</v>
      </c>
    </row>
    <row r="263" spans="1:15" ht="12.5">
      <c r="A263" s="115" t="s">
        <v>3767</v>
      </c>
      <c r="B263" s="5">
        <v>0</v>
      </c>
      <c r="C263" s="5">
        <v>61</v>
      </c>
      <c r="D263" s="5">
        <v>4</v>
      </c>
      <c r="E263" s="5">
        <v>81</v>
      </c>
      <c r="F263" s="5">
        <v>2</v>
      </c>
      <c r="G263" s="5">
        <v>200</v>
      </c>
      <c r="H263" s="5" t="s">
        <v>3715</v>
      </c>
      <c r="I263" s="5" t="s">
        <v>3765</v>
      </c>
      <c r="J263" s="5" t="s">
        <v>3768</v>
      </c>
      <c r="K263" s="10" t="e">
        <f t="shared" si="0"/>
        <v>#VALUE!</v>
      </c>
      <c r="L263" s="10">
        <f t="shared" si="1"/>
        <v>1</v>
      </c>
      <c r="M263" s="10" t="str">
        <f t="shared" si="2"/>
        <v>002</v>
      </c>
      <c r="N263" s="10" t="str">
        <f t="shared" si="3"/>
        <v>001</v>
      </c>
      <c r="O263" s="10" t="str">
        <f t="shared" si="4"/>
        <v>SUBUR 1</v>
      </c>
    </row>
    <row r="264" spans="1:15" ht="12.5">
      <c r="A264" s="115" t="s">
        <v>3769</v>
      </c>
      <c r="B264" s="5">
        <v>0</v>
      </c>
      <c r="C264" s="5">
        <v>61</v>
      </c>
      <c r="D264" s="5">
        <v>4</v>
      </c>
      <c r="E264" s="5">
        <v>81</v>
      </c>
      <c r="F264" s="5">
        <v>2</v>
      </c>
      <c r="G264" s="5">
        <v>300</v>
      </c>
      <c r="H264" s="5" t="s">
        <v>3715</v>
      </c>
      <c r="I264" s="5" t="s">
        <v>3765</v>
      </c>
      <c r="J264" s="5" t="s">
        <v>3770</v>
      </c>
      <c r="K264" s="10" t="e">
        <f t="shared" si="0"/>
        <v>#VALUE!</v>
      </c>
      <c r="L264" s="10">
        <f t="shared" si="1"/>
        <v>1</v>
      </c>
      <c r="M264" s="10" t="str">
        <f t="shared" si="2"/>
        <v>003</v>
      </c>
      <c r="N264" s="10" t="str">
        <f t="shared" si="3"/>
        <v>001</v>
      </c>
      <c r="O264" s="10" t="str">
        <f t="shared" si="4"/>
        <v>SUBUR 1</v>
      </c>
    </row>
    <row r="265" spans="1:15" ht="12.5">
      <c r="A265" s="115" t="s">
        <v>3771</v>
      </c>
      <c r="B265" s="5">
        <v>0</v>
      </c>
      <c r="C265" s="5">
        <v>61</v>
      </c>
      <c r="D265" s="5">
        <v>4</v>
      </c>
      <c r="E265" s="5">
        <v>81</v>
      </c>
      <c r="F265" s="5">
        <v>2</v>
      </c>
      <c r="G265" s="5">
        <v>400</v>
      </c>
      <c r="H265" s="5" t="s">
        <v>3715</v>
      </c>
      <c r="I265" s="5" t="s">
        <v>3765</v>
      </c>
      <c r="J265" s="5" t="s">
        <v>3772</v>
      </c>
      <c r="K265" s="10" t="e">
        <f t="shared" si="0"/>
        <v>#VALUE!</v>
      </c>
      <c r="L265" s="10">
        <f t="shared" si="1"/>
        <v>1</v>
      </c>
      <c r="M265" s="10" t="str">
        <f t="shared" si="2"/>
        <v>004</v>
      </c>
      <c r="N265" s="10" t="str">
        <f t="shared" si="3"/>
        <v>001</v>
      </c>
      <c r="O265" s="10" t="str">
        <f t="shared" si="4"/>
        <v>SUBUR 1</v>
      </c>
    </row>
    <row r="266" spans="1:15" ht="12.5">
      <c r="A266" s="115" t="s">
        <v>3773</v>
      </c>
      <c r="B266" s="5">
        <v>0</v>
      </c>
      <c r="C266" s="5">
        <v>61</v>
      </c>
      <c r="D266" s="5">
        <v>4</v>
      </c>
      <c r="E266" s="5">
        <v>81</v>
      </c>
      <c r="F266" s="5">
        <v>2</v>
      </c>
      <c r="G266" s="5">
        <v>500</v>
      </c>
      <c r="H266" s="5" t="s">
        <v>3715</v>
      </c>
      <c r="I266" s="5" t="s">
        <v>3765</v>
      </c>
      <c r="J266" s="5" t="s">
        <v>3774</v>
      </c>
      <c r="K266" s="10" t="e">
        <f t="shared" si="0"/>
        <v>#VALUE!</v>
      </c>
      <c r="L266" s="10">
        <f t="shared" si="1"/>
        <v>1</v>
      </c>
      <c r="M266" s="10" t="str">
        <f t="shared" si="2"/>
        <v>005</v>
      </c>
      <c r="N266" s="10" t="str">
        <f t="shared" si="3"/>
        <v>001</v>
      </c>
      <c r="O266" s="10" t="str">
        <f t="shared" si="4"/>
        <v>SUBUR 1</v>
      </c>
    </row>
    <row r="267" spans="1:15" ht="12.5">
      <c r="A267" s="115" t="s">
        <v>3775</v>
      </c>
      <c r="B267" s="5">
        <v>0</v>
      </c>
      <c r="C267" s="5">
        <v>61</v>
      </c>
      <c r="D267" s="5">
        <v>4</v>
      </c>
      <c r="E267" s="5">
        <v>81</v>
      </c>
      <c r="F267" s="5">
        <v>2</v>
      </c>
      <c r="G267" s="5">
        <v>600</v>
      </c>
      <c r="H267" s="5" t="s">
        <v>3715</v>
      </c>
      <c r="I267" s="5" t="s">
        <v>3765</v>
      </c>
      <c r="J267" s="5" t="s">
        <v>3776</v>
      </c>
      <c r="K267" s="10" t="e">
        <f t="shared" si="0"/>
        <v>#VALUE!</v>
      </c>
      <c r="L267" s="10">
        <f t="shared" si="1"/>
        <v>1</v>
      </c>
      <c r="M267" s="10" t="str">
        <f t="shared" si="2"/>
        <v>001</v>
      </c>
      <c r="N267" s="10" t="str">
        <f t="shared" si="3"/>
        <v>002</v>
      </c>
      <c r="O267" s="10" t="str">
        <f t="shared" si="4"/>
        <v>SUBUR 2</v>
      </c>
    </row>
    <row r="268" spans="1:15" ht="12.5">
      <c r="A268" s="115" t="s">
        <v>3777</v>
      </c>
      <c r="B268" s="5">
        <v>0</v>
      </c>
      <c r="C268" s="5">
        <v>61</v>
      </c>
      <c r="D268" s="5">
        <v>4</v>
      </c>
      <c r="E268" s="5">
        <v>81</v>
      </c>
      <c r="F268" s="5">
        <v>2</v>
      </c>
      <c r="G268" s="5">
        <v>700</v>
      </c>
      <c r="H268" s="5" t="s">
        <v>3715</v>
      </c>
      <c r="I268" s="5" t="s">
        <v>3765</v>
      </c>
      <c r="J268" s="5" t="s">
        <v>3778</v>
      </c>
      <c r="K268" s="10" t="e">
        <f t="shared" si="0"/>
        <v>#VALUE!</v>
      </c>
      <c r="L268" s="10">
        <f t="shared" si="1"/>
        <v>1</v>
      </c>
      <c r="M268" s="10" t="str">
        <f t="shared" si="2"/>
        <v>002</v>
      </c>
      <c r="N268" s="10" t="str">
        <f t="shared" si="3"/>
        <v>002</v>
      </c>
      <c r="O268" s="10" t="str">
        <f t="shared" si="4"/>
        <v>SUBUR 2</v>
      </c>
    </row>
    <row r="269" spans="1:15" ht="12.5">
      <c r="A269" s="115" t="s">
        <v>3779</v>
      </c>
      <c r="B269" s="5">
        <v>0</v>
      </c>
      <c r="C269" s="5">
        <v>61</v>
      </c>
      <c r="D269" s="5">
        <v>4</v>
      </c>
      <c r="E269" s="5">
        <v>81</v>
      </c>
      <c r="F269" s="5">
        <v>2</v>
      </c>
      <c r="G269" s="5">
        <v>800</v>
      </c>
      <c r="H269" s="5" t="s">
        <v>3715</v>
      </c>
      <c r="I269" s="5" t="s">
        <v>3765</v>
      </c>
      <c r="J269" s="5" t="s">
        <v>3780</v>
      </c>
      <c r="K269" s="10" t="e">
        <f t="shared" si="0"/>
        <v>#VALUE!</v>
      </c>
      <c r="L269" s="10">
        <f t="shared" si="1"/>
        <v>1</v>
      </c>
      <c r="M269" s="10" t="str">
        <f t="shared" si="2"/>
        <v>003</v>
      </c>
      <c r="N269" s="10" t="str">
        <f t="shared" si="3"/>
        <v>002</v>
      </c>
      <c r="O269" s="10" t="str">
        <f t="shared" si="4"/>
        <v>SUBUR 2</v>
      </c>
    </row>
    <row r="270" spans="1:15" ht="12.5">
      <c r="A270" s="115" t="s">
        <v>3781</v>
      </c>
      <c r="B270" s="5">
        <v>0</v>
      </c>
      <c r="C270" s="5">
        <v>61</v>
      </c>
      <c r="D270" s="5">
        <v>4</v>
      </c>
      <c r="E270" s="5">
        <v>81</v>
      </c>
      <c r="F270" s="5">
        <v>2</v>
      </c>
      <c r="G270" s="5">
        <v>900</v>
      </c>
      <c r="H270" s="5" t="s">
        <v>3715</v>
      </c>
      <c r="I270" s="5" t="s">
        <v>3765</v>
      </c>
      <c r="J270" s="5" t="s">
        <v>3782</v>
      </c>
      <c r="K270" s="10" t="e">
        <f t="shared" si="0"/>
        <v>#VALUE!</v>
      </c>
      <c r="L270" s="10">
        <f t="shared" si="1"/>
        <v>1</v>
      </c>
      <c r="M270" s="10" t="str">
        <f t="shared" si="2"/>
        <v>004</v>
      </c>
      <c r="N270" s="10" t="str">
        <f t="shared" si="3"/>
        <v>002</v>
      </c>
      <c r="O270" s="10" t="str">
        <f t="shared" si="4"/>
        <v>SUBUR 2</v>
      </c>
    </row>
    <row r="271" spans="1:15" ht="12.5">
      <c r="A271" s="115" t="s">
        <v>3783</v>
      </c>
      <c r="B271" s="5">
        <v>1</v>
      </c>
      <c r="C271" s="5">
        <v>61</v>
      </c>
      <c r="D271" s="5">
        <v>4</v>
      </c>
      <c r="E271" s="5">
        <v>81</v>
      </c>
      <c r="F271" s="5">
        <v>2</v>
      </c>
      <c r="G271" s="5">
        <v>100100</v>
      </c>
      <c r="H271" s="5" t="s">
        <v>3715</v>
      </c>
      <c r="I271" s="5" t="s">
        <v>3765</v>
      </c>
      <c r="J271" s="5" t="s">
        <v>3784</v>
      </c>
      <c r="K271" s="10" t="e">
        <f t="shared" si="0"/>
        <v>#VALUE!</v>
      </c>
      <c r="L271" s="10">
        <f t="shared" si="1"/>
        <v>0</v>
      </c>
      <c r="M271" s="10" t="str">
        <f t="shared" si="2"/>
        <v xml:space="preserve">UN </v>
      </c>
      <c r="N271" s="10" t="str">
        <f t="shared" si="3"/>
        <v>T D</v>
      </c>
      <c r="O271" s="10" t="str">
        <f t="shared" si="4"/>
        <v/>
      </c>
    </row>
    <row r="272" spans="1:15" ht="12.5">
      <c r="A272" s="115" t="s">
        <v>3785</v>
      </c>
      <c r="B272" s="5">
        <v>1</v>
      </c>
      <c r="C272" s="5">
        <v>61</v>
      </c>
      <c r="D272" s="5">
        <v>4</v>
      </c>
      <c r="E272" s="5">
        <v>81</v>
      </c>
      <c r="F272" s="5">
        <v>2</v>
      </c>
      <c r="G272" s="5">
        <v>100300</v>
      </c>
      <c r="H272" s="5" t="s">
        <v>3715</v>
      </c>
      <c r="I272" s="5" t="s">
        <v>3765</v>
      </c>
      <c r="J272" s="5" t="s">
        <v>3786</v>
      </c>
      <c r="K272" s="10" t="e">
        <f t="shared" si="0"/>
        <v>#VALUE!</v>
      </c>
      <c r="L272" s="10">
        <f t="shared" si="1"/>
        <v>0</v>
      </c>
      <c r="M272" s="10" t="str">
        <f t="shared" si="2"/>
        <v xml:space="preserve">AH </v>
      </c>
      <c r="N272" s="10" t="str">
        <f t="shared" si="3"/>
        <v>07P</v>
      </c>
      <c r="O272" s="10" t="str">
        <f t="shared" si="4"/>
        <v/>
      </c>
    </row>
    <row r="273" spans="1:15" ht="12.5">
      <c r="A273" s="115" t="s">
        <v>3787</v>
      </c>
      <c r="B273" s="5">
        <v>1</v>
      </c>
      <c r="C273" s="5">
        <v>61</v>
      </c>
      <c r="D273" s="5">
        <v>4</v>
      </c>
      <c r="E273" s="5">
        <v>81</v>
      </c>
      <c r="F273" s="5">
        <v>2</v>
      </c>
      <c r="G273" s="5">
        <v>100400</v>
      </c>
      <c r="H273" s="5" t="s">
        <v>3715</v>
      </c>
      <c r="I273" s="5" t="s">
        <v>3765</v>
      </c>
      <c r="J273" s="5" t="s">
        <v>3788</v>
      </c>
      <c r="K273" s="10" t="e">
        <f t="shared" si="0"/>
        <v>#VALUE!</v>
      </c>
      <c r="L273" s="10">
        <f t="shared" si="1"/>
        <v>0</v>
      </c>
      <c r="M273" s="10" t="str">
        <f t="shared" si="2"/>
        <v xml:space="preserve">AH </v>
      </c>
      <c r="N273" s="10" t="str">
        <f t="shared" si="3"/>
        <v>08P</v>
      </c>
      <c r="O273" s="10" t="str">
        <f t="shared" si="4"/>
        <v/>
      </c>
    </row>
    <row r="274" spans="1:15" ht="12.5">
      <c r="A274" s="115" t="s">
        <v>3789</v>
      </c>
      <c r="B274" s="5">
        <v>2</v>
      </c>
      <c r="C274" s="5">
        <v>61</v>
      </c>
      <c r="D274" s="5">
        <v>4</v>
      </c>
      <c r="E274" s="5">
        <v>81</v>
      </c>
      <c r="F274" s="5">
        <v>2</v>
      </c>
      <c r="G274" s="5">
        <v>200200</v>
      </c>
      <c r="H274" s="5" t="s">
        <v>3715</v>
      </c>
      <c r="I274" s="5" t="s">
        <v>3765</v>
      </c>
      <c r="J274" s="5" t="s">
        <v>3790</v>
      </c>
      <c r="K274" s="10" t="e">
        <f t="shared" si="0"/>
        <v>#VALUE!</v>
      </c>
      <c r="L274" s="10">
        <f t="shared" si="1"/>
        <v>0</v>
      </c>
      <c r="M274" s="10" t="str">
        <f t="shared" si="2"/>
        <v xml:space="preserve">AN </v>
      </c>
      <c r="N274" s="10" t="str">
        <f t="shared" si="3"/>
        <v>01P</v>
      </c>
      <c r="O274" s="10" t="str">
        <f t="shared" si="4"/>
        <v/>
      </c>
    </row>
    <row r="275" spans="1:15" ht="12.5">
      <c r="A275" s="115" t="s">
        <v>3791</v>
      </c>
      <c r="B275" s="5">
        <v>2</v>
      </c>
      <c r="C275" s="5">
        <v>61</v>
      </c>
      <c r="D275" s="5">
        <v>4</v>
      </c>
      <c r="E275" s="5">
        <v>81</v>
      </c>
      <c r="F275" s="5">
        <v>2</v>
      </c>
      <c r="G275" s="5">
        <v>200500</v>
      </c>
      <c r="H275" s="5" t="s">
        <v>3715</v>
      </c>
      <c r="I275" s="5" t="s">
        <v>3765</v>
      </c>
      <c r="J275" s="5" t="s">
        <v>3792</v>
      </c>
      <c r="K275" s="10" t="e">
        <f t="shared" si="0"/>
        <v>#VALUE!</v>
      </c>
      <c r="L275" s="10">
        <f t="shared" si="1"/>
        <v>0</v>
      </c>
      <c r="M275" s="10" t="str">
        <f t="shared" si="2"/>
        <v xml:space="preserve">AK </v>
      </c>
      <c r="N275" s="10" t="str">
        <f t="shared" si="3"/>
        <v>KAR</v>
      </c>
      <c r="O275" s="10" t="str">
        <f t="shared" si="4"/>
        <v>6P</v>
      </c>
    </row>
    <row r="276" spans="1:15" ht="12.5">
      <c r="A276" s="115" t="s">
        <v>3793</v>
      </c>
      <c r="B276" s="5">
        <v>0</v>
      </c>
      <c r="C276" s="5">
        <v>61</v>
      </c>
      <c r="D276" s="5">
        <v>4</v>
      </c>
      <c r="E276" s="5">
        <v>81</v>
      </c>
      <c r="F276" s="5">
        <v>3</v>
      </c>
      <c r="G276" s="5">
        <v>100</v>
      </c>
      <c r="H276" s="5" t="s">
        <v>3715</v>
      </c>
      <c r="I276" s="5" t="s">
        <v>3794</v>
      </c>
      <c r="J276" s="5" t="s">
        <v>3795</v>
      </c>
      <c r="K276" s="10" t="e">
        <f t="shared" si="0"/>
        <v>#VALUE!</v>
      </c>
      <c r="L276" s="10">
        <f t="shared" si="1"/>
        <v>1</v>
      </c>
      <c r="M276" s="10" t="str">
        <f t="shared" si="2"/>
        <v>001</v>
      </c>
      <c r="N276" s="10" t="str">
        <f t="shared" si="3"/>
        <v>01</v>
      </c>
      <c r="O276" s="10" t="str">
        <f t="shared" si="4"/>
        <v>NELAYAN</v>
      </c>
    </row>
    <row r="277" spans="1:15" ht="12.5">
      <c r="A277" s="115" t="s">
        <v>3796</v>
      </c>
      <c r="B277" s="5">
        <v>0</v>
      </c>
      <c r="C277" s="5">
        <v>61</v>
      </c>
      <c r="D277" s="5">
        <v>4</v>
      </c>
      <c r="E277" s="5">
        <v>81</v>
      </c>
      <c r="F277" s="5">
        <v>3</v>
      </c>
      <c r="G277" s="5">
        <v>200</v>
      </c>
      <c r="H277" s="5" t="s">
        <v>3715</v>
      </c>
      <c r="I277" s="5" t="s">
        <v>3794</v>
      </c>
      <c r="J277" s="5" t="s">
        <v>3797</v>
      </c>
      <c r="K277" s="10" t="e">
        <f t="shared" si="0"/>
        <v>#VALUE!</v>
      </c>
      <c r="L277" s="10">
        <f t="shared" si="1"/>
        <v>1</v>
      </c>
      <c r="M277" s="10" t="str">
        <f t="shared" si="2"/>
        <v>002</v>
      </c>
      <c r="N277" s="10" t="str">
        <f t="shared" si="3"/>
        <v>01</v>
      </c>
      <c r="O277" s="10" t="str">
        <f t="shared" si="4"/>
        <v>NELAYAN</v>
      </c>
    </row>
    <row r="278" spans="1:15" ht="12.5">
      <c r="A278" s="115" t="s">
        <v>3798</v>
      </c>
      <c r="B278" s="5">
        <v>0</v>
      </c>
      <c r="C278" s="5">
        <v>61</v>
      </c>
      <c r="D278" s="5">
        <v>4</v>
      </c>
      <c r="E278" s="5">
        <v>81</v>
      </c>
      <c r="F278" s="5">
        <v>3</v>
      </c>
      <c r="G278" s="5">
        <v>300</v>
      </c>
      <c r="H278" s="5" t="s">
        <v>3715</v>
      </c>
      <c r="I278" s="5" t="s">
        <v>3794</v>
      </c>
      <c r="J278" s="5" t="s">
        <v>3799</v>
      </c>
      <c r="K278" s="10" t="e">
        <f t="shared" si="0"/>
        <v>#VALUE!</v>
      </c>
      <c r="L278" s="10">
        <f t="shared" si="1"/>
        <v>1</v>
      </c>
      <c r="M278" s="10" t="str">
        <f t="shared" si="2"/>
        <v>003</v>
      </c>
      <c r="N278" s="10" t="str">
        <f t="shared" si="3"/>
        <v>01</v>
      </c>
      <c r="O278" s="10" t="str">
        <f t="shared" si="4"/>
        <v>NELAYAN</v>
      </c>
    </row>
    <row r="279" spans="1:15" ht="12.5">
      <c r="A279" s="115" t="s">
        <v>3800</v>
      </c>
      <c r="B279" s="5">
        <v>0</v>
      </c>
      <c r="C279" s="5">
        <v>61</v>
      </c>
      <c r="D279" s="5">
        <v>4</v>
      </c>
      <c r="E279" s="5">
        <v>81</v>
      </c>
      <c r="F279" s="5">
        <v>3</v>
      </c>
      <c r="G279" s="5">
        <v>400</v>
      </c>
      <c r="H279" s="5" t="s">
        <v>3715</v>
      </c>
      <c r="I279" s="5" t="s">
        <v>3794</v>
      </c>
      <c r="J279" s="5" t="s">
        <v>3801</v>
      </c>
      <c r="K279" s="10" t="e">
        <f t="shared" si="0"/>
        <v>#VALUE!</v>
      </c>
      <c r="L279" s="10">
        <f t="shared" si="1"/>
        <v>1</v>
      </c>
      <c r="M279" s="10" t="str">
        <f t="shared" si="2"/>
        <v>004</v>
      </c>
      <c r="N279" s="10" t="str">
        <f t="shared" si="3"/>
        <v>02</v>
      </c>
      <c r="O279" s="10" t="str">
        <f t="shared" si="4"/>
        <v>NELAYAN</v>
      </c>
    </row>
    <row r="280" spans="1:15" ht="12.5">
      <c r="A280" s="115" t="s">
        <v>3802</v>
      </c>
      <c r="B280" s="5">
        <v>0</v>
      </c>
      <c r="C280" s="5">
        <v>61</v>
      </c>
      <c r="D280" s="5">
        <v>4</v>
      </c>
      <c r="E280" s="5">
        <v>81</v>
      </c>
      <c r="F280" s="5">
        <v>3</v>
      </c>
      <c r="G280" s="5">
        <v>500</v>
      </c>
      <c r="H280" s="5" t="s">
        <v>3715</v>
      </c>
      <c r="I280" s="5" t="s">
        <v>3794</v>
      </c>
      <c r="J280" s="5" t="s">
        <v>3803</v>
      </c>
      <c r="K280" s="10" t="e">
        <f t="shared" si="0"/>
        <v>#VALUE!</v>
      </c>
      <c r="L280" s="10">
        <f t="shared" si="1"/>
        <v>1</v>
      </c>
      <c r="M280" s="10" t="str">
        <f t="shared" si="2"/>
        <v>005</v>
      </c>
      <c r="N280" s="10" t="str">
        <f t="shared" si="3"/>
        <v>02</v>
      </c>
      <c r="O280" s="10" t="str">
        <f t="shared" si="4"/>
        <v>NELAYAN</v>
      </c>
    </row>
    <row r="281" spans="1:15" ht="12.5">
      <c r="A281" s="115" t="s">
        <v>3804</v>
      </c>
      <c r="B281" s="5">
        <v>0</v>
      </c>
      <c r="C281" s="5">
        <v>61</v>
      </c>
      <c r="D281" s="5">
        <v>4</v>
      </c>
      <c r="E281" s="5">
        <v>81</v>
      </c>
      <c r="F281" s="5">
        <v>3</v>
      </c>
      <c r="G281" s="5">
        <v>600</v>
      </c>
      <c r="H281" s="5" t="s">
        <v>3715</v>
      </c>
      <c r="I281" s="5" t="s">
        <v>3794</v>
      </c>
      <c r="J281" s="5" t="s">
        <v>3805</v>
      </c>
      <c r="K281" s="10" t="e">
        <f t="shared" si="0"/>
        <v>#VALUE!</v>
      </c>
      <c r="L281" s="10">
        <f t="shared" si="1"/>
        <v>1</v>
      </c>
      <c r="M281" s="10" t="str">
        <f t="shared" si="2"/>
        <v>006</v>
      </c>
      <c r="N281" s="10" t="str">
        <f t="shared" si="3"/>
        <v>02</v>
      </c>
      <c r="O281" s="10" t="str">
        <f t="shared" si="4"/>
        <v>NELAYAN</v>
      </c>
    </row>
    <row r="282" spans="1:15" ht="12.5">
      <c r="A282" s="115" t="s">
        <v>3806</v>
      </c>
      <c r="B282" s="5">
        <v>0</v>
      </c>
      <c r="C282" s="5">
        <v>61</v>
      </c>
      <c r="D282" s="5">
        <v>4</v>
      </c>
      <c r="E282" s="5">
        <v>81</v>
      </c>
      <c r="F282" s="5">
        <v>3</v>
      </c>
      <c r="G282" s="5">
        <v>700</v>
      </c>
      <c r="H282" s="5" t="s">
        <v>3715</v>
      </c>
      <c r="I282" s="5" t="s">
        <v>3794</v>
      </c>
      <c r="J282" s="5" t="s">
        <v>3807</v>
      </c>
      <c r="K282" s="10" t="e">
        <f t="shared" si="0"/>
        <v>#VALUE!</v>
      </c>
      <c r="L282" s="10">
        <f t="shared" si="1"/>
        <v>1</v>
      </c>
      <c r="M282" s="10" t="str">
        <f t="shared" si="2"/>
        <v>007</v>
      </c>
      <c r="N282" s="10" t="str">
        <f t="shared" si="3"/>
        <v>03</v>
      </c>
      <c r="O282" s="10" t="str">
        <f t="shared" si="4"/>
        <v>KEMUNING</v>
      </c>
    </row>
    <row r="283" spans="1:15" ht="12.5">
      <c r="A283" s="115" t="s">
        <v>3808</v>
      </c>
      <c r="B283" s="5">
        <v>0</v>
      </c>
      <c r="C283" s="5">
        <v>61</v>
      </c>
      <c r="D283" s="5">
        <v>4</v>
      </c>
      <c r="E283" s="5">
        <v>81</v>
      </c>
      <c r="F283" s="5">
        <v>3</v>
      </c>
      <c r="G283" s="5">
        <v>800</v>
      </c>
      <c r="H283" s="5" t="s">
        <v>3715</v>
      </c>
      <c r="I283" s="5" t="s">
        <v>3794</v>
      </c>
      <c r="J283" s="5" t="s">
        <v>3809</v>
      </c>
      <c r="K283" s="10" t="e">
        <f t="shared" si="0"/>
        <v>#VALUE!</v>
      </c>
      <c r="L283" s="10">
        <f t="shared" si="1"/>
        <v>1</v>
      </c>
      <c r="M283" s="10" t="str">
        <f t="shared" si="2"/>
        <v>008</v>
      </c>
      <c r="N283" s="10" t="str">
        <f t="shared" si="3"/>
        <v>03</v>
      </c>
      <c r="O283" s="10" t="str">
        <f t="shared" si="4"/>
        <v>KEMUNING</v>
      </c>
    </row>
    <row r="284" spans="1:15" ht="12.5">
      <c r="A284" s="115" t="s">
        <v>3810</v>
      </c>
      <c r="B284" s="5">
        <v>0</v>
      </c>
      <c r="C284" s="5">
        <v>61</v>
      </c>
      <c r="D284" s="5">
        <v>4</v>
      </c>
      <c r="E284" s="5">
        <v>81</v>
      </c>
      <c r="F284" s="5">
        <v>3</v>
      </c>
      <c r="G284" s="5">
        <v>900</v>
      </c>
      <c r="H284" s="5" t="s">
        <v>3715</v>
      </c>
      <c r="I284" s="5" t="s">
        <v>3794</v>
      </c>
      <c r="J284" s="5" t="s">
        <v>3811</v>
      </c>
      <c r="K284" s="10" t="e">
        <f t="shared" si="0"/>
        <v>#VALUE!</v>
      </c>
      <c r="L284" s="10">
        <f t="shared" si="1"/>
        <v>1</v>
      </c>
      <c r="M284" s="10" t="str">
        <f t="shared" si="2"/>
        <v>009</v>
      </c>
      <c r="N284" s="10" t="str">
        <f t="shared" si="3"/>
        <v>03</v>
      </c>
      <c r="O284" s="10" t="str">
        <f t="shared" si="4"/>
        <v>KEMUNING</v>
      </c>
    </row>
    <row r="285" spans="1:15" ht="12.5">
      <c r="A285" s="115" t="s">
        <v>3812</v>
      </c>
      <c r="B285" s="5">
        <v>0</v>
      </c>
      <c r="C285" s="5">
        <v>61</v>
      </c>
      <c r="D285" s="5">
        <v>4</v>
      </c>
      <c r="E285" s="5">
        <v>81</v>
      </c>
      <c r="F285" s="5">
        <v>3</v>
      </c>
      <c r="G285" s="5">
        <v>1000</v>
      </c>
      <c r="H285" s="5" t="s">
        <v>3715</v>
      </c>
      <c r="I285" s="5" t="s">
        <v>3794</v>
      </c>
      <c r="J285" s="5" t="s">
        <v>3813</v>
      </c>
      <c r="K285" s="10" t="e">
        <f t="shared" si="0"/>
        <v>#VALUE!</v>
      </c>
      <c r="L285" s="10">
        <f t="shared" si="1"/>
        <v>1</v>
      </c>
      <c r="M285" s="10" t="str">
        <f t="shared" si="2"/>
        <v>010</v>
      </c>
      <c r="N285" s="10" t="str">
        <f t="shared" si="3"/>
        <v>04</v>
      </c>
      <c r="O285" s="10" t="str">
        <f t="shared" si="4"/>
        <v>KEMUNING</v>
      </c>
    </row>
    <row r="286" spans="1:15" ht="12.5">
      <c r="A286" s="115" t="s">
        <v>3814</v>
      </c>
      <c r="B286" s="5">
        <v>0</v>
      </c>
      <c r="C286" s="5">
        <v>61</v>
      </c>
      <c r="D286" s="5">
        <v>4</v>
      </c>
      <c r="E286" s="5">
        <v>81</v>
      </c>
      <c r="F286" s="5">
        <v>3</v>
      </c>
      <c r="G286" s="5">
        <v>1100</v>
      </c>
      <c r="H286" s="5" t="s">
        <v>3715</v>
      </c>
      <c r="I286" s="5" t="s">
        <v>3794</v>
      </c>
      <c r="J286" s="5" t="s">
        <v>3815</v>
      </c>
      <c r="K286" s="10" t="e">
        <f t="shared" si="0"/>
        <v>#VALUE!</v>
      </c>
      <c r="L286" s="10">
        <f t="shared" si="1"/>
        <v>1</v>
      </c>
      <c r="M286" s="10" t="str">
        <f t="shared" si="2"/>
        <v>011</v>
      </c>
      <c r="N286" s="10" t="str">
        <f t="shared" si="3"/>
        <v>04</v>
      </c>
      <c r="O286" s="10" t="str">
        <f t="shared" si="4"/>
        <v>KEMUNING</v>
      </c>
    </row>
    <row r="287" spans="1:15" ht="12.5">
      <c r="A287" s="115" t="s">
        <v>3816</v>
      </c>
      <c r="B287" s="5">
        <v>0</v>
      </c>
      <c r="C287" s="5">
        <v>61</v>
      </c>
      <c r="D287" s="5">
        <v>4</v>
      </c>
      <c r="E287" s="5">
        <v>81</v>
      </c>
      <c r="F287" s="5">
        <v>3</v>
      </c>
      <c r="G287" s="5">
        <v>1200</v>
      </c>
      <c r="H287" s="5" t="s">
        <v>3715</v>
      </c>
      <c r="I287" s="5" t="s">
        <v>3794</v>
      </c>
      <c r="J287" s="5" t="s">
        <v>3817</v>
      </c>
      <c r="K287" s="10" t="e">
        <f t="shared" si="0"/>
        <v>#VALUE!</v>
      </c>
      <c r="L287" s="10">
        <f t="shared" si="1"/>
        <v>1</v>
      </c>
      <c r="M287" s="10" t="str">
        <f t="shared" si="2"/>
        <v>012</v>
      </c>
      <c r="N287" s="10" t="str">
        <f t="shared" si="3"/>
        <v>05</v>
      </c>
      <c r="O287" s="10" t="str">
        <f t="shared" si="4"/>
        <v>MAKMUR</v>
      </c>
    </row>
    <row r="288" spans="1:15" ht="12.5">
      <c r="A288" s="115" t="s">
        <v>3818</v>
      </c>
      <c r="B288" s="5">
        <v>0</v>
      </c>
      <c r="C288" s="5">
        <v>61</v>
      </c>
      <c r="D288" s="5">
        <v>4</v>
      </c>
      <c r="E288" s="5">
        <v>81</v>
      </c>
      <c r="F288" s="5">
        <v>3</v>
      </c>
      <c r="G288" s="5">
        <v>1300</v>
      </c>
      <c r="H288" s="5" t="s">
        <v>3715</v>
      </c>
      <c r="I288" s="5" t="s">
        <v>3794</v>
      </c>
      <c r="J288" s="5" t="s">
        <v>3819</v>
      </c>
      <c r="K288" s="10" t="e">
        <f t="shared" si="0"/>
        <v>#VALUE!</v>
      </c>
      <c r="L288" s="10">
        <f t="shared" si="1"/>
        <v>1</v>
      </c>
      <c r="M288" s="10" t="str">
        <f t="shared" si="2"/>
        <v>013</v>
      </c>
      <c r="N288" s="10" t="str">
        <f t="shared" si="3"/>
        <v>05</v>
      </c>
      <c r="O288" s="10" t="str">
        <f t="shared" si="4"/>
        <v>MAKMUR</v>
      </c>
    </row>
    <row r="289" spans="1:15" ht="12.5">
      <c r="A289" s="115" t="s">
        <v>3820</v>
      </c>
      <c r="B289" s="5">
        <v>0</v>
      </c>
      <c r="C289" s="5">
        <v>61</v>
      </c>
      <c r="D289" s="5">
        <v>4</v>
      </c>
      <c r="E289" s="5">
        <v>81</v>
      </c>
      <c r="F289" s="5">
        <v>3</v>
      </c>
      <c r="G289" s="5">
        <v>1400</v>
      </c>
      <c r="H289" s="5" t="s">
        <v>3715</v>
      </c>
      <c r="I289" s="5" t="s">
        <v>3794</v>
      </c>
      <c r="J289" s="5" t="s">
        <v>3821</v>
      </c>
      <c r="K289" s="10" t="e">
        <f t="shared" si="0"/>
        <v>#VALUE!</v>
      </c>
      <c r="L289" s="10">
        <f t="shared" si="1"/>
        <v>1</v>
      </c>
      <c r="M289" s="10" t="str">
        <f t="shared" si="2"/>
        <v>014</v>
      </c>
      <c r="N289" s="10" t="str">
        <f t="shared" si="3"/>
        <v>05</v>
      </c>
      <c r="O289" s="10" t="str">
        <f t="shared" si="4"/>
        <v>MAKMUR</v>
      </c>
    </row>
    <row r="290" spans="1:15" ht="12.5">
      <c r="A290" s="115" t="s">
        <v>3822</v>
      </c>
      <c r="B290" s="5">
        <v>0</v>
      </c>
      <c r="C290" s="5">
        <v>61</v>
      </c>
      <c r="D290" s="5">
        <v>4</v>
      </c>
      <c r="E290" s="5">
        <v>81</v>
      </c>
      <c r="F290" s="5">
        <v>3</v>
      </c>
      <c r="G290" s="5">
        <v>1500</v>
      </c>
      <c r="H290" s="5" t="s">
        <v>3715</v>
      </c>
      <c r="I290" s="5" t="s">
        <v>3794</v>
      </c>
      <c r="J290" s="5" t="s">
        <v>3823</v>
      </c>
      <c r="K290" s="10" t="e">
        <f t="shared" si="0"/>
        <v>#VALUE!</v>
      </c>
      <c r="L290" s="10">
        <f t="shared" si="1"/>
        <v>1</v>
      </c>
      <c r="M290" s="10" t="str">
        <f t="shared" si="2"/>
        <v>015</v>
      </c>
      <c r="N290" s="10" t="str">
        <f t="shared" si="3"/>
        <v>06</v>
      </c>
      <c r="O290" s="10" t="str">
        <f t="shared" si="4"/>
        <v>MAKMUR</v>
      </c>
    </row>
    <row r="291" spans="1:15" ht="12.5">
      <c r="A291" s="115" t="s">
        <v>3824</v>
      </c>
      <c r="B291" s="5">
        <v>0</v>
      </c>
      <c r="C291" s="5">
        <v>61</v>
      </c>
      <c r="D291" s="5">
        <v>4</v>
      </c>
      <c r="E291" s="5">
        <v>81</v>
      </c>
      <c r="F291" s="5">
        <v>3</v>
      </c>
      <c r="G291" s="5">
        <v>1600</v>
      </c>
      <c r="H291" s="5" t="s">
        <v>3715</v>
      </c>
      <c r="I291" s="5" t="s">
        <v>3794</v>
      </c>
      <c r="J291" s="5" t="s">
        <v>3825</v>
      </c>
      <c r="K291" s="10" t="e">
        <f t="shared" si="0"/>
        <v>#VALUE!</v>
      </c>
      <c r="L291" s="10">
        <f t="shared" si="1"/>
        <v>1</v>
      </c>
      <c r="M291" s="10" t="str">
        <f t="shared" si="2"/>
        <v>016</v>
      </c>
      <c r="N291" s="10" t="str">
        <f t="shared" si="3"/>
        <v>06</v>
      </c>
      <c r="O291" s="10" t="str">
        <f t="shared" si="4"/>
        <v>MAKMUR</v>
      </c>
    </row>
    <row r="292" spans="1:15" ht="12.5">
      <c r="A292" s="115" t="s">
        <v>3826</v>
      </c>
      <c r="B292" s="5">
        <v>0</v>
      </c>
      <c r="C292" s="5">
        <v>61</v>
      </c>
      <c r="D292" s="5">
        <v>4</v>
      </c>
      <c r="E292" s="5">
        <v>81</v>
      </c>
      <c r="F292" s="5">
        <v>3</v>
      </c>
      <c r="G292" s="5">
        <v>1700</v>
      </c>
      <c r="H292" s="5" t="s">
        <v>3715</v>
      </c>
      <c r="I292" s="5" t="s">
        <v>3794</v>
      </c>
      <c r="J292" s="5" t="s">
        <v>3827</v>
      </c>
      <c r="K292" s="10" t="e">
        <f t="shared" si="0"/>
        <v>#VALUE!</v>
      </c>
      <c r="L292" s="10">
        <f t="shared" si="1"/>
        <v>1</v>
      </c>
      <c r="M292" s="10" t="str">
        <f t="shared" si="2"/>
        <v>017</v>
      </c>
      <c r="N292" s="10" t="str">
        <f t="shared" si="3"/>
        <v>07</v>
      </c>
      <c r="O292" s="10" t="str">
        <f t="shared" si="4"/>
        <v>MAKMUR</v>
      </c>
    </row>
    <row r="293" spans="1:15" ht="12.5">
      <c r="A293" s="115" t="s">
        <v>3828</v>
      </c>
      <c r="B293" s="5">
        <v>0</v>
      </c>
      <c r="C293" s="5">
        <v>61</v>
      </c>
      <c r="D293" s="5">
        <v>4</v>
      </c>
      <c r="E293" s="5">
        <v>81</v>
      </c>
      <c r="F293" s="5">
        <v>3</v>
      </c>
      <c r="G293" s="5">
        <v>1800</v>
      </c>
      <c r="H293" s="5" t="s">
        <v>3715</v>
      </c>
      <c r="I293" s="5" t="s">
        <v>3794</v>
      </c>
      <c r="J293" s="5" t="s">
        <v>3829</v>
      </c>
      <c r="K293" s="10" t="e">
        <f t="shared" si="0"/>
        <v>#VALUE!</v>
      </c>
      <c r="L293" s="10">
        <f t="shared" si="1"/>
        <v>1</v>
      </c>
      <c r="M293" s="10" t="str">
        <f t="shared" si="2"/>
        <v>018</v>
      </c>
      <c r="N293" s="10" t="str">
        <f t="shared" si="3"/>
        <v>07</v>
      </c>
      <c r="O293" s="10" t="str">
        <f t="shared" si="4"/>
        <v>PELITA</v>
      </c>
    </row>
    <row r="294" spans="1:15" ht="12.5">
      <c r="A294" s="115" t="s">
        <v>3830</v>
      </c>
      <c r="B294" s="5">
        <v>0</v>
      </c>
      <c r="C294" s="5">
        <v>61</v>
      </c>
      <c r="D294" s="5">
        <v>4</v>
      </c>
      <c r="E294" s="5">
        <v>81</v>
      </c>
      <c r="F294" s="5">
        <v>3</v>
      </c>
      <c r="G294" s="5">
        <v>1900</v>
      </c>
      <c r="H294" s="5" t="s">
        <v>3715</v>
      </c>
      <c r="I294" s="5" t="s">
        <v>3794</v>
      </c>
      <c r="J294" s="5" t="s">
        <v>3831</v>
      </c>
      <c r="K294" s="10" t="e">
        <f t="shared" si="0"/>
        <v>#VALUE!</v>
      </c>
      <c r="L294" s="10">
        <f t="shared" si="1"/>
        <v>1</v>
      </c>
      <c r="M294" s="10" t="str">
        <f t="shared" si="2"/>
        <v>019</v>
      </c>
      <c r="N294" s="10" t="str">
        <f t="shared" si="3"/>
        <v>08</v>
      </c>
      <c r="O294" s="10" t="str">
        <f t="shared" si="4"/>
        <v>PELITA</v>
      </c>
    </row>
    <row r="295" spans="1:15" ht="12.5">
      <c r="A295" s="115" t="s">
        <v>3832</v>
      </c>
      <c r="B295" s="5">
        <v>0</v>
      </c>
      <c r="C295" s="5">
        <v>61</v>
      </c>
      <c r="D295" s="5">
        <v>4</v>
      </c>
      <c r="E295" s="5">
        <v>81</v>
      </c>
      <c r="F295" s="5">
        <v>3</v>
      </c>
      <c r="G295" s="5">
        <v>2000</v>
      </c>
      <c r="H295" s="5" t="s">
        <v>3715</v>
      </c>
      <c r="I295" s="5" t="s">
        <v>3794</v>
      </c>
      <c r="J295" s="5" t="s">
        <v>3833</v>
      </c>
      <c r="K295" s="10" t="e">
        <f t="shared" si="0"/>
        <v>#VALUE!</v>
      </c>
      <c r="L295" s="10">
        <f t="shared" si="1"/>
        <v>1</v>
      </c>
      <c r="M295" s="10" t="str">
        <f t="shared" si="2"/>
        <v>020</v>
      </c>
      <c r="N295" s="10" t="str">
        <f t="shared" si="3"/>
        <v>08</v>
      </c>
      <c r="O295" s="10" t="str">
        <f t="shared" si="4"/>
        <v>PELITA</v>
      </c>
    </row>
    <row r="296" spans="1:15" ht="12.5">
      <c r="A296" s="115" t="s">
        <v>3834</v>
      </c>
      <c r="B296" s="5">
        <v>0</v>
      </c>
      <c r="C296" s="5">
        <v>61</v>
      </c>
      <c r="D296" s="5">
        <v>4</v>
      </c>
      <c r="E296" s="5">
        <v>81</v>
      </c>
      <c r="F296" s="5">
        <v>3</v>
      </c>
      <c r="G296" s="5">
        <v>2100</v>
      </c>
      <c r="H296" s="5" t="s">
        <v>3715</v>
      </c>
      <c r="I296" s="5" t="s">
        <v>3794</v>
      </c>
      <c r="J296" s="5" t="s">
        <v>3835</v>
      </c>
      <c r="K296" s="10" t="e">
        <f t="shared" si="0"/>
        <v>#VALUE!</v>
      </c>
      <c r="L296" s="10">
        <f t="shared" si="1"/>
        <v>1</v>
      </c>
      <c r="M296" s="10" t="str">
        <f t="shared" si="2"/>
        <v>021</v>
      </c>
      <c r="N296" s="10" t="str">
        <f t="shared" si="3"/>
        <v>08</v>
      </c>
      <c r="O296" s="10" t="str">
        <f t="shared" si="4"/>
        <v>PELITA</v>
      </c>
    </row>
    <row r="297" spans="1:15" ht="12.5">
      <c r="A297" s="115" t="s">
        <v>3836</v>
      </c>
      <c r="B297" s="5">
        <v>1</v>
      </c>
      <c r="C297" s="5">
        <v>61</v>
      </c>
      <c r="D297" s="5">
        <v>4</v>
      </c>
      <c r="E297" s="5">
        <v>81</v>
      </c>
      <c r="F297" s="5">
        <v>3</v>
      </c>
      <c r="G297" s="5">
        <v>100100</v>
      </c>
      <c r="H297" s="5" t="s">
        <v>3715</v>
      </c>
      <c r="I297" s="5" t="s">
        <v>3794</v>
      </c>
      <c r="J297" s="5" t="s">
        <v>3837</v>
      </c>
      <c r="K297" s="10" t="e">
        <f t="shared" si="0"/>
        <v>#VALUE!</v>
      </c>
      <c r="L297" s="10">
        <f t="shared" si="1"/>
        <v>0</v>
      </c>
      <c r="M297" s="10" t="str">
        <f t="shared" si="2"/>
        <v xml:space="preserve">AH </v>
      </c>
      <c r="N297" s="10" t="str">
        <f t="shared" si="3"/>
        <v>05P</v>
      </c>
      <c r="O297" s="10" t="str">
        <f t="shared" si="4"/>
        <v/>
      </c>
    </row>
    <row r="298" spans="1:15" ht="12.5">
      <c r="A298" s="115" t="s">
        <v>3838</v>
      </c>
      <c r="B298" s="5">
        <v>1</v>
      </c>
      <c r="C298" s="5">
        <v>61</v>
      </c>
      <c r="D298" s="5">
        <v>4</v>
      </c>
      <c r="E298" s="5">
        <v>81</v>
      </c>
      <c r="F298" s="5">
        <v>3</v>
      </c>
      <c r="G298" s="5">
        <v>100200</v>
      </c>
      <c r="H298" s="5" t="s">
        <v>3715</v>
      </c>
      <c r="I298" s="5" t="s">
        <v>3794</v>
      </c>
      <c r="J298" s="5" t="s">
        <v>3839</v>
      </c>
      <c r="K298" s="10" t="e">
        <f t="shared" si="0"/>
        <v>#VALUE!</v>
      </c>
      <c r="L298" s="10">
        <f t="shared" si="1"/>
        <v>0</v>
      </c>
      <c r="M298" s="10" t="str">
        <f t="shared" si="2"/>
        <v xml:space="preserve">UN </v>
      </c>
      <c r="N298" s="10" t="str">
        <f t="shared" si="3"/>
        <v>PA</v>
      </c>
      <c r="O298" s="10" t="str">
        <f t="shared" si="4"/>
        <v>P</v>
      </c>
    </row>
    <row r="299" spans="1:15" ht="12.5">
      <c r="A299" s="115" t="s">
        <v>3840</v>
      </c>
      <c r="B299" s="5">
        <v>0</v>
      </c>
      <c r="C299" s="5">
        <v>61</v>
      </c>
      <c r="D299" s="5">
        <v>4</v>
      </c>
      <c r="E299" s="5">
        <v>81</v>
      </c>
      <c r="F299" s="5">
        <v>4</v>
      </c>
      <c r="G299" s="5">
        <v>100</v>
      </c>
      <c r="H299" s="5" t="s">
        <v>3715</v>
      </c>
      <c r="I299" s="5" t="s">
        <v>3841</v>
      </c>
      <c r="J299" s="5" t="s">
        <v>3842</v>
      </c>
      <c r="K299" s="10" t="e">
        <f t="shared" si="0"/>
        <v>#VALUE!</v>
      </c>
      <c r="L299" s="10">
        <f t="shared" si="1"/>
        <v>1</v>
      </c>
      <c r="M299" s="10" t="str">
        <f t="shared" si="2"/>
        <v>001</v>
      </c>
      <c r="N299" s="10" t="str">
        <f t="shared" si="3"/>
        <v>001</v>
      </c>
      <c r="O299" s="10" t="str">
        <f t="shared" si="4"/>
        <v>KERANJI</v>
      </c>
    </row>
    <row r="300" spans="1:15" ht="12.5">
      <c r="A300" s="115" t="s">
        <v>3843</v>
      </c>
      <c r="B300" s="5">
        <v>0</v>
      </c>
      <c r="C300" s="5">
        <v>61</v>
      </c>
      <c r="D300" s="5">
        <v>4</v>
      </c>
      <c r="E300" s="5">
        <v>81</v>
      </c>
      <c r="F300" s="5">
        <v>4</v>
      </c>
      <c r="G300" s="5">
        <v>200</v>
      </c>
      <c r="H300" s="5" t="s">
        <v>3715</v>
      </c>
      <c r="I300" s="5" t="s">
        <v>3841</v>
      </c>
      <c r="J300" s="5" t="s">
        <v>3844</v>
      </c>
      <c r="K300" s="10" t="e">
        <f t="shared" si="0"/>
        <v>#VALUE!</v>
      </c>
      <c r="L300" s="10">
        <f t="shared" si="1"/>
        <v>1</v>
      </c>
      <c r="M300" s="10" t="str">
        <f t="shared" si="2"/>
        <v>002</v>
      </c>
      <c r="N300" s="10" t="str">
        <f t="shared" si="3"/>
        <v>001</v>
      </c>
      <c r="O300" s="10" t="str">
        <f t="shared" si="4"/>
        <v>KERANJI</v>
      </c>
    </row>
    <row r="301" spans="1:15" ht="12.5">
      <c r="A301" s="115" t="s">
        <v>3845</v>
      </c>
      <c r="B301" s="5">
        <v>0</v>
      </c>
      <c r="C301" s="5">
        <v>61</v>
      </c>
      <c r="D301" s="5">
        <v>4</v>
      </c>
      <c r="E301" s="5">
        <v>81</v>
      </c>
      <c r="F301" s="5">
        <v>4</v>
      </c>
      <c r="G301" s="5">
        <v>300</v>
      </c>
      <c r="H301" s="5" t="s">
        <v>3715</v>
      </c>
      <c r="I301" s="5" t="s">
        <v>3841</v>
      </c>
      <c r="J301" s="5" t="s">
        <v>3846</v>
      </c>
      <c r="K301" s="10" t="e">
        <f t="shared" si="0"/>
        <v>#VALUE!</v>
      </c>
      <c r="L301" s="10">
        <f t="shared" si="1"/>
        <v>1</v>
      </c>
      <c r="M301" s="10" t="str">
        <f t="shared" si="2"/>
        <v>003</v>
      </c>
      <c r="N301" s="10" t="str">
        <f t="shared" si="3"/>
        <v>001</v>
      </c>
      <c r="O301" s="10" t="str">
        <f t="shared" si="4"/>
        <v>KERANJI</v>
      </c>
    </row>
    <row r="302" spans="1:15" ht="12.5">
      <c r="A302" s="115" t="s">
        <v>3847</v>
      </c>
      <c r="B302" s="5">
        <v>0</v>
      </c>
      <c r="C302" s="5">
        <v>61</v>
      </c>
      <c r="D302" s="5">
        <v>4</v>
      </c>
      <c r="E302" s="5">
        <v>81</v>
      </c>
      <c r="F302" s="5">
        <v>4</v>
      </c>
      <c r="G302" s="5">
        <v>400</v>
      </c>
      <c r="H302" s="5" t="s">
        <v>3715</v>
      </c>
      <c r="I302" s="5" t="s">
        <v>3841</v>
      </c>
      <c r="J302" s="5" t="s">
        <v>3848</v>
      </c>
      <c r="K302" s="10" t="e">
        <f t="shared" si="0"/>
        <v>#VALUE!</v>
      </c>
      <c r="L302" s="10">
        <f t="shared" si="1"/>
        <v>1</v>
      </c>
      <c r="M302" s="10" t="str">
        <f t="shared" si="2"/>
        <v>004</v>
      </c>
      <c r="N302" s="10" t="str">
        <f t="shared" si="3"/>
        <v>002</v>
      </c>
      <c r="O302" s="10" t="str">
        <f t="shared" si="4"/>
        <v>KERANJI</v>
      </c>
    </row>
    <row r="303" spans="1:15" ht="12.5">
      <c r="A303" s="115" t="s">
        <v>3849</v>
      </c>
      <c r="B303" s="5">
        <v>0</v>
      </c>
      <c r="C303" s="5">
        <v>61</v>
      </c>
      <c r="D303" s="5">
        <v>4</v>
      </c>
      <c r="E303" s="5">
        <v>81</v>
      </c>
      <c r="F303" s="5">
        <v>4</v>
      </c>
      <c r="G303" s="5">
        <v>500</v>
      </c>
      <c r="H303" s="5" t="s">
        <v>3715</v>
      </c>
      <c r="I303" s="5" t="s">
        <v>3841</v>
      </c>
      <c r="J303" s="5" t="s">
        <v>3850</v>
      </c>
      <c r="K303" s="10" t="e">
        <f t="shared" si="0"/>
        <v>#VALUE!</v>
      </c>
      <c r="L303" s="10">
        <f t="shared" si="1"/>
        <v>1</v>
      </c>
      <c r="M303" s="10" t="str">
        <f t="shared" si="2"/>
        <v>005</v>
      </c>
      <c r="N303" s="10" t="str">
        <f t="shared" si="3"/>
        <v>002</v>
      </c>
      <c r="O303" s="10" t="str">
        <f t="shared" si="4"/>
        <v>KERANJI</v>
      </c>
    </row>
    <row r="304" spans="1:15" ht="12.5">
      <c r="A304" s="115" t="s">
        <v>3851</v>
      </c>
      <c r="B304" s="5">
        <v>0</v>
      </c>
      <c r="C304" s="5">
        <v>61</v>
      </c>
      <c r="D304" s="5">
        <v>4</v>
      </c>
      <c r="E304" s="5">
        <v>81</v>
      </c>
      <c r="F304" s="5">
        <v>4</v>
      </c>
      <c r="G304" s="5">
        <v>600</v>
      </c>
      <c r="H304" s="5" t="s">
        <v>3715</v>
      </c>
      <c r="I304" s="5" t="s">
        <v>3841</v>
      </c>
      <c r="J304" s="5" t="s">
        <v>3852</v>
      </c>
      <c r="K304" s="10" t="e">
        <f t="shared" si="0"/>
        <v>#VALUE!</v>
      </c>
      <c r="L304" s="10">
        <f t="shared" si="1"/>
        <v>1</v>
      </c>
      <c r="M304" s="10" t="str">
        <f t="shared" si="2"/>
        <v>006</v>
      </c>
      <c r="N304" s="10" t="str">
        <f t="shared" si="3"/>
        <v>003</v>
      </c>
      <c r="O304" s="10" t="str">
        <f t="shared" si="4"/>
        <v>ASAM</v>
      </c>
    </row>
    <row r="305" spans="1:15" ht="12.5">
      <c r="A305" s="115" t="s">
        <v>3853</v>
      </c>
      <c r="B305" s="5">
        <v>0</v>
      </c>
      <c r="C305" s="5">
        <v>61</v>
      </c>
      <c r="D305" s="5">
        <v>4</v>
      </c>
      <c r="E305" s="5">
        <v>81</v>
      </c>
      <c r="F305" s="5">
        <v>4</v>
      </c>
      <c r="G305" s="5">
        <v>700</v>
      </c>
      <c r="H305" s="5" t="s">
        <v>3715</v>
      </c>
      <c r="I305" s="5" t="s">
        <v>3841</v>
      </c>
      <c r="J305" s="5" t="s">
        <v>3854</v>
      </c>
      <c r="K305" s="10" t="e">
        <f t="shared" si="0"/>
        <v>#VALUE!</v>
      </c>
      <c r="L305" s="10">
        <f t="shared" si="1"/>
        <v>1</v>
      </c>
      <c r="M305" s="10" t="str">
        <f t="shared" si="2"/>
        <v>007</v>
      </c>
      <c r="N305" s="10" t="str">
        <f t="shared" si="3"/>
        <v>003</v>
      </c>
      <c r="O305" s="10" t="str">
        <f t="shared" si="4"/>
        <v>ASAM</v>
      </c>
    </row>
    <row r="306" spans="1:15" ht="12.5">
      <c r="A306" s="115" t="s">
        <v>3855</v>
      </c>
      <c r="B306" s="5">
        <v>0</v>
      </c>
      <c r="C306" s="5">
        <v>61</v>
      </c>
      <c r="D306" s="5">
        <v>4</v>
      </c>
      <c r="E306" s="5">
        <v>81</v>
      </c>
      <c r="F306" s="5">
        <v>4</v>
      </c>
      <c r="G306" s="5">
        <v>800</v>
      </c>
      <c r="H306" s="5" t="s">
        <v>3715</v>
      </c>
      <c r="I306" s="5" t="s">
        <v>3841</v>
      </c>
      <c r="J306" s="5" t="s">
        <v>3856</v>
      </c>
      <c r="K306" s="10" t="e">
        <f t="shared" si="0"/>
        <v>#VALUE!</v>
      </c>
      <c r="L306" s="10">
        <f t="shared" si="1"/>
        <v>1</v>
      </c>
      <c r="M306" s="10" t="str">
        <f t="shared" si="2"/>
        <v>008</v>
      </c>
      <c r="N306" s="10" t="str">
        <f t="shared" si="3"/>
        <v>004</v>
      </c>
      <c r="O306" s="10" t="str">
        <f t="shared" si="4"/>
        <v>ASAM</v>
      </c>
    </row>
    <row r="307" spans="1:15" ht="12.5">
      <c r="A307" s="115" t="s">
        <v>3857</v>
      </c>
      <c r="B307" s="5">
        <v>0</v>
      </c>
      <c r="C307" s="5">
        <v>61</v>
      </c>
      <c r="D307" s="5">
        <v>4</v>
      </c>
      <c r="E307" s="5">
        <v>81</v>
      </c>
      <c r="F307" s="5">
        <v>4</v>
      </c>
      <c r="G307" s="5">
        <v>900</v>
      </c>
      <c r="H307" s="5" t="s">
        <v>3715</v>
      </c>
      <c r="I307" s="5" t="s">
        <v>3841</v>
      </c>
      <c r="J307" s="5" t="s">
        <v>3858</v>
      </c>
      <c r="K307" s="10" t="e">
        <f t="shared" si="0"/>
        <v>#VALUE!</v>
      </c>
      <c r="L307" s="10">
        <f t="shared" si="1"/>
        <v>1</v>
      </c>
      <c r="M307" s="10" t="str">
        <f t="shared" si="2"/>
        <v>009</v>
      </c>
      <c r="N307" s="10" t="str">
        <f t="shared" si="3"/>
        <v>004</v>
      </c>
      <c r="O307" s="10" t="str">
        <f t="shared" si="4"/>
        <v>ASAM</v>
      </c>
    </row>
    <row r="308" spans="1:15" ht="12.5">
      <c r="A308" s="115" t="s">
        <v>3859</v>
      </c>
      <c r="B308" s="5">
        <v>0</v>
      </c>
      <c r="C308" s="5">
        <v>61</v>
      </c>
      <c r="D308" s="5">
        <v>4</v>
      </c>
      <c r="E308" s="5">
        <v>81</v>
      </c>
      <c r="F308" s="5">
        <v>4</v>
      </c>
      <c r="G308" s="5">
        <v>1000</v>
      </c>
      <c r="H308" s="5" t="s">
        <v>3715</v>
      </c>
      <c r="I308" s="5" t="s">
        <v>3841</v>
      </c>
      <c r="J308" s="5" t="s">
        <v>3860</v>
      </c>
      <c r="K308" s="10" t="e">
        <f t="shared" si="0"/>
        <v>#VALUE!</v>
      </c>
      <c r="L308" s="10">
        <f t="shared" si="1"/>
        <v>1</v>
      </c>
      <c r="M308" s="10" t="str">
        <f t="shared" si="2"/>
        <v>010</v>
      </c>
      <c r="N308" s="10" t="str">
        <f t="shared" si="3"/>
        <v>004</v>
      </c>
      <c r="O308" s="10" t="str">
        <f t="shared" si="4"/>
        <v>ASAM</v>
      </c>
    </row>
    <row r="309" spans="1:15" ht="12.5">
      <c r="A309" s="115" t="s">
        <v>3861</v>
      </c>
      <c r="B309" s="5">
        <v>0</v>
      </c>
      <c r="C309" s="5">
        <v>61</v>
      </c>
      <c r="D309" s="5">
        <v>4</v>
      </c>
      <c r="E309" s="5">
        <v>81</v>
      </c>
      <c r="F309" s="5">
        <v>5</v>
      </c>
      <c r="G309" s="5">
        <v>100</v>
      </c>
      <c r="H309" s="5" t="s">
        <v>3715</v>
      </c>
      <c r="I309" s="5" t="s">
        <v>3862</v>
      </c>
      <c r="J309" s="5" t="s">
        <v>3863</v>
      </c>
      <c r="K309" s="10" t="e">
        <f t="shared" si="0"/>
        <v>#VALUE!</v>
      </c>
      <c r="L309" s="10">
        <f t="shared" si="1"/>
        <v>1</v>
      </c>
      <c r="M309" s="10" t="str">
        <f t="shared" si="2"/>
        <v>001</v>
      </c>
      <c r="N309" s="10" t="str">
        <f t="shared" si="3"/>
        <v>001</v>
      </c>
      <c r="O309" s="10" t="str">
        <f t="shared" si="4"/>
        <v>SUKA DAMAI</v>
      </c>
    </row>
    <row r="310" spans="1:15" ht="12.5">
      <c r="A310" s="115" t="s">
        <v>3864</v>
      </c>
      <c r="B310" s="5">
        <v>0</v>
      </c>
      <c r="C310" s="5">
        <v>61</v>
      </c>
      <c r="D310" s="5">
        <v>4</v>
      </c>
      <c r="E310" s="5">
        <v>81</v>
      </c>
      <c r="F310" s="5">
        <v>5</v>
      </c>
      <c r="G310" s="5">
        <v>200</v>
      </c>
      <c r="H310" s="5" t="s">
        <v>3715</v>
      </c>
      <c r="I310" s="5" t="s">
        <v>3862</v>
      </c>
      <c r="J310" s="5" t="s">
        <v>3865</v>
      </c>
      <c r="K310" s="10" t="e">
        <f t="shared" si="0"/>
        <v>#VALUE!</v>
      </c>
      <c r="L310" s="10">
        <f t="shared" si="1"/>
        <v>1</v>
      </c>
      <c r="M310" s="10" t="str">
        <f t="shared" si="2"/>
        <v>002</v>
      </c>
      <c r="N310" s="10" t="str">
        <f t="shared" si="3"/>
        <v>001</v>
      </c>
      <c r="O310" s="10" t="str">
        <f t="shared" si="4"/>
        <v>SUKA DAMAI</v>
      </c>
    </row>
    <row r="311" spans="1:15" ht="12.5">
      <c r="A311" s="115" t="s">
        <v>3866</v>
      </c>
      <c r="B311" s="5">
        <v>0</v>
      </c>
      <c r="C311" s="5">
        <v>61</v>
      </c>
      <c r="D311" s="5">
        <v>4</v>
      </c>
      <c r="E311" s="5">
        <v>81</v>
      </c>
      <c r="F311" s="5">
        <v>5</v>
      </c>
      <c r="G311" s="5">
        <v>300</v>
      </c>
      <c r="H311" s="5" t="s">
        <v>3715</v>
      </c>
      <c r="I311" s="5" t="s">
        <v>3862</v>
      </c>
      <c r="J311" s="5" t="s">
        <v>3867</v>
      </c>
      <c r="K311" s="10" t="e">
        <f t="shared" si="0"/>
        <v>#VALUE!</v>
      </c>
      <c r="L311" s="10">
        <f t="shared" si="1"/>
        <v>1</v>
      </c>
      <c r="M311" s="10" t="str">
        <f t="shared" si="2"/>
        <v>003</v>
      </c>
      <c r="N311" s="10" t="str">
        <f t="shared" si="3"/>
        <v>002</v>
      </c>
      <c r="O311" s="10" t="str">
        <f t="shared" si="4"/>
        <v>SUKA DAMAI</v>
      </c>
    </row>
    <row r="312" spans="1:15" ht="12.5">
      <c r="A312" s="115" t="s">
        <v>3868</v>
      </c>
      <c r="B312" s="5">
        <v>0</v>
      </c>
      <c r="C312" s="5">
        <v>61</v>
      </c>
      <c r="D312" s="5">
        <v>4</v>
      </c>
      <c r="E312" s="5">
        <v>81</v>
      </c>
      <c r="F312" s="5">
        <v>5</v>
      </c>
      <c r="G312" s="5">
        <v>400</v>
      </c>
      <c r="H312" s="5" t="s">
        <v>3715</v>
      </c>
      <c r="I312" s="5" t="s">
        <v>3862</v>
      </c>
      <c r="J312" s="5" t="s">
        <v>3869</v>
      </c>
      <c r="K312" s="10" t="e">
        <f t="shared" si="0"/>
        <v>#VALUE!</v>
      </c>
      <c r="L312" s="10">
        <f t="shared" si="1"/>
        <v>1</v>
      </c>
      <c r="M312" s="10" t="str">
        <f t="shared" si="2"/>
        <v>004</v>
      </c>
      <c r="N312" s="10" t="str">
        <f t="shared" si="3"/>
        <v>002</v>
      </c>
      <c r="O312" s="10" t="str">
        <f t="shared" si="4"/>
        <v>SUKA DAMAI</v>
      </c>
    </row>
    <row r="313" spans="1:15" ht="12.5">
      <c r="A313" s="115" t="s">
        <v>3870</v>
      </c>
      <c r="B313" s="5">
        <v>0</v>
      </c>
      <c r="C313" s="5">
        <v>61</v>
      </c>
      <c r="D313" s="5">
        <v>4</v>
      </c>
      <c r="E313" s="5">
        <v>81</v>
      </c>
      <c r="F313" s="5">
        <v>5</v>
      </c>
      <c r="G313" s="5">
        <v>500</v>
      </c>
      <c r="H313" s="5" t="s">
        <v>3715</v>
      </c>
      <c r="I313" s="5" t="s">
        <v>3862</v>
      </c>
      <c r="J313" s="5" t="s">
        <v>3871</v>
      </c>
      <c r="K313" s="10" t="e">
        <f t="shared" si="0"/>
        <v>#VALUE!</v>
      </c>
      <c r="L313" s="10">
        <f t="shared" si="1"/>
        <v>1</v>
      </c>
      <c r="M313" s="10" t="str">
        <f t="shared" si="2"/>
        <v>005</v>
      </c>
      <c r="N313" s="10" t="str">
        <f t="shared" si="3"/>
        <v>002</v>
      </c>
      <c r="O313" s="10" t="str">
        <f t="shared" si="4"/>
        <v>SUKA DAMAI</v>
      </c>
    </row>
    <row r="314" spans="1:15" ht="12.5">
      <c r="A314" s="115" t="s">
        <v>3872</v>
      </c>
      <c r="B314" s="5">
        <v>0</v>
      </c>
      <c r="C314" s="5">
        <v>61</v>
      </c>
      <c r="D314" s="5">
        <v>4</v>
      </c>
      <c r="E314" s="5">
        <v>81</v>
      </c>
      <c r="F314" s="5">
        <v>5</v>
      </c>
      <c r="G314" s="5">
        <v>600</v>
      </c>
      <c r="H314" s="5" t="s">
        <v>3715</v>
      </c>
      <c r="I314" s="5" t="s">
        <v>3862</v>
      </c>
      <c r="J314" s="5" t="s">
        <v>3873</v>
      </c>
      <c r="K314" s="10" t="e">
        <f t="shared" si="0"/>
        <v>#VALUE!</v>
      </c>
      <c r="L314" s="10">
        <f t="shared" si="1"/>
        <v>1</v>
      </c>
      <c r="M314" s="10" t="str">
        <f t="shared" si="2"/>
        <v>006</v>
      </c>
      <c r="N314" s="10" t="str">
        <f t="shared" si="3"/>
        <v>002</v>
      </c>
      <c r="O314" s="10" t="str">
        <f t="shared" si="4"/>
        <v>SUKA DAMAI</v>
      </c>
    </row>
    <row r="315" spans="1:15" ht="12.5">
      <c r="A315" s="115" t="s">
        <v>3874</v>
      </c>
      <c r="B315" s="5">
        <v>0</v>
      </c>
      <c r="C315" s="5">
        <v>61</v>
      </c>
      <c r="D315" s="5">
        <v>4</v>
      </c>
      <c r="E315" s="5">
        <v>81</v>
      </c>
      <c r="F315" s="5">
        <v>5</v>
      </c>
      <c r="G315" s="5">
        <v>700</v>
      </c>
      <c r="H315" s="5" t="s">
        <v>3715</v>
      </c>
      <c r="I315" s="5" t="s">
        <v>3862</v>
      </c>
      <c r="J315" s="5" t="s">
        <v>3875</v>
      </c>
      <c r="K315" s="10" t="e">
        <f t="shared" si="0"/>
        <v>#VALUE!</v>
      </c>
      <c r="L315" s="10">
        <f t="shared" si="1"/>
        <v>1</v>
      </c>
      <c r="M315" s="10" t="str">
        <f t="shared" si="2"/>
        <v>007</v>
      </c>
      <c r="N315" s="10" t="str">
        <f t="shared" si="3"/>
        <v>015</v>
      </c>
      <c r="O315" s="10" t="str">
        <f t="shared" si="4"/>
        <v>SUKA DAMAI</v>
      </c>
    </row>
    <row r="316" spans="1:15" ht="12.5">
      <c r="A316" s="115" t="s">
        <v>3876</v>
      </c>
      <c r="B316" s="5">
        <v>0</v>
      </c>
      <c r="C316" s="5">
        <v>61</v>
      </c>
      <c r="D316" s="5">
        <v>4</v>
      </c>
      <c r="E316" s="5">
        <v>81</v>
      </c>
      <c r="F316" s="5">
        <v>5</v>
      </c>
      <c r="G316" s="5">
        <v>800</v>
      </c>
      <c r="H316" s="5" t="s">
        <v>3715</v>
      </c>
      <c r="I316" s="5" t="s">
        <v>3862</v>
      </c>
      <c r="J316" s="5" t="s">
        <v>3877</v>
      </c>
      <c r="K316" s="10" t="e">
        <f t="shared" si="0"/>
        <v>#VALUE!</v>
      </c>
      <c r="L316" s="10">
        <f t="shared" si="1"/>
        <v>1</v>
      </c>
      <c r="M316" s="10" t="str">
        <f t="shared" si="2"/>
        <v>008</v>
      </c>
      <c r="N316" s="10" t="str">
        <f t="shared" si="3"/>
        <v>015</v>
      </c>
      <c r="O316" s="10" t="str">
        <f t="shared" si="4"/>
        <v>SUKA DAMAI</v>
      </c>
    </row>
    <row r="317" spans="1:15" ht="12.5">
      <c r="A317" s="115" t="s">
        <v>3878</v>
      </c>
      <c r="B317" s="5">
        <v>0</v>
      </c>
      <c r="C317" s="5">
        <v>61</v>
      </c>
      <c r="D317" s="5">
        <v>4</v>
      </c>
      <c r="E317" s="5">
        <v>81</v>
      </c>
      <c r="F317" s="5">
        <v>5</v>
      </c>
      <c r="G317" s="5">
        <v>900</v>
      </c>
      <c r="H317" s="5" t="s">
        <v>3715</v>
      </c>
      <c r="I317" s="5" t="s">
        <v>3862</v>
      </c>
      <c r="J317" s="5" t="s">
        <v>3879</v>
      </c>
      <c r="K317" s="10" t="e">
        <f t="shared" si="0"/>
        <v>#VALUE!</v>
      </c>
      <c r="L317" s="10">
        <f t="shared" si="1"/>
        <v>1</v>
      </c>
      <c r="M317" s="10" t="str">
        <f t="shared" si="2"/>
        <v>009</v>
      </c>
      <c r="N317" s="10" t="str">
        <f t="shared" si="3"/>
        <v>015</v>
      </c>
      <c r="O317" s="10" t="str">
        <f t="shared" si="4"/>
        <v>SUKA DAMAI</v>
      </c>
    </row>
    <row r="318" spans="1:15" ht="12.5">
      <c r="A318" s="115" t="s">
        <v>3880</v>
      </c>
      <c r="B318" s="5">
        <v>0</v>
      </c>
      <c r="C318" s="5">
        <v>61</v>
      </c>
      <c r="D318" s="5">
        <v>4</v>
      </c>
      <c r="E318" s="5">
        <v>81</v>
      </c>
      <c r="F318" s="5">
        <v>5</v>
      </c>
      <c r="G318" s="5">
        <v>1000</v>
      </c>
      <c r="H318" s="5" t="s">
        <v>3715</v>
      </c>
      <c r="I318" s="5" t="s">
        <v>3862</v>
      </c>
      <c r="J318" s="5" t="s">
        <v>3881</v>
      </c>
      <c r="K318" s="10" t="e">
        <f t="shared" si="0"/>
        <v>#VALUE!</v>
      </c>
      <c r="L318" s="10">
        <f t="shared" si="1"/>
        <v>1</v>
      </c>
      <c r="M318" s="10" t="str">
        <f t="shared" si="2"/>
        <v>001</v>
      </c>
      <c r="N318" s="10" t="str">
        <f t="shared" si="3"/>
        <v>003</v>
      </c>
      <c r="O318" s="10" t="str">
        <f t="shared" si="4"/>
        <v>KARYA BAKTI</v>
      </c>
    </row>
    <row r="319" spans="1:15" ht="12.5">
      <c r="A319" s="115" t="s">
        <v>3882</v>
      </c>
      <c r="B319" s="5">
        <v>0</v>
      </c>
      <c r="C319" s="5">
        <v>61</v>
      </c>
      <c r="D319" s="5">
        <v>4</v>
      </c>
      <c r="E319" s="5">
        <v>81</v>
      </c>
      <c r="F319" s="5">
        <v>5</v>
      </c>
      <c r="G319" s="5">
        <v>1100</v>
      </c>
      <c r="H319" s="5" t="s">
        <v>3715</v>
      </c>
      <c r="I319" s="5" t="s">
        <v>3862</v>
      </c>
      <c r="J319" s="5" t="s">
        <v>3883</v>
      </c>
      <c r="K319" s="10" t="e">
        <f t="shared" si="0"/>
        <v>#VALUE!</v>
      </c>
      <c r="L319" s="10">
        <f t="shared" si="1"/>
        <v>1</v>
      </c>
      <c r="M319" s="10" t="str">
        <f t="shared" si="2"/>
        <v>002</v>
      </c>
      <c r="N319" s="10" t="str">
        <f t="shared" si="3"/>
        <v>003</v>
      </c>
      <c r="O319" s="10" t="str">
        <f t="shared" si="4"/>
        <v>KARYA BAKTI</v>
      </c>
    </row>
    <row r="320" spans="1:15" ht="12.5">
      <c r="A320" s="115" t="s">
        <v>3884</v>
      </c>
      <c r="B320" s="5">
        <v>0</v>
      </c>
      <c r="C320" s="5">
        <v>61</v>
      </c>
      <c r="D320" s="5">
        <v>4</v>
      </c>
      <c r="E320" s="5">
        <v>81</v>
      </c>
      <c r="F320" s="5">
        <v>5</v>
      </c>
      <c r="G320" s="5">
        <v>1200</v>
      </c>
      <c r="H320" s="5" t="s">
        <v>3715</v>
      </c>
      <c r="I320" s="5" t="s">
        <v>3862</v>
      </c>
      <c r="J320" s="5" t="s">
        <v>3885</v>
      </c>
      <c r="K320" s="10" t="e">
        <f t="shared" si="0"/>
        <v>#VALUE!</v>
      </c>
      <c r="L320" s="10">
        <f t="shared" si="1"/>
        <v>1</v>
      </c>
      <c r="M320" s="10" t="str">
        <f t="shared" si="2"/>
        <v>003</v>
      </c>
      <c r="N320" s="10" t="str">
        <f t="shared" si="3"/>
        <v>004</v>
      </c>
      <c r="O320" s="10" t="str">
        <f t="shared" si="4"/>
        <v>KARYA BAKTI</v>
      </c>
    </row>
    <row r="321" spans="1:15" ht="12.5">
      <c r="A321" s="115" t="s">
        <v>3886</v>
      </c>
      <c r="B321" s="5">
        <v>0</v>
      </c>
      <c r="C321" s="5">
        <v>61</v>
      </c>
      <c r="D321" s="5">
        <v>4</v>
      </c>
      <c r="E321" s="5">
        <v>81</v>
      </c>
      <c r="F321" s="5">
        <v>5</v>
      </c>
      <c r="G321" s="5">
        <v>1300</v>
      </c>
      <c r="H321" s="5" t="s">
        <v>3715</v>
      </c>
      <c r="I321" s="5" t="s">
        <v>3862</v>
      </c>
      <c r="J321" s="5" t="s">
        <v>3887</v>
      </c>
      <c r="K321" s="10" t="e">
        <f t="shared" si="0"/>
        <v>#VALUE!</v>
      </c>
      <c r="L321" s="10">
        <f t="shared" si="1"/>
        <v>1</v>
      </c>
      <c r="M321" s="10" t="str">
        <f t="shared" si="2"/>
        <v>004</v>
      </c>
      <c r="N321" s="10" t="str">
        <f t="shared" si="3"/>
        <v>004</v>
      </c>
      <c r="O321" s="10" t="str">
        <f t="shared" si="4"/>
        <v>KARYA BAKTI</v>
      </c>
    </row>
    <row r="322" spans="1:15" ht="12.5">
      <c r="A322" s="115" t="s">
        <v>3888</v>
      </c>
      <c r="B322" s="5">
        <v>0</v>
      </c>
      <c r="C322" s="5">
        <v>61</v>
      </c>
      <c r="D322" s="5">
        <v>4</v>
      </c>
      <c r="E322" s="5">
        <v>81</v>
      </c>
      <c r="F322" s="5">
        <v>5</v>
      </c>
      <c r="G322" s="5">
        <v>1400</v>
      </c>
      <c r="H322" s="5" t="s">
        <v>3715</v>
      </c>
      <c r="I322" s="5" t="s">
        <v>3862</v>
      </c>
      <c r="J322" s="5" t="s">
        <v>3889</v>
      </c>
      <c r="K322" s="10" t="e">
        <f t="shared" si="0"/>
        <v>#VALUE!</v>
      </c>
      <c r="L322" s="10">
        <f t="shared" si="1"/>
        <v>1</v>
      </c>
      <c r="M322" s="10" t="str">
        <f t="shared" si="2"/>
        <v>005</v>
      </c>
      <c r="N322" s="10" t="str">
        <f t="shared" si="3"/>
        <v>004</v>
      </c>
      <c r="O322" s="10" t="str">
        <f t="shared" si="4"/>
        <v>KARYA BAKTI</v>
      </c>
    </row>
    <row r="323" spans="1:15" ht="12.5">
      <c r="A323" s="115" t="s">
        <v>3890</v>
      </c>
      <c r="B323" s="5">
        <v>0</v>
      </c>
      <c r="C323" s="5">
        <v>61</v>
      </c>
      <c r="D323" s="5">
        <v>4</v>
      </c>
      <c r="E323" s="5">
        <v>81</v>
      </c>
      <c r="F323" s="5">
        <v>5</v>
      </c>
      <c r="G323" s="5">
        <v>1500</v>
      </c>
      <c r="H323" s="5" t="s">
        <v>3715</v>
      </c>
      <c r="I323" s="5" t="s">
        <v>3862</v>
      </c>
      <c r="J323" s="5" t="s">
        <v>3891</v>
      </c>
      <c r="K323" s="10" t="e">
        <f t="shared" si="0"/>
        <v>#VALUE!</v>
      </c>
      <c r="L323" s="10">
        <f t="shared" si="1"/>
        <v>1</v>
      </c>
      <c r="M323" s="10" t="str">
        <f t="shared" si="2"/>
        <v>001</v>
      </c>
      <c r="N323" s="10" t="str">
        <f t="shared" si="3"/>
        <v>005</v>
      </c>
      <c r="O323" s="10" t="str">
        <f t="shared" si="4"/>
        <v>SUKA MAJU</v>
      </c>
    </row>
    <row r="324" spans="1:15" ht="12.5">
      <c r="A324" s="115" t="s">
        <v>3892</v>
      </c>
      <c r="B324" s="5">
        <v>0</v>
      </c>
      <c r="C324" s="5">
        <v>61</v>
      </c>
      <c r="D324" s="5">
        <v>4</v>
      </c>
      <c r="E324" s="5">
        <v>81</v>
      </c>
      <c r="F324" s="5">
        <v>5</v>
      </c>
      <c r="G324" s="5">
        <v>1600</v>
      </c>
      <c r="H324" s="5" t="s">
        <v>3715</v>
      </c>
      <c r="I324" s="5" t="s">
        <v>3862</v>
      </c>
      <c r="J324" s="5" t="s">
        <v>3893</v>
      </c>
      <c r="K324" s="10" t="e">
        <f t="shared" si="0"/>
        <v>#VALUE!</v>
      </c>
      <c r="L324" s="10">
        <f t="shared" si="1"/>
        <v>1</v>
      </c>
      <c r="M324" s="10" t="str">
        <f t="shared" si="2"/>
        <v>002</v>
      </c>
      <c r="N324" s="10" t="str">
        <f t="shared" si="3"/>
        <v>005</v>
      </c>
      <c r="O324" s="10" t="str">
        <f t="shared" si="4"/>
        <v>SUKA MAJU</v>
      </c>
    </row>
    <row r="325" spans="1:15" ht="12.5">
      <c r="A325" s="115" t="s">
        <v>3894</v>
      </c>
      <c r="B325" s="5">
        <v>0</v>
      </c>
      <c r="C325" s="5">
        <v>61</v>
      </c>
      <c r="D325" s="5">
        <v>4</v>
      </c>
      <c r="E325" s="5">
        <v>81</v>
      </c>
      <c r="F325" s="5">
        <v>5</v>
      </c>
      <c r="G325" s="5">
        <v>1700</v>
      </c>
      <c r="H325" s="5" t="s">
        <v>3715</v>
      </c>
      <c r="I325" s="5" t="s">
        <v>3862</v>
      </c>
      <c r="J325" s="5" t="s">
        <v>3895</v>
      </c>
      <c r="K325" s="10" t="e">
        <f t="shared" si="0"/>
        <v>#VALUE!</v>
      </c>
      <c r="L325" s="10">
        <f t="shared" si="1"/>
        <v>1</v>
      </c>
      <c r="M325" s="10" t="str">
        <f t="shared" si="2"/>
        <v>003</v>
      </c>
      <c r="N325" s="10" t="str">
        <f t="shared" si="3"/>
        <v>006</v>
      </c>
      <c r="O325" s="10" t="str">
        <f t="shared" si="4"/>
        <v>SUKA MAJU</v>
      </c>
    </row>
    <row r="326" spans="1:15" ht="12.5">
      <c r="A326" s="115" t="s">
        <v>3896</v>
      </c>
      <c r="B326" s="5">
        <v>0</v>
      </c>
      <c r="C326" s="5">
        <v>61</v>
      </c>
      <c r="D326" s="5">
        <v>4</v>
      </c>
      <c r="E326" s="5">
        <v>81</v>
      </c>
      <c r="F326" s="5">
        <v>5</v>
      </c>
      <c r="G326" s="5">
        <v>1800</v>
      </c>
      <c r="H326" s="5" t="s">
        <v>3715</v>
      </c>
      <c r="I326" s="5" t="s">
        <v>3862</v>
      </c>
      <c r="J326" s="5" t="s">
        <v>3897</v>
      </c>
      <c r="K326" s="10" t="e">
        <f t="shared" si="0"/>
        <v>#VALUE!</v>
      </c>
      <c r="L326" s="10">
        <f t="shared" si="1"/>
        <v>1</v>
      </c>
      <c r="M326" s="10" t="str">
        <f t="shared" si="2"/>
        <v>004</v>
      </c>
      <c r="N326" s="10" t="str">
        <f t="shared" si="3"/>
        <v>006</v>
      </c>
      <c r="O326" s="10" t="str">
        <f t="shared" si="4"/>
        <v>SUKA MAJU</v>
      </c>
    </row>
    <row r="327" spans="1:15" ht="12.5">
      <c r="A327" s="115" t="s">
        <v>3898</v>
      </c>
      <c r="B327" s="5">
        <v>0</v>
      </c>
      <c r="C327" s="5">
        <v>61</v>
      </c>
      <c r="D327" s="5">
        <v>4</v>
      </c>
      <c r="E327" s="5">
        <v>81</v>
      </c>
      <c r="F327" s="5">
        <v>5</v>
      </c>
      <c r="G327" s="5">
        <v>1900</v>
      </c>
      <c r="H327" s="5" t="s">
        <v>3715</v>
      </c>
      <c r="I327" s="5" t="s">
        <v>3862</v>
      </c>
      <c r="J327" s="5" t="s">
        <v>3899</v>
      </c>
      <c r="K327" s="10" t="e">
        <f t="shared" si="0"/>
        <v>#VALUE!</v>
      </c>
      <c r="L327" s="10">
        <f t="shared" si="1"/>
        <v>1</v>
      </c>
      <c r="M327" s="10" t="str">
        <f t="shared" si="2"/>
        <v>001</v>
      </c>
      <c r="N327" s="10" t="str">
        <f t="shared" si="3"/>
        <v>007</v>
      </c>
      <c r="O327" s="10" t="str">
        <f t="shared" si="4"/>
        <v>KARYA BERSAMA</v>
      </c>
    </row>
    <row r="328" spans="1:15" ht="12.5">
      <c r="A328" s="115" t="s">
        <v>3900</v>
      </c>
      <c r="B328" s="5">
        <v>0</v>
      </c>
      <c r="C328" s="5">
        <v>61</v>
      </c>
      <c r="D328" s="5">
        <v>4</v>
      </c>
      <c r="E328" s="5">
        <v>81</v>
      </c>
      <c r="F328" s="5">
        <v>5</v>
      </c>
      <c r="G328" s="5">
        <v>2000</v>
      </c>
      <c r="H328" s="5" t="s">
        <v>3715</v>
      </c>
      <c r="I328" s="5" t="s">
        <v>3862</v>
      </c>
      <c r="J328" s="5" t="s">
        <v>3901</v>
      </c>
      <c r="K328" s="10" t="e">
        <f t="shared" si="0"/>
        <v>#VALUE!</v>
      </c>
      <c r="L328" s="10">
        <f t="shared" si="1"/>
        <v>1</v>
      </c>
      <c r="M328" s="10" t="str">
        <f t="shared" si="2"/>
        <v>002</v>
      </c>
      <c r="N328" s="10" t="str">
        <f t="shared" si="3"/>
        <v>007</v>
      </c>
      <c r="O328" s="10" t="str">
        <f t="shared" si="4"/>
        <v>KARYA BERSAMA</v>
      </c>
    </row>
    <row r="329" spans="1:15" ht="12.5">
      <c r="A329" s="115" t="s">
        <v>3902</v>
      </c>
      <c r="B329" s="5">
        <v>0</v>
      </c>
      <c r="C329" s="5">
        <v>61</v>
      </c>
      <c r="D329" s="5">
        <v>4</v>
      </c>
      <c r="E329" s="5">
        <v>81</v>
      </c>
      <c r="F329" s="5">
        <v>5</v>
      </c>
      <c r="G329" s="5">
        <v>2100</v>
      </c>
      <c r="H329" s="5" t="s">
        <v>3715</v>
      </c>
      <c r="I329" s="5" t="s">
        <v>3862</v>
      </c>
      <c r="J329" s="5" t="s">
        <v>3903</v>
      </c>
      <c r="K329" s="10" t="e">
        <f t="shared" si="0"/>
        <v>#VALUE!</v>
      </c>
      <c r="L329" s="10">
        <f t="shared" si="1"/>
        <v>1</v>
      </c>
      <c r="M329" s="10" t="str">
        <f t="shared" si="2"/>
        <v>003</v>
      </c>
      <c r="N329" s="10" t="str">
        <f t="shared" si="3"/>
        <v>007</v>
      </c>
      <c r="O329" s="10" t="str">
        <f t="shared" si="4"/>
        <v>KARYA BERSAMA</v>
      </c>
    </row>
    <row r="330" spans="1:15" ht="12.5">
      <c r="A330" s="115" t="s">
        <v>3904</v>
      </c>
      <c r="B330" s="5">
        <v>0</v>
      </c>
      <c r="C330" s="5">
        <v>61</v>
      </c>
      <c r="D330" s="5">
        <v>4</v>
      </c>
      <c r="E330" s="5">
        <v>81</v>
      </c>
      <c r="F330" s="5">
        <v>5</v>
      </c>
      <c r="G330" s="5">
        <v>2200</v>
      </c>
      <c r="H330" s="5" t="s">
        <v>3715</v>
      </c>
      <c r="I330" s="5" t="s">
        <v>3862</v>
      </c>
      <c r="J330" s="5" t="s">
        <v>3905</v>
      </c>
      <c r="K330" s="10" t="e">
        <f t="shared" si="0"/>
        <v>#VALUE!</v>
      </c>
      <c r="L330" s="10">
        <f t="shared" si="1"/>
        <v>1</v>
      </c>
      <c r="M330" s="10" t="str">
        <f t="shared" si="2"/>
        <v>004</v>
      </c>
      <c r="N330" s="10" t="str">
        <f t="shared" si="3"/>
        <v>008</v>
      </c>
      <c r="O330" s="10" t="str">
        <f t="shared" si="4"/>
        <v>KARYA BERSAMA</v>
      </c>
    </row>
    <row r="331" spans="1:15" ht="12.5">
      <c r="A331" s="115" t="s">
        <v>3906</v>
      </c>
      <c r="B331" s="5">
        <v>0</v>
      </c>
      <c r="C331" s="5">
        <v>61</v>
      </c>
      <c r="D331" s="5">
        <v>4</v>
      </c>
      <c r="E331" s="5">
        <v>81</v>
      </c>
      <c r="F331" s="5">
        <v>5</v>
      </c>
      <c r="G331" s="5">
        <v>2300</v>
      </c>
      <c r="H331" s="5" t="s">
        <v>3715</v>
      </c>
      <c r="I331" s="5" t="s">
        <v>3862</v>
      </c>
      <c r="J331" s="5" t="s">
        <v>3907</v>
      </c>
      <c r="K331" s="10" t="e">
        <f t="shared" si="0"/>
        <v>#VALUE!</v>
      </c>
      <c r="L331" s="10">
        <f t="shared" si="1"/>
        <v>1</v>
      </c>
      <c r="M331" s="10" t="str">
        <f t="shared" si="2"/>
        <v>005</v>
      </c>
      <c r="N331" s="10" t="str">
        <f t="shared" si="3"/>
        <v>008</v>
      </c>
      <c r="O331" s="10" t="str">
        <f t="shared" si="4"/>
        <v>KARYA BERSAMA</v>
      </c>
    </row>
    <row r="332" spans="1:15" ht="12.5">
      <c r="A332" s="115" t="s">
        <v>3908</v>
      </c>
      <c r="B332" s="5">
        <v>0</v>
      </c>
      <c r="C332" s="5">
        <v>61</v>
      </c>
      <c r="D332" s="5">
        <v>4</v>
      </c>
      <c r="E332" s="5">
        <v>81</v>
      </c>
      <c r="F332" s="5">
        <v>5</v>
      </c>
      <c r="G332" s="5">
        <v>2400</v>
      </c>
      <c r="H332" s="5" t="s">
        <v>3715</v>
      </c>
      <c r="I332" s="5" t="s">
        <v>3862</v>
      </c>
      <c r="J332" s="5" t="s">
        <v>3909</v>
      </c>
      <c r="K332" s="10" t="e">
        <f t="shared" si="0"/>
        <v>#VALUE!</v>
      </c>
      <c r="L332" s="10">
        <f t="shared" si="1"/>
        <v>1</v>
      </c>
      <c r="M332" s="10" t="str">
        <f t="shared" si="2"/>
        <v>001</v>
      </c>
      <c r="N332" s="10" t="str">
        <f t="shared" si="3"/>
        <v>009</v>
      </c>
      <c r="O332" s="10" t="str">
        <f t="shared" si="4"/>
        <v>TANI MAKMUR</v>
      </c>
    </row>
    <row r="333" spans="1:15" ht="12.5">
      <c r="A333" s="115" t="s">
        <v>3910</v>
      </c>
      <c r="B333" s="5">
        <v>0</v>
      </c>
      <c r="C333" s="5">
        <v>61</v>
      </c>
      <c r="D333" s="5">
        <v>4</v>
      </c>
      <c r="E333" s="5">
        <v>81</v>
      </c>
      <c r="F333" s="5">
        <v>5</v>
      </c>
      <c r="G333" s="5">
        <v>2500</v>
      </c>
      <c r="H333" s="5" t="s">
        <v>3715</v>
      </c>
      <c r="I333" s="5" t="s">
        <v>3862</v>
      </c>
      <c r="J333" s="5" t="s">
        <v>3911</v>
      </c>
      <c r="K333" s="10" t="e">
        <f t="shared" si="0"/>
        <v>#VALUE!</v>
      </c>
      <c r="L333" s="10">
        <f t="shared" si="1"/>
        <v>1</v>
      </c>
      <c r="M333" s="10" t="str">
        <f t="shared" si="2"/>
        <v>002</v>
      </c>
      <c r="N333" s="10" t="str">
        <f t="shared" si="3"/>
        <v>009</v>
      </c>
      <c r="O333" s="10" t="str">
        <f t="shared" si="4"/>
        <v>TANI MAKMUR</v>
      </c>
    </row>
    <row r="334" spans="1:15" ht="12.5">
      <c r="A334" s="115" t="s">
        <v>3912</v>
      </c>
      <c r="B334" s="5">
        <v>0</v>
      </c>
      <c r="C334" s="5">
        <v>61</v>
      </c>
      <c r="D334" s="5">
        <v>4</v>
      </c>
      <c r="E334" s="5">
        <v>81</v>
      </c>
      <c r="F334" s="5">
        <v>5</v>
      </c>
      <c r="G334" s="5">
        <v>2600</v>
      </c>
      <c r="H334" s="5" t="s">
        <v>3715</v>
      </c>
      <c r="I334" s="5" t="s">
        <v>3862</v>
      </c>
      <c r="J334" s="5" t="s">
        <v>3913</v>
      </c>
      <c r="K334" s="10" t="e">
        <f t="shared" si="0"/>
        <v>#VALUE!</v>
      </c>
      <c r="L334" s="10">
        <f t="shared" si="1"/>
        <v>1</v>
      </c>
      <c r="M334" s="10" t="str">
        <f t="shared" si="2"/>
        <v>003</v>
      </c>
      <c r="N334" s="10" t="str">
        <f t="shared" si="3"/>
        <v>010</v>
      </c>
      <c r="O334" s="10" t="str">
        <f t="shared" si="4"/>
        <v>TANI MAKMUR</v>
      </c>
    </row>
    <row r="335" spans="1:15" ht="12.5">
      <c r="A335" s="115" t="s">
        <v>3914</v>
      </c>
      <c r="B335" s="5">
        <v>0</v>
      </c>
      <c r="C335" s="5">
        <v>61</v>
      </c>
      <c r="D335" s="5">
        <v>4</v>
      </c>
      <c r="E335" s="5">
        <v>81</v>
      </c>
      <c r="F335" s="5">
        <v>5</v>
      </c>
      <c r="G335" s="5">
        <v>2700</v>
      </c>
      <c r="H335" s="5" t="s">
        <v>3715</v>
      </c>
      <c r="I335" s="5" t="s">
        <v>3862</v>
      </c>
      <c r="J335" s="5" t="s">
        <v>3915</v>
      </c>
      <c r="K335" s="10" t="e">
        <f t="shared" si="0"/>
        <v>#VALUE!</v>
      </c>
      <c r="L335" s="10">
        <f t="shared" si="1"/>
        <v>1</v>
      </c>
      <c r="M335" s="10" t="str">
        <f t="shared" si="2"/>
        <v>004</v>
      </c>
      <c r="N335" s="10" t="str">
        <f t="shared" si="3"/>
        <v>010</v>
      </c>
      <c r="O335" s="10" t="str">
        <f t="shared" si="4"/>
        <v>TANI MAKMUR</v>
      </c>
    </row>
    <row r="336" spans="1:15" ht="12.5">
      <c r="A336" s="115" t="s">
        <v>3916</v>
      </c>
      <c r="B336" s="5">
        <v>0</v>
      </c>
      <c r="C336" s="5">
        <v>61</v>
      </c>
      <c r="D336" s="5">
        <v>4</v>
      </c>
      <c r="E336" s="5">
        <v>81</v>
      </c>
      <c r="F336" s="5">
        <v>5</v>
      </c>
      <c r="G336" s="5">
        <v>2800</v>
      </c>
      <c r="H336" s="5" t="s">
        <v>3715</v>
      </c>
      <c r="I336" s="5" t="s">
        <v>3862</v>
      </c>
      <c r="J336" s="5" t="s">
        <v>3917</v>
      </c>
      <c r="K336" s="10" t="e">
        <f t="shared" si="0"/>
        <v>#VALUE!</v>
      </c>
      <c r="L336" s="10">
        <f t="shared" si="1"/>
        <v>1</v>
      </c>
      <c r="M336" s="10" t="str">
        <f t="shared" si="2"/>
        <v>001</v>
      </c>
      <c r="N336" s="10" t="str">
        <f t="shared" si="3"/>
        <v>011</v>
      </c>
      <c r="O336" s="10" t="str">
        <f t="shared" si="4"/>
        <v>KARYA UTAMA</v>
      </c>
    </row>
    <row r="337" spans="1:15" ht="12.5">
      <c r="A337" s="115" t="s">
        <v>3918</v>
      </c>
      <c r="B337" s="5">
        <v>0</v>
      </c>
      <c r="C337" s="5">
        <v>61</v>
      </c>
      <c r="D337" s="5">
        <v>4</v>
      </c>
      <c r="E337" s="5">
        <v>81</v>
      </c>
      <c r="F337" s="5">
        <v>5</v>
      </c>
      <c r="G337" s="5">
        <v>2900</v>
      </c>
      <c r="H337" s="5" t="s">
        <v>3715</v>
      </c>
      <c r="I337" s="5" t="s">
        <v>3862</v>
      </c>
      <c r="J337" s="5" t="s">
        <v>3919</v>
      </c>
      <c r="K337" s="10" t="e">
        <f t="shared" si="0"/>
        <v>#VALUE!</v>
      </c>
      <c r="L337" s="10">
        <f t="shared" si="1"/>
        <v>1</v>
      </c>
      <c r="M337" s="10" t="str">
        <f t="shared" si="2"/>
        <v>002</v>
      </c>
      <c r="N337" s="10" t="str">
        <f t="shared" si="3"/>
        <v>011</v>
      </c>
      <c r="O337" s="10" t="str">
        <f t="shared" si="4"/>
        <v>KARYA UTAMA</v>
      </c>
    </row>
    <row r="338" spans="1:15" ht="12.5">
      <c r="A338" s="115" t="s">
        <v>3920</v>
      </c>
      <c r="B338" s="5">
        <v>0</v>
      </c>
      <c r="C338" s="5">
        <v>61</v>
      </c>
      <c r="D338" s="5">
        <v>4</v>
      </c>
      <c r="E338" s="5">
        <v>81</v>
      </c>
      <c r="F338" s="5">
        <v>5</v>
      </c>
      <c r="G338" s="5">
        <v>3000</v>
      </c>
      <c r="H338" s="5" t="s">
        <v>3715</v>
      </c>
      <c r="I338" s="5" t="s">
        <v>3862</v>
      </c>
      <c r="J338" s="5" t="s">
        <v>3921</v>
      </c>
      <c r="K338" s="10" t="e">
        <f t="shared" si="0"/>
        <v>#VALUE!</v>
      </c>
      <c r="L338" s="10">
        <f t="shared" si="1"/>
        <v>1</v>
      </c>
      <c r="M338" s="10" t="str">
        <f t="shared" si="2"/>
        <v>003</v>
      </c>
      <c r="N338" s="10" t="str">
        <f t="shared" si="3"/>
        <v>012</v>
      </c>
      <c r="O338" s="10" t="str">
        <f t="shared" si="4"/>
        <v>KARYA UTAMA</v>
      </c>
    </row>
    <row r="339" spans="1:15" ht="12.5">
      <c r="A339" s="115" t="s">
        <v>3922</v>
      </c>
      <c r="B339" s="5">
        <v>0</v>
      </c>
      <c r="C339" s="5">
        <v>61</v>
      </c>
      <c r="D339" s="5">
        <v>4</v>
      </c>
      <c r="E339" s="5">
        <v>81</v>
      </c>
      <c r="F339" s="5">
        <v>5</v>
      </c>
      <c r="G339" s="5">
        <v>3100</v>
      </c>
      <c r="H339" s="5" t="s">
        <v>3715</v>
      </c>
      <c r="I339" s="5" t="s">
        <v>3862</v>
      </c>
      <c r="J339" s="5" t="s">
        <v>3923</v>
      </c>
      <c r="K339" s="10" t="e">
        <f t="shared" si="0"/>
        <v>#VALUE!</v>
      </c>
      <c r="L339" s="10">
        <f t="shared" si="1"/>
        <v>1</v>
      </c>
      <c r="M339" s="10" t="str">
        <f t="shared" si="2"/>
        <v>004</v>
      </c>
      <c r="N339" s="10" t="str">
        <f t="shared" si="3"/>
        <v>012</v>
      </c>
      <c r="O339" s="10" t="str">
        <f t="shared" si="4"/>
        <v>KARYA UTAMA</v>
      </c>
    </row>
    <row r="340" spans="1:15" ht="12.5">
      <c r="A340" s="115" t="s">
        <v>3924</v>
      </c>
      <c r="B340" s="5">
        <v>0</v>
      </c>
      <c r="C340" s="5">
        <v>61</v>
      </c>
      <c r="D340" s="5">
        <v>4</v>
      </c>
      <c r="E340" s="5">
        <v>81</v>
      </c>
      <c r="F340" s="5">
        <v>5</v>
      </c>
      <c r="G340" s="5">
        <v>3200</v>
      </c>
      <c r="H340" s="5" t="s">
        <v>3715</v>
      </c>
      <c r="I340" s="5" t="s">
        <v>3862</v>
      </c>
      <c r="J340" s="5" t="s">
        <v>3925</v>
      </c>
      <c r="K340" s="10" t="e">
        <f t="shared" si="0"/>
        <v>#VALUE!</v>
      </c>
      <c r="L340" s="10">
        <f t="shared" si="1"/>
        <v>1</v>
      </c>
      <c r="M340" s="10" t="str">
        <f t="shared" si="2"/>
        <v>001</v>
      </c>
      <c r="N340" s="10" t="str">
        <f t="shared" si="3"/>
        <v>013</v>
      </c>
      <c r="O340" s="10" t="str">
        <f t="shared" si="4"/>
        <v>SABAR MENANTI</v>
      </c>
    </row>
    <row r="341" spans="1:15" ht="12.5">
      <c r="A341" s="115" t="s">
        <v>3926</v>
      </c>
      <c r="B341" s="5">
        <v>0</v>
      </c>
      <c r="C341" s="5">
        <v>61</v>
      </c>
      <c r="D341" s="5">
        <v>4</v>
      </c>
      <c r="E341" s="5">
        <v>81</v>
      </c>
      <c r="F341" s="5">
        <v>5</v>
      </c>
      <c r="G341" s="5">
        <v>3300</v>
      </c>
      <c r="H341" s="5" t="s">
        <v>3715</v>
      </c>
      <c r="I341" s="5" t="s">
        <v>3862</v>
      </c>
      <c r="J341" s="5" t="s">
        <v>3927</v>
      </c>
      <c r="K341" s="10" t="e">
        <f t="shared" si="0"/>
        <v>#VALUE!</v>
      </c>
      <c r="L341" s="10">
        <f t="shared" si="1"/>
        <v>1</v>
      </c>
      <c r="M341" s="10" t="str">
        <f t="shared" si="2"/>
        <v>002</v>
      </c>
      <c r="N341" s="10" t="str">
        <f t="shared" si="3"/>
        <v>013</v>
      </c>
      <c r="O341" s="10" t="str">
        <f t="shared" si="4"/>
        <v>SABAR MENANTI</v>
      </c>
    </row>
    <row r="342" spans="1:15" ht="12.5">
      <c r="A342" s="115" t="s">
        <v>3928</v>
      </c>
      <c r="B342" s="5">
        <v>0</v>
      </c>
      <c r="C342" s="5">
        <v>61</v>
      </c>
      <c r="D342" s="5">
        <v>4</v>
      </c>
      <c r="E342" s="5">
        <v>81</v>
      </c>
      <c r="F342" s="5">
        <v>5</v>
      </c>
      <c r="G342" s="5">
        <v>3400</v>
      </c>
      <c r="H342" s="5" t="s">
        <v>3715</v>
      </c>
      <c r="I342" s="5" t="s">
        <v>3862</v>
      </c>
      <c r="J342" s="5" t="s">
        <v>3929</v>
      </c>
      <c r="K342" s="10" t="e">
        <f t="shared" si="0"/>
        <v>#VALUE!</v>
      </c>
      <c r="L342" s="10">
        <f t="shared" si="1"/>
        <v>1</v>
      </c>
      <c r="M342" s="10" t="str">
        <f t="shared" si="2"/>
        <v>003</v>
      </c>
      <c r="N342" s="10" t="str">
        <f t="shared" si="3"/>
        <v>013</v>
      </c>
      <c r="O342" s="10" t="str">
        <f t="shared" si="4"/>
        <v>SABAR MENANTI</v>
      </c>
    </row>
    <row r="343" spans="1:15" ht="12.5">
      <c r="A343" s="115" t="s">
        <v>3930</v>
      </c>
      <c r="B343" s="5">
        <v>0</v>
      </c>
      <c r="C343" s="5">
        <v>61</v>
      </c>
      <c r="D343" s="5">
        <v>4</v>
      </c>
      <c r="E343" s="5">
        <v>81</v>
      </c>
      <c r="F343" s="5">
        <v>5</v>
      </c>
      <c r="G343" s="5">
        <v>3500</v>
      </c>
      <c r="H343" s="5" t="s">
        <v>3715</v>
      </c>
      <c r="I343" s="5" t="s">
        <v>3862</v>
      </c>
      <c r="J343" s="5" t="s">
        <v>3931</v>
      </c>
      <c r="K343" s="10" t="e">
        <f t="shared" si="0"/>
        <v>#VALUE!</v>
      </c>
      <c r="L343" s="10">
        <f t="shared" si="1"/>
        <v>1</v>
      </c>
      <c r="M343" s="10" t="str">
        <f t="shared" si="2"/>
        <v>004</v>
      </c>
      <c r="N343" s="10" t="str">
        <f t="shared" si="3"/>
        <v>014</v>
      </c>
      <c r="O343" s="10" t="str">
        <f t="shared" si="4"/>
        <v>SABAR MENANTI</v>
      </c>
    </row>
    <row r="344" spans="1:15" ht="12.5">
      <c r="A344" s="115" t="s">
        <v>3932</v>
      </c>
      <c r="B344" s="5">
        <v>0</v>
      </c>
      <c r="C344" s="5">
        <v>61</v>
      </c>
      <c r="D344" s="5">
        <v>4</v>
      </c>
      <c r="E344" s="5">
        <v>81</v>
      </c>
      <c r="F344" s="5">
        <v>5</v>
      </c>
      <c r="G344" s="5">
        <v>3600</v>
      </c>
      <c r="H344" s="5" t="s">
        <v>3715</v>
      </c>
      <c r="I344" s="5" t="s">
        <v>3862</v>
      </c>
      <c r="J344" s="5" t="s">
        <v>3933</v>
      </c>
      <c r="K344" s="10" t="e">
        <f t="shared" si="0"/>
        <v>#VALUE!</v>
      </c>
      <c r="L344" s="10">
        <f t="shared" si="1"/>
        <v>1</v>
      </c>
      <c r="M344" s="10" t="str">
        <f t="shared" si="2"/>
        <v>005</v>
      </c>
      <c r="N344" s="10" t="str">
        <f t="shared" si="3"/>
        <v>014</v>
      </c>
      <c r="O344" s="10" t="str">
        <f t="shared" si="4"/>
        <v>SABAR MENANTI</v>
      </c>
    </row>
    <row r="345" spans="1:15" ht="12.5">
      <c r="A345" s="115" t="s">
        <v>3934</v>
      </c>
      <c r="B345" s="5">
        <v>2</v>
      </c>
      <c r="C345" s="5">
        <v>61</v>
      </c>
      <c r="D345" s="5">
        <v>4</v>
      </c>
      <c r="E345" s="5">
        <v>81</v>
      </c>
      <c r="F345" s="5">
        <v>5</v>
      </c>
      <c r="G345" s="5">
        <v>200100</v>
      </c>
      <c r="H345" s="5" t="s">
        <v>3715</v>
      </c>
      <c r="I345" s="5" t="s">
        <v>3862</v>
      </c>
      <c r="J345" s="5" t="s">
        <v>3935</v>
      </c>
      <c r="K345" s="10" t="e">
        <f t="shared" si="0"/>
        <v>#VALUE!</v>
      </c>
      <c r="L345" s="10">
        <f t="shared" si="1"/>
        <v>0</v>
      </c>
      <c r="M345" s="10" t="str">
        <f t="shared" si="2"/>
        <v xml:space="preserve">AN </v>
      </c>
      <c r="N345" s="10" t="str">
        <f t="shared" si="3"/>
        <v>MAK</v>
      </c>
      <c r="O345" s="10" t="str">
        <f t="shared" si="4"/>
        <v>AR</v>
      </c>
    </row>
    <row r="346" spans="1:15" ht="12.5">
      <c r="A346" s="115" t="s">
        <v>3936</v>
      </c>
      <c r="B346" s="5">
        <v>0</v>
      </c>
      <c r="C346" s="5">
        <v>61</v>
      </c>
      <c r="D346" s="5">
        <v>4</v>
      </c>
      <c r="E346" s="5">
        <v>81</v>
      </c>
      <c r="F346" s="5">
        <v>6</v>
      </c>
      <c r="G346" s="5">
        <v>200</v>
      </c>
      <c r="H346" s="5" t="s">
        <v>3715</v>
      </c>
      <c r="I346" s="5" t="s">
        <v>3937</v>
      </c>
      <c r="J346" s="5" t="s">
        <v>3938</v>
      </c>
      <c r="K346" s="10" t="e">
        <f t="shared" si="0"/>
        <v>#VALUE!</v>
      </c>
      <c r="L346" s="10">
        <f t="shared" si="1"/>
        <v>1</v>
      </c>
      <c r="M346" s="10" t="str">
        <f t="shared" si="2"/>
        <v>003</v>
      </c>
      <c r="N346" s="10" t="str">
        <f t="shared" si="3"/>
        <v>001</v>
      </c>
      <c r="O346" s="10" t="str">
        <f t="shared" si="4"/>
        <v>KARYA UTAMA</v>
      </c>
    </row>
    <row r="347" spans="1:15" ht="12.5">
      <c r="A347" s="115" t="s">
        <v>3939</v>
      </c>
      <c r="B347" s="5">
        <v>0</v>
      </c>
      <c r="C347" s="5">
        <v>61</v>
      </c>
      <c r="D347" s="5">
        <v>4</v>
      </c>
      <c r="E347" s="5">
        <v>81</v>
      </c>
      <c r="F347" s="5">
        <v>6</v>
      </c>
      <c r="G347" s="5">
        <v>300</v>
      </c>
      <c r="H347" s="5" t="s">
        <v>3715</v>
      </c>
      <c r="I347" s="5" t="s">
        <v>3937</v>
      </c>
      <c r="J347" s="5" t="s">
        <v>3940</v>
      </c>
      <c r="K347" s="10" t="e">
        <f t="shared" si="0"/>
        <v>#VALUE!</v>
      </c>
      <c r="L347" s="10">
        <f t="shared" si="1"/>
        <v>1</v>
      </c>
      <c r="M347" s="10" t="str">
        <f t="shared" si="2"/>
        <v>002</v>
      </c>
      <c r="N347" s="10" t="str">
        <f t="shared" si="3"/>
        <v>001</v>
      </c>
      <c r="O347" s="10" t="str">
        <f t="shared" si="4"/>
        <v>KARYA UTAMA</v>
      </c>
    </row>
    <row r="348" spans="1:15" ht="12.5">
      <c r="A348" s="115" t="s">
        <v>3941</v>
      </c>
      <c r="B348" s="5">
        <v>0</v>
      </c>
      <c r="C348" s="5">
        <v>61</v>
      </c>
      <c r="D348" s="5">
        <v>4</v>
      </c>
      <c r="E348" s="5">
        <v>81</v>
      </c>
      <c r="F348" s="5">
        <v>6</v>
      </c>
      <c r="G348" s="5">
        <v>500</v>
      </c>
      <c r="H348" s="5" t="s">
        <v>3715</v>
      </c>
      <c r="I348" s="5" t="s">
        <v>3937</v>
      </c>
      <c r="J348" s="5" t="s">
        <v>3942</v>
      </c>
      <c r="K348" s="10" t="e">
        <f t="shared" si="0"/>
        <v>#VALUE!</v>
      </c>
      <c r="L348" s="10">
        <f t="shared" si="1"/>
        <v>1</v>
      </c>
      <c r="M348" s="10" t="str">
        <f t="shared" si="2"/>
        <v>004</v>
      </c>
      <c r="N348" s="10" t="str">
        <f t="shared" si="3"/>
        <v>001</v>
      </c>
      <c r="O348" s="10" t="str">
        <f t="shared" si="4"/>
        <v>KARYA UTAMA</v>
      </c>
    </row>
    <row r="349" spans="1:15" ht="12.5">
      <c r="A349" s="115" t="s">
        <v>3943</v>
      </c>
      <c r="B349" s="5">
        <v>0</v>
      </c>
      <c r="C349" s="5">
        <v>61</v>
      </c>
      <c r="D349" s="5">
        <v>4</v>
      </c>
      <c r="E349" s="5">
        <v>81</v>
      </c>
      <c r="F349" s="5">
        <v>6</v>
      </c>
      <c r="G349" s="5">
        <v>800</v>
      </c>
      <c r="H349" s="5" t="s">
        <v>3715</v>
      </c>
      <c r="I349" s="5" t="s">
        <v>3937</v>
      </c>
      <c r="J349" s="5" t="s">
        <v>3944</v>
      </c>
      <c r="K349" s="10" t="e">
        <f t="shared" si="0"/>
        <v>#VALUE!</v>
      </c>
      <c r="L349" s="10">
        <f t="shared" si="1"/>
        <v>1</v>
      </c>
      <c r="M349" s="10" t="str">
        <f t="shared" si="2"/>
        <v>005</v>
      </c>
      <c r="N349" s="10" t="str">
        <f t="shared" si="3"/>
        <v>002</v>
      </c>
      <c r="O349" s="10" t="str">
        <f t="shared" si="4"/>
        <v>KARYA UTAMA</v>
      </c>
    </row>
    <row r="350" spans="1:15" ht="12.5">
      <c r="A350" s="115" t="s">
        <v>3945</v>
      </c>
      <c r="B350" s="5">
        <v>0</v>
      </c>
      <c r="C350" s="5">
        <v>61</v>
      </c>
      <c r="D350" s="5">
        <v>4</v>
      </c>
      <c r="E350" s="5">
        <v>81</v>
      </c>
      <c r="F350" s="5">
        <v>6</v>
      </c>
      <c r="G350" s="5">
        <v>900</v>
      </c>
      <c r="H350" s="5" t="s">
        <v>3715</v>
      </c>
      <c r="I350" s="5" t="s">
        <v>3937</v>
      </c>
      <c r="J350" s="5" t="s">
        <v>3946</v>
      </c>
      <c r="K350" s="10" t="e">
        <f t="shared" si="0"/>
        <v>#VALUE!</v>
      </c>
      <c r="L350" s="10">
        <f t="shared" si="1"/>
        <v>1</v>
      </c>
      <c r="M350" s="10" t="str">
        <f t="shared" si="2"/>
        <v>006</v>
      </c>
      <c r="N350" s="10" t="str">
        <f t="shared" si="3"/>
        <v>002</v>
      </c>
      <c r="O350" s="10" t="str">
        <f t="shared" si="4"/>
        <v>KARYA UTAMA</v>
      </c>
    </row>
    <row r="351" spans="1:15" ht="12.5">
      <c r="A351" s="115" t="s">
        <v>3947</v>
      </c>
      <c r="B351" s="5">
        <v>0</v>
      </c>
      <c r="C351" s="5">
        <v>61</v>
      </c>
      <c r="D351" s="5">
        <v>4</v>
      </c>
      <c r="E351" s="5">
        <v>81</v>
      </c>
      <c r="F351" s="5">
        <v>6</v>
      </c>
      <c r="G351" s="5">
        <v>1000</v>
      </c>
      <c r="H351" s="5" t="s">
        <v>3715</v>
      </c>
      <c r="I351" s="5" t="s">
        <v>3937</v>
      </c>
      <c r="J351" s="5" t="s">
        <v>3948</v>
      </c>
      <c r="K351" s="10" t="e">
        <f t="shared" si="0"/>
        <v>#VALUE!</v>
      </c>
      <c r="L351" s="10">
        <f t="shared" si="1"/>
        <v>1</v>
      </c>
      <c r="M351" s="10" t="str">
        <f t="shared" si="2"/>
        <v>007</v>
      </c>
      <c r="N351" s="10" t="str">
        <f t="shared" si="3"/>
        <v>002</v>
      </c>
      <c r="O351" s="10" t="str">
        <f t="shared" si="4"/>
        <v>KARYA UTAMA</v>
      </c>
    </row>
    <row r="352" spans="1:15" ht="12.5">
      <c r="A352" s="115" t="s">
        <v>3949</v>
      </c>
      <c r="B352" s="5">
        <v>0</v>
      </c>
      <c r="C352" s="5">
        <v>61</v>
      </c>
      <c r="D352" s="5">
        <v>4</v>
      </c>
      <c r="E352" s="5">
        <v>81</v>
      </c>
      <c r="F352" s="5">
        <v>6</v>
      </c>
      <c r="G352" s="5">
        <v>1100</v>
      </c>
      <c r="H352" s="5" t="s">
        <v>3715</v>
      </c>
      <c r="I352" s="5" t="s">
        <v>3937</v>
      </c>
      <c r="J352" s="5" t="s">
        <v>3950</v>
      </c>
      <c r="K352" s="10" t="e">
        <f t="shared" si="0"/>
        <v>#VALUE!</v>
      </c>
      <c r="L352" s="10">
        <f t="shared" si="1"/>
        <v>1</v>
      </c>
      <c r="M352" s="10" t="str">
        <f t="shared" si="2"/>
        <v>008</v>
      </c>
      <c r="N352" s="10" t="str">
        <f t="shared" si="3"/>
        <v>002</v>
      </c>
      <c r="O352" s="10" t="str">
        <f t="shared" si="4"/>
        <v>KARYA UTAMA</v>
      </c>
    </row>
    <row r="353" spans="1:15" ht="12.5">
      <c r="A353" s="115" t="s">
        <v>3951</v>
      </c>
      <c r="B353" s="5">
        <v>0</v>
      </c>
      <c r="C353" s="5">
        <v>61</v>
      </c>
      <c r="D353" s="5">
        <v>4</v>
      </c>
      <c r="E353" s="5">
        <v>81</v>
      </c>
      <c r="F353" s="5">
        <v>6</v>
      </c>
      <c r="G353" s="5">
        <v>1200</v>
      </c>
      <c r="H353" s="5" t="s">
        <v>3715</v>
      </c>
      <c r="I353" s="5" t="s">
        <v>3937</v>
      </c>
      <c r="J353" s="5" t="s">
        <v>3952</v>
      </c>
      <c r="K353" s="10" t="e">
        <f t="shared" si="0"/>
        <v>#VALUE!</v>
      </c>
      <c r="L353" s="10">
        <f t="shared" si="1"/>
        <v>1</v>
      </c>
      <c r="M353" s="10" t="str">
        <f t="shared" si="2"/>
        <v>009</v>
      </c>
      <c r="N353" s="10" t="str">
        <f t="shared" si="3"/>
        <v>008</v>
      </c>
      <c r="O353" s="10" t="str">
        <f t="shared" si="4"/>
        <v>CAHAYA INTAN</v>
      </c>
    </row>
    <row r="354" spans="1:15" ht="12.5">
      <c r="A354" s="115" t="s">
        <v>3953</v>
      </c>
      <c r="B354" s="5">
        <v>0</v>
      </c>
      <c r="C354" s="5">
        <v>61</v>
      </c>
      <c r="D354" s="5">
        <v>4</v>
      </c>
      <c r="E354" s="5">
        <v>81</v>
      </c>
      <c r="F354" s="5">
        <v>6</v>
      </c>
      <c r="G354" s="5">
        <v>1500</v>
      </c>
      <c r="H354" s="5" t="s">
        <v>3715</v>
      </c>
      <c r="I354" s="5" t="s">
        <v>3937</v>
      </c>
      <c r="J354" s="5" t="s">
        <v>3954</v>
      </c>
      <c r="K354" s="10" t="e">
        <f t="shared" si="0"/>
        <v>#VALUE!</v>
      </c>
      <c r="L354" s="10">
        <f t="shared" si="1"/>
        <v>1</v>
      </c>
      <c r="M354" s="10" t="str">
        <f t="shared" si="2"/>
        <v>011</v>
      </c>
      <c r="N354" s="10" t="str">
        <f t="shared" si="3"/>
        <v>003</v>
      </c>
      <c r="O354" s="10" t="str">
        <f t="shared" si="4"/>
        <v>CAHAYA INTAN</v>
      </c>
    </row>
    <row r="355" spans="1:15" ht="12.5">
      <c r="A355" s="115" t="s">
        <v>3955</v>
      </c>
      <c r="B355" s="5">
        <v>0</v>
      </c>
      <c r="C355" s="5">
        <v>61</v>
      </c>
      <c r="D355" s="5">
        <v>4</v>
      </c>
      <c r="E355" s="5">
        <v>81</v>
      </c>
      <c r="F355" s="5">
        <v>6</v>
      </c>
      <c r="G355" s="5">
        <v>1600</v>
      </c>
      <c r="H355" s="5" t="s">
        <v>3715</v>
      </c>
      <c r="I355" s="5" t="s">
        <v>3937</v>
      </c>
      <c r="J355" s="5" t="s">
        <v>3956</v>
      </c>
      <c r="K355" s="10" t="e">
        <f t="shared" si="0"/>
        <v>#VALUE!</v>
      </c>
      <c r="L355" s="10">
        <f t="shared" si="1"/>
        <v>1</v>
      </c>
      <c r="M355" s="10" t="str">
        <f t="shared" si="2"/>
        <v>012</v>
      </c>
      <c r="N355" s="10" t="str">
        <f t="shared" si="3"/>
        <v>003</v>
      </c>
      <c r="O355" s="10" t="str">
        <f t="shared" si="4"/>
        <v>CAHAYA INTAN</v>
      </c>
    </row>
    <row r="356" spans="1:15" ht="12.5">
      <c r="A356" s="115" t="s">
        <v>3957</v>
      </c>
      <c r="B356" s="5">
        <v>0</v>
      </c>
      <c r="C356" s="5">
        <v>61</v>
      </c>
      <c r="D356" s="5">
        <v>4</v>
      </c>
      <c r="E356" s="5">
        <v>81</v>
      </c>
      <c r="F356" s="5">
        <v>6</v>
      </c>
      <c r="G356" s="5">
        <v>1700</v>
      </c>
      <c r="H356" s="5" t="s">
        <v>3715</v>
      </c>
      <c r="I356" s="5" t="s">
        <v>3937</v>
      </c>
      <c r="J356" s="5" t="s">
        <v>3958</v>
      </c>
      <c r="K356" s="10" t="e">
        <f t="shared" si="0"/>
        <v>#VALUE!</v>
      </c>
      <c r="L356" s="10">
        <f t="shared" si="1"/>
        <v>1</v>
      </c>
      <c r="M356" s="10" t="str">
        <f t="shared" si="2"/>
        <v>013</v>
      </c>
      <c r="N356" s="10" t="str">
        <f t="shared" si="3"/>
        <v>003</v>
      </c>
      <c r="O356" s="10" t="str">
        <f t="shared" si="4"/>
        <v>CAHAYA INTAN</v>
      </c>
    </row>
    <row r="357" spans="1:15" ht="12.5">
      <c r="A357" s="115" t="s">
        <v>3959</v>
      </c>
      <c r="B357" s="5">
        <v>0</v>
      </c>
      <c r="C357" s="5">
        <v>61</v>
      </c>
      <c r="D357" s="5">
        <v>4</v>
      </c>
      <c r="E357" s="5">
        <v>81</v>
      </c>
      <c r="F357" s="5">
        <v>6</v>
      </c>
      <c r="G357" s="5">
        <v>1800</v>
      </c>
      <c r="H357" s="5" t="s">
        <v>3715</v>
      </c>
      <c r="I357" s="5" t="s">
        <v>3937</v>
      </c>
      <c r="J357" s="5" t="s">
        <v>3960</v>
      </c>
      <c r="K357" s="10" t="e">
        <f t="shared" si="0"/>
        <v>#VALUE!</v>
      </c>
      <c r="L357" s="10">
        <f t="shared" si="1"/>
        <v>1</v>
      </c>
      <c r="M357" s="10" t="str">
        <f t="shared" si="2"/>
        <v>014</v>
      </c>
      <c r="N357" s="10" t="str">
        <f t="shared" si="3"/>
        <v>003</v>
      </c>
      <c r="O357" s="10" t="str">
        <f t="shared" si="4"/>
        <v>CAHAYA INTAN</v>
      </c>
    </row>
    <row r="358" spans="1:15" ht="12.5">
      <c r="A358" s="115" t="s">
        <v>3961</v>
      </c>
      <c r="B358" s="5">
        <v>0</v>
      </c>
      <c r="C358" s="5">
        <v>61</v>
      </c>
      <c r="D358" s="5">
        <v>4</v>
      </c>
      <c r="E358" s="5">
        <v>81</v>
      </c>
      <c r="F358" s="5">
        <v>6</v>
      </c>
      <c r="G358" s="5">
        <v>2000</v>
      </c>
      <c r="H358" s="5" t="s">
        <v>3715</v>
      </c>
      <c r="I358" s="5" t="s">
        <v>3937</v>
      </c>
      <c r="J358" s="5" t="s">
        <v>3962</v>
      </c>
      <c r="K358" s="10" t="e">
        <f t="shared" si="0"/>
        <v>#VALUE!</v>
      </c>
      <c r="L358" s="10">
        <f t="shared" si="1"/>
        <v>1</v>
      </c>
      <c r="M358" s="10" t="str">
        <f t="shared" si="2"/>
        <v>015</v>
      </c>
      <c r="N358" s="10" t="str">
        <f t="shared" si="3"/>
        <v>004</v>
      </c>
      <c r="O358" s="10" t="str">
        <f t="shared" si="4"/>
        <v>LEMBAH HIJAU</v>
      </c>
    </row>
    <row r="359" spans="1:15" ht="12.5">
      <c r="A359" s="115" t="s">
        <v>3963</v>
      </c>
      <c r="B359" s="5">
        <v>0</v>
      </c>
      <c r="C359" s="5">
        <v>61</v>
      </c>
      <c r="D359" s="5">
        <v>4</v>
      </c>
      <c r="E359" s="5">
        <v>81</v>
      </c>
      <c r="F359" s="5">
        <v>6</v>
      </c>
      <c r="G359" s="5">
        <v>2200</v>
      </c>
      <c r="H359" s="5" t="s">
        <v>3715</v>
      </c>
      <c r="I359" s="5" t="s">
        <v>3937</v>
      </c>
      <c r="J359" s="5" t="s">
        <v>3964</v>
      </c>
      <c r="K359" s="10" t="e">
        <f t="shared" si="0"/>
        <v>#VALUE!</v>
      </c>
      <c r="L359" s="10">
        <f t="shared" si="1"/>
        <v>1</v>
      </c>
      <c r="M359" s="10" t="str">
        <f t="shared" si="2"/>
        <v>017</v>
      </c>
      <c r="N359" s="10" t="str">
        <f t="shared" si="3"/>
        <v>005</v>
      </c>
      <c r="O359" s="10" t="str">
        <f t="shared" si="4"/>
        <v>LEMBAH HIJAU</v>
      </c>
    </row>
    <row r="360" spans="1:15" ht="12.5">
      <c r="A360" s="115" t="s">
        <v>3965</v>
      </c>
      <c r="B360" s="5">
        <v>0</v>
      </c>
      <c r="C360" s="5">
        <v>61</v>
      </c>
      <c r="D360" s="5">
        <v>4</v>
      </c>
      <c r="E360" s="5">
        <v>81</v>
      </c>
      <c r="F360" s="5">
        <v>6</v>
      </c>
      <c r="G360" s="5">
        <v>2300</v>
      </c>
      <c r="H360" s="5" t="s">
        <v>3715</v>
      </c>
      <c r="I360" s="5" t="s">
        <v>3937</v>
      </c>
      <c r="J360" s="5" t="s">
        <v>3966</v>
      </c>
      <c r="K360" s="10" t="e">
        <f t="shared" si="0"/>
        <v>#VALUE!</v>
      </c>
      <c r="L360" s="10">
        <f t="shared" si="1"/>
        <v>1</v>
      </c>
      <c r="M360" s="10" t="str">
        <f t="shared" si="2"/>
        <v>018</v>
      </c>
      <c r="N360" s="10" t="str">
        <f t="shared" si="3"/>
        <v>005</v>
      </c>
      <c r="O360" s="10" t="str">
        <f t="shared" si="4"/>
        <v>LEMBAH HIJAU</v>
      </c>
    </row>
    <row r="361" spans="1:15" ht="12.5">
      <c r="A361" s="115" t="s">
        <v>3967</v>
      </c>
      <c r="B361" s="5">
        <v>0</v>
      </c>
      <c r="C361" s="5">
        <v>61</v>
      </c>
      <c r="D361" s="5">
        <v>4</v>
      </c>
      <c r="E361" s="5">
        <v>81</v>
      </c>
      <c r="F361" s="5">
        <v>6</v>
      </c>
      <c r="G361" s="5">
        <v>2800</v>
      </c>
      <c r="H361" s="5" t="s">
        <v>3715</v>
      </c>
      <c r="I361" s="5" t="s">
        <v>3937</v>
      </c>
      <c r="J361" s="5" t="s">
        <v>3968</v>
      </c>
      <c r="K361" s="10" t="e">
        <f t="shared" si="0"/>
        <v>#VALUE!</v>
      </c>
      <c r="L361" s="10">
        <f t="shared" si="1"/>
        <v>1</v>
      </c>
      <c r="M361" s="10" t="str">
        <f t="shared" si="2"/>
        <v>021</v>
      </c>
      <c r="N361" s="10" t="str">
        <f t="shared" si="3"/>
        <v>006</v>
      </c>
      <c r="O361" s="10" t="str">
        <f t="shared" si="4"/>
        <v>TUNAS BARU</v>
      </c>
    </row>
    <row r="362" spans="1:15" ht="12.5">
      <c r="A362" s="115" t="s">
        <v>3969</v>
      </c>
      <c r="B362" s="5">
        <v>0</v>
      </c>
      <c r="C362" s="5">
        <v>61</v>
      </c>
      <c r="D362" s="5">
        <v>4</v>
      </c>
      <c r="E362" s="5">
        <v>81</v>
      </c>
      <c r="F362" s="5">
        <v>6</v>
      </c>
      <c r="G362" s="5">
        <v>2900</v>
      </c>
      <c r="H362" s="5" t="s">
        <v>3715</v>
      </c>
      <c r="I362" s="5" t="s">
        <v>3937</v>
      </c>
      <c r="J362" s="5" t="s">
        <v>3970</v>
      </c>
      <c r="K362" s="10" t="e">
        <f t="shared" si="0"/>
        <v>#VALUE!</v>
      </c>
      <c r="L362" s="10">
        <f t="shared" si="1"/>
        <v>1</v>
      </c>
      <c r="M362" s="10" t="str">
        <f t="shared" si="2"/>
        <v>022</v>
      </c>
      <c r="N362" s="10" t="str">
        <f t="shared" si="3"/>
        <v>006</v>
      </c>
      <c r="O362" s="10" t="str">
        <f t="shared" si="4"/>
        <v>TUNAS BARU</v>
      </c>
    </row>
    <row r="363" spans="1:15" ht="12.5">
      <c r="A363" s="115" t="s">
        <v>3971</v>
      </c>
      <c r="B363" s="5">
        <v>0</v>
      </c>
      <c r="C363" s="5">
        <v>61</v>
      </c>
      <c r="D363" s="5">
        <v>4</v>
      </c>
      <c r="E363" s="5">
        <v>81</v>
      </c>
      <c r="F363" s="5">
        <v>6</v>
      </c>
      <c r="G363" s="5">
        <v>3100</v>
      </c>
      <c r="H363" s="5" t="s">
        <v>3715</v>
      </c>
      <c r="I363" s="5" t="s">
        <v>3937</v>
      </c>
      <c r="J363" s="5" t="s">
        <v>3972</v>
      </c>
      <c r="K363" s="10" t="e">
        <f t="shared" si="0"/>
        <v>#VALUE!</v>
      </c>
      <c r="L363" s="10">
        <f t="shared" si="1"/>
        <v>1</v>
      </c>
      <c r="M363" s="10" t="str">
        <f t="shared" si="2"/>
        <v>024</v>
      </c>
      <c r="N363" s="10" t="str">
        <f t="shared" si="3"/>
        <v>007</v>
      </c>
      <c r="O363" s="10" t="str">
        <f t="shared" si="4"/>
        <v>TUNAS BARU</v>
      </c>
    </row>
    <row r="364" spans="1:15" ht="12.5">
      <c r="A364" s="115" t="s">
        <v>3973</v>
      </c>
      <c r="B364" s="5">
        <v>0</v>
      </c>
      <c r="C364" s="5">
        <v>61</v>
      </c>
      <c r="D364" s="5">
        <v>4</v>
      </c>
      <c r="E364" s="5">
        <v>81</v>
      </c>
      <c r="F364" s="5">
        <v>6</v>
      </c>
      <c r="G364" s="5">
        <v>3500</v>
      </c>
      <c r="H364" s="5" t="s">
        <v>3715</v>
      </c>
      <c r="I364" s="5" t="s">
        <v>3937</v>
      </c>
      <c r="J364" s="5" t="s">
        <v>3974</v>
      </c>
      <c r="K364" s="10" t="e">
        <f t="shared" si="0"/>
        <v>#VALUE!</v>
      </c>
      <c r="L364" s="10">
        <f t="shared" si="1"/>
        <v>1</v>
      </c>
      <c r="M364" s="10" t="str">
        <f t="shared" si="2"/>
        <v>010</v>
      </c>
      <c r="N364" s="10" t="str">
        <f t="shared" si="3"/>
        <v>008</v>
      </c>
      <c r="O364" s="10" t="str">
        <f t="shared" si="4"/>
        <v>CAHAYA</v>
      </c>
    </row>
    <row r="365" spans="1:15" ht="12.5">
      <c r="A365" s="115" t="s">
        <v>3975</v>
      </c>
      <c r="B365" s="5">
        <v>0</v>
      </c>
      <c r="C365" s="5">
        <v>61</v>
      </c>
      <c r="D365" s="5">
        <v>4</v>
      </c>
      <c r="E365" s="5">
        <v>81</v>
      </c>
      <c r="F365" s="5">
        <v>6</v>
      </c>
      <c r="G365" s="5">
        <v>3600</v>
      </c>
      <c r="H365" s="5" t="s">
        <v>3715</v>
      </c>
      <c r="I365" s="5" t="s">
        <v>3937</v>
      </c>
      <c r="J365" s="5" t="s">
        <v>3976</v>
      </c>
      <c r="K365" s="10" t="e">
        <f t="shared" si="0"/>
        <v>#VALUE!</v>
      </c>
      <c r="L365" s="10">
        <f t="shared" si="1"/>
        <v>1</v>
      </c>
      <c r="M365" s="10" t="str">
        <f t="shared" si="2"/>
        <v>016</v>
      </c>
      <c r="N365" s="10" t="str">
        <f t="shared" si="3"/>
        <v>004</v>
      </c>
      <c r="O365" s="10" t="str">
        <f t="shared" si="4"/>
        <v>LEMBAH HIJAU</v>
      </c>
    </row>
    <row r="366" spans="1:15" ht="12.5">
      <c r="A366" s="115" t="s">
        <v>3977</v>
      </c>
      <c r="B366" s="5">
        <v>0</v>
      </c>
      <c r="C366" s="5">
        <v>61</v>
      </c>
      <c r="D366" s="5">
        <v>4</v>
      </c>
      <c r="E366" s="5">
        <v>81</v>
      </c>
      <c r="F366" s="5">
        <v>6</v>
      </c>
      <c r="G366" s="5">
        <v>3700</v>
      </c>
      <c r="H366" s="5" t="s">
        <v>3715</v>
      </c>
      <c r="I366" s="5" t="s">
        <v>3937</v>
      </c>
      <c r="J366" s="5" t="s">
        <v>3978</v>
      </c>
      <c r="K366" s="10" t="e">
        <f t="shared" si="0"/>
        <v>#VALUE!</v>
      </c>
      <c r="L366" s="10">
        <f t="shared" si="1"/>
        <v>1</v>
      </c>
      <c r="M366" s="10" t="str">
        <f t="shared" si="2"/>
        <v>019</v>
      </c>
      <c r="N366" s="10" t="str">
        <f t="shared" si="3"/>
        <v>005</v>
      </c>
      <c r="O366" s="10" t="str">
        <f t="shared" si="4"/>
        <v>LEMBAH HIJAU</v>
      </c>
    </row>
    <row r="367" spans="1:15" ht="12.5">
      <c r="A367" s="115" t="s">
        <v>3979</v>
      </c>
      <c r="B367" s="5">
        <v>0</v>
      </c>
      <c r="C367" s="5">
        <v>61</v>
      </c>
      <c r="D367" s="5">
        <v>4</v>
      </c>
      <c r="E367" s="5">
        <v>81</v>
      </c>
      <c r="F367" s="5">
        <v>6</v>
      </c>
      <c r="G367" s="5">
        <v>3800</v>
      </c>
      <c r="H367" s="5" t="s">
        <v>3715</v>
      </c>
      <c r="I367" s="5" t="s">
        <v>3937</v>
      </c>
      <c r="J367" s="5" t="s">
        <v>3980</v>
      </c>
      <c r="K367" s="10" t="e">
        <f t="shared" si="0"/>
        <v>#VALUE!</v>
      </c>
      <c r="L367" s="10">
        <f t="shared" si="1"/>
        <v>1</v>
      </c>
      <c r="M367" s="10" t="str">
        <f t="shared" si="2"/>
        <v>023</v>
      </c>
      <c r="N367" s="10" t="str">
        <f t="shared" si="3"/>
        <v>007</v>
      </c>
      <c r="O367" s="10" t="str">
        <f t="shared" si="4"/>
        <v>TUNAS BARU</v>
      </c>
    </row>
    <row r="368" spans="1:15" ht="12.5">
      <c r="A368" s="115" t="s">
        <v>3981</v>
      </c>
      <c r="B368" s="5">
        <v>0</v>
      </c>
      <c r="C368" s="5">
        <v>61</v>
      </c>
      <c r="D368" s="5">
        <v>4</v>
      </c>
      <c r="E368" s="5">
        <v>81</v>
      </c>
      <c r="F368" s="5">
        <v>6</v>
      </c>
      <c r="G368" s="5">
        <v>3900</v>
      </c>
      <c r="H368" s="5" t="s">
        <v>3715</v>
      </c>
      <c r="I368" s="5" t="s">
        <v>3937</v>
      </c>
      <c r="J368" s="5" t="s">
        <v>3982</v>
      </c>
      <c r="K368" s="10" t="e">
        <f t="shared" si="0"/>
        <v>#VALUE!</v>
      </c>
      <c r="L368" s="10">
        <f t="shared" si="1"/>
        <v>1</v>
      </c>
      <c r="M368" s="10" t="str">
        <f t="shared" si="2"/>
        <v>025</v>
      </c>
      <c r="N368" s="10" t="str">
        <f t="shared" si="3"/>
        <v>007</v>
      </c>
      <c r="O368" s="10" t="str">
        <f t="shared" si="4"/>
        <v>TUNAS BARU</v>
      </c>
    </row>
    <row r="369" spans="1:15" ht="12.5">
      <c r="A369" s="115" t="s">
        <v>3983</v>
      </c>
      <c r="B369" s="5">
        <v>0</v>
      </c>
      <c r="C369" s="5">
        <v>61</v>
      </c>
      <c r="D369" s="5">
        <v>4</v>
      </c>
      <c r="E369" s="5">
        <v>81</v>
      </c>
      <c r="F369" s="5">
        <v>6</v>
      </c>
      <c r="G369" s="5">
        <v>4000</v>
      </c>
      <c r="H369" s="5" t="s">
        <v>3715</v>
      </c>
      <c r="I369" s="5" t="s">
        <v>3937</v>
      </c>
      <c r="J369" s="5" t="s">
        <v>3984</v>
      </c>
      <c r="K369" s="10" t="e">
        <f t="shared" si="0"/>
        <v>#VALUE!</v>
      </c>
      <c r="L369" s="10">
        <f t="shared" si="1"/>
        <v>1</v>
      </c>
      <c r="M369" s="10" t="str">
        <f t="shared" si="2"/>
        <v>020</v>
      </c>
      <c r="N369" s="10" t="str">
        <f t="shared" si="3"/>
        <v>006</v>
      </c>
      <c r="O369" s="10" t="str">
        <f t="shared" si="4"/>
        <v>LEMBAH HIJAU</v>
      </c>
    </row>
    <row r="370" spans="1:15" ht="12.5">
      <c r="A370" s="115" t="s">
        <v>3985</v>
      </c>
      <c r="B370" s="5">
        <v>0</v>
      </c>
      <c r="C370" s="5">
        <v>61</v>
      </c>
      <c r="D370" s="5">
        <v>4</v>
      </c>
      <c r="E370" s="5">
        <v>81</v>
      </c>
      <c r="F370" s="5">
        <v>6</v>
      </c>
      <c r="G370" s="5">
        <v>4100</v>
      </c>
      <c r="H370" s="5" t="s">
        <v>3715</v>
      </c>
      <c r="I370" s="5" t="s">
        <v>3937</v>
      </c>
      <c r="J370" s="5" t="s">
        <v>3986</v>
      </c>
      <c r="K370" s="10" t="e">
        <f t="shared" si="0"/>
        <v>#VALUE!</v>
      </c>
      <c r="L370" s="10">
        <f t="shared" si="1"/>
        <v>1</v>
      </c>
      <c r="M370" s="10" t="str">
        <f t="shared" si="2"/>
        <v>001</v>
      </c>
      <c r="N370" s="10" t="str">
        <f t="shared" si="3"/>
        <v>001</v>
      </c>
      <c r="O370" s="10" t="str">
        <f t="shared" si="4"/>
        <v>KARYA UTAMA</v>
      </c>
    </row>
    <row r="371" spans="1:15" ht="12.5">
      <c r="A371" s="115" t="s">
        <v>3987</v>
      </c>
      <c r="B371" s="5">
        <v>2</v>
      </c>
      <c r="C371" s="5">
        <v>61</v>
      </c>
      <c r="D371" s="5">
        <v>4</v>
      </c>
      <c r="E371" s="5">
        <v>81</v>
      </c>
      <c r="F371" s="5">
        <v>6</v>
      </c>
      <c r="G371" s="5">
        <v>200100</v>
      </c>
      <c r="H371" s="5" t="s">
        <v>3715</v>
      </c>
      <c r="I371" s="5" t="s">
        <v>3937</v>
      </c>
      <c r="J371" s="5" t="s">
        <v>3988</v>
      </c>
      <c r="K371" s="10" t="e">
        <f t="shared" si="0"/>
        <v>#VALUE!</v>
      </c>
      <c r="L371" s="10">
        <f t="shared" si="1"/>
        <v>0</v>
      </c>
      <c r="M371" s="10" t="str">
        <f t="shared" si="2"/>
        <v>K P</v>
      </c>
      <c r="N371" s="10" t="str">
        <f t="shared" si="3"/>
        <v>APA</v>
      </c>
      <c r="O371" s="10" t="str">
        <f t="shared" si="4"/>
        <v/>
      </c>
    </row>
    <row r="372" spans="1:15" ht="12.5">
      <c r="A372" s="115" t="s">
        <v>3989</v>
      </c>
      <c r="B372" s="5">
        <v>0</v>
      </c>
      <c r="C372" s="5">
        <v>61</v>
      </c>
      <c r="D372" s="5">
        <v>4</v>
      </c>
      <c r="E372" s="5">
        <v>90</v>
      </c>
      <c r="F372" s="5">
        <v>1</v>
      </c>
      <c r="G372" s="5">
        <v>100</v>
      </c>
      <c r="H372" s="5" t="s">
        <v>3990</v>
      </c>
      <c r="I372" s="5" t="s">
        <v>3991</v>
      </c>
      <c r="J372" s="5" t="s">
        <v>3992</v>
      </c>
      <c r="K372" s="10" t="e">
        <f t="shared" si="0"/>
        <v>#VALUE!</v>
      </c>
      <c r="L372" s="10">
        <f t="shared" si="1"/>
        <v>1</v>
      </c>
      <c r="M372" s="10" t="str">
        <f t="shared" si="2"/>
        <v>001</v>
      </c>
      <c r="N372" s="10" t="str">
        <f t="shared" si="3"/>
        <v>01</v>
      </c>
      <c r="O372" s="10" t="str">
        <f t="shared" si="4"/>
        <v>NIKMAT</v>
      </c>
    </row>
    <row r="373" spans="1:15" ht="12.5">
      <c r="A373" s="115" t="s">
        <v>3993</v>
      </c>
      <c r="B373" s="5">
        <v>0</v>
      </c>
      <c r="C373" s="5">
        <v>61</v>
      </c>
      <c r="D373" s="5">
        <v>4</v>
      </c>
      <c r="E373" s="5">
        <v>90</v>
      </c>
      <c r="F373" s="5">
        <v>1</v>
      </c>
      <c r="G373" s="5">
        <v>200</v>
      </c>
      <c r="H373" s="5" t="s">
        <v>3990</v>
      </c>
      <c r="I373" s="5" t="s">
        <v>3991</v>
      </c>
      <c r="J373" s="5" t="s">
        <v>3994</v>
      </c>
      <c r="K373" s="10" t="e">
        <f t="shared" si="0"/>
        <v>#VALUE!</v>
      </c>
      <c r="L373" s="10">
        <f t="shared" si="1"/>
        <v>1</v>
      </c>
      <c r="M373" s="10" t="str">
        <f t="shared" si="2"/>
        <v>002</v>
      </c>
      <c r="N373" s="10" t="str">
        <f t="shared" si="3"/>
        <v>01</v>
      </c>
      <c r="O373" s="10" t="str">
        <f t="shared" si="4"/>
        <v>NIKMAT</v>
      </c>
    </row>
    <row r="374" spans="1:15" ht="12.5">
      <c r="A374" s="115" t="s">
        <v>3995</v>
      </c>
      <c r="B374" s="5">
        <v>0</v>
      </c>
      <c r="C374" s="5">
        <v>61</v>
      </c>
      <c r="D374" s="5">
        <v>4</v>
      </c>
      <c r="E374" s="5">
        <v>90</v>
      </c>
      <c r="F374" s="5">
        <v>1</v>
      </c>
      <c r="G374" s="5">
        <v>300</v>
      </c>
      <c r="H374" s="5" t="s">
        <v>3990</v>
      </c>
      <c r="I374" s="5" t="s">
        <v>3991</v>
      </c>
      <c r="J374" s="5" t="s">
        <v>3996</v>
      </c>
      <c r="K374" s="10" t="e">
        <f t="shared" si="0"/>
        <v>#VALUE!</v>
      </c>
      <c r="L374" s="10">
        <f t="shared" si="1"/>
        <v>1</v>
      </c>
      <c r="M374" s="10" t="str">
        <f t="shared" si="2"/>
        <v>003</v>
      </c>
      <c r="N374" s="10" t="str">
        <f t="shared" si="3"/>
        <v>02</v>
      </c>
      <c r="O374" s="10" t="str">
        <f t="shared" si="4"/>
        <v>NIKMAT</v>
      </c>
    </row>
    <row r="375" spans="1:15" ht="12.5">
      <c r="A375" s="115" t="s">
        <v>3997</v>
      </c>
      <c r="B375" s="5">
        <v>0</v>
      </c>
      <c r="C375" s="5">
        <v>61</v>
      </c>
      <c r="D375" s="5">
        <v>4</v>
      </c>
      <c r="E375" s="5">
        <v>90</v>
      </c>
      <c r="F375" s="5">
        <v>1</v>
      </c>
      <c r="G375" s="5">
        <v>400</v>
      </c>
      <c r="H375" s="5" t="s">
        <v>3990</v>
      </c>
      <c r="I375" s="5" t="s">
        <v>3991</v>
      </c>
      <c r="J375" s="5" t="s">
        <v>3998</v>
      </c>
      <c r="K375" s="10" t="e">
        <f t="shared" si="0"/>
        <v>#VALUE!</v>
      </c>
      <c r="L375" s="10">
        <f t="shared" si="1"/>
        <v>1</v>
      </c>
      <c r="M375" s="10" t="str">
        <f t="shared" si="2"/>
        <v>004</v>
      </c>
      <c r="N375" s="10" t="str">
        <f t="shared" si="3"/>
        <v>02</v>
      </c>
      <c r="O375" s="10" t="str">
        <f t="shared" si="4"/>
        <v>NIKMAT</v>
      </c>
    </row>
    <row r="376" spans="1:15" ht="12.5">
      <c r="A376" s="115" t="s">
        <v>3999</v>
      </c>
      <c r="B376" s="5">
        <v>0</v>
      </c>
      <c r="C376" s="5">
        <v>61</v>
      </c>
      <c r="D376" s="5">
        <v>4</v>
      </c>
      <c r="E376" s="5">
        <v>90</v>
      </c>
      <c r="F376" s="5">
        <v>1</v>
      </c>
      <c r="G376" s="5">
        <v>500</v>
      </c>
      <c r="H376" s="5" t="s">
        <v>3990</v>
      </c>
      <c r="I376" s="5" t="s">
        <v>3991</v>
      </c>
      <c r="J376" s="5" t="s">
        <v>4000</v>
      </c>
      <c r="K376" s="10" t="e">
        <f t="shared" si="0"/>
        <v>#VALUE!</v>
      </c>
      <c r="L376" s="10">
        <f t="shared" si="1"/>
        <v>1</v>
      </c>
      <c r="M376" s="10" t="str">
        <f t="shared" si="2"/>
        <v>005</v>
      </c>
      <c r="N376" s="10" t="str">
        <f t="shared" si="3"/>
        <v>03</v>
      </c>
      <c r="O376" s="10" t="str">
        <f t="shared" si="4"/>
        <v>KARYA</v>
      </c>
    </row>
    <row r="377" spans="1:15" ht="12.5">
      <c r="A377" s="115" t="s">
        <v>4001</v>
      </c>
      <c r="B377" s="5">
        <v>0</v>
      </c>
      <c r="C377" s="5">
        <v>61</v>
      </c>
      <c r="D377" s="5">
        <v>4</v>
      </c>
      <c r="E377" s="5">
        <v>90</v>
      </c>
      <c r="F377" s="5">
        <v>1</v>
      </c>
      <c r="G377" s="5">
        <v>600</v>
      </c>
      <c r="H377" s="5" t="s">
        <v>3990</v>
      </c>
      <c r="I377" s="5" t="s">
        <v>3991</v>
      </c>
      <c r="J377" s="5" t="s">
        <v>4002</v>
      </c>
      <c r="K377" s="10" t="e">
        <f t="shared" si="0"/>
        <v>#VALUE!</v>
      </c>
      <c r="L377" s="10">
        <f t="shared" si="1"/>
        <v>1</v>
      </c>
      <c r="M377" s="10" t="str">
        <f t="shared" si="2"/>
        <v>006</v>
      </c>
      <c r="N377" s="10" t="str">
        <f t="shared" si="3"/>
        <v>03</v>
      </c>
      <c r="O377" s="10" t="str">
        <f t="shared" si="4"/>
        <v>KARYA</v>
      </c>
    </row>
    <row r="378" spans="1:15" ht="12.5">
      <c r="A378" s="115" t="s">
        <v>4003</v>
      </c>
      <c r="B378" s="5">
        <v>0</v>
      </c>
      <c r="C378" s="5">
        <v>61</v>
      </c>
      <c r="D378" s="5">
        <v>4</v>
      </c>
      <c r="E378" s="5">
        <v>90</v>
      </c>
      <c r="F378" s="5">
        <v>1</v>
      </c>
      <c r="G378" s="5">
        <v>700</v>
      </c>
      <c r="H378" s="5" t="s">
        <v>3990</v>
      </c>
      <c r="I378" s="5" t="s">
        <v>3991</v>
      </c>
      <c r="J378" s="5" t="s">
        <v>4004</v>
      </c>
      <c r="K378" s="10" t="e">
        <f t="shared" si="0"/>
        <v>#VALUE!</v>
      </c>
      <c r="L378" s="10">
        <f t="shared" si="1"/>
        <v>1</v>
      </c>
      <c r="M378" s="10" t="str">
        <f t="shared" si="2"/>
        <v>007</v>
      </c>
      <c r="N378" s="10" t="str">
        <f t="shared" si="3"/>
        <v>04</v>
      </c>
      <c r="O378" s="10" t="str">
        <f t="shared" si="4"/>
        <v>KARYA</v>
      </c>
    </row>
    <row r="379" spans="1:15" ht="12.5">
      <c r="A379" s="115" t="s">
        <v>4005</v>
      </c>
      <c r="B379" s="5">
        <v>0</v>
      </c>
      <c r="C379" s="5">
        <v>61</v>
      </c>
      <c r="D379" s="5">
        <v>4</v>
      </c>
      <c r="E379" s="5">
        <v>90</v>
      </c>
      <c r="F379" s="5">
        <v>1</v>
      </c>
      <c r="G379" s="5">
        <v>800</v>
      </c>
      <c r="H379" s="5" t="s">
        <v>3990</v>
      </c>
      <c r="I379" s="5" t="s">
        <v>3991</v>
      </c>
      <c r="J379" s="5" t="s">
        <v>4006</v>
      </c>
      <c r="K379" s="10" t="e">
        <f t="shared" si="0"/>
        <v>#VALUE!</v>
      </c>
      <c r="L379" s="10">
        <f t="shared" si="1"/>
        <v>1</v>
      </c>
      <c r="M379" s="10" t="str">
        <f t="shared" si="2"/>
        <v>008</v>
      </c>
      <c r="N379" s="10" t="str">
        <f t="shared" si="3"/>
        <v>04</v>
      </c>
      <c r="O379" s="10" t="str">
        <f t="shared" si="4"/>
        <v>KARYA</v>
      </c>
    </row>
    <row r="380" spans="1:15" ht="12.5">
      <c r="A380" s="115" t="s">
        <v>4007</v>
      </c>
      <c r="B380" s="5">
        <v>0</v>
      </c>
      <c r="C380" s="5">
        <v>61</v>
      </c>
      <c r="D380" s="5">
        <v>4</v>
      </c>
      <c r="E380" s="5">
        <v>90</v>
      </c>
      <c r="F380" s="5">
        <v>1</v>
      </c>
      <c r="G380" s="5">
        <v>900</v>
      </c>
      <c r="H380" s="5" t="s">
        <v>3990</v>
      </c>
      <c r="I380" s="5" t="s">
        <v>3991</v>
      </c>
      <c r="J380" s="5" t="s">
        <v>4008</v>
      </c>
      <c r="K380" s="10" t="e">
        <f t="shared" si="0"/>
        <v>#VALUE!</v>
      </c>
      <c r="L380" s="10">
        <f t="shared" si="1"/>
        <v>1</v>
      </c>
      <c r="M380" s="10" t="str">
        <f t="shared" si="2"/>
        <v>009</v>
      </c>
      <c r="N380" s="10" t="str">
        <f t="shared" si="3"/>
        <v>05</v>
      </c>
      <c r="O380" s="10" t="str">
        <f t="shared" si="4"/>
        <v>SWADAYA</v>
      </c>
    </row>
    <row r="381" spans="1:15" ht="12.5">
      <c r="A381" s="115" t="s">
        <v>4009</v>
      </c>
      <c r="B381" s="5">
        <v>0</v>
      </c>
      <c r="C381" s="5">
        <v>61</v>
      </c>
      <c r="D381" s="5">
        <v>4</v>
      </c>
      <c r="E381" s="5">
        <v>90</v>
      </c>
      <c r="F381" s="5">
        <v>1</v>
      </c>
      <c r="G381" s="5">
        <v>1000</v>
      </c>
      <c r="H381" s="5" t="s">
        <v>3990</v>
      </c>
      <c r="I381" s="5" t="s">
        <v>3991</v>
      </c>
      <c r="J381" s="5" t="s">
        <v>4010</v>
      </c>
      <c r="K381" s="10" t="e">
        <f t="shared" si="0"/>
        <v>#VALUE!</v>
      </c>
      <c r="L381" s="10">
        <f t="shared" si="1"/>
        <v>1</v>
      </c>
      <c r="M381" s="10" t="str">
        <f t="shared" si="2"/>
        <v>010</v>
      </c>
      <c r="N381" s="10" t="str">
        <f t="shared" si="3"/>
        <v>05</v>
      </c>
      <c r="O381" s="10" t="str">
        <f t="shared" si="4"/>
        <v>SWADAYA</v>
      </c>
    </row>
    <row r="382" spans="1:15" ht="12.5">
      <c r="A382" s="115" t="s">
        <v>4011</v>
      </c>
      <c r="B382" s="5">
        <v>0</v>
      </c>
      <c r="C382" s="5">
        <v>61</v>
      </c>
      <c r="D382" s="5">
        <v>4</v>
      </c>
      <c r="E382" s="5">
        <v>90</v>
      </c>
      <c r="F382" s="5">
        <v>1</v>
      </c>
      <c r="G382" s="5">
        <v>1100</v>
      </c>
      <c r="H382" s="5" t="s">
        <v>3990</v>
      </c>
      <c r="I382" s="5" t="s">
        <v>3991</v>
      </c>
      <c r="J382" s="5" t="s">
        <v>4012</v>
      </c>
      <c r="K382" s="10" t="e">
        <f t="shared" si="0"/>
        <v>#VALUE!</v>
      </c>
      <c r="L382" s="10">
        <f t="shared" si="1"/>
        <v>1</v>
      </c>
      <c r="M382" s="10" t="str">
        <f t="shared" si="2"/>
        <v>011</v>
      </c>
      <c r="N382" s="10" t="str">
        <f t="shared" si="3"/>
        <v>06</v>
      </c>
      <c r="O382" s="10" t="str">
        <f t="shared" si="4"/>
        <v>SWADAYA</v>
      </c>
    </row>
    <row r="383" spans="1:15" ht="12.5">
      <c r="A383" s="115" t="s">
        <v>4013</v>
      </c>
      <c r="B383" s="5">
        <v>0</v>
      </c>
      <c r="C383" s="5">
        <v>61</v>
      </c>
      <c r="D383" s="5">
        <v>4</v>
      </c>
      <c r="E383" s="5">
        <v>90</v>
      </c>
      <c r="F383" s="5">
        <v>1</v>
      </c>
      <c r="G383" s="5">
        <v>1200</v>
      </c>
      <c r="H383" s="5" t="s">
        <v>3990</v>
      </c>
      <c r="I383" s="5" t="s">
        <v>3991</v>
      </c>
      <c r="J383" s="5" t="s">
        <v>4014</v>
      </c>
      <c r="K383" s="10" t="e">
        <f t="shared" si="0"/>
        <v>#VALUE!</v>
      </c>
      <c r="L383" s="10">
        <f t="shared" si="1"/>
        <v>1</v>
      </c>
      <c r="M383" s="10" t="str">
        <f t="shared" si="2"/>
        <v>012</v>
      </c>
      <c r="N383" s="10" t="str">
        <f t="shared" si="3"/>
        <v>06</v>
      </c>
      <c r="O383" s="10" t="str">
        <f t="shared" si="4"/>
        <v>SWADAYA</v>
      </c>
    </row>
    <row r="384" spans="1:15" ht="12.5">
      <c r="A384" s="115" t="s">
        <v>4015</v>
      </c>
      <c r="B384" s="5">
        <v>0</v>
      </c>
      <c r="C384" s="5">
        <v>61</v>
      </c>
      <c r="D384" s="5">
        <v>4</v>
      </c>
      <c r="E384" s="5">
        <v>90</v>
      </c>
      <c r="F384" s="5">
        <v>1</v>
      </c>
      <c r="G384" s="5">
        <v>1300</v>
      </c>
      <c r="H384" s="5" t="s">
        <v>3990</v>
      </c>
      <c r="I384" s="5" t="s">
        <v>3991</v>
      </c>
      <c r="J384" s="5" t="s">
        <v>4016</v>
      </c>
      <c r="K384" s="10" t="e">
        <f t="shared" si="0"/>
        <v>#VALUE!</v>
      </c>
      <c r="L384" s="10">
        <f t="shared" si="1"/>
        <v>1</v>
      </c>
      <c r="M384" s="10" t="str">
        <f t="shared" si="2"/>
        <v>013</v>
      </c>
      <c r="N384" s="10" t="str">
        <f t="shared" si="3"/>
        <v>07</v>
      </c>
      <c r="O384" s="10" t="str">
        <f t="shared" si="4"/>
        <v>SWADAYA</v>
      </c>
    </row>
    <row r="385" spans="1:15" ht="12.5">
      <c r="A385" s="115" t="s">
        <v>4017</v>
      </c>
      <c r="B385" s="5">
        <v>0</v>
      </c>
      <c r="C385" s="5">
        <v>61</v>
      </c>
      <c r="D385" s="5">
        <v>4</v>
      </c>
      <c r="E385" s="5">
        <v>90</v>
      </c>
      <c r="F385" s="5">
        <v>1</v>
      </c>
      <c r="G385" s="5">
        <v>1400</v>
      </c>
      <c r="H385" s="5" t="s">
        <v>3990</v>
      </c>
      <c r="I385" s="5" t="s">
        <v>3991</v>
      </c>
      <c r="J385" s="5" t="s">
        <v>4018</v>
      </c>
      <c r="K385" s="10" t="e">
        <f t="shared" si="0"/>
        <v>#VALUE!</v>
      </c>
      <c r="L385" s="10">
        <f t="shared" si="1"/>
        <v>1</v>
      </c>
      <c r="M385" s="10" t="str">
        <f t="shared" si="2"/>
        <v>014</v>
      </c>
      <c r="N385" s="10" t="str">
        <f t="shared" si="3"/>
        <v>07</v>
      </c>
      <c r="O385" s="10" t="str">
        <f t="shared" si="4"/>
        <v>SEJAHTERA</v>
      </c>
    </row>
    <row r="386" spans="1:15" ht="12.5">
      <c r="A386" s="115" t="s">
        <v>4019</v>
      </c>
      <c r="B386" s="5">
        <v>0</v>
      </c>
      <c r="C386" s="5">
        <v>61</v>
      </c>
      <c r="D386" s="5">
        <v>4</v>
      </c>
      <c r="E386" s="5">
        <v>90</v>
      </c>
      <c r="F386" s="5">
        <v>1</v>
      </c>
      <c r="G386" s="5">
        <v>1500</v>
      </c>
      <c r="H386" s="5" t="s">
        <v>3990</v>
      </c>
      <c r="I386" s="5" t="s">
        <v>3991</v>
      </c>
      <c r="J386" s="5" t="s">
        <v>4020</v>
      </c>
      <c r="K386" s="10" t="e">
        <f t="shared" si="0"/>
        <v>#VALUE!</v>
      </c>
      <c r="L386" s="10">
        <f t="shared" si="1"/>
        <v>1</v>
      </c>
      <c r="M386" s="10" t="str">
        <f t="shared" si="2"/>
        <v>015</v>
      </c>
      <c r="N386" s="10" t="str">
        <f t="shared" si="3"/>
        <v>08</v>
      </c>
      <c r="O386" s="10" t="str">
        <f t="shared" si="4"/>
        <v>SEJAHTERA</v>
      </c>
    </row>
    <row r="387" spans="1:15" ht="12.5">
      <c r="A387" s="115" t="s">
        <v>4021</v>
      </c>
      <c r="B387" s="5">
        <v>0</v>
      </c>
      <c r="C387" s="5">
        <v>61</v>
      </c>
      <c r="D387" s="5">
        <v>4</v>
      </c>
      <c r="E387" s="5">
        <v>90</v>
      </c>
      <c r="F387" s="5">
        <v>1</v>
      </c>
      <c r="G387" s="5">
        <v>1600</v>
      </c>
      <c r="H387" s="5" t="s">
        <v>3990</v>
      </c>
      <c r="I387" s="5" t="s">
        <v>3991</v>
      </c>
      <c r="J387" s="5" t="s">
        <v>4022</v>
      </c>
      <c r="K387" s="10" t="e">
        <f t="shared" si="0"/>
        <v>#VALUE!</v>
      </c>
      <c r="L387" s="10">
        <f t="shared" si="1"/>
        <v>1</v>
      </c>
      <c r="M387" s="10" t="str">
        <f t="shared" si="2"/>
        <v>016</v>
      </c>
      <c r="N387" s="10" t="str">
        <f t="shared" si="3"/>
        <v>08</v>
      </c>
      <c r="O387" s="10" t="str">
        <f t="shared" si="4"/>
        <v>SEJAHTERA</v>
      </c>
    </row>
    <row r="388" spans="1:15" ht="12.5">
      <c r="A388" s="115" t="s">
        <v>4023</v>
      </c>
      <c r="B388" s="5">
        <v>0</v>
      </c>
      <c r="C388" s="5">
        <v>61</v>
      </c>
      <c r="D388" s="5">
        <v>4</v>
      </c>
      <c r="E388" s="5">
        <v>90</v>
      </c>
      <c r="F388" s="5">
        <v>1</v>
      </c>
      <c r="G388" s="5">
        <v>1700</v>
      </c>
      <c r="H388" s="5" t="s">
        <v>3990</v>
      </c>
      <c r="I388" s="5" t="s">
        <v>3991</v>
      </c>
      <c r="J388" s="5" t="s">
        <v>4024</v>
      </c>
      <c r="K388" s="10" t="e">
        <f t="shared" si="0"/>
        <v>#VALUE!</v>
      </c>
      <c r="L388" s="10">
        <f t="shared" si="1"/>
        <v>1</v>
      </c>
      <c r="M388" s="10" t="str">
        <f t="shared" si="2"/>
        <v>017</v>
      </c>
      <c r="N388" s="10" t="str">
        <f t="shared" si="3"/>
        <v>09</v>
      </c>
      <c r="O388" s="10" t="str">
        <f t="shared" si="4"/>
        <v>BAHAGIAH</v>
      </c>
    </row>
    <row r="389" spans="1:15" ht="12.5">
      <c r="A389" s="115" t="s">
        <v>4025</v>
      </c>
      <c r="B389" s="5">
        <v>0</v>
      </c>
      <c r="C389" s="5">
        <v>61</v>
      </c>
      <c r="D389" s="5">
        <v>4</v>
      </c>
      <c r="E389" s="5">
        <v>90</v>
      </c>
      <c r="F389" s="5">
        <v>1</v>
      </c>
      <c r="G389" s="5">
        <v>1800</v>
      </c>
      <c r="H389" s="5" t="s">
        <v>3990</v>
      </c>
      <c r="I389" s="5" t="s">
        <v>3991</v>
      </c>
      <c r="J389" s="5" t="s">
        <v>4026</v>
      </c>
      <c r="K389" s="10" t="e">
        <f t="shared" si="0"/>
        <v>#VALUE!</v>
      </c>
      <c r="L389" s="10">
        <f t="shared" si="1"/>
        <v>1</v>
      </c>
      <c r="M389" s="10" t="str">
        <f t="shared" si="2"/>
        <v>018</v>
      </c>
      <c r="N389" s="10" t="str">
        <f t="shared" si="3"/>
        <v>09</v>
      </c>
      <c r="O389" s="10" t="str">
        <f t="shared" si="4"/>
        <v>BAHAGIAH</v>
      </c>
    </row>
    <row r="390" spans="1:15" ht="12.5">
      <c r="A390" s="115" t="s">
        <v>4027</v>
      </c>
      <c r="B390" s="5">
        <v>0</v>
      </c>
      <c r="C390" s="5">
        <v>61</v>
      </c>
      <c r="D390" s="5">
        <v>4</v>
      </c>
      <c r="E390" s="5">
        <v>90</v>
      </c>
      <c r="F390" s="5">
        <v>1</v>
      </c>
      <c r="G390" s="5">
        <v>1900</v>
      </c>
      <c r="H390" s="5" t="s">
        <v>3990</v>
      </c>
      <c r="I390" s="5" t="s">
        <v>3991</v>
      </c>
      <c r="J390" s="5" t="s">
        <v>4028</v>
      </c>
      <c r="K390" s="10" t="e">
        <f t="shared" si="0"/>
        <v>#VALUE!</v>
      </c>
      <c r="L390" s="10">
        <f t="shared" si="1"/>
        <v>1</v>
      </c>
      <c r="M390" s="10" t="str">
        <f t="shared" si="2"/>
        <v>019</v>
      </c>
      <c r="N390" s="10" t="str">
        <f t="shared" si="3"/>
        <v>010</v>
      </c>
      <c r="O390" s="10" t="str">
        <f t="shared" si="4"/>
        <v>BAHAGIAH</v>
      </c>
    </row>
    <row r="391" spans="1:15" ht="12.5">
      <c r="A391" s="115" t="s">
        <v>4029</v>
      </c>
      <c r="B391" s="5">
        <v>0</v>
      </c>
      <c r="C391" s="5">
        <v>61</v>
      </c>
      <c r="D391" s="5">
        <v>4</v>
      </c>
      <c r="E391" s="5">
        <v>90</v>
      </c>
      <c r="F391" s="5">
        <v>1</v>
      </c>
      <c r="G391" s="5">
        <v>2000</v>
      </c>
      <c r="H391" s="5" t="s">
        <v>3990</v>
      </c>
      <c r="I391" s="5" t="s">
        <v>3991</v>
      </c>
      <c r="J391" s="5" t="s">
        <v>4030</v>
      </c>
      <c r="K391" s="10" t="e">
        <f t="shared" si="0"/>
        <v>#VALUE!</v>
      </c>
      <c r="L391" s="10">
        <f t="shared" si="1"/>
        <v>1</v>
      </c>
      <c r="M391" s="10" t="str">
        <f t="shared" si="2"/>
        <v>020</v>
      </c>
      <c r="N391" s="10" t="str">
        <f t="shared" si="3"/>
        <v>010</v>
      </c>
      <c r="O391" s="10" t="str">
        <f t="shared" si="4"/>
        <v>BAHAGIAH</v>
      </c>
    </row>
    <row r="392" spans="1:15" ht="12.5">
      <c r="A392" s="115" t="s">
        <v>4031</v>
      </c>
      <c r="B392" s="5">
        <v>0</v>
      </c>
      <c r="C392" s="5">
        <v>61</v>
      </c>
      <c r="D392" s="5">
        <v>4</v>
      </c>
      <c r="E392" s="5">
        <v>90</v>
      </c>
      <c r="F392" s="5">
        <v>1</v>
      </c>
      <c r="G392" s="5">
        <v>2100</v>
      </c>
      <c r="H392" s="5" t="s">
        <v>3990</v>
      </c>
      <c r="I392" s="5" t="s">
        <v>3991</v>
      </c>
      <c r="J392" s="5" t="s">
        <v>4032</v>
      </c>
      <c r="K392" s="10" t="e">
        <f t="shared" si="0"/>
        <v>#VALUE!</v>
      </c>
      <c r="L392" s="10">
        <f t="shared" si="1"/>
        <v>1</v>
      </c>
      <c r="M392" s="10" t="str">
        <f t="shared" si="2"/>
        <v>021</v>
      </c>
      <c r="N392" s="10" t="str">
        <f t="shared" si="3"/>
        <v>010</v>
      </c>
      <c r="O392" s="10" t="str">
        <f t="shared" si="4"/>
        <v>BAHAGIAH</v>
      </c>
    </row>
    <row r="393" spans="1:15" ht="12.5">
      <c r="A393" s="115" t="s">
        <v>4033</v>
      </c>
      <c r="B393" s="5">
        <v>1</v>
      </c>
      <c r="C393" s="5">
        <v>61</v>
      </c>
      <c r="D393" s="5">
        <v>4</v>
      </c>
      <c r="E393" s="5">
        <v>90</v>
      </c>
      <c r="F393" s="5">
        <v>1</v>
      </c>
      <c r="G393" s="5">
        <v>100100</v>
      </c>
      <c r="H393" s="5" t="s">
        <v>3990</v>
      </c>
      <c r="I393" s="5" t="s">
        <v>3991</v>
      </c>
      <c r="J393" s="5" t="s">
        <v>3515</v>
      </c>
      <c r="K393" s="10" t="e">
        <f t="shared" si="0"/>
        <v>#VALUE!</v>
      </c>
      <c r="L393" s="10">
        <f t="shared" si="1"/>
        <v>0</v>
      </c>
      <c r="M393" s="10" t="str">
        <f t="shared" si="2"/>
        <v>KEB</v>
      </c>
      <c r="N393" s="10" t="str">
        <f t="shared" si="3"/>
        <v>SA</v>
      </c>
      <c r="O393" s="10" t="str">
        <f t="shared" ref="O393:O395" si="5">TRIM(MID(J393,20,10))</f>
        <v/>
      </c>
    </row>
    <row r="394" spans="1:15" ht="12.5">
      <c r="A394" s="115" t="s">
        <v>4034</v>
      </c>
      <c r="B394" s="5">
        <v>1</v>
      </c>
      <c r="C394" s="5">
        <v>61</v>
      </c>
      <c r="D394" s="5">
        <v>4</v>
      </c>
      <c r="E394" s="5">
        <v>90</v>
      </c>
      <c r="F394" s="5">
        <v>1</v>
      </c>
      <c r="G394" s="5">
        <v>100300</v>
      </c>
      <c r="H394" s="5" t="s">
        <v>3990</v>
      </c>
      <c r="I394" s="5" t="s">
        <v>3991</v>
      </c>
      <c r="J394" s="5" t="s">
        <v>3515</v>
      </c>
      <c r="K394" s="10" t="e">
        <f t="shared" si="0"/>
        <v>#VALUE!</v>
      </c>
      <c r="L394" s="10">
        <f t="shared" si="1"/>
        <v>0</v>
      </c>
      <c r="M394" s="10" t="str">
        <f t="shared" si="2"/>
        <v>KEB</v>
      </c>
      <c r="N394" s="10" t="str">
        <f t="shared" si="3"/>
        <v>SA</v>
      </c>
      <c r="O394" s="10" t="str">
        <f t="shared" si="5"/>
        <v/>
      </c>
    </row>
    <row r="395" spans="1:15" ht="12.5">
      <c r="A395" s="115" t="s">
        <v>4035</v>
      </c>
      <c r="B395" s="5">
        <v>2</v>
      </c>
      <c r="C395" s="5">
        <v>61</v>
      </c>
      <c r="D395" s="5">
        <v>4</v>
      </c>
      <c r="E395" s="5">
        <v>90</v>
      </c>
      <c r="F395" s="5">
        <v>1</v>
      </c>
      <c r="G395" s="5">
        <v>200200</v>
      </c>
      <c r="H395" s="5" t="s">
        <v>3990</v>
      </c>
      <c r="I395" s="5" t="s">
        <v>3991</v>
      </c>
      <c r="J395" s="5" t="s">
        <v>4036</v>
      </c>
      <c r="K395" s="10" t="e">
        <f t="shared" si="0"/>
        <v>#VALUE!</v>
      </c>
      <c r="L395" s="10">
        <f t="shared" si="1"/>
        <v>0</v>
      </c>
      <c r="M395" s="10" t="str">
        <f t="shared" si="2"/>
        <v xml:space="preserve">AN </v>
      </c>
      <c r="N395" s="10" t="str">
        <f t="shared" si="3"/>
        <v>07P</v>
      </c>
      <c r="O395" s="10" t="str">
        <f t="shared" si="5"/>
        <v/>
      </c>
    </row>
    <row r="396" spans="1:15" ht="12.5">
      <c r="A396" s="115" t="s">
        <v>4037</v>
      </c>
      <c r="B396" s="5">
        <v>0</v>
      </c>
      <c r="C396" s="5">
        <v>61</v>
      </c>
      <c r="D396" s="5">
        <v>4</v>
      </c>
      <c r="E396" s="5">
        <v>90</v>
      </c>
      <c r="F396" s="5">
        <v>3</v>
      </c>
      <c r="G396" s="5">
        <v>100</v>
      </c>
      <c r="H396" s="5" t="s">
        <v>3990</v>
      </c>
      <c r="I396" s="5" t="s">
        <v>4038</v>
      </c>
      <c r="J396" s="5" t="s">
        <v>4039</v>
      </c>
      <c r="K396" s="10" t="e">
        <f t="shared" si="0"/>
        <v>#VALUE!</v>
      </c>
      <c r="L396" s="10">
        <f t="shared" si="1"/>
        <v>1</v>
      </c>
      <c r="M396" s="10" t="str">
        <f t="shared" si="2"/>
        <v>001</v>
      </c>
      <c r="N396" s="10" t="str">
        <f t="shared" si="3"/>
        <v>01</v>
      </c>
      <c r="O396" s="10" t="str">
        <f t="shared" ref="O396:O417" si="6">TRIM(MID(J396,20,20))</f>
        <v>TERATAI</v>
      </c>
    </row>
    <row r="397" spans="1:15" ht="12.5">
      <c r="A397" s="115" t="s">
        <v>4040</v>
      </c>
      <c r="B397" s="5">
        <v>0</v>
      </c>
      <c r="C397" s="5">
        <v>61</v>
      </c>
      <c r="D397" s="5">
        <v>4</v>
      </c>
      <c r="E397" s="5">
        <v>90</v>
      </c>
      <c r="F397" s="5">
        <v>3</v>
      </c>
      <c r="G397" s="5">
        <v>200</v>
      </c>
      <c r="H397" s="5" t="s">
        <v>3990</v>
      </c>
      <c r="I397" s="5" t="s">
        <v>4038</v>
      </c>
      <c r="J397" s="5" t="s">
        <v>4041</v>
      </c>
      <c r="K397" s="10" t="e">
        <f t="shared" si="0"/>
        <v>#VALUE!</v>
      </c>
      <c r="L397" s="10">
        <f t="shared" si="1"/>
        <v>1</v>
      </c>
      <c r="M397" s="10" t="str">
        <f t="shared" si="2"/>
        <v>002</v>
      </c>
      <c r="N397" s="10" t="str">
        <f t="shared" si="3"/>
        <v>01</v>
      </c>
      <c r="O397" s="10" t="str">
        <f t="shared" si="6"/>
        <v>TERATAI</v>
      </c>
    </row>
    <row r="398" spans="1:15" ht="12.5">
      <c r="A398" s="115" t="s">
        <v>4042</v>
      </c>
      <c r="B398" s="5">
        <v>0</v>
      </c>
      <c r="C398" s="5">
        <v>61</v>
      </c>
      <c r="D398" s="5">
        <v>4</v>
      </c>
      <c r="E398" s="5">
        <v>90</v>
      </c>
      <c r="F398" s="5">
        <v>3</v>
      </c>
      <c r="G398" s="5">
        <v>300</v>
      </c>
      <c r="H398" s="5" t="s">
        <v>3990</v>
      </c>
      <c r="I398" s="5" t="s">
        <v>4038</v>
      </c>
      <c r="J398" s="5" t="s">
        <v>4043</v>
      </c>
      <c r="K398" s="10" t="e">
        <f t="shared" si="0"/>
        <v>#VALUE!</v>
      </c>
      <c r="L398" s="10">
        <f t="shared" si="1"/>
        <v>1</v>
      </c>
      <c r="M398" s="10" t="str">
        <f t="shared" si="2"/>
        <v>003</v>
      </c>
      <c r="N398" s="10" t="str">
        <f t="shared" si="3"/>
        <v>02</v>
      </c>
      <c r="O398" s="10" t="str">
        <f t="shared" si="6"/>
        <v>TERATAI</v>
      </c>
    </row>
    <row r="399" spans="1:15" ht="12.5">
      <c r="A399" s="115" t="s">
        <v>4044</v>
      </c>
      <c r="B399" s="5">
        <v>0</v>
      </c>
      <c r="C399" s="5">
        <v>61</v>
      </c>
      <c r="D399" s="5">
        <v>4</v>
      </c>
      <c r="E399" s="5">
        <v>90</v>
      </c>
      <c r="F399" s="5">
        <v>3</v>
      </c>
      <c r="G399" s="5">
        <v>400</v>
      </c>
      <c r="H399" s="5" t="s">
        <v>3990</v>
      </c>
      <c r="I399" s="5" t="s">
        <v>4038</v>
      </c>
      <c r="J399" s="5" t="s">
        <v>4045</v>
      </c>
      <c r="K399" s="10" t="e">
        <f t="shared" si="0"/>
        <v>#VALUE!</v>
      </c>
      <c r="L399" s="10">
        <f t="shared" si="1"/>
        <v>1</v>
      </c>
      <c r="M399" s="10" t="str">
        <f t="shared" si="2"/>
        <v>004</v>
      </c>
      <c r="N399" s="10" t="str">
        <f t="shared" si="3"/>
        <v>02</v>
      </c>
      <c r="O399" s="10" t="str">
        <f t="shared" si="6"/>
        <v>TERATAI</v>
      </c>
    </row>
    <row r="400" spans="1:15" ht="12.5">
      <c r="A400" s="115" t="s">
        <v>4046</v>
      </c>
      <c r="B400" s="5">
        <v>0</v>
      </c>
      <c r="C400" s="5">
        <v>61</v>
      </c>
      <c r="D400" s="5">
        <v>4</v>
      </c>
      <c r="E400" s="5">
        <v>90</v>
      </c>
      <c r="F400" s="5">
        <v>3</v>
      </c>
      <c r="G400" s="5">
        <v>500</v>
      </c>
      <c r="H400" s="5" t="s">
        <v>3990</v>
      </c>
      <c r="I400" s="5" t="s">
        <v>4038</v>
      </c>
      <c r="J400" s="5" t="s">
        <v>4047</v>
      </c>
      <c r="K400" s="10" t="e">
        <f t="shared" si="0"/>
        <v>#VALUE!</v>
      </c>
      <c r="L400" s="10">
        <f t="shared" si="1"/>
        <v>1</v>
      </c>
      <c r="M400" s="10" t="str">
        <f t="shared" si="2"/>
        <v>005</v>
      </c>
      <c r="N400" s="10" t="str">
        <f t="shared" si="3"/>
        <v>03</v>
      </c>
      <c r="O400" s="10" t="str">
        <f t="shared" si="6"/>
        <v>BABUSSALAM</v>
      </c>
    </row>
    <row r="401" spans="1:15" ht="12.5">
      <c r="A401" s="115" t="s">
        <v>4048</v>
      </c>
      <c r="B401" s="5">
        <v>0</v>
      </c>
      <c r="C401" s="5">
        <v>61</v>
      </c>
      <c r="D401" s="5">
        <v>4</v>
      </c>
      <c r="E401" s="5">
        <v>90</v>
      </c>
      <c r="F401" s="5">
        <v>3</v>
      </c>
      <c r="G401" s="5">
        <v>600</v>
      </c>
      <c r="H401" s="5" t="s">
        <v>3990</v>
      </c>
      <c r="I401" s="5" t="s">
        <v>4038</v>
      </c>
      <c r="J401" s="5" t="s">
        <v>4049</v>
      </c>
      <c r="K401" s="10" t="e">
        <f t="shared" si="0"/>
        <v>#VALUE!</v>
      </c>
      <c r="L401" s="10">
        <f t="shared" si="1"/>
        <v>1</v>
      </c>
      <c r="M401" s="10" t="str">
        <f t="shared" si="2"/>
        <v>006</v>
      </c>
      <c r="N401" s="10" t="str">
        <f t="shared" si="3"/>
        <v>03</v>
      </c>
      <c r="O401" s="10" t="str">
        <f t="shared" si="6"/>
        <v>BABUSSALAM</v>
      </c>
    </row>
    <row r="402" spans="1:15" ht="12.5">
      <c r="A402" s="115" t="s">
        <v>4050</v>
      </c>
      <c r="B402" s="5">
        <v>0</v>
      </c>
      <c r="C402" s="5">
        <v>61</v>
      </c>
      <c r="D402" s="5">
        <v>4</v>
      </c>
      <c r="E402" s="5">
        <v>90</v>
      </c>
      <c r="F402" s="5">
        <v>3</v>
      </c>
      <c r="G402" s="5">
        <v>700</v>
      </c>
      <c r="H402" s="5" t="s">
        <v>3990</v>
      </c>
      <c r="I402" s="5" t="s">
        <v>4038</v>
      </c>
      <c r="J402" s="5" t="s">
        <v>4051</v>
      </c>
      <c r="K402" s="10" t="e">
        <f t="shared" si="0"/>
        <v>#VALUE!</v>
      </c>
      <c r="L402" s="10">
        <f t="shared" si="1"/>
        <v>1</v>
      </c>
      <c r="M402" s="10" t="str">
        <f t="shared" si="2"/>
        <v>007</v>
      </c>
      <c r="N402" s="10" t="str">
        <f t="shared" si="3"/>
        <v>04</v>
      </c>
      <c r="O402" s="10" t="str">
        <f t="shared" si="6"/>
        <v>BABUSSALAM</v>
      </c>
    </row>
    <row r="403" spans="1:15" ht="12.5">
      <c r="A403" s="115" t="s">
        <v>4052</v>
      </c>
      <c r="B403" s="5">
        <v>0</v>
      </c>
      <c r="C403" s="5">
        <v>61</v>
      </c>
      <c r="D403" s="5">
        <v>4</v>
      </c>
      <c r="E403" s="5">
        <v>90</v>
      </c>
      <c r="F403" s="5">
        <v>3</v>
      </c>
      <c r="G403" s="5">
        <v>800</v>
      </c>
      <c r="H403" s="5" t="s">
        <v>3990</v>
      </c>
      <c r="I403" s="5" t="s">
        <v>4038</v>
      </c>
      <c r="J403" s="5" t="s">
        <v>4053</v>
      </c>
      <c r="K403" s="10" t="e">
        <f t="shared" si="0"/>
        <v>#VALUE!</v>
      </c>
      <c r="L403" s="10">
        <f t="shared" si="1"/>
        <v>1</v>
      </c>
      <c r="M403" s="10" t="str">
        <f t="shared" si="2"/>
        <v>008</v>
      </c>
      <c r="N403" s="10" t="str">
        <f t="shared" si="3"/>
        <v>04</v>
      </c>
      <c r="O403" s="10" t="str">
        <f t="shared" si="6"/>
        <v>BABUSSALAM</v>
      </c>
    </row>
    <row r="404" spans="1:15" ht="12.5">
      <c r="A404" s="115" t="s">
        <v>4054</v>
      </c>
      <c r="B404" s="5">
        <v>0</v>
      </c>
      <c r="C404" s="5">
        <v>61</v>
      </c>
      <c r="D404" s="5">
        <v>4</v>
      </c>
      <c r="E404" s="5">
        <v>90</v>
      </c>
      <c r="F404" s="5">
        <v>3</v>
      </c>
      <c r="G404" s="5">
        <v>900</v>
      </c>
      <c r="H404" s="5" t="s">
        <v>3990</v>
      </c>
      <c r="I404" s="5" t="s">
        <v>4038</v>
      </c>
      <c r="J404" s="5" t="s">
        <v>4055</v>
      </c>
      <c r="K404" s="10" t="e">
        <f t="shared" si="0"/>
        <v>#VALUE!</v>
      </c>
      <c r="L404" s="10">
        <f t="shared" si="1"/>
        <v>1</v>
      </c>
      <c r="M404" s="10" t="str">
        <f t="shared" si="2"/>
        <v>009</v>
      </c>
      <c r="N404" s="10" t="str">
        <f t="shared" si="3"/>
        <v>05</v>
      </c>
      <c r="O404" s="10" t="str">
        <f t="shared" si="6"/>
        <v>BABUSSALAM</v>
      </c>
    </row>
    <row r="405" spans="1:15" ht="12.5">
      <c r="A405" s="115" t="s">
        <v>4056</v>
      </c>
      <c r="B405" s="5">
        <v>0</v>
      </c>
      <c r="C405" s="5">
        <v>61</v>
      </c>
      <c r="D405" s="5">
        <v>4</v>
      </c>
      <c r="E405" s="5">
        <v>90</v>
      </c>
      <c r="F405" s="5">
        <v>3</v>
      </c>
      <c r="G405" s="5">
        <v>1000</v>
      </c>
      <c r="H405" s="5" t="s">
        <v>3990</v>
      </c>
      <c r="I405" s="5" t="s">
        <v>4038</v>
      </c>
      <c r="J405" s="5" t="s">
        <v>4057</v>
      </c>
      <c r="K405" s="10" t="e">
        <f t="shared" si="0"/>
        <v>#VALUE!</v>
      </c>
      <c r="L405" s="10">
        <f t="shared" si="1"/>
        <v>1</v>
      </c>
      <c r="M405" s="10" t="str">
        <f t="shared" si="2"/>
        <v>010</v>
      </c>
      <c r="N405" s="10" t="str">
        <f t="shared" si="3"/>
        <v>05</v>
      </c>
      <c r="O405" s="10" t="str">
        <f t="shared" si="6"/>
        <v>SUI DAYAK</v>
      </c>
    </row>
    <row r="406" spans="1:15" ht="12.5">
      <c r="A406" s="115" t="s">
        <v>4058</v>
      </c>
      <c r="B406" s="5">
        <v>0</v>
      </c>
      <c r="C406" s="5">
        <v>61</v>
      </c>
      <c r="D406" s="5">
        <v>4</v>
      </c>
      <c r="E406" s="5">
        <v>90</v>
      </c>
      <c r="F406" s="5">
        <v>3</v>
      </c>
      <c r="G406" s="5">
        <v>1100</v>
      </c>
      <c r="H406" s="5" t="s">
        <v>3990</v>
      </c>
      <c r="I406" s="5" t="s">
        <v>4038</v>
      </c>
      <c r="J406" s="5" t="s">
        <v>4059</v>
      </c>
      <c r="K406" s="10" t="e">
        <f t="shared" si="0"/>
        <v>#VALUE!</v>
      </c>
      <c r="L406" s="10">
        <f t="shared" si="1"/>
        <v>1</v>
      </c>
      <c r="M406" s="10" t="str">
        <f t="shared" si="2"/>
        <v>011</v>
      </c>
      <c r="N406" s="10" t="str">
        <f t="shared" si="3"/>
        <v>06</v>
      </c>
      <c r="O406" s="10" t="str">
        <f t="shared" si="6"/>
        <v>SUI DAYAK</v>
      </c>
    </row>
    <row r="407" spans="1:15" ht="12.5">
      <c r="A407" s="115" t="s">
        <v>4060</v>
      </c>
      <c r="B407" s="5">
        <v>0</v>
      </c>
      <c r="C407" s="5">
        <v>61</v>
      </c>
      <c r="D407" s="5">
        <v>4</v>
      </c>
      <c r="E407" s="5">
        <v>90</v>
      </c>
      <c r="F407" s="5">
        <v>3</v>
      </c>
      <c r="G407" s="5">
        <v>1200</v>
      </c>
      <c r="H407" s="5" t="s">
        <v>3990</v>
      </c>
      <c r="I407" s="5" t="s">
        <v>4038</v>
      </c>
      <c r="J407" s="5" t="s">
        <v>4061</v>
      </c>
      <c r="K407" s="10" t="e">
        <f t="shared" si="0"/>
        <v>#VALUE!</v>
      </c>
      <c r="L407" s="10">
        <f t="shared" si="1"/>
        <v>1</v>
      </c>
      <c r="M407" s="10" t="str">
        <f t="shared" si="2"/>
        <v>012</v>
      </c>
      <c r="N407" s="10" t="str">
        <f t="shared" si="3"/>
        <v>06</v>
      </c>
      <c r="O407" s="10" t="str">
        <f t="shared" si="6"/>
        <v>SUI DAYAK</v>
      </c>
    </row>
    <row r="408" spans="1:15" ht="12.5">
      <c r="A408" s="115" t="s">
        <v>4062</v>
      </c>
      <c r="B408" s="5">
        <v>0</v>
      </c>
      <c r="C408" s="5">
        <v>61</v>
      </c>
      <c r="D408" s="5">
        <v>4</v>
      </c>
      <c r="E408" s="5">
        <v>90</v>
      </c>
      <c r="F408" s="5">
        <v>3</v>
      </c>
      <c r="G408" s="5">
        <v>1300</v>
      </c>
      <c r="H408" s="5" t="s">
        <v>3990</v>
      </c>
      <c r="I408" s="5" t="s">
        <v>4038</v>
      </c>
      <c r="J408" s="5" t="s">
        <v>4063</v>
      </c>
      <c r="K408" s="10" t="e">
        <f t="shared" si="0"/>
        <v>#VALUE!</v>
      </c>
      <c r="L408" s="10">
        <f t="shared" si="1"/>
        <v>1</v>
      </c>
      <c r="M408" s="10" t="str">
        <f t="shared" si="2"/>
        <v>013</v>
      </c>
      <c r="N408" s="10" t="str">
        <f t="shared" si="3"/>
        <v>06</v>
      </c>
      <c r="O408" s="10" t="str">
        <f t="shared" si="6"/>
        <v>SUI DAYAK</v>
      </c>
    </row>
    <row r="409" spans="1:15" ht="12.5">
      <c r="A409" s="115" t="s">
        <v>4064</v>
      </c>
      <c r="B409" s="5">
        <v>0</v>
      </c>
      <c r="C409" s="5">
        <v>61</v>
      </c>
      <c r="D409" s="5">
        <v>4</v>
      </c>
      <c r="E409" s="5">
        <v>90</v>
      </c>
      <c r="F409" s="5">
        <v>3</v>
      </c>
      <c r="G409" s="5">
        <v>1400</v>
      </c>
      <c r="H409" s="5" t="s">
        <v>3990</v>
      </c>
      <c r="I409" s="5" t="s">
        <v>4038</v>
      </c>
      <c r="J409" s="5" t="s">
        <v>4065</v>
      </c>
      <c r="K409" s="10" t="e">
        <f t="shared" si="0"/>
        <v>#VALUE!</v>
      </c>
      <c r="L409" s="10">
        <f t="shared" si="1"/>
        <v>1</v>
      </c>
      <c r="M409" s="10" t="str">
        <f t="shared" si="2"/>
        <v>014</v>
      </c>
      <c r="N409" s="10" t="str">
        <f t="shared" si="3"/>
        <v>07</v>
      </c>
      <c r="O409" s="10" t="str">
        <f t="shared" si="6"/>
        <v>PENIRAMAN DALAM</v>
      </c>
    </row>
    <row r="410" spans="1:15" ht="12.5">
      <c r="A410" s="115" t="s">
        <v>4066</v>
      </c>
      <c r="B410" s="5">
        <v>0</v>
      </c>
      <c r="C410" s="5">
        <v>61</v>
      </c>
      <c r="D410" s="5">
        <v>4</v>
      </c>
      <c r="E410" s="5">
        <v>90</v>
      </c>
      <c r="F410" s="5">
        <v>3</v>
      </c>
      <c r="G410" s="5">
        <v>1500</v>
      </c>
      <c r="H410" s="5" t="s">
        <v>3990</v>
      </c>
      <c r="I410" s="5" t="s">
        <v>4038</v>
      </c>
      <c r="J410" s="5" t="s">
        <v>4067</v>
      </c>
      <c r="K410" s="10" t="e">
        <f t="shared" si="0"/>
        <v>#VALUE!</v>
      </c>
      <c r="L410" s="10">
        <f t="shared" si="1"/>
        <v>1</v>
      </c>
      <c r="M410" s="10" t="str">
        <f t="shared" si="2"/>
        <v>015</v>
      </c>
      <c r="N410" s="10" t="str">
        <f t="shared" si="3"/>
        <v>07</v>
      </c>
      <c r="O410" s="10" t="str">
        <f t="shared" si="6"/>
        <v>PENIRAMAN DALAM</v>
      </c>
    </row>
    <row r="411" spans="1:15" ht="12.5">
      <c r="A411" s="115" t="s">
        <v>4068</v>
      </c>
      <c r="B411" s="5">
        <v>0</v>
      </c>
      <c r="C411" s="5">
        <v>61</v>
      </c>
      <c r="D411" s="5">
        <v>4</v>
      </c>
      <c r="E411" s="5">
        <v>90</v>
      </c>
      <c r="F411" s="5">
        <v>3</v>
      </c>
      <c r="G411" s="5">
        <v>1600</v>
      </c>
      <c r="H411" s="5" t="s">
        <v>3990</v>
      </c>
      <c r="I411" s="5" t="s">
        <v>4038</v>
      </c>
      <c r="J411" s="5" t="s">
        <v>4069</v>
      </c>
      <c r="K411" s="10" t="e">
        <f t="shared" si="0"/>
        <v>#VALUE!</v>
      </c>
      <c r="L411" s="10">
        <f t="shared" si="1"/>
        <v>1</v>
      </c>
      <c r="M411" s="10" t="str">
        <f t="shared" si="2"/>
        <v>016</v>
      </c>
      <c r="N411" s="10" t="str">
        <f t="shared" si="3"/>
        <v>08</v>
      </c>
      <c r="O411" s="10" t="str">
        <f t="shared" si="6"/>
        <v>PENIRAMAN DALAM</v>
      </c>
    </row>
    <row r="412" spans="1:15" ht="12.5">
      <c r="A412" s="115" t="s">
        <v>4070</v>
      </c>
      <c r="B412" s="5">
        <v>0</v>
      </c>
      <c r="C412" s="5">
        <v>61</v>
      </c>
      <c r="D412" s="5">
        <v>4</v>
      </c>
      <c r="E412" s="5">
        <v>90</v>
      </c>
      <c r="F412" s="5">
        <v>3</v>
      </c>
      <c r="G412" s="5">
        <v>1700</v>
      </c>
      <c r="H412" s="5" t="s">
        <v>3990</v>
      </c>
      <c r="I412" s="5" t="s">
        <v>4038</v>
      </c>
      <c r="J412" s="5" t="s">
        <v>4071</v>
      </c>
      <c r="K412" s="10" t="e">
        <f t="shared" si="0"/>
        <v>#VALUE!</v>
      </c>
      <c r="L412" s="10">
        <f t="shared" si="1"/>
        <v>1</v>
      </c>
      <c r="M412" s="10" t="str">
        <f t="shared" si="2"/>
        <v>017</v>
      </c>
      <c r="N412" s="10" t="str">
        <f t="shared" si="3"/>
        <v>08</v>
      </c>
      <c r="O412" s="10" t="str">
        <f t="shared" si="6"/>
        <v>PENIRAMAN DALAM</v>
      </c>
    </row>
    <row r="413" spans="1:15" ht="12.5">
      <c r="A413" s="115" t="s">
        <v>4072</v>
      </c>
      <c r="B413" s="5">
        <v>0</v>
      </c>
      <c r="C413" s="5">
        <v>61</v>
      </c>
      <c r="D413" s="5">
        <v>4</v>
      </c>
      <c r="E413" s="5">
        <v>90</v>
      </c>
      <c r="F413" s="5">
        <v>3</v>
      </c>
      <c r="G413" s="5">
        <v>1800</v>
      </c>
      <c r="H413" s="5" t="s">
        <v>3990</v>
      </c>
      <c r="I413" s="5" t="s">
        <v>4038</v>
      </c>
      <c r="J413" s="5" t="s">
        <v>4073</v>
      </c>
      <c r="K413" s="10" t="e">
        <f t="shared" si="0"/>
        <v>#VALUE!</v>
      </c>
      <c r="L413" s="10">
        <f t="shared" si="1"/>
        <v>1</v>
      </c>
      <c r="M413" s="10" t="str">
        <f t="shared" si="2"/>
        <v>018</v>
      </c>
      <c r="N413" s="10" t="str">
        <f t="shared" si="3"/>
        <v>09</v>
      </c>
      <c r="O413" s="10" t="str">
        <f t="shared" si="6"/>
        <v>DANAU</v>
      </c>
    </row>
    <row r="414" spans="1:15" ht="12.5">
      <c r="A414" s="115" t="s">
        <v>4074</v>
      </c>
      <c r="B414" s="5">
        <v>0</v>
      </c>
      <c r="C414" s="5">
        <v>61</v>
      </c>
      <c r="D414" s="5">
        <v>4</v>
      </c>
      <c r="E414" s="5">
        <v>90</v>
      </c>
      <c r="F414" s="5">
        <v>3</v>
      </c>
      <c r="G414" s="5">
        <v>1900</v>
      </c>
      <c r="H414" s="5" t="s">
        <v>3990</v>
      </c>
      <c r="I414" s="5" t="s">
        <v>4038</v>
      </c>
      <c r="J414" s="5" t="s">
        <v>4075</v>
      </c>
      <c r="K414" s="10" t="e">
        <f t="shared" si="0"/>
        <v>#VALUE!</v>
      </c>
      <c r="L414" s="10">
        <f t="shared" si="1"/>
        <v>1</v>
      </c>
      <c r="M414" s="10" t="str">
        <f t="shared" si="2"/>
        <v>019</v>
      </c>
      <c r="N414" s="10" t="str">
        <f t="shared" si="3"/>
        <v>09</v>
      </c>
      <c r="O414" s="10" t="str">
        <f t="shared" si="6"/>
        <v>DANAU</v>
      </c>
    </row>
    <row r="415" spans="1:15" ht="12.5">
      <c r="A415" s="115" t="s">
        <v>4076</v>
      </c>
      <c r="B415" s="5">
        <v>0</v>
      </c>
      <c r="C415" s="5">
        <v>61</v>
      </c>
      <c r="D415" s="5">
        <v>4</v>
      </c>
      <c r="E415" s="5">
        <v>90</v>
      </c>
      <c r="F415" s="5">
        <v>3</v>
      </c>
      <c r="G415" s="5">
        <v>2000</v>
      </c>
      <c r="H415" s="5" t="s">
        <v>3990</v>
      </c>
      <c r="I415" s="5" t="s">
        <v>4038</v>
      </c>
      <c r="J415" s="5" t="s">
        <v>4077</v>
      </c>
      <c r="K415" s="10" t="e">
        <f t="shared" si="0"/>
        <v>#VALUE!</v>
      </c>
      <c r="L415" s="10">
        <f t="shared" si="1"/>
        <v>1</v>
      </c>
      <c r="M415" s="10" t="str">
        <f t="shared" si="2"/>
        <v>020</v>
      </c>
      <c r="N415" s="10" t="str">
        <f t="shared" si="3"/>
        <v>010</v>
      </c>
      <c r="O415" s="10" t="str">
        <f t="shared" si="6"/>
        <v>DANAU</v>
      </c>
    </row>
    <row r="416" spans="1:15" ht="12.5">
      <c r="A416" s="115" t="s">
        <v>4078</v>
      </c>
      <c r="B416" s="5">
        <v>0</v>
      </c>
      <c r="C416" s="5">
        <v>61</v>
      </c>
      <c r="D416" s="5">
        <v>4</v>
      </c>
      <c r="E416" s="5">
        <v>90</v>
      </c>
      <c r="F416" s="5">
        <v>3</v>
      </c>
      <c r="G416" s="5">
        <v>2100</v>
      </c>
      <c r="H416" s="5" t="s">
        <v>3990</v>
      </c>
      <c r="I416" s="5" t="s">
        <v>4038</v>
      </c>
      <c r="J416" s="5" t="s">
        <v>4079</v>
      </c>
      <c r="K416" s="10" t="e">
        <f t="shared" si="0"/>
        <v>#VALUE!</v>
      </c>
      <c r="L416" s="10">
        <f t="shared" si="1"/>
        <v>1</v>
      </c>
      <c r="M416" s="10" t="str">
        <f t="shared" si="2"/>
        <v>021</v>
      </c>
      <c r="N416" s="10" t="str">
        <f t="shared" si="3"/>
        <v>010</v>
      </c>
      <c r="O416" s="10" t="str">
        <f t="shared" si="6"/>
        <v>DANAU</v>
      </c>
    </row>
    <row r="417" spans="1:15" ht="12.5">
      <c r="A417" s="115" t="s">
        <v>4080</v>
      </c>
      <c r="B417" s="5">
        <v>0</v>
      </c>
      <c r="C417" s="5">
        <v>61</v>
      </c>
      <c r="D417" s="5">
        <v>4</v>
      </c>
      <c r="E417" s="5">
        <v>90</v>
      </c>
      <c r="F417" s="5">
        <v>3</v>
      </c>
      <c r="G417" s="5">
        <v>2200</v>
      </c>
      <c r="H417" s="5" t="s">
        <v>3990</v>
      </c>
      <c r="I417" s="5" t="s">
        <v>4038</v>
      </c>
      <c r="J417" s="5" t="s">
        <v>4081</v>
      </c>
      <c r="K417" s="10" t="e">
        <f t="shared" si="0"/>
        <v>#VALUE!</v>
      </c>
      <c r="L417" s="10">
        <f t="shared" si="1"/>
        <v>1</v>
      </c>
      <c r="M417" s="10" t="str">
        <f t="shared" si="2"/>
        <v>022</v>
      </c>
      <c r="N417" s="10" t="str">
        <f t="shared" si="3"/>
        <v>010</v>
      </c>
      <c r="O417" s="10" t="str">
        <f t="shared" si="6"/>
        <v>DANAU</v>
      </c>
    </row>
    <row r="418" spans="1:15" ht="12.5">
      <c r="A418" s="115" t="s">
        <v>4082</v>
      </c>
      <c r="B418" s="5">
        <v>2</v>
      </c>
      <c r="C418" s="5">
        <v>61</v>
      </c>
      <c r="D418" s="5">
        <v>4</v>
      </c>
      <c r="E418" s="5">
        <v>90</v>
      </c>
      <c r="F418" s="5">
        <v>3</v>
      </c>
      <c r="G418" s="5">
        <v>200100</v>
      </c>
      <c r="H418" s="5" t="s">
        <v>3990</v>
      </c>
      <c r="I418" s="5" t="s">
        <v>4038</v>
      </c>
      <c r="J418" s="5" t="s">
        <v>4083</v>
      </c>
      <c r="K418" s="10" t="e">
        <f t="shared" si="0"/>
        <v>#VALUE!</v>
      </c>
      <c r="L418" s="10">
        <f t="shared" si="1"/>
        <v>0</v>
      </c>
      <c r="M418" s="10" t="str">
        <f t="shared" si="2"/>
        <v>ANG</v>
      </c>
      <c r="N418" s="10" t="str">
        <f t="shared" si="3"/>
        <v>PUT</v>
      </c>
      <c r="O418" s="10" t="str">
        <f t="shared" ref="O418:O419" si="7">TRIM(MID(J418,20,10))</f>
        <v/>
      </c>
    </row>
    <row r="419" spans="1:15" ht="12.5">
      <c r="A419" s="115" t="s">
        <v>4084</v>
      </c>
      <c r="B419" s="5">
        <v>2</v>
      </c>
      <c r="C419" s="5">
        <v>61</v>
      </c>
      <c r="D419" s="5">
        <v>4</v>
      </c>
      <c r="E419" s="5">
        <v>90</v>
      </c>
      <c r="F419" s="5">
        <v>3</v>
      </c>
      <c r="G419" s="5">
        <v>200200</v>
      </c>
      <c r="H419" s="5" t="s">
        <v>3990</v>
      </c>
      <c r="I419" s="5" t="s">
        <v>4038</v>
      </c>
      <c r="J419" s="5" t="s">
        <v>4085</v>
      </c>
      <c r="K419" s="10" t="e">
        <f t="shared" si="0"/>
        <v>#VALUE!</v>
      </c>
      <c r="L419" s="10">
        <f t="shared" si="1"/>
        <v>0</v>
      </c>
      <c r="M419" s="10" t="str">
        <f t="shared" si="2"/>
        <v xml:space="preserve">AN </v>
      </c>
      <c r="N419" s="10" t="str">
        <f t="shared" si="3"/>
        <v>02P</v>
      </c>
      <c r="O419" s="10" t="str">
        <f t="shared" si="7"/>
        <v/>
      </c>
    </row>
    <row r="420" spans="1:15" ht="12.5">
      <c r="A420" s="115" t="s">
        <v>4086</v>
      </c>
      <c r="B420" s="5">
        <v>0</v>
      </c>
      <c r="C420" s="5">
        <v>61</v>
      </c>
      <c r="D420" s="5">
        <v>4</v>
      </c>
      <c r="E420" s="5">
        <v>90</v>
      </c>
      <c r="F420" s="5">
        <v>4</v>
      </c>
      <c r="G420" s="5">
        <v>100</v>
      </c>
      <c r="H420" s="5" t="s">
        <v>3990</v>
      </c>
      <c r="I420" s="5" t="s">
        <v>4087</v>
      </c>
      <c r="J420" s="5" t="s">
        <v>4088</v>
      </c>
      <c r="K420" s="10" t="e">
        <f t="shared" si="0"/>
        <v>#VALUE!</v>
      </c>
      <c r="L420" s="10">
        <f t="shared" si="1"/>
        <v>1</v>
      </c>
      <c r="M420" s="10" t="str">
        <f t="shared" si="2"/>
        <v>001</v>
      </c>
      <c r="N420" s="10" t="str">
        <f t="shared" si="3"/>
        <v>01</v>
      </c>
      <c r="O420" s="10" t="str">
        <f t="shared" ref="O420:O443" si="8">TRIM(MID(J420,20,20))</f>
        <v>01</v>
      </c>
    </row>
    <row r="421" spans="1:15" ht="12.5">
      <c r="A421" s="115" t="s">
        <v>4089</v>
      </c>
      <c r="B421" s="5">
        <v>0</v>
      </c>
      <c r="C421" s="5">
        <v>61</v>
      </c>
      <c r="D421" s="5">
        <v>4</v>
      </c>
      <c r="E421" s="5">
        <v>90</v>
      </c>
      <c r="F421" s="5">
        <v>4</v>
      </c>
      <c r="G421" s="5">
        <v>200</v>
      </c>
      <c r="H421" s="5" t="s">
        <v>3990</v>
      </c>
      <c r="I421" s="5" t="s">
        <v>4087</v>
      </c>
      <c r="J421" s="5" t="s">
        <v>4090</v>
      </c>
      <c r="K421" s="10" t="e">
        <f t="shared" si="0"/>
        <v>#VALUE!</v>
      </c>
      <c r="L421" s="10">
        <f t="shared" si="1"/>
        <v>1</v>
      </c>
      <c r="M421" s="10" t="str">
        <f t="shared" si="2"/>
        <v>002</v>
      </c>
      <c r="N421" s="10" t="str">
        <f t="shared" si="3"/>
        <v>01</v>
      </c>
      <c r="O421" s="10" t="str">
        <f t="shared" si="8"/>
        <v>01</v>
      </c>
    </row>
    <row r="422" spans="1:15" ht="12.5">
      <c r="A422" s="115" t="s">
        <v>4091</v>
      </c>
      <c r="B422" s="5">
        <v>0</v>
      </c>
      <c r="C422" s="5">
        <v>61</v>
      </c>
      <c r="D422" s="5">
        <v>4</v>
      </c>
      <c r="E422" s="5">
        <v>90</v>
      </c>
      <c r="F422" s="5">
        <v>4</v>
      </c>
      <c r="G422" s="5">
        <v>300</v>
      </c>
      <c r="H422" s="5" t="s">
        <v>3990</v>
      </c>
      <c r="I422" s="5" t="s">
        <v>4087</v>
      </c>
      <c r="J422" s="5" t="s">
        <v>4092</v>
      </c>
      <c r="K422" s="10" t="e">
        <f t="shared" si="0"/>
        <v>#VALUE!</v>
      </c>
      <c r="L422" s="10">
        <f t="shared" si="1"/>
        <v>1</v>
      </c>
      <c r="M422" s="10" t="str">
        <f t="shared" si="2"/>
        <v>003</v>
      </c>
      <c r="N422" s="10" t="str">
        <f t="shared" si="3"/>
        <v>01</v>
      </c>
      <c r="O422" s="10" t="str">
        <f t="shared" si="8"/>
        <v>01</v>
      </c>
    </row>
    <row r="423" spans="1:15" ht="12.5">
      <c r="A423" s="115" t="s">
        <v>4093</v>
      </c>
      <c r="B423" s="5">
        <v>0</v>
      </c>
      <c r="C423" s="5">
        <v>61</v>
      </c>
      <c r="D423" s="5">
        <v>4</v>
      </c>
      <c r="E423" s="5">
        <v>90</v>
      </c>
      <c r="F423" s="5">
        <v>4</v>
      </c>
      <c r="G423" s="5">
        <v>400</v>
      </c>
      <c r="H423" s="5" t="s">
        <v>3990</v>
      </c>
      <c r="I423" s="5" t="s">
        <v>4087</v>
      </c>
      <c r="J423" s="5" t="s">
        <v>4094</v>
      </c>
      <c r="K423" s="10" t="e">
        <f t="shared" si="0"/>
        <v>#VALUE!</v>
      </c>
      <c r="L423" s="10">
        <f t="shared" si="1"/>
        <v>1</v>
      </c>
      <c r="M423" s="10" t="str">
        <f t="shared" si="2"/>
        <v>001</v>
      </c>
      <c r="N423" s="10" t="str">
        <f t="shared" si="3"/>
        <v>02</v>
      </c>
      <c r="O423" s="10" t="str">
        <f t="shared" si="8"/>
        <v>01</v>
      </c>
    </row>
    <row r="424" spans="1:15" ht="12.5">
      <c r="A424" s="115" t="s">
        <v>4095</v>
      </c>
      <c r="B424" s="5">
        <v>0</v>
      </c>
      <c r="C424" s="5">
        <v>61</v>
      </c>
      <c r="D424" s="5">
        <v>4</v>
      </c>
      <c r="E424" s="5">
        <v>90</v>
      </c>
      <c r="F424" s="5">
        <v>4</v>
      </c>
      <c r="G424" s="5">
        <v>500</v>
      </c>
      <c r="H424" s="5" t="s">
        <v>3990</v>
      </c>
      <c r="I424" s="5" t="s">
        <v>4087</v>
      </c>
      <c r="J424" s="5" t="s">
        <v>4096</v>
      </c>
      <c r="K424" s="10" t="e">
        <f t="shared" si="0"/>
        <v>#VALUE!</v>
      </c>
      <c r="L424" s="10">
        <f t="shared" si="1"/>
        <v>1</v>
      </c>
      <c r="M424" s="10" t="str">
        <f t="shared" si="2"/>
        <v>002</v>
      </c>
      <c r="N424" s="10" t="str">
        <f t="shared" si="3"/>
        <v>02</v>
      </c>
      <c r="O424" s="10" t="str">
        <f t="shared" si="8"/>
        <v>01</v>
      </c>
    </row>
    <row r="425" spans="1:15" ht="12.5">
      <c r="A425" s="115" t="s">
        <v>4097</v>
      </c>
      <c r="B425" s="5">
        <v>0</v>
      </c>
      <c r="C425" s="5">
        <v>61</v>
      </c>
      <c r="D425" s="5">
        <v>4</v>
      </c>
      <c r="E425" s="5">
        <v>90</v>
      </c>
      <c r="F425" s="5">
        <v>4</v>
      </c>
      <c r="G425" s="5">
        <v>600</v>
      </c>
      <c r="H425" s="5" t="s">
        <v>3990</v>
      </c>
      <c r="I425" s="5" t="s">
        <v>4087</v>
      </c>
      <c r="J425" s="5" t="s">
        <v>4098</v>
      </c>
      <c r="K425" s="10" t="e">
        <f t="shared" si="0"/>
        <v>#VALUE!</v>
      </c>
      <c r="L425" s="10">
        <f t="shared" si="1"/>
        <v>1</v>
      </c>
      <c r="M425" s="10" t="str">
        <f t="shared" si="2"/>
        <v>003</v>
      </c>
      <c r="N425" s="10" t="str">
        <f t="shared" si="3"/>
        <v>02</v>
      </c>
      <c r="O425" s="10" t="str">
        <f t="shared" si="8"/>
        <v>01</v>
      </c>
    </row>
    <row r="426" spans="1:15" ht="12.5">
      <c r="A426" s="115" t="s">
        <v>4099</v>
      </c>
      <c r="B426" s="5">
        <v>0</v>
      </c>
      <c r="C426" s="5">
        <v>61</v>
      </c>
      <c r="D426" s="5">
        <v>4</v>
      </c>
      <c r="E426" s="5">
        <v>90</v>
      </c>
      <c r="F426" s="5">
        <v>4</v>
      </c>
      <c r="G426" s="5">
        <v>700</v>
      </c>
      <c r="H426" s="5" t="s">
        <v>3990</v>
      </c>
      <c r="I426" s="5" t="s">
        <v>4087</v>
      </c>
      <c r="J426" s="5" t="s">
        <v>4100</v>
      </c>
      <c r="K426" s="10" t="e">
        <f t="shared" si="0"/>
        <v>#VALUE!</v>
      </c>
      <c r="L426" s="10">
        <f t="shared" si="1"/>
        <v>1</v>
      </c>
      <c r="M426" s="10" t="str">
        <f t="shared" si="2"/>
        <v>001</v>
      </c>
      <c r="N426" s="10" t="str">
        <f t="shared" si="3"/>
        <v>03</v>
      </c>
      <c r="O426" s="10" t="str">
        <f t="shared" si="8"/>
        <v>02</v>
      </c>
    </row>
    <row r="427" spans="1:15" ht="12.5">
      <c r="A427" s="115" t="s">
        <v>4101</v>
      </c>
      <c r="B427" s="5">
        <v>0</v>
      </c>
      <c r="C427" s="5">
        <v>61</v>
      </c>
      <c r="D427" s="5">
        <v>4</v>
      </c>
      <c r="E427" s="5">
        <v>90</v>
      </c>
      <c r="F427" s="5">
        <v>4</v>
      </c>
      <c r="G427" s="5">
        <v>800</v>
      </c>
      <c r="H427" s="5" t="s">
        <v>3990</v>
      </c>
      <c r="I427" s="5" t="s">
        <v>4087</v>
      </c>
      <c r="J427" s="5" t="s">
        <v>4102</v>
      </c>
      <c r="K427" s="10" t="e">
        <f t="shared" si="0"/>
        <v>#VALUE!</v>
      </c>
      <c r="L427" s="10">
        <f t="shared" si="1"/>
        <v>1</v>
      </c>
      <c r="M427" s="10" t="str">
        <f t="shared" si="2"/>
        <v>002</v>
      </c>
      <c r="N427" s="10" t="str">
        <f t="shared" si="3"/>
        <v>03</v>
      </c>
      <c r="O427" s="10" t="str">
        <f t="shared" si="8"/>
        <v>02</v>
      </c>
    </row>
    <row r="428" spans="1:15" ht="12.5">
      <c r="A428" s="115" t="s">
        <v>4103</v>
      </c>
      <c r="B428" s="5">
        <v>0</v>
      </c>
      <c r="C428" s="5">
        <v>61</v>
      </c>
      <c r="D428" s="5">
        <v>4</v>
      </c>
      <c r="E428" s="5">
        <v>90</v>
      </c>
      <c r="F428" s="5">
        <v>4</v>
      </c>
      <c r="G428" s="5">
        <v>900</v>
      </c>
      <c r="H428" s="5" t="s">
        <v>3990</v>
      </c>
      <c r="I428" s="5" t="s">
        <v>4087</v>
      </c>
      <c r="J428" s="5" t="s">
        <v>4104</v>
      </c>
      <c r="K428" s="10" t="e">
        <f t="shared" si="0"/>
        <v>#VALUE!</v>
      </c>
      <c r="L428" s="10">
        <f t="shared" si="1"/>
        <v>1</v>
      </c>
      <c r="M428" s="10" t="str">
        <f t="shared" si="2"/>
        <v>001</v>
      </c>
      <c r="N428" s="10" t="str">
        <f t="shared" si="3"/>
        <v>04</v>
      </c>
      <c r="O428" s="10" t="str">
        <f t="shared" si="8"/>
        <v>02</v>
      </c>
    </row>
    <row r="429" spans="1:15" ht="12.5">
      <c r="A429" s="115" t="s">
        <v>4105</v>
      </c>
      <c r="B429" s="5">
        <v>0</v>
      </c>
      <c r="C429" s="5">
        <v>61</v>
      </c>
      <c r="D429" s="5">
        <v>4</v>
      </c>
      <c r="E429" s="5">
        <v>90</v>
      </c>
      <c r="F429" s="5">
        <v>4</v>
      </c>
      <c r="G429" s="5">
        <v>1000</v>
      </c>
      <c r="H429" s="5" t="s">
        <v>3990</v>
      </c>
      <c r="I429" s="5" t="s">
        <v>4087</v>
      </c>
      <c r="J429" s="5" t="s">
        <v>4106</v>
      </c>
      <c r="K429" s="10" t="e">
        <f t="shared" si="0"/>
        <v>#VALUE!</v>
      </c>
      <c r="L429" s="10">
        <f t="shared" si="1"/>
        <v>1</v>
      </c>
      <c r="M429" s="10" t="str">
        <f t="shared" si="2"/>
        <v>002</v>
      </c>
      <c r="N429" s="10" t="str">
        <f t="shared" si="3"/>
        <v>04</v>
      </c>
      <c r="O429" s="10" t="str">
        <f t="shared" si="8"/>
        <v>02</v>
      </c>
    </row>
    <row r="430" spans="1:15" ht="12.5">
      <c r="A430" s="115" t="s">
        <v>4107</v>
      </c>
      <c r="B430" s="5">
        <v>0</v>
      </c>
      <c r="C430" s="5">
        <v>61</v>
      </c>
      <c r="D430" s="5">
        <v>4</v>
      </c>
      <c r="E430" s="5">
        <v>90</v>
      </c>
      <c r="F430" s="5">
        <v>4</v>
      </c>
      <c r="G430" s="5">
        <v>1100</v>
      </c>
      <c r="H430" s="5" t="s">
        <v>3990</v>
      </c>
      <c r="I430" s="5" t="s">
        <v>4087</v>
      </c>
      <c r="J430" s="5" t="s">
        <v>4108</v>
      </c>
      <c r="K430" s="10" t="e">
        <f t="shared" si="0"/>
        <v>#VALUE!</v>
      </c>
      <c r="L430" s="10">
        <f t="shared" si="1"/>
        <v>1</v>
      </c>
      <c r="M430" s="10" t="str">
        <f t="shared" si="2"/>
        <v>001</v>
      </c>
      <c r="N430" s="10" t="str">
        <f t="shared" si="3"/>
        <v>05</v>
      </c>
      <c r="O430" s="10" t="str">
        <f t="shared" si="8"/>
        <v>03</v>
      </c>
    </row>
    <row r="431" spans="1:15" ht="12.5">
      <c r="A431" s="115" t="s">
        <v>4109</v>
      </c>
      <c r="B431" s="5">
        <v>0</v>
      </c>
      <c r="C431" s="5">
        <v>61</v>
      </c>
      <c r="D431" s="5">
        <v>4</v>
      </c>
      <c r="E431" s="5">
        <v>90</v>
      </c>
      <c r="F431" s="5">
        <v>4</v>
      </c>
      <c r="G431" s="5">
        <v>1200</v>
      </c>
      <c r="H431" s="5" t="s">
        <v>3990</v>
      </c>
      <c r="I431" s="5" t="s">
        <v>4087</v>
      </c>
      <c r="J431" s="5" t="s">
        <v>4110</v>
      </c>
      <c r="K431" s="10" t="e">
        <f t="shared" si="0"/>
        <v>#VALUE!</v>
      </c>
      <c r="L431" s="10">
        <f t="shared" si="1"/>
        <v>1</v>
      </c>
      <c r="M431" s="10" t="str">
        <f t="shared" si="2"/>
        <v>001</v>
      </c>
      <c r="N431" s="10" t="str">
        <f t="shared" si="3"/>
        <v>06</v>
      </c>
      <c r="O431" s="10" t="str">
        <f t="shared" si="8"/>
        <v>03</v>
      </c>
    </row>
    <row r="432" spans="1:15" ht="12.5">
      <c r="A432" s="115" t="s">
        <v>4111</v>
      </c>
      <c r="B432" s="5">
        <v>0</v>
      </c>
      <c r="C432" s="5">
        <v>61</v>
      </c>
      <c r="D432" s="5">
        <v>4</v>
      </c>
      <c r="E432" s="5">
        <v>90</v>
      </c>
      <c r="F432" s="5">
        <v>4</v>
      </c>
      <c r="G432" s="5">
        <v>1300</v>
      </c>
      <c r="H432" s="5" t="s">
        <v>3990</v>
      </c>
      <c r="I432" s="5" t="s">
        <v>4087</v>
      </c>
      <c r="J432" s="5" t="s">
        <v>4112</v>
      </c>
      <c r="K432" s="10" t="e">
        <f t="shared" si="0"/>
        <v>#VALUE!</v>
      </c>
      <c r="L432" s="10">
        <f t="shared" si="1"/>
        <v>1</v>
      </c>
      <c r="M432" s="10" t="str">
        <f t="shared" si="2"/>
        <v>002</v>
      </c>
      <c r="N432" s="10" t="str">
        <f t="shared" si="3"/>
        <v>06</v>
      </c>
      <c r="O432" s="10" t="str">
        <f t="shared" si="8"/>
        <v>03</v>
      </c>
    </row>
    <row r="433" spans="1:15" ht="12.5">
      <c r="A433" s="115" t="s">
        <v>4113</v>
      </c>
      <c r="B433" s="5">
        <v>0</v>
      </c>
      <c r="C433" s="5">
        <v>61</v>
      </c>
      <c r="D433" s="5">
        <v>4</v>
      </c>
      <c r="E433" s="5">
        <v>90</v>
      </c>
      <c r="F433" s="5">
        <v>4</v>
      </c>
      <c r="G433" s="5">
        <v>1400</v>
      </c>
      <c r="H433" s="5" t="s">
        <v>3990</v>
      </c>
      <c r="I433" s="5" t="s">
        <v>4087</v>
      </c>
      <c r="J433" s="5" t="s">
        <v>4114</v>
      </c>
      <c r="K433" s="10" t="e">
        <f t="shared" si="0"/>
        <v>#VALUE!</v>
      </c>
      <c r="L433" s="10">
        <f t="shared" si="1"/>
        <v>1</v>
      </c>
      <c r="M433" s="10" t="str">
        <f t="shared" si="2"/>
        <v>001</v>
      </c>
      <c r="N433" s="10" t="str">
        <f t="shared" si="3"/>
        <v>07</v>
      </c>
      <c r="O433" s="10" t="str">
        <f t="shared" si="8"/>
        <v>04</v>
      </c>
    </row>
    <row r="434" spans="1:15" ht="12.5">
      <c r="A434" s="115" t="s">
        <v>4115</v>
      </c>
      <c r="B434" s="5">
        <v>0</v>
      </c>
      <c r="C434" s="5">
        <v>61</v>
      </c>
      <c r="D434" s="5">
        <v>4</v>
      </c>
      <c r="E434" s="5">
        <v>90</v>
      </c>
      <c r="F434" s="5">
        <v>4</v>
      </c>
      <c r="G434" s="5">
        <v>1500</v>
      </c>
      <c r="H434" s="5" t="s">
        <v>3990</v>
      </c>
      <c r="I434" s="5" t="s">
        <v>4087</v>
      </c>
      <c r="J434" s="5" t="s">
        <v>4116</v>
      </c>
      <c r="K434" s="10" t="e">
        <f t="shared" si="0"/>
        <v>#VALUE!</v>
      </c>
      <c r="L434" s="10">
        <f t="shared" si="1"/>
        <v>1</v>
      </c>
      <c r="M434" s="10" t="str">
        <f t="shared" si="2"/>
        <v>002</v>
      </c>
      <c r="N434" s="10" t="str">
        <f t="shared" si="3"/>
        <v>07</v>
      </c>
      <c r="O434" s="10" t="str">
        <f t="shared" si="8"/>
        <v>04</v>
      </c>
    </row>
    <row r="435" spans="1:15" ht="12.5">
      <c r="A435" s="115" t="s">
        <v>4117</v>
      </c>
      <c r="B435" s="5">
        <v>0</v>
      </c>
      <c r="C435" s="5">
        <v>61</v>
      </c>
      <c r="D435" s="5">
        <v>4</v>
      </c>
      <c r="E435" s="5">
        <v>90</v>
      </c>
      <c r="F435" s="5">
        <v>4</v>
      </c>
      <c r="G435" s="5">
        <v>1600</v>
      </c>
      <c r="H435" s="5" t="s">
        <v>3990</v>
      </c>
      <c r="I435" s="5" t="s">
        <v>4087</v>
      </c>
      <c r="J435" s="5" t="s">
        <v>4118</v>
      </c>
      <c r="K435" s="10" t="e">
        <f t="shared" si="0"/>
        <v>#VALUE!</v>
      </c>
      <c r="L435" s="10">
        <f t="shared" si="1"/>
        <v>1</v>
      </c>
      <c r="M435" s="10" t="str">
        <f t="shared" si="2"/>
        <v>003</v>
      </c>
      <c r="N435" s="10" t="str">
        <f t="shared" si="3"/>
        <v>07</v>
      </c>
      <c r="O435" s="10" t="str">
        <f t="shared" si="8"/>
        <v>04</v>
      </c>
    </row>
    <row r="436" spans="1:15" ht="12.5">
      <c r="A436" s="115" t="s">
        <v>4119</v>
      </c>
      <c r="B436" s="5">
        <v>0</v>
      </c>
      <c r="C436" s="5">
        <v>61</v>
      </c>
      <c r="D436" s="5">
        <v>4</v>
      </c>
      <c r="E436" s="5">
        <v>90</v>
      </c>
      <c r="F436" s="5">
        <v>4</v>
      </c>
      <c r="G436" s="5">
        <v>1700</v>
      </c>
      <c r="H436" s="5" t="s">
        <v>3990</v>
      </c>
      <c r="I436" s="5" t="s">
        <v>4087</v>
      </c>
      <c r="J436" s="5" t="s">
        <v>4120</v>
      </c>
      <c r="K436" s="10" t="e">
        <f t="shared" si="0"/>
        <v>#VALUE!</v>
      </c>
      <c r="L436" s="10">
        <f t="shared" si="1"/>
        <v>1</v>
      </c>
      <c r="M436" s="10" t="str">
        <f t="shared" si="2"/>
        <v>001</v>
      </c>
      <c r="N436" s="10" t="str">
        <f t="shared" si="3"/>
        <v>08</v>
      </c>
      <c r="O436" s="10" t="str">
        <f t="shared" si="8"/>
        <v>04</v>
      </c>
    </row>
    <row r="437" spans="1:15" ht="12.5">
      <c r="A437" s="115" t="s">
        <v>4121</v>
      </c>
      <c r="B437" s="5">
        <v>0</v>
      </c>
      <c r="C437" s="5">
        <v>61</v>
      </c>
      <c r="D437" s="5">
        <v>4</v>
      </c>
      <c r="E437" s="5">
        <v>90</v>
      </c>
      <c r="F437" s="5">
        <v>4</v>
      </c>
      <c r="G437" s="5">
        <v>1800</v>
      </c>
      <c r="H437" s="5" t="s">
        <v>3990</v>
      </c>
      <c r="I437" s="5" t="s">
        <v>4087</v>
      </c>
      <c r="J437" s="5" t="s">
        <v>4122</v>
      </c>
      <c r="K437" s="10" t="e">
        <f t="shared" si="0"/>
        <v>#VALUE!</v>
      </c>
      <c r="L437" s="10">
        <f t="shared" si="1"/>
        <v>1</v>
      </c>
      <c r="M437" s="10" t="str">
        <f t="shared" si="2"/>
        <v>002</v>
      </c>
      <c r="N437" s="10" t="str">
        <f t="shared" si="3"/>
        <v>08</v>
      </c>
      <c r="O437" s="10" t="str">
        <f t="shared" si="8"/>
        <v>04</v>
      </c>
    </row>
    <row r="438" spans="1:15" ht="12.5">
      <c r="A438" s="115" t="s">
        <v>4123</v>
      </c>
      <c r="B438" s="5">
        <v>0</v>
      </c>
      <c r="C438" s="5">
        <v>61</v>
      </c>
      <c r="D438" s="5">
        <v>4</v>
      </c>
      <c r="E438" s="5">
        <v>90</v>
      </c>
      <c r="F438" s="5">
        <v>4</v>
      </c>
      <c r="G438" s="5">
        <v>1900</v>
      </c>
      <c r="H438" s="5" t="s">
        <v>3990</v>
      </c>
      <c r="I438" s="5" t="s">
        <v>4087</v>
      </c>
      <c r="J438" s="5" t="s">
        <v>4124</v>
      </c>
      <c r="K438" s="10" t="e">
        <f t="shared" si="0"/>
        <v>#VALUE!</v>
      </c>
      <c r="L438" s="10">
        <f t="shared" si="1"/>
        <v>1</v>
      </c>
      <c r="M438" s="10" t="str">
        <f t="shared" si="2"/>
        <v>003</v>
      </c>
      <c r="N438" s="10" t="str">
        <f t="shared" si="3"/>
        <v>08</v>
      </c>
      <c r="O438" s="10" t="str">
        <f t="shared" si="8"/>
        <v>04</v>
      </c>
    </row>
    <row r="439" spans="1:15" ht="12.5">
      <c r="A439" s="115" t="s">
        <v>4125</v>
      </c>
      <c r="B439" s="5">
        <v>0</v>
      </c>
      <c r="C439" s="5">
        <v>61</v>
      </c>
      <c r="D439" s="5">
        <v>4</v>
      </c>
      <c r="E439" s="5">
        <v>90</v>
      </c>
      <c r="F439" s="5">
        <v>4</v>
      </c>
      <c r="G439" s="5">
        <v>2000</v>
      </c>
      <c r="H439" s="5" t="s">
        <v>3990</v>
      </c>
      <c r="I439" s="5" t="s">
        <v>4087</v>
      </c>
      <c r="J439" s="5" t="s">
        <v>4126</v>
      </c>
      <c r="K439" s="10" t="e">
        <f t="shared" si="0"/>
        <v>#VALUE!</v>
      </c>
      <c r="L439" s="10">
        <f t="shared" si="1"/>
        <v>1</v>
      </c>
      <c r="M439" s="10" t="str">
        <f t="shared" si="2"/>
        <v>001</v>
      </c>
      <c r="N439" s="10" t="str">
        <f t="shared" si="3"/>
        <v>09</v>
      </c>
      <c r="O439" s="10" t="str">
        <f t="shared" si="8"/>
        <v>05</v>
      </c>
    </row>
    <row r="440" spans="1:15" ht="12.5">
      <c r="A440" s="115" t="s">
        <v>4127</v>
      </c>
      <c r="B440" s="5">
        <v>0</v>
      </c>
      <c r="C440" s="5">
        <v>61</v>
      </c>
      <c r="D440" s="5">
        <v>4</v>
      </c>
      <c r="E440" s="5">
        <v>90</v>
      </c>
      <c r="F440" s="5">
        <v>4</v>
      </c>
      <c r="G440" s="5">
        <v>2100</v>
      </c>
      <c r="H440" s="5" t="s">
        <v>3990</v>
      </c>
      <c r="I440" s="5" t="s">
        <v>4087</v>
      </c>
      <c r="J440" s="5" t="s">
        <v>4128</v>
      </c>
      <c r="K440" s="10" t="e">
        <f t="shared" si="0"/>
        <v>#VALUE!</v>
      </c>
      <c r="L440" s="10">
        <f t="shared" si="1"/>
        <v>1</v>
      </c>
      <c r="M440" s="10" t="str">
        <f t="shared" si="2"/>
        <v>002</v>
      </c>
      <c r="N440" s="10" t="str">
        <f t="shared" si="3"/>
        <v>09</v>
      </c>
      <c r="O440" s="10" t="str">
        <f t="shared" si="8"/>
        <v>05</v>
      </c>
    </row>
    <row r="441" spans="1:15" ht="12.5">
      <c r="A441" s="115" t="s">
        <v>4129</v>
      </c>
      <c r="B441" s="5">
        <v>0</v>
      </c>
      <c r="C441" s="5">
        <v>61</v>
      </c>
      <c r="D441" s="5">
        <v>4</v>
      </c>
      <c r="E441" s="5">
        <v>90</v>
      </c>
      <c r="F441" s="5">
        <v>4</v>
      </c>
      <c r="G441" s="5">
        <v>2200</v>
      </c>
      <c r="H441" s="5" t="s">
        <v>3990</v>
      </c>
      <c r="I441" s="5" t="s">
        <v>4087</v>
      </c>
      <c r="J441" s="5" t="s">
        <v>4130</v>
      </c>
      <c r="K441" s="10" t="e">
        <f t="shared" si="0"/>
        <v>#VALUE!</v>
      </c>
      <c r="L441" s="10">
        <f t="shared" si="1"/>
        <v>1</v>
      </c>
      <c r="M441" s="10" t="str">
        <f t="shared" si="2"/>
        <v>001</v>
      </c>
      <c r="N441" s="10" t="str">
        <f t="shared" si="3"/>
        <v>10</v>
      </c>
      <c r="O441" s="10" t="str">
        <f t="shared" si="8"/>
        <v>05</v>
      </c>
    </row>
    <row r="442" spans="1:15" ht="12.5">
      <c r="A442" s="115" t="s">
        <v>4131</v>
      </c>
      <c r="B442" s="5">
        <v>0</v>
      </c>
      <c r="C442" s="5">
        <v>61</v>
      </c>
      <c r="D442" s="5">
        <v>4</v>
      </c>
      <c r="E442" s="5">
        <v>90</v>
      </c>
      <c r="F442" s="5">
        <v>4</v>
      </c>
      <c r="G442" s="5">
        <v>2300</v>
      </c>
      <c r="H442" s="5" t="s">
        <v>3990</v>
      </c>
      <c r="I442" s="5" t="s">
        <v>4087</v>
      </c>
      <c r="J442" s="5" t="s">
        <v>4132</v>
      </c>
      <c r="K442" s="10" t="e">
        <f t="shared" si="0"/>
        <v>#VALUE!</v>
      </c>
      <c r="L442" s="10">
        <f t="shared" si="1"/>
        <v>1</v>
      </c>
      <c r="M442" s="10" t="str">
        <f t="shared" si="2"/>
        <v>002</v>
      </c>
      <c r="N442" s="10" t="str">
        <f t="shared" si="3"/>
        <v>10</v>
      </c>
      <c r="O442" s="10" t="str">
        <f t="shared" si="8"/>
        <v>05</v>
      </c>
    </row>
    <row r="443" spans="1:15" ht="12.5">
      <c r="A443" s="115" t="s">
        <v>4133</v>
      </c>
      <c r="B443" s="5">
        <v>0</v>
      </c>
      <c r="C443" s="5">
        <v>61</v>
      </c>
      <c r="D443" s="5">
        <v>4</v>
      </c>
      <c r="E443" s="5">
        <v>90</v>
      </c>
      <c r="F443" s="5">
        <v>4</v>
      </c>
      <c r="G443" s="5">
        <v>2400</v>
      </c>
      <c r="H443" s="5" t="s">
        <v>3990</v>
      </c>
      <c r="I443" s="5" t="s">
        <v>4087</v>
      </c>
      <c r="J443" s="5" t="s">
        <v>4134</v>
      </c>
      <c r="K443" s="10" t="e">
        <f t="shared" si="0"/>
        <v>#VALUE!</v>
      </c>
      <c r="L443" s="10">
        <f t="shared" si="1"/>
        <v>1</v>
      </c>
      <c r="M443" s="10" t="str">
        <f t="shared" si="2"/>
        <v>004</v>
      </c>
      <c r="N443" s="10" t="str">
        <f t="shared" si="3"/>
        <v>02</v>
      </c>
      <c r="O443" s="10" t="str">
        <f t="shared" si="8"/>
        <v>01</v>
      </c>
    </row>
    <row r="444" spans="1:15" ht="12.5">
      <c r="A444" s="115" t="s">
        <v>4135</v>
      </c>
      <c r="B444" s="5">
        <v>1</v>
      </c>
      <c r="C444" s="5">
        <v>61</v>
      </c>
      <c r="D444" s="5">
        <v>4</v>
      </c>
      <c r="E444" s="5">
        <v>90</v>
      </c>
      <c r="F444" s="5">
        <v>4</v>
      </c>
      <c r="G444" s="5">
        <v>100100</v>
      </c>
      <c r="H444" s="5" t="s">
        <v>3990</v>
      </c>
      <c r="I444" s="5" t="s">
        <v>4087</v>
      </c>
      <c r="J444" s="5" t="s">
        <v>3513</v>
      </c>
      <c r="K444" s="10" t="e">
        <f t="shared" si="0"/>
        <v>#VALUE!</v>
      </c>
      <c r="L444" s="10">
        <f t="shared" si="1"/>
        <v>0</v>
      </c>
      <c r="M444" s="10" t="str">
        <f t="shared" si="2"/>
        <v xml:space="preserve">UN </v>
      </c>
      <c r="N444" s="10" t="str">
        <f t="shared" si="3"/>
        <v>T</v>
      </c>
      <c r="O444" s="10" t="str">
        <f t="shared" ref="O444:O447" si="9">TRIM(MID(J444,20,10))</f>
        <v/>
      </c>
    </row>
    <row r="445" spans="1:15" ht="12.5">
      <c r="A445" s="115" t="s">
        <v>4136</v>
      </c>
      <c r="B445" s="5">
        <v>1</v>
      </c>
      <c r="C445" s="5">
        <v>61</v>
      </c>
      <c r="D445" s="5">
        <v>4</v>
      </c>
      <c r="E445" s="5">
        <v>90</v>
      </c>
      <c r="F445" s="5">
        <v>4</v>
      </c>
      <c r="G445" s="5">
        <v>100300</v>
      </c>
      <c r="H445" s="5" t="s">
        <v>3990</v>
      </c>
      <c r="I445" s="5" t="s">
        <v>4087</v>
      </c>
      <c r="J445" s="5" t="s">
        <v>4137</v>
      </c>
      <c r="K445" s="10" t="e">
        <f t="shared" si="0"/>
        <v>#VALUE!</v>
      </c>
      <c r="L445" s="10">
        <f t="shared" si="1"/>
        <v>0</v>
      </c>
      <c r="M445" s="10" t="str">
        <f t="shared" si="2"/>
        <v xml:space="preserve">UN </v>
      </c>
      <c r="N445" s="10" t="str">
        <f t="shared" si="3"/>
        <v>PA</v>
      </c>
      <c r="O445" s="10" t="str">
        <f t="shared" si="9"/>
        <v/>
      </c>
    </row>
    <row r="446" spans="1:15" ht="12.5">
      <c r="A446" s="115" t="s">
        <v>4138</v>
      </c>
      <c r="B446" s="5">
        <v>2</v>
      </c>
      <c r="C446" s="5">
        <v>61</v>
      </c>
      <c r="D446" s="5">
        <v>4</v>
      </c>
      <c r="E446" s="5">
        <v>90</v>
      </c>
      <c r="F446" s="5">
        <v>4</v>
      </c>
      <c r="G446" s="5">
        <v>200200</v>
      </c>
      <c r="H446" s="5" t="s">
        <v>3990</v>
      </c>
      <c r="I446" s="5" t="s">
        <v>4087</v>
      </c>
      <c r="J446" s="5" t="s">
        <v>4139</v>
      </c>
      <c r="K446" s="10" t="e">
        <f t="shared" si="0"/>
        <v>#VALUE!</v>
      </c>
      <c r="L446" s="10">
        <f t="shared" si="1"/>
        <v>0</v>
      </c>
      <c r="M446" s="10" t="str">
        <f t="shared" si="2"/>
        <v xml:space="preserve">AN </v>
      </c>
      <c r="N446" s="10" t="str">
        <f t="shared" si="3"/>
        <v>S 0</v>
      </c>
      <c r="O446" s="10" t="str">
        <f t="shared" si="9"/>
        <v/>
      </c>
    </row>
    <row r="447" spans="1:15" ht="12.5">
      <c r="A447" s="115" t="s">
        <v>4140</v>
      </c>
      <c r="B447" s="5">
        <v>2</v>
      </c>
      <c r="C447" s="5">
        <v>61</v>
      </c>
      <c r="D447" s="5">
        <v>4</v>
      </c>
      <c r="E447" s="5">
        <v>90</v>
      </c>
      <c r="F447" s="5">
        <v>4</v>
      </c>
      <c r="G447" s="5">
        <v>200400</v>
      </c>
      <c r="H447" s="5" t="s">
        <v>3990</v>
      </c>
      <c r="I447" s="5" t="s">
        <v>4087</v>
      </c>
      <c r="J447" s="5" t="s">
        <v>4141</v>
      </c>
      <c r="K447" s="10" t="e">
        <f t="shared" si="0"/>
        <v>#VALUE!</v>
      </c>
      <c r="L447" s="10">
        <f t="shared" si="1"/>
        <v>0</v>
      </c>
      <c r="M447" s="10" t="str">
        <f t="shared" si="2"/>
        <v xml:space="preserve">AN </v>
      </c>
      <c r="N447" s="10" t="str">
        <f t="shared" si="3"/>
        <v>S 0</v>
      </c>
      <c r="O447" s="10" t="str">
        <f t="shared" si="9"/>
        <v/>
      </c>
    </row>
    <row r="448" spans="1:15" ht="12.5">
      <c r="A448" s="115" t="s">
        <v>4142</v>
      </c>
      <c r="B448" s="5">
        <v>0</v>
      </c>
      <c r="C448" s="5">
        <v>61</v>
      </c>
      <c r="D448" s="5">
        <v>4</v>
      </c>
      <c r="E448" s="5">
        <v>90</v>
      </c>
      <c r="F448" s="5">
        <v>5</v>
      </c>
      <c r="G448" s="5">
        <v>100</v>
      </c>
      <c r="H448" s="5" t="s">
        <v>3990</v>
      </c>
      <c r="I448" s="5" t="s">
        <v>4143</v>
      </c>
      <c r="J448" s="5" t="s">
        <v>4144</v>
      </c>
      <c r="K448" s="10" t="e">
        <f t="shared" si="0"/>
        <v>#VALUE!</v>
      </c>
      <c r="L448" s="10">
        <f t="shared" si="1"/>
        <v>1</v>
      </c>
      <c r="M448" s="10" t="str">
        <f t="shared" si="2"/>
        <v>001</v>
      </c>
      <c r="N448" s="10" t="str">
        <f t="shared" si="3"/>
        <v>01</v>
      </c>
      <c r="O448" s="10" t="str">
        <f t="shared" ref="O448:O463" si="10">TRIM(MID(J448,20,20))</f>
        <v>UTARA</v>
      </c>
    </row>
    <row r="449" spans="1:15" ht="12.5">
      <c r="A449" s="115" t="s">
        <v>4145</v>
      </c>
      <c r="B449" s="5">
        <v>0</v>
      </c>
      <c r="C449" s="5">
        <v>61</v>
      </c>
      <c r="D449" s="5">
        <v>4</v>
      </c>
      <c r="E449" s="5">
        <v>90</v>
      </c>
      <c r="F449" s="5">
        <v>5</v>
      </c>
      <c r="G449" s="5">
        <v>200</v>
      </c>
      <c r="H449" s="5" t="s">
        <v>3990</v>
      </c>
      <c r="I449" s="5" t="s">
        <v>4143</v>
      </c>
      <c r="J449" s="5" t="s">
        <v>4146</v>
      </c>
      <c r="K449" s="10" t="e">
        <f t="shared" si="0"/>
        <v>#VALUE!</v>
      </c>
      <c r="L449" s="10">
        <f t="shared" si="1"/>
        <v>1</v>
      </c>
      <c r="M449" s="10" t="str">
        <f t="shared" si="2"/>
        <v>002</v>
      </c>
      <c r="N449" s="10" t="str">
        <f t="shared" si="3"/>
        <v>01</v>
      </c>
      <c r="O449" s="10" t="str">
        <f t="shared" si="10"/>
        <v>UTARA</v>
      </c>
    </row>
    <row r="450" spans="1:15" ht="12.5">
      <c r="A450" s="115" t="s">
        <v>4147</v>
      </c>
      <c r="B450" s="5">
        <v>0</v>
      </c>
      <c r="C450" s="5">
        <v>61</v>
      </c>
      <c r="D450" s="5">
        <v>4</v>
      </c>
      <c r="E450" s="5">
        <v>90</v>
      </c>
      <c r="F450" s="5">
        <v>5</v>
      </c>
      <c r="G450" s="5">
        <v>300</v>
      </c>
      <c r="H450" s="5" t="s">
        <v>3990</v>
      </c>
      <c r="I450" s="5" t="s">
        <v>4143</v>
      </c>
      <c r="J450" s="5" t="s">
        <v>4148</v>
      </c>
      <c r="K450" s="10" t="e">
        <f t="shared" si="0"/>
        <v>#VALUE!</v>
      </c>
      <c r="L450" s="10">
        <f t="shared" si="1"/>
        <v>1</v>
      </c>
      <c r="M450" s="10" t="str">
        <f t="shared" si="2"/>
        <v>003</v>
      </c>
      <c r="N450" s="10" t="str">
        <f t="shared" si="3"/>
        <v>01</v>
      </c>
      <c r="O450" s="10" t="str">
        <f t="shared" si="10"/>
        <v>UTARA</v>
      </c>
    </row>
    <row r="451" spans="1:15" ht="12.5">
      <c r="A451" s="115" t="s">
        <v>4149</v>
      </c>
      <c r="B451" s="5">
        <v>0</v>
      </c>
      <c r="C451" s="5">
        <v>61</v>
      </c>
      <c r="D451" s="5">
        <v>4</v>
      </c>
      <c r="E451" s="5">
        <v>90</v>
      </c>
      <c r="F451" s="5">
        <v>5</v>
      </c>
      <c r="G451" s="5">
        <v>400</v>
      </c>
      <c r="H451" s="5" t="s">
        <v>3990</v>
      </c>
      <c r="I451" s="5" t="s">
        <v>4143</v>
      </c>
      <c r="J451" s="5" t="s">
        <v>4150</v>
      </c>
      <c r="K451" s="10" t="e">
        <f t="shared" si="0"/>
        <v>#VALUE!</v>
      </c>
      <c r="L451" s="10">
        <f t="shared" si="1"/>
        <v>1</v>
      </c>
      <c r="M451" s="10" t="str">
        <f t="shared" si="2"/>
        <v>004</v>
      </c>
      <c r="N451" s="10" t="str">
        <f t="shared" si="3"/>
        <v>02</v>
      </c>
      <c r="O451" s="10" t="str">
        <f t="shared" si="10"/>
        <v>HILIR</v>
      </c>
    </row>
    <row r="452" spans="1:15" ht="12.5">
      <c r="A452" s="115" t="s">
        <v>4151</v>
      </c>
      <c r="B452" s="5">
        <v>0</v>
      </c>
      <c r="C452" s="5">
        <v>61</v>
      </c>
      <c r="D452" s="5">
        <v>4</v>
      </c>
      <c r="E452" s="5">
        <v>90</v>
      </c>
      <c r="F452" s="5">
        <v>5</v>
      </c>
      <c r="G452" s="5">
        <v>500</v>
      </c>
      <c r="H452" s="5" t="s">
        <v>3990</v>
      </c>
      <c r="I452" s="5" t="s">
        <v>4143</v>
      </c>
      <c r="J452" s="5" t="s">
        <v>4152</v>
      </c>
      <c r="K452" s="10" t="e">
        <f t="shared" si="0"/>
        <v>#VALUE!</v>
      </c>
      <c r="L452" s="10">
        <f t="shared" si="1"/>
        <v>1</v>
      </c>
      <c r="M452" s="10" t="str">
        <f t="shared" si="2"/>
        <v>005</v>
      </c>
      <c r="N452" s="10" t="str">
        <f t="shared" si="3"/>
        <v>02</v>
      </c>
      <c r="O452" s="10" t="str">
        <f t="shared" si="10"/>
        <v>HILIR</v>
      </c>
    </row>
    <row r="453" spans="1:15" ht="12.5">
      <c r="A453" s="115" t="s">
        <v>4153</v>
      </c>
      <c r="B453" s="5">
        <v>0</v>
      </c>
      <c r="C453" s="5">
        <v>61</v>
      </c>
      <c r="D453" s="5">
        <v>4</v>
      </c>
      <c r="E453" s="5">
        <v>90</v>
      </c>
      <c r="F453" s="5">
        <v>5</v>
      </c>
      <c r="G453" s="5">
        <v>600</v>
      </c>
      <c r="H453" s="5" t="s">
        <v>3990</v>
      </c>
      <c r="I453" s="5" t="s">
        <v>4143</v>
      </c>
      <c r="J453" s="5" t="s">
        <v>4154</v>
      </c>
      <c r="K453" s="10" t="e">
        <f t="shared" si="0"/>
        <v>#VALUE!</v>
      </c>
      <c r="L453" s="10">
        <f t="shared" si="1"/>
        <v>1</v>
      </c>
      <c r="M453" s="10" t="str">
        <f t="shared" si="2"/>
        <v>006</v>
      </c>
      <c r="N453" s="10" t="str">
        <f t="shared" si="3"/>
        <v>03</v>
      </c>
      <c r="O453" s="10" t="str">
        <f t="shared" si="10"/>
        <v>TENGAH</v>
      </c>
    </row>
    <row r="454" spans="1:15" ht="12.5">
      <c r="A454" s="115" t="s">
        <v>4155</v>
      </c>
      <c r="B454" s="5">
        <v>0</v>
      </c>
      <c r="C454" s="5">
        <v>61</v>
      </c>
      <c r="D454" s="5">
        <v>4</v>
      </c>
      <c r="E454" s="5">
        <v>90</v>
      </c>
      <c r="F454" s="5">
        <v>5</v>
      </c>
      <c r="G454" s="5">
        <v>700</v>
      </c>
      <c r="H454" s="5" t="s">
        <v>3990</v>
      </c>
      <c r="I454" s="5" t="s">
        <v>4143</v>
      </c>
      <c r="J454" s="5" t="s">
        <v>4156</v>
      </c>
      <c r="K454" s="10" t="e">
        <f t="shared" si="0"/>
        <v>#VALUE!</v>
      </c>
      <c r="L454" s="10">
        <f t="shared" si="1"/>
        <v>1</v>
      </c>
      <c r="M454" s="10" t="str">
        <f t="shared" si="2"/>
        <v>007</v>
      </c>
      <c r="N454" s="10" t="str">
        <f t="shared" si="3"/>
        <v>03</v>
      </c>
      <c r="O454" s="10" t="str">
        <f t="shared" si="10"/>
        <v>TENGAH</v>
      </c>
    </row>
    <row r="455" spans="1:15" ht="12.5">
      <c r="A455" s="115" t="s">
        <v>4157</v>
      </c>
      <c r="B455" s="5">
        <v>0</v>
      </c>
      <c r="C455" s="5">
        <v>61</v>
      </c>
      <c r="D455" s="5">
        <v>4</v>
      </c>
      <c r="E455" s="5">
        <v>90</v>
      </c>
      <c r="F455" s="5">
        <v>5</v>
      </c>
      <c r="G455" s="5">
        <v>800</v>
      </c>
      <c r="H455" s="5" t="s">
        <v>3990</v>
      </c>
      <c r="I455" s="5" t="s">
        <v>4143</v>
      </c>
      <c r="J455" s="5" t="s">
        <v>4158</v>
      </c>
      <c r="K455" s="10" t="e">
        <f t="shared" si="0"/>
        <v>#VALUE!</v>
      </c>
      <c r="L455" s="10">
        <f t="shared" si="1"/>
        <v>1</v>
      </c>
      <c r="M455" s="10" t="str">
        <f t="shared" si="2"/>
        <v>008</v>
      </c>
      <c r="N455" s="10" t="str">
        <f t="shared" si="3"/>
        <v>03</v>
      </c>
      <c r="O455" s="10" t="str">
        <f t="shared" si="10"/>
        <v>TENGAH</v>
      </c>
    </row>
    <row r="456" spans="1:15" ht="12.5">
      <c r="A456" s="115" t="s">
        <v>4159</v>
      </c>
      <c r="B456" s="5">
        <v>0</v>
      </c>
      <c r="C456" s="5">
        <v>61</v>
      </c>
      <c r="D456" s="5">
        <v>4</v>
      </c>
      <c r="E456" s="5">
        <v>90</v>
      </c>
      <c r="F456" s="5">
        <v>5</v>
      </c>
      <c r="G456" s="5">
        <v>900</v>
      </c>
      <c r="H456" s="5" t="s">
        <v>3990</v>
      </c>
      <c r="I456" s="5" t="s">
        <v>4143</v>
      </c>
      <c r="J456" s="5" t="s">
        <v>4160</v>
      </c>
      <c r="K456" s="10" t="e">
        <f t="shared" si="0"/>
        <v>#VALUE!</v>
      </c>
      <c r="L456" s="10">
        <f t="shared" si="1"/>
        <v>1</v>
      </c>
      <c r="M456" s="10" t="str">
        <f t="shared" si="2"/>
        <v>009</v>
      </c>
      <c r="N456" s="10" t="str">
        <f t="shared" si="3"/>
        <v>04</v>
      </c>
      <c r="O456" s="10" t="str">
        <f t="shared" si="10"/>
        <v>SELATAN</v>
      </c>
    </row>
    <row r="457" spans="1:15" ht="12.5">
      <c r="A457" s="115" t="s">
        <v>4161</v>
      </c>
      <c r="B457" s="5">
        <v>0</v>
      </c>
      <c r="C457" s="5">
        <v>61</v>
      </c>
      <c r="D457" s="5">
        <v>4</v>
      </c>
      <c r="E457" s="5">
        <v>90</v>
      </c>
      <c r="F457" s="5">
        <v>5</v>
      </c>
      <c r="G457" s="5">
        <v>1000</v>
      </c>
      <c r="H457" s="5" t="s">
        <v>3990</v>
      </c>
      <c r="I457" s="5" t="s">
        <v>4143</v>
      </c>
      <c r="J457" s="5" t="s">
        <v>4162</v>
      </c>
      <c r="K457" s="10" t="e">
        <f t="shared" si="0"/>
        <v>#VALUE!</v>
      </c>
      <c r="L457" s="10">
        <f t="shared" si="1"/>
        <v>1</v>
      </c>
      <c r="M457" s="10" t="str">
        <f t="shared" si="2"/>
        <v>010</v>
      </c>
      <c r="N457" s="10" t="str">
        <f t="shared" si="3"/>
        <v>04</v>
      </c>
      <c r="O457" s="10" t="str">
        <f t="shared" si="10"/>
        <v>SELATAN</v>
      </c>
    </row>
    <row r="458" spans="1:15" ht="12.5">
      <c r="A458" s="115" t="s">
        <v>4163</v>
      </c>
      <c r="B458" s="5">
        <v>0</v>
      </c>
      <c r="C458" s="5">
        <v>61</v>
      </c>
      <c r="D458" s="5">
        <v>4</v>
      </c>
      <c r="E458" s="5">
        <v>90</v>
      </c>
      <c r="F458" s="5">
        <v>5</v>
      </c>
      <c r="G458" s="5">
        <v>1100</v>
      </c>
      <c r="H458" s="5" t="s">
        <v>3990</v>
      </c>
      <c r="I458" s="5" t="s">
        <v>4143</v>
      </c>
      <c r="J458" s="5" t="s">
        <v>4164</v>
      </c>
      <c r="K458" s="10" t="e">
        <f t="shared" si="0"/>
        <v>#VALUE!</v>
      </c>
      <c r="L458" s="10">
        <f t="shared" si="1"/>
        <v>1</v>
      </c>
      <c r="M458" s="10" t="str">
        <f t="shared" si="2"/>
        <v>011</v>
      </c>
      <c r="N458" s="10" t="str">
        <f t="shared" si="3"/>
        <v>04</v>
      </c>
      <c r="O458" s="10" t="str">
        <f t="shared" si="10"/>
        <v>SELATAN</v>
      </c>
    </row>
    <row r="459" spans="1:15" ht="12.5">
      <c r="A459" s="115" t="s">
        <v>4165</v>
      </c>
      <c r="B459" s="5">
        <v>0</v>
      </c>
      <c r="C459" s="5">
        <v>61</v>
      </c>
      <c r="D459" s="5">
        <v>4</v>
      </c>
      <c r="E459" s="5">
        <v>90</v>
      </c>
      <c r="F459" s="5">
        <v>5</v>
      </c>
      <c r="G459" s="5">
        <v>1200</v>
      </c>
      <c r="H459" s="5" t="s">
        <v>3990</v>
      </c>
      <c r="I459" s="5" t="s">
        <v>4143</v>
      </c>
      <c r="J459" s="5" t="s">
        <v>4166</v>
      </c>
      <c r="K459" s="10" t="e">
        <f t="shared" si="0"/>
        <v>#VALUE!</v>
      </c>
      <c r="L459" s="10">
        <f t="shared" si="1"/>
        <v>1</v>
      </c>
      <c r="M459" s="10" t="str">
        <f t="shared" si="2"/>
        <v>012</v>
      </c>
      <c r="N459" s="10" t="str">
        <f t="shared" si="3"/>
        <v>04</v>
      </c>
      <c r="O459" s="10" t="str">
        <f t="shared" si="10"/>
        <v>SELATAN</v>
      </c>
    </row>
    <row r="460" spans="1:15" ht="12.5">
      <c r="A460" s="115" t="s">
        <v>4167</v>
      </c>
      <c r="B460" s="5">
        <v>0</v>
      </c>
      <c r="C460" s="5">
        <v>61</v>
      </c>
      <c r="D460" s="5">
        <v>4</v>
      </c>
      <c r="E460" s="5">
        <v>90</v>
      </c>
      <c r="F460" s="5">
        <v>5</v>
      </c>
      <c r="G460" s="5">
        <v>1300</v>
      </c>
      <c r="H460" s="5" t="s">
        <v>3990</v>
      </c>
      <c r="I460" s="5" t="s">
        <v>4143</v>
      </c>
      <c r="J460" s="5" t="s">
        <v>4168</v>
      </c>
      <c r="K460" s="10" t="e">
        <f t="shared" si="0"/>
        <v>#VALUE!</v>
      </c>
      <c r="L460" s="10">
        <f t="shared" si="1"/>
        <v>1</v>
      </c>
      <c r="M460" s="10" t="str">
        <f t="shared" si="2"/>
        <v>013</v>
      </c>
      <c r="N460" s="10" t="str">
        <f t="shared" si="3"/>
        <v>03</v>
      </c>
      <c r="O460" s="10" t="str">
        <f t="shared" si="10"/>
        <v>TENGAH</v>
      </c>
    </row>
    <row r="461" spans="1:15" ht="12.5">
      <c r="A461" s="115" t="s">
        <v>4169</v>
      </c>
      <c r="B461" s="5">
        <v>0</v>
      </c>
      <c r="C461" s="5">
        <v>61</v>
      </c>
      <c r="D461" s="5">
        <v>4</v>
      </c>
      <c r="E461" s="5">
        <v>90</v>
      </c>
      <c r="F461" s="5">
        <v>5</v>
      </c>
      <c r="G461" s="5">
        <v>1400</v>
      </c>
      <c r="H461" s="5" t="s">
        <v>3990</v>
      </c>
      <c r="I461" s="5" t="s">
        <v>4143</v>
      </c>
      <c r="J461" s="5" t="s">
        <v>4170</v>
      </c>
      <c r="K461" s="10" t="e">
        <f t="shared" si="0"/>
        <v>#VALUE!</v>
      </c>
      <c r="L461" s="10">
        <f t="shared" si="1"/>
        <v>1</v>
      </c>
      <c r="M461" s="10" t="str">
        <f t="shared" si="2"/>
        <v>014</v>
      </c>
      <c r="N461" s="10" t="str">
        <f t="shared" si="3"/>
        <v>03</v>
      </c>
      <c r="O461" s="10" t="str">
        <f t="shared" si="10"/>
        <v>TENGAH</v>
      </c>
    </row>
    <row r="462" spans="1:15" ht="12.5">
      <c r="A462" s="115" t="s">
        <v>4171</v>
      </c>
      <c r="B462" s="5">
        <v>0</v>
      </c>
      <c r="C462" s="5">
        <v>61</v>
      </c>
      <c r="D462" s="5">
        <v>4</v>
      </c>
      <c r="E462" s="5">
        <v>90</v>
      </c>
      <c r="F462" s="5">
        <v>5</v>
      </c>
      <c r="G462" s="5">
        <v>1500</v>
      </c>
      <c r="H462" s="5" t="s">
        <v>3990</v>
      </c>
      <c r="I462" s="5" t="s">
        <v>4143</v>
      </c>
      <c r="J462" s="5" t="s">
        <v>4172</v>
      </c>
      <c r="K462" s="10" t="e">
        <f t="shared" si="0"/>
        <v>#VALUE!</v>
      </c>
      <c r="L462" s="10">
        <f t="shared" si="1"/>
        <v>1</v>
      </c>
      <c r="M462" s="10" t="str">
        <f t="shared" si="2"/>
        <v>015</v>
      </c>
      <c r="N462" s="10" t="str">
        <f t="shared" si="3"/>
        <v>02</v>
      </c>
      <c r="O462" s="10" t="str">
        <f t="shared" si="10"/>
        <v>HILIR</v>
      </c>
    </row>
    <row r="463" spans="1:15" ht="12.5">
      <c r="A463" s="115" t="s">
        <v>4173</v>
      </c>
      <c r="B463" s="5">
        <v>0</v>
      </c>
      <c r="C463" s="5">
        <v>61</v>
      </c>
      <c r="D463" s="5">
        <v>4</v>
      </c>
      <c r="E463" s="5">
        <v>90</v>
      </c>
      <c r="F463" s="5">
        <v>5</v>
      </c>
      <c r="G463" s="5">
        <v>1600</v>
      </c>
      <c r="H463" s="5" t="s">
        <v>3990</v>
      </c>
      <c r="I463" s="5" t="s">
        <v>4143</v>
      </c>
      <c r="J463" s="5" t="s">
        <v>4174</v>
      </c>
      <c r="K463" s="10" t="e">
        <f t="shared" si="0"/>
        <v>#VALUE!</v>
      </c>
      <c r="L463" s="10">
        <f t="shared" si="1"/>
        <v>1</v>
      </c>
      <c r="M463" s="10" t="str">
        <f t="shared" si="2"/>
        <v>016</v>
      </c>
      <c r="N463" s="10" t="str">
        <f t="shared" si="3"/>
        <v>01</v>
      </c>
      <c r="O463" s="10" t="str">
        <f t="shared" si="10"/>
        <v>UTARA</v>
      </c>
    </row>
    <row r="464" spans="1:15" ht="12.5">
      <c r="A464" s="115" t="s">
        <v>4175</v>
      </c>
      <c r="B464" s="5">
        <v>1</v>
      </c>
      <c r="C464" s="5">
        <v>61</v>
      </c>
      <c r="D464" s="5">
        <v>4</v>
      </c>
      <c r="E464" s="5">
        <v>90</v>
      </c>
      <c r="F464" s="5">
        <v>5</v>
      </c>
      <c r="G464" s="5">
        <v>100100</v>
      </c>
      <c r="H464" s="5" t="s">
        <v>3990</v>
      </c>
      <c r="I464" s="5" t="s">
        <v>4143</v>
      </c>
      <c r="J464" s="5" t="s">
        <v>4176</v>
      </c>
      <c r="K464" s="10" t="e">
        <f t="shared" si="0"/>
        <v>#VALUE!</v>
      </c>
      <c r="L464" s="10">
        <f t="shared" si="1"/>
        <v>0</v>
      </c>
      <c r="M464" s="10" t="str">
        <f t="shared" si="2"/>
        <v xml:space="preserve">UN </v>
      </c>
      <c r="N464" s="10" t="str">
        <f t="shared" si="3"/>
        <v>T D</v>
      </c>
      <c r="O464" s="10" t="str">
        <f>TRIM(MID(J464,20,10))</f>
        <v>10P</v>
      </c>
    </row>
    <row r="465" spans="1:15" ht="12.5">
      <c r="A465" s="115" t="s">
        <v>4177</v>
      </c>
      <c r="B465" s="5">
        <v>0</v>
      </c>
      <c r="C465" s="5">
        <v>61</v>
      </c>
      <c r="D465" s="5">
        <v>4</v>
      </c>
      <c r="E465" s="5">
        <v>90</v>
      </c>
      <c r="F465" s="5">
        <v>8</v>
      </c>
      <c r="G465" s="5">
        <v>100</v>
      </c>
      <c r="H465" s="5" t="s">
        <v>3990</v>
      </c>
      <c r="I465" s="5" t="s">
        <v>4178</v>
      </c>
      <c r="J465" s="5" t="s">
        <v>4179</v>
      </c>
      <c r="K465" s="10" t="e">
        <f t="shared" si="0"/>
        <v>#VALUE!</v>
      </c>
      <c r="L465" s="10">
        <f t="shared" si="1"/>
        <v>1</v>
      </c>
      <c r="M465" s="10" t="str">
        <f t="shared" si="2"/>
        <v>001</v>
      </c>
      <c r="N465" s="10" t="str">
        <f t="shared" si="3"/>
        <v>01</v>
      </c>
      <c r="O465" s="10" t="str">
        <f t="shared" ref="O465:O473" si="11">TRIM(MID(J465,20,20))</f>
        <v>TIMUR</v>
      </c>
    </row>
    <row r="466" spans="1:15" ht="12.5">
      <c r="A466" s="115" t="s">
        <v>4180</v>
      </c>
      <c r="B466" s="5">
        <v>0</v>
      </c>
      <c r="C466" s="5">
        <v>61</v>
      </c>
      <c r="D466" s="5">
        <v>4</v>
      </c>
      <c r="E466" s="5">
        <v>90</v>
      </c>
      <c r="F466" s="5">
        <v>8</v>
      </c>
      <c r="G466" s="5">
        <v>200</v>
      </c>
      <c r="H466" s="5" t="s">
        <v>3990</v>
      </c>
      <c r="I466" s="5" t="s">
        <v>4178</v>
      </c>
      <c r="J466" s="5" t="s">
        <v>4181</v>
      </c>
      <c r="K466" s="10" t="e">
        <f t="shared" si="0"/>
        <v>#VALUE!</v>
      </c>
      <c r="L466" s="10">
        <f t="shared" si="1"/>
        <v>1</v>
      </c>
      <c r="M466" s="10" t="str">
        <f t="shared" si="2"/>
        <v>002</v>
      </c>
      <c r="N466" s="10" t="str">
        <f t="shared" si="3"/>
        <v>01</v>
      </c>
      <c r="O466" s="10" t="str">
        <f t="shared" si="11"/>
        <v>TIMUR</v>
      </c>
    </row>
    <row r="467" spans="1:15" ht="12.5">
      <c r="A467" s="115" t="s">
        <v>4182</v>
      </c>
      <c r="B467" s="5">
        <v>0</v>
      </c>
      <c r="C467" s="5">
        <v>61</v>
      </c>
      <c r="D467" s="5">
        <v>4</v>
      </c>
      <c r="E467" s="5">
        <v>90</v>
      </c>
      <c r="F467" s="5">
        <v>8</v>
      </c>
      <c r="G467" s="5">
        <v>300</v>
      </c>
      <c r="H467" s="5" t="s">
        <v>3990</v>
      </c>
      <c r="I467" s="5" t="s">
        <v>4178</v>
      </c>
      <c r="J467" s="5" t="s">
        <v>4183</v>
      </c>
      <c r="K467" s="10" t="e">
        <f t="shared" si="0"/>
        <v>#VALUE!</v>
      </c>
      <c r="L467" s="10">
        <f t="shared" si="1"/>
        <v>1</v>
      </c>
      <c r="M467" s="10" t="str">
        <f t="shared" si="2"/>
        <v>003</v>
      </c>
      <c r="N467" s="10" t="str">
        <f t="shared" si="3"/>
        <v>02</v>
      </c>
      <c r="O467" s="10" t="str">
        <f t="shared" si="11"/>
        <v>TIMUR</v>
      </c>
    </row>
    <row r="468" spans="1:15" ht="12.5">
      <c r="A468" s="115" t="s">
        <v>4184</v>
      </c>
      <c r="B468" s="5">
        <v>0</v>
      </c>
      <c r="C468" s="5">
        <v>61</v>
      </c>
      <c r="D468" s="5">
        <v>4</v>
      </c>
      <c r="E468" s="5">
        <v>90</v>
      </c>
      <c r="F468" s="5">
        <v>8</v>
      </c>
      <c r="G468" s="5">
        <v>400</v>
      </c>
      <c r="H468" s="5" t="s">
        <v>3990</v>
      </c>
      <c r="I468" s="5" t="s">
        <v>4178</v>
      </c>
      <c r="J468" s="5" t="s">
        <v>4185</v>
      </c>
      <c r="K468" s="10" t="e">
        <f t="shared" si="0"/>
        <v>#VALUE!</v>
      </c>
      <c r="L468" s="10">
        <f t="shared" si="1"/>
        <v>1</v>
      </c>
      <c r="M468" s="10" t="str">
        <f t="shared" si="2"/>
        <v>004</v>
      </c>
      <c r="N468" s="10" t="str">
        <f t="shared" si="3"/>
        <v>02</v>
      </c>
      <c r="O468" s="10" t="str">
        <f t="shared" si="11"/>
        <v>TIMUR</v>
      </c>
    </row>
    <row r="469" spans="1:15" ht="12.5">
      <c r="A469" s="115" t="s">
        <v>4186</v>
      </c>
      <c r="B469" s="5">
        <v>0</v>
      </c>
      <c r="C469" s="5">
        <v>61</v>
      </c>
      <c r="D469" s="5">
        <v>4</v>
      </c>
      <c r="E469" s="5">
        <v>90</v>
      </c>
      <c r="F469" s="5">
        <v>8</v>
      </c>
      <c r="G469" s="5">
        <v>500</v>
      </c>
      <c r="H469" s="5" t="s">
        <v>3990</v>
      </c>
      <c r="I469" s="5" t="s">
        <v>4178</v>
      </c>
      <c r="J469" s="5" t="s">
        <v>4187</v>
      </c>
      <c r="K469" s="10" t="e">
        <f t="shared" si="0"/>
        <v>#VALUE!</v>
      </c>
      <c r="L469" s="10">
        <f t="shared" si="1"/>
        <v>1</v>
      </c>
      <c r="M469" s="10" t="str">
        <f t="shared" si="2"/>
        <v>005</v>
      </c>
      <c r="N469" s="10" t="str">
        <f t="shared" si="3"/>
        <v>02</v>
      </c>
      <c r="O469" s="10" t="str">
        <f t="shared" si="11"/>
        <v>BARAT</v>
      </c>
    </row>
    <row r="470" spans="1:15" ht="12.5">
      <c r="A470" s="115" t="s">
        <v>4188</v>
      </c>
      <c r="B470" s="5">
        <v>0</v>
      </c>
      <c r="C470" s="5">
        <v>61</v>
      </c>
      <c r="D470" s="5">
        <v>4</v>
      </c>
      <c r="E470" s="5">
        <v>90</v>
      </c>
      <c r="F470" s="5">
        <v>8</v>
      </c>
      <c r="G470" s="5">
        <v>600</v>
      </c>
      <c r="H470" s="5" t="s">
        <v>3990</v>
      </c>
      <c r="I470" s="5" t="s">
        <v>4178</v>
      </c>
      <c r="J470" s="5" t="s">
        <v>4189</v>
      </c>
      <c r="K470" s="10" t="e">
        <f t="shared" si="0"/>
        <v>#VALUE!</v>
      </c>
      <c r="L470" s="10">
        <f t="shared" si="1"/>
        <v>1</v>
      </c>
      <c r="M470" s="10" t="str">
        <f t="shared" si="2"/>
        <v>006</v>
      </c>
      <c r="N470" s="10" t="str">
        <f t="shared" si="3"/>
        <v>03</v>
      </c>
      <c r="O470" s="10" t="str">
        <f t="shared" si="11"/>
        <v>BARAT</v>
      </c>
    </row>
    <row r="471" spans="1:15" ht="12.5">
      <c r="A471" s="115" t="s">
        <v>4190</v>
      </c>
      <c r="B471" s="5">
        <v>0</v>
      </c>
      <c r="C471" s="5">
        <v>61</v>
      </c>
      <c r="D471" s="5">
        <v>4</v>
      </c>
      <c r="E471" s="5">
        <v>90</v>
      </c>
      <c r="F471" s="5">
        <v>8</v>
      </c>
      <c r="G471" s="5">
        <v>700</v>
      </c>
      <c r="H471" s="5" t="s">
        <v>3990</v>
      </c>
      <c r="I471" s="5" t="s">
        <v>4178</v>
      </c>
      <c r="J471" s="5" t="s">
        <v>4191</v>
      </c>
      <c r="K471" s="10" t="e">
        <f t="shared" si="0"/>
        <v>#VALUE!</v>
      </c>
      <c r="L471" s="10">
        <f t="shared" si="1"/>
        <v>1</v>
      </c>
      <c r="M471" s="10" t="str">
        <f t="shared" si="2"/>
        <v>007</v>
      </c>
      <c r="N471" s="10" t="str">
        <f t="shared" si="3"/>
        <v>03</v>
      </c>
      <c r="O471" s="10" t="str">
        <f t="shared" si="11"/>
        <v>BARAT</v>
      </c>
    </row>
    <row r="472" spans="1:15" ht="12.5">
      <c r="A472" s="115" t="s">
        <v>4192</v>
      </c>
      <c r="B472" s="5">
        <v>0</v>
      </c>
      <c r="C472" s="5">
        <v>61</v>
      </c>
      <c r="D472" s="5">
        <v>4</v>
      </c>
      <c r="E472" s="5">
        <v>90</v>
      </c>
      <c r="F472" s="5">
        <v>8</v>
      </c>
      <c r="G472" s="5">
        <v>800</v>
      </c>
      <c r="H472" s="5" t="s">
        <v>3990</v>
      </c>
      <c r="I472" s="5" t="s">
        <v>4178</v>
      </c>
      <c r="J472" s="5" t="s">
        <v>4193</v>
      </c>
      <c r="K472" s="10" t="e">
        <f t="shared" si="0"/>
        <v>#VALUE!</v>
      </c>
      <c r="L472" s="10">
        <f t="shared" si="1"/>
        <v>1</v>
      </c>
      <c r="M472" s="10" t="str">
        <f t="shared" si="2"/>
        <v>008</v>
      </c>
      <c r="N472" s="10" t="str">
        <f t="shared" si="3"/>
        <v>04</v>
      </c>
      <c r="O472" s="10" t="str">
        <f t="shared" si="11"/>
        <v>BARAT</v>
      </c>
    </row>
    <row r="473" spans="1:15" ht="12.5">
      <c r="A473" s="115" t="s">
        <v>4194</v>
      </c>
      <c r="B473" s="5">
        <v>0</v>
      </c>
      <c r="C473" s="5">
        <v>61</v>
      </c>
      <c r="D473" s="5">
        <v>4</v>
      </c>
      <c r="E473" s="5">
        <v>90</v>
      </c>
      <c r="F473" s="5">
        <v>8</v>
      </c>
      <c r="G473" s="5">
        <v>900</v>
      </c>
      <c r="H473" s="5" t="s">
        <v>3990</v>
      </c>
      <c r="I473" s="5" t="s">
        <v>4178</v>
      </c>
      <c r="J473" s="5" t="s">
        <v>4195</v>
      </c>
      <c r="K473" s="10" t="e">
        <f t="shared" si="0"/>
        <v>#VALUE!</v>
      </c>
      <c r="L473" s="10">
        <f t="shared" si="1"/>
        <v>1</v>
      </c>
      <c r="M473" s="10" t="str">
        <f t="shared" si="2"/>
        <v>009</v>
      </c>
      <c r="N473" s="10" t="str">
        <f t="shared" si="3"/>
        <v>04</v>
      </c>
      <c r="O473" s="10" t="str">
        <f t="shared" si="11"/>
        <v>BARAT</v>
      </c>
    </row>
    <row r="474" spans="1:15" ht="12.5">
      <c r="A474" s="115" t="s">
        <v>4196</v>
      </c>
      <c r="B474" s="5">
        <v>1</v>
      </c>
      <c r="C474" s="5">
        <v>61</v>
      </c>
      <c r="D474" s="5">
        <v>4</v>
      </c>
      <c r="E474" s="5">
        <v>90</v>
      </c>
      <c r="F474" s="5">
        <v>8</v>
      </c>
      <c r="G474" s="5">
        <v>100100</v>
      </c>
      <c r="H474" s="5" t="s">
        <v>3990</v>
      </c>
      <c r="I474" s="5" t="s">
        <v>4178</v>
      </c>
      <c r="J474" s="5" t="s">
        <v>3513</v>
      </c>
      <c r="K474" s="10" t="e">
        <f t="shared" si="0"/>
        <v>#VALUE!</v>
      </c>
      <c r="L474" s="10">
        <f t="shared" si="1"/>
        <v>0</v>
      </c>
      <c r="M474" s="10" t="str">
        <f t="shared" si="2"/>
        <v xml:space="preserve">UN </v>
      </c>
      <c r="N474" s="10" t="str">
        <f t="shared" si="3"/>
        <v>T</v>
      </c>
      <c r="O474" s="10" t="str">
        <f>TRIM(MID(J474,20,10))</f>
        <v/>
      </c>
    </row>
    <row r="475" spans="1:15" ht="12.5">
      <c r="A475" s="115" t="s">
        <v>4197</v>
      </c>
      <c r="B475" s="5">
        <v>0</v>
      </c>
      <c r="C475" s="5">
        <v>61</v>
      </c>
      <c r="D475" s="5">
        <v>4</v>
      </c>
      <c r="E475" s="5">
        <v>90</v>
      </c>
      <c r="F475" s="5">
        <v>9</v>
      </c>
      <c r="G475" s="5">
        <v>100</v>
      </c>
      <c r="H475" s="5" t="s">
        <v>3990</v>
      </c>
      <c r="I475" s="5" t="s">
        <v>3990</v>
      </c>
      <c r="J475" s="5" t="s">
        <v>4198</v>
      </c>
      <c r="K475" s="10" t="e">
        <f t="shared" si="0"/>
        <v>#VALUE!</v>
      </c>
      <c r="L475" s="10">
        <f t="shared" si="1"/>
        <v>1</v>
      </c>
      <c r="M475" s="10" t="str">
        <f t="shared" si="2"/>
        <v>001</v>
      </c>
      <c r="N475" s="10" t="str">
        <f t="shared" si="3"/>
        <v>001</v>
      </c>
      <c r="O475" s="10" t="str">
        <f t="shared" ref="O475:O541" si="12">TRIM(MID(J475,20,20))</f>
        <v/>
      </c>
    </row>
    <row r="476" spans="1:15" ht="12.5">
      <c r="A476" s="115" t="s">
        <v>4199</v>
      </c>
      <c r="B476" s="5">
        <v>0</v>
      </c>
      <c r="C476" s="5">
        <v>61</v>
      </c>
      <c r="D476" s="5">
        <v>4</v>
      </c>
      <c r="E476" s="5">
        <v>90</v>
      </c>
      <c r="F476" s="5">
        <v>9</v>
      </c>
      <c r="G476" s="5">
        <v>200</v>
      </c>
      <c r="H476" s="5" t="s">
        <v>3990</v>
      </c>
      <c r="I476" s="5" t="s">
        <v>3990</v>
      </c>
      <c r="J476" s="5" t="s">
        <v>4200</v>
      </c>
      <c r="K476" s="10" t="e">
        <f t="shared" si="0"/>
        <v>#VALUE!</v>
      </c>
      <c r="L476" s="10">
        <f t="shared" si="1"/>
        <v>1</v>
      </c>
      <c r="M476" s="10" t="str">
        <f t="shared" si="2"/>
        <v>002</v>
      </c>
      <c r="N476" s="10" t="str">
        <f t="shared" si="3"/>
        <v>001</v>
      </c>
      <c r="O476" s="10" t="str">
        <f t="shared" si="12"/>
        <v/>
      </c>
    </row>
    <row r="477" spans="1:15" ht="12.5">
      <c r="A477" s="115" t="s">
        <v>4201</v>
      </c>
      <c r="B477" s="5">
        <v>0</v>
      </c>
      <c r="C477" s="5">
        <v>61</v>
      </c>
      <c r="D477" s="5">
        <v>4</v>
      </c>
      <c r="E477" s="5">
        <v>90</v>
      </c>
      <c r="F477" s="5">
        <v>9</v>
      </c>
      <c r="G477" s="5">
        <v>300</v>
      </c>
      <c r="H477" s="5" t="s">
        <v>3990</v>
      </c>
      <c r="I477" s="5" t="s">
        <v>3990</v>
      </c>
      <c r="J477" s="5" t="s">
        <v>4202</v>
      </c>
      <c r="K477" s="10" t="e">
        <f t="shared" si="0"/>
        <v>#VALUE!</v>
      </c>
      <c r="L477" s="10">
        <f t="shared" si="1"/>
        <v>1</v>
      </c>
      <c r="M477" s="10" t="str">
        <f t="shared" si="2"/>
        <v>003</v>
      </c>
      <c r="N477" s="10" t="str">
        <f t="shared" si="3"/>
        <v>001</v>
      </c>
      <c r="O477" s="10" t="str">
        <f t="shared" si="12"/>
        <v/>
      </c>
    </row>
    <row r="478" spans="1:15" ht="12.5">
      <c r="A478" s="115" t="s">
        <v>4203</v>
      </c>
      <c r="B478" s="5">
        <v>0</v>
      </c>
      <c r="C478" s="5">
        <v>61</v>
      </c>
      <c r="D478" s="5">
        <v>4</v>
      </c>
      <c r="E478" s="5">
        <v>90</v>
      </c>
      <c r="F478" s="5">
        <v>9</v>
      </c>
      <c r="G478" s="5">
        <v>400</v>
      </c>
      <c r="H478" s="5" t="s">
        <v>3990</v>
      </c>
      <c r="I478" s="5" t="s">
        <v>3990</v>
      </c>
      <c r="J478" s="5" t="s">
        <v>4204</v>
      </c>
      <c r="K478" s="10" t="e">
        <f t="shared" si="0"/>
        <v>#VALUE!</v>
      </c>
      <c r="L478" s="10">
        <f t="shared" si="1"/>
        <v>1</v>
      </c>
      <c r="M478" s="10" t="str">
        <f t="shared" si="2"/>
        <v>004</v>
      </c>
      <c r="N478" s="10" t="str">
        <f t="shared" si="3"/>
        <v>001</v>
      </c>
      <c r="O478" s="10" t="str">
        <f t="shared" si="12"/>
        <v/>
      </c>
    </row>
    <row r="479" spans="1:15" ht="12.5">
      <c r="A479" s="115" t="s">
        <v>4205</v>
      </c>
      <c r="B479" s="5">
        <v>0</v>
      </c>
      <c r="C479" s="5">
        <v>61</v>
      </c>
      <c r="D479" s="5">
        <v>4</v>
      </c>
      <c r="E479" s="5">
        <v>90</v>
      </c>
      <c r="F479" s="5">
        <v>9</v>
      </c>
      <c r="G479" s="5">
        <v>500</v>
      </c>
      <c r="H479" s="5" t="s">
        <v>3990</v>
      </c>
      <c r="I479" s="5" t="s">
        <v>3990</v>
      </c>
      <c r="J479" s="5" t="s">
        <v>4206</v>
      </c>
      <c r="K479" s="10" t="e">
        <f t="shared" si="0"/>
        <v>#VALUE!</v>
      </c>
      <c r="L479" s="10">
        <f t="shared" si="1"/>
        <v>1</v>
      </c>
      <c r="M479" s="10" t="str">
        <f t="shared" si="2"/>
        <v>005</v>
      </c>
      <c r="N479" s="10" t="str">
        <f t="shared" si="3"/>
        <v>001</v>
      </c>
      <c r="O479" s="10" t="str">
        <f t="shared" si="12"/>
        <v/>
      </c>
    </row>
    <row r="480" spans="1:15" ht="12.5">
      <c r="A480" s="115" t="s">
        <v>4207</v>
      </c>
      <c r="B480" s="5">
        <v>0</v>
      </c>
      <c r="C480" s="5">
        <v>61</v>
      </c>
      <c r="D480" s="5">
        <v>4</v>
      </c>
      <c r="E480" s="5">
        <v>90</v>
      </c>
      <c r="F480" s="5">
        <v>9</v>
      </c>
      <c r="G480" s="5">
        <v>600</v>
      </c>
      <c r="H480" s="5" t="s">
        <v>3990</v>
      </c>
      <c r="I480" s="5" t="s">
        <v>3990</v>
      </c>
      <c r="J480" s="5" t="s">
        <v>4208</v>
      </c>
      <c r="K480" s="10" t="e">
        <f t="shared" si="0"/>
        <v>#VALUE!</v>
      </c>
      <c r="L480" s="10">
        <f t="shared" si="1"/>
        <v>1</v>
      </c>
      <c r="M480" s="10" t="str">
        <f t="shared" si="2"/>
        <v>006</v>
      </c>
      <c r="N480" s="10" t="str">
        <f t="shared" si="3"/>
        <v>001</v>
      </c>
      <c r="O480" s="10" t="str">
        <f t="shared" si="12"/>
        <v/>
      </c>
    </row>
    <row r="481" spans="1:15" ht="12.5">
      <c r="A481" s="115" t="s">
        <v>4209</v>
      </c>
      <c r="B481" s="5">
        <v>0</v>
      </c>
      <c r="C481" s="5">
        <v>61</v>
      </c>
      <c r="D481" s="5">
        <v>4</v>
      </c>
      <c r="E481" s="5">
        <v>90</v>
      </c>
      <c r="F481" s="5">
        <v>9</v>
      </c>
      <c r="G481" s="5">
        <v>700</v>
      </c>
      <c r="H481" s="5" t="s">
        <v>3990</v>
      </c>
      <c r="I481" s="5" t="s">
        <v>3990</v>
      </c>
      <c r="J481" s="5" t="s">
        <v>4210</v>
      </c>
      <c r="K481" s="10" t="e">
        <f t="shared" si="0"/>
        <v>#VALUE!</v>
      </c>
      <c r="L481" s="10">
        <f t="shared" si="1"/>
        <v>1</v>
      </c>
      <c r="M481" s="10" t="str">
        <f t="shared" si="2"/>
        <v>001</v>
      </c>
      <c r="N481" s="10" t="str">
        <f t="shared" si="3"/>
        <v>002</v>
      </c>
      <c r="O481" s="10" t="str">
        <f t="shared" si="12"/>
        <v/>
      </c>
    </row>
    <row r="482" spans="1:15" ht="12.5">
      <c r="A482" s="115" t="s">
        <v>4211</v>
      </c>
      <c r="B482" s="5">
        <v>0</v>
      </c>
      <c r="C482" s="5">
        <v>61</v>
      </c>
      <c r="D482" s="5">
        <v>4</v>
      </c>
      <c r="E482" s="5">
        <v>90</v>
      </c>
      <c r="F482" s="5">
        <v>9</v>
      </c>
      <c r="G482" s="5">
        <v>800</v>
      </c>
      <c r="H482" s="5" t="s">
        <v>3990</v>
      </c>
      <c r="I482" s="5" t="s">
        <v>3990</v>
      </c>
      <c r="J482" s="5" t="s">
        <v>4212</v>
      </c>
      <c r="K482" s="10" t="e">
        <f t="shared" si="0"/>
        <v>#VALUE!</v>
      </c>
      <c r="L482" s="10">
        <f t="shared" si="1"/>
        <v>1</v>
      </c>
      <c r="M482" s="10" t="str">
        <f t="shared" si="2"/>
        <v>002</v>
      </c>
      <c r="N482" s="10" t="str">
        <f t="shared" si="3"/>
        <v>002</v>
      </c>
      <c r="O482" s="10" t="str">
        <f t="shared" si="12"/>
        <v/>
      </c>
    </row>
    <row r="483" spans="1:15" ht="12.5">
      <c r="A483" s="115" t="s">
        <v>4213</v>
      </c>
      <c r="B483" s="5">
        <v>0</v>
      </c>
      <c r="C483" s="5">
        <v>61</v>
      </c>
      <c r="D483" s="5">
        <v>4</v>
      </c>
      <c r="E483" s="5">
        <v>90</v>
      </c>
      <c r="F483" s="5">
        <v>9</v>
      </c>
      <c r="G483" s="5">
        <v>900</v>
      </c>
      <c r="H483" s="5" t="s">
        <v>3990</v>
      </c>
      <c r="I483" s="5" t="s">
        <v>3990</v>
      </c>
      <c r="J483" s="5" t="s">
        <v>4214</v>
      </c>
      <c r="K483" s="10" t="e">
        <f t="shared" si="0"/>
        <v>#VALUE!</v>
      </c>
      <c r="L483" s="10">
        <f t="shared" si="1"/>
        <v>1</v>
      </c>
      <c r="M483" s="10" t="str">
        <f t="shared" si="2"/>
        <v>003</v>
      </c>
      <c r="N483" s="10" t="str">
        <f t="shared" si="3"/>
        <v>002</v>
      </c>
      <c r="O483" s="10" t="str">
        <f t="shared" si="12"/>
        <v/>
      </c>
    </row>
    <row r="484" spans="1:15" ht="12.5">
      <c r="A484" s="115" t="s">
        <v>4215</v>
      </c>
      <c r="B484" s="5">
        <v>0</v>
      </c>
      <c r="C484" s="5">
        <v>61</v>
      </c>
      <c r="D484" s="5">
        <v>4</v>
      </c>
      <c r="E484" s="5">
        <v>90</v>
      </c>
      <c r="F484" s="5">
        <v>9</v>
      </c>
      <c r="G484" s="5">
        <v>1000</v>
      </c>
      <c r="H484" s="5" t="s">
        <v>3990</v>
      </c>
      <c r="I484" s="5" t="s">
        <v>3990</v>
      </c>
      <c r="J484" s="5" t="s">
        <v>4216</v>
      </c>
      <c r="K484" s="10" t="e">
        <f t="shared" si="0"/>
        <v>#VALUE!</v>
      </c>
      <c r="L484" s="10">
        <f t="shared" si="1"/>
        <v>1</v>
      </c>
      <c r="M484" s="10" t="str">
        <f t="shared" si="2"/>
        <v>004</v>
      </c>
      <c r="N484" s="10" t="str">
        <f t="shared" si="3"/>
        <v>002</v>
      </c>
      <c r="O484" s="10" t="str">
        <f t="shared" si="12"/>
        <v/>
      </c>
    </row>
    <row r="485" spans="1:15" ht="12.5">
      <c r="A485" s="115" t="s">
        <v>4217</v>
      </c>
      <c r="B485" s="5">
        <v>0</v>
      </c>
      <c r="C485" s="5">
        <v>61</v>
      </c>
      <c r="D485" s="5">
        <v>4</v>
      </c>
      <c r="E485" s="5">
        <v>90</v>
      </c>
      <c r="F485" s="5">
        <v>9</v>
      </c>
      <c r="G485" s="5">
        <v>1100</v>
      </c>
      <c r="H485" s="5" t="s">
        <v>3990</v>
      </c>
      <c r="I485" s="5" t="s">
        <v>3990</v>
      </c>
      <c r="J485" s="5" t="s">
        <v>4218</v>
      </c>
      <c r="K485" s="10" t="e">
        <f t="shared" si="0"/>
        <v>#VALUE!</v>
      </c>
      <c r="L485" s="10">
        <f t="shared" si="1"/>
        <v>1</v>
      </c>
      <c r="M485" s="10" t="str">
        <f t="shared" si="2"/>
        <v>005</v>
      </c>
      <c r="N485" s="10" t="str">
        <f t="shared" si="3"/>
        <v>002</v>
      </c>
      <c r="O485" s="10" t="str">
        <f t="shared" si="12"/>
        <v/>
      </c>
    </row>
    <row r="486" spans="1:15" ht="12.5">
      <c r="A486" s="115" t="s">
        <v>4219</v>
      </c>
      <c r="B486" s="5">
        <v>0</v>
      </c>
      <c r="C486" s="5">
        <v>61</v>
      </c>
      <c r="D486" s="5">
        <v>4</v>
      </c>
      <c r="E486" s="5">
        <v>90</v>
      </c>
      <c r="F486" s="5">
        <v>9</v>
      </c>
      <c r="G486" s="5">
        <v>1200</v>
      </c>
      <c r="H486" s="5" t="s">
        <v>3990</v>
      </c>
      <c r="I486" s="5" t="s">
        <v>3990</v>
      </c>
      <c r="J486" s="5" t="s">
        <v>4220</v>
      </c>
      <c r="K486" s="10" t="e">
        <f t="shared" si="0"/>
        <v>#VALUE!</v>
      </c>
      <c r="L486" s="10">
        <f t="shared" si="1"/>
        <v>1</v>
      </c>
      <c r="M486" s="10" t="str">
        <f t="shared" si="2"/>
        <v>006</v>
      </c>
      <c r="N486" s="10" t="str">
        <f t="shared" si="3"/>
        <v>002</v>
      </c>
      <c r="O486" s="10" t="str">
        <f t="shared" si="12"/>
        <v/>
      </c>
    </row>
    <row r="487" spans="1:15" ht="12.5">
      <c r="A487" s="115" t="s">
        <v>4221</v>
      </c>
      <c r="B487" s="5">
        <v>0</v>
      </c>
      <c r="C487" s="5">
        <v>61</v>
      </c>
      <c r="D487" s="5">
        <v>4</v>
      </c>
      <c r="E487" s="5">
        <v>90</v>
      </c>
      <c r="F487" s="5">
        <v>9</v>
      </c>
      <c r="G487" s="5">
        <v>1300</v>
      </c>
      <c r="H487" s="5" t="s">
        <v>3990</v>
      </c>
      <c r="I487" s="5" t="s">
        <v>3990</v>
      </c>
      <c r="J487" s="5" t="s">
        <v>4222</v>
      </c>
      <c r="K487" s="10" t="e">
        <f t="shared" si="0"/>
        <v>#VALUE!</v>
      </c>
      <c r="L487" s="10">
        <f t="shared" si="1"/>
        <v>1</v>
      </c>
      <c r="M487" s="10" t="str">
        <f t="shared" si="2"/>
        <v>007</v>
      </c>
      <c r="N487" s="10" t="str">
        <f t="shared" si="3"/>
        <v>002</v>
      </c>
      <c r="O487" s="10" t="str">
        <f t="shared" si="12"/>
        <v/>
      </c>
    </row>
    <row r="488" spans="1:15" ht="12.5">
      <c r="A488" s="115" t="s">
        <v>4223</v>
      </c>
      <c r="B488" s="5">
        <v>0</v>
      </c>
      <c r="C488" s="5">
        <v>61</v>
      </c>
      <c r="D488" s="5">
        <v>4</v>
      </c>
      <c r="E488" s="5">
        <v>90</v>
      </c>
      <c r="F488" s="5">
        <v>9</v>
      </c>
      <c r="G488" s="5">
        <v>1400</v>
      </c>
      <c r="H488" s="5" t="s">
        <v>3990</v>
      </c>
      <c r="I488" s="5" t="s">
        <v>3990</v>
      </c>
      <c r="J488" s="5" t="s">
        <v>4224</v>
      </c>
      <c r="K488" s="10" t="e">
        <f t="shared" si="0"/>
        <v>#VALUE!</v>
      </c>
      <c r="L488" s="10">
        <f t="shared" si="1"/>
        <v>1</v>
      </c>
      <c r="M488" s="10" t="str">
        <f t="shared" si="2"/>
        <v>008</v>
      </c>
      <c r="N488" s="10" t="str">
        <f t="shared" si="3"/>
        <v>002</v>
      </c>
      <c r="O488" s="10" t="str">
        <f t="shared" si="12"/>
        <v/>
      </c>
    </row>
    <row r="489" spans="1:15" ht="12.5">
      <c r="A489" s="115" t="s">
        <v>4225</v>
      </c>
      <c r="B489" s="5">
        <v>0</v>
      </c>
      <c r="C489" s="5">
        <v>61</v>
      </c>
      <c r="D489" s="5">
        <v>4</v>
      </c>
      <c r="E489" s="5">
        <v>90</v>
      </c>
      <c r="F489" s="5">
        <v>9</v>
      </c>
      <c r="G489" s="5">
        <v>1500</v>
      </c>
      <c r="H489" s="5" t="s">
        <v>3990</v>
      </c>
      <c r="I489" s="5" t="s">
        <v>3990</v>
      </c>
      <c r="J489" s="5" t="s">
        <v>4226</v>
      </c>
      <c r="K489" s="10" t="e">
        <f t="shared" si="0"/>
        <v>#VALUE!</v>
      </c>
      <c r="L489" s="10">
        <f t="shared" si="1"/>
        <v>1</v>
      </c>
      <c r="M489" s="10" t="str">
        <f t="shared" si="2"/>
        <v>009</v>
      </c>
      <c r="N489" s="10" t="str">
        <f t="shared" si="3"/>
        <v>002</v>
      </c>
      <c r="O489" s="10" t="str">
        <f t="shared" si="12"/>
        <v/>
      </c>
    </row>
    <row r="490" spans="1:15" ht="12.5">
      <c r="A490" s="115" t="s">
        <v>4227</v>
      </c>
      <c r="B490" s="5">
        <v>0</v>
      </c>
      <c r="C490" s="5">
        <v>61</v>
      </c>
      <c r="D490" s="5">
        <v>4</v>
      </c>
      <c r="E490" s="5">
        <v>90</v>
      </c>
      <c r="F490" s="5">
        <v>9</v>
      </c>
      <c r="G490" s="5">
        <v>1600</v>
      </c>
      <c r="H490" s="5" t="s">
        <v>3990</v>
      </c>
      <c r="I490" s="5" t="s">
        <v>3990</v>
      </c>
      <c r="J490" s="5" t="s">
        <v>4228</v>
      </c>
      <c r="K490" s="10" t="e">
        <f t="shared" si="0"/>
        <v>#VALUE!</v>
      </c>
      <c r="L490" s="10">
        <f t="shared" si="1"/>
        <v>1</v>
      </c>
      <c r="M490" s="10" t="str">
        <f t="shared" si="2"/>
        <v>010</v>
      </c>
      <c r="N490" s="10" t="str">
        <f t="shared" si="3"/>
        <v>002</v>
      </c>
      <c r="O490" s="10" t="str">
        <f t="shared" si="12"/>
        <v/>
      </c>
    </row>
    <row r="491" spans="1:15" ht="12.5">
      <c r="A491" s="115" t="s">
        <v>4229</v>
      </c>
      <c r="B491" s="5">
        <v>0</v>
      </c>
      <c r="C491" s="5">
        <v>61</v>
      </c>
      <c r="D491" s="5">
        <v>4</v>
      </c>
      <c r="E491" s="5">
        <v>90</v>
      </c>
      <c r="F491" s="5">
        <v>9</v>
      </c>
      <c r="G491" s="5">
        <v>1700</v>
      </c>
      <c r="H491" s="5" t="s">
        <v>3990</v>
      </c>
      <c r="I491" s="5" t="s">
        <v>3990</v>
      </c>
      <c r="J491" s="5" t="s">
        <v>4230</v>
      </c>
      <c r="K491" s="10" t="e">
        <f t="shared" si="0"/>
        <v>#VALUE!</v>
      </c>
      <c r="L491" s="10">
        <f t="shared" si="1"/>
        <v>1</v>
      </c>
      <c r="M491" s="10" t="str">
        <f t="shared" si="2"/>
        <v>011</v>
      </c>
      <c r="N491" s="10" t="str">
        <f t="shared" si="3"/>
        <v>002</v>
      </c>
      <c r="O491" s="10" t="str">
        <f t="shared" si="12"/>
        <v/>
      </c>
    </row>
    <row r="492" spans="1:15" ht="12.5">
      <c r="A492" s="115" t="s">
        <v>4231</v>
      </c>
      <c r="B492" s="5">
        <v>0</v>
      </c>
      <c r="C492" s="5">
        <v>61</v>
      </c>
      <c r="D492" s="5">
        <v>4</v>
      </c>
      <c r="E492" s="5">
        <v>90</v>
      </c>
      <c r="F492" s="5">
        <v>9</v>
      </c>
      <c r="G492" s="5">
        <v>1800</v>
      </c>
      <c r="H492" s="5" t="s">
        <v>3990</v>
      </c>
      <c r="I492" s="5" t="s">
        <v>3990</v>
      </c>
      <c r="J492" s="5" t="s">
        <v>4232</v>
      </c>
      <c r="K492" s="10" t="e">
        <f t="shared" si="0"/>
        <v>#VALUE!</v>
      </c>
      <c r="L492" s="10">
        <f t="shared" si="1"/>
        <v>1</v>
      </c>
      <c r="M492" s="10" t="str">
        <f t="shared" si="2"/>
        <v>001</v>
      </c>
      <c r="N492" s="10" t="str">
        <f t="shared" si="3"/>
        <v>003</v>
      </c>
      <c r="O492" s="10" t="str">
        <f t="shared" si="12"/>
        <v/>
      </c>
    </row>
    <row r="493" spans="1:15" ht="12.5">
      <c r="A493" s="115" t="s">
        <v>4233</v>
      </c>
      <c r="B493" s="5">
        <v>0</v>
      </c>
      <c r="C493" s="5">
        <v>61</v>
      </c>
      <c r="D493" s="5">
        <v>4</v>
      </c>
      <c r="E493" s="5">
        <v>90</v>
      </c>
      <c r="F493" s="5">
        <v>9</v>
      </c>
      <c r="G493" s="5">
        <v>1900</v>
      </c>
      <c r="H493" s="5" t="s">
        <v>3990</v>
      </c>
      <c r="I493" s="5" t="s">
        <v>3990</v>
      </c>
      <c r="J493" s="5" t="s">
        <v>4234</v>
      </c>
      <c r="K493" s="10" t="e">
        <f t="shared" si="0"/>
        <v>#VALUE!</v>
      </c>
      <c r="L493" s="10">
        <f t="shared" si="1"/>
        <v>1</v>
      </c>
      <c r="M493" s="10" t="str">
        <f t="shared" si="2"/>
        <v>002</v>
      </c>
      <c r="N493" s="10" t="str">
        <f t="shared" si="3"/>
        <v>003</v>
      </c>
      <c r="O493" s="10" t="str">
        <f t="shared" si="12"/>
        <v/>
      </c>
    </row>
    <row r="494" spans="1:15" ht="12.5">
      <c r="A494" s="115" t="s">
        <v>4235</v>
      </c>
      <c r="B494" s="5">
        <v>0</v>
      </c>
      <c r="C494" s="5">
        <v>61</v>
      </c>
      <c r="D494" s="5">
        <v>4</v>
      </c>
      <c r="E494" s="5">
        <v>90</v>
      </c>
      <c r="F494" s="5">
        <v>9</v>
      </c>
      <c r="G494" s="5">
        <v>2000</v>
      </c>
      <c r="H494" s="5" t="s">
        <v>3990</v>
      </c>
      <c r="I494" s="5" t="s">
        <v>3990</v>
      </c>
      <c r="J494" s="5" t="s">
        <v>4236</v>
      </c>
      <c r="K494" s="10" t="e">
        <f t="shared" si="0"/>
        <v>#VALUE!</v>
      </c>
      <c r="L494" s="10">
        <f t="shared" si="1"/>
        <v>1</v>
      </c>
      <c r="M494" s="10" t="str">
        <f t="shared" si="2"/>
        <v>003</v>
      </c>
      <c r="N494" s="10" t="str">
        <f t="shared" si="3"/>
        <v>003</v>
      </c>
      <c r="O494" s="10" t="str">
        <f t="shared" si="12"/>
        <v/>
      </c>
    </row>
    <row r="495" spans="1:15" ht="12.5">
      <c r="A495" s="115" t="s">
        <v>4237</v>
      </c>
      <c r="B495" s="5">
        <v>0</v>
      </c>
      <c r="C495" s="5">
        <v>61</v>
      </c>
      <c r="D495" s="5">
        <v>4</v>
      </c>
      <c r="E495" s="5">
        <v>90</v>
      </c>
      <c r="F495" s="5">
        <v>9</v>
      </c>
      <c r="G495" s="5">
        <v>2100</v>
      </c>
      <c r="H495" s="5" t="s">
        <v>3990</v>
      </c>
      <c r="I495" s="5" t="s">
        <v>3990</v>
      </c>
      <c r="J495" s="5" t="s">
        <v>4238</v>
      </c>
      <c r="K495" s="10" t="e">
        <f t="shared" si="0"/>
        <v>#VALUE!</v>
      </c>
      <c r="L495" s="10">
        <f t="shared" si="1"/>
        <v>1</v>
      </c>
      <c r="M495" s="10" t="str">
        <f t="shared" si="2"/>
        <v>004</v>
      </c>
      <c r="N495" s="10" t="str">
        <f t="shared" si="3"/>
        <v>003</v>
      </c>
      <c r="O495" s="10" t="str">
        <f t="shared" si="12"/>
        <v/>
      </c>
    </row>
    <row r="496" spans="1:15" ht="12.5">
      <c r="A496" s="115" t="s">
        <v>4239</v>
      </c>
      <c r="B496" s="5">
        <v>0</v>
      </c>
      <c r="C496" s="5">
        <v>61</v>
      </c>
      <c r="D496" s="5">
        <v>4</v>
      </c>
      <c r="E496" s="5">
        <v>90</v>
      </c>
      <c r="F496" s="5">
        <v>9</v>
      </c>
      <c r="G496" s="5">
        <v>2200</v>
      </c>
      <c r="H496" s="5" t="s">
        <v>3990</v>
      </c>
      <c r="I496" s="5" t="s">
        <v>3990</v>
      </c>
      <c r="J496" s="5" t="s">
        <v>4240</v>
      </c>
      <c r="K496" s="10" t="e">
        <f t="shared" si="0"/>
        <v>#VALUE!</v>
      </c>
      <c r="L496" s="10">
        <f t="shared" si="1"/>
        <v>1</v>
      </c>
      <c r="M496" s="10" t="str">
        <f t="shared" si="2"/>
        <v>005</v>
      </c>
      <c r="N496" s="10" t="str">
        <f t="shared" si="3"/>
        <v>003</v>
      </c>
      <c r="O496" s="10" t="str">
        <f t="shared" si="12"/>
        <v/>
      </c>
    </row>
    <row r="497" spans="1:15" ht="12.5">
      <c r="A497" s="115" t="s">
        <v>4241</v>
      </c>
      <c r="B497" s="5">
        <v>0</v>
      </c>
      <c r="C497" s="5">
        <v>61</v>
      </c>
      <c r="D497" s="5">
        <v>4</v>
      </c>
      <c r="E497" s="5">
        <v>90</v>
      </c>
      <c r="F497" s="5">
        <v>9</v>
      </c>
      <c r="G497" s="5">
        <v>2300</v>
      </c>
      <c r="H497" s="5" t="s">
        <v>3990</v>
      </c>
      <c r="I497" s="5" t="s">
        <v>3990</v>
      </c>
      <c r="J497" s="5" t="s">
        <v>4242</v>
      </c>
      <c r="K497" s="10" t="e">
        <f t="shared" si="0"/>
        <v>#VALUE!</v>
      </c>
      <c r="L497" s="10">
        <f t="shared" si="1"/>
        <v>1</v>
      </c>
      <c r="M497" s="10" t="str">
        <f t="shared" si="2"/>
        <v>006</v>
      </c>
      <c r="N497" s="10" t="str">
        <f t="shared" si="3"/>
        <v>003</v>
      </c>
      <c r="O497" s="10" t="str">
        <f t="shared" si="12"/>
        <v/>
      </c>
    </row>
    <row r="498" spans="1:15" ht="12.5">
      <c r="A498" s="115" t="s">
        <v>4243</v>
      </c>
      <c r="B498" s="5">
        <v>0</v>
      </c>
      <c r="C498" s="5">
        <v>61</v>
      </c>
      <c r="D498" s="5">
        <v>4</v>
      </c>
      <c r="E498" s="5">
        <v>90</v>
      </c>
      <c r="F498" s="5">
        <v>9</v>
      </c>
      <c r="G498" s="5">
        <v>2400</v>
      </c>
      <c r="H498" s="5" t="s">
        <v>3990</v>
      </c>
      <c r="I498" s="5" t="s">
        <v>3990</v>
      </c>
      <c r="J498" s="5" t="s">
        <v>4244</v>
      </c>
      <c r="K498" s="10" t="e">
        <f t="shared" si="0"/>
        <v>#VALUE!</v>
      </c>
      <c r="L498" s="10">
        <f t="shared" si="1"/>
        <v>1</v>
      </c>
      <c r="M498" s="10" t="str">
        <f t="shared" si="2"/>
        <v>007</v>
      </c>
      <c r="N498" s="10" t="str">
        <f t="shared" si="3"/>
        <v>003</v>
      </c>
      <c r="O498" s="10" t="str">
        <f t="shared" si="12"/>
        <v/>
      </c>
    </row>
    <row r="499" spans="1:15" ht="12.5">
      <c r="A499" s="115" t="s">
        <v>4245</v>
      </c>
      <c r="B499" s="5">
        <v>0</v>
      </c>
      <c r="C499" s="5">
        <v>61</v>
      </c>
      <c r="D499" s="5">
        <v>4</v>
      </c>
      <c r="E499" s="5">
        <v>90</v>
      </c>
      <c r="F499" s="5">
        <v>9</v>
      </c>
      <c r="G499" s="5">
        <v>2500</v>
      </c>
      <c r="H499" s="5" t="s">
        <v>3990</v>
      </c>
      <c r="I499" s="5" t="s">
        <v>3990</v>
      </c>
      <c r="J499" s="5" t="s">
        <v>4246</v>
      </c>
      <c r="K499" s="10" t="e">
        <f t="shared" si="0"/>
        <v>#VALUE!</v>
      </c>
      <c r="L499" s="10">
        <f t="shared" si="1"/>
        <v>1</v>
      </c>
      <c r="M499" s="10" t="str">
        <f t="shared" si="2"/>
        <v>008</v>
      </c>
      <c r="N499" s="10" t="str">
        <f t="shared" si="3"/>
        <v>003</v>
      </c>
      <c r="O499" s="10" t="str">
        <f t="shared" si="12"/>
        <v/>
      </c>
    </row>
    <row r="500" spans="1:15" ht="12.5">
      <c r="A500" s="115" t="s">
        <v>4247</v>
      </c>
      <c r="B500" s="5">
        <v>0</v>
      </c>
      <c r="C500" s="5">
        <v>61</v>
      </c>
      <c r="D500" s="5">
        <v>4</v>
      </c>
      <c r="E500" s="5">
        <v>90</v>
      </c>
      <c r="F500" s="5">
        <v>9</v>
      </c>
      <c r="G500" s="5">
        <v>2600</v>
      </c>
      <c r="H500" s="5" t="s">
        <v>3990</v>
      </c>
      <c r="I500" s="5" t="s">
        <v>3990</v>
      </c>
      <c r="J500" s="5" t="s">
        <v>4248</v>
      </c>
      <c r="K500" s="10" t="e">
        <f t="shared" si="0"/>
        <v>#VALUE!</v>
      </c>
      <c r="L500" s="10">
        <f t="shared" si="1"/>
        <v>1</v>
      </c>
      <c r="M500" s="10" t="str">
        <f t="shared" si="2"/>
        <v>001</v>
      </c>
      <c r="N500" s="10" t="str">
        <f t="shared" si="3"/>
        <v>004</v>
      </c>
      <c r="O500" s="10" t="str">
        <f t="shared" si="12"/>
        <v/>
      </c>
    </row>
    <row r="501" spans="1:15" ht="12.5">
      <c r="A501" s="115" t="s">
        <v>4249</v>
      </c>
      <c r="B501" s="5">
        <v>0</v>
      </c>
      <c r="C501" s="5">
        <v>61</v>
      </c>
      <c r="D501" s="5">
        <v>4</v>
      </c>
      <c r="E501" s="5">
        <v>90</v>
      </c>
      <c r="F501" s="5">
        <v>9</v>
      </c>
      <c r="G501" s="5">
        <v>2700</v>
      </c>
      <c r="H501" s="5" t="s">
        <v>3990</v>
      </c>
      <c r="I501" s="5" t="s">
        <v>3990</v>
      </c>
      <c r="J501" s="5" t="s">
        <v>4250</v>
      </c>
      <c r="K501" s="10" t="e">
        <f t="shared" si="0"/>
        <v>#VALUE!</v>
      </c>
      <c r="L501" s="10">
        <f t="shared" si="1"/>
        <v>1</v>
      </c>
      <c r="M501" s="10" t="str">
        <f t="shared" si="2"/>
        <v>002</v>
      </c>
      <c r="N501" s="10" t="str">
        <f t="shared" si="3"/>
        <v>04</v>
      </c>
      <c r="O501" s="10" t="str">
        <f t="shared" si="12"/>
        <v/>
      </c>
    </row>
    <row r="502" spans="1:15" ht="12.5">
      <c r="A502" s="115" t="s">
        <v>4251</v>
      </c>
      <c r="B502" s="5">
        <v>0</v>
      </c>
      <c r="C502" s="5">
        <v>61</v>
      </c>
      <c r="D502" s="5">
        <v>4</v>
      </c>
      <c r="E502" s="5">
        <v>90</v>
      </c>
      <c r="F502" s="5">
        <v>9</v>
      </c>
      <c r="G502" s="5">
        <v>2800</v>
      </c>
      <c r="H502" s="5" t="s">
        <v>3990</v>
      </c>
      <c r="I502" s="5" t="s">
        <v>3990</v>
      </c>
      <c r="J502" s="5" t="s">
        <v>4252</v>
      </c>
      <c r="K502" s="10" t="e">
        <f t="shared" si="0"/>
        <v>#VALUE!</v>
      </c>
      <c r="L502" s="10">
        <f t="shared" si="1"/>
        <v>1</v>
      </c>
      <c r="M502" s="10" t="str">
        <f t="shared" si="2"/>
        <v>003</v>
      </c>
      <c r="N502" s="10" t="str">
        <f t="shared" si="3"/>
        <v>004</v>
      </c>
      <c r="O502" s="10" t="str">
        <f t="shared" si="12"/>
        <v/>
      </c>
    </row>
    <row r="503" spans="1:15" ht="12.5">
      <c r="A503" s="115" t="s">
        <v>4253</v>
      </c>
      <c r="B503" s="5">
        <v>0</v>
      </c>
      <c r="C503" s="5">
        <v>61</v>
      </c>
      <c r="D503" s="5">
        <v>4</v>
      </c>
      <c r="E503" s="5">
        <v>90</v>
      </c>
      <c r="F503" s="5">
        <v>9</v>
      </c>
      <c r="G503" s="5">
        <v>2900</v>
      </c>
      <c r="H503" s="5" t="s">
        <v>3990</v>
      </c>
      <c r="I503" s="5" t="s">
        <v>3990</v>
      </c>
      <c r="J503" s="5" t="s">
        <v>4254</v>
      </c>
      <c r="K503" s="10" t="e">
        <f t="shared" si="0"/>
        <v>#VALUE!</v>
      </c>
      <c r="L503" s="10">
        <f t="shared" si="1"/>
        <v>1</v>
      </c>
      <c r="M503" s="10" t="str">
        <f t="shared" si="2"/>
        <v>004</v>
      </c>
      <c r="N503" s="10" t="str">
        <f t="shared" si="3"/>
        <v>004</v>
      </c>
      <c r="O503" s="10" t="str">
        <f t="shared" si="12"/>
        <v/>
      </c>
    </row>
    <row r="504" spans="1:15" ht="12.5">
      <c r="A504" s="115" t="s">
        <v>4255</v>
      </c>
      <c r="B504" s="5">
        <v>0</v>
      </c>
      <c r="C504" s="5">
        <v>61</v>
      </c>
      <c r="D504" s="5">
        <v>4</v>
      </c>
      <c r="E504" s="5">
        <v>90</v>
      </c>
      <c r="F504" s="5">
        <v>9</v>
      </c>
      <c r="G504" s="5">
        <v>3000</v>
      </c>
      <c r="H504" s="5" t="s">
        <v>3990</v>
      </c>
      <c r="I504" s="5" t="s">
        <v>3990</v>
      </c>
      <c r="J504" s="5" t="s">
        <v>4256</v>
      </c>
      <c r="K504" s="10" t="e">
        <f t="shared" si="0"/>
        <v>#VALUE!</v>
      </c>
      <c r="L504" s="10">
        <f t="shared" si="1"/>
        <v>1</v>
      </c>
      <c r="M504" s="10" t="str">
        <f t="shared" si="2"/>
        <v>005</v>
      </c>
      <c r="N504" s="10" t="str">
        <f t="shared" si="3"/>
        <v>004</v>
      </c>
      <c r="O504" s="10" t="str">
        <f t="shared" si="12"/>
        <v/>
      </c>
    </row>
    <row r="505" spans="1:15" ht="12.5">
      <c r="A505" s="115" t="s">
        <v>4257</v>
      </c>
      <c r="B505" s="5">
        <v>0</v>
      </c>
      <c r="C505" s="5">
        <v>61</v>
      </c>
      <c r="D505" s="5">
        <v>4</v>
      </c>
      <c r="E505" s="5">
        <v>90</v>
      </c>
      <c r="F505" s="5">
        <v>9</v>
      </c>
      <c r="G505" s="5">
        <v>3100</v>
      </c>
      <c r="H505" s="5" t="s">
        <v>3990</v>
      </c>
      <c r="I505" s="5" t="s">
        <v>3990</v>
      </c>
      <c r="J505" s="5" t="s">
        <v>4258</v>
      </c>
      <c r="K505" s="10" t="e">
        <f t="shared" si="0"/>
        <v>#VALUE!</v>
      </c>
      <c r="L505" s="10">
        <f t="shared" si="1"/>
        <v>1</v>
      </c>
      <c r="M505" s="10" t="str">
        <f t="shared" si="2"/>
        <v>006</v>
      </c>
      <c r="N505" s="10" t="str">
        <f t="shared" si="3"/>
        <v>004</v>
      </c>
      <c r="O505" s="10" t="str">
        <f t="shared" si="12"/>
        <v/>
      </c>
    </row>
    <row r="506" spans="1:15" ht="12.5">
      <c r="A506" s="115" t="s">
        <v>4259</v>
      </c>
      <c r="B506" s="5">
        <v>0</v>
      </c>
      <c r="C506" s="5">
        <v>61</v>
      </c>
      <c r="D506" s="5">
        <v>4</v>
      </c>
      <c r="E506" s="5">
        <v>90</v>
      </c>
      <c r="F506" s="5">
        <v>9</v>
      </c>
      <c r="G506" s="5">
        <v>3200</v>
      </c>
      <c r="H506" s="5" t="s">
        <v>3990</v>
      </c>
      <c r="I506" s="5" t="s">
        <v>3990</v>
      </c>
      <c r="J506" s="5" t="s">
        <v>4260</v>
      </c>
      <c r="K506" s="10" t="e">
        <f t="shared" si="0"/>
        <v>#VALUE!</v>
      </c>
      <c r="L506" s="10">
        <f t="shared" si="1"/>
        <v>1</v>
      </c>
      <c r="M506" s="10" t="str">
        <f t="shared" si="2"/>
        <v>007</v>
      </c>
      <c r="N506" s="10" t="str">
        <f t="shared" si="3"/>
        <v>004</v>
      </c>
      <c r="O506" s="10" t="str">
        <f t="shared" si="12"/>
        <v/>
      </c>
    </row>
    <row r="507" spans="1:15" ht="12.5">
      <c r="A507" s="115" t="s">
        <v>4261</v>
      </c>
      <c r="B507" s="5">
        <v>0</v>
      </c>
      <c r="C507" s="5">
        <v>61</v>
      </c>
      <c r="D507" s="5">
        <v>4</v>
      </c>
      <c r="E507" s="5">
        <v>90</v>
      </c>
      <c r="F507" s="5">
        <v>9</v>
      </c>
      <c r="G507" s="5">
        <v>3300</v>
      </c>
      <c r="H507" s="5" t="s">
        <v>3990</v>
      </c>
      <c r="I507" s="5" t="s">
        <v>3990</v>
      </c>
      <c r="J507" s="5" t="s">
        <v>4262</v>
      </c>
      <c r="K507" s="10" t="e">
        <f t="shared" si="0"/>
        <v>#VALUE!</v>
      </c>
      <c r="L507" s="10">
        <f t="shared" si="1"/>
        <v>1</v>
      </c>
      <c r="M507" s="10" t="str">
        <f t="shared" si="2"/>
        <v>008</v>
      </c>
      <c r="N507" s="10" t="str">
        <f t="shared" si="3"/>
        <v>004</v>
      </c>
      <c r="O507" s="10" t="str">
        <f t="shared" si="12"/>
        <v/>
      </c>
    </row>
    <row r="508" spans="1:15" ht="12.5">
      <c r="A508" s="115" t="s">
        <v>4263</v>
      </c>
      <c r="B508" s="5">
        <v>0</v>
      </c>
      <c r="C508" s="5">
        <v>61</v>
      </c>
      <c r="D508" s="5">
        <v>4</v>
      </c>
      <c r="E508" s="5">
        <v>90</v>
      </c>
      <c r="F508" s="5">
        <v>9</v>
      </c>
      <c r="G508" s="5">
        <v>3400</v>
      </c>
      <c r="H508" s="5" t="s">
        <v>3990</v>
      </c>
      <c r="I508" s="5" t="s">
        <v>3990</v>
      </c>
      <c r="J508" s="5" t="s">
        <v>4264</v>
      </c>
      <c r="K508" s="10" t="e">
        <f t="shared" si="0"/>
        <v>#VALUE!</v>
      </c>
      <c r="L508" s="10">
        <f t="shared" si="1"/>
        <v>1</v>
      </c>
      <c r="M508" s="10" t="str">
        <f t="shared" si="2"/>
        <v>001</v>
      </c>
      <c r="N508" s="10" t="str">
        <f t="shared" si="3"/>
        <v>005</v>
      </c>
      <c r="O508" s="10" t="str">
        <f t="shared" si="12"/>
        <v/>
      </c>
    </row>
    <row r="509" spans="1:15" ht="12.5">
      <c r="A509" s="115" t="s">
        <v>4265</v>
      </c>
      <c r="B509" s="5">
        <v>0</v>
      </c>
      <c r="C509" s="5">
        <v>61</v>
      </c>
      <c r="D509" s="5">
        <v>4</v>
      </c>
      <c r="E509" s="5">
        <v>90</v>
      </c>
      <c r="F509" s="5">
        <v>9</v>
      </c>
      <c r="G509" s="5">
        <v>3500</v>
      </c>
      <c r="H509" s="5" t="s">
        <v>3990</v>
      </c>
      <c r="I509" s="5" t="s">
        <v>3990</v>
      </c>
      <c r="J509" s="5" t="s">
        <v>4266</v>
      </c>
      <c r="K509" s="10" t="e">
        <f t="shared" si="0"/>
        <v>#VALUE!</v>
      </c>
      <c r="L509" s="10">
        <f t="shared" si="1"/>
        <v>1</v>
      </c>
      <c r="M509" s="10" t="str">
        <f t="shared" si="2"/>
        <v>002</v>
      </c>
      <c r="N509" s="10" t="str">
        <f t="shared" si="3"/>
        <v>005</v>
      </c>
      <c r="O509" s="10" t="str">
        <f t="shared" si="12"/>
        <v/>
      </c>
    </row>
    <row r="510" spans="1:15" ht="12.5">
      <c r="A510" s="115" t="s">
        <v>4267</v>
      </c>
      <c r="B510" s="5">
        <v>0</v>
      </c>
      <c r="C510" s="5">
        <v>61</v>
      </c>
      <c r="D510" s="5">
        <v>4</v>
      </c>
      <c r="E510" s="5">
        <v>90</v>
      </c>
      <c r="F510" s="5">
        <v>9</v>
      </c>
      <c r="G510" s="5">
        <v>3600</v>
      </c>
      <c r="H510" s="5" t="s">
        <v>3990</v>
      </c>
      <c r="I510" s="5" t="s">
        <v>3990</v>
      </c>
      <c r="J510" s="5" t="s">
        <v>4268</v>
      </c>
      <c r="K510" s="10" t="e">
        <f t="shared" si="0"/>
        <v>#VALUE!</v>
      </c>
      <c r="L510" s="10">
        <f t="shared" si="1"/>
        <v>1</v>
      </c>
      <c r="M510" s="10" t="str">
        <f t="shared" si="2"/>
        <v>003</v>
      </c>
      <c r="N510" s="10" t="str">
        <f t="shared" si="3"/>
        <v>005</v>
      </c>
      <c r="O510" s="10" t="str">
        <f t="shared" si="12"/>
        <v/>
      </c>
    </row>
    <row r="511" spans="1:15" ht="12.5">
      <c r="A511" s="115" t="s">
        <v>4269</v>
      </c>
      <c r="B511" s="5">
        <v>0</v>
      </c>
      <c r="C511" s="5">
        <v>61</v>
      </c>
      <c r="D511" s="5">
        <v>4</v>
      </c>
      <c r="E511" s="5">
        <v>90</v>
      </c>
      <c r="F511" s="5">
        <v>9</v>
      </c>
      <c r="G511" s="5">
        <v>3700</v>
      </c>
      <c r="H511" s="5" t="s">
        <v>3990</v>
      </c>
      <c r="I511" s="5" t="s">
        <v>3990</v>
      </c>
      <c r="J511" s="5" t="s">
        <v>4270</v>
      </c>
      <c r="K511" s="10" t="e">
        <f t="shared" si="0"/>
        <v>#VALUE!</v>
      </c>
      <c r="L511" s="10">
        <f t="shared" si="1"/>
        <v>1</v>
      </c>
      <c r="M511" s="10" t="str">
        <f t="shared" si="2"/>
        <v>004</v>
      </c>
      <c r="N511" s="10" t="str">
        <f t="shared" si="3"/>
        <v>005</v>
      </c>
      <c r="O511" s="10" t="str">
        <f t="shared" si="12"/>
        <v/>
      </c>
    </row>
    <row r="512" spans="1:15" ht="12.5">
      <c r="A512" s="115" t="s">
        <v>4271</v>
      </c>
      <c r="B512" s="5">
        <v>0</v>
      </c>
      <c r="C512" s="5">
        <v>61</v>
      </c>
      <c r="D512" s="5">
        <v>4</v>
      </c>
      <c r="E512" s="5">
        <v>90</v>
      </c>
      <c r="F512" s="5">
        <v>9</v>
      </c>
      <c r="G512" s="5">
        <v>3800</v>
      </c>
      <c r="H512" s="5" t="s">
        <v>3990</v>
      </c>
      <c r="I512" s="5" t="s">
        <v>3990</v>
      </c>
      <c r="J512" s="5" t="s">
        <v>4272</v>
      </c>
      <c r="K512" s="10" t="e">
        <f t="shared" si="0"/>
        <v>#VALUE!</v>
      </c>
      <c r="L512" s="10">
        <f t="shared" si="1"/>
        <v>1</v>
      </c>
      <c r="M512" s="10" t="str">
        <f t="shared" si="2"/>
        <v>005</v>
      </c>
      <c r="N512" s="10" t="str">
        <f t="shared" si="3"/>
        <v>005</v>
      </c>
      <c r="O512" s="10" t="str">
        <f t="shared" si="12"/>
        <v/>
      </c>
    </row>
    <row r="513" spans="1:15" ht="12.5">
      <c r="A513" s="115" t="s">
        <v>4273</v>
      </c>
      <c r="B513" s="5">
        <v>0</v>
      </c>
      <c r="C513" s="5">
        <v>61</v>
      </c>
      <c r="D513" s="5">
        <v>4</v>
      </c>
      <c r="E513" s="5">
        <v>90</v>
      </c>
      <c r="F513" s="5">
        <v>9</v>
      </c>
      <c r="G513" s="5">
        <v>3900</v>
      </c>
      <c r="H513" s="5" t="s">
        <v>3990</v>
      </c>
      <c r="I513" s="5" t="s">
        <v>3990</v>
      </c>
      <c r="J513" s="5" t="s">
        <v>4274</v>
      </c>
      <c r="K513" s="10" t="e">
        <f t="shared" si="0"/>
        <v>#VALUE!</v>
      </c>
      <c r="L513" s="10">
        <f t="shared" si="1"/>
        <v>1</v>
      </c>
      <c r="M513" s="10" t="str">
        <f t="shared" si="2"/>
        <v>006</v>
      </c>
      <c r="N513" s="10" t="str">
        <f t="shared" si="3"/>
        <v>005</v>
      </c>
      <c r="O513" s="10" t="str">
        <f t="shared" si="12"/>
        <v/>
      </c>
    </row>
    <row r="514" spans="1:15" ht="12.5">
      <c r="A514" s="115" t="s">
        <v>4275</v>
      </c>
      <c r="B514" s="5">
        <v>0</v>
      </c>
      <c r="C514" s="5">
        <v>61</v>
      </c>
      <c r="D514" s="5">
        <v>4</v>
      </c>
      <c r="E514" s="5">
        <v>90</v>
      </c>
      <c r="F514" s="5">
        <v>9</v>
      </c>
      <c r="G514" s="5">
        <v>4000</v>
      </c>
      <c r="H514" s="5" t="s">
        <v>3990</v>
      </c>
      <c r="I514" s="5" t="s">
        <v>3990</v>
      </c>
      <c r="J514" s="5" t="s">
        <v>4276</v>
      </c>
      <c r="K514" s="10" t="e">
        <f t="shared" si="0"/>
        <v>#VALUE!</v>
      </c>
      <c r="L514" s="10">
        <f t="shared" si="1"/>
        <v>1</v>
      </c>
      <c r="M514" s="10" t="str">
        <f t="shared" si="2"/>
        <v>007</v>
      </c>
      <c r="N514" s="10" t="str">
        <f t="shared" si="3"/>
        <v>005</v>
      </c>
      <c r="O514" s="10" t="str">
        <f t="shared" si="12"/>
        <v/>
      </c>
    </row>
    <row r="515" spans="1:15" ht="12.5">
      <c r="A515" s="115" t="s">
        <v>4277</v>
      </c>
      <c r="B515" s="5">
        <v>0</v>
      </c>
      <c r="C515" s="5">
        <v>61</v>
      </c>
      <c r="D515" s="5">
        <v>4</v>
      </c>
      <c r="E515" s="5">
        <v>90</v>
      </c>
      <c r="F515" s="5">
        <v>9</v>
      </c>
      <c r="G515" s="5">
        <v>4100</v>
      </c>
      <c r="H515" s="5" t="s">
        <v>3990</v>
      </c>
      <c r="I515" s="5" t="s">
        <v>3990</v>
      </c>
      <c r="J515" s="5" t="s">
        <v>4278</v>
      </c>
      <c r="K515" s="10" t="e">
        <f t="shared" si="0"/>
        <v>#VALUE!</v>
      </c>
      <c r="L515" s="10">
        <f t="shared" si="1"/>
        <v>1</v>
      </c>
      <c r="M515" s="10" t="str">
        <f t="shared" si="2"/>
        <v>008</v>
      </c>
      <c r="N515" s="10" t="str">
        <f t="shared" si="3"/>
        <v>005</v>
      </c>
      <c r="O515" s="10" t="str">
        <f t="shared" si="12"/>
        <v/>
      </c>
    </row>
    <row r="516" spans="1:15" ht="12.5">
      <c r="A516" s="115" t="s">
        <v>4279</v>
      </c>
      <c r="B516" s="5">
        <v>0</v>
      </c>
      <c r="C516" s="5">
        <v>61</v>
      </c>
      <c r="D516" s="5">
        <v>4</v>
      </c>
      <c r="E516" s="5">
        <v>90</v>
      </c>
      <c r="F516" s="5">
        <v>9</v>
      </c>
      <c r="G516" s="5">
        <v>4200</v>
      </c>
      <c r="H516" s="5" t="s">
        <v>3990</v>
      </c>
      <c r="I516" s="5" t="s">
        <v>3990</v>
      </c>
      <c r="J516" s="5" t="s">
        <v>4280</v>
      </c>
      <c r="K516" s="10" t="e">
        <f t="shared" si="0"/>
        <v>#VALUE!</v>
      </c>
      <c r="L516" s="10">
        <f t="shared" si="1"/>
        <v>1</v>
      </c>
      <c r="M516" s="10" t="str">
        <f t="shared" si="2"/>
        <v>009</v>
      </c>
      <c r="N516" s="10" t="str">
        <f t="shared" si="3"/>
        <v>005</v>
      </c>
      <c r="O516" s="10" t="str">
        <f t="shared" si="12"/>
        <v/>
      </c>
    </row>
    <row r="517" spans="1:15" ht="12.5">
      <c r="A517" s="115" t="s">
        <v>4281</v>
      </c>
      <c r="B517" s="5">
        <v>0</v>
      </c>
      <c r="C517" s="5">
        <v>61</v>
      </c>
      <c r="D517" s="5">
        <v>4</v>
      </c>
      <c r="E517" s="5">
        <v>90</v>
      </c>
      <c r="F517" s="5">
        <v>9</v>
      </c>
      <c r="G517" s="5">
        <v>4300</v>
      </c>
      <c r="H517" s="5" t="s">
        <v>3990</v>
      </c>
      <c r="I517" s="5" t="s">
        <v>3990</v>
      </c>
      <c r="J517" s="5" t="s">
        <v>4282</v>
      </c>
      <c r="K517" s="10" t="e">
        <f t="shared" si="0"/>
        <v>#VALUE!</v>
      </c>
      <c r="L517" s="10">
        <f t="shared" si="1"/>
        <v>1</v>
      </c>
      <c r="M517" s="10" t="str">
        <f t="shared" si="2"/>
        <v>001</v>
      </c>
      <c r="N517" s="10" t="str">
        <f t="shared" si="3"/>
        <v>006</v>
      </c>
      <c r="O517" s="10" t="str">
        <f t="shared" si="12"/>
        <v/>
      </c>
    </row>
    <row r="518" spans="1:15" ht="12.5">
      <c r="A518" s="115" t="s">
        <v>4283</v>
      </c>
      <c r="B518" s="5">
        <v>0</v>
      </c>
      <c r="C518" s="5">
        <v>61</v>
      </c>
      <c r="D518" s="5">
        <v>4</v>
      </c>
      <c r="E518" s="5">
        <v>90</v>
      </c>
      <c r="F518" s="5">
        <v>9</v>
      </c>
      <c r="G518" s="5">
        <v>4400</v>
      </c>
      <c r="H518" s="5" t="s">
        <v>3990</v>
      </c>
      <c r="I518" s="5" t="s">
        <v>3990</v>
      </c>
      <c r="J518" s="5" t="s">
        <v>4284</v>
      </c>
      <c r="K518" s="10" t="e">
        <f t="shared" si="0"/>
        <v>#VALUE!</v>
      </c>
      <c r="L518" s="10">
        <f t="shared" si="1"/>
        <v>1</v>
      </c>
      <c r="M518" s="10" t="str">
        <f t="shared" si="2"/>
        <v>002</v>
      </c>
      <c r="N518" s="10" t="str">
        <f t="shared" si="3"/>
        <v>006</v>
      </c>
      <c r="O518" s="10" t="str">
        <f t="shared" si="12"/>
        <v/>
      </c>
    </row>
    <row r="519" spans="1:15" ht="12.5">
      <c r="A519" s="115" t="s">
        <v>4285</v>
      </c>
      <c r="B519" s="5">
        <v>0</v>
      </c>
      <c r="C519" s="5">
        <v>61</v>
      </c>
      <c r="D519" s="5">
        <v>4</v>
      </c>
      <c r="E519" s="5">
        <v>90</v>
      </c>
      <c r="F519" s="5">
        <v>9</v>
      </c>
      <c r="G519" s="5">
        <v>4500</v>
      </c>
      <c r="H519" s="5" t="s">
        <v>3990</v>
      </c>
      <c r="I519" s="5" t="s">
        <v>3990</v>
      </c>
      <c r="J519" s="5" t="s">
        <v>4286</v>
      </c>
      <c r="K519" s="10" t="e">
        <f t="shared" si="0"/>
        <v>#VALUE!</v>
      </c>
      <c r="L519" s="10">
        <f t="shared" si="1"/>
        <v>1</v>
      </c>
      <c r="M519" s="10" t="str">
        <f t="shared" si="2"/>
        <v>003</v>
      </c>
      <c r="N519" s="10" t="str">
        <f t="shared" si="3"/>
        <v>006</v>
      </c>
      <c r="O519" s="10" t="str">
        <f t="shared" si="12"/>
        <v/>
      </c>
    </row>
    <row r="520" spans="1:15" ht="12.5">
      <c r="A520" s="115" t="s">
        <v>4287</v>
      </c>
      <c r="B520" s="5">
        <v>0</v>
      </c>
      <c r="C520" s="5">
        <v>61</v>
      </c>
      <c r="D520" s="5">
        <v>4</v>
      </c>
      <c r="E520" s="5">
        <v>90</v>
      </c>
      <c r="F520" s="5">
        <v>9</v>
      </c>
      <c r="G520" s="5">
        <v>4600</v>
      </c>
      <c r="H520" s="5" t="s">
        <v>3990</v>
      </c>
      <c r="I520" s="5" t="s">
        <v>3990</v>
      </c>
      <c r="J520" s="5" t="s">
        <v>4288</v>
      </c>
      <c r="K520" s="10" t="e">
        <f t="shared" si="0"/>
        <v>#VALUE!</v>
      </c>
      <c r="L520" s="10">
        <f t="shared" si="1"/>
        <v>1</v>
      </c>
      <c r="M520" s="10" t="str">
        <f t="shared" si="2"/>
        <v>004</v>
      </c>
      <c r="N520" s="10" t="str">
        <f t="shared" si="3"/>
        <v>006</v>
      </c>
      <c r="O520" s="10" t="str">
        <f t="shared" si="12"/>
        <v/>
      </c>
    </row>
    <row r="521" spans="1:15" ht="12.5">
      <c r="A521" s="115" t="s">
        <v>4289</v>
      </c>
      <c r="B521" s="5">
        <v>0</v>
      </c>
      <c r="C521" s="5">
        <v>61</v>
      </c>
      <c r="D521" s="5">
        <v>4</v>
      </c>
      <c r="E521" s="5">
        <v>90</v>
      </c>
      <c r="F521" s="5">
        <v>9</v>
      </c>
      <c r="G521" s="5">
        <v>4700</v>
      </c>
      <c r="H521" s="5" t="s">
        <v>3990</v>
      </c>
      <c r="I521" s="5" t="s">
        <v>3990</v>
      </c>
      <c r="J521" s="5" t="s">
        <v>4290</v>
      </c>
      <c r="K521" s="10" t="e">
        <f t="shared" si="0"/>
        <v>#VALUE!</v>
      </c>
      <c r="L521" s="10">
        <f t="shared" si="1"/>
        <v>1</v>
      </c>
      <c r="M521" s="10" t="str">
        <f t="shared" si="2"/>
        <v>005</v>
      </c>
      <c r="N521" s="10" t="str">
        <f t="shared" si="3"/>
        <v>006</v>
      </c>
      <c r="O521" s="10" t="str">
        <f t="shared" si="12"/>
        <v/>
      </c>
    </row>
    <row r="522" spans="1:15" ht="12.5">
      <c r="A522" s="115" t="s">
        <v>4291</v>
      </c>
      <c r="B522" s="5">
        <v>0</v>
      </c>
      <c r="C522" s="5">
        <v>61</v>
      </c>
      <c r="D522" s="5">
        <v>4</v>
      </c>
      <c r="E522" s="5">
        <v>90</v>
      </c>
      <c r="F522" s="5">
        <v>9</v>
      </c>
      <c r="G522" s="5">
        <v>4800</v>
      </c>
      <c r="H522" s="5" t="s">
        <v>3990</v>
      </c>
      <c r="I522" s="5" t="s">
        <v>3990</v>
      </c>
      <c r="J522" s="5" t="s">
        <v>4292</v>
      </c>
      <c r="K522" s="10" t="e">
        <f t="shared" si="0"/>
        <v>#VALUE!</v>
      </c>
      <c r="L522" s="10">
        <f t="shared" si="1"/>
        <v>1</v>
      </c>
      <c r="M522" s="10" t="str">
        <f t="shared" si="2"/>
        <v>006</v>
      </c>
      <c r="N522" s="10" t="str">
        <f t="shared" si="3"/>
        <v>006</v>
      </c>
      <c r="O522" s="10" t="str">
        <f t="shared" si="12"/>
        <v/>
      </c>
    </row>
    <row r="523" spans="1:15" ht="12.5">
      <c r="A523" s="115" t="s">
        <v>4293</v>
      </c>
      <c r="B523" s="5">
        <v>0</v>
      </c>
      <c r="C523" s="5">
        <v>61</v>
      </c>
      <c r="D523" s="5">
        <v>4</v>
      </c>
      <c r="E523" s="5">
        <v>90</v>
      </c>
      <c r="F523" s="5">
        <v>9</v>
      </c>
      <c r="G523" s="5">
        <v>4900</v>
      </c>
      <c r="H523" s="5" t="s">
        <v>3990</v>
      </c>
      <c r="I523" s="5" t="s">
        <v>3990</v>
      </c>
      <c r="J523" s="5" t="s">
        <v>4294</v>
      </c>
      <c r="K523" s="10" t="e">
        <f t="shared" si="0"/>
        <v>#VALUE!</v>
      </c>
      <c r="L523" s="10">
        <f t="shared" si="1"/>
        <v>1</v>
      </c>
      <c r="M523" s="10" t="str">
        <f t="shared" si="2"/>
        <v>007</v>
      </c>
      <c r="N523" s="10" t="str">
        <f t="shared" si="3"/>
        <v>006</v>
      </c>
      <c r="O523" s="10" t="str">
        <f t="shared" si="12"/>
        <v/>
      </c>
    </row>
    <row r="524" spans="1:15" ht="12.5">
      <c r="A524" s="115" t="s">
        <v>4295</v>
      </c>
      <c r="B524" s="5">
        <v>0</v>
      </c>
      <c r="C524" s="5">
        <v>61</v>
      </c>
      <c r="D524" s="5">
        <v>4</v>
      </c>
      <c r="E524" s="5">
        <v>90</v>
      </c>
      <c r="F524" s="5">
        <v>9</v>
      </c>
      <c r="G524" s="5">
        <v>5000</v>
      </c>
      <c r="H524" s="5" t="s">
        <v>3990</v>
      </c>
      <c r="I524" s="5" t="s">
        <v>3990</v>
      </c>
      <c r="J524" s="5" t="s">
        <v>4296</v>
      </c>
      <c r="K524" s="10" t="e">
        <f t="shared" si="0"/>
        <v>#VALUE!</v>
      </c>
      <c r="L524" s="10">
        <f t="shared" si="1"/>
        <v>1</v>
      </c>
      <c r="M524" s="10" t="str">
        <f t="shared" si="2"/>
        <v>008</v>
      </c>
      <c r="N524" s="10" t="str">
        <f t="shared" si="3"/>
        <v>006</v>
      </c>
      <c r="O524" s="10" t="str">
        <f t="shared" si="12"/>
        <v/>
      </c>
    </row>
    <row r="525" spans="1:15" ht="12.5">
      <c r="A525" s="115" t="s">
        <v>4297</v>
      </c>
      <c r="B525" s="5">
        <v>0</v>
      </c>
      <c r="C525" s="5">
        <v>61</v>
      </c>
      <c r="D525" s="5">
        <v>4</v>
      </c>
      <c r="E525" s="5">
        <v>90</v>
      </c>
      <c r="F525" s="5">
        <v>9</v>
      </c>
      <c r="G525" s="5">
        <v>5100</v>
      </c>
      <c r="H525" s="5" t="s">
        <v>3990</v>
      </c>
      <c r="I525" s="5" t="s">
        <v>3990</v>
      </c>
      <c r="J525" s="5" t="s">
        <v>4298</v>
      </c>
      <c r="K525" s="10" t="e">
        <f t="shared" si="0"/>
        <v>#VALUE!</v>
      </c>
      <c r="L525" s="10">
        <f t="shared" si="1"/>
        <v>1</v>
      </c>
      <c r="M525" s="10" t="str">
        <f t="shared" si="2"/>
        <v>009</v>
      </c>
      <c r="N525" s="10" t="str">
        <f t="shared" si="3"/>
        <v>006</v>
      </c>
      <c r="O525" s="10" t="str">
        <f t="shared" si="12"/>
        <v/>
      </c>
    </row>
    <row r="526" spans="1:15" ht="12.5">
      <c r="A526" s="115" t="s">
        <v>4299</v>
      </c>
      <c r="B526" s="5">
        <v>0</v>
      </c>
      <c r="C526" s="5">
        <v>61</v>
      </c>
      <c r="D526" s="5">
        <v>4</v>
      </c>
      <c r="E526" s="5">
        <v>90</v>
      </c>
      <c r="F526" s="5">
        <v>9</v>
      </c>
      <c r="G526" s="5">
        <v>5200</v>
      </c>
      <c r="H526" s="5" t="s">
        <v>3990</v>
      </c>
      <c r="I526" s="5" t="s">
        <v>3990</v>
      </c>
      <c r="J526" s="5" t="s">
        <v>4300</v>
      </c>
      <c r="K526" s="10" t="e">
        <f t="shared" si="0"/>
        <v>#VALUE!</v>
      </c>
      <c r="L526" s="10">
        <f t="shared" si="1"/>
        <v>1</v>
      </c>
      <c r="M526" s="10" t="str">
        <f t="shared" si="2"/>
        <v>010</v>
      </c>
      <c r="N526" s="10" t="str">
        <f t="shared" si="3"/>
        <v>006</v>
      </c>
      <c r="O526" s="10" t="str">
        <f t="shared" si="12"/>
        <v/>
      </c>
    </row>
    <row r="527" spans="1:15" ht="12.5">
      <c r="A527" s="115" t="s">
        <v>4301</v>
      </c>
      <c r="B527" s="5">
        <v>0</v>
      </c>
      <c r="C527" s="5">
        <v>61</v>
      </c>
      <c r="D527" s="5">
        <v>4</v>
      </c>
      <c r="E527" s="5">
        <v>90</v>
      </c>
      <c r="F527" s="5">
        <v>9</v>
      </c>
      <c r="G527" s="5">
        <v>5300</v>
      </c>
      <c r="H527" s="5" t="s">
        <v>3990</v>
      </c>
      <c r="I527" s="5" t="s">
        <v>3990</v>
      </c>
      <c r="J527" s="5" t="s">
        <v>4302</v>
      </c>
      <c r="K527" s="10" t="e">
        <f t="shared" si="0"/>
        <v>#VALUE!</v>
      </c>
      <c r="L527" s="10">
        <f t="shared" si="1"/>
        <v>1</v>
      </c>
      <c r="M527" s="10" t="str">
        <f t="shared" si="2"/>
        <v>011</v>
      </c>
      <c r="N527" s="10" t="str">
        <f t="shared" si="3"/>
        <v>006</v>
      </c>
      <c r="O527" s="10" t="str">
        <f t="shared" si="12"/>
        <v/>
      </c>
    </row>
    <row r="528" spans="1:15" ht="12.5">
      <c r="A528" s="115" t="s">
        <v>4303</v>
      </c>
      <c r="B528" s="5">
        <v>0</v>
      </c>
      <c r="C528" s="5">
        <v>61</v>
      </c>
      <c r="D528" s="5">
        <v>4</v>
      </c>
      <c r="E528" s="5">
        <v>90</v>
      </c>
      <c r="F528" s="5">
        <v>9</v>
      </c>
      <c r="G528" s="5">
        <v>5400</v>
      </c>
      <c r="H528" s="5" t="s">
        <v>3990</v>
      </c>
      <c r="I528" s="5" t="s">
        <v>3990</v>
      </c>
      <c r="J528" s="5" t="s">
        <v>4304</v>
      </c>
      <c r="K528" s="10" t="e">
        <f t="shared" si="0"/>
        <v>#VALUE!</v>
      </c>
      <c r="L528" s="10">
        <f t="shared" si="1"/>
        <v>1</v>
      </c>
      <c r="M528" s="10" t="str">
        <f t="shared" si="2"/>
        <v>012</v>
      </c>
      <c r="N528" s="10" t="str">
        <f t="shared" si="3"/>
        <v>006</v>
      </c>
      <c r="O528" s="10" t="str">
        <f t="shared" si="12"/>
        <v/>
      </c>
    </row>
    <row r="529" spans="1:15" ht="12.5">
      <c r="A529" s="115" t="s">
        <v>4305</v>
      </c>
      <c r="B529" s="5">
        <v>0</v>
      </c>
      <c r="C529" s="5">
        <v>61</v>
      </c>
      <c r="D529" s="5">
        <v>4</v>
      </c>
      <c r="E529" s="5">
        <v>90</v>
      </c>
      <c r="F529" s="5">
        <v>9</v>
      </c>
      <c r="G529" s="5">
        <v>5500</v>
      </c>
      <c r="H529" s="5" t="s">
        <v>3990</v>
      </c>
      <c r="I529" s="5" t="s">
        <v>3990</v>
      </c>
      <c r="J529" s="5" t="s">
        <v>4306</v>
      </c>
      <c r="K529" s="10" t="e">
        <f t="shared" si="0"/>
        <v>#VALUE!</v>
      </c>
      <c r="L529" s="10">
        <f t="shared" si="1"/>
        <v>1</v>
      </c>
      <c r="M529" s="10" t="str">
        <f t="shared" si="2"/>
        <v>013</v>
      </c>
      <c r="N529" s="10" t="str">
        <f t="shared" si="3"/>
        <v>006</v>
      </c>
      <c r="O529" s="10" t="str">
        <f t="shared" si="12"/>
        <v/>
      </c>
    </row>
    <row r="530" spans="1:15" ht="12.5">
      <c r="A530" s="115" t="s">
        <v>4307</v>
      </c>
      <c r="B530" s="5">
        <v>0</v>
      </c>
      <c r="C530" s="5">
        <v>61</v>
      </c>
      <c r="D530" s="5">
        <v>4</v>
      </c>
      <c r="E530" s="5">
        <v>90</v>
      </c>
      <c r="F530" s="5">
        <v>9</v>
      </c>
      <c r="G530" s="5">
        <v>5600</v>
      </c>
      <c r="H530" s="5" t="s">
        <v>3990</v>
      </c>
      <c r="I530" s="5" t="s">
        <v>3990</v>
      </c>
      <c r="J530" s="5" t="s">
        <v>4308</v>
      </c>
      <c r="K530" s="10" t="e">
        <f t="shared" si="0"/>
        <v>#VALUE!</v>
      </c>
      <c r="L530" s="10">
        <f t="shared" si="1"/>
        <v>1</v>
      </c>
      <c r="M530" s="10" t="str">
        <f t="shared" si="2"/>
        <v>014</v>
      </c>
      <c r="N530" s="10" t="str">
        <f t="shared" si="3"/>
        <v>006</v>
      </c>
      <c r="O530" s="10" t="str">
        <f t="shared" si="12"/>
        <v/>
      </c>
    </row>
    <row r="531" spans="1:15" ht="12.5">
      <c r="A531" s="115" t="s">
        <v>4309</v>
      </c>
      <c r="B531" s="5">
        <v>0</v>
      </c>
      <c r="C531" s="5">
        <v>61</v>
      </c>
      <c r="D531" s="5">
        <v>4</v>
      </c>
      <c r="E531" s="5">
        <v>90</v>
      </c>
      <c r="F531" s="5">
        <v>9</v>
      </c>
      <c r="G531" s="5">
        <v>5700</v>
      </c>
      <c r="H531" s="5" t="s">
        <v>3990</v>
      </c>
      <c r="I531" s="5" t="s">
        <v>3990</v>
      </c>
      <c r="J531" s="5" t="s">
        <v>4310</v>
      </c>
      <c r="K531" s="10" t="e">
        <f t="shared" si="0"/>
        <v>#VALUE!</v>
      </c>
      <c r="L531" s="10">
        <f t="shared" si="1"/>
        <v>1</v>
      </c>
      <c r="M531" s="10" t="str">
        <f t="shared" si="2"/>
        <v>015</v>
      </c>
      <c r="N531" s="10" t="str">
        <f t="shared" si="3"/>
        <v>006</v>
      </c>
      <c r="O531" s="10" t="str">
        <f t="shared" si="12"/>
        <v/>
      </c>
    </row>
    <row r="532" spans="1:15" ht="12.5">
      <c r="A532" s="115" t="s">
        <v>4311</v>
      </c>
      <c r="B532" s="5">
        <v>0</v>
      </c>
      <c r="C532" s="5">
        <v>61</v>
      </c>
      <c r="D532" s="5">
        <v>4</v>
      </c>
      <c r="E532" s="5">
        <v>90</v>
      </c>
      <c r="F532" s="5">
        <v>9</v>
      </c>
      <c r="G532" s="5">
        <v>5800</v>
      </c>
      <c r="H532" s="5" t="s">
        <v>3990</v>
      </c>
      <c r="I532" s="5" t="s">
        <v>3990</v>
      </c>
      <c r="J532" s="5" t="s">
        <v>4312</v>
      </c>
      <c r="K532" s="10" t="e">
        <f t="shared" si="0"/>
        <v>#VALUE!</v>
      </c>
      <c r="L532" s="10">
        <f t="shared" si="1"/>
        <v>1</v>
      </c>
      <c r="M532" s="10" t="str">
        <f t="shared" si="2"/>
        <v>016</v>
      </c>
      <c r="N532" s="10" t="str">
        <f t="shared" si="3"/>
        <v>006</v>
      </c>
      <c r="O532" s="10" t="str">
        <f t="shared" si="12"/>
        <v/>
      </c>
    </row>
    <row r="533" spans="1:15" ht="12.5">
      <c r="A533" s="115" t="s">
        <v>4313</v>
      </c>
      <c r="B533" s="5">
        <v>0</v>
      </c>
      <c r="C533" s="5">
        <v>61</v>
      </c>
      <c r="D533" s="5">
        <v>4</v>
      </c>
      <c r="E533" s="5">
        <v>90</v>
      </c>
      <c r="F533" s="5">
        <v>10</v>
      </c>
      <c r="G533" s="5">
        <v>100</v>
      </c>
      <c r="H533" s="5" t="s">
        <v>3990</v>
      </c>
      <c r="I533" s="5" t="s">
        <v>4314</v>
      </c>
      <c r="J533" s="5" t="s">
        <v>4179</v>
      </c>
      <c r="K533" s="10" t="e">
        <f t="shared" si="0"/>
        <v>#VALUE!</v>
      </c>
      <c r="L533" s="10">
        <f t="shared" si="1"/>
        <v>1</v>
      </c>
      <c r="M533" s="10" t="str">
        <f t="shared" si="2"/>
        <v>001</v>
      </c>
      <c r="N533" s="10" t="str">
        <f t="shared" si="3"/>
        <v>01</v>
      </c>
      <c r="O533" s="10" t="str">
        <f t="shared" si="12"/>
        <v>TIMUR</v>
      </c>
    </row>
    <row r="534" spans="1:15" ht="12.5">
      <c r="A534" s="115" t="s">
        <v>4315</v>
      </c>
      <c r="B534" s="5">
        <v>0</v>
      </c>
      <c r="C534" s="5">
        <v>61</v>
      </c>
      <c r="D534" s="5">
        <v>4</v>
      </c>
      <c r="E534" s="5">
        <v>90</v>
      </c>
      <c r="F534" s="5">
        <v>10</v>
      </c>
      <c r="G534" s="5">
        <v>200</v>
      </c>
      <c r="H534" s="5" t="s">
        <v>3990</v>
      </c>
      <c r="I534" s="5" t="s">
        <v>4314</v>
      </c>
      <c r="J534" s="5" t="s">
        <v>4181</v>
      </c>
      <c r="K534" s="10" t="e">
        <f t="shared" si="0"/>
        <v>#VALUE!</v>
      </c>
      <c r="L534" s="10">
        <f t="shared" si="1"/>
        <v>1</v>
      </c>
      <c r="M534" s="10" t="str">
        <f t="shared" si="2"/>
        <v>002</v>
      </c>
      <c r="N534" s="10" t="str">
        <f t="shared" si="3"/>
        <v>01</v>
      </c>
      <c r="O534" s="10" t="str">
        <f t="shared" si="12"/>
        <v>TIMUR</v>
      </c>
    </row>
    <row r="535" spans="1:15" ht="12.5">
      <c r="A535" s="115" t="s">
        <v>4316</v>
      </c>
      <c r="B535" s="5">
        <v>0</v>
      </c>
      <c r="C535" s="5">
        <v>61</v>
      </c>
      <c r="D535" s="5">
        <v>4</v>
      </c>
      <c r="E535" s="5">
        <v>90</v>
      </c>
      <c r="F535" s="5">
        <v>10</v>
      </c>
      <c r="G535" s="5">
        <v>300</v>
      </c>
      <c r="H535" s="5" t="s">
        <v>3990</v>
      </c>
      <c r="I535" s="5" t="s">
        <v>4314</v>
      </c>
      <c r="J535" s="5" t="s">
        <v>4317</v>
      </c>
      <c r="K535" s="10" t="e">
        <f t="shared" si="0"/>
        <v>#VALUE!</v>
      </c>
      <c r="L535" s="10">
        <f t="shared" si="1"/>
        <v>1</v>
      </c>
      <c r="M535" s="10" t="str">
        <f t="shared" si="2"/>
        <v>003</v>
      </c>
      <c r="N535" s="10" t="str">
        <f t="shared" si="3"/>
        <v>01</v>
      </c>
      <c r="O535" s="10" t="str">
        <f t="shared" si="12"/>
        <v>TIMUR</v>
      </c>
    </row>
    <row r="536" spans="1:15" ht="12.5">
      <c r="A536" s="115" t="s">
        <v>4318</v>
      </c>
      <c r="B536" s="5">
        <v>0</v>
      </c>
      <c r="C536" s="5">
        <v>61</v>
      </c>
      <c r="D536" s="5">
        <v>4</v>
      </c>
      <c r="E536" s="5">
        <v>90</v>
      </c>
      <c r="F536" s="5">
        <v>10</v>
      </c>
      <c r="G536" s="5">
        <v>400</v>
      </c>
      <c r="H536" s="5" t="s">
        <v>3990</v>
      </c>
      <c r="I536" s="5" t="s">
        <v>4314</v>
      </c>
      <c r="J536" s="5" t="s">
        <v>4319</v>
      </c>
      <c r="K536" s="10" t="e">
        <f t="shared" si="0"/>
        <v>#VALUE!</v>
      </c>
      <c r="L536" s="10">
        <f t="shared" si="1"/>
        <v>1</v>
      </c>
      <c r="M536" s="10" t="str">
        <f t="shared" si="2"/>
        <v>004</v>
      </c>
      <c r="N536" s="10" t="str">
        <f t="shared" si="3"/>
        <v>01</v>
      </c>
      <c r="O536" s="10" t="str">
        <f t="shared" si="12"/>
        <v>TIMUR</v>
      </c>
    </row>
    <row r="537" spans="1:15" ht="12.5">
      <c r="A537" s="115" t="s">
        <v>4320</v>
      </c>
      <c r="B537" s="5">
        <v>0</v>
      </c>
      <c r="C537" s="5">
        <v>61</v>
      </c>
      <c r="D537" s="5">
        <v>4</v>
      </c>
      <c r="E537" s="5">
        <v>90</v>
      </c>
      <c r="F537" s="5">
        <v>10</v>
      </c>
      <c r="G537" s="5">
        <v>500</v>
      </c>
      <c r="H537" s="5" t="s">
        <v>3990</v>
      </c>
      <c r="I537" s="5" t="s">
        <v>4314</v>
      </c>
      <c r="J537" s="5" t="s">
        <v>4321</v>
      </c>
      <c r="K537" s="10" t="e">
        <f t="shared" si="0"/>
        <v>#VALUE!</v>
      </c>
      <c r="L537" s="10">
        <f t="shared" si="1"/>
        <v>1</v>
      </c>
      <c r="M537" s="10" t="str">
        <f t="shared" si="2"/>
        <v>001</v>
      </c>
      <c r="N537" s="10" t="str">
        <f t="shared" si="3"/>
        <v>02</v>
      </c>
      <c r="O537" s="10" t="str">
        <f t="shared" si="12"/>
        <v>BARAT</v>
      </c>
    </row>
    <row r="538" spans="1:15" ht="12.5">
      <c r="A538" s="115" t="s">
        <v>4322</v>
      </c>
      <c r="B538" s="5">
        <v>0</v>
      </c>
      <c r="C538" s="5">
        <v>61</v>
      </c>
      <c r="D538" s="5">
        <v>4</v>
      </c>
      <c r="E538" s="5">
        <v>90</v>
      </c>
      <c r="F538" s="5">
        <v>10</v>
      </c>
      <c r="G538" s="5">
        <v>600</v>
      </c>
      <c r="H538" s="5" t="s">
        <v>3990</v>
      </c>
      <c r="I538" s="5" t="s">
        <v>4314</v>
      </c>
      <c r="J538" s="5" t="s">
        <v>4323</v>
      </c>
      <c r="K538" s="10" t="e">
        <f t="shared" si="0"/>
        <v>#VALUE!</v>
      </c>
      <c r="L538" s="10">
        <f t="shared" si="1"/>
        <v>1</v>
      </c>
      <c r="M538" s="10" t="str">
        <f t="shared" si="2"/>
        <v>002</v>
      </c>
      <c r="N538" s="10" t="str">
        <f t="shared" si="3"/>
        <v>02</v>
      </c>
      <c r="O538" s="10" t="str">
        <f t="shared" si="12"/>
        <v>BARAT</v>
      </c>
    </row>
    <row r="539" spans="1:15" ht="12.5">
      <c r="A539" s="115" t="s">
        <v>4324</v>
      </c>
      <c r="B539" s="5">
        <v>0</v>
      </c>
      <c r="C539" s="5">
        <v>61</v>
      </c>
      <c r="D539" s="5">
        <v>4</v>
      </c>
      <c r="E539" s="5">
        <v>90</v>
      </c>
      <c r="F539" s="5">
        <v>10</v>
      </c>
      <c r="G539" s="5">
        <v>700</v>
      </c>
      <c r="H539" s="5" t="s">
        <v>3990</v>
      </c>
      <c r="I539" s="5" t="s">
        <v>4314</v>
      </c>
      <c r="J539" s="5" t="s">
        <v>4325</v>
      </c>
      <c r="K539" s="10" t="e">
        <f t="shared" si="0"/>
        <v>#VALUE!</v>
      </c>
      <c r="L539" s="10">
        <f t="shared" si="1"/>
        <v>1</v>
      </c>
      <c r="M539" s="10" t="str">
        <f t="shared" si="2"/>
        <v>003</v>
      </c>
      <c r="N539" s="10" t="str">
        <f t="shared" si="3"/>
        <v>02</v>
      </c>
      <c r="O539" s="10" t="str">
        <f t="shared" si="12"/>
        <v>BARAT</v>
      </c>
    </row>
    <row r="540" spans="1:15" ht="12.5">
      <c r="A540" s="115" t="s">
        <v>4326</v>
      </c>
      <c r="B540" s="5">
        <v>0</v>
      </c>
      <c r="C540" s="5">
        <v>61</v>
      </c>
      <c r="D540" s="5">
        <v>4</v>
      </c>
      <c r="E540" s="5">
        <v>90</v>
      </c>
      <c r="F540" s="5">
        <v>10</v>
      </c>
      <c r="G540" s="5">
        <v>800</v>
      </c>
      <c r="H540" s="5" t="s">
        <v>3990</v>
      </c>
      <c r="I540" s="5" t="s">
        <v>4314</v>
      </c>
      <c r="J540" s="5" t="s">
        <v>4327</v>
      </c>
      <c r="K540" s="10" t="e">
        <f t="shared" si="0"/>
        <v>#VALUE!</v>
      </c>
      <c r="L540" s="10">
        <f t="shared" si="1"/>
        <v>1</v>
      </c>
      <c r="M540" s="10" t="str">
        <f t="shared" si="2"/>
        <v>004</v>
      </c>
      <c r="N540" s="10" t="str">
        <f t="shared" si="3"/>
        <v>02</v>
      </c>
      <c r="O540" s="10" t="str">
        <f t="shared" si="12"/>
        <v>BARAT</v>
      </c>
    </row>
    <row r="541" spans="1:15" ht="12.5">
      <c r="A541" s="115" t="s">
        <v>4328</v>
      </c>
      <c r="B541" s="5">
        <v>0</v>
      </c>
      <c r="C541" s="5">
        <v>61</v>
      </c>
      <c r="D541" s="5">
        <v>4</v>
      </c>
      <c r="E541" s="5">
        <v>90</v>
      </c>
      <c r="F541" s="5">
        <v>10</v>
      </c>
      <c r="G541" s="5">
        <v>900</v>
      </c>
      <c r="H541" s="5" t="s">
        <v>3990</v>
      </c>
      <c r="I541" s="5" t="s">
        <v>4314</v>
      </c>
      <c r="J541" s="5" t="s">
        <v>4187</v>
      </c>
      <c r="K541" s="10" t="e">
        <f t="shared" si="0"/>
        <v>#VALUE!</v>
      </c>
      <c r="L541" s="10">
        <f t="shared" si="1"/>
        <v>1</v>
      </c>
      <c r="M541" s="10" t="str">
        <f t="shared" si="2"/>
        <v>005</v>
      </c>
      <c r="N541" s="10" t="str">
        <f t="shared" si="3"/>
        <v>02</v>
      </c>
      <c r="O541" s="10" t="str">
        <f t="shared" si="12"/>
        <v>BARAT</v>
      </c>
    </row>
    <row r="542" spans="1:15" ht="12.5">
      <c r="A542" s="115" t="s">
        <v>4329</v>
      </c>
      <c r="B542" s="5">
        <v>1</v>
      </c>
      <c r="C542" s="5">
        <v>61</v>
      </c>
      <c r="D542" s="5">
        <v>4</v>
      </c>
      <c r="E542" s="5">
        <v>90</v>
      </c>
      <c r="F542" s="5">
        <v>10</v>
      </c>
      <c r="G542" s="5">
        <v>100100</v>
      </c>
      <c r="H542" s="5" t="s">
        <v>3990</v>
      </c>
      <c r="I542" s="5" t="s">
        <v>4314</v>
      </c>
      <c r="J542" s="5" t="s">
        <v>4330</v>
      </c>
      <c r="K542" s="10" t="e">
        <f t="shared" si="0"/>
        <v>#VALUE!</v>
      </c>
      <c r="L542" s="10">
        <f t="shared" si="1"/>
        <v>0</v>
      </c>
      <c r="M542" s="10" t="str">
        <f t="shared" si="2"/>
        <v xml:space="preserve">UN </v>
      </c>
      <c r="N542" s="10" t="str">
        <f t="shared" si="3"/>
        <v>PA</v>
      </c>
      <c r="O542" s="10" t="str">
        <f>TRIM(MID(J542,20,10))</f>
        <v>P</v>
      </c>
    </row>
    <row r="543" spans="1:15" ht="12.5">
      <c r="A543" s="115" t="s">
        <v>4331</v>
      </c>
      <c r="B543" s="5">
        <v>0</v>
      </c>
      <c r="C543" s="5">
        <v>61</v>
      </c>
      <c r="D543" s="5">
        <v>4</v>
      </c>
      <c r="E543" s="5">
        <v>90</v>
      </c>
      <c r="F543" s="5">
        <v>11</v>
      </c>
      <c r="G543" s="5">
        <v>100</v>
      </c>
      <c r="H543" s="5" t="s">
        <v>3990</v>
      </c>
      <c r="I543" s="5" t="s">
        <v>4332</v>
      </c>
      <c r="J543" s="5" t="s">
        <v>4333</v>
      </c>
      <c r="K543" s="10" t="e">
        <f t="shared" si="0"/>
        <v>#VALUE!</v>
      </c>
      <c r="L543" s="10">
        <f t="shared" si="1"/>
        <v>1</v>
      </c>
      <c r="M543" s="10" t="str">
        <f t="shared" si="2"/>
        <v>001</v>
      </c>
      <c r="N543" s="10" t="str">
        <f t="shared" si="3"/>
        <v>01</v>
      </c>
      <c r="O543" s="10" t="str">
        <f t="shared" ref="O543:O558" si="13">TRIM(MID(J543,20,20))</f>
        <v>BARAT</v>
      </c>
    </row>
    <row r="544" spans="1:15" ht="12.5">
      <c r="A544" s="115" t="s">
        <v>4334</v>
      </c>
      <c r="B544" s="5">
        <v>0</v>
      </c>
      <c r="C544" s="5">
        <v>61</v>
      </c>
      <c r="D544" s="5">
        <v>4</v>
      </c>
      <c r="E544" s="5">
        <v>90</v>
      </c>
      <c r="F544" s="5">
        <v>11</v>
      </c>
      <c r="G544" s="5">
        <v>200</v>
      </c>
      <c r="H544" s="5" t="s">
        <v>3990</v>
      </c>
      <c r="I544" s="5" t="s">
        <v>4332</v>
      </c>
      <c r="J544" s="5" t="s">
        <v>4335</v>
      </c>
      <c r="K544" s="10" t="e">
        <f t="shared" si="0"/>
        <v>#VALUE!</v>
      </c>
      <c r="L544" s="10">
        <f t="shared" si="1"/>
        <v>1</v>
      </c>
      <c r="M544" s="10" t="str">
        <f t="shared" si="2"/>
        <v>002</v>
      </c>
      <c r="N544" s="10" t="str">
        <f t="shared" si="3"/>
        <v>01</v>
      </c>
      <c r="O544" s="10" t="str">
        <f t="shared" si="13"/>
        <v>BARAT</v>
      </c>
    </row>
    <row r="545" spans="1:15" ht="12.5">
      <c r="A545" s="115" t="s">
        <v>4336</v>
      </c>
      <c r="B545" s="5">
        <v>0</v>
      </c>
      <c r="C545" s="5">
        <v>61</v>
      </c>
      <c r="D545" s="5">
        <v>4</v>
      </c>
      <c r="E545" s="5">
        <v>90</v>
      </c>
      <c r="F545" s="5">
        <v>11</v>
      </c>
      <c r="G545" s="5">
        <v>300</v>
      </c>
      <c r="H545" s="5" t="s">
        <v>3990</v>
      </c>
      <c r="I545" s="5" t="s">
        <v>4332</v>
      </c>
      <c r="J545" s="5" t="s">
        <v>4337</v>
      </c>
      <c r="K545" s="10" t="e">
        <f t="shared" si="0"/>
        <v>#VALUE!</v>
      </c>
      <c r="L545" s="10">
        <f t="shared" si="1"/>
        <v>1</v>
      </c>
      <c r="M545" s="10" t="str">
        <f t="shared" si="2"/>
        <v>003</v>
      </c>
      <c r="N545" s="10" t="str">
        <f t="shared" si="3"/>
        <v>01</v>
      </c>
      <c r="O545" s="10" t="str">
        <f t="shared" si="13"/>
        <v>BARAT</v>
      </c>
    </row>
    <row r="546" spans="1:15" ht="12.5">
      <c r="A546" s="115" t="s">
        <v>4338</v>
      </c>
      <c r="B546" s="5">
        <v>0</v>
      </c>
      <c r="C546" s="5">
        <v>61</v>
      </c>
      <c r="D546" s="5">
        <v>4</v>
      </c>
      <c r="E546" s="5">
        <v>90</v>
      </c>
      <c r="F546" s="5">
        <v>11</v>
      </c>
      <c r="G546" s="5">
        <v>400</v>
      </c>
      <c r="H546" s="5" t="s">
        <v>3990</v>
      </c>
      <c r="I546" s="5" t="s">
        <v>4332</v>
      </c>
      <c r="J546" s="5" t="s">
        <v>4339</v>
      </c>
      <c r="K546" s="10" t="e">
        <f t="shared" si="0"/>
        <v>#VALUE!</v>
      </c>
      <c r="L546" s="10">
        <f t="shared" si="1"/>
        <v>1</v>
      </c>
      <c r="M546" s="10" t="str">
        <f t="shared" si="2"/>
        <v>012</v>
      </c>
      <c r="N546" s="10" t="str">
        <f t="shared" si="3"/>
        <v>01</v>
      </c>
      <c r="O546" s="10" t="str">
        <f t="shared" si="13"/>
        <v>BARAT</v>
      </c>
    </row>
    <row r="547" spans="1:15" ht="12.5">
      <c r="A547" s="115" t="s">
        <v>4340</v>
      </c>
      <c r="B547" s="5">
        <v>0</v>
      </c>
      <c r="C547" s="5">
        <v>61</v>
      </c>
      <c r="D547" s="5">
        <v>4</v>
      </c>
      <c r="E547" s="5">
        <v>90</v>
      </c>
      <c r="F547" s="5">
        <v>11</v>
      </c>
      <c r="G547" s="5">
        <v>500</v>
      </c>
      <c r="H547" s="5" t="s">
        <v>3990</v>
      </c>
      <c r="I547" s="5" t="s">
        <v>4332</v>
      </c>
      <c r="J547" s="5" t="s">
        <v>4327</v>
      </c>
      <c r="K547" s="10" t="e">
        <f t="shared" si="0"/>
        <v>#VALUE!</v>
      </c>
      <c r="L547" s="10">
        <f t="shared" si="1"/>
        <v>1</v>
      </c>
      <c r="M547" s="10" t="str">
        <f t="shared" si="2"/>
        <v>004</v>
      </c>
      <c r="N547" s="10" t="str">
        <f t="shared" si="3"/>
        <v>02</v>
      </c>
      <c r="O547" s="10" t="str">
        <f t="shared" si="13"/>
        <v>BARAT</v>
      </c>
    </row>
    <row r="548" spans="1:15" ht="12.5">
      <c r="A548" s="115" t="s">
        <v>4341</v>
      </c>
      <c r="B548" s="5">
        <v>0</v>
      </c>
      <c r="C548" s="5">
        <v>61</v>
      </c>
      <c r="D548" s="5">
        <v>4</v>
      </c>
      <c r="E548" s="5">
        <v>90</v>
      </c>
      <c r="F548" s="5">
        <v>11</v>
      </c>
      <c r="G548" s="5">
        <v>600</v>
      </c>
      <c r="H548" s="5" t="s">
        <v>3990</v>
      </c>
      <c r="I548" s="5" t="s">
        <v>4332</v>
      </c>
      <c r="J548" s="5" t="s">
        <v>4187</v>
      </c>
      <c r="K548" s="10" t="e">
        <f t="shared" si="0"/>
        <v>#VALUE!</v>
      </c>
      <c r="L548" s="10">
        <f t="shared" si="1"/>
        <v>1</v>
      </c>
      <c r="M548" s="10" t="str">
        <f t="shared" si="2"/>
        <v>005</v>
      </c>
      <c r="N548" s="10" t="str">
        <f t="shared" si="3"/>
        <v>02</v>
      </c>
      <c r="O548" s="10" t="str">
        <f t="shared" si="13"/>
        <v>BARAT</v>
      </c>
    </row>
    <row r="549" spans="1:15" ht="12.5">
      <c r="A549" s="115" t="s">
        <v>4342</v>
      </c>
      <c r="B549" s="5">
        <v>0</v>
      </c>
      <c r="C549" s="5">
        <v>61</v>
      </c>
      <c r="D549" s="5">
        <v>4</v>
      </c>
      <c r="E549" s="5">
        <v>90</v>
      </c>
      <c r="F549" s="5">
        <v>11</v>
      </c>
      <c r="G549" s="5">
        <v>700</v>
      </c>
      <c r="H549" s="5" t="s">
        <v>3990</v>
      </c>
      <c r="I549" s="5" t="s">
        <v>4332</v>
      </c>
      <c r="J549" s="5" t="s">
        <v>4343</v>
      </c>
      <c r="K549" s="10" t="e">
        <f t="shared" si="0"/>
        <v>#VALUE!</v>
      </c>
      <c r="L549" s="10">
        <f t="shared" si="1"/>
        <v>1</v>
      </c>
      <c r="M549" s="10" t="str">
        <f t="shared" si="2"/>
        <v>006</v>
      </c>
      <c r="N549" s="10" t="str">
        <f t="shared" si="3"/>
        <v>02</v>
      </c>
      <c r="O549" s="10" t="str">
        <f t="shared" si="13"/>
        <v>BARAT</v>
      </c>
    </row>
    <row r="550" spans="1:15" ht="12.5">
      <c r="A550" s="115" t="s">
        <v>4344</v>
      </c>
      <c r="B550" s="5">
        <v>0</v>
      </c>
      <c r="C550" s="5">
        <v>61</v>
      </c>
      <c r="D550" s="5">
        <v>4</v>
      </c>
      <c r="E550" s="5">
        <v>90</v>
      </c>
      <c r="F550" s="5">
        <v>11</v>
      </c>
      <c r="G550" s="5">
        <v>800</v>
      </c>
      <c r="H550" s="5" t="s">
        <v>3990</v>
      </c>
      <c r="I550" s="5" t="s">
        <v>4332</v>
      </c>
      <c r="J550" s="5" t="s">
        <v>4345</v>
      </c>
      <c r="K550" s="10" t="e">
        <f t="shared" si="0"/>
        <v>#VALUE!</v>
      </c>
      <c r="L550" s="10">
        <f t="shared" si="1"/>
        <v>1</v>
      </c>
      <c r="M550" s="10" t="str">
        <f t="shared" si="2"/>
        <v>013</v>
      </c>
      <c r="N550" s="10" t="str">
        <f t="shared" si="3"/>
        <v>02</v>
      </c>
      <c r="O550" s="10" t="str">
        <f t="shared" si="13"/>
        <v>BARAT</v>
      </c>
    </row>
    <row r="551" spans="1:15" ht="12.5">
      <c r="A551" s="115" t="s">
        <v>4346</v>
      </c>
      <c r="B551" s="5">
        <v>0</v>
      </c>
      <c r="C551" s="5">
        <v>61</v>
      </c>
      <c r="D551" s="5">
        <v>4</v>
      </c>
      <c r="E551" s="5">
        <v>90</v>
      </c>
      <c r="F551" s="5">
        <v>11</v>
      </c>
      <c r="G551" s="5">
        <v>900</v>
      </c>
      <c r="H551" s="5" t="s">
        <v>3990</v>
      </c>
      <c r="I551" s="5" t="s">
        <v>4332</v>
      </c>
      <c r="J551" s="5" t="s">
        <v>4347</v>
      </c>
      <c r="K551" s="10" t="e">
        <f t="shared" si="0"/>
        <v>#VALUE!</v>
      </c>
      <c r="L551" s="10">
        <f t="shared" si="1"/>
        <v>1</v>
      </c>
      <c r="M551" s="10" t="str">
        <f t="shared" si="2"/>
        <v>007</v>
      </c>
      <c r="N551" s="10" t="str">
        <f t="shared" si="3"/>
        <v>03</v>
      </c>
      <c r="O551" s="10" t="str">
        <f t="shared" si="13"/>
        <v>TIMUR</v>
      </c>
    </row>
    <row r="552" spans="1:15" ht="12.5">
      <c r="A552" s="115" t="s">
        <v>4348</v>
      </c>
      <c r="B552" s="5">
        <v>0</v>
      </c>
      <c r="C552" s="5">
        <v>61</v>
      </c>
      <c r="D552" s="5">
        <v>4</v>
      </c>
      <c r="E552" s="5">
        <v>90</v>
      </c>
      <c r="F552" s="5">
        <v>11</v>
      </c>
      <c r="G552" s="5">
        <v>1000</v>
      </c>
      <c r="H552" s="5" t="s">
        <v>3990</v>
      </c>
      <c r="I552" s="5" t="s">
        <v>4332</v>
      </c>
      <c r="J552" s="5" t="s">
        <v>4349</v>
      </c>
      <c r="K552" s="10" t="e">
        <f t="shared" si="0"/>
        <v>#VALUE!</v>
      </c>
      <c r="L552" s="10">
        <f t="shared" si="1"/>
        <v>1</v>
      </c>
      <c r="M552" s="10" t="str">
        <f t="shared" si="2"/>
        <v>011</v>
      </c>
      <c r="N552" s="10" t="str">
        <f t="shared" si="3"/>
        <v>03</v>
      </c>
      <c r="O552" s="10" t="str">
        <f t="shared" si="13"/>
        <v>TIMUR</v>
      </c>
    </row>
    <row r="553" spans="1:15" ht="12.5">
      <c r="A553" s="115" t="s">
        <v>4350</v>
      </c>
      <c r="B553" s="5">
        <v>0</v>
      </c>
      <c r="C553" s="5">
        <v>61</v>
      </c>
      <c r="D553" s="5">
        <v>4</v>
      </c>
      <c r="E553" s="5">
        <v>90</v>
      </c>
      <c r="F553" s="5">
        <v>11</v>
      </c>
      <c r="G553" s="5">
        <v>1100</v>
      </c>
      <c r="H553" s="5" t="s">
        <v>3990</v>
      </c>
      <c r="I553" s="5" t="s">
        <v>4332</v>
      </c>
      <c r="J553" s="5" t="s">
        <v>4351</v>
      </c>
      <c r="K553" s="10" t="e">
        <f t="shared" si="0"/>
        <v>#VALUE!</v>
      </c>
      <c r="L553" s="10">
        <f t="shared" si="1"/>
        <v>1</v>
      </c>
      <c r="M553" s="10" t="str">
        <f t="shared" si="2"/>
        <v>015</v>
      </c>
      <c r="N553" s="10" t="str">
        <f t="shared" si="3"/>
        <v>03</v>
      </c>
      <c r="O553" s="10" t="str">
        <f t="shared" si="13"/>
        <v>TIMUR</v>
      </c>
    </row>
    <row r="554" spans="1:15" ht="12.5">
      <c r="A554" s="115" t="s">
        <v>4352</v>
      </c>
      <c r="B554" s="5">
        <v>0</v>
      </c>
      <c r="C554" s="5">
        <v>61</v>
      </c>
      <c r="D554" s="5">
        <v>4</v>
      </c>
      <c r="E554" s="5">
        <v>90</v>
      </c>
      <c r="F554" s="5">
        <v>11</v>
      </c>
      <c r="G554" s="5">
        <v>1200</v>
      </c>
      <c r="H554" s="5" t="s">
        <v>3990</v>
      </c>
      <c r="I554" s="5" t="s">
        <v>4332</v>
      </c>
      <c r="J554" s="5" t="s">
        <v>4353</v>
      </c>
      <c r="K554" s="10" t="e">
        <f t="shared" si="0"/>
        <v>#VALUE!</v>
      </c>
      <c r="L554" s="10">
        <f t="shared" si="1"/>
        <v>1</v>
      </c>
      <c r="M554" s="10" t="str">
        <f t="shared" si="2"/>
        <v>016</v>
      </c>
      <c r="N554" s="10" t="str">
        <f t="shared" si="3"/>
        <v>03</v>
      </c>
      <c r="O554" s="10" t="str">
        <f t="shared" si="13"/>
        <v>TIMUR</v>
      </c>
    </row>
    <row r="555" spans="1:15" ht="12.5">
      <c r="A555" s="115" t="s">
        <v>4354</v>
      </c>
      <c r="B555" s="5">
        <v>0</v>
      </c>
      <c r="C555" s="5">
        <v>61</v>
      </c>
      <c r="D555" s="5">
        <v>4</v>
      </c>
      <c r="E555" s="5">
        <v>90</v>
      </c>
      <c r="F555" s="5">
        <v>11</v>
      </c>
      <c r="G555" s="5">
        <v>1300</v>
      </c>
      <c r="H555" s="5" t="s">
        <v>3990</v>
      </c>
      <c r="I555" s="5" t="s">
        <v>4332</v>
      </c>
      <c r="J555" s="5" t="s">
        <v>4355</v>
      </c>
      <c r="K555" s="10" t="e">
        <f t="shared" si="0"/>
        <v>#VALUE!</v>
      </c>
      <c r="L555" s="10">
        <f t="shared" si="1"/>
        <v>1</v>
      </c>
      <c r="M555" s="10" t="str">
        <f t="shared" si="2"/>
        <v>008</v>
      </c>
      <c r="N555" s="10" t="str">
        <f t="shared" si="3"/>
        <v>04</v>
      </c>
      <c r="O555" s="10" t="str">
        <f t="shared" si="13"/>
        <v>TIMUR</v>
      </c>
    </row>
    <row r="556" spans="1:15" ht="12.5">
      <c r="A556" s="115" t="s">
        <v>4356</v>
      </c>
      <c r="B556" s="5">
        <v>0</v>
      </c>
      <c r="C556" s="5">
        <v>61</v>
      </c>
      <c r="D556" s="5">
        <v>4</v>
      </c>
      <c r="E556" s="5">
        <v>90</v>
      </c>
      <c r="F556" s="5">
        <v>11</v>
      </c>
      <c r="G556" s="5">
        <v>1400</v>
      </c>
      <c r="H556" s="5" t="s">
        <v>3990</v>
      </c>
      <c r="I556" s="5" t="s">
        <v>4332</v>
      </c>
      <c r="J556" s="5" t="s">
        <v>4357</v>
      </c>
      <c r="K556" s="10" t="e">
        <f t="shared" si="0"/>
        <v>#VALUE!</v>
      </c>
      <c r="L556" s="10">
        <f t="shared" si="1"/>
        <v>1</v>
      </c>
      <c r="M556" s="10" t="str">
        <f t="shared" si="2"/>
        <v>009</v>
      </c>
      <c r="N556" s="10" t="str">
        <f t="shared" si="3"/>
        <v>04</v>
      </c>
      <c r="O556" s="10" t="str">
        <f t="shared" si="13"/>
        <v>TIMUR</v>
      </c>
    </row>
    <row r="557" spans="1:15" ht="12.5">
      <c r="A557" s="115" t="s">
        <v>4358</v>
      </c>
      <c r="B557" s="5">
        <v>0</v>
      </c>
      <c r="C557" s="5">
        <v>61</v>
      </c>
      <c r="D557" s="5">
        <v>4</v>
      </c>
      <c r="E557" s="5">
        <v>90</v>
      </c>
      <c r="F557" s="5">
        <v>11</v>
      </c>
      <c r="G557" s="5">
        <v>1500</v>
      </c>
      <c r="H557" s="5" t="s">
        <v>3990</v>
      </c>
      <c r="I557" s="5" t="s">
        <v>4332</v>
      </c>
      <c r="J557" s="5" t="s">
        <v>4359</v>
      </c>
      <c r="K557" s="10" t="e">
        <f t="shared" si="0"/>
        <v>#VALUE!</v>
      </c>
      <c r="L557" s="10">
        <f t="shared" si="1"/>
        <v>1</v>
      </c>
      <c r="M557" s="10" t="str">
        <f t="shared" si="2"/>
        <v>010</v>
      </c>
      <c r="N557" s="10" t="str">
        <f t="shared" si="3"/>
        <v>04</v>
      </c>
      <c r="O557" s="10" t="str">
        <f t="shared" si="13"/>
        <v>TIMUR</v>
      </c>
    </row>
    <row r="558" spans="1:15" ht="12.5">
      <c r="A558" s="115" t="s">
        <v>4360</v>
      </c>
      <c r="B558" s="5">
        <v>0</v>
      </c>
      <c r="C558" s="5">
        <v>61</v>
      </c>
      <c r="D558" s="5">
        <v>4</v>
      </c>
      <c r="E558" s="5">
        <v>90</v>
      </c>
      <c r="F558" s="5">
        <v>11</v>
      </c>
      <c r="G558" s="5">
        <v>1600</v>
      </c>
      <c r="H558" s="5" t="s">
        <v>3990</v>
      </c>
      <c r="I558" s="5" t="s">
        <v>4332</v>
      </c>
      <c r="J558" s="5" t="s">
        <v>4361</v>
      </c>
      <c r="K558" s="10" t="e">
        <f t="shared" si="0"/>
        <v>#VALUE!</v>
      </c>
      <c r="L558" s="10">
        <f t="shared" si="1"/>
        <v>1</v>
      </c>
      <c r="M558" s="10" t="str">
        <f t="shared" si="2"/>
        <v>014</v>
      </c>
      <c r="N558" s="10" t="str">
        <f t="shared" si="3"/>
        <v>04</v>
      </c>
      <c r="O558" s="10" t="str">
        <f t="shared" si="13"/>
        <v>TIMUR</v>
      </c>
    </row>
    <row r="559" spans="1:15" ht="12.5">
      <c r="A559" s="115" t="s">
        <v>4362</v>
      </c>
      <c r="B559" s="5">
        <v>2</v>
      </c>
      <c r="C559" s="5">
        <v>61</v>
      </c>
      <c r="D559" s="5">
        <v>4</v>
      </c>
      <c r="E559" s="5">
        <v>90</v>
      </c>
      <c r="F559" s="5">
        <v>11</v>
      </c>
      <c r="G559" s="5">
        <v>200100</v>
      </c>
      <c r="H559" s="5" t="s">
        <v>3990</v>
      </c>
      <c r="I559" s="5" t="s">
        <v>4332</v>
      </c>
      <c r="J559" s="5" t="s">
        <v>3517</v>
      </c>
      <c r="K559" s="10" t="e">
        <f t="shared" si="0"/>
        <v>#VALUE!</v>
      </c>
      <c r="L559" s="10">
        <f t="shared" si="1"/>
        <v>0</v>
      </c>
      <c r="M559" s="10" t="str">
        <f t="shared" si="2"/>
        <v>AN</v>
      </c>
      <c r="N559" s="10" t="str">
        <f t="shared" si="3"/>
        <v/>
      </c>
      <c r="O559" s="10" t="str">
        <f t="shared" ref="O559:O560" si="14">TRIM(MID(J559,20,10))</f>
        <v/>
      </c>
    </row>
    <row r="560" spans="1:15" ht="12.5">
      <c r="A560" s="115" t="s">
        <v>4363</v>
      </c>
      <c r="B560" s="5">
        <v>2</v>
      </c>
      <c r="C560" s="5">
        <v>61</v>
      </c>
      <c r="D560" s="5">
        <v>4</v>
      </c>
      <c r="E560" s="5">
        <v>90</v>
      </c>
      <c r="F560" s="5">
        <v>11</v>
      </c>
      <c r="G560" s="5">
        <v>200200</v>
      </c>
      <c r="H560" s="5" t="s">
        <v>3990</v>
      </c>
      <c r="I560" s="5" t="s">
        <v>4332</v>
      </c>
      <c r="J560" s="5" t="s">
        <v>3517</v>
      </c>
      <c r="K560" s="10" t="e">
        <f t="shared" si="0"/>
        <v>#VALUE!</v>
      </c>
      <c r="L560" s="10">
        <f t="shared" si="1"/>
        <v>0</v>
      </c>
      <c r="M560" s="10" t="str">
        <f t="shared" si="2"/>
        <v>AN</v>
      </c>
      <c r="N560" s="10" t="str">
        <f t="shared" si="3"/>
        <v/>
      </c>
      <c r="O560" s="10" t="str">
        <f t="shared" si="14"/>
        <v/>
      </c>
    </row>
    <row r="561" spans="1:15" ht="12.5">
      <c r="A561" s="115" t="s">
        <v>4364</v>
      </c>
      <c r="B561" s="5">
        <v>0</v>
      </c>
      <c r="C561" s="5">
        <v>61</v>
      </c>
      <c r="D561" s="5">
        <v>4</v>
      </c>
      <c r="E561" s="5">
        <v>90</v>
      </c>
      <c r="F561" s="5">
        <v>12</v>
      </c>
      <c r="G561" s="5">
        <v>100</v>
      </c>
      <c r="H561" s="5" t="s">
        <v>3990</v>
      </c>
      <c r="I561" s="5" t="s">
        <v>4365</v>
      </c>
      <c r="J561" s="5" t="s">
        <v>4366</v>
      </c>
      <c r="K561" s="10" t="e">
        <f t="shared" si="0"/>
        <v>#VALUE!</v>
      </c>
      <c r="L561" s="10">
        <f t="shared" si="1"/>
        <v>1</v>
      </c>
      <c r="M561" s="10" t="str">
        <f t="shared" si="2"/>
        <v>001</v>
      </c>
      <c r="N561" s="10" t="str">
        <f t="shared" si="3"/>
        <v>01</v>
      </c>
      <c r="O561" s="10" t="str">
        <f t="shared" ref="O561:O580" si="15">TRIM(MID(J561,20,20))</f>
        <v>PARIT KURUS</v>
      </c>
    </row>
    <row r="562" spans="1:15" ht="12.5">
      <c r="A562" s="115" t="s">
        <v>4367</v>
      </c>
      <c r="B562" s="5">
        <v>0</v>
      </c>
      <c r="C562" s="5">
        <v>61</v>
      </c>
      <c r="D562" s="5">
        <v>4</v>
      </c>
      <c r="E562" s="5">
        <v>90</v>
      </c>
      <c r="F562" s="5">
        <v>12</v>
      </c>
      <c r="G562" s="5">
        <v>200</v>
      </c>
      <c r="H562" s="5" t="s">
        <v>3990</v>
      </c>
      <c r="I562" s="5" t="s">
        <v>4365</v>
      </c>
      <c r="J562" s="5" t="s">
        <v>4368</v>
      </c>
      <c r="K562" s="10" t="e">
        <f t="shared" si="0"/>
        <v>#VALUE!</v>
      </c>
      <c r="L562" s="10">
        <f t="shared" si="1"/>
        <v>1</v>
      </c>
      <c r="M562" s="10" t="str">
        <f t="shared" si="2"/>
        <v>002</v>
      </c>
      <c r="N562" s="10" t="str">
        <f t="shared" si="3"/>
        <v>01</v>
      </c>
      <c r="O562" s="10" t="str">
        <f t="shared" si="15"/>
        <v>PARIT KURUS</v>
      </c>
    </row>
    <row r="563" spans="1:15" ht="12.5">
      <c r="A563" s="115" t="s">
        <v>4369</v>
      </c>
      <c r="B563" s="5">
        <v>0</v>
      </c>
      <c r="C563" s="5">
        <v>61</v>
      </c>
      <c r="D563" s="5">
        <v>4</v>
      </c>
      <c r="E563" s="5">
        <v>90</v>
      </c>
      <c r="F563" s="5">
        <v>12</v>
      </c>
      <c r="G563" s="5">
        <v>300</v>
      </c>
      <c r="H563" s="5" t="s">
        <v>3990</v>
      </c>
      <c r="I563" s="5" t="s">
        <v>4365</v>
      </c>
      <c r="J563" s="5" t="s">
        <v>4370</v>
      </c>
      <c r="K563" s="10" t="e">
        <f t="shared" si="0"/>
        <v>#VALUE!</v>
      </c>
      <c r="L563" s="10">
        <f t="shared" si="1"/>
        <v>1</v>
      </c>
      <c r="M563" s="10" t="str">
        <f t="shared" si="2"/>
        <v>003</v>
      </c>
      <c r="N563" s="10" t="str">
        <f t="shared" si="3"/>
        <v>02</v>
      </c>
      <c r="O563" s="10" t="str">
        <f t="shared" si="15"/>
        <v>PARIT KURUS</v>
      </c>
    </row>
    <row r="564" spans="1:15" ht="12.5">
      <c r="A564" s="115" t="s">
        <v>4371</v>
      </c>
      <c r="B564" s="5">
        <v>0</v>
      </c>
      <c r="C564" s="5">
        <v>61</v>
      </c>
      <c r="D564" s="5">
        <v>4</v>
      </c>
      <c r="E564" s="5">
        <v>90</v>
      </c>
      <c r="F564" s="5">
        <v>12</v>
      </c>
      <c r="G564" s="5">
        <v>400</v>
      </c>
      <c r="H564" s="5" t="s">
        <v>3990</v>
      </c>
      <c r="I564" s="5" t="s">
        <v>4365</v>
      </c>
      <c r="J564" s="5" t="s">
        <v>4372</v>
      </c>
      <c r="K564" s="10" t="e">
        <f t="shared" si="0"/>
        <v>#VALUE!</v>
      </c>
      <c r="L564" s="10">
        <f t="shared" si="1"/>
        <v>1</v>
      </c>
      <c r="M564" s="10" t="str">
        <f t="shared" si="2"/>
        <v>004</v>
      </c>
      <c r="N564" s="10" t="str">
        <f t="shared" si="3"/>
        <v>02</v>
      </c>
      <c r="O564" s="10" t="str">
        <f t="shared" si="15"/>
        <v>PARIT KURUS</v>
      </c>
    </row>
    <row r="565" spans="1:15" ht="12.5">
      <c r="A565" s="115" t="s">
        <v>4373</v>
      </c>
      <c r="B565" s="5">
        <v>0</v>
      </c>
      <c r="C565" s="5">
        <v>61</v>
      </c>
      <c r="D565" s="5">
        <v>4</v>
      </c>
      <c r="E565" s="5">
        <v>90</v>
      </c>
      <c r="F565" s="5">
        <v>12</v>
      </c>
      <c r="G565" s="5">
        <v>500</v>
      </c>
      <c r="H565" s="5" t="s">
        <v>3990</v>
      </c>
      <c r="I565" s="5" t="s">
        <v>4365</v>
      </c>
      <c r="J565" s="5" t="s">
        <v>4374</v>
      </c>
      <c r="K565" s="10" t="e">
        <f t="shared" si="0"/>
        <v>#VALUE!</v>
      </c>
      <c r="L565" s="10">
        <f t="shared" si="1"/>
        <v>1</v>
      </c>
      <c r="M565" s="10" t="str">
        <f t="shared" si="2"/>
        <v>005</v>
      </c>
      <c r="N565" s="10" t="str">
        <f t="shared" si="3"/>
        <v>03</v>
      </c>
      <c r="O565" s="10" t="str">
        <f t="shared" si="15"/>
        <v>PARIT KURUS</v>
      </c>
    </row>
    <row r="566" spans="1:15" ht="12.5">
      <c r="A566" s="115" t="s">
        <v>4375</v>
      </c>
      <c r="B566" s="5">
        <v>0</v>
      </c>
      <c r="C566" s="5">
        <v>61</v>
      </c>
      <c r="D566" s="5">
        <v>4</v>
      </c>
      <c r="E566" s="5">
        <v>90</v>
      </c>
      <c r="F566" s="5">
        <v>12</v>
      </c>
      <c r="G566" s="5">
        <v>600</v>
      </c>
      <c r="H566" s="5" t="s">
        <v>3990</v>
      </c>
      <c r="I566" s="5" t="s">
        <v>4365</v>
      </c>
      <c r="J566" s="5" t="s">
        <v>4376</v>
      </c>
      <c r="K566" s="10" t="e">
        <f t="shared" si="0"/>
        <v>#VALUE!</v>
      </c>
      <c r="L566" s="10">
        <f t="shared" si="1"/>
        <v>1</v>
      </c>
      <c r="M566" s="10" t="str">
        <f t="shared" si="2"/>
        <v>006</v>
      </c>
      <c r="N566" s="10" t="str">
        <f t="shared" si="3"/>
        <v>03</v>
      </c>
      <c r="O566" s="10" t="str">
        <f t="shared" si="15"/>
        <v>HULU SUNGAI</v>
      </c>
    </row>
    <row r="567" spans="1:15" ht="12.5">
      <c r="A567" s="115" t="s">
        <v>4377</v>
      </c>
      <c r="B567" s="5">
        <v>0</v>
      </c>
      <c r="C567" s="5">
        <v>61</v>
      </c>
      <c r="D567" s="5">
        <v>4</v>
      </c>
      <c r="E567" s="5">
        <v>90</v>
      </c>
      <c r="F567" s="5">
        <v>12</v>
      </c>
      <c r="G567" s="5">
        <v>700</v>
      </c>
      <c r="H567" s="5" t="s">
        <v>3990</v>
      </c>
      <c r="I567" s="5" t="s">
        <v>4365</v>
      </c>
      <c r="J567" s="5" t="s">
        <v>4378</v>
      </c>
      <c r="K567" s="10" t="e">
        <f t="shared" si="0"/>
        <v>#VALUE!</v>
      </c>
      <c r="L567" s="10">
        <f t="shared" si="1"/>
        <v>1</v>
      </c>
      <c r="M567" s="10" t="str">
        <f t="shared" si="2"/>
        <v>007</v>
      </c>
      <c r="N567" s="10" t="str">
        <f t="shared" si="3"/>
        <v>04</v>
      </c>
      <c r="O567" s="10" t="str">
        <f t="shared" si="15"/>
        <v>HULU SUNGAI</v>
      </c>
    </row>
    <row r="568" spans="1:15" ht="12.5">
      <c r="A568" s="115" t="s">
        <v>4379</v>
      </c>
      <c r="B568" s="5">
        <v>0</v>
      </c>
      <c r="C568" s="5">
        <v>61</v>
      </c>
      <c r="D568" s="5">
        <v>4</v>
      </c>
      <c r="E568" s="5">
        <v>90</v>
      </c>
      <c r="F568" s="5">
        <v>12</v>
      </c>
      <c r="G568" s="5">
        <v>800</v>
      </c>
      <c r="H568" s="5" t="s">
        <v>3990</v>
      </c>
      <c r="I568" s="5" t="s">
        <v>4365</v>
      </c>
      <c r="J568" s="5" t="s">
        <v>4380</v>
      </c>
      <c r="K568" s="10" t="e">
        <f t="shared" si="0"/>
        <v>#VALUE!</v>
      </c>
      <c r="L568" s="10">
        <f t="shared" si="1"/>
        <v>1</v>
      </c>
      <c r="M568" s="10" t="str">
        <f t="shared" si="2"/>
        <v>008</v>
      </c>
      <c r="N568" s="10" t="str">
        <f t="shared" si="3"/>
        <v>04</v>
      </c>
      <c r="O568" s="10" t="str">
        <f t="shared" si="15"/>
        <v>HULU SUNGAI</v>
      </c>
    </row>
    <row r="569" spans="1:15" ht="12.5">
      <c r="A569" s="115" t="s">
        <v>4381</v>
      </c>
      <c r="B569" s="5">
        <v>0</v>
      </c>
      <c r="C569" s="5">
        <v>61</v>
      </c>
      <c r="D569" s="5">
        <v>4</v>
      </c>
      <c r="E569" s="5">
        <v>90</v>
      </c>
      <c r="F569" s="5">
        <v>12</v>
      </c>
      <c r="G569" s="5">
        <v>900</v>
      </c>
      <c r="H569" s="5" t="s">
        <v>3990</v>
      </c>
      <c r="I569" s="5" t="s">
        <v>4365</v>
      </c>
      <c r="J569" s="5" t="s">
        <v>4382</v>
      </c>
      <c r="K569" s="10" t="e">
        <f t="shared" si="0"/>
        <v>#VALUE!</v>
      </c>
      <c r="L569" s="10">
        <f t="shared" si="1"/>
        <v>1</v>
      </c>
      <c r="M569" s="10" t="str">
        <f t="shared" si="2"/>
        <v>009</v>
      </c>
      <c r="N569" s="10" t="str">
        <f t="shared" si="3"/>
        <v>05</v>
      </c>
      <c r="O569" s="10" t="str">
        <f t="shared" si="15"/>
        <v>HULU SUNGAI</v>
      </c>
    </row>
    <row r="570" spans="1:15" ht="12.5">
      <c r="A570" s="115" t="s">
        <v>4383</v>
      </c>
      <c r="B570" s="5">
        <v>0</v>
      </c>
      <c r="C570" s="5">
        <v>61</v>
      </c>
      <c r="D570" s="5">
        <v>4</v>
      </c>
      <c r="E570" s="5">
        <v>90</v>
      </c>
      <c r="F570" s="5">
        <v>12</v>
      </c>
      <c r="G570" s="5">
        <v>1000</v>
      </c>
      <c r="H570" s="5" t="s">
        <v>3990</v>
      </c>
      <c r="I570" s="5" t="s">
        <v>4365</v>
      </c>
      <c r="J570" s="5" t="s">
        <v>4384</v>
      </c>
      <c r="K570" s="10" t="e">
        <f t="shared" si="0"/>
        <v>#VALUE!</v>
      </c>
      <c r="L570" s="10">
        <f t="shared" si="1"/>
        <v>1</v>
      </c>
      <c r="M570" s="10" t="str">
        <f t="shared" si="2"/>
        <v>010</v>
      </c>
      <c r="N570" s="10" t="str">
        <f t="shared" si="3"/>
        <v>05</v>
      </c>
      <c r="O570" s="10" t="str">
        <f t="shared" si="15"/>
        <v>SIMPANG EMPAT</v>
      </c>
    </row>
    <row r="571" spans="1:15" ht="12.5">
      <c r="A571" s="115" t="s">
        <v>4385</v>
      </c>
      <c r="B571" s="5">
        <v>0</v>
      </c>
      <c r="C571" s="5">
        <v>61</v>
      </c>
      <c r="D571" s="5">
        <v>4</v>
      </c>
      <c r="E571" s="5">
        <v>90</v>
      </c>
      <c r="F571" s="5">
        <v>12</v>
      </c>
      <c r="G571" s="5">
        <v>1100</v>
      </c>
      <c r="H571" s="5" t="s">
        <v>3990</v>
      </c>
      <c r="I571" s="5" t="s">
        <v>4365</v>
      </c>
      <c r="J571" s="5" t="s">
        <v>4386</v>
      </c>
      <c r="K571" s="10" t="e">
        <f t="shared" si="0"/>
        <v>#VALUE!</v>
      </c>
      <c r="L571" s="10">
        <f t="shared" si="1"/>
        <v>1</v>
      </c>
      <c r="M571" s="10" t="str">
        <f t="shared" si="2"/>
        <v>011</v>
      </c>
      <c r="N571" s="10" t="str">
        <f t="shared" si="3"/>
        <v>06</v>
      </c>
      <c r="O571" s="10" t="str">
        <f t="shared" si="15"/>
        <v>SIMPANG EMPAT</v>
      </c>
    </row>
    <row r="572" spans="1:15" ht="12.5">
      <c r="A572" s="115" t="s">
        <v>4387</v>
      </c>
      <c r="B572" s="5">
        <v>0</v>
      </c>
      <c r="C572" s="5">
        <v>61</v>
      </c>
      <c r="D572" s="5">
        <v>4</v>
      </c>
      <c r="E572" s="5">
        <v>90</v>
      </c>
      <c r="F572" s="5">
        <v>12</v>
      </c>
      <c r="G572" s="5">
        <v>1200</v>
      </c>
      <c r="H572" s="5" t="s">
        <v>3990</v>
      </c>
      <c r="I572" s="5" t="s">
        <v>4365</v>
      </c>
      <c r="J572" s="5" t="s">
        <v>4388</v>
      </c>
      <c r="K572" s="10" t="e">
        <f t="shared" si="0"/>
        <v>#VALUE!</v>
      </c>
      <c r="L572" s="10">
        <f t="shared" si="1"/>
        <v>1</v>
      </c>
      <c r="M572" s="10" t="str">
        <f t="shared" si="2"/>
        <v>012</v>
      </c>
      <c r="N572" s="10" t="str">
        <f t="shared" si="3"/>
        <v>06</v>
      </c>
      <c r="O572" s="10" t="str">
        <f t="shared" si="15"/>
        <v>SIMPANG EMPAT</v>
      </c>
    </row>
    <row r="573" spans="1:15" ht="12.5">
      <c r="A573" s="115" t="s">
        <v>4389</v>
      </c>
      <c r="B573" s="5">
        <v>0</v>
      </c>
      <c r="C573" s="5">
        <v>61</v>
      </c>
      <c r="D573" s="5">
        <v>4</v>
      </c>
      <c r="E573" s="5">
        <v>90</v>
      </c>
      <c r="F573" s="5">
        <v>12</v>
      </c>
      <c r="G573" s="5">
        <v>1300</v>
      </c>
      <c r="H573" s="5" t="s">
        <v>3990</v>
      </c>
      <c r="I573" s="5" t="s">
        <v>4365</v>
      </c>
      <c r="J573" s="5" t="s">
        <v>4390</v>
      </c>
      <c r="K573" s="10" t="e">
        <f t="shared" si="0"/>
        <v>#VALUE!</v>
      </c>
      <c r="L573" s="10">
        <f t="shared" si="1"/>
        <v>1</v>
      </c>
      <c r="M573" s="10" t="str">
        <f t="shared" si="2"/>
        <v>013</v>
      </c>
      <c r="N573" s="10" t="str">
        <f t="shared" si="3"/>
        <v>07</v>
      </c>
      <c r="O573" s="10" t="str">
        <f t="shared" si="15"/>
        <v>PARIT H. AMIN</v>
      </c>
    </row>
    <row r="574" spans="1:15" ht="12.5">
      <c r="A574" s="115" t="s">
        <v>4391</v>
      </c>
      <c r="B574" s="5">
        <v>0</v>
      </c>
      <c r="C574" s="5">
        <v>61</v>
      </c>
      <c r="D574" s="5">
        <v>4</v>
      </c>
      <c r="E574" s="5">
        <v>90</v>
      </c>
      <c r="F574" s="5">
        <v>12</v>
      </c>
      <c r="G574" s="5">
        <v>1400</v>
      </c>
      <c r="H574" s="5" t="s">
        <v>3990</v>
      </c>
      <c r="I574" s="5" t="s">
        <v>4365</v>
      </c>
      <c r="J574" s="5" t="s">
        <v>4392</v>
      </c>
      <c r="K574" s="10" t="e">
        <f t="shared" si="0"/>
        <v>#VALUE!</v>
      </c>
      <c r="L574" s="10">
        <f t="shared" si="1"/>
        <v>1</v>
      </c>
      <c r="M574" s="10" t="str">
        <f t="shared" si="2"/>
        <v>014</v>
      </c>
      <c r="N574" s="10" t="str">
        <f t="shared" si="3"/>
        <v>07</v>
      </c>
      <c r="O574" s="10" t="str">
        <f t="shared" si="15"/>
        <v>PARIT H. AMIN</v>
      </c>
    </row>
    <row r="575" spans="1:15" ht="12.5">
      <c r="A575" s="115" t="s">
        <v>4393</v>
      </c>
      <c r="B575" s="5">
        <v>0</v>
      </c>
      <c r="C575" s="5">
        <v>61</v>
      </c>
      <c r="D575" s="5">
        <v>4</v>
      </c>
      <c r="E575" s="5">
        <v>90</v>
      </c>
      <c r="F575" s="5">
        <v>12</v>
      </c>
      <c r="G575" s="5">
        <v>1500</v>
      </c>
      <c r="H575" s="5" t="s">
        <v>3990</v>
      </c>
      <c r="I575" s="5" t="s">
        <v>4365</v>
      </c>
      <c r="J575" s="5" t="s">
        <v>4394</v>
      </c>
      <c r="K575" s="10" t="e">
        <f t="shared" si="0"/>
        <v>#VALUE!</v>
      </c>
      <c r="L575" s="10">
        <f t="shared" si="1"/>
        <v>1</v>
      </c>
      <c r="M575" s="10" t="str">
        <f t="shared" si="2"/>
        <v>015</v>
      </c>
      <c r="N575" s="10" t="str">
        <f t="shared" si="3"/>
        <v>08</v>
      </c>
      <c r="O575" s="10" t="str">
        <f t="shared" si="15"/>
        <v>PARIT H. AMIN</v>
      </c>
    </row>
    <row r="576" spans="1:15" ht="12.5">
      <c r="A576" s="115" t="s">
        <v>4395</v>
      </c>
      <c r="B576" s="5">
        <v>0</v>
      </c>
      <c r="C576" s="5">
        <v>61</v>
      </c>
      <c r="D576" s="5">
        <v>4</v>
      </c>
      <c r="E576" s="5">
        <v>90</v>
      </c>
      <c r="F576" s="5">
        <v>12</v>
      </c>
      <c r="G576" s="5">
        <v>1600</v>
      </c>
      <c r="H576" s="5" t="s">
        <v>3990</v>
      </c>
      <c r="I576" s="5" t="s">
        <v>4365</v>
      </c>
      <c r="J576" s="5" t="s">
        <v>4396</v>
      </c>
      <c r="K576" s="10" t="e">
        <f t="shared" si="0"/>
        <v>#VALUE!</v>
      </c>
      <c r="L576" s="10">
        <f t="shared" si="1"/>
        <v>1</v>
      </c>
      <c r="M576" s="10" t="str">
        <f t="shared" si="2"/>
        <v>016</v>
      </c>
      <c r="N576" s="10" t="str">
        <f t="shared" si="3"/>
        <v>08</v>
      </c>
      <c r="O576" s="10" t="str">
        <f t="shared" si="15"/>
        <v>PARIT H. AMIN</v>
      </c>
    </row>
    <row r="577" spans="1:15" ht="12.5">
      <c r="A577" s="115" t="s">
        <v>4397</v>
      </c>
      <c r="B577" s="5">
        <v>0</v>
      </c>
      <c r="C577" s="5">
        <v>61</v>
      </c>
      <c r="D577" s="5">
        <v>4</v>
      </c>
      <c r="E577" s="5">
        <v>90</v>
      </c>
      <c r="F577" s="5">
        <v>12</v>
      </c>
      <c r="G577" s="5">
        <v>1700</v>
      </c>
      <c r="H577" s="5" t="s">
        <v>3990</v>
      </c>
      <c r="I577" s="5" t="s">
        <v>4365</v>
      </c>
      <c r="J577" s="5" t="s">
        <v>4398</v>
      </c>
      <c r="K577" s="10" t="e">
        <f t="shared" si="0"/>
        <v>#VALUE!</v>
      </c>
      <c r="L577" s="10">
        <f t="shared" si="1"/>
        <v>1</v>
      </c>
      <c r="M577" s="10" t="str">
        <f t="shared" si="2"/>
        <v>017</v>
      </c>
      <c r="N577" s="10" t="str">
        <f t="shared" si="3"/>
        <v>09</v>
      </c>
      <c r="O577" s="10" t="str">
        <f t="shared" si="15"/>
        <v>PARIT AKOP</v>
      </c>
    </row>
    <row r="578" spans="1:15" ht="12.5">
      <c r="A578" s="115" t="s">
        <v>4399</v>
      </c>
      <c r="B578" s="5">
        <v>0</v>
      </c>
      <c r="C578" s="5">
        <v>61</v>
      </c>
      <c r="D578" s="5">
        <v>4</v>
      </c>
      <c r="E578" s="5">
        <v>90</v>
      </c>
      <c r="F578" s="5">
        <v>12</v>
      </c>
      <c r="G578" s="5">
        <v>1800</v>
      </c>
      <c r="H578" s="5" t="s">
        <v>3990</v>
      </c>
      <c r="I578" s="5" t="s">
        <v>4365</v>
      </c>
      <c r="J578" s="5" t="s">
        <v>4400</v>
      </c>
      <c r="K578" s="10" t="e">
        <f t="shared" si="0"/>
        <v>#VALUE!</v>
      </c>
      <c r="L578" s="10">
        <f t="shared" si="1"/>
        <v>1</v>
      </c>
      <c r="M578" s="10" t="str">
        <f t="shared" si="2"/>
        <v>018</v>
      </c>
      <c r="N578" s="10" t="str">
        <f t="shared" si="3"/>
        <v>09</v>
      </c>
      <c r="O578" s="10" t="str">
        <f t="shared" si="15"/>
        <v>PARIT AKOP</v>
      </c>
    </row>
    <row r="579" spans="1:15" ht="12.5">
      <c r="A579" s="115" t="s">
        <v>4401</v>
      </c>
      <c r="B579" s="5">
        <v>0</v>
      </c>
      <c r="C579" s="5">
        <v>61</v>
      </c>
      <c r="D579" s="5">
        <v>4</v>
      </c>
      <c r="E579" s="5">
        <v>90</v>
      </c>
      <c r="F579" s="5">
        <v>12</v>
      </c>
      <c r="G579" s="5">
        <v>1900</v>
      </c>
      <c r="H579" s="5" t="s">
        <v>3990</v>
      </c>
      <c r="I579" s="5" t="s">
        <v>4365</v>
      </c>
      <c r="J579" s="5" t="s">
        <v>4402</v>
      </c>
      <c r="K579" s="10" t="e">
        <f t="shared" si="0"/>
        <v>#VALUE!</v>
      </c>
      <c r="L579" s="10">
        <f t="shared" si="1"/>
        <v>1</v>
      </c>
      <c r="M579" s="10" t="str">
        <f t="shared" si="2"/>
        <v>019</v>
      </c>
      <c r="N579" s="10" t="str">
        <f t="shared" si="3"/>
        <v>010</v>
      </c>
      <c r="O579" s="10" t="str">
        <f t="shared" si="15"/>
        <v>PARIT AKOP</v>
      </c>
    </row>
    <row r="580" spans="1:15" ht="12.5">
      <c r="A580" s="115" t="s">
        <v>4403</v>
      </c>
      <c r="B580" s="5">
        <v>0</v>
      </c>
      <c r="C580" s="5">
        <v>61</v>
      </c>
      <c r="D580" s="5">
        <v>4</v>
      </c>
      <c r="E580" s="5">
        <v>90</v>
      </c>
      <c r="F580" s="5">
        <v>12</v>
      </c>
      <c r="G580" s="5">
        <v>2000</v>
      </c>
      <c r="H580" s="5" t="s">
        <v>3990</v>
      </c>
      <c r="I580" s="5" t="s">
        <v>4365</v>
      </c>
      <c r="J580" s="5" t="s">
        <v>4404</v>
      </c>
      <c r="K580" s="10" t="e">
        <f t="shared" si="0"/>
        <v>#VALUE!</v>
      </c>
      <c r="L580" s="10">
        <f t="shared" si="1"/>
        <v>1</v>
      </c>
      <c r="M580" s="10" t="str">
        <f t="shared" si="2"/>
        <v>020</v>
      </c>
      <c r="N580" s="10" t="str">
        <f t="shared" si="3"/>
        <v>010</v>
      </c>
      <c r="O580" s="10" t="str">
        <f t="shared" si="15"/>
        <v>PARIT AKOP</v>
      </c>
    </row>
    <row r="581" spans="1:15" ht="12.5">
      <c r="A581" s="115" t="s">
        <v>4405</v>
      </c>
      <c r="B581" s="5">
        <v>2</v>
      </c>
      <c r="C581" s="5">
        <v>61</v>
      </c>
      <c r="D581" s="5">
        <v>4</v>
      </c>
      <c r="E581" s="5">
        <v>90</v>
      </c>
      <c r="F581" s="5">
        <v>12</v>
      </c>
      <c r="G581" s="5">
        <v>200100</v>
      </c>
      <c r="H581" s="5" t="s">
        <v>3990</v>
      </c>
      <c r="I581" s="5" t="s">
        <v>4365</v>
      </c>
      <c r="J581" s="5" t="s">
        <v>4406</v>
      </c>
      <c r="K581" s="10" t="e">
        <f t="shared" si="0"/>
        <v>#VALUE!</v>
      </c>
      <c r="L581" s="10">
        <f t="shared" si="1"/>
        <v>0</v>
      </c>
      <c r="M581" s="10" t="str">
        <f t="shared" si="2"/>
        <v xml:space="preserve">AN </v>
      </c>
      <c r="N581" s="10" t="str">
        <f t="shared" si="3"/>
        <v>TAS</v>
      </c>
      <c r="O581" s="10" t="str">
        <f t="shared" ref="O581:O1330" si="16">TRIM(MID(J581,20,10))</f>
        <v>RAKHIR</v>
      </c>
    </row>
    <row r="582" spans="1:15" ht="12.5">
      <c r="A582" s="115" t="s">
        <v>4407</v>
      </c>
      <c r="B582" s="5">
        <v>0</v>
      </c>
      <c r="C582" s="5">
        <v>61</v>
      </c>
      <c r="D582" s="5">
        <v>4</v>
      </c>
      <c r="E582" s="5">
        <v>91</v>
      </c>
      <c r="F582" s="5">
        <v>2</v>
      </c>
      <c r="G582" s="5">
        <v>100</v>
      </c>
      <c r="H582" s="5" t="s">
        <v>4408</v>
      </c>
      <c r="I582" s="5" t="s">
        <v>4409</v>
      </c>
      <c r="J582" s="5" t="s">
        <v>4410</v>
      </c>
      <c r="K582" s="10" t="e">
        <f t="shared" si="0"/>
        <v>#VALUE!</v>
      </c>
      <c r="L582" s="10">
        <f t="shared" si="1"/>
        <v>1</v>
      </c>
      <c r="M582" s="10" t="str">
        <f t="shared" si="2"/>
        <v>001</v>
      </c>
      <c r="N582" s="10" t="str">
        <f t="shared" si="3"/>
        <v>01</v>
      </c>
      <c r="O582" s="10" t="str">
        <f t="shared" si="16"/>
        <v/>
      </c>
    </row>
    <row r="583" spans="1:15" ht="12.5">
      <c r="A583" s="115" t="s">
        <v>4411</v>
      </c>
      <c r="B583" s="5">
        <v>0</v>
      </c>
      <c r="C583" s="5">
        <v>61</v>
      </c>
      <c r="D583" s="5">
        <v>4</v>
      </c>
      <c r="E583" s="5">
        <v>91</v>
      </c>
      <c r="F583" s="5">
        <v>2</v>
      </c>
      <c r="G583" s="5">
        <v>200</v>
      </c>
      <c r="H583" s="5" t="s">
        <v>4408</v>
      </c>
      <c r="I583" s="5" t="s">
        <v>4409</v>
      </c>
      <c r="J583" s="5" t="s">
        <v>4412</v>
      </c>
      <c r="K583" s="10" t="e">
        <f t="shared" si="0"/>
        <v>#VALUE!</v>
      </c>
      <c r="L583" s="10">
        <f t="shared" si="1"/>
        <v>1</v>
      </c>
      <c r="M583" s="10" t="str">
        <f t="shared" si="2"/>
        <v>002</v>
      </c>
      <c r="N583" s="10" t="str">
        <f t="shared" si="3"/>
        <v>01</v>
      </c>
      <c r="O583" s="10" t="str">
        <f t="shared" si="16"/>
        <v/>
      </c>
    </row>
    <row r="584" spans="1:15" ht="12.5">
      <c r="A584" s="115" t="s">
        <v>4413</v>
      </c>
      <c r="B584" s="5">
        <v>0</v>
      </c>
      <c r="C584" s="5">
        <v>61</v>
      </c>
      <c r="D584" s="5">
        <v>4</v>
      </c>
      <c r="E584" s="5">
        <v>91</v>
      </c>
      <c r="F584" s="5">
        <v>2</v>
      </c>
      <c r="G584" s="5">
        <v>300</v>
      </c>
      <c r="H584" s="5" t="s">
        <v>4408</v>
      </c>
      <c r="I584" s="5" t="s">
        <v>4409</v>
      </c>
      <c r="J584" s="5" t="s">
        <v>4414</v>
      </c>
      <c r="K584" s="10" t="e">
        <f t="shared" si="0"/>
        <v>#VALUE!</v>
      </c>
      <c r="L584" s="10">
        <f t="shared" si="1"/>
        <v>1</v>
      </c>
      <c r="M584" s="10" t="str">
        <f t="shared" si="2"/>
        <v>015</v>
      </c>
      <c r="N584" s="10" t="str">
        <f t="shared" si="3"/>
        <v>01</v>
      </c>
      <c r="O584" s="10" t="str">
        <f t="shared" si="16"/>
        <v/>
      </c>
    </row>
    <row r="585" spans="1:15" ht="12.5">
      <c r="A585" s="115" t="s">
        <v>4415</v>
      </c>
      <c r="B585" s="5">
        <v>0</v>
      </c>
      <c r="C585" s="5">
        <v>61</v>
      </c>
      <c r="D585" s="5">
        <v>4</v>
      </c>
      <c r="E585" s="5">
        <v>91</v>
      </c>
      <c r="F585" s="5">
        <v>2</v>
      </c>
      <c r="G585" s="5">
        <v>400</v>
      </c>
      <c r="H585" s="5" t="s">
        <v>4408</v>
      </c>
      <c r="I585" s="5" t="s">
        <v>4409</v>
      </c>
      <c r="J585" s="5" t="s">
        <v>4416</v>
      </c>
      <c r="K585" s="10" t="e">
        <f t="shared" si="0"/>
        <v>#VALUE!</v>
      </c>
      <c r="L585" s="10">
        <f t="shared" si="1"/>
        <v>1</v>
      </c>
      <c r="M585" s="10" t="str">
        <f t="shared" si="2"/>
        <v>017</v>
      </c>
      <c r="N585" s="10" t="str">
        <f t="shared" si="3"/>
        <v>01</v>
      </c>
      <c r="O585" s="10" t="str">
        <f t="shared" si="16"/>
        <v/>
      </c>
    </row>
    <row r="586" spans="1:15" ht="12.5">
      <c r="A586" s="115" t="s">
        <v>4417</v>
      </c>
      <c r="B586" s="5">
        <v>0</v>
      </c>
      <c r="C586" s="5">
        <v>61</v>
      </c>
      <c r="D586" s="5">
        <v>4</v>
      </c>
      <c r="E586" s="5">
        <v>91</v>
      </c>
      <c r="F586" s="5">
        <v>2</v>
      </c>
      <c r="G586" s="5">
        <v>500</v>
      </c>
      <c r="H586" s="5" t="s">
        <v>4408</v>
      </c>
      <c r="I586" s="5" t="s">
        <v>4409</v>
      </c>
      <c r="J586" s="5" t="s">
        <v>4418</v>
      </c>
      <c r="K586" s="10" t="e">
        <f t="shared" si="0"/>
        <v>#VALUE!</v>
      </c>
      <c r="L586" s="10">
        <f t="shared" si="1"/>
        <v>1</v>
      </c>
      <c r="M586" s="10" t="str">
        <f t="shared" si="2"/>
        <v>018</v>
      </c>
      <c r="N586" s="10" t="str">
        <f t="shared" si="3"/>
        <v>01</v>
      </c>
      <c r="O586" s="10" t="str">
        <f t="shared" si="16"/>
        <v/>
      </c>
    </row>
    <row r="587" spans="1:15" ht="12.5">
      <c r="A587" s="115" t="s">
        <v>4419</v>
      </c>
      <c r="B587" s="5">
        <v>0</v>
      </c>
      <c r="C587" s="5">
        <v>61</v>
      </c>
      <c r="D587" s="5">
        <v>4</v>
      </c>
      <c r="E587" s="5">
        <v>91</v>
      </c>
      <c r="F587" s="5">
        <v>2</v>
      </c>
      <c r="G587" s="5">
        <v>600</v>
      </c>
      <c r="H587" s="5" t="s">
        <v>4408</v>
      </c>
      <c r="I587" s="5" t="s">
        <v>4409</v>
      </c>
      <c r="J587" s="5" t="s">
        <v>4420</v>
      </c>
      <c r="K587" s="10" t="e">
        <f t="shared" si="0"/>
        <v>#VALUE!</v>
      </c>
      <c r="L587" s="10">
        <f t="shared" si="1"/>
        <v>1</v>
      </c>
      <c r="M587" s="10" t="str">
        <f t="shared" si="2"/>
        <v>019</v>
      </c>
      <c r="N587" s="10" t="str">
        <f t="shared" si="3"/>
        <v>01</v>
      </c>
      <c r="O587" s="10" t="str">
        <f t="shared" si="16"/>
        <v/>
      </c>
    </row>
    <row r="588" spans="1:15" ht="12.5">
      <c r="A588" s="115" t="s">
        <v>4421</v>
      </c>
      <c r="B588" s="5">
        <v>0</v>
      </c>
      <c r="C588" s="5">
        <v>61</v>
      </c>
      <c r="D588" s="5">
        <v>4</v>
      </c>
      <c r="E588" s="5">
        <v>91</v>
      </c>
      <c r="F588" s="5">
        <v>2</v>
      </c>
      <c r="G588" s="5">
        <v>700</v>
      </c>
      <c r="H588" s="5" t="s">
        <v>4408</v>
      </c>
      <c r="I588" s="5" t="s">
        <v>4409</v>
      </c>
      <c r="J588" s="5" t="s">
        <v>4422</v>
      </c>
      <c r="K588" s="10" t="e">
        <f t="shared" si="0"/>
        <v>#VALUE!</v>
      </c>
      <c r="L588" s="10">
        <f t="shared" si="1"/>
        <v>1</v>
      </c>
      <c r="M588" s="10" t="str">
        <f t="shared" si="2"/>
        <v>020</v>
      </c>
      <c r="N588" s="10" t="str">
        <f t="shared" si="3"/>
        <v>01</v>
      </c>
      <c r="O588" s="10" t="str">
        <f t="shared" si="16"/>
        <v/>
      </c>
    </row>
    <row r="589" spans="1:15" ht="12.5">
      <c r="A589" s="115" t="s">
        <v>4423</v>
      </c>
      <c r="B589" s="5">
        <v>0</v>
      </c>
      <c r="C589" s="5">
        <v>61</v>
      </c>
      <c r="D589" s="5">
        <v>4</v>
      </c>
      <c r="E589" s="5">
        <v>91</v>
      </c>
      <c r="F589" s="5">
        <v>2</v>
      </c>
      <c r="G589" s="5">
        <v>800</v>
      </c>
      <c r="H589" s="5" t="s">
        <v>4408</v>
      </c>
      <c r="I589" s="5" t="s">
        <v>4409</v>
      </c>
      <c r="J589" s="5" t="s">
        <v>4424</v>
      </c>
      <c r="K589" s="10" t="e">
        <f t="shared" si="0"/>
        <v>#VALUE!</v>
      </c>
      <c r="L589" s="10">
        <f t="shared" si="1"/>
        <v>1</v>
      </c>
      <c r="M589" s="10" t="str">
        <f t="shared" si="2"/>
        <v>021</v>
      </c>
      <c r="N589" s="10" t="str">
        <f t="shared" si="3"/>
        <v>01</v>
      </c>
      <c r="O589" s="10" t="str">
        <f t="shared" si="16"/>
        <v/>
      </c>
    </row>
    <row r="590" spans="1:15" ht="12.5">
      <c r="A590" s="115" t="s">
        <v>4425</v>
      </c>
      <c r="B590" s="5">
        <v>0</v>
      </c>
      <c r="C590" s="5">
        <v>61</v>
      </c>
      <c r="D590" s="5">
        <v>4</v>
      </c>
      <c r="E590" s="5">
        <v>91</v>
      </c>
      <c r="F590" s="5">
        <v>2</v>
      </c>
      <c r="G590" s="5">
        <v>900</v>
      </c>
      <c r="H590" s="5" t="s">
        <v>4408</v>
      </c>
      <c r="I590" s="5" t="s">
        <v>4409</v>
      </c>
      <c r="J590" s="5" t="s">
        <v>4426</v>
      </c>
      <c r="K590" s="10" t="e">
        <f t="shared" si="0"/>
        <v>#VALUE!</v>
      </c>
      <c r="L590" s="10">
        <f t="shared" si="1"/>
        <v>1</v>
      </c>
      <c r="M590" s="10" t="str">
        <f t="shared" si="2"/>
        <v>022</v>
      </c>
      <c r="N590" s="10" t="str">
        <f t="shared" si="3"/>
        <v>01</v>
      </c>
      <c r="O590" s="10" t="str">
        <f t="shared" si="16"/>
        <v/>
      </c>
    </row>
    <row r="591" spans="1:15" ht="12.5">
      <c r="A591" s="115" t="s">
        <v>4427</v>
      </c>
      <c r="B591" s="5">
        <v>0</v>
      </c>
      <c r="C591" s="5">
        <v>61</v>
      </c>
      <c r="D591" s="5">
        <v>4</v>
      </c>
      <c r="E591" s="5">
        <v>91</v>
      </c>
      <c r="F591" s="5">
        <v>2</v>
      </c>
      <c r="G591" s="5">
        <v>1000</v>
      </c>
      <c r="H591" s="5" t="s">
        <v>4408</v>
      </c>
      <c r="I591" s="5" t="s">
        <v>4409</v>
      </c>
      <c r="J591" s="5" t="s">
        <v>4428</v>
      </c>
      <c r="K591" s="10" t="e">
        <f t="shared" si="0"/>
        <v>#VALUE!</v>
      </c>
      <c r="L591" s="10">
        <f t="shared" si="1"/>
        <v>1</v>
      </c>
      <c r="M591" s="10" t="str">
        <f t="shared" si="2"/>
        <v>023</v>
      </c>
      <c r="N591" s="10" t="str">
        <f t="shared" si="3"/>
        <v>01</v>
      </c>
      <c r="O591" s="10" t="str">
        <f t="shared" si="16"/>
        <v/>
      </c>
    </row>
    <row r="592" spans="1:15" ht="12.5">
      <c r="A592" s="115" t="s">
        <v>4429</v>
      </c>
      <c r="B592" s="5">
        <v>0</v>
      </c>
      <c r="C592" s="5">
        <v>61</v>
      </c>
      <c r="D592" s="5">
        <v>4</v>
      </c>
      <c r="E592" s="5">
        <v>91</v>
      </c>
      <c r="F592" s="5">
        <v>2</v>
      </c>
      <c r="G592" s="5">
        <v>1100</v>
      </c>
      <c r="H592" s="5" t="s">
        <v>4408</v>
      </c>
      <c r="I592" s="5" t="s">
        <v>4409</v>
      </c>
      <c r="J592" s="5" t="s">
        <v>4430</v>
      </c>
      <c r="K592" s="10" t="e">
        <f t="shared" si="0"/>
        <v>#VALUE!</v>
      </c>
      <c r="L592" s="10">
        <f t="shared" si="1"/>
        <v>1</v>
      </c>
      <c r="M592" s="10" t="str">
        <f t="shared" si="2"/>
        <v>003</v>
      </c>
      <c r="N592" s="10" t="str">
        <f t="shared" si="3"/>
        <v>02</v>
      </c>
      <c r="O592" s="10" t="str">
        <f t="shared" si="16"/>
        <v/>
      </c>
    </row>
    <row r="593" spans="1:15" ht="12.5">
      <c r="A593" s="115" t="s">
        <v>4431</v>
      </c>
      <c r="B593" s="5">
        <v>0</v>
      </c>
      <c r="C593" s="5">
        <v>61</v>
      </c>
      <c r="D593" s="5">
        <v>4</v>
      </c>
      <c r="E593" s="5">
        <v>91</v>
      </c>
      <c r="F593" s="5">
        <v>2</v>
      </c>
      <c r="G593" s="5">
        <v>1200</v>
      </c>
      <c r="H593" s="5" t="s">
        <v>4408</v>
      </c>
      <c r="I593" s="5" t="s">
        <v>4409</v>
      </c>
      <c r="J593" s="5" t="s">
        <v>4432</v>
      </c>
      <c r="K593" s="10" t="e">
        <f t="shared" si="0"/>
        <v>#VALUE!</v>
      </c>
      <c r="L593" s="10">
        <f t="shared" si="1"/>
        <v>1</v>
      </c>
      <c r="M593" s="10" t="str">
        <f t="shared" si="2"/>
        <v>004</v>
      </c>
      <c r="N593" s="10" t="str">
        <f t="shared" si="3"/>
        <v>02</v>
      </c>
      <c r="O593" s="10" t="str">
        <f t="shared" si="16"/>
        <v/>
      </c>
    </row>
    <row r="594" spans="1:15" ht="12.5">
      <c r="A594" s="115" t="s">
        <v>4433</v>
      </c>
      <c r="B594" s="5">
        <v>0</v>
      </c>
      <c r="C594" s="5">
        <v>61</v>
      </c>
      <c r="D594" s="5">
        <v>4</v>
      </c>
      <c r="E594" s="5">
        <v>91</v>
      </c>
      <c r="F594" s="5">
        <v>2</v>
      </c>
      <c r="G594" s="5">
        <v>1300</v>
      </c>
      <c r="H594" s="5" t="s">
        <v>4408</v>
      </c>
      <c r="I594" s="5" t="s">
        <v>4409</v>
      </c>
      <c r="J594" s="5" t="s">
        <v>4434</v>
      </c>
      <c r="K594" s="10" t="e">
        <f t="shared" si="0"/>
        <v>#VALUE!</v>
      </c>
      <c r="L594" s="10">
        <f t="shared" si="1"/>
        <v>1</v>
      </c>
      <c r="M594" s="10" t="str">
        <f t="shared" si="2"/>
        <v>005</v>
      </c>
      <c r="N594" s="10" t="str">
        <f t="shared" si="3"/>
        <v>02</v>
      </c>
      <c r="O594" s="10" t="str">
        <f t="shared" si="16"/>
        <v/>
      </c>
    </row>
    <row r="595" spans="1:15" ht="12.5">
      <c r="A595" s="115" t="s">
        <v>4435</v>
      </c>
      <c r="B595" s="5">
        <v>0</v>
      </c>
      <c r="C595" s="5">
        <v>61</v>
      </c>
      <c r="D595" s="5">
        <v>4</v>
      </c>
      <c r="E595" s="5">
        <v>91</v>
      </c>
      <c r="F595" s="5">
        <v>2</v>
      </c>
      <c r="G595" s="5">
        <v>1400</v>
      </c>
      <c r="H595" s="5" t="s">
        <v>4408</v>
      </c>
      <c r="I595" s="5" t="s">
        <v>4409</v>
      </c>
      <c r="J595" s="5" t="s">
        <v>4436</v>
      </c>
      <c r="K595" s="10" t="e">
        <f t="shared" si="0"/>
        <v>#VALUE!</v>
      </c>
      <c r="L595" s="10">
        <f t="shared" si="1"/>
        <v>1</v>
      </c>
      <c r="M595" s="10" t="str">
        <f t="shared" si="2"/>
        <v>006</v>
      </c>
      <c r="N595" s="10" t="str">
        <f t="shared" si="3"/>
        <v>03</v>
      </c>
      <c r="O595" s="10" t="str">
        <f t="shared" si="16"/>
        <v/>
      </c>
    </row>
    <row r="596" spans="1:15" ht="12.5">
      <c r="A596" s="115" t="s">
        <v>4437</v>
      </c>
      <c r="B596" s="5">
        <v>0</v>
      </c>
      <c r="C596" s="5">
        <v>61</v>
      </c>
      <c r="D596" s="5">
        <v>4</v>
      </c>
      <c r="E596" s="5">
        <v>91</v>
      </c>
      <c r="F596" s="5">
        <v>2</v>
      </c>
      <c r="G596" s="5">
        <v>1500</v>
      </c>
      <c r="H596" s="5" t="s">
        <v>4408</v>
      </c>
      <c r="I596" s="5" t="s">
        <v>4409</v>
      </c>
      <c r="J596" s="5" t="s">
        <v>4438</v>
      </c>
      <c r="K596" s="10" t="e">
        <f t="shared" si="0"/>
        <v>#VALUE!</v>
      </c>
      <c r="L596" s="10">
        <f t="shared" si="1"/>
        <v>1</v>
      </c>
      <c r="M596" s="10" t="str">
        <f t="shared" si="2"/>
        <v>007</v>
      </c>
      <c r="N596" s="10" t="str">
        <f t="shared" si="3"/>
        <v>03</v>
      </c>
      <c r="O596" s="10" t="str">
        <f t="shared" si="16"/>
        <v/>
      </c>
    </row>
    <row r="597" spans="1:15" ht="12.5">
      <c r="A597" s="115" t="s">
        <v>4439</v>
      </c>
      <c r="B597" s="5">
        <v>0</v>
      </c>
      <c r="C597" s="5">
        <v>61</v>
      </c>
      <c r="D597" s="5">
        <v>4</v>
      </c>
      <c r="E597" s="5">
        <v>91</v>
      </c>
      <c r="F597" s="5">
        <v>2</v>
      </c>
      <c r="G597" s="5">
        <v>1600</v>
      </c>
      <c r="H597" s="5" t="s">
        <v>4408</v>
      </c>
      <c r="I597" s="5" t="s">
        <v>4409</v>
      </c>
      <c r="J597" s="5" t="s">
        <v>4440</v>
      </c>
      <c r="K597" s="10" t="e">
        <f t="shared" si="0"/>
        <v>#VALUE!</v>
      </c>
      <c r="L597" s="10">
        <f t="shared" si="1"/>
        <v>1</v>
      </c>
      <c r="M597" s="10" t="str">
        <f t="shared" si="2"/>
        <v>008</v>
      </c>
      <c r="N597" s="10" t="str">
        <f t="shared" si="3"/>
        <v>03</v>
      </c>
      <c r="O597" s="10" t="str">
        <f t="shared" si="16"/>
        <v/>
      </c>
    </row>
    <row r="598" spans="1:15" ht="12.5">
      <c r="A598" s="115" t="s">
        <v>4441</v>
      </c>
      <c r="B598" s="5">
        <v>0</v>
      </c>
      <c r="C598" s="5">
        <v>61</v>
      </c>
      <c r="D598" s="5">
        <v>4</v>
      </c>
      <c r="E598" s="5">
        <v>91</v>
      </c>
      <c r="F598" s="5">
        <v>2</v>
      </c>
      <c r="G598" s="5">
        <v>1700</v>
      </c>
      <c r="H598" s="5" t="s">
        <v>4408</v>
      </c>
      <c r="I598" s="5" t="s">
        <v>4409</v>
      </c>
      <c r="J598" s="5" t="s">
        <v>4442</v>
      </c>
      <c r="K598" s="10" t="e">
        <f t="shared" si="0"/>
        <v>#VALUE!</v>
      </c>
      <c r="L598" s="10">
        <f t="shared" si="1"/>
        <v>1</v>
      </c>
      <c r="M598" s="10" t="str">
        <f t="shared" si="2"/>
        <v>009</v>
      </c>
      <c r="N598" s="10" t="str">
        <f t="shared" si="3"/>
        <v>04</v>
      </c>
      <c r="O598" s="10" t="str">
        <f t="shared" si="16"/>
        <v/>
      </c>
    </row>
    <row r="599" spans="1:15" ht="12.5">
      <c r="A599" s="115" t="s">
        <v>4443</v>
      </c>
      <c r="B599" s="5">
        <v>0</v>
      </c>
      <c r="C599" s="5">
        <v>61</v>
      </c>
      <c r="D599" s="5">
        <v>4</v>
      </c>
      <c r="E599" s="5">
        <v>91</v>
      </c>
      <c r="F599" s="5">
        <v>2</v>
      </c>
      <c r="G599" s="5">
        <v>1800</v>
      </c>
      <c r="H599" s="5" t="s">
        <v>4408</v>
      </c>
      <c r="I599" s="5" t="s">
        <v>4409</v>
      </c>
      <c r="J599" s="5" t="s">
        <v>4444</v>
      </c>
      <c r="K599" s="10" t="e">
        <f t="shared" si="0"/>
        <v>#VALUE!</v>
      </c>
      <c r="L599" s="10">
        <f t="shared" si="1"/>
        <v>1</v>
      </c>
      <c r="M599" s="10" t="str">
        <f t="shared" si="2"/>
        <v>010</v>
      </c>
      <c r="N599" s="10" t="str">
        <f t="shared" si="3"/>
        <v>04</v>
      </c>
      <c r="O599" s="10" t="str">
        <f t="shared" si="16"/>
        <v/>
      </c>
    </row>
    <row r="600" spans="1:15" ht="12.5">
      <c r="A600" s="115" t="s">
        <v>4445</v>
      </c>
      <c r="B600" s="5">
        <v>0</v>
      </c>
      <c r="C600" s="5">
        <v>61</v>
      </c>
      <c r="D600" s="5">
        <v>4</v>
      </c>
      <c r="E600" s="5">
        <v>91</v>
      </c>
      <c r="F600" s="5">
        <v>2</v>
      </c>
      <c r="G600" s="5">
        <v>1900</v>
      </c>
      <c r="H600" s="5" t="s">
        <v>4408</v>
      </c>
      <c r="I600" s="5" t="s">
        <v>4409</v>
      </c>
      <c r="J600" s="5" t="s">
        <v>4446</v>
      </c>
      <c r="K600" s="10" t="e">
        <f t="shared" si="0"/>
        <v>#VALUE!</v>
      </c>
      <c r="L600" s="10">
        <f t="shared" si="1"/>
        <v>1</v>
      </c>
      <c r="M600" s="10" t="str">
        <f t="shared" si="2"/>
        <v>011</v>
      </c>
      <c r="N600" s="10" t="str">
        <f t="shared" si="3"/>
        <v>04</v>
      </c>
      <c r="O600" s="10" t="str">
        <f t="shared" si="16"/>
        <v/>
      </c>
    </row>
    <row r="601" spans="1:15" ht="12.5">
      <c r="A601" s="115" t="s">
        <v>4447</v>
      </c>
      <c r="B601" s="5">
        <v>0</v>
      </c>
      <c r="C601" s="5">
        <v>61</v>
      </c>
      <c r="D601" s="5">
        <v>4</v>
      </c>
      <c r="E601" s="5">
        <v>91</v>
      </c>
      <c r="F601" s="5">
        <v>2</v>
      </c>
      <c r="G601" s="5">
        <v>2000</v>
      </c>
      <c r="H601" s="5" t="s">
        <v>4408</v>
      </c>
      <c r="I601" s="5" t="s">
        <v>4409</v>
      </c>
      <c r="J601" s="5" t="s">
        <v>4448</v>
      </c>
      <c r="K601" s="10" t="e">
        <f t="shared" si="0"/>
        <v>#VALUE!</v>
      </c>
      <c r="L601" s="10">
        <f t="shared" si="1"/>
        <v>1</v>
      </c>
      <c r="M601" s="10" t="str">
        <f t="shared" si="2"/>
        <v>012</v>
      </c>
      <c r="N601" s="10" t="str">
        <f t="shared" si="3"/>
        <v>04</v>
      </c>
      <c r="O601" s="10" t="str">
        <f t="shared" si="16"/>
        <v/>
      </c>
    </row>
    <row r="602" spans="1:15" ht="12.5">
      <c r="A602" s="115" t="s">
        <v>4449</v>
      </c>
      <c r="B602" s="5">
        <v>0</v>
      </c>
      <c r="C602" s="5">
        <v>61</v>
      </c>
      <c r="D602" s="5">
        <v>4</v>
      </c>
      <c r="E602" s="5">
        <v>91</v>
      </c>
      <c r="F602" s="5">
        <v>2</v>
      </c>
      <c r="G602" s="5">
        <v>2100</v>
      </c>
      <c r="H602" s="5" t="s">
        <v>4408</v>
      </c>
      <c r="I602" s="5" t="s">
        <v>4409</v>
      </c>
      <c r="J602" s="5" t="s">
        <v>4450</v>
      </c>
      <c r="K602" s="10" t="e">
        <f t="shared" si="0"/>
        <v>#VALUE!</v>
      </c>
      <c r="L602" s="10">
        <f t="shared" si="1"/>
        <v>1</v>
      </c>
      <c r="M602" s="10" t="str">
        <f t="shared" si="2"/>
        <v>013</v>
      </c>
      <c r="N602" s="10" t="str">
        <f t="shared" si="3"/>
        <v>04</v>
      </c>
      <c r="O602" s="10" t="str">
        <f t="shared" si="16"/>
        <v/>
      </c>
    </row>
    <row r="603" spans="1:15" ht="12.5">
      <c r="A603" s="115" t="s">
        <v>4451</v>
      </c>
      <c r="B603" s="5">
        <v>0</v>
      </c>
      <c r="C603" s="5">
        <v>61</v>
      </c>
      <c r="D603" s="5">
        <v>4</v>
      </c>
      <c r="E603" s="5">
        <v>91</v>
      </c>
      <c r="F603" s="5">
        <v>2</v>
      </c>
      <c r="G603" s="5">
        <v>2200</v>
      </c>
      <c r="H603" s="5" t="s">
        <v>4408</v>
      </c>
      <c r="I603" s="5" t="s">
        <v>4409</v>
      </c>
      <c r="J603" s="5" t="s">
        <v>4452</v>
      </c>
      <c r="K603" s="10" t="e">
        <f t="shared" si="0"/>
        <v>#VALUE!</v>
      </c>
      <c r="L603" s="10">
        <f t="shared" si="1"/>
        <v>1</v>
      </c>
      <c r="M603" s="10" t="str">
        <f t="shared" si="2"/>
        <v>014</v>
      </c>
      <c r="N603" s="10" t="str">
        <f t="shared" si="3"/>
        <v>04</v>
      </c>
      <c r="O603" s="10" t="str">
        <f t="shared" si="16"/>
        <v/>
      </c>
    </row>
    <row r="604" spans="1:15" ht="12.5">
      <c r="A604" s="115" t="s">
        <v>4453</v>
      </c>
      <c r="B604" s="5">
        <v>0</v>
      </c>
      <c r="C604" s="5">
        <v>61</v>
      </c>
      <c r="D604" s="5">
        <v>4</v>
      </c>
      <c r="E604" s="5">
        <v>91</v>
      </c>
      <c r="F604" s="5">
        <v>2</v>
      </c>
      <c r="G604" s="5">
        <v>2300</v>
      </c>
      <c r="H604" s="5" t="s">
        <v>4408</v>
      </c>
      <c r="I604" s="5" t="s">
        <v>4409</v>
      </c>
      <c r="J604" s="5" t="s">
        <v>4454</v>
      </c>
      <c r="K604" s="10" t="e">
        <f t="shared" si="0"/>
        <v>#VALUE!</v>
      </c>
      <c r="L604" s="10">
        <f t="shared" si="1"/>
        <v>1</v>
      </c>
      <c r="M604" s="10" t="str">
        <f t="shared" si="2"/>
        <v>016</v>
      </c>
      <c r="N604" s="10" t="str">
        <f t="shared" si="3"/>
        <v>04</v>
      </c>
      <c r="O604" s="10" t="str">
        <f t="shared" si="16"/>
        <v/>
      </c>
    </row>
    <row r="605" spans="1:15" ht="12.5">
      <c r="A605" s="115" t="s">
        <v>4455</v>
      </c>
      <c r="B605" s="5">
        <v>1</v>
      </c>
      <c r="C605" s="5">
        <v>61</v>
      </c>
      <c r="D605" s="5">
        <v>4</v>
      </c>
      <c r="E605" s="5">
        <v>91</v>
      </c>
      <c r="F605" s="5">
        <v>2</v>
      </c>
      <c r="G605" s="5">
        <v>100200</v>
      </c>
      <c r="H605" s="5" t="s">
        <v>4408</v>
      </c>
      <c r="I605" s="5" t="s">
        <v>4409</v>
      </c>
      <c r="J605" s="5" t="s">
        <v>4456</v>
      </c>
      <c r="K605" s="10" t="e">
        <f t="shared" si="0"/>
        <v>#VALUE!</v>
      </c>
      <c r="L605" s="10">
        <f t="shared" si="1"/>
        <v>0</v>
      </c>
      <c r="M605" s="10" t="str">
        <f t="shared" si="2"/>
        <v xml:space="preserve">UN </v>
      </c>
      <c r="N605" s="10" t="str">
        <f t="shared" si="3"/>
        <v>T D</v>
      </c>
      <c r="O605" s="10" t="str">
        <f t="shared" si="16"/>
        <v/>
      </c>
    </row>
    <row r="606" spans="1:15" ht="12.5">
      <c r="A606" s="115" t="s">
        <v>4457</v>
      </c>
      <c r="B606" s="5">
        <v>1</v>
      </c>
      <c r="C606" s="5">
        <v>61</v>
      </c>
      <c r="D606" s="5">
        <v>4</v>
      </c>
      <c r="E606" s="5">
        <v>91</v>
      </c>
      <c r="F606" s="5">
        <v>2</v>
      </c>
      <c r="G606" s="5">
        <v>100300</v>
      </c>
      <c r="H606" s="5" t="s">
        <v>4408</v>
      </c>
      <c r="I606" s="5" t="s">
        <v>4409</v>
      </c>
      <c r="J606" s="5" t="s">
        <v>4458</v>
      </c>
      <c r="K606" s="10" t="e">
        <f t="shared" si="0"/>
        <v>#VALUE!</v>
      </c>
      <c r="L606" s="10">
        <f t="shared" si="1"/>
        <v>0</v>
      </c>
      <c r="M606" s="10" t="str">
        <f t="shared" si="2"/>
        <v xml:space="preserve">UN </v>
      </c>
      <c r="N606" s="10" t="str">
        <f t="shared" si="3"/>
        <v>T D</v>
      </c>
      <c r="O606" s="10" t="str">
        <f t="shared" si="16"/>
        <v/>
      </c>
    </row>
    <row r="607" spans="1:15" ht="12.5">
      <c r="A607" s="115" t="s">
        <v>4459</v>
      </c>
      <c r="B607" s="5">
        <v>1</v>
      </c>
      <c r="C607" s="5">
        <v>61</v>
      </c>
      <c r="D607" s="5">
        <v>4</v>
      </c>
      <c r="E607" s="5">
        <v>91</v>
      </c>
      <c r="F607" s="5">
        <v>2</v>
      </c>
      <c r="G607" s="5">
        <v>100400</v>
      </c>
      <c r="H607" s="5" t="s">
        <v>4408</v>
      </c>
      <c r="I607" s="5" t="s">
        <v>4409</v>
      </c>
      <c r="J607" s="5" t="s">
        <v>4460</v>
      </c>
      <c r="K607" s="10" t="e">
        <f t="shared" si="0"/>
        <v>#VALUE!</v>
      </c>
      <c r="L607" s="10">
        <f t="shared" si="1"/>
        <v>0</v>
      </c>
      <c r="M607" s="10" t="str">
        <f t="shared" si="2"/>
        <v xml:space="preserve">UN </v>
      </c>
      <c r="N607" s="10" t="str">
        <f t="shared" si="3"/>
        <v>T D</v>
      </c>
      <c r="O607" s="10" t="str">
        <f t="shared" si="16"/>
        <v/>
      </c>
    </row>
    <row r="608" spans="1:15" ht="12.5">
      <c r="A608" s="115" t="s">
        <v>4461</v>
      </c>
      <c r="B608" s="5">
        <v>2</v>
      </c>
      <c r="C608" s="5">
        <v>61</v>
      </c>
      <c r="D608" s="5">
        <v>4</v>
      </c>
      <c r="E608" s="5">
        <v>91</v>
      </c>
      <c r="F608" s="5">
        <v>2</v>
      </c>
      <c r="G608" s="5">
        <v>200100</v>
      </c>
      <c r="H608" s="5" t="s">
        <v>4408</v>
      </c>
      <c r="I608" s="5" t="s">
        <v>4409</v>
      </c>
      <c r="J608" s="5" t="s">
        <v>3517</v>
      </c>
      <c r="K608" s="10" t="e">
        <f t="shared" si="0"/>
        <v>#VALUE!</v>
      </c>
      <c r="L608" s="10">
        <f t="shared" si="1"/>
        <v>0</v>
      </c>
      <c r="M608" s="10" t="str">
        <f t="shared" si="2"/>
        <v>AN</v>
      </c>
      <c r="N608" s="10" t="str">
        <f t="shared" si="3"/>
        <v/>
      </c>
      <c r="O608" s="10" t="str">
        <f t="shared" si="16"/>
        <v/>
      </c>
    </row>
    <row r="609" spans="1:15" ht="12.5">
      <c r="A609" s="115" t="s">
        <v>4462</v>
      </c>
      <c r="B609" s="5">
        <v>0</v>
      </c>
      <c r="C609" s="5">
        <v>61</v>
      </c>
      <c r="D609" s="5">
        <v>4</v>
      </c>
      <c r="E609" s="5">
        <v>91</v>
      </c>
      <c r="F609" s="5">
        <v>3</v>
      </c>
      <c r="G609" s="5">
        <v>100</v>
      </c>
      <c r="H609" s="5" t="s">
        <v>4408</v>
      </c>
      <c r="I609" s="5" t="s">
        <v>4463</v>
      </c>
      <c r="J609" s="5" t="s">
        <v>4464</v>
      </c>
      <c r="K609" s="10" t="e">
        <f t="shared" si="0"/>
        <v>#VALUE!</v>
      </c>
      <c r="L609" s="10">
        <f t="shared" si="1"/>
        <v>1</v>
      </c>
      <c r="M609" s="10" t="str">
        <f t="shared" si="2"/>
        <v>001</v>
      </c>
      <c r="N609" s="10" t="str">
        <f t="shared" si="3"/>
        <v>01</v>
      </c>
      <c r="O609" s="10" t="str">
        <f t="shared" si="16"/>
        <v>TERDU</v>
      </c>
    </row>
    <row r="610" spans="1:15" ht="12.5">
      <c r="A610" s="115" t="s">
        <v>4465</v>
      </c>
      <c r="B610" s="5">
        <v>0</v>
      </c>
      <c r="C610" s="5">
        <v>61</v>
      </c>
      <c r="D610" s="5">
        <v>4</v>
      </c>
      <c r="E610" s="5">
        <v>91</v>
      </c>
      <c r="F610" s="5">
        <v>3</v>
      </c>
      <c r="G610" s="5">
        <v>200</v>
      </c>
      <c r="H610" s="5" t="s">
        <v>4408</v>
      </c>
      <c r="I610" s="5" t="s">
        <v>4463</v>
      </c>
      <c r="J610" s="5" t="s">
        <v>4466</v>
      </c>
      <c r="K610" s="10" t="e">
        <f t="shared" si="0"/>
        <v>#VALUE!</v>
      </c>
      <c r="L610" s="10">
        <f t="shared" si="1"/>
        <v>1</v>
      </c>
      <c r="M610" s="10" t="str">
        <f t="shared" si="2"/>
        <v>002</v>
      </c>
      <c r="N610" s="10" t="str">
        <f t="shared" si="3"/>
        <v>01</v>
      </c>
      <c r="O610" s="10" t="str">
        <f t="shared" si="16"/>
        <v>TERDU</v>
      </c>
    </row>
    <row r="611" spans="1:15" ht="12.5">
      <c r="A611" s="115" t="s">
        <v>4467</v>
      </c>
      <c r="B611" s="5">
        <v>0</v>
      </c>
      <c r="C611" s="5">
        <v>61</v>
      </c>
      <c r="D611" s="5">
        <v>4</v>
      </c>
      <c r="E611" s="5">
        <v>91</v>
      </c>
      <c r="F611" s="5">
        <v>3</v>
      </c>
      <c r="G611" s="5">
        <v>300</v>
      </c>
      <c r="H611" s="5" t="s">
        <v>4408</v>
      </c>
      <c r="I611" s="5" t="s">
        <v>4463</v>
      </c>
      <c r="J611" s="5" t="s">
        <v>4468</v>
      </c>
      <c r="K611" s="10" t="e">
        <f t="shared" si="0"/>
        <v>#VALUE!</v>
      </c>
      <c r="L611" s="10">
        <f t="shared" si="1"/>
        <v>1</v>
      </c>
      <c r="M611" s="10" t="str">
        <f t="shared" si="2"/>
        <v>003</v>
      </c>
      <c r="N611" s="10" t="str">
        <f t="shared" si="3"/>
        <v>01</v>
      </c>
      <c r="O611" s="10" t="str">
        <f t="shared" si="16"/>
        <v>TERDU</v>
      </c>
    </row>
    <row r="612" spans="1:15" ht="12.5">
      <c r="A612" s="115" t="s">
        <v>4469</v>
      </c>
      <c r="B612" s="5">
        <v>0</v>
      </c>
      <c r="C612" s="5">
        <v>61</v>
      </c>
      <c r="D612" s="5">
        <v>4</v>
      </c>
      <c r="E612" s="5">
        <v>91</v>
      </c>
      <c r="F612" s="5">
        <v>3</v>
      </c>
      <c r="G612" s="5">
        <v>400</v>
      </c>
      <c r="H612" s="5" t="s">
        <v>4408</v>
      </c>
      <c r="I612" s="5" t="s">
        <v>4463</v>
      </c>
      <c r="J612" s="5" t="s">
        <v>4470</v>
      </c>
      <c r="K612" s="10" t="e">
        <f t="shared" si="0"/>
        <v>#VALUE!</v>
      </c>
      <c r="L612" s="10">
        <f t="shared" si="1"/>
        <v>1</v>
      </c>
      <c r="M612" s="10" t="str">
        <f t="shared" si="2"/>
        <v>004</v>
      </c>
      <c r="N612" s="10" t="str">
        <f t="shared" si="3"/>
        <v>01</v>
      </c>
      <c r="O612" s="10" t="str">
        <f t="shared" si="16"/>
        <v>TERDU</v>
      </c>
    </row>
    <row r="613" spans="1:15" ht="12.5">
      <c r="A613" s="115" t="s">
        <v>4471</v>
      </c>
      <c r="B613" s="5">
        <v>0</v>
      </c>
      <c r="C613" s="5">
        <v>61</v>
      </c>
      <c r="D613" s="5">
        <v>4</v>
      </c>
      <c r="E613" s="5">
        <v>91</v>
      </c>
      <c r="F613" s="5">
        <v>3</v>
      </c>
      <c r="G613" s="5">
        <v>500</v>
      </c>
      <c r="H613" s="5" t="s">
        <v>4408</v>
      </c>
      <c r="I613" s="5" t="s">
        <v>4463</v>
      </c>
      <c r="J613" s="5" t="s">
        <v>4472</v>
      </c>
      <c r="K613" s="10" t="e">
        <f t="shared" si="0"/>
        <v>#VALUE!</v>
      </c>
      <c r="L613" s="10">
        <f t="shared" si="1"/>
        <v>1</v>
      </c>
      <c r="M613" s="10" t="str">
        <f t="shared" si="2"/>
        <v>005</v>
      </c>
      <c r="N613" s="10" t="str">
        <f t="shared" si="3"/>
        <v>01</v>
      </c>
      <c r="O613" s="10" t="str">
        <f t="shared" si="16"/>
        <v>TERDU</v>
      </c>
    </row>
    <row r="614" spans="1:15" ht="12.5">
      <c r="A614" s="115" t="s">
        <v>4473</v>
      </c>
      <c r="B614" s="5">
        <v>0</v>
      </c>
      <c r="C614" s="5">
        <v>61</v>
      </c>
      <c r="D614" s="5">
        <v>4</v>
      </c>
      <c r="E614" s="5">
        <v>91</v>
      </c>
      <c r="F614" s="5">
        <v>3</v>
      </c>
      <c r="G614" s="5">
        <v>600</v>
      </c>
      <c r="H614" s="5" t="s">
        <v>4408</v>
      </c>
      <c r="I614" s="5" t="s">
        <v>4463</v>
      </c>
      <c r="J614" s="5" t="s">
        <v>4474</v>
      </c>
      <c r="K614" s="10" t="e">
        <f t="shared" si="0"/>
        <v>#VALUE!</v>
      </c>
      <c r="L614" s="10">
        <f t="shared" si="1"/>
        <v>1</v>
      </c>
      <c r="M614" s="10" t="str">
        <f t="shared" si="2"/>
        <v>011</v>
      </c>
      <c r="N614" s="10" t="str">
        <f t="shared" si="3"/>
        <v>01</v>
      </c>
      <c r="O614" s="10" t="str">
        <f t="shared" si="16"/>
        <v>TERDU</v>
      </c>
    </row>
    <row r="615" spans="1:15" ht="12.5">
      <c r="A615" s="115" t="s">
        <v>4475</v>
      </c>
      <c r="B615" s="5">
        <v>0</v>
      </c>
      <c r="C615" s="5">
        <v>61</v>
      </c>
      <c r="D615" s="5">
        <v>4</v>
      </c>
      <c r="E615" s="5">
        <v>91</v>
      </c>
      <c r="F615" s="5">
        <v>3</v>
      </c>
      <c r="G615" s="5">
        <v>700</v>
      </c>
      <c r="H615" s="5" t="s">
        <v>4408</v>
      </c>
      <c r="I615" s="5" t="s">
        <v>4463</v>
      </c>
      <c r="J615" s="5" t="s">
        <v>4476</v>
      </c>
      <c r="K615" s="10" t="e">
        <f t="shared" si="0"/>
        <v>#VALUE!</v>
      </c>
      <c r="L615" s="10">
        <f t="shared" si="1"/>
        <v>1</v>
      </c>
      <c r="M615" s="10" t="str">
        <f t="shared" si="2"/>
        <v>006</v>
      </c>
      <c r="N615" s="10" t="str">
        <f t="shared" si="3"/>
        <v>01</v>
      </c>
      <c r="O615" s="10" t="str">
        <f t="shared" si="16"/>
        <v>TERDU</v>
      </c>
    </row>
    <row r="616" spans="1:15" ht="12.5">
      <c r="A616" s="115" t="s">
        <v>4477</v>
      </c>
      <c r="B616" s="5">
        <v>0</v>
      </c>
      <c r="C616" s="5">
        <v>61</v>
      </c>
      <c r="D616" s="5">
        <v>4</v>
      </c>
      <c r="E616" s="5">
        <v>91</v>
      </c>
      <c r="F616" s="5">
        <v>3</v>
      </c>
      <c r="G616" s="5">
        <v>800</v>
      </c>
      <c r="H616" s="5" t="s">
        <v>4408</v>
      </c>
      <c r="I616" s="5" t="s">
        <v>4463</v>
      </c>
      <c r="J616" s="5" t="s">
        <v>4478</v>
      </c>
      <c r="K616" s="10" t="e">
        <f t="shared" si="0"/>
        <v>#VALUE!</v>
      </c>
      <c r="L616" s="10">
        <f t="shared" si="1"/>
        <v>1</v>
      </c>
      <c r="M616" s="10" t="str">
        <f t="shared" si="2"/>
        <v>007</v>
      </c>
      <c r="N616" s="10" t="str">
        <f t="shared" si="3"/>
        <v>02</v>
      </c>
      <c r="O616" s="10" t="str">
        <f t="shared" si="16"/>
        <v>PRAMUKA</v>
      </c>
    </row>
    <row r="617" spans="1:15" ht="12.5">
      <c r="A617" s="115" t="s">
        <v>4479</v>
      </c>
      <c r="B617" s="5">
        <v>0</v>
      </c>
      <c r="C617" s="5">
        <v>61</v>
      </c>
      <c r="D617" s="5">
        <v>4</v>
      </c>
      <c r="E617" s="5">
        <v>91</v>
      </c>
      <c r="F617" s="5">
        <v>3</v>
      </c>
      <c r="G617" s="5">
        <v>900</v>
      </c>
      <c r="H617" s="5" t="s">
        <v>4408</v>
      </c>
      <c r="I617" s="5" t="s">
        <v>4463</v>
      </c>
      <c r="J617" s="5" t="s">
        <v>4480</v>
      </c>
      <c r="K617" s="10" t="e">
        <f t="shared" si="0"/>
        <v>#VALUE!</v>
      </c>
      <c r="L617" s="10">
        <f t="shared" si="1"/>
        <v>1</v>
      </c>
      <c r="M617" s="10" t="str">
        <f t="shared" si="2"/>
        <v>008</v>
      </c>
      <c r="N617" s="10" t="str">
        <f t="shared" si="3"/>
        <v>02</v>
      </c>
      <c r="O617" s="10" t="str">
        <f t="shared" si="16"/>
        <v>PRAMUKA</v>
      </c>
    </row>
    <row r="618" spans="1:15" ht="12.5">
      <c r="A618" s="115" t="s">
        <v>4481</v>
      </c>
      <c r="B618" s="5">
        <v>0</v>
      </c>
      <c r="C618" s="5">
        <v>61</v>
      </c>
      <c r="D618" s="5">
        <v>4</v>
      </c>
      <c r="E618" s="5">
        <v>91</v>
      </c>
      <c r="F618" s="5">
        <v>3</v>
      </c>
      <c r="G618" s="5">
        <v>1000</v>
      </c>
      <c r="H618" s="5" t="s">
        <v>4408</v>
      </c>
      <c r="I618" s="5" t="s">
        <v>4463</v>
      </c>
      <c r="J618" s="5" t="s">
        <v>4482</v>
      </c>
      <c r="K618" s="10" t="e">
        <f t="shared" si="0"/>
        <v>#VALUE!</v>
      </c>
      <c r="L618" s="10">
        <f t="shared" si="1"/>
        <v>1</v>
      </c>
      <c r="M618" s="10" t="str">
        <f t="shared" si="2"/>
        <v>009</v>
      </c>
      <c r="N618" s="10" t="str">
        <f t="shared" si="3"/>
        <v>02</v>
      </c>
      <c r="O618" s="10" t="str">
        <f t="shared" si="16"/>
        <v>PRAMUKA</v>
      </c>
    </row>
    <row r="619" spans="1:15" ht="12.5">
      <c r="A619" s="115" t="s">
        <v>4483</v>
      </c>
      <c r="B619" s="5">
        <v>0</v>
      </c>
      <c r="C619" s="5">
        <v>61</v>
      </c>
      <c r="D619" s="5">
        <v>4</v>
      </c>
      <c r="E619" s="5">
        <v>91</v>
      </c>
      <c r="F619" s="5">
        <v>3</v>
      </c>
      <c r="G619" s="5">
        <v>1100</v>
      </c>
      <c r="H619" s="5" t="s">
        <v>4408</v>
      </c>
      <c r="I619" s="5" t="s">
        <v>4463</v>
      </c>
      <c r="J619" s="5" t="s">
        <v>4484</v>
      </c>
      <c r="K619" s="10" t="e">
        <f t="shared" si="0"/>
        <v>#VALUE!</v>
      </c>
      <c r="L619" s="10">
        <f t="shared" si="1"/>
        <v>1</v>
      </c>
      <c r="M619" s="10" t="str">
        <f t="shared" si="2"/>
        <v>010</v>
      </c>
      <c r="N619" s="10" t="str">
        <f t="shared" si="3"/>
        <v>02</v>
      </c>
      <c r="O619" s="10" t="str">
        <f t="shared" si="16"/>
        <v>PRAMUKA</v>
      </c>
    </row>
    <row r="620" spans="1:15" ht="12.5">
      <c r="A620" s="115" t="s">
        <v>4485</v>
      </c>
      <c r="B620" s="5">
        <v>2</v>
      </c>
      <c r="C620" s="5">
        <v>61</v>
      </c>
      <c r="D620" s="5">
        <v>4</v>
      </c>
      <c r="E620" s="5">
        <v>91</v>
      </c>
      <c r="F620" s="5">
        <v>3</v>
      </c>
      <c r="G620" s="5">
        <v>200100</v>
      </c>
      <c r="H620" s="5" t="s">
        <v>4408</v>
      </c>
      <c r="I620" s="5" t="s">
        <v>4463</v>
      </c>
      <c r="J620" s="5" t="s">
        <v>3517</v>
      </c>
      <c r="K620" s="10" t="e">
        <f t="shared" si="0"/>
        <v>#VALUE!</v>
      </c>
      <c r="L620" s="10">
        <f t="shared" si="1"/>
        <v>0</v>
      </c>
      <c r="M620" s="10" t="str">
        <f t="shared" si="2"/>
        <v>AN</v>
      </c>
      <c r="N620" s="10" t="str">
        <f t="shared" si="3"/>
        <v/>
      </c>
      <c r="O620" s="10" t="str">
        <f t="shared" si="16"/>
        <v/>
      </c>
    </row>
    <row r="621" spans="1:15" ht="12.5">
      <c r="A621" s="115" t="s">
        <v>4486</v>
      </c>
      <c r="B621" s="5">
        <v>0</v>
      </c>
      <c r="C621" s="5">
        <v>61</v>
      </c>
      <c r="D621" s="5">
        <v>4</v>
      </c>
      <c r="E621" s="5">
        <v>91</v>
      </c>
      <c r="F621" s="5">
        <v>4</v>
      </c>
      <c r="G621" s="5">
        <v>100</v>
      </c>
      <c r="H621" s="5" t="s">
        <v>4408</v>
      </c>
      <c r="I621" s="5" t="s">
        <v>4487</v>
      </c>
      <c r="J621" s="5" t="s">
        <v>4488</v>
      </c>
      <c r="K621" s="10" t="e">
        <f t="shared" si="0"/>
        <v>#VALUE!</v>
      </c>
      <c r="L621" s="10">
        <f t="shared" si="1"/>
        <v>1</v>
      </c>
      <c r="M621" s="10" t="str">
        <f t="shared" si="2"/>
        <v>001</v>
      </c>
      <c r="N621" s="10" t="str">
        <f t="shared" si="3"/>
        <v>01</v>
      </c>
      <c r="O621" s="10" t="str">
        <f t="shared" si="16"/>
        <v>PERIKANAN</v>
      </c>
    </row>
    <row r="622" spans="1:15" ht="12.5">
      <c r="A622" s="115" t="s">
        <v>4489</v>
      </c>
      <c r="B622" s="5">
        <v>0</v>
      </c>
      <c r="C622" s="5">
        <v>61</v>
      </c>
      <c r="D622" s="5">
        <v>4</v>
      </c>
      <c r="E622" s="5">
        <v>91</v>
      </c>
      <c r="F622" s="5">
        <v>4</v>
      </c>
      <c r="G622" s="5">
        <v>200</v>
      </c>
      <c r="H622" s="5" t="s">
        <v>4408</v>
      </c>
      <c r="I622" s="5" t="s">
        <v>4487</v>
      </c>
      <c r="J622" s="5" t="s">
        <v>4490</v>
      </c>
      <c r="K622" s="10" t="e">
        <f t="shared" si="0"/>
        <v>#VALUE!</v>
      </c>
      <c r="L622" s="10">
        <f t="shared" si="1"/>
        <v>1</v>
      </c>
      <c r="M622" s="10" t="str">
        <f t="shared" si="2"/>
        <v>002</v>
      </c>
      <c r="N622" s="10" t="str">
        <f t="shared" si="3"/>
        <v>01</v>
      </c>
      <c r="O622" s="10" t="str">
        <f t="shared" si="16"/>
        <v>PERIKANAN</v>
      </c>
    </row>
    <row r="623" spans="1:15" ht="12.5">
      <c r="A623" s="115" t="s">
        <v>4491</v>
      </c>
      <c r="B623" s="5">
        <v>0</v>
      </c>
      <c r="C623" s="5">
        <v>61</v>
      </c>
      <c r="D623" s="5">
        <v>4</v>
      </c>
      <c r="E623" s="5">
        <v>91</v>
      </c>
      <c r="F623" s="5">
        <v>4</v>
      </c>
      <c r="G623" s="5">
        <v>300</v>
      </c>
      <c r="H623" s="5" t="s">
        <v>4408</v>
      </c>
      <c r="I623" s="5" t="s">
        <v>4487</v>
      </c>
      <c r="J623" s="5" t="s">
        <v>4492</v>
      </c>
      <c r="K623" s="10" t="e">
        <f t="shared" si="0"/>
        <v>#VALUE!</v>
      </c>
      <c r="L623" s="10">
        <f t="shared" si="1"/>
        <v>1</v>
      </c>
      <c r="M623" s="10" t="str">
        <f t="shared" si="2"/>
        <v>003</v>
      </c>
      <c r="N623" s="10" t="str">
        <f t="shared" si="3"/>
        <v>01</v>
      </c>
      <c r="O623" s="10" t="str">
        <f t="shared" si="16"/>
        <v>PERIKANAN</v>
      </c>
    </row>
    <row r="624" spans="1:15" ht="12.5">
      <c r="A624" s="115" t="s">
        <v>4493</v>
      </c>
      <c r="B624" s="5">
        <v>0</v>
      </c>
      <c r="C624" s="5">
        <v>61</v>
      </c>
      <c r="D624" s="5">
        <v>4</v>
      </c>
      <c r="E624" s="5">
        <v>91</v>
      </c>
      <c r="F624" s="5">
        <v>4</v>
      </c>
      <c r="G624" s="5">
        <v>400</v>
      </c>
      <c r="H624" s="5" t="s">
        <v>4408</v>
      </c>
      <c r="I624" s="5" t="s">
        <v>4487</v>
      </c>
      <c r="J624" s="5" t="s">
        <v>4494</v>
      </c>
      <c r="K624" s="10" t="e">
        <f t="shared" si="0"/>
        <v>#VALUE!</v>
      </c>
      <c r="L624" s="10">
        <f t="shared" si="1"/>
        <v>1</v>
      </c>
      <c r="M624" s="10" t="str">
        <f t="shared" si="2"/>
        <v>004</v>
      </c>
      <c r="N624" s="10" t="str">
        <f t="shared" si="3"/>
        <v>02</v>
      </c>
      <c r="O624" s="10" t="str">
        <f t="shared" si="16"/>
        <v>PAK BULU</v>
      </c>
    </row>
    <row r="625" spans="1:15" ht="12.5">
      <c r="A625" s="115" t="s">
        <v>4495</v>
      </c>
      <c r="B625" s="5">
        <v>0</v>
      </c>
      <c r="C625" s="5">
        <v>61</v>
      </c>
      <c r="D625" s="5">
        <v>4</v>
      </c>
      <c r="E625" s="5">
        <v>91</v>
      </c>
      <c r="F625" s="5">
        <v>4</v>
      </c>
      <c r="G625" s="5">
        <v>500</v>
      </c>
      <c r="H625" s="5" t="s">
        <v>4408</v>
      </c>
      <c r="I625" s="5" t="s">
        <v>4487</v>
      </c>
      <c r="J625" s="5" t="s">
        <v>4496</v>
      </c>
      <c r="K625" s="10" t="e">
        <f t="shared" si="0"/>
        <v>#VALUE!</v>
      </c>
      <c r="L625" s="10">
        <f t="shared" si="1"/>
        <v>1</v>
      </c>
      <c r="M625" s="10" t="str">
        <f t="shared" si="2"/>
        <v>005</v>
      </c>
      <c r="N625" s="10" t="str">
        <f t="shared" si="3"/>
        <v>02</v>
      </c>
      <c r="O625" s="10" t="str">
        <f t="shared" si="16"/>
        <v>PAK BULU</v>
      </c>
    </row>
    <row r="626" spans="1:15" ht="12.5">
      <c r="A626" s="115" t="s">
        <v>4497</v>
      </c>
      <c r="B626" s="5">
        <v>0</v>
      </c>
      <c r="C626" s="5">
        <v>61</v>
      </c>
      <c r="D626" s="5">
        <v>4</v>
      </c>
      <c r="E626" s="5">
        <v>91</v>
      </c>
      <c r="F626" s="5">
        <v>4</v>
      </c>
      <c r="G626" s="5">
        <v>600</v>
      </c>
      <c r="H626" s="5" t="s">
        <v>4408</v>
      </c>
      <c r="I626" s="5" t="s">
        <v>4487</v>
      </c>
      <c r="J626" s="5" t="s">
        <v>4498</v>
      </c>
      <c r="K626" s="10" t="e">
        <f t="shared" si="0"/>
        <v>#VALUE!</v>
      </c>
      <c r="L626" s="10">
        <f t="shared" si="1"/>
        <v>1</v>
      </c>
      <c r="M626" s="10" t="str">
        <f t="shared" si="2"/>
        <v>006</v>
      </c>
      <c r="N626" s="10" t="str">
        <f t="shared" si="3"/>
        <v>02</v>
      </c>
      <c r="O626" s="10" t="str">
        <f t="shared" si="16"/>
        <v>PAK BULU</v>
      </c>
    </row>
    <row r="627" spans="1:15" ht="12.5">
      <c r="A627" s="115" t="s">
        <v>4499</v>
      </c>
      <c r="B627" s="5">
        <v>0</v>
      </c>
      <c r="C627" s="5">
        <v>61</v>
      </c>
      <c r="D627" s="5">
        <v>4</v>
      </c>
      <c r="E627" s="5">
        <v>91</v>
      </c>
      <c r="F627" s="5">
        <v>4</v>
      </c>
      <c r="G627" s="5">
        <v>700</v>
      </c>
      <c r="H627" s="5" t="s">
        <v>4408</v>
      </c>
      <c r="I627" s="5" t="s">
        <v>4487</v>
      </c>
      <c r="J627" s="5" t="s">
        <v>4500</v>
      </c>
      <c r="K627" s="10" t="e">
        <f t="shared" si="0"/>
        <v>#VALUE!</v>
      </c>
      <c r="L627" s="10">
        <f t="shared" si="1"/>
        <v>1</v>
      </c>
      <c r="M627" s="10" t="str">
        <f t="shared" si="2"/>
        <v>007</v>
      </c>
      <c r="N627" s="10" t="str">
        <f t="shared" si="3"/>
        <v>02</v>
      </c>
      <c r="O627" s="10" t="str">
        <f t="shared" si="16"/>
        <v>PAK BULU</v>
      </c>
    </row>
    <row r="628" spans="1:15" ht="12.5">
      <c r="A628" s="115" t="s">
        <v>4501</v>
      </c>
      <c r="B628" s="5">
        <v>0</v>
      </c>
      <c r="C628" s="5">
        <v>61</v>
      </c>
      <c r="D628" s="5">
        <v>4</v>
      </c>
      <c r="E628" s="5">
        <v>91</v>
      </c>
      <c r="F628" s="5">
        <v>4</v>
      </c>
      <c r="G628" s="5">
        <v>800</v>
      </c>
      <c r="H628" s="5" t="s">
        <v>4408</v>
      </c>
      <c r="I628" s="5" t="s">
        <v>4487</v>
      </c>
      <c r="J628" s="5" t="s">
        <v>4502</v>
      </c>
      <c r="K628" s="10" t="e">
        <f t="shared" si="0"/>
        <v>#VALUE!</v>
      </c>
      <c r="L628" s="10">
        <f t="shared" si="1"/>
        <v>1</v>
      </c>
      <c r="M628" s="10" t="str">
        <f t="shared" si="2"/>
        <v>008</v>
      </c>
      <c r="N628" s="10" t="str">
        <f t="shared" si="3"/>
        <v>02</v>
      </c>
      <c r="O628" s="10" t="str">
        <f t="shared" si="16"/>
        <v>PAK BULU</v>
      </c>
    </row>
    <row r="629" spans="1:15" ht="12.5">
      <c r="A629" s="115" t="s">
        <v>4503</v>
      </c>
      <c r="B629" s="5">
        <v>2</v>
      </c>
      <c r="C629" s="5">
        <v>61</v>
      </c>
      <c r="D629" s="5">
        <v>4</v>
      </c>
      <c r="E629" s="5">
        <v>91</v>
      </c>
      <c r="F629" s="5">
        <v>4</v>
      </c>
      <c r="G629" s="5">
        <v>200100</v>
      </c>
      <c r="H629" s="5" t="s">
        <v>4408</v>
      </c>
      <c r="I629" s="5" t="s">
        <v>4487</v>
      </c>
      <c r="J629" s="5" t="s">
        <v>4504</v>
      </c>
      <c r="K629" s="10" t="e">
        <f t="shared" si="0"/>
        <v>#VALUE!</v>
      </c>
      <c r="L629" s="10">
        <f t="shared" si="1"/>
        <v>0</v>
      </c>
      <c r="M629" s="10" t="str">
        <f t="shared" si="2"/>
        <v xml:space="preserve"> SL</v>
      </c>
      <c r="N629" s="10" t="str">
        <f t="shared" si="3"/>
        <v>K B</v>
      </c>
      <c r="O629" s="10" t="str">
        <f t="shared" si="16"/>
        <v/>
      </c>
    </row>
    <row r="630" spans="1:15" ht="12.5">
      <c r="A630" s="115" t="s">
        <v>4505</v>
      </c>
      <c r="B630" s="5">
        <v>0</v>
      </c>
      <c r="C630" s="5">
        <v>61</v>
      </c>
      <c r="D630" s="5">
        <v>4</v>
      </c>
      <c r="E630" s="5">
        <v>91</v>
      </c>
      <c r="F630" s="5">
        <v>5</v>
      </c>
      <c r="G630" s="5">
        <v>100</v>
      </c>
      <c r="H630" s="5" t="s">
        <v>4408</v>
      </c>
      <c r="I630" s="5" t="s">
        <v>4506</v>
      </c>
      <c r="J630" s="5" t="s">
        <v>4507</v>
      </c>
      <c r="K630" s="10" t="e">
        <f t="shared" si="0"/>
        <v>#VALUE!</v>
      </c>
      <c r="L630" s="10">
        <f t="shared" si="1"/>
        <v>1</v>
      </c>
      <c r="M630" s="10" t="str">
        <f t="shared" si="2"/>
        <v>001</v>
      </c>
      <c r="N630" s="10" t="str">
        <f t="shared" si="3"/>
        <v>01</v>
      </c>
      <c r="O630" s="10" t="str">
        <f t="shared" si="16"/>
        <v>BAGURUH</v>
      </c>
    </row>
    <row r="631" spans="1:15" ht="12.5">
      <c r="A631" s="115" t="s">
        <v>4508</v>
      </c>
      <c r="B631" s="5">
        <v>0</v>
      </c>
      <c r="C631" s="5">
        <v>61</v>
      </c>
      <c r="D631" s="5">
        <v>4</v>
      </c>
      <c r="E631" s="5">
        <v>91</v>
      </c>
      <c r="F631" s="5">
        <v>5</v>
      </c>
      <c r="G631" s="5">
        <v>200</v>
      </c>
      <c r="H631" s="5" t="s">
        <v>4408</v>
      </c>
      <c r="I631" s="5" t="s">
        <v>4506</v>
      </c>
      <c r="J631" s="5" t="s">
        <v>4509</v>
      </c>
      <c r="K631" s="10" t="e">
        <f t="shared" si="0"/>
        <v>#VALUE!</v>
      </c>
      <c r="L631" s="10">
        <f t="shared" si="1"/>
        <v>1</v>
      </c>
      <c r="M631" s="10" t="str">
        <f t="shared" si="2"/>
        <v>002</v>
      </c>
      <c r="N631" s="10" t="str">
        <f t="shared" si="3"/>
        <v>01</v>
      </c>
      <c r="O631" s="10" t="str">
        <f t="shared" si="16"/>
        <v>BAGURUH</v>
      </c>
    </row>
    <row r="632" spans="1:15" ht="12.5">
      <c r="A632" s="115" t="s">
        <v>4510</v>
      </c>
      <c r="B632" s="5">
        <v>0</v>
      </c>
      <c r="C632" s="5">
        <v>61</v>
      </c>
      <c r="D632" s="5">
        <v>4</v>
      </c>
      <c r="E632" s="5">
        <v>91</v>
      </c>
      <c r="F632" s="5">
        <v>5</v>
      </c>
      <c r="G632" s="5">
        <v>300</v>
      </c>
      <c r="H632" s="5" t="s">
        <v>4408</v>
      </c>
      <c r="I632" s="5" t="s">
        <v>4506</v>
      </c>
      <c r="J632" s="5" t="s">
        <v>4511</v>
      </c>
      <c r="K632" s="10" t="e">
        <f t="shared" si="0"/>
        <v>#VALUE!</v>
      </c>
      <c r="L632" s="10">
        <f t="shared" si="1"/>
        <v>1</v>
      </c>
      <c r="M632" s="10" t="str">
        <f t="shared" si="2"/>
        <v>010</v>
      </c>
      <c r="N632" s="10" t="str">
        <f t="shared" si="3"/>
        <v>01</v>
      </c>
      <c r="O632" s="10" t="str">
        <f t="shared" si="16"/>
        <v>BAGURUH</v>
      </c>
    </row>
    <row r="633" spans="1:15" ht="12.5">
      <c r="A633" s="115" t="s">
        <v>4512</v>
      </c>
      <c r="B633" s="5">
        <v>0</v>
      </c>
      <c r="C633" s="5">
        <v>61</v>
      </c>
      <c r="D633" s="5">
        <v>4</v>
      </c>
      <c r="E633" s="5">
        <v>91</v>
      </c>
      <c r="F633" s="5">
        <v>5</v>
      </c>
      <c r="G633" s="5">
        <v>400</v>
      </c>
      <c r="H633" s="5" t="s">
        <v>4408</v>
      </c>
      <c r="I633" s="5" t="s">
        <v>4506</v>
      </c>
      <c r="J633" s="5" t="s">
        <v>4513</v>
      </c>
      <c r="K633" s="10" t="e">
        <f t="shared" si="0"/>
        <v>#VALUE!</v>
      </c>
      <c r="L633" s="10">
        <f t="shared" si="1"/>
        <v>1</v>
      </c>
      <c r="M633" s="10" t="str">
        <f t="shared" si="2"/>
        <v>011</v>
      </c>
      <c r="N633" s="10" t="str">
        <f t="shared" si="3"/>
        <v>01</v>
      </c>
      <c r="O633" s="10" t="str">
        <f t="shared" si="16"/>
        <v>BAGURUH</v>
      </c>
    </row>
    <row r="634" spans="1:15" ht="12.5">
      <c r="A634" s="115" t="s">
        <v>4514</v>
      </c>
      <c r="B634" s="5">
        <v>0</v>
      </c>
      <c r="C634" s="5">
        <v>61</v>
      </c>
      <c r="D634" s="5">
        <v>4</v>
      </c>
      <c r="E634" s="5">
        <v>91</v>
      </c>
      <c r="F634" s="5">
        <v>5</v>
      </c>
      <c r="G634" s="5">
        <v>500</v>
      </c>
      <c r="H634" s="5" t="s">
        <v>4408</v>
      </c>
      <c r="I634" s="5" t="s">
        <v>4506</v>
      </c>
      <c r="J634" s="5" t="s">
        <v>4515</v>
      </c>
      <c r="K634" s="10" t="e">
        <f t="shared" si="0"/>
        <v>#VALUE!</v>
      </c>
      <c r="L634" s="10">
        <f t="shared" si="1"/>
        <v>1</v>
      </c>
      <c r="M634" s="10" t="str">
        <f t="shared" si="2"/>
        <v>003</v>
      </c>
      <c r="N634" s="10" t="str">
        <f t="shared" si="3"/>
        <v>02</v>
      </c>
      <c r="O634" s="10" t="str">
        <f t="shared" si="16"/>
        <v>DEMA</v>
      </c>
    </row>
    <row r="635" spans="1:15" ht="12.5">
      <c r="A635" s="115" t="s">
        <v>4516</v>
      </c>
      <c r="B635" s="5">
        <v>0</v>
      </c>
      <c r="C635" s="5">
        <v>61</v>
      </c>
      <c r="D635" s="5">
        <v>4</v>
      </c>
      <c r="E635" s="5">
        <v>91</v>
      </c>
      <c r="F635" s="5">
        <v>5</v>
      </c>
      <c r="G635" s="5">
        <v>600</v>
      </c>
      <c r="H635" s="5" t="s">
        <v>4408</v>
      </c>
      <c r="I635" s="5" t="s">
        <v>4506</v>
      </c>
      <c r="J635" s="5" t="s">
        <v>4517</v>
      </c>
      <c r="K635" s="10" t="e">
        <f t="shared" si="0"/>
        <v>#VALUE!</v>
      </c>
      <c r="L635" s="10">
        <f t="shared" si="1"/>
        <v>1</v>
      </c>
      <c r="M635" s="10" t="str">
        <f t="shared" si="2"/>
        <v>004</v>
      </c>
      <c r="N635" s="10" t="str">
        <f t="shared" si="3"/>
        <v>02</v>
      </c>
      <c r="O635" s="10" t="str">
        <f t="shared" si="16"/>
        <v>DEMA</v>
      </c>
    </row>
    <row r="636" spans="1:15" ht="12.5">
      <c r="A636" s="115" t="s">
        <v>4518</v>
      </c>
      <c r="B636" s="5">
        <v>0</v>
      </c>
      <c r="C636" s="5">
        <v>61</v>
      </c>
      <c r="D636" s="5">
        <v>4</v>
      </c>
      <c r="E636" s="5">
        <v>91</v>
      </c>
      <c r="F636" s="5">
        <v>5</v>
      </c>
      <c r="G636" s="5">
        <v>700</v>
      </c>
      <c r="H636" s="5" t="s">
        <v>4408</v>
      </c>
      <c r="I636" s="5" t="s">
        <v>4506</v>
      </c>
      <c r="J636" s="5" t="s">
        <v>4519</v>
      </c>
      <c r="K636" s="10" t="e">
        <f t="shared" si="0"/>
        <v>#VALUE!</v>
      </c>
      <c r="L636" s="10">
        <f t="shared" si="1"/>
        <v>1</v>
      </c>
      <c r="M636" s="10" t="str">
        <f t="shared" si="2"/>
        <v>005</v>
      </c>
      <c r="N636" s="10" t="str">
        <f t="shared" si="3"/>
        <v>02</v>
      </c>
      <c r="O636" s="10" t="str">
        <f t="shared" si="16"/>
        <v>DEMA</v>
      </c>
    </row>
    <row r="637" spans="1:15" ht="12.5">
      <c r="A637" s="115" t="s">
        <v>4520</v>
      </c>
      <c r="B637" s="5">
        <v>0</v>
      </c>
      <c r="C637" s="5">
        <v>61</v>
      </c>
      <c r="D637" s="5">
        <v>4</v>
      </c>
      <c r="E637" s="5">
        <v>91</v>
      </c>
      <c r="F637" s="5">
        <v>5</v>
      </c>
      <c r="G637" s="5">
        <v>800</v>
      </c>
      <c r="H637" s="5" t="s">
        <v>4408</v>
      </c>
      <c r="I637" s="5" t="s">
        <v>4506</v>
      </c>
      <c r="J637" s="5" t="s">
        <v>4521</v>
      </c>
      <c r="K637" s="10" t="e">
        <f t="shared" si="0"/>
        <v>#VALUE!</v>
      </c>
      <c r="L637" s="10">
        <f t="shared" si="1"/>
        <v>1</v>
      </c>
      <c r="M637" s="10" t="str">
        <f t="shared" si="2"/>
        <v>012</v>
      </c>
      <c r="N637" s="10" t="str">
        <f t="shared" si="3"/>
        <v>02</v>
      </c>
      <c r="O637" s="10" t="str">
        <f t="shared" si="16"/>
        <v>DEMA</v>
      </c>
    </row>
    <row r="638" spans="1:15" ht="12.5">
      <c r="A638" s="115" t="s">
        <v>4522</v>
      </c>
      <c r="B638" s="5">
        <v>0</v>
      </c>
      <c r="C638" s="5">
        <v>61</v>
      </c>
      <c r="D638" s="5">
        <v>4</v>
      </c>
      <c r="E638" s="5">
        <v>91</v>
      </c>
      <c r="F638" s="5">
        <v>5</v>
      </c>
      <c r="G638" s="5">
        <v>900</v>
      </c>
      <c r="H638" s="5" t="s">
        <v>4408</v>
      </c>
      <c r="I638" s="5" t="s">
        <v>4506</v>
      </c>
      <c r="J638" s="5" t="s">
        <v>4523</v>
      </c>
      <c r="K638" s="10" t="e">
        <f t="shared" si="0"/>
        <v>#VALUE!</v>
      </c>
      <c r="L638" s="10">
        <f t="shared" si="1"/>
        <v>1</v>
      </c>
      <c r="M638" s="10" t="str">
        <f t="shared" si="2"/>
        <v>006</v>
      </c>
      <c r="N638" s="10" t="str">
        <f t="shared" si="3"/>
        <v>03</v>
      </c>
      <c r="O638" s="10" t="str">
        <f t="shared" si="16"/>
        <v>PINYUH KER</v>
      </c>
    </row>
    <row r="639" spans="1:15" ht="12.5">
      <c r="A639" s="115" t="s">
        <v>4524</v>
      </c>
      <c r="B639" s="5">
        <v>0</v>
      </c>
      <c r="C639" s="5">
        <v>61</v>
      </c>
      <c r="D639" s="5">
        <v>4</v>
      </c>
      <c r="E639" s="5">
        <v>91</v>
      </c>
      <c r="F639" s="5">
        <v>5</v>
      </c>
      <c r="G639" s="5">
        <v>1000</v>
      </c>
      <c r="H639" s="5" t="s">
        <v>4408</v>
      </c>
      <c r="I639" s="5" t="s">
        <v>4506</v>
      </c>
      <c r="J639" s="5" t="s">
        <v>4525</v>
      </c>
      <c r="K639" s="10" t="e">
        <f t="shared" si="0"/>
        <v>#VALUE!</v>
      </c>
      <c r="L639" s="10">
        <f t="shared" si="1"/>
        <v>1</v>
      </c>
      <c r="M639" s="10" t="str">
        <f t="shared" si="2"/>
        <v>007</v>
      </c>
      <c r="N639" s="10" t="str">
        <f t="shared" si="3"/>
        <v>03</v>
      </c>
      <c r="O639" s="10" t="str">
        <f t="shared" si="16"/>
        <v>PINYUH KER</v>
      </c>
    </row>
    <row r="640" spans="1:15" ht="12.5">
      <c r="A640" s="115" t="s">
        <v>4526</v>
      </c>
      <c r="B640" s="5">
        <v>0</v>
      </c>
      <c r="C640" s="5">
        <v>61</v>
      </c>
      <c r="D640" s="5">
        <v>4</v>
      </c>
      <c r="E640" s="5">
        <v>91</v>
      </c>
      <c r="F640" s="5">
        <v>5</v>
      </c>
      <c r="G640" s="5">
        <v>1100</v>
      </c>
      <c r="H640" s="5" t="s">
        <v>4408</v>
      </c>
      <c r="I640" s="5" t="s">
        <v>4506</v>
      </c>
      <c r="J640" s="5" t="s">
        <v>4527</v>
      </c>
      <c r="K640" s="10" t="e">
        <f t="shared" si="0"/>
        <v>#VALUE!</v>
      </c>
      <c r="L640" s="10">
        <f t="shared" si="1"/>
        <v>1</v>
      </c>
      <c r="M640" s="10" t="str">
        <f t="shared" si="2"/>
        <v>008</v>
      </c>
      <c r="N640" s="10" t="str">
        <f t="shared" si="3"/>
        <v>03</v>
      </c>
      <c r="O640" s="10" t="str">
        <f t="shared" si="16"/>
        <v>PINYUH KER</v>
      </c>
    </row>
    <row r="641" spans="1:15" ht="12.5">
      <c r="A641" s="115" t="s">
        <v>4528</v>
      </c>
      <c r="B641" s="5">
        <v>0</v>
      </c>
      <c r="C641" s="5">
        <v>61</v>
      </c>
      <c r="D641" s="5">
        <v>4</v>
      </c>
      <c r="E641" s="5">
        <v>91</v>
      </c>
      <c r="F641" s="5">
        <v>5</v>
      </c>
      <c r="G641" s="5">
        <v>1200</v>
      </c>
      <c r="H641" s="5" t="s">
        <v>4408</v>
      </c>
      <c r="I641" s="5" t="s">
        <v>4506</v>
      </c>
      <c r="J641" s="5" t="s">
        <v>4529</v>
      </c>
      <c r="K641" s="10" t="e">
        <f t="shared" si="0"/>
        <v>#VALUE!</v>
      </c>
      <c r="L641" s="10">
        <f t="shared" si="1"/>
        <v>1</v>
      </c>
      <c r="M641" s="10" t="str">
        <f t="shared" si="2"/>
        <v>009</v>
      </c>
      <c r="N641" s="10" t="str">
        <f t="shared" si="3"/>
        <v>03</v>
      </c>
      <c r="O641" s="10" t="str">
        <f t="shared" si="16"/>
        <v>PINYUH KER</v>
      </c>
    </row>
    <row r="642" spans="1:15" ht="12.5">
      <c r="A642" s="115" t="s">
        <v>4530</v>
      </c>
      <c r="B642" s="5">
        <v>0</v>
      </c>
      <c r="C642" s="5">
        <v>61</v>
      </c>
      <c r="D642" s="5">
        <v>4</v>
      </c>
      <c r="E642" s="5">
        <v>91</v>
      </c>
      <c r="F642" s="5">
        <v>6</v>
      </c>
      <c r="G642" s="5">
        <v>100</v>
      </c>
      <c r="H642" s="5" t="s">
        <v>4408</v>
      </c>
      <c r="I642" s="5" t="s">
        <v>4531</v>
      </c>
      <c r="J642" s="5" t="s">
        <v>4532</v>
      </c>
      <c r="K642" s="10" t="e">
        <f t="shared" si="0"/>
        <v>#VALUE!</v>
      </c>
      <c r="L642" s="10">
        <f t="shared" si="1"/>
        <v>1</v>
      </c>
      <c r="M642" s="10" t="str">
        <f t="shared" si="2"/>
        <v>001</v>
      </c>
      <c r="N642" s="10" t="str">
        <f t="shared" si="3"/>
        <v>01</v>
      </c>
      <c r="O642" s="10" t="str">
        <f t="shared" si="16"/>
        <v>BILADO</v>
      </c>
    </row>
    <row r="643" spans="1:15" ht="12.5">
      <c r="A643" s="115" t="s">
        <v>4533</v>
      </c>
      <c r="B643" s="5">
        <v>0</v>
      </c>
      <c r="C643" s="5">
        <v>61</v>
      </c>
      <c r="D643" s="5">
        <v>4</v>
      </c>
      <c r="E643" s="5">
        <v>91</v>
      </c>
      <c r="F643" s="5">
        <v>6</v>
      </c>
      <c r="G643" s="5">
        <v>200</v>
      </c>
      <c r="H643" s="5" t="s">
        <v>4408</v>
      </c>
      <c r="I643" s="5" t="s">
        <v>4531</v>
      </c>
      <c r="J643" s="5" t="s">
        <v>4534</v>
      </c>
      <c r="K643" s="10" t="e">
        <f t="shared" si="0"/>
        <v>#VALUE!</v>
      </c>
      <c r="L643" s="10">
        <f t="shared" si="1"/>
        <v>1</v>
      </c>
      <c r="M643" s="10" t="str">
        <f t="shared" si="2"/>
        <v>002</v>
      </c>
      <c r="N643" s="10" t="str">
        <f t="shared" si="3"/>
        <v>01</v>
      </c>
      <c r="O643" s="10" t="str">
        <f t="shared" si="16"/>
        <v>BILADO</v>
      </c>
    </row>
    <row r="644" spans="1:15" ht="12.5">
      <c r="A644" s="115" t="s">
        <v>4535</v>
      </c>
      <c r="B644" s="5">
        <v>0</v>
      </c>
      <c r="C644" s="5">
        <v>61</v>
      </c>
      <c r="D644" s="5">
        <v>4</v>
      </c>
      <c r="E644" s="5">
        <v>91</v>
      </c>
      <c r="F644" s="5">
        <v>6</v>
      </c>
      <c r="G644" s="5">
        <v>300</v>
      </c>
      <c r="H644" s="5" t="s">
        <v>4408</v>
      </c>
      <c r="I644" s="5" t="s">
        <v>4531</v>
      </c>
      <c r="J644" s="5" t="s">
        <v>4536</v>
      </c>
      <c r="K644" s="10" t="e">
        <f t="shared" si="0"/>
        <v>#VALUE!</v>
      </c>
      <c r="L644" s="10">
        <f t="shared" si="1"/>
        <v>1</v>
      </c>
      <c r="M644" s="10" t="str">
        <f t="shared" si="2"/>
        <v>003</v>
      </c>
      <c r="N644" s="10" t="str">
        <f t="shared" si="3"/>
        <v>01</v>
      </c>
      <c r="O644" s="10" t="str">
        <f t="shared" si="16"/>
        <v>BILADO</v>
      </c>
    </row>
    <row r="645" spans="1:15" ht="12.5">
      <c r="A645" s="115" t="s">
        <v>4537</v>
      </c>
      <c r="B645" s="5">
        <v>0</v>
      </c>
      <c r="C645" s="5">
        <v>61</v>
      </c>
      <c r="D645" s="5">
        <v>4</v>
      </c>
      <c r="E645" s="5">
        <v>91</v>
      </c>
      <c r="F645" s="5">
        <v>6</v>
      </c>
      <c r="G645" s="5">
        <v>400</v>
      </c>
      <c r="H645" s="5" t="s">
        <v>4408</v>
      </c>
      <c r="I645" s="5" t="s">
        <v>4531</v>
      </c>
      <c r="J645" s="5" t="s">
        <v>4538</v>
      </c>
      <c r="K645" s="10" t="e">
        <f t="shared" si="0"/>
        <v>#VALUE!</v>
      </c>
      <c r="L645" s="10">
        <f t="shared" si="1"/>
        <v>1</v>
      </c>
      <c r="M645" s="10" t="str">
        <f t="shared" si="2"/>
        <v>004</v>
      </c>
      <c r="N645" s="10" t="str">
        <f t="shared" si="3"/>
        <v>01</v>
      </c>
      <c r="O645" s="10" t="str">
        <f t="shared" si="16"/>
        <v>BILADO</v>
      </c>
    </row>
    <row r="646" spans="1:15" ht="12.5">
      <c r="A646" s="115" t="s">
        <v>4539</v>
      </c>
      <c r="B646" s="5">
        <v>0</v>
      </c>
      <c r="C646" s="5">
        <v>61</v>
      </c>
      <c r="D646" s="5">
        <v>4</v>
      </c>
      <c r="E646" s="5">
        <v>91</v>
      </c>
      <c r="F646" s="5">
        <v>6</v>
      </c>
      <c r="G646" s="5">
        <v>500</v>
      </c>
      <c r="H646" s="5" t="s">
        <v>4408</v>
      </c>
      <c r="I646" s="5" t="s">
        <v>4531</v>
      </c>
      <c r="J646" s="5" t="s">
        <v>4540</v>
      </c>
      <c r="K646" s="10" t="e">
        <f t="shared" si="0"/>
        <v>#VALUE!</v>
      </c>
      <c r="L646" s="10">
        <f t="shared" si="1"/>
        <v>1</v>
      </c>
      <c r="M646" s="10" t="str">
        <f t="shared" si="2"/>
        <v>005</v>
      </c>
      <c r="N646" s="10" t="str">
        <f t="shared" si="3"/>
        <v>01</v>
      </c>
      <c r="O646" s="10" t="str">
        <f t="shared" si="16"/>
        <v>BILADO</v>
      </c>
    </row>
    <row r="647" spans="1:15" ht="12.5">
      <c r="A647" s="115" t="s">
        <v>4541</v>
      </c>
      <c r="B647" s="5">
        <v>0</v>
      </c>
      <c r="C647" s="5">
        <v>61</v>
      </c>
      <c r="D647" s="5">
        <v>4</v>
      </c>
      <c r="E647" s="5">
        <v>91</v>
      </c>
      <c r="F647" s="5">
        <v>6</v>
      </c>
      <c r="G647" s="5">
        <v>600</v>
      </c>
      <c r="H647" s="5" t="s">
        <v>4408</v>
      </c>
      <c r="I647" s="5" t="s">
        <v>4531</v>
      </c>
      <c r="J647" s="5" t="s">
        <v>4542</v>
      </c>
      <c r="K647" s="10" t="e">
        <f t="shared" si="0"/>
        <v>#VALUE!</v>
      </c>
      <c r="L647" s="10">
        <f t="shared" si="1"/>
        <v>1</v>
      </c>
      <c r="M647" s="10" t="str">
        <f t="shared" si="2"/>
        <v>006</v>
      </c>
      <c r="N647" s="10" t="str">
        <f t="shared" si="3"/>
        <v>02</v>
      </c>
      <c r="O647" s="10" t="str">
        <f t="shared" si="16"/>
        <v>LAHUAK</v>
      </c>
    </row>
    <row r="648" spans="1:15" ht="12.5">
      <c r="A648" s="115" t="s">
        <v>4543</v>
      </c>
      <c r="B648" s="5">
        <v>0</v>
      </c>
      <c r="C648" s="5">
        <v>61</v>
      </c>
      <c r="D648" s="5">
        <v>4</v>
      </c>
      <c r="E648" s="5">
        <v>91</v>
      </c>
      <c r="F648" s="5">
        <v>6</v>
      </c>
      <c r="G648" s="5">
        <v>700</v>
      </c>
      <c r="H648" s="5" t="s">
        <v>4408</v>
      </c>
      <c r="I648" s="5" t="s">
        <v>4531</v>
      </c>
      <c r="J648" s="5" t="s">
        <v>4544</v>
      </c>
      <c r="K648" s="10" t="e">
        <f t="shared" si="0"/>
        <v>#VALUE!</v>
      </c>
      <c r="L648" s="10">
        <f t="shared" si="1"/>
        <v>1</v>
      </c>
      <c r="M648" s="10" t="str">
        <f t="shared" si="2"/>
        <v>007</v>
      </c>
      <c r="N648" s="10" t="str">
        <f t="shared" si="3"/>
        <v>02</v>
      </c>
      <c r="O648" s="10" t="str">
        <f t="shared" si="16"/>
        <v>LAHUAK</v>
      </c>
    </row>
    <row r="649" spans="1:15" ht="12.5">
      <c r="A649" s="115" t="s">
        <v>4545</v>
      </c>
      <c r="B649" s="5">
        <v>0</v>
      </c>
      <c r="C649" s="5">
        <v>61</v>
      </c>
      <c r="D649" s="5">
        <v>4</v>
      </c>
      <c r="E649" s="5">
        <v>91</v>
      </c>
      <c r="F649" s="5">
        <v>6</v>
      </c>
      <c r="G649" s="5">
        <v>800</v>
      </c>
      <c r="H649" s="5" t="s">
        <v>4408</v>
      </c>
      <c r="I649" s="5" t="s">
        <v>4531</v>
      </c>
      <c r="J649" s="5" t="s">
        <v>4546</v>
      </c>
      <c r="K649" s="10" t="e">
        <f t="shared" si="0"/>
        <v>#VALUE!</v>
      </c>
      <c r="L649" s="10">
        <f t="shared" si="1"/>
        <v>1</v>
      </c>
      <c r="M649" s="10" t="str">
        <f t="shared" si="2"/>
        <v>008</v>
      </c>
      <c r="N649" s="10" t="str">
        <f t="shared" si="3"/>
        <v>02</v>
      </c>
      <c r="O649" s="10" t="str">
        <f t="shared" si="16"/>
        <v>LAHUAK</v>
      </c>
    </row>
    <row r="650" spans="1:15" ht="12.5">
      <c r="A650" s="115" t="s">
        <v>4547</v>
      </c>
      <c r="B650" s="5">
        <v>0</v>
      </c>
      <c r="C650" s="5">
        <v>61</v>
      </c>
      <c r="D650" s="5">
        <v>4</v>
      </c>
      <c r="E650" s="5">
        <v>91</v>
      </c>
      <c r="F650" s="5">
        <v>6</v>
      </c>
      <c r="G650" s="5">
        <v>900</v>
      </c>
      <c r="H650" s="5" t="s">
        <v>4408</v>
      </c>
      <c r="I650" s="5" t="s">
        <v>4531</v>
      </c>
      <c r="J650" s="5" t="s">
        <v>4548</v>
      </c>
      <c r="K650" s="10" t="e">
        <f t="shared" si="0"/>
        <v>#VALUE!</v>
      </c>
      <c r="L650" s="10">
        <f t="shared" si="1"/>
        <v>1</v>
      </c>
      <c r="M650" s="10" t="str">
        <f t="shared" si="2"/>
        <v>009</v>
      </c>
      <c r="N650" s="10" t="str">
        <f t="shared" si="3"/>
        <v>02</v>
      </c>
      <c r="O650" s="10" t="str">
        <f t="shared" si="16"/>
        <v>LAHUAK</v>
      </c>
    </row>
    <row r="651" spans="1:15" ht="12.5">
      <c r="A651" s="115" t="s">
        <v>4549</v>
      </c>
      <c r="B651" s="5">
        <v>0</v>
      </c>
      <c r="C651" s="5">
        <v>61</v>
      </c>
      <c r="D651" s="5">
        <v>4</v>
      </c>
      <c r="E651" s="5">
        <v>91</v>
      </c>
      <c r="F651" s="5">
        <v>6</v>
      </c>
      <c r="G651" s="5">
        <v>1000</v>
      </c>
      <c r="H651" s="5" t="s">
        <v>4408</v>
      </c>
      <c r="I651" s="5" t="s">
        <v>4531</v>
      </c>
      <c r="J651" s="5" t="s">
        <v>4550</v>
      </c>
      <c r="K651" s="10" t="e">
        <f t="shared" si="0"/>
        <v>#VALUE!</v>
      </c>
      <c r="L651" s="10">
        <f t="shared" si="1"/>
        <v>1</v>
      </c>
      <c r="M651" s="10" t="str">
        <f t="shared" si="2"/>
        <v>010</v>
      </c>
      <c r="N651" s="10" t="str">
        <f t="shared" si="3"/>
        <v>03</v>
      </c>
      <c r="O651" s="10" t="str">
        <f t="shared" si="16"/>
        <v>PELADIS</v>
      </c>
    </row>
    <row r="652" spans="1:15" ht="12.5">
      <c r="A652" s="115" t="s">
        <v>4551</v>
      </c>
      <c r="B652" s="5">
        <v>0</v>
      </c>
      <c r="C652" s="5">
        <v>61</v>
      </c>
      <c r="D652" s="5">
        <v>4</v>
      </c>
      <c r="E652" s="5">
        <v>91</v>
      </c>
      <c r="F652" s="5">
        <v>6</v>
      </c>
      <c r="G652" s="5">
        <v>1100</v>
      </c>
      <c r="H652" s="5" t="s">
        <v>4408</v>
      </c>
      <c r="I652" s="5" t="s">
        <v>4531</v>
      </c>
      <c r="J652" s="5" t="s">
        <v>4552</v>
      </c>
      <c r="K652" s="10" t="e">
        <f t="shared" si="0"/>
        <v>#VALUE!</v>
      </c>
      <c r="L652" s="10">
        <f t="shared" si="1"/>
        <v>1</v>
      </c>
      <c r="M652" s="10" t="str">
        <f t="shared" si="2"/>
        <v>011</v>
      </c>
      <c r="N652" s="10" t="str">
        <f t="shared" si="3"/>
        <v>03</v>
      </c>
      <c r="O652" s="10" t="str">
        <f t="shared" si="16"/>
        <v>PELADIS</v>
      </c>
    </row>
    <row r="653" spans="1:15" ht="12.5">
      <c r="A653" s="115" t="s">
        <v>4553</v>
      </c>
      <c r="B653" s="5">
        <v>0</v>
      </c>
      <c r="C653" s="5">
        <v>61</v>
      </c>
      <c r="D653" s="5">
        <v>4</v>
      </c>
      <c r="E653" s="5">
        <v>91</v>
      </c>
      <c r="F653" s="5">
        <v>6</v>
      </c>
      <c r="G653" s="5">
        <v>1200</v>
      </c>
      <c r="H653" s="5" t="s">
        <v>4408</v>
      </c>
      <c r="I653" s="5" t="s">
        <v>4531</v>
      </c>
      <c r="J653" s="5" t="s">
        <v>4554</v>
      </c>
      <c r="K653" s="10" t="e">
        <f t="shared" si="0"/>
        <v>#VALUE!</v>
      </c>
      <c r="L653" s="10">
        <f t="shared" si="1"/>
        <v>1</v>
      </c>
      <c r="M653" s="10" t="str">
        <f t="shared" si="2"/>
        <v>012</v>
      </c>
      <c r="N653" s="10" t="str">
        <f t="shared" si="3"/>
        <v>03</v>
      </c>
      <c r="O653" s="10" t="str">
        <f t="shared" si="16"/>
        <v>PELADIS</v>
      </c>
    </row>
    <row r="654" spans="1:15" ht="12.5">
      <c r="A654" s="115" t="s">
        <v>4555</v>
      </c>
      <c r="B654" s="5">
        <v>0</v>
      </c>
      <c r="C654" s="5">
        <v>61</v>
      </c>
      <c r="D654" s="5">
        <v>4</v>
      </c>
      <c r="E654" s="5">
        <v>91</v>
      </c>
      <c r="F654" s="5">
        <v>6</v>
      </c>
      <c r="G654" s="5">
        <v>1300</v>
      </c>
      <c r="H654" s="5" t="s">
        <v>4408</v>
      </c>
      <c r="I654" s="5" t="s">
        <v>4531</v>
      </c>
      <c r="J654" s="5" t="s">
        <v>4556</v>
      </c>
      <c r="K654" s="10" t="e">
        <f t="shared" si="0"/>
        <v>#VALUE!</v>
      </c>
      <c r="L654" s="10">
        <f t="shared" si="1"/>
        <v>1</v>
      </c>
      <c r="M654" s="10" t="str">
        <f t="shared" si="2"/>
        <v>013</v>
      </c>
      <c r="N654" s="10" t="str">
        <f t="shared" si="3"/>
        <v>03</v>
      </c>
      <c r="O654" s="10" t="str">
        <f t="shared" si="16"/>
        <v>PELADIS</v>
      </c>
    </row>
    <row r="655" spans="1:15" ht="12.5">
      <c r="A655" s="115" t="s">
        <v>4557</v>
      </c>
      <c r="B655" s="5">
        <v>0</v>
      </c>
      <c r="C655" s="5">
        <v>61</v>
      </c>
      <c r="D655" s="5">
        <v>4</v>
      </c>
      <c r="E655" s="5">
        <v>91</v>
      </c>
      <c r="F655" s="5">
        <v>6</v>
      </c>
      <c r="G655" s="5">
        <v>1400</v>
      </c>
      <c r="H655" s="5" t="s">
        <v>4408</v>
      </c>
      <c r="I655" s="5" t="s">
        <v>4531</v>
      </c>
      <c r="J655" s="5" t="s">
        <v>4558</v>
      </c>
      <c r="K655" s="10" t="e">
        <f t="shared" si="0"/>
        <v>#VALUE!</v>
      </c>
      <c r="L655" s="10">
        <f t="shared" si="1"/>
        <v>1</v>
      </c>
      <c r="M655" s="10" t="str">
        <f t="shared" si="2"/>
        <v>014</v>
      </c>
      <c r="N655" s="10" t="str">
        <f t="shared" si="3"/>
        <v>04</v>
      </c>
      <c r="O655" s="10" t="str">
        <f t="shared" si="16"/>
        <v>KEPAYANG</v>
      </c>
    </row>
    <row r="656" spans="1:15" ht="12.5">
      <c r="A656" s="115" t="s">
        <v>4559</v>
      </c>
      <c r="B656" s="5">
        <v>0</v>
      </c>
      <c r="C656" s="5">
        <v>61</v>
      </c>
      <c r="D656" s="5">
        <v>4</v>
      </c>
      <c r="E656" s="5">
        <v>91</v>
      </c>
      <c r="F656" s="5">
        <v>6</v>
      </c>
      <c r="G656" s="5">
        <v>1500</v>
      </c>
      <c r="H656" s="5" t="s">
        <v>4408</v>
      </c>
      <c r="I656" s="5" t="s">
        <v>4531</v>
      </c>
      <c r="J656" s="5" t="s">
        <v>4560</v>
      </c>
      <c r="K656" s="10" t="e">
        <f t="shared" si="0"/>
        <v>#VALUE!</v>
      </c>
      <c r="L656" s="10">
        <f t="shared" si="1"/>
        <v>1</v>
      </c>
      <c r="M656" s="10" t="str">
        <f t="shared" si="2"/>
        <v>015</v>
      </c>
      <c r="N656" s="10" t="str">
        <f t="shared" si="3"/>
        <v>04</v>
      </c>
      <c r="O656" s="10" t="str">
        <f t="shared" si="16"/>
        <v>KEPAYANG</v>
      </c>
    </row>
    <row r="657" spans="1:15" ht="12.5">
      <c r="A657" s="115" t="s">
        <v>4561</v>
      </c>
      <c r="B657" s="5">
        <v>0</v>
      </c>
      <c r="C657" s="5">
        <v>61</v>
      </c>
      <c r="D657" s="5">
        <v>4</v>
      </c>
      <c r="E657" s="5">
        <v>91</v>
      </c>
      <c r="F657" s="5">
        <v>6</v>
      </c>
      <c r="G657" s="5">
        <v>1600</v>
      </c>
      <c r="H657" s="5" t="s">
        <v>4408</v>
      </c>
      <c r="I657" s="5" t="s">
        <v>4531</v>
      </c>
      <c r="J657" s="5" t="s">
        <v>4562</v>
      </c>
      <c r="K657" s="10" t="e">
        <f t="shared" si="0"/>
        <v>#VALUE!</v>
      </c>
      <c r="L657" s="10">
        <f t="shared" si="1"/>
        <v>1</v>
      </c>
      <c r="M657" s="10" t="str">
        <f t="shared" si="2"/>
        <v>016</v>
      </c>
      <c r="N657" s="10" t="str">
        <f t="shared" si="3"/>
        <v>04</v>
      </c>
      <c r="O657" s="10" t="str">
        <f t="shared" si="16"/>
        <v>KEPAYANG</v>
      </c>
    </row>
    <row r="658" spans="1:15" ht="12.5">
      <c r="A658" s="115" t="s">
        <v>4563</v>
      </c>
      <c r="B658" s="5">
        <v>0</v>
      </c>
      <c r="C658" s="5">
        <v>61</v>
      </c>
      <c r="D658" s="5">
        <v>4</v>
      </c>
      <c r="E658" s="5">
        <v>91</v>
      </c>
      <c r="F658" s="5">
        <v>6</v>
      </c>
      <c r="G658" s="5">
        <v>1700</v>
      </c>
      <c r="H658" s="5" t="s">
        <v>4408</v>
      </c>
      <c r="I658" s="5" t="s">
        <v>4531</v>
      </c>
      <c r="J658" s="5" t="s">
        <v>4564</v>
      </c>
      <c r="K658" s="10" t="e">
        <f t="shared" si="0"/>
        <v>#VALUE!</v>
      </c>
      <c r="L658" s="10">
        <f t="shared" si="1"/>
        <v>1</v>
      </c>
      <c r="M658" s="10" t="str">
        <f t="shared" si="2"/>
        <v>017</v>
      </c>
      <c r="N658" s="10" t="str">
        <f t="shared" si="3"/>
        <v>04</v>
      </c>
      <c r="O658" s="10" t="str">
        <f t="shared" si="16"/>
        <v>KEPAYANG</v>
      </c>
    </row>
    <row r="659" spans="1:15" ht="12.5">
      <c r="A659" s="115" t="s">
        <v>4565</v>
      </c>
      <c r="B659" s="5">
        <v>0</v>
      </c>
      <c r="C659" s="5">
        <v>61</v>
      </c>
      <c r="D659" s="5">
        <v>4</v>
      </c>
      <c r="E659" s="5">
        <v>91</v>
      </c>
      <c r="F659" s="5">
        <v>6</v>
      </c>
      <c r="G659" s="5">
        <v>1800</v>
      </c>
      <c r="H659" s="5" t="s">
        <v>4408</v>
      </c>
      <c r="I659" s="5" t="s">
        <v>4531</v>
      </c>
      <c r="J659" s="5" t="s">
        <v>4566</v>
      </c>
      <c r="K659" s="10" t="e">
        <f t="shared" si="0"/>
        <v>#VALUE!</v>
      </c>
      <c r="L659" s="10">
        <f t="shared" si="1"/>
        <v>1</v>
      </c>
      <c r="M659" s="10" t="str">
        <f t="shared" si="2"/>
        <v>018</v>
      </c>
      <c r="N659" s="10" t="str">
        <f t="shared" si="3"/>
        <v>04</v>
      </c>
      <c r="O659" s="10" t="str">
        <f t="shared" si="16"/>
        <v>KEPAYANG</v>
      </c>
    </row>
    <row r="660" spans="1:15" ht="12.5">
      <c r="A660" s="115" t="s">
        <v>4567</v>
      </c>
      <c r="B660" s="5">
        <v>2</v>
      </c>
      <c r="C660" s="5">
        <v>61</v>
      </c>
      <c r="D660" s="5">
        <v>4</v>
      </c>
      <c r="E660" s="5">
        <v>91</v>
      </c>
      <c r="F660" s="5">
        <v>6</v>
      </c>
      <c r="G660" s="5">
        <v>200100</v>
      </c>
      <c r="H660" s="5" t="s">
        <v>4408</v>
      </c>
      <c r="I660" s="5" t="s">
        <v>4531</v>
      </c>
      <c r="J660" s="5" t="s">
        <v>4568</v>
      </c>
      <c r="K660" s="10" t="e">
        <f t="shared" si="0"/>
        <v>#VALUE!</v>
      </c>
      <c r="L660" s="10">
        <f t="shared" si="1"/>
        <v>0</v>
      </c>
      <c r="M660" s="10" t="str">
        <f t="shared" si="2"/>
        <v xml:space="preserve"> SL</v>
      </c>
      <c r="N660" s="10" t="str">
        <f t="shared" si="3"/>
        <v>PAY</v>
      </c>
      <c r="O660" s="10" t="str">
        <f t="shared" si="16"/>
        <v/>
      </c>
    </row>
    <row r="661" spans="1:15" ht="12.5">
      <c r="A661" s="115" t="s">
        <v>4569</v>
      </c>
      <c r="B661" s="5">
        <v>2</v>
      </c>
      <c r="C661" s="5">
        <v>61</v>
      </c>
      <c r="D661" s="5">
        <v>4</v>
      </c>
      <c r="E661" s="5">
        <v>91</v>
      </c>
      <c r="F661" s="5">
        <v>6</v>
      </c>
      <c r="G661" s="5">
        <v>200200</v>
      </c>
      <c r="H661" s="5" t="s">
        <v>4408</v>
      </c>
      <c r="I661" s="5" t="s">
        <v>4531</v>
      </c>
      <c r="J661" s="5" t="s">
        <v>4570</v>
      </c>
      <c r="K661" s="10" t="e">
        <f t="shared" si="0"/>
        <v>#VALUE!</v>
      </c>
      <c r="L661" s="10">
        <f t="shared" si="1"/>
        <v>0</v>
      </c>
      <c r="M661" s="10" t="str">
        <f t="shared" si="2"/>
        <v xml:space="preserve">AN </v>
      </c>
      <c r="N661" s="10" t="str">
        <f t="shared" si="3"/>
        <v>S 0</v>
      </c>
      <c r="O661" s="10" t="str">
        <f t="shared" si="16"/>
        <v/>
      </c>
    </row>
    <row r="662" spans="1:15" ht="12.5">
      <c r="A662" s="115" t="s">
        <v>4571</v>
      </c>
      <c r="B662" s="5">
        <v>0</v>
      </c>
      <c r="C662" s="5">
        <v>61</v>
      </c>
      <c r="D662" s="5">
        <v>4</v>
      </c>
      <c r="E662" s="5">
        <v>100</v>
      </c>
      <c r="F662" s="5">
        <v>1</v>
      </c>
      <c r="G662" s="5">
        <v>100</v>
      </c>
      <c r="H662" s="5" t="s">
        <v>4572</v>
      </c>
      <c r="I662" s="5" t="s">
        <v>4573</v>
      </c>
      <c r="J662" s="5" t="s">
        <v>4574</v>
      </c>
      <c r="K662" s="10" t="e">
        <f t="shared" si="0"/>
        <v>#VALUE!</v>
      </c>
      <c r="L662" s="10">
        <f t="shared" si="1"/>
        <v>1</v>
      </c>
      <c r="M662" s="10" t="str">
        <f t="shared" si="2"/>
        <v xml:space="preserve">01 </v>
      </c>
      <c r="N662" s="10" t="str">
        <f t="shared" si="3"/>
        <v>1</v>
      </c>
      <c r="O662" s="10" t="str">
        <f t="shared" si="16"/>
        <v/>
      </c>
    </row>
    <row r="663" spans="1:15" ht="12.5">
      <c r="A663" s="115" t="s">
        <v>4575</v>
      </c>
      <c r="B663" s="5">
        <v>0</v>
      </c>
      <c r="C663" s="5">
        <v>61</v>
      </c>
      <c r="D663" s="5">
        <v>4</v>
      </c>
      <c r="E663" s="5">
        <v>100</v>
      </c>
      <c r="F663" s="5">
        <v>1</v>
      </c>
      <c r="G663" s="5">
        <v>200</v>
      </c>
      <c r="H663" s="5" t="s">
        <v>4572</v>
      </c>
      <c r="I663" s="5" t="s">
        <v>4573</v>
      </c>
      <c r="J663" s="5" t="s">
        <v>4576</v>
      </c>
      <c r="K663" s="10" t="e">
        <f t="shared" si="0"/>
        <v>#VALUE!</v>
      </c>
      <c r="L663" s="10">
        <f t="shared" si="1"/>
        <v>1</v>
      </c>
      <c r="M663" s="10" t="str">
        <f t="shared" si="2"/>
        <v xml:space="preserve">02 </v>
      </c>
      <c r="N663" s="10" t="str">
        <f t="shared" si="3"/>
        <v>1</v>
      </c>
      <c r="O663" s="10" t="str">
        <f t="shared" si="16"/>
        <v/>
      </c>
    </row>
    <row r="664" spans="1:15" ht="12.5">
      <c r="A664" s="115" t="s">
        <v>4577</v>
      </c>
      <c r="B664" s="5">
        <v>0</v>
      </c>
      <c r="C664" s="5">
        <v>61</v>
      </c>
      <c r="D664" s="5">
        <v>4</v>
      </c>
      <c r="E664" s="5">
        <v>100</v>
      </c>
      <c r="F664" s="5">
        <v>1</v>
      </c>
      <c r="G664" s="5">
        <v>300</v>
      </c>
      <c r="H664" s="5" t="s">
        <v>4572</v>
      </c>
      <c r="I664" s="5" t="s">
        <v>4573</v>
      </c>
      <c r="J664" s="5" t="s">
        <v>4578</v>
      </c>
      <c r="K664" s="10" t="e">
        <f t="shared" si="0"/>
        <v>#VALUE!</v>
      </c>
      <c r="L664" s="10">
        <f t="shared" si="1"/>
        <v>1</v>
      </c>
      <c r="M664" s="10" t="str">
        <f t="shared" si="2"/>
        <v xml:space="preserve">03 </v>
      </c>
      <c r="N664" s="10" t="str">
        <f t="shared" si="3"/>
        <v>2</v>
      </c>
      <c r="O664" s="10" t="str">
        <f t="shared" si="16"/>
        <v/>
      </c>
    </row>
    <row r="665" spans="1:15" ht="12.5">
      <c r="A665" s="115" t="s">
        <v>4579</v>
      </c>
      <c r="B665" s="5">
        <v>0</v>
      </c>
      <c r="C665" s="5">
        <v>61</v>
      </c>
      <c r="D665" s="5">
        <v>4</v>
      </c>
      <c r="E665" s="5">
        <v>100</v>
      </c>
      <c r="F665" s="5">
        <v>1</v>
      </c>
      <c r="G665" s="5">
        <v>400</v>
      </c>
      <c r="H665" s="5" t="s">
        <v>4572</v>
      </c>
      <c r="I665" s="5" t="s">
        <v>4573</v>
      </c>
      <c r="J665" s="5" t="s">
        <v>4580</v>
      </c>
      <c r="K665" s="10" t="e">
        <f t="shared" si="0"/>
        <v>#VALUE!</v>
      </c>
      <c r="L665" s="10">
        <f t="shared" si="1"/>
        <v>1</v>
      </c>
      <c r="M665" s="10" t="str">
        <f t="shared" si="2"/>
        <v xml:space="preserve">04 </v>
      </c>
      <c r="N665" s="10" t="str">
        <f t="shared" si="3"/>
        <v>2</v>
      </c>
      <c r="O665" s="10" t="str">
        <f t="shared" si="16"/>
        <v/>
      </c>
    </row>
    <row r="666" spans="1:15" ht="12.5">
      <c r="A666" s="115" t="s">
        <v>4581</v>
      </c>
      <c r="B666" s="5">
        <v>0</v>
      </c>
      <c r="C666" s="5">
        <v>61</v>
      </c>
      <c r="D666" s="5">
        <v>4</v>
      </c>
      <c r="E666" s="5">
        <v>100</v>
      </c>
      <c r="F666" s="5">
        <v>1</v>
      </c>
      <c r="G666" s="5">
        <v>500</v>
      </c>
      <c r="H666" s="5" t="s">
        <v>4572</v>
      </c>
      <c r="I666" s="5" t="s">
        <v>4573</v>
      </c>
      <c r="J666" s="5" t="s">
        <v>4582</v>
      </c>
      <c r="K666" s="10" t="e">
        <f t="shared" si="0"/>
        <v>#VALUE!</v>
      </c>
      <c r="L666" s="10">
        <f t="shared" si="1"/>
        <v>1</v>
      </c>
      <c r="M666" s="10" t="str">
        <f t="shared" si="2"/>
        <v xml:space="preserve">05 </v>
      </c>
      <c r="N666" s="10" t="str">
        <f t="shared" si="3"/>
        <v>3</v>
      </c>
      <c r="O666" s="10" t="str">
        <f t="shared" si="16"/>
        <v/>
      </c>
    </row>
    <row r="667" spans="1:15" ht="12.5">
      <c r="A667" s="115" t="s">
        <v>4583</v>
      </c>
      <c r="B667" s="5">
        <v>0</v>
      </c>
      <c r="C667" s="5">
        <v>61</v>
      </c>
      <c r="D667" s="5">
        <v>4</v>
      </c>
      <c r="E667" s="5">
        <v>100</v>
      </c>
      <c r="F667" s="5">
        <v>1</v>
      </c>
      <c r="G667" s="5">
        <v>600</v>
      </c>
      <c r="H667" s="5" t="s">
        <v>4572</v>
      </c>
      <c r="I667" s="5" t="s">
        <v>4573</v>
      </c>
      <c r="J667" s="5" t="s">
        <v>4584</v>
      </c>
      <c r="K667" s="10" t="e">
        <f t="shared" si="0"/>
        <v>#VALUE!</v>
      </c>
      <c r="L667" s="10">
        <f t="shared" si="1"/>
        <v>1</v>
      </c>
      <c r="M667" s="10" t="str">
        <f t="shared" si="2"/>
        <v xml:space="preserve">06 </v>
      </c>
      <c r="N667" s="10" t="str">
        <f t="shared" si="3"/>
        <v>3</v>
      </c>
      <c r="O667" s="10" t="str">
        <f t="shared" si="16"/>
        <v/>
      </c>
    </row>
    <row r="668" spans="1:15" ht="12.5">
      <c r="A668" s="115" t="s">
        <v>4585</v>
      </c>
      <c r="B668" s="5">
        <v>0</v>
      </c>
      <c r="C668" s="5">
        <v>61</v>
      </c>
      <c r="D668" s="5">
        <v>4</v>
      </c>
      <c r="E668" s="5">
        <v>100</v>
      </c>
      <c r="F668" s="5">
        <v>2</v>
      </c>
      <c r="G668" s="5">
        <v>100</v>
      </c>
      <c r="H668" s="5" t="s">
        <v>4572</v>
      </c>
      <c r="I668" s="5" t="s">
        <v>4586</v>
      </c>
      <c r="J668" s="5" t="s">
        <v>4587</v>
      </c>
      <c r="K668" s="10" t="e">
        <f t="shared" si="0"/>
        <v>#VALUE!</v>
      </c>
      <c r="L668" s="10">
        <f t="shared" si="1"/>
        <v>1</v>
      </c>
      <c r="M668" s="10" t="str">
        <f t="shared" si="2"/>
        <v>001</v>
      </c>
      <c r="N668" s="10" t="str">
        <f t="shared" si="3"/>
        <v>01</v>
      </c>
      <c r="O668" s="10" t="str">
        <f t="shared" si="16"/>
        <v>ABADI</v>
      </c>
    </row>
    <row r="669" spans="1:15" ht="12.5">
      <c r="A669" s="115" t="s">
        <v>4588</v>
      </c>
      <c r="B669" s="5">
        <v>0</v>
      </c>
      <c r="C669" s="5">
        <v>61</v>
      </c>
      <c r="D669" s="5">
        <v>4</v>
      </c>
      <c r="E669" s="5">
        <v>100</v>
      </c>
      <c r="F669" s="5">
        <v>2</v>
      </c>
      <c r="G669" s="5">
        <v>200</v>
      </c>
      <c r="H669" s="5" t="s">
        <v>4572</v>
      </c>
      <c r="I669" s="5" t="s">
        <v>4586</v>
      </c>
      <c r="J669" s="5" t="s">
        <v>4589</v>
      </c>
      <c r="K669" s="10" t="e">
        <f t="shared" si="0"/>
        <v>#VALUE!</v>
      </c>
      <c r="L669" s="10">
        <f t="shared" si="1"/>
        <v>1</v>
      </c>
      <c r="M669" s="10" t="str">
        <f t="shared" si="2"/>
        <v>002</v>
      </c>
      <c r="N669" s="10" t="str">
        <f t="shared" si="3"/>
        <v>01</v>
      </c>
      <c r="O669" s="10" t="str">
        <f t="shared" si="16"/>
        <v>ABADI</v>
      </c>
    </row>
    <row r="670" spans="1:15" ht="12.5">
      <c r="A670" s="115" t="s">
        <v>4590</v>
      </c>
      <c r="B670" s="5">
        <v>0</v>
      </c>
      <c r="C670" s="5">
        <v>61</v>
      </c>
      <c r="D670" s="5">
        <v>4</v>
      </c>
      <c r="E670" s="5">
        <v>100</v>
      </c>
      <c r="F670" s="5">
        <v>2</v>
      </c>
      <c r="G670" s="5">
        <v>300</v>
      </c>
      <c r="H670" s="5" t="s">
        <v>4572</v>
      </c>
      <c r="I670" s="5" t="s">
        <v>4586</v>
      </c>
      <c r="J670" s="5" t="s">
        <v>4591</v>
      </c>
      <c r="K670" s="10" t="e">
        <f t="shared" si="0"/>
        <v>#VALUE!</v>
      </c>
      <c r="L670" s="10">
        <f t="shared" si="1"/>
        <v>1</v>
      </c>
      <c r="M670" s="10" t="str">
        <f t="shared" si="2"/>
        <v>003</v>
      </c>
      <c r="N670" s="10" t="str">
        <f t="shared" si="3"/>
        <v>02</v>
      </c>
      <c r="O670" s="10" t="str">
        <f t="shared" si="16"/>
        <v>ABADI</v>
      </c>
    </row>
    <row r="671" spans="1:15" ht="12.5">
      <c r="A671" s="115" t="s">
        <v>4592</v>
      </c>
      <c r="B671" s="5">
        <v>0</v>
      </c>
      <c r="C671" s="5">
        <v>61</v>
      </c>
      <c r="D671" s="5">
        <v>4</v>
      </c>
      <c r="E671" s="5">
        <v>100</v>
      </c>
      <c r="F671" s="5">
        <v>2</v>
      </c>
      <c r="G671" s="5">
        <v>400</v>
      </c>
      <c r="H671" s="5" t="s">
        <v>4572</v>
      </c>
      <c r="I671" s="5" t="s">
        <v>4586</v>
      </c>
      <c r="J671" s="5" t="s">
        <v>4593</v>
      </c>
      <c r="K671" s="10" t="e">
        <f t="shared" si="0"/>
        <v>#VALUE!</v>
      </c>
      <c r="L671" s="10">
        <f t="shared" si="1"/>
        <v>1</v>
      </c>
      <c r="M671" s="10" t="str">
        <f t="shared" si="2"/>
        <v>004</v>
      </c>
      <c r="N671" s="10" t="str">
        <f t="shared" si="3"/>
        <v>02</v>
      </c>
      <c r="O671" s="10" t="str">
        <f t="shared" si="16"/>
        <v>ABADI</v>
      </c>
    </row>
    <row r="672" spans="1:15" ht="12.5">
      <c r="A672" s="115" t="s">
        <v>4594</v>
      </c>
      <c r="B672" s="5">
        <v>0</v>
      </c>
      <c r="C672" s="5">
        <v>61</v>
      </c>
      <c r="D672" s="5">
        <v>4</v>
      </c>
      <c r="E672" s="5">
        <v>100</v>
      </c>
      <c r="F672" s="5">
        <v>2</v>
      </c>
      <c r="G672" s="5">
        <v>500</v>
      </c>
      <c r="H672" s="5" t="s">
        <v>4572</v>
      </c>
      <c r="I672" s="5" t="s">
        <v>4586</v>
      </c>
      <c r="J672" s="5" t="s">
        <v>4595</v>
      </c>
      <c r="K672" s="10" t="e">
        <f t="shared" si="0"/>
        <v>#VALUE!</v>
      </c>
      <c r="L672" s="10">
        <f t="shared" si="1"/>
        <v>1</v>
      </c>
      <c r="M672" s="10" t="str">
        <f t="shared" si="2"/>
        <v>005</v>
      </c>
      <c r="N672" s="10" t="str">
        <f t="shared" si="3"/>
        <v>03</v>
      </c>
      <c r="O672" s="10" t="str">
        <f t="shared" si="16"/>
        <v>KABO</v>
      </c>
    </row>
    <row r="673" spans="1:15" ht="12.5">
      <c r="A673" s="115" t="s">
        <v>4596</v>
      </c>
      <c r="B673" s="5">
        <v>0</v>
      </c>
      <c r="C673" s="5">
        <v>61</v>
      </c>
      <c r="D673" s="5">
        <v>4</v>
      </c>
      <c r="E673" s="5">
        <v>100</v>
      </c>
      <c r="F673" s="5">
        <v>2</v>
      </c>
      <c r="G673" s="5">
        <v>600</v>
      </c>
      <c r="H673" s="5" t="s">
        <v>4572</v>
      </c>
      <c r="I673" s="5" t="s">
        <v>4586</v>
      </c>
      <c r="J673" s="5" t="s">
        <v>4597</v>
      </c>
      <c r="K673" s="10" t="e">
        <f t="shared" si="0"/>
        <v>#VALUE!</v>
      </c>
      <c r="L673" s="10">
        <f t="shared" si="1"/>
        <v>1</v>
      </c>
      <c r="M673" s="10" t="str">
        <f t="shared" si="2"/>
        <v>006</v>
      </c>
      <c r="N673" s="10" t="str">
        <f t="shared" si="3"/>
        <v>03</v>
      </c>
      <c r="O673" s="10" t="str">
        <f t="shared" si="16"/>
        <v>KABO</v>
      </c>
    </row>
    <row r="674" spans="1:15" ht="12.5">
      <c r="A674" s="115" t="s">
        <v>4598</v>
      </c>
      <c r="B674" s="5">
        <v>0</v>
      </c>
      <c r="C674" s="5">
        <v>61</v>
      </c>
      <c r="D674" s="5">
        <v>4</v>
      </c>
      <c r="E674" s="5">
        <v>100</v>
      </c>
      <c r="F674" s="5">
        <v>2</v>
      </c>
      <c r="G674" s="5">
        <v>700</v>
      </c>
      <c r="H674" s="5" t="s">
        <v>4572</v>
      </c>
      <c r="I674" s="5" t="s">
        <v>4586</v>
      </c>
      <c r="J674" s="5" t="s">
        <v>4599</v>
      </c>
      <c r="K674" s="10" t="e">
        <f t="shared" si="0"/>
        <v>#VALUE!</v>
      </c>
      <c r="L674" s="10">
        <f t="shared" si="1"/>
        <v>1</v>
      </c>
      <c r="M674" s="10" t="str">
        <f t="shared" si="2"/>
        <v>007</v>
      </c>
      <c r="N674" s="10" t="str">
        <f t="shared" si="3"/>
        <v>04</v>
      </c>
      <c r="O674" s="10" t="str">
        <f t="shared" si="16"/>
        <v>KABO</v>
      </c>
    </row>
    <row r="675" spans="1:15" ht="12.5">
      <c r="A675" s="115" t="s">
        <v>4600</v>
      </c>
      <c r="B675" s="5">
        <v>0</v>
      </c>
      <c r="C675" s="5">
        <v>61</v>
      </c>
      <c r="D675" s="5">
        <v>4</v>
      </c>
      <c r="E675" s="5">
        <v>100</v>
      </c>
      <c r="F675" s="5">
        <v>2</v>
      </c>
      <c r="G675" s="5">
        <v>800</v>
      </c>
      <c r="H675" s="5" t="s">
        <v>4572</v>
      </c>
      <c r="I675" s="5" t="s">
        <v>4586</v>
      </c>
      <c r="J675" s="5" t="s">
        <v>4601</v>
      </c>
      <c r="K675" s="10" t="e">
        <f t="shared" si="0"/>
        <v>#VALUE!</v>
      </c>
      <c r="L675" s="10">
        <f t="shared" si="1"/>
        <v>1</v>
      </c>
      <c r="M675" s="10" t="str">
        <f t="shared" si="2"/>
        <v>008</v>
      </c>
      <c r="N675" s="10" t="str">
        <f t="shared" si="3"/>
        <v>04</v>
      </c>
      <c r="O675" s="10" t="str">
        <f t="shared" si="16"/>
        <v>KABO</v>
      </c>
    </row>
    <row r="676" spans="1:15" ht="12.5">
      <c r="A676" s="115" t="s">
        <v>4602</v>
      </c>
      <c r="B676" s="5">
        <v>0</v>
      </c>
      <c r="C676" s="5">
        <v>61</v>
      </c>
      <c r="D676" s="5">
        <v>4</v>
      </c>
      <c r="E676" s="5">
        <v>100</v>
      </c>
      <c r="F676" s="5">
        <v>2</v>
      </c>
      <c r="G676" s="5">
        <v>900</v>
      </c>
      <c r="H676" s="5" t="s">
        <v>4572</v>
      </c>
      <c r="I676" s="5" t="s">
        <v>4586</v>
      </c>
      <c r="J676" s="5" t="s">
        <v>4603</v>
      </c>
      <c r="K676" s="10" t="e">
        <f t="shared" si="0"/>
        <v>#VALUE!</v>
      </c>
      <c r="L676" s="10">
        <f t="shared" si="1"/>
        <v>1</v>
      </c>
      <c r="M676" s="10" t="str">
        <f t="shared" si="2"/>
        <v>009</v>
      </c>
      <c r="N676" s="10" t="str">
        <f t="shared" si="3"/>
        <v>05</v>
      </c>
      <c r="O676" s="10" t="str">
        <f t="shared" si="16"/>
        <v>KARYA</v>
      </c>
    </row>
    <row r="677" spans="1:15" ht="12.5">
      <c r="A677" s="115" t="s">
        <v>4604</v>
      </c>
      <c r="B677" s="5">
        <v>0</v>
      </c>
      <c r="C677" s="5">
        <v>61</v>
      </c>
      <c r="D677" s="5">
        <v>4</v>
      </c>
      <c r="E677" s="5">
        <v>100</v>
      </c>
      <c r="F677" s="5">
        <v>2</v>
      </c>
      <c r="G677" s="5">
        <v>1000</v>
      </c>
      <c r="H677" s="5" t="s">
        <v>4572</v>
      </c>
      <c r="I677" s="5" t="s">
        <v>4586</v>
      </c>
      <c r="J677" s="5" t="s">
        <v>4605</v>
      </c>
      <c r="K677" s="10" t="e">
        <f t="shared" si="0"/>
        <v>#VALUE!</v>
      </c>
      <c r="L677" s="10">
        <f t="shared" si="1"/>
        <v>1</v>
      </c>
      <c r="M677" s="10" t="str">
        <f t="shared" si="2"/>
        <v>010</v>
      </c>
      <c r="N677" s="10" t="str">
        <f t="shared" si="3"/>
        <v>05</v>
      </c>
      <c r="O677" s="10" t="str">
        <f t="shared" si="16"/>
        <v>KARYA</v>
      </c>
    </row>
    <row r="678" spans="1:15" ht="12.5">
      <c r="A678" s="115" t="s">
        <v>4606</v>
      </c>
      <c r="B678" s="5">
        <v>0</v>
      </c>
      <c r="C678" s="5">
        <v>61</v>
      </c>
      <c r="D678" s="5">
        <v>4</v>
      </c>
      <c r="E678" s="5">
        <v>100</v>
      </c>
      <c r="F678" s="5">
        <v>2</v>
      </c>
      <c r="G678" s="5">
        <v>1100</v>
      </c>
      <c r="H678" s="5" t="s">
        <v>4572</v>
      </c>
      <c r="I678" s="5" t="s">
        <v>4586</v>
      </c>
      <c r="J678" s="5" t="s">
        <v>4607</v>
      </c>
      <c r="K678" s="10" t="e">
        <f t="shared" si="0"/>
        <v>#VALUE!</v>
      </c>
      <c r="L678" s="10">
        <f t="shared" si="1"/>
        <v>1</v>
      </c>
      <c r="M678" s="10" t="str">
        <f t="shared" si="2"/>
        <v>011</v>
      </c>
      <c r="N678" s="10" t="str">
        <f t="shared" si="3"/>
        <v>06</v>
      </c>
      <c r="O678" s="10" t="str">
        <f t="shared" si="16"/>
        <v>KARYA</v>
      </c>
    </row>
    <row r="679" spans="1:15" ht="12.5">
      <c r="A679" s="115" t="s">
        <v>4608</v>
      </c>
      <c r="B679" s="5">
        <v>0</v>
      </c>
      <c r="C679" s="5">
        <v>61</v>
      </c>
      <c r="D679" s="5">
        <v>4</v>
      </c>
      <c r="E679" s="5">
        <v>100</v>
      </c>
      <c r="F679" s="5">
        <v>2</v>
      </c>
      <c r="G679" s="5">
        <v>1200</v>
      </c>
      <c r="H679" s="5" t="s">
        <v>4572</v>
      </c>
      <c r="I679" s="5" t="s">
        <v>4586</v>
      </c>
      <c r="J679" s="5" t="s">
        <v>4609</v>
      </c>
      <c r="K679" s="10" t="e">
        <f t="shared" si="0"/>
        <v>#VALUE!</v>
      </c>
      <c r="L679" s="10">
        <f t="shared" si="1"/>
        <v>1</v>
      </c>
      <c r="M679" s="10" t="str">
        <f t="shared" si="2"/>
        <v>012</v>
      </c>
      <c r="N679" s="10" t="str">
        <f t="shared" si="3"/>
        <v>06</v>
      </c>
      <c r="O679" s="10" t="str">
        <f t="shared" si="16"/>
        <v>KARYA</v>
      </c>
    </row>
    <row r="680" spans="1:15" ht="12.5">
      <c r="A680" s="115" t="s">
        <v>4610</v>
      </c>
      <c r="B680" s="5">
        <v>0</v>
      </c>
      <c r="C680" s="5">
        <v>61</v>
      </c>
      <c r="D680" s="5">
        <v>4</v>
      </c>
      <c r="E680" s="5">
        <v>100</v>
      </c>
      <c r="F680" s="5">
        <v>2</v>
      </c>
      <c r="G680" s="5">
        <v>1300</v>
      </c>
      <c r="H680" s="5" t="s">
        <v>4572</v>
      </c>
      <c r="I680" s="5" t="s">
        <v>4586</v>
      </c>
      <c r="J680" s="5" t="s">
        <v>4611</v>
      </c>
      <c r="K680" s="10" t="e">
        <f t="shared" si="0"/>
        <v>#VALUE!</v>
      </c>
      <c r="L680" s="10">
        <f t="shared" si="1"/>
        <v>1</v>
      </c>
      <c r="M680" s="10" t="str">
        <f t="shared" si="2"/>
        <v>013</v>
      </c>
      <c r="N680" s="10" t="str">
        <f t="shared" si="3"/>
        <v>07</v>
      </c>
      <c r="O680" s="10" t="str">
        <f t="shared" si="16"/>
        <v>HARAPAN</v>
      </c>
    </row>
    <row r="681" spans="1:15" ht="12.5">
      <c r="A681" s="115" t="s">
        <v>4612</v>
      </c>
      <c r="B681" s="5">
        <v>0</v>
      </c>
      <c r="C681" s="5">
        <v>61</v>
      </c>
      <c r="D681" s="5">
        <v>4</v>
      </c>
      <c r="E681" s="5">
        <v>100</v>
      </c>
      <c r="F681" s="5">
        <v>2</v>
      </c>
      <c r="G681" s="5">
        <v>1400</v>
      </c>
      <c r="H681" s="5" t="s">
        <v>4572</v>
      </c>
      <c r="I681" s="5" t="s">
        <v>4586</v>
      </c>
      <c r="J681" s="5" t="s">
        <v>4613</v>
      </c>
      <c r="K681" s="10" t="e">
        <f t="shared" si="0"/>
        <v>#VALUE!</v>
      </c>
      <c r="L681" s="10">
        <f t="shared" si="1"/>
        <v>1</v>
      </c>
      <c r="M681" s="10" t="str">
        <f t="shared" si="2"/>
        <v>014</v>
      </c>
      <c r="N681" s="10" t="str">
        <f t="shared" si="3"/>
        <v>07</v>
      </c>
      <c r="O681" s="10" t="str">
        <f t="shared" si="16"/>
        <v>HARAPAN</v>
      </c>
    </row>
    <row r="682" spans="1:15" ht="12.5">
      <c r="A682" s="115" t="s">
        <v>4614</v>
      </c>
      <c r="B682" s="5">
        <v>0</v>
      </c>
      <c r="C682" s="5">
        <v>61</v>
      </c>
      <c r="D682" s="5">
        <v>4</v>
      </c>
      <c r="E682" s="5">
        <v>100</v>
      </c>
      <c r="F682" s="5">
        <v>2</v>
      </c>
      <c r="G682" s="5">
        <v>1500</v>
      </c>
      <c r="H682" s="5" t="s">
        <v>4572</v>
      </c>
      <c r="I682" s="5" t="s">
        <v>4586</v>
      </c>
      <c r="J682" s="5" t="s">
        <v>4615</v>
      </c>
      <c r="K682" s="10" t="e">
        <f t="shared" si="0"/>
        <v>#VALUE!</v>
      </c>
      <c r="L682" s="10">
        <f t="shared" si="1"/>
        <v>1</v>
      </c>
      <c r="M682" s="10" t="str">
        <f t="shared" si="2"/>
        <v>015</v>
      </c>
      <c r="N682" s="10" t="str">
        <f t="shared" si="3"/>
        <v>08</v>
      </c>
      <c r="O682" s="10" t="str">
        <f t="shared" si="16"/>
        <v>HARAPAN</v>
      </c>
    </row>
    <row r="683" spans="1:15" ht="12.5">
      <c r="A683" s="115" t="s">
        <v>4616</v>
      </c>
      <c r="B683" s="5">
        <v>2</v>
      </c>
      <c r="C683" s="5">
        <v>61</v>
      </c>
      <c r="D683" s="5">
        <v>4</v>
      </c>
      <c r="E683" s="5">
        <v>100</v>
      </c>
      <c r="F683" s="5">
        <v>2</v>
      </c>
      <c r="G683" s="5">
        <v>200100</v>
      </c>
      <c r="H683" s="5" t="s">
        <v>4572</v>
      </c>
      <c r="I683" s="5" t="s">
        <v>4586</v>
      </c>
      <c r="J683" s="5" t="s">
        <v>4617</v>
      </c>
      <c r="K683" s="10" t="e">
        <f t="shared" si="0"/>
        <v>#VALUE!</v>
      </c>
      <c r="L683" s="10">
        <f t="shared" si="1"/>
        <v>0</v>
      </c>
      <c r="M683" s="10" t="str">
        <f t="shared" si="2"/>
        <v xml:space="preserve">AU </v>
      </c>
      <c r="N683" s="10" t="str">
        <f t="shared" si="3"/>
        <v>K</v>
      </c>
      <c r="O683" s="10" t="str">
        <f t="shared" si="16"/>
        <v/>
      </c>
    </row>
    <row r="684" spans="1:15" ht="12.5">
      <c r="A684" s="115" t="s">
        <v>4618</v>
      </c>
      <c r="B684" s="5">
        <v>0</v>
      </c>
      <c r="C684" s="5">
        <v>61</v>
      </c>
      <c r="D684" s="5">
        <v>4</v>
      </c>
      <c r="E684" s="5">
        <v>100</v>
      </c>
      <c r="F684" s="5">
        <v>7</v>
      </c>
      <c r="G684" s="5">
        <v>100</v>
      </c>
      <c r="H684" s="5" t="s">
        <v>4572</v>
      </c>
      <c r="I684" s="5" t="s">
        <v>4619</v>
      </c>
      <c r="J684" s="5" t="s">
        <v>4410</v>
      </c>
      <c r="K684" s="10" t="e">
        <f t="shared" si="0"/>
        <v>#VALUE!</v>
      </c>
      <c r="L684" s="10">
        <f t="shared" si="1"/>
        <v>1</v>
      </c>
      <c r="M684" s="10" t="str">
        <f t="shared" si="2"/>
        <v>001</v>
      </c>
      <c r="N684" s="10" t="str">
        <f t="shared" si="3"/>
        <v>01</v>
      </c>
      <c r="O684" s="10" t="str">
        <f t="shared" si="16"/>
        <v/>
      </c>
    </row>
    <row r="685" spans="1:15" ht="12.5">
      <c r="A685" s="115" t="s">
        <v>4620</v>
      </c>
      <c r="B685" s="5">
        <v>0</v>
      </c>
      <c r="C685" s="5">
        <v>61</v>
      </c>
      <c r="D685" s="5">
        <v>4</v>
      </c>
      <c r="E685" s="5">
        <v>100</v>
      </c>
      <c r="F685" s="5">
        <v>7</v>
      </c>
      <c r="G685" s="5">
        <v>200</v>
      </c>
      <c r="H685" s="5" t="s">
        <v>4572</v>
      </c>
      <c r="I685" s="5" t="s">
        <v>4619</v>
      </c>
      <c r="J685" s="5" t="s">
        <v>4412</v>
      </c>
      <c r="K685" s="10" t="e">
        <f t="shared" si="0"/>
        <v>#VALUE!</v>
      </c>
      <c r="L685" s="10">
        <f t="shared" si="1"/>
        <v>1</v>
      </c>
      <c r="M685" s="10" t="str">
        <f t="shared" si="2"/>
        <v>002</v>
      </c>
      <c r="N685" s="10" t="str">
        <f t="shared" si="3"/>
        <v>01</v>
      </c>
      <c r="O685" s="10" t="str">
        <f t="shared" si="16"/>
        <v/>
      </c>
    </row>
    <row r="686" spans="1:15" ht="12.5">
      <c r="A686" s="115" t="s">
        <v>4621</v>
      </c>
      <c r="B686" s="5">
        <v>0</v>
      </c>
      <c r="C686" s="5">
        <v>61</v>
      </c>
      <c r="D686" s="5">
        <v>4</v>
      </c>
      <c r="E686" s="5">
        <v>100</v>
      </c>
      <c r="F686" s="5">
        <v>7</v>
      </c>
      <c r="G686" s="5">
        <v>300</v>
      </c>
      <c r="H686" s="5" t="s">
        <v>4572</v>
      </c>
      <c r="I686" s="5" t="s">
        <v>4619</v>
      </c>
      <c r="J686" s="5" t="s">
        <v>4430</v>
      </c>
      <c r="K686" s="10" t="e">
        <f t="shared" si="0"/>
        <v>#VALUE!</v>
      </c>
      <c r="L686" s="10">
        <f t="shared" si="1"/>
        <v>1</v>
      </c>
      <c r="M686" s="10" t="str">
        <f t="shared" si="2"/>
        <v>003</v>
      </c>
      <c r="N686" s="10" t="str">
        <f t="shared" si="3"/>
        <v>02</v>
      </c>
      <c r="O686" s="10" t="str">
        <f t="shared" si="16"/>
        <v/>
      </c>
    </row>
    <row r="687" spans="1:15" ht="12.5">
      <c r="A687" s="115" t="s">
        <v>4622</v>
      </c>
      <c r="B687" s="5">
        <v>0</v>
      </c>
      <c r="C687" s="5">
        <v>61</v>
      </c>
      <c r="D687" s="5">
        <v>4</v>
      </c>
      <c r="E687" s="5">
        <v>100</v>
      </c>
      <c r="F687" s="5">
        <v>7</v>
      </c>
      <c r="G687" s="5">
        <v>400</v>
      </c>
      <c r="H687" s="5" t="s">
        <v>4572</v>
      </c>
      <c r="I687" s="5" t="s">
        <v>4619</v>
      </c>
      <c r="J687" s="5" t="s">
        <v>4432</v>
      </c>
      <c r="K687" s="10" t="e">
        <f t="shared" si="0"/>
        <v>#VALUE!</v>
      </c>
      <c r="L687" s="10">
        <f t="shared" si="1"/>
        <v>1</v>
      </c>
      <c r="M687" s="10" t="str">
        <f t="shared" si="2"/>
        <v>004</v>
      </c>
      <c r="N687" s="10" t="str">
        <f t="shared" si="3"/>
        <v>02</v>
      </c>
      <c r="O687" s="10" t="str">
        <f t="shared" si="16"/>
        <v/>
      </c>
    </row>
    <row r="688" spans="1:15" ht="12.5">
      <c r="A688" s="115" t="s">
        <v>4623</v>
      </c>
      <c r="B688" s="5">
        <v>0</v>
      </c>
      <c r="C688" s="5">
        <v>61</v>
      </c>
      <c r="D688" s="5">
        <v>4</v>
      </c>
      <c r="E688" s="5">
        <v>100</v>
      </c>
      <c r="F688" s="5">
        <v>7</v>
      </c>
      <c r="G688" s="5">
        <v>500</v>
      </c>
      <c r="H688" s="5" t="s">
        <v>4572</v>
      </c>
      <c r="I688" s="5" t="s">
        <v>4619</v>
      </c>
      <c r="J688" s="5" t="s">
        <v>4434</v>
      </c>
      <c r="K688" s="10" t="e">
        <f t="shared" si="0"/>
        <v>#VALUE!</v>
      </c>
      <c r="L688" s="10">
        <f t="shared" si="1"/>
        <v>1</v>
      </c>
      <c r="M688" s="10" t="str">
        <f t="shared" si="2"/>
        <v>005</v>
      </c>
      <c r="N688" s="10" t="str">
        <f t="shared" si="3"/>
        <v>02</v>
      </c>
      <c r="O688" s="10" t="str">
        <f t="shared" si="16"/>
        <v/>
      </c>
    </row>
    <row r="689" spans="1:15" ht="12.5">
      <c r="A689" s="115" t="s">
        <v>4624</v>
      </c>
      <c r="B689" s="5">
        <v>0</v>
      </c>
      <c r="C689" s="5">
        <v>61</v>
      </c>
      <c r="D689" s="5">
        <v>4</v>
      </c>
      <c r="E689" s="5">
        <v>100</v>
      </c>
      <c r="F689" s="5">
        <v>7</v>
      </c>
      <c r="G689" s="5">
        <v>600</v>
      </c>
      <c r="H689" s="5" t="s">
        <v>4572</v>
      </c>
      <c r="I689" s="5" t="s">
        <v>4619</v>
      </c>
      <c r="J689" s="5" t="s">
        <v>4436</v>
      </c>
      <c r="K689" s="10" t="e">
        <f t="shared" si="0"/>
        <v>#VALUE!</v>
      </c>
      <c r="L689" s="10">
        <f t="shared" si="1"/>
        <v>1</v>
      </c>
      <c r="M689" s="10" t="str">
        <f t="shared" si="2"/>
        <v>006</v>
      </c>
      <c r="N689" s="10" t="str">
        <f t="shared" si="3"/>
        <v>03</v>
      </c>
      <c r="O689" s="10" t="str">
        <f t="shared" si="16"/>
        <v/>
      </c>
    </row>
    <row r="690" spans="1:15" ht="12.5">
      <c r="A690" s="115" t="s">
        <v>4625</v>
      </c>
      <c r="B690" s="5">
        <v>0</v>
      </c>
      <c r="C690" s="5">
        <v>61</v>
      </c>
      <c r="D690" s="5">
        <v>4</v>
      </c>
      <c r="E690" s="5">
        <v>100</v>
      </c>
      <c r="F690" s="5">
        <v>7</v>
      </c>
      <c r="G690" s="5">
        <v>700</v>
      </c>
      <c r="H690" s="5" t="s">
        <v>4572</v>
      </c>
      <c r="I690" s="5" t="s">
        <v>4619</v>
      </c>
      <c r="J690" s="5" t="s">
        <v>4438</v>
      </c>
      <c r="K690" s="10" t="e">
        <f t="shared" si="0"/>
        <v>#VALUE!</v>
      </c>
      <c r="L690" s="10">
        <f t="shared" si="1"/>
        <v>1</v>
      </c>
      <c r="M690" s="10" t="str">
        <f t="shared" si="2"/>
        <v>007</v>
      </c>
      <c r="N690" s="10" t="str">
        <f t="shared" si="3"/>
        <v>03</v>
      </c>
      <c r="O690" s="10" t="str">
        <f t="shared" si="16"/>
        <v/>
      </c>
    </row>
    <row r="691" spans="1:15" ht="12.5">
      <c r="A691" s="115" t="s">
        <v>4626</v>
      </c>
      <c r="B691" s="5">
        <v>0</v>
      </c>
      <c r="C691" s="5">
        <v>61</v>
      </c>
      <c r="D691" s="5">
        <v>4</v>
      </c>
      <c r="E691" s="5">
        <v>100</v>
      </c>
      <c r="F691" s="5">
        <v>7</v>
      </c>
      <c r="G691" s="5">
        <v>800</v>
      </c>
      <c r="H691" s="5" t="s">
        <v>4572</v>
      </c>
      <c r="I691" s="5" t="s">
        <v>4619</v>
      </c>
      <c r="J691" s="5" t="s">
        <v>4440</v>
      </c>
      <c r="K691" s="10" t="e">
        <f t="shared" si="0"/>
        <v>#VALUE!</v>
      </c>
      <c r="L691" s="10">
        <f t="shared" si="1"/>
        <v>1</v>
      </c>
      <c r="M691" s="10" t="str">
        <f t="shared" si="2"/>
        <v>008</v>
      </c>
      <c r="N691" s="10" t="str">
        <f t="shared" si="3"/>
        <v>03</v>
      </c>
      <c r="O691" s="10" t="str">
        <f t="shared" si="16"/>
        <v/>
      </c>
    </row>
    <row r="692" spans="1:15" ht="12.5">
      <c r="A692" s="115" t="s">
        <v>4627</v>
      </c>
      <c r="B692" s="5">
        <v>0</v>
      </c>
      <c r="C692" s="5">
        <v>61</v>
      </c>
      <c r="D692" s="5">
        <v>4</v>
      </c>
      <c r="E692" s="5">
        <v>100</v>
      </c>
      <c r="F692" s="5">
        <v>7</v>
      </c>
      <c r="G692" s="5">
        <v>900</v>
      </c>
      <c r="H692" s="5" t="s">
        <v>4572</v>
      </c>
      <c r="I692" s="5" t="s">
        <v>4619</v>
      </c>
      <c r="J692" s="5" t="s">
        <v>4442</v>
      </c>
      <c r="K692" s="10" t="e">
        <f t="shared" si="0"/>
        <v>#VALUE!</v>
      </c>
      <c r="L692" s="10">
        <f t="shared" si="1"/>
        <v>1</v>
      </c>
      <c r="M692" s="10" t="str">
        <f t="shared" si="2"/>
        <v>009</v>
      </c>
      <c r="N692" s="10" t="str">
        <f t="shared" si="3"/>
        <v>04</v>
      </c>
      <c r="O692" s="10" t="str">
        <f t="shared" si="16"/>
        <v/>
      </c>
    </row>
    <row r="693" spans="1:15" ht="12.5">
      <c r="A693" s="115" t="s">
        <v>4628</v>
      </c>
      <c r="B693" s="5">
        <v>0</v>
      </c>
      <c r="C693" s="5">
        <v>61</v>
      </c>
      <c r="D693" s="5">
        <v>4</v>
      </c>
      <c r="E693" s="5">
        <v>100</v>
      </c>
      <c r="F693" s="5">
        <v>7</v>
      </c>
      <c r="G693" s="5">
        <v>1000</v>
      </c>
      <c r="H693" s="5" t="s">
        <v>4572</v>
      </c>
      <c r="I693" s="5" t="s">
        <v>4619</v>
      </c>
      <c r="J693" s="5" t="s">
        <v>4444</v>
      </c>
      <c r="K693" s="10" t="e">
        <f t="shared" si="0"/>
        <v>#VALUE!</v>
      </c>
      <c r="L693" s="10">
        <f t="shared" si="1"/>
        <v>1</v>
      </c>
      <c r="M693" s="10" t="str">
        <f t="shared" si="2"/>
        <v>010</v>
      </c>
      <c r="N693" s="10" t="str">
        <f t="shared" si="3"/>
        <v>04</v>
      </c>
      <c r="O693" s="10" t="str">
        <f t="shared" si="16"/>
        <v/>
      </c>
    </row>
    <row r="694" spans="1:15" ht="12.5">
      <c r="A694" s="115" t="s">
        <v>4629</v>
      </c>
      <c r="B694" s="5">
        <v>0</v>
      </c>
      <c r="C694" s="5">
        <v>61</v>
      </c>
      <c r="D694" s="5">
        <v>4</v>
      </c>
      <c r="E694" s="5">
        <v>100</v>
      </c>
      <c r="F694" s="5">
        <v>7</v>
      </c>
      <c r="G694" s="5">
        <v>1100</v>
      </c>
      <c r="H694" s="5" t="s">
        <v>4572</v>
      </c>
      <c r="I694" s="5" t="s">
        <v>4619</v>
      </c>
      <c r="J694" s="5" t="s">
        <v>4446</v>
      </c>
      <c r="K694" s="10" t="e">
        <f t="shared" si="0"/>
        <v>#VALUE!</v>
      </c>
      <c r="L694" s="10">
        <f t="shared" si="1"/>
        <v>1</v>
      </c>
      <c r="M694" s="10" t="str">
        <f t="shared" si="2"/>
        <v>011</v>
      </c>
      <c r="N694" s="10" t="str">
        <f t="shared" si="3"/>
        <v>04</v>
      </c>
      <c r="O694" s="10" t="str">
        <f t="shared" si="16"/>
        <v/>
      </c>
    </row>
    <row r="695" spans="1:15" ht="12.5">
      <c r="A695" s="115" t="s">
        <v>4630</v>
      </c>
      <c r="B695" s="5">
        <v>0</v>
      </c>
      <c r="C695" s="5">
        <v>61</v>
      </c>
      <c r="D695" s="5">
        <v>4</v>
      </c>
      <c r="E695" s="5">
        <v>100</v>
      </c>
      <c r="F695" s="5">
        <v>7</v>
      </c>
      <c r="G695" s="5">
        <v>1200</v>
      </c>
      <c r="H695" s="5" t="s">
        <v>4572</v>
      </c>
      <c r="I695" s="5" t="s">
        <v>4619</v>
      </c>
      <c r="J695" s="5" t="s">
        <v>4448</v>
      </c>
      <c r="K695" s="10" t="e">
        <f t="shared" si="0"/>
        <v>#VALUE!</v>
      </c>
      <c r="L695" s="10">
        <f t="shared" si="1"/>
        <v>1</v>
      </c>
      <c r="M695" s="10" t="str">
        <f t="shared" si="2"/>
        <v>012</v>
      </c>
      <c r="N695" s="10" t="str">
        <f t="shared" si="3"/>
        <v>04</v>
      </c>
      <c r="O695" s="10" t="str">
        <f t="shared" si="16"/>
        <v/>
      </c>
    </row>
    <row r="696" spans="1:15" ht="12.5">
      <c r="A696" s="115" t="s">
        <v>4631</v>
      </c>
      <c r="B696" s="5">
        <v>0</v>
      </c>
      <c r="C696" s="5">
        <v>61</v>
      </c>
      <c r="D696" s="5">
        <v>4</v>
      </c>
      <c r="E696" s="5">
        <v>100</v>
      </c>
      <c r="F696" s="5">
        <v>7</v>
      </c>
      <c r="G696" s="5">
        <v>1300</v>
      </c>
      <c r="H696" s="5" t="s">
        <v>4572</v>
      </c>
      <c r="I696" s="5" t="s">
        <v>4619</v>
      </c>
      <c r="J696" s="5" t="s">
        <v>4632</v>
      </c>
      <c r="K696" s="10" t="e">
        <f t="shared" si="0"/>
        <v>#VALUE!</v>
      </c>
      <c r="L696" s="10">
        <f t="shared" si="1"/>
        <v>1</v>
      </c>
      <c r="M696" s="10" t="str">
        <f t="shared" si="2"/>
        <v>013</v>
      </c>
      <c r="N696" s="10" t="str">
        <f t="shared" si="3"/>
        <v>05</v>
      </c>
      <c r="O696" s="10" t="str">
        <f t="shared" si="16"/>
        <v/>
      </c>
    </row>
    <row r="697" spans="1:15" ht="12.5">
      <c r="A697" s="115" t="s">
        <v>4633</v>
      </c>
      <c r="B697" s="5">
        <v>0</v>
      </c>
      <c r="C697" s="5">
        <v>61</v>
      </c>
      <c r="D697" s="5">
        <v>4</v>
      </c>
      <c r="E697" s="5">
        <v>100</v>
      </c>
      <c r="F697" s="5">
        <v>7</v>
      </c>
      <c r="G697" s="5">
        <v>1400</v>
      </c>
      <c r="H697" s="5" t="s">
        <v>4572</v>
      </c>
      <c r="I697" s="5" t="s">
        <v>4619</v>
      </c>
      <c r="J697" s="5" t="s">
        <v>4634</v>
      </c>
      <c r="K697" s="10" t="e">
        <f t="shared" si="0"/>
        <v>#VALUE!</v>
      </c>
      <c r="L697" s="10">
        <f t="shared" si="1"/>
        <v>1</v>
      </c>
      <c r="M697" s="10" t="str">
        <f t="shared" si="2"/>
        <v>014</v>
      </c>
      <c r="N697" s="10" t="str">
        <f t="shared" si="3"/>
        <v>05</v>
      </c>
      <c r="O697" s="10" t="str">
        <f t="shared" si="16"/>
        <v/>
      </c>
    </row>
    <row r="698" spans="1:15" ht="12.5">
      <c r="A698" s="115" t="s">
        <v>4635</v>
      </c>
      <c r="B698" s="5">
        <v>0</v>
      </c>
      <c r="C698" s="5">
        <v>61</v>
      </c>
      <c r="D698" s="5">
        <v>4</v>
      </c>
      <c r="E698" s="5">
        <v>100</v>
      </c>
      <c r="F698" s="5">
        <v>7</v>
      </c>
      <c r="G698" s="5">
        <v>1500</v>
      </c>
      <c r="H698" s="5" t="s">
        <v>4572</v>
      </c>
      <c r="I698" s="5" t="s">
        <v>4619</v>
      </c>
      <c r="J698" s="5" t="s">
        <v>4636</v>
      </c>
      <c r="K698" s="10" t="e">
        <f t="shared" si="0"/>
        <v>#VALUE!</v>
      </c>
      <c r="L698" s="10">
        <f t="shared" si="1"/>
        <v>1</v>
      </c>
      <c r="M698" s="10" t="str">
        <f t="shared" si="2"/>
        <v>015</v>
      </c>
      <c r="N698" s="10" t="str">
        <f t="shared" si="3"/>
        <v>06</v>
      </c>
      <c r="O698" s="10" t="str">
        <f t="shared" si="16"/>
        <v/>
      </c>
    </row>
    <row r="699" spans="1:15" ht="12.5">
      <c r="A699" s="115" t="s">
        <v>4637</v>
      </c>
      <c r="B699" s="5">
        <v>0</v>
      </c>
      <c r="C699" s="5">
        <v>61</v>
      </c>
      <c r="D699" s="5">
        <v>4</v>
      </c>
      <c r="E699" s="5">
        <v>100</v>
      </c>
      <c r="F699" s="5">
        <v>7</v>
      </c>
      <c r="G699" s="5">
        <v>1600</v>
      </c>
      <c r="H699" s="5" t="s">
        <v>4572</v>
      </c>
      <c r="I699" s="5" t="s">
        <v>4619</v>
      </c>
      <c r="J699" s="5" t="s">
        <v>4638</v>
      </c>
      <c r="K699" s="10" t="e">
        <f t="shared" si="0"/>
        <v>#VALUE!</v>
      </c>
      <c r="L699" s="10">
        <f t="shared" si="1"/>
        <v>1</v>
      </c>
      <c r="M699" s="10" t="str">
        <f t="shared" si="2"/>
        <v>016</v>
      </c>
      <c r="N699" s="10" t="str">
        <f t="shared" si="3"/>
        <v>06</v>
      </c>
      <c r="O699" s="10" t="str">
        <f t="shared" si="16"/>
        <v/>
      </c>
    </row>
    <row r="700" spans="1:15" ht="12.5">
      <c r="A700" s="115" t="s">
        <v>4639</v>
      </c>
      <c r="B700" s="5">
        <v>0</v>
      </c>
      <c r="C700" s="5">
        <v>61</v>
      </c>
      <c r="D700" s="5">
        <v>4</v>
      </c>
      <c r="E700" s="5">
        <v>100</v>
      </c>
      <c r="F700" s="5">
        <v>7</v>
      </c>
      <c r="G700" s="5">
        <v>1700</v>
      </c>
      <c r="H700" s="5" t="s">
        <v>4572</v>
      </c>
      <c r="I700" s="5" t="s">
        <v>4619</v>
      </c>
      <c r="J700" s="5" t="s">
        <v>4640</v>
      </c>
      <c r="K700" s="10" t="e">
        <f t="shared" si="0"/>
        <v>#VALUE!</v>
      </c>
      <c r="L700" s="10">
        <f t="shared" si="1"/>
        <v>1</v>
      </c>
      <c r="M700" s="10" t="str">
        <f t="shared" si="2"/>
        <v>017</v>
      </c>
      <c r="N700" s="10" t="str">
        <f t="shared" si="3"/>
        <v>06</v>
      </c>
      <c r="O700" s="10" t="str">
        <f t="shared" si="16"/>
        <v/>
      </c>
    </row>
    <row r="701" spans="1:15" ht="12.5">
      <c r="A701" s="115" t="s">
        <v>4641</v>
      </c>
      <c r="B701" s="5">
        <v>0</v>
      </c>
      <c r="C701" s="5">
        <v>61</v>
      </c>
      <c r="D701" s="5">
        <v>4</v>
      </c>
      <c r="E701" s="5">
        <v>100</v>
      </c>
      <c r="F701" s="5">
        <v>7</v>
      </c>
      <c r="G701" s="5">
        <v>1800</v>
      </c>
      <c r="H701" s="5" t="s">
        <v>4572</v>
      </c>
      <c r="I701" s="5" t="s">
        <v>4619</v>
      </c>
      <c r="J701" s="5" t="s">
        <v>4642</v>
      </c>
      <c r="K701" s="10" t="e">
        <f t="shared" si="0"/>
        <v>#VALUE!</v>
      </c>
      <c r="L701" s="10">
        <f t="shared" si="1"/>
        <v>1</v>
      </c>
      <c r="M701" s="10" t="str">
        <f t="shared" si="2"/>
        <v>018</v>
      </c>
      <c r="N701" s="10" t="str">
        <f t="shared" si="3"/>
        <v>06</v>
      </c>
      <c r="O701" s="10" t="str">
        <f t="shared" si="16"/>
        <v/>
      </c>
    </row>
    <row r="702" spans="1:15" ht="12.5">
      <c r="A702" s="115" t="s">
        <v>4643</v>
      </c>
      <c r="B702" s="5">
        <v>0</v>
      </c>
      <c r="C702" s="5">
        <v>61</v>
      </c>
      <c r="D702" s="5">
        <v>4</v>
      </c>
      <c r="E702" s="5">
        <v>100</v>
      </c>
      <c r="F702" s="5">
        <v>7</v>
      </c>
      <c r="G702" s="5">
        <v>1900</v>
      </c>
      <c r="H702" s="5" t="s">
        <v>4572</v>
      </c>
      <c r="I702" s="5" t="s">
        <v>4619</v>
      </c>
      <c r="J702" s="5" t="s">
        <v>4644</v>
      </c>
      <c r="K702" s="10" t="e">
        <f t="shared" si="0"/>
        <v>#VALUE!</v>
      </c>
      <c r="L702" s="10">
        <f t="shared" si="1"/>
        <v>1</v>
      </c>
      <c r="M702" s="10" t="str">
        <f t="shared" si="2"/>
        <v>019</v>
      </c>
      <c r="N702" s="10" t="str">
        <f t="shared" si="3"/>
        <v>07</v>
      </c>
      <c r="O702" s="10" t="str">
        <f t="shared" si="16"/>
        <v/>
      </c>
    </row>
    <row r="703" spans="1:15" ht="12.5">
      <c r="A703" s="115" t="s">
        <v>4645</v>
      </c>
      <c r="B703" s="5">
        <v>0</v>
      </c>
      <c r="C703" s="5">
        <v>61</v>
      </c>
      <c r="D703" s="5">
        <v>4</v>
      </c>
      <c r="E703" s="5">
        <v>100</v>
      </c>
      <c r="F703" s="5">
        <v>7</v>
      </c>
      <c r="G703" s="5">
        <v>2000</v>
      </c>
      <c r="H703" s="5" t="s">
        <v>4572</v>
      </c>
      <c r="I703" s="5" t="s">
        <v>4619</v>
      </c>
      <c r="J703" s="5" t="s">
        <v>4646</v>
      </c>
      <c r="K703" s="10" t="e">
        <f t="shared" si="0"/>
        <v>#VALUE!</v>
      </c>
      <c r="L703" s="10">
        <f t="shared" si="1"/>
        <v>1</v>
      </c>
      <c r="M703" s="10" t="str">
        <f t="shared" si="2"/>
        <v>024</v>
      </c>
      <c r="N703" s="10" t="str">
        <f t="shared" si="3"/>
        <v>07</v>
      </c>
      <c r="O703" s="10" t="str">
        <f t="shared" si="16"/>
        <v/>
      </c>
    </row>
    <row r="704" spans="1:15" ht="12.5">
      <c r="A704" s="115" t="s">
        <v>4647</v>
      </c>
      <c r="B704" s="5">
        <v>0</v>
      </c>
      <c r="C704" s="5">
        <v>61</v>
      </c>
      <c r="D704" s="5">
        <v>4</v>
      </c>
      <c r="E704" s="5">
        <v>100</v>
      </c>
      <c r="F704" s="5">
        <v>7</v>
      </c>
      <c r="G704" s="5">
        <v>2100</v>
      </c>
      <c r="H704" s="5" t="s">
        <v>4572</v>
      </c>
      <c r="I704" s="5" t="s">
        <v>4619</v>
      </c>
      <c r="J704" s="5" t="s">
        <v>4648</v>
      </c>
      <c r="K704" s="10" t="e">
        <f t="shared" si="0"/>
        <v>#VALUE!</v>
      </c>
      <c r="L704" s="10">
        <f t="shared" si="1"/>
        <v>1</v>
      </c>
      <c r="M704" s="10" t="str">
        <f t="shared" si="2"/>
        <v>020</v>
      </c>
      <c r="N704" s="10" t="str">
        <f t="shared" si="3"/>
        <v>07</v>
      </c>
      <c r="O704" s="10" t="str">
        <f t="shared" si="16"/>
        <v/>
      </c>
    </row>
    <row r="705" spans="1:15" ht="12.5">
      <c r="A705" s="115" t="s">
        <v>4649</v>
      </c>
      <c r="B705" s="5">
        <v>0</v>
      </c>
      <c r="C705" s="5">
        <v>61</v>
      </c>
      <c r="D705" s="5">
        <v>4</v>
      </c>
      <c r="E705" s="5">
        <v>100</v>
      </c>
      <c r="F705" s="5">
        <v>7</v>
      </c>
      <c r="G705" s="5">
        <v>2200</v>
      </c>
      <c r="H705" s="5" t="s">
        <v>4572</v>
      </c>
      <c r="I705" s="5" t="s">
        <v>4619</v>
      </c>
      <c r="J705" s="5" t="s">
        <v>4650</v>
      </c>
      <c r="K705" s="10" t="e">
        <f t="shared" si="0"/>
        <v>#VALUE!</v>
      </c>
      <c r="L705" s="10">
        <f t="shared" si="1"/>
        <v>1</v>
      </c>
      <c r="M705" s="10" t="str">
        <f t="shared" si="2"/>
        <v>021</v>
      </c>
      <c r="N705" s="10" t="str">
        <f t="shared" si="3"/>
        <v>07</v>
      </c>
      <c r="O705" s="10" t="str">
        <f t="shared" si="16"/>
        <v/>
      </c>
    </row>
    <row r="706" spans="1:15" ht="12.5">
      <c r="A706" s="115" t="s">
        <v>4651</v>
      </c>
      <c r="B706" s="5">
        <v>0</v>
      </c>
      <c r="C706" s="5">
        <v>61</v>
      </c>
      <c r="D706" s="5">
        <v>4</v>
      </c>
      <c r="E706" s="5">
        <v>100</v>
      </c>
      <c r="F706" s="5">
        <v>7</v>
      </c>
      <c r="G706" s="5">
        <v>2300</v>
      </c>
      <c r="H706" s="5" t="s">
        <v>4572</v>
      </c>
      <c r="I706" s="5" t="s">
        <v>4619</v>
      </c>
      <c r="J706" s="5" t="s">
        <v>4652</v>
      </c>
      <c r="K706" s="10" t="e">
        <f t="shared" si="0"/>
        <v>#VALUE!</v>
      </c>
      <c r="L706" s="10">
        <f t="shared" si="1"/>
        <v>1</v>
      </c>
      <c r="M706" s="10" t="str">
        <f t="shared" si="2"/>
        <v>022</v>
      </c>
      <c r="N706" s="10" t="str">
        <f t="shared" si="3"/>
        <v>08</v>
      </c>
      <c r="O706" s="10" t="str">
        <f t="shared" si="16"/>
        <v/>
      </c>
    </row>
    <row r="707" spans="1:15" ht="12.5">
      <c r="A707" s="115" t="s">
        <v>4653</v>
      </c>
      <c r="B707" s="5">
        <v>0</v>
      </c>
      <c r="C707" s="5">
        <v>61</v>
      </c>
      <c r="D707" s="5">
        <v>4</v>
      </c>
      <c r="E707" s="5">
        <v>100</v>
      </c>
      <c r="F707" s="5">
        <v>7</v>
      </c>
      <c r="G707" s="5">
        <v>2400</v>
      </c>
      <c r="H707" s="5" t="s">
        <v>4572</v>
      </c>
      <c r="I707" s="5" t="s">
        <v>4619</v>
      </c>
      <c r="J707" s="5" t="s">
        <v>4654</v>
      </c>
      <c r="K707" s="10" t="e">
        <f t="shared" si="0"/>
        <v>#VALUE!</v>
      </c>
      <c r="L707" s="10">
        <f t="shared" si="1"/>
        <v>1</v>
      </c>
      <c r="M707" s="10" t="str">
        <f t="shared" si="2"/>
        <v>023</v>
      </c>
      <c r="N707" s="10" t="str">
        <f t="shared" si="3"/>
        <v>08</v>
      </c>
      <c r="O707" s="10" t="str">
        <f t="shared" si="16"/>
        <v/>
      </c>
    </row>
    <row r="708" spans="1:15" ht="12.5">
      <c r="A708" s="115" t="s">
        <v>4655</v>
      </c>
      <c r="B708" s="5">
        <v>0</v>
      </c>
      <c r="C708" s="5">
        <v>61</v>
      </c>
      <c r="D708" s="5">
        <v>4</v>
      </c>
      <c r="E708" s="5">
        <v>100</v>
      </c>
      <c r="F708" s="5">
        <v>8</v>
      </c>
      <c r="G708" s="5">
        <v>100</v>
      </c>
      <c r="H708" s="5" t="s">
        <v>4572</v>
      </c>
      <c r="I708" s="5" t="s">
        <v>4656</v>
      </c>
      <c r="J708" s="5" t="s">
        <v>4657</v>
      </c>
      <c r="K708" s="10" t="e">
        <f t="shared" si="0"/>
        <v>#VALUE!</v>
      </c>
      <c r="L708" s="10">
        <f t="shared" si="1"/>
        <v>1</v>
      </c>
      <c r="M708" s="10" t="str">
        <f t="shared" si="2"/>
        <v>037</v>
      </c>
      <c r="N708" s="10" t="str">
        <f t="shared" si="3"/>
        <v>01</v>
      </c>
      <c r="O708" s="10" t="str">
        <f t="shared" si="16"/>
        <v/>
      </c>
    </row>
    <row r="709" spans="1:15" ht="12.5">
      <c r="A709" s="115" t="s">
        <v>4658</v>
      </c>
      <c r="B709" s="5">
        <v>0</v>
      </c>
      <c r="C709" s="5">
        <v>61</v>
      </c>
      <c r="D709" s="5">
        <v>4</v>
      </c>
      <c r="E709" s="5">
        <v>100</v>
      </c>
      <c r="F709" s="5">
        <v>8</v>
      </c>
      <c r="G709" s="5">
        <v>200</v>
      </c>
      <c r="H709" s="5" t="s">
        <v>4572</v>
      </c>
      <c r="I709" s="5" t="s">
        <v>4656</v>
      </c>
      <c r="J709" s="5" t="s">
        <v>4659</v>
      </c>
      <c r="K709" s="10" t="e">
        <f t="shared" si="0"/>
        <v>#VALUE!</v>
      </c>
      <c r="L709" s="10">
        <f t="shared" si="1"/>
        <v>1</v>
      </c>
      <c r="M709" s="10" t="str">
        <f t="shared" si="2"/>
        <v>036</v>
      </c>
      <c r="N709" s="10" t="str">
        <f t="shared" si="3"/>
        <v>01</v>
      </c>
      <c r="O709" s="10" t="str">
        <f t="shared" si="16"/>
        <v/>
      </c>
    </row>
    <row r="710" spans="1:15" ht="12.5">
      <c r="A710" s="115" t="s">
        <v>4660</v>
      </c>
      <c r="B710" s="5">
        <v>0</v>
      </c>
      <c r="C710" s="5">
        <v>61</v>
      </c>
      <c r="D710" s="5">
        <v>4</v>
      </c>
      <c r="E710" s="5">
        <v>100</v>
      </c>
      <c r="F710" s="5">
        <v>8</v>
      </c>
      <c r="G710" s="5">
        <v>300</v>
      </c>
      <c r="H710" s="5" t="s">
        <v>4572</v>
      </c>
      <c r="I710" s="5" t="s">
        <v>4656</v>
      </c>
      <c r="J710" s="5" t="s">
        <v>4661</v>
      </c>
      <c r="K710" s="10" t="e">
        <f t="shared" si="0"/>
        <v>#VALUE!</v>
      </c>
      <c r="L710" s="10">
        <f t="shared" si="1"/>
        <v>1</v>
      </c>
      <c r="M710" s="10" t="str">
        <f t="shared" si="2"/>
        <v>030</v>
      </c>
      <c r="N710" s="10" t="str">
        <f t="shared" si="3"/>
        <v>01</v>
      </c>
      <c r="O710" s="10" t="str">
        <f t="shared" si="16"/>
        <v/>
      </c>
    </row>
    <row r="711" spans="1:15" ht="12.5">
      <c r="A711" s="115" t="s">
        <v>4662</v>
      </c>
      <c r="B711" s="5">
        <v>0</v>
      </c>
      <c r="C711" s="5">
        <v>61</v>
      </c>
      <c r="D711" s="5">
        <v>4</v>
      </c>
      <c r="E711" s="5">
        <v>100</v>
      </c>
      <c r="F711" s="5">
        <v>8</v>
      </c>
      <c r="G711" s="5">
        <v>400</v>
      </c>
      <c r="H711" s="5" t="s">
        <v>4572</v>
      </c>
      <c r="I711" s="5" t="s">
        <v>4656</v>
      </c>
      <c r="J711" s="5" t="s">
        <v>4663</v>
      </c>
      <c r="K711" s="10" t="e">
        <f t="shared" si="0"/>
        <v>#VALUE!</v>
      </c>
      <c r="L711" s="10">
        <f t="shared" si="1"/>
        <v>1</v>
      </c>
      <c r="M711" s="10" t="str">
        <f t="shared" si="2"/>
        <v>029</v>
      </c>
      <c r="N711" s="10" t="str">
        <f t="shared" si="3"/>
        <v>01</v>
      </c>
      <c r="O711" s="10" t="str">
        <f t="shared" si="16"/>
        <v/>
      </c>
    </row>
    <row r="712" spans="1:15" ht="12.5">
      <c r="A712" s="115" t="s">
        <v>4664</v>
      </c>
      <c r="B712" s="5">
        <v>0</v>
      </c>
      <c r="C712" s="5">
        <v>61</v>
      </c>
      <c r="D712" s="5">
        <v>4</v>
      </c>
      <c r="E712" s="5">
        <v>100</v>
      </c>
      <c r="F712" s="5">
        <v>8</v>
      </c>
      <c r="G712" s="5">
        <v>500</v>
      </c>
      <c r="H712" s="5" t="s">
        <v>4572</v>
      </c>
      <c r="I712" s="5" t="s">
        <v>4656</v>
      </c>
      <c r="J712" s="5" t="s">
        <v>4665</v>
      </c>
      <c r="K712" s="10" t="e">
        <f t="shared" si="0"/>
        <v>#VALUE!</v>
      </c>
      <c r="L712" s="10">
        <f t="shared" si="1"/>
        <v>1</v>
      </c>
      <c r="M712" s="10" t="str">
        <f t="shared" si="2"/>
        <v>028</v>
      </c>
      <c r="N712" s="10" t="str">
        <f t="shared" si="3"/>
        <v>02</v>
      </c>
      <c r="O712" s="10" t="str">
        <f t="shared" si="16"/>
        <v/>
      </c>
    </row>
    <row r="713" spans="1:15" ht="12.5">
      <c r="A713" s="115" t="s">
        <v>4666</v>
      </c>
      <c r="B713" s="5">
        <v>0</v>
      </c>
      <c r="C713" s="5">
        <v>61</v>
      </c>
      <c r="D713" s="5">
        <v>4</v>
      </c>
      <c r="E713" s="5">
        <v>100</v>
      </c>
      <c r="F713" s="5">
        <v>8</v>
      </c>
      <c r="G713" s="5">
        <v>600</v>
      </c>
      <c r="H713" s="5" t="s">
        <v>4572</v>
      </c>
      <c r="I713" s="5" t="s">
        <v>4656</v>
      </c>
      <c r="J713" s="5" t="s">
        <v>4667</v>
      </c>
      <c r="K713" s="10" t="e">
        <f t="shared" si="0"/>
        <v>#VALUE!</v>
      </c>
      <c r="L713" s="10">
        <f t="shared" si="1"/>
        <v>1</v>
      </c>
      <c r="M713" s="10" t="str">
        <f t="shared" si="2"/>
        <v>027</v>
      </c>
      <c r="N713" s="10" t="str">
        <f t="shared" si="3"/>
        <v>02</v>
      </c>
      <c r="O713" s="10" t="str">
        <f t="shared" si="16"/>
        <v/>
      </c>
    </row>
    <row r="714" spans="1:15" ht="12.5">
      <c r="A714" s="115" t="s">
        <v>4668</v>
      </c>
      <c r="B714" s="5">
        <v>0</v>
      </c>
      <c r="C714" s="5">
        <v>61</v>
      </c>
      <c r="D714" s="5">
        <v>4</v>
      </c>
      <c r="E714" s="5">
        <v>100</v>
      </c>
      <c r="F714" s="5">
        <v>8</v>
      </c>
      <c r="G714" s="5">
        <v>700</v>
      </c>
      <c r="H714" s="5" t="s">
        <v>4572</v>
      </c>
      <c r="I714" s="5" t="s">
        <v>4656</v>
      </c>
      <c r="J714" s="5" t="s">
        <v>4669</v>
      </c>
      <c r="K714" s="10" t="e">
        <f t="shared" si="0"/>
        <v>#VALUE!</v>
      </c>
      <c r="L714" s="10">
        <f t="shared" si="1"/>
        <v>1</v>
      </c>
      <c r="M714" s="10" t="str">
        <f t="shared" si="2"/>
        <v>026</v>
      </c>
      <c r="N714" s="10" t="str">
        <f t="shared" si="3"/>
        <v>03</v>
      </c>
      <c r="O714" s="10" t="str">
        <f t="shared" si="16"/>
        <v/>
      </c>
    </row>
    <row r="715" spans="1:15" ht="12.5">
      <c r="A715" s="115" t="s">
        <v>4670</v>
      </c>
      <c r="B715" s="5">
        <v>0</v>
      </c>
      <c r="C715" s="5">
        <v>61</v>
      </c>
      <c r="D715" s="5">
        <v>4</v>
      </c>
      <c r="E715" s="5">
        <v>100</v>
      </c>
      <c r="F715" s="5">
        <v>8</v>
      </c>
      <c r="G715" s="5">
        <v>800</v>
      </c>
      <c r="H715" s="5" t="s">
        <v>4572</v>
      </c>
      <c r="I715" s="5" t="s">
        <v>4656</v>
      </c>
      <c r="J715" s="5" t="s">
        <v>4671</v>
      </c>
      <c r="K715" s="10" t="e">
        <f t="shared" si="0"/>
        <v>#VALUE!</v>
      </c>
      <c r="L715" s="10">
        <f t="shared" si="1"/>
        <v>1</v>
      </c>
      <c r="M715" s="10" t="str">
        <f t="shared" si="2"/>
        <v>025</v>
      </c>
      <c r="N715" s="10" t="str">
        <f t="shared" si="3"/>
        <v>03</v>
      </c>
      <c r="O715" s="10" t="str">
        <f t="shared" si="16"/>
        <v/>
      </c>
    </row>
    <row r="716" spans="1:15" ht="12.5">
      <c r="A716" s="115" t="s">
        <v>4672</v>
      </c>
      <c r="B716" s="5">
        <v>0</v>
      </c>
      <c r="C716" s="5">
        <v>61</v>
      </c>
      <c r="D716" s="5">
        <v>4</v>
      </c>
      <c r="E716" s="5">
        <v>100</v>
      </c>
      <c r="F716" s="5">
        <v>8</v>
      </c>
      <c r="G716" s="5">
        <v>900</v>
      </c>
      <c r="H716" s="5" t="s">
        <v>4572</v>
      </c>
      <c r="I716" s="5" t="s">
        <v>4656</v>
      </c>
      <c r="J716" s="5" t="s">
        <v>4673</v>
      </c>
      <c r="K716" s="10" t="e">
        <f t="shared" si="0"/>
        <v>#VALUE!</v>
      </c>
      <c r="L716" s="10">
        <f t="shared" si="1"/>
        <v>1</v>
      </c>
      <c r="M716" s="10" t="str">
        <f t="shared" si="2"/>
        <v>023</v>
      </c>
      <c r="N716" s="10" t="str">
        <f t="shared" si="3"/>
        <v>04</v>
      </c>
      <c r="O716" s="10" t="str">
        <f t="shared" si="16"/>
        <v/>
      </c>
    </row>
    <row r="717" spans="1:15" ht="12.5">
      <c r="A717" s="115" t="s">
        <v>4674</v>
      </c>
      <c r="B717" s="5">
        <v>0</v>
      </c>
      <c r="C717" s="5">
        <v>61</v>
      </c>
      <c r="D717" s="5">
        <v>4</v>
      </c>
      <c r="E717" s="5">
        <v>100</v>
      </c>
      <c r="F717" s="5">
        <v>8</v>
      </c>
      <c r="G717" s="5">
        <v>1000</v>
      </c>
      <c r="H717" s="5" t="s">
        <v>4572</v>
      </c>
      <c r="I717" s="5" t="s">
        <v>4656</v>
      </c>
      <c r="J717" s="5" t="s">
        <v>4675</v>
      </c>
      <c r="K717" s="10" t="e">
        <f t="shared" si="0"/>
        <v>#VALUE!</v>
      </c>
      <c r="L717" s="10">
        <f t="shared" si="1"/>
        <v>1</v>
      </c>
      <c r="M717" s="10" t="str">
        <f t="shared" si="2"/>
        <v>022</v>
      </c>
      <c r="N717" s="10" t="str">
        <f t="shared" si="3"/>
        <v>05</v>
      </c>
      <c r="O717" s="10" t="str">
        <f t="shared" si="16"/>
        <v/>
      </c>
    </row>
    <row r="718" spans="1:15" ht="12.5">
      <c r="A718" s="115" t="s">
        <v>4676</v>
      </c>
      <c r="B718" s="5">
        <v>0</v>
      </c>
      <c r="C718" s="5">
        <v>61</v>
      </c>
      <c r="D718" s="5">
        <v>4</v>
      </c>
      <c r="E718" s="5">
        <v>100</v>
      </c>
      <c r="F718" s="5">
        <v>8</v>
      </c>
      <c r="G718" s="5">
        <v>1100</v>
      </c>
      <c r="H718" s="5" t="s">
        <v>4572</v>
      </c>
      <c r="I718" s="5" t="s">
        <v>4656</v>
      </c>
      <c r="J718" s="5" t="s">
        <v>4677</v>
      </c>
      <c r="K718" s="10" t="e">
        <f t="shared" si="0"/>
        <v>#VALUE!</v>
      </c>
      <c r="L718" s="10">
        <f t="shared" si="1"/>
        <v>1</v>
      </c>
      <c r="M718" s="10" t="str">
        <f t="shared" si="2"/>
        <v>033</v>
      </c>
      <c r="N718" s="10" t="str">
        <f t="shared" si="3"/>
        <v>05</v>
      </c>
      <c r="O718" s="10" t="str">
        <f t="shared" si="16"/>
        <v/>
      </c>
    </row>
    <row r="719" spans="1:15" ht="12.5">
      <c r="A719" s="115" t="s">
        <v>4678</v>
      </c>
      <c r="B719" s="5">
        <v>0</v>
      </c>
      <c r="C719" s="5">
        <v>61</v>
      </c>
      <c r="D719" s="5">
        <v>4</v>
      </c>
      <c r="E719" s="5">
        <v>100</v>
      </c>
      <c r="F719" s="5">
        <v>8</v>
      </c>
      <c r="G719" s="5">
        <v>1200</v>
      </c>
      <c r="H719" s="5" t="s">
        <v>4572</v>
      </c>
      <c r="I719" s="5" t="s">
        <v>4656</v>
      </c>
      <c r="J719" s="5" t="s">
        <v>4679</v>
      </c>
      <c r="K719" s="10" t="e">
        <f t="shared" si="0"/>
        <v>#VALUE!</v>
      </c>
      <c r="L719" s="10">
        <f t="shared" si="1"/>
        <v>1</v>
      </c>
      <c r="M719" s="10" t="str">
        <f t="shared" si="2"/>
        <v>019</v>
      </c>
      <c r="N719" s="10" t="str">
        <f t="shared" si="3"/>
        <v>06</v>
      </c>
      <c r="O719" s="10" t="str">
        <f t="shared" si="16"/>
        <v/>
      </c>
    </row>
    <row r="720" spans="1:15" ht="12.5">
      <c r="A720" s="115" t="s">
        <v>4680</v>
      </c>
      <c r="B720" s="5">
        <v>0</v>
      </c>
      <c r="C720" s="5">
        <v>61</v>
      </c>
      <c r="D720" s="5">
        <v>4</v>
      </c>
      <c r="E720" s="5">
        <v>100</v>
      </c>
      <c r="F720" s="5">
        <v>8</v>
      </c>
      <c r="G720" s="5">
        <v>1300</v>
      </c>
      <c r="H720" s="5" t="s">
        <v>4572</v>
      </c>
      <c r="I720" s="5" t="s">
        <v>4656</v>
      </c>
      <c r="J720" s="5" t="s">
        <v>4681</v>
      </c>
      <c r="K720" s="10" t="e">
        <f t="shared" si="0"/>
        <v>#VALUE!</v>
      </c>
      <c r="L720" s="10">
        <f t="shared" si="1"/>
        <v>1</v>
      </c>
      <c r="M720" s="10" t="str">
        <f t="shared" si="2"/>
        <v>020</v>
      </c>
      <c r="N720" s="10" t="str">
        <f t="shared" si="3"/>
        <v>06</v>
      </c>
      <c r="O720" s="10" t="str">
        <f t="shared" si="16"/>
        <v/>
      </c>
    </row>
    <row r="721" spans="1:15" ht="12.5">
      <c r="A721" s="115" t="s">
        <v>4682</v>
      </c>
      <c r="B721" s="5">
        <v>0</v>
      </c>
      <c r="C721" s="5">
        <v>61</v>
      </c>
      <c r="D721" s="5">
        <v>4</v>
      </c>
      <c r="E721" s="5">
        <v>100</v>
      </c>
      <c r="F721" s="5">
        <v>8</v>
      </c>
      <c r="G721" s="5">
        <v>1400</v>
      </c>
      <c r="H721" s="5" t="s">
        <v>4572</v>
      </c>
      <c r="I721" s="5" t="s">
        <v>4656</v>
      </c>
      <c r="J721" s="5" t="s">
        <v>4683</v>
      </c>
      <c r="K721" s="10" t="e">
        <f t="shared" si="0"/>
        <v>#VALUE!</v>
      </c>
      <c r="L721" s="10">
        <f t="shared" si="1"/>
        <v>1</v>
      </c>
      <c r="M721" s="10" t="str">
        <f t="shared" si="2"/>
        <v>017</v>
      </c>
      <c r="N721" s="10" t="str">
        <f t="shared" si="3"/>
        <v>07</v>
      </c>
      <c r="O721" s="10" t="str">
        <f t="shared" si="16"/>
        <v/>
      </c>
    </row>
    <row r="722" spans="1:15" ht="12.5">
      <c r="A722" s="115" t="s">
        <v>4684</v>
      </c>
      <c r="B722" s="5">
        <v>0</v>
      </c>
      <c r="C722" s="5">
        <v>61</v>
      </c>
      <c r="D722" s="5">
        <v>4</v>
      </c>
      <c r="E722" s="5">
        <v>100</v>
      </c>
      <c r="F722" s="5">
        <v>8</v>
      </c>
      <c r="G722" s="5">
        <v>1500</v>
      </c>
      <c r="H722" s="5" t="s">
        <v>4572</v>
      </c>
      <c r="I722" s="5" t="s">
        <v>4656</v>
      </c>
      <c r="J722" s="5" t="s">
        <v>4685</v>
      </c>
      <c r="K722" s="10" t="e">
        <f t="shared" si="0"/>
        <v>#VALUE!</v>
      </c>
      <c r="L722" s="10">
        <f t="shared" si="1"/>
        <v>1</v>
      </c>
      <c r="M722" s="10" t="str">
        <f t="shared" si="2"/>
        <v>018</v>
      </c>
      <c r="N722" s="10" t="str">
        <f t="shared" si="3"/>
        <v>07</v>
      </c>
      <c r="O722" s="10" t="str">
        <f t="shared" si="16"/>
        <v/>
      </c>
    </row>
    <row r="723" spans="1:15" ht="12.5">
      <c r="A723" s="115" t="s">
        <v>4686</v>
      </c>
      <c r="B723" s="5">
        <v>0</v>
      </c>
      <c r="C723" s="5">
        <v>61</v>
      </c>
      <c r="D723" s="5">
        <v>4</v>
      </c>
      <c r="E723" s="5">
        <v>100</v>
      </c>
      <c r="F723" s="5">
        <v>8</v>
      </c>
      <c r="G723" s="5">
        <v>1600</v>
      </c>
      <c r="H723" s="5" t="s">
        <v>4572</v>
      </c>
      <c r="I723" s="5" t="s">
        <v>4656</v>
      </c>
      <c r="J723" s="5" t="s">
        <v>4687</v>
      </c>
      <c r="K723" s="10" t="e">
        <f t="shared" si="0"/>
        <v>#VALUE!</v>
      </c>
      <c r="L723" s="10">
        <f t="shared" si="1"/>
        <v>1</v>
      </c>
      <c r="M723" s="10" t="str">
        <f t="shared" si="2"/>
        <v>034</v>
      </c>
      <c r="N723" s="10" t="str">
        <f t="shared" si="3"/>
        <v>07</v>
      </c>
      <c r="O723" s="10" t="str">
        <f t="shared" si="16"/>
        <v/>
      </c>
    </row>
    <row r="724" spans="1:15" ht="12.5">
      <c r="A724" s="115" t="s">
        <v>4688</v>
      </c>
      <c r="B724" s="5">
        <v>0</v>
      </c>
      <c r="C724" s="5">
        <v>61</v>
      </c>
      <c r="D724" s="5">
        <v>4</v>
      </c>
      <c r="E724" s="5">
        <v>100</v>
      </c>
      <c r="F724" s="5">
        <v>8</v>
      </c>
      <c r="G724" s="5">
        <v>1700</v>
      </c>
      <c r="H724" s="5" t="s">
        <v>4572</v>
      </c>
      <c r="I724" s="5" t="s">
        <v>4656</v>
      </c>
      <c r="J724" s="5" t="s">
        <v>4689</v>
      </c>
      <c r="K724" s="10" t="e">
        <f t="shared" si="0"/>
        <v>#VALUE!</v>
      </c>
      <c r="L724" s="10">
        <f t="shared" si="1"/>
        <v>1</v>
      </c>
      <c r="M724" s="10" t="str">
        <f t="shared" si="2"/>
        <v>035</v>
      </c>
      <c r="N724" s="10" t="str">
        <f t="shared" si="3"/>
        <v>07</v>
      </c>
      <c r="O724" s="10" t="str">
        <f t="shared" si="16"/>
        <v/>
      </c>
    </row>
    <row r="725" spans="1:15" ht="12.5">
      <c r="A725" s="115" t="s">
        <v>4690</v>
      </c>
      <c r="B725" s="5">
        <v>0</v>
      </c>
      <c r="C725" s="5">
        <v>61</v>
      </c>
      <c r="D725" s="5">
        <v>4</v>
      </c>
      <c r="E725" s="5">
        <v>100</v>
      </c>
      <c r="F725" s="5">
        <v>8</v>
      </c>
      <c r="G725" s="5">
        <v>1800</v>
      </c>
      <c r="H725" s="5" t="s">
        <v>4572</v>
      </c>
      <c r="I725" s="5" t="s">
        <v>4656</v>
      </c>
      <c r="J725" s="5" t="s">
        <v>4691</v>
      </c>
      <c r="K725" s="10" t="e">
        <f t="shared" si="0"/>
        <v>#VALUE!</v>
      </c>
      <c r="L725" s="10">
        <f t="shared" si="1"/>
        <v>1</v>
      </c>
      <c r="M725" s="10" t="str">
        <f t="shared" si="2"/>
        <v>041</v>
      </c>
      <c r="N725" s="10" t="str">
        <f t="shared" si="3"/>
        <v>08</v>
      </c>
      <c r="O725" s="10" t="str">
        <f t="shared" si="16"/>
        <v/>
      </c>
    </row>
    <row r="726" spans="1:15" ht="12.5">
      <c r="A726" s="115" t="s">
        <v>4692</v>
      </c>
      <c r="B726" s="5">
        <v>0</v>
      </c>
      <c r="C726" s="5">
        <v>61</v>
      </c>
      <c r="D726" s="5">
        <v>4</v>
      </c>
      <c r="E726" s="5">
        <v>100</v>
      </c>
      <c r="F726" s="5">
        <v>8</v>
      </c>
      <c r="G726" s="5">
        <v>1900</v>
      </c>
      <c r="H726" s="5" t="s">
        <v>4572</v>
      </c>
      <c r="I726" s="5" t="s">
        <v>4656</v>
      </c>
      <c r="J726" s="5" t="s">
        <v>4693</v>
      </c>
      <c r="K726" s="10" t="e">
        <f t="shared" si="0"/>
        <v>#VALUE!</v>
      </c>
      <c r="L726" s="10">
        <f t="shared" si="1"/>
        <v>1</v>
      </c>
      <c r="M726" s="10" t="str">
        <f t="shared" si="2"/>
        <v>016</v>
      </c>
      <c r="N726" s="10" t="str">
        <f t="shared" si="3"/>
        <v>08</v>
      </c>
      <c r="O726" s="10" t="str">
        <f t="shared" si="16"/>
        <v/>
      </c>
    </row>
    <row r="727" spans="1:15" ht="12.5">
      <c r="A727" s="115" t="s">
        <v>4694</v>
      </c>
      <c r="B727" s="5">
        <v>0</v>
      </c>
      <c r="C727" s="5">
        <v>61</v>
      </c>
      <c r="D727" s="5">
        <v>4</v>
      </c>
      <c r="E727" s="5">
        <v>100</v>
      </c>
      <c r="F727" s="5">
        <v>8</v>
      </c>
      <c r="G727" s="5">
        <v>2000</v>
      </c>
      <c r="H727" s="5" t="s">
        <v>4572</v>
      </c>
      <c r="I727" s="5" t="s">
        <v>4656</v>
      </c>
      <c r="J727" s="5" t="s">
        <v>4695</v>
      </c>
      <c r="K727" s="10" t="e">
        <f t="shared" si="0"/>
        <v>#VALUE!</v>
      </c>
      <c r="L727" s="10">
        <f t="shared" si="1"/>
        <v>1</v>
      </c>
      <c r="M727" s="10" t="str">
        <f t="shared" si="2"/>
        <v>015</v>
      </c>
      <c r="N727" s="10" t="str">
        <f t="shared" si="3"/>
        <v>08</v>
      </c>
      <c r="O727" s="10" t="str">
        <f t="shared" si="16"/>
        <v/>
      </c>
    </row>
    <row r="728" spans="1:15" ht="12.5">
      <c r="A728" s="115" t="s">
        <v>4696</v>
      </c>
      <c r="B728" s="5">
        <v>0</v>
      </c>
      <c r="C728" s="5">
        <v>61</v>
      </c>
      <c r="D728" s="5">
        <v>4</v>
      </c>
      <c r="E728" s="5">
        <v>100</v>
      </c>
      <c r="F728" s="5">
        <v>8</v>
      </c>
      <c r="G728" s="5">
        <v>2100</v>
      </c>
      <c r="H728" s="5" t="s">
        <v>4572</v>
      </c>
      <c r="I728" s="5" t="s">
        <v>4656</v>
      </c>
      <c r="J728" s="5" t="s">
        <v>4697</v>
      </c>
      <c r="K728" s="10" t="e">
        <f t="shared" si="0"/>
        <v>#VALUE!</v>
      </c>
      <c r="L728" s="10">
        <f t="shared" si="1"/>
        <v>1</v>
      </c>
      <c r="M728" s="10" t="str">
        <f t="shared" si="2"/>
        <v>014</v>
      </c>
      <c r="N728" s="10" t="str">
        <f t="shared" si="3"/>
        <v>09</v>
      </c>
      <c r="O728" s="10" t="str">
        <f t="shared" si="16"/>
        <v/>
      </c>
    </row>
    <row r="729" spans="1:15" ht="12.5">
      <c r="A729" s="115" t="s">
        <v>4698</v>
      </c>
      <c r="B729" s="5">
        <v>0</v>
      </c>
      <c r="C729" s="5">
        <v>61</v>
      </c>
      <c r="D729" s="5">
        <v>4</v>
      </c>
      <c r="E729" s="5">
        <v>100</v>
      </c>
      <c r="F729" s="5">
        <v>8</v>
      </c>
      <c r="G729" s="5">
        <v>2200</v>
      </c>
      <c r="H729" s="5" t="s">
        <v>4572</v>
      </c>
      <c r="I729" s="5" t="s">
        <v>4656</v>
      </c>
      <c r="J729" s="5" t="s">
        <v>4699</v>
      </c>
      <c r="K729" s="10" t="e">
        <f t="shared" si="0"/>
        <v>#VALUE!</v>
      </c>
      <c r="L729" s="10">
        <f t="shared" si="1"/>
        <v>1</v>
      </c>
      <c r="M729" s="10" t="str">
        <f t="shared" si="2"/>
        <v>013</v>
      </c>
      <c r="N729" s="10" t="str">
        <f t="shared" si="3"/>
        <v>16</v>
      </c>
      <c r="O729" s="10" t="str">
        <f t="shared" si="16"/>
        <v/>
      </c>
    </row>
    <row r="730" spans="1:15" ht="12.5">
      <c r="A730" s="115" t="s">
        <v>4700</v>
      </c>
      <c r="B730" s="5">
        <v>0</v>
      </c>
      <c r="C730" s="5">
        <v>61</v>
      </c>
      <c r="D730" s="5">
        <v>4</v>
      </c>
      <c r="E730" s="5">
        <v>100</v>
      </c>
      <c r="F730" s="5">
        <v>8</v>
      </c>
      <c r="G730" s="5">
        <v>2300</v>
      </c>
      <c r="H730" s="5" t="s">
        <v>4572</v>
      </c>
      <c r="I730" s="5" t="s">
        <v>4656</v>
      </c>
      <c r="J730" s="5" t="s">
        <v>4701</v>
      </c>
      <c r="K730" s="10" t="e">
        <f t="shared" si="0"/>
        <v>#VALUE!</v>
      </c>
      <c r="L730" s="10">
        <f t="shared" si="1"/>
        <v>1</v>
      </c>
      <c r="M730" s="10" t="str">
        <f t="shared" si="2"/>
        <v>012</v>
      </c>
      <c r="N730" s="10" t="str">
        <f t="shared" si="3"/>
        <v>10</v>
      </c>
      <c r="O730" s="10" t="str">
        <f t="shared" si="16"/>
        <v/>
      </c>
    </row>
    <row r="731" spans="1:15" ht="12.5">
      <c r="A731" s="115" t="s">
        <v>4702</v>
      </c>
      <c r="B731" s="5">
        <v>0</v>
      </c>
      <c r="C731" s="5">
        <v>61</v>
      </c>
      <c r="D731" s="5">
        <v>4</v>
      </c>
      <c r="E731" s="5">
        <v>100</v>
      </c>
      <c r="F731" s="5">
        <v>8</v>
      </c>
      <c r="G731" s="5">
        <v>2400</v>
      </c>
      <c r="H731" s="5" t="s">
        <v>4572</v>
      </c>
      <c r="I731" s="5" t="s">
        <v>4656</v>
      </c>
      <c r="J731" s="5" t="s">
        <v>4703</v>
      </c>
      <c r="K731" s="10" t="e">
        <f t="shared" si="0"/>
        <v>#VALUE!</v>
      </c>
      <c r="L731" s="10">
        <f t="shared" si="1"/>
        <v>1</v>
      </c>
      <c r="M731" s="10" t="str">
        <f t="shared" si="2"/>
        <v>011</v>
      </c>
      <c r="N731" s="10" t="str">
        <f t="shared" si="3"/>
        <v>10</v>
      </c>
      <c r="O731" s="10" t="str">
        <f t="shared" si="16"/>
        <v/>
      </c>
    </row>
    <row r="732" spans="1:15" ht="12.5">
      <c r="A732" s="115" t="s">
        <v>4704</v>
      </c>
      <c r="B732" s="5">
        <v>0</v>
      </c>
      <c r="C732" s="5">
        <v>61</v>
      </c>
      <c r="D732" s="5">
        <v>4</v>
      </c>
      <c r="E732" s="5">
        <v>100</v>
      </c>
      <c r="F732" s="5">
        <v>8</v>
      </c>
      <c r="G732" s="5">
        <v>2500</v>
      </c>
      <c r="H732" s="5" t="s">
        <v>4572</v>
      </c>
      <c r="I732" s="5" t="s">
        <v>4656</v>
      </c>
      <c r="J732" s="5" t="s">
        <v>4705</v>
      </c>
      <c r="K732" s="10" t="e">
        <f t="shared" si="0"/>
        <v>#VALUE!</v>
      </c>
      <c r="L732" s="10">
        <f t="shared" si="1"/>
        <v>1</v>
      </c>
      <c r="M732" s="10" t="str">
        <f t="shared" si="2"/>
        <v>010</v>
      </c>
      <c r="N732" s="10" t="str">
        <f t="shared" si="3"/>
        <v>11</v>
      </c>
      <c r="O732" s="10" t="str">
        <f t="shared" si="16"/>
        <v/>
      </c>
    </row>
    <row r="733" spans="1:15" ht="12.5">
      <c r="A733" s="115" t="s">
        <v>4706</v>
      </c>
      <c r="B733" s="5">
        <v>0</v>
      </c>
      <c r="C733" s="5">
        <v>61</v>
      </c>
      <c r="D733" s="5">
        <v>4</v>
      </c>
      <c r="E733" s="5">
        <v>100</v>
      </c>
      <c r="F733" s="5">
        <v>8</v>
      </c>
      <c r="G733" s="5">
        <v>2600</v>
      </c>
      <c r="H733" s="5" t="s">
        <v>4572</v>
      </c>
      <c r="I733" s="5" t="s">
        <v>4656</v>
      </c>
      <c r="J733" s="5" t="s">
        <v>4707</v>
      </c>
      <c r="K733" s="10" t="e">
        <f t="shared" si="0"/>
        <v>#VALUE!</v>
      </c>
      <c r="L733" s="10">
        <f t="shared" si="1"/>
        <v>1</v>
      </c>
      <c r="M733" s="10" t="str">
        <f t="shared" si="2"/>
        <v>009</v>
      </c>
      <c r="N733" s="10" t="str">
        <f t="shared" si="3"/>
        <v>11</v>
      </c>
      <c r="O733" s="10" t="str">
        <f t="shared" si="16"/>
        <v/>
      </c>
    </row>
    <row r="734" spans="1:15" ht="12.5">
      <c r="A734" s="115" t="s">
        <v>4708</v>
      </c>
      <c r="B734" s="5">
        <v>0</v>
      </c>
      <c r="C734" s="5">
        <v>61</v>
      </c>
      <c r="D734" s="5">
        <v>4</v>
      </c>
      <c r="E734" s="5">
        <v>100</v>
      </c>
      <c r="F734" s="5">
        <v>8</v>
      </c>
      <c r="G734" s="5">
        <v>2700</v>
      </c>
      <c r="H734" s="5" t="s">
        <v>4572</v>
      </c>
      <c r="I734" s="5" t="s">
        <v>4656</v>
      </c>
      <c r="J734" s="5" t="s">
        <v>4709</v>
      </c>
      <c r="K734" s="10" t="e">
        <f t="shared" si="0"/>
        <v>#VALUE!</v>
      </c>
      <c r="L734" s="10">
        <f t="shared" si="1"/>
        <v>1</v>
      </c>
      <c r="M734" s="10" t="str">
        <f t="shared" si="2"/>
        <v>008</v>
      </c>
      <c r="N734" s="10" t="str">
        <f t="shared" si="3"/>
        <v>12</v>
      </c>
      <c r="O734" s="10" t="str">
        <f t="shared" si="16"/>
        <v/>
      </c>
    </row>
    <row r="735" spans="1:15" ht="12.5">
      <c r="A735" s="115" t="s">
        <v>4710</v>
      </c>
      <c r="B735" s="5">
        <v>0</v>
      </c>
      <c r="C735" s="5">
        <v>61</v>
      </c>
      <c r="D735" s="5">
        <v>4</v>
      </c>
      <c r="E735" s="5">
        <v>100</v>
      </c>
      <c r="F735" s="5">
        <v>8</v>
      </c>
      <c r="G735" s="5">
        <v>2800</v>
      </c>
      <c r="H735" s="5" t="s">
        <v>4572</v>
      </c>
      <c r="I735" s="5" t="s">
        <v>4656</v>
      </c>
      <c r="J735" s="5" t="s">
        <v>4711</v>
      </c>
      <c r="K735" s="10" t="e">
        <f t="shared" si="0"/>
        <v>#VALUE!</v>
      </c>
      <c r="L735" s="10">
        <f t="shared" si="1"/>
        <v>1</v>
      </c>
      <c r="M735" s="10" t="str">
        <f t="shared" si="2"/>
        <v>007</v>
      </c>
      <c r="N735" s="10" t="str">
        <f t="shared" si="3"/>
        <v>12</v>
      </c>
      <c r="O735" s="10" t="str">
        <f t="shared" si="16"/>
        <v/>
      </c>
    </row>
    <row r="736" spans="1:15" ht="12.5">
      <c r="A736" s="115" t="s">
        <v>4712</v>
      </c>
      <c r="B736" s="5">
        <v>0</v>
      </c>
      <c r="C736" s="5">
        <v>61</v>
      </c>
      <c r="D736" s="5">
        <v>4</v>
      </c>
      <c r="E736" s="5">
        <v>100</v>
      </c>
      <c r="F736" s="5">
        <v>8</v>
      </c>
      <c r="G736" s="5">
        <v>2900</v>
      </c>
      <c r="H736" s="5" t="s">
        <v>4572</v>
      </c>
      <c r="I736" s="5" t="s">
        <v>4656</v>
      </c>
      <c r="J736" s="5" t="s">
        <v>4713</v>
      </c>
      <c r="K736" s="10" t="e">
        <f t="shared" si="0"/>
        <v>#VALUE!</v>
      </c>
      <c r="L736" s="10">
        <f t="shared" si="1"/>
        <v>1</v>
      </c>
      <c r="M736" s="10" t="str">
        <f t="shared" si="2"/>
        <v>006</v>
      </c>
      <c r="N736" s="10" t="str">
        <f t="shared" si="3"/>
        <v>13</v>
      </c>
      <c r="O736" s="10" t="str">
        <f t="shared" si="16"/>
        <v/>
      </c>
    </row>
    <row r="737" spans="1:15" ht="12.5">
      <c r="A737" s="115" t="s">
        <v>4714</v>
      </c>
      <c r="B737" s="5">
        <v>0</v>
      </c>
      <c r="C737" s="5">
        <v>61</v>
      </c>
      <c r="D737" s="5">
        <v>4</v>
      </c>
      <c r="E737" s="5">
        <v>100</v>
      </c>
      <c r="F737" s="5">
        <v>8</v>
      </c>
      <c r="G737" s="5">
        <v>3000</v>
      </c>
      <c r="H737" s="5" t="s">
        <v>4572</v>
      </c>
      <c r="I737" s="5" t="s">
        <v>4656</v>
      </c>
      <c r="J737" s="5" t="s">
        <v>4715</v>
      </c>
      <c r="K737" s="10" t="e">
        <f t="shared" si="0"/>
        <v>#VALUE!</v>
      </c>
      <c r="L737" s="10">
        <f t="shared" si="1"/>
        <v>1</v>
      </c>
      <c r="M737" s="10" t="str">
        <f t="shared" si="2"/>
        <v>005</v>
      </c>
      <c r="N737" s="10" t="str">
        <f t="shared" si="3"/>
        <v>13</v>
      </c>
      <c r="O737" s="10" t="str">
        <f t="shared" si="16"/>
        <v/>
      </c>
    </row>
    <row r="738" spans="1:15" ht="12.5">
      <c r="A738" s="115" t="s">
        <v>4716</v>
      </c>
      <c r="B738" s="5">
        <v>0</v>
      </c>
      <c r="C738" s="5">
        <v>61</v>
      </c>
      <c r="D738" s="5">
        <v>4</v>
      </c>
      <c r="E738" s="5">
        <v>100</v>
      </c>
      <c r="F738" s="5">
        <v>8</v>
      </c>
      <c r="G738" s="5">
        <v>3100</v>
      </c>
      <c r="H738" s="5" t="s">
        <v>4572</v>
      </c>
      <c r="I738" s="5" t="s">
        <v>4656</v>
      </c>
      <c r="J738" s="5" t="s">
        <v>4717</v>
      </c>
      <c r="K738" s="10" t="e">
        <f t="shared" si="0"/>
        <v>#VALUE!</v>
      </c>
      <c r="L738" s="10">
        <f t="shared" si="1"/>
        <v>1</v>
      </c>
      <c r="M738" s="10" t="str">
        <f t="shared" si="2"/>
        <v>004</v>
      </c>
      <c r="N738" s="10" t="str">
        <f t="shared" si="3"/>
        <v>14</v>
      </c>
      <c r="O738" s="10" t="str">
        <f t="shared" si="16"/>
        <v/>
      </c>
    </row>
    <row r="739" spans="1:15" ht="12.5">
      <c r="A739" s="115" t="s">
        <v>4718</v>
      </c>
      <c r="B739" s="5">
        <v>0</v>
      </c>
      <c r="C739" s="5">
        <v>61</v>
      </c>
      <c r="D739" s="5">
        <v>4</v>
      </c>
      <c r="E739" s="5">
        <v>100</v>
      </c>
      <c r="F739" s="5">
        <v>8</v>
      </c>
      <c r="G739" s="5">
        <v>3200</v>
      </c>
      <c r="H739" s="5" t="s">
        <v>4572</v>
      </c>
      <c r="I739" s="5" t="s">
        <v>4656</v>
      </c>
      <c r="J739" s="5" t="s">
        <v>4719</v>
      </c>
      <c r="K739" s="10" t="e">
        <f t="shared" si="0"/>
        <v>#VALUE!</v>
      </c>
      <c r="L739" s="10">
        <f t="shared" si="1"/>
        <v>1</v>
      </c>
      <c r="M739" s="10" t="str">
        <f t="shared" si="2"/>
        <v>003</v>
      </c>
      <c r="N739" s="10" t="str">
        <f t="shared" si="3"/>
        <v>14</v>
      </c>
      <c r="O739" s="10" t="str">
        <f t="shared" si="16"/>
        <v/>
      </c>
    </row>
    <row r="740" spans="1:15" ht="12.5">
      <c r="A740" s="115" t="s">
        <v>4720</v>
      </c>
      <c r="B740" s="5">
        <v>0</v>
      </c>
      <c r="C740" s="5">
        <v>61</v>
      </c>
      <c r="D740" s="5">
        <v>4</v>
      </c>
      <c r="E740" s="5">
        <v>100</v>
      </c>
      <c r="F740" s="5">
        <v>8</v>
      </c>
      <c r="G740" s="5">
        <v>3300</v>
      </c>
      <c r="H740" s="5" t="s">
        <v>4572</v>
      </c>
      <c r="I740" s="5" t="s">
        <v>4656</v>
      </c>
      <c r="J740" s="5" t="s">
        <v>4721</v>
      </c>
      <c r="K740" s="10" t="e">
        <f t="shared" si="0"/>
        <v>#VALUE!</v>
      </c>
      <c r="L740" s="10">
        <f t="shared" si="1"/>
        <v>1</v>
      </c>
      <c r="M740" s="10" t="str">
        <f t="shared" si="2"/>
        <v>002</v>
      </c>
      <c r="N740" s="10" t="str">
        <f t="shared" si="3"/>
        <v>15</v>
      </c>
      <c r="O740" s="10" t="str">
        <f t="shared" si="16"/>
        <v/>
      </c>
    </row>
    <row r="741" spans="1:15" ht="12.5">
      <c r="A741" s="115" t="s">
        <v>4722</v>
      </c>
      <c r="B741" s="5">
        <v>0</v>
      </c>
      <c r="C741" s="5">
        <v>61</v>
      </c>
      <c r="D741" s="5">
        <v>4</v>
      </c>
      <c r="E741" s="5">
        <v>100</v>
      </c>
      <c r="F741" s="5">
        <v>8</v>
      </c>
      <c r="G741" s="5">
        <v>3400</v>
      </c>
      <c r="H741" s="5" t="s">
        <v>4572</v>
      </c>
      <c r="I741" s="5" t="s">
        <v>4656</v>
      </c>
      <c r="J741" s="5" t="s">
        <v>4723</v>
      </c>
      <c r="K741" s="10" t="e">
        <f t="shared" si="0"/>
        <v>#VALUE!</v>
      </c>
      <c r="L741" s="10">
        <f t="shared" si="1"/>
        <v>1</v>
      </c>
      <c r="M741" s="10" t="str">
        <f t="shared" si="2"/>
        <v>001</v>
      </c>
      <c r="N741" s="10" t="str">
        <f t="shared" si="3"/>
        <v>15</v>
      </c>
      <c r="O741" s="10" t="str">
        <f t="shared" si="16"/>
        <v/>
      </c>
    </row>
    <row r="742" spans="1:15" ht="12.5">
      <c r="A742" s="115" t="s">
        <v>4724</v>
      </c>
      <c r="B742" s="5">
        <v>0</v>
      </c>
      <c r="C742" s="5">
        <v>61</v>
      </c>
      <c r="D742" s="5">
        <v>4</v>
      </c>
      <c r="E742" s="5">
        <v>100</v>
      </c>
      <c r="F742" s="5">
        <v>8</v>
      </c>
      <c r="G742" s="5">
        <v>3500</v>
      </c>
      <c r="H742" s="5" t="s">
        <v>4572</v>
      </c>
      <c r="I742" s="5" t="s">
        <v>4656</v>
      </c>
      <c r="J742" s="5" t="s">
        <v>4725</v>
      </c>
      <c r="K742" s="10" t="e">
        <f t="shared" si="0"/>
        <v>#VALUE!</v>
      </c>
      <c r="L742" s="10">
        <f t="shared" si="1"/>
        <v>1</v>
      </c>
      <c r="M742" s="10" t="str">
        <f t="shared" si="2"/>
        <v>021</v>
      </c>
      <c r="N742" s="10" t="str">
        <f t="shared" si="3"/>
        <v>16</v>
      </c>
      <c r="O742" s="10" t="str">
        <f t="shared" si="16"/>
        <v/>
      </c>
    </row>
    <row r="743" spans="1:15" ht="12.5">
      <c r="A743" s="115" t="s">
        <v>4726</v>
      </c>
      <c r="B743" s="5">
        <v>0</v>
      </c>
      <c r="C743" s="5">
        <v>61</v>
      </c>
      <c r="D743" s="5">
        <v>4</v>
      </c>
      <c r="E743" s="5">
        <v>100</v>
      </c>
      <c r="F743" s="5">
        <v>8</v>
      </c>
      <c r="G743" s="5">
        <v>3600</v>
      </c>
      <c r="H743" s="5" t="s">
        <v>4572</v>
      </c>
      <c r="I743" s="5" t="s">
        <v>4656</v>
      </c>
      <c r="J743" s="5" t="s">
        <v>4727</v>
      </c>
      <c r="K743" s="10" t="e">
        <f t="shared" si="0"/>
        <v>#VALUE!</v>
      </c>
      <c r="L743" s="10">
        <f t="shared" si="1"/>
        <v>1</v>
      </c>
      <c r="M743" s="10" t="str">
        <f t="shared" si="2"/>
        <v>031</v>
      </c>
      <c r="N743" s="10" t="str">
        <f t="shared" si="3"/>
        <v>16</v>
      </c>
      <c r="O743" s="10" t="str">
        <f t="shared" si="16"/>
        <v/>
      </c>
    </row>
    <row r="744" spans="1:15" ht="12.5">
      <c r="A744" s="115" t="s">
        <v>4728</v>
      </c>
      <c r="B744" s="5">
        <v>0</v>
      </c>
      <c r="C744" s="5">
        <v>61</v>
      </c>
      <c r="D744" s="5">
        <v>4</v>
      </c>
      <c r="E744" s="5">
        <v>100</v>
      </c>
      <c r="F744" s="5">
        <v>8</v>
      </c>
      <c r="G744" s="5">
        <v>3700</v>
      </c>
      <c r="H744" s="5" t="s">
        <v>4572</v>
      </c>
      <c r="I744" s="5" t="s">
        <v>4656</v>
      </c>
      <c r="J744" s="5" t="s">
        <v>4729</v>
      </c>
      <c r="K744" s="10" t="e">
        <f t="shared" si="0"/>
        <v>#VALUE!</v>
      </c>
      <c r="L744" s="10">
        <f t="shared" si="1"/>
        <v>1</v>
      </c>
      <c r="M744" s="10" t="str">
        <f t="shared" si="2"/>
        <v>032</v>
      </c>
      <c r="N744" s="10" t="str">
        <f t="shared" si="3"/>
        <v>16</v>
      </c>
      <c r="O744" s="10" t="str">
        <f t="shared" si="16"/>
        <v/>
      </c>
    </row>
    <row r="745" spans="1:15" ht="12.5">
      <c r="A745" s="115" t="s">
        <v>4730</v>
      </c>
      <c r="B745" s="5">
        <v>0</v>
      </c>
      <c r="C745" s="5">
        <v>61</v>
      </c>
      <c r="D745" s="5">
        <v>4</v>
      </c>
      <c r="E745" s="5">
        <v>100</v>
      </c>
      <c r="F745" s="5">
        <v>8</v>
      </c>
      <c r="G745" s="5">
        <v>3800</v>
      </c>
      <c r="H745" s="5" t="s">
        <v>4572</v>
      </c>
      <c r="I745" s="5" t="s">
        <v>4656</v>
      </c>
      <c r="J745" s="5" t="s">
        <v>4731</v>
      </c>
      <c r="K745" s="10" t="e">
        <f t="shared" si="0"/>
        <v>#VALUE!</v>
      </c>
      <c r="L745" s="10">
        <f t="shared" si="1"/>
        <v>1</v>
      </c>
      <c r="M745" s="10" t="str">
        <f t="shared" si="2"/>
        <v>024</v>
      </c>
      <c r="N745" s="10" t="str">
        <f t="shared" si="3"/>
        <v>17</v>
      </c>
      <c r="O745" s="10" t="str">
        <f t="shared" si="16"/>
        <v/>
      </c>
    </row>
    <row r="746" spans="1:15" ht="12.5">
      <c r="A746" s="115" t="s">
        <v>4732</v>
      </c>
      <c r="B746" s="5">
        <v>0</v>
      </c>
      <c r="C746" s="5">
        <v>61</v>
      </c>
      <c r="D746" s="5">
        <v>4</v>
      </c>
      <c r="E746" s="5">
        <v>100</v>
      </c>
      <c r="F746" s="5">
        <v>8</v>
      </c>
      <c r="G746" s="5">
        <v>3900</v>
      </c>
      <c r="H746" s="5" t="s">
        <v>4572</v>
      </c>
      <c r="I746" s="5" t="s">
        <v>4656</v>
      </c>
      <c r="J746" s="5" t="s">
        <v>4733</v>
      </c>
      <c r="K746" s="10" t="e">
        <f t="shared" si="0"/>
        <v>#VALUE!</v>
      </c>
      <c r="L746" s="10">
        <f t="shared" si="1"/>
        <v>1</v>
      </c>
      <c r="M746" s="10" t="str">
        <f t="shared" si="2"/>
        <v>038</v>
      </c>
      <c r="N746" s="10" t="str">
        <f t="shared" si="3"/>
        <v>17</v>
      </c>
      <c r="O746" s="10" t="str">
        <f t="shared" si="16"/>
        <v/>
      </c>
    </row>
    <row r="747" spans="1:15" ht="12.5">
      <c r="A747" s="115" t="s">
        <v>4734</v>
      </c>
      <c r="B747" s="5">
        <v>0</v>
      </c>
      <c r="C747" s="5">
        <v>61</v>
      </c>
      <c r="D747" s="5">
        <v>4</v>
      </c>
      <c r="E747" s="5">
        <v>100</v>
      </c>
      <c r="F747" s="5">
        <v>8</v>
      </c>
      <c r="G747" s="5">
        <v>4000</v>
      </c>
      <c r="H747" s="5" t="s">
        <v>4572</v>
      </c>
      <c r="I747" s="5" t="s">
        <v>4656</v>
      </c>
      <c r="J747" s="5" t="s">
        <v>4735</v>
      </c>
      <c r="K747" s="10" t="e">
        <f t="shared" si="0"/>
        <v>#VALUE!</v>
      </c>
      <c r="L747" s="10">
        <f t="shared" si="1"/>
        <v>1</v>
      </c>
      <c r="M747" s="10" t="str">
        <f t="shared" si="2"/>
        <v>039</v>
      </c>
      <c r="N747" s="10" t="str">
        <f t="shared" si="3"/>
        <v>17</v>
      </c>
      <c r="O747" s="10" t="str">
        <f t="shared" si="16"/>
        <v/>
      </c>
    </row>
    <row r="748" spans="1:15" ht="12.5">
      <c r="A748" s="115" t="s">
        <v>4736</v>
      </c>
      <c r="B748" s="5">
        <v>0</v>
      </c>
      <c r="C748" s="5">
        <v>61</v>
      </c>
      <c r="D748" s="5">
        <v>4</v>
      </c>
      <c r="E748" s="5">
        <v>100</v>
      </c>
      <c r="F748" s="5">
        <v>8</v>
      </c>
      <c r="G748" s="5">
        <v>4100</v>
      </c>
      <c r="H748" s="5" t="s">
        <v>4572</v>
      </c>
      <c r="I748" s="5" t="s">
        <v>4656</v>
      </c>
      <c r="J748" s="5" t="s">
        <v>4737</v>
      </c>
      <c r="K748" s="10" t="e">
        <f t="shared" si="0"/>
        <v>#VALUE!</v>
      </c>
      <c r="L748" s="10">
        <f t="shared" si="1"/>
        <v>1</v>
      </c>
      <c r="M748" s="10" t="str">
        <f t="shared" si="2"/>
        <v>040</v>
      </c>
      <c r="N748" s="10" t="str">
        <f t="shared" si="3"/>
        <v>17</v>
      </c>
      <c r="O748" s="10" t="str">
        <f t="shared" si="16"/>
        <v/>
      </c>
    </row>
    <row r="749" spans="1:15" ht="12.5">
      <c r="A749" s="115" t="s">
        <v>4738</v>
      </c>
      <c r="B749" s="5">
        <v>0</v>
      </c>
      <c r="C749" s="5">
        <v>61</v>
      </c>
      <c r="D749" s="5">
        <v>4</v>
      </c>
      <c r="E749" s="5">
        <v>100</v>
      </c>
      <c r="F749" s="5">
        <v>12</v>
      </c>
      <c r="G749" s="5">
        <v>100</v>
      </c>
      <c r="H749" s="5" t="s">
        <v>4572</v>
      </c>
      <c r="I749" s="5" t="s">
        <v>4739</v>
      </c>
      <c r="J749" s="5" t="s">
        <v>4740</v>
      </c>
      <c r="K749" s="10" t="e">
        <f t="shared" si="0"/>
        <v>#VALUE!</v>
      </c>
      <c r="L749" s="10">
        <f t="shared" si="1"/>
        <v>1</v>
      </c>
      <c r="M749" s="10" t="str">
        <f t="shared" si="2"/>
        <v>001</v>
      </c>
      <c r="N749" s="10" t="str">
        <f t="shared" si="3"/>
        <v>01</v>
      </c>
      <c r="O749" s="10" t="str">
        <f t="shared" si="16"/>
        <v>LESTARI</v>
      </c>
    </row>
    <row r="750" spans="1:15" ht="12.5">
      <c r="A750" s="115" t="s">
        <v>4741</v>
      </c>
      <c r="B750" s="5">
        <v>0</v>
      </c>
      <c r="C750" s="5">
        <v>61</v>
      </c>
      <c r="D750" s="5">
        <v>4</v>
      </c>
      <c r="E750" s="5">
        <v>100</v>
      </c>
      <c r="F750" s="5">
        <v>12</v>
      </c>
      <c r="G750" s="5">
        <v>200</v>
      </c>
      <c r="H750" s="5" t="s">
        <v>4572</v>
      </c>
      <c r="I750" s="5" t="s">
        <v>4739</v>
      </c>
      <c r="J750" s="5" t="s">
        <v>4742</v>
      </c>
      <c r="K750" s="10" t="e">
        <f t="shared" si="0"/>
        <v>#VALUE!</v>
      </c>
      <c r="L750" s="10">
        <f t="shared" si="1"/>
        <v>1</v>
      </c>
      <c r="M750" s="10" t="str">
        <f t="shared" si="2"/>
        <v>002</v>
      </c>
      <c r="N750" s="10" t="str">
        <f t="shared" si="3"/>
        <v>01</v>
      </c>
      <c r="O750" s="10" t="str">
        <f t="shared" si="16"/>
        <v>LESTARI</v>
      </c>
    </row>
    <row r="751" spans="1:15" ht="12.5">
      <c r="A751" s="115" t="s">
        <v>4743</v>
      </c>
      <c r="B751" s="5">
        <v>0</v>
      </c>
      <c r="C751" s="5">
        <v>61</v>
      </c>
      <c r="D751" s="5">
        <v>4</v>
      </c>
      <c r="E751" s="5">
        <v>100</v>
      </c>
      <c r="F751" s="5">
        <v>12</v>
      </c>
      <c r="G751" s="5">
        <v>300</v>
      </c>
      <c r="H751" s="5" t="s">
        <v>4572</v>
      </c>
      <c r="I751" s="5" t="s">
        <v>4739</v>
      </c>
      <c r="J751" s="5" t="s">
        <v>4744</v>
      </c>
      <c r="K751" s="10" t="e">
        <f t="shared" si="0"/>
        <v>#VALUE!</v>
      </c>
      <c r="L751" s="10">
        <f t="shared" si="1"/>
        <v>1</v>
      </c>
      <c r="M751" s="10" t="str">
        <f t="shared" si="2"/>
        <v>003</v>
      </c>
      <c r="N751" s="10" t="str">
        <f t="shared" si="3"/>
        <v>01</v>
      </c>
      <c r="O751" s="10" t="str">
        <f t="shared" si="16"/>
        <v>LESTARI</v>
      </c>
    </row>
    <row r="752" spans="1:15" ht="12.5">
      <c r="A752" s="115" t="s">
        <v>4745</v>
      </c>
      <c r="B752" s="5">
        <v>0</v>
      </c>
      <c r="C752" s="5">
        <v>61</v>
      </c>
      <c r="D752" s="5">
        <v>4</v>
      </c>
      <c r="E752" s="5">
        <v>100</v>
      </c>
      <c r="F752" s="5">
        <v>12</v>
      </c>
      <c r="G752" s="5">
        <v>400</v>
      </c>
      <c r="H752" s="5" t="s">
        <v>4572</v>
      </c>
      <c r="I752" s="5" t="s">
        <v>4739</v>
      </c>
      <c r="J752" s="5" t="s">
        <v>4746</v>
      </c>
      <c r="K752" s="10" t="e">
        <f t="shared" si="0"/>
        <v>#VALUE!</v>
      </c>
      <c r="L752" s="10">
        <f t="shared" si="1"/>
        <v>1</v>
      </c>
      <c r="M752" s="10" t="str">
        <f t="shared" si="2"/>
        <v>004</v>
      </c>
      <c r="N752" s="10" t="str">
        <f t="shared" si="3"/>
        <v>01</v>
      </c>
      <c r="O752" s="10" t="str">
        <f t="shared" si="16"/>
        <v>LESTARI</v>
      </c>
    </row>
    <row r="753" spans="1:15" ht="12.5">
      <c r="A753" s="115" t="s">
        <v>4747</v>
      </c>
      <c r="B753" s="5">
        <v>0</v>
      </c>
      <c r="C753" s="5">
        <v>61</v>
      </c>
      <c r="D753" s="5">
        <v>4</v>
      </c>
      <c r="E753" s="5">
        <v>100</v>
      </c>
      <c r="F753" s="5">
        <v>12</v>
      </c>
      <c r="G753" s="5">
        <v>500</v>
      </c>
      <c r="H753" s="5" t="s">
        <v>4572</v>
      </c>
      <c r="I753" s="5" t="s">
        <v>4739</v>
      </c>
      <c r="J753" s="5" t="s">
        <v>4748</v>
      </c>
      <c r="K753" s="10" t="e">
        <f t="shared" si="0"/>
        <v>#VALUE!</v>
      </c>
      <c r="L753" s="10">
        <f t="shared" si="1"/>
        <v>1</v>
      </c>
      <c r="M753" s="10" t="str">
        <f t="shared" si="2"/>
        <v>005</v>
      </c>
      <c r="N753" s="10" t="str">
        <f t="shared" si="3"/>
        <v>02</v>
      </c>
      <c r="O753" s="10" t="str">
        <f t="shared" si="16"/>
        <v>PASIR LAUT</v>
      </c>
    </row>
    <row r="754" spans="1:15" ht="12.5">
      <c r="A754" s="115" t="s">
        <v>4749</v>
      </c>
      <c r="B754" s="5">
        <v>0</v>
      </c>
      <c r="C754" s="5">
        <v>61</v>
      </c>
      <c r="D754" s="5">
        <v>4</v>
      </c>
      <c r="E754" s="5">
        <v>100</v>
      </c>
      <c r="F754" s="5">
        <v>12</v>
      </c>
      <c r="G754" s="5">
        <v>600</v>
      </c>
      <c r="H754" s="5" t="s">
        <v>4572</v>
      </c>
      <c r="I754" s="5" t="s">
        <v>4739</v>
      </c>
      <c r="J754" s="5" t="s">
        <v>4750</v>
      </c>
      <c r="K754" s="10" t="e">
        <f t="shared" si="0"/>
        <v>#VALUE!</v>
      </c>
      <c r="L754" s="10">
        <f t="shared" si="1"/>
        <v>1</v>
      </c>
      <c r="M754" s="10" t="str">
        <f t="shared" si="2"/>
        <v>006</v>
      </c>
      <c r="N754" s="10" t="str">
        <f t="shared" si="3"/>
        <v>02</v>
      </c>
      <c r="O754" s="10" t="str">
        <f t="shared" si="16"/>
        <v>PASIR LAUT</v>
      </c>
    </row>
    <row r="755" spans="1:15" ht="12.5">
      <c r="A755" s="115" t="s">
        <v>4751</v>
      </c>
      <c r="B755" s="5">
        <v>0</v>
      </c>
      <c r="C755" s="5">
        <v>61</v>
      </c>
      <c r="D755" s="5">
        <v>4</v>
      </c>
      <c r="E755" s="5">
        <v>100</v>
      </c>
      <c r="F755" s="5">
        <v>12</v>
      </c>
      <c r="G755" s="5">
        <v>700</v>
      </c>
      <c r="H755" s="5" t="s">
        <v>4572</v>
      </c>
      <c r="I755" s="5" t="s">
        <v>4739</v>
      </c>
      <c r="J755" s="5" t="s">
        <v>4752</v>
      </c>
      <c r="K755" s="10" t="e">
        <f t="shared" si="0"/>
        <v>#VALUE!</v>
      </c>
      <c r="L755" s="10">
        <f t="shared" si="1"/>
        <v>1</v>
      </c>
      <c r="M755" s="10" t="str">
        <f t="shared" si="2"/>
        <v>007</v>
      </c>
      <c r="N755" s="10" t="str">
        <f t="shared" si="3"/>
        <v>02</v>
      </c>
      <c r="O755" s="10" t="str">
        <f t="shared" si="16"/>
        <v>PASIR LAUT</v>
      </c>
    </row>
    <row r="756" spans="1:15" ht="12.5">
      <c r="A756" s="115" t="s">
        <v>4753</v>
      </c>
      <c r="B756" s="5">
        <v>0</v>
      </c>
      <c r="C756" s="5">
        <v>61</v>
      </c>
      <c r="D756" s="5">
        <v>4</v>
      </c>
      <c r="E756" s="5">
        <v>100</v>
      </c>
      <c r="F756" s="5">
        <v>12</v>
      </c>
      <c r="G756" s="5">
        <v>800</v>
      </c>
      <c r="H756" s="5" t="s">
        <v>4572</v>
      </c>
      <c r="I756" s="5" t="s">
        <v>4739</v>
      </c>
      <c r="J756" s="5" t="s">
        <v>4754</v>
      </c>
      <c r="K756" s="10" t="e">
        <f t="shared" si="0"/>
        <v>#VALUE!</v>
      </c>
      <c r="L756" s="10">
        <f t="shared" si="1"/>
        <v>1</v>
      </c>
      <c r="M756" s="10" t="str">
        <f t="shared" si="2"/>
        <v>008</v>
      </c>
      <c r="N756" s="10" t="str">
        <f t="shared" si="3"/>
        <v>02</v>
      </c>
      <c r="O756" s="10" t="str">
        <f t="shared" si="16"/>
        <v>PASIR LAUT</v>
      </c>
    </row>
    <row r="757" spans="1:15" ht="12.5">
      <c r="A757" s="115" t="s">
        <v>4755</v>
      </c>
      <c r="B757" s="5">
        <v>0</v>
      </c>
      <c r="C757" s="5">
        <v>61</v>
      </c>
      <c r="D757" s="5">
        <v>4</v>
      </c>
      <c r="E757" s="5">
        <v>100</v>
      </c>
      <c r="F757" s="5">
        <v>12</v>
      </c>
      <c r="G757" s="5">
        <v>900</v>
      </c>
      <c r="H757" s="5" t="s">
        <v>4572</v>
      </c>
      <c r="I757" s="5" t="s">
        <v>4739</v>
      </c>
      <c r="J757" s="5" t="s">
        <v>4756</v>
      </c>
      <c r="K757" s="10" t="e">
        <f t="shared" si="0"/>
        <v>#VALUE!</v>
      </c>
      <c r="L757" s="10">
        <f t="shared" si="1"/>
        <v>1</v>
      </c>
      <c r="M757" s="10" t="str">
        <f t="shared" si="2"/>
        <v>029</v>
      </c>
      <c r="N757" s="10" t="str">
        <f t="shared" si="3"/>
        <v>02</v>
      </c>
      <c r="O757" s="10" t="str">
        <f t="shared" si="16"/>
        <v>PASIR LAUT</v>
      </c>
    </row>
    <row r="758" spans="1:15" ht="12.5">
      <c r="A758" s="115" t="s">
        <v>4757</v>
      </c>
      <c r="B758" s="5">
        <v>0</v>
      </c>
      <c r="C758" s="5">
        <v>61</v>
      </c>
      <c r="D758" s="5">
        <v>4</v>
      </c>
      <c r="E758" s="5">
        <v>100</v>
      </c>
      <c r="F758" s="5">
        <v>12</v>
      </c>
      <c r="G758" s="5">
        <v>1000</v>
      </c>
      <c r="H758" s="5" t="s">
        <v>4572</v>
      </c>
      <c r="I758" s="5" t="s">
        <v>4739</v>
      </c>
      <c r="J758" s="5" t="s">
        <v>4758</v>
      </c>
      <c r="K758" s="10" t="e">
        <f t="shared" si="0"/>
        <v>#VALUE!</v>
      </c>
      <c r="L758" s="10">
        <f t="shared" si="1"/>
        <v>1</v>
      </c>
      <c r="M758" s="10" t="str">
        <f t="shared" si="2"/>
        <v>034</v>
      </c>
      <c r="N758" s="10" t="str">
        <f t="shared" si="3"/>
        <v>02</v>
      </c>
      <c r="O758" s="10" t="str">
        <f t="shared" si="16"/>
        <v>PASIR LAUT</v>
      </c>
    </row>
    <row r="759" spans="1:15" ht="12.5">
      <c r="A759" s="115" t="s">
        <v>4759</v>
      </c>
      <c r="B759" s="5">
        <v>0</v>
      </c>
      <c r="C759" s="5">
        <v>61</v>
      </c>
      <c r="D759" s="5">
        <v>4</v>
      </c>
      <c r="E759" s="5">
        <v>100</v>
      </c>
      <c r="F759" s="5">
        <v>12</v>
      </c>
      <c r="G759" s="5">
        <v>1100</v>
      </c>
      <c r="H759" s="5" t="s">
        <v>4572</v>
      </c>
      <c r="I759" s="5" t="s">
        <v>4739</v>
      </c>
      <c r="J759" s="5" t="s">
        <v>4760</v>
      </c>
      <c r="K759" s="10" t="e">
        <f t="shared" si="0"/>
        <v>#VALUE!</v>
      </c>
      <c r="L759" s="10">
        <f t="shared" si="1"/>
        <v>1</v>
      </c>
      <c r="M759" s="10" t="str">
        <f t="shared" si="2"/>
        <v>009</v>
      </c>
      <c r="N759" s="10" t="str">
        <f t="shared" si="3"/>
        <v>03</v>
      </c>
      <c r="O759" s="10" t="str">
        <f t="shared" si="16"/>
        <v>PASIR TENG</v>
      </c>
    </row>
    <row r="760" spans="1:15" ht="12.5">
      <c r="A760" s="115" t="s">
        <v>4761</v>
      </c>
      <c r="B760" s="5">
        <v>0</v>
      </c>
      <c r="C760" s="5">
        <v>61</v>
      </c>
      <c r="D760" s="5">
        <v>4</v>
      </c>
      <c r="E760" s="5">
        <v>100</v>
      </c>
      <c r="F760" s="5">
        <v>12</v>
      </c>
      <c r="G760" s="5">
        <v>1200</v>
      </c>
      <c r="H760" s="5" t="s">
        <v>4572</v>
      </c>
      <c r="I760" s="5" t="s">
        <v>4739</v>
      </c>
      <c r="J760" s="5" t="s">
        <v>4762</v>
      </c>
      <c r="K760" s="10" t="e">
        <f t="shared" si="0"/>
        <v>#VALUE!</v>
      </c>
      <c r="L760" s="10">
        <f t="shared" si="1"/>
        <v>1</v>
      </c>
      <c r="M760" s="10" t="str">
        <f t="shared" si="2"/>
        <v>010</v>
      </c>
      <c r="N760" s="10" t="str">
        <f t="shared" si="3"/>
        <v>03</v>
      </c>
      <c r="O760" s="10" t="str">
        <f t="shared" si="16"/>
        <v>PASIR TENG</v>
      </c>
    </row>
    <row r="761" spans="1:15" ht="12.5">
      <c r="A761" s="115" t="s">
        <v>4763</v>
      </c>
      <c r="B761" s="5">
        <v>0</v>
      </c>
      <c r="C761" s="5">
        <v>61</v>
      </c>
      <c r="D761" s="5">
        <v>4</v>
      </c>
      <c r="E761" s="5">
        <v>100</v>
      </c>
      <c r="F761" s="5">
        <v>12</v>
      </c>
      <c r="G761" s="5">
        <v>1300</v>
      </c>
      <c r="H761" s="5" t="s">
        <v>4572</v>
      </c>
      <c r="I761" s="5" t="s">
        <v>4739</v>
      </c>
      <c r="J761" s="5" t="s">
        <v>4764</v>
      </c>
      <c r="K761" s="10" t="e">
        <f t="shared" si="0"/>
        <v>#VALUE!</v>
      </c>
      <c r="L761" s="10">
        <f t="shared" si="1"/>
        <v>1</v>
      </c>
      <c r="M761" s="10" t="str">
        <f t="shared" si="2"/>
        <v>030</v>
      </c>
      <c r="N761" s="10" t="str">
        <f t="shared" si="3"/>
        <v>03</v>
      </c>
      <c r="O761" s="10" t="str">
        <f t="shared" si="16"/>
        <v>PASIR TENG</v>
      </c>
    </row>
    <row r="762" spans="1:15" ht="12.5">
      <c r="A762" s="115" t="s">
        <v>4765</v>
      </c>
      <c r="B762" s="5">
        <v>0</v>
      </c>
      <c r="C762" s="5">
        <v>61</v>
      </c>
      <c r="D762" s="5">
        <v>4</v>
      </c>
      <c r="E762" s="5">
        <v>100</v>
      </c>
      <c r="F762" s="5">
        <v>12</v>
      </c>
      <c r="G762" s="5">
        <v>1400</v>
      </c>
      <c r="H762" s="5" t="s">
        <v>4572</v>
      </c>
      <c r="I762" s="5" t="s">
        <v>4739</v>
      </c>
      <c r="J762" s="5" t="s">
        <v>4766</v>
      </c>
      <c r="K762" s="10" t="e">
        <f t="shared" si="0"/>
        <v>#VALUE!</v>
      </c>
      <c r="L762" s="10">
        <f t="shared" si="1"/>
        <v>1</v>
      </c>
      <c r="M762" s="10" t="str">
        <f t="shared" si="2"/>
        <v>011</v>
      </c>
      <c r="N762" s="10" t="str">
        <f t="shared" si="3"/>
        <v>04</v>
      </c>
      <c r="O762" s="10" t="str">
        <f t="shared" si="16"/>
        <v>PASIR TENG</v>
      </c>
    </row>
    <row r="763" spans="1:15" ht="12.5">
      <c r="A763" s="115" t="s">
        <v>4767</v>
      </c>
      <c r="B763" s="5">
        <v>0</v>
      </c>
      <c r="C763" s="5">
        <v>61</v>
      </c>
      <c r="D763" s="5">
        <v>4</v>
      </c>
      <c r="E763" s="5">
        <v>100</v>
      </c>
      <c r="F763" s="5">
        <v>12</v>
      </c>
      <c r="G763" s="5">
        <v>1500</v>
      </c>
      <c r="H763" s="5" t="s">
        <v>4572</v>
      </c>
      <c r="I763" s="5" t="s">
        <v>4739</v>
      </c>
      <c r="J763" s="5" t="s">
        <v>4768</v>
      </c>
      <c r="K763" s="10" t="e">
        <f t="shared" si="0"/>
        <v>#VALUE!</v>
      </c>
      <c r="L763" s="10">
        <f t="shared" si="1"/>
        <v>1</v>
      </c>
      <c r="M763" s="10" t="str">
        <f t="shared" si="2"/>
        <v>012</v>
      </c>
      <c r="N763" s="10" t="str">
        <f t="shared" si="3"/>
        <v>04</v>
      </c>
      <c r="O763" s="10" t="str">
        <f t="shared" si="16"/>
        <v>PASIR TENG</v>
      </c>
    </row>
    <row r="764" spans="1:15" ht="12.5">
      <c r="A764" s="115" t="s">
        <v>4769</v>
      </c>
      <c r="B764" s="5">
        <v>0</v>
      </c>
      <c r="C764" s="5">
        <v>61</v>
      </c>
      <c r="D764" s="5">
        <v>4</v>
      </c>
      <c r="E764" s="5">
        <v>100</v>
      </c>
      <c r="F764" s="5">
        <v>12</v>
      </c>
      <c r="G764" s="5">
        <v>1600</v>
      </c>
      <c r="H764" s="5" t="s">
        <v>4572</v>
      </c>
      <c r="I764" s="5" t="s">
        <v>4739</v>
      </c>
      <c r="J764" s="5" t="s">
        <v>4770</v>
      </c>
      <c r="K764" s="10" t="e">
        <f t="shared" si="0"/>
        <v>#VALUE!</v>
      </c>
      <c r="L764" s="10">
        <f t="shared" si="1"/>
        <v>1</v>
      </c>
      <c r="M764" s="10" t="str">
        <f t="shared" si="2"/>
        <v>013</v>
      </c>
      <c r="N764" s="10" t="str">
        <f t="shared" si="3"/>
        <v>05</v>
      </c>
      <c r="O764" s="10" t="str">
        <f t="shared" si="16"/>
        <v>SUAP</v>
      </c>
    </row>
    <row r="765" spans="1:15" ht="12.5">
      <c r="A765" s="115" t="s">
        <v>4771</v>
      </c>
      <c r="B765" s="5">
        <v>0</v>
      </c>
      <c r="C765" s="5">
        <v>61</v>
      </c>
      <c r="D765" s="5">
        <v>4</v>
      </c>
      <c r="E765" s="5">
        <v>100</v>
      </c>
      <c r="F765" s="5">
        <v>12</v>
      </c>
      <c r="G765" s="5">
        <v>1700</v>
      </c>
      <c r="H765" s="5" t="s">
        <v>4572</v>
      </c>
      <c r="I765" s="5" t="s">
        <v>4739</v>
      </c>
      <c r="J765" s="5" t="s">
        <v>4772</v>
      </c>
      <c r="K765" s="10" t="e">
        <f t="shared" si="0"/>
        <v>#VALUE!</v>
      </c>
      <c r="L765" s="10">
        <f t="shared" si="1"/>
        <v>1</v>
      </c>
      <c r="M765" s="10" t="str">
        <f t="shared" si="2"/>
        <v>014</v>
      </c>
      <c r="N765" s="10" t="str">
        <f t="shared" si="3"/>
        <v>05</v>
      </c>
      <c r="O765" s="10" t="str">
        <f t="shared" si="16"/>
        <v>SUAP</v>
      </c>
    </row>
    <row r="766" spans="1:15" ht="12.5">
      <c r="A766" s="115" t="s">
        <v>4773</v>
      </c>
      <c r="B766" s="5">
        <v>0</v>
      </c>
      <c r="C766" s="5">
        <v>61</v>
      </c>
      <c r="D766" s="5">
        <v>4</v>
      </c>
      <c r="E766" s="5">
        <v>100</v>
      </c>
      <c r="F766" s="5">
        <v>12</v>
      </c>
      <c r="G766" s="5">
        <v>1800</v>
      </c>
      <c r="H766" s="5" t="s">
        <v>4572</v>
      </c>
      <c r="I766" s="5" t="s">
        <v>4739</v>
      </c>
      <c r="J766" s="5" t="s">
        <v>4774</v>
      </c>
      <c r="K766" s="10" t="e">
        <f t="shared" si="0"/>
        <v>#VALUE!</v>
      </c>
      <c r="L766" s="10">
        <f t="shared" si="1"/>
        <v>1</v>
      </c>
      <c r="M766" s="10" t="str">
        <f t="shared" si="2"/>
        <v>015</v>
      </c>
      <c r="N766" s="10" t="str">
        <f t="shared" si="3"/>
        <v>06</v>
      </c>
      <c r="O766" s="10" t="str">
        <f t="shared" si="16"/>
        <v>SUAP</v>
      </c>
    </row>
    <row r="767" spans="1:15" ht="12.5">
      <c r="A767" s="115" t="s">
        <v>4775</v>
      </c>
      <c r="B767" s="5">
        <v>0</v>
      </c>
      <c r="C767" s="5">
        <v>61</v>
      </c>
      <c r="D767" s="5">
        <v>4</v>
      </c>
      <c r="E767" s="5">
        <v>100</v>
      </c>
      <c r="F767" s="5">
        <v>12</v>
      </c>
      <c r="G767" s="5">
        <v>1900</v>
      </c>
      <c r="H767" s="5" t="s">
        <v>4572</v>
      </c>
      <c r="I767" s="5" t="s">
        <v>4739</v>
      </c>
      <c r="J767" s="5" t="s">
        <v>4776</v>
      </c>
      <c r="K767" s="10" t="e">
        <f t="shared" si="0"/>
        <v>#VALUE!</v>
      </c>
      <c r="L767" s="10">
        <f t="shared" si="1"/>
        <v>1</v>
      </c>
      <c r="M767" s="10" t="str">
        <f t="shared" si="2"/>
        <v>016</v>
      </c>
      <c r="N767" s="10" t="str">
        <f t="shared" si="3"/>
        <v>06</v>
      </c>
      <c r="O767" s="10" t="str">
        <f t="shared" si="16"/>
        <v>SUAP</v>
      </c>
    </row>
    <row r="768" spans="1:15" ht="12.5">
      <c r="A768" s="115" t="s">
        <v>4777</v>
      </c>
      <c r="B768" s="5">
        <v>0</v>
      </c>
      <c r="C768" s="5">
        <v>61</v>
      </c>
      <c r="D768" s="5">
        <v>4</v>
      </c>
      <c r="E768" s="5">
        <v>100</v>
      </c>
      <c r="F768" s="5">
        <v>12</v>
      </c>
      <c r="G768" s="5">
        <v>2000</v>
      </c>
      <c r="H768" s="5" t="s">
        <v>4572</v>
      </c>
      <c r="I768" s="5" t="s">
        <v>4739</v>
      </c>
      <c r="J768" s="5" t="s">
        <v>4778</v>
      </c>
      <c r="K768" s="10" t="e">
        <f t="shared" si="0"/>
        <v>#VALUE!</v>
      </c>
      <c r="L768" s="10">
        <f t="shared" si="1"/>
        <v>1</v>
      </c>
      <c r="M768" s="10" t="str">
        <f t="shared" si="2"/>
        <v>017</v>
      </c>
      <c r="N768" s="10" t="str">
        <f t="shared" si="3"/>
        <v>07</v>
      </c>
      <c r="O768" s="10" t="str">
        <f t="shared" si="16"/>
        <v>SEBUKIT RA</v>
      </c>
    </row>
    <row r="769" spans="1:15" ht="12.5">
      <c r="A769" s="115" t="s">
        <v>4779</v>
      </c>
      <c r="B769" s="5">
        <v>0</v>
      </c>
      <c r="C769" s="5">
        <v>61</v>
      </c>
      <c r="D769" s="5">
        <v>4</v>
      </c>
      <c r="E769" s="5">
        <v>100</v>
      </c>
      <c r="F769" s="5">
        <v>12</v>
      </c>
      <c r="G769" s="5">
        <v>2100</v>
      </c>
      <c r="H769" s="5" t="s">
        <v>4572</v>
      </c>
      <c r="I769" s="5" t="s">
        <v>4739</v>
      </c>
      <c r="J769" s="5" t="s">
        <v>4780</v>
      </c>
      <c r="K769" s="10" t="e">
        <f t="shared" si="0"/>
        <v>#VALUE!</v>
      </c>
      <c r="L769" s="10">
        <f t="shared" si="1"/>
        <v>1</v>
      </c>
      <c r="M769" s="10" t="str">
        <f t="shared" si="2"/>
        <v>018</v>
      </c>
      <c r="N769" s="10" t="str">
        <f t="shared" si="3"/>
        <v>07</v>
      </c>
      <c r="O769" s="10" t="str">
        <f t="shared" si="16"/>
        <v>SEBUKIT RA</v>
      </c>
    </row>
    <row r="770" spans="1:15" ht="12.5">
      <c r="A770" s="115" t="s">
        <v>4781</v>
      </c>
      <c r="B770" s="5">
        <v>0</v>
      </c>
      <c r="C770" s="5">
        <v>61</v>
      </c>
      <c r="D770" s="5">
        <v>4</v>
      </c>
      <c r="E770" s="5">
        <v>100</v>
      </c>
      <c r="F770" s="5">
        <v>12</v>
      </c>
      <c r="G770" s="5">
        <v>2200</v>
      </c>
      <c r="H770" s="5" t="s">
        <v>4572</v>
      </c>
      <c r="I770" s="5" t="s">
        <v>4739</v>
      </c>
      <c r="J770" s="5" t="s">
        <v>4782</v>
      </c>
      <c r="K770" s="10" t="e">
        <f t="shared" si="0"/>
        <v>#VALUE!</v>
      </c>
      <c r="L770" s="10">
        <f t="shared" si="1"/>
        <v>1</v>
      </c>
      <c r="M770" s="10" t="str">
        <f t="shared" si="2"/>
        <v>031</v>
      </c>
      <c r="N770" s="10" t="str">
        <f t="shared" si="3"/>
        <v>07</v>
      </c>
      <c r="O770" s="10" t="str">
        <f t="shared" si="16"/>
        <v>SEBUKIT RA</v>
      </c>
    </row>
    <row r="771" spans="1:15" ht="12.5">
      <c r="A771" s="115" t="s">
        <v>4783</v>
      </c>
      <c r="B771" s="5">
        <v>0</v>
      </c>
      <c r="C771" s="5">
        <v>61</v>
      </c>
      <c r="D771" s="5">
        <v>4</v>
      </c>
      <c r="E771" s="5">
        <v>100</v>
      </c>
      <c r="F771" s="5">
        <v>12</v>
      </c>
      <c r="G771" s="5">
        <v>2300</v>
      </c>
      <c r="H771" s="5" t="s">
        <v>4572</v>
      </c>
      <c r="I771" s="5" t="s">
        <v>4739</v>
      </c>
      <c r="J771" s="5" t="s">
        <v>4784</v>
      </c>
      <c r="K771" s="10" t="e">
        <f t="shared" si="0"/>
        <v>#VALUE!</v>
      </c>
      <c r="L771" s="10">
        <f t="shared" si="1"/>
        <v>1</v>
      </c>
      <c r="M771" s="10" t="str">
        <f t="shared" si="2"/>
        <v>019</v>
      </c>
      <c r="N771" s="10" t="str">
        <f t="shared" si="3"/>
        <v>08</v>
      </c>
      <c r="O771" s="10" t="str">
        <f t="shared" si="16"/>
        <v>SEBUKIT RA</v>
      </c>
    </row>
    <row r="772" spans="1:15" ht="12.5">
      <c r="A772" s="115" t="s">
        <v>4785</v>
      </c>
      <c r="B772" s="5">
        <v>0</v>
      </c>
      <c r="C772" s="5">
        <v>61</v>
      </c>
      <c r="D772" s="5">
        <v>4</v>
      </c>
      <c r="E772" s="5">
        <v>100</v>
      </c>
      <c r="F772" s="5">
        <v>12</v>
      </c>
      <c r="G772" s="5">
        <v>2400</v>
      </c>
      <c r="H772" s="5" t="s">
        <v>4572</v>
      </c>
      <c r="I772" s="5" t="s">
        <v>4739</v>
      </c>
      <c r="J772" s="5" t="s">
        <v>4786</v>
      </c>
      <c r="K772" s="10" t="e">
        <f t="shared" si="0"/>
        <v>#VALUE!</v>
      </c>
      <c r="L772" s="10">
        <f t="shared" si="1"/>
        <v>1</v>
      </c>
      <c r="M772" s="10" t="str">
        <f t="shared" si="2"/>
        <v>032</v>
      </c>
      <c r="N772" s="10" t="str">
        <f t="shared" si="3"/>
        <v>08</v>
      </c>
      <c r="O772" s="10" t="str">
        <f t="shared" si="16"/>
        <v>SEBUKIT RA</v>
      </c>
    </row>
    <row r="773" spans="1:15" ht="12.5">
      <c r="A773" s="115" t="s">
        <v>4787</v>
      </c>
      <c r="B773" s="5">
        <v>0</v>
      </c>
      <c r="C773" s="5">
        <v>61</v>
      </c>
      <c r="D773" s="5">
        <v>4</v>
      </c>
      <c r="E773" s="5">
        <v>100</v>
      </c>
      <c r="F773" s="5">
        <v>12</v>
      </c>
      <c r="G773" s="5">
        <v>2500</v>
      </c>
      <c r="H773" s="5" t="s">
        <v>4572</v>
      </c>
      <c r="I773" s="5" t="s">
        <v>4739</v>
      </c>
      <c r="J773" s="5" t="s">
        <v>4788</v>
      </c>
      <c r="K773" s="10" t="e">
        <f t="shared" si="0"/>
        <v>#VALUE!</v>
      </c>
      <c r="L773" s="10">
        <f t="shared" si="1"/>
        <v>1</v>
      </c>
      <c r="M773" s="10" t="str">
        <f t="shared" si="2"/>
        <v>020</v>
      </c>
      <c r="N773" s="10" t="str">
        <f t="shared" si="3"/>
        <v>08</v>
      </c>
      <c r="O773" s="10" t="str">
        <f t="shared" si="16"/>
        <v>SEBUKIT RA</v>
      </c>
    </row>
    <row r="774" spans="1:15" ht="12.5">
      <c r="A774" s="115" t="s">
        <v>4789</v>
      </c>
      <c r="B774" s="5">
        <v>0</v>
      </c>
      <c r="C774" s="5">
        <v>61</v>
      </c>
      <c r="D774" s="5">
        <v>4</v>
      </c>
      <c r="E774" s="5">
        <v>100</v>
      </c>
      <c r="F774" s="5">
        <v>12</v>
      </c>
      <c r="G774" s="5">
        <v>2600</v>
      </c>
      <c r="H774" s="5" t="s">
        <v>4572</v>
      </c>
      <c r="I774" s="5" t="s">
        <v>4739</v>
      </c>
      <c r="J774" s="5" t="s">
        <v>4790</v>
      </c>
      <c r="K774" s="10" t="e">
        <f t="shared" si="0"/>
        <v>#VALUE!</v>
      </c>
      <c r="L774" s="10">
        <f t="shared" si="1"/>
        <v>1</v>
      </c>
      <c r="M774" s="10" t="str">
        <f t="shared" si="2"/>
        <v>033</v>
      </c>
      <c r="N774" s="10" t="str">
        <f t="shared" si="3"/>
        <v>08</v>
      </c>
      <c r="O774" s="10" t="str">
        <f t="shared" si="16"/>
        <v>SEBUKIT RA</v>
      </c>
    </row>
    <row r="775" spans="1:15" ht="12.5">
      <c r="A775" s="115" t="s">
        <v>4791</v>
      </c>
      <c r="B775" s="5">
        <v>0</v>
      </c>
      <c r="C775" s="5">
        <v>61</v>
      </c>
      <c r="D775" s="5">
        <v>4</v>
      </c>
      <c r="E775" s="5">
        <v>100</v>
      </c>
      <c r="F775" s="5">
        <v>12</v>
      </c>
      <c r="G775" s="5">
        <v>2700</v>
      </c>
      <c r="H775" s="5" t="s">
        <v>4572</v>
      </c>
      <c r="I775" s="5" t="s">
        <v>4739</v>
      </c>
      <c r="J775" s="5" t="s">
        <v>4792</v>
      </c>
      <c r="K775" s="10" t="e">
        <f t="shared" si="0"/>
        <v>#VALUE!</v>
      </c>
      <c r="L775" s="10">
        <f t="shared" si="1"/>
        <v>1</v>
      </c>
      <c r="M775" s="10" t="str">
        <f t="shared" si="2"/>
        <v>021</v>
      </c>
      <c r="N775" s="10" t="str">
        <f t="shared" si="3"/>
        <v>09</v>
      </c>
      <c r="O775" s="10" t="str">
        <f t="shared" si="16"/>
        <v>PARIT AMAN</v>
      </c>
    </row>
    <row r="776" spans="1:15" ht="12.5">
      <c r="A776" s="115" t="s">
        <v>4793</v>
      </c>
      <c r="B776" s="5">
        <v>0</v>
      </c>
      <c r="C776" s="5">
        <v>61</v>
      </c>
      <c r="D776" s="5">
        <v>4</v>
      </c>
      <c r="E776" s="5">
        <v>100</v>
      </c>
      <c r="F776" s="5">
        <v>12</v>
      </c>
      <c r="G776" s="5">
        <v>2800</v>
      </c>
      <c r="H776" s="5" t="s">
        <v>4572</v>
      </c>
      <c r="I776" s="5" t="s">
        <v>4739</v>
      </c>
      <c r="J776" s="5" t="s">
        <v>4794</v>
      </c>
      <c r="K776" s="10" t="e">
        <f t="shared" si="0"/>
        <v>#VALUE!</v>
      </c>
      <c r="L776" s="10">
        <f t="shared" si="1"/>
        <v>1</v>
      </c>
      <c r="M776" s="10" t="str">
        <f t="shared" si="2"/>
        <v>022</v>
      </c>
      <c r="N776" s="10" t="str">
        <f t="shared" si="3"/>
        <v>09</v>
      </c>
      <c r="O776" s="10" t="str">
        <f t="shared" si="16"/>
        <v>PARIT AMAN</v>
      </c>
    </row>
    <row r="777" spans="1:15" ht="12.5">
      <c r="A777" s="115" t="s">
        <v>4795</v>
      </c>
      <c r="B777" s="5">
        <v>0</v>
      </c>
      <c r="C777" s="5">
        <v>61</v>
      </c>
      <c r="D777" s="5">
        <v>4</v>
      </c>
      <c r="E777" s="5">
        <v>100</v>
      </c>
      <c r="F777" s="5">
        <v>12</v>
      </c>
      <c r="G777" s="5">
        <v>2900</v>
      </c>
      <c r="H777" s="5" t="s">
        <v>4572</v>
      </c>
      <c r="I777" s="5" t="s">
        <v>4739</v>
      </c>
      <c r="J777" s="5" t="s">
        <v>4796</v>
      </c>
      <c r="K777" s="10" t="e">
        <f t="shared" si="0"/>
        <v>#VALUE!</v>
      </c>
      <c r="L777" s="10">
        <f t="shared" si="1"/>
        <v>1</v>
      </c>
      <c r="M777" s="10" t="str">
        <f t="shared" si="2"/>
        <v>023</v>
      </c>
      <c r="N777" s="10" t="str">
        <f t="shared" si="3"/>
        <v>09</v>
      </c>
      <c r="O777" s="10" t="str">
        <f t="shared" si="16"/>
        <v>PARIT AMAN</v>
      </c>
    </row>
    <row r="778" spans="1:15" ht="12.5">
      <c r="A778" s="115" t="s">
        <v>4797</v>
      </c>
      <c r="B778" s="5">
        <v>0</v>
      </c>
      <c r="C778" s="5">
        <v>61</v>
      </c>
      <c r="D778" s="5">
        <v>4</v>
      </c>
      <c r="E778" s="5">
        <v>100</v>
      </c>
      <c r="F778" s="5">
        <v>12</v>
      </c>
      <c r="G778" s="5">
        <v>3000</v>
      </c>
      <c r="H778" s="5" t="s">
        <v>4572</v>
      </c>
      <c r="I778" s="5" t="s">
        <v>4739</v>
      </c>
      <c r="J778" s="5" t="s">
        <v>4798</v>
      </c>
      <c r="K778" s="10" t="e">
        <f t="shared" si="0"/>
        <v>#VALUE!</v>
      </c>
      <c r="L778" s="10">
        <f t="shared" si="1"/>
        <v>1</v>
      </c>
      <c r="M778" s="10" t="str">
        <f t="shared" si="2"/>
        <v>024</v>
      </c>
      <c r="N778" s="10" t="str">
        <f t="shared" si="3"/>
        <v>09</v>
      </c>
      <c r="O778" s="10" t="str">
        <f t="shared" si="16"/>
        <v>PARIT AMAN</v>
      </c>
    </row>
    <row r="779" spans="1:15" ht="12.5">
      <c r="A779" s="115" t="s">
        <v>4799</v>
      </c>
      <c r="B779" s="5">
        <v>0</v>
      </c>
      <c r="C779" s="5">
        <v>61</v>
      </c>
      <c r="D779" s="5">
        <v>4</v>
      </c>
      <c r="E779" s="5">
        <v>100</v>
      </c>
      <c r="F779" s="5">
        <v>12</v>
      </c>
      <c r="G779" s="5">
        <v>3100</v>
      </c>
      <c r="H779" s="5" t="s">
        <v>4572</v>
      </c>
      <c r="I779" s="5" t="s">
        <v>4739</v>
      </c>
      <c r="J779" s="5" t="s">
        <v>4800</v>
      </c>
      <c r="K779" s="10" t="e">
        <f t="shared" si="0"/>
        <v>#VALUE!</v>
      </c>
      <c r="L779" s="10">
        <f t="shared" si="1"/>
        <v>1</v>
      </c>
      <c r="M779" s="10" t="str">
        <f t="shared" si="2"/>
        <v>025</v>
      </c>
      <c r="N779" s="10" t="str">
        <f t="shared" si="3"/>
        <v>10</v>
      </c>
      <c r="O779" s="10" t="str">
        <f t="shared" si="16"/>
        <v>PARIT SERI</v>
      </c>
    </row>
    <row r="780" spans="1:15" ht="12.5">
      <c r="A780" s="115" t="s">
        <v>4801</v>
      </c>
      <c r="B780" s="5">
        <v>0</v>
      </c>
      <c r="C780" s="5">
        <v>61</v>
      </c>
      <c r="D780" s="5">
        <v>4</v>
      </c>
      <c r="E780" s="5">
        <v>100</v>
      </c>
      <c r="F780" s="5">
        <v>12</v>
      </c>
      <c r="G780" s="5">
        <v>3200</v>
      </c>
      <c r="H780" s="5" t="s">
        <v>4572</v>
      </c>
      <c r="I780" s="5" t="s">
        <v>4739</v>
      </c>
      <c r="J780" s="5" t="s">
        <v>4802</v>
      </c>
      <c r="K780" s="10" t="e">
        <f t="shared" si="0"/>
        <v>#VALUE!</v>
      </c>
      <c r="L780" s="10">
        <f t="shared" si="1"/>
        <v>1</v>
      </c>
      <c r="M780" s="10" t="str">
        <f t="shared" si="2"/>
        <v>026</v>
      </c>
      <c r="N780" s="10" t="str">
        <f t="shared" si="3"/>
        <v>10</v>
      </c>
      <c r="O780" s="10" t="str">
        <f t="shared" si="16"/>
        <v>PARIT SERI</v>
      </c>
    </row>
    <row r="781" spans="1:15" ht="12.5">
      <c r="A781" s="115" t="s">
        <v>4803</v>
      </c>
      <c r="B781" s="5">
        <v>0</v>
      </c>
      <c r="C781" s="5">
        <v>61</v>
      </c>
      <c r="D781" s="5">
        <v>4</v>
      </c>
      <c r="E781" s="5">
        <v>100</v>
      </c>
      <c r="F781" s="5">
        <v>12</v>
      </c>
      <c r="G781" s="5">
        <v>3300</v>
      </c>
      <c r="H781" s="5" t="s">
        <v>4572</v>
      </c>
      <c r="I781" s="5" t="s">
        <v>4739</v>
      </c>
      <c r="J781" s="5" t="s">
        <v>4804</v>
      </c>
      <c r="K781" s="10" t="e">
        <f t="shared" si="0"/>
        <v>#VALUE!</v>
      </c>
      <c r="L781" s="10">
        <f t="shared" si="1"/>
        <v>1</v>
      </c>
      <c r="M781" s="10" t="str">
        <f t="shared" si="2"/>
        <v>027</v>
      </c>
      <c r="N781" s="10" t="str">
        <f t="shared" si="3"/>
        <v>10</v>
      </c>
      <c r="O781" s="10" t="str">
        <f t="shared" si="16"/>
        <v>PARIT SERI</v>
      </c>
    </row>
    <row r="782" spans="1:15" ht="12.5">
      <c r="A782" s="115" t="s">
        <v>4805</v>
      </c>
      <c r="B782" s="5">
        <v>0</v>
      </c>
      <c r="C782" s="5">
        <v>61</v>
      </c>
      <c r="D782" s="5">
        <v>4</v>
      </c>
      <c r="E782" s="5">
        <v>100</v>
      </c>
      <c r="F782" s="5">
        <v>12</v>
      </c>
      <c r="G782" s="5">
        <v>3400</v>
      </c>
      <c r="H782" s="5" t="s">
        <v>4572</v>
      </c>
      <c r="I782" s="5" t="s">
        <v>4739</v>
      </c>
      <c r="J782" s="5" t="s">
        <v>4806</v>
      </c>
      <c r="K782" s="10" t="e">
        <f t="shared" si="0"/>
        <v>#VALUE!</v>
      </c>
      <c r="L782" s="10">
        <f t="shared" si="1"/>
        <v>1</v>
      </c>
      <c r="M782" s="10" t="str">
        <f t="shared" si="2"/>
        <v>028</v>
      </c>
      <c r="N782" s="10" t="str">
        <f t="shared" si="3"/>
        <v>10</v>
      </c>
      <c r="O782" s="10" t="str">
        <f t="shared" si="16"/>
        <v>PARIT SERI</v>
      </c>
    </row>
    <row r="783" spans="1:15" ht="12.5">
      <c r="A783" s="115" t="s">
        <v>4807</v>
      </c>
      <c r="B783" s="5">
        <v>2</v>
      </c>
      <c r="C783" s="5">
        <v>61</v>
      </c>
      <c r="D783" s="5">
        <v>4</v>
      </c>
      <c r="E783" s="5">
        <v>100</v>
      </c>
      <c r="F783" s="5">
        <v>12</v>
      </c>
      <c r="G783" s="5">
        <v>200100</v>
      </c>
      <c r="H783" s="5" t="s">
        <v>4572</v>
      </c>
      <c r="I783" s="5" t="s">
        <v>4739</v>
      </c>
      <c r="J783" s="5" t="s">
        <v>4808</v>
      </c>
      <c r="K783" s="10" t="e">
        <f t="shared" si="0"/>
        <v>#VALUE!</v>
      </c>
      <c r="L783" s="10">
        <f t="shared" si="1"/>
        <v>0</v>
      </c>
      <c r="M783" s="10" t="str">
        <f t="shared" si="2"/>
        <v xml:space="preserve">AN </v>
      </c>
      <c r="N783" s="10" t="str">
        <f t="shared" si="3"/>
        <v>I J</v>
      </c>
      <c r="O783" s="10" t="str">
        <f t="shared" si="16"/>
        <v/>
      </c>
    </row>
    <row r="784" spans="1:15" ht="12.5">
      <c r="A784" s="115" t="s">
        <v>4809</v>
      </c>
      <c r="B784" s="5">
        <v>2</v>
      </c>
      <c r="C784" s="5">
        <v>61</v>
      </c>
      <c r="D784" s="5">
        <v>4</v>
      </c>
      <c r="E784" s="5">
        <v>100</v>
      </c>
      <c r="F784" s="5">
        <v>12</v>
      </c>
      <c r="G784" s="5">
        <v>200200</v>
      </c>
      <c r="H784" s="5" t="s">
        <v>4572</v>
      </c>
      <c r="I784" s="5" t="s">
        <v>4739</v>
      </c>
      <c r="J784" s="5" t="s">
        <v>4810</v>
      </c>
      <c r="K784" s="10" t="e">
        <f t="shared" si="0"/>
        <v>#VALUE!</v>
      </c>
      <c r="L784" s="10">
        <f t="shared" si="1"/>
        <v>0</v>
      </c>
      <c r="M784" s="10" t="str">
        <f t="shared" si="2"/>
        <v>AN(</v>
      </c>
      <c r="N784" s="10" t="str">
        <f t="shared" si="3"/>
        <v>N J</v>
      </c>
      <c r="O784" s="10" t="str">
        <f t="shared" si="16"/>
        <v/>
      </c>
    </row>
    <row r="785" spans="1:15" ht="12.5">
      <c r="A785" s="115" t="s">
        <v>4811</v>
      </c>
      <c r="B785" s="5">
        <v>2</v>
      </c>
      <c r="C785" s="5">
        <v>61</v>
      </c>
      <c r="D785" s="5">
        <v>4</v>
      </c>
      <c r="E785" s="5">
        <v>100</v>
      </c>
      <c r="F785" s="5">
        <v>12</v>
      </c>
      <c r="G785" s="5">
        <v>200300</v>
      </c>
      <c r="H785" s="5" t="s">
        <v>4572</v>
      </c>
      <c r="I785" s="5" t="s">
        <v>4739</v>
      </c>
      <c r="J785" s="5" t="s">
        <v>4812</v>
      </c>
      <c r="K785" s="10" t="e">
        <f t="shared" si="0"/>
        <v>#VALUE!</v>
      </c>
      <c r="L785" s="10">
        <f t="shared" si="1"/>
        <v>0</v>
      </c>
      <c r="M785" s="10" t="str">
        <f t="shared" si="2"/>
        <v xml:space="preserve">AU </v>
      </c>
      <c r="N785" s="10" t="str">
        <f t="shared" si="3"/>
        <v>BUN</v>
      </c>
      <c r="O785" s="10" t="str">
        <f t="shared" si="16"/>
        <v/>
      </c>
    </row>
    <row r="786" spans="1:15" ht="12.5">
      <c r="A786" s="115" t="s">
        <v>4813</v>
      </c>
      <c r="B786" s="5">
        <v>0</v>
      </c>
      <c r="C786" s="5">
        <v>61</v>
      </c>
      <c r="D786" s="5">
        <v>4</v>
      </c>
      <c r="E786" s="5">
        <v>100</v>
      </c>
      <c r="F786" s="5">
        <v>13</v>
      </c>
      <c r="G786" s="5">
        <v>100</v>
      </c>
      <c r="H786" s="5" t="s">
        <v>4572</v>
      </c>
      <c r="I786" s="5" t="s">
        <v>4814</v>
      </c>
      <c r="J786" s="5" t="s">
        <v>4815</v>
      </c>
      <c r="K786" s="10" t="e">
        <f t="shared" si="0"/>
        <v>#VALUE!</v>
      </c>
      <c r="L786" s="10">
        <f t="shared" si="1"/>
        <v>1</v>
      </c>
      <c r="M786" s="10" t="str">
        <f t="shared" si="2"/>
        <v xml:space="preserve">01 </v>
      </c>
      <c r="N786" s="10" t="str">
        <f t="shared" si="3"/>
        <v>1 D</v>
      </c>
      <c r="O786" s="10" t="str">
        <f t="shared" si="16"/>
        <v>ELAYU</v>
      </c>
    </row>
    <row r="787" spans="1:15" ht="12.5">
      <c r="A787" s="115" t="s">
        <v>4816</v>
      </c>
      <c r="B787" s="5">
        <v>0</v>
      </c>
      <c r="C787" s="5">
        <v>61</v>
      </c>
      <c r="D787" s="5">
        <v>4</v>
      </c>
      <c r="E787" s="5">
        <v>100</v>
      </c>
      <c r="F787" s="5">
        <v>13</v>
      </c>
      <c r="G787" s="5">
        <v>200</v>
      </c>
      <c r="H787" s="5" t="s">
        <v>4572</v>
      </c>
      <c r="I787" s="5" t="s">
        <v>4814</v>
      </c>
      <c r="J787" s="5" t="s">
        <v>4817</v>
      </c>
      <c r="K787" s="10" t="e">
        <f t="shared" si="0"/>
        <v>#VALUE!</v>
      </c>
      <c r="L787" s="10">
        <f t="shared" si="1"/>
        <v>1</v>
      </c>
      <c r="M787" s="10" t="str">
        <f t="shared" si="2"/>
        <v xml:space="preserve">02 </v>
      </c>
      <c r="N787" s="10" t="str">
        <f t="shared" si="3"/>
        <v>1 D</v>
      </c>
      <c r="O787" s="10" t="str">
        <f t="shared" si="16"/>
        <v>ELAYU</v>
      </c>
    </row>
    <row r="788" spans="1:15" ht="12.5">
      <c r="A788" s="115" t="s">
        <v>4818</v>
      </c>
      <c r="B788" s="5">
        <v>0</v>
      </c>
      <c r="C788" s="5">
        <v>61</v>
      </c>
      <c r="D788" s="5">
        <v>4</v>
      </c>
      <c r="E788" s="5">
        <v>100</v>
      </c>
      <c r="F788" s="5">
        <v>13</v>
      </c>
      <c r="G788" s="5">
        <v>300</v>
      </c>
      <c r="H788" s="5" t="s">
        <v>4572</v>
      </c>
      <c r="I788" s="5" t="s">
        <v>4814</v>
      </c>
      <c r="J788" s="5" t="s">
        <v>4819</v>
      </c>
      <c r="K788" s="10" t="e">
        <f t="shared" si="0"/>
        <v>#VALUE!</v>
      </c>
      <c r="L788" s="10">
        <f t="shared" si="1"/>
        <v>1</v>
      </c>
      <c r="M788" s="10" t="str">
        <f t="shared" si="2"/>
        <v xml:space="preserve">03 </v>
      </c>
      <c r="N788" s="10" t="str">
        <f t="shared" si="3"/>
        <v>1 D</v>
      </c>
      <c r="O788" s="10" t="str">
        <f t="shared" si="16"/>
        <v>ELAYU</v>
      </c>
    </row>
    <row r="789" spans="1:15" ht="12.5">
      <c r="A789" s="115" t="s">
        <v>4820</v>
      </c>
      <c r="B789" s="5">
        <v>0</v>
      </c>
      <c r="C789" s="5">
        <v>61</v>
      </c>
      <c r="D789" s="5">
        <v>4</v>
      </c>
      <c r="E789" s="5">
        <v>100</v>
      </c>
      <c r="F789" s="5">
        <v>13</v>
      </c>
      <c r="G789" s="5">
        <v>400</v>
      </c>
      <c r="H789" s="5" t="s">
        <v>4572</v>
      </c>
      <c r="I789" s="5" t="s">
        <v>4814</v>
      </c>
      <c r="J789" s="5" t="s">
        <v>4821</v>
      </c>
      <c r="K789" s="10" t="e">
        <f t="shared" si="0"/>
        <v>#VALUE!</v>
      </c>
      <c r="L789" s="10">
        <f t="shared" si="1"/>
        <v>1</v>
      </c>
      <c r="M789" s="10" t="str">
        <f t="shared" si="2"/>
        <v xml:space="preserve">04 </v>
      </c>
      <c r="N789" s="10" t="str">
        <f t="shared" si="3"/>
        <v>2 D</v>
      </c>
      <c r="O789" s="10" t="str">
        <f t="shared" si="16"/>
        <v>ENJUANG</v>
      </c>
    </row>
    <row r="790" spans="1:15" ht="12.5">
      <c r="A790" s="115" t="s">
        <v>4822</v>
      </c>
      <c r="B790" s="5">
        <v>0</v>
      </c>
      <c r="C790" s="5">
        <v>61</v>
      </c>
      <c r="D790" s="5">
        <v>4</v>
      </c>
      <c r="E790" s="5">
        <v>100</v>
      </c>
      <c r="F790" s="5">
        <v>13</v>
      </c>
      <c r="G790" s="5">
        <v>500</v>
      </c>
      <c r="H790" s="5" t="s">
        <v>4572</v>
      </c>
      <c r="I790" s="5" t="s">
        <v>4814</v>
      </c>
      <c r="J790" s="5" t="s">
        <v>4823</v>
      </c>
      <c r="K790" s="10" t="e">
        <f t="shared" si="0"/>
        <v>#VALUE!</v>
      </c>
      <c r="L790" s="10">
        <f t="shared" si="1"/>
        <v>1</v>
      </c>
      <c r="M790" s="10" t="str">
        <f t="shared" si="2"/>
        <v xml:space="preserve">05 </v>
      </c>
      <c r="N790" s="10" t="str">
        <f t="shared" si="3"/>
        <v>2 D</v>
      </c>
      <c r="O790" s="10" t="str">
        <f t="shared" si="16"/>
        <v>ENJUANG</v>
      </c>
    </row>
    <row r="791" spans="1:15" ht="12.5">
      <c r="A791" s="115" t="s">
        <v>4824</v>
      </c>
      <c r="B791" s="5">
        <v>0</v>
      </c>
      <c r="C791" s="5">
        <v>61</v>
      </c>
      <c r="D791" s="5">
        <v>4</v>
      </c>
      <c r="E791" s="5">
        <v>100</v>
      </c>
      <c r="F791" s="5">
        <v>13</v>
      </c>
      <c r="G791" s="5">
        <v>600</v>
      </c>
      <c r="H791" s="5" t="s">
        <v>4572</v>
      </c>
      <c r="I791" s="5" t="s">
        <v>4814</v>
      </c>
      <c r="J791" s="5" t="s">
        <v>4825</v>
      </c>
      <c r="K791" s="10" t="e">
        <f t="shared" si="0"/>
        <v>#VALUE!</v>
      </c>
      <c r="L791" s="10">
        <f t="shared" si="1"/>
        <v>1</v>
      </c>
      <c r="M791" s="10" t="str">
        <f t="shared" si="2"/>
        <v xml:space="preserve">06 </v>
      </c>
      <c r="N791" s="10" t="str">
        <f t="shared" si="3"/>
        <v>3 D</v>
      </c>
      <c r="O791" s="10" t="str">
        <f t="shared" si="16"/>
        <v>EWA</v>
      </c>
    </row>
    <row r="792" spans="1:15" ht="12.5">
      <c r="A792" s="115" t="s">
        <v>4826</v>
      </c>
      <c r="B792" s="5">
        <v>0</v>
      </c>
      <c r="C792" s="5">
        <v>61</v>
      </c>
      <c r="D792" s="5">
        <v>4</v>
      </c>
      <c r="E792" s="5">
        <v>100</v>
      </c>
      <c r="F792" s="5">
        <v>13</v>
      </c>
      <c r="G792" s="5">
        <v>700</v>
      </c>
      <c r="H792" s="5" t="s">
        <v>4572</v>
      </c>
      <c r="I792" s="5" t="s">
        <v>4814</v>
      </c>
      <c r="J792" s="5" t="s">
        <v>4827</v>
      </c>
      <c r="K792" s="10" t="e">
        <f t="shared" si="0"/>
        <v>#VALUE!</v>
      </c>
      <c r="L792" s="10">
        <f t="shared" si="1"/>
        <v>1</v>
      </c>
      <c r="M792" s="10" t="str">
        <f t="shared" si="2"/>
        <v xml:space="preserve">07 </v>
      </c>
      <c r="N792" s="10" t="str">
        <f t="shared" si="3"/>
        <v>3 D</v>
      </c>
      <c r="O792" s="10" t="str">
        <f t="shared" si="16"/>
        <v>EWA</v>
      </c>
    </row>
    <row r="793" spans="1:15" ht="12.5">
      <c r="A793" s="115" t="s">
        <v>4828</v>
      </c>
      <c r="B793" s="5">
        <v>0</v>
      </c>
      <c r="C793" s="5">
        <v>61</v>
      </c>
      <c r="D793" s="5">
        <v>4</v>
      </c>
      <c r="E793" s="5">
        <v>100</v>
      </c>
      <c r="F793" s="5">
        <v>13</v>
      </c>
      <c r="G793" s="5">
        <v>800</v>
      </c>
      <c r="H793" s="5" t="s">
        <v>4572</v>
      </c>
      <c r="I793" s="5" t="s">
        <v>4814</v>
      </c>
      <c r="J793" s="5" t="s">
        <v>4829</v>
      </c>
      <c r="K793" s="10" t="e">
        <f t="shared" si="0"/>
        <v>#VALUE!</v>
      </c>
      <c r="L793" s="10">
        <f t="shared" si="1"/>
        <v>1</v>
      </c>
      <c r="M793" s="10" t="str">
        <f t="shared" si="2"/>
        <v xml:space="preserve">08 </v>
      </c>
      <c r="N793" s="10" t="str">
        <f t="shared" si="3"/>
        <v>3 D</v>
      </c>
      <c r="O793" s="10" t="str">
        <f t="shared" si="16"/>
        <v>EWA</v>
      </c>
    </row>
    <row r="794" spans="1:15" ht="12.5">
      <c r="A794" s="115" t="s">
        <v>4830</v>
      </c>
      <c r="B794" s="5">
        <v>0</v>
      </c>
      <c r="C794" s="5">
        <v>61</v>
      </c>
      <c r="D794" s="5">
        <v>4</v>
      </c>
      <c r="E794" s="5">
        <v>100</v>
      </c>
      <c r="F794" s="5">
        <v>13</v>
      </c>
      <c r="G794" s="5">
        <v>900</v>
      </c>
      <c r="H794" s="5" t="s">
        <v>4572</v>
      </c>
      <c r="I794" s="5" t="s">
        <v>4814</v>
      </c>
      <c r="J794" s="5" t="s">
        <v>4831</v>
      </c>
      <c r="K794" s="10" t="e">
        <f t="shared" si="0"/>
        <v>#VALUE!</v>
      </c>
      <c r="L794" s="10">
        <f t="shared" si="1"/>
        <v>1</v>
      </c>
      <c r="M794" s="10" t="str">
        <f t="shared" si="2"/>
        <v xml:space="preserve">09 </v>
      </c>
      <c r="N794" s="10" t="str">
        <f t="shared" si="3"/>
        <v>4 D</v>
      </c>
      <c r="O794" s="10" t="str">
        <f t="shared" si="16"/>
        <v>EWA</v>
      </c>
    </row>
    <row r="795" spans="1:15" ht="12.5">
      <c r="A795" s="115" t="s">
        <v>4832</v>
      </c>
      <c r="B795" s="5">
        <v>0</v>
      </c>
      <c r="C795" s="5">
        <v>61</v>
      </c>
      <c r="D795" s="5">
        <v>4</v>
      </c>
      <c r="E795" s="5">
        <v>100</v>
      </c>
      <c r="F795" s="5">
        <v>13</v>
      </c>
      <c r="G795" s="5">
        <v>1000</v>
      </c>
      <c r="H795" s="5" t="s">
        <v>4572</v>
      </c>
      <c r="I795" s="5" t="s">
        <v>4814</v>
      </c>
      <c r="J795" s="5" t="s">
        <v>4833</v>
      </c>
      <c r="K795" s="10" t="e">
        <f t="shared" si="0"/>
        <v>#VALUE!</v>
      </c>
      <c r="L795" s="10">
        <f t="shared" si="1"/>
        <v>1</v>
      </c>
      <c r="M795" s="10" t="str">
        <f t="shared" si="2"/>
        <v xml:space="preserve">10 </v>
      </c>
      <c r="N795" s="10" t="str">
        <f t="shared" si="3"/>
        <v>4 D</v>
      </c>
      <c r="O795" s="10" t="str">
        <f t="shared" si="16"/>
        <v>EWA</v>
      </c>
    </row>
    <row r="796" spans="1:15" ht="12.5">
      <c r="A796" s="115" t="s">
        <v>4834</v>
      </c>
      <c r="B796" s="5">
        <v>0</v>
      </c>
      <c r="C796" s="5">
        <v>61</v>
      </c>
      <c r="D796" s="5">
        <v>4</v>
      </c>
      <c r="E796" s="5">
        <v>100</v>
      </c>
      <c r="F796" s="5">
        <v>13</v>
      </c>
      <c r="G796" s="5">
        <v>1100</v>
      </c>
      <c r="H796" s="5" t="s">
        <v>4572</v>
      </c>
      <c r="I796" s="5" t="s">
        <v>4814</v>
      </c>
      <c r="J796" s="5" t="s">
        <v>4835</v>
      </c>
      <c r="K796" s="10" t="e">
        <f t="shared" si="0"/>
        <v>#VALUE!</v>
      </c>
      <c r="L796" s="10">
        <f t="shared" si="1"/>
        <v>1</v>
      </c>
      <c r="M796" s="10" t="str">
        <f t="shared" si="2"/>
        <v xml:space="preserve">11 </v>
      </c>
      <c r="N796" s="10" t="str">
        <f t="shared" si="3"/>
        <v>5 D</v>
      </c>
      <c r="O796" s="10" t="str">
        <f t="shared" si="16"/>
        <v>EWA</v>
      </c>
    </row>
    <row r="797" spans="1:15" ht="12.5">
      <c r="A797" s="115" t="s">
        <v>4836</v>
      </c>
      <c r="B797" s="5">
        <v>0</v>
      </c>
      <c r="C797" s="5">
        <v>61</v>
      </c>
      <c r="D797" s="5">
        <v>4</v>
      </c>
      <c r="E797" s="5">
        <v>100</v>
      </c>
      <c r="F797" s="5">
        <v>13</v>
      </c>
      <c r="G797" s="5">
        <v>1200</v>
      </c>
      <c r="H797" s="5" t="s">
        <v>4572</v>
      </c>
      <c r="I797" s="5" t="s">
        <v>4814</v>
      </c>
      <c r="J797" s="5" t="s">
        <v>4837</v>
      </c>
      <c r="K797" s="10" t="e">
        <f t="shared" si="0"/>
        <v>#VALUE!</v>
      </c>
      <c r="L797" s="10">
        <f t="shared" si="1"/>
        <v>1</v>
      </c>
      <c r="M797" s="10" t="str">
        <f t="shared" si="2"/>
        <v xml:space="preserve">12 </v>
      </c>
      <c r="N797" s="10" t="str">
        <f t="shared" si="3"/>
        <v>5 D</v>
      </c>
      <c r="O797" s="10" t="str">
        <f t="shared" si="16"/>
        <v>EWA</v>
      </c>
    </row>
    <row r="798" spans="1:15" ht="12.5">
      <c r="A798" s="115" t="s">
        <v>4838</v>
      </c>
      <c r="B798" s="5">
        <v>1</v>
      </c>
      <c r="C798" s="5">
        <v>61</v>
      </c>
      <c r="D798" s="5">
        <v>4</v>
      </c>
      <c r="E798" s="5">
        <v>100</v>
      </c>
      <c r="F798" s="5">
        <v>13</v>
      </c>
      <c r="G798" s="5">
        <v>100100</v>
      </c>
      <c r="H798" s="5" t="s">
        <v>4572</v>
      </c>
      <c r="I798" s="5" t="s">
        <v>4814</v>
      </c>
      <c r="J798" s="5" t="s">
        <v>4839</v>
      </c>
      <c r="K798" s="10" t="e">
        <f t="shared" si="0"/>
        <v>#VALUE!</v>
      </c>
      <c r="L798" s="10">
        <f t="shared" si="1"/>
        <v>0</v>
      </c>
      <c r="M798" s="10" t="str">
        <f t="shared" si="2"/>
        <v xml:space="preserve">UN </v>
      </c>
      <c r="N798" s="10" t="str">
        <f t="shared" si="3"/>
        <v>06P</v>
      </c>
      <c r="O798" s="10" t="str">
        <f t="shared" si="16"/>
        <v/>
      </c>
    </row>
    <row r="799" spans="1:15" ht="12.5">
      <c r="A799" s="115" t="s">
        <v>4840</v>
      </c>
      <c r="B799" s="5">
        <v>0</v>
      </c>
      <c r="C799" s="5">
        <v>61</v>
      </c>
      <c r="D799" s="5">
        <v>4</v>
      </c>
      <c r="E799" s="5">
        <v>100</v>
      </c>
      <c r="F799" s="5">
        <v>14</v>
      </c>
      <c r="G799" s="5">
        <v>100</v>
      </c>
      <c r="H799" s="5" t="s">
        <v>4572</v>
      </c>
      <c r="I799" s="5" t="s">
        <v>4841</v>
      </c>
      <c r="J799" s="5" t="s">
        <v>4842</v>
      </c>
      <c r="K799" s="10" t="e">
        <f t="shared" si="0"/>
        <v>#VALUE!</v>
      </c>
      <c r="L799" s="10">
        <f t="shared" si="1"/>
        <v>1</v>
      </c>
      <c r="M799" s="10" t="str">
        <f t="shared" si="2"/>
        <v>001</v>
      </c>
      <c r="N799" s="10" t="str">
        <f t="shared" si="3"/>
        <v>001</v>
      </c>
      <c r="O799" s="10" t="str">
        <f t="shared" si="16"/>
        <v>BUGIS</v>
      </c>
    </row>
    <row r="800" spans="1:15" ht="12.5">
      <c r="A800" s="115" t="s">
        <v>4843</v>
      </c>
      <c r="B800" s="5">
        <v>0</v>
      </c>
      <c r="C800" s="5">
        <v>61</v>
      </c>
      <c r="D800" s="5">
        <v>4</v>
      </c>
      <c r="E800" s="5">
        <v>100</v>
      </c>
      <c r="F800" s="5">
        <v>14</v>
      </c>
      <c r="G800" s="5">
        <v>200</v>
      </c>
      <c r="H800" s="5" t="s">
        <v>4572</v>
      </c>
      <c r="I800" s="5" t="s">
        <v>4841</v>
      </c>
      <c r="J800" s="5" t="s">
        <v>4844</v>
      </c>
      <c r="K800" s="10" t="e">
        <f t="shared" si="0"/>
        <v>#VALUE!</v>
      </c>
      <c r="L800" s="10">
        <f t="shared" si="1"/>
        <v>1</v>
      </c>
      <c r="M800" s="10" t="str">
        <f t="shared" si="2"/>
        <v>002</v>
      </c>
      <c r="N800" s="10" t="str">
        <f t="shared" si="3"/>
        <v>001</v>
      </c>
      <c r="O800" s="10" t="str">
        <f t="shared" si="16"/>
        <v>BUGIS</v>
      </c>
    </row>
    <row r="801" spans="1:15" ht="12.5">
      <c r="A801" s="115" t="s">
        <v>4845</v>
      </c>
      <c r="B801" s="5">
        <v>0</v>
      </c>
      <c r="C801" s="5">
        <v>61</v>
      </c>
      <c r="D801" s="5">
        <v>4</v>
      </c>
      <c r="E801" s="5">
        <v>100</v>
      </c>
      <c r="F801" s="5">
        <v>14</v>
      </c>
      <c r="G801" s="5">
        <v>300</v>
      </c>
      <c r="H801" s="5" t="s">
        <v>4572</v>
      </c>
      <c r="I801" s="5" t="s">
        <v>4841</v>
      </c>
      <c r="J801" s="5" t="s">
        <v>4846</v>
      </c>
      <c r="K801" s="10" t="e">
        <f t="shared" si="0"/>
        <v>#VALUE!</v>
      </c>
      <c r="L801" s="10">
        <f t="shared" si="1"/>
        <v>1</v>
      </c>
      <c r="M801" s="10" t="str">
        <f t="shared" si="2"/>
        <v>003</v>
      </c>
      <c r="N801" s="10" t="str">
        <f t="shared" si="3"/>
        <v>001</v>
      </c>
      <c r="O801" s="10" t="str">
        <f t="shared" si="16"/>
        <v>BUGIS</v>
      </c>
    </row>
    <row r="802" spans="1:15" ht="12.5">
      <c r="A802" s="115" t="s">
        <v>4847</v>
      </c>
      <c r="B802" s="5">
        <v>0</v>
      </c>
      <c r="C802" s="5">
        <v>61</v>
      </c>
      <c r="D802" s="5">
        <v>4</v>
      </c>
      <c r="E802" s="5">
        <v>100</v>
      </c>
      <c r="F802" s="5">
        <v>14</v>
      </c>
      <c r="G802" s="5">
        <v>400</v>
      </c>
      <c r="H802" s="5" t="s">
        <v>4572</v>
      </c>
      <c r="I802" s="5" t="s">
        <v>4841</v>
      </c>
      <c r="J802" s="5" t="s">
        <v>3869</v>
      </c>
      <c r="K802" s="10" t="e">
        <f t="shared" si="0"/>
        <v>#VALUE!</v>
      </c>
      <c r="L802" s="10">
        <f t="shared" si="1"/>
        <v>1</v>
      </c>
      <c r="M802" s="10" t="str">
        <f t="shared" si="2"/>
        <v>004</v>
      </c>
      <c r="N802" s="10" t="str">
        <f t="shared" si="3"/>
        <v>002</v>
      </c>
      <c r="O802" s="10" t="str">
        <f t="shared" si="16"/>
        <v>SUKA DAMA</v>
      </c>
    </row>
    <row r="803" spans="1:15" ht="12.5">
      <c r="A803" s="115" t="s">
        <v>4848</v>
      </c>
      <c r="B803" s="5">
        <v>0</v>
      </c>
      <c r="C803" s="5">
        <v>61</v>
      </c>
      <c r="D803" s="5">
        <v>4</v>
      </c>
      <c r="E803" s="5">
        <v>100</v>
      </c>
      <c r="F803" s="5">
        <v>14</v>
      </c>
      <c r="G803" s="5">
        <v>500</v>
      </c>
      <c r="H803" s="5" t="s">
        <v>4572</v>
      </c>
      <c r="I803" s="5" t="s">
        <v>4841</v>
      </c>
      <c r="J803" s="5" t="s">
        <v>3871</v>
      </c>
      <c r="K803" s="10" t="e">
        <f t="shared" si="0"/>
        <v>#VALUE!</v>
      </c>
      <c r="L803" s="10">
        <f t="shared" si="1"/>
        <v>1</v>
      </c>
      <c r="M803" s="10" t="str">
        <f t="shared" si="2"/>
        <v>005</v>
      </c>
      <c r="N803" s="10" t="str">
        <f t="shared" si="3"/>
        <v>002</v>
      </c>
      <c r="O803" s="10" t="str">
        <f t="shared" si="16"/>
        <v>SUKA DAMA</v>
      </c>
    </row>
    <row r="804" spans="1:15" ht="12.5">
      <c r="A804" s="115" t="s">
        <v>4849</v>
      </c>
      <c r="B804" s="5">
        <v>0</v>
      </c>
      <c r="C804" s="5">
        <v>61</v>
      </c>
      <c r="D804" s="5">
        <v>4</v>
      </c>
      <c r="E804" s="5">
        <v>100</v>
      </c>
      <c r="F804" s="5">
        <v>14</v>
      </c>
      <c r="G804" s="5">
        <v>600</v>
      </c>
      <c r="H804" s="5" t="s">
        <v>4572</v>
      </c>
      <c r="I804" s="5" t="s">
        <v>4841</v>
      </c>
      <c r="J804" s="5" t="s">
        <v>4850</v>
      </c>
      <c r="K804" s="10" t="e">
        <f t="shared" si="0"/>
        <v>#VALUE!</v>
      </c>
      <c r="L804" s="10">
        <f t="shared" si="1"/>
        <v>1</v>
      </c>
      <c r="M804" s="10" t="str">
        <f t="shared" si="2"/>
        <v>006</v>
      </c>
      <c r="N804" s="10" t="str">
        <f t="shared" si="3"/>
        <v>003</v>
      </c>
      <c r="O804" s="10" t="str">
        <f t="shared" si="16"/>
        <v>SUKA DAMA</v>
      </c>
    </row>
    <row r="805" spans="1:15" ht="12.5">
      <c r="A805" s="115" t="s">
        <v>4851</v>
      </c>
      <c r="B805" s="5">
        <v>0</v>
      </c>
      <c r="C805" s="5">
        <v>61</v>
      </c>
      <c r="D805" s="5">
        <v>4</v>
      </c>
      <c r="E805" s="5">
        <v>100</v>
      </c>
      <c r="F805" s="5">
        <v>14</v>
      </c>
      <c r="G805" s="5">
        <v>700</v>
      </c>
      <c r="H805" s="5" t="s">
        <v>4572</v>
      </c>
      <c r="I805" s="5" t="s">
        <v>4841</v>
      </c>
      <c r="J805" s="5" t="s">
        <v>4852</v>
      </c>
      <c r="K805" s="10" t="e">
        <f t="shared" si="0"/>
        <v>#VALUE!</v>
      </c>
      <c r="L805" s="10">
        <f t="shared" si="1"/>
        <v>1</v>
      </c>
      <c r="M805" s="10" t="str">
        <f t="shared" si="2"/>
        <v>007</v>
      </c>
      <c r="N805" s="10" t="str">
        <f t="shared" si="3"/>
        <v>003</v>
      </c>
      <c r="O805" s="10" t="str">
        <f t="shared" si="16"/>
        <v>SUKA DAMA</v>
      </c>
    </row>
    <row r="806" spans="1:15" ht="12.5">
      <c r="A806" s="115" t="s">
        <v>4853</v>
      </c>
      <c r="B806" s="5">
        <v>0</v>
      </c>
      <c r="C806" s="5">
        <v>61</v>
      </c>
      <c r="D806" s="5">
        <v>4</v>
      </c>
      <c r="E806" s="5">
        <v>100</v>
      </c>
      <c r="F806" s="5">
        <v>14</v>
      </c>
      <c r="G806" s="5">
        <v>800</v>
      </c>
      <c r="H806" s="5" t="s">
        <v>4572</v>
      </c>
      <c r="I806" s="5" t="s">
        <v>4841</v>
      </c>
      <c r="J806" s="5" t="s">
        <v>4854</v>
      </c>
      <c r="K806" s="10" t="e">
        <f t="shared" si="0"/>
        <v>#VALUE!</v>
      </c>
      <c r="L806" s="10">
        <f t="shared" si="1"/>
        <v>1</v>
      </c>
      <c r="M806" s="10" t="str">
        <f t="shared" si="2"/>
        <v>008</v>
      </c>
      <c r="N806" s="10" t="str">
        <f t="shared" si="3"/>
        <v>004</v>
      </c>
      <c r="O806" s="10" t="str">
        <f t="shared" si="16"/>
        <v>SIMPANG T</v>
      </c>
    </row>
    <row r="807" spans="1:15" ht="12.5">
      <c r="A807" s="115" t="s">
        <v>4855</v>
      </c>
      <c r="B807" s="5">
        <v>0</v>
      </c>
      <c r="C807" s="5">
        <v>61</v>
      </c>
      <c r="D807" s="5">
        <v>4</v>
      </c>
      <c r="E807" s="5">
        <v>100</v>
      </c>
      <c r="F807" s="5">
        <v>14</v>
      </c>
      <c r="G807" s="5">
        <v>900</v>
      </c>
      <c r="H807" s="5" t="s">
        <v>4572</v>
      </c>
      <c r="I807" s="5" t="s">
        <v>4841</v>
      </c>
      <c r="J807" s="5" t="s">
        <v>4856</v>
      </c>
      <c r="K807" s="10" t="e">
        <f t="shared" si="0"/>
        <v>#VALUE!</v>
      </c>
      <c r="L807" s="10">
        <f t="shared" si="1"/>
        <v>1</v>
      </c>
      <c r="M807" s="10" t="str">
        <f t="shared" si="2"/>
        <v>009</v>
      </c>
      <c r="N807" s="10" t="str">
        <f t="shared" si="3"/>
        <v>004</v>
      </c>
      <c r="O807" s="10" t="str">
        <f t="shared" si="16"/>
        <v>SIMPANG T</v>
      </c>
    </row>
    <row r="808" spans="1:15" ht="12.5">
      <c r="A808" s="115" t="s">
        <v>4857</v>
      </c>
      <c r="B808" s="5">
        <v>0</v>
      </c>
      <c r="C808" s="5">
        <v>61</v>
      </c>
      <c r="D808" s="5">
        <v>4</v>
      </c>
      <c r="E808" s="5">
        <v>100</v>
      </c>
      <c r="F808" s="5">
        <v>14</v>
      </c>
      <c r="G808" s="5">
        <v>1000</v>
      </c>
      <c r="H808" s="5" t="s">
        <v>4572</v>
      </c>
      <c r="I808" s="5" t="s">
        <v>4841</v>
      </c>
      <c r="J808" s="5" t="s">
        <v>4858</v>
      </c>
      <c r="K808" s="10" t="e">
        <f t="shared" si="0"/>
        <v>#VALUE!</v>
      </c>
      <c r="L808" s="10">
        <f t="shared" si="1"/>
        <v>1</v>
      </c>
      <c r="M808" s="10" t="str">
        <f t="shared" si="2"/>
        <v>010</v>
      </c>
      <c r="N808" s="10" t="str">
        <f t="shared" si="3"/>
        <v>005</v>
      </c>
      <c r="O808" s="10" t="str">
        <f t="shared" si="16"/>
        <v>SIMPANG T</v>
      </c>
    </row>
    <row r="809" spans="1:15" ht="12.5">
      <c r="A809" s="115" t="s">
        <v>4859</v>
      </c>
      <c r="B809" s="5">
        <v>0</v>
      </c>
      <c r="C809" s="5">
        <v>61</v>
      </c>
      <c r="D809" s="5">
        <v>4</v>
      </c>
      <c r="E809" s="5">
        <v>100</v>
      </c>
      <c r="F809" s="5">
        <v>14</v>
      </c>
      <c r="G809" s="5">
        <v>1100</v>
      </c>
      <c r="H809" s="5" t="s">
        <v>4572</v>
      </c>
      <c r="I809" s="5" t="s">
        <v>4841</v>
      </c>
      <c r="J809" s="5" t="s">
        <v>4860</v>
      </c>
      <c r="K809" s="10" t="e">
        <f t="shared" si="0"/>
        <v>#VALUE!</v>
      </c>
      <c r="L809" s="10">
        <f t="shared" si="1"/>
        <v>1</v>
      </c>
      <c r="M809" s="10" t="str">
        <f t="shared" si="2"/>
        <v>011</v>
      </c>
      <c r="N809" s="10" t="str">
        <f t="shared" si="3"/>
        <v>005</v>
      </c>
      <c r="O809" s="10" t="str">
        <f t="shared" si="16"/>
        <v>SIMPANG T</v>
      </c>
    </row>
    <row r="810" spans="1:15" ht="12.5">
      <c r="A810" s="115" t="s">
        <v>4861</v>
      </c>
      <c r="B810" s="5">
        <v>0</v>
      </c>
      <c r="C810" s="5">
        <v>61</v>
      </c>
      <c r="D810" s="5">
        <v>4</v>
      </c>
      <c r="E810" s="5">
        <v>100</v>
      </c>
      <c r="F810" s="5">
        <v>14</v>
      </c>
      <c r="G810" s="5">
        <v>1200</v>
      </c>
      <c r="H810" s="5" t="s">
        <v>4572</v>
      </c>
      <c r="I810" s="5" t="s">
        <v>4841</v>
      </c>
      <c r="J810" s="5" t="s">
        <v>4862</v>
      </c>
      <c r="K810" s="10" t="e">
        <f t="shared" si="0"/>
        <v>#VALUE!</v>
      </c>
      <c r="L810" s="10">
        <f t="shared" si="1"/>
        <v>1</v>
      </c>
      <c r="M810" s="10" t="str">
        <f t="shared" si="2"/>
        <v>012</v>
      </c>
      <c r="N810" s="10" t="str">
        <f t="shared" si="3"/>
        <v>006</v>
      </c>
      <c r="O810" s="10" t="str">
        <f t="shared" si="16"/>
        <v>PARIT SEN</v>
      </c>
    </row>
    <row r="811" spans="1:15" ht="12.5">
      <c r="A811" s="115" t="s">
        <v>4863</v>
      </c>
      <c r="B811" s="5">
        <v>0</v>
      </c>
      <c r="C811" s="5">
        <v>61</v>
      </c>
      <c r="D811" s="5">
        <v>4</v>
      </c>
      <c r="E811" s="5">
        <v>100</v>
      </c>
      <c r="F811" s="5">
        <v>14</v>
      </c>
      <c r="G811" s="5">
        <v>1300</v>
      </c>
      <c r="H811" s="5" t="s">
        <v>4572</v>
      </c>
      <c r="I811" s="5" t="s">
        <v>4841</v>
      </c>
      <c r="J811" s="5" t="s">
        <v>4864</v>
      </c>
      <c r="K811" s="10" t="e">
        <f t="shared" si="0"/>
        <v>#VALUE!</v>
      </c>
      <c r="L811" s="10">
        <f t="shared" si="1"/>
        <v>1</v>
      </c>
      <c r="M811" s="10" t="str">
        <f t="shared" si="2"/>
        <v>013</v>
      </c>
      <c r="N811" s="10" t="str">
        <f t="shared" si="3"/>
        <v>006</v>
      </c>
      <c r="O811" s="10" t="str">
        <f t="shared" si="16"/>
        <v>PARIT SEN</v>
      </c>
    </row>
    <row r="812" spans="1:15" ht="12.5">
      <c r="A812" s="115" t="s">
        <v>4865</v>
      </c>
      <c r="B812" s="5">
        <v>0</v>
      </c>
      <c r="C812" s="5">
        <v>61</v>
      </c>
      <c r="D812" s="5">
        <v>4</v>
      </c>
      <c r="E812" s="5">
        <v>100</v>
      </c>
      <c r="F812" s="5">
        <v>14</v>
      </c>
      <c r="G812" s="5">
        <v>1400</v>
      </c>
      <c r="H812" s="5" t="s">
        <v>4572</v>
      </c>
      <c r="I812" s="5" t="s">
        <v>4841</v>
      </c>
      <c r="J812" s="5" t="s">
        <v>4866</v>
      </c>
      <c r="K812" s="10" t="e">
        <f t="shared" si="0"/>
        <v>#VALUE!</v>
      </c>
      <c r="L812" s="10">
        <f t="shared" si="1"/>
        <v>1</v>
      </c>
      <c r="M812" s="10" t="str">
        <f t="shared" si="2"/>
        <v>014</v>
      </c>
      <c r="N812" s="10" t="str">
        <f t="shared" si="3"/>
        <v>007</v>
      </c>
      <c r="O812" s="10" t="str">
        <f t="shared" si="16"/>
        <v>PARIT SEN</v>
      </c>
    </row>
    <row r="813" spans="1:15" ht="12.5">
      <c r="A813" s="115" t="s">
        <v>4867</v>
      </c>
      <c r="B813" s="5">
        <v>0</v>
      </c>
      <c r="C813" s="5">
        <v>61</v>
      </c>
      <c r="D813" s="5">
        <v>4</v>
      </c>
      <c r="E813" s="5">
        <v>100</v>
      </c>
      <c r="F813" s="5">
        <v>14</v>
      </c>
      <c r="G813" s="5">
        <v>1500</v>
      </c>
      <c r="H813" s="5" t="s">
        <v>4572</v>
      </c>
      <c r="I813" s="5" t="s">
        <v>4841</v>
      </c>
      <c r="J813" s="5" t="s">
        <v>4868</v>
      </c>
      <c r="K813" s="10" t="e">
        <f t="shared" si="0"/>
        <v>#VALUE!</v>
      </c>
      <c r="L813" s="10">
        <f t="shared" si="1"/>
        <v>1</v>
      </c>
      <c r="M813" s="10" t="str">
        <f t="shared" si="2"/>
        <v>015</v>
      </c>
      <c r="N813" s="10" t="str">
        <f t="shared" si="3"/>
        <v>007</v>
      </c>
      <c r="O813" s="10" t="str">
        <f t="shared" si="16"/>
        <v>PARIT SEN</v>
      </c>
    </row>
    <row r="814" spans="1:15" ht="12.5">
      <c r="A814" s="115" t="s">
        <v>4869</v>
      </c>
      <c r="B814" s="5">
        <v>0</v>
      </c>
      <c r="C814" s="5">
        <v>61</v>
      </c>
      <c r="D814" s="5">
        <v>4</v>
      </c>
      <c r="E814" s="5">
        <v>100</v>
      </c>
      <c r="F814" s="5">
        <v>14</v>
      </c>
      <c r="G814" s="5">
        <v>1600</v>
      </c>
      <c r="H814" s="5" t="s">
        <v>4572</v>
      </c>
      <c r="I814" s="5" t="s">
        <v>4841</v>
      </c>
      <c r="J814" s="5" t="s">
        <v>4870</v>
      </c>
      <c r="K814" s="10" t="e">
        <f t="shared" si="0"/>
        <v>#VALUE!</v>
      </c>
      <c r="L814" s="10">
        <f t="shared" si="1"/>
        <v>1</v>
      </c>
      <c r="M814" s="10" t="str">
        <f t="shared" si="2"/>
        <v>016</v>
      </c>
      <c r="N814" s="10" t="str">
        <f t="shared" si="3"/>
        <v>007</v>
      </c>
      <c r="O814" s="10" t="str">
        <f t="shared" si="16"/>
        <v>PARIT SEN</v>
      </c>
    </row>
    <row r="815" spans="1:15" ht="12.5">
      <c r="A815" s="115" t="s">
        <v>4871</v>
      </c>
      <c r="B815" s="5">
        <v>2</v>
      </c>
      <c r="C815" s="5">
        <v>61</v>
      </c>
      <c r="D815" s="5">
        <v>4</v>
      </c>
      <c r="E815" s="5">
        <v>100</v>
      </c>
      <c r="F815" s="5">
        <v>14</v>
      </c>
      <c r="G815" s="5">
        <v>200100</v>
      </c>
      <c r="H815" s="5" t="s">
        <v>4572</v>
      </c>
      <c r="I815" s="5" t="s">
        <v>4841</v>
      </c>
      <c r="J815" s="5" t="s">
        <v>4872</v>
      </c>
      <c r="K815" s="10" t="e">
        <f t="shared" si="0"/>
        <v>#VALUE!</v>
      </c>
      <c r="L815" s="10">
        <f t="shared" si="1"/>
        <v>0</v>
      </c>
      <c r="M815" s="10" t="str">
        <f t="shared" si="2"/>
        <v xml:space="preserve">AN </v>
      </c>
      <c r="N815" s="10" t="str">
        <f t="shared" si="3"/>
        <v>ELA</v>
      </c>
      <c r="O815" s="10" t="str">
        <f t="shared" si="16"/>
        <v>T TERAKHIR</v>
      </c>
    </row>
    <row r="816" spans="1:15" ht="12.5">
      <c r="A816" s="115" t="s">
        <v>4873</v>
      </c>
      <c r="B816" s="5">
        <v>0</v>
      </c>
      <c r="C816" s="5">
        <v>61</v>
      </c>
      <c r="D816" s="5">
        <v>4</v>
      </c>
      <c r="E816" s="5">
        <v>100</v>
      </c>
      <c r="F816" s="5">
        <v>15</v>
      </c>
      <c r="G816" s="5">
        <v>100</v>
      </c>
      <c r="H816" s="5" t="s">
        <v>4572</v>
      </c>
      <c r="I816" s="5" t="s">
        <v>4874</v>
      </c>
      <c r="J816" s="5" t="s">
        <v>4875</v>
      </c>
      <c r="K816" s="10" t="e">
        <f t="shared" si="0"/>
        <v>#VALUE!</v>
      </c>
      <c r="L816" s="10">
        <f t="shared" si="1"/>
        <v>1</v>
      </c>
      <c r="M816" s="10" t="str">
        <f t="shared" si="2"/>
        <v xml:space="preserve">01 </v>
      </c>
      <c r="N816" s="10" t="str">
        <f t="shared" si="3"/>
        <v>1 D</v>
      </c>
      <c r="O816" s="10" t="str">
        <f t="shared" si="16"/>
        <v>URNIA</v>
      </c>
    </row>
    <row r="817" spans="1:15" ht="12.5">
      <c r="A817" s="115" t="s">
        <v>4876</v>
      </c>
      <c r="B817" s="5">
        <v>0</v>
      </c>
      <c r="C817" s="5">
        <v>61</v>
      </c>
      <c r="D817" s="5">
        <v>4</v>
      </c>
      <c r="E817" s="5">
        <v>100</v>
      </c>
      <c r="F817" s="5">
        <v>15</v>
      </c>
      <c r="G817" s="5">
        <v>200</v>
      </c>
      <c r="H817" s="5" t="s">
        <v>4572</v>
      </c>
      <c r="I817" s="5" t="s">
        <v>4874</v>
      </c>
      <c r="J817" s="5" t="s">
        <v>4877</v>
      </c>
      <c r="K817" s="10" t="e">
        <f t="shared" si="0"/>
        <v>#VALUE!</v>
      </c>
      <c r="L817" s="10">
        <f t="shared" si="1"/>
        <v>1</v>
      </c>
      <c r="M817" s="10" t="str">
        <f t="shared" si="2"/>
        <v xml:space="preserve">02 </v>
      </c>
      <c r="N817" s="10" t="str">
        <f t="shared" si="3"/>
        <v>1 D</v>
      </c>
      <c r="O817" s="10" t="str">
        <f t="shared" si="16"/>
        <v>URNIA</v>
      </c>
    </row>
    <row r="818" spans="1:15" ht="12.5">
      <c r="A818" s="115" t="s">
        <v>4878</v>
      </c>
      <c r="B818" s="5">
        <v>0</v>
      </c>
      <c r="C818" s="5">
        <v>61</v>
      </c>
      <c r="D818" s="5">
        <v>4</v>
      </c>
      <c r="E818" s="5">
        <v>100</v>
      </c>
      <c r="F818" s="5">
        <v>15</v>
      </c>
      <c r="G818" s="5">
        <v>300</v>
      </c>
      <c r="H818" s="5" t="s">
        <v>4572</v>
      </c>
      <c r="I818" s="5" t="s">
        <v>4874</v>
      </c>
      <c r="J818" s="5" t="s">
        <v>4879</v>
      </c>
      <c r="K818" s="10" t="e">
        <f t="shared" si="0"/>
        <v>#VALUE!</v>
      </c>
      <c r="L818" s="10">
        <f t="shared" si="1"/>
        <v>1</v>
      </c>
      <c r="M818" s="10" t="str">
        <f t="shared" si="2"/>
        <v xml:space="preserve">03 </v>
      </c>
      <c r="N818" s="10" t="str">
        <f t="shared" si="3"/>
        <v>1 D</v>
      </c>
      <c r="O818" s="10" t="str">
        <f t="shared" si="16"/>
        <v>URNIA</v>
      </c>
    </row>
    <row r="819" spans="1:15" ht="12.5">
      <c r="A819" s="115" t="s">
        <v>4880</v>
      </c>
      <c r="B819" s="5">
        <v>0</v>
      </c>
      <c r="C819" s="5">
        <v>61</v>
      </c>
      <c r="D819" s="5">
        <v>4</v>
      </c>
      <c r="E819" s="5">
        <v>100</v>
      </c>
      <c r="F819" s="5">
        <v>15</v>
      </c>
      <c r="G819" s="5">
        <v>400</v>
      </c>
      <c r="H819" s="5" t="s">
        <v>4572</v>
      </c>
      <c r="I819" s="5" t="s">
        <v>4874</v>
      </c>
      <c r="J819" s="5" t="s">
        <v>4881</v>
      </c>
      <c r="K819" s="10" t="e">
        <f t="shared" si="0"/>
        <v>#VALUE!</v>
      </c>
      <c r="L819" s="10">
        <f t="shared" si="1"/>
        <v>1</v>
      </c>
      <c r="M819" s="10" t="str">
        <f t="shared" si="2"/>
        <v xml:space="preserve">04 </v>
      </c>
      <c r="N819" s="10" t="str">
        <f t="shared" si="3"/>
        <v>2 D</v>
      </c>
      <c r="O819" s="10" t="str">
        <f t="shared" si="16"/>
        <v>ENTARI</v>
      </c>
    </row>
    <row r="820" spans="1:15" ht="12.5">
      <c r="A820" s="115" t="s">
        <v>4882</v>
      </c>
      <c r="B820" s="5">
        <v>0</v>
      </c>
      <c r="C820" s="5">
        <v>61</v>
      </c>
      <c r="D820" s="5">
        <v>4</v>
      </c>
      <c r="E820" s="5">
        <v>100</v>
      </c>
      <c r="F820" s="5">
        <v>15</v>
      </c>
      <c r="G820" s="5">
        <v>500</v>
      </c>
      <c r="H820" s="5" t="s">
        <v>4572</v>
      </c>
      <c r="I820" s="5" t="s">
        <v>4874</v>
      </c>
      <c r="J820" s="5" t="s">
        <v>4883</v>
      </c>
      <c r="K820" s="10" t="e">
        <f t="shared" si="0"/>
        <v>#VALUE!</v>
      </c>
      <c r="L820" s="10">
        <f t="shared" si="1"/>
        <v>1</v>
      </c>
      <c r="M820" s="10" t="str">
        <f t="shared" si="2"/>
        <v xml:space="preserve">05 </v>
      </c>
      <c r="N820" s="10" t="str">
        <f t="shared" si="3"/>
        <v>2 D</v>
      </c>
      <c r="O820" s="10" t="str">
        <f t="shared" si="16"/>
        <v>ENTARI</v>
      </c>
    </row>
    <row r="821" spans="1:15" ht="12.5">
      <c r="A821" s="115" t="s">
        <v>4884</v>
      </c>
      <c r="B821" s="5">
        <v>0</v>
      </c>
      <c r="C821" s="5">
        <v>61</v>
      </c>
      <c r="D821" s="5">
        <v>4</v>
      </c>
      <c r="E821" s="5">
        <v>100</v>
      </c>
      <c r="F821" s="5">
        <v>15</v>
      </c>
      <c r="G821" s="5">
        <v>600</v>
      </c>
      <c r="H821" s="5" t="s">
        <v>4572</v>
      </c>
      <c r="I821" s="5" t="s">
        <v>4874</v>
      </c>
      <c r="J821" s="5" t="s">
        <v>4885</v>
      </c>
      <c r="K821" s="10" t="e">
        <f t="shared" si="0"/>
        <v>#VALUE!</v>
      </c>
      <c r="L821" s="10">
        <f t="shared" si="1"/>
        <v>1</v>
      </c>
      <c r="M821" s="10" t="str">
        <f t="shared" si="2"/>
        <v xml:space="preserve">06 </v>
      </c>
      <c r="N821" s="10" t="str">
        <f t="shared" si="3"/>
        <v>2 D</v>
      </c>
      <c r="O821" s="10" t="str">
        <f t="shared" si="16"/>
        <v>ENTARI</v>
      </c>
    </row>
    <row r="822" spans="1:15" ht="12.5">
      <c r="A822" s="115" t="s">
        <v>4886</v>
      </c>
      <c r="B822" s="5">
        <v>0</v>
      </c>
      <c r="C822" s="5">
        <v>61</v>
      </c>
      <c r="D822" s="5">
        <v>4</v>
      </c>
      <c r="E822" s="5">
        <v>100</v>
      </c>
      <c r="F822" s="5">
        <v>15</v>
      </c>
      <c r="G822" s="5">
        <v>700</v>
      </c>
      <c r="H822" s="5" t="s">
        <v>4572</v>
      </c>
      <c r="I822" s="5" t="s">
        <v>4874</v>
      </c>
      <c r="J822" s="5" t="s">
        <v>4887</v>
      </c>
      <c r="K822" s="10" t="e">
        <f t="shared" si="0"/>
        <v>#VALUE!</v>
      </c>
      <c r="L822" s="10">
        <f t="shared" si="1"/>
        <v>1</v>
      </c>
      <c r="M822" s="10" t="str">
        <f t="shared" si="2"/>
        <v xml:space="preserve">07 </v>
      </c>
      <c r="N822" s="10" t="str">
        <f t="shared" si="3"/>
        <v>3 D</v>
      </c>
      <c r="O822" s="10" t="str">
        <f t="shared" si="16"/>
        <v>BRASI</v>
      </c>
    </row>
    <row r="823" spans="1:15" ht="12.5">
      <c r="A823" s="115" t="s">
        <v>4888</v>
      </c>
      <c r="B823" s="5">
        <v>0</v>
      </c>
      <c r="C823" s="5">
        <v>61</v>
      </c>
      <c r="D823" s="5">
        <v>4</v>
      </c>
      <c r="E823" s="5">
        <v>100</v>
      </c>
      <c r="F823" s="5">
        <v>15</v>
      </c>
      <c r="G823" s="5">
        <v>800</v>
      </c>
      <c r="H823" s="5" t="s">
        <v>4572</v>
      </c>
      <c r="I823" s="5" t="s">
        <v>4874</v>
      </c>
      <c r="J823" s="5" t="s">
        <v>4889</v>
      </c>
      <c r="K823" s="10" t="e">
        <f t="shared" si="0"/>
        <v>#VALUE!</v>
      </c>
      <c r="L823" s="10">
        <f t="shared" si="1"/>
        <v>1</v>
      </c>
      <c r="M823" s="10" t="str">
        <f t="shared" si="2"/>
        <v xml:space="preserve">08 </v>
      </c>
      <c r="N823" s="10" t="str">
        <f t="shared" si="3"/>
        <v>3 D</v>
      </c>
      <c r="O823" s="10" t="str">
        <f t="shared" si="16"/>
        <v>BRASI</v>
      </c>
    </row>
    <row r="824" spans="1:15" ht="12.5">
      <c r="A824" s="115" t="s">
        <v>4890</v>
      </c>
      <c r="B824" s="5">
        <v>0</v>
      </c>
      <c r="C824" s="5">
        <v>61</v>
      </c>
      <c r="D824" s="5">
        <v>4</v>
      </c>
      <c r="E824" s="5">
        <v>100</v>
      </c>
      <c r="F824" s="5">
        <v>15</v>
      </c>
      <c r="G824" s="5">
        <v>900</v>
      </c>
      <c r="H824" s="5" t="s">
        <v>4572</v>
      </c>
      <c r="I824" s="5" t="s">
        <v>4874</v>
      </c>
      <c r="J824" s="5" t="s">
        <v>4891</v>
      </c>
      <c r="K824" s="10" t="e">
        <f t="shared" si="0"/>
        <v>#VALUE!</v>
      </c>
      <c r="L824" s="10">
        <f t="shared" si="1"/>
        <v>1</v>
      </c>
      <c r="M824" s="10" t="str">
        <f t="shared" si="2"/>
        <v xml:space="preserve">09 </v>
      </c>
      <c r="N824" s="10" t="str">
        <f t="shared" si="3"/>
        <v>3 D</v>
      </c>
      <c r="O824" s="10" t="str">
        <f t="shared" si="16"/>
        <v>BRASI</v>
      </c>
    </row>
    <row r="825" spans="1:15" ht="12.5">
      <c r="A825" s="115" t="s">
        <v>4892</v>
      </c>
      <c r="B825" s="5">
        <v>0</v>
      </c>
      <c r="C825" s="5">
        <v>61</v>
      </c>
      <c r="D825" s="5">
        <v>4</v>
      </c>
      <c r="E825" s="5">
        <v>100</v>
      </c>
      <c r="F825" s="5">
        <v>15</v>
      </c>
      <c r="G825" s="5">
        <v>1000</v>
      </c>
      <c r="H825" s="5" t="s">
        <v>4572</v>
      </c>
      <c r="I825" s="5" t="s">
        <v>4874</v>
      </c>
      <c r="J825" s="5" t="s">
        <v>4893</v>
      </c>
      <c r="K825" s="10" t="e">
        <f t="shared" si="0"/>
        <v>#VALUE!</v>
      </c>
      <c r="L825" s="10">
        <f t="shared" si="1"/>
        <v>1</v>
      </c>
      <c r="M825" s="10" t="str">
        <f t="shared" si="2"/>
        <v xml:space="preserve">10 </v>
      </c>
      <c r="N825" s="10" t="str">
        <f t="shared" si="3"/>
        <v>4 D</v>
      </c>
      <c r="O825" s="10" t="str">
        <f t="shared" si="16"/>
        <v>INANG</v>
      </c>
    </row>
    <row r="826" spans="1:15" ht="12.5">
      <c r="A826" s="115" t="s">
        <v>4894</v>
      </c>
      <c r="B826" s="5">
        <v>0</v>
      </c>
      <c r="C826" s="5">
        <v>61</v>
      </c>
      <c r="D826" s="5">
        <v>4</v>
      </c>
      <c r="E826" s="5">
        <v>100</v>
      </c>
      <c r="F826" s="5">
        <v>15</v>
      </c>
      <c r="G826" s="5">
        <v>1100</v>
      </c>
      <c r="H826" s="5" t="s">
        <v>4572</v>
      </c>
      <c r="I826" s="5" t="s">
        <v>4874</v>
      </c>
      <c r="J826" s="5" t="s">
        <v>4895</v>
      </c>
      <c r="K826" s="10" t="e">
        <f t="shared" si="0"/>
        <v>#VALUE!</v>
      </c>
      <c r="L826" s="10">
        <f t="shared" si="1"/>
        <v>1</v>
      </c>
      <c r="M826" s="10" t="str">
        <f t="shared" si="2"/>
        <v xml:space="preserve">11 </v>
      </c>
      <c r="N826" s="10" t="str">
        <f t="shared" si="3"/>
        <v>4 D</v>
      </c>
      <c r="O826" s="10" t="str">
        <f t="shared" si="16"/>
        <v>INANG</v>
      </c>
    </row>
    <row r="827" spans="1:15" ht="12.5">
      <c r="A827" s="115" t="s">
        <v>4896</v>
      </c>
      <c r="B827" s="5">
        <v>0</v>
      </c>
      <c r="C827" s="5">
        <v>61</v>
      </c>
      <c r="D827" s="5">
        <v>4</v>
      </c>
      <c r="E827" s="5">
        <v>100</v>
      </c>
      <c r="F827" s="5">
        <v>15</v>
      </c>
      <c r="G827" s="5">
        <v>1200</v>
      </c>
      <c r="H827" s="5" t="s">
        <v>4572</v>
      </c>
      <c r="I827" s="5" t="s">
        <v>4874</v>
      </c>
      <c r="J827" s="5" t="s">
        <v>4897</v>
      </c>
      <c r="K827" s="10" t="e">
        <f t="shared" si="0"/>
        <v>#VALUE!</v>
      </c>
      <c r="L827" s="10">
        <f t="shared" si="1"/>
        <v>1</v>
      </c>
      <c r="M827" s="10" t="str">
        <f t="shared" si="2"/>
        <v xml:space="preserve">12 </v>
      </c>
      <c r="N827" s="10" t="str">
        <f t="shared" si="3"/>
        <v>5 D</v>
      </c>
      <c r="O827" s="10" t="str">
        <f t="shared" si="16"/>
        <v>INANG</v>
      </c>
    </row>
    <row r="828" spans="1:15" ht="12.5">
      <c r="A828" s="115" t="s">
        <v>4898</v>
      </c>
      <c r="B828" s="5">
        <v>0</v>
      </c>
      <c r="C828" s="5">
        <v>61</v>
      </c>
      <c r="D828" s="5">
        <v>4</v>
      </c>
      <c r="E828" s="5">
        <v>100</v>
      </c>
      <c r="F828" s="5">
        <v>15</v>
      </c>
      <c r="G828" s="5">
        <v>1300</v>
      </c>
      <c r="H828" s="5" t="s">
        <v>4572</v>
      </c>
      <c r="I828" s="5" t="s">
        <v>4874</v>
      </c>
      <c r="J828" s="5" t="s">
        <v>4899</v>
      </c>
      <c r="K828" s="10" t="e">
        <f t="shared" si="0"/>
        <v>#VALUE!</v>
      </c>
      <c r="L828" s="10">
        <f t="shared" si="1"/>
        <v>1</v>
      </c>
      <c r="M828" s="10" t="str">
        <f t="shared" si="2"/>
        <v xml:space="preserve">13 </v>
      </c>
      <c r="N828" s="10" t="str">
        <f t="shared" si="3"/>
        <v>5 D</v>
      </c>
      <c r="O828" s="10" t="str">
        <f t="shared" si="16"/>
        <v>INANG</v>
      </c>
    </row>
    <row r="829" spans="1:15" ht="12.5">
      <c r="A829" s="115" t="s">
        <v>4900</v>
      </c>
      <c r="B829" s="5">
        <v>0</v>
      </c>
      <c r="C829" s="5">
        <v>61</v>
      </c>
      <c r="D829" s="5">
        <v>4</v>
      </c>
      <c r="E829" s="5">
        <v>100</v>
      </c>
      <c r="F829" s="5">
        <v>15</v>
      </c>
      <c r="G829" s="5">
        <v>1400</v>
      </c>
      <c r="H829" s="5" t="s">
        <v>4572</v>
      </c>
      <c r="I829" s="5" t="s">
        <v>4874</v>
      </c>
      <c r="J829" s="5" t="s">
        <v>4901</v>
      </c>
      <c r="K829" s="10" t="e">
        <f t="shared" si="0"/>
        <v>#VALUE!</v>
      </c>
      <c r="L829" s="10">
        <f t="shared" si="1"/>
        <v>1</v>
      </c>
      <c r="M829" s="10" t="str">
        <f t="shared" si="2"/>
        <v xml:space="preserve">14 </v>
      </c>
      <c r="N829" s="10" t="str">
        <f t="shared" si="3"/>
        <v>6 D</v>
      </c>
      <c r="O829" s="10" t="str">
        <f t="shared" si="16"/>
        <v>AMBU</v>
      </c>
    </row>
    <row r="830" spans="1:15" ht="12.5">
      <c r="A830" s="115" t="s">
        <v>4902</v>
      </c>
      <c r="B830" s="5">
        <v>0</v>
      </c>
      <c r="C830" s="5">
        <v>61</v>
      </c>
      <c r="D830" s="5">
        <v>4</v>
      </c>
      <c r="E830" s="5">
        <v>100</v>
      </c>
      <c r="F830" s="5">
        <v>15</v>
      </c>
      <c r="G830" s="5">
        <v>1500</v>
      </c>
      <c r="H830" s="5" t="s">
        <v>4572</v>
      </c>
      <c r="I830" s="5" t="s">
        <v>4874</v>
      </c>
      <c r="J830" s="5" t="s">
        <v>4903</v>
      </c>
      <c r="K830" s="10" t="e">
        <f t="shared" si="0"/>
        <v>#VALUE!</v>
      </c>
      <c r="L830" s="10">
        <f t="shared" si="1"/>
        <v>1</v>
      </c>
      <c r="M830" s="10" t="str">
        <f t="shared" si="2"/>
        <v xml:space="preserve">15 </v>
      </c>
      <c r="N830" s="10" t="str">
        <f t="shared" si="3"/>
        <v>6 D</v>
      </c>
      <c r="O830" s="10" t="str">
        <f t="shared" si="16"/>
        <v>AMBU</v>
      </c>
    </row>
    <row r="831" spans="1:15" ht="12.5">
      <c r="A831" s="115" t="s">
        <v>4904</v>
      </c>
      <c r="B831" s="5">
        <v>0</v>
      </c>
      <c r="C831" s="5">
        <v>61</v>
      </c>
      <c r="D831" s="5">
        <v>4</v>
      </c>
      <c r="E831" s="5">
        <v>100</v>
      </c>
      <c r="F831" s="5">
        <v>15</v>
      </c>
      <c r="G831" s="5">
        <v>1600</v>
      </c>
      <c r="H831" s="5" t="s">
        <v>4572</v>
      </c>
      <c r="I831" s="5" t="s">
        <v>4874</v>
      </c>
      <c r="J831" s="5" t="s">
        <v>4905</v>
      </c>
      <c r="K831" s="10" t="e">
        <f t="shared" si="0"/>
        <v>#VALUE!</v>
      </c>
      <c r="L831" s="10">
        <f t="shared" si="1"/>
        <v>1</v>
      </c>
      <c r="M831" s="10" t="str">
        <f t="shared" si="2"/>
        <v xml:space="preserve">16 </v>
      </c>
      <c r="N831" s="10" t="str">
        <f t="shared" si="3"/>
        <v>6 D</v>
      </c>
      <c r="O831" s="10" t="str">
        <f t="shared" si="16"/>
        <v>AMBU</v>
      </c>
    </row>
    <row r="832" spans="1:15" ht="12.5">
      <c r="A832" s="115" t="s">
        <v>4906</v>
      </c>
      <c r="B832" s="5">
        <v>0</v>
      </c>
      <c r="C832" s="5">
        <v>61</v>
      </c>
      <c r="D832" s="5">
        <v>4</v>
      </c>
      <c r="E832" s="5">
        <v>100</v>
      </c>
      <c r="F832" s="5">
        <v>15</v>
      </c>
      <c r="G832" s="5">
        <v>1700</v>
      </c>
      <c r="H832" s="5" t="s">
        <v>4572</v>
      </c>
      <c r="I832" s="5" t="s">
        <v>4874</v>
      </c>
      <c r="J832" s="5" t="s">
        <v>4907</v>
      </c>
      <c r="K832" s="10" t="e">
        <f t="shared" si="0"/>
        <v>#VALUE!</v>
      </c>
      <c r="L832" s="10">
        <f t="shared" si="1"/>
        <v>1</v>
      </c>
      <c r="M832" s="10" t="str">
        <f t="shared" si="2"/>
        <v xml:space="preserve">17 </v>
      </c>
      <c r="N832" s="10" t="str">
        <f t="shared" si="3"/>
        <v>7 D</v>
      </c>
      <c r="O832" s="10" t="str">
        <f t="shared" si="16"/>
        <v>AJAR</v>
      </c>
    </row>
    <row r="833" spans="1:15" ht="12.5">
      <c r="A833" s="115" t="s">
        <v>4908</v>
      </c>
      <c r="B833" s="5">
        <v>0</v>
      </c>
      <c r="C833" s="5">
        <v>61</v>
      </c>
      <c r="D833" s="5">
        <v>4</v>
      </c>
      <c r="E833" s="5">
        <v>100</v>
      </c>
      <c r="F833" s="5">
        <v>15</v>
      </c>
      <c r="G833" s="5">
        <v>1800</v>
      </c>
      <c r="H833" s="5" t="s">
        <v>4572</v>
      </c>
      <c r="I833" s="5" t="s">
        <v>4874</v>
      </c>
      <c r="J833" s="5" t="s">
        <v>4909</v>
      </c>
      <c r="K833" s="10" t="e">
        <f t="shared" si="0"/>
        <v>#VALUE!</v>
      </c>
      <c r="L833" s="10">
        <f t="shared" si="1"/>
        <v>1</v>
      </c>
      <c r="M833" s="10" t="str">
        <f t="shared" si="2"/>
        <v xml:space="preserve">18 </v>
      </c>
      <c r="N833" s="10" t="str">
        <f t="shared" si="3"/>
        <v>7 D</v>
      </c>
      <c r="O833" s="10" t="str">
        <f t="shared" si="16"/>
        <v>AJAR</v>
      </c>
    </row>
    <row r="834" spans="1:15" ht="12.5">
      <c r="A834" s="115" t="s">
        <v>4910</v>
      </c>
      <c r="B834" s="5">
        <v>0</v>
      </c>
      <c r="C834" s="5">
        <v>61</v>
      </c>
      <c r="D834" s="5">
        <v>4</v>
      </c>
      <c r="E834" s="5">
        <v>100</v>
      </c>
      <c r="F834" s="5">
        <v>15</v>
      </c>
      <c r="G834" s="5">
        <v>1900</v>
      </c>
      <c r="H834" s="5" t="s">
        <v>4572</v>
      </c>
      <c r="I834" s="5" t="s">
        <v>4874</v>
      </c>
      <c r="J834" s="5" t="s">
        <v>4911</v>
      </c>
      <c r="K834" s="10" t="e">
        <f t="shared" si="0"/>
        <v>#VALUE!</v>
      </c>
      <c r="L834" s="10">
        <f t="shared" si="1"/>
        <v>1</v>
      </c>
      <c r="M834" s="10" t="str">
        <f t="shared" si="2"/>
        <v xml:space="preserve">19 </v>
      </c>
      <c r="N834" s="10" t="str">
        <f t="shared" si="3"/>
        <v>7 D</v>
      </c>
      <c r="O834" s="10" t="str">
        <f t="shared" si="16"/>
        <v>AJAR</v>
      </c>
    </row>
    <row r="835" spans="1:15" ht="12.5">
      <c r="A835" s="115" t="s">
        <v>4912</v>
      </c>
      <c r="B835" s="5">
        <v>0</v>
      </c>
      <c r="C835" s="5">
        <v>61</v>
      </c>
      <c r="D835" s="5">
        <v>4</v>
      </c>
      <c r="E835" s="5">
        <v>100</v>
      </c>
      <c r="F835" s="5">
        <v>15</v>
      </c>
      <c r="G835" s="5">
        <v>2000</v>
      </c>
      <c r="H835" s="5" t="s">
        <v>4572</v>
      </c>
      <c r="I835" s="5" t="s">
        <v>4874</v>
      </c>
      <c r="J835" s="5" t="s">
        <v>4913</v>
      </c>
      <c r="K835" s="10" t="e">
        <f t="shared" si="0"/>
        <v>#VALUE!</v>
      </c>
      <c r="L835" s="10">
        <f t="shared" si="1"/>
        <v>1</v>
      </c>
      <c r="M835" s="10" t="str">
        <f t="shared" si="2"/>
        <v xml:space="preserve">20 </v>
      </c>
      <c r="N835" s="10" t="str">
        <f t="shared" si="3"/>
        <v>8 D</v>
      </c>
      <c r="O835" s="10" t="str">
        <f t="shared" si="16"/>
        <v>EKAR</v>
      </c>
    </row>
    <row r="836" spans="1:15" ht="12.5">
      <c r="A836" s="115" t="s">
        <v>4914</v>
      </c>
      <c r="B836" s="5">
        <v>0</v>
      </c>
      <c r="C836" s="5">
        <v>61</v>
      </c>
      <c r="D836" s="5">
        <v>4</v>
      </c>
      <c r="E836" s="5">
        <v>100</v>
      </c>
      <c r="F836" s="5">
        <v>15</v>
      </c>
      <c r="G836" s="5">
        <v>2100</v>
      </c>
      <c r="H836" s="5" t="s">
        <v>4572</v>
      </c>
      <c r="I836" s="5" t="s">
        <v>4874</v>
      </c>
      <c r="J836" s="5" t="s">
        <v>4915</v>
      </c>
      <c r="K836" s="10" t="e">
        <f t="shared" si="0"/>
        <v>#VALUE!</v>
      </c>
      <c r="L836" s="10">
        <f t="shared" si="1"/>
        <v>1</v>
      </c>
      <c r="M836" s="10" t="str">
        <f t="shared" si="2"/>
        <v xml:space="preserve">21 </v>
      </c>
      <c r="N836" s="10" t="str">
        <f t="shared" si="3"/>
        <v>8 D</v>
      </c>
      <c r="O836" s="10" t="str">
        <f t="shared" si="16"/>
        <v>EKAR</v>
      </c>
    </row>
    <row r="837" spans="1:15" ht="12.5">
      <c r="A837" s="115" t="s">
        <v>4916</v>
      </c>
      <c r="B837" s="5">
        <v>0</v>
      </c>
      <c r="C837" s="5">
        <v>61</v>
      </c>
      <c r="D837" s="5">
        <v>4</v>
      </c>
      <c r="E837" s="5">
        <v>100</v>
      </c>
      <c r="F837" s="5">
        <v>15</v>
      </c>
      <c r="G837" s="5">
        <v>2200</v>
      </c>
      <c r="H837" s="5" t="s">
        <v>4572</v>
      </c>
      <c r="I837" s="5" t="s">
        <v>4874</v>
      </c>
      <c r="J837" s="5" t="s">
        <v>4917</v>
      </c>
      <c r="K837" s="10" t="e">
        <f t="shared" si="0"/>
        <v>#VALUE!</v>
      </c>
      <c r="L837" s="10">
        <f t="shared" si="1"/>
        <v>1</v>
      </c>
      <c r="M837" s="10" t="str">
        <f t="shared" si="2"/>
        <v xml:space="preserve">22 </v>
      </c>
      <c r="N837" s="10" t="str">
        <f t="shared" si="3"/>
        <v>8 D</v>
      </c>
      <c r="O837" s="10" t="str">
        <f t="shared" si="16"/>
        <v>EKAR</v>
      </c>
    </row>
    <row r="838" spans="1:15" ht="12.5">
      <c r="A838" s="115" t="s">
        <v>4918</v>
      </c>
      <c r="B838" s="5">
        <v>0</v>
      </c>
      <c r="C838" s="5">
        <v>61</v>
      </c>
      <c r="D838" s="5">
        <v>4</v>
      </c>
      <c r="E838" s="5">
        <v>100</v>
      </c>
      <c r="F838" s="5">
        <v>15</v>
      </c>
      <c r="G838" s="5">
        <v>2300</v>
      </c>
      <c r="H838" s="5" t="s">
        <v>4572</v>
      </c>
      <c r="I838" s="5" t="s">
        <v>4874</v>
      </c>
      <c r="J838" s="5" t="s">
        <v>4919</v>
      </c>
      <c r="K838" s="10" t="e">
        <f t="shared" si="0"/>
        <v>#VALUE!</v>
      </c>
      <c r="L838" s="10">
        <f t="shared" si="1"/>
        <v>1</v>
      </c>
      <c r="M838" s="10" t="str">
        <f t="shared" si="2"/>
        <v xml:space="preserve">23 </v>
      </c>
      <c r="N838" s="10" t="str">
        <f t="shared" si="3"/>
        <v>9 D</v>
      </c>
      <c r="O838" s="10" t="str">
        <f t="shared" si="16"/>
        <v>ARIS</v>
      </c>
    </row>
    <row r="839" spans="1:15" ht="12.5">
      <c r="A839" s="115" t="s">
        <v>4920</v>
      </c>
      <c r="B839" s="5">
        <v>0</v>
      </c>
      <c r="C839" s="5">
        <v>61</v>
      </c>
      <c r="D839" s="5">
        <v>4</v>
      </c>
      <c r="E839" s="5">
        <v>100</v>
      </c>
      <c r="F839" s="5">
        <v>15</v>
      </c>
      <c r="G839" s="5">
        <v>2400</v>
      </c>
      <c r="H839" s="5" t="s">
        <v>4572</v>
      </c>
      <c r="I839" s="5" t="s">
        <v>4874</v>
      </c>
      <c r="J839" s="5" t="s">
        <v>4921</v>
      </c>
      <c r="K839" s="10" t="e">
        <f t="shared" si="0"/>
        <v>#VALUE!</v>
      </c>
      <c r="L839" s="10">
        <f t="shared" si="1"/>
        <v>1</v>
      </c>
      <c r="M839" s="10" t="str">
        <f t="shared" si="2"/>
        <v xml:space="preserve">24 </v>
      </c>
      <c r="N839" s="10" t="str">
        <f t="shared" si="3"/>
        <v>9 D</v>
      </c>
      <c r="O839" s="10" t="str">
        <f t="shared" si="16"/>
        <v>ARIS</v>
      </c>
    </row>
    <row r="840" spans="1:15" ht="12.5">
      <c r="A840" s="115" t="s">
        <v>4922</v>
      </c>
      <c r="B840" s="5">
        <v>0</v>
      </c>
      <c r="C840" s="5">
        <v>61</v>
      </c>
      <c r="D840" s="5">
        <v>4</v>
      </c>
      <c r="E840" s="5">
        <v>100</v>
      </c>
      <c r="F840" s="5">
        <v>15</v>
      </c>
      <c r="G840" s="5">
        <v>2500</v>
      </c>
      <c r="H840" s="5" t="s">
        <v>4572</v>
      </c>
      <c r="I840" s="5" t="s">
        <v>4874</v>
      </c>
      <c r="J840" s="5" t="s">
        <v>4923</v>
      </c>
      <c r="K840" s="10" t="e">
        <f t="shared" si="0"/>
        <v>#VALUE!</v>
      </c>
      <c r="L840" s="10">
        <f t="shared" si="1"/>
        <v>1</v>
      </c>
      <c r="M840" s="10" t="str">
        <f t="shared" si="2"/>
        <v xml:space="preserve">25 </v>
      </c>
      <c r="N840" s="10" t="str">
        <f t="shared" si="3"/>
        <v>9 D</v>
      </c>
      <c r="O840" s="10" t="str">
        <f t="shared" si="16"/>
        <v>ARIS</v>
      </c>
    </row>
    <row r="841" spans="1:15" ht="12.5">
      <c r="A841" s="115" t="s">
        <v>4924</v>
      </c>
      <c r="B841" s="5">
        <v>0</v>
      </c>
      <c r="C841" s="5">
        <v>61</v>
      </c>
      <c r="D841" s="5">
        <v>4</v>
      </c>
      <c r="E841" s="5">
        <v>100</v>
      </c>
      <c r="F841" s="5">
        <v>15</v>
      </c>
      <c r="G841" s="5">
        <v>2600</v>
      </c>
      <c r="H841" s="5" t="s">
        <v>4572</v>
      </c>
      <c r="I841" s="5" t="s">
        <v>4874</v>
      </c>
      <c r="J841" s="5" t="s">
        <v>4925</v>
      </c>
      <c r="K841" s="10" t="e">
        <f t="shared" si="0"/>
        <v>#VALUE!</v>
      </c>
      <c r="L841" s="10">
        <f t="shared" si="1"/>
        <v>1</v>
      </c>
      <c r="M841" s="10" t="str">
        <f t="shared" si="2"/>
        <v xml:space="preserve">26 </v>
      </c>
      <c r="N841" s="10" t="str">
        <f t="shared" si="3"/>
        <v>0 D</v>
      </c>
      <c r="O841" s="10" t="str">
        <f t="shared" si="16"/>
        <v>ARIS</v>
      </c>
    </row>
    <row r="842" spans="1:15" ht="12.5">
      <c r="A842" s="115" t="s">
        <v>4926</v>
      </c>
      <c r="B842" s="5">
        <v>0</v>
      </c>
      <c r="C842" s="5">
        <v>61</v>
      </c>
      <c r="D842" s="5">
        <v>4</v>
      </c>
      <c r="E842" s="5">
        <v>100</v>
      </c>
      <c r="F842" s="5">
        <v>15</v>
      </c>
      <c r="G842" s="5">
        <v>2700</v>
      </c>
      <c r="H842" s="5" t="s">
        <v>4572</v>
      </c>
      <c r="I842" s="5" t="s">
        <v>4874</v>
      </c>
      <c r="J842" s="5" t="s">
        <v>4927</v>
      </c>
      <c r="K842" s="10" t="e">
        <f t="shared" si="0"/>
        <v>#VALUE!</v>
      </c>
      <c r="L842" s="10">
        <f t="shared" si="1"/>
        <v>1</v>
      </c>
      <c r="M842" s="10" t="str">
        <f t="shared" si="2"/>
        <v xml:space="preserve">27 </v>
      </c>
      <c r="N842" s="10" t="str">
        <f t="shared" si="3"/>
        <v>0 D</v>
      </c>
      <c r="O842" s="10" t="str">
        <f t="shared" si="16"/>
        <v>ARIS</v>
      </c>
    </row>
    <row r="843" spans="1:15" ht="12.5">
      <c r="A843" s="115" t="s">
        <v>4928</v>
      </c>
      <c r="B843" s="5">
        <v>1</v>
      </c>
      <c r="C843" s="5">
        <v>61</v>
      </c>
      <c r="D843" s="5">
        <v>4</v>
      </c>
      <c r="E843" s="5">
        <v>100</v>
      </c>
      <c r="F843" s="5">
        <v>15</v>
      </c>
      <c r="G843" s="5">
        <v>100100</v>
      </c>
      <c r="H843" s="5" t="s">
        <v>4572</v>
      </c>
      <c r="I843" s="5" t="s">
        <v>4874</v>
      </c>
      <c r="J843" s="5" t="s">
        <v>4929</v>
      </c>
      <c r="K843" s="10" t="e">
        <f t="shared" si="0"/>
        <v>#VALUE!</v>
      </c>
      <c r="L843" s="10">
        <f t="shared" si="1"/>
        <v>0</v>
      </c>
      <c r="M843" s="10" t="str">
        <f t="shared" si="2"/>
        <v xml:space="preserve">UN </v>
      </c>
      <c r="N843" s="10" t="str">
        <f t="shared" si="3"/>
        <v>T D</v>
      </c>
      <c r="O843" s="10" t="str">
        <f t="shared" si="16"/>
        <v>04P</v>
      </c>
    </row>
    <row r="844" spans="1:15" ht="12.5">
      <c r="A844" s="115" t="s">
        <v>4930</v>
      </c>
      <c r="B844" s="5">
        <v>0</v>
      </c>
      <c r="C844" s="5">
        <v>61</v>
      </c>
      <c r="D844" s="5">
        <v>4</v>
      </c>
      <c r="E844" s="5">
        <v>101</v>
      </c>
      <c r="F844" s="5">
        <v>1</v>
      </c>
      <c r="G844" s="5">
        <v>100</v>
      </c>
      <c r="H844" s="5" t="s">
        <v>4931</v>
      </c>
      <c r="I844" s="5" t="s">
        <v>4932</v>
      </c>
      <c r="J844" s="5" t="s">
        <v>4410</v>
      </c>
      <c r="K844" s="10" t="e">
        <f t="shared" si="0"/>
        <v>#VALUE!</v>
      </c>
      <c r="L844" s="10">
        <f t="shared" si="1"/>
        <v>1</v>
      </c>
      <c r="M844" s="10" t="str">
        <f t="shared" si="2"/>
        <v>001</v>
      </c>
      <c r="N844" s="10" t="str">
        <f t="shared" si="3"/>
        <v>01</v>
      </c>
      <c r="O844" s="10" t="str">
        <f t="shared" si="16"/>
        <v/>
      </c>
    </row>
    <row r="845" spans="1:15" ht="12.5">
      <c r="A845" s="115" t="s">
        <v>4933</v>
      </c>
      <c r="B845" s="5">
        <v>0</v>
      </c>
      <c r="C845" s="5">
        <v>61</v>
      </c>
      <c r="D845" s="5">
        <v>4</v>
      </c>
      <c r="E845" s="5">
        <v>101</v>
      </c>
      <c r="F845" s="5">
        <v>1</v>
      </c>
      <c r="G845" s="5">
        <v>200</v>
      </c>
      <c r="H845" s="5" t="s">
        <v>4931</v>
      </c>
      <c r="I845" s="5" t="s">
        <v>4932</v>
      </c>
      <c r="J845" s="5" t="s">
        <v>4412</v>
      </c>
      <c r="K845" s="10" t="e">
        <f t="shared" si="0"/>
        <v>#VALUE!</v>
      </c>
      <c r="L845" s="10">
        <f t="shared" si="1"/>
        <v>1</v>
      </c>
      <c r="M845" s="10" t="str">
        <f t="shared" si="2"/>
        <v>002</v>
      </c>
      <c r="N845" s="10" t="str">
        <f t="shared" si="3"/>
        <v>01</v>
      </c>
      <c r="O845" s="10" t="str">
        <f t="shared" si="16"/>
        <v/>
      </c>
    </row>
    <row r="846" spans="1:15" ht="12.5">
      <c r="A846" s="115" t="s">
        <v>4934</v>
      </c>
      <c r="B846" s="5">
        <v>0</v>
      </c>
      <c r="C846" s="5">
        <v>61</v>
      </c>
      <c r="D846" s="5">
        <v>4</v>
      </c>
      <c r="E846" s="5">
        <v>101</v>
      </c>
      <c r="F846" s="5">
        <v>1</v>
      </c>
      <c r="G846" s="5">
        <v>300</v>
      </c>
      <c r="H846" s="5" t="s">
        <v>4931</v>
      </c>
      <c r="I846" s="5" t="s">
        <v>4932</v>
      </c>
      <c r="J846" s="5" t="s">
        <v>4430</v>
      </c>
      <c r="K846" s="10" t="e">
        <f t="shared" si="0"/>
        <v>#VALUE!</v>
      </c>
      <c r="L846" s="10">
        <f t="shared" si="1"/>
        <v>1</v>
      </c>
      <c r="M846" s="10" t="str">
        <f t="shared" si="2"/>
        <v>003</v>
      </c>
      <c r="N846" s="10" t="str">
        <f t="shared" si="3"/>
        <v>02</v>
      </c>
      <c r="O846" s="10" t="str">
        <f t="shared" si="16"/>
        <v/>
      </c>
    </row>
    <row r="847" spans="1:15" ht="12.5">
      <c r="A847" s="115" t="s">
        <v>4935</v>
      </c>
      <c r="B847" s="5">
        <v>0</v>
      </c>
      <c r="C847" s="5">
        <v>61</v>
      </c>
      <c r="D847" s="5">
        <v>4</v>
      </c>
      <c r="E847" s="5">
        <v>101</v>
      </c>
      <c r="F847" s="5">
        <v>1</v>
      </c>
      <c r="G847" s="5">
        <v>400</v>
      </c>
      <c r="H847" s="5" t="s">
        <v>4931</v>
      </c>
      <c r="I847" s="5" t="s">
        <v>4932</v>
      </c>
      <c r="J847" s="5" t="s">
        <v>4432</v>
      </c>
      <c r="K847" s="10" t="e">
        <f t="shared" si="0"/>
        <v>#VALUE!</v>
      </c>
      <c r="L847" s="10">
        <f t="shared" si="1"/>
        <v>1</v>
      </c>
      <c r="M847" s="10" t="str">
        <f t="shared" si="2"/>
        <v>004</v>
      </c>
      <c r="N847" s="10" t="str">
        <f t="shared" si="3"/>
        <v>02</v>
      </c>
      <c r="O847" s="10" t="str">
        <f t="shared" si="16"/>
        <v/>
      </c>
    </row>
    <row r="848" spans="1:15" ht="12.5">
      <c r="A848" s="115" t="s">
        <v>4936</v>
      </c>
      <c r="B848" s="5">
        <v>0</v>
      </c>
      <c r="C848" s="5">
        <v>61</v>
      </c>
      <c r="D848" s="5">
        <v>4</v>
      </c>
      <c r="E848" s="5">
        <v>101</v>
      </c>
      <c r="F848" s="5">
        <v>1</v>
      </c>
      <c r="G848" s="5">
        <v>500</v>
      </c>
      <c r="H848" s="5" t="s">
        <v>4931</v>
      </c>
      <c r="I848" s="5" t="s">
        <v>4932</v>
      </c>
      <c r="J848" s="5" t="s">
        <v>4937</v>
      </c>
      <c r="K848" s="10" t="e">
        <f t="shared" si="0"/>
        <v>#VALUE!</v>
      </c>
      <c r="L848" s="10">
        <f t="shared" si="1"/>
        <v>1</v>
      </c>
      <c r="M848" s="10" t="str">
        <f t="shared" si="2"/>
        <v>005</v>
      </c>
      <c r="N848" s="10" t="str">
        <f t="shared" si="3"/>
        <v>03</v>
      </c>
      <c r="O848" s="10" t="str">
        <f t="shared" si="16"/>
        <v/>
      </c>
    </row>
    <row r="849" spans="1:15" ht="12.5">
      <c r="A849" s="115" t="s">
        <v>4938</v>
      </c>
      <c r="B849" s="5">
        <v>0</v>
      </c>
      <c r="C849" s="5">
        <v>61</v>
      </c>
      <c r="D849" s="5">
        <v>4</v>
      </c>
      <c r="E849" s="5">
        <v>101</v>
      </c>
      <c r="F849" s="5">
        <v>1</v>
      </c>
      <c r="G849" s="5">
        <v>600</v>
      </c>
      <c r="H849" s="5" t="s">
        <v>4931</v>
      </c>
      <c r="I849" s="5" t="s">
        <v>4932</v>
      </c>
      <c r="J849" s="5" t="s">
        <v>4436</v>
      </c>
      <c r="K849" s="10" t="e">
        <f t="shared" si="0"/>
        <v>#VALUE!</v>
      </c>
      <c r="L849" s="10">
        <f t="shared" si="1"/>
        <v>1</v>
      </c>
      <c r="M849" s="10" t="str">
        <f t="shared" si="2"/>
        <v>006</v>
      </c>
      <c r="N849" s="10" t="str">
        <f t="shared" si="3"/>
        <v>03</v>
      </c>
      <c r="O849" s="10" t="str">
        <f t="shared" si="16"/>
        <v/>
      </c>
    </row>
    <row r="850" spans="1:15" ht="12.5">
      <c r="A850" s="115" t="s">
        <v>4939</v>
      </c>
      <c r="B850" s="5">
        <v>0</v>
      </c>
      <c r="C850" s="5">
        <v>61</v>
      </c>
      <c r="D850" s="5">
        <v>4</v>
      </c>
      <c r="E850" s="5">
        <v>101</v>
      </c>
      <c r="F850" s="5">
        <v>1</v>
      </c>
      <c r="G850" s="5">
        <v>700</v>
      </c>
      <c r="H850" s="5" t="s">
        <v>4931</v>
      </c>
      <c r="I850" s="5" t="s">
        <v>4932</v>
      </c>
      <c r="J850" s="5" t="s">
        <v>4940</v>
      </c>
      <c r="K850" s="10" t="e">
        <f t="shared" si="0"/>
        <v>#VALUE!</v>
      </c>
      <c r="L850" s="10">
        <f t="shared" si="1"/>
        <v>1</v>
      </c>
      <c r="M850" s="10" t="str">
        <f t="shared" si="2"/>
        <v>007</v>
      </c>
      <c r="N850" s="10" t="str">
        <f t="shared" si="3"/>
        <v>04</v>
      </c>
      <c r="O850" s="10" t="str">
        <f t="shared" si="16"/>
        <v/>
      </c>
    </row>
    <row r="851" spans="1:15" ht="12.5">
      <c r="A851" s="115" t="s">
        <v>4941</v>
      </c>
      <c r="B851" s="5">
        <v>0</v>
      </c>
      <c r="C851" s="5">
        <v>61</v>
      </c>
      <c r="D851" s="5">
        <v>4</v>
      </c>
      <c r="E851" s="5">
        <v>101</v>
      </c>
      <c r="F851" s="5">
        <v>1</v>
      </c>
      <c r="G851" s="5">
        <v>800</v>
      </c>
      <c r="H851" s="5" t="s">
        <v>4931</v>
      </c>
      <c r="I851" s="5" t="s">
        <v>4932</v>
      </c>
      <c r="J851" s="5" t="s">
        <v>4942</v>
      </c>
      <c r="K851" s="10" t="e">
        <f t="shared" si="0"/>
        <v>#VALUE!</v>
      </c>
      <c r="L851" s="10">
        <f t="shared" si="1"/>
        <v>1</v>
      </c>
      <c r="M851" s="10" t="str">
        <f t="shared" si="2"/>
        <v>008</v>
      </c>
      <c r="N851" s="10" t="str">
        <f t="shared" si="3"/>
        <v>04</v>
      </c>
      <c r="O851" s="10" t="str">
        <f t="shared" si="16"/>
        <v/>
      </c>
    </row>
    <row r="852" spans="1:15" ht="12.5">
      <c r="A852" s="115" t="s">
        <v>4943</v>
      </c>
      <c r="B852" s="5">
        <v>0</v>
      </c>
      <c r="C852" s="5">
        <v>61</v>
      </c>
      <c r="D852" s="5">
        <v>4</v>
      </c>
      <c r="E852" s="5">
        <v>101</v>
      </c>
      <c r="F852" s="5">
        <v>1</v>
      </c>
      <c r="G852" s="5">
        <v>900</v>
      </c>
      <c r="H852" s="5" t="s">
        <v>4931</v>
      </c>
      <c r="I852" s="5" t="s">
        <v>4932</v>
      </c>
      <c r="J852" s="5" t="s">
        <v>4944</v>
      </c>
      <c r="K852" s="10" t="e">
        <f t="shared" si="0"/>
        <v>#VALUE!</v>
      </c>
      <c r="L852" s="10">
        <f t="shared" si="1"/>
        <v>1</v>
      </c>
      <c r="M852" s="10" t="str">
        <f t="shared" si="2"/>
        <v>009</v>
      </c>
      <c r="N852" s="10" t="str">
        <f t="shared" si="3"/>
        <v>05</v>
      </c>
      <c r="O852" s="10" t="str">
        <f t="shared" si="16"/>
        <v/>
      </c>
    </row>
    <row r="853" spans="1:15" ht="12.5">
      <c r="A853" s="115" t="s">
        <v>4945</v>
      </c>
      <c r="B853" s="5">
        <v>0</v>
      </c>
      <c r="C853" s="5">
        <v>61</v>
      </c>
      <c r="D853" s="5">
        <v>4</v>
      </c>
      <c r="E853" s="5">
        <v>101</v>
      </c>
      <c r="F853" s="5">
        <v>1</v>
      </c>
      <c r="G853" s="5">
        <v>1000</v>
      </c>
      <c r="H853" s="5" t="s">
        <v>4931</v>
      </c>
      <c r="I853" s="5" t="s">
        <v>4932</v>
      </c>
      <c r="J853" s="5" t="s">
        <v>4946</v>
      </c>
      <c r="K853" s="10" t="e">
        <f t="shared" si="0"/>
        <v>#VALUE!</v>
      </c>
      <c r="L853" s="10">
        <f t="shared" si="1"/>
        <v>1</v>
      </c>
      <c r="M853" s="10" t="str">
        <f t="shared" si="2"/>
        <v>010</v>
      </c>
      <c r="N853" s="10" t="str">
        <f t="shared" si="3"/>
        <v>05</v>
      </c>
      <c r="O853" s="10" t="str">
        <f t="shared" si="16"/>
        <v/>
      </c>
    </row>
    <row r="854" spans="1:15" ht="12.5">
      <c r="A854" s="115" t="s">
        <v>4947</v>
      </c>
      <c r="B854" s="5">
        <v>0</v>
      </c>
      <c r="C854" s="5">
        <v>61</v>
      </c>
      <c r="D854" s="5">
        <v>4</v>
      </c>
      <c r="E854" s="5">
        <v>101</v>
      </c>
      <c r="F854" s="5">
        <v>1</v>
      </c>
      <c r="G854" s="5">
        <v>1100</v>
      </c>
      <c r="H854" s="5" t="s">
        <v>4931</v>
      </c>
      <c r="I854" s="5" t="s">
        <v>4932</v>
      </c>
      <c r="J854" s="5" t="s">
        <v>4948</v>
      </c>
      <c r="K854" s="10" t="e">
        <f t="shared" si="0"/>
        <v>#VALUE!</v>
      </c>
      <c r="L854" s="10">
        <f t="shared" si="1"/>
        <v>1</v>
      </c>
      <c r="M854" s="10" t="str">
        <f t="shared" si="2"/>
        <v>011</v>
      </c>
      <c r="N854" s="10" t="str">
        <f t="shared" si="3"/>
        <v>06</v>
      </c>
      <c r="O854" s="10" t="str">
        <f t="shared" si="16"/>
        <v/>
      </c>
    </row>
    <row r="855" spans="1:15" ht="12.5">
      <c r="A855" s="115" t="s">
        <v>4949</v>
      </c>
      <c r="B855" s="5">
        <v>0</v>
      </c>
      <c r="C855" s="5">
        <v>61</v>
      </c>
      <c r="D855" s="5">
        <v>4</v>
      </c>
      <c r="E855" s="5">
        <v>101</v>
      </c>
      <c r="F855" s="5">
        <v>1</v>
      </c>
      <c r="G855" s="5">
        <v>1200</v>
      </c>
      <c r="H855" s="5" t="s">
        <v>4931</v>
      </c>
      <c r="I855" s="5" t="s">
        <v>4932</v>
      </c>
      <c r="J855" s="5" t="s">
        <v>4950</v>
      </c>
      <c r="K855" s="10" t="e">
        <f t="shared" si="0"/>
        <v>#VALUE!</v>
      </c>
      <c r="L855" s="10">
        <f t="shared" si="1"/>
        <v>1</v>
      </c>
      <c r="M855" s="10" t="str">
        <f t="shared" si="2"/>
        <v>012</v>
      </c>
      <c r="N855" s="10" t="str">
        <f t="shared" si="3"/>
        <v>06</v>
      </c>
      <c r="O855" s="10" t="str">
        <f t="shared" si="16"/>
        <v/>
      </c>
    </row>
    <row r="856" spans="1:15" ht="12.5">
      <c r="A856" s="115" t="s">
        <v>4951</v>
      </c>
      <c r="B856" s="5">
        <v>0</v>
      </c>
      <c r="C856" s="5">
        <v>61</v>
      </c>
      <c r="D856" s="5">
        <v>4</v>
      </c>
      <c r="E856" s="5">
        <v>101</v>
      </c>
      <c r="F856" s="5">
        <v>1</v>
      </c>
      <c r="G856" s="5">
        <v>1300</v>
      </c>
      <c r="H856" s="5" t="s">
        <v>4931</v>
      </c>
      <c r="I856" s="5" t="s">
        <v>4932</v>
      </c>
      <c r="J856" s="5" t="s">
        <v>4952</v>
      </c>
      <c r="K856" s="10" t="e">
        <f t="shared" si="0"/>
        <v>#VALUE!</v>
      </c>
      <c r="L856" s="10">
        <f t="shared" si="1"/>
        <v>1</v>
      </c>
      <c r="M856" s="10" t="str">
        <f t="shared" si="2"/>
        <v>013</v>
      </c>
      <c r="N856" s="10" t="str">
        <f t="shared" si="3"/>
        <v>06</v>
      </c>
      <c r="O856" s="10" t="str">
        <f t="shared" si="16"/>
        <v/>
      </c>
    </row>
    <row r="857" spans="1:15" ht="12.5">
      <c r="A857" s="115" t="s">
        <v>4953</v>
      </c>
      <c r="B857" s="5">
        <v>0</v>
      </c>
      <c r="C857" s="5">
        <v>61</v>
      </c>
      <c r="D857" s="5">
        <v>4</v>
      </c>
      <c r="E857" s="5">
        <v>101</v>
      </c>
      <c r="F857" s="5">
        <v>1</v>
      </c>
      <c r="G857" s="5">
        <v>1400</v>
      </c>
      <c r="H857" s="5" t="s">
        <v>4931</v>
      </c>
      <c r="I857" s="5" t="s">
        <v>4932</v>
      </c>
      <c r="J857" s="5" t="s">
        <v>4954</v>
      </c>
      <c r="K857" s="10" t="e">
        <f t="shared" si="0"/>
        <v>#VALUE!</v>
      </c>
      <c r="L857" s="10">
        <f t="shared" si="1"/>
        <v>1</v>
      </c>
      <c r="M857" s="10" t="str">
        <f t="shared" si="2"/>
        <v>014</v>
      </c>
      <c r="N857" s="10" t="str">
        <f t="shared" si="3"/>
        <v>07</v>
      </c>
      <c r="O857" s="10" t="str">
        <f t="shared" si="16"/>
        <v/>
      </c>
    </row>
    <row r="858" spans="1:15" ht="12.5">
      <c r="A858" s="115" t="s">
        <v>4955</v>
      </c>
      <c r="B858" s="5">
        <v>0</v>
      </c>
      <c r="C858" s="5">
        <v>61</v>
      </c>
      <c r="D858" s="5">
        <v>4</v>
      </c>
      <c r="E858" s="5">
        <v>101</v>
      </c>
      <c r="F858" s="5">
        <v>1</v>
      </c>
      <c r="G858" s="5">
        <v>1500</v>
      </c>
      <c r="H858" s="5" t="s">
        <v>4931</v>
      </c>
      <c r="I858" s="5" t="s">
        <v>4932</v>
      </c>
      <c r="J858" s="5" t="s">
        <v>4695</v>
      </c>
      <c r="K858" s="10" t="e">
        <f t="shared" si="0"/>
        <v>#VALUE!</v>
      </c>
      <c r="L858" s="10">
        <f t="shared" si="1"/>
        <v>1</v>
      </c>
      <c r="M858" s="10" t="str">
        <f t="shared" si="2"/>
        <v>015</v>
      </c>
      <c r="N858" s="10" t="str">
        <f t="shared" si="3"/>
        <v>08</v>
      </c>
      <c r="O858" s="10" t="str">
        <f t="shared" si="16"/>
        <v/>
      </c>
    </row>
    <row r="859" spans="1:15" ht="12.5">
      <c r="A859" s="115" t="s">
        <v>4956</v>
      </c>
      <c r="B859" s="5">
        <v>0</v>
      </c>
      <c r="C859" s="5">
        <v>61</v>
      </c>
      <c r="D859" s="5">
        <v>4</v>
      </c>
      <c r="E859" s="5">
        <v>101</v>
      </c>
      <c r="F859" s="5">
        <v>1</v>
      </c>
      <c r="G859" s="5">
        <v>1600</v>
      </c>
      <c r="H859" s="5" t="s">
        <v>4931</v>
      </c>
      <c r="I859" s="5" t="s">
        <v>4932</v>
      </c>
      <c r="J859" s="5" t="s">
        <v>4693</v>
      </c>
      <c r="K859" s="10" t="e">
        <f t="shared" si="0"/>
        <v>#VALUE!</v>
      </c>
      <c r="L859" s="10">
        <f t="shared" si="1"/>
        <v>1</v>
      </c>
      <c r="M859" s="10" t="str">
        <f t="shared" si="2"/>
        <v>016</v>
      </c>
      <c r="N859" s="10" t="str">
        <f t="shared" si="3"/>
        <v>08</v>
      </c>
      <c r="O859" s="10" t="str">
        <f t="shared" si="16"/>
        <v/>
      </c>
    </row>
    <row r="860" spans="1:15" ht="12.5">
      <c r="A860" s="115" t="s">
        <v>4957</v>
      </c>
      <c r="B860" s="5">
        <v>0</v>
      </c>
      <c r="C860" s="5">
        <v>61</v>
      </c>
      <c r="D860" s="5">
        <v>4</v>
      </c>
      <c r="E860" s="5">
        <v>101</v>
      </c>
      <c r="F860" s="5">
        <v>1</v>
      </c>
      <c r="G860" s="5">
        <v>1700</v>
      </c>
      <c r="H860" s="5" t="s">
        <v>4931</v>
      </c>
      <c r="I860" s="5" t="s">
        <v>4932</v>
      </c>
      <c r="J860" s="5" t="s">
        <v>4958</v>
      </c>
      <c r="K860" s="10" t="e">
        <f t="shared" si="0"/>
        <v>#VALUE!</v>
      </c>
      <c r="L860" s="10">
        <f t="shared" si="1"/>
        <v>1</v>
      </c>
      <c r="M860" s="10" t="str">
        <f t="shared" si="2"/>
        <v>017</v>
      </c>
      <c r="N860" s="10" t="str">
        <f t="shared" si="3"/>
        <v>08</v>
      </c>
      <c r="O860" s="10" t="str">
        <f t="shared" si="16"/>
        <v/>
      </c>
    </row>
    <row r="861" spans="1:15" ht="12.5">
      <c r="A861" s="115" t="s">
        <v>4959</v>
      </c>
      <c r="B861" s="5">
        <v>0</v>
      </c>
      <c r="C861" s="5">
        <v>61</v>
      </c>
      <c r="D861" s="5">
        <v>4</v>
      </c>
      <c r="E861" s="5">
        <v>101</v>
      </c>
      <c r="F861" s="5">
        <v>2</v>
      </c>
      <c r="G861" s="5">
        <v>100</v>
      </c>
      <c r="H861" s="5" t="s">
        <v>4931</v>
      </c>
      <c r="I861" s="5" t="s">
        <v>4960</v>
      </c>
      <c r="J861" s="5" t="s">
        <v>4961</v>
      </c>
      <c r="K861" s="10" t="e">
        <f t="shared" si="0"/>
        <v>#VALUE!</v>
      </c>
      <c r="L861" s="10">
        <f t="shared" si="1"/>
        <v>1</v>
      </c>
      <c r="M861" s="10" t="str">
        <f t="shared" si="2"/>
        <v>020</v>
      </c>
      <c r="N861" s="10" t="str">
        <f t="shared" si="3"/>
        <v>01</v>
      </c>
      <c r="O861" s="10" t="str">
        <f t="shared" si="16"/>
        <v>SENGGIRING</v>
      </c>
    </row>
    <row r="862" spans="1:15" ht="12.5">
      <c r="A862" s="115" t="s">
        <v>4962</v>
      </c>
      <c r="B862" s="5">
        <v>0</v>
      </c>
      <c r="C862" s="5">
        <v>61</v>
      </c>
      <c r="D862" s="5">
        <v>4</v>
      </c>
      <c r="E862" s="5">
        <v>101</v>
      </c>
      <c r="F862" s="5">
        <v>2</v>
      </c>
      <c r="G862" s="5">
        <v>200</v>
      </c>
      <c r="H862" s="5" t="s">
        <v>4931</v>
      </c>
      <c r="I862" s="5" t="s">
        <v>4960</v>
      </c>
      <c r="J862" s="5" t="s">
        <v>4963</v>
      </c>
      <c r="K862" s="10" t="e">
        <f t="shared" si="0"/>
        <v>#VALUE!</v>
      </c>
      <c r="L862" s="10">
        <f t="shared" si="1"/>
        <v>1</v>
      </c>
      <c r="M862" s="10" t="str">
        <f t="shared" si="2"/>
        <v>001</v>
      </c>
      <c r="N862" s="10" t="str">
        <f t="shared" si="3"/>
        <v>01</v>
      </c>
      <c r="O862" s="10" t="str">
        <f t="shared" si="16"/>
        <v>SENGGIRING</v>
      </c>
    </row>
    <row r="863" spans="1:15" ht="12.5">
      <c r="A863" s="115" t="s">
        <v>4964</v>
      </c>
      <c r="B863" s="5">
        <v>0</v>
      </c>
      <c r="C863" s="5">
        <v>61</v>
      </c>
      <c r="D863" s="5">
        <v>4</v>
      </c>
      <c r="E863" s="5">
        <v>101</v>
      </c>
      <c r="F863" s="5">
        <v>2</v>
      </c>
      <c r="G863" s="5">
        <v>300</v>
      </c>
      <c r="H863" s="5" t="s">
        <v>4931</v>
      </c>
      <c r="I863" s="5" t="s">
        <v>4960</v>
      </c>
      <c r="J863" s="5" t="s">
        <v>4965</v>
      </c>
      <c r="K863" s="10" t="e">
        <f t="shared" si="0"/>
        <v>#VALUE!</v>
      </c>
      <c r="L863" s="10">
        <f t="shared" si="1"/>
        <v>1</v>
      </c>
      <c r="M863" s="10" t="str">
        <f t="shared" si="2"/>
        <v>002</v>
      </c>
      <c r="N863" s="10" t="str">
        <f t="shared" si="3"/>
        <v>01</v>
      </c>
      <c r="O863" s="10" t="str">
        <f t="shared" si="16"/>
        <v>SENGGIIRIN</v>
      </c>
    </row>
    <row r="864" spans="1:15" ht="12.5">
      <c r="A864" s="115" t="s">
        <v>4966</v>
      </c>
      <c r="B864" s="5">
        <v>0</v>
      </c>
      <c r="C864" s="5">
        <v>61</v>
      </c>
      <c r="D864" s="5">
        <v>4</v>
      </c>
      <c r="E864" s="5">
        <v>101</v>
      </c>
      <c r="F864" s="5">
        <v>2</v>
      </c>
      <c r="G864" s="5">
        <v>400</v>
      </c>
      <c r="H864" s="5" t="s">
        <v>4931</v>
      </c>
      <c r="I864" s="5" t="s">
        <v>4960</v>
      </c>
      <c r="J864" s="5" t="s">
        <v>4967</v>
      </c>
      <c r="K864" s="10" t="e">
        <f t="shared" si="0"/>
        <v>#VALUE!</v>
      </c>
      <c r="L864" s="10">
        <f t="shared" si="1"/>
        <v>1</v>
      </c>
      <c r="M864" s="10" t="str">
        <f t="shared" si="2"/>
        <v>003</v>
      </c>
      <c r="N864" s="10" t="str">
        <f t="shared" si="3"/>
        <v>01</v>
      </c>
      <c r="O864" s="10" t="str">
        <f t="shared" si="16"/>
        <v>SENGGIRING</v>
      </c>
    </row>
    <row r="865" spans="1:15" ht="12.5">
      <c r="A865" s="115" t="s">
        <v>4968</v>
      </c>
      <c r="B865" s="5">
        <v>0</v>
      </c>
      <c r="C865" s="5">
        <v>61</v>
      </c>
      <c r="D865" s="5">
        <v>4</v>
      </c>
      <c r="E865" s="5">
        <v>101</v>
      </c>
      <c r="F865" s="5">
        <v>2</v>
      </c>
      <c r="G865" s="5">
        <v>500</v>
      </c>
      <c r="H865" s="5" t="s">
        <v>4931</v>
      </c>
      <c r="I865" s="5" t="s">
        <v>4960</v>
      </c>
      <c r="J865" s="5" t="s">
        <v>4969</v>
      </c>
      <c r="K865" s="10" t="e">
        <f t="shared" si="0"/>
        <v>#VALUE!</v>
      </c>
      <c r="L865" s="10">
        <f t="shared" si="1"/>
        <v>1</v>
      </c>
      <c r="M865" s="10" t="str">
        <f t="shared" si="2"/>
        <v>004</v>
      </c>
      <c r="N865" s="10" t="str">
        <f t="shared" si="3"/>
        <v>02</v>
      </c>
      <c r="O865" s="10" t="str">
        <f t="shared" si="16"/>
        <v>BENTENG RA</v>
      </c>
    </row>
    <row r="866" spans="1:15" ht="12.5">
      <c r="A866" s="115" t="s">
        <v>4970</v>
      </c>
      <c r="B866" s="5">
        <v>0</v>
      </c>
      <c r="C866" s="5">
        <v>61</v>
      </c>
      <c r="D866" s="5">
        <v>4</v>
      </c>
      <c r="E866" s="5">
        <v>101</v>
      </c>
      <c r="F866" s="5">
        <v>2</v>
      </c>
      <c r="G866" s="5">
        <v>600</v>
      </c>
      <c r="H866" s="5" t="s">
        <v>4931</v>
      </c>
      <c r="I866" s="5" t="s">
        <v>4960</v>
      </c>
      <c r="J866" s="5" t="s">
        <v>4971</v>
      </c>
      <c r="K866" s="10" t="e">
        <f t="shared" si="0"/>
        <v>#VALUE!</v>
      </c>
      <c r="L866" s="10">
        <f t="shared" si="1"/>
        <v>1</v>
      </c>
      <c r="M866" s="10" t="str">
        <f t="shared" si="2"/>
        <v>031</v>
      </c>
      <c r="N866" s="10" t="str">
        <f t="shared" si="3"/>
        <v>02</v>
      </c>
      <c r="O866" s="10" t="str">
        <f t="shared" si="16"/>
        <v>BENTENG RA</v>
      </c>
    </row>
    <row r="867" spans="1:15" ht="12.5">
      <c r="A867" s="115" t="s">
        <v>4972</v>
      </c>
      <c r="B867" s="5">
        <v>0</v>
      </c>
      <c r="C867" s="5">
        <v>61</v>
      </c>
      <c r="D867" s="5">
        <v>4</v>
      </c>
      <c r="E867" s="5">
        <v>101</v>
      </c>
      <c r="F867" s="5">
        <v>2</v>
      </c>
      <c r="G867" s="5">
        <v>700</v>
      </c>
      <c r="H867" s="5" t="s">
        <v>4931</v>
      </c>
      <c r="I867" s="5" t="s">
        <v>4960</v>
      </c>
      <c r="J867" s="5" t="s">
        <v>4973</v>
      </c>
      <c r="K867" s="10" t="e">
        <f t="shared" si="0"/>
        <v>#VALUE!</v>
      </c>
      <c r="L867" s="10">
        <f t="shared" si="1"/>
        <v>1</v>
      </c>
      <c r="M867" s="10" t="str">
        <f t="shared" si="2"/>
        <v>005</v>
      </c>
      <c r="N867" s="10" t="str">
        <f t="shared" si="3"/>
        <v>02</v>
      </c>
      <c r="O867" s="10" t="str">
        <f t="shared" si="16"/>
        <v>BENTENG RA</v>
      </c>
    </row>
    <row r="868" spans="1:15" ht="12.5">
      <c r="A868" s="115" t="s">
        <v>4974</v>
      </c>
      <c r="B868" s="5">
        <v>0</v>
      </c>
      <c r="C868" s="5">
        <v>61</v>
      </c>
      <c r="D868" s="5">
        <v>4</v>
      </c>
      <c r="E868" s="5">
        <v>101</v>
      </c>
      <c r="F868" s="5">
        <v>2</v>
      </c>
      <c r="G868" s="5">
        <v>800</v>
      </c>
      <c r="H868" s="5" t="s">
        <v>4931</v>
      </c>
      <c r="I868" s="5" t="s">
        <v>4960</v>
      </c>
      <c r="J868" s="5" t="s">
        <v>4975</v>
      </c>
      <c r="K868" s="10" t="e">
        <f t="shared" si="0"/>
        <v>#VALUE!</v>
      </c>
      <c r="L868" s="10">
        <f t="shared" si="1"/>
        <v>1</v>
      </c>
      <c r="M868" s="10" t="str">
        <f t="shared" si="2"/>
        <v>006</v>
      </c>
      <c r="N868" s="10" t="str">
        <f t="shared" si="3"/>
        <v>02</v>
      </c>
      <c r="O868" s="10" t="str">
        <f t="shared" si="16"/>
        <v>BENTENG RA</v>
      </c>
    </row>
    <row r="869" spans="1:15" ht="12.5">
      <c r="A869" s="115" t="s">
        <v>4976</v>
      </c>
      <c r="B869" s="5">
        <v>0</v>
      </c>
      <c r="C869" s="5">
        <v>61</v>
      </c>
      <c r="D869" s="5">
        <v>4</v>
      </c>
      <c r="E869" s="5">
        <v>101</v>
      </c>
      <c r="F869" s="5">
        <v>2</v>
      </c>
      <c r="G869" s="5">
        <v>900</v>
      </c>
      <c r="H869" s="5" t="s">
        <v>4931</v>
      </c>
      <c r="I869" s="5" t="s">
        <v>4960</v>
      </c>
      <c r="J869" s="5" t="s">
        <v>4977</v>
      </c>
      <c r="K869" s="10" t="e">
        <f t="shared" si="0"/>
        <v>#VALUE!</v>
      </c>
      <c r="L869" s="10">
        <f t="shared" si="1"/>
        <v>1</v>
      </c>
      <c r="M869" s="10" t="str">
        <f t="shared" si="2"/>
        <v>007</v>
      </c>
      <c r="N869" s="10" t="str">
        <f t="shared" si="3"/>
        <v>03</v>
      </c>
      <c r="O869" s="10" t="str">
        <f t="shared" si="16"/>
        <v>BENTENG TI</v>
      </c>
    </row>
    <row r="870" spans="1:15" ht="12.5">
      <c r="A870" s="115" t="s">
        <v>4978</v>
      </c>
      <c r="B870" s="5">
        <v>0</v>
      </c>
      <c r="C870" s="5">
        <v>61</v>
      </c>
      <c r="D870" s="5">
        <v>4</v>
      </c>
      <c r="E870" s="5">
        <v>101</v>
      </c>
      <c r="F870" s="5">
        <v>2</v>
      </c>
      <c r="G870" s="5">
        <v>1000</v>
      </c>
      <c r="H870" s="5" t="s">
        <v>4931</v>
      </c>
      <c r="I870" s="5" t="s">
        <v>4960</v>
      </c>
      <c r="J870" s="5" t="s">
        <v>4979</v>
      </c>
      <c r="K870" s="10" t="e">
        <f t="shared" si="0"/>
        <v>#VALUE!</v>
      </c>
      <c r="L870" s="10">
        <f t="shared" si="1"/>
        <v>1</v>
      </c>
      <c r="M870" s="10" t="str">
        <f t="shared" si="2"/>
        <v>018</v>
      </c>
      <c r="N870" s="10" t="str">
        <f t="shared" si="3"/>
        <v>03</v>
      </c>
      <c r="O870" s="10" t="str">
        <f t="shared" si="16"/>
        <v>BENTENG TI</v>
      </c>
    </row>
    <row r="871" spans="1:15" ht="12.5">
      <c r="A871" s="115" t="s">
        <v>4980</v>
      </c>
      <c r="B871" s="5">
        <v>0</v>
      </c>
      <c r="C871" s="5">
        <v>61</v>
      </c>
      <c r="D871" s="5">
        <v>4</v>
      </c>
      <c r="E871" s="5">
        <v>101</v>
      </c>
      <c r="F871" s="5">
        <v>2</v>
      </c>
      <c r="G871" s="5">
        <v>1100</v>
      </c>
      <c r="H871" s="5" t="s">
        <v>4931</v>
      </c>
      <c r="I871" s="5" t="s">
        <v>4960</v>
      </c>
      <c r="J871" s="5" t="s">
        <v>4981</v>
      </c>
      <c r="K871" s="10" t="e">
        <f t="shared" si="0"/>
        <v>#VALUE!</v>
      </c>
      <c r="L871" s="10">
        <f t="shared" si="1"/>
        <v>1</v>
      </c>
      <c r="M871" s="10" t="str">
        <f t="shared" si="2"/>
        <v>008</v>
      </c>
      <c r="N871" s="10" t="str">
        <f t="shared" si="3"/>
        <v>03</v>
      </c>
      <c r="O871" s="10" t="str">
        <f t="shared" si="16"/>
        <v>BENTENG TI</v>
      </c>
    </row>
    <row r="872" spans="1:15" ht="12.5">
      <c r="A872" s="115" t="s">
        <v>4982</v>
      </c>
      <c r="B872" s="5">
        <v>0</v>
      </c>
      <c r="C872" s="5">
        <v>61</v>
      </c>
      <c r="D872" s="5">
        <v>4</v>
      </c>
      <c r="E872" s="5">
        <v>101</v>
      </c>
      <c r="F872" s="5">
        <v>2</v>
      </c>
      <c r="G872" s="5">
        <v>1200</v>
      </c>
      <c r="H872" s="5" t="s">
        <v>4931</v>
      </c>
      <c r="I872" s="5" t="s">
        <v>4960</v>
      </c>
      <c r="J872" s="5" t="s">
        <v>4983</v>
      </c>
      <c r="K872" s="10" t="e">
        <f t="shared" si="0"/>
        <v>#VALUE!</v>
      </c>
      <c r="L872" s="10">
        <f t="shared" si="1"/>
        <v>1</v>
      </c>
      <c r="M872" s="10" t="str">
        <f t="shared" si="2"/>
        <v>009</v>
      </c>
      <c r="N872" s="10" t="str">
        <f t="shared" si="3"/>
        <v>03</v>
      </c>
      <c r="O872" s="10" t="str">
        <f t="shared" si="16"/>
        <v>BENTENG TI</v>
      </c>
    </row>
    <row r="873" spans="1:15" ht="12.5">
      <c r="A873" s="115" t="s">
        <v>4984</v>
      </c>
      <c r="B873" s="5">
        <v>0</v>
      </c>
      <c r="C873" s="5">
        <v>61</v>
      </c>
      <c r="D873" s="5">
        <v>4</v>
      </c>
      <c r="E873" s="5">
        <v>101</v>
      </c>
      <c r="F873" s="5">
        <v>2</v>
      </c>
      <c r="G873" s="5">
        <v>1300</v>
      </c>
      <c r="H873" s="5" t="s">
        <v>4931</v>
      </c>
      <c r="I873" s="5" t="s">
        <v>4960</v>
      </c>
      <c r="J873" s="5" t="s">
        <v>4985</v>
      </c>
      <c r="K873" s="10" t="e">
        <f t="shared" si="0"/>
        <v>#VALUE!</v>
      </c>
      <c r="L873" s="10">
        <f t="shared" si="1"/>
        <v>1</v>
      </c>
      <c r="M873" s="10" t="str">
        <f t="shared" si="2"/>
        <v>010</v>
      </c>
      <c r="N873" s="10" t="str">
        <f t="shared" si="3"/>
        <v>03</v>
      </c>
      <c r="O873" s="10" t="str">
        <f t="shared" si="16"/>
        <v>SEPAKAT TE</v>
      </c>
    </row>
    <row r="874" spans="1:15" ht="12.5">
      <c r="A874" s="115" t="s">
        <v>4986</v>
      </c>
      <c r="B874" s="5">
        <v>0</v>
      </c>
      <c r="C874" s="5">
        <v>61</v>
      </c>
      <c r="D874" s="5">
        <v>4</v>
      </c>
      <c r="E874" s="5">
        <v>101</v>
      </c>
      <c r="F874" s="5">
        <v>2</v>
      </c>
      <c r="G874" s="5">
        <v>1400</v>
      </c>
      <c r="H874" s="5" t="s">
        <v>4931</v>
      </c>
      <c r="I874" s="5" t="s">
        <v>4960</v>
      </c>
      <c r="J874" s="5" t="s">
        <v>4987</v>
      </c>
      <c r="K874" s="10" t="e">
        <f t="shared" si="0"/>
        <v>#VALUE!</v>
      </c>
      <c r="L874" s="10">
        <f t="shared" si="1"/>
        <v>1</v>
      </c>
      <c r="M874" s="10" t="str">
        <f t="shared" si="2"/>
        <v>011</v>
      </c>
      <c r="N874" s="10" t="str">
        <f t="shared" si="3"/>
        <v>03</v>
      </c>
      <c r="O874" s="10" t="str">
        <f t="shared" si="16"/>
        <v>SEPAKAT TE</v>
      </c>
    </row>
    <row r="875" spans="1:15" ht="12.5">
      <c r="A875" s="115" t="s">
        <v>4988</v>
      </c>
      <c r="B875" s="5">
        <v>0</v>
      </c>
      <c r="C875" s="5">
        <v>61</v>
      </c>
      <c r="D875" s="5">
        <v>4</v>
      </c>
      <c r="E875" s="5">
        <v>101</v>
      </c>
      <c r="F875" s="5">
        <v>2</v>
      </c>
      <c r="G875" s="5">
        <v>1500</v>
      </c>
      <c r="H875" s="5" t="s">
        <v>4931</v>
      </c>
      <c r="I875" s="5" t="s">
        <v>4960</v>
      </c>
      <c r="J875" s="5" t="s">
        <v>4989</v>
      </c>
      <c r="K875" s="10" t="e">
        <f t="shared" si="0"/>
        <v>#VALUE!</v>
      </c>
      <c r="L875" s="10">
        <f t="shared" si="1"/>
        <v>1</v>
      </c>
      <c r="M875" s="10" t="str">
        <f t="shared" si="2"/>
        <v>035</v>
      </c>
      <c r="N875" s="10" t="str">
        <f t="shared" si="3"/>
        <v>04</v>
      </c>
      <c r="O875" s="10" t="str">
        <f t="shared" si="16"/>
        <v>SEPAKAT TE</v>
      </c>
    </row>
    <row r="876" spans="1:15" ht="12.5">
      <c r="A876" s="115" t="s">
        <v>4990</v>
      </c>
      <c r="B876" s="5">
        <v>0</v>
      </c>
      <c r="C876" s="5">
        <v>61</v>
      </c>
      <c r="D876" s="5">
        <v>4</v>
      </c>
      <c r="E876" s="5">
        <v>101</v>
      </c>
      <c r="F876" s="5">
        <v>2</v>
      </c>
      <c r="G876" s="5">
        <v>1600</v>
      </c>
      <c r="H876" s="5" t="s">
        <v>4931</v>
      </c>
      <c r="I876" s="5" t="s">
        <v>4960</v>
      </c>
      <c r="J876" s="5" t="s">
        <v>4991</v>
      </c>
      <c r="K876" s="10" t="e">
        <f t="shared" si="0"/>
        <v>#VALUE!</v>
      </c>
      <c r="L876" s="10">
        <f t="shared" si="1"/>
        <v>1</v>
      </c>
      <c r="M876" s="10" t="str">
        <f t="shared" si="2"/>
        <v>012</v>
      </c>
      <c r="N876" s="10" t="str">
        <f t="shared" si="3"/>
        <v>04</v>
      </c>
      <c r="O876" s="10" t="str">
        <f t="shared" si="16"/>
        <v>SEPAKAT TE</v>
      </c>
    </row>
    <row r="877" spans="1:15" ht="12.5">
      <c r="A877" s="115" t="s">
        <v>4992</v>
      </c>
      <c r="B877" s="5">
        <v>0</v>
      </c>
      <c r="C877" s="5">
        <v>61</v>
      </c>
      <c r="D877" s="5">
        <v>4</v>
      </c>
      <c r="E877" s="5">
        <v>101</v>
      </c>
      <c r="F877" s="5">
        <v>2</v>
      </c>
      <c r="G877" s="5">
        <v>1700</v>
      </c>
      <c r="H877" s="5" t="s">
        <v>4931</v>
      </c>
      <c r="I877" s="5" t="s">
        <v>4960</v>
      </c>
      <c r="J877" s="5" t="s">
        <v>4993</v>
      </c>
      <c r="K877" s="10" t="e">
        <f t="shared" si="0"/>
        <v>#VALUE!</v>
      </c>
      <c r="L877" s="10">
        <f t="shared" si="1"/>
        <v>1</v>
      </c>
      <c r="M877" s="10" t="str">
        <f t="shared" si="2"/>
        <v>013</v>
      </c>
      <c r="N877" s="10" t="str">
        <f t="shared" si="3"/>
        <v>04</v>
      </c>
      <c r="O877" s="10" t="str">
        <f t="shared" si="16"/>
        <v>SEPAKAT TE</v>
      </c>
    </row>
    <row r="878" spans="1:15" ht="12.5">
      <c r="A878" s="115" t="s">
        <v>4994</v>
      </c>
      <c r="B878" s="5">
        <v>0</v>
      </c>
      <c r="C878" s="5">
        <v>61</v>
      </c>
      <c r="D878" s="5">
        <v>4</v>
      </c>
      <c r="E878" s="5">
        <v>101</v>
      </c>
      <c r="F878" s="5">
        <v>2</v>
      </c>
      <c r="G878" s="5">
        <v>1800</v>
      </c>
      <c r="H878" s="5" t="s">
        <v>4931</v>
      </c>
      <c r="I878" s="5" t="s">
        <v>4960</v>
      </c>
      <c r="J878" s="5" t="s">
        <v>4995</v>
      </c>
      <c r="K878" s="10" t="e">
        <f t="shared" si="0"/>
        <v>#VALUE!</v>
      </c>
      <c r="L878" s="10">
        <f t="shared" si="1"/>
        <v>1</v>
      </c>
      <c r="M878" s="10" t="str">
        <f t="shared" si="2"/>
        <v>014</v>
      </c>
      <c r="N878" s="10" t="str">
        <f t="shared" si="3"/>
        <v>04</v>
      </c>
      <c r="O878" s="10" t="str">
        <f t="shared" si="16"/>
        <v>SEPAKAT TE</v>
      </c>
    </row>
    <row r="879" spans="1:15" ht="12.5">
      <c r="A879" s="115" t="s">
        <v>4996</v>
      </c>
      <c r="B879" s="5">
        <v>0</v>
      </c>
      <c r="C879" s="5">
        <v>61</v>
      </c>
      <c r="D879" s="5">
        <v>4</v>
      </c>
      <c r="E879" s="5">
        <v>101</v>
      </c>
      <c r="F879" s="5">
        <v>2</v>
      </c>
      <c r="G879" s="5">
        <v>1900</v>
      </c>
      <c r="H879" s="5" t="s">
        <v>4931</v>
      </c>
      <c r="I879" s="5" t="s">
        <v>4960</v>
      </c>
      <c r="J879" s="5" t="s">
        <v>4997</v>
      </c>
      <c r="K879" s="10" t="e">
        <f t="shared" si="0"/>
        <v>#VALUE!</v>
      </c>
      <c r="L879" s="10">
        <f t="shared" si="1"/>
        <v>1</v>
      </c>
      <c r="M879" s="10" t="str">
        <f t="shared" si="2"/>
        <v>033</v>
      </c>
      <c r="N879" s="10" t="str">
        <f t="shared" si="3"/>
        <v>04</v>
      </c>
      <c r="O879" s="10" t="str">
        <f t="shared" si="16"/>
        <v>SEPAKAT TE</v>
      </c>
    </row>
    <row r="880" spans="1:15" ht="12.5">
      <c r="A880" s="115" t="s">
        <v>4998</v>
      </c>
      <c r="B880" s="5">
        <v>0</v>
      </c>
      <c r="C880" s="5">
        <v>61</v>
      </c>
      <c r="D880" s="5">
        <v>4</v>
      </c>
      <c r="E880" s="5">
        <v>101</v>
      </c>
      <c r="F880" s="5">
        <v>2</v>
      </c>
      <c r="G880" s="5">
        <v>2000</v>
      </c>
      <c r="H880" s="5" t="s">
        <v>4931</v>
      </c>
      <c r="I880" s="5" t="s">
        <v>4960</v>
      </c>
      <c r="J880" s="5" t="s">
        <v>4999</v>
      </c>
      <c r="K880" s="10" t="e">
        <f t="shared" si="0"/>
        <v>#VALUE!</v>
      </c>
      <c r="L880" s="10">
        <f t="shared" si="1"/>
        <v>1</v>
      </c>
      <c r="M880" s="10" t="str">
        <f t="shared" si="2"/>
        <v>019</v>
      </c>
      <c r="N880" s="10" t="str">
        <f t="shared" si="3"/>
        <v>04</v>
      </c>
      <c r="O880" s="10" t="str">
        <f t="shared" si="16"/>
        <v>SEPAKAT TE</v>
      </c>
    </row>
    <row r="881" spans="1:15" ht="12.5">
      <c r="A881" s="115" t="s">
        <v>5000</v>
      </c>
      <c r="B881" s="5">
        <v>0</v>
      </c>
      <c r="C881" s="5">
        <v>61</v>
      </c>
      <c r="D881" s="5">
        <v>4</v>
      </c>
      <c r="E881" s="5">
        <v>101</v>
      </c>
      <c r="F881" s="5">
        <v>2</v>
      </c>
      <c r="G881" s="5">
        <v>2100</v>
      </c>
      <c r="H881" s="5" t="s">
        <v>4931</v>
      </c>
      <c r="I881" s="5" t="s">
        <v>4960</v>
      </c>
      <c r="J881" s="5" t="s">
        <v>5001</v>
      </c>
      <c r="K881" s="10" t="e">
        <f t="shared" si="0"/>
        <v>#VALUE!</v>
      </c>
      <c r="L881" s="10">
        <f t="shared" si="1"/>
        <v>1</v>
      </c>
      <c r="M881" s="10" t="str">
        <f t="shared" si="2"/>
        <v>015</v>
      </c>
      <c r="N881" s="10" t="str">
        <f t="shared" si="3"/>
        <v>05</v>
      </c>
      <c r="O881" s="10" t="str">
        <f t="shared" si="16"/>
        <v>SEPAKAT DA</v>
      </c>
    </row>
    <row r="882" spans="1:15" ht="12.5">
      <c r="A882" s="115" t="s">
        <v>5002</v>
      </c>
      <c r="B882" s="5">
        <v>0</v>
      </c>
      <c r="C882" s="5">
        <v>61</v>
      </c>
      <c r="D882" s="5">
        <v>4</v>
      </c>
      <c r="E882" s="5">
        <v>101</v>
      </c>
      <c r="F882" s="5">
        <v>2</v>
      </c>
      <c r="G882" s="5">
        <v>2200</v>
      </c>
      <c r="H882" s="5" t="s">
        <v>4931</v>
      </c>
      <c r="I882" s="5" t="s">
        <v>4960</v>
      </c>
      <c r="J882" s="5" t="s">
        <v>5003</v>
      </c>
      <c r="K882" s="10" t="e">
        <f t="shared" si="0"/>
        <v>#VALUE!</v>
      </c>
      <c r="L882" s="10">
        <f t="shared" si="1"/>
        <v>1</v>
      </c>
      <c r="M882" s="10" t="str">
        <f t="shared" si="2"/>
        <v>034</v>
      </c>
      <c r="N882" s="10" t="str">
        <f t="shared" si="3"/>
        <v>05</v>
      </c>
      <c r="O882" s="10" t="str">
        <f t="shared" si="16"/>
        <v>SEPAKAT DA</v>
      </c>
    </row>
    <row r="883" spans="1:15" ht="12.5">
      <c r="A883" s="115" t="s">
        <v>5004</v>
      </c>
      <c r="B883" s="5">
        <v>0</v>
      </c>
      <c r="C883" s="5">
        <v>61</v>
      </c>
      <c r="D883" s="5">
        <v>4</v>
      </c>
      <c r="E883" s="5">
        <v>101</v>
      </c>
      <c r="F883" s="5">
        <v>2</v>
      </c>
      <c r="G883" s="5">
        <v>2300</v>
      </c>
      <c r="H883" s="5" t="s">
        <v>4931</v>
      </c>
      <c r="I883" s="5" t="s">
        <v>4960</v>
      </c>
      <c r="J883" s="5" t="s">
        <v>5005</v>
      </c>
      <c r="K883" s="10" t="e">
        <f t="shared" si="0"/>
        <v>#VALUE!</v>
      </c>
      <c r="L883" s="10">
        <f t="shared" si="1"/>
        <v>1</v>
      </c>
      <c r="M883" s="10" t="str">
        <f t="shared" si="2"/>
        <v>016</v>
      </c>
      <c r="N883" s="10" t="str">
        <f t="shared" si="3"/>
        <v>05</v>
      </c>
      <c r="O883" s="10" t="str">
        <f t="shared" si="16"/>
        <v>SEPAKAT DA</v>
      </c>
    </row>
    <row r="884" spans="1:15" ht="12.5">
      <c r="A884" s="115" t="s">
        <v>5006</v>
      </c>
      <c r="B884" s="5">
        <v>0</v>
      </c>
      <c r="C884" s="5">
        <v>61</v>
      </c>
      <c r="D884" s="5">
        <v>4</v>
      </c>
      <c r="E884" s="5">
        <v>101</v>
      </c>
      <c r="F884" s="5">
        <v>2</v>
      </c>
      <c r="G884" s="5">
        <v>2400</v>
      </c>
      <c r="H884" s="5" t="s">
        <v>4931</v>
      </c>
      <c r="I884" s="5" t="s">
        <v>4960</v>
      </c>
      <c r="J884" s="5" t="s">
        <v>5007</v>
      </c>
      <c r="K884" s="10" t="e">
        <f t="shared" si="0"/>
        <v>#VALUE!</v>
      </c>
      <c r="L884" s="10">
        <f t="shared" si="1"/>
        <v>1</v>
      </c>
      <c r="M884" s="10" t="str">
        <f t="shared" si="2"/>
        <v>017</v>
      </c>
      <c r="N884" s="10" t="str">
        <f t="shared" si="3"/>
        <v>05</v>
      </c>
      <c r="O884" s="10" t="str">
        <f t="shared" si="16"/>
        <v>SEPAKAT DA</v>
      </c>
    </row>
    <row r="885" spans="1:15" ht="12.5">
      <c r="A885" s="115" t="s">
        <v>5008</v>
      </c>
      <c r="B885" s="5">
        <v>0</v>
      </c>
      <c r="C885" s="5">
        <v>61</v>
      </c>
      <c r="D885" s="5">
        <v>4</v>
      </c>
      <c r="E885" s="5">
        <v>101</v>
      </c>
      <c r="F885" s="5">
        <v>2</v>
      </c>
      <c r="G885" s="5">
        <v>2500</v>
      </c>
      <c r="H885" s="5" t="s">
        <v>4931</v>
      </c>
      <c r="I885" s="5" t="s">
        <v>4960</v>
      </c>
      <c r="J885" s="5" t="s">
        <v>5009</v>
      </c>
      <c r="K885" s="10" t="e">
        <f t="shared" si="0"/>
        <v>#VALUE!</v>
      </c>
      <c r="L885" s="10">
        <f t="shared" si="1"/>
        <v>1</v>
      </c>
      <c r="M885" s="10" t="str">
        <f t="shared" si="2"/>
        <v>030</v>
      </c>
      <c r="N885" s="10" t="str">
        <f t="shared" si="3"/>
        <v>05</v>
      </c>
      <c r="O885" s="10" t="str">
        <f t="shared" si="16"/>
        <v>SEPAKAT DA</v>
      </c>
    </row>
    <row r="886" spans="1:15" ht="12.5">
      <c r="A886" s="115" t="s">
        <v>5010</v>
      </c>
      <c r="B886" s="5">
        <v>0</v>
      </c>
      <c r="C886" s="5">
        <v>61</v>
      </c>
      <c r="D886" s="5">
        <v>4</v>
      </c>
      <c r="E886" s="5">
        <v>101</v>
      </c>
      <c r="F886" s="5">
        <v>2</v>
      </c>
      <c r="G886" s="5">
        <v>2600</v>
      </c>
      <c r="H886" s="5" t="s">
        <v>4931</v>
      </c>
      <c r="I886" s="5" t="s">
        <v>4960</v>
      </c>
      <c r="J886" s="5" t="s">
        <v>5011</v>
      </c>
      <c r="K886" s="10" t="e">
        <f t="shared" si="0"/>
        <v>#VALUE!</v>
      </c>
      <c r="L886" s="10">
        <f t="shared" si="1"/>
        <v>1</v>
      </c>
      <c r="M886" s="10" t="str">
        <f t="shared" si="2"/>
        <v>021</v>
      </c>
      <c r="N886" s="10" t="str">
        <f t="shared" si="3"/>
        <v>06</v>
      </c>
      <c r="O886" s="10" t="str">
        <f t="shared" si="16"/>
        <v>KEDAUNG</v>
      </c>
    </row>
    <row r="887" spans="1:15" ht="12.5">
      <c r="A887" s="115" t="s">
        <v>5012</v>
      </c>
      <c r="B887" s="5">
        <v>0</v>
      </c>
      <c r="C887" s="5">
        <v>61</v>
      </c>
      <c r="D887" s="5">
        <v>4</v>
      </c>
      <c r="E887" s="5">
        <v>101</v>
      </c>
      <c r="F887" s="5">
        <v>2</v>
      </c>
      <c r="G887" s="5">
        <v>2700</v>
      </c>
      <c r="H887" s="5" t="s">
        <v>4931</v>
      </c>
      <c r="I887" s="5" t="s">
        <v>4960</v>
      </c>
      <c r="J887" s="5" t="s">
        <v>5013</v>
      </c>
      <c r="K887" s="10" t="e">
        <f t="shared" si="0"/>
        <v>#VALUE!</v>
      </c>
      <c r="L887" s="10">
        <f t="shared" si="1"/>
        <v>1</v>
      </c>
      <c r="M887" s="10" t="str">
        <f t="shared" si="2"/>
        <v>022</v>
      </c>
      <c r="N887" s="10" t="str">
        <f t="shared" si="3"/>
        <v>06</v>
      </c>
      <c r="O887" s="10" t="str">
        <f t="shared" si="16"/>
        <v>KEDAUNG</v>
      </c>
    </row>
    <row r="888" spans="1:15" ht="12.5">
      <c r="A888" s="115" t="s">
        <v>5014</v>
      </c>
      <c r="B888" s="5">
        <v>0</v>
      </c>
      <c r="C888" s="5">
        <v>61</v>
      </c>
      <c r="D888" s="5">
        <v>4</v>
      </c>
      <c r="E888" s="5">
        <v>101</v>
      </c>
      <c r="F888" s="5">
        <v>2</v>
      </c>
      <c r="G888" s="5">
        <v>2800</v>
      </c>
      <c r="H888" s="5" t="s">
        <v>4931</v>
      </c>
      <c r="I888" s="5" t="s">
        <v>4960</v>
      </c>
      <c r="J888" s="5" t="s">
        <v>5015</v>
      </c>
      <c r="K888" s="10" t="e">
        <f t="shared" si="0"/>
        <v>#VALUE!</v>
      </c>
      <c r="L888" s="10">
        <f t="shared" si="1"/>
        <v>1</v>
      </c>
      <c r="M888" s="10" t="str">
        <f t="shared" si="2"/>
        <v>023</v>
      </c>
      <c r="N888" s="10" t="str">
        <f t="shared" si="3"/>
        <v>06</v>
      </c>
      <c r="O888" s="10" t="str">
        <f t="shared" si="16"/>
        <v>KEDAUNG</v>
      </c>
    </row>
    <row r="889" spans="1:15" ht="12.5">
      <c r="A889" s="115" t="s">
        <v>5016</v>
      </c>
      <c r="B889" s="5">
        <v>0</v>
      </c>
      <c r="C889" s="5">
        <v>61</v>
      </c>
      <c r="D889" s="5">
        <v>4</v>
      </c>
      <c r="E889" s="5">
        <v>101</v>
      </c>
      <c r="F889" s="5">
        <v>2</v>
      </c>
      <c r="G889" s="5">
        <v>2900</v>
      </c>
      <c r="H889" s="5" t="s">
        <v>4931</v>
      </c>
      <c r="I889" s="5" t="s">
        <v>4960</v>
      </c>
      <c r="J889" s="5" t="s">
        <v>5017</v>
      </c>
      <c r="K889" s="10" t="e">
        <f t="shared" si="0"/>
        <v>#VALUE!</v>
      </c>
      <c r="L889" s="10">
        <f t="shared" si="1"/>
        <v>1</v>
      </c>
      <c r="M889" s="10" t="str">
        <f t="shared" si="2"/>
        <v>024</v>
      </c>
      <c r="N889" s="10" t="str">
        <f t="shared" si="3"/>
        <v>07</v>
      </c>
      <c r="O889" s="10" t="str">
        <f t="shared" si="16"/>
        <v>SENAMBANG</v>
      </c>
    </row>
    <row r="890" spans="1:15" ht="12.5">
      <c r="A890" s="115" t="s">
        <v>5018</v>
      </c>
      <c r="B890" s="5">
        <v>0</v>
      </c>
      <c r="C890" s="5">
        <v>61</v>
      </c>
      <c r="D890" s="5">
        <v>4</v>
      </c>
      <c r="E890" s="5">
        <v>101</v>
      </c>
      <c r="F890" s="5">
        <v>2</v>
      </c>
      <c r="G890" s="5">
        <v>3000</v>
      </c>
      <c r="H890" s="5" t="s">
        <v>4931</v>
      </c>
      <c r="I890" s="5" t="s">
        <v>4960</v>
      </c>
      <c r="J890" s="5" t="s">
        <v>5019</v>
      </c>
      <c r="K890" s="10" t="e">
        <f t="shared" si="0"/>
        <v>#VALUE!</v>
      </c>
      <c r="L890" s="10">
        <f t="shared" si="1"/>
        <v>1</v>
      </c>
      <c r="M890" s="10" t="str">
        <f t="shared" si="2"/>
        <v>025</v>
      </c>
      <c r="N890" s="10" t="str">
        <f t="shared" si="3"/>
        <v>07</v>
      </c>
      <c r="O890" s="10" t="str">
        <f t="shared" si="16"/>
        <v>SENAMBANG</v>
      </c>
    </row>
    <row r="891" spans="1:15" ht="12.5">
      <c r="A891" s="115" t="s">
        <v>5020</v>
      </c>
      <c r="B891" s="5">
        <v>0</v>
      </c>
      <c r="C891" s="5">
        <v>61</v>
      </c>
      <c r="D891" s="5">
        <v>4</v>
      </c>
      <c r="E891" s="5">
        <v>101</v>
      </c>
      <c r="F891" s="5">
        <v>2</v>
      </c>
      <c r="G891" s="5">
        <v>3100</v>
      </c>
      <c r="H891" s="5" t="s">
        <v>4931</v>
      </c>
      <c r="I891" s="5" t="s">
        <v>4960</v>
      </c>
      <c r="J891" s="5" t="s">
        <v>5021</v>
      </c>
      <c r="K891" s="10" t="e">
        <f t="shared" si="0"/>
        <v>#VALUE!</v>
      </c>
      <c r="L891" s="10">
        <f t="shared" si="1"/>
        <v>1</v>
      </c>
      <c r="M891" s="10" t="str">
        <f t="shared" si="2"/>
        <v>026</v>
      </c>
      <c r="N891" s="10" t="str">
        <f t="shared" si="3"/>
        <v>07</v>
      </c>
      <c r="O891" s="10" t="str">
        <f t="shared" si="16"/>
        <v>SENAMBANG</v>
      </c>
    </row>
    <row r="892" spans="1:15" ht="12.5">
      <c r="A892" s="115" t="s">
        <v>5022</v>
      </c>
      <c r="B892" s="5">
        <v>0</v>
      </c>
      <c r="C892" s="5">
        <v>61</v>
      </c>
      <c r="D892" s="5">
        <v>4</v>
      </c>
      <c r="E892" s="5">
        <v>101</v>
      </c>
      <c r="F892" s="5">
        <v>2</v>
      </c>
      <c r="G892" s="5">
        <v>3200</v>
      </c>
      <c r="H892" s="5" t="s">
        <v>4931</v>
      </c>
      <c r="I892" s="5" t="s">
        <v>4960</v>
      </c>
      <c r="J892" s="5" t="s">
        <v>5023</v>
      </c>
      <c r="K892" s="10" t="e">
        <f t="shared" si="0"/>
        <v>#VALUE!</v>
      </c>
      <c r="L892" s="10">
        <f t="shared" si="1"/>
        <v>1</v>
      </c>
      <c r="M892" s="10" t="str">
        <f t="shared" si="2"/>
        <v>032</v>
      </c>
      <c r="N892" s="10" t="str">
        <f t="shared" si="3"/>
        <v>07</v>
      </c>
      <c r="O892" s="10" t="str">
        <f t="shared" si="16"/>
        <v>SENAMBANG</v>
      </c>
    </row>
    <row r="893" spans="1:15" ht="12.5">
      <c r="A893" s="115" t="s">
        <v>5024</v>
      </c>
      <c r="B893" s="5">
        <v>0</v>
      </c>
      <c r="C893" s="5">
        <v>61</v>
      </c>
      <c r="D893" s="5">
        <v>4</v>
      </c>
      <c r="E893" s="5">
        <v>101</v>
      </c>
      <c r="F893" s="5">
        <v>2</v>
      </c>
      <c r="G893" s="5">
        <v>3300</v>
      </c>
      <c r="H893" s="5" t="s">
        <v>4931</v>
      </c>
      <c r="I893" s="5" t="s">
        <v>4960</v>
      </c>
      <c r="J893" s="5" t="s">
        <v>5025</v>
      </c>
      <c r="K893" s="10" t="e">
        <f t="shared" si="0"/>
        <v>#VALUE!</v>
      </c>
      <c r="L893" s="10">
        <f t="shared" si="1"/>
        <v>1</v>
      </c>
      <c r="M893" s="10" t="str">
        <f t="shared" si="2"/>
        <v>027</v>
      </c>
      <c r="N893" s="10" t="str">
        <f t="shared" si="3"/>
        <v>08</v>
      </c>
      <c r="O893" s="10" t="str">
        <f t="shared" si="16"/>
        <v>KONSASI</v>
      </c>
    </row>
    <row r="894" spans="1:15" ht="12.5">
      <c r="A894" s="115" t="s">
        <v>5026</v>
      </c>
      <c r="B894" s="5">
        <v>0</v>
      </c>
      <c r="C894" s="5">
        <v>61</v>
      </c>
      <c r="D894" s="5">
        <v>4</v>
      </c>
      <c r="E894" s="5">
        <v>101</v>
      </c>
      <c r="F894" s="5">
        <v>2</v>
      </c>
      <c r="G894" s="5">
        <v>3400</v>
      </c>
      <c r="H894" s="5" t="s">
        <v>4931</v>
      </c>
      <c r="I894" s="5" t="s">
        <v>4960</v>
      </c>
      <c r="J894" s="5" t="s">
        <v>5027</v>
      </c>
      <c r="K894" s="10" t="e">
        <f t="shared" si="0"/>
        <v>#VALUE!</v>
      </c>
      <c r="L894" s="10">
        <f t="shared" si="1"/>
        <v>1</v>
      </c>
      <c r="M894" s="10" t="str">
        <f t="shared" si="2"/>
        <v>028</v>
      </c>
      <c r="N894" s="10" t="str">
        <f t="shared" si="3"/>
        <v>08</v>
      </c>
      <c r="O894" s="10" t="str">
        <f t="shared" si="16"/>
        <v>KONSASI</v>
      </c>
    </row>
    <row r="895" spans="1:15" ht="12.5">
      <c r="A895" s="115" t="s">
        <v>5028</v>
      </c>
      <c r="B895" s="5">
        <v>0</v>
      </c>
      <c r="C895" s="5">
        <v>61</v>
      </c>
      <c r="D895" s="5">
        <v>4</v>
      </c>
      <c r="E895" s="5">
        <v>101</v>
      </c>
      <c r="F895" s="5">
        <v>2</v>
      </c>
      <c r="G895" s="5">
        <v>3500</v>
      </c>
      <c r="H895" s="5" t="s">
        <v>4931</v>
      </c>
      <c r="I895" s="5" t="s">
        <v>4960</v>
      </c>
      <c r="J895" s="5" t="s">
        <v>5029</v>
      </c>
      <c r="K895" s="10" t="e">
        <f t="shared" si="0"/>
        <v>#VALUE!</v>
      </c>
      <c r="L895" s="10">
        <f t="shared" si="1"/>
        <v>1</v>
      </c>
      <c r="M895" s="10" t="str">
        <f t="shared" si="2"/>
        <v>029</v>
      </c>
      <c r="N895" s="10" t="str">
        <f t="shared" si="3"/>
        <v>08</v>
      </c>
      <c r="O895" s="10" t="str">
        <f t="shared" si="16"/>
        <v>KONSASI</v>
      </c>
    </row>
    <row r="896" spans="1:15" ht="12.5">
      <c r="A896" s="115" t="s">
        <v>5030</v>
      </c>
      <c r="B896" s="5">
        <v>0</v>
      </c>
      <c r="C896" s="5">
        <v>61</v>
      </c>
      <c r="D896" s="5">
        <v>4</v>
      </c>
      <c r="E896" s="5">
        <v>101</v>
      </c>
      <c r="F896" s="5">
        <v>2</v>
      </c>
      <c r="G896" s="5">
        <v>3600</v>
      </c>
      <c r="H896" s="5" t="s">
        <v>4931</v>
      </c>
      <c r="I896" s="5" t="s">
        <v>4960</v>
      </c>
      <c r="J896" s="5" t="s">
        <v>5031</v>
      </c>
      <c r="K896" s="10" t="e">
        <f t="shared" si="0"/>
        <v>#VALUE!</v>
      </c>
      <c r="L896" s="10">
        <f t="shared" si="1"/>
        <v>1</v>
      </c>
      <c r="M896" s="10" t="str">
        <f t="shared" si="2"/>
        <v>036</v>
      </c>
      <c r="N896" s="10" t="str">
        <f t="shared" si="3"/>
        <v>03</v>
      </c>
      <c r="O896" s="10" t="str">
        <f t="shared" si="16"/>
        <v>BENTENG TI</v>
      </c>
    </row>
    <row r="897" spans="1:15" ht="12.5">
      <c r="A897" s="115" t="s">
        <v>5032</v>
      </c>
      <c r="B897" s="5">
        <v>0</v>
      </c>
      <c r="C897" s="5">
        <v>61</v>
      </c>
      <c r="D897" s="5">
        <v>4</v>
      </c>
      <c r="E897" s="5">
        <v>101</v>
      </c>
      <c r="F897" s="5">
        <v>2</v>
      </c>
      <c r="G897" s="5">
        <v>3700</v>
      </c>
      <c r="H897" s="5" t="s">
        <v>4931</v>
      </c>
      <c r="I897" s="5" t="s">
        <v>4960</v>
      </c>
      <c r="J897" s="5" t="s">
        <v>5033</v>
      </c>
      <c r="K897" s="10" t="e">
        <f t="shared" si="0"/>
        <v>#VALUE!</v>
      </c>
      <c r="L897" s="10">
        <f t="shared" si="1"/>
        <v>1</v>
      </c>
      <c r="M897" s="10" t="str">
        <f t="shared" si="2"/>
        <v>037</v>
      </c>
      <c r="N897" s="10" t="str">
        <f t="shared" si="3"/>
        <v>05</v>
      </c>
      <c r="O897" s="10" t="str">
        <f t="shared" si="16"/>
        <v>SEPAKAT DA</v>
      </c>
    </row>
    <row r="898" spans="1:15" ht="12.5">
      <c r="A898" s="115" t="s">
        <v>5034</v>
      </c>
      <c r="B898" s="5">
        <v>2</v>
      </c>
      <c r="C898" s="5">
        <v>61</v>
      </c>
      <c r="D898" s="5">
        <v>4</v>
      </c>
      <c r="E898" s="5">
        <v>101</v>
      </c>
      <c r="F898" s="5">
        <v>2</v>
      </c>
      <c r="G898" s="5">
        <v>200100</v>
      </c>
      <c r="H898" s="5" t="s">
        <v>4931</v>
      </c>
      <c r="I898" s="5" t="s">
        <v>4960</v>
      </c>
      <c r="J898" s="5" t="s">
        <v>3988</v>
      </c>
      <c r="K898" s="10" t="e">
        <f t="shared" si="0"/>
        <v>#VALUE!</v>
      </c>
      <c r="L898" s="10">
        <f t="shared" si="1"/>
        <v>0</v>
      </c>
      <c r="M898" s="10" t="str">
        <f t="shared" si="2"/>
        <v>K P</v>
      </c>
      <c r="N898" s="10" t="str">
        <f t="shared" si="3"/>
        <v>APA</v>
      </c>
      <c r="O898" s="10" t="str">
        <f t="shared" si="16"/>
        <v/>
      </c>
    </row>
    <row r="899" spans="1:15" ht="12.5">
      <c r="A899" s="115" t="s">
        <v>5035</v>
      </c>
      <c r="B899" s="5">
        <v>0</v>
      </c>
      <c r="C899" s="5">
        <v>61</v>
      </c>
      <c r="D899" s="5">
        <v>4</v>
      </c>
      <c r="E899" s="5">
        <v>101</v>
      </c>
      <c r="F899" s="5">
        <v>3</v>
      </c>
      <c r="G899" s="5">
        <v>100</v>
      </c>
      <c r="H899" s="5" t="s">
        <v>4931</v>
      </c>
      <c r="I899" s="5" t="s">
        <v>5036</v>
      </c>
      <c r="J899" s="5" t="s">
        <v>5037</v>
      </c>
      <c r="K899" s="10" t="e">
        <f t="shared" si="0"/>
        <v>#VALUE!</v>
      </c>
      <c r="L899" s="10">
        <f t="shared" si="1"/>
        <v>1</v>
      </c>
      <c r="M899" s="10" t="str">
        <f t="shared" si="2"/>
        <v>001</v>
      </c>
      <c r="N899" s="10" t="str">
        <f t="shared" si="3"/>
        <v>01</v>
      </c>
      <c r="O899" s="10" t="str">
        <f t="shared" si="16"/>
        <v>PASIR MAND</v>
      </c>
    </row>
    <row r="900" spans="1:15" ht="12.5">
      <c r="A900" s="115" t="s">
        <v>5038</v>
      </c>
      <c r="B900" s="5">
        <v>0</v>
      </c>
      <c r="C900" s="5">
        <v>61</v>
      </c>
      <c r="D900" s="5">
        <v>4</v>
      </c>
      <c r="E900" s="5">
        <v>101</v>
      </c>
      <c r="F900" s="5">
        <v>3</v>
      </c>
      <c r="G900" s="5">
        <v>200</v>
      </c>
      <c r="H900" s="5" t="s">
        <v>4931</v>
      </c>
      <c r="I900" s="5" t="s">
        <v>5036</v>
      </c>
      <c r="J900" s="5" t="s">
        <v>5039</v>
      </c>
      <c r="K900" s="10" t="e">
        <f t="shared" si="0"/>
        <v>#VALUE!</v>
      </c>
      <c r="L900" s="10">
        <f t="shared" si="1"/>
        <v>1</v>
      </c>
      <c r="M900" s="10" t="str">
        <f t="shared" si="2"/>
        <v>002</v>
      </c>
      <c r="N900" s="10" t="str">
        <f t="shared" si="3"/>
        <v>01</v>
      </c>
      <c r="O900" s="10" t="str">
        <f t="shared" si="16"/>
        <v>PASIR MAND</v>
      </c>
    </row>
    <row r="901" spans="1:15" ht="12.5">
      <c r="A901" s="115" t="s">
        <v>5040</v>
      </c>
      <c r="B901" s="5">
        <v>0</v>
      </c>
      <c r="C901" s="5">
        <v>61</v>
      </c>
      <c r="D901" s="5">
        <v>4</v>
      </c>
      <c r="E901" s="5">
        <v>101</v>
      </c>
      <c r="F901" s="5">
        <v>3</v>
      </c>
      <c r="G901" s="5">
        <v>300</v>
      </c>
      <c r="H901" s="5" t="s">
        <v>4931</v>
      </c>
      <c r="I901" s="5" t="s">
        <v>5036</v>
      </c>
      <c r="J901" s="5" t="s">
        <v>5041</v>
      </c>
      <c r="K901" s="10" t="e">
        <f t="shared" si="0"/>
        <v>#VALUE!</v>
      </c>
      <c r="L901" s="10">
        <f t="shared" si="1"/>
        <v>1</v>
      </c>
      <c r="M901" s="10" t="str">
        <f t="shared" si="2"/>
        <v>003</v>
      </c>
      <c r="N901" s="10" t="str">
        <f t="shared" si="3"/>
        <v>02</v>
      </c>
      <c r="O901" s="10" t="str">
        <f t="shared" si="16"/>
        <v>PASIR MAND</v>
      </c>
    </row>
    <row r="902" spans="1:15" ht="12.5">
      <c r="A902" s="115" t="s">
        <v>5042</v>
      </c>
      <c r="B902" s="5">
        <v>0</v>
      </c>
      <c r="C902" s="5">
        <v>61</v>
      </c>
      <c r="D902" s="5">
        <v>4</v>
      </c>
      <c r="E902" s="5">
        <v>101</v>
      </c>
      <c r="F902" s="5">
        <v>3</v>
      </c>
      <c r="G902" s="5">
        <v>400</v>
      </c>
      <c r="H902" s="5" t="s">
        <v>4931</v>
      </c>
      <c r="I902" s="5" t="s">
        <v>5036</v>
      </c>
      <c r="J902" s="5" t="s">
        <v>5043</v>
      </c>
      <c r="K902" s="10" t="e">
        <f t="shared" si="0"/>
        <v>#VALUE!</v>
      </c>
      <c r="L902" s="10">
        <f t="shared" si="1"/>
        <v>1</v>
      </c>
      <c r="M902" s="10" t="str">
        <f t="shared" si="2"/>
        <v>004</v>
      </c>
      <c r="N902" s="10" t="str">
        <f t="shared" si="3"/>
        <v>02</v>
      </c>
      <c r="O902" s="10" t="str">
        <f t="shared" si="16"/>
        <v>PASIR MAND</v>
      </c>
    </row>
    <row r="903" spans="1:15" ht="12.5">
      <c r="A903" s="115" t="s">
        <v>5044</v>
      </c>
      <c r="B903" s="5">
        <v>0</v>
      </c>
      <c r="C903" s="5">
        <v>61</v>
      </c>
      <c r="D903" s="5">
        <v>4</v>
      </c>
      <c r="E903" s="5">
        <v>101</v>
      </c>
      <c r="F903" s="5">
        <v>3</v>
      </c>
      <c r="G903" s="5">
        <v>500</v>
      </c>
      <c r="H903" s="5" t="s">
        <v>4931</v>
      </c>
      <c r="I903" s="5" t="s">
        <v>5036</v>
      </c>
      <c r="J903" s="5" t="s">
        <v>5045</v>
      </c>
      <c r="K903" s="10" t="e">
        <f t="shared" si="0"/>
        <v>#VALUE!</v>
      </c>
      <c r="L903" s="10">
        <f t="shared" si="1"/>
        <v>1</v>
      </c>
      <c r="M903" s="10" t="str">
        <f t="shared" si="2"/>
        <v>005</v>
      </c>
      <c r="N903" s="10" t="str">
        <f t="shared" si="3"/>
        <v>03</v>
      </c>
      <c r="O903" s="10" t="str">
        <f t="shared" si="16"/>
        <v>PEMATANG P</v>
      </c>
    </row>
    <row r="904" spans="1:15" ht="12.5">
      <c r="A904" s="115" t="s">
        <v>5046</v>
      </c>
      <c r="B904" s="5">
        <v>0</v>
      </c>
      <c r="C904" s="5">
        <v>61</v>
      </c>
      <c r="D904" s="5">
        <v>4</v>
      </c>
      <c r="E904" s="5">
        <v>101</v>
      </c>
      <c r="F904" s="5">
        <v>3</v>
      </c>
      <c r="G904" s="5">
        <v>600</v>
      </c>
      <c r="H904" s="5" t="s">
        <v>4931</v>
      </c>
      <c r="I904" s="5" t="s">
        <v>5036</v>
      </c>
      <c r="J904" s="5" t="s">
        <v>5047</v>
      </c>
      <c r="K904" s="10" t="e">
        <f t="shared" si="0"/>
        <v>#VALUE!</v>
      </c>
      <c r="L904" s="10">
        <f t="shared" si="1"/>
        <v>1</v>
      </c>
      <c r="M904" s="10" t="str">
        <f t="shared" si="2"/>
        <v>006</v>
      </c>
      <c r="N904" s="10" t="str">
        <f t="shared" si="3"/>
        <v>03</v>
      </c>
      <c r="O904" s="10" t="str">
        <f t="shared" si="16"/>
        <v>PEMATANG P</v>
      </c>
    </row>
    <row r="905" spans="1:15" ht="12.5">
      <c r="A905" s="115" t="s">
        <v>5048</v>
      </c>
      <c r="B905" s="5">
        <v>0</v>
      </c>
      <c r="C905" s="5">
        <v>61</v>
      </c>
      <c r="D905" s="5">
        <v>4</v>
      </c>
      <c r="E905" s="5">
        <v>101</v>
      </c>
      <c r="F905" s="5">
        <v>3</v>
      </c>
      <c r="G905" s="5">
        <v>700</v>
      </c>
      <c r="H905" s="5" t="s">
        <v>4931</v>
      </c>
      <c r="I905" s="5" t="s">
        <v>5036</v>
      </c>
      <c r="J905" s="5" t="s">
        <v>5049</v>
      </c>
      <c r="K905" s="10" t="e">
        <f t="shared" si="0"/>
        <v>#VALUE!</v>
      </c>
      <c r="L905" s="10">
        <f t="shared" si="1"/>
        <v>1</v>
      </c>
      <c r="M905" s="10" t="str">
        <f t="shared" si="2"/>
        <v>007</v>
      </c>
      <c r="N905" s="10" t="str">
        <f t="shared" si="3"/>
        <v>04</v>
      </c>
      <c r="O905" s="10" t="str">
        <f t="shared" si="16"/>
        <v>PEMATANG P</v>
      </c>
    </row>
    <row r="906" spans="1:15" ht="12.5">
      <c r="A906" s="115" t="s">
        <v>5050</v>
      </c>
      <c r="B906" s="5">
        <v>0</v>
      </c>
      <c r="C906" s="5">
        <v>61</v>
      </c>
      <c r="D906" s="5">
        <v>4</v>
      </c>
      <c r="E906" s="5">
        <v>101</v>
      </c>
      <c r="F906" s="5">
        <v>3</v>
      </c>
      <c r="G906" s="5">
        <v>800</v>
      </c>
      <c r="H906" s="5" t="s">
        <v>4931</v>
      </c>
      <c r="I906" s="5" t="s">
        <v>5036</v>
      </c>
      <c r="J906" s="5" t="s">
        <v>5051</v>
      </c>
      <c r="K906" s="10" t="e">
        <f t="shared" si="0"/>
        <v>#VALUE!</v>
      </c>
      <c r="L906" s="10">
        <f t="shared" si="1"/>
        <v>1</v>
      </c>
      <c r="M906" s="10" t="str">
        <f t="shared" si="2"/>
        <v>008</v>
      </c>
      <c r="N906" s="10" t="str">
        <f t="shared" si="3"/>
        <v>04</v>
      </c>
      <c r="O906" s="10" t="str">
        <f t="shared" si="16"/>
        <v>PEMATANG P</v>
      </c>
    </row>
    <row r="907" spans="1:15" ht="12.5">
      <c r="A907" s="115" t="s">
        <v>5052</v>
      </c>
      <c r="B907" s="5">
        <v>0</v>
      </c>
      <c r="C907" s="5">
        <v>61</v>
      </c>
      <c r="D907" s="5">
        <v>4</v>
      </c>
      <c r="E907" s="5">
        <v>101</v>
      </c>
      <c r="F907" s="5">
        <v>3</v>
      </c>
      <c r="G907" s="5">
        <v>900</v>
      </c>
      <c r="H907" s="5" t="s">
        <v>4931</v>
      </c>
      <c r="I907" s="5" t="s">
        <v>5036</v>
      </c>
      <c r="J907" s="5" t="s">
        <v>5053</v>
      </c>
      <c r="K907" s="10" t="e">
        <f t="shared" si="0"/>
        <v>#VALUE!</v>
      </c>
      <c r="L907" s="10">
        <f t="shared" si="1"/>
        <v>1</v>
      </c>
      <c r="M907" s="10" t="str">
        <f t="shared" si="2"/>
        <v>009</v>
      </c>
      <c r="N907" s="10" t="str">
        <f t="shared" si="3"/>
        <v>05</v>
      </c>
      <c r="O907" s="10" t="str">
        <f t="shared" si="16"/>
        <v>TERAJU MAS</v>
      </c>
    </row>
    <row r="908" spans="1:15" ht="12.5">
      <c r="A908" s="115" t="s">
        <v>5054</v>
      </c>
      <c r="B908" s="5">
        <v>0</v>
      </c>
      <c r="C908" s="5">
        <v>61</v>
      </c>
      <c r="D908" s="5">
        <v>4</v>
      </c>
      <c r="E908" s="5">
        <v>101</v>
      </c>
      <c r="F908" s="5">
        <v>3</v>
      </c>
      <c r="G908" s="5">
        <v>1000</v>
      </c>
      <c r="H908" s="5" t="s">
        <v>4931</v>
      </c>
      <c r="I908" s="5" t="s">
        <v>5036</v>
      </c>
      <c r="J908" s="5" t="s">
        <v>5055</v>
      </c>
      <c r="K908" s="10" t="e">
        <f t="shared" si="0"/>
        <v>#VALUE!</v>
      </c>
      <c r="L908" s="10">
        <f t="shared" si="1"/>
        <v>1</v>
      </c>
      <c r="M908" s="10" t="str">
        <f t="shared" si="2"/>
        <v>010</v>
      </c>
      <c r="N908" s="10" t="str">
        <f t="shared" si="3"/>
        <v>05</v>
      </c>
      <c r="O908" s="10" t="str">
        <f t="shared" si="16"/>
        <v>TERAJU MAS</v>
      </c>
    </row>
    <row r="909" spans="1:15" ht="12.5">
      <c r="A909" s="115" t="s">
        <v>5056</v>
      </c>
      <c r="B909" s="5">
        <v>0</v>
      </c>
      <c r="C909" s="5">
        <v>61</v>
      </c>
      <c r="D909" s="5">
        <v>4</v>
      </c>
      <c r="E909" s="5">
        <v>101</v>
      </c>
      <c r="F909" s="5">
        <v>3</v>
      </c>
      <c r="G909" s="5">
        <v>1100</v>
      </c>
      <c r="H909" s="5" t="s">
        <v>4931</v>
      </c>
      <c r="I909" s="5" t="s">
        <v>5036</v>
      </c>
      <c r="J909" s="5" t="s">
        <v>5057</v>
      </c>
      <c r="K909" s="10" t="e">
        <f t="shared" si="0"/>
        <v>#VALUE!</v>
      </c>
      <c r="L909" s="10">
        <f t="shared" si="1"/>
        <v>1</v>
      </c>
      <c r="M909" s="10" t="str">
        <f t="shared" si="2"/>
        <v>011</v>
      </c>
      <c r="N909" s="10" t="str">
        <f t="shared" si="3"/>
        <v>06</v>
      </c>
      <c r="O909" s="10" t="str">
        <f t="shared" si="16"/>
        <v>TERAJU MAS</v>
      </c>
    </row>
    <row r="910" spans="1:15" ht="12.5">
      <c r="A910" s="115" t="s">
        <v>5058</v>
      </c>
      <c r="B910" s="5">
        <v>0</v>
      </c>
      <c r="C910" s="5">
        <v>61</v>
      </c>
      <c r="D910" s="5">
        <v>4</v>
      </c>
      <c r="E910" s="5">
        <v>101</v>
      </c>
      <c r="F910" s="5">
        <v>3</v>
      </c>
      <c r="G910" s="5">
        <v>1200</v>
      </c>
      <c r="H910" s="5" t="s">
        <v>4931</v>
      </c>
      <c r="I910" s="5" t="s">
        <v>5036</v>
      </c>
      <c r="J910" s="5" t="s">
        <v>5059</v>
      </c>
      <c r="K910" s="10" t="e">
        <f t="shared" si="0"/>
        <v>#VALUE!</v>
      </c>
      <c r="L910" s="10">
        <f t="shared" si="1"/>
        <v>1</v>
      </c>
      <c r="M910" s="10" t="str">
        <f t="shared" si="2"/>
        <v>012</v>
      </c>
      <c r="N910" s="10" t="str">
        <f t="shared" si="3"/>
        <v>06</v>
      </c>
      <c r="O910" s="10" t="str">
        <f t="shared" si="16"/>
        <v>SENAMBUNG</v>
      </c>
    </row>
    <row r="911" spans="1:15" ht="12.5">
      <c r="A911" s="115" t="s">
        <v>5060</v>
      </c>
      <c r="B911" s="5">
        <v>0</v>
      </c>
      <c r="C911" s="5">
        <v>61</v>
      </c>
      <c r="D911" s="5">
        <v>4</v>
      </c>
      <c r="E911" s="5">
        <v>101</v>
      </c>
      <c r="F911" s="5">
        <v>3</v>
      </c>
      <c r="G911" s="5">
        <v>1300</v>
      </c>
      <c r="H911" s="5" t="s">
        <v>4931</v>
      </c>
      <c r="I911" s="5" t="s">
        <v>5036</v>
      </c>
      <c r="J911" s="5" t="s">
        <v>5061</v>
      </c>
      <c r="K911" s="10" t="e">
        <f t="shared" si="0"/>
        <v>#VALUE!</v>
      </c>
      <c r="L911" s="10">
        <f t="shared" si="1"/>
        <v>1</v>
      </c>
      <c r="M911" s="10" t="str">
        <f t="shared" si="2"/>
        <v>013</v>
      </c>
      <c r="N911" s="10" t="str">
        <f t="shared" si="3"/>
        <v>07</v>
      </c>
      <c r="O911" s="10" t="str">
        <f t="shared" si="16"/>
        <v>SENAMBUNG</v>
      </c>
    </row>
    <row r="912" spans="1:15" ht="12.5">
      <c r="A912" s="115" t="s">
        <v>5062</v>
      </c>
      <c r="B912" s="5">
        <v>0</v>
      </c>
      <c r="C912" s="5">
        <v>61</v>
      </c>
      <c r="D912" s="5">
        <v>4</v>
      </c>
      <c r="E912" s="5">
        <v>101</v>
      </c>
      <c r="F912" s="5">
        <v>3</v>
      </c>
      <c r="G912" s="5">
        <v>1400</v>
      </c>
      <c r="H912" s="5" t="s">
        <v>4931</v>
      </c>
      <c r="I912" s="5" t="s">
        <v>5036</v>
      </c>
      <c r="J912" s="5" t="s">
        <v>5063</v>
      </c>
      <c r="K912" s="10" t="e">
        <f t="shared" si="0"/>
        <v>#VALUE!</v>
      </c>
      <c r="L912" s="10">
        <f t="shared" si="1"/>
        <v>1</v>
      </c>
      <c r="M912" s="10" t="str">
        <f t="shared" si="2"/>
        <v>014</v>
      </c>
      <c r="N912" s="10" t="str">
        <f t="shared" si="3"/>
        <v>07</v>
      </c>
      <c r="O912" s="10" t="str">
        <f t="shared" si="16"/>
        <v>SENAMBUNG</v>
      </c>
    </row>
    <row r="913" spans="1:15" ht="12.5">
      <c r="A913" s="115" t="s">
        <v>5064</v>
      </c>
      <c r="B913" s="5">
        <v>2</v>
      </c>
      <c r="C913" s="5">
        <v>61</v>
      </c>
      <c r="D913" s="5">
        <v>4</v>
      </c>
      <c r="E913" s="5">
        <v>101</v>
      </c>
      <c r="F913" s="5">
        <v>3</v>
      </c>
      <c r="G913" s="5">
        <v>200100</v>
      </c>
      <c r="H913" s="5" t="s">
        <v>4931</v>
      </c>
      <c r="I913" s="5" t="s">
        <v>5036</v>
      </c>
      <c r="J913" s="5" t="s">
        <v>3988</v>
      </c>
      <c r="K913" s="10" t="e">
        <f t="shared" si="0"/>
        <v>#VALUE!</v>
      </c>
      <c r="L913" s="10">
        <f t="shared" si="1"/>
        <v>0</v>
      </c>
      <c r="M913" s="10" t="str">
        <f t="shared" si="2"/>
        <v>K P</v>
      </c>
      <c r="N913" s="10" t="str">
        <f t="shared" si="3"/>
        <v>APA</v>
      </c>
      <c r="O913" s="10" t="str">
        <f t="shared" si="16"/>
        <v/>
      </c>
    </row>
    <row r="914" spans="1:15" ht="12.5">
      <c r="A914" s="115" t="s">
        <v>5065</v>
      </c>
      <c r="B914" s="5">
        <v>0</v>
      </c>
      <c r="C914" s="5">
        <v>61</v>
      </c>
      <c r="D914" s="5">
        <v>4</v>
      </c>
      <c r="E914" s="5">
        <v>101</v>
      </c>
      <c r="F914" s="5">
        <v>4</v>
      </c>
      <c r="G914" s="5">
        <v>100</v>
      </c>
      <c r="H914" s="5" t="s">
        <v>4931</v>
      </c>
      <c r="I914" s="5" t="s">
        <v>5066</v>
      </c>
      <c r="J914" s="5" t="s">
        <v>5067</v>
      </c>
      <c r="K914" s="10" t="e">
        <f t="shared" si="0"/>
        <v>#VALUE!</v>
      </c>
      <c r="L914" s="10">
        <f t="shared" si="1"/>
        <v>1</v>
      </c>
      <c r="M914" s="10" t="str">
        <f t="shared" si="2"/>
        <v>001</v>
      </c>
      <c r="N914" s="10" t="str">
        <f t="shared" si="3"/>
        <v>01</v>
      </c>
      <c r="O914" s="10" t="str">
        <f t="shared" si="16"/>
        <v>PELAIK</v>
      </c>
    </row>
    <row r="915" spans="1:15" ht="12.5">
      <c r="A915" s="115" t="s">
        <v>5068</v>
      </c>
      <c r="B915" s="5">
        <v>0</v>
      </c>
      <c r="C915" s="5">
        <v>61</v>
      </c>
      <c r="D915" s="5">
        <v>4</v>
      </c>
      <c r="E915" s="5">
        <v>101</v>
      </c>
      <c r="F915" s="5">
        <v>4</v>
      </c>
      <c r="G915" s="5">
        <v>200</v>
      </c>
      <c r="H915" s="5" t="s">
        <v>4931</v>
      </c>
      <c r="I915" s="5" t="s">
        <v>5066</v>
      </c>
      <c r="J915" s="5" t="s">
        <v>5069</v>
      </c>
      <c r="K915" s="10" t="e">
        <f t="shared" si="0"/>
        <v>#VALUE!</v>
      </c>
      <c r="L915" s="10">
        <f t="shared" si="1"/>
        <v>1</v>
      </c>
      <c r="M915" s="10" t="str">
        <f t="shared" si="2"/>
        <v>002</v>
      </c>
      <c r="N915" s="10" t="str">
        <f t="shared" si="3"/>
        <v>01</v>
      </c>
      <c r="O915" s="10" t="str">
        <f t="shared" si="16"/>
        <v>PELAIK</v>
      </c>
    </row>
    <row r="916" spans="1:15" ht="12.5">
      <c r="A916" s="115" t="s">
        <v>5070</v>
      </c>
      <c r="B916" s="5">
        <v>0</v>
      </c>
      <c r="C916" s="5">
        <v>61</v>
      </c>
      <c r="D916" s="5">
        <v>4</v>
      </c>
      <c r="E916" s="5">
        <v>101</v>
      </c>
      <c r="F916" s="5">
        <v>4</v>
      </c>
      <c r="G916" s="5">
        <v>300</v>
      </c>
      <c r="H916" s="5" t="s">
        <v>4931</v>
      </c>
      <c r="I916" s="5" t="s">
        <v>5066</v>
      </c>
      <c r="J916" s="5" t="s">
        <v>5071</v>
      </c>
      <c r="K916" s="10" t="e">
        <f t="shared" si="0"/>
        <v>#VALUE!</v>
      </c>
      <c r="L916" s="10">
        <f t="shared" si="1"/>
        <v>1</v>
      </c>
      <c r="M916" s="10" t="str">
        <f t="shared" si="2"/>
        <v>003</v>
      </c>
      <c r="N916" s="10" t="str">
        <f t="shared" si="3"/>
        <v>02</v>
      </c>
      <c r="O916" s="10" t="str">
        <f t="shared" si="16"/>
        <v>PELAIK</v>
      </c>
    </row>
    <row r="917" spans="1:15" ht="12.5">
      <c r="A917" s="115" t="s">
        <v>5072</v>
      </c>
      <c r="B917" s="5">
        <v>0</v>
      </c>
      <c r="C917" s="5">
        <v>61</v>
      </c>
      <c r="D917" s="5">
        <v>4</v>
      </c>
      <c r="E917" s="5">
        <v>101</v>
      </c>
      <c r="F917" s="5">
        <v>4</v>
      </c>
      <c r="G917" s="5">
        <v>400</v>
      </c>
      <c r="H917" s="5" t="s">
        <v>4931</v>
      </c>
      <c r="I917" s="5" t="s">
        <v>5066</v>
      </c>
      <c r="J917" s="5" t="s">
        <v>5073</v>
      </c>
      <c r="K917" s="10" t="e">
        <f t="shared" si="0"/>
        <v>#VALUE!</v>
      </c>
      <c r="L917" s="10">
        <f t="shared" si="1"/>
        <v>1</v>
      </c>
      <c r="M917" s="10" t="str">
        <f t="shared" si="2"/>
        <v>004</v>
      </c>
      <c r="N917" s="10" t="str">
        <f t="shared" si="3"/>
        <v>02</v>
      </c>
      <c r="O917" s="10" t="str">
        <f t="shared" si="16"/>
        <v>PELAIK</v>
      </c>
    </row>
    <row r="918" spans="1:15" ht="12.5">
      <c r="A918" s="115" t="s">
        <v>5074</v>
      </c>
      <c r="B918" s="5">
        <v>0</v>
      </c>
      <c r="C918" s="5">
        <v>61</v>
      </c>
      <c r="D918" s="5">
        <v>4</v>
      </c>
      <c r="E918" s="5">
        <v>101</v>
      </c>
      <c r="F918" s="5">
        <v>4</v>
      </c>
      <c r="G918" s="5">
        <v>500</v>
      </c>
      <c r="H918" s="5" t="s">
        <v>4931</v>
      </c>
      <c r="I918" s="5" t="s">
        <v>5066</v>
      </c>
      <c r="J918" s="5" t="s">
        <v>5075</v>
      </c>
      <c r="K918" s="10" t="e">
        <f t="shared" si="0"/>
        <v>#VALUE!</v>
      </c>
      <c r="L918" s="10">
        <f t="shared" si="1"/>
        <v>1</v>
      </c>
      <c r="M918" s="10" t="str">
        <f t="shared" si="2"/>
        <v>005</v>
      </c>
      <c r="N918" s="10" t="str">
        <f t="shared" si="3"/>
        <v>03</v>
      </c>
      <c r="O918" s="10" t="str">
        <f t="shared" si="16"/>
        <v>TENGAH</v>
      </c>
    </row>
    <row r="919" spans="1:15" ht="12.5">
      <c r="A919" s="115" t="s">
        <v>5076</v>
      </c>
      <c r="B919" s="5">
        <v>0</v>
      </c>
      <c r="C919" s="5">
        <v>61</v>
      </c>
      <c r="D919" s="5">
        <v>4</v>
      </c>
      <c r="E919" s="5">
        <v>101</v>
      </c>
      <c r="F919" s="5">
        <v>4</v>
      </c>
      <c r="G919" s="5">
        <v>600</v>
      </c>
      <c r="H919" s="5" t="s">
        <v>4931</v>
      </c>
      <c r="I919" s="5" t="s">
        <v>5066</v>
      </c>
      <c r="J919" s="5" t="s">
        <v>4154</v>
      </c>
      <c r="K919" s="10" t="e">
        <f t="shared" si="0"/>
        <v>#VALUE!</v>
      </c>
      <c r="L919" s="10">
        <f t="shared" si="1"/>
        <v>1</v>
      </c>
      <c r="M919" s="10" t="str">
        <f t="shared" si="2"/>
        <v>006</v>
      </c>
      <c r="N919" s="10" t="str">
        <f t="shared" si="3"/>
        <v>03</v>
      </c>
      <c r="O919" s="10" t="str">
        <f t="shared" si="16"/>
        <v>TENGAH</v>
      </c>
    </row>
    <row r="920" spans="1:15" ht="12.5">
      <c r="A920" s="115" t="s">
        <v>5077</v>
      </c>
      <c r="B920" s="5">
        <v>0</v>
      </c>
      <c r="C920" s="5">
        <v>61</v>
      </c>
      <c r="D920" s="5">
        <v>4</v>
      </c>
      <c r="E920" s="5">
        <v>101</v>
      </c>
      <c r="F920" s="5">
        <v>4</v>
      </c>
      <c r="G920" s="5">
        <v>700</v>
      </c>
      <c r="H920" s="5" t="s">
        <v>4931</v>
      </c>
      <c r="I920" s="5" t="s">
        <v>5066</v>
      </c>
      <c r="J920" s="5" t="s">
        <v>5078</v>
      </c>
      <c r="K920" s="10" t="e">
        <f t="shared" si="0"/>
        <v>#VALUE!</v>
      </c>
      <c r="L920" s="10">
        <f t="shared" si="1"/>
        <v>1</v>
      </c>
      <c r="M920" s="10" t="str">
        <f t="shared" si="2"/>
        <v>007</v>
      </c>
      <c r="N920" s="10" t="str">
        <f t="shared" si="3"/>
        <v>04</v>
      </c>
      <c r="O920" s="10" t="str">
        <f t="shared" si="16"/>
        <v>TENGAH</v>
      </c>
    </row>
    <row r="921" spans="1:15" ht="12.5">
      <c r="A921" s="115" t="s">
        <v>5079</v>
      </c>
      <c r="B921" s="5">
        <v>0</v>
      </c>
      <c r="C921" s="5">
        <v>61</v>
      </c>
      <c r="D921" s="5">
        <v>4</v>
      </c>
      <c r="E921" s="5">
        <v>101</v>
      </c>
      <c r="F921" s="5">
        <v>4</v>
      </c>
      <c r="G921" s="5">
        <v>800</v>
      </c>
      <c r="H921" s="5" t="s">
        <v>4931</v>
      </c>
      <c r="I921" s="5" t="s">
        <v>5066</v>
      </c>
      <c r="J921" s="5" t="s">
        <v>5080</v>
      </c>
      <c r="K921" s="10" t="e">
        <f t="shared" si="0"/>
        <v>#VALUE!</v>
      </c>
      <c r="L921" s="10">
        <f t="shared" si="1"/>
        <v>1</v>
      </c>
      <c r="M921" s="10" t="str">
        <f t="shared" si="2"/>
        <v>008</v>
      </c>
      <c r="N921" s="10" t="str">
        <f t="shared" si="3"/>
        <v>04</v>
      </c>
      <c r="O921" s="10" t="str">
        <f t="shared" si="16"/>
        <v>TENGAH</v>
      </c>
    </row>
    <row r="922" spans="1:15" ht="12.5">
      <c r="A922" s="115" t="s">
        <v>5081</v>
      </c>
      <c r="B922" s="5">
        <v>0</v>
      </c>
      <c r="C922" s="5">
        <v>61</v>
      </c>
      <c r="D922" s="5">
        <v>4</v>
      </c>
      <c r="E922" s="5">
        <v>101</v>
      </c>
      <c r="F922" s="5">
        <v>4</v>
      </c>
      <c r="G922" s="5">
        <v>900</v>
      </c>
      <c r="H922" s="5" t="s">
        <v>4931</v>
      </c>
      <c r="I922" s="5" t="s">
        <v>5066</v>
      </c>
      <c r="J922" s="5" t="s">
        <v>5082</v>
      </c>
      <c r="K922" s="10" t="e">
        <f t="shared" si="0"/>
        <v>#VALUE!</v>
      </c>
      <c r="L922" s="10">
        <f t="shared" si="1"/>
        <v>1</v>
      </c>
      <c r="M922" s="10" t="str">
        <f t="shared" si="2"/>
        <v>009</v>
      </c>
      <c r="N922" s="10" t="str">
        <f t="shared" si="3"/>
        <v>04</v>
      </c>
      <c r="O922" s="10" t="str">
        <f t="shared" si="16"/>
        <v>TENGAH</v>
      </c>
    </row>
    <row r="923" spans="1:15" ht="12.5">
      <c r="A923" s="115" t="s">
        <v>5083</v>
      </c>
      <c r="B923" s="5">
        <v>0</v>
      </c>
      <c r="C923" s="5">
        <v>61</v>
      </c>
      <c r="D923" s="5">
        <v>4</v>
      </c>
      <c r="E923" s="5">
        <v>101</v>
      </c>
      <c r="F923" s="5">
        <v>4</v>
      </c>
      <c r="G923" s="5">
        <v>1000</v>
      </c>
      <c r="H923" s="5" t="s">
        <v>4931</v>
      </c>
      <c r="I923" s="5" t="s">
        <v>5066</v>
      </c>
      <c r="J923" s="5" t="s">
        <v>5084</v>
      </c>
      <c r="K923" s="10" t="e">
        <f t="shared" si="0"/>
        <v>#VALUE!</v>
      </c>
      <c r="L923" s="10">
        <f t="shared" si="1"/>
        <v>1</v>
      </c>
      <c r="M923" s="10" t="str">
        <f t="shared" si="2"/>
        <v>010</v>
      </c>
      <c r="N923" s="10" t="str">
        <f t="shared" si="3"/>
        <v>05</v>
      </c>
      <c r="O923" s="10" t="str">
        <f t="shared" si="16"/>
        <v>TEKAM BARU</v>
      </c>
    </row>
    <row r="924" spans="1:15" ht="12.5">
      <c r="A924" s="115" t="s">
        <v>5085</v>
      </c>
      <c r="B924" s="5">
        <v>0</v>
      </c>
      <c r="C924" s="5">
        <v>61</v>
      </c>
      <c r="D924" s="5">
        <v>4</v>
      </c>
      <c r="E924" s="5">
        <v>101</v>
      </c>
      <c r="F924" s="5">
        <v>4</v>
      </c>
      <c r="G924" s="5">
        <v>1100</v>
      </c>
      <c r="H924" s="5" t="s">
        <v>4931</v>
      </c>
      <c r="I924" s="5" t="s">
        <v>5066</v>
      </c>
      <c r="J924" s="5" t="s">
        <v>5086</v>
      </c>
      <c r="K924" s="10" t="e">
        <f t="shared" si="0"/>
        <v>#VALUE!</v>
      </c>
      <c r="L924" s="10">
        <f t="shared" si="1"/>
        <v>1</v>
      </c>
      <c r="M924" s="10" t="str">
        <f t="shared" si="2"/>
        <v>011</v>
      </c>
      <c r="N924" s="10" t="str">
        <f t="shared" si="3"/>
        <v>05</v>
      </c>
      <c r="O924" s="10" t="str">
        <f t="shared" si="16"/>
        <v>TEKAM BARU</v>
      </c>
    </row>
    <row r="925" spans="1:15" ht="12.5">
      <c r="A925" s="115" t="s">
        <v>5087</v>
      </c>
      <c r="B925" s="5">
        <v>0</v>
      </c>
      <c r="C925" s="5">
        <v>61</v>
      </c>
      <c r="D925" s="5">
        <v>4</v>
      </c>
      <c r="E925" s="5">
        <v>101</v>
      </c>
      <c r="F925" s="5">
        <v>4</v>
      </c>
      <c r="G925" s="5">
        <v>1200</v>
      </c>
      <c r="H925" s="5" t="s">
        <v>4931</v>
      </c>
      <c r="I925" s="5" t="s">
        <v>5066</v>
      </c>
      <c r="J925" s="5" t="s">
        <v>5088</v>
      </c>
      <c r="K925" s="10" t="e">
        <f t="shared" si="0"/>
        <v>#VALUE!</v>
      </c>
      <c r="L925" s="10">
        <f t="shared" si="1"/>
        <v>1</v>
      </c>
      <c r="M925" s="10" t="str">
        <f t="shared" si="2"/>
        <v>012</v>
      </c>
      <c r="N925" s="10" t="str">
        <f t="shared" si="3"/>
        <v>06</v>
      </c>
      <c r="O925" s="10" t="str">
        <f t="shared" si="16"/>
        <v>TEKAM BARU</v>
      </c>
    </row>
    <row r="926" spans="1:15" ht="12.5">
      <c r="A926" s="115" t="s">
        <v>5089</v>
      </c>
      <c r="B926" s="5">
        <v>0</v>
      </c>
      <c r="C926" s="5">
        <v>61</v>
      </c>
      <c r="D926" s="5">
        <v>4</v>
      </c>
      <c r="E926" s="5">
        <v>101</v>
      </c>
      <c r="F926" s="5">
        <v>4</v>
      </c>
      <c r="G926" s="5">
        <v>1300</v>
      </c>
      <c r="H926" s="5" t="s">
        <v>4931</v>
      </c>
      <c r="I926" s="5" t="s">
        <v>5066</v>
      </c>
      <c r="J926" s="5" t="s">
        <v>5090</v>
      </c>
      <c r="K926" s="10" t="e">
        <f t="shared" si="0"/>
        <v>#VALUE!</v>
      </c>
      <c r="L926" s="10">
        <f t="shared" si="1"/>
        <v>1</v>
      </c>
      <c r="M926" s="10" t="str">
        <f t="shared" si="2"/>
        <v>013</v>
      </c>
      <c r="N926" s="10" t="str">
        <f t="shared" si="3"/>
        <v>06</v>
      </c>
      <c r="O926" s="10" t="str">
        <f t="shared" si="16"/>
        <v>TEKAM BARU</v>
      </c>
    </row>
    <row r="927" spans="1:15" ht="12.5">
      <c r="A927" s="115" t="s">
        <v>5091</v>
      </c>
      <c r="B927" s="5">
        <v>0</v>
      </c>
      <c r="C927" s="5">
        <v>61</v>
      </c>
      <c r="D927" s="5">
        <v>4</v>
      </c>
      <c r="E927" s="5">
        <v>101</v>
      </c>
      <c r="F927" s="5">
        <v>4</v>
      </c>
      <c r="G927" s="5">
        <v>1400</v>
      </c>
      <c r="H927" s="5" t="s">
        <v>4931</v>
      </c>
      <c r="I927" s="5" t="s">
        <v>5066</v>
      </c>
      <c r="J927" s="5" t="s">
        <v>5092</v>
      </c>
      <c r="K927" s="10" t="e">
        <f t="shared" si="0"/>
        <v>#VALUE!</v>
      </c>
      <c r="L927" s="10">
        <f t="shared" si="1"/>
        <v>1</v>
      </c>
      <c r="M927" s="10" t="str">
        <f t="shared" si="2"/>
        <v>014</v>
      </c>
      <c r="N927" s="10" t="str">
        <f t="shared" si="3"/>
        <v>06</v>
      </c>
      <c r="O927" s="10" t="str">
        <f t="shared" si="16"/>
        <v>TEKAM BARU</v>
      </c>
    </row>
    <row r="928" spans="1:15" ht="12.5">
      <c r="A928" s="115" t="s">
        <v>5093</v>
      </c>
      <c r="B928" s="5">
        <v>1</v>
      </c>
      <c r="C928" s="5">
        <v>61</v>
      </c>
      <c r="D928" s="5">
        <v>4</v>
      </c>
      <c r="E928" s="5">
        <v>101</v>
      </c>
      <c r="F928" s="5">
        <v>4</v>
      </c>
      <c r="G928" s="5">
        <v>100200</v>
      </c>
      <c r="H928" s="5" t="s">
        <v>4931</v>
      </c>
      <c r="I928" s="5" t="s">
        <v>5066</v>
      </c>
      <c r="J928" s="5" t="s">
        <v>5094</v>
      </c>
      <c r="K928" s="10" t="e">
        <f t="shared" si="0"/>
        <v>#VALUE!</v>
      </c>
      <c r="L928" s="10">
        <f t="shared" si="1"/>
        <v>0</v>
      </c>
      <c r="M928" s="10" t="str">
        <f t="shared" si="2"/>
        <v>KEB</v>
      </c>
      <c r="N928" s="10" t="str">
        <f t="shared" si="3"/>
        <v>DI</v>
      </c>
      <c r="O928" s="10" t="str">
        <f t="shared" si="16"/>
        <v/>
      </c>
    </row>
    <row r="929" spans="1:15" ht="12.5">
      <c r="A929" s="115" t="s">
        <v>5095</v>
      </c>
      <c r="B929" s="5">
        <v>1</v>
      </c>
      <c r="C929" s="5">
        <v>61</v>
      </c>
      <c r="D929" s="5">
        <v>4</v>
      </c>
      <c r="E929" s="5">
        <v>101</v>
      </c>
      <c r="F929" s="5">
        <v>4</v>
      </c>
      <c r="G929" s="5">
        <v>100300</v>
      </c>
      <c r="H929" s="5" t="s">
        <v>4931</v>
      </c>
      <c r="I929" s="5" t="s">
        <v>5066</v>
      </c>
      <c r="J929" s="5" t="s">
        <v>5096</v>
      </c>
      <c r="K929" s="10" t="e">
        <f t="shared" si="0"/>
        <v>#VALUE!</v>
      </c>
      <c r="L929" s="10">
        <f t="shared" si="1"/>
        <v>0</v>
      </c>
      <c r="M929" s="10" t="str">
        <f t="shared" si="2"/>
        <v>KEB</v>
      </c>
      <c r="N929" s="10" t="str">
        <f t="shared" si="3"/>
        <v>DI</v>
      </c>
      <c r="O929" s="10" t="str">
        <f t="shared" si="16"/>
        <v/>
      </c>
    </row>
    <row r="930" spans="1:15" ht="12.5">
      <c r="A930" s="115" t="s">
        <v>5097</v>
      </c>
      <c r="B930" s="5">
        <v>2</v>
      </c>
      <c r="C930" s="5">
        <v>61</v>
      </c>
      <c r="D930" s="5">
        <v>4</v>
      </c>
      <c r="E930" s="5">
        <v>101</v>
      </c>
      <c r="F930" s="5">
        <v>4</v>
      </c>
      <c r="G930" s="5">
        <v>200100</v>
      </c>
      <c r="H930" s="5" t="s">
        <v>4931</v>
      </c>
      <c r="I930" s="5" t="s">
        <v>5066</v>
      </c>
      <c r="J930" s="5" t="s">
        <v>3988</v>
      </c>
      <c r="K930" s="10" t="e">
        <f t="shared" si="0"/>
        <v>#VALUE!</v>
      </c>
      <c r="L930" s="10">
        <f t="shared" si="1"/>
        <v>0</v>
      </c>
      <c r="M930" s="10" t="str">
        <f t="shared" si="2"/>
        <v>K P</v>
      </c>
      <c r="N930" s="10" t="str">
        <f t="shared" si="3"/>
        <v>APA</v>
      </c>
      <c r="O930" s="10" t="str">
        <f t="shared" si="16"/>
        <v/>
      </c>
    </row>
    <row r="931" spans="1:15" ht="12.5">
      <c r="A931" s="115" t="s">
        <v>5098</v>
      </c>
      <c r="B931" s="5">
        <v>0</v>
      </c>
      <c r="C931" s="5">
        <v>61</v>
      </c>
      <c r="D931" s="5">
        <v>4</v>
      </c>
      <c r="E931" s="5">
        <v>101</v>
      </c>
      <c r="F931" s="5">
        <v>5</v>
      </c>
      <c r="G931" s="5">
        <v>100</v>
      </c>
      <c r="H931" s="5" t="s">
        <v>4931</v>
      </c>
      <c r="I931" s="5" t="s">
        <v>5099</v>
      </c>
      <c r="J931" s="5" t="s">
        <v>4410</v>
      </c>
      <c r="K931" s="10" t="e">
        <f t="shared" si="0"/>
        <v>#VALUE!</v>
      </c>
      <c r="L931" s="10">
        <f t="shared" si="1"/>
        <v>1</v>
      </c>
      <c r="M931" s="10" t="str">
        <f t="shared" si="2"/>
        <v>001</v>
      </c>
      <c r="N931" s="10" t="str">
        <f t="shared" si="3"/>
        <v>01</v>
      </c>
      <c r="O931" s="10" t="str">
        <f t="shared" si="16"/>
        <v/>
      </c>
    </row>
    <row r="932" spans="1:15" ht="12.5">
      <c r="A932" s="115" t="s">
        <v>5100</v>
      </c>
      <c r="B932" s="5">
        <v>0</v>
      </c>
      <c r="C932" s="5">
        <v>61</v>
      </c>
      <c r="D932" s="5">
        <v>4</v>
      </c>
      <c r="E932" s="5">
        <v>101</v>
      </c>
      <c r="F932" s="5">
        <v>5</v>
      </c>
      <c r="G932" s="5">
        <v>200</v>
      </c>
      <c r="H932" s="5" t="s">
        <v>4931</v>
      </c>
      <c r="I932" s="5" t="s">
        <v>5099</v>
      </c>
      <c r="J932" s="5" t="s">
        <v>4412</v>
      </c>
      <c r="K932" s="10" t="e">
        <f t="shared" si="0"/>
        <v>#VALUE!</v>
      </c>
      <c r="L932" s="10">
        <f t="shared" si="1"/>
        <v>1</v>
      </c>
      <c r="M932" s="10" t="str">
        <f t="shared" si="2"/>
        <v>002</v>
      </c>
      <c r="N932" s="10" t="str">
        <f t="shared" si="3"/>
        <v>01</v>
      </c>
      <c r="O932" s="10" t="str">
        <f t="shared" si="16"/>
        <v/>
      </c>
    </row>
    <row r="933" spans="1:15" ht="12.5">
      <c r="A933" s="115" t="s">
        <v>5101</v>
      </c>
      <c r="B933" s="5">
        <v>0</v>
      </c>
      <c r="C933" s="5">
        <v>61</v>
      </c>
      <c r="D933" s="5">
        <v>4</v>
      </c>
      <c r="E933" s="5">
        <v>101</v>
      </c>
      <c r="F933" s="5">
        <v>5</v>
      </c>
      <c r="G933" s="5">
        <v>300</v>
      </c>
      <c r="H933" s="5" t="s">
        <v>4931</v>
      </c>
      <c r="I933" s="5" t="s">
        <v>5099</v>
      </c>
      <c r="J933" s="5" t="s">
        <v>4430</v>
      </c>
      <c r="K933" s="10" t="e">
        <f t="shared" si="0"/>
        <v>#VALUE!</v>
      </c>
      <c r="L933" s="10">
        <f t="shared" si="1"/>
        <v>1</v>
      </c>
      <c r="M933" s="10" t="str">
        <f t="shared" si="2"/>
        <v>003</v>
      </c>
      <c r="N933" s="10" t="str">
        <f t="shared" si="3"/>
        <v>02</v>
      </c>
      <c r="O933" s="10" t="str">
        <f t="shared" si="16"/>
        <v/>
      </c>
    </row>
    <row r="934" spans="1:15" ht="12.5">
      <c r="A934" s="115" t="s">
        <v>5102</v>
      </c>
      <c r="B934" s="5">
        <v>0</v>
      </c>
      <c r="C934" s="5">
        <v>61</v>
      </c>
      <c r="D934" s="5">
        <v>4</v>
      </c>
      <c r="E934" s="5">
        <v>101</v>
      </c>
      <c r="F934" s="5">
        <v>5</v>
      </c>
      <c r="G934" s="5">
        <v>400</v>
      </c>
      <c r="H934" s="5" t="s">
        <v>4931</v>
      </c>
      <c r="I934" s="5" t="s">
        <v>5099</v>
      </c>
      <c r="J934" s="5" t="s">
        <v>4432</v>
      </c>
      <c r="K934" s="10" t="e">
        <f t="shared" si="0"/>
        <v>#VALUE!</v>
      </c>
      <c r="L934" s="10">
        <f t="shared" si="1"/>
        <v>1</v>
      </c>
      <c r="M934" s="10" t="str">
        <f t="shared" si="2"/>
        <v>004</v>
      </c>
      <c r="N934" s="10" t="str">
        <f t="shared" si="3"/>
        <v>02</v>
      </c>
      <c r="O934" s="10" t="str">
        <f t="shared" si="16"/>
        <v/>
      </c>
    </row>
    <row r="935" spans="1:15" ht="12.5">
      <c r="A935" s="115" t="s">
        <v>5103</v>
      </c>
      <c r="B935" s="5">
        <v>0</v>
      </c>
      <c r="C935" s="5">
        <v>61</v>
      </c>
      <c r="D935" s="5">
        <v>4</v>
      </c>
      <c r="E935" s="5">
        <v>101</v>
      </c>
      <c r="F935" s="5">
        <v>6</v>
      </c>
      <c r="G935" s="5">
        <v>100</v>
      </c>
      <c r="H935" s="5" t="s">
        <v>4931</v>
      </c>
      <c r="I935" s="5" t="s">
        <v>5104</v>
      </c>
      <c r="J935" s="5" t="s">
        <v>5105</v>
      </c>
      <c r="K935" s="10" t="e">
        <f t="shared" si="0"/>
        <v>#VALUE!</v>
      </c>
      <c r="L935" s="10">
        <f t="shared" si="1"/>
        <v>1</v>
      </c>
      <c r="M935" s="10" t="str">
        <f t="shared" si="2"/>
        <v>001</v>
      </c>
      <c r="N935" s="10" t="str">
        <f t="shared" si="3"/>
        <v>01</v>
      </c>
      <c r="O935" s="10" t="str">
        <f t="shared" si="16"/>
        <v>MAKMUR</v>
      </c>
    </row>
    <row r="936" spans="1:15" ht="12.5">
      <c r="A936" s="115" t="s">
        <v>5106</v>
      </c>
      <c r="B936" s="5">
        <v>0</v>
      </c>
      <c r="C936" s="5">
        <v>61</v>
      </c>
      <c r="D936" s="5">
        <v>4</v>
      </c>
      <c r="E936" s="5">
        <v>101</v>
      </c>
      <c r="F936" s="5">
        <v>6</v>
      </c>
      <c r="G936" s="5">
        <v>200</v>
      </c>
      <c r="H936" s="5" t="s">
        <v>4931</v>
      </c>
      <c r="I936" s="5" t="s">
        <v>5104</v>
      </c>
      <c r="J936" s="5" t="s">
        <v>5107</v>
      </c>
      <c r="K936" s="10" t="e">
        <f t="shared" si="0"/>
        <v>#VALUE!</v>
      </c>
      <c r="L936" s="10">
        <f t="shared" si="1"/>
        <v>1</v>
      </c>
      <c r="M936" s="10" t="str">
        <f t="shared" si="2"/>
        <v>002</v>
      </c>
      <c r="N936" s="10" t="str">
        <f t="shared" si="3"/>
        <v>01</v>
      </c>
      <c r="O936" s="10" t="str">
        <f t="shared" si="16"/>
        <v>MAKMUR</v>
      </c>
    </row>
    <row r="937" spans="1:15" ht="12.5">
      <c r="A937" s="115" t="s">
        <v>5108</v>
      </c>
      <c r="B937" s="5">
        <v>0</v>
      </c>
      <c r="C937" s="5">
        <v>61</v>
      </c>
      <c r="D937" s="5">
        <v>4</v>
      </c>
      <c r="E937" s="5">
        <v>101</v>
      </c>
      <c r="F937" s="5">
        <v>6</v>
      </c>
      <c r="G937" s="5">
        <v>300</v>
      </c>
      <c r="H937" s="5" t="s">
        <v>4931</v>
      </c>
      <c r="I937" s="5" t="s">
        <v>5104</v>
      </c>
      <c r="J937" s="5" t="s">
        <v>5109</v>
      </c>
      <c r="K937" s="10" t="e">
        <f t="shared" si="0"/>
        <v>#VALUE!</v>
      </c>
      <c r="L937" s="10">
        <f t="shared" si="1"/>
        <v>1</v>
      </c>
      <c r="M937" s="10" t="str">
        <f t="shared" si="2"/>
        <v>003</v>
      </c>
      <c r="N937" s="10" t="str">
        <f t="shared" si="3"/>
        <v>01</v>
      </c>
      <c r="O937" s="10" t="str">
        <f t="shared" si="16"/>
        <v>MAKMUR</v>
      </c>
    </row>
    <row r="938" spans="1:15" ht="12.5">
      <c r="A938" s="115" t="s">
        <v>5110</v>
      </c>
      <c r="B938" s="5">
        <v>0</v>
      </c>
      <c r="C938" s="5">
        <v>61</v>
      </c>
      <c r="D938" s="5">
        <v>4</v>
      </c>
      <c r="E938" s="5">
        <v>101</v>
      </c>
      <c r="F938" s="5">
        <v>6</v>
      </c>
      <c r="G938" s="5">
        <v>400</v>
      </c>
      <c r="H938" s="5" t="s">
        <v>4931</v>
      </c>
      <c r="I938" s="5" t="s">
        <v>5104</v>
      </c>
      <c r="J938" s="5" t="s">
        <v>5111</v>
      </c>
      <c r="K938" s="10" t="e">
        <f t="shared" si="0"/>
        <v>#VALUE!</v>
      </c>
      <c r="L938" s="10">
        <f t="shared" si="1"/>
        <v>1</v>
      </c>
      <c r="M938" s="10" t="str">
        <f t="shared" si="2"/>
        <v>004</v>
      </c>
      <c r="N938" s="10" t="str">
        <f t="shared" si="3"/>
        <v>02</v>
      </c>
      <c r="O938" s="10" t="str">
        <f t="shared" si="16"/>
        <v>PENDIDIKAN</v>
      </c>
    </row>
    <row r="939" spans="1:15" ht="12.5">
      <c r="A939" s="115" t="s">
        <v>5112</v>
      </c>
      <c r="B939" s="5">
        <v>0</v>
      </c>
      <c r="C939" s="5">
        <v>61</v>
      </c>
      <c r="D939" s="5">
        <v>4</v>
      </c>
      <c r="E939" s="5">
        <v>101</v>
      </c>
      <c r="F939" s="5">
        <v>6</v>
      </c>
      <c r="G939" s="5">
        <v>500</v>
      </c>
      <c r="H939" s="5" t="s">
        <v>4931</v>
      </c>
      <c r="I939" s="5" t="s">
        <v>5104</v>
      </c>
      <c r="J939" s="5" t="s">
        <v>5113</v>
      </c>
      <c r="K939" s="10" t="e">
        <f t="shared" si="0"/>
        <v>#VALUE!</v>
      </c>
      <c r="L939" s="10">
        <f t="shared" si="1"/>
        <v>1</v>
      </c>
      <c r="M939" s="10" t="str">
        <f t="shared" si="2"/>
        <v>005</v>
      </c>
      <c r="N939" s="10" t="str">
        <f t="shared" si="3"/>
        <v>02</v>
      </c>
      <c r="O939" s="10" t="str">
        <f t="shared" si="16"/>
        <v>PENDIDIKAN</v>
      </c>
    </row>
    <row r="940" spans="1:15" ht="12.5">
      <c r="A940" s="115" t="s">
        <v>5114</v>
      </c>
      <c r="B940" s="5">
        <v>0</v>
      </c>
      <c r="C940" s="5">
        <v>61</v>
      </c>
      <c r="D940" s="5">
        <v>4</v>
      </c>
      <c r="E940" s="5">
        <v>101</v>
      </c>
      <c r="F940" s="5">
        <v>6</v>
      </c>
      <c r="G940" s="5">
        <v>600</v>
      </c>
      <c r="H940" s="5" t="s">
        <v>4931</v>
      </c>
      <c r="I940" s="5" t="s">
        <v>5104</v>
      </c>
      <c r="J940" s="5" t="s">
        <v>5115</v>
      </c>
      <c r="K940" s="10" t="e">
        <f t="shared" si="0"/>
        <v>#VALUE!</v>
      </c>
      <c r="L940" s="10">
        <f t="shared" si="1"/>
        <v>1</v>
      </c>
      <c r="M940" s="10" t="str">
        <f t="shared" si="2"/>
        <v>006</v>
      </c>
      <c r="N940" s="10" t="str">
        <f t="shared" si="3"/>
        <v>02</v>
      </c>
      <c r="O940" s="10" t="str">
        <f t="shared" si="16"/>
        <v>PENDIDIKAN</v>
      </c>
    </row>
    <row r="941" spans="1:15" ht="12.5">
      <c r="A941" s="115" t="s">
        <v>5116</v>
      </c>
      <c r="B941" s="5">
        <v>0</v>
      </c>
      <c r="C941" s="5">
        <v>61</v>
      </c>
      <c r="D941" s="5">
        <v>4</v>
      </c>
      <c r="E941" s="5">
        <v>101</v>
      </c>
      <c r="F941" s="5">
        <v>6</v>
      </c>
      <c r="G941" s="5">
        <v>700</v>
      </c>
      <c r="H941" s="5" t="s">
        <v>4931</v>
      </c>
      <c r="I941" s="5" t="s">
        <v>5104</v>
      </c>
      <c r="J941" s="5" t="s">
        <v>5117</v>
      </c>
      <c r="K941" s="10" t="e">
        <f t="shared" si="0"/>
        <v>#VALUE!</v>
      </c>
      <c r="L941" s="10">
        <f t="shared" si="1"/>
        <v>1</v>
      </c>
      <c r="M941" s="10" t="str">
        <f t="shared" si="2"/>
        <v>007</v>
      </c>
      <c r="N941" s="10" t="str">
        <f t="shared" si="3"/>
        <v>02</v>
      </c>
      <c r="O941" s="10" t="str">
        <f t="shared" si="16"/>
        <v>PENDIDIKAN</v>
      </c>
    </row>
    <row r="942" spans="1:15" ht="12.5">
      <c r="A942" s="115" t="s">
        <v>5118</v>
      </c>
      <c r="B942" s="5">
        <v>0</v>
      </c>
      <c r="C942" s="5">
        <v>61</v>
      </c>
      <c r="D942" s="5">
        <v>4</v>
      </c>
      <c r="E942" s="5">
        <v>101</v>
      </c>
      <c r="F942" s="5">
        <v>6</v>
      </c>
      <c r="G942" s="5">
        <v>800</v>
      </c>
      <c r="H942" s="5" t="s">
        <v>4931</v>
      </c>
      <c r="I942" s="5" t="s">
        <v>5104</v>
      </c>
      <c r="J942" s="5" t="s">
        <v>5119</v>
      </c>
      <c r="K942" s="10" t="e">
        <f t="shared" si="0"/>
        <v>#VALUE!</v>
      </c>
      <c r="L942" s="10">
        <f t="shared" si="1"/>
        <v>1</v>
      </c>
      <c r="M942" s="10" t="str">
        <f t="shared" si="2"/>
        <v>008</v>
      </c>
      <c r="N942" s="10" t="str">
        <f t="shared" si="3"/>
        <v>03</v>
      </c>
      <c r="O942" s="10" t="str">
        <f t="shared" si="16"/>
        <v>HARAPAN</v>
      </c>
    </row>
    <row r="943" spans="1:15" ht="12.5">
      <c r="A943" s="115" t="s">
        <v>5120</v>
      </c>
      <c r="B943" s="5">
        <v>0</v>
      </c>
      <c r="C943" s="5">
        <v>61</v>
      </c>
      <c r="D943" s="5">
        <v>4</v>
      </c>
      <c r="E943" s="5">
        <v>101</v>
      </c>
      <c r="F943" s="5">
        <v>6</v>
      </c>
      <c r="G943" s="5">
        <v>900</v>
      </c>
      <c r="H943" s="5" t="s">
        <v>4931</v>
      </c>
      <c r="I943" s="5" t="s">
        <v>5104</v>
      </c>
      <c r="J943" s="5" t="s">
        <v>5121</v>
      </c>
      <c r="K943" s="10" t="e">
        <f t="shared" si="0"/>
        <v>#VALUE!</v>
      </c>
      <c r="L943" s="10">
        <f t="shared" si="1"/>
        <v>1</v>
      </c>
      <c r="M943" s="10" t="str">
        <f t="shared" si="2"/>
        <v>009</v>
      </c>
      <c r="N943" s="10" t="str">
        <f t="shared" si="3"/>
        <v>03</v>
      </c>
      <c r="O943" s="10" t="str">
        <f t="shared" si="16"/>
        <v>HARAPAN</v>
      </c>
    </row>
    <row r="944" spans="1:15" ht="12.5">
      <c r="A944" s="115" t="s">
        <v>5122</v>
      </c>
      <c r="B944" s="5">
        <v>0</v>
      </c>
      <c r="C944" s="5">
        <v>61</v>
      </c>
      <c r="D944" s="5">
        <v>4</v>
      </c>
      <c r="E944" s="5">
        <v>101</v>
      </c>
      <c r="F944" s="5">
        <v>6</v>
      </c>
      <c r="G944" s="5">
        <v>1000</v>
      </c>
      <c r="H944" s="5" t="s">
        <v>4931</v>
      </c>
      <c r="I944" s="5" t="s">
        <v>5104</v>
      </c>
      <c r="J944" s="5" t="s">
        <v>5123</v>
      </c>
      <c r="K944" s="10" t="e">
        <f t="shared" si="0"/>
        <v>#VALUE!</v>
      </c>
      <c r="L944" s="10">
        <f t="shared" si="1"/>
        <v>1</v>
      </c>
      <c r="M944" s="10" t="str">
        <f t="shared" si="2"/>
        <v>010</v>
      </c>
      <c r="N944" s="10" t="str">
        <f t="shared" si="3"/>
        <v>03</v>
      </c>
      <c r="O944" s="10" t="str">
        <f t="shared" si="16"/>
        <v>HARAPAN</v>
      </c>
    </row>
    <row r="945" spans="1:15" ht="12.5">
      <c r="A945" s="115" t="s">
        <v>5124</v>
      </c>
      <c r="B945" s="5">
        <v>0</v>
      </c>
      <c r="C945" s="5">
        <v>61</v>
      </c>
      <c r="D945" s="5">
        <v>4</v>
      </c>
      <c r="E945" s="5">
        <v>101</v>
      </c>
      <c r="F945" s="5">
        <v>6</v>
      </c>
      <c r="G945" s="5">
        <v>1100</v>
      </c>
      <c r="H945" s="5" t="s">
        <v>4931</v>
      </c>
      <c r="I945" s="5" t="s">
        <v>5104</v>
      </c>
      <c r="J945" s="5" t="s">
        <v>5125</v>
      </c>
      <c r="K945" s="10" t="e">
        <f t="shared" si="0"/>
        <v>#VALUE!</v>
      </c>
      <c r="L945" s="10">
        <f t="shared" si="1"/>
        <v>1</v>
      </c>
      <c r="M945" s="10" t="str">
        <f t="shared" si="2"/>
        <v>011</v>
      </c>
      <c r="N945" s="10" t="str">
        <f t="shared" si="3"/>
        <v>03</v>
      </c>
      <c r="O945" s="10" t="str">
        <f t="shared" si="16"/>
        <v>HARAPAN</v>
      </c>
    </row>
    <row r="946" spans="1:15" ht="12.5">
      <c r="A946" s="115" t="s">
        <v>5126</v>
      </c>
      <c r="B946" s="5">
        <v>0</v>
      </c>
      <c r="C946" s="5">
        <v>61</v>
      </c>
      <c r="D946" s="5">
        <v>4</v>
      </c>
      <c r="E946" s="5">
        <v>101</v>
      </c>
      <c r="F946" s="5">
        <v>6</v>
      </c>
      <c r="G946" s="5">
        <v>1200</v>
      </c>
      <c r="H946" s="5" t="s">
        <v>4931</v>
      </c>
      <c r="I946" s="5" t="s">
        <v>5104</v>
      </c>
      <c r="J946" s="5" t="s">
        <v>5127</v>
      </c>
      <c r="K946" s="10" t="e">
        <f t="shared" si="0"/>
        <v>#VALUE!</v>
      </c>
      <c r="L946" s="10">
        <f t="shared" si="1"/>
        <v>1</v>
      </c>
      <c r="M946" s="10" t="str">
        <f t="shared" si="2"/>
        <v>012</v>
      </c>
      <c r="N946" s="10" t="str">
        <f t="shared" si="3"/>
        <v>04</v>
      </c>
      <c r="O946" s="10" t="str">
        <f t="shared" si="16"/>
        <v>PERMAI</v>
      </c>
    </row>
    <row r="947" spans="1:15" ht="12.5">
      <c r="A947" s="115" t="s">
        <v>5128</v>
      </c>
      <c r="B947" s="5">
        <v>0</v>
      </c>
      <c r="C947" s="5">
        <v>61</v>
      </c>
      <c r="D947" s="5">
        <v>4</v>
      </c>
      <c r="E947" s="5">
        <v>101</v>
      </c>
      <c r="F947" s="5">
        <v>6</v>
      </c>
      <c r="G947" s="5">
        <v>1300</v>
      </c>
      <c r="H947" s="5" t="s">
        <v>4931</v>
      </c>
      <c r="I947" s="5" t="s">
        <v>5104</v>
      </c>
      <c r="J947" s="5" t="s">
        <v>5129</v>
      </c>
      <c r="K947" s="10" t="e">
        <f t="shared" si="0"/>
        <v>#VALUE!</v>
      </c>
      <c r="L947" s="10">
        <f t="shared" si="1"/>
        <v>1</v>
      </c>
      <c r="M947" s="10" t="str">
        <f t="shared" si="2"/>
        <v>013</v>
      </c>
      <c r="N947" s="10" t="str">
        <f t="shared" si="3"/>
        <v>04</v>
      </c>
      <c r="O947" s="10" t="str">
        <f t="shared" si="16"/>
        <v>PERMAI</v>
      </c>
    </row>
    <row r="948" spans="1:15" ht="12.5">
      <c r="A948" s="115" t="s">
        <v>5130</v>
      </c>
      <c r="B948" s="5">
        <v>0</v>
      </c>
      <c r="C948" s="5">
        <v>61</v>
      </c>
      <c r="D948" s="5">
        <v>4</v>
      </c>
      <c r="E948" s="5">
        <v>101</v>
      </c>
      <c r="F948" s="5">
        <v>6</v>
      </c>
      <c r="G948" s="5">
        <v>1400</v>
      </c>
      <c r="H948" s="5" t="s">
        <v>4931</v>
      </c>
      <c r="I948" s="5" t="s">
        <v>5104</v>
      </c>
      <c r="J948" s="5" t="s">
        <v>5131</v>
      </c>
      <c r="K948" s="10" t="e">
        <f t="shared" si="0"/>
        <v>#VALUE!</v>
      </c>
      <c r="L948" s="10">
        <f t="shared" si="1"/>
        <v>1</v>
      </c>
      <c r="M948" s="10" t="str">
        <f t="shared" si="2"/>
        <v>014</v>
      </c>
      <c r="N948" s="10" t="str">
        <f t="shared" si="3"/>
        <v>04</v>
      </c>
      <c r="O948" s="10" t="str">
        <f t="shared" si="16"/>
        <v>PERMAI</v>
      </c>
    </row>
    <row r="949" spans="1:15" ht="12.5">
      <c r="A949" s="115" t="s">
        <v>5132</v>
      </c>
      <c r="B949" s="5">
        <v>0</v>
      </c>
      <c r="C949" s="5">
        <v>61</v>
      </c>
      <c r="D949" s="5">
        <v>4</v>
      </c>
      <c r="E949" s="5">
        <v>101</v>
      </c>
      <c r="F949" s="5">
        <v>6</v>
      </c>
      <c r="G949" s="5">
        <v>1500</v>
      </c>
      <c r="H949" s="5" t="s">
        <v>4931</v>
      </c>
      <c r="I949" s="5" t="s">
        <v>5104</v>
      </c>
      <c r="J949" s="5" t="s">
        <v>5133</v>
      </c>
      <c r="K949" s="10" t="e">
        <f t="shared" si="0"/>
        <v>#VALUE!</v>
      </c>
      <c r="L949" s="10">
        <f t="shared" si="1"/>
        <v>1</v>
      </c>
      <c r="M949" s="10" t="str">
        <f t="shared" si="2"/>
        <v>015</v>
      </c>
      <c r="N949" s="10" t="str">
        <f t="shared" si="3"/>
        <v>05</v>
      </c>
      <c r="O949" s="10" t="str">
        <f t="shared" si="16"/>
        <v>SATRIA</v>
      </c>
    </row>
    <row r="950" spans="1:15" ht="12.5">
      <c r="A950" s="115" t="s">
        <v>5134</v>
      </c>
      <c r="B950" s="5">
        <v>0</v>
      </c>
      <c r="C950" s="5">
        <v>61</v>
      </c>
      <c r="D950" s="5">
        <v>4</v>
      </c>
      <c r="E950" s="5">
        <v>101</v>
      </c>
      <c r="F950" s="5">
        <v>6</v>
      </c>
      <c r="G950" s="5">
        <v>1600</v>
      </c>
      <c r="H950" s="5" t="s">
        <v>4931</v>
      </c>
      <c r="I950" s="5" t="s">
        <v>5104</v>
      </c>
      <c r="J950" s="5" t="s">
        <v>5135</v>
      </c>
      <c r="K950" s="10" t="e">
        <f t="shared" si="0"/>
        <v>#VALUE!</v>
      </c>
      <c r="L950" s="10">
        <f t="shared" si="1"/>
        <v>1</v>
      </c>
      <c r="M950" s="10" t="str">
        <f t="shared" si="2"/>
        <v>016</v>
      </c>
      <c r="N950" s="10" t="str">
        <f t="shared" si="3"/>
        <v>05</v>
      </c>
      <c r="O950" s="10" t="str">
        <f t="shared" si="16"/>
        <v>SATRIA</v>
      </c>
    </row>
    <row r="951" spans="1:15" ht="12.5">
      <c r="A951" s="115" t="s">
        <v>5136</v>
      </c>
      <c r="B951" s="5">
        <v>0</v>
      </c>
      <c r="C951" s="5">
        <v>61</v>
      </c>
      <c r="D951" s="5">
        <v>4</v>
      </c>
      <c r="E951" s="5">
        <v>101</v>
      </c>
      <c r="F951" s="5">
        <v>6</v>
      </c>
      <c r="G951" s="5">
        <v>1700</v>
      </c>
      <c r="H951" s="5" t="s">
        <v>4931</v>
      </c>
      <c r="I951" s="5" t="s">
        <v>5104</v>
      </c>
      <c r="J951" s="5" t="s">
        <v>5137</v>
      </c>
      <c r="K951" s="10" t="e">
        <f t="shared" si="0"/>
        <v>#VALUE!</v>
      </c>
      <c r="L951" s="10">
        <f t="shared" si="1"/>
        <v>1</v>
      </c>
      <c r="M951" s="10" t="str">
        <f t="shared" si="2"/>
        <v>017</v>
      </c>
      <c r="N951" s="10" t="str">
        <f t="shared" si="3"/>
        <v>05</v>
      </c>
      <c r="O951" s="10" t="str">
        <f t="shared" si="16"/>
        <v>SATRIA</v>
      </c>
    </row>
    <row r="952" spans="1:15" ht="12.5">
      <c r="A952" s="115" t="s">
        <v>5138</v>
      </c>
      <c r="B952" s="5">
        <v>0</v>
      </c>
      <c r="C952" s="5">
        <v>61</v>
      </c>
      <c r="D952" s="5">
        <v>4</v>
      </c>
      <c r="E952" s="5">
        <v>101</v>
      </c>
      <c r="F952" s="5">
        <v>6</v>
      </c>
      <c r="G952" s="5">
        <v>1800</v>
      </c>
      <c r="H952" s="5" t="s">
        <v>4931</v>
      </c>
      <c r="I952" s="5" t="s">
        <v>5104</v>
      </c>
      <c r="J952" s="5" t="s">
        <v>5139</v>
      </c>
      <c r="K952" s="10" t="e">
        <f t="shared" si="0"/>
        <v>#VALUE!</v>
      </c>
      <c r="L952" s="10">
        <f t="shared" si="1"/>
        <v>1</v>
      </c>
      <c r="M952" s="10" t="str">
        <f t="shared" si="2"/>
        <v>018</v>
      </c>
      <c r="N952" s="10" t="str">
        <f t="shared" si="3"/>
        <v>05</v>
      </c>
      <c r="O952" s="10" t="str">
        <f t="shared" si="16"/>
        <v>SATRIA</v>
      </c>
    </row>
    <row r="953" spans="1:15" ht="12.5">
      <c r="A953" s="115" t="s">
        <v>5140</v>
      </c>
      <c r="B953" s="5">
        <v>0</v>
      </c>
      <c r="C953" s="5">
        <v>61</v>
      </c>
      <c r="D953" s="5">
        <v>4</v>
      </c>
      <c r="E953" s="5">
        <v>101</v>
      </c>
      <c r="F953" s="5">
        <v>6</v>
      </c>
      <c r="G953" s="5">
        <v>1900</v>
      </c>
      <c r="H953" s="5" t="s">
        <v>4931</v>
      </c>
      <c r="I953" s="5" t="s">
        <v>5104</v>
      </c>
      <c r="J953" s="5" t="s">
        <v>5141</v>
      </c>
      <c r="K953" s="10" t="e">
        <f t="shared" si="0"/>
        <v>#VALUE!</v>
      </c>
      <c r="L953" s="10">
        <f t="shared" si="1"/>
        <v>1</v>
      </c>
      <c r="M953" s="10" t="str">
        <f t="shared" si="2"/>
        <v>019</v>
      </c>
      <c r="N953" s="10" t="str">
        <f t="shared" si="3"/>
        <v>06</v>
      </c>
      <c r="O953" s="10" t="str">
        <f t="shared" si="16"/>
        <v>MOTON JAYA</v>
      </c>
    </row>
    <row r="954" spans="1:15" ht="12.5">
      <c r="A954" s="115" t="s">
        <v>5142</v>
      </c>
      <c r="B954" s="5">
        <v>0</v>
      </c>
      <c r="C954" s="5">
        <v>61</v>
      </c>
      <c r="D954" s="5">
        <v>4</v>
      </c>
      <c r="E954" s="5">
        <v>101</v>
      </c>
      <c r="F954" s="5">
        <v>6</v>
      </c>
      <c r="G954" s="5">
        <v>2000</v>
      </c>
      <c r="H954" s="5" t="s">
        <v>4931</v>
      </c>
      <c r="I954" s="5" t="s">
        <v>5104</v>
      </c>
      <c r="J954" s="5" t="s">
        <v>5143</v>
      </c>
      <c r="K954" s="10" t="e">
        <f t="shared" si="0"/>
        <v>#VALUE!</v>
      </c>
      <c r="L954" s="10">
        <f t="shared" si="1"/>
        <v>1</v>
      </c>
      <c r="M954" s="10" t="str">
        <f t="shared" si="2"/>
        <v>020</v>
      </c>
      <c r="N954" s="10" t="str">
        <f t="shared" si="3"/>
        <v>06</v>
      </c>
      <c r="O954" s="10" t="str">
        <f t="shared" si="16"/>
        <v>MOTON JAYA</v>
      </c>
    </row>
    <row r="955" spans="1:15" ht="12.5">
      <c r="A955" s="115" t="s">
        <v>5144</v>
      </c>
      <c r="B955" s="5">
        <v>0</v>
      </c>
      <c r="C955" s="5">
        <v>61</v>
      </c>
      <c r="D955" s="5">
        <v>4</v>
      </c>
      <c r="E955" s="5">
        <v>101</v>
      </c>
      <c r="F955" s="5">
        <v>6</v>
      </c>
      <c r="G955" s="5">
        <v>2100</v>
      </c>
      <c r="H955" s="5" t="s">
        <v>4931</v>
      </c>
      <c r="I955" s="5" t="s">
        <v>5104</v>
      </c>
      <c r="J955" s="5" t="s">
        <v>5145</v>
      </c>
      <c r="K955" s="10" t="e">
        <f t="shared" si="0"/>
        <v>#VALUE!</v>
      </c>
      <c r="L955" s="10">
        <f t="shared" si="1"/>
        <v>1</v>
      </c>
      <c r="M955" s="10" t="str">
        <f t="shared" si="2"/>
        <v>021</v>
      </c>
      <c r="N955" s="10" t="str">
        <f t="shared" si="3"/>
        <v>06</v>
      </c>
      <c r="O955" s="10" t="str">
        <f t="shared" si="16"/>
        <v>MOTON JAYA</v>
      </c>
    </row>
    <row r="956" spans="1:15" ht="12.5">
      <c r="A956" s="115" t="s">
        <v>5146</v>
      </c>
      <c r="B956" s="5">
        <v>0</v>
      </c>
      <c r="C956" s="5">
        <v>61</v>
      </c>
      <c r="D956" s="5">
        <v>4</v>
      </c>
      <c r="E956" s="5">
        <v>101</v>
      </c>
      <c r="F956" s="5">
        <v>6</v>
      </c>
      <c r="G956" s="5">
        <v>2200</v>
      </c>
      <c r="H956" s="5" t="s">
        <v>4931</v>
      </c>
      <c r="I956" s="5" t="s">
        <v>5104</v>
      </c>
      <c r="J956" s="5" t="s">
        <v>5147</v>
      </c>
      <c r="K956" s="10" t="e">
        <f t="shared" si="0"/>
        <v>#VALUE!</v>
      </c>
      <c r="L956" s="10">
        <f t="shared" si="1"/>
        <v>1</v>
      </c>
      <c r="M956" s="10" t="str">
        <f t="shared" si="2"/>
        <v>022</v>
      </c>
      <c r="N956" s="10" t="str">
        <f t="shared" si="3"/>
        <v>06</v>
      </c>
      <c r="O956" s="10" t="str">
        <f t="shared" si="16"/>
        <v>MOTON JAYA</v>
      </c>
    </row>
    <row r="957" spans="1:15" ht="12.5">
      <c r="A957" s="115" t="s">
        <v>5148</v>
      </c>
      <c r="B957" s="5">
        <v>0</v>
      </c>
      <c r="C957" s="5">
        <v>61</v>
      </c>
      <c r="D957" s="5">
        <v>4</v>
      </c>
      <c r="E957" s="5">
        <v>101</v>
      </c>
      <c r="F957" s="5">
        <v>6</v>
      </c>
      <c r="G957" s="5">
        <v>2300</v>
      </c>
      <c r="H957" s="5" t="s">
        <v>4931</v>
      </c>
      <c r="I957" s="5" t="s">
        <v>5104</v>
      </c>
      <c r="J957" s="5" t="s">
        <v>5149</v>
      </c>
      <c r="K957" s="10" t="e">
        <f t="shared" si="0"/>
        <v>#VALUE!</v>
      </c>
      <c r="L957" s="10">
        <f t="shared" si="1"/>
        <v>1</v>
      </c>
      <c r="M957" s="10" t="str">
        <f t="shared" si="2"/>
        <v>023</v>
      </c>
      <c r="N957" s="10" t="str">
        <f t="shared" si="3"/>
        <v>07</v>
      </c>
      <c r="O957" s="10" t="str">
        <f t="shared" si="16"/>
        <v>MEKAR JAYA</v>
      </c>
    </row>
    <row r="958" spans="1:15" ht="12.5">
      <c r="A958" s="115" t="s">
        <v>5150</v>
      </c>
      <c r="B958" s="5">
        <v>0</v>
      </c>
      <c r="C958" s="5">
        <v>61</v>
      </c>
      <c r="D958" s="5">
        <v>4</v>
      </c>
      <c r="E958" s="5">
        <v>101</v>
      </c>
      <c r="F958" s="5">
        <v>6</v>
      </c>
      <c r="G958" s="5">
        <v>2400</v>
      </c>
      <c r="H958" s="5" t="s">
        <v>4931</v>
      </c>
      <c r="I958" s="5" t="s">
        <v>5104</v>
      </c>
      <c r="J958" s="5" t="s">
        <v>5151</v>
      </c>
      <c r="K958" s="10" t="e">
        <f t="shared" si="0"/>
        <v>#VALUE!</v>
      </c>
      <c r="L958" s="10">
        <f t="shared" si="1"/>
        <v>1</v>
      </c>
      <c r="M958" s="10" t="str">
        <f t="shared" si="2"/>
        <v>024</v>
      </c>
      <c r="N958" s="10" t="str">
        <f t="shared" si="3"/>
        <v>07</v>
      </c>
      <c r="O958" s="10" t="str">
        <f t="shared" si="16"/>
        <v>MEKAR JAYA</v>
      </c>
    </row>
    <row r="959" spans="1:15" ht="12.5">
      <c r="A959" s="115" t="s">
        <v>5152</v>
      </c>
      <c r="B959" s="5">
        <v>0</v>
      </c>
      <c r="C959" s="5">
        <v>61</v>
      </c>
      <c r="D959" s="5">
        <v>4</v>
      </c>
      <c r="E959" s="5">
        <v>101</v>
      </c>
      <c r="F959" s="5">
        <v>6</v>
      </c>
      <c r="G959" s="5">
        <v>2500</v>
      </c>
      <c r="H959" s="5" t="s">
        <v>4931</v>
      </c>
      <c r="I959" s="5" t="s">
        <v>5104</v>
      </c>
      <c r="J959" s="5" t="s">
        <v>5153</v>
      </c>
      <c r="K959" s="10" t="e">
        <f t="shared" si="0"/>
        <v>#VALUE!</v>
      </c>
      <c r="L959" s="10">
        <f t="shared" si="1"/>
        <v>1</v>
      </c>
      <c r="M959" s="10" t="str">
        <f t="shared" si="2"/>
        <v>025</v>
      </c>
      <c r="N959" s="10" t="str">
        <f t="shared" si="3"/>
        <v>07</v>
      </c>
      <c r="O959" s="10" t="str">
        <f t="shared" si="16"/>
        <v>MEKAR JAYA</v>
      </c>
    </row>
    <row r="960" spans="1:15" ht="12.5">
      <c r="A960" s="115" t="s">
        <v>5154</v>
      </c>
      <c r="B960" s="5">
        <v>0</v>
      </c>
      <c r="C960" s="5">
        <v>61</v>
      </c>
      <c r="D960" s="5">
        <v>4</v>
      </c>
      <c r="E960" s="5">
        <v>101</v>
      </c>
      <c r="F960" s="5">
        <v>6</v>
      </c>
      <c r="G960" s="5">
        <v>2600</v>
      </c>
      <c r="H960" s="5" t="s">
        <v>4931</v>
      </c>
      <c r="I960" s="5" t="s">
        <v>5104</v>
      </c>
      <c r="J960" s="5" t="s">
        <v>5155</v>
      </c>
      <c r="K960" s="10" t="e">
        <f t="shared" si="0"/>
        <v>#VALUE!</v>
      </c>
      <c r="L960" s="10">
        <f t="shared" si="1"/>
        <v>1</v>
      </c>
      <c r="M960" s="10" t="str">
        <f t="shared" si="2"/>
        <v>026</v>
      </c>
      <c r="N960" s="10" t="str">
        <f t="shared" si="3"/>
        <v>08</v>
      </c>
      <c r="O960" s="10" t="str">
        <f t="shared" si="16"/>
        <v>TARUNA OPU</v>
      </c>
    </row>
    <row r="961" spans="1:15" ht="12.5">
      <c r="A961" s="115" t="s">
        <v>5156</v>
      </c>
      <c r="B961" s="5">
        <v>0</v>
      </c>
      <c r="C961" s="5">
        <v>61</v>
      </c>
      <c r="D961" s="5">
        <v>4</v>
      </c>
      <c r="E961" s="5">
        <v>101</v>
      </c>
      <c r="F961" s="5">
        <v>6</v>
      </c>
      <c r="G961" s="5">
        <v>2700</v>
      </c>
      <c r="H961" s="5" t="s">
        <v>4931</v>
      </c>
      <c r="I961" s="5" t="s">
        <v>5104</v>
      </c>
      <c r="J961" s="5" t="s">
        <v>5157</v>
      </c>
      <c r="K961" s="10" t="e">
        <f t="shared" si="0"/>
        <v>#VALUE!</v>
      </c>
      <c r="L961" s="10">
        <f t="shared" si="1"/>
        <v>1</v>
      </c>
      <c r="M961" s="10" t="str">
        <f t="shared" si="2"/>
        <v>027</v>
      </c>
      <c r="N961" s="10" t="str">
        <f t="shared" si="3"/>
        <v>08</v>
      </c>
      <c r="O961" s="10" t="str">
        <f t="shared" si="16"/>
        <v>TARUNA OPU</v>
      </c>
    </row>
    <row r="962" spans="1:15" ht="12.5">
      <c r="A962" s="115" t="s">
        <v>5158</v>
      </c>
      <c r="B962" s="5">
        <v>0</v>
      </c>
      <c r="C962" s="5">
        <v>61</v>
      </c>
      <c r="D962" s="5">
        <v>4</v>
      </c>
      <c r="E962" s="5">
        <v>101</v>
      </c>
      <c r="F962" s="5">
        <v>6</v>
      </c>
      <c r="G962" s="5">
        <v>2800</v>
      </c>
      <c r="H962" s="5" t="s">
        <v>4931</v>
      </c>
      <c r="I962" s="5" t="s">
        <v>5104</v>
      </c>
      <c r="J962" s="5" t="s">
        <v>5159</v>
      </c>
      <c r="K962" s="10" t="e">
        <f t="shared" si="0"/>
        <v>#VALUE!</v>
      </c>
      <c r="L962" s="10">
        <f t="shared" si="1"/>
        <v>1</v>
      </c>
      <c r="M962" s="10" t="str">
        <f t="shared" si="2"/>
        <v>028</v>
      </c>
      <c r="N962" s="10" t="str">
        <f t="shared" si="3"/>
        <v>08</v>
      </c>
      <c r="O962" s="10" t="str">
        <f t="shared" si="16"/>
        <v>TARUNA OPU</v>
      </c>
    </row>
    <row r="963" spans="1:15" ht="12.5">
      <c r="A963" s="115" t="s">
        <v>5160</v>
      </c>
      <c r="B963" s="5">
        <v>0</v>
      </c>
      <c r="C963" s="5">
        <v>61</v>
      </c>
      <c r="D963" s="5">
        <v>4</v>
      </c>
      <c r="E963" s="5">
        <v>101</v>
      </c>
      <c r="F963" s="5">
        <v>6</v>
      </c>
      <c r="G963" s="5">
        <v>2900</v>
      </c>
      <c r="H963" s="5" t="s">
        <v>4931</v>
      </c>
      <c r="I963" s="5" t="s">
        <v>5104</v>
      </c>
      <c r="J963" s="5" t="s">
        <v>5161</v>
      </c>
      <c r="K963" s="10" t="e">
        <f t="shared" si="0"/>
        <v>#VALUE!</v>
      </c>
      <c r="L963" s="10">
        <f t="shared" si="1"/>
        <v>1</v>
      </c>
      <c r="M963" s="10" t="str">
        <f t="shared" si="2"/>
        <v>029</v>
      </c>
      <c r="N963" s="10" t="str">
        <f t="shared" si="3"/>
        <v>09</v>
      </c>
      <c r="O963" s="10" t="str">
        <f t="shared" si="16"/>
        <v>BUKIT ASAM</v>
      </c>
    </row>
    <row r="964" spans="1:15" ht="12.5">
      <c r="A964" s="115" t="s">
        <v>5162</v>
      </c>
      <c r="B964" s="5">
        <v>0</v>
      </c>
      <c r="C964" s="5">
        <v>61</v>
      </c>
      <c r="D964" s="5">
        <v>4</v>
      </c>
      <c r="E964" s="5">
        <v>101</v>
      </c>
      <c r="F964" s="5">
        <v>6</v>
      </c>
      <c r="G964" s="5">
        <v>3000</v>
      </c>
      <c r="H964" s="5" t="s">
        <v>4931</v>
      </c>
      <c r="I964" s="5" t="s">
        <v>5104</v>
      </c>
      <c r="J964" s="5" t="s">
        <v>5163</v>
      </c>
      <c r="K964" s="10" t="e">
        <f t="shared" si="0"/>
        <v>#VALUE!</v>
      </c>
      <c r="L964" s="10">
        <f t="shared" si="1"/>
        <v>1</v>
      </c>
      <c r="M964" s="10" t="str">
        <f t="shared" si="2"/>
        <v>030</v>
      </c>
      <c r="N964" s="10" t="str">
        <f t="shared" si="3"/>
        <v>09</v>
      </c>
      <c r="O964" s="10" t="str">
        <f t="shared" si="16"/>
        <v>BUKIT ASAM</v>
      </c>
    </row>
    <row r="965" spans="1:15" ht="12.5">
      <c r="A965" s="115" t="s">
        <v>5164</v>
      </c>
      <c r="B965" s="5">
        <v>0</v>
      </c>
      <c r="C965" s="5">
        <v>61</v>
      </c>
      <c r="D965" s="5">
        <v>4</v>
      </c>
      <c r="E965" s="5">
        <v>101</v>
      </c>
      <c r="F965" s="5">
        <v>6</v>
      </c>
      <c r="G965" s="5">
        <v>3100</v>
      </c>
      <c r="H965" s="5" t="s">
        <v>4931</v>
      </c>
      <c r="I965" s="5" t="s">
        <v>5104</v>
      </c>
      <c r="J965" s="5" t="s">
        <v>5165</v>
      </c>
      <c r="K965" s="10" t="e">
        <f t="shared" si="0"/>
        <v>#VALUE!</v>
      </c>
      <c r="L965" s="10">
        <f t="shared" si="1"/>
        <v>1</v>
      </c>
      <c r="M965" s="10" t="str">
        <f t="shared" si="2"/>
        <v>031</v>
      </c>
      <c r="N965" s="10" t="str">
        <f t="shared" si="3"/>
        <v>09</v>
      </c>
      <c r="O965" s="10" t="str">
        <f t="shared" si="16"/>
        <v>BUKIT ASAM</v>
      </c>
    </row>
    <row r="966" spans="1:15" ht="12.5">
      <c r="A966" s="115" t="s">
        <v>5166</v>
      </c>
      <c r="B966" s="5">
        <v>0</v>
      </c>
      <c r="C966" s="5">
        <v>61</v>
      </c>
      <c r="D966" s="5">
        <v>4</v>
      </c>
      <c r="E966" s="5">
        <v>101</v>
      </c>
      <c r="F966" s="5">
        <v>6</v>
      </c>
      <c r="G966" s="5">
        <v>3200</v>
      </c>
      <c r="H966" s="5" t="s">
        <v>4931</v>
      </c>
      <c r="I966" s="5" t="s">
        <v>5104</v>
      </c>
      <c r="J966" s="5" t="s">
        <v>5167</v>
      </c>
      <c r="K966" s="10" t="e">
        <f t="shared" si="0"/>
        <v>#VALUE!</v>
      </c>
      <c r="L966" s="10">
        <f t="shared" si="1"/>
        <v>1</v>
      </c>
      <c r="M966" s="10" t="str">
        <f t="shared" si="2"/>
        <v>032</v>
      </c>
      <c r="N966" s="10" t="str">
        <f t="shared" si="3"/>
        <v>09</v>
      </c>
      <c r="O966" s="10" t="str">
        <f t="shared" si="16"/>
        <v>BUKIT ASAM</v>
      </c>
    </row>
    <row r="967" spans="1:15" ht="12.5">
      <c r="A967" s="115" t="s">
        <v>5168</v>
      </c>
      <c r="B967" s="5">
        <v>1</v>
      </c>
      <c r="C967" s="5">
        <v>61</v>
      </c>
      <c r="D967" s="5">
        <v>4</v>
      </c>
      <c r="E967" s="5">
        <v>101</v>
      </c>
      <c r="F967" s="5">
        <v>6</v>
      </c>
      <c r="G967" s="5">
        <v>100100</v>
      </c>
      <c r="H967" s="5" t="s">
        <v>4931</v>
      </c>
      <c r="I967" s="5" t="s">
        <v>5104</v>
      </c>
      <c r="J967" s="5" t="s">
        <v>5169</v>
      </c>
      <c r="K967" s="10" t="e">
        <f t="shared" si="0"/>
        <v>#VALUE!</v>
      </c>
      <c r="L967" s="10">
        <f t="shared" si="1"/>
        <v>0</v>
      </c>
      <c r="M967" s="10" t="str">
        <f t="shared" si="2"/>
        <v>KEB</v>
      </c>
      <c r="N967" s="10" t="str">
        <f t="shared" si="3"/>
        <v>SA</v>
      </c>
      <c r="O967" s="10" t="str">
        <f t="shared" si="16"/>
        <v>005P</v>
      </c>
    </row>
    <row r="968" spans="1:15" ht="12.5">
      <c r="A968" s="115" t="s">
        <v>5170</v>
      </c>
      <c r="B968" s="5">
        <v>0</v>
      </c>
      <c r="C968" s="5">
        <v>61</v>
      </c>
      <c r="D968" s="5">
        <v>4</v>
      </c>
      <c r="E968" s="5">
        <v>101</v>
      </c>
      <c r="F968" s="5">
        <v>7</v>
      </c>
      <c r="G968" s="5">
        <v>100</v>
      </c>
      <c r="H968" s="5" t="s">
        <v>4931</v>
      </c>
      <c r="I968" s="5" t="s">
        <v>5171</v>
      </c>
      <c r="J968" s="5" t="s">
        <v>5172</v>
      </c>
      <c r="K968" s="10" t="e">
        <f t="shared" si="0"/>
        <v>#VALUE!</v>
      </c>
      <c r="L968" s="10">
        <f t="shared" si="1"/>
        <v>1</v>
      </c>
      <c r="M968" s="10" t="str">
        <f t="shared" si="2"/>
        <v>001</v>
      </c>
      <c r="N968" s="10" t="str">
        <f t="shared" si="3"/>
        <v>01</v>
      </c>
      <c r="O968" s="10" t="str">
        <f t="shared" si="16"/>
        <v>GALAHERANG</v>
      </c>
    </row>
    <row r="969" spans="1:15" ht="12.5">
      <c r="A969" s="115" t="s">
        <v>5173</v>
      </c>
      <c r="B969" s="5">
        <v>0</v>
      </c>
      <c r="C969" s="5">
        <v>61</v>
      </c>
      <c r="D969" s="5">
        <v>4</v>
      </c>
      <c r="E969" s="5">
        <v>101</v>
      </c>
      <c r="F969" s="5">
        <v>7</v>
      </c>
      <c r="G969" s="5">
        <v>200</v>
      </c>
      <c r="H969" s="5" t="s">
        <v>4931</v>
      </c>
      <c r="I969" s="5" t="s">
        <v>5171</v>
      </c>
      <c r="J969" s="5" t="s">
        <v>5174</v>
      </c>
      <c r="K969" s="10" t="e">
        <f t="shared" si="0"/>
        <v>#VALUE!</v>
      </c>
      <c r="L969" s="10">
        <f t="shared" si="1"/>
        <v>1</v>
      </c>
      <c r="M969" s="10" t="str">
        <f t="shared" si="2"/>
        <v>002</v>
      </c>
      <c r="N969" s="10" t="str">
        <f t="shared" si="3"/>
        <v>01</v>
      </c>
      <c r="O969" s="10" t="str">
        <f t="shared" si="16"/>
        <v>GALAHERANG</v>
      </c>
    </row>
    <row r="970" spans="1:15" ht="12.5">
      <c r="A970" s="115" t="s">
        <v>5175</v>
      </c>
      <c r="B970" s="5">
        <v>0</v>
      </c>
      <c r="C970" s="5">
        <v>61</v>
      </c>
      <c r="D970" s="5">
        <v>4</v>
      </c>
      <c r="E970" s="5">
        <v>101</v>
      </c>
      <c r="F970" s="5">
        <v>7</v>
      </c>
      <c r="G970" s="5">
        <v>300</v>
      </c>
      <c r="H970" s="5" t="s">
        <v>4931</v>
      </c>
      <c r="I970" s="5" t="s">
        <v>5171</v>
      </c>
      <c r="J970" s="5" t="s">
        <v>5176</v>
      </c>
      <c r="K970" s="10" t="e">
        <f t="shared" si="0"/>
        <v>#VALUE!</v>
      </c>
      <c r="L970" s="10">
        <f t="shared" si="1"/>
        <v>1</v>
      </c>
      <c r="M970" s="10" t="str">
        <f t="shared" si="2"/>
        <v>016</v>
      </c>
      <c r="N970" s="10" t="str">
        <f t="shared" si="3"/>
        <v>01</v>
      </c>
      <c r="O970" s="10" t="str">
        <f t="shared" si="16"/>
        <v>GALAHERANG</v>
      </c>
    </row>
    <row r="971" spans="1:15" ht="12.5">
      <c r="A971" s="115" t="s">
        <v>5177</v>
      </c>
      <c r="B971" s="5">
        <v>0</v>
      </c>
      <c r="C971" s="5">
        <v>61</v>
      </c>
      <c r="D971" s="5">
        <v>4</v>
      </c>
      <c r="E971" s="5">
        <v>101</v>
      </c>
      <c r="F971" s="5">
        <v>7</v>
      </c>
      <c r="G971" s="5">
        <v>400</v>
      </c>
      <c r="H971" s="5" t="s">
        <v>4931</v>
      </c>
      <c r="I971" s="5" t="s">
        <v>5171</v>
      </c>
      <c r="J971" s="5" t="s">
        <v>5178</v>
      </c>
      <c r="K971" s="10" t="e">
        <f t="shared" si="0"/>
        <v>#VALUE!</v>
      </c>
      <c r="L971" s="10">
        <f t="shared" si="1"/>
        <v>1</v>
      </c>
      <c r="M971" s="10" t="str">
        <f t="shared" si="2"/>
        <v>003</v>
      </c>
      <c r="N971" s="10" t="str">
        <f t="shared" si="3"/>
        <v>02</v>
      </c>
      <c r="O971" s="10" t="str">
        <f t="shared" si="16"/>
        <v>GALAHERANG</v>
      </c>
    </row>
    <row r="972" spans="1:15" ht="12.5">
      <c r="A972" s="115" t="s">
        <v>5179</v>
      </c>
      <c r="B972" s="5">
        <v>0</v>
      </c>
      <c r="C972" s="5">
        <v>61</v>
      </c>
      <c r="D972" s="5">
        <v>4</v>
      </c>
      <c r="E972" s="5">
        <v>101</v>
      </c>
      <c r="F972" s="5">
        <v>7</v>
      </c>
      <c r="G972" s="5">
        <v>500</v>
      </c>
      <c r="H972" s="5" t="s">
        <v>4931</v>
      </c>
      <c r="I972" s="5" t="s">
        <v>5171</v>
      </c>
      <c r="J972" s="5" t="s">
        <v>5180</v>
      </c>
      <c r="K972" s="10" t="e">
        <f t="shared" si="0"/>
        <v>#VALUE!</v>
      </c>
      <c r="L972" s="10">
        <f t="shared" si="1"/>
        <v>1</v>
      </c>
      <c r="M972" s="10" t="str">
        <f t="shared" si="2"/>
        <v>018</v>
      </c>
      <c r="N972" s="10" t="str">
        <f t="shared" si="3"/>
        <v>02</v>
      </c>
      <c r="O972" s="10" t="str">
        <f t="shared" si="16"/>
        <v>GALAHERANG</v>
      </c>
    </row>
    <row r="973" spans="1:15" ht="12.5">
      <c r="A973" s="115" t="s">
        <v>5181</v>
      </c>
      <c r="B973" s="5">
        <v>0</v>
      </c>
      <c r="C973" s="5">
        <v>61</v>
      </c>
      <c r="D973" s="5">
        <v>4</v>
      </c>
      <c r="E973" s="5">
        <v>101</v>
      </c>
      <c r="F973" s="5">
        <v>7</v>
      </c>
      <c r="G973" s="5">
        <v>600</v>
      </c>
      <c r="H973" s="5" t="s">
        <v>4931</v>
      </c>
      <c r="I973" s="5" t="s">
        <v>5171</v>
      </c>
      <c r="J973" s="5" t="s">
        <v>5182</v>
      </c>
      <c r="K973" s="10" t="e">
        <f t="shared" si="0"/>
        <v>#VALUE!</v>
      </c>
      <c r="L973" s="10">
        <f t="shared" si="1"/>
        <v>1</v>
      </c>
      <c r="M973" s="10" t="str">
        <f t="shared" si="2"/>
        <v>004</v>
      </c>
      <c r="N973" s="10" t="str">
        <f t="shared" si="3"/>
        <v>03</v>
      </c>
      <c r="O973" s="10" t="str">
        <f t="shared" si="16"/>
        <v>GALAHERANG</v>
      </c>
    </row>
    <row r="974" spans="1:15" ht="12.5">
      <c r="A974" s="115" t="s">
        <v>5183</v>
      </c>
      <c r="B974" s="5">
        <v>0</v>
      </c>
      <c r="C974" s="5">
        <v>61</v>
      </c>
      <c r="D974" s="5">
        <v>4</v>
      </c>
      <c r="E974" s="5">
        <v>101</v>
      </c>
      <c r="F974" s="5">
        <v>7</v>
      </c>
      <c r="G974" s="5">
        <v>700</v>
      </c>
      <c r="H974" s="5" t="s">
        <v>4931</v>
      </c>
      <c r="I974" s="5" t="s">
        <v>5171</v>
      </c>
      <c r="J974" s="5" t="s">
        <v>5184</v>
      </c>
      <c r="K974" s="10" t="e">
        <f t="shared" si="0"/>
        <v>#VALUE!</v>
      </c>
      <c r="L974" s="10">
        <f t="shared" si="1"/>
        <v>1</v>
      </c>
      <c r="M974" s="10" t="str">
        <f t="shared" si="2"/>
        <v>005</v>
      </c>
      <c r="N974" s="10" t="str">
        <f t="shared" si="3"/>
        <v>03</v>
      </c>
      <c r="O974" s="10" t="str">
        <f t="shared" si="16"/>
        <v>GALAHERANG</v>
      </c>
    </row>
    <row r="975" spans="1:15" ht="12.5">
      <c r="A975" s="115" t="s">
        <v>5185</v>
      </c>
      <c r="B975" s="5">
        <v>0</v>
      </c>
      <c r="C975" s="5">
        <v>61</v>
      </c>
      <c r="D975" s="5">
        <v>4</v>
      </c>
      <c r="E975" s="5">
        <v>101</v>
      </c>
      <c r="F975" s="5">
        <v>7</v>
      </c>
      <c r="G975" s="5">
        <v>800</v>
      </c>
      <c r="H975" s="5" t="s">
        <v>4931</v>
      </c>
      <c r="I975" s="5" t="s">
        <v>5171</v>
      </c>
      <c r="J975" s="5" t="s">
        <v>5186</v>
      </c>
      <c r="K975" s="10" t="e">
        <f t="shared" si="0"/>
        <v>#VALUE!</v>
      </c>
      <c r="L975" s="10">
        <f t="shared" si="1"/>
        <v>1</v>
      </c>
      <c r="M975" s="10" t="str">
        <f t="shared" si="2"/>
        <v>017</v>
      </c>
      <c r="N975" s="10" t="str">
        <f t="shared" si="3"/>
        <v>03</v>
      </c>
      <c r="O975" s="10" t="str">
        <f t="shared" si="16"/>
        <v>GALAHERANG</v>
      </c>
    </row>
    <row r="976" spans="1:15" ht="12.5">
      <c r="A976" s="115" t="s">
        <v>5187</v>
      </c>
      <c r="B976" s="5">
        <v>0</v>
      </c>
      <c r="C976" s="5">
        <v>61</v>
      </c>
      <c r="D976" s="5">
        <v>4</v>
      </c>
      <c r="E976" s="5">
        <v>101</v>
      </c>
      <c r="F976" s="5">
        <v>7</v>
      </c>
      <c r="G976" s="5">
        <v>900</v>
      </c>
      <c r="H976" s="5" t="s">
        <v>4931</v>
      </c>
      <c r="I976" s="5" t="s">
        <v>5171</v>
      </c>
      <c r="J976" s="5" t="s">
        <v>5188</v>
      </c>
      <c r="K976" s="10" t="e">
        <f t="shared" si="0"/>
        <v>#VALUE!</v>
      </c>
      <c r="L976" s="10">
        <f t="shared" si="1"/>
        <v>1</v>
      </c>
      <c r="M976" s="10" t="str">
        <f t="shared" si="2"/>
        <v>006</v>
      </c>
      <c r="N976" s="10" t="str">
        <f t="shared" si="3"/>
        <v>03</v>
      </c>
      <c r="O976" s="10" t="str">
        <f t="shared" si="16"/>
        <v>BEMBAN</v>
      </c>
    </row>
    <row r="977" spans="1:15" ht="12.5">
      <c r="A977" s="115" t="s">
        <v>5189</v>
      </c>
      <c r="B977" s="5">
        <v>0</v>
      </c>
      <c r="C977" s="5">
        <v>61</v>
      </c>
      <c r="D977" s="5">
        <v>4</v>
      </c>
      <c r="E977" s="5">
        <v>101</v>
      </c>
      <c r="F977" s="5">
        <v>7</v>
      </c>
      <c r="G977" s="5">
        <v>1000</v>
      </c>
      <c r="H977" s="5" t="s">
        <v>4931</v>
      </c>
      <c r="I977" s="5" t="s">
        <v>5171</v>
      </c>
      <c r="J977" s="5" t="s">
        <v>5190</v>
      </c>
      <c r="K977" s="10" t="e">
        <f t="shared" si="0"/>
        <v>#VALUE!</v>
      </c>
      <c r="L977" s="10">
        <f t="shared" si="1"/>
        <v>1</v>
      </c>
      <c r="M977" s="10" t="str">
        <f t="shared" si="2"/>
        <v>014</v>
      </c>
      <c r="N977" s="10" t="str">
        <f t="shared" si="3"/>
        <v>03</v>
      </c>
      <c r="O977" s="10" t="str">
        <f t="shared" si="16"/>
        <v>BEMBAN</v>
      </c>
    </row>
    <row r="978" spans="1:15" ht="12.5">
      <c r="A978" s="115" t="s">
        <v>5191</v>
      </c>
      <c r="B978" s="5">
        <v>0</v>
      </c>
      <c r="C978" s="5">
        <v>61</v>
      </c>
      <c r="D978" s="5">
        <v>4</v>
      </c>
      <c r="E978" s="5">
        <v>101</v>
      </c>
      <c r="F978" s="5">
        <v>7</v>
      </c>
      <c r="G978" s="5">
        <v>1100</v>
      </c>
      <c r="H978" s="5" t="s">
        <v>4931</v>
      </c>
      <c r="I978" s="5" t="s">
        <v>5171</v>
      </c>
      <c r="J978" s="5" t="s">
        <v>5192</v>
      </c>
      <c r="K978" s="10" t="e">
        <f t="shared" si="0"/>
        <v>#VALUE!</v>
      </c>
      <c r="L978" s="10">
        <f t="shared" si="1"/>
        <v>1</v>
      </c>
      <c r="M978" s="10" t="str">
        <f t="shared" si="2"/>
        <v>007</v>
      </c>
      <c r="N978" s="10" t="str">
        <f t="shared" si="3"/>
        <v>04</v>
      </c>
      <c r="O978" s="10" t="str">
        <f t="shared" si="16"/>
        <v>BEMBAN</v>
      </c>
    </row>
    <row r="979" spans="1:15" ht="12.5">
      <c r="A979" s="115" t="s">
        <v>5193</v>
      </c>
      <c r="B979" s="5">
        <v>0</v>
      </c>
      <c r="C979" s="5">
        <v>61</v>
      </c>
      <c r="D979" s="5">
        <v>4</v>
      </c>
      <c r="E979" s="5">
        <v>101</v>
      </c>
      <c r="F979" s="5">
        <v>7</v>
      </c>
      <c r="G979" s="5">
        <v>1200</v>
      </c>
      <c r="H979" s="5" t="s">
        <v>4931</v>
      </c>
      <c r="I979" s="5" t="s">
        <v>5171</v>
      </c>
      <c r="J979" s="5" t="s">
        <v>5194</v>
      </c>
      <c r="K979" s="10" t="e">
        <f t="shared" si="0"/>
        <v>#VALUE!</v>
      </c>
      <c r="L979" s="10">
        <f t="shared" si="1"/>
        <v>1</v>
      </c>
      <c r="M979" s="10" t="str">
        <f t="shared" si="2"/>
        <v>008</v>
      </c>
      <c r="N979" s="10" t="str">
        <f t="shared" si="3"/>
        <v>04</v>
      </c>
      <c r="O979" s="10" t="str">
        <f t="shared" si="16"/>
        <v>BEMBAN</v>
      </c>
    </row>
    <row r="980" spans="1:15" ht="12.5">
      <c r="A980" s="115" t="s">
        <v>5195</v>
      </c>
      <c r="B980" s="5">
        <v>0</v>
      </c>
      <c r="C980" s="5">
        <v>61</v>
      </c>
      <c r="D980" s="5">
        <v>4</v>
      </c>
      <c r="E980" s="5">
        <v>101</v>
      </c>
      <c r="F980" s="5">
        <v>7</v>
      </c>
      <c r="G980" s="5">
        <v>1300</v>
      </c>
      <c r="H980" s="5" t="s">
        <v>4931</v>
      </c>
      <c r="I980" s="5" t="s">
        <v>5171</v>
      </c>
      <c r="J980" s="5" t="s">
        <v>5196</v>
      </c>
      <c r="K980" s="10" t="e">
        <f t="shared" si="0"/>
        <v>#VALUE!</v>
      </c>
      <c r="L980" s="10">
        <f t="shared" si="1"/>
        <v>1</v>
      </c>
      <c r="M980" s="10" t="str">
        <f t="shared" si="2"/>
        <v>015</v>
      </c>
      <c r="N980" s="10" t="str">
        <f t="shared" si="3"/>
        <v>04</v>
      </c>
      <c r="O980" s="10" t="str">
        <f t="shared" si="16"/>
        <v>BEMBAN</v>
      </c>
    </row>
    <row r="981" spans="1:15" ht="12.5">
      <c r="A981" s="115" t="s">
        <v>5197</v>
      </c>
      <c r="B981" s="5">
        <v>0</v>
      </c>
      <c r="C981" s="5">
        <v>61</v>
      </c>
      <c r="D981" s="5">
        <v>4</v>
      </c>
      <c r="E981" s="5">
        <v>101</v>
      </c>
      <c r="F981" s="5">
        <v>7</v>
      </c>
      <c r="G981" s="5">
        <v>1400</v>
      </c>
      <c r="H981" s="5" t="s">
        <v>4931</v>
      </c>
      <c r="I981" s="5" t="s">
        <v>5171</v>
      </c>
      <c r="J981" s="5" t="s">
        <v>5198</v>
      </c>
      <c r="K981" s="10" t="e">
        <f t="shared" si="0"/>
        <v>#VALUE!</v>
      </c>
      <c r="L981" s="10">
        <f t="shared" si="1"/>
        <v>1</v>
      </c>
      <c r="M981" s="10" t="str">
        <f t="shared" si="2"/>
        <v>009</v>
      </c>
      <c r="N981" s="10" t="str">
        <f t="shared" si="3"/>
        <v>05</v>
      </c>
      <c r="O981" s="10" t="str">
        <f t="shared" si="16"/>
        <v>TEKAM</v>
      </c>
    </row>
    <row r="982" spans="1:15" ht="12.5">
      <c r="A982" s="115" t="s">
        <v>5199</v>
      </c>
      <c r="B982" s="5">
        <v>0</v>
      </c>
      <c r="C982" s="5">
        <v>61</v>
      </c>
      <c r="D982" s="5">
        <v>4</v>
      </c>
      <c r="E982" s="5">
        <v>101</v>
      </c>
      <c r="F982" s="5">
        <v>7</v>
      </c>
      <c r="G982" s="5">
        <v>1500</v>
      </c>
      <c r="H982" s="5" t="s">
        <v>4931</v>
      </c>
      <c r="I982" s="5" t="s">
        <v>5171</v>
      </c>
      <c r="J982" s="5" t="s">
        <v>5200</v>
      </c>
      <c r="K982" s="10" t="e">
        <f t="shared" si="0"/>
        <v>#VALUE!</v>
      </c>
      <c r="L982" s="10">
        <f t="shared" si="1"/>
        <v>1</v>
      </c>
      <c r="M982" s="10" t="str">
        <f t="shared" si="2"/>
        <v>010</v>
      </c>
      <c r="N982" s="10" t="str">
        <f t="shared" si="3"/>
        <v>05</v>
      </c>
      <c r="O982" s="10" t="str">
        <f t="shared" si="16"/>
        <v>TEKAM</v>
      </c>
    </row>
    <row r="983" spans="1:15" ht="12.5">
      <c r="A983" s="115" t="s">
        <v>5201</v>
      </c>
      <c r="B983" s="5">
        <v>0</v>
      </c>
      <c r="C983" s="5">
        <v>61</v>
      </c>
      <c r="D983" s="5">
        <v>4</v>
      </c>
      <c r="E983" s="5">
        <v>101</v>
      </c>
      <c r="F983" s="5">
        <v>7</v>
      </c>
      <c r="G983" s="5">
        <v>1600</v>
      </c>
      <c r="H983" s="5" t="s">
        <v>4931</v>
      </c>
      <c r="I983" s="5" t="s">
        <v>5171</v>
      </c>
      <c r="J983" s="5" t="s">
        <v>5202</v>
      </c>
      <c r="K983" s="10" t="e">
        <f t="shared" si="0"/>
        <v>#VALUE!</v>
      </c>
      <c r="L983" s="10">
        <f t="shared" si="1"/>
        <v>1</v>
      </c>
      <c r="M983" s="10" t="str">
        <f t="shared" si="2"/>
        <v>011</v>
      </c>
      <c r="N983" s="10" t="str">
        <f t="shared" si="3"/>
        <v>06</v>
      </c>
      <c r="O983" s="10" t="str">
        <f t="shared" si="16"/>
        <v>TEKAM</v>
      </c>
    </row>
    <row r="984" spans="1:15" ht="12.5">
      <c r="A984" s="115" t="s">
        <v>5203</v>
      </c>
      <c r="B984" s="5">
        <v>0</v>
      </c>
      <c r="C984" s="5">
        <v>61</v>
      </c>
      <c r="D984" s="5">
        <v>4</v>
      </c>
      <c r="E984" s="5">
        <v>101</v>
      </c>
      <c r="F984" s="5">
        <v>7</v>
      </c>
      <c r="G984" s="5">
        <v>1700</v>
      </c>
      <c r="H984" s="5" t="s">
        <v>4931</v>
      </c>
      <c r="I984" s="5" t="s">
        <v>5171</v>
      </c>
      <c r="J984" s="5" t="s">
        <v>5204</v>
      </c>
      <c r="K984" s="10" t="e">
        <f t="shared" si="0"/>
        <v>#VALUE!</v>
      </c>
      <c r="L984" s="10">
        <f t="shared" si="1"/>
        <v>1</v>
      </c>
      <c r="M984" s="10" t="str">
        <f t="shared" si="2"/>
        <v>012</v>
      </c>
      <c r="N984" s="10" t="str">
        <f t="shared" si="3"/>
        <v>06</v>
      </c>
      <c r="O984" s="10" t="str">
        <f t="shared" si="16"/>
        <v>TEKAM</v>
      </c>
    </row>
    <row r="985" spans="1:15" ht="12.5">
      <c r="A985" s="115" t="s">
        <v>5205</v>
      </c>
      <c r="B985" s="5">
        <v>0</v>
      </c>
      <c r="C985" s="5">
        <v>61</v>
      </c>
      <c r="D985" s="5">
        <v>4</v>
      </c>
      <c r="E985" s="5">
        <v>101</v>
      </c>
      <c r="F985" s="5">
        <v>7</v>
      </c>
      <c r="G985" s="5">
        <v>1800</v>
      </c>
      <c r="H985" s="5" t="s">
        <v>4931</v>
      </c>
      <c r="I985" s="5" t="s">
        <v>5171</v>
      </c>
      <c r="J985" s="5" t="s">
        <v>5206</v>
      </c>
      <c r="K985" s="10" t="e">
        <f t="shared" si="0"/>
        <v>#VALUE!</v>
      </c>
      <c r="L985" s="10">
        <f t="shared" si="1"/>
        <v>1</v>
      </c>
      <c r="M985" s="10" t="str">
        <f t="shared" si="2"/>
        <v>013</v>
      </c>
      <c r="N985" s="10" t="str">
        <f t="shared" si="3"/>
        <v>06</v>
      </c>
      <c r="O985" s="10" t="str">
        <f t="shared" si="16"/>
        <v>TEKAM</v>
      </c>
    </row>
    <row r="986" spans="1:15" ht="12.5">
      <c r="A986" s="115" t="s">
        <v>5207</v>
      </c>
      <c r="B986" s="5">
        <v>2</v>
      </c>
      <c r="C986" s="5">
        <v>61</v>
      </c>
      <c r="D986" s="5">
        <v>4</v>
      </c>
      <c r="E986" s="5">
        <v>101</v>
      </c>
      <c r="F986" s="5">
        <v>7</v>
      </c>
      <c r="G986" s="5">
        <v>200100</v>
      </c>
      <c r="H986" s="5" t="s">
        <v>4931</v>
      </c>
      <c r="I986" s="5" t="s">
        <v>5171</v>
      </c>
      <c r="J986" s="5" t="s">
        <v>3517</v>
      </c>
      <c r="K986" s="10" t="e">
        <f t="shared" si="0"/>
        <v>#VALUE!</v>
      </c>
      <c r="L986" s="10">
        <f t="shared" si="1"/>
        <v>0</v>
      </c>
      <c r="M986" s="10" t="str">
        <f t="shared" si="2"/>
        <v>AN</v>
      </c>
      <c r="N986" s="10" t="str">
        <f t="shared" si="3"/>
        <v/>
      </c>
      <c r="O986" s="10" t="str">
        <f t="shared" si="16"/>
        <v/>
      </c>
    </row>
    <row r="987" spans="1:15" ht="12.5">
      <c r="A987" s="115" t="s">
        <v>5208</v>
      </c>
      <c r="B987" s="5">
        <v>0</v>
      </c>
      <c r="C987" s="5">
        <v>61</v>
      </c>
      <c r="D987" s="5">
        <v>4</v>
      </c>
      <c r="E987" s="5">
        <v>101</v>
      </c>
      <c r="F987" s="5">
        <v>8</v>
      </c>
      <c r="G987" s="5">
        <v>100</v>
      </c>
      <c r="H987" s="5" t="s">
        <v>4931</v>
      </c>
      <c r="I987" s="5" t="s">
        <v>5209</v>
      </c>
      <c r="J987" s="5" t="s">
        <v>5210</v>
      </c>
      <c r="K987" s="10" t="e">
        <f t="shared" si="0"/>
        <v>#VALUE!</v>
      </c>
      <c r="L987" s="10">
        <f t="shared" si="1"/>
        <v>1</v>
      </c>
      <c r="M987" s="10" t="str">
        <f t="shared" si="2"/>
        <v>001</v>
      </c>
      <c r="N987" s="10" t="str">
        <f t="shared" si="3"/>
        <v>01</v>
      </c>
      <c r="O987" s="10" t="str">
        <f t="shared" si="16"/>
        <v>PARIT BANJ</v>
      </c>
    </row>
    <row r="988" spans="1:15" ht="12.5">
      <c r="A988" s="115" t="s">
        <v>5211</v>
      </c>
      <c r="B988" s="5">
        <v>0</v>
      </c>
      <c r="C988" s="5">
        <v>61</v>
      </c>
      <c r="D988" s="5">
        <v>4</v>
      </c>
      <c r="E988" s="5">
        <v>101</v>
      </c>
      <c r="F988" s="5">
        <v>8</v>
      </c>
      <c r="G988" s="5">
        <v>200</v>
      </c>
      <c r="H988" s="5" t="s">
        <v>4931</v>
      </c>
      <c r="I988" s="5" t="s">
        <v>5209</v>
      </c>
      <c r="J988" s="5" t="s">
        <v>5212</v>
      </c>
      <c r="K988" s="10" t="e">
        <f t="shared" si="0"/>
        <v>#VALUE!</v>
      </c>
      <c r="L988" s="10">
        <f t="shared" si="1"/>
        <v>1</v>
      </c>
      <c r="M988" s="10" t="str">
        <f t="shared" si="2"/>
        <v>002</v>
      </c>
      <c r="N988" s="10" t="str">
        <f t="shared" si="3"/>
        <v>01</v>
      </c>
      <c r="O988" s="10" t="str">
        <f t="shared" si="16"/>
        <v>PARIT BANJ</v>
      </c>
    </row>
    <row r="989" spans="1:15" ht="12.5">
      <c r="A989" s="115" t="s">
        <v>5213</v>
      </c>
      <c r="B989" s="5">
        <v>0</v>
      </c>
      <c r="C989" s="5">
        <v>61</v>
      </c>
      <c r="D989" s="5">
        <v>4</v>
      </c>
      <c r="E989" s="5">
        <v>101</v>
      </c>
      <c r="F989" s="5">
        <v>8</v>
      </c>
      <c r="G989" s="5">
        <v>300</v>
      </c>
      <c r="H989" s="5" t="s">
        <v>4931</v>
      </c>
      <c r="I989" s="5" t="s">
        <v>5209</v>
      </c>
      <c r="J989" s="5" t="s">
        <v>5214</v>
      </c>
      <c r="K989" s="10" t="e">
        <f t="shared" si="0"/>
        <v>#VALUE!</v>
      </c>
      <c r="L989" s="10">
        <f t="shared" si="1"/>
        <v>1</v>
      </c>
      <c r="M989" s="10" t="str">
        <f t="shared" si="2"/>
        <v>003</v>
      </c>
      <c r="N989" s="10" t="str">
        <f t="shared" si="3"/>
        <v>02</v>
      </c>
      <c r="O989" s="10" t="str">
        <f t="shared" si="16"/>
        <v>PARIT BANJ</v>
      </c>
    </row>
    <row r="990" spans="1:15" ht="12.5">
      <c r="A990" s="115" t="s">
        <v>5215</v>
      </c>
      <c r="B990" s="5">
        <v>0</v>
      </c>
      <c r="C990" s="5">
        <v>61</v>
      </c>
      <c r="D990" s="5">
        <v>4</v>
      </c>
      <c r="E990" s="5">
        <v>101</v>
      </c>
      <c r="F990" s="5">
        <v>8</v>
      </c>
      <c r="G990" s="5">
        <v>400</v>
      </c>
      <c r="H990" s="5" t="s">
        <v>4931</v>
      </c>
      <c r="I990" s="5" t="s">
        <v>5209</v>
      </c>
      <c r="J990" s="5" t="s">
        <v>5216</v>
      </c>
      <c r="K990" s="10" t="e">
        <f t="shared" si="0"/>
        <v>#VALUE!</v>
      </c>
      <c r="L990" s="10">
        <f t="shared" si="1"/>
        <v>1</v>
      </c>
      <c r="M990" s="10" t="str">
        <f t="shared" si="2"/>
        <v>004</v>
      </c>
      <c r="N990" s="10" t="str">
        <f t="shared" si="3"/>
        <v>02</v>
      </c>
      <c r="O990" s="10" t="str">
        <f t="shared" si="16"/>
        <v>PARIT BANJ</v>
      </c>
    </row>
    <row r="991" spans="1:15" ht="12.5">
      <c r="A991" s="115" t="s">
        <v>5217</v>
      </c>
      <c r="B991" s="5">
        <v>0</v>
      </c>
      <c r="C991" s="5">
        <v>61</v>
      </c>
      <c r="D991" s="5">
        <v>4</v>
      </c>
      <c r="E991" s="5">
        <v>101</v>
      </c>
      <c r="F991" s="5">
        <v>8</v>
      </c>
      <c r="G991" s="5">
        <v>500</v>
      </c>
      <c r="H991" s="5" t="s">
        <v>4931</v>
      </c>
      <c r="I991" s="5" t="s">
        <v>5209</v>
      </c>
      <c r="J991" s="5" t="s">
        <v>5218</v>
      </c>
      <c r="K991" s="10" t="e">
        <f t="shared" si="0"/>
        <v>#VALUE!</v>
      </c>
      <c r="L991" s="10">
        <f t="shared" si="1"/>
        <v>1</v>
      </c>
      <c r="M991" s="10" t="str">
        <f t="shared" si="2"/>
        <v>005</v>
      </c>
      <c r="N991" s="10" t="str">
        <f t="shared" si="3"/>
        <v>03</v>
      </c>
      <c r="O991" s="10" t="str">
        <f t="shared" si="16"/>
        <v>PARIT BANJ</v>
      </c>
    </row>
    <row r="992" spans="1:15" ht="12.5">
      <c r="A992" s="115" t="s">
        <v>5219</v>
      </c>
      <c r="B992" s="5">
        <v>0</v>
      </c>
      <c r="C992" s="5">
        <v>61</v>
      </c>
      <c r="D992" s="5">
        <v>4</v>
      </c>
      <c r="E992" s="5">
        <v>101</v>
      </c>
      <c r="F992" s="5">
        <v>8</v>
      </c>
      <c r="G992" s="5">
        <v>600</v>
      </c>
      <c r="H992" s="5" t="s">
        <v>4931</v>
      </c>
      <c r="I992" s="5" t="s">
        <v>5209</v>
      </c>
      <c r="J992" s="5" t="s">
        <v>5220</v>
      </c>
      <c r="K992" s="10" t="e">
        <f t="shared" si="0"/>
        <v>#VALUE!</v>
      </c>
      <c r="L992" s="10">
        <f t="shared" si="1"/>
        <v>1</v>
      </c>
      <c r="M992" s="10" t="str">
        <f t="shared" si="2"/>
        <v>006</v>
      </c>
      <c r="N992" s="10" t="str">
        <f t="shared" si="3"/>
        <v>03</v>
      </c>
      <c r="O992" s="10" t="str">
        <f t="shared" si="16"/>
        <v>PARIT BANJ</v>
      </c>
    </row>
    <row r="993" spans="1:15" ht="12.5">
      <c r="A993" s="115" t="s">
        <v>5221</v>
      </c>
      <c r="B993" s="5">
        <v>0</v>
      </c>
      <c r="C993" s="5">
        <v>61</v>
      </c>
      <c r="D993" s="5">
        <v>4</v>
      </c>
      <c r="E993" s="5">
        <v>101</v>
      </c>
      <c r="F993" s="5">
        <v>8</v>
      </c>
      <c r="G993" s="5">
        <v>700</v>
      </c>
      <c r="H993" s="5" t="s">
        <v>4931</v>
      </c>
      <c r="I993" s="5" t="s">
        <v>5209</v>
      </c>
      <c r="J993" s="5" t="s">
        <v>5222</v>
      </c>
      <c r="K993" s="10" t="e">
        <f t="shared" si="0"/>
        <v>#VALUE!</v>
      </c>
      <c r="L993" s="10">
        <f t="shared" si="1"/>
        <v>1</v>
      </c>
      <c r="M993" s="10" t="str">
        <f t="shared" si="2"/>
        <v>007</v>
      </c>
      <c r="N993" s="10" t="str">
        <f t="shared" si="3"/>
        <v>04</v>
      </c>
      <c r="O993" s="10" t="str">
        <f t="shared" si="16"/>
        <v>PARIT BANJ</v>
      </c>
    </row>
    <row r="994" spans="1:15" ht="12.5">
      <c r="A994" s="115" t="s">
        <v>5223</v>
      </c>
      <c r="B994" s="5">
        <v>0</v>
      </c>
      <c r="C994" s="5">
        <v>61</v>
      </c>
      <c r="D994" s="5">
        <v>4</v>
      </c>
      <c r="E994" s="5">
        <v>101</v>
      </c>
      <c r="F994" s="5">
        <v>8</v>
      </c>
      <c r="G994" s="5">
        <v>800</v>
      </c>
      <c r="H994" s="5" t="s">
        <v>4931</v>
      </c>
      <c r="I994" s="5" t="s">
        <v>5209</v>
      </c>
      <c r="J994" s="5" t="s">
        <v>5224</v>
      </c>
      <c r="K994" s="10" t="e">
        <f t="shared" si="0"/>
        <v>#VALUE!</v>
      </c>
      <c r="L994" s="10">
        <f t="shared" si="1"/>
        <v>1</v>
      </c>
      <c r="M994" s="10" t="str">
        <f t="shared" si="2"/>
        <v>008</v>
      </c>
      <c r="N994" s="10" t="str">
        <f t="shared" si="3"/>
        <v>05</v>
      </c>
      <c r="O994" s="10" t="str">
        <f t="shared" si="16"/>
        <v>PARIT BANJ</v>
      </c>
    </row>
    <row r="995" spans="1:15" ht="12.5">
      <c r="A995" s="115" t="s">
        <v>5225</v>
      </c>
      <c r="B995" s="5">
        <v>0</v>
      </c>
      <c r="C995" s="5">
        <v>61</v>
      </c>
      <c r="D995" s="5">
        <v>4</v>
      </c>
      <c r="E995" s="5">
        <v>101</v>
      </c>
      <c r="F995" s="5">
        <v>8</v>
      </c>
      <c r="G995" s="5">
        <v>900</v>
      </c>
      <c r="H995" s="5" t="s">
        <v>4931</v>
      </c>
      <c r="I995" s="5" t="s">
        <v>5209</v>
      </c>
      <c r="J995" s="5" t="s">
        <v>5226</v>
      </c>
      <c r="K995" s="10" t="e">
        <f t="shared" si="0"/>
        <v>#VALUE!</v>
      </c>
      <c r="L995" s="10">
        <f t="shared" si="1"/>
        <v>1</v>
      </c>
      <c r="M995" s="10" t="str">
        <f t="shared" si="2"/>
        <v>009</v>
      </c>
      <c r="N995" s="10" t="str">
        <f t="shared" si="3"/>
        <v>05</v>
      </c>
      <c r="O995" s="10" t="str">
        <f t="shared" si="16"/>
        <v>PARIT BANJ</v>
      </c>
    </row>
    <row r="996" spans="1:15" ht="12.5">
      <c r="A996" s="115" t="s">
        <v>5227</v>
      </c>
      <c r="B996" s="5">
        <v>0</v>
      </c>
      <c r="C996" s="5">
        <v>61</v>
      </c>
      <c r="D996" s="5">
        <v>4</v>
      </c>
      <c r="E996" s="5">
        <v>101</v>
      </c>
      <c r="F996" s="5">
        <v>8</v>
      </c>
      <c r="G996" s="5">
        <v>1000</v>
      </c>
      <c r="H996" s="5" t="s">
        <v>4931</v>
      </c>
      <c r="I996" s="5" t="s">
        <v>5209</v>
      </c>
      <c r="J996" s="5" t="s">
        <v>5228</v>
      </c>
      <c r="K996" s="10" t="e">
        <f t="shared" si="0"/>
        <v>#VALUE!</v>
      </c>
      <c r="L996" s="10">
        <f t="shared" si="1"/>
        <v>1</v>
      </c>
      <c r="M996" s="10" t="str">
        <f t="shared" si="2"/>
        <v>010</v>
      </c>
      <c r="N996" s="10" t="str">
        <f t="shared" si="3"/>
        <v>06</v>
      </c>
      <c r="O996" s="10" t="str">
        <f t="shared" si="16"/>
        <v>PARIT BANJ</v>
      </c>
    </row>
    <row r="997" spans="1:15" ht="12.5">
      <c r="A997" s="115" t="s">
        <v>5229</v>
      </c>
      <c r="B997" s="5">
        <v>0</v>
      </c>
      <c r="C997" s="5">
        <v>61</v>
      </c>
      <c r="D997" s="5">
        <v>4</v>
      </c>
      <c r="E997" s="5">
        <v>101</v>
      </c>
      <c r="F997" s="5">
        <v>8</v>
      </c>
      <c r="G997" s="5">
        <v>1100</v>
      </c>
      <c r="H997" s="5" t="s">
        <v>4931</v>
      </c>
      <c r="I997" s="5" t="s">
        <v>5209</v>
      </c>
      <c r="J997" s="5" t="s">
        <v>5230</v>
      </c>
      <c r="K997" s="10" t="e">
        <f t="shared" si="0"/>
        <v>#VALUE!</v>
      </c>
      <c r="L997" s="10">
        <f t="shared" si="1"/>
        <v>1</v>
      </c>
      <c r="M997" s="10" t="str">
        <f t="shared" si="2"/>
        <v>011</v>
      </c>
      <c r="N997" s="10" t="str">
        <f t="shared" si="3"/>
        <v>06</v>
      </c>
      <c r="O997" s="10" t="str">
        <f t="shared" si="16"/>
        <v>PARIT BANJ</v>
      </c>
    </row>
    <row r="998" spans="1:15" ht="12.5">
      <c r="A998" s="115" t="s">
        <v>5231</v>
      </c>
      <c r="B998" s="5">
        <v>0</v>
      </c>
      <c r="C998" s="5">
        <v>61</v>
      </c>
      <c r="D998" s="5">
        <v>4</v>
      </c>
      <c r="E998" s="5">
        <v>101</v>
      </c>
      <c r="F998" s="5">
        <v>8</v>
      </c>
      <c r="G998" s="5">
        <v>1200</v>
      </c>
      <c r="H998" s="5" t="s">
        <v>4931</v>
      </c>
      <c r="I998" s="5" t="s">
        <v>5209</v>
      </c>
      <c r="J998" s="5" t="s">
        <v>5232</v>
      </c>
      <c r="K998" s="10" t="e">
        <f t="shared" si="0"/>
        <v>#VALUE!</v>
      </c>
      <c r="L998" s="10">
        <f t="shared" si="1"/>
        <v>1</v>
      </c>
      <c r="M998" s="10" t="str">
        <f t="shared" si="2"/>
        <v>012</v>
      </c>
      <c r="N998" s="10" t="str">
        <f t="shared" si="3"/>
        <v>06</v>
      </c>
      <c r="O998" s="10" t="str">
        <f t="shared" si="16"/>
        <v>PARIT BANJ</v>
      </c>
    </row>
    <row r="999" spans="1:15" ht="12.5">
      <c r="A999" s="115" t="s">
        <v>5233</v>
      </c>
      <c r="B999" s="5">
        <v>0</v>
      </c>
      <c r="C999" s="5">
        <v>61</v>
      </c>
      <c r="D999" s="5">
        <v>4</v>
      </c>
      <c r="E999" s="5">
        <v>101</v>
      </c>
      <c r="F999" s="5">
        <v>8</v>
      </c>
      <c r="G999" s="5">
        <v>1300</v>
      </c>
      <c r="H999" s="5" t="s">
        <v>4931</v>
      </c>
      <c r="I999" s="5" t="s">
        <v>5209</v>
      </c>
      <c r="J999" s="5" t="s">
        <v>5234</v>
      </c>
      <c r="K999" s="10" t="e">
        <f t="shared" si="0"/>
        <v>#VALUE!</v>
      </c>
      <c r="L999" s="10">
        <f t="shared" si="1"/>
        <v>1</v>
      </c>
      <c r="M999" s="10" t="str">
        <f t="shared" si="2"/>
        <v>013</v>
      </c>
      <c r="N999" s="10" t="str">
        <f t="shared" si="3"/>
        <v>07</v>
      </c>
      <c r="O999" s="10" t="str">
        <f t="shared" si="16"/>
        <v>PARIT BANJ</v>
      </c>
    </row>
    <row r="1000" spans="1:15" ht="12.5">
      <c r="A1000" s="115" t="s">
        <v>5235</v>
      </c>
      <c r="B1000" s="5">
        <v>0</v>
      </c>
      <c r="C1000" s="5">
        <v>61</v>
      </c>
      <c r="D1000" s="5">
        <v>4</v>
      </c>
      <c r="E1000" s="5">
        <v>101</v>
      </c>
      <c r="F1000" s="5">
        <v>8</v>
      </c>
      <c r="G1000" s="5">
        <v>1400</v>
      </c>
      <c r="H1000" s="5" t="s">
        <v>4931</v>
      </c>
      <c r="I1000" s="5" t="s">
        <v>5209</v>
      </c>
      <c r="J1000" s="5" t="s">
        <v>5236</v>
      </c>
      <c r="K1000" s="10" t="e">
        <f t="shared" si="0"/>
        <v>#VALUE!</v>
      </c>
      <c r="L1000" s="10">
        <f t="shared" si="1"/>
        <v>1</v>
      </c>
      <c r="M1000" s="10" t="str">
        <f t="shared" si="2"/>
        <v>014</v>
      </c>
      <c r="N1000" s="10" t="str">
        <f t="shared" si="3"/>
        <v>07</v>
      </c>
      <c r="O1000" s="10" t="str">
        <f t="shared" si="16"/>
        <v>PARIT BANJ</v>
      </c>
    </row>
    <row r="1001" spans="1:15" ht="12.5">
      <c r="A1001" s="115" t="s">
        <v>5237</v>
      </c>
      <c r="B1001" s="5">
        <v>0</v>
      </c>
      <c r="C1001" s="5">
        <v>61</v>
      </c>
      <c r="D1001" s="5">
        <v>4</v>
      </c>
      <c r="E1001" s="5">
        <v>101</v>
      </c>
      <c r="F1001" s="5">
        <v>8</v>
      </c>
      <c r="G1001" s="5">
        <v>1500</v>
      </c>
      <c r="H1001" s="5" t="s">
        <v>4931</v>
      </c>
      <c r="I1001" s="5" t="s">
        <v>5209</v>
      </c>
      <c r="J1001" s="5" t="s">
        <v>5238</v>
      </c>
      <c r="K1001" s="10" t="e">
        <f t="shared" si="0"/>
        <v>#VALUE!</v>
      </c>
      <c r="L1001" s="10">
        <f t="shared" si="1"/>
        <v>1</v>
      </c>
      <c r="M1001" s="10" t="str">
        <f t="shared" si="2"/>
        <v>015</v>
      </c>
      <c r="N1001" s="10" t="str">
        <f t="shared" si="3"/>
        <v>08</v>
      </c>
      <c r="O1001" s="10" t="str">
        <f t="shared" si="16"/>
        <v>PARIT BANJ</v>
      </c>
    </row>
    <row r="1002" spans="1:15" ht="12.5">
      <c r="A1002" s="115" t="s">
        <v>5239</v>
      </c>
      <c r="B1002" s="5">
        <v>0</v>
      </c>
      <c r="C1002" s="5">
        <v>61</v>
      </c>
      <c r="D1002" s="5">
        <v>4</v>
      </c>
      <c r="E1002" s="5">
        <v>101</v>
      </c>
      <c r="F1002" s="5">
        <v>8</v>
      </c>
      <c r="G1002" s="5">
        <v>1600</v>
      </c>
      <c r="H1002" s="5" t="s">
        <v>4931</v>
      </c>
      <c r="I1002" s="5" t="s">
        <v>5209</v>
      </c>
      <c r="J1002" s="5" t="s">
        <v>5240</v>
      </c>
      <c r="K1002" s="10" t="e">
        <f t="shared" si="0"/>
        <v>#VALUE!</v>
      </c>
      <c r="L1002" s="10">
        <f t="shared" si="1"/>
        <v>1</v>
      </c>
      <c r="M1002" s="10" t="str">
        <f t="shared" si="2"/>
        <v>016</v>
      </c>
      <c r="N1002" s="10" t="str">
        <f t="shared" si="3"/>
        <v>08</v>
      </c>
      <c r="O1002" s="10" t="str">
        <f t="shared" si="16"/>
        <v>PARIT BANJ</v>
      </c>
    </row>
    <row r="1003" spans="1:15" ht="12.5">
      <c r="A1003" s="115" t="s">
        <v>5241</v>
      </c>
      <c r="B1003" s="5">
        <v>0</v>
      </c>
      <c r="C1003" s="5">
        <v>61</v>
      </c>
      <c r="D1003" s="5">
        <v>4</v>
      </c>
      <c r="E1003" s="5">
        <v>101</v>
      </c>
      <c r="F1003" s="5">
        <v>8</v>
      </c>
      <c r="G1003" s="5">
        <v>1700</v>
      </c>
      <c r="H1003" s="5" t="s">
        <v>4931</v>
      </c>
      <c r="I1003" s="5" t="s">
        <v>5209</v>
      </c>
      <c r="J1003" s="5" t="s">
        <v>5242</v>
      </c>
      <c r="K1003" s="10" t="e">
        <f t="shared" si="0"/>
        <v>#VALUE!</v>
      </c>
      <c r="L1003" s="10">
        <f t="shared" si="1"/>
        <v>1</v>
      </c>
      <c r="M1003" s="10" t="str">
        <f t="shared" si="2"/>
        <v>017</v>
      </c>
      <c r="N1003" s="10" t="str">
        <f t="shared" si="3"/>
        <v>08</v>
      </c>
      <c r="O1003" s="10" t="str">
        <f t="shared" si="16"/>
        <v>PARIT BANJ</v>
      </c>
    </row>
    <row r="1004" spans="1:15" ht="12.5">
      <c r="A1004" s="115" t="s">
        <v>5243</v>
      </c>
      <c r="B1004" s="5">
        <v>0</v>
      </c>
      <c r="C1004" s="5">
        <v>61</v>
      </c>
      <c r="D1004" s="5">
        <v>4</v>
      </c>
      <c r="E1004" s="5">
        <v>101</v>
      </c>
      <c r="F1004" s="5">
        <v>8</v>
      </c>
      <c r="G1004" s="5">
        <v>1800</v>
      </c>
      <c r="H1004" s="5" t="s">
        <v>4931</v>
      </c>
      <c r="I1004" s="5" t="s">
        <v>5209</v>
      </c>
      <c r="J1004" s="5" t="s">
        <v>5244</v>
      </c>
      <c r="K1004" s="10" t="e">
        <f t="shared" si="0"/>
        <v>#VALUE!</v>
      </c>
      <c r="L1004" s="10">
        <f t="shared" si="1"/>
        <v>1</v>
      </c>
      <c r="M1004" s="10" t="str">
        <f t="shared" si="2"/>
        <v>018</v>
      </c>
      <c r="N1004" s="10" t="str">
        <f t="shared" si="3"/>
        <v>09</v>
      </c>
      <c r="O1004" s="10" t="str">
        <f t="shared" si="16"/>
        <v>AMPULOR</v>
      </c>
    </row>
    <row r="1005" spans="1:15" ht="12.5">
      <c r="A1005" s="115" t="s">
        <v>5245</v>
      </c>
      <c r="B1005" s="5">
        <v>0</v>
      </c>
      <c r="C1005" s="5">
        <v>61</v>
      </c>
      <c r="D1005" s="5">
        <v>4</v>
      </c>
      <c r="E1005" s="5">
        <v>101</v>
      </c>
      <c r="F1005" s="5">
        <v>8</v>
      </c>
      <c r="G1005" s="5">
        <v>1900</v>
      </c>
      <c r="H1005" s="5" t="s">
        <v>4931</v>
      </c>
      <c r="I1005" s="5" t="s">
        <v>5209</v>
      </c>
      <c r="J1005" s="5" t="s">
        <v>5246</v>
      </c>
      <c r="K1005" s="10" t="e">
        <f t="shared" si="0"/>
        <v>#VALUE!</v>
      </c>
      <c r="L1005" s="10">
        <f t="shared" si="1"/>
        <v>1</v>
      </c>
      <c r="M1005" s="10" t="str">
        <f t="shared" si="2"/>
        <v>019</v>
      </c>
      <c r="N1005" s="10" t="str">
        <f t="shared" si="3"/>
        <v>09</v>
      </c>
      <c r="O1005" s="10" t="str">
        <f t="shared" si="16"/>
        <v>AMPULOR</v>
      </c>
    </row>
    <row r="1006" spans="1:15" ht="12.5">
      <c r="A1006" s="115" t="s">
        <v>5247</v>
      </c>
      <c r="B1006" s="5">
        <v>0</v>
      </c>
      <c r="C1006" s="5">
        <v>61</v>
      </c>
      <c r="D1006" s="5">
        <v>4</v>
      </c>
      <c r="E1006" s="5">
        <v>101</v>
      </c>
      <c r="F1006" s="5">
        <v>8</v>
      </c>
      <c r="G1006" s="5">
        <v>2000</v>
      </c>
      <c r="H1006" s="5" t="s">
        <v>4931</v>
      </c>
      <c r="I1006" s="5" t="s">
        <v>5209</v>
      </c>
      <c r="J1006" s="5" t="s">
        <v>5248</v>
      </c>
      <c r="K1006" s="10" t="e">
        <f t="shared" si="0"/>
        <v>#VALUE!</v>
      </c>
      <c r="L1006" s="10">
        <f t="shared" si="1"/>
        <v>1</v>
      </c>
      <c r="M1006" s="10" t="str">
        <f t="shared" si="2"/>
        <v>020</v>
      </c>
      <c r="N1006" s="10" t="str">
        <f t="shared" si="3"/>
        <v>09</v>
      </c>
      <c r="O1006" s="10" t="str">
        <f t="shared" si="16"/>
        <v>AMPULOR</v>
      </c>
    </row>
    <row r="1007" spans="1:15" ht="12.5">
      <c r="A1007" s="115" t="s">
        <v>5249</v>
      </c>
      <c r="B1007" s="5">
        <v>0</v>
      </c>
      <c r="C1007" s="5">
        <v>61</v>
      </c>
      <c r="D1007" s="5">
        <v>4</v>
      </c>
      <c r="E1007" s="5">
        <v>110</v>
      </c>
      <c r="F1007" s="5">
        <v>1</v>
      </c>
      <c r="G1007" s="5">
        <v>100</v>
      </c>
      <c r="H1007" s="5" t="s">
        <v>5250</v>
      </c>
      <c r="I1007" s="5" t="s">
        <v>5251</v>
      </c>
      <c r="J1007" s="5" t="s">
        <v>5252</v>
      </c>
      <c r="K1007" s="10" t="e">
        <f t="shared" si="0"/>
        <v>#VALUE!</v>
      </c>
      <c r="L1007" s="10">
        <f t="shared" si="1"/>
        <v>1</v>
      </c>
      <c r="M1007" s="10" t="str">
        <f t="shared" si="2"/>
        <v>001</v>
      </c>
      <c r="N1007" s="10" t="str">
        <f t="shared" si="3"/>
        <v>01</v>
      </c>
      <c r="O1007" s="10" t="str">
        <f t="shared" si="16"/>
        <v>INDAH</v>
      </c>
    </row>
    <row r="1008" spans="1:15" ht="12.5">
      <c r="A1008" s="115" t="s">
        <v>5253</v>
      </c>
      <c r="B1008" s="5">
        <v>0</v>
      </c>
      <c r="C1008" s="5">
        <v>61</v>
      </c>
      <c r="D1008" s="5">
        <v>4</v>
      </c>
      <c r="E1008" s="5">
        <v>110</v>
      </c>
      <c r="F1008" s="5">
        <v>1</v>
      </c>
      <c r="G1008" s="5">
        <v>200</v>
      </c>
      <c r="H1008" s="5" t="s">
        <v>5250</v>
      </c>
      <c r="I1008" s="5" t="s">
        <v>5251</v>
      </c>
      <c r="J1008" s="5" t="s">
        <v>5254</v>
      </c>
      <c r="K1008" s="10" t="e">
        <f t="shared" si="0"/>
        <v>#VALUE!</v>
      </c>
      <c r="L1008" s="10">
        <f t="shared" si="1"/>
        <v>1</v>
      </c>
      <c r="M1008" s="10" t="str">
        <f t="shared" si="2"/>
        <v>002</v>
      </c>
      <c r="N1008" s="10" t="str">
        <f t="shared" si="3"/>
        <v>01</v>
      </c>
      <c r="O1008" s="10" t="str">
        <f t="shared" si="16"/>
        <v>INDAH</v>
      </c>
    </row>
    <row r="1009" spans="1:15" ht="12.5">
      <c r="A1009" s="115" t="s">
        <v>5255</v>
      </c>
      <c r="B1009" s="5">
        <v>0</v>
      </c>
      <c r="C1009" s="5">
        <v>61</v>
      </c>
      <c r="D1009" s="5">
        <v>4</v>
      </c>
      <c r="E1009" s="5">
        <v>110</v>
      </c>
      <c r="F1009" s="5">
        <v>1</v>
      </c>
      <c r="G1009" s="5">
        <v>300</v>
      </c>
      <c r="H1009" s="5" t="s">
        <v>5250</v>
      </c>
      <c r="I1009" s="5" t="s">
        <v>5251</v>
      </c>
      <c r="J1009" s="5" t="s">
        <v>5256</v>
      </c>
      <c r="K1009" s="10" t="e">
        <f t="shared" si="0"/>
        <v>#VALUE!</v>
      </c>
      <c r="L1009" s="10">
        <f t="shared" si="1"/>
        <v>1</v>
      </c>
      <c r="M1009" s="10" t="str">
        <f t="shared" si="2"/>
        <v>003</v>
      </c>
      <c r="N1009" s="10" t="str">
        <f t="shared" si="3"/>
        <v>02</v>
      </c>
      <c r="O1009" s="10" t="str">
        <f t="shared" si="16"/>
        <v>INDAH</v>
      </c>
    </row>
    <row r="1010" spans="1:15" ht="12.5">
      <c r="A1010" s="115" t="s">
        <v>5257</v>
      </c>
      <c r="B1010" s="5">
        <v>0</v>
      </c>
      <c r="C1010" s="5">
        <v>61</v>
      </c>
      <c r="D1010" s="5">
        <v>4</v>
      </c>
      <c r="E1010" s="5">
        <v>110</v>
      </c>
      <c r="F1010" s="5">
        <v>1</v>
      </c>
      <c r="G1010" s="5">
        <v>400</v>
      </c>
      <c r="H1010" s="5" t="s">
        <v>5250</v>
      </c>
      <c r="I1010" s="5" t="s">
        <v>5251</v>
      </c>
      <c r="J1010" s="5" t="s">
        <v>5258</v>
      </c>
      <c r="K1010" s="10" t="e">
        <f t="shared" si="0"/>
        <v>#VALUE!</v>
      </c>
      <c r="L1010" s="10">
        <f t="shared" si="1"/>
        <v>1</v>
      </c>
      <c r="M1010" s="10" t="str">
        <f t="shared" si="2"/>
        <v>004</v>
      </c>
      <c r="N1010" s="10" t="str">
        <f t="shared" si="3"/>
        <v>02</v>
      </c>
      <c r="O1010" s="10" t="str">
        <f t="shared" si="16"/>
        <v>INDAH</v>
      </c>
    </row>
    <row r="1011" spans="1:15" ht="12.5">
      <c r="A1011" s="115" t="s">
        <v>5259</v>
      </c>
      <c r="B1011" s="5">
        <v>0</v>
      </c>
      <c r="C1011" s="5">
        <v>61</v>
      </c>
      <c r="D1011" s="5">
        <v>4</v>
      </c>
      <c r="E1011" s="5">
        <v>110</v>
      </c>
      <c r="F1011" s="5">
        <v>1</v>
      </c>
      <c r="G1011" s="5">
        <v>500</v>
      </c>
      <c r="H1011" s="5" t="s">
        <v>5250</v>
      </c>
      <c r="I1011" s="5" t="s">
        <v>5251</v>
      </c>
      <c r="J1011" s="5" t="s">
        <v>5260</v>
      </c>
      <c r="K1011" s="10" t="e">
        <f t="shared" si="0"/>
        <v>#VALUE!</v>
      </c>
      <c r="L1011" s="10">
        <f t="shared" si="1"/>
        <v>1</v>
      </c>
      <c r="M1011" s="10" t="str">
        <f t="shared" si="2"/>
        <v>005</v>
      </c>
      <c r="N1011" s="10" t="str">
        <f t="shared" si="3"/>
        <v>03</v>
      </c>
      <c r="O1011" s="10" t="str">
        <f t="shared" si="16"/>
        <v>PERMAI</v>
      </c>
    </row>
    <row r="1012" spans="1:15" ht="12.5">
      <c r="A1012" s="115" t="s">
        <v>5261</v>
      </c>
      <c r="B1012" s="5">
        <v>0</v>
      </c>
      <c r="C1012" s="5">
        <v>61</v>
      </c>
      <c r="D1012" s="5">
        <v>4</v>
      </c>
      <c r="E1012" s="5">
        <v>110</v>
      </c>
      <c r="F1012" s="5">
        <v>1</v>
      </c>
      <c r="G1012" s="5">
        <v>600</v>
      </c>
      <c r="H1012" s="5" t="s">
        <v>5250</v>
      </c>
      <c r="I1012" s="5" t="s">
        <v>5251</v>
      </c>
      <c r="J1012" s="5" t="s">
        <v>5262</v>
      </c>
      <c r="K1012" s="10" t="e">
        <f t="shared" si="0"/>
        <v>#VALUE!</v>
      </c>
      <c r="L1012" s="10">
        <f t="shared" si="1"/>
        <v>1</v>
      </c>
      <c r="M1012" s="10" t="str">
        <f t="shared" si="2"/>
        <v>006</v>
      </c>
      <c r="N1012" s="10" t="str">
        <f t="shared" si="3"/>
        <v>03</v>
      </c>
      <c r="O1012" s="10" t="str">
        <f t="shared" si="16"/>
        <v>PERMAI</v>
      </c>
    </row>
    <row r="1013" spans="1:15" ht="12.5">
      <c r="A1013" s="115" t="s">
        <v>5263</v>
      </c>
      <c r="B1013" s="5">
        <v>0</v>
      </c>
      <c r="C1013" s="5">
        <v>61</v>
      </c>
      <c r="D1013" s="5">
        <v>4</v>
      </c>
      <c r="E1013" s="5">
        <v>110</v>
      </c>
      <c r="F1013" s="5">
        <v>1</v>
      </c>
      <c r="G1013" s="5">
        <v>700</v>
      </c>
      <c r="H1013" s="5" t="s">
        <v>5250</v>
      </c>
      <c r="I1013" s="5" t="s">
        <v>5251</v>
      </c>
      <c r="J1013" s="5" t="s">
        <v>5264</v>
      </c>
      <c r="K1013" s="10" t="e">
        <f t="shared" si="0"/>
        <v>#VALUE!</v>
      </c>
      <c r="L1013" s="10">
        <f t="shared" si="1"/>
        <v>1</v>
      </c>
      <c r="M1013" s="10" t="str">
        <f t="shared" si="2"/>
        <v>007</v>
      </c>
      <c r="N1013" s="10" t="str">
        <f t="shared" si="3"/>
        <v>04</v>
      </c>
      <c r="O1013" s="10" t="str">
        <f t="shared" si="16"/>
        <v>PERMAI</v>
      </c>
    </row>
    <row r="1014" spans="1:15" ht="12.5">
      <c r="A1014" s="115" t="s">
        <v>5265</v>
      </c>
      <c r="B1014" s="5">
        <v>0</v>
      </c>
      <c r="C1014" s="5">
        <v>61</v>
      </c>
      <c r="D1014" s="5">
        <v>4</v>
      </c>
      <c r="E1014" s="5">
        <v>110</v>
      </c>
      <c r="F1014" s="5">
        <v>1</v>
      </c>
      <c r="G1014" s="5">
        <v>800</v>
      </c>
      <c r="H1014" s="5" t="s">
        <v>5250</v>
      </c>
      <c r="I1014" s="5" t="s">
        <v>5251</v>
      </c>
      <c r="J1014" s="5" t="s">
        <v>5266</v>
      </c>
      <c r="K1014" s="10" t="e">
        <f t="shared" si="0"/>
        <v>#VALUE!</v>
      </c>
      <c r="L1014" s="10">
        <f t="shared" si="1"/>
        <v>1</v>
      </c>
      <c r="M1014" s="10" t="str">
        <f t="shared" si="2"/>
        <v>008</v>
      </c>
      <c r="N1014" s="10" t="str">
        <f t="shared" si="3"/>
        <v>04</v>
      </c>
      <c r="O1014" s="10" t="str">
        <f t="shared" si="16"/>
        <v>PERMAI</v>
      </c>
    </row>
    <row r="1015" spans="1:15" ht="12.5">
      <c r="A1015" s="115" t="s">
        <v>5267</v>
      </c>
      <c r="B1015" s="5">
        <v>0</v>
      </c>
      <c r="C1015" s="5">
        <v>61</v>
      </c>
      <c r="D1015" s="5">
        <v>4</v>
      </c>
      <c r="E1015" s="5">
        <v>110</v>
      </c>
      <c r="F1015" s="5">
        <v>1</v>
      </c>
      <c r="G1015" s="5">
        <v>900</v>
      </c>
      <c r="H1015" s="5" t="s">
        <v>5250</v>
      </c>
      <c r="I1015" s="5" t="s">
        <v>5251</v>
      </c>
      <c r="J1015" s="5" t="s">
        <v>5268</v>
      </c>
      <c r="K1015" s="10" t="e">
        <f t="shared" si="0"/>
        <v>#VALUE!</v>
      </c>
      <c r="L1015" s="10">
        <f t="shared" si="1"/>
        <v>1</v>
      </c>
      <c r="M1015" s="10" t="str">
        <f t="shared" si="2"/>
        <v>009</v>
      </c>
      <c r="N1015" s="10" t="str">
        <f t="shared" si="3"/>
        <v>05</v>
      </c>
      <c r="O1015" s="10" t="str">
        <f t="shared" si="16"/>
        <v>SEJAHTERA</v>
      </c>
    </row>
    <row r="1016" spans="1:15" ht="12.5">
      <c r="A1016" s="115" t="s">
        <v>5269</v>
      </c>
      <c r="B1016" s="5">
        <v>0</v>
      </c>
      <c r="C1016" s="5">
        <v>61</v>
      </c>
      <c r="D1016" s="5">
        <v>4</v>
      </c>
      <c r="E1016" s="5">
        <v>110</v>
      </c>
      <c r="F1016" s="5">
        <v>1</v>
      </c>
      <c r="G1016" s="5">
        <v>1000</v>
      </c>
      <c r="H1016" s="5" t="s">
        <v>5250</v>
      </c>
      <c r="I1016" s="5" t="s">
        <v>5251</v>
      </c>
      <c r="J1016" s="5" t="s">
        <v>5270</v>
      </c>
      <c r="K1016" s="10" t="e">
        <f t="shared" si="0"/>
        <v>#VALUE!</v>
      </c>
      <c r="L1016" s="10">
        <f t="shared" si="1"/>
        <v>1</v>
      </c>
      <c r="M1016" s="10" t="str">
        <f t="shared" si="2"/>
        <v>010</v>
      </c>
      <c r="N1016" s="10" t="str">
        <f t="shared" si="3"/>
        <v>05</v>
      </c>
      <c r="O1016" s="10" t="str">
        <f t="shared" si="16"/>
        <v>SEJAHTERA</v>
      </c>
    </row>
    <row r="1017" spans="1:15" ht="12.5">
      <c r="A1017" s="115" t="s">
        <v>5271</v>
      </c>
      <c r="B1017" s="5">
        <v>0</v>
      </c>
      <c r="C1017" s="5">
        <v>61</v>
      </c>
      <c r="D1017" s="5">
        <v>4</v>
      </c>
      <c r="E1017" s="5">
        <v>110</v>
      </c>
      <c r="F1017" s="5">
        <v>1</v>
      </c>
      <c r="G1017" s="5">
        <v>1100</v>
      </c>
      <c r="H1017" s="5" t="s">
        <v>5250</v>
      </c>
      <c r="I1017" s="5" t="s">
        <v>5251</v>
      </c>
      <c r="J1017" s="5" t="s">
        <v>5272</v>
      </c>
      <c r="K1017" s="10" t="e">
        <f t="shared" si="0"/>
        <v>#VALUE!</v>
      </c>
      <c r="L1017" s="10">
        <f t="shared" si="1"/>
        <v>1</v>
      </c>
      <c r="M1017" s="10" t="str">
        <f t="shared" si="2"/>
        <v>011</v>
      </c>
      <c r="N1017" s="10" t="str">
        <f t="shared" si="3"/>
        <v>06</v>
      </c>
      <c r="O1017" s="10" t="str">
        <f t="shared" si="16"/>
        <v>SEJAHTERA</v>
      </c>
    </row>
    <row r="1018" spans="1:15" ht="12.5">
      <c r="A1018" s="115" t="s">
        <v>5273</v>
      </c>
      <c r="B1018" s="5">
        <v>0</v>
      </c>
      <c r="C1018" s="5">
        <v>61</v>
      </c>
      <c r="D1018" s="5">
        <v>4</v>
      </c>
      <c r="E1018" s="5">
        <v>110</v>
      </c>
      <c r="F1018" s="5">
        <v>1</v>
      </c>
      <c r="G1018" s="5">
        <v>1200</v>
      </c>
      <c r="H1018" s="5" t="s">
        <v>5250</v>
      </c>
      <c r="I1018" s="5" t="s">
        <v>5251</v>
      </c>
      <c r="J1018" s="5" t="s">
        <v>5274</v>
      </c>
      <c r="K1018" s="10" t="e">
        <f t="shared" si="0"/>
        <v>#VALUE!</v>
      </c>
      <c r="L1018" s="10">
        <f t="shared" si="1"/>
        <v>1</v>
      </c>
      <c r="M1018" s="10" t="str">
        <f t="shared" si="2"/>
        <v>012</v>
      </c>
      <c r="N1018" s="10" t="str">
        <f t="shared" si="3"/>
        <v>06</v>
      </c>
      <c r="O1018" s="10" t="str">
        <f t="shared" si="16"/>
        <v>SEJAHTERA</v>
      </c>
    </row>
    <row r="1019" spans="1:15" ht="12.5">
      <c r="A1019" s="115" t="s">
        <v>5275</v>
      </c>
      <c r="B1019" s="5">
        <v>0</v>
      </c>
      <c r="C1019" s="5">
        <v>61</v>
      </c>
      <c r="D1019" s="5">
        <v>4</v>
      </c>
      <c r="E1019" s="5">
        <v>110</v>
      </c>
      <c r="F1019" s="5">
        <v>1</v>
      </c>
      <c r="G1019" s="5">
        <v>1300</v>
      </c>
      <c r="H1019" s="5" t="s">
        <v>5250</v>
      </c>
      <c r="I1019" s="5" t="s">
        <v>5251</v>
      </c>
      <c r="J1019" s="5" t="s">
        <v>5276</v>
      </c>
      <c r="K1019" s="10" t="e">
        <f t="shared" si="0"/>
        <v>#VALUE!</v>
      </c>
      <c r="L1019" s="10">
        <f t="shared" si="1"/>
        <v>1</v>
      </c>
      <c r="M1019" s="10" t="str">
        <f t="shared" si="2"/>
        <v>013</v>
      </c>
      <c r="N1019" s="10" t="str">
        <f t="shared" si="3"/>
        <v>07</v>
      </c>
      <c r="O1019" s="10" t="str">
        <f t="shared" si="16"/>
        <v>LESTARI</v>
      </c>
    </row>
    <row r="1020" spans="1:15" ht="12.5">
      <c r="A1020" s="115" t="s">
        <v>5277</v>
      </c>
      <c r="B1020" s="5">
        <v>0</v>
      </c>
      <c r="C1020" s="5">
        <v>61</v>
      </c>
      <c r="D1020" s="5">
        <v>4</v>
      </c>
      <c r="E1020" s="5">
        <v>110</v>
      </c>
      <c r="F1020" s="5">
        <v>1</v>
      </c>
      <c r="G1020" s="5">
        <v>1400</v>
      </c>
      <c r="H1020" s="5" t="s">
        <v>5250</v>
      </c>
      <c r="I1020" s="5" t="s">
        <v>5251</v>
      </c>
      <c r="J1020" s="5" t="s">
        <v>5278</v>
      </c>
      <c r="K1020" s="10" t="e">
        <f t="shared" si="0"/>
        <v>#VALUE!</v>
      </c>
      <c r="L1020" s="10">
        <f t="shared" si="1"/>
        <v>1</v>
      </c>
      <c r="M1020" s="10" t="str">
        <f t="shared" si="2"/>
        <v>014</v>
      </c>
      <c r="N1020" s="10" t="str">
        <f t="shared" si="3"/>
        <v>07</v>
      </c>
      <c r="O1020" s="10" t="str">
        <f t="shared" si="16"/>
        <v>LESTARI</v>
      </c>
    </row>
    <row r="1021" spans="1:15" ht="12.5">
      <c r="A1021" s="115" t="s">
        <v>5279</v>
      </c>
      <c r="B1021" s="5">
        <v>0</v>
      </c>
      <c r="C1021" s="5">
        <v>61</v>
      </c>
      <c r="D1021" s="5">
        <v>4</v>
      </c>
      <c r="E1021" s="5">
        <v>110</v>
      </c>
      <c r="F1021" s="5">
        <v>1</v>
      </c>
      <c r="G1021" s="5">
        <v>1500</v>
      </c>
      <c r="H1021" s="5" t="s">
        <v>5250</v>
      </c>
      <c r="I1021" s="5" t="s">
        <v>5251</v>
      </c>
      <c r="J1021" s="5" t="s">
        <v>5280</v>
      </c>
      <c r="K1021" s="10" t="e">
        <f t="shared" si="0"/>
        <v>#VALUE!</v>
      </c>
      <c r="L1021" s="10">
        <f t="shared" si="1"/>
        <v>1</v>
      </c>
      <c r="M1021" s="10" t="str">
        <f t="shared" si="2"/>
        <v>015</v>
      </c>
      <c r="N1021" s="10" t="str">
        <f t="shared" si="3"/>
        <v>08</v>
      </c>
      <c r="O1021" s="10" t="str">
        <f t="shared" si="16"/>
        <v>LESTARI</v>
      </c>
    </row>
    <row r="1022" spans="1:15" ht="12.5">
      <c r="A1022" s="115" t="s">
        <v>5281</v>
      </c>
      <c r="B1022" s="5">
        <v>0</v>
      </c>
      <c r="C1022" s="5">
        <v>61</v>
      </c>
      <c r="D1022" s="5">
        <v>4</v>
      </c>
      <c r="E1022" s="5">
        <v>110</v>
      </c>
      <c r="F1022" s="5">
        <v>1</v>
      </c>
      <c r="G1022" s="5">
        <v>1600</v>
      </c>
      <c r="H1022" s="5" t="s">
        <v>5250</v>
      </c>
      <c r="I1022" s="5" t="s">
        <v>5251</v>
      </c>
      <c r="J1022" s="5" t="s">
        <v>5282</v>
      </c>
      <c r="K1022" s="10" t="e">
        <f t="shared" si="0"/>
        <v>#VALUE!</v>
      </c>
      <c r="L1022" s="10">
        <f t="shared" si="1"/>
        <v>1</v>
      </c>
      <c r="M1022" s="10" t="str">
        <f t="shared" si="2"/>
        <v>016</v>
      </c>
      <c r="N1022" s="10" t="str">
        <f t="shared" si="3"/>
        <v>08</v>
      </c>
      <c r="O1022" s="10" t="str">
        <f t="shared" si="16"/>
        <v>LESTARI</v>
      </c>
    </row>
    <row r="1023" spans="1:15" ht="12.5">
      <c r="A1023" s="115" t="s">
        <v>5283</v>
      </c>
      <c r="B1023" s="5">
        <v>0</v>
      </c>
      <c r="C1023" s="5">
        <v>61</v>
      </c>
      <c r="D1023" s="5">
        <v>4</v>
      </c>
      <c r="E1023" s="5">
        <v>110</v>
      </c>
      <c r="F1023" s="5">
        <v>2</v>
      </c>
      <c r="G1023" s="5">
        <v>100</v>
      </c>
      <c r="H1023" s="5" t="s">
        <v>5250</v>
      </c>
      <c r="I1023" s="5" t="s">
        <v>5284</v>
      </c>
      <c r="J1023" s="5" t="s">
        <v>5285</v>
      </c>
      <c r="K1023" s="10" t="e">
        <f t="shared" si="0"/>
        <v>#VALUE!</v>
      </c>
      <c r="L1023" s="10">
        <f t="shared" si="1"/>
        <v>1</v>
      </c>
      <c r="M1023" s="10" t="str">
        <f t="shared" si="2"/>
        <v>001</v>
      </c>
      <c r="N1023" s="10" t="str">
        <f t="shared" si="3"/>
        <v>01</v>
      </c>
      <c r="O1023" s="10" t="str">
        <f t="shared" si="16"/>
        <v>TAUFIK</v>
      </c>
    </row>
    <row r="1024" spans="1:15" ht="12.5">
      <c r="A1024" s="115" t="s">
        <v>5286</v>
      </c>
      <c r="B1024" s="5">
        <v>0</v>
      </c>
      <c r="C1024" s="5">
        <v>61</v>
      </c>
      <c r="D1024" s="5">
        <v>4</v>
      </c>
      <c r="E1024" s="5">
        <v>110</v>
      </c>
      <c r="F1024" s="5">
        <v>2</v>
      </c>
      <c r="G1024" s="5">
        <v>200</v>
      </c>
      <c r="H1024" s="5" t="s">
        <v>5250</v>
      </c>
      <c r="I1024" s="5" t="s">
        <v>5284</v>
      </c>
      <c r="J1024" s="5" t="s">
        <v>5287</v>
      </c>
      <c r="K1024" s="10" t="e">
        <f t="shared" si="0"/>
        <v>#VALUE!</v>
      </c>
      <c r="L1024" s="10">
        <f t="shared" si="1"/>
        <v>1</v>
      </c>
      <c r="M1024" s="10" t="str">
        <f t="shared" si="2"/>
        <v>002</v>
      </c>
      <c r="N1024" s="10" t="str">
        <f t="shared" si="3"/>
        <v>01</v>
      </c>
      <c r="O1024" s="10" t="str">
        <f t="shared" si="16"/>
        <v>TAUFIK</v>
      </c>
    </row>
    <row r="1025" spans="1:15" ht="12.5">
      <c r="A1025" s="115" t="s">
        <v>5288</v>
      </c>
      <c r="B1025" s="5">
        <v>0</v>
      </c>
      <c r="C1025" s="5">
        <v>61</v>
      </c>
      <c r="D1025" s="5">
        <v>4</v>
      </c>
      <c r="E1025" s="5">
        <v>110</v>
      </c>
      <c r="F1025" s="5">
        <v>2</v>
      </c>
      <c r="G1025" s="5">
        <v>300</v>
      </c>
      <c r="H1025" s="5" t="s">
        <v>5250</v>
      </c>
      <c r="I1025" s="5" t="s">
        <v>5284</v>
      </c>
      <c r="J1025" s="5" t="s">
        <v>5289</v>
      </c>
      <c r="K1025" s="10" t="e">
        <f t="shared" si="0"/>
        <v>#VALUE!</v>
      </c>
      <c r="L1025" s="10">
        <f t="shared" si="1"/>
        <v>1</v>
      </c>
      <c r="M1025" s="10" t="str">
        <f t="shared" si="2"/>
        <v>009</v>
      </c>
      <c r="N1025" s="10" t="str">
        <f t="shared" si="3"/>
        <v>01</v>
      </c>
      <c r="O1025" s="10" t="str">
        <f t="shared" si="16"/>
        <v>TAUFIK</v>
      </c>
    </row>
    <row r="1026" spans="1:15" ht="12.5">
      <c r="A1026" s="115" t="s">
        <v>5290</v>
      </c>
      <c r="B1026" s="5">
        <v>0</v>
      </c>
      <c r="C1026" s="5">
        <v>61</v>
      </c>
      <c r="D1026" s="5">
        <v>4</v>
      </c>
      <c r="E1026" s="5">
        <v>110</v>
      </c>
      <c r="F1026" s="5">
        <v>2</v>
      </c>
      <c r="G1026" s="5">
        <v>400</v>
      </c>
      <c r="H1026" s="5" t="s">
        <v>5250</v>
      </c>
      <c r="I1026" s="5" t="s">
        <v>5284</v>
      </c>
      <c r="J1026" s="5" t="s">
        <v>5291</v>
      </c>
      <c r="K1026" s="10" t="e">
        <f t="shared" si="0"/>
        <v>#VALUE!</v>
      </c>
      <c r="L1026" s="10">
        <f t="shared" si="1"/>
        <v>1</v>
      </c>
      <c r="M1026" s="10" t="str">
        <f t="shared" si="2"/>
        <v>003</v>
      </c>
      <c r="N1026" s="10" t="str">
        <f t="shared" si="3"/>
        <v>02</v>
      </c>
      <c r="O1026" s="10" t="str">
        <f t="shared" si="16"/>
        <v>HIDAYAH</v>
      </c>
    </row>
    <row r="1027" spans="1:15" ht="12.5">
      <c r="A1027" s="115" t="s">
        <v>5292</v>
      </c>
      <c r="B1027" s="5">
        <v>0</v>
      </c>
      <c r="C1027" s="5">
        <v>61</v>
      </c>
      <c r="D1027" s="5">
        <v>4</v>
      </c>
      <c r="E1027" s="5">
        <v>110</v>
      </c>
      <c r="F1027" s="5">
        <v>2</v>
      </c>
      <c r="G1027" s="5">
        <v>500</v>
      </c>
      <c r="H1027" s="5" t="s">
        <v>5250</v>
      </c>
      <c r="I1027" s="5" t="s">
        <v>5284</v>
      </c>
      <c r="J1027" s="5" t="s">
        <v>5293</v>
      </c>
      <c r="K1027" s="10" t="e">
        <f t="shared" si="0"/>
        <v>#VALUE!</v>
      </c>
      <c r="L1027" s="10">
        <f t="shared" si="1"/>
        <v>1</v>
      </c>
      <c r="M1027" s="10" t="str">
        <f t="shared" si="2"/>
        <v>004</v>
      </c>
      <c r="N1027" s="10" t="str">
        <f t="shared" si="3"/>
        <v>02</v>
      </c>
      <c r="O1027" s="10" t="str">
        <f t="shared" si="16"/>
        <v>HIDAYAH</v>
      </c>
    </row>
    <row r="1028" spans="1:15" ht="12.5">
      <c r="A1028" s="115" t="s">
        <v>5294</v>
      </c>
      <c r="B1028" s="5">
        <v>0</v>
      </c>
      <c r="C1028" s="5">
        <v>61</v>
      </c>
      <c r="D1028" s="5">
        <v>4</v>
      </c>
      <c r="E1028" s="5">
        <v>110</v>
      </c>
      <c r="F1028" s="5">
        <v>2</v>
      </c>
      <c r="G1028" s="5">
        <v>600</v>
      </c>
      <c r="H1028" s="5" t="s">
        <v>5250</v>
      </c>
      <c r="I1028" s="5" t="s">
        <v>5284</v>
      </c>
      <c r="J1028" s="5" t="s">
        <v>5295</v>
      </c>
      <c r="K1028" s="10" t="e">
        <f t="shared" si="0"/>
        <v>#VALUE!</v>
      </c>
      <c r="L1028" s="10">
        <f t="shared" si="1"/>
        <v>1</v>
      </c>
      <c r="M1028" s="10" t="str">
        <f t="shared" si="2"/>
        <v>005</v>
      </c>
      <c r="N1028" s="10" t="str">
        <f t="shared" si="3"/>
        <v>03</v>
      </c>
      <c r="O1028" s="10" t="str">
        <f t="shared" si="16"/>
        <v>PELANGKIRA</v>
      </c>
    </row>
    <row r="1029" spans="1:15" ht="12.5">
      <c r="A1029" s="115" t="s">
        <v>5296</v>
      </c>
      <c r="B1029" s="5">
        <v>0</v>
      </c>
      <c r="C1029" s="5">
        <v>61</v>
      </c>
      <c r="D1029" s="5">
        <v>4</v>
      </c>
      <c r="E1029" s="5">
        <v>110</v>
      </c>
      <c r="F1029" s="5">
        <v>2</v>
      </c>
      <c r="G1029" s="5">
        <v>700</v>
      </c>
      <c r="H1029" s="5" t="s">
        <v>5250</v>
      </c>
      <c r="I1029" s="5" t="s">
        <v>5284</v>
      </c>
      <c r="J1029" s="5" t="s">
        <v>5297</v>
      </c>
      <c r="K1029" s="10" t="e">
        <f t="shared" si="0"/>
        <v>#VALUE!</v>
      </c>
      <c r="L1029" s="10">
        <f t="shared" si="1"/>
        <v>1</v>
      </c>
      <c r="M1029" s="10" t="str">
        <f t="shared" si="2"/>
        <v>006</v>
      </c>
      <c r="N1029" s="10" t="str">
        <f t="shared" si="3"/>
        <v>03</v>
      </c>
      <c r="O1029" s="10" t="str">
        <f t="shared" si="16"/>
        <v>PELANGKIRA</v>
      </c>
    </row>
    <row r="1030" spans="1:15" ht="12.5">
      <c r="A1030" s="115" t="s">
        <v>5298</v>
      </c>
      <c r="B1030" s="5">
        <v>0</v>
      </c>
      <c r="C1030" s="5">
        <v>61</v>
      </c>
      <c r="D1030" s="5">
        <v>4</v>
      </c>
      <c r="E1030" s="5">
        <v>110</v>
      </c>
      <c r="F1030" s="5">
        <v>2</v>
      </c>
      <c r="G1030" s="5">
        <v>800</v>
      </c>
      <c r="H1030" s="5" t="s">
        <v>5250</v>
      </c>
      <c r="I1030" s="5" t="s">
        <v>5284</v>
      </c>
      <c r="J1030" s="5" t="s">
        <v>5299</v>
      </c>
      <c r="K1030" s="10" t="e">
        <f t="shared" si="0"/>
        <v>#VALUE!</v>
      </c>
      <c r="L1030" s="10">
        <f t="shared" si="1"/>
        <v>1</v>
      </c>
      <c r="M1030" s="10" t="str">
        <f t="shared" si="2"/>
        <v>007</v>
      </c>
      <c r="N1030" s="10" t="str">
        <f t="shared" si="3"/>
        <v>03</v>
      </c>
      <c r="O1030" s="10" t="str">
        <f t="shared" si="16"/>
        <v>PELANGKIRA</v>
      </c>
    </row>
    <row r="1031" spans="1:15" ht="12.5">
      <c r="A1031" s="115" t="s">
        <v>5300</v>
      </c>
      <c r="B1031" s="5">
        <v>0</v>
      </c>
      <c r="C1031" s="5">
        <v>61</v>
      </c>
      <c r="D1031" s="5">
        <v>4</v>
      </c>
      <c r="E1031" s="5">
        <v>110</v>
      </c>
      <c r="F1031" s="5">
        <v>2</v>
      </c>
      <c r="G1031" s="5">
        <v>900</v>
      </c>
      <c r="H1031" s="5" t="s">
        <v>5250</v>
      </c>
      <c r="I1031" s="5" t="s">
        <v>5284</v>
      </c>
      <c r="J1031" s="5" t="s">
        <v>5301</v>
      </c>
      <c r="K1031" s="10" t="e">
        <f t="shared" si="0"/>
        <v>#VALUE!</v>
      </c>
      <c r="L1031" s="10">
        <f t="shared" si="1"/>
        <v>1</v>
      </c>
      <c r="M1031" s="10" t="str">
        <f t="shared" si="2"/>
        <v>008</v>
      </c>
      <c r="N1031" s="10" t="str">
        <f t="shared" si="3"/>
        <v>03</v>
      </c>
      <c r="O1031" s="10" t="str">
        <f t="shared" si="16"/>
        <v>PELANGKIRA</v>
      </c>
    </row>
    <row r="1032" spans="1:15" ht="12.5">
      <c r="A1032" s="115" t="s">
        <v>5302</v>
      </c>
      <c r="B1032" s="5">
        <v>2</v>
      </c>
      <c r="C1032" s="5">
        <v>61</v>
      </c>
      <c r="D1032" s="5">
        <v>4</v>
      </c>
      <c r="E1032" s="5">
        <v>110</v>
      </c>
      <c r="F1032" s="5">
        <v>2</v>
      </c>
      <c r="G1032" s="5">
        <v>200100</v>
      </c>
      <c r="H1032" s="5" t="s">
        <v>5250</v>
      </c>
      <c r="I1032" s="5" t="s">
        <v>5284</v>
      </c>
      <c r="J1032" s="5" t="s">
        <v>3517</v>
      </c>
      <c r="K1032" s="10" t="e">
        <f t="shared" si="0"/>
        <v>#VALUE!</v>
      </c>
      <c r="L1032" s="10">
        <f t="shared" si="1"/>
        <v>0</v>
      </c>
      <c r="M1032" s="10" t="str">
        <f t="shared" si="2"/>
        <v>AN</v>
      </c>
      <c r="N1032" s="10" t="str">
        <f t="shared" si="3"/>
        <v/>
      </c>
      <c r="O1032" s="10" t="str">
        <f t="shared" si="16"/>
        <v/>
      </c>
    </row>
    <row r="1033" spans="1:15" ht="12.5">
      <c r="A1033" s="115" t="s">
        <v>5303</v>
      </c>
      <c r="B1033" s="5">
        <v>0</v>
      </c>
      <c r="C1033" s="5">
        <v>61</v>
      </c>
      <c r="D1033" s="5">
        <v>4</v>
      </c>
      <c r="E1033" s="5">
        <v>110</v>
      </c>
      <c r="F1033" s="5">
        <v>3</v>
      </c>
      <c r="G1033" s="5">
        <v>100</v>
      </c>
      <c r="H1033" s="5" t="s">
        <v>5250</v>
      </c>
      <c r="I1033" s="5" t="s">
        <v>5304</v>
      </c>
      <c r="J1033" s="5" t="s">
        <v>5305</v>
      </c>
      <c r="K1033" s="10" t="e">
        <f t="shared" si="0"/>
        <v>#VALUE!</v>
      </c>
      <c r="L1033" s="10">
        <f t="shared" si="1"/>
        <v>1</v>
      </c>
      <c r="M1033" s="10" t="str">
        <f t="shared" si="2"/>
        <v>001</v>
      </c>
      <c r="N1033" s="10" t="str">
        <f t="shared" si="3"/>
        <v>01</v>
      </c>
      <c r="O1033" s="10" t="str">
        <f t="shared" si="16"/>
        <v>MANDALA</v>
      </c>
    </row>
    <row r="1034" spans="1:15" ht="12.5">
      <c r="A1034" s="115" t="s">
        <v>5306</v>
      </c>
      <c r="B1034" s="5">
        <v>0</v>
      </c>
      <c r="C1034" s="5">
        <v>61</v>
      </c>
      <c r="D1034" s="5">
        <v>4</v>
      </c>
      <c r="E1034" s="5">
        <v>110</v>
      </c>
      <c r="F1034" s="5">
        <v>3</v>
      </c>
      <c r="G1034" s="5">
        <v>200</v>
      </c>
      <c r="H1034" s="5" t="s">
        <v>5250</v>
      </c>
      <c r="I1034" s="5" t="s">
        <v>5304</v>
      </c>
      <c r="J1034" s="5" t="s">
        <v>5307</v>
      </c>
      <c r="K1034" s="10" t="e">
        <f t="shared" si="0"/>
        <v>#VALUE!</v>
      </c>
      <c r="L1034" s="10">
        <f t="shared" si="1"/>
        <v>1</v>
      </c>
      <c r="M1034" s="10" t="str">
        <f t="shared" si="2"/>
        <v>002</v>
      </c>
      <c r="N1034" s="10" t="str">
        <f t="shared" si="3"/>
        <v>01</v>
      </c>
      <c r="O1034" s="10" t="str">
        <f t="shared" si="16"/>
        <v>MANDALA</v>
      </c>
    </row>
    <row r="1035" spans="1:15" ht="12.5">
      <c r="A1035" s="115" t="s">
        <v>5308</v>
      </c>
      <c r="B1035" s="5">
        <v>0</v>
      </c>
      <c r="C1035" s="5">
        <v>61</v>
      </c>
      <c r="D1035" s="5">
        <v>4</v>
      </c>
      <c r="E1035" s="5">
        <v>110</v>
      </c>
      <c r="F1035" s="5">
        <v>3</v>
      </c>
      <c r="G1035" s="5">
        <v>300</v>
      </c>
      <c r="H1035" s="5" t="s">
        <v>5250</v>
      </c>
      <c r="I1035" s="5" t="s">
        <v>5304</v>
      </c>
      <c r="J1035" s="5" t="s">
        <v>5309</v>
      </c>
      <c r="K1035" s="10" t="e">
        <f t="shared" si="0"/>
        <v>#VALUE!</v>
      </c>
      <c r="L1035" s="10">
        <f t="shared" si="1"/>
        <v>1</v>
      </c>
      <c r="M1035" s="10" t="str">
        <f t="shared" si="2"/>
        <v>003</v>
      </c>
      <c r="N1035" s="10" t="str">
        <f t="shared" si="3"/>
        <v>01</v>
      </c>
      <c r="O1035" s="10" t="str">
        <f t="shared" si="16"/>
        <v>MANDALA</v>
      </c>
    </row>
    <row r="1036" spans="1:15" ht="12.5">
      <c r="A1036" s="115" t="s">
        <v>5310</v>
      </c>
      <c r="B1036" s="5">
        <v>0</v>
      </c>
      <c r="C1036" s="5">
        <v>61</v>
      </c>
      <c r="D1036" s="5">
        <v>4</v>
      </c>
      <c r="E1036" s="5">
        <v>110</v>
      </c>
      <c r="F1036" s="5">
        <v>3</v>
      </c>
      <c r="G1036" s="5">
        <v>400</v>
      </c>
      <c r="H1036" s="5" t="s">
        <v>5250</v>
      </c>
      <c r="I1036" s="5" t="s">
        <v>5304</v>
      </c>
      <c r="J1036" s="5" t="s">
        <v>5311</v>
      </c>
      <c r="K1036" s="10" t="e">
        <f t="shared" si="0"/>
        <v>#VALUE!</v>
      </c>
      <c r="L1036" s="10">
        <f t="shared" si="1"/>
        <v>1</v>
      </c>
      <c r="M1036" s="10" t="str">
        <f t="shared" si="2"/>
        <v>004</v>
      </c>
      <c r="N1036" s="10" t="str">
        <f t="shared" si="3"/>
        <v>01</v>
      </c>
      <c r="O1036" s="10" t="str">
        <f t="shared" si="16"/>
        <v>MANDALA</v>
      </c>
    </row>
    <row r="1037" spans="1:15" ht="12.5">
      <c r="A1037" s="115" t="s">
        <v>5312</v>
      </c>
      <c r="B1037" s="5">
        <v>0</v>
      </c>
      <c r="C1037" s="5">
        <v>61</v>
      </c>
      <c r="D1037" s="5">
        <v>4</v>
      </c>
      <c r="E1037" s="5">
        <v>110</v>
      </c>
      <c r="F1037" s="5">
        <v>3</v>
      </c>
      <c r="G1037" s="5">
        <v>500</v>
      </c>
      <c r="H1037" s="5" t="s">
        <v>5250</v>
      </c>
      <c r="I1037" s="5" t="s">
        <v>5304</v>
      </c>
      <c r="J1037" s="5" t="s">
        <v>5313</v>
      </c>
      <c r="K1037" s="10" t="e">
        <f t="shared" si="0"/>
        <v>#VALUE!</v>
      </c>
      <c r="L1037" s="10">
        <f t="shared" si="1"/>
        <v>1</v>
      </c>
      <c r="M1037" s="10" t="str">
        <f t="shared" si="2"/>
        <v>005</v>
      </c>
      <c r="N1037" s="10" t="str">
        <f t="shared" si="3"/>
        <v>02</v>
      </c>
      <c r="O1037" s="10" t="str">
        <f t="shared" si="16"/>
        <v>DURIAN</v>
      </c>
    </row>
    <row r="1038" spans="1:15" ht="12.5">
      <c r="A1038" s="115" t="s">
        <v>5314</v>
      </c>
      <c r="B1038" s="5">
        <v>0</v>
      </c>
      <c r="C1038" s="5">
        <v>61</v>
      </c>
      <c r="D1038" s="5">
        <v>4</v>
      </c>
      <c r="E1038" s="5">
        <v>110</v>
      </c>
      <c r="F1038" s="5">
        <v>3</v>
      </c>
      <c r="G1038" s="5">
        <v>600</v>
      </c>
      <c r="H1038" s="5" t="s">
        <v>5250</v>
      </c>
      <c r="I1038" s="5" t="s">
        <v>5304</v>
      </c>
      <c r="J1038" s="5" t="s">
        <v>5315</v>
      </c>
      <c r="K1038" s="10" t="e">
        <f t="shared" si="0"/>
        <v>#VALUE!</v>
      </c>
      <c r="L1038" s="10">
        <f t="shared" si="1"/>
        <v>1</v>
      </c>
      <c r="M1038" s="10" t="str">
        <f t="shared" si="2"/>
        <v>006</v>
      </c>
      <c r="N1038" s="10" t="str">
        <f t="shared" si="3"/>
        <v>02</v>
      </c>
      <c r="O1038" s="10" t="str">
        <f t="shared" si="16"/>
        <v>DURIAN</v>
      </c>
    </row>
    <row r="1039" spans="1:15" ht="12.5">
      <c r="A1039" s="115" t="s">
        <v>5316</v>
      </c>
      <c r="B1039" s="5">
        <v>0</v>
      </c>
      <c r="C1039" s="5">
        <v>61</v>
      </c>
      <c r="D1039" s="5">
        <v>4</v>
      </c>
      <c r="E1039" s="5">
        <v>110</v>
      </c>
      <c r="F1039" s="5">
        <v>3</v>
      </c>
      <c r="G1039" s="5">
        <v>700</v>
      </c>
      <c r="H1039" s="5" t="s">
        <v>5250</v>
      </c>
      <c r="I1039" s="5" t="s">
        <v>5304</v>
      </c>
      <c r="J1039" s="5" t="s">
        <v>5317</v>
      </c>
      <c r="K1039" s="10" t="e">
        <f t="shared" si="0"/>
        <v>#VALUE!</v>
      </c>
      <c r="L1039" s="10">
        <f t="shared" si="1"/>
        <v>1</v>
      </c>
      <c r="M1039" s="10" t="str">
        <f t="shared" si="2"/>
        <v>007</v>
      </c>
      <c r="N1039" s="10" t="str">
        <f t="shared" si="3"/>
        <v>02</v>
      </c>
      <c r="O1039" s="10" t="str">
        <f t="shared" si="16"/>
        <v>DURIAN</v>
      </c>
    </row>
    <row r="1040" spans="1:15" ht="12.5">
      <c r="A1040" s="115" t="s">
        <v>5318</v>
      </c>
      <c r="B1040" s="5">
        <v>0</v>
      </c>
      <c r="C1040" s="5">
        <v>61</v>
      </c>
      <c r="D1040" s="5">
        <v>4</v>
      </c>
      <c r="E1040" s="5">
        <v>110</v>
      </c>
      <c r="F1040" s="5">
        <v>3</v>
      </c>
      <c r="G1040" s="5">
        <v>800</v>
      </c>
      <c r="H1040" s="5" t="s">
        <v>5250</v>
      </c>
      <c r="I1040" s="5" t="s">
        <v>5304</v>
      </c>
      <c r="J1040" s="5" t="s">
        <v>5319</v>
      </c>
      <c r="K1040" s="10" t="e">
        <f t="shared" si="0"/>
        <v>#VALUE!</v>
      </c>
      <c r="L1040" s="10">
        <f t="shared" si="1"/>
        <v>1</v>
      </c>
      <c r="M1040" s="10" t="str">
        <f t="shared" si="2"/>
        <v>008</v>
      </c>
      <c r="N1040" s="10" t="str">
        <f t="shared" si="3"/>
        <v>02</v>
      </c>
      <c r="O1040" s="10" t="str">
        <f t="shared" si="16"/>
        <v>DURIAN</v>
      </c>
    </row>
    <row r="1041" spans="1:15" ht="12.5">
      <c r="A1041" s="115" t="s">
        <v>5320</v>
      </c>
      <c r="B1041" s="5">
        <v>0</v>
      </c>
      <c r="C1041" s="5">
        <v>61</v>
      </c>
      <c r="D1041" s="5">
        <v>4</v>
      </c>
      <c r="E1041" s="5">
        <v>110</v>
      </c>
      <c r="F1041" s="5">
        <v>3</v>
      </c>
      <c r="G1041" s="5">
        <v>900</v>
      </c>
      <c r="H1041" s="5" t="s">
        <v>5250</v>
      </c>
      <c r="I1041" s="5" t="s">
        <v>5304</v>
      </c>
      <c r="J1041" s="5" t="s">
        <v>5321</v>
      </c>
      <c r="K1041" s="10" t="e">
        <f t="shared" si="0"/>
        <v>#VALUE!</v>
      </c>
      <c r="L1041" s="10">
        <f t="shared" si="1"/>
        <v>1</v>
      </c>
      <c r="M1041" s="10" t="str">
        <f t="shared" si="2"/>
        <v>009</v>
      </c>
      <c r="N1041" s="10" t="str">
        <f t="shared" si="3"/>
        <v>03</v>
      </c>
      <c r="O1041" s="10" t="str">
        <f t="shared" si="16"/>
        <v>TELAGA PUT</v>
      </c>
    </row>
    <row r="1042" spans="1:15" ht="12.5">
      <c r="A1042" s="115" t="s">
        <v>5322</v>
      </c>
      <c r="B1042" s="5">
        <v>0</v>
      </c>
      <c r="C1042" s="5">
        <v>61</v>
      </c>
      <c r="D1042" s="5">
        <v>4</v>
      </c>
      <c r="E1042" s="5">
        <v>110</v>
      </c>
      <c r="F1042" s="5">
        <v>3</v>
      </c>
      <c r="G1042" s="5">
        <v>1000</v>
      </c>
      <c r="H1042" s="5" t="s">
        <v>5250</v>
      </c>
      <c r="I1042" s="5" t="s">
        <v>5304</v>
      </c>
      <c r="J1042" s="5" t="s">
        <v>5323</v>
      </c>
      <c r="K1042" s="10" t="e">
        <f t="shared" si="0"/>
        <v>#VALUE!</v>
      </c>
      <c r="L1042" s="10">
        <f t="shared" si="1"/>
        <v>1</v>
      </c>
      <c r="M1042" s="10" t="str">
        <f t="shared" si="2"/>
        <v>010</v>
      </c>
      <c r="N1042" s="10" t="str">
        <f t="shared" si="3"/>
        <v>03</v>
      </c>
      <c r="O1042" s="10" t="str">
        <f t="shared" si="16"/>
        <v>TELAGA PUT</v>
      </c>
    </row>
    <row r="1043" spans="1:15" ht="12.5">
      <c r="A1043" s="115" t="s">
        <v>5324</v>
      </c>
      <c r="B1043" s="5">
        <v>0</v>
      </c>
      <c r="C1043" s="5">
        <v>61</v>
      </c>
      <c r="D1043" s="5">
        <v>4</v>
      </c>
      <c r="E1043" s="5">
        <v>110</v>
      </c>
      <c r="F1043" s="5">
        <v>3</v>
      </c>
      <c r="G1043" s="5">
        <v>1100</v>
      </c>
      <c r="H1043" s="5" t="s">
        <v>5250</v>
      </c>
      <c r="I1043" s="5" t="s">
        <v>5304</v>
      </c>
      <c r="J1043" s="5" t="s">
        <v>5325</v>
      </c>
      <c r="K1043" s="10" t="e">
        <f t="shared" si="0"/>
        <v>#VALUE!</v>
      </c>
      <c r="L1043" s="10">
        <f t="shared" si="1"/>
        <v>1</v>
      </c>
      <c r="M1043" s="10" t="str">
        <f t="shared" si="2"/>
        <v>011</v>
      </c>
      <c r="N1043" s="10" t="str">
        <f t="shared" si="3"/>
        <v>03</v>
      </c>
      <c r="O1043" s="10" t="str">
        <f t="shared" si="16"/>
        <v>TELAGA PUT</v>
      </c>
    </row>
    <row r="1044" spans="1:15" ht="12.5">
      <c r="A1044" s="115" t="s">
        <v>5326</v>
      </c>
      <c r="B1044" s="5">
        <v>0</v>
      </c>
      <c r="C1044" s="5">
        <v>61</v>
      </c>
      <c r="D1044" s="5">
        <v>4</v>
      </c>
      <c r="E1044" s="5">
        <v>110</v>
      </c>
      <c r="F1044" s="5">
        <v>4</v>
      </c>
      <c r="G1044" s="5">
        <v>100</v>
      </c>
      <c r="H1044" s="5" t="s">
        <v>5250</v>
      </c>
      <c r="I1044" s="5" t="s">
        <v>5327</v>
      </c>
      <c r="J1044" s="5" t="s">
        <v>5328</v>
      </c>
      <c r="K1044" s="10" t="e">
        <f t="shared" si="0"/>
        <v>#VALUE!</v>
      </c>
      <c r="L1044" s="10">
        <f t="shared" si="1"/>
        <v>1</v>
      </c>
      <c r="M1044" s="10" t="str">
        <f t="shared" si="2"/>
        <v>001</v>
      </c>
      <c r="N1044" s="10" t="str">
        <f t="shared" si="3"/>
        <v>01</v>
      </c>
      <c r="O1044" s="10" t="str">
        <f t="shared" si="16"/>
        <v>BERINGIN</v>
      </c>
    </row>
    <row r="1045" spans="1:15" ht="12.5">
      <c r="A1045" s="115" t="s">
        <v>5329</v>
      </c>
      <c r="B1045" s="5">
        <v>0</v>
      </c>
      <c r="C1045" s="5">
        <v>61</v>
      </c>
      <c r="D1045" s="5">
        <v>4</v>
      </c>
      <c r="E1045" s="5">
        <v>110</v>
      </c>
      <c r="F1045" s="5">
        <v>4</v>
      </c>
      <c r="G1045" s="5">
        <v>200</v>
      </c>
      <c r="H1045" s="5" t="s">
        <v>5250</v>
      </c>
      <c r="I1045" s="5" t="s">
        <v>5327</v>
      </c>
      <c r="J1045" s="5" t="s">
        <v>5330</v>
      </c>
      <c r="K1045" s="10" t="e">
        <f t="shared" si="0"/>
        <v>#VALUE!</v>
      </c>
      <c r="L1045" s="10">
        <f t="shared" si="1"/>
        <v>1</v>
      </c>
      <c r="M1045" s="10" t="str">
        <f t="shared" si="2"/>
        <v>002</v>
      </c>
      <c r="N1045" s="10" t="str">
        <f t="shared" si="3"/>
        <v>02</v>
      </c>
      <c r="O1045" s="10" t="str">
        <f t="shared" si="16"/>
        <v>BERINGIN</v>
      </c>
    </row>
    <row r="1046" spans="1:15" ht="12.5">
      <c r="A1046" s="115" t="s">
        <v>5331</v>
      </c>
      <c r="B1046" s="5">
        <v>0</v>
      </c>
      <c r="C1046" s="5">
        <v>61</v>
      </c>
      <c r="D1046" s="5">
        <v>4</v>
      </c>
      <c r="E1046" s="5">
        <v>110</v>
      </c>
      <c r="F1046" s="5">
        <v>4</v>
      </c>
      <c r="G1046" s="5">
        <v>300</v>
      </c>
      <c r="H1046" s="5" t="s">
        <v>5250</v>
      </c>
      <c r="I1046" s="5" t="s">
        <v>5327</v>
      </c>
      <c r="J1046" s="5" t="s">
        <v>5332</v>
      </c>
      <c r="K1046" s="10" t="e">
        <f t="shared" si="0"/>
        <v>#VALUE!</v>
      </c>
      <c r="L1046" s="10">
        <f t="shared" si="1"/>
        <v>1</v>
      </c>
      <c r="M1046" s="10" t="str">
        <f t="shared" si="2"/>
        <v>003</v>
      </c>
      <c r="N1046" s="10" t="str">
        <f t="shared" si="3"/>
        <v>02</v>
      </c>
      <c r="O1046" s="10" t="str">
        <f t="shared" si="16"/>
        <v>DUTA</v>
      </c>
    </row>
    <row r="1047" spans="1:15" ht="12.5">
      <c r="A1047" s="115" t="s">
        <v>5333</v>
      </c>
      <c r="B1047" s="5">
        <v>0</v>
      </c>
      <c r="C1047" s="5">
        <v>61</v>
      </c>
      <c r="D1047" s="5">
        <v>4</v>
      </c>
      <c r="E1047" s="5">
        <v>110</v>
      </c>
      <c r="F1047" s="5">
        <v>4</v>
      </c>
      <c r="G1047" s="5">
        <v>400</v>
      </c>
      <c r="H1047" s="5" t="s">
        <v>5250</v>
      </c>
      <c r="I1047" s="5" t="s">
        <v>5327</v>
      </c>
      <c r="J1047" s="5" t="s">
        <v>5334</v>
      </c>
      <c r="K1047" s="10" t="e">
        <f t="shared" si="0"/>
        <v>#VALUE!</v>
      </c>
      <c r="L1047" s="10">
        <f t="shared" si="1"/>
        <v>1</v>
      </c>
      <c r="M1047" s="10" t="str">
        <f t="shared" si="2"/>
        <v>004</v>
      </c>
      <c r="N1047" s="10" t="str">
        <f t="shared" si="3"/>
        <v>02</v>
      </c>
      <c r="O1047" s="10" t="str">
        <f t="shared" si="16"/>
        <v>DUTA</v>
      </c>
    </row>
    <row r="1048" spans="1:15" ht="12.5">
      <c r="A1048" s="115" t="s">
        <v>5335</v>
      </c>
      <c r="B1048" s="5">
        <v>0</v>
      </c>
      <c r="C1048" s="5">
        <v>61</v>
      </c>
      <c r="D1048" s="5">
        <v>4</v>
      </c>
      <c r="E1048" s="5">
        <v>110</v>
      </c>
      <c r="F1048" s="5">
        <v>4</v>
      </c>
      <c r="G1048" s="5">
        <v>500</v>
      </c>
      <c r="H1048" s="5" t="s">
        <v>5250</v>
      </c>
      <c r="I1048" s="5" t="s">
        <v>5327</v>
      </c>
      <c r="J1048" s="5" t="s">
        <v>5336</v>
      </c>
      <c r="K1048" s="10" t="e">
        <f t="shared" si="0"/>
        <v>#VALUE!</v>
      </c>
      <c r="L1048" s="10">
        <f t="shared" si="1"/>
        <v>1</v>
      </c>
      <c r="M1048" s="10" t="str">
        <f t="shared" si="2"/>
        <v>005</v>
      </c>
      <c r="N1048" s="10" t="str">
        <f t="shared" si="3"/>
        <v>02</v>
      </c>
      <c r="O1048" s="10" t="str">
        <f t="shared" si="16"/>
        <v>DUTA</v>
      </c>
    </row>
    <row r="1049" spans="1:15" ht="12.5">
      <c r="A1049" s="115" t="s">
        <v>5337</v>
      </c>
      <c r="B1049" s="5">
        <v>0</v>
      </c>
      <c r="C1049" s="5">
        <v>61</v>
      </c>
      <c r="D1049" s="5">
        <v>4</v>
      </c>
      <c r="E1049" s="5">
        <v>110</v>
      </c>
      <c r="F1049" s="5">
        <v>4</v>
      </c>
      <c r="G1049" s="5">
        <v>600</v>
      </c>
      <c r="H1049" s="5" t="s">
        <v>5250</v>
      </c>
      <c r="I1049" s="5" t="s">
        <v>5327</v>
      </c>
      <c r="J1049" s="5" t="s">
        <v>5338</v>
      </c>
      <c r="K1049" s="10" t="e">
        <f t="shared" si="0"/>
        <v>#VALUE!</v>
      </c>
      <c r="L1049" s="10">
        <f t="shared" si="1"/>
        <v>1</v>
      </c>
      <c r="M1049" s="10" t="str">
        <f t="shared" si="2"/>
        <v>006</v>
      </c>
      <c r="N1049" s="10" t="str">
        <f t="shared" si="3"/>
        <v>03</v>
      </c>
      <c r="O1049" s="10" t="str">
        <f t="shared" si="16"/>
        <v>SATRYA</v>
      </c>
    </row>
    <row r="1050" spans="1:15" ht="12.5">
      <c r="A1050" s="115" t="s">
        <v>5339</v>
      </c>
      <c r="B1050" s="5">
        <v>0</v>
      </c>
      <c r="C1050" s="5">
        <v>61</v>
      </c>
      <c r="D1050" s="5">
        <v>4</v>
      </c>
      <c r="E1050" s="5">
        <v>110</v>
      </c>
      <c r="F1050" s="5">
        <v>4</v>
      </c>
      <c r="G1050" s="5">
        <v>700</v>
      </c>
      <c r="H1050" s="5" t="s">
        <v>5250</v>
      </c>
      <c r="I1050" s="5" t="s">
        <v>5327</v>
      </c>
      <c r="J1050" s="5" t="s">
        <v>5340</v>
      </c>
      <c r="K1050" s="10" t="e">
        <f t="shared" si="0"/>
        <v>#VALUE!</v>
      </c>
      <c r="L1050" s="10">
        <f t="shared" si="1"/>
        <v>1</v>
      </c>
      <c r="M1050" s="10" t="str">
        <f t="shared" si="2"/>
        <v>007</v>
      </c>
      <c r="N1050" s="10" t="str">
        <f t="shared" si="3"/>
        <v>03</v>
      </c>
      <c r="O1050" s="10" t="str">
        <f t="shared" si="16"/>
        <v>SATRYA</v>
      </c>
    </row>
    <row r="1051" spans="1:15" ht="12.5">
      <c r="A1051" s="115" t="s">
        <v>5341</v>
      </c>
      <c r="B1051" s="5">
        <v>0</v>
      </c>
      <c r="C1051" s="5">
        <v>61</v>
      </c>
      <c r="D1051" s="5">
        <v>4</v>
      </c>
      <c r="E1051" s="5">
        <v>110</v>
      </c>
      <c r="F1051" s="5">
        <v>4</v>
      </c>
      <c r="G1051" s="5">
        <v>800</v>
      </c>
      <c r="H1051" s="5" t="s">
        <v>5250</v>
      </c>
      <c r="I1051" s="5" t="s">
        <v>5327</v>
      </c>
      <c r="J1051" s="5" t="s">
        <v>5342</v>
      </c>
      <c r="K1051" s="10" t="e">
        <f t="shared" si="0"/>
        <v>#VALUE!</v>
      </c>
      <c r="L1051" s="10">
        <f t="shared" si="1"/>
        <v>1</v>
      </c>
      <c r="M1051" s="10" t="str">
        <f t="shared" si="2"/>
        <v>008</v>
      </c>
      <c r="N1051" s="10" t="str">
        <f t="shared" si="3"/>
        <v>03</v>
      </c>
      <c r="O1051" s="10" t="str">
        <f t="shared" si="16"/>
        <v>SATRYA</v>
      </c>
    </row>
    <row r="1052" spans="1:15" ht="12.5">
      <c r="A1052" s="115" t="s">
        <v>5343</v>
      </c>
      <c r="B1052" s="5">
        <v>0</v>
      </c>
      <c r="C1052" s="5">
        <v>61</v>
      </c>
      <c r="D1052" s="5">
        <v>4</v>
      </c>
      <c r="E1052" s="5">
        <v>110</v>
      </c>
      <c r="F1052" s="5">
        <v>4</v>
      </c>
      <c r="G1052" s="5">
        <v>900</v>
      </c>
      <c r="H1052" s="5" t="s">
        <v>5250</v>
      </c>
      <c r="I1052" s="5" t="s">
        <v>5327</v>
      </c>
      <c r="J1052" s="5" t="s">
        <v>5344</v>
      </c>
      <c r="K1052" s="10" t="e">
        <f t="shared" si="0"/>
        <v>#VALUE!</v>
      </c>
      <c r="L1052" s="10">
        <f t="shared" si="1"/>
        <v>1</v>
      </c>
      <c r="M1052" s="10" t="str">
        <f t="shared" si="2"/>
        <v>009</v>
      </c>
      <c r="N1052" s="10" t="str">
        <f t="shared" si="3"/>
        <v>03</v>
      </c>
      <c r="O1052" s="10" t="str">
        <f t="shared" si="16"/>
        <v>SATRYA</v>
      </c>
    </row>
    <row r="1053" spans="1:15" ht="12.5">
      <c r="A1053" s="115" t="s">
        <v>5345</v>
      </c>
      <c r="B1053" s="5">
        <v>0</v>
      </c>
      <c r="C1053" s="5">
        <v>61</v>
      </c>
      <c r="D1053" s="5">
        <v>4</v>
      </c>
      <c r="E1053" s="5">
        <v>110</v>
      </c>
      <c r="F1053" s="5">
        <v>5</v>
      </c>
      <c r="G1053" s="5">
        <v>100</v>
      </c>
      <c r="H1053" s="5" t="s">
        <v>5250</v>
      </c>
      <c r="I1053" s="5" t="s">
        <v>5346</v>
      </c>
      <c r="J1053" s="5" t="s">
        <v>5347</v>
      </c>
      <c r="K1053" s="10" t="e">
        <f t="shared" si="0"/>
        <v>#VALUE!</v>
      </c>
      <c r="L1053" s="10">
        <f t="shared" si="1"/>
        <v>1</v>
      </c>
      <c r="M1053" s="10" t="str">
        <f t="shared" si="2"/>
        <v>001</v>
      </c>
      <c r="N1053" s="10" t="str">
        <f t="shared" si="3"/>
        <v>01</v>
      </c>
      <c r="O1053" s="10" t="str">
        <f t="shared" si="16"/>
        <v>PEMBANGUNA</v>
      </c>
    </row>
    <row r="1054" spans="1:15" ht="12.5">
      <c r="A1054" s="115" t="s">
        <v>5348</v>
      </c>
      <c r="B1054" s="5">
        <v>0</v>
      </c>
      <c r="C1054" s="5">
        <v>61</v>
      </c>
      <c r="D1054" s="5">
        <v>4</v>
      </c>
      <c r="E1054" s="5">
        <v>110</v>
      </c>
      <c r="F1054" s="5">
        <v>5</v>
      </c>
      <c r="G1054" s="5">
        <v>200</v>
      </c>
      <c r="H1054" s="5" t="s">
        <v>5250</v>
      </c>
      <c r="I1054" s="5" t="s">
        <v>5346</v>
      </c>
      <c r="J1054" s="5" t="s">
        <v>5349</v>
      </c>
      <c r="K1054" s="10" t="e">
        <f t="shared" si="0"/>
        <v>#VALUE!</v>
      </c>
      <c r="L1054" s="10">
        <f t="shared" si="1"/>
        <v>1</v>
      </c>
      <c r="M1054" s="10" t="str">
        <f t="shared" si="2"/>
        <v>002</v>
      </c>
      <c r="N1054" s="10" t="str">
        <f t="shared" si="3"/>
        <v>01</v>
      </c>
      <c r="O1054" s="10" t="str">
        <f t="shared" si="16"/>
        <v>PEMBANGUNA</v>
      </c>
    </row>
    <row r="1055" spans="1:15" ht="12.5">
      <c r="A1055" s="115" t="s">
        <v>5350</v>
      </c>
      <c r="B1055" s="5">
        <v>0</v>
      </c>
      <c r="C1055" s="5">
        <v>61</v>
      </c>
      <c r="D1055" s="5">
        <v>4</v>
      </c>
      <c r="E1055" s="5">
        <v>110</v>
      </c>
      <c r="F1055" s="5">
        <v>5</v>
      </c>
      <c r="G1055" s="5">
        <v>300</v>
      </c>
      <c r="H1055" s="5" t="s">
        <v>5250</v>
      </c>
      <c r="I1055" s="5" t="s">
        <v>5346</v>
      </c>
      <c r="J1055" s="5" t="s">
        <v>5351</v>
      </c>
      <c r="K1055" s="10" t="e">
        <f t="shared" si="0"/>
        <v>#VALUE!</v>
      </c>
      <c r="L1055" s="10">
        <f t="shared" si="1"/>
        <v>1</v>
      </c>
      <c r="M1055" s="10" t="str">
        <f t="shared" si="2"/>
        <v>003</v>
      </c>
      <c r="N1055" s="10" t="str">
        <f t="shared" si="3"/>
        <v>01</v>
      </c>
      <c r="O1055" s="10" t="str">
        <f t="shared" si="16"/>
        <v>PEMBANGUNA</v>
      </c>
    </row>
    <row r="1056" spans="1:15" ht="12.5">
      <c r="A1056" s="115" t="s">
        <v>5352</v>
      </c>
      <c r="B1056" s="5">
        <v>0</v>
      </c>
      <c r="C1056" s="5">
        <v>61</v>
      </c>
      <c r="D1056" s="5">
        <v>4</v>
      </c>
      <c r="E1056" s="5">
        <v>110</v>
      </c>
      <c r="F1056" s="5">
        <v>5</v>
      </c>
      <c r="G1056" s="5">
        <v>400</v>
      </c>
      <c r="H1056" s="5" t="s">
        <v>5250</v>
      </c>
      <c r="I1056" s="5" t="s">
        <v>5346</v>
      </c>
      <c r="J1056" s="5" t="s">
        <v>5353</v>
      </c>
      <c r="K1056" s="10" t="e">
        <f t="shared" si="0"/>
        <v>#VALUE!</v>
      </c>
      <c r="L1056" s="10">
        <f t="shared" si="1"/>
        <v>1</v>
      </c>
      <c r="M1056" s="10" t="str">
        <f t="shared" si="2"/>
        <v>004</v>
      </c>
      <c r="N1056" s="10" t="str">
        <f t="shared" si="3"/>
        <v>02</v>
      </c>
      <c r="O1056" s="10" t="str">
        <f t="shared" si="16"/>
        <v>TANI</v>
      </c>
    </row>
    <row r="1057" spans="1:15" ht="12.5">
      <c r="A1057" s="115" t="s">
        <v>5354</v>
      </c>
      <c r="B1057" s="5">
        <v>0</v>
      </c>
      <c r="C1057" s="5">
        <v>61</v>
      </c>
      <c r="D1057" s="5">
        <v>4</v>
      </c>
      <c r="E1057" s="5">
        <v>110</v>
      </c>
      <c r="F1057" s="5">
        <v>5</v>
      </c>
      <c r="G1057" s="5">
        <v>500</v>
      </c>
      <c r="H1057" s="5" t="s">
        <v>5250</v>
      </c>
      <c r="I1057" s="5" t="s">
        <v>5346</v>
      </c>
      <c r="J1057" s="5" t="s">
        <v>5355</v>
      </c>
      <c r="K1057" s="10" t="e">
        <f t="shared" si="0"/>
        <v>#VALUE!</v>
      </c>
      <c r="L1057" s="10">
        <f t="shared" si="1"/>
        <v>1</v>
      </c>
      <c r="M1057" s="10" t="str">
        <f t="shared" si="2"/>
        <v>005</v>
      </c>
      <c r="N1057" s="10" t="str">
        <f t="shared" si="3"/>
        <v>02</v>
      </c>
      <c r="O1057" s="10" t="str">
        <f t="shared" si="16"/>
        <v>TANI</v>
      </c>
    </row>
    <row r="1058" spans="1:15" ht="12.5">
      <c r="A1058" s="115" t="s">
        <v>5356</v>
      </c>
      <c r="B1058" s="5">
        <v>0</v>
      </c>
      <c r="C1058" s="5">
        <v>61</v>
      </c>
      <c r="D1058" s="5">
        <v>4</v>
      </c>
      <c r="E1058" s="5">
        <v>110</v>
      </c>
      <c r="F1058" s="5">
        <v>5</v>
      </c>
      <c r="G1058" s="5">
        <v>600</v>
      </c>
      <c r="H1058" s="5" t="s">
        <v>5250</v>
      </c>
      <c r="I1058" s="5" t="s">
        <v>5346</v>
      </c>
      <c r="J1058" s="5" t="s">
        <v>5357</v>
      </c>
      <c r="K1058" s="10" t="e">
        <f t="shared" si="0"/>
        <v>#VALUE!</v>
      </c>
      <c r="L1058" s="10">
        <f t="shared" si="1"/>
        <v>1</v>
      </c>
      <c r="M1058" s="10" t="str">
        <f t="shared" si="2"/>
        <v>009</v>
      </c>
      <c r="N1058" s="10" t="str">
        <f t="shared" si="3"/>
        <v>02</v>
      </c>
      <c r="O1058" s="10" t="str">
        <f t="shared" si="16"/>
        <v>TANI</v>
      </c>
    </row>
    <row r="1059" spans="1:15" ht="12.5">
      <c r="A1059" s="115" t="s">
        <v>5358</v>
      </c>
      <c r="B1059" s="5">
        <v>0</v>
      </c>
      <c r="C1059" s="5">
        <v>61</v>
      </c>
      <c r="D1059" s="5">
        <v>4</v>
      </c>
      <c r="E1059" s="5">
        <v>110</v>
      </c>
      <c r="F1059" s="5">
        <v>5</v>
      </c>
      <c r="G1059" s="5">
        <v>700</v>
      </c>
      <c r="H1059" s="5" t="s">
        <v>5250</v>
      </c>
      <c r="I1059" s="5" t="s">
        <v>5346</v>
      </c>
      <c r="J1059" s="5" t="s">
        <v>5359</v>
      </c>
      <c r="K1059" s="10" t="e">
        <f t="shared" si="0"/>
        <v>#VALUE!</v>
      </c>
      <c r="L1059" s="10">
        <f t="shared" si="1"/>
        <v>1</v>
      </c>
      <c r="M1059" s="10" t="str">
        <f t="shared" si="2"/>
        <v>006</v>
      </c>
      <c r="N1059" s="10" t="str">
        <f t="shared" si="3"/>
        <v>03</v>
      </c>
      <c r="O1059" s="10" t="str">
        <f t="shared" si="16"/>
        <v>NELAYAN</v>
      </c>
    </row>
    <row r="1060" spans="1:15" ht="12.5">
      <c r="A1060" s="115" t="s">
        <v>5360</v>
      </c>
      <c r="B1060" s="5">
        <v>0</v>
      </c>
      <c r="C1060" s="5">
        <v>61</v>
      </c>
      <c r="D1060" s="5">
        <v>4</v>
      </c>
      <c r="E1060" s="5">
        <v>110</v>
      </c>
      <c r="F1060" s="5">
        <v>5</v>
      </c>
      <c r="G1060" s="5">
        <v>800</v>
      </c>
      <c r="H1060" s="5" t="s">
        <v>5250</v>
      </c>
      <c r="I1060" s="5" t="s">
        <v>5346</v>
      </c>
      <c r="J1060" s="5" t="s">
        <v>5361</v>
      </c>
      <c r="K1060" s="10" t="e">
        <f t="shared" si="0"/>
        <v>#VALUE!</v>
      </c>
      <c r="L1060" s="10">
        <f t="shared" si="1"/>
        <v>1</v>
      </c>
      <c r="M1060" s="10" t="str">
        <f t="shared" si="2"/>
        <v>007</v>
      </c>
      <c r="N1060" s="10" t="str">
        <f t="shared" si="3"/>
        <v>03</v>
      </c>
      <c r="O1060" s="10" t="str">
        <f t="shared" si="16"/>
        <v>NELAYAN</v>
      </c>
    </row>
    <row r="1061" spans="1:15" ht="12.5">
      <c r="A1061" s="115" t="s">
        <v>5362</v>
      </c>
      <c r="B1061" s="5">
        <v>0</v>
      </c>
      <c r="C1061" s="5">
        <v>61</v>
      </c>
      <c r="D1061" s="5">
        <v>4</v>
      </c>
      <c r="E1061" s="5">
        <v>110</v>
      </c>
      <c r="F1061" s="5">
        <v>5</v>
      </c>
      <c r="G1061" s="5">
        <v>900</v>
      </c>
      <c r="H1061" s="5" t="s">
        <v>5250</v>
      </c>
      <c r="I1061" s="5" t="s">
        <v>5346</v>
      </c>
      <c r="J1061" s="5" t="s">
        <v>5363</v>
      </c>
      <c r="K1061" s="10" t="e">
        <f t="shared" si="0"/>
        <v>#VALUE!</v>
      </c>
      <c r="L1061" s="10">
        <f t="shared" si="1"/>
        <v>1</v>
      </c>
      <c r="M1061" s="10" t="str">
        <f t="shared" si="2"/>
        <v>008</v>
      </c>
      <c r="N1061" s="10" t="str">
        <f t="shared" si="3"/>
        <v>03</v>
      </c>
      <c r="O1061" s="10" t="str">
        <f t="shared" si="16"/>
        <v>NELAYAN</v>
      </c>
    </row>
    <row r="1062" spans="1:15" ht="12.5">
      <c r="A1062" s="115" t="s">
        <v>5364</v>
      </c>
      <c r="B1062" s="5">
        <v>0</v>
      </c>
      <c r="C1062" s="5">
        <v>61</v>
      </c>
      <c r="D1062" s="5">
        <v>4</v>
      </c>
      <c r="E1062" s="5">
        <v>110</v>
      </c>
      <c r="F1062" s="5">
        <v>6</v>
      </c>
      <c r="G1062" s="5">
        <v>100</v>
      </c>
      <c r="H1062" s="5" t="s">
        <v>5250</v>
      </c>
      <c r="I1062" s="5" t="s">
        <v>5365</v>
      </c>
      <c r="J1062" s="5" t="s">
        <v>5366</v>
      </c>
      <c r="K1062" s="10" t="e">
        <f t="shared" si="0"/>
        <v>#VALUE!</v>
      </c>
      <c r="L1062" s="10">
        <f t="shared" si="1"/>
        <v>1</v>
      </c>
      <c r="M1062" s="10" t="str">
        <f t="shared" si="2"/>
        <v>001</v>
      </c>
      <c r="N1062" s="10" t="str">
        <f t="shared" si="3"/>
        <v>01</v>
      </c>
      <c r="O1062" s="10" t="str">
        <f t="shared" si="16"/>
        <v>SABAR</v>
      </c>
    </row>
    <row r="1063" spans="1:15" ht="12.5">
      <c r="A1063" s="115" t="s">
        <v>5367</v>
      </c>
      <c r="B1063" s="5">
        <v>0</v>
      </c>
      <c r="C1063" s="5">
        <v>61</v>
      </c>
      <c r="D1063" s="5">
        <v>4</v>
      </c>
      <c r="E1063" s="5">
        <v>110</v>
      </c>
      <c r="F1063" s="5">
        <v>6</v>
      </c>
      <c r="G1063" s="5">
        <v>200</v>
      </c>
      <c r="H1063" s="5" t="s">
        <v>5250</v>
      </c>
      <c r="I1063" s="5" t="s">
        <v>5365</v>
      </c>
      <c r="J1063" s="5" t="s">
        <v>5368</v>
      </c>
      <c r="K1063" s="10" t="e">
        <f t="shared" si="0"/>
        <v>#VALUE!</v>
      </c>
      <c r="L1063" s="10">
        <f t="shared" si="1"/>
        <v>1</v>
      </c>
      <c r="M1063" s="10" t="str">
        <f t="shared" si="2"/>
        <v>002</v>
      </c>
      <c r="N1063" s="10" t="str">
        <f t="shared" si="3"/>
        <v>01</v>
      </c>
      <c r="O1063" s="10" t="str">
        <f t="shared" si="16"/>
        <v>SABAR</v>
      </c>
    </row>
    <row r="1064" spans="1:15" ht="12.5">
      <c r="A1064" s="115" t="s">
        <v>5369</v>
      </c>
      <c r="B1064" s="5">
        <v>0</v>
      </c>
      <c r="C1064" s="5">
        <v>61</v>
      </c>
      <c r="D1064" s="5">
        <v>4</v>
      </c>
      <c r="E1064" s="5">
        <v>110</v>
      </c>
      <c r="F1064" s="5">
        <v>6</v>
      </c>
      <c r="G1064" s="5">
        <v>300</v>
      </c>
      <c r="H1064" s="5" t="s">
        <v>5250</v>
      </c>
      <c r="I1064" s="5" t="s">
        <v>5365</v>
      </c>
      <c r="J1064" s="5" t="s">
        <v>5370</v>
      </c>
      <c r="K1064" s="10" t="e">
        <f t="shared" si="0"/>
        <v>#VALUE!</v>
      </c>
      <c r="L1064" s="10">
        <f t="shared" si="1"/>
        <v>1</v>
      </c>
      <c r="M1064" s="10" t="str">
        <f t="shared" si="2"/>
        <v>007</v>
      </c>
      <c r="N1064" s="10" t="str">
        <f t="shared" si="3"/>
        <v>04</v>
      </c>
      <c r="O1064" s="10" t="str">
        <f t="shared" si="16"/>
        <v>SABAR</v>
      </c>
    </row>
    <row r="1065" spans="1:15" ht="12.5">
      <c r="A1065" s="115" t="s">
        <v>5371</v>
      </c>
      <c r="B1065" s="5">
        <v>0</v>
      </c>
      <c r="C1065" s="5">
        <v>61</v>
      </c>
      <c r="D1065" s="5">
        <v>4</v>
      </c>
      <c r="E1065" s="5">
        <v>110</v>
      </c>
      <c r="F1065" s="5">
        <v>6</v>
      </c>
      <c r="G1065" s="5">
        <v>400</v>
      </c>
      <c r="H1065" s="5" t="s">
        <v>5250</v>
      </c>
      <c r="I1065" s="5" t="s">
        <v>5365</v>
      </c>
      <c r="J1065" s="5" t="s">
        <v>5372</v>
      </c>
      <c r="K1065" s="10" t="e">
        <f t="shared" si="0"/>
        <v>#VALUE!</v>
      </c>
      <c r="L1065" s="10">
        <f t="shared" si="1"/>
        <v>1</v>
      </c>
      <c r="M1065" s="10" t="str">
        <f t="shared" si="2"/>
        <v>008</v>
      </c>
      <c r="N1065" s="10" t="str">
        <f t="shared" si="3"/>
        <v>04</v>
      </c>
      <c r="O1065" s="10" t="str">
        <f t="shared" si="16"/>
        <v>SABAR</v>
      </c>
    </row>
    <row r="1066" spans="1:15" ht="12.5">
      <c r="A1066" s="115" t="s">
        <v>5373</v>
      </c>
      <c r="B1066" s="5">
        <v>0</v>
      </c>
      <c r="C1066" s="5">
        <v>61</v>
      </c>
      <c r="D1066" s="5">
        <v>4</v>
      </c>
      <c r="E1066" s="5">
        <v>110</v>
      </c>
      <c r="F1066" s="5">
        <v>6</v>
      </c>
      <c r="G1066" s="5">
        <v>500</v>
      </c>
      <c r="H1066" s="5" t="s">
        <v>5250</v>
      </c>
      <c r="I1066" s="5" t="s">
        <v>5365</v>
      </c>
      <c r="J1066" s="5" t="s">
        <v>5374</v>
      </c>
      <c r="K1066" s="10" t="e">
        <f t="shared" si="0"/>
        <v>#VALUE!</v>
      </c>
      <c r="L1066" s="10">
        <f t="shared" si="1"/>
        <v>1</v>
      </c>
      <c r="M1066" s="10" t="str">
        <f t="shared" si="2"/>
        <v>009</v>
      </c>
      <c r="N1066" s="10" t="str">
        <f t="shared" si="3"/>
        <v>04</v>
      </c>
      <c r="O1066" s="10" t="str">
        <f t="shared" si="16"/>
        <v>SABAR</v>
      </c>
    </row>
    <row r="1067" spans="1:15" ht="12.5">
      <c r="A1067" s="115" t="s">
        <v>5375</v>
      </c>
      <c r="B1067" s="5">
        <v>0</v>
      </c>
      <c r="C1067" s="5">
        <v>61</v>
      </c>
      <c r="D1067" s="5">
        <v>4</v>
      </c>
      <c r="E1067" s="5">
        <v>110</v>
      </c>
      <c r="F1067" s="5">
        <v>6</v>
      </c>
      <c r="G1067" s="5">
        <v>600</v>
      </c>
      <c r="H1067" s="5" t="s">
        <v>5250</v>
      </c>
      <c r="I1067" s="5" t="s">
        <v>5365</v>
      </c>
      <c r="J1067" s="5" t="s">
        <v>5376</v>
      </c>
      <c r="K1067" s="10" t="e">
        <f t="shared" si="0"/>
        <v>#VALUE!</v>
      </c>
      <c r="L1067" s="10">
        <f t="shared" si="1"/>
        <v>1</v>
      </c>
      <c r="M1067" s="10" t="str">
        <f t="shared" si="2"/>
        <v>003</v>
      </c>
      <c r="N1067" s="10" t="str">
        <f t="shared" si="3"/>
        <v>02</v>
      </c>
      <c r="O1067" s="10" t="str">
        <f t="shared" si="16"/>
        <v>TENANG</v>
      </c>
    </row>
    <row r="1068" spans="1:15" ht="12.5">
      <c r="A1068" s="115" t="s">
        <v>5377</v>
      </c>
      <c r="B1068" s="5">
        <v>0</v>
      </c>
      <c r="C1068" s="5">
        <v>61</v>
      </c>
      <c r="D1068" s="5">
        <v>4</v>
      </c>
      <c r="E1068" s="5">
        <v>110</v>
      </c>
      <c r="F1068" s="5">
        <v>6</v>
      </c>
      <c r="G1068" s="5">
        <v>700</v>
      </c>
      <c r="H1068" s="5" t="s">
        <v>5250</v>
      </c>
      <c r="I1068" s="5" t="s">
        <v>5365</v>
      </c>
      <c r="J1068" s="5" t="s">
        <v>5378</v>
      </c>
      <c r="K1068" s="10" t="e">
        <f t="shared" si="0"/>
        <v>#VALUE!</v>
      </c>
      <c r="L1068" s="10">
        <f t="shared" si="1"/>
        <v>1</v>
      </c>
      <c r="M1068" s="10" t="str">
        <f t="shared" si="2"/>
        <v>004</v>
      </c>
      <c r="N1068" s="10" t="str">
        <f t="shared" si="3"/>
        <v>02</v>
      </c>
      <c r="O1068" s="10" t="str">
        <f t="shared" si="16"/>
        <v>TENANG</v>
      </c>
    </row>
    <row r="1069" spans="1:15" ht="12.5">
      <c r="A1069" s="115" t="s">
        <v>5379</v>
      </c>
      <c r="B1069" s="5">
        <v>0</v>
      </c>
      <c r="C1069" s="5">
        <v>61</v>
      </c>
      <c r="D1069" s="5">
        <v>4</v>
      </c>
      <c r="E1069" s="5">
        <v>110</v>
      </c>
      <c r="F1069" s="5">
        <v>6</v>
      </c>
      <c r="G1069" s="5">
        <v>800</v>
      </c>
      <c r="H1069" s="5" t="s">
        <v>5250</v>
      </c>
      <c r="I1069" s="5" t="s">
        <v>5365</v>
      </c>
      <c r="J1069" s="5" t="s">
        <v>5380</v>
      </c>
      <c r="K1069" s="10" t="e">
        <f t="shared" si="0"/>
        <v>#VALUE!</v>
      </c>
      <c r="L1069" s="10">
        <f t="shared" si="1"/>
        <v>1</v>
      </c>
      <c r="M1069" s="10" t="str">
        <f t="shared" si="2"/>
        <v>005</v>
      </c>
      <c r="N1069" s="10" t="str">
        <f t="shared" si="3"/>
        <v>03</v>
      </c>
      <c r="O1069" s="10" t="str">
        <f t="shared" si="16"/>
        <v>TENANG</v>
      </c>
    </row>
    <row r="1070" spans="1:15" ht="12.5">
      <c r="A1070" s="115" t="s">
        <v>5381</v>
      </c>
      <c r="B1070" s="5">
        <v>0</v>
      </c>
      <c r="C1070" s="5">
        <v>61</v>
      </c>
      <c r="D1070" s="5">
        <v>4</v>
      </c>
      <c r="E1070" s="5">
        <v>110</v>
      </c>
      <c r="F1070" s="5">
        <v>6</v>
      </c>
      <c r="G1070" s="5">
        <v>900</v>
      </c>
      <c r="H1070" s="5" t="s">
        <v>5250</v>
      </c>
      <c r="I1070" s="5" t="s">
        <v>5365</v>
      </c>
      <c r="J1070" s="5" t="s">
        <v>5382</v>
      </c>
      <c r="K1070" s="10" t="e">
        <f t="shared" si="0"/>
        <v>#VALUE!</v>
      </c>
      <c r="L1070" s="10">
        <f t="shared" si="1"/>
        <v>1</v>
      </c>
      <c r="M1070" s="10" t="str">
        <f t="shared" si="2"/>
        <v>006</v>
      </c>
      <c r="N1070" s="10" t="str">
        <f t="shared" si="3"/>
        <v>03</v>
      </c>
      <c r="O1070" s="10" t="str">
        <f t="shared" si="16"/>
        <v>TENANG</v>
      </c>
    </row>
    <row r="1071" spans="1:15" ht="12.5">
      <c r="A1071" s="115" t="s">
        <v>5383</v>
      </c>
      <c r="B1071" s="5">
        <v>0</v>
      </c>
      <c r="C1071" s="5">
        <v>61</v>
      </c>
      <c r="D1071" s="5">
        <v>4</v>
      </c>
      <c r="E1071" s="5">
        <v>110</v>
      </c>
      <c r="F1071" s="5">
        <v>6</v>
      </c>
      <c r="G1071" s="5">
        <v>1100</v>
      </c>
      <c r="H1071" s="5" t="s">
        <v>5250</v>
      </c>
      <c r="I1071" s="5" t="s">
        <v>5365</v>
      </c>
      <c r="J1071" s="5" t="s">
        <v>5384</v>
      </c>
      <c r="K1071" s="10" t="e">
        <f t="shared" si="0"/>
        <v>#VALUE!</v>
      </c>
      <c r="L1071" s="10">
        <f t="shared" si="1"/>
        <v>1</v>
      </c>
      <c r="M1071" s="10" t="str">
        <f t="shared" si="2"/>
        <v>011</v>
      </c>
      <c r="N1071" s="10" t="str">
        <f t="shared" si="3"/>
        <v>05</v>
      </c>
      <c r="O1071" s="10" t="str">
        <f t="shared" si="16"/>
        <v>MUFAKAT</v>
      </c>
    </row>
    <row r="1072" spans="1:15" ht="12.5">
      <c r="A1072" s="115" t="s">
        <v>5385</v>
      </c>
      <c r="B1072" s="5">
        <v>0</v>
      </c>
      <c r="C1072" s="5">
        <v>61</v>
      </c>
      <c r="D1072" s="5">
        <v>4</v>
      </c>
      <c r="E1072" s="5">
        <v>110</v>
      </c>
      <c r="F1072" s="5">
        <v>6</v>
      </c>
      <c r="G1072" s="5">
        <v>1200</v>
      </c>
      <c r="H1072" s="5" t="s">
        <v>5250</v>
      </c>
      <c r="I1072" s="5" t="s">
        <v>5365</v>
      </c>
      <c r="J1072" s="5" t="s">
        <v>5386</v>
      </c>
      <c r="K1072" s="10" t="e">
        <f t="shared" si="0"/>
        <v>#VALUE!</v>
      </c>
      <c r="L1072" s="10">
        <f t="shared" si="1"/>
        <v>1</v>
      </c>
      <c r="M1072" s="10" t="str">
        <f t="shared" si="2"/>
        <v>012</v>
      </c>
      <c r="N1072" s="10" t="str">
        <f t="shared" si="3"/>
        <v>06</v>
      </c>
      <c r="O1072" s="10" t="str">
        <f t="shared" si="16"/>
        <v>MUFAKAT</v>
      </c>
    </row>
    <row r="1073" spans="1:15" ht="12.5">
      <c r="A1073" s="115" t="s">
        <v>5387</v>
      </c>
      <c r="B1073" s="5">
        <v>0</v>
      </c>
      <c r="C1073" s="5">
        <v>61</v>
      </c>
      <c r="D1073" s="5">
        <v>4</v>
      </c>
      <c r="E1073" s="5">
        <v>110</v>
      </c>
      <c r="F1073" s="5">
        <v>6</v>
      </c>
      <c r="G1073" s="5">
        <v>1300</v>
      </c>
      <c r="H1073" s="5" t="s">
        <v>5250</v>
      </c>
      <c r="I1073" s="5" t="s">
        <v>5365</v>
      </c>
      <c r="J1073" s="5" t="s">
        <v>5388</v>
      </c>
      <c r="K1073" s="10" t="e">
        <f t="shared" si="0"/>
        <v>#VALUE!</v>
      </c>
      <c r="L1073" s="10">
        <f t="shared" si="1"/>
        <v>1</v>
      </c>
      <c r="M1073" s="10" t="str">
        <f t="shared" si="2"/>
        <v>013</v>
      </c>
      <c r="N1073" s="10" t="str">
        <f t="shared" si="3"/>
        <v>06</v>
      </c>
      <c r="O1073" s="10" t="str">
        <f t="shared" si="16"/>
        <v>MUFAKAT</v>
      </c>
    </row>
    <row r="1074" spans="1:15" ht="12.5">
      <c r="A1074" s="115" t="s">
        <v>5389</v>
      </c>
      <c r="B1074" s="5">
        <v>2</v>
      </c>
      <c r="C1074" s="5">
        <v>61</v>
      </c>
      <c r="D1074" s="5">
        <v>4</v>
      </c>
      <c r="E1074" s="5">
        <v>110</v>
      </c>
      <c r="F1074" s="5">
        <v>6</v>
      </c>
      <c r="G1074" s="5">
        <v>200100</v>
      </c>
      <c r="H1074" s="5" t="s">
        <v>5250</v>
      </c>
      <c r="I1074" s="5" t="s">
        <v>5365</v>
      </c>
      <c r="J1074" s="5" t="s">
        <v>5390</v>
      </c>
      <c r="K1074" s="10" t="e">
        <f t="shared" si="0"/>
        <v>#VALUE!</v>
      </c>
      <c r="L1074" s="10">
        <f t="shared" si="1"/>
        <v>0</v>
      </c>
      <c r="M1074" s="10" t="str">
        <f t="shared" si="2"/>
        <v xml:space="preserve">AU </v>
      </c>
      <c r="N1074" s="10" t="str">
        <f t="shared" si="3"/>
        <v>JO</v>
      </c>
      <c r="O1074" s="10" t="str">
        <f t="shared" si="16"/>
        <v/>
      </c>
    </row>
    <row r="1075" spans="1:15" ht="12.5">
      <c r="A1075" s="115" t="s">
        <v>5391</v>
      </c>
      <c r="B1075" s="5">
        <v>2</v>
      </c>
      <c r="C1075" s="5">
        <v>61</v>
      </c>
      <c r="D1075" s="5">
        <v>4</v>
      </c>
      <c r="E1075" s="5">
        <v>110</v>
      </c>
      <c r="F1075" s="5">
        <v>6</v>
      </c>
      <c r="G1075" s="5">
        <v>200200</v>
      </c>
      <c r="H1075" s="5" t="s">
        <v>5250</v>
      </c>
      <c r="I1075" s="5" t="s">
        <v>5365</v>
      </c>
      <c r="J1075" s="5" t="s">
        <v>5392</v>
      </c>
      <c r="K1075" s="10" t="e">
        <f t="shared" si="0"/>
        <v>#VALUE!</v>
      </c>
      <c r="L1075" s="10">
        <f t="shared" si="1"/>
        <v>0</v>
      </c>
      <c r="M1075" s="10" t="str">
        <f t="shared" si="2"/>
        <v xml:space="preserve">AU </v>
      </c>
      <c r="N1075" s="10" t="str">
        <f t="shared" si="3"/>
        <v>R</v>
      </c>
      <c r="O1075" s="10" t="str">
        <f t="shared" si="16"/>
        <v/>
      </c>
    </row>
    <row r="1076" spans="1:15" ht="12.5">
      <c r="A1076" s="115" t="s">
        <v>5393</v>
      </c>
      <c r="B1076" s="5">
        <v>2</v>
      </c>
      <c r="C1076" s="5">
        <v>61</v>
      </c>
      <c r="D1076" s="5">
        <v>4</v>
      </c>
      <c r="E1076" s="5">
        <v>110</v>
      </c>
      <c r="F1076" s="5">
        <v>6</v>
      </c>
      <c r="G1076" s="5">
        <v>200300</v>
      </c>
      <c r="H1076" s="5" t="s">
        <v>5250</v>
      </c>
      <c r="I1076" s="5" t="s">
        <v>5365</v>
      </c>
      <c r="J1076" s="5" t="s">
        <v>5394</v>
      </c>
      <c r="K1076" s="10" t="e">
        <f t="shared" si="0"/>
        <v>#VALUE!</v>
      </c>
      <c r="L1076" s="10">
        <f t="shared" si="1"/>
        <v>0</v>
      </c>
      <c r="M1076" s="10" t="str">
        <f t="shared" si="2"/>
        <v xml:space="preserve">AU </v>
      </c>
      <c r="N1076" s="10" t="str">
        <f t="shared" si="3"/>
        <v>NJA</v>
      </c>
      <c r="O1076" s="10" t="str">
        <f t="shared" si="16"/>
        <v/>
      </c>
    </row>
    <row r="1077" spans="1:15" ht="12.5">
      <c r="A1077" s="115" t="s">
        <v>5395</v>
      </c>
      <c r="B1077" s="5">
        <v>5</v>
      </c>
      <c r="C1077" s="5">
        <v>61</v>
      </c>
      <c r="D1077" s="5">
        <v>4</v>
      </c>
      <c r="E1077" s="5">
        <v>110</v>
      </c>
      <c r="F1077" s="5">
        <v>6</v>
      </c>
      <c r="G1077" s="5">
        <v>500400</v>
      </c>
      <c r="H1077" s="5" t="s">
        <v>5250</v>
      </c>
      <c r="I1077" s="5" t="s">
        <v>5365</v>
      </c>
      <c r="J1077" s="5" t="s">
        <v>5396</v>
      </c>
      <c r="K1077" s="10" t="e">
        <f t="shared" si="0"/>
        <v>#VALUE!</v>
      </c>
      <c r="L1077" s="10">
        <f t="shared" si="1"/>
        <v>0</v>
      </c>
      <c r="M1077" s="10" t="str">
        <f t="shared" si="2"/>
        <v>ABU</v>
      </c>
      <c r="N1077" s="10" t="str">
        <f t="shared" si="3"/>
        <v>KIJ</v>
      </c>
      <c r="O1077" s="10" t="str">
        <f t="shared" si="16"/>
        <v/>
      </c>
    </row>
    <row r="1078" spans="1:15" ht="12.5">
      <c r="A1078" s="115" t="s">
        <v>5397</v>
      </c>
      <c r="B1078" s="5">
        <v>0</v>
      </c>
      <c r="C1078" s="5">
        <v>61</v>
      </c>
      <c r="D1078" s="5">
        <v>4</v>
      </c>
      <c r="E1078" s="5">
        <v>110</v>
      </c>
      <c r="F1078" s="5">
        <v>7</v>
      </c>
      <c r="G1078" s="5">
        <v>100</v>
      </c>
      <c r="H1078" s="5" t="s">
        <v>5250</v>
      </c>
      <c r="I1078" s="5" t="s">
        <v>5398</v>
      </c>
      <c r="J1078" s="5" t="s">
        <v>5399</v>
      </c>
      <c r="K1078" s="10" t="e">
        <f t="shared" si="0"/>
        <v>#VALUE!</v>
      </c>
      <c r="L1078" s="10">
        <f t="shared" si="1"/>
        <v>1</v>
      </c>
      <c r="M1078" s="10" t="str">
        <f t="shared" si="2"/>
        <v>001</v>
      </c>
      <c r="N1078" s="10" t="str">
        <f t="shared" si="3"/>
        <v>01</v>
      </c>
      <c r="O1078" s="10" t="str">
        <f t="shared" si="16"/>
        <v>MELATI</v>
      </c>
    </row>
    <row r="1079" spans="1:15" ht="12.5">
      <c r="A1079" s="115" t="s">
        <v>5400</v>
      </c>
      <c r="B1079" s="5">
        <v>0</v>
      </c>
      <c r="C1079" s="5">
        <v>61</v>
      </c>
      <c r="D1079" s="5">
        <v>4</v>
      </c>
      <c r="E1079" s="5">
        <v>110</v>
      </c>
      <c r="F1079" s="5">
        <v>7</v>
      </c>
      <c r="G1079" s="5">
        <v>200</v>
      </c>
      <c r="H1079" s="5" t="s">
        <v>5250</v>
      </c>
      <c r="I1079" s="5" t="s">
        <v>5398</v>
      </c>
      <c r="J1079" s="5" t="s">
        <v>5401</v>
      </c>
      <c r="K1079" s="10" t="e">
        <f t="shared" si="0"/>
        <v>#VALUE!</v>
      </c>
      <c r="L1079" s="10">
        <f t="shared" si="1"/>
        <v>1</v>
      </c>
      <c r="M1079" s="10" t="str">
        <f t="shared" si="2"/>
        <v>002</v>
      </c>
      <c r="N1079" s="10" t="str">
        <f t="shared" si="3"/>
        <v>01</v>
      </c>
      <c r="O1079" s="10" t="str">
        <f t="shared" si="16"/>
        <v>MELATI</v>
      </c>
    </row>
    <row r="1080" spans="1:15" ht="12.5">
      <c r="A1080" s="115" t="s">
        <v>5402</v>
      </c>
      <c r="B1080" s="5">
        <v>0</v>
      </c>
      <c r="C1080" s="5">
        <v>61</v>
      </c>
      <c r="D1080" s="5">
        <v>4</v>
      </c>
      <c r="E1080" s="5">
        <v>110</v>
      </c>
      <c r="F1080" s="5">
        <v>7</v>
      </c>
      <c r="G1080" s="5">
        <v>300</v>
      </c>
      <c r="H1080" s="5" t="s">
        <v>5250</v>
      </c>
      <c r="I1080" s="5" t="s">
        <v>5398</v>
      </c>
      <c r="J1080" s="5" t="s">
        <v>5403</v>
      </c>
      <c r="K1080" s="10" t="e">
        <f t="shared" si="0"/>
        <v>#VALUE!</v>
      </c>
      <c r="L1080" s="10">
        <f t="shared" si="1"/>
        <v>1</v>
      </c>
      <c r="M1080" s="10" t="str">
        <f t="shared" si="2"/>
        <v>003</v>
      </c>
      <c r="N1080" s="10" t="str">
        <f t="shared" si="3"/>
        <v>01</v>
      </c>
      <c r="O1080" s="10" t="str">
        <f t="shared" si="16"/>
        <v>MELATI</v>
      </c>
    </row>
    <row r="1081" spans="1:15" ht="12.5">
      <c r="A1081" s="115" t="s">
        <v>5404</v>
      </c>
      <c r="B1081" s="5">
        <v>0</v>
      </c>
      <c r="C1081" s="5">
        <v>61</v>
      </c>
      <c r="D1081" s="5">
        <v>4</v>
      </c>
      <c r="E1081" s="5">
        <v>110</v>
      </c>
      <c r="F1081" s="5">
        <v>7</v>
      </c>
      <c r="G1081" s="5">
        <v>400</v>
      </c>
      <c r="H1081" s="5" t="s">
        <v>5250</v>
      </c>
      <c r="I1081" s="5" t="s">
        <v>5398</v>
      </c>
      <c r="J1081" s="5" t="s">
        <v>5405</v>
      </c>
      <c r="K1081" s="10" t="e">
        <f t="shared" si="0"/>
        <v>#VALUE!</v>
      </c>
      <c r="L1081" s="10">
        <f t="shared" si="1"/>
        <v>1</v>
      </c>
      <c r="M1081" s="10" t="str">
        <f t="shared" si="2"/>
        <v>004</v>
      </c>
      <c r="N1081" s="10" t="str">
        <f t="shared" si="3"/>
        <v>02</v>
      </c>
      <c r="O1081" s="10" t="str">
        <f t="shared" si="16"/>
        <v>MAWAR</v>
      </c>
    </row>
    <row r="1082" spans="1:15" ht="12.5">
      <c r="A1082" s="115" t="s">
        <v>5406</v>
      </c>
      <c r="B1082" s="5">
        <v>0</v>
      </c>
      <c r="C1082" s="5">
        <v>61</v>
      </c>
      <c r="D1082" s="5">
        <v>4</v>
      </c>
      <c r="E1082" s="5">
        <v>110</v>
      </c>
      <c r="F1082" s="5">
        <v>7</v>
      </c>
      <c r="G1082" s="5">
        <v>500</v>
      </c>
      <c r="H1082" s="5" t="s">
        <v>5250</v>
      </c>
      <c r="I1082" s="5" t="s">
        <v>5398</v>
      </c>
      <c r="J1082" s="5" t="s">
        <v>3255</v>
      </c>
      <c r="K1082" s="10" t="e">
        <f t="shared" si="0"/>
        <v>#VALUE!</v>
      </c>
      <c r="L1082" s="10">
        <f t="shared" si="1"/>
        <v>1</v>
      </c>
      <c r="M1082" s="10" t="str">
        <f t="shared" si="2"/>
        <v>005</v>
      </c>
      <c r="N1082" s="10" t="str">
        <f t="shared" si="3"/>
        <v>02</v>
      </c>
      <c r="O1082" s="10" t="str">
        <f t="shared" si="16"/>
        <v>MAWAR</v>
      </c>
    </row>
    <row r="1083" spans="1:15" ht="12.5">
      <c r="A1083" s="115" t="s">
        <v>5407</v>
      </c>
      <c r="B1083" s="5">
        <v>0</v>
      </c>
      <c r="C1083" s="5">
        <v>61</v>
      </c>
      <c r="D1083" s="5">
        <v>4</v>
      </c>
      <c r="E1083" s="5">
        <v>110</v>
      </c>
      <c r="F1083" s="5">
        <v>7</v>
      </c>
      <c r="G1083" s="5">
        <v>600</v>
      </c>
      <c r="H1083" s="5" t="s">
        <v>5250</v>
      </c>
      <c r="I1083" s="5" t="s">
        <v>5398</v>
      </c>
      <c r="J1083" s="5" t="s">
        <v>3257</v>
      </c>
      <c r="K1083" s="10" t="e">
        <f t="shared" si="0"/>
        <v>#VALUE!</v>
      </c>
      <c r="L1083" s="10">
        <f t="shared" si="1"/>
        <v>1</v>
      </c>
      <c r="M1083" s="10" t="str">
        <f t="shared" si="2"/>
        <v>006</v>
      </c>
      <c r="N1083" s="10" t="str">
        <f t="shared" si="3"/>
        <v>02</v>
      </c>
      <c r="O1083" s="10" t="str">
        <f t="shared" si="16"/>
        <v>MAWAR</v>
      </c>
    </row>
    <row r="1084" spans="1:15" ht="12.5">
      <c r="A1084" s="115" t="s">
        <v>5408</v>
      </c>
      <c r="B1084" s="5">
        <v>0</v>
      </c>
      <c r="C1084" s="5">
        <v>61</v>
      </c>
      <c r="D1084" s="5">
        <v>4</v>
      </c>
      <c r="E1084" s="5">
        <v>110</v>
      </c>
      <c r="F1084" s="5">
        <v>7</v>
      </c>
      <c r="G1084" s="5">
        <v>700</v>
      </c>
      <c r="H1084" s="5" t="s">
        <v>5250</v>
      </c>
      <c r="I1084" s="5" t="s">
        <v>5398</v>
      </c>
      <c r="J1084" s="5" t="s">
        <v>5409</v>
      </c>
      <c r="K1084" s="10" t="e">
        <f t="shared" si="0"/>
        <v>#VALUE!</v>
      </c>
      <c r="L1084" s="10">
        <f t="shared" si="1"/>
        <v>1</v>
      </c>
      <c r="M1084" s="10" t="str">
        <f t="shared" si="2"/>
        <v>007</v>
      </c>
      <c r="N1084" s="10" t="str">
        <f t="shared" si="3"/>
        <v>03</v>
      </c>
      <c r="O1084" s="10" t="str">
        <f t="shared" si="16"/>
        <v>CEMPAKA</v>
      </c>
    </row>
    <row r="1085" spans="1:15" ht="12.5">
      <c r="A1085" s="115" t="s">
        <v>5410</v>
      </c>
      <c r="B1085" s="5">
        <v>0</v>
      </c>
      <c r="C1085" s="5">
        <v>61</v>
      </c>
      <c r="D1085" s="5">
        <v>4</v>
      </c>
      <c r="E1085" s="5">
        <v>110</v>
      </c>
      <c r="F1085" s="5">
        <v>7</v>
      </c>
      <c r="G1085" s="5">
        <v>800</v>
      </c>
      <c r="H1085" s="5" t="s">
        <v>5250</v>
      </c>
      <c r="I1085" s="5" t="s">
        <v>5398</v>
      </c>
      <c r="J1085" s="5" t="s">
        <v>5411</v>
      </c>
      <c r="K1085" s="10" t="e">
        <f t="shared" si="0"/>
        <v>#VALUE!</v>
      </c>
      <c r="L1085" s="10">
        <f t="shared" si="1"/>
        <v>1</v>
      </c>
      <c r="M1085" s="10" t="str">
        <f t="shared" si="2"/>
        <v>008</v>
      </c>
      <c r="N1085" s="10" t="str">
        <f t="shared" si="3"/>
        <v>03</v>
      </c>
      <c r="O1085" s="10" t="str">
        <f t="shared" si="16"/>
        <v>CEMPAKA</v>
      </c>
    </row>
    <row r="1086" spans="1:15" ht="12.5">
      <c r="A1086" s="115" t="s">
        <v>5412</v>
      </c>
      <c r="B1086" s="5">
        <v>0</v>
      </c>
      <c r="C1086" s="5">
        <v>61</v>
      </c>
      <c r="D1086" s="5">
        <v>4</v>
      </c>
      <c r="E1086" s="5">
        <v>110</v>
      </c>
      <c r="F1086" s="5">
        <v>7</v>
      </c>
      <c r="G1086" s="5">
        <v>900</v>
      </c>
      <c r="H1086" s="5" t="s">
        <v>5250</v>
      </c>
      <c r="I1086" s="5" t="s">
        <v>5398</v>
      </c>
      <c r="J1086" s="5" t="s">
        <v>5413</v>
      </c>
      <c r="K1086" s="10" t="e">
        <f t="shared" si="0"/>
        <v>#VALUE!</v>
      </c>
      <c r="L1086" s="10">
        <f t="shared" si="1"/>
        <v>1</v>
      </c>
      <c r="M1086" s="10" t="str">
        <f t="shared" si="2"/>
        <v>009</v>
      </c>
      <c r="N1086" s="10" t="str">
        <f t="shared" si="3"/>
        <v>03</v>
      </c>
      <c r="O1086" s="10" t="str">
        <f t="shared" si="16"/>
        <v>CEMPAKA</v>
      </c>
    </row>
    <row r="1087" spans="1:15" ht="12.5">
      <c r="A1087" s="115" t="s">
        <v>5414</v>
      </c>
      <c r="B1087" s="5">
        <v>0</v>
      </c>
      <c r="C1087" s="5">
        <v>61</v>
      </c>
      <c r="D1087" s="5">
        <v>4</v>
      </c>
      <c r="E1087" s="5">
        <v>110</v>
      </c>
      <c r="F1087" s="5">
        <v>8</v>
      </c>
      <c r="G1087" s="5">
        <v>100</v>
      </c>
      <c r="H1087" s="5" t="s">
        <v>5250</v>
      </c>
      <c r="I1087" s="5" t="s">
        <v>5415</v>
      </c>
      <c r="J1087" s="5" t="s">
        <v>5416</v>
      </c>
      <c r="K1087" s="10" t="e">
        <f t="shared" si="0"/>
        <v>#VALUE!</v>
      </c>
      <c r="L1087" s="10">
        <f t="shared" si="1"/>
        <v>1</v>
      </c>
      <c r="M1087" s="10" t="str">
        <f t="shared" si="2"/>
        <v>001</v>
      </c>
      <c r="N1087" s="10" t="str">
        <f t="shared" si="3"/>
        <v>01</v>
      </c>
      <c r="O1087" s="10" t="str">
        <f t="shared" si="16"/>
        <v>SEMAYAR</v>
      </c>
    </row>
    <row r="1088" spans="1:15" ht="12.5">
      <c r="A1088" s="115" t="s">
        <v>5417</v>
      </c>
      <c r="B1088" s="5">
        <v>0</v>
      </c>
      <c r="C1088" s="5">
        <v>61</v>
      </c>
      <c r="D1088" s="5">
        <v>4</v>
      </c>
      <c r="E1088" s="5">
        <v>110</v>
      </c>
      <c r="F1088" s="5">
        <v>8</v>
      </c>
      <c r="G1088" s="5">
        <v>200</v>
      </c>
      <c r="H1088" s="5" t="s">
        <v>5250</v>
      </c>
      <c r="I1088" s="5" t="s">
        <v>5415</v>
      </c>
      <c r="J1088" s="5" t="s">
        <v>5418</v>
      </c>
      <c r="K1088" s="10" t="e">
        <f t="shared" si="0"/>
        <v>#VALUE!</v>
      </c>
      <c r="L1088" s="10">
        <f t="shared" si="1"/>
        <v>1</v>
      </c>
      <c r="M1088" s="10" t="str">
        <f t="shared" si="2"/>
        <v>002</v>
      </c>
      <c r="N1088" s="10" t="str">
        <f t="shared" si="3"/>
        <v>01</v>
      </c>
      <c r="O1088" s="10" t="str">
        <f t="shared" si="16"/>
        <v>SEMAYAR</v>
      </c>
    </row>
    <row r="1089" spans="1:15" ht="12.5">
      <c r="A1089" s="115" t="s">
        <v>5419</v>
      </c>
      <c r="B1089" s="5">
        <v>0</v>
      </c>
      <c r="C1089" s="5">
        <v>61</v>
      </c>
      <c r="D1089" s="5">
        <v>4</v>
      </c>
      <c r="E1089" s="5">
        <v>110</v>
      </c>
      <c r="F1089" s="5">
        <v>8</v>
      </c>
      <c r="G1089" s="5">
        <v>300</v>
      </c>
      <c r="H1089" s="5" t="s">
        <v>5250</v>
      </c>
      <c r="I1089" s="5" t="s">
        <v>5415</v>
      </c>
      <c r="J1089" s="5" t="s">
        <v>5420</v>
      </c>
      <c r="K1089" s="10" t="e">
        <f t="shared" si="0"/>
        <v>#VALUE!</v>
      </c>
      <c r="L1089" s="10">
        <f t="shared" si="1"/>
        <v>1</v>
      </c>
      <c r="M1089" s="10" t="str">
        <f t="shared" si="2"/>
        <v>003</v>
      </c>
      <c r="N1089" s="10" t="str">
        <f t="shared" si="3"/>
        <v>01</v>
      </c>
      <c r="O1089" s="10" t="str">
        <f t="shared" si="16"/>
        <v>SEMAYAR</v>
      </c>
    </row>
    <row r="1090" spans="1:15" ht="12.5">
      <c r="A1090" s="115" t="s">
        <v>5421</v>
      </c>
      <c r="B1090" s="5">
        <v>0</v>
      </c>
      <c r="C1090" s="5">
        <v>61</v>
      </c>
      <c r="D1090" s="5">
        <v>4</v>
      </c>
      <c r="E1090" s="5">
        <v>110</v>
      </c>
      <c r="F1090" s="5">
        <v>8</v>
      </c>
      <c r="G1090" s="5">
        <v>400</v>
      </c>
      <c r="H1090" s="5" t="s">
        <v>5250</v>
      </c>
      <c r="I1090" s="5" t="s">
        <v>5415</v>
      </c>
      <c r="J1090" s="5" t="s">
        <v>5422</v>
      </c>
      <c r="K1090" s="10" t="e">
        <f t="shared" si="0"/>
        <v>#VALUE!</v>
      </c>
      <c r="L1090" s="10">
        <f t="shared" si="1"/>
        <v>1</v>
      </c>
      <c r="M1090" s="10" t="str">
        <f t="shared" si="2"/>
        <v>004</v>
      </c>
      <c r="N1090" s="10" t="str">
        <f t="shared" si="3"/>
        <v>02</v>
      </c>
      <c r="O1090" s="10" t="str">
        <f t="shared" si="16"/>
        <v>SEMAYAR</v>
      </c>
    </row>
    <row r="1091" spans="1:15" ht="12.5">
      <c r="A1091" s="115" t="s">
        <v>5423</v>
      </c>
      <c r="B1091" s="5">
        <v>0</v>
      </c>
      <c r="C1091" s="5">
        <v>61</v>
      </c>
      <c r="D1091" s="5">
        <v>4</v>
      </c>
      <c r="E1091" s="5">
        <v>110</v>
      </c>
      <c r="F1091" s="5">
        <v>8</v>
      </c>
      <c r="G1091" s="5">
        <v>500</v>
      </c>
      <c r="H1091" s="5" t="s">
        <v>5250</v>
      </c>
      <c r="I1091" s="5" t="s">
        <v>5415</v>
      </c>
      <c r="J1091" s="5" t="s">
        <v>5424</v>
      </c>
      <c r="K1091" s="10" t="e">
        <f t="shared" si="0"/>
        <v>#VALUE!</v>
      </c>
      <c r="L1091" s="10">
        <f t="shared" si="1"/>
        <v>1</v>
      </c>
      <c r="M1091" s="10" t="str">
        <f t="shared" si="2"/>
        <v>005</v>
      </c>
      <c r="N1091" s="10" t="str">
        <f t="shared" si="3"/>
        <v>02</v>
      </c>
      <c r="O1091" s="10" t="str">
        <f t="shared" si="16"/>
        <v>SEKIP II</v>
      </c>
    </row>
    <row r="1092" spans="1:15" ht="12.5">
      <c r="A1092" s="115" t="s">
        <v>5425</v>
      </c>
      <c r="B1092" s="5">
        <v>0</v>
      </c>
      <c r="C1092" s="5">
        <v>61</v>
      </c>
      <c r="D1092" s="5">
        <v>4</v>
      </c>
      <c r="E1092" s="5">
        <v>110</v>
      </c>
      <c r="F1092" s="5">
        <v>8</v>
      </c>
      <c r="G1092" s="5">
        <v>600</v>
      </c>
      <c r="H1092" s="5" t="s">
        <v>5250</v>
      </c>
      <c r="I1092" s="5" t="s">
        <v>5415</v>
      </c>
      <c r="J1092" s="5" t="s">
        <v>5426</v>
      </c>
      <c r="K1092" s="10" t="e">
        <f t="shared" si="0"/>
        <v>#VALUE!</v>
      </c>
      <c r="L1092" s="10">
        <f t="shared" si="1"/>
        <v>1</v>
      </c>
      <c r="M1092" s="10" t="str">
        <f t="shared" si="2"/>
        <v>006</v>
      </c>
      <c r="N1092" s="10" t="str">
        <f t="shared" si="3"/>
        <v>02</v>
      </c>
      <c r="O1092" s="10" t="str">
        <f t="shared" si="16"/>
        <v>SEKIP II</v>
      </c>
    </row>
    <row r="1093" spans="1:15" ht="12.5">
      <c r="A1093" s="115" t="s">
        <v>5427</v>
      </c>
      <c r="B1093" s="5">
        <v>0</v>
      </c>
      <c r="C1093" s="5">
        <v>61</v>
      </c>
      <c r="D1093" s="5">
        <v>4</v>
      </c>
      <c r="E1093" s="5">
        <v>110</v>
      </c>
      <c r="F1093" s="5">
        <v>8</v>
      </c>
      <c r="G1093" s="5">
        <v>700</v>
      </c>
      <c r="H1093" s="5" t="s">
        <v>5250</v>
      </c>
      <c r="I1093" s="5" t="s">
        <v>5415</v>
      </c>
      <c r="J1093" s="5" t="s">
        <v>5428</v>
      </c>
      <c r="K1093" s="10" t="e">
        <f t="shared" si="0"/>
        <v>#VALUE!</v>
      </c>
      <c r="L1093" s="10">
        <f t="shared" si="1"/>
        <v>1</v>
      </c>
      <c r="M1093" s="10" t="str">
        <f t="shared" si="2"/>
        <v>007</v>
      </c>
      <c r="N1093" s="10" t="str">
        <f t="shared" si="3"/>
        <v>02</v>
      </c>
      <c r="O1093" s="10" t="str">
        <f t="shared" si="16"/>
        <v>SEKIP II</v>
      </c>
    </row>
    <row r="1094" spans="1:15" ht="12.5">
      <c r="A1094" s="115" t="s">
        <v>5429</v>
      </c>
      <c r="B1094" s="5">
        <v>0</v>
      </c>
      <c r="C1094" s="5">
        <v>61</v>
      </c>
      <c r="D1094" s="5">
        <v>4</v>
      </c>
      <c r="E1094" s="5">
        <v>110</v>
      </c>
      <c r="F1094" s="5">
        <v>8</v>
      </c>
      <c r="G1094" s="5">
        <v>800</v>
      </c>
      <c r="H1094" s="5" t="s">
        <v>5250</v>
      </c>
      <c r="I1094" s="5" t="s">
        <v>5415</v>
      </c>
      <c r="J1094" s="5" t="s">
        <v>5430</v>
      </c>
      <c r="K1094" s="10" t="e">
        <f t="shared" si="0"/>
        <v>#VALUE!</v>
      </c>
      <c r="L1094" s="10">
        <f t="shared" si="1"/>
        <v>1</v>
      </c>
      <c r="M1094" s="10" t="str">
        <f t="shared" si="2"/>
        <v>008</v>
      </c>
      <c r="N1094" s="10" t="str">
        <f t="shared" si="3"/>
        <v>03</v>
      </c>
      <c r="O1094" s="10" t="str">
        <f t="shared" si="16"/>
        <v>SEKIP I</v>
      </c>
    </row>
    <row r="1095" spans="1:15" ht="12.5">
      <c r="A1095" s="115" t="s">
        <v>5431</v>
      </c>
      <c r="B1095" s="5">
        <v>0</v>
      </c>
      <c r="C1095" s="5">
        <v>61</v>
      </c>
      <c r="D1095" s="5">
        <v>4</v>
      </c>
      <c r="E1095" s="5">
        <v>110</v>
      </c>
      <c r="F1095" s="5">
        <v>8</v>
      </c>
      <c r="G1095" s="5">
        <v>900</v>
      </c>
      <c r="H1095" s="5" t="s">
        <v>5250</v>
      </c>
      <c r="I1095" s="5" t="s">
        <v>5415</v>
      </c>
      <c r="J1095" s="5" t="s">
        <v>5432</v>
      </c>
      <c r="K1095" s="10" t="e">
        <f t="shared" si="0"/>
        <v>#VALUE!</v>
      </c>
      <c r="L1095" s="10">
        <f t="shared" si="1"/>
        <v>1</v>
      </c>
      <c r="M1095" s="10" t="str">
        <f t="shared" si="2"/>
        <v>009</v>
      </c>
      <c r="N1095" s="10" t="str">
        <f t="shared" si="3"/>
        <v>03</v>
      </c>
      <c r="O1095" s="10" t="str">
        <f t="shared" si="16"/>
        <v>SEKIP I</v>
      </c>
    </row>
    <row r="1096" spans="1:15" ht="12.5">
      <c r="A1096" s="115" t="s">
        <v>5433</v>
      </c>
      <c r="B1096" s="5">
        <v>0</v>
      </c>
      <c r="C1096" s="5">
        <v>61</v>
      </c>
      <c r="D1096" s="5">
        <v>4</v>
      </c>
      <c r="E1096" s="5">
        <v>110</v>
      </c>
      <c r="F1096" s="5">
        <v>8</v>
      </c>
      <c r="G1096" s="5">
        <v>1000</v>
      </c>
      <c r="H1096" s="5" t="s">
        <v>5250</v>
      </c>
      <c r="I1096" s="5" t="s">
        <v>5415</v>
      </c>
      <c r="J1096" s="5" t="s">
        <v>5434</v>
      </c>
      <c r="K1096" s="10" t="e">
        <f t="shared" si="0"/>
        <v>#VALUE!</v>
      </c>
      <c r="L1096" s="10">
        <f t="shared" si="1"/>
        <v>1</v>
      </c>
      <c r="M1096" s="10" t="str">
        <f t="shared" si="2"/>
        <v>010</v>
      </c>
      <c r="N1096" s="10" t="str">
        <f t="shared" si="3"/>
        <v>03</v>
      </c>
      <c r="O1096" s="10" t="str">
        <f t="shared" si="16"/>
        <v>SEKIP I</v>
      </c>
    </row>
    <row r="1097" spans="1:15" ht="12.5">
      <c r="A1097" s="115" t="s">
        <v>5435</v>
      </c>
      <c r="B1097" s="5">
        <v>1</v>
      </c>
      <c r="C1097" s="5">
        <v>61</v>
      </c>
      <c r="D1097" s="5">
        <v>4</v>
      </c>
      <c r="E1097" s="5">
        <v>110</v>
      </c>
      <c r="F1097" s="5">
        <v>8</v>
      </c>
      <c r="G1097" s="5">
        <v>100200</v>
      </c>
      <c r="H1097" s="5" t="s">
        <v>5250</v>
      </c>
      <c r="I1097" s="5" t="s">
        <v>5415</v>
      </c>
      <c r="J1097" s="5" t="s">
        <v>5436</v>
      </c>
      <c r="K1097" s="10" t="e">
        <f t="shared" si="0"/>
        <v>#VALUE!</v>
      </c>
      <c r="L1097" s="10">
        <f t="shared" si="1"/>
        <v>0</v>
      </c>
      <c r="M1097" s="10" t="str">
        <f t="shared" si="2"/>
        <v>KEB</v>
      </c>
      <c r="N1097" s="10" t="str">
        <f t="shared" si="3"/>
        <v>DI</v>
      </c>
      <c r="O1097" s="10" t="str">
        <f t="shared" si="16"/>
        <v/>
      </c>
    </row>
    <row r="1098" spans="1:15" ht="12.5">
      <c r="A1098" s="115" t="s">
        <v>5437</v>
      </c>
      <c r="B1098" s="5">
        <v>2</v>
      </c>
      <c r="C1098" s="5">
        <v>61</v>
      </c>
      <c r="D1098" s="5">
        <v>4</v>
      </c>
      <c r="E1098" s="5">
        <v>110</v>
      </c>
      <c r="F1098" s="5">
        <v>8</v>
      </c>
      <c r="G1098" s="5">
        <v>200100</v>
      </c>
      <c r="H1098" s="5" t="s">
        <v>5250</v>
      </c>
      <c r="I1098" s="5" t="s">
        <v>5415</v>
      </c>
      <c r="J1098" s="5" t="s">
        <v>3517</v>
      </c>
      <c r="K1098" s="10" t="e">
        <f t="shared" si="0"/>
        <v>#VALUE!</v>
      </c>
      <c r="L1098" s="10">
        <f t="shared" si="1"/>
        <v>0</v>
      </c>
      <c r="M1098" s="10" t="str">
        <f t="shared" si="2"/>
        <v>AN</v>
      </c>
      <c r="N1098" s="10" t="str">
        <f t="shared" si="3"/>
        <v/>
      </c>
      <c r="O1098" s="10" t="str">
        <f t="shared" si="16"/>
        <v/>
      </c>
    </row>
    <row r="1099" spans="1:15" ht="12.5">
      <c r="A1099" s="115" t="s">
        <v>5438</v>
      </c>
      <c r="B1099" s="5">
        <v>0</v>
      </c>
      <c r="C1099" s="5">
        <v>61</v>
      </c>
      <c r="D1099" s="5">
        <v>4</v>
      </c>
      <c r="E1099" s="5">
        <v>110</v>
      </c>
      <c r="F1099" s="5">
        <v>9</v>
      </c>
      <c r="G1099" s="5">
        <v>100</v>
      </c>
      <c r="H1099" s="5" t="s">
        <v>5250</v>
      </c>
      <c r="I1099" s="5" t="s">
        <v>5439</v>
      </c>
      <c r="J1099" s="5" t="s">
        <v>5440</v>
      </c>
      <c r="K1099" s="10" t="e">
        <f t="shared" si="0"/>
        <v>#VALUE!</v>
      </c>
      <c r="L1099" s="10">
        <f t="shared" si="1"/>
        <v>1</v>
      </c>
      <c r="M1099" s="10" t="str">
        <f t="shared" si="2"/>
        <v>001</v>
      </c>
      <c r="N1099" s="10" t="str">
        <f t="shared" si="3"/>
        <v>01</v>
      </c>
      <c r="O1099" s="10" t="str">
        <f t="shared" si="16"/>
        <v>KARYA UTAM</v>
      </c>
    </row>
    <row r="1100" spans="1:15" ht="12.5">
      <c r="A1100" s="115" t="s">
        <v>5441</v>
      </c>
      <c r="B1100" s="5">
        <v>0</v>
      </c>
      <c r="C1100" s="5">
        <v>61</v>
      </c>
      <c r="D1100" s="5">
        <v>4</v>
      </c>
      <c r="E1100" s="5">
        <v>110</v>
      </c>
      <c r="F1100" s="5">
        <v>9</v>
      </c>
      <c r="G1100" s="5">
        <v>200</v>
      </c>
      <c r="H1100" s="5" t="s">
        <v>5250</v>
      </c>
      <c r="I1100" s="5" t="s">
        <v>5439</v>
      </c>
      <c r="J1100" s="5" t="s">
        <v>5442</v>
      </c>
      <c r="K1100" s="10" t="e">
        <f t="shared" si="0"/>
        <v>#VALUE!</v>
      </c>
      <c r="L1100" s="10">
        <f t="shared" si="1"/>
        <v>1</v>
      </c>
      <c r="M1100" s="10" t="str">
        <f t="shared" si="2"/>
        <v>002</v>
      </c>
      <c r="N1100" s="10" t="str">
        <f t="shared" si="3"/>
        <v>01</v>
      </c>
      <c r="O1100" s="10" t="str">
        <f t="shared" si="16"/>
        <v>KARYA UTAM</v>
      </c>
    </row>
    <row r="1101" spans="1:15" ht="12.5">
      <c r="A1101" s="115" t="s">
        <v>5443</v>
      </c>
      <c r="B1101" s="5">
        <v>0</v>
      </c>
      <c r="C1101" s="5">
        <v>61</v>
      </c>
      <c r="D1101" s="5">
        <v>4</v>
      </c>
      <c r="E1101" s="5">
        <v>110</v>
      </c>
      <c r="F1101" s="5">
        <v>9</v>
      </c>
      <c r="G1101" s="5">
        <v>300</v>
      </c>
      <c r="H1101" s="5" t="s">
        <v>5250</v>
      </c>
      <c r="I1101" s="5" t="s">
        <v>5439</v>
      </c>
      <c r="J1101" s="5" t="s">
        <v>5444</v>
      </c>
      <c r="K1101" s="10" t="e">
        <f t="shared" si="0"/>
        <v>#VALUE!</v>
      </c>
      <c r="L1101" s="10">
        <f t="shared" si="1"/>
        <v>1</v>
      </c>
      <c r="M1101" s="10" t="str">
        <f t="shared" si="2"/>
        <v>003</v>
      </c>
      <c r="N1101" s="10" t="str">
        <f t="shared" si="3"/>
        <v>01</v>
      </c>
      <c r="O1101" s="10" t="str">
        <f t="shared" si="16"/>
        <v>KARYA UTAM</v>
      </c>
    </row>
    <row r="1102" spans="1:15" ht="12.5">
      <c r="A1102" s="115" t="s">
        <v>5445</v>
      </c>
      <c r="B1102" s="5">
        <v>0</v>
      </c>
      <c r="C1102" s="5">
        <v>61</v>
      </c>
      <c r="D1102" s="5">
        <v>4</v>
      </c>
      <c r="E1102" s="5">
        <v>110</v>
      </c>
      <c r="F1102" s="5">
        <v>9</v>
      </c>
      <c r="G1102" s="5">
        <v>400</v>
      </c>
      <c r="H1102" s="5" t="s">
        <v>5250</v>
      </c>
      <c r="I1102" s="5" t="s">
        <v>5439</v>
      </c>
      <c r="J1102" s="5" t="s">
        <v>5446</v>
      </c>
      <c r="K1102" s="10" t="e">
        <f t="shared" si="0"/>
        <v>#VALUE!</v>
      </c>
      <c r="L1102" s="10">
        <f t="shared" si="1"/>
        <v>1</v>
      </c>
      <c r="M1102" s="10" t="str">
        <f t="shared" si="2"/>
        <v>004</v>
      </c>
      <c r="N1102" s="10" t="str">
        <f t="shared" si="3"/>
        <v>01</v>
      </c>
      <c r="O1102" s="10" t="str">
        <f t="shared" si="16"/>
        <v>KARYA UTAM</v>
      </c>
    </row>
    <row r="1103" spans="1:15" ht="12.5">
      <c r="A1103" s="115" t="s">
        <v>5447</v>
      </c>
      <c r="B1103" s="5">
        <v>0</v>
      </c>
      <c r="C1103" s="5">
        <v>61</v>
      </c>
      <c r="D1103" s="5">
        <v>4</v>
      </c>
      <c r="E1103" s="5">
        <v>110</v>
      </c>
      <c r="F1103" s="5">
        <v>9</v>
      </c>
      <c r="G1103" s="5">
        <v>500</v>
      </c>
      <c r="H1103" s="5" t="s">
        <v>5250</v>
      </c>
      <c r="I1103" s="5" t="s">
        <v>5439</v>
      </c>
      <c r="J1103" s="5" t="s">
        <v>5448</v>
      </c>
      <c r="K1103" s="10" t="e">
        <f t="shared" si="0"/>
        <v>#VALUE!</v>
      </c>
      <c r="L1103" s="10">
        <f t="shared" si="1"/>
        <v>1</v>
      </c>
      <c r="M1103" s="10" t="str">
        <f t="shared" si="2"/>
        <v>005</v>
      </c>
      <c r="N1103" s="10" t="str">
        <f t="shared" si="3"/>
        <v>02</v>
      </c>
      <c r="O1103" s="10" t="str">
        <f t="shared" si="16"/>
        <v>SERAI WANG</v>
      </c>
    </row>
    <row r="1104" spans="1:15" ht="12.5">
      <c r="A1104" s="115" t="s">
        <v>5449</v>
      </c>
      <c r="B1104" s="5">
        <v>0</v>
      </c>
      <c r="C1104" s="5">
        <v>61</v>
      </c>
      <c r="D1104" s="5">
        <v>4</v>
      </c>
      <c r="E1104" s="5">
        <v>110</v>
      </c>
      <c r="F1104" s="5">
        <v>9</v>
      </c>
      <c r="G1104" s="5">
        <v>600</v>
      </c>
      <c r="H1104" s="5" t="s">
        <v>5250</v>
      </c>
      <c r="I1104" s="5" t="s">
        <v>5439</v>
      </c>
      <c r="J1104" s="5" t="s">
        <v>5450</v>
      </c>
      <c r="K1104" s="10" t="e">
        <f t="shared" si="0"/>
        <v>#VALUE!</v>
      </c>
      <c r="L1104" s="10">
        <f t="shared" si="1"/>
        <v>1</v>
      </c>
      <c r="M1104" s="10" t="str">
        <f t="shared" si="2"/>
        <v>006</v>
      </c>
      <c r="N1104" s="10" t="str">
        <f t="shared" si="3"/>
        <v>02</v>
      </c>
      <c r="O1104" s="10" t="str">
        <f t="shared" si="16"/>
        <v>SERAI WANG</v>
      </c>
    </row>
    <row r="1105" spans="1:15" ht="12.5">
      <c r="A1105" s="115" t="s">
        <v>5451</v>
      </c>
      <c r="B1105" s="5">
        <v>0</v>
      </c>
      <c r="C1105" s="5">
        <v>61</v>
      </c>
      <c r="D1105" s="5">
        <v>4</v>
      </c>
      <c r="E1105" s="5">
        <v>110</v>
      </c>
      <c r="F1105" s="5">
        <v>9</v>
      </c>
      <c r="G1105" s="5">
        <v>700</v>
      </c>
      <c r="H1105" s="5" t="s">
        <v>5250</v>
      </c>
      <c r="I1105" s="5" t="s">
        <v>5439</v>
      </c>
      <c r="J1105" s="5" t="s">
        <v>5452</v>
      </c>
      <c r="K1105" s="10" t="e">
        <f t="shared" si="0"/>
        <v>#VALUE!</v>
      </c>
      <c r="L1105" s="10">
        <f t="shared" si="1"/>
        <v>1</v>
      </c>
      <c r="M1105" s="10" t="str">
        <f t="shared" si="2"/>
        <v>007</v>
      </c>
      <c r="N1105" s="10" t="str">
        <f t="shared" si="3"/>
        <v>03</v>
      </c>
      <c r="O1105" s="10" t="str">
        <f t="shared" si="16"/>
        <v>KEMBANG LA</v>
      </c>
    </row>
    <row r="1106" spans="1:15" ht="12.5">
      <c r="A1106" s="115" t="s">
        <v>5453</v>
      </c>
      <c r="B1106" s="5">
        <v>0</v>
      </c>
      <c r="C1106" s="5">
        <v>61</v>
      </c>
      <c r="D1106" s="5">
        <v>4</v>
      </c>
      <c r="E1106" s="5">
        <v>110</v>
      </c>
      <c r="F1106" s="5">
        <v>9</v>
      </c>
      <c r="G1106" s="5">
        <v>800</v>
      </c>
      <c r="H1106" s="5" t="s">
        <v>5250</v>
      </c>
      <c r="I1106" s="5" t="s">
        <v>5439</v>
      </c>
      <c r="J1106" s="5" t="s">
        <v>5454</v>
      </c>
      <c r="K1106" s="10" t="e">
        <f t="shared" si="0"/>
        <v>#VALUE!</v>
      </c>
      <c r="L1106" s="10">
        <f t="shared" si="1"/>
        <v>1</v>
      </c>
      <c r="M1106" s="10" t="str">
        <f t="shared" si="2"/>
        <v>008</v>
      </c>
      <c r="N1106" s="10" t="str">
        <f t="shared" si="3"/>
        <v>03</v>
      </c>
      <c r="O1106" s="10" t="str">
        <f t="shared" si="16"/>
        <v>KEMBANG LA</v>
      </c>
    </row>
    <row r="1107" spans="1:15" ht="12.5">
      <c r="A1107" s="115" t="s">
        <v>5455</v>
      </c>
      <c r="B1107" s="5">
        <v>0</v>
      </c>
      <c r="C1107" s="5">
        <v>61</v>
      </c>
      <c r="D1107" s="5">
        <v>4</v>
      </c>
      <c r="E1107" s="5">
        <v>110</v>
      </c>
      <c r="F1107" s="5">
        <v>9</v>
      </c>
      <c r="G1107" s="5">
        <v>900</v>
      </c>
      <c r="H1107" s="5" t="s">
        <v>5250</v>
      </c>
      <c r="I1107" s="5" t="s">
        <v>5439</v>
      </c>
      <c r="J1107" s="5" t="s">
        <v>5456</v>
      </c>
      <c r="K1107" s="10" t="e">
        <f t="shared" si="0"/>
        <v>#VALUE!</v>
      </c>
      <c r="L1107" s="10">
        <f t="shared" si="1"/>
        <v>1</v>
      </c>
      <c r="M1107" s="10" t="str">
        <f t="shared" si="2"/>
        <v>009</v>
      </c>
      <c r="N1107" s="10" t="str">
        <f t="shared" si="3"/>
        <v>03</v>
      </c>
      <c r="O1107" s="10" t="str">
        <f t="shared" si="16"/>
        <v>KEMBANG LA</v>
      </c>
    </row>
    <row r="1108" spans="1:15" ht="12.5">
      <c r="A1108" s="115" t="s">
        <v>5457</v>
      </c>
      <c r="B1108" s="5">
        <v>0</v>
      </c>
      <c r="C1108" s="5">
        <v>61</v>
      </c>
      <c r="D1108" s="5">
        <v>4</v>
      </c>
      <c r="E1108" s="5">
        <v>110</v>
      </c>
      <c r="F1108" s="5">
        <v>9</v>
      </c>
      <c r="G1108" s="5">
        <v>1000</v>
      </c>
      <c r="H1108" s="5" t="s">
        <v>5250</v>
      </c>
      <c r="I1108" s="5" t="s">
        <v>5439</v>
      </c>
      <c r="J1108" s="5" t="s">
        <v>5458</v>
      </c>
      <c r="K1108" s="10" t="e">
        <f t="shared" si="0"/>
        <v>#VALUE!</v>
      </c>
      <c r="L1108" s="10">
        <f t="shared" si="1"/>
        <v>1</v>
      </c>
      <c r="M1108" s="10" t="str">
        <f t="shared" si="2"/>
        <v>010</v>
      </c>
      <c r="N1108" s="10" t="str">
        <f t="shared" si="3"/>
        <v>03</v>
      </c>
      <c r="O1108" s="10" t="str">
        <f t="shared" si="16"/>
        <v>KEMBANG LA</v>
      </c>
    </row>
    <row r="1109" spans="1:15" ht="12.5">
      <c r="A1109" s="115" t="s">
        <v>5459</v>
      </c>
      <c r="B1109" s="5">
        <v>2</v>
      </c>
      <c r="C1109" s="5">
        <v>61</v>
      </c>
      <c r="D1109" s="5">
        <v>4</v>
      </c>
      <c r="E1109" s="5">
        <v>110</v>
      </c>
      <c r="F1109" s="5">
        <v>9</v>
      </c>
      <c r="G1109" s="5">
        <v>200100</v>
      </c>
      <c r="H1109" s="5" t="s">
        <v>5250</v>
      </c>
      <c r="I1109" s="5" t="s">
        <v>5439</v>
      </c>
      <c r="J1109" s="5" t="s">
        <v>5460</v>
      </c>
      <c r="K1109" s="10" t="e">
        <f t="shared" si="0"/>
        <v>#VALUE!</v>
      </c>
      <c r="L1109" s="10">
        <f t="shared" si="1"/>
        <v>0</v>
      </c>
      <c r="M1109" s="10" t="str">
        <f t="shared" si="2"/>
        <v xml:space="preserve">AN </v>
      </c>
      <c r="N1109" s="10" t="str">
        <f t="shared" si="3"/>
        <v>P)</v>
      </c>
      <c r="O1109" s="10" t="str">
        <f t="shared" si="16"/>
        <v/>
      </c>
    </row>
    <row r="1110" spans="1:15" ht="12.5">
      <c r="A1110" s="115" t="s">
        <v>5461</v>
      </c>
      <c r="B1110" s="5">
        <v>2</v>
      </c>
      <c r="C1110" s="5">
        <v>61</v>
      </c>
      <c r="D1110" s="5">
        <v>4</v>
      </c>
      <c r="E1110" s="5">
        <v>110</v>
      </c>
      <c r="F1110" s="5">
        <v>9</v>
      </c>
      <c r="G1110" s="5">
        <v>200200</v>
      </c>
      <c r="H1110" s="5" t="s">
        <v>5250</v>
      </c>
      <c r="I1110" s="5" t="s">
        <v>5439</v>
      </c>
      <c r="J1110" s="5" t="s">
        <v>5462</v>
      </c>
      <c r="K1110" s="10" t="e">
        <f t="shared" si="0"/>
        <v>#VALUE!</v>
      </c>
      <c r="L1110" s="10">
        <f t="shared" si="1"/>
        <v>0</v>
      </c>
      <c r="M1110" s="10" t="str">
        <f t="shared" si="2"/>
        <v xml:space="preserve">AN </v>
      </c>
      <c r="N1110" s="10" t="str">
        <f t="shared" si="3"/>
        <v>P)</v>
      </c>
      <c r="O1110" s="10" t="str">
        <f t="shared" si="16"/>
        <v/>
      </c>
    </row>
    <row r="1111" spans="1:15" ht="12.5">
      <c r="A1111" s="115" t="s">
        <v>5463</v>
      </c>
      <c r="B1111" s="5">
        <v>0</v>
      </c>
      <c r="C1111" s="5">
        <v>61</v>
      </c>
      <c r="D1111" s="5">
        <v>4</v>
      </c>
      <c r="E1111" s="5">
        <v>110</v>
      </c>
      <c r="F1111" s="5">
        <v>10</v>
      </c>
      <c r="G1111" s="5">
        <v>100</v>
      </c>
      <c r="H1111" s="5" t="s">
        <v>5250</v>
      </c>
      <c r="I1111" s="5" t="s">
        <v>5464</v>
      </c>
      <c r="J1111" s="5" t="s">
        <v>5465</v>
      </c>
      <c r="K1111" s="10" t="e">
        <f t="shared" si="0"/>
        <v>#VALUE!</v>
      </c>
      <c r="L1111" s="10">
        <f t="shared" si="1"/>
        <v>1</v>
      </c>
      <c r="M1111" s="10" t="str">
        <f t="shared" si="2"/>
        <v>001</v>
      </c>
      <c r="N1111" s="10" t="str">
        <f t="shared" si="3"/>
        <v>01</v>
      </c>
      <c r="O1111" s="10" t="str">
        <f t="shared" si="16"/>
        <v>MAYASARI</v>
      </c>
    </row>
    <row r="1112" spans="1:15" ht="12.5">
      <c r="A1112" s="115" t="s">
        <v>5466</v>
      </c>
      <c r="B1112" s="5">
        <v>0</v>
      </c>
      <c r="C1112" s="5">
        <v>61</v>
      </c>
      <c r="D1112" s="5">
        <v>4</v>
      </c>
      <c r="E1112" s="5">
        <v>110</v>
      </c>
      <c r="F1112" s="5">
        <v>10</v>
      </c>
      <c r="G1112" s="5">
        <v>200</v>
      </c>
      <c r="H1112" s="5" t="s">
        <v>5250</v>
      </c>
      <c r="I1112" s="5" t="s">
        <v>5464</v>
      </c>
      <c r="J1112" s="5" t="s">
        <v>5467</v>
      </c>
      <c r="K1112" s="10" t="e">
        <f t="shared" si="0"/>
        <v>#VALUE!</v>
      </c>
      <c r="L1112" s="10">
        <f t="shared" si="1"/>
        <v>1</v>
      </c>
      <c r="M1112" s="10" t="str">
        <f t="shared" si="2"/>
        <v>002</v>
      </c>
      <c r="N1112" s="10" t="str">
        <f t="shared" si="3"/>
        <v>01</v>
      </c>
      <c r="O1112" s="10" t="str">
        <f t="shared" si="16"/>
        <v>MAYASARI</v>
      </c>
    </row>
    <row r="1113" spans="1:15" ht="12.5">
      <c r="A1113" s="115" t="s">
        <v>5468</v>
      </c>
      <c r="B1113" s="5">
        <v>0</v>
      </c>
      <c r="C1113" s="5">
        <v>61</v>
      </c>
      <c r="D1113" s="5">
        <v>4</v>
      </c>
      <c r="E1113" s="5">
        <v>110</v>
      </c>
      <c r="F1113" s="5">
        <v>10</v>
      </c>
      <c r="G1113" s="5">
        <v>300</v>
      </c>
      <c r="H1113" s="5" t="s">
        <v>5250</v>
      </c>
      <c r="I1113" s="5" t="s">
        <v>5464</v>
      </c>
      <c r="J1113" s="5" t="s">
        <v>5469</v>
      </c>
      <c r="K1113" s="10" t="e">
        <f t="shared" si="0"/>
        <v>#VALUE!</v>
      </c>
      <c r="L1113" s="10">
        <f t="shared" si="1"/>
        <v>1</v>
      </c>
      <c r="M1113" s="10" t="str">
        <f t="shared" si="2"/>
        <v>003</v>
      </c>
      <c r="N1113" s="10" t="str">
        <f t="shared" si="3"/>
        <v>01</v>
      </c>
      <c r="O1113" s="10" t="str">
        <f t="shared" si="16"/>
        <v>MAYASARI</v>
      </c>
    </row>
    <row r="1114" spans="1:15" ht="12.5">
      <c r="A1114" s="115" t="s">
        <v>5470</v>
      </c>
      <c r="B1114" s="5">
        <v>0</v>
      </c>
      <c r="C1114" s="5">
        <v>61</v>
      </c>
      <c r="D1114" s="5">
        <v>4</v>
      </c>
      <c r="E1114" s="5">
        <v>110</v>
      </c>
      <c r="F1114" s="5">
        <v>10</v>
      </c>
      <c r="G1114" s="5">
        <v>400</v>
      </c>
      <c r="H1114" s="5" t="s">
        <v>5250</v>
      </c>
      <c r="I1114" s="5" t="s">
        <v>5464</v>
      </c>
      <c r="J1114" s="5" t="s">
        <v>5471</v>
      </c>
      <c r="K1114" s="10" t="e">
        <f t="shared" si="0"/>
        <v>#VALUE!</v>
      </c>
      <c r="L1114" s="10">
        <f t="shared" si="1"/>
        <v>1</v>
      </c>
      <c r="M1114" s="10" t="str">
        <f t="shared" si="2"/>
        <v>004</v>
      </c>
      <c r="N1114" s="10" t="str">
        <f t="shared" si="3"/>
        <v>01</v>
      </c>
      <c r="O1114" s="10" t="str">
        <f t="shared" si="16"/>
        <v>MAYASARI</v>
      </c>
    </row>
    <row r="1115" spans="1:15" ht="12.5">
      <c r="A1115" s="115" t="s">
        <v>5472</v>
      </c>
      <c r="B1115" s="5">
        <v>0</v>
      </c>
      <c r="C1115" s="5">
        <v>61</v>
      </c>
      <c r="D1115" s="5">
        <v>4</v>
      </c>
      <c r="E1115" s="5">
        <v>110</v>
      </c>
      <c r="F1115" s="5">
        <v>10</v>
      </c>
      <c r="G1115" s="5">
        <v>900</v>
      </c>
      <c r="H1115" s="5" t="s">
        <v>5250</v>
      </c>
      <c r="I1115" s="5" t="s">
        <v>5464</v>
      </c>
      <c r="J1115" s="5" t="s">
        <v>5473</v>
      </c>
      <c r="K1115" s="10" t="e">
        <f t="shared" si="0"/>
        <v>#VALUE!</v>
      </c>
      <c r="L1115" s="10">
        <f t="shared" si="1"/>
        <v>1</v>
      </c>
      <c r="M1115" s="10" t="str">
        <f t="shared" si="2"/>
        <v>009</v>
      </c>
      <c r="N1115" s="10" t="str">
        <f t="shared" si="3"/>
        <v>03</v>
      </c>
      <c r="O1115" s="10" t="str">
        <f t="shared" si="16"/>
        <v>TUJUH RATU</v>
      </c>
    </row>
    <row r="1116" spans="1:15" ht="12.5">
      <c r="A1116" s="115" t="s">
        <v>5474</v>
      </c>
      <c r="B1116" s="5">
        <v>0</v>
      </c>
      <c r="C1116" s="5">
        <v>61</v>
      </c>
      <c r="D1116" s="5">
        <v>4</v>
      </c>
      <c r="E1116" s="5">
        <v>110</v>
      </c>
      <c r="F1116" s="5">
        <v>10</v>
      </c>
      <c r="G1116" s="5">
        <v>1000</v>
      </c>
      <c r="H1116" s="5" t="s">
        <v>5250</v>
      </c>
      <c r="I1116" s="5" t="s">
        <v>5464</v>
      </c>
      <c r="J1116" s="5" t="s">
        <v>5475</v>
      </c>
      <c r="K1116" s="10" t="e">
        <f t="shared" si="0"/>
        <v>#VALUE!</v>
      </c>
      <c r="L1116" s="10">
        <f t="shared" si="1"/>
        <v>1</v>
      </c>
      <c r="M1116" s="10" t="str">
        <f t="shared" si="2"/>
        <v>010</v>
      </c>
      <c r="N1116" s="10" t="str">
        <f t="shared" si="3"/>
        <v>03</v>
      </c>
      <c r="O1116" s="10" t="str">
        <f t="shared" si="16"/>
        <v>TUJUH RATU</v>
      </c>
    </row>
    <row r="1117" spans="1:15" ht="12.5">
      <c r="A1117" s="115" t="s">
        <v>5476</v>
      </c>
      <c r="B1117" s="5">
        <v>0</v>
      </c>
      <c r="C1117" s="5">
        <v>61</v>
      </c>
      <c r="D1117" s="5">
        <v>4</v>
      </c>
      <c r="E1117" s="5">
        <v>110</v>
      </c>
      <c r="F1117" s="5">
        <v>10</v>
      </c>
      <c r="G1117" s="5">
        <v>1100</v>
      </c>
      <c r="H1117" s="5" t="s">
        <v>5250</v>
      </c>
      <c r="I1117" s="5" t="s">
        <v>5464</v>
      </c>
      <c r="J1117" s="5" t="s">
        <v>5477</v>
      </c>
      <c r="K1117" s="10" t="e">
        <f t="shared" si="0"/>
        <v>#VALUE!</v>
      </c>
      <c r="L1117" s="10">
        <f t="shared" si="1"/>
        <v>1</v>
      </c>
      <c r="M1117" s="10" t="str">
        <f t="shared" si="2"/>
        <v>011</v>
      </c>
      <c r="N1117" s="10" t="str">
        <f t="shared" si="3"/>
        <v>03</v>
      </c>
      <c r="O1117" s="10" t="str">
        <f t="shared" si="16"/>
        <v>TUJUH RATU</v>
      </c>
    </row>
    <row r="1118" spans="1:15" ht="12.5">
      <c r="A1118" s="115" t="s">
        <v>5478</v>
      </c>
      <c r="B1118" s="5">
        <v>0</v>
      </c>
      <c r="C1118" s="5">
        <v>61</v>
      </c>
      <c r="D1118" s="5">
        <v>4</v>
      </c>
      <c r="E1118" s="5">
        <v>110</v>
      </c>
      <c r="F1118" s="5">
        <v>10</v>
      </c>
      <c r="G1118" s="5">
        <v>1200</v>
      </c>
      <c r="H1118" s="5" t="s">
        <v>5250</v>
      </c>
      <c r="I1118" s="5" t="s">
        <v>5464</v>
      </c>
      <c r="J1118" s="5" t="s">
        <v>5479</v>
      </c>
      <c r="K1118" s="10" t="e">
        <f t="shared" si="0"/>
        <v>#VALUE!</v>
      </c>
      <c r="L1118" s="10">
        <f t="shared" si="1"/>
        <v>1</v>
      </c>
      <c r="M1118" s="10" t="str">
        <f t="shared" si="2"/>
        <v>012</v>
      </c>
      <c r="N1118" s="10" t="str">
        <f t="shared" si="3"/>
        <v>03</v>
      </c>
      <c r="O1118" s="10" t="str">
        <f t="shared" si="16"/>
        <v>TUJUH RATU</v>
      </c>
    </row>
    <row r="1119" spans="1:15" ht="12.5">
      <c r="A1119" s="115" t="s">
        <v>5480</v>
      </c>
      <c r="B1119" s="5">
        <v>0</v>
      </c>
      <c r="C1119" s="5">
        <v>61</v>
      </c>
      <c r="D1119" s="5">
        <v>4</v>
      </c>
      <c r="E1119" s="5">
        <v>110</v>
      </c>
      <c r="F1119" s="5">
        <v>10</v>
      </c>
      <c r="G1119" s="5">
        <v>1500</v>
      </c>
      <c r="H1119" s="5" t="s">
        <v>5250</v>
      </c>
      <c r="I1119" s="5" t="s">
        <v>5464</v>
      </c>
      <c r="J1119" s="5" t="s">
        <v>5481</v>
      </c>
      <c r="K1119" s="10" t="e">
        <f t="shared" si="0"/>
        <v>#VALUE!</v>
      </c>
      <c r="L1119" s="10">
        <f t="shared" si="1"/>
        <v>1</v>
      </c>
      <c r="M1119" s="10" t="str">
        <f t="shared" si="2"/>
        <v>005</v>
      </c>
      <c r="N1119" s="10" t="str">
        <f t="shared" si="3"/>
        <v>02</v>
      </c>
      <c r="O1119" s="10" t="str">
        <f t="shared" si="16"/>
        <v>SUKA TANI</v>
      </c>
    </row>
    <row r="1120" spans="1:15" ht="12.5">
      <c r="A1120" s="115" t="s">
        <v>5482</v>
      </c>
      <c r="B1120" s="5">
        <v>0</v>
      </c>
      <c r="C1120" s="5">
        <v>61</v>
      </c>
      <c r="D1120" s="5">
        <v>4</v>
      </c>
      <c r="E1120" s="5">
        <v>110</v>
      </c>
      <c r="F1120" s="5">
        <v>10</v>
      </c>
      <c r="G1120" s="5">
        <v>1600</v>
      </c>
      <c r="H1120" s="5" t="s">
        <v>5250</v>
      </c>
      <c r="I1120" s="5" t="s">
        <v>5464</v>
      </c>
      <c r="J1120" s="5" t="s">
        <v>5483</v>
      </c>
      <c r="K1120" s="10" t="e">
        <f t="shared" si="0"/>
        <v>#VALUE!</v>
      </c>
      <c r="L1120" s="10">
        <f t="shared" si="1"/>
        <v>1</v>
      </c>
      <c r="M1120" s="10" t="str">
        <f t="shared" si="2"/>
        <v>006</v>
      </c>
      <c r="N1120" s="10" t="str">
        <f t="shared" si="3"/>
        <v>02</v>
      </c>
      <c r="O1120" s="10" t="str">
        <f t="shared" si="16"/>
        <v>SUKA TANI</v>
      </c>
    </row>
    <row r="1121" spans="1:15" ht="12.5">
      <c r="A1121" s="115" t="s">
        <v>5484</v>
      </c>
      <c r="B1121" s="5">
        <v>0</v>
      </c>
      <c r="C1121" s="5">
        <v>61</v>
      </c>
      <c r="D1121" s="5">
        <v>4</v>
      </c>
      <c r="E1121" s="5">
        <v>110</v>
      </c>
      <c r="F1121" s="5">
        <v>10</v>
      </c>
      <c r="G1121" s="5">
        <v>1700</v>
      </c>
      <c r="H1121" s="5" t="s">
        <v>5250</v>
      </c>
      <c r="I1121" s="5" t="s">
        <v>5464</v>
      </c>
      <c r="J1121" s="5" t="s">
        <v>5485</v>
      </c>
      <c r="K1121" s="10" t="e">
        <f t="shared" si="0"/>
        <v>#VALUE!</v>
      </c>
      <c r="L1121" s="10">
        <f t="shared" si="1"/>
        <v>1</v>
      </c>
      <c r="M1121" s="10" t="str">
        <f t="shared" si="2"/>
        <v>007</v>
      </c>
      <c r="N1121" s="10" t="str">
        <f t="shared" si="3"/>
        <v>02</v>
      </c>
      <c r="O1121" s="10" t="str">
        <f t="shared" si="16"/>
        <v>SUKA TANI</v>
      </c>
    </row>
    <row r="1122" spans="1:15" ht="12.5">
      <c r="A1122" s="115" t="s">
        <v>5486</v>
      </c>
      <c r="B1122" s="5">
        <v>5</v>
      </c>
      <c r="C1122" s="5">
        <v>61</v>
      </c>
      <c r="D1122" s="5">
        <v>4</v>
      </c>
      <c r="E1122" s="5">
        <v>110</v>
      </c>
      <c r="F1122" s="5">
        <v>10</v>
      </c>
      <c r="G1122" s="5">
        <v>500101</v>
      </c>
      <c r="H1122" s="5" t="s">
        <v>5250</v>
      </c>
      <c r="I1122" s="5" t="s">
        <v>5464</v>
      </c>
      <c r="J1122" s="5" t="s">
        <v>5396</v>
      </c>
      <c r="K1122" s="10" t="e">
        <f t="shared" si="0"/>
        <v>#VALUE!</v>
      </c>
      <c r="L1122" s="10">
        <f t="shared" si="1"/>
        <v>0</v>
      </c>
      <c r="M1122" s="10" t="str">
        <f t="shared" si="2"/>
        <v>ABU</v>
      </c>
      <c r="N1122" s="10" t="str">
        <f t="shared" si="3"/>
        <v>KIJ</v>
      </c>
      <c r="O1122" s="10" t="str">
        <f t="shared" si="16"/>
        <v/>
      </c>
    </row>
    <row r="1123" spans="1:15" ht="12.5">
      <c r="A1123" s="115" t="s">
        <v>5486</v>
      </c>
      <c r="B1123" s="5">
        <v>5</v>
      </c>
      <c r="C1123" s="5">
        <v>61</v>
      </c>
      <c r="D1123" s="5">
        <v>4</v>
      </c>
      <c r="E1123" s="5">
        <v>110</v>
      </c>
      <c r="F1123" s="5">
        <v>10</v>
      </c>
      <c r="G1123" s="5">
        <v>500102</v>
      </c>
      <c r="H1123" s="5" t="s">
        <v>5250</v>
      </c>
      <c r="I1123" s="5" t="s">
        <v>5464</v>
      </c>
      <c r="J1123" s="5" t="s">
        <v>5396</v>
      </c>
      <c r="K1123" s="10" t="e">
        <f t="shared" si="0"/>
        <v>#VALUE!</v>
      </c>
      <c r="L1123" s="10">
        <f t="shared" si="1"/>
        <v>0</v>
      </c>
      <c r="M1123" s="10" t="str">
        <f t="shared" si="2"/>
        <v>ABU</v>
      </c>
      <c r="N1123" s="10" t="str">
        <f t="shared" si="3"/>
        <v>KIJ</v>
      </c>
      <c r="O1123" s="10" t="str">
        <f t="shared" si="16"/>
        <v/>
      </c>
    </row>
    <row r="1124" spans="1:15" ht="12.5">
      <c r="A1124" s="115" t="s">
        <v>5487</v>
      </c>
      <c r="B1124" s="5">
        <v>0</v>
      </c>
      <c r="C1124" s="5">
        <v>61</v>
      </c>
      <c r="D1124" s="5">
        <v>4</v>
      </c>
      <c r="E1124" s="5">
        <v>110</v>
      </c>
      <c r="F1124" s="5">
        <v>11</v>
      </c>
      <c r="G1124" s="5">
        <v>100</v>
      </c>
      <c r="H1124" s="5" t="s">
        <v>5250</v>
      </c>
      <c r="I1124" s="5" t="s">
        <v>5488</v>
      </c>
      <c r="J1124" s="5" t="s">
        <v>5366</v>
      </c>
      <c r="K1124" s="10" t="e">
        <f t="shared" si="0"/>
        <v>#VALUE!</v>
      </c>
      <c r="L1124" s="10">
        <f t="shared" si="1"/>
        <v>1</v>
      </c>
      <c r="M1124" s="10" t="str">
        <f t="shared" si="2"/>
        <v>001</v>
      </c>
      <c r="N1124" s="10" t="str">
        <f t="shared" si="3"/>
        <v>01</v>
      </c>
      <c r="O1124" s="10" t="str">
        <f t="shared" si="16"/>
        <v>SABAR</v>
      </c>
    </row>
    <row r="1125" spans="1:15" ht="12.5">
      <c r="A1125" s="115" t="s">
        <v>5489</v>
      </c>
      <c r="B1125" s="5">
        <v>0</v>
      </c>
      <c r="C1125" s="5">
        <v>61</v>
      </c>
      <c r="D1125" s="5">
        <v>4</v>
      </c>
      <c r="E1125" s="5">
        <v>110</v>
      </c>
      <c r="F1125" s="5">
        <v>11</v>
      </c>
      <c r="G1125" s="5">
        <v>200</v>
      </c>
      <c r="H1125" s="5" t="s">
        <v>5250</v>
      </c>
      <c r="I1125" s="5" t="s">
        <v>5488</v>
      </c>
      <c r="J1125" s="5" t="s">
        <v>5368</v>
      </c>
      <c r="K1125" s="10" t="e">
        <f t="shared" si="0"/>
        <v>#VALUE!</v>
      </c>
      <c r="L1125" s="10">
        <f t="shared" si="1"/>
        <v>1</v>
      </c>
      <c r="M1125" s="10" t="str">
        <f t="shared" si="2"/>
        <v>002</v>
      </c>
      <c r="N1125" s="10" t="str">
        <f t="shared" si="3"/>
        <v>01</v>
      </c>
      <c r="O1125" s="10" t="str">
        <f t="shared" si="16"/>
        <v>SABAR</v>
      </c>
    </row>
    <row r="1126" spans="1:15" ht="12.5">
      <c r="A1126" s="115" t="s">
        <v>5490</v>
      </c>
      <c r="B1126" s="5">
        <v>0</v>
      </c>
      <c r="C1126" s="5">
        <v>61</v>
      </c>
      <c r="D1126" s="5">
        <v>4</v>
      </c>
      <c r="E1126" s="5">
        <v>110</v>
      </c>
      <c r="F1126" s="5">
        <v>11</v>
      </c>
      <c r="G1126" s="5">
        <v>300</v>
      </c>
      <c r="H1126" s="5" t="s">
        <v>5250</v>
      </c>
      <c r="I1126" s="5" t="s">
        <v>5488</v>
      </c>
      <c r="J1126" s="5" t="s">
        <v>5491</v>
      </c>
      <c r="K1126" s="10" t="e">
        <f t="shared" si="0"/>
        <v>#VALUE!</v>
      </c>
      <c r="L1126" s="10">
        <f t="shared" si="1"/>
        <v>1</v>
      </c>
      <c r="M1126" s="10" t="str">
        <f t="shared" si="2"/>
        <v>012</v>
      </c>
      <c r="N1126" s="10" t="str">
        <f t="shared" si="3"/>
        <v>01</v>
      </c>
      <c r="O1126" s="10" t="str">
        <f t="shared" si="16"/>
        <v>SABAR</v>
      </c>
    </row>
    <row r="1127" spans="1:15" ht="12.5">
      <c r="A1127" s="115" t="s">
        <v>5492</v>
      </c>
      <c r="B1127" s="5">
        <v>0</v>
      </c>
      <c r="C1127" s="5">
        <v>61</v>
      </c>
      <c r="D1127" s="5">
        <v>4</v>
      </c>
      <c r="E1127" s="5">
        <v>110</v>
      </c>
      <c r="F1127" s="5">
        <v>11</v>
      </c>
      <c r="G1127" s="5">
        <v>400</v>
      </c>
      <c r="H1127" s="5" t="s">
        <v>5250</v>
      </c>
      <c r="I1127" s="5" t="s">
        <v>5488</v>
      </c>
      <c r="J1127" s="5" t="s">
        <v>5493</v>
      </c>
      <c r="K1127" s="10" t="e">
        <f t="shared" si="0"/>
        <v>#VALUE!</v>
      </c>
      <c r="L1127" s="10">
        <f t="shared" si="1"/>
        <v>1</v>
      </c>
      <c r="M1127" s="10" t="str">
        <f t="shared" si="2"/>
        <v>003</v>
      </c>
      <c r="N1127" s="10" t="str">
        <f t="shared" si="3"/>
        <v>02</v>
      </c>
      <c r="O1127" s="10" t="str">
        <f t="shared" si="16"/>
        <v>SUBUR</v>
      </c>
    </row>
    <row r="1128" spans="1:15" ht="12.5">
      <c r="A1128" s="115" t="s">
        <v>5494</v>
      </c>
      <c r="B1128" s="5">
        <v>0</v>
      </c>
      <c r="C1128" s="5">
        <v>61</v>
      </c>
      <c r="D1128" s="5">
        <v>4</v>
      </c>
      <c r="E1128" s="5">
        <v>110</v>
      </c>
      <c r="F1128" s="5">
        <v>11</v>
      </c>
      <c r="G1128" s="5">
        <v>500</v>
      </c>
      <c r="H1128" s="5" t="s">
        <v>5250</v>
      </c>
      <c r="I1128" s="5" t="s">
        <v>5488</v>
      </c>
      <c r="J1128" s="5" t="s">
        <v>5495</v>
      </c>
      <c r="K1128" s="10" t="e">
        <f t="shared" si="0"/>
        <v>#VALUE!</v>
      </c>
      <c r="L1128" s="10">
        <f t="shared" si="1"/>
        <v>1</v>
      </c>
      <c r="M1128" s="10" t="str">
        <f t="shared" si="2"/>
        <v>004</v>
      </c>
      <c r="N1128" s="10" t="str">
        <f t="shared" si="3"/>
        <v>02</v>
      </c>
      <c r="O1128" s="10" t="str">
        <f t="shared" si="16"/>
        <v>SUBUR</v>
      </c>
    </row>
    <row r="1129" spans="1:15" ht="12.5">
      <c r="A1129" s="115" t="s">
        <v>5496</v>
      </c>
      <c r="B1129" s="5">
        <v>0</v>
      </c>
      <c r="C1129" s="5">
        <v>61</v>
      </c>
      <c r="D1129" s="5">
        <v>4</v>
      </c>
      <c r="E1129" s="5">
        <v>110</v>
      </c>
      <c r="F1129" s="5">
        <v>11</v>
      </c>
      <c r="G1129" s="5">
        <v>600</v>
      </c>
      <c r="H1129" s="5" t="s">
        <v>5250</v>
      </c>
      <c r="I1129" s="5" t="s">
        <v>5488</v>
      </c>
      <c r="J1129" s="5" t="s">
        <v>5497</v>
      </c>
      <c r="K1129" s="10" t="e">
        <f t="shared" si="0"/>
        <v>#VALUE!</v>
      </c>
      <c r="L1129" s="10">
        <f t="shared" si="1"/>
        <v>1</v>
      </c>
      <c r="M1129" s="10" t="str">
        <f t="shared" si="2"/>
        <v>005</v>
      </c>
      <c r="N1129" s="10" t="str">
        <f t="shared" si="3"/>
        <v>02</v>
      </c>
      <c r="O1129" s="10" t="str">
        <f t="shared" si="16"/>
        <v>SUBUR</v>
      </c>
    </row>
    <row r="1130" spans="1:15" ht="12.5">
      <c r="A1130" s="115" t="s">
        <v>5498</v>
      </c>
      <c r="B1130" s="5">
        <v>0</v>
      </c>
      <c r="C1130" s="5">
        <v>61</v>
      </c>
      <c r="D1130" s="5">
        <v>4</v>
      </c>
      <c r="E1130" s="5">
        <v>110</v>
      </c>
      <c r="F1130" s="5">
        <v>11</v>
      </c>
      <c r="G1130" s="5">
        <v>700</v>
      </c>
      <c r="H1130" s="5" t="s">
        <v>5250</v>
      </c>
      <c r="I1130" s="5" t="s">
        <v>5488</v>
      </c>
      <c r="J1130" s="5" t="s">
        <v>5499</v>
      </c>
      <c r="K1130" s="10" t="e">
        <f t="shared" si="0"/>
        <v>#VALUE!</v>
      </c>
      <c r="L1130" s="10">
        <f t="shared" si="1"/>
        <v>1</v>
      </c>
      <c r="M1130" s="10" t="str">
        <f t="shared" si="2"/>
        <v>006</v>
      </c>
      <c r="N1130" s="10" t="str">
        <f t="shared" si="3"/>
        <v>02</v>
      </c>
      <c r="O1130" s="10" t="str">
        <f t="shared" si="16"/>
        <v>SUBUR</v>
      </c>
    </row>
    <row r="1131" spans="1:15" ht="12.5">
      <c r="A1131" s="115" t="s">
        <v>5500</v>
      </c>
      <c r="B1131" s="5">
        <v>0</v>
      </c>
      <c r="C1131" s="5">
        <v>61</v>
      </c>
      <c r="D1131" s="5">
        <v>4</v>
      </c>
      <c r="E1131" s="5">
        <v>110</v>
      </c>
      <c r="F1131" s="5">
        <v>11</v>
      </c>
      <c r="G1131" s="5">
        <v>800</v>
      </c>
      <c r="H1131" s="5" t="s">
        <v>5250</v>
      </c>
      <c r="I1131" s="5" t="s">
        <v>5488</v>
      </c>
      <c r="J1131" s="5" t="s">
        <v>5501</v>
      </c>
      <c r="K1131" s="10" t="e">
        <f t="shared" si="0"/>
        <v>#VALUE!</v>
      </c>
      <c r="L1131" s="10">
        <f t="shared" si="1"/>
        <v>1</v>
      </c>
      <c r="M1131" s="10" t="str">
        <f t="shared" si="2"/>
        <v>011</v>
      </c>
      <c r="N1131" s="10" t="str">
        <f t="shared" si="3"/>
        <v>02</v>
      </c>
      <c r="O1131" s="10" t="str">
        <f t="shared" si="16"/>
        <v>SUBUR</v>
      </c>
    </row>
    <row r="1132" spans="1:15" ht="12.5">
      <c r="A1132" s="115" t="s">
        <v>5502</v>
      </c>
      <c r="B1132" s="5">
        <v>0</v>
      </c>
      <c r="C1132" s="5">
        <v>61</v>
      </c>
      <c r="D1132" s="5">
        <v>4</v>
      </c>
      <c r="E1132" s="5">
        <v>110</v>
      </c>
      <c r="F1132" s="5">
        <v>11</v>
      </c>
      <c r="G1132" s="5">
        <v>900</v>
      </c>
      <c r="H1132" s="5" t="s">
        <v>5250</v>
      </c>
      <c r="I1132" s="5" t="s">
        <v>5488</v>
      </c>
      <c r="J1132" s="5" t="s">
        <v>5503</v>
      </c>
      <c r="K1132" s="10" t="e">
        <f t="shared" si="0"/>
        <v>#VALUE!</v>
      </c>
      <c r="L1132" s="10">
        <f t="shared" si="1"/>
        <v>1</v>
      </c>
      <c r="M1132" s="10" t="str">
        <f t="shared" si="2"/>
        <v>007</v>
      </c>
      <c r="N1132" s="10" t="str">
        <f t="shared" si="3"/>
        <v>03</v>
      </c>
      <c r="O1132" s="10" t="str">
        <f t="shared" si="16"/>
        <v>SUTRA</v>
      </c>
    </row>
    <row r="1133" spans="1:15" ht="12.5">
      <c r="A1133" s="115" t="s">
        <v>5504</v>
      </c>
      <c r="B1133" s="5">
        <v>0</v>
      </c>
      <c r="C1133" s="5">
        <v>61</v>
      </c>
      <c r="D1133" s="5">
        <v>4</v>
      </c>
      <c r="E1133" s="5">
        <v>110</v>
      </c>
      <c r="F1133" s="5">
        <v>11</v>
      </c>
      <c r="G1133" s="5">
        <v>1000</v>
      </c>
      <c r="H1133" s="5" t="s">
        <v>5250</v>
      </c>
      <c r="I1133" s="5" t="s">
        <v>5488</v>
      </c>
      <c r="J1133" s="5" t="s">
        <v>5505</v>
      </c>
      <c r="K1133" s="10" t="e">
        <f t="shared" si="0"/>
        <v>#VALUE!</v>
      </c>
      <c r="L1133" s="10">
        <f t="shared" si="1"/>
        <v>1</v>
      </c>
      <c r="M1133" s="10" t="str">
        <f t="shared" si="2"/>
        <v>008</v>
      </c>
      <c r="N1133" s="10" t="str">
        <f t="shared" si="3"/>
        <v>03</v>
      </c>
      <c r="O1133" s="10" t="str">
        <f t="shared" si="16"/>
        <v>SUTRA</v>
      </c>
    </row>
    <row r="1134" spans="1:15" ht="12.5">
      <c r="A1134" s="115" t="s">
        <v>5506</v>
      </c>
      <c r="B1134" s="5">
        <v>0</v>
      </c>
      <c r="C1134" s="5">
        <v>61</v>
      </c>
      <c r="D1134" s="5">
        <v>4</v>
      </c>
      <c r="E1134" s="5">
        <v>110</v>
      </c>
      <c r="F1134" s="5">
        <v>11</v>
      </c>
      <c r="G1134" s="5">
        <v>1100</v>
      </c>
      <c r="H1134" s="5" t="s">
        <v>5250</v>
      </c>
      <c r="I1134" s="5" t="s">
        <v>5488</v>
      </c>
      <c r="J1134" s="5" t="s">
        <v>5507</v>
      </c>
      <c r="K1134" s="10" t="e">
        <f t="shared" si="0"/>
        <v>#VALUE!</v>
      </c>
      <c r="L1134" s="10">
        <f t="shared" si="1"/>
        <v>1</v>
      </c>
      <c r="M1134" s="10" t="str">
        <f t="shared" si="2"/>
        <v>009</v>
      </c>
      <c r="N1134" s="10" t="str">
        <f t="shared" si="3"/>
        <v>03</v>
      </c>
      <c r="O1134" s="10" t="str">
        <f t="shared" si="16"/>
        <v>SUTRA</v>
      </c>
    </row>
    <row r="1135" spans="1:15" ht="12.5">
      <c r="A1135" s="115" t="s">
        <v>5508</v>
      </c>
      <c r="B1135" s="5">
        <v>0</v>
      </c>
      <c r="C1135" s="5">
        <v>61</v>
      </c>
      <c r="D1135" s="5">
        <v>4</v>
      </c>
      <c r="E1135" s="5">
        <v>110</v>
      </c>
      <c r="F1135" s="5">
        <v>11</v>
      </c>
      <c r="G1135" s="5">
        <v>1200</v>
      </c>
      <c r="H1135" s="5" t="s">
        <v>5250</v>
      </c>
      <c r="I1135" s="5" t="s">
        <v>5488</v>
      </c>
      <c r="J1135" s="5" t="s">
        <v>5509</v>
      </c>
      <c r="K1135" s="10" t="e">
        <f t="shared" si="0"/>
        <v>#VALUE!</v>
      </c>
      <c r="L1135" s="10">
        <f t="shared" si="1"/>
        <v>1</v>
      </c>
      <c r="M1135" s="10" t="str">
        <f t="shared" si="2"/>
        <v>010</v>
      </c>
      <c r="N1135" s="10" t="str">
        <f t="shared" si="3"/>
        <v>03</v>
      </c>
      <c r="O1135" s="10" t="str">
        <f t="shared" si="16"/>
        <v>SUTRA</v>
      </c>
    </row>
    <row r="1136" spans="1:15" ht="12.5">
      <c r="A1136" s="115" t="s">
        <v>5510</v>
      </c>
      <c r="B1136" s="5">
        <v>0</v>
      </c>
      <c r="C1136" s="5">
        <v>61</v>
      </c>
      <c r="D1136" s="5">
        <v>4</v>
      </c>
      <c r="E1136" s="5">
        <v>110</v>
      </c>
      <c r="F1136" s="5">
        <v>12</v>
      </c>
      <c r="G1136" s="5">
        <v>100</v>
      </c>
      <c r="H1136" s="5" t="s">
        <v>5250</v>
      </c>
      <c r="I1136" s="5" t="s">
        <v>5511</v>
      </c>
      <c r="J1136" s="5" t="s">
        <v>5512</v>
      </c>
      <c r="K1136" s="10" t="e">
        <f t="shared" si="0"/>
        <v>#VALUE!</v>
      </c>
      <c r="L1136" s="10">
        <f t="shared" si="1"/>
        <v>1</v>
      </c>
      <c r="M1136" s="10" t="str">
        <f t="shared" si="2"/>
        <v>001</v>
      </c>
      <c r="N1136" s="10" t="str">
        <f t="shared" si="3"/>
        <v>01</v>
      </c>
      <c r="O1136" s="10" t="str">
        <f t="shared" si="16"/>
        <v>KARYA</v>
      </c>
    </row>
    <row r="1137" spans="1:15" ht="12.5">
      <c r="A1137" s="115" t="s">
        <v>5513</v>
      </c>
      <c r="B1137" s="5">
        <v>0</v>
      </c>
      <c r="C1137" s="5">
        <v>61</v>
      </c>
      <c r="D1137" s="5">
        <v>4</v>
      </c>
      <c r="E1137" s="5">
        <v>110</v>
      </c>
      <c r="F1137" s="5">
        <v>12</v>
      </c>
      <c r="G1137" s="5">
        <v>200</v>
      </c>
      <c r="H1137" s="5" t="s">
        <v>5250</v>
      </c>
      <c r="I1137" s="5" t="s">
        <v>5511</v>
      </c>
      <c r="J1137" s="5" t="s">
        <v>5514</v>
      </c>
      <c r="K1137" s="10" t="e">
        <f t="shared" si="0"/>
        <v>#VALUE!</v>
      </c>
      <c r="L1137" s="10">
        <f t="shared" si="1"/>
        <v>1</v>
      </c>
      <c r="M1137" s="10" t="str">
        <f t="shared" si="2"/>
        <v>002</v>
      </c>
      <c r="N1137" s="10" t="str">
        <f t="shared" si="3"/>
        <v>01</v>
      </c>
      <c r="O1137" s="10" t="str">
        <f t="shared" si="16"/>
        <v>KARYA</v>
      </c>
    </row>
    <row r="1138" spans="1:15" ht="12.5">
      <c r="A1138" s="115" t="s">
        <v>5515</v>
      </c>
      <c r="B1138" s="5">
        <v>0</v>
      </c>
      <c r="C1138" s="5">
        <v>61</v>
      </c>
      <c r="D1138" s="5">
        <v>4</v>
      </c>
      <c r="E1138" s="5">
        <v>110</v>
      </c>
      <c r="F1138" s="5">
        <v>12</v>
      </c>
      <c r="G1138" s="5">
        <v>300</v>
      </c>
      <c r="H1138" s="5" t="s">
        <v>5250</v>
      </c>
      <c r="I1138" s="5" t="s">
        <v>5511</v>
      </c>
      <c r="J1138" s="5" t="s">
        <v>5516</v>
      </c>
      <c r="K1138" s="10" t="e">
        <f t="shared" si="0"/>
        <v>#VALUE!</v>
      </c>
      <c r="L1138" s="10">
        <f t="shared" si="1"/>
        <v>1</v>
      </c>
      <c r="M1138" s="10" t="str">
        <f t="shared" si="2"/>
        <v>003</v>
      </c>
      <c r="N1138" s="10" t="str">
        <f t="shared" si="3"/>
        <v>01</v>
      </c>
      <c r="O1138" s="10" t="str">
        <f t="shared" si="16"/>
        <v>KARYA</v>
      </c>
    </row>
    <row r="1139" spans="1:15" ht="12.5">
      <c r="A1139" s="115" t="s">
        <v>5517</v>
      </c>
      <c r="B1139" s="5">
        <v>0</v>
      </c>
      <c r="C1139" s="5">
        <v>61</v>
      </c>
      <c r="D1139" s="5">
        <v>4</v>
      </c>
      <c r="E1139" s="5">
        <v>110</v>
      </c>
      <c r="F1139" s="5">
        <v>12</v>
      </c>
      <c r="G1139" s="5">
        <v>400</v>
      </c>
      <c r="H1139" s="5" t="s">
        <v>5250</v>
      </c>
      <c r="I1139" s="5" t="s">
        <v>5511</v>
      </c>
      <c r="J1139" s="5" t="s">
        <v>5518</v>
      </c>
      <c r="K1139" s="10" t="e">
        <f t="shared" si="0"/>
        <v>#VALUE!</v>
      </c>
      <c r="L1139" s="10">
        <f t="shared" si="1"/>
        <v>1</v>
      </c>
      <c r="M1139" s="10" t="str">
        <f t="shared" si="2"/>
        <v>004</v>
      </c>
      <c r="N1139" s="10" t="str">
        <f t="shared" si="3"/>
        <v>01</v>
      </c>
      <c r="O1139" s="10" t="str">
        <f t="shared" si="16"/>
        <v>KARYA</v>
      </c>
    </row>
    <row r="1140" spans="1:15" ht="12.5">
      <c r="A1140" s="115" t="s">
        <v>5519</v>
      </c>
      <c r="B1140" s="5">
        <v>0</v>
      </c>
      <c r="C1140" s="5">
        <v>61</v>
      </c>
      <c r="D1140" s="5">
        <v>4</v>
      </c>
      <c r="E1140" s="5">
        <v>110</v>
      </c>
      <c r="F1140" s="5">
        <v>12</v>
      </c>
      <c r="G1140" s="5">
        <v>500</v>
      </c>
      <c r="H1140" s="5" t="s">
        <v>5250</v>
      </c>
      <c r="I1140" s="5" t="s">
        <v>5511</v>
      </c>
      <c r="J1140" s="5" t="s">
        <v>5520</v>
      </c>
      <c r="K1140" s="10" t="e">
        <f t="shared" si="0"/>
        <v>#VALUE!</v>
      </c>
      <c r="L1140" s="10">
        <f t="shared" si="1"/>
        <v>1</v>
      </c>
      <c r="M1140" s="10" t="str">
        <f t="shared" si="2"/>
        <v>005</v>
      </c>
      <c r="N1140" s="10" t="str">
        <f t="shared" si="3"/>
        <v>01</v>
      </c>
      <c r="O1140" s="10" t="str">
        <f t="shared" si="16"/>
        <v>KARYA</v>
      </c>
    </row>
    <row r="1141" spans="1:15" ht="12.5">
      <c r="A1141" s="115" t="s">
        <v>5521</v>
      </c>
      <c r="B1141" s="5">
        <v>0</v>
      </c>
      <c r="C1141" s="5">
        <v>61</v>
      </c>
      <c r="D1141" s="5">
        <v>4</v>
      </c>
      <c r="E1141" s="5">
        <v>110</v>
      </c>
      <c r="F1141" s="5">
        <v>12</v>
      </c>
      <c r="G1141" s="5">
        <v>600</v>
      </c>
      <c r="H1141" s="5" t="s">
        <v>5250</v>
      </c>
      <c r="I1141" s="5" t="s">
        <v>5511</v>
      </c>
      <c r="J1141" s="5" t="s">
        <v>5522</v>
      </c>
      <c r="K1141" s="10" t="e">
        <f t="shared" si="0"/>
        <v>#VALUE!</v>
      </c>
      <c r="L1141" s="10">
        <f t="shared" si="1"/>
        <v>1</v>
      </c>
      <c r="M1141" s="10" t="str">
        <f t="shared" si="2"/>
        <v>006</v>
      </c>
      <c r="N1141" s="10" t="str">
        <f t="shared" si="3"/>
        <v>02</v>
      </c>
      <c r="O1141" s="10" t="str">
        <f t="shared" si="16"/>
        <v>TARUNA</v>
      </c>
    </row>
    <row r="1142" spans="1:15" ht="12.5">
      <c r="A1142" s="115" t="s">
        <v>5523</v>
      </c>
      <c r="B1142" s="5">
        <v>0</v>
      </c>
      <c r="C1142" s="5">
        <v>61</v>
      </c>
      <c r="D1142" s="5">
        <v>4</v>
      </c>
      <c r="E1142" s="5">
        <v>110</v>
      </c>
      <c r="F1142" s="5">
        <v>12</v>
      </c>
      <c r="G1142" s="5">
        <v>700</v>
      </c>
      <c r="H1142" s="5" t="s">
        <v>5250</v>
      </c>
      <c r="I1142" s="5" t="s">
        <v>5511</v>
      </c>
      <c r="J1142" s="5" t="s">
        <v>5524</v>
      </c>
      <c r="K1142" s="10" t="e">
        <f t="shared" si="0"/>
        <v>#VALUE!</v>
      </c>
      <c r="L1142" s="10">
        <f t="shared" si="1"/>
        <v>1</v>
      </c>
      <c r="M1142" s="10" t="str">
        <f t="shared" si="2"/>
        <v>007</v>
      </c>
      <c r="N1142" s="10" t="str">
        <f t="shared" si="3"/>
        <v>02</v>
      </c>
      <c r="O1142" s="10" t="str">
        <f t="shared" si="16"/>
        <v>TARUNA</v>
      </c>
    </row>
    <row r="1143" spans="1:15" ht="12.5">
      <c r="A1143" s="115" t="s">
        <v>5525</v>
      </c>
      <c r="B1143" s="5">
        <v>0</v>
      </c>
      <c r="C1143" s="5">
        <v>61</v>
      </c>
      <c r="D1143" s="5">
        <v>4</v>
      </c>
      <c r="E1143" s="5">
        <v>110</v>
      </c>
      <c r="F1143" s="5">
        <v>12</v>
      </c>
      <c r="G1143" s="5">
        <v>800</v>
      </c>
      <c r="H1143" s="5" t="s">
        <v>5250</v>
      </c>
      <c r="I1143" s="5" t="s">
        <v>5511</v>
      </c>
      <c r="J1143" s="5" t="s">
        <v>5526</v>
      </c>
      <c r="K1143" s="10" t="e">
        <f t="shared" si="0"/>
        <v>#VALUE!</v>
      </c>
      <c r="L1143" s="10">
        <f t="shared" si="1"/>
        <v>1</v>
      </c>
      <c r="M1143" s="10" t="str">
        <f t="shared" si="2"/>
        <v>008</v>
      </c>
      <c r="N1143" s="10" t="str">
        <f t="shared" si="3"/>
        <v>02</v>
      </c>
      <c r="O1143" s="10" t="str">
        <f t="shared" si="16"/>
        <v>TARUNA</v>
      </c>
    </row>
    <row r="1144" spans="1:15" ht="12.5">
      <c r="A1144" s="115" t="s">
        <v>5527</v>
      </c>
      <c r="B1144" s="5">
        <v>0</v>
      </c>
      <c r="C1144" s="5">
        <v>61</v>
      </c>
      <c r="D1144" s="5">
        <v>4</v>
      </c>
      <c r="E1144" s="5">
        <v>110</v>
      </c>
      <c r="F1144" s="5">
        <v>12</v>
      </c>
      <c r="G1144" s="5">
        <v>900</v>
      </c>
      <c r="H1144" s="5" t="s">
        <v>5250</v>
      </c>
      <c r="I1144" s="5" t="s">
        <v>5511</v>
      </c>
      <c r="J1144" s="5" t="s">
        <v>5528</v>
      </c>
      <c r="K1144" s="10" t="e">
        <f t="shared" si="0"/>
        <v>#VALUE!</v>
      </c>
      <c r="L1144" s="10">
        <f t="shared" si="1"/>
        <v>1</v>
      </c>
      <c r="M1144" s="10" t="str">
        <f t="shared" si="2"/>
        <v>009</v>
      </c>
      <c r="N1144" s="10" t="str">
        <f t="shared" si="3"/>
        <v>02</v>
      </c>
      <c r="O1144" s="10" t="str">
        <f t="shared" si="16"/>
        <v>TARUNA</v>
      </c>
    </row>
    <row r="1145" spans="1:15" ht="12.5">
      <c r="A1145" s="115" t="s">
        <v>5529</v>
      </c>
      <c r="B1145" s="5">
        <v>0</v>
      </c>
      <c r="C1145" s="5">
        <v>61</v>
      </c>
      <c r="D1145" s="5">
        <v>4</v>
      </c>
      <c r="E1145" s="5">
        <v>110</v>
      </c>
      <c r="F1145" s="5">
        <v>12</v>
      </c>
      <c r="G1145" s="5">
        <v>1000</v>
      </c>
      <c r="H1145" s="5" t="s">
        <v>5250</v>
      </c>
      <c r="I1145" s="5" t="s">
        <v>5511</v>
      </c>
      <c r="J1145" s="5" t="s">
        <v>5530</v>
      </c>
      <c r="K1145" s="10" t="e">
        <f t="shared" si="0"/>
        <v>#VALUE!</v>
      </c>
      <c r="L1145" s="10">
        <f t="shared" si="1"/>
        <v>1</v>
      </c>
      <c r="M1145" s="10" t="str">
        <f t="shared" si="2"/>
        <v>010</v>
      </c>
      <c r="N1145" s="10" t="str">
        <f t="shared" si="3"/>
        <v>03</v>
      </c>
      <c r="O1145" s="10" t="str">
        <f t="shared" si="16"/>
        <v>DAMAI</v>
      </c>
    </row>
    <row r="1146" spans="1:15" ht="12.5">
      <c r="A1146" s="115" t="s">
        <v>5531</v>
      </c>
      <c r="B1146" s="5">
        <v>0</v>
      </c>
      <c r="C1146" s="5">
        <v>61</v>
      </c>
      <c r="D1146" s="5">
        <v>4</v>
      </c>
      <c r="E1146" s="5">
        <v>110</v>
      </c>
      <c r="F1146" s="5">
        <v>12</v>
      </c>
      <c r="G1146" s="5">
        <v>1100</v>
      </c>
      <c r="H1146" s="5" t="s">
        <v>5250</v>
      </c>
      <c r="I1146" s="5" t="s">
        <v>5511</v>
      </c>
      <c r="J1146" s="5" t="s">
        <v>5532</v>
      </c>
      <c r="K1146" s="10" t="e">
        <f t="shared" si="0"/>
        <v>#VALUE!</v>
      </c>
      <c r="L1146" s="10">
        <f t="shared" si="1"/>
        <v>1</v>
      </c>
      <c r="M1146" s="10" t="str">
        <f t="shared" si="2"/>
        <v>011</v>
      </c>
      <c r="N1146" s="10" t="str">
        <f t="shared" si="3"/>
        <v>03</v>
      </c>
      <c r="O1146" s="10" t="str">
        <f t="shared" si="16"/>
        <v>DAMAI</v>
      </c>
    </row>
    <row r="1147" spans="1:15" ht="12.5">
      <c r="A1147" s="115" t="s">
        <v>5533</v>
      </c>
      <c r="B1147" s="5">
        <v>0</v>
      </c>
      <c r="C1147" s="5">
        <v>61</v>
      </c>
      <c r="D1147" s="5">
        <v>4</v>
      </c>
      <c r="E1147" s="5">
        <v>120</v>
      </c>
      <c r="F1147" s="5">
        <v>2</v>
      </c>
      <c r="G1147" s="5">
        <v>100</v>
      </c>
      <c r="H1147" s="5" t="s">
        <v>5534</v>
      </c>
      <c r="I1147" s="5" t="s">
        <v>5535</v>
      </c>
      <c r="J1147" s="5" t="s">
        <v>5536</v>
      </c>
      <c r="K1147" s="10" t="e">
        <f t="shared" si="0"/>
        <v>#VALUE!</v>
      </c>
      <c r="L1147" s="10">
        <f t="shared" si="1"/>
        <v>1</v>
      </c>
      <c r="M1147" s="10" t="str">
        <f t="shared" si="2"/>
        <v>001</v>
      </c>
      <c r="N1147" s="10" t="str">
        <f t="shared" si="3"/>
        <v>01</v>
      </c>
      <c r="O1147" s="10" t="str">
        <f t="shared" si="16"/>
        <v>MEKAR JAYA</v>
      </c>
    </row>
    <row r="1148" spans="1:15" ht="12.5">
      <c r="A1148" s="115" t="s">
        <v>5537</v>
      </c>
      <c r="B1148" s="5">
        <v>0</v>
      </c>
      <c r="C1148" s="5">
        <v>61</v>
      </c>
      <c r="D1148" s="5">
        <v>4</v>
      </c>
      <c r="E1148" s="5">
        <v>120</v>
      </c>
      <c r="F1148" s="5">
        <v>2</v>
      </c>
      <c r="G1148" s="5">
        <v>200</v>
      </c>
      <c r="H1148" s="5" t="s">
        <v>5534</v>
      </c>
      <c r="I1148" s="5" t="s">
        <v>5535</v>
      </c>
      <c r="J1148" s="5" t="s">
        <v>5538</v>
      </c>
      <c r="K1148" s="10" t="e">
        <f t="shared" si="0"/>
        <v>#VALUE!</v>
      </c>
      <c r="L1148" s="10">
        <f t="shared" si="1"/>
        <v>1</v>
      </c>
      <c r="M1148" s="10" t="str">
        <f t="shared" si="2"/>
        <v>002</v>
      </c>
      <c r="N1148" s="10" t="str">
        <f t="shared" si="3"/>
        <v>01</v>
      </c>
      <c r="O1148" s="10" t="str">
        <f t="shared" si="16"/>
        <v>MEKAR JAYA</v>
      </c>
    </row>
    <row r="1149" spans="1:15" ht="12.5">
      <c r="A1149" s="115" t="s">
        <v>5539</v>
      </c>
      <c r="B1149" s="5">
        <v>0</v>
      </c>
      <c r="C1149" s="5">
        <v>61</v>
      </c>
      <c r="D1149" s="5">
        <v>4</v>
      </c>
      <c r="E1149" s="5">
        <v>120</v>
      </c>
      <c r="F1149" s="5">
        <v>2</v>
      </c>
      <c r="G1149" s="5">
        <v>300</v>
      </c>
      <c r="H1149" s="5" t="s">
        <v>5534</v>
      </c>
      <c r="I1149" s="5" t="s">
        <v>5535</v>
      </c>
      <c r="J1149" s="5" t="s">
        <v>5540</v>
      </c>
      <c r="K1149" s="10" t="e">
        <f t="shared" si="0"/>
        <v>#VALUE!</v>
      </c>
      <c r="L1149" s="10">
        <f t="shared" si="1"/>
        <v>1</v>
      </c>
      <c r="M1149" s="10" t="str">
        <f t="shared" si="2"/>
        <v>003</v>
      </c>
      <c r="N1149" s="10" t="str">
        <f t="shared" si="3"/>
        <v>01</v>
      </c>
      <c r="O1149" s="10" t="str">
        <f t="shared" si="16"/>
        <v>MEKAR JAYA</v>
      </c>
    </row>
    <row r="1150" spans="1:15" ht="12.5">
      <c r="A1150" s="115" t="s">
        <v>5541</v>
      </c>
      <c r="B1150" s="5">
        <v>0</v>
      </c>
      <c r="C1150" s="5">
        <v>61</v>
      </c>
      <c r="D1150" s="5">
        <v>4</v>
      </c>
      <c r="E1150" s="5">
        <v>120</v>
      </c>
      <c r="F1150" s="5">
        <v>2</v>
      </c>
      <c r="G1150" s="5">
        <v>400</v>
      </c>
      <c r="H1150" s="5" t="s">
        <v>5534</v>
      </c>
      <c r="I1150" s="5" t="s">
        <v>5535</v>
      </c>
      <c r="J1150" s="5" t="s">
        <v>5542</v>
      </c>
      <c r="K1150" s="10" t="e">
        <f t="shared" si="0"/>
        <v>#VALUE!</v>
      </c>
      <c r="L1150" s="10">
        <f t="shared" si="1"/>
        <v>1</v>
      </c>
      <c r="M1150" s="10" t="str">
        <f t="shared" si="2"/>
        <v>013</v>
      </c>
      <c r="N1150" s="10" t="str">
        <f t="shared" si="3"/>
        <v>01</v>
      </c>
      <c r="O1150" s="10" t="str">
        <f t="shared" si="16"/>
        <v>MEKAR JAYA</v>
      </c>
    </row>
    <row r="1151" spans="1:15" ht="12.5">
      <c r="A1151" s="115" t="s">
        <v>5543</v>
      </c>
      <c r="B1151" s="5">
        <v>0</v>
      </c>
      <c r="C1151" s="5">
        <v>61</v>
      </c>
      <c r="D1151" s="5">
        <v>4</v>
      </c>
      <c r="E1151" s="5">
        <v>120</v>
      </c>
      <c r="F1151" s="5">
        <v>2</v>
      </c>
      <c r="G1151" s="5">
        <v>500</v>
      </c>
      <c r="H1151" s="5" t="s">
        <v>5534</v>
      </c>
      <c r="I1151" s="5" t="s">
        <v>5535</v>
      </c>
      <c r="J1151" s="5" t="s">
        <v>5544</v>
      </c>
      <c r="K1151" s="10" t="e">
        <f t="shared" si="0"/>
        <v>#VALUE!</v>
      </c>
      <c r="L1151" s="10">
        <f t="shared" si="1"/>
        <v>1</v>
      </c>
      <c r="M1151" s="10" t="str">
        <f t="shared" si="2"/>
        <v>014</v>
      </c>
      <c r="N1151" s="10" t="str">
        <f t="shared" si="3"/>
        <v>01</v>
      </c>
      <c r="O1151" s="10" t="str">
        <f t="shared" si="16"/>
        <v>MEKAR JAYA</v>
      </c>
    </row>
    <row r="1152" spans="1:15" ht="12.5">
      <c r="A1152" s="115" t="s">
        <v>5545</v>
      </c>
      <c r="B1152" s="5">
        <v>0</v>
      </c>
      <c r="C1152" s="5">
        <v>61</v>
      </c>
      <c r="D1152" s="5">
        <v>4</v>
      </c>
      <c r="E1152" s="5">
        <v>120</v>
      </c>
      <c r="F1152" s="5">
        <v>2</v>
      </c>
      <c r="G1152" s="5">
        <v>600</v>
      </c>
      <c r="H1152" s="5" t="s">
        <v>5534</v>
      </c>
      <c r="I1152" s="5" t="s">
        <v>5535</v>
      </c>
      <c r="J1152" s="5" t="s">
        <v>5546</v>
      </c>
      <c r="K1152" s="10" t="e">
        <f t="shared" si="0"/>
        <v>#VALUE!</v>
      </c>
      <c r="L1152" s="10">
        <f t="shared" si="1"/>
        <v>1</v>
      </c>
      <c r="M1152" s="10" t="str">
        <f t="shared" si="2"/>
        <v>004</v>
      </c>
      <c r="N1152" s="10" t="str">
        <f t="shared" si="3"/>
        <v>02</v>
      </c>
      <c r="O1152" s="10" t="str">
        <f t="shared" si="16"/>
        <v>MEKAR JAYA</v>
      </c>
    </row>
    <row r="1153" spans="1:15" ht="12.5">
      <c r="A1153" s="115" t="s">
        <v>5547</v>
      </c>
      <c r="B1153" s="5">
        <v>0</v>
      </c>
      <c r="C1153" s="5">
        <v>61</v>
      </c>
      <c r="D1153" s="5">
        <v>4</v>
      </c>
      <c r="E1153" s="5">
        <v>120</v>
      </c>
      <c r="F1153" s="5">
        <v>2</v>
      </c>
      <c r="G1153" s="5">
        <v>700</v>
      </c>
      <c r="H1153" s="5" t="s">
        <v>5534</v>
      </c>
      <c r="I1153" s="5" t="s">
        <v>5535</v>
      </c>
      <c r="J1153" s="5" t="s">
        <v>5548</v>
      </c>
      <c r="K1153" s="10" t="e">
        <f t="shared" si="0"/>
        <v>#VALUE!</v>
      </c>
      <c r="L1153" s="10">
        <f t="shared" si="1"/>
        <v>1</v>
      </c>
      <c r="M1153" s="10" t="str">
        <f t="shared" si="2"/>
        <v>005</v>
      </c>
      <c r="N1153" s="10" t="str">
        <f t="shared" si="3"/>
        <v>02</v>
      </c>
      <c r="O1153" s="10" t="str">
        <f t="shared" si="16"/>
        <v>MEKAR JAYA</v>
      </c>
    </row>
    <row r="1154" spans="1:15" ht="12.5">
      <c r="A1154" s="115" t="s">
        <v>5549</v>
      </c>
      <c r="B1154" s="5">
        <v>0</v>
      </c>
      <c r="C1154" s="5">
        <v>61</v>
      </c>
      <c r="D1154" s="5">
        <v>4</v>
      </c>
      <c r="E1154" s="5">
        <v>120</v>
      </c>
      <c r="F1154" s="5">
        <v>2</v>
      </c>
      <c r="G1154" s="5">
        <v>800</v>
      </c>
      <c r="H1154" s="5" t="s">
        <v>5534</v>
      </c>
      <c r="I1154" s="5" t="s">
        <v>5535</v>
      </c>
      <c r="J1154" s="5" t="s">
        <v>5550</v>
      </c>
      <c r="K1154" s="10" t="e">
        <f t="shared" si="0"/>
        <v>#VALUE!</v>
      </c>
      <c r="L1154" s="10">
        <f t="shared" si="1"/>
        <v>1</v>
      </c>
      <c r="M1154" s="10" t="str">
        <f t="shared" si="2"/>
        <v>015</v>
      </c>
      <c r="N1154" s="10" t="str">
        <f t="shared" si="3"/>
        <v>02</v>
      </c>
      <c r="O1154" s="10" t="str">
        <f t="shared" si="16"/>
        <v>MEKAR JAYA</v>
      </c>
    </row>
    <row r="1155" spans="1:15" ht="12.5">
      <c r="A1155" s="115" t="s">
        <v>5551</v>
      </c>
      <c r="B1155" s="5">
        <v>0</v>
      </c>
      <c r="C1155" s="5">
        <v>61</v>
      </c>
      <c r="D1155" s="5">
        <v>4</v>
      </c>
      <c r="E1155" s="5">
        <v>120</v>
      </c>
      <c r="F1155" s="5">
        <v>2</v>
      </c>
      <c r="G1155" s="5">
        <v>900</v>
      </c>
      <c r="H1155" s="5" t="s">
        <v>5534</v>
      </c>
      <c r="I1155" s="5" t="s">
        <v>5535</v>
      </c>
      <c r="J1155" s="5" t="s">
        <v>5552</v>
      </c>
      <c r="K1155" s="10" t="e">
        <f t="shared" si="0"/>
        <v>#VALUE!</v>
      </c>
      <c r="L1155" s="10">
        <f t="shared" si="1"/>
        <v>1</v>
      </c>
      <c r="M1155" s="10" t="str">
        <f t="shared" si="2"/>
        <v>006</v>
      </c>
      <c r="N1155" s="10" t="str">
        <f t="shared" si="3"/>
        <v>03</v>
      </c>
      <c r="O1155" s="10" t="str">
        <f t="shared" si="16"/>
        <v>TUNAS JAYA</v>
      </c>
    </row>
    <row r="1156" spans="1:15" ht="12.5">
      <c r="A1156" s="115" t="s">
        <v>5553</v>
      </c>
      <c r="B1156" s="5">
        <v>0</v>
      </c>
      <c r="C1156" s="5">
        <v>61</v>
      </c>
      <c r="D1156" s="5">
        <v>4</v>
      </c>
      <c r="E1156" s="5">
        <v>120</v>
      </c>
      <c r="F1156" s="5">
        <v>2</v>
      </c>
      <c r="G1156" s="5">
        <v>1000</v>
      </c>
      <c r="H1156" s="5" t="s">
        <v>5534</v>
      </c>
      <c r="I1156" s="5" t="s">
        <v>5535</v>
      </c>
      <c r="J1156" s="5" t="s">
        <v>5554</v>
      </c>
      <c r="K1156" s="10" t="e">
        <f t="shared" si="0"/>
        <v>#VALUE!</v>
      </c>
      <c r="L1156" s="10">
        <f t="shared" si="1"/>
        <v>1</v>
      </c>
      <c r="M1156" s="10" t="str">
        <f t="shared" si="2"/>
        <v>007</v>
      </c>
      <c r="N1156" s="10" t="str">
        <f t="shared" si="3"/>
        <v>03</v>
      </c>
      <c r="O1156" s="10" t="str">
        <f t="shared" si="16"/>
        <v>TUNAS JAYA</v>
      </c>
    </row>
    <row r="1157" spans="1:15" ht="12.5">
      <c r="A1157" s="115" t="s">
        <v>5555</v>
      </c>
      <c r="B1157" s="5">
        <v>0</v>
      </c>
      <c r="C1157" s="5">
        <v>61</v>
      </c>
      <c r="D1157" s="5">
        <v>4</v>
      </c>
      <c r="E1157" s="5">
        <v>120</v>
      </c>
      <c r="F1157" s="5">
        <v>2</v>
      </c>
      <c r="G1157" s="5">
        <v>1100</v>
      </c>
      <c r="H1157" s="5" t="s">
        <v>5534</v>
      </c>
      <c r="I1157" s="5" t="s">
        <v>5535</v>
      </c>
      <c r="J1157" s="5" t="s">
        <v>5556</v>
      </c>
      <c r="K1157" s="10" t="e">
        <f t="shared" si="0"/>
        <v>#VALUE!</v>
      </c>
      <c r="L1157" s="10">
        <f t="shared" si="1"/>
        <v>1</v>
      </c>
      <c r="M1157" s="10" t="str">
        <f t="shared" si="2"/>
        <v>008</v>
      </c>
      <c r="N1157" s="10" t="str">
        <f t="shared" si="3"/>
        <v>03</v>
      </c>
      <c r="O1157" s="10" t="str">
        <f t="shared" si="16"/>
        <v>TUNAS JAYA</v>
      </c>
    </row>
    <row r="1158" spans="1:15" ht="12.5">
      <c r="A1158" s="115" t="s">
        <v>5557</v>
      </c>
      <c r="B1158" s="5">
        <v>0</v>
      </c>
      <c r="C1158" s="5">
        <v>61</v>
      </c>
      <c r="D1158" s="5">
        <v>4</v>
      </c>
      <c r="E1158" s="5">
        <v>120</v>
      </c>
      <c r="F1158" s="5">
        <v>2</v>
      </c>
      <c r="G1158" s="5">
        <v>1200</v>
      </c>
      <c r="H1158" s="5" t="s">
        <v>5534</v>
      </c>
      <c r="I1158" s="5" t="s">
        <v>5535</v>
      </c>
      <c r="J1158" s="5" t="s">
        <v>5558</v>
      </c>
      <c r="K1158" s="10" t="e">
        <f t="shared" si="0"/>
        <v>#VALUE!</v>
      </c>
      <c r="L1158" s="10">
        <f t="shared" si="1"/>
        <v>1</v>
      </c>
      <c r="M1158" s="10" t="str">
        <f t="shared" si="2"/>
        <v>009</v>
      </c>
      <c r="N1158" s="10" t="str">
        <f t="shared" si="3"/>
        <v>03</v>
      </c>
      <c r="O1158" s="10" t="str">
        <f t="shared" si="16"/>
        <v>TUNAS JAYA</v>
      </c>
    </row>
    <row r="1159" spans="1:15" ht="12.5">
      <c r="A1159" s="115" t="s">
        <v>5559</v>
      </c>
      <c r="B1159" s="5">
        <v>0</v>
      </c>
      <c r="C1159" s="5">
        <v>61</v>
      </c>
      <c r="D1159" s="5">
        <v>4</v>
      </c>
      <c r="E1159" s="5">
        <v>120</v>
      </c>
      <c r="F1159" s="5">
        <v>2</v>
      </c>
      <c r="G1159" s="5">
        <v>1300</v>
      </c>
      <c r="H1159" s="5" t="s">
        <v>5534</v>
      </c>
      <c r="I1159" s="5" t="s">
        <v>5535</v>
      </c>
      <c r="J1159" s="5" t="s">
        <v>5560</v>
      </c>
      <c r="K1159" s="10" t="e">
        <f t="shared" si="0"/>
        <v>#VALUE!</v>
      </c>
      <c r="L1159" s="10">
        <f t="shared" si="1"/>
        <v>1</v>
      </c>
      <c r="M1159" s="10" t="str">
        <f t="shared" si="2"/>
        <v>010</v>
      </c>
      <c r="N1159" s="10" t="str">
        <f t="shared" si="3"/>
        <v>04</v>
      </c>
      <c r="O1159" s="10" t="str">
        <f t="shared" si="16"/>
        <v>TUNAS JAYA</v>
      </c>
    </row>
    <row r="1160" spans="1:15" ht="12.5">
      <c r="A1160" s="115" t="s">
        <v>5561</v>
      </c>
      <c r="B1160" s="5">
        <v>0</v>
      </c>
      <c r="C1160" s="5">
        <v>61</v>
      </c>
      <c r="D1160" s="5">
        <v>4</v>
      </c>
      <c r="E1160" s="5">
        <v>120</v>
      </c>
      <c r="F1160" s="5">
        <v>2</v>
      </c>
      <c r="G1160" s="5">
        <v>1400</v>
      </c>
      <c r="H1160" s="5" t="s">
        <v>5534</v>
      </c>
      <c r="I1160" s="5" t="s">
        <v>5535</v>
      </c>
      <c r="J1160" s="5" t="s">
        <v>5562</v>
      </c>
      <c r="K1160" s="10" t="e">
        <f t="shared" si="0"/>
        <v>#VALUE!</v>
      </c>
      <c r="L1160" s="10">
        <f t="shared" si="1"/>
        <v>1</v>
      </c>
      <c r="M1160" s="10" t="str">
        <f t="shared" si="2"/>
        <v>011</v>
      </c>
      <c r="N1160" s="10" t="str">
        <f t="shared" si="3"/>
        <v>04</v>
      </c>
      <c r="O1160" s="10" t="str">
        <f t="shared" si="16"/>
        <v>TUNAS JAYA</v>
      </c>
    </row>
    <row r="1161" spans="1:15" ht="12.5">
      <c r="A1161" s="115" t="s">
        <v>5563</v>
      </c>
      <c r="B1161" s="5">
        <v>0</v>
      </c>
      <c r="C1161" s="5">
        <v>61</v>
      </c>
      <c r="D1161" s="5">
        <v>4</v>
      </c>
      <c r="E1161" s="5">
        <v>120</v>
      </c>
      <c r="F1161" s="5">
        <v>2</v>
      </c>
      <c r="G1161" s="5">
        <v>1500</v>
      </c>
      <c r="H1161" s="5" t="s">
        <v>5534</v>
      </c>
      <c r="I1161" s="5" t="s">
        <v>5535</v>
      </c>
      <c r="J1161" s="5" t="s">
        <v>5564</v>
      </c>
      <c r="K1161" s="10" t="e">
        <f t="shared" si="0"/>
        <v>#VALUE!</v>
      </c>
      <c r="L1161" s="10">
        <f t="shared" si="1"/>
        <v>1</v>
      </c>
      <c r="M1161" s="10" t="str">
        <f t="shared" si="2"/>
        <v>012</v>
      </c>
      <c r="N1161" s="10" t="str">
        <f t="shared" si="3"/>
        <v>04</v>
      </c>
      <c r="O1161" s="10" t="str">
        <f t="shared" si="16"/>
        <v>TUNAS JAYA</v>
      </c>
    </row>
    <row r="1162" spans="1:15" ht="12.5">
      <c r="A1162" s="115" t="s">
        <v>5565</v>
      </c>
      <c r="B1162" s="5">
        <v>2</v>
      </c>
      <c r="C1162" s="5">
        <v>61</v>
      </c>
      <c r="D1162" s="5">
        <v>4</v>
      </c>
      <c r="E1162" s="5">
        <v>120</v>
      </c>
      <c r="F1162" s="5">
        <v>2</v>
      </c>
      <c r="G1162" s="5">
        <v>200100</v>
      </c>
      <c r="H1162" s="5" t="s">
        <v>5534</v>
      </c>
      <c r="I1162" s="5" t="s">
        <v>5535</v>
      </c>
      <c r="J1162" s="5" t="s">
        <v>3517</v>
      </c>
      <c r="K1162" s="10" t="e">
        <f t="shared" si="0"/>
        <v>#VALUE!</v>
      </c>
      <c r="L1162" s="10">
        <f t="shared" si="1"/>
        <v>0</v>
      </c>
      <c r="M1162" s="10" t="str">
        <f t="shared" si="2"/>
        <v>AN</v>
      </c>
      <c r="N1162" s="10" t="str">
        <f t="shared" si="3"/>
        <v/>
      </c>
      <c r="O1162" s="10" t="str">
        <f t="shared" si="16"/>
        <v/>
      </c>
    </row>
    <row r="1163" spans="1:15" ht="12.5">
      <c r="A1163" s="115" t="s">
        <v>5566</v>
      </c>
      <c r="B1163" s="5">
        <v>2</v>
      </c>
      <c r="C1163" s="5">
        <v>61</v>
      </c>
      <c r="D1163" s="5">
        <v>4</v>
      </c>
      <c r="E1163" s="5">
        <v>120</v>
      </c>
      <c r="F1163" s="5">
        <v>2</v>
      </c>
      <c r="G1163" s="5">
        <v>200200</v>
      </c>
      <c r="H1163" s="5" t="s">
        <v>5534</v>
      </c>
      <c r="I1163" s="5" t="s">
        <v>5535</v>
      </c>
      <c r="J1163" s="5" t="s">
        <v>3517</v>
      </c>
      <c r="K1163" s="10" t="e">
        <f t="shared" si="0"/>
        <v>#VALUE!</v>
      </c>
      <c r="L1163" s="10">
        <f t="shared" si="1"/>
        <v>0</v>
      </c>
      <c r="M1163" s="10" t="str">
        <f t="shared" si="2"/>
        <v>AN</v>
      </c>
      <c r="N1163" s="10" t="str">
        <f t="shared" si="3"/>
        <v/>
      </c>
      <c r="O1163" s="10" t="str">
        <f t="shared" si="16"/>
        <v/>
      </c>
    </row>
    <row r="1164" spans="1:15" ht="12.5">
      <c r="A1164" s="115" t="s">
        <v>5567</v>
      </c>
      <c r="B1164" s="5">
        <v>0</v>
      </c>
      <c r="C1164" s="5">
        <v>61</v>
      </c>
      <c r="D1164" s="5">
        <v>4</v>
      </c>
      <c r="E1164" s="5">
        <v>120</v>
      </c>
      <c r="F1164" s="5">
        <v>3</v>
      </c>
      <c r="G1164" s="5">
        <v>100</v>
      </c>
      <c r="H1164" s="5" t="s">
        <v>5534</v>
      </c>
      <c r="I1164" s="5" t="s">
        <v>5568</v>
      </c>
      <c r="J1164" s="5" t="s">
        <v>5569</v>
      </c>
      <c r="K1164" s="10" t="e">
        <f t="shared" si="0"/>
        <v>#VALUE!</v>
      </c>
      <c r="L1164" s="10">
        <f t="shared" si="1"/>
        <v>1</v>
      </c>
      <c r="M1164" s="10" t="str">
        <f t="shared" si="2"/>
        <v>001</v>
      </c>
      <c r="N1164" s="10" t="str">
        <f t="shared" si="3"/>
        <v>01</v>
      </c>
      <c r="O1164" s="10" t="str">
        <f t="shared" si="16"/>
        <v>BENUANG</v>
      </c>
    </row>
    <row r="1165" spans="1:15" ht="12.5">
      <c r="A1165" s="115" t="s">
        <v>5570</v>
      </c>
      <c r="B1165" s="5">
        <v>0</v>
      </c>
      <c r="C1165" s="5">
        <v>61</v>
      </c>
      <c r="D1165" s="5">
        <v>4</v>
      </c>
      <c r="E1165" s="5">
        <v>120</v>
      </c>
      <c r="F1165" s="5">
        <v>3</v>
      </c>
      <c r="G1165" s="5">
        <v>200</v>
      </c>
      <c r="H1165" s="5" t="s">
        <v>5534</v>
      </c>
      <c r="I1165" s="5" t="s">
        <v>5568</v>
      </c>
      <c r="J1165" s="5" t="s">
        <v>5571</v>
      </c>
      <c r="K1165" s="10" t="e">
        <f t="shared" si="0"/>
        <v>#VALUE!</v>
      </c>
      <c r="L1165" s="10">
        <f t="shared" si="1"/>
        <v>1</v>
      </c>
      <c r="M1165" s="10" t="str">
        <f t="shared" si="2"/>
        <v>002</v>
      </c>
      <c r="N1165" s="10" t="str">
        <f t="shared" si="3"/>
        <v>01</v>
      </c>
      <c r="O1165" s="10" t="str">
        <f t="shared" si="16"/>
        <v>BENUANG</v>
      </c>
    </row>
    <row r="1166" spans="1:15" ht="12.5">
      <c r="A1166" s="115" t="s">
        <v>5572</v>
      </c>
      <c r="B1166" s="5">
        <v>0</v>
      </c>
      <c r="C1166" s="5">
        <v>61</v>
      </c>
      <c r="D1166" s="5">
        <v>4</v>
      </c>
      <c r="E1166" s="5">
        <v>120</v>
      </c>
      <c r="F1166" s="5">
        <v>3</v>
      </c>
      <c r="G1166" s="5">
        <v>300</v>
      </c>
      <c r="H1166" s="5" t="s">
        <v>5534</v>
      </c>
      <c r="I1166" s="5" t="s">
        <v>5568</v>
      </c>
      <c r="J1166" s="5" t="s">
        <v>5573</v>
      </c>
      <c r="K1166" s="10" t="e">
        <f t="shared" si="0"/>
        <v>#VALUE!</v>
      </c>
      <c r="L1166" s="10">
        <f t="shared" si="1"/>
        <v>1</v>
      </c>
      <c r="M1166" s="10" t="str">
        <f t="shared" si="2"/>
        <v>003</v>
      </c>
      <c r="N1166" s="10" t="str">
        <f t="shared" si="3"/>
        <v>01</v>
      </c>
      <c r="O1166" s="10" t="str">
        <f t="shared" si="16"/>
        <v>BENUANG</v>
      </c>
    </row>
    <row r="1167" spans="1:15" ht="12.5">
      <c r="A1167" s="115" t="s">
        <v>5574</v>
      </c>
      <c r="B1167" s="5">
        <v>0</v>
      </c>
      <c r="C1167" s="5">
        <v>61</v>
      </c>
      <c r="D1167" s="5">
        <v>4</v>
      </c>
      <c r="E1167" s="5">
        <v>120</v>
      </c>
      <c r="F1167" s="5">
        <v>3</v>
      </c>
      <c r="G1167" s="5">
        <v>400</v>
      </c>
      <c r="H1167" s="5" t="s">
        <v>5534</v>
      </c>
      <c r="I1167" s="5" t="s">
        <v>5568</v>
      </c>
      <c r="J1167" s="5" t="s">
        <v>5575</v>
      </c>
      <c r="K1167" s="10" t="e">
        <f t="shared" si="0"/>
        <v>#VALUE!</v>
      </c>
      <c r="L1167" s="10">
        <f t="shared" si="1"/>
        <v>1</v>
      </c>
      <c r="M1167" s="10" t="str">
        <f t="shared" si="2"/>
        <v>004</v>
      </c>
      <c r="N1167" s="10" t="str">
        <f t="shared" si="3"/>
        <v>02</v>
      </c>
      <c r="O1167" s="10" t="str">
        <f t="shared" si="16"/>
        <v>BENUANG</v>
      </c>
    </row>
    <row r="1168" spans="1:15" ht="12.5">
      <c r="A1168" s="115" t="s">
        <v>5576</v>
      </c>
      <c r="B1168" s="5">
        <v>0</v>
      </c>
      <c r="C1168" s="5">
        <v>61</v>
      </c>
      <c r="D1168" s="5">
        <v>4</v>
      </c>
      <c r="E1168" s="5">
        <v>120</v>
      </c>
      <c r="F1168" s="5">
        <v>3</v>
      </c>
      <c r="G1168" s="5">
        <v>500</v>
      </c>
      <c r="H1168" s="5" t="s">
        <v>5534</v>
      </c>
      <c r="I1168" s="5" t="s">
        <v>5568</v>
      </c>
      <c r="J1168" s="5" t="s">
        <v>5577</v>
      </c>
      <c r="K1168" s="10" t="e">
        <f t="shared" si="0"/>
        <v>#VALUE!</v>
      </c>
      <c r="L1168" s="10">
        <f t="shared" si="1"/>
        <v>1</v>
      </c>
      <c r="M1168" s="10" t="str">
        <f t="shared" si="2"/>
        <v>005</v>
      </c>
      <c r="N1168" s="10" t="str">
        <f t="shared" si="3"/>
        <v>02</v>
      </c>
      <c r="O1168" s="10" t="str">
        <f t="shared" si="16"/>
        <v>BENUANG</v>
      </c>
    </row>
    <row r="1169" spans="1:15" ht="12.5">
      <c r="A1169" s="115" t="s">
        <v>5578</v>
      </c>
      <c r="B1169" s="5">
        <v>0</v>
      </c>
      <c r="C1169" s="5">
        <v>61</v>
      </c>
      <c r="D1169" s="5">
        <v>4</v>
      </c>
      <c r="E1169" s="5">
        <v>120</v>
      </c>
      <c r="F1169" s="5">
        <v>3</v>
      </c>
      <c r="G1169" s="5">
        <v>600</v>
      </c>
      <c r="H1169" s="5" t="s">
        <v>5534</v>
      </c>
      <c r="I1169" s="5" t="s">
        <v>5568</v>
      </c>
      <c r="J1169" s="5" t="s">
        <v>5579</v>
      </c>
      <c r="K1169" s="10" t="e">
        <f t="shared" si="0"/>
        <v>#VALUE!</v>
      </c>
      <c r="L1169" s="10">
        <f t="shared" si="1"/>
        <v>1</v>
      </c>
      <c r="M1169" s="10" t="str">
        <f t="shared" si="2"/>
        <v>006</v>
      </c>
      <c r="N1169" s="10" t="str">
        <f t="shared" si="3"/>
        <v>02</v>
      </c>
      <c r="O1169" s="10" t="str">
        <f t="shared" si="16"/>
        <v>BENUANG</v>
      </c>
    </row>
    <row r="1170" spans="1:15" ht="12.5">
      <c r="A1170" s="115" t="s">
        <v>5580</v>
      </c>
      <c r="B1170" s="5">
        <v>0</v>
      </c>
      <c r="C1170" s="5">
        <v>61</v>
      </c>
      <c r="D1170" s="5">
        <v>4</v>
      </c>
      <c r="E1170" s="5">
        <v>120</v>
      </c>
      <c r="F1170" s="5">
        <v>3</v>
      </c>
      <c r="G1170" s="5">
        <v>700</v>
      </c>
      <c r="H1170" s="5" t="s">
        <v>5534</v>
      </c>
      <c r="I1170" s="5" t="s">
        <v>5568</v>
      </c>
      <c r="J1170" s="5" t="s">
        <v>5581</v>
      </c>
      <c r="K1170" s="10" t="e">
        <f t="shared" si="0"/>
        <v>#VALUE!</v>
      </c>
      <c r="L1170" s="10">
        <f t="shared" si="1"/>
        <v>1</v>
      </c>
      <c r="M1170" s="10" t="str">
        <f t="shared" si="2"/>
        <v>007</v>
      </c>
      <c r="N1170" s="10" t="str">
        <f t="shared" si="3"/>
        <v>03</v>
      </c>
      <c r="O1170" s="10" t="str">
        <f t="shared" si="16"/>
        <v>BOBOR</v>
      </c>
    </row>
    <row r="1171" spans="1:15" ht="12.5">
      <c r="A1171" s="115" t="s">
        <v>5582</v>
      </c>
      <c r="B1171" s="5">
        <v>0</v>
      </c>
      <c r="C1171" s="5">
        <v>61</v>
      </c>
      <c r="D1171" s="5">
        <v>4</v>
      </c>
      <c r="E1171" s="5">
        <v>120</v>
      </c>
      <c r="F1171" s="5">
        <v>3</v>
      </c>
      <c r="G1171" s="5">
        <v>800</v>
      </c>
      <c r="H1171" s="5" t="s">
        <v>5534</v>
      </c>
      <c r="I1171" s="5" t="s">
        <v>5568</v>
      </c>
      <c r="J1171" s="5" t="s">
        <v>5583</v>
      </c>
      <c r="K1171" s="10" t="e">
        <f t="shared" si="0"/>
        <v>#VALUE!</v>
      </c>
      <c r="L1171" s="10">
        <f t="shared" si="1"/>
        <v>1</v>
      </c>
      <c r="M1171" s="10" t="str">
        <f t="shared" si="2"/>
        <v>008</v>
      </c>
      <c r="N1171" s="10" t="str">
        <f t="shared" si="3"/>
        <v>03</v>
      </c>
      <c r="O1171" s="10" t="str">
        <f t="shared" si="16"/>
        <v>BOBOR</v>
      </c>
    </row>
    <row r="1172" spans="1:15" ht="12.5">
      <c r="A1172" s="115" t="s">
        <v>5584</v>
      </c>
      <c r="B1172" s="5">
        <v>0</v>
      </c>
      <c r="C1172" s="5">
        <v>61</v>
      </c>
      <c r="D1172" s="5">
        <v>4</v>
      </c>
      <c r="E1172" s="5">
        <v>120</v>
      </c>
      <c r="F1172" s="5">
        <v>3</v>
      </c>
      <c r="G1172" s="5">
        <v>900</v>
      </c>
      <c r="H1172" s="5" t="s">
        <v>5534</v>
      </c>
      <c r="I1172" s="5" t="s">
        <v>5568</v>
      </c>
      <c r="J1172" s="5" t="s">
        <v>5585</v>
      </c>
      <c r="K1172" s="10" t="e">
        <f t="shared" si="0"/>
        <v>#VALUE!</v>
      </c>
      <c r="L1172" s="10">
        <f t="shared" si="1"/>
        <v>1</v>
      </c>
      <c r="M1172" s="10" t="str">
        <f t="shared" si="2"/>
        <v>009</v>
      </c>
      <c r="N1172" s="10" t="str">
        <f t="shared" si="3"/>
        <v>03</v>
      </c>
      <c r="O1172" s="10" t="str">
        <f t="shared" si="16"/>
        <v>BOBOR</v>
      </c>
    </row>
    <row r="1173" spans="1:15" ht="12.5">
      <c r="A1173" s="115" t="s">
        <v>5586</v>
      </c>
      <c r="B1173" s="5">
        <v>2</v>
      </c>
      <c r="C1173" s="5">
        <v>61</v>
      </c>
      <c r="D1173" s="5">
        <v>4</v>
      </c>
      <c r="E1173" s="5">
        <v>120</v>
      </c>
      <c r="F1173" s="5">
        <v>3</v>
      </c>
      <c r="G1173" s="5">
        <v>200100</v>
      </c>
      <c r="H1173" s="5" t="s">
        <v>5534</v>
      </c>
      <c r="I1173" s="5" t="s">
        <v>5568</v>
      </c>
      <c r="J1173" s="5" t="s">
        <v>5587</v>
      </c>
      <c r="K1173" s="10" t="e">
        <f t="shared" si="0"/>
        <v>#VALUE!</v>
      </c>
      <c r="L1173" s="10">
        <f t="shared" si="1"/>
        <v>0</v>
      </c>
      <c r="M1173" s="10" t="str">
        <f t="shared" si="2"/>
        <v xml:space="preserve"> SL</v>
      </c>
      <c r="N1173" s="10" t="str">
        <f t="shared" si="3"/>
        <v>NUA</v>
      </c>
      <c r="O1173" s="10" t="str">
        <f t="shared" si="16"/>
        <v>TAN)</v>
      </c>
    </row>
    <row r="1174" spans="1:15" ht="12.5">
      <c r="A1174" s="115" t="s">
        <v>5588</v>
      </c>
      <c r="B1174" s="5">
        <v>0</v>
      </c>
      <c r="C1174" s="5">
        <v>61</v>
      </c>
      <c r="D1174" s="5">
        <v>4</v>
      </c>
      <c r="E1174" s="5">
        <v>120</v>
      </c>
      <c r="F1174" s="5">
        <v>4</v>
      </c>
      <c r="G1174" s="5">
        <v>100</v>
      </c>
      <c r="H1174" s="5" t="s">
        <v>5534</v>
      </c>
      <c r="I1174" s="5" t="s">
        <v>5589</v>
      </c>
      <c r="J1174" s="5" t="s">
        <v>5590</v>
      </c>
      <c r="K1174" s="10" t="e">
        <f t="shared" si="0"/>
        <v>#VALUE!</v>
      </c>
      <c r="L1174" s="10">
        <f t="shared" si="1"/>
        <v>1</v>
      </c>
      <c r="M1174" s="10" t="str">
        <f t="shared" si="2"/>
        <v>001</v>
      </c>
      <c r="N1174" s="10" t="str">
        <f t="shared" si="3"/>
        <v>01</v>
      </c>
      <c r="O1174" s="10" t="str">
        <f t="shared" si="16"/>
        <v>001 PAK UT</v>
      </c>
    </row>
    <row r="1175" spans="1:15" ht="12.5">
      <c r="A1175" s="115" t="s">
        <v>5591</v>
      </c>
      <c r="B1175" s="5">
        <v>0</v>
      </c>
      <c r="C1175" s="5">
        <v>61</v>
      </c>
      <c r="D1175" s="5">
        <v>4</v>
      </c>
      <c r="E1175" s="5">
        <v>120</v>
      </c>
      <c r="F1175" s="5">
        <v>4</v>
      </c>
      <c r="G1175" s="5">
        <v>200</v>
      </c>
      <c r="H1175" s="5" t="s">
        <v>5534</v>
      </c>
      <c r="I1175" s="5" t="s">
        <v>5589</v>
      </c>
      <c r="J1175" s="5" t="s">
        <v>5592</v>
      </c>
      <c r="K1175" s="10" t="e">
        <f t="shared" si="0"/>
        <v>#VALUE!</v>
      </c>
      <c r="L1175" s="10">
        <f t="shared" si="1"/>
        <v>1</v>
      </c>
      <c r="M1175" s="10" t="str">
        <f t="shared" si="2"/>
        <v>002</v>
      </c>
      <c r="N1175" s="10" t="str">
        <f t="shared" si="3"/>
        <v>01</v>
      </c>
      <c r="O1175" s="10" t="str">
        <f t="shared" si="16"/>
        <v>001 PAK UT</v>
      </c>
    </row>
    <row r="1176" spans="1:15" ht="12.5">
      <c r="A1176" s="115" t="s">
        <v>5593</v>
      </c>
      <c r="B1176" s="5">
        <v>0</v>
      </c>
      <c r="C1176" s="5">
        <v>61</v>
      </c>
      <c r="D1176" s="5">
        <v>4</v>
      </c>
      <c r="E1176" s="5">
        <v>120</v>
      </c>
      <c r="F1176" s="5">
        <v>4</v>
      </c>
      <c r="G1176" s="5">
        <v>300</v>
      </c>
      <c r="H1176" s="5" t="s">
        <v>5534</v>
      </c>
      <c r="I1176" s="5" t="s">
        <v>5589</v>
      </c>
      <c r="J1176" s="5" t="s">
        <v>5594</v>
      </c>
      <c r="K1176" s="10" t="e">
        <f t="shared" si="0"/>
        <v>#VALUE!</v>
      </c>
      <c r="L1176" s="10">
        <f t="shared" si="1"/>
        <v>1</v>
      </c>
      <c r="M1176" s="10" t="str">
        <f t="shared" si="2"/>
        <v>003</v>
      </c>
      <c r="N1176" s="10" t="str">
        <f t="shared" si="3"/>
        <v>01</v>
      </c>
      <c r="O1176" s="10" t="str">
        <f t="shared" si="16"/>
        <v>001 PAK UT</v>
      </c>
    </row>
    <row r="1177" spans="1:15" ht="12.5">
      <c r="A1177" s="115" t="s">
        <v>5595</v>
      </c>
      <c r="B1177" s="5">
        <v>0</v>
      </c>
      <c r="C1177" s="5">
        <v>61</v>
      </c>
      <c r="D1177" s="5">
        <v>4</v>
      </c>
      <c r="E1177" s="5">
        <v>120</v>
      </c>
      <c r="F1177" s="5">
        <v>4</v>
      </c>
      <c r="G1177" s="5">
        <v>400</v>
      </c>
      <c r="H1177" s="5" t="s">
        <v>5534</v>
      </c>
      <c r="I1177" s="5" t="s">
        <v>5589</v>
      </c>
      <c r="J1177" s="5" t="s">
        <v>5596</v>
      </c>
      <c r="K1177" s="10" t="e">
        <f t="shared" si="0"/>
        <v>#VALUE!</v>
      </c>
      <c r="L1177" s="10">
        <f t="shared" si="1"/>
        <v>1</v>
      </c>
      <c r="M1177" s="10" t="str">
        <f t="shared" si="2"/>
        <v>004</v>
      </c>
      <c r="N1177" s="10" t="str">
        <f t="shared" si="3"/>
        <v>02</v>
      </c>
      <c r="O1177" s="10" t="str">
        <f t="shared" si="16"/>
        <v>001 PAK UT</v>
      </c>
    </row>
    <row r="1178" spans="1:15" ht="12.5">
      <c r="A1178" s="115" t="s">
        <v>5597</v>
      </c>
      <c r="B1178" s="5">
        <v>0</v>
      </c>
      <c r="C1178" s="5">
        <v>61</v>
      </c>
      <c r="D1178" s="5">
        <v>4</v>
      </c>
      <c r="E1178" s="5">
        <v>120</v>
      </c>
      <c r="F1178" s="5">
        <v>4</v>
      </c>
      <c r="G1178" s="5">
        <v>500</v>
      </c>
      <c r="H1178" s="5" t="s">
        <v>5534</v>
      </c>
      <c r="I1178" s="5" t="s">
        <v>5589</v>
      </c>
      <c r="J1178" s="5" t="s">
        <v>5598</v>
      </c>
      <c r="K1178" s="10" t="e">
        <f t="shared" si="0"/>
        <v>#VALUE!</v>
      </c>
      <c r="L1178" s="10">
        <f t="shared" si="1"/>
        <v>1</v>
      </c>
      <c r="M1178" s="10" t="str">
        <f t="shared" si="2"/>
        <v>005</v>
      </c>
      <c r="N1178" s="10" t="str">
        <f t="shared" si="3"/>
        <v>02</v>
      </c>
      <c r="O1178" s="10" t="str">
        <f t="shared" si="16"/>
        <v>002 BAYUNG</v>
      </c>
    </row>
    <row r="1179" spans="1:15" ht="12.5">
      <c r="A1179" s="115" t="s">
        <v>5599</v>
      </c>
      <c r="B1179" s="5">
        <v>0</v>
      </c>
      <c r="C1179" s="5">
        <v>61</v>
      </c>
      <c r="D1179" s="5">
        <v>4</v>
      </c>
      <c r="E1179" s="5">
        <v>120</v>
      </c>
      <c r="F1179" s="5">
        <v>4</v>
      </c>
      <c r="G1179" s="5">
        <v>600</v>
      </c>
      <c r="H1179" s="5" t="s">
        <v>5534</v>
      </c>
      <c r="I1179" s="5" t="s">
        <v>5589</v>
      </c>
      <c r="J1179" s="5" t="s">
        <v>5600</v>
      </c>
      <c r="K1179" s="10" t="e">
        <f t="shared" si="0"/>
        <v>#VALUE!</v>
      </c>
      <c r="L1179" s="10">
        <f t="shared" si="1"/>
        <v>1</v>
      </c>
      <c r="M1179" s="10" t="str">
        <f t="shared" si="2"/>
        <v>006</v>
      </c>
      <c r="N1179" s="10" t="str">
        <f t="shared" si="3"/>
        <v>03</v>
      </c>
      <c r="O1179" s="10" t="str">
        <f t="shared" si="16"/>
        <v>002 BAYUNG</v>
      </c>
    </row>
    <row r="1180" spans="1:15" ht="12.5">
      <c r="A1180" s="115" t="s">
        <v>5601</v>
      </c>
      <c r="B1180" s="5">
        <v>0</v>
      </c>
      <c r="C1180" s="5">
        <v>61</v>
      </c>
      <c r="D1180" s="5">
        <v>4</v>
      </c>
      <c r="E1180" s="5">
        <v>120</v>
      </c>
      <c r="F1180" s="5">
        <v>4</v>
      </c>
      <c r="G1180" s="5">
        <v>700</v>
      </c>
      <c r="H1180" s="5" t="s">
        <v>5534</v>
      </c>
      <c r="I1180" s="5" t="s">
        <v>5589</v>
      </c>
      <c r="J1180" s="5" t="s">
        <v>5602</v>
      </c>
      <c r="K1180" s="10" t="e">
        <f t="shared" si="0"/>
        <v>#VALUE!</v>
      </c>
      <c r="L1180" s="10">
        <f t="shared" si="1"/>
        <v>1</v>
      </c>
      <c r="M1180" s="10" t="str">
        <f t="shared" si="2"/>
        <v>007</v>
      </c>
      <c r="N1180" s="10" t="str">
        <f t="shared" si="3"/>
        <v>03</v>
      </c>
      <c r="O1180" s="10" t="str">
        <f t="shared" si="16"/>
        <v>002 BAYUNG</v>
      </c>
    </row>
    <row r="1181" spans="1:15" ht="12.5">
      <c r="A1181" s="115" t="s">
        <v>5603</v>
      </c>
      <c r="B1181" s="5">
        <v>0</v>
      </c>
      <c r="C1181" s="5">
        <v>61</v>
      </c>
      <c r="D1181" s="5">
        <v>4</v>
      </c>
      <c r="E1181" s="5">
        <v>120</v>
      </c>
      <c r="F1181" s="5">
        <v>4</v>
      </c>
      <c r="G1181" s="5">
        <v>800</v>
      </c>
      <c r="H1181" s="5" t="s">
        <v>5534</v>
      </c>
      <c r="I1181" s="5" t="s">
        <v>5589</v>
      </c>
      <c r="J1181" s="5" t="s">
        <v>5604</v>
      </c>
      <c r="K1181" s="10" t="e">
        <f t="shared" si="0"/>
        <v>#VALUE!</v>
      </c>
      <c r="L1181" s="10">
        <f t="shared" si="1"/>
        <v>1</v>
      </c>
      <c r="M1181" s="10" t="str">
        <f t="shared" si="2"/>
        <v>008</v>
      </c>
      <c r="N1181" s="10" t="str">
        <f t="shared" si="3"/>
        <v>03</v>
      </c>
      <c r="O1181" s="10" t="str">
        <f t="shared" si="16"/>
        <v>003 SIBO H</v>
      </c>
    </row>
    <row r="1182" spans="1:15" ht="12.5">
      <c r="A1182" s="115" t="s">
        <v>5605</v>
      </c>
      <c r="B1182" s="5">
        <v>0</v>
      </c>
      <c r="C1182" s="5">
        <v>61</v>
      </c>
      <c r="D1182" s="5">
        <v>4</v>
      </c>
      <c r="E1182" s="5">
        <v>120</v>
      </c>
      <c r="F1182" s="5">
        <v>4</v>
      </c>
      <c r="G1182" s="5">
        <v>900</v>
      </c>
      <c r="H1182" s="5" t="s">
        <v>5534</v>
      </c>
      <c r="I1182" s="5" t="s">
        <v>5589</v>
      </c>
      <c r="J1182" s="5" t="s">
        <v>5606</v>
      </c>
      <c r="K1182" s="10" t="e">
        <f t="shared" si="0"/>
        <v>#VALUE!</v>
      </c>
      <c r="L1182" s="10">
        <f t="shared" si="1"/>
        <v>1</v>
      </c>
      <c r="M1182" s="10" t="str">
        <f t="shared" si="2"/>
        <v>009</v>
      </c>
      <c r="N1182" s="10" t="str">
        <f t="shared" si="3"/>
        <v>03</v>
      </c>
      <c r="O1182" s="10" t="str">
        <f t="shared" si="16"/>
        <v>003 SIBO H</v>
      </c>
    </row>
    <row r="1183" spans="1:15" ht="12.5">
      <c r="A1183" s="115" t="s">
        <v>5607</v>
      </c>
      <c r="B1183" s="5">
        <v>0</v>
      </c>
      <c r="C1183" s="5">
        <v>61</v>
      </c>
      <c r="D1183" s="5">
        <v>4</v>
      </c>
      <c r="E1183" s="5">
        <v>120</v>
      </c>
      <c r="F1183" s="5">
        <v>4</v>
      </c>
      <c r="G1183" s="5">
        <v>1000</v>
      </c>
      <c r="H1183" s="5" t="s">
        <v>5534</v>
      </c>
      <c r="I1183" s="5" t="s">
        <v>5589</v>
      </c>
      <c r="J1183" s="5" t="s">
        <v>5608</v>
      </c>
      <c r="K1183" s="10" t="e">
        <f t="shared" si="0"/>
        <v>#VALUE!</v>
      </c>
      <c r="L1183" s="10">
        <f t="shared" si="1"/>
        <v>1</v>
      </c>
      <c r="M1183" s="10" t="str">
        <f t="shared" si="2"/>
        <v>013</v>
      </c>
      <c r="N1183" s="10" t="str">
        <f t="shared" si="3"/>
        <v>03</v>
      </c>
      <c r="O1183" s="10" t="str">
        <f t="shared" si="16"/>
        <v>003 SIBO H</v>
      </c>
    </row>
    <row r="1184" spans="1:15" ht="12.5">
      <c r="A1184" s="115" t="s">
        <v>5609</v>
      </c>
      <c r="B1184" s="5">
        <v>0</v>
      </c>
      <c r="C1184" s="5">
        <v>61</v>
      </c>
      <c r="D1184" s="5">
        <v>4</v>
      </c>
      <c r="E1184" s="5">
        <v>120</v>
      </c>
      <c r="F1184" s="5">
        <v>4</v>
      </c>
      <c r="G1184" s="5">
        <v>1100</v>
      </c>
      <c r="H1184" s="5" t="s">
        <v>5534</v>
      </c>
      <c r="I1184" s="5" t="s">
        <v>5589</v>
      </c>
      <c r="J1184" s="5" t="s">
        <v>5610</v>
      </c>
      <c r="K1184" s="10" t="e">
        <f t="shared" si="0"/>
        <v>#VALUE!</v>
      </c>
      <c r="L1184" s="10">
        <f t="shared" si="1"/>
        <v>1</v>
      </c>
      <c r="M1184" s="10" t="str">
        <f t="shared" si="2"/>
        <v>010</v>
      </c>
      <c r="N1184" s="10" t="str">
        <f t="shared" si="3"/>
        <v>04</v>
      </c>
      <c r="O1184" s="10" t="str">
        <f t="shared" si="16"/>
        <v>004 SIBU H</v>
      </c>
    </row>
    <row r="1185" spans="1:15" ht="12.5">
      <c r="A1185" s="115" t="s">
        <v>5611</v>
      </c>
      <c r="B1185" s="5">
        <v>0</v>
      </c>
      <c r="C1185" s="5">
        <v>61</v>
      </c>
      <c r="D1185" s="5">
        <v>4</v>
      </c>
      <c r="E1185" s="5">
        <v>120</v>
      </c>
      <c r="F1185" s="5">
        <v>4</v>
      </c>
      <c r="G1185" s="5">
        <v>1200</v>
      </c>
      <c r="H1185" s="5" t="s">
        <v>5534</v>
      </c>
      <c r="I1185" s="5" t="s">
        <v>5589</v>
      </c>
      <c r="J1185" s="5" t="s">
        <v>5612</v>
      </c>
      <c r="K1185" s="10" t="e">
        <f t="shared" si="0"/>
        <v>#VALUE!</v>
      </c>
      <c r="L1185" s="10">
        <f t="shared" si="1"/>
        <v>1</v>
      </c>
      <c r="M1185" s="10" t="str">
        <f t="shared" si="2"/>
        <v>011</v>
      </c>
      <c r="N1185" s="10" t="str">
        <f t="shared" si="3"/>
        <v>04</v>
      </c>
      <c r="O1185" s="10" t="str">
        <f t="shared" si="16"/>
        <v>004 SIBO H</v>
      </c>
    </row>
    <row r="1186" spans="1:15" ht="12.5">
      <c r="A1186" s="115" t="s">
        <v>5613</v>
      </c>
      <c r="B1186" s="5">
        <v>0</v>
      </c>
      <c r="C1186" s="5">
        <v>61</v>
      </c>
      <c r="D1186" s="5">
        <v>4</v>
      </c>
      <c r="E1186" s="5">
        <v>120</v>
      </c>
      <c r="F1186" s="5">
        <v>4</v>
      </c>
      <c r="G1186" s="5">
        <v>1300</v>
      </c>
      <c r="H1186" s="5" t="s">
        <v>5534</v>
      </c>
      <c r="I1186" s="5" t="s">
        <v>5589</v>
      </c>
      <c r="J1186" s="5" t="s">
        <v>5614</v>
      </c>
      <c r="K1186" s="10" t="e">
        <f t="shared" si="0"/>
        <v>#VALUE!</v>
      </c>
      <c r="L1186" s="10">
        <f t="shared" si="1"/>
        <v>1</v>
      </c>
      <c r="M1186" s="10" t="str">
        <f t="shared" si="2"/>
        <v>012</v>
      </c>
      <c r="N1186" s="10" t="str">
        <f t="shared" si="3"/>
        <v>04</v>
      </c>
      <c r="O1186" s="10" t="str">
        <f t="shared" si="16"/>
        <v>004 SIBO H</v>
      </c>
    </row>
    <row r="1187" spans="1:15" ht="12.5">
      <c r="A1187" s="115" t="s">
        <v>5615</v>
      </c>
      <c r="B1187" s="5">
        <v>0</v>
      </c>
      <c r="C1187" s="5">
        <v>61</v>
      </c>
      <c r="D1187" s="5">
        <v>4</v>
      </c>
      <c r="E1187" s="5">
        <v>120</v>
      </c>
      <c r="F1187" s="5">
        <v>5</v>
      </c>
      <c r="G1187" s="5">
        <v>100</v>
      </c>
      <c r="H1187" s="5" t="s">
        <v>5534</v>
      </c>
      <c r="I1187" s="5" t="s">
        <v>5616</v>
      </c>
      <c r="J1187" s="5" t="s">
        <v>5617</v>
      </c>
      <c r="K1187" s="10" t="e">
        <f t="shared" si="0"/>
        <v>#VALUE!</v>
      </c>
      <c r="L1187" s="10">
        <f t="shared" si="1"/>
        <v>1</v>
      </c>
      <c r="M1187" s="10" t="str">
        <f t="shared" si="2"/>
        <v>001</v>
      </c>
      <c r="N1187" s="10" t="str">
        <f t="shared" si="3"/>
        <v>01</v>
      </c>
      <c r="O1187" s="10" t="str">
        <f t="shared" si="16"/>
        <v>SEPANG</v>
      </c>
    </row>
    <row r="1188" spans="1:15" ht="12.5">
      <c r="A1188" s="115" t="s">
        <v>5618</v>
      </c>
      <c r="B1188" s="5">
        <v>0</v>
      </c>
      <c r="C1188" s="5">
        <v>61</v>
      </c>
      <c r="D1188" s="5">
        <v>4</v>
      </c>
      <c r="E1188" s="5">
        <v>120</v>
      </c>
      <c r="F1188" s="5">
        <v>5</v>
      </c>
      <c r="G1188" s="5">
        <v>200</v>
      </c>
      <c r="H1188" s="5" t="s">
        <v>5534</v>
      </c>
      <c r="I1188" s="5" t="s">
        <v>5616</v>
      </c>
      <c r="J1188" s="5" t="s">
        <v>5619</v>
      </c>
      <c r="K1188" s="10" t="e">
        <f t="shared" si="0"/>
        <v>#VALUE!</v>
      </c>
      <c r="L1188" s="10">
        <f t="shared" si="1"/>
        <v>1</v>
      </c>
      <c r="M1188" s="10" t="str">
        <f t="shared" si="2"/>
        <v>002</v>
      </c>
      <c r="N1188" s="10" t="str">
        <f t="shared" si="3"/>
        <v>01</v>
      </c>
      <c r="O1188" s="10" t="str">
        <f t="shared" si="16"/>
        <v>SEPANG</v>
      </c>
    </row>
    <row r="1189" spans="1:15" ht="12.5">
      <c r="A1189" s="115" t="s">
        <v>5620</v>
      </c>
      <c r="B1189" s="5">
        <v>0</v>
      </c>
      <c r="C1189" s="5">
        <v>61</v>
      </c>
      <c r="D1189" s="5">
        <v>4</v>
      </c>
      <c r="E1189" s="5">
        <v>120</v>
      </c>
      <c r="F1189" s="5">
        <v>5</v>
      </c>
      <c r="G1189" s="5">
        <v>300</v>
      </c>
      <c r="H1189" s="5" t="s">
        <v>5534</v>
      </c>
      <c r="I1189" s="5" t="s">
        <v>5616</v>
      </c>
      <c r="J1189" s="5" t="s">
        <v>5621</v>
      </c>
      <c r="K1189" s="10" t="e">
        <f t="shared" si="0"/>
        <v>#VALUE!</v>
      </c>
      <c r="L1189" s="10">
        <f t="shared" si="1"/>
        <v>1</v>
      </c>
      <c r="M1189" s="10" t="str">
        <f t="shared" si="2"/>
        <v>003</v>
      </c>
      <c r="N1189" s="10" t="str">
        <f t="shared" si="3"/>
        <v>01</v>
      </c>
      <c r="O1189" s="10" t="str">
        <f t="shared" si="16"/>
        <v>SEPANG</v>
      </c>
    </row>
    <row r="1190" spans="1:15" ht="12.5">
      <c r="A1190" s="115" t="s">
        <v>5622</v>
      </c>
      <c r="B1190" s="5">
        <v>0</v>
      </c>
      <c r="C1190" s="5">
        <v>61</v>
      </c>
      <c r="D1190" s="5">
        <v>4</v>
      </c>
      <c r="E1190" s="5">
        <v>120</v>
      </c>
      <c r="F1190" s="5">
        <v>5</v>
      </c>
      <c r="G1190" s="5">
        <v>400</v>
      </c>
      <c r="H1190" s="5" t="s">
        <v>5534</v>
      </c>
      <c r="I1190" s="5" t="s">
        <v>5616</v>
      </c>
      <c r="J1190" s="5" t="s">
        <v>5623</v>
      </c>
      <c r="K1190" s="10" t="e">
        <f t="shared" si="0"/>
        <v>#VALUE!</v>
      </c>
      <c r="L1190" s="10">
        <f t="shared" si="1"/>
        <v>1</v>
      </c>
      <c r="M1190" s="10" t="str">
        <f t="shared" si="2"/>
        <v>004</v>
      </c>
      <c r="N1190" s="10" t="str">
        <f t="shared" si="3"/>
        <v>02</v>
      </c>
      <c r="O1190" s="10" t="str">
        <f t="shared" si="16"/>
        <v>SEPANG</v>
      </c>
    </row>
    <row r="1191" spans="1:15" ht="12.5">
      <c r="A1191" s="115" t="s">
        <v>5624</v>
      </c>
      <c r="B1191" s="5">
        <v>0</v>
      </c>
      <c r="C1191" s="5">
        <v>61</v>
      </c>
      <c r="D1191" s="5">
        <v>4</v>
      </c>
      <c r="E1191" s="5">
        <v>120</v>
      </c>
      <c r="F1191" s="5">
        <v>5</v>
      </c>
      <c r="G1191" s="5">
        <v>500</v>
      </c>
      <c r="H1191" s="5" t="s">
        <v>5534</v>
      </c>
      <c r="I1191" s="5" t="s">
        <v>5616</v>
      </c>
      <c r="J1191" s="5" t="s">
        <v>5625</v>
      </c>
      <c r="K1191" s="10" t="e">
        <f t="shared" si="0"/>
        <v>#VALUE!</v>
      </c>
      <c r="L1191" s="10">
        <f t="shared" si="1"/>
        <v>1</v>
      </c>
      <c r="M1191" s="10" t="str">
        <f t="shared" si="2"/>
        <v>005</v>
      </c>
      <c r="N1191" s="10" t="str">
        <f t="shared" si="3"/>
        <v>02</v>
      </c>
      <c r="O1191" s="10" t="str">
        <f t="shared" si="16"/>
        <v>SEPANG</v>
      </c>
    </row>
    <row r="1192" spans="1:15" ht="12.5">
      <c r="A1192" s="115" t="s">
        <v>5626</v>
      </c>
      <c r="B1192" s="5">
        <v>0</v>
      </c>
      <c r="C1192" s="5">
        <v>61</v>
      </c>
      <c r="D1192" s="5">
        <v>4</v>
      </c>
      <c r="E1192" s="5">
        <v>120</v>
      </c>
      <c r="F1192" s="5">
        <v>5</v>
      </c>
      <c r="G1192" s="5">
        <v>600</v>
      </c>
      <c r="H1192" s="5" t="s">
        <v>5534</v>
      </c>
      <c r="I1192" s="5" t="s">
        <v>5616</v>
      </c>
      <c r="J1192" s="5" t="s">
        <v>5627</v>
      </c>
      <c r="K1192" s="10" t="e">
        <f t="shared" si="0"/>
        <v>#VALUE!</v>
      </c>
      <c r="L1192" s="10">
        <f t="shared" si="1"/>
        <v>1</v>
      </c>
      <c r="M1192" s="10" t="str">
        <f t="shared" si="2"/>
        <v>006</v>
      </c>
      <c r="N1192" s="10" t="str">
        <f t="shared" si="3"/>
        <v>02</v>
      </c>
      <c r="O1192" s="10" t="str">
        <f t="shared" si="16"/>
        <v>SEPANG</v>
      </c>
    </row>
    <row r="1193" spans="1:15" ht="12.5">
      <c r="A1193" s="115" t="s">
        <v>5628</v>
      </c>
      <c r="B1193" s="5">
        <v>0</v>
      </c>
      <c r="C1193" s="5">
        <v>61</v>
      </c>
      <c r="D1193" s="5">
        <v>4</v>
      </c>
      <c r="E1193" s="5">
        <v>120</v>
      </c>
      <c r="F1193" s="5">
        <v>5</v>
      </c>
      <c r="G1193" s="5">
        <v>700</v>
      </c>
      <c r="H1193" s="5" t="s">
        <v>5534</v>
      </c>
      <c r="I1193" s="5" t="s">
        <v>5616</v>
      </c>
      <c r="J1193" s="5" t="s">
        <v>5629</v>
      </c>
      <c r="K1193" s="10" t="e">
        <f t="shared" si="0"/>
        <v>#VALUE!</v>
      </c>
      <c r="L1193" s="10">
        <f t="shared" si="1"/>
        <v>1</v>
      </c>
      <c r="M1193" s="10" t="str">
        <f t="shared" si="2"/>
        <v>007</v>
      </c>
      <c r="N1193" s="10" t="str">
        <f t="shared" si="3"/>
        <v>03</v>
      </c>
      <c r="O1193" s="10" t="str">
        <f t="shared" si="16"/>
        <v>SEPANG</v>
      </c>
    </row>
    <row r="1194" spans="1:15" ht="12.5">
      <c r="A1194" s="115" t="s">
        <v>5630</v>
      </c>
      <c r="B1194" s="5">
        <v>0</v>
      </c>
      <c r="C1194" s="5">
        <v>61</v>
      </c>
      <c r="D1194" s="5">
        <v>4</v>
      </c>
      <c r="E1194" s="5">
        <v>120</v>
      </c>
      <c r="F1194" s="5">
        <v>5</v>
      </c>
      <c r="G1194" s="5">
        <v>800</v>
      </c>
      <c r="H1194" s="5" t="s">
        <v>5534</v>
      </c>
      <c r="I1194" s="5" t="s">
        <v>5616</v>
      </c>
      <c r="J1194" s="5" t="s">
        <v>5631</v>
      </c>
      <c r="K1194" s="10" t="e">
        <f t="shared" si="0"/>
        <v>#VALUE!</v>
      </c>
      <c r="L1194" s="10">
        <f t="shared" si="1"/>
        <v>1</v>
      </c>
      <c r="M1194" s="10" t="str">
        <f t="shared" si="2"/>
        <v>008</v>
      </c>
      <c r="N1194" s="10" t="str">
        <f t="shared" si="3"/>
        <v>03</v>
      </c>
      <c r="O1194" s="10" t="str">
        <f t="shared" si="16"/>
        <v>SEPANG</v>
      </c>
    </row>
    <row r="1195" spans="1:15" ht="12.5">
      <c r="A1195" s="115" t="s">
        <v>5632</v>
      </c>
      <c r="B1195" s="5">
        <v>0</v>
      </c>
      <c r="C1195" s="5">
        <v>61</v>
      </c>
      <c r="D1195" s="5">
        <v>4</v>
      </c>
      <c r="E1195" s="5">
        <v>120</v>
      </c>
      <c r="F1195" s="5">
        <v>5</v>
      </c>
      <c r="G1195" s="5">
        <v>900</v>
      </c>
      <c r="H1195" s="5" t="s">
        <v>5534</v>
      </c>
      <c r="I1195" s="5" t="s">
        <v>5616</v>
      </c>
      <c r="J1195" s="5" t="s">
        <v>5633</v>
      </c>
      <c r="K1195" s="10" t="e">
        <f t="shared" si="0"/>
        <v>#VALUE!</v>
      </c>
      <c r="L1195" s="10">
        <f t="shared" si="1"/>
        <v>1</v>
      </c>
      <c r="M1195" s="10" t="str">
        <f t="shared" si="2"/>
        <v>013</v>
      </c>
      <c r="N1195" s="10" t="str">
        <f t="shared" si="3"/>
        <v>03</v>
      </c>
      <c r="O1195" s="10" t="str">
        <f t="shared" si="16"/>
        <v>SEPANG</v>
      </c>
    </row>
    <row r="1196" spans="1:15" ht="12.5">
      <c r="A1196" s="115" t="s">
        <v>5634</v>
      </c>
      <c r="B1196" s="5">
        <v>0</v>
      </c>
      <c r="C1196" s="5">
        <v>61</v>
      </c>
      <c r="D1196" s="5">
        <v>4</v>
      </c>
      <c r="E1196" s="5">
        <v>120</v>
      </c>
      <c r="F1196" s="5">
        <v>5</v>
      </c>
      <c r="G1196" s="5">
        <v>1000</v>
      </c>
      <c r="H1196" s="5" t="s">
        <v>5534</v>
      </c>
      <c r="I1196" s="5" t="s">
        <v>5616</v>
      </c>
      <c r="J1196" s="5" t="s">
        <v>5635</v>
      </c>
      <c r="K1196" s="10" t="e">
        <f t="shared" si="0"/>
        <v>#VALUE!</v>
      </c>
      <c r="L1196" s="10">
        <f t="shared" si="1"/>
        <v>1</v>
      </c>
      <c r="M1196" s="10" t="str">
        <f t="shared" si="2"/>
        <v>014</v>
      </c>
      <c r="N1196" s="10" t="str">
        <f t="shared" si="3"/>
        <v>03</v>
      </c>
      <c r="O1196" s="10" t="str">
        <f t="shared" si="16"/>
        <v>SEPANG</v>
      </c>
    </row>
    <row r="1197" spans="1:15" ht="12.5">
      <c r="A1197" s="115" t="s">
        <v>5636</v>
      </c>
      <c r="B1197" s="5">
        <v>0</v>
      </c>
      <c r="C1197" s="5">
        <v>61</v>
      </c>
      <c r="D1197" s="5">
        <v>4</v>
      </c>
      <c r="E1197" s="5">
        <v>120</v>
      </c>
      <c r="F1197" s="5">
        <v>5</v>
      </c>
      <c r="G1197" s="5">
        <v>1100</v>
      </c>
      <c r="H1197" s="5" t="s">
        <v>5534</v>
      </c>
      <c r="I1197" s="5" t="s">
        <v>5616</v>
      </c>
      <c r="J1197" s="5" t="s">
        <v>5637</v>
      </c>
      <c r="K1197" s="10" t="e">
        <f t="shared" si="0"/>
        <v>#VALUE!</v>
      </c>
      <c r="L1197" s="10">
        <f t="shared" si="1"/>
        <v>1</v>
      </c>
      <c r="M1197" s="10" t="str">
        <f t="shared" si="2"/>
        <v>009</v>
      </c>
      <c r="N1197" s="10" t="str">
        <f t="shared" si="3"/>
        <v>04</v>
      </c>
      <c r="O1197" s="10" t="str">
        <f t="shared" si="16"/>
        <v>KUMPANG</v>
      </c>
    </row>
    <row r="1198" spans="1:15" ht="12.5">
      <c r="A1198" s="115" t="s">
        <v>5638</v>
      </c>
      <c r="B1198" s="5">
        <v>0</v>
      </c>
      <c r="C1198" s="5">
        <v>61</v>
      </c>
      <c r="D1198" s="5">
        <v>4</v>
      </c>
      <c r="E1198" s="5">
        <v>120</v>
      </c>
      <c r="F1198" s="5">
        <v>5</v>
      </c>
      <c r="G1198" s="5">
        <v>1200</v>
      </c>
      <c r="H1198" s="5" t="s">
        <v>5534</v>
      </c>
      <c r="I1198" s="5" t="s">
        <v>5616</v>
      </c>
      <c r="J1198" s="5" t="s">
        <v>5639</v>
      </c>
      <c r="K1198" s="10" t="e">
        <f t="shared" si="0"/>
        <v>#VALUE!</v>
      </c>
      <c r="L1198" s="10">
        <f t="shared" si="1"/>
        <v>1</v>
      </c>
      <c r="M1198" s="10" t="str">
        <f t="shared" si="2"/>
        <v>010</v>
      </c>
      <c r="N1198" s="10" t="str">
        <f t="shared" si="3"/>
        <v>04</v>
      </c>
      <c r="O1198" s="10" t="str">
        <f t="shared" si="16"/>
        <v>KUMPANG</v>
      </c>
    </row>
    <row r="1199" spans="1:15" ht="12.5">
      <c r="A1199" s="115" t="s">
        <v>5640</v>
      </c>
      <c r="B1199" s="5">
        <v>0</v>
      </c>
      <c r="C1199" s="5">
        <v>61</v>
      </c>
      <c r="D1199" s="5">
        <v>4</v>
      </c>
      <c r="E1199" s="5">
        <v>120</v>
      </c>
      <c r="F1199" s="5">
        <v>5</v>
      </c>
      <c r="G1199" s="5">
        <v>1300</v>
      </c>
      <c r="H1199" s="5" t="s">
        <v>5534</v>
      </c>
      <c r="I1199" s="5" t="s">
        <v>5616</v>
      </c>
      <c r="J1199" s="5" t="s">
        <v>5641</v>
      </c>
      <c r="K1199" s="10" t="e">
        <f t="shared" si="0"/>
        <v>#VALUE!</v>
      </c>
      <c r="L1199" s="10">
        <f t="shared" si="1"/>
        <v>1</v>
      </c>
      <c r="M1199" s="10" t="str">
        <f t="shared" si="2"/>
        <v>011</v>
      </c>
      <c r="N1199" s="10" t="str">
        <f t="shared" si="3"/>
        <v>04</v>
      </c>
      <c r="O1199" s="10" t="str">
        <f t="shared" si="16"/>
        <v>KUMPANG</v>
      </c>
    </row>
    <row r="1200" spans="1:15" ht="12.5">
      <c r="A1200" s="115" t="s">
        <v>5642</v>
      </c>
      <c r="B1200" s="5">
        <v>0</v>
      </c>
      <c r="C1200" s="5">
        <v>61</v>
      </c>
      <c r="D1200" s="5">
        <v>4</v>
      </c>
      <c r="E1200" s="5">
        <v>120</v>
      </c>
      <c r="F1200" s="5">
        <v>5</v>
      </c>
      <c r="G1200" s="5">
        <v>1400</v>
      </c>
      <c r="H1200" s="5" t="s">
        <v>5534</v>
      </c>
      <c r="I1200" s="5" t="s">
        <v>5616</v>
      </c>
      <c r="J1200" s="5" t="s">
        <v>5643</v>
      </c>
      <c r="K1200" s="10" t="e">
        <f t="shared" si="0"/>
        <v>#VALUE!</v>
      </c>
      <c r="L1200" s="10">
        <f t="shared" si="1"/>
        <v>1</v>
      </c>
      <c r="M1200" s="10" t="str">
        <f t="shared" si="2"/>
        <v>012</v>
      </c>
      <c r="N1200" s="10" t="str">
        <f t="shared" si="3"/>
        <v>04</v>
      </c>
      <c r="O1200" s="10" t="str">
        <f t="shared" si="16"/>
        <v>KUMPANG</v>
      </c>
    </row>
    <row r="1201" spans="1:15" ht="12.5">
      <c r="A1201" s="115" t="s">
        <v>5644</v>
      </c>
      <c r="B1201" s="5">
        <v>2</v>
      </c>
      <c r="C1201" s="5">
        <v>61</v>
      </c>
      <c r="D1201" s="5">
        <v>4</v>
      </c>
      <c r="E1201" s="5">
        <v>120</v>
      </c>
      <c r="F1201" s="5">
        <v>5</v>
      </c>
      <c r="G1201" s="5">
        <v>200100</v>
      </c>
      <c r="H1201" s="5" t="s">
        <v>5534</v>
      </c>
      <c r="I1201" s="5" t="s">
        <v>5616</v>
      </c>
      <c r="J1201" s="5" t="s">
        <v>5645</v>
      </c>
      <c r="K1201" s="10" t="e">
        <f t="shared" si="0"/>
        <v>#VALUE!</v>
      </c>
      <c r="L1201" s="10">
        <f t="shared" si="1"/>
        <v>0</v>
      </c>
      <c r="M1201" s="10" t="str">
        <f t="shared" si="2"/>
        <v>SLS</v>
      </c>
      <c r="N1201" s="10" t="str">
        <f t="shared" si="3"/>
        <v>ANG</v>
      </c>
      <c r="O1201" s="10" t="str">
        <f t="shared" si="16"/>
        <v/>
      </c>
    </row>
    <row r="1202" spans="1:15" ht="12.5">
      <c r="A1202" s="115" t="s">
        <v>5646</v>
      </c>
      <c r="B1202" s="5">
        <v>0</v>
      </c>
      <c r="C1202" s="5">
        <v>61</v>
      </c>
      <c r="D1202" s="5">
        <v>4</v>
      </c>
      <c r="E1202" s="5">
        <v>120</v>
      </c>
      <c r="F1202" s="5">
        <v>6</v>
      </c>
      <c r="G1202" s="5">
        <v>100</v>
      </c>
      <c r="H1202" s="5" t="s">
        <v>5534</v>
      </c>
      <c r="I1202" s="5" t="s">
        <v>5647</v>
      </c>
      <c r="J1202" s="5" t="s">
        <v>5648</v>
      </c>
      <c r="K1202" s="10" t="e">
        <f t="shared" si="0"/>
        <v>#VALUE!</v>
      </c>
      <c r="L1202" s="10">
        <f t="shared" si="1"/>
        <v>1</v>
      </c>
      <c r="M1202" s="10" t="str">
        <f t="shared" si="2"/>
        <v>001</v>
      </c>
      <c r="N1202" s="10" t="str">
        <f t="shared" si="3"/>
        <v>01</v>
      </c>
      <c r="O1202" s="10" t="str">
        <f t="shared" si="16"/>
        <v>PAK ONA</v>
      </c>
    </row>
    <row r="1203" spans="1:15" ht="12.5">
      <c r="A1203" s="115" t="s">
        <v>5649</v>
      </c>
      <c r="B1203" s="5">
        <v>0</v>
      </c>
      <c r="C1203" s="5">
        <v>61</v>
      </c>
      <c r="D1203" s="5">
        <v>4</v>
      </c>
      <c r="E1203" s="5">
        <v>120</v>
      </c>
      <c r="F1203" s="5">
        <v>6</v>
      </c>
      <c r="G1203" s="5">
        <v>200</v>
      </c>
      <c r="H1203" s="5" t="s">
        <v>5534</v>
      </c>
      <c r="I1203" s="5" t="s">
        <v>5647</v>
      </c>
      <c r="J1203" s="5" t="s">
        <v>5650</v>
      </c>
      <c r="K1203" s="10" t="e">
        <f t="shared" si="0"/>
        <v>#VALUE!</v>
      </c>
      <c r="L1203" s="10">
        <f t="shared" si="1"/>
        <v>1</v>
      </c>
      <c r="M1203" s="10" t="str">
        <f t="shared" si="2"/>
        <v>002</v>
      </c>
      <c r="N1203" s="10" t="str">
        <f t="shared" si="3"/>
        <v>01</v>
      </c>
      <c r="O1203" s="10" t="str">
        <f t="shared" si="16"/>
        <v>PAK ONA</v>
      </c>
    </row>
    <row r="1204" spans="1:15" ht="12.5">
      <c r="A1204" s="115" t="s">
        <v>5651</v>
      </c>
      <c r="B1204" s="5">
        <v>0</v>
      </c>
      <c r="C1204" s="5">
        <v>61</v>
      </c>
      <c r="D1204" s="5">
        <v>4</v>
      </c>
      <c r="E1204" s="5">
        <v>120</v>
      </c>
      <c r="F1204" s="5">
        <v>6</v>
      </c>
      <c r="G1204" s="5">
        <v>300</v>
      </c>
      <c r="H1204" s="5" t="s">
        <v>5534</v>
      </c>
      <c r="I1204" s="5" t="s">
        <v>5647</v>
      </c>
      <c r="J1204" s="5" t="s">
        <v>5652</v>
      </c>
      <c r="K1204" s="10" t="e">
        <f t="shared" si="0"/>
        <v>#VALUE!</v>
      </c>
      <c r="L1204" s="10">
        <f t="shared" si="1"/>
        <v>1</v>
      </c>
      <c r="M1204" s="10" t="str">
        <f t="shared" si="2"/>
        <v>003</v>
      </c>
      <c r="N1204" s="10" t="str">
        <f t="shared" si="3"/>
        <v>01</v>
      </c>
      <c r="O1204" s="10" t="str">
        <f t="shared" si="16"/>
        <v>PAK ONA</v>
      </c>
    </row>
    <row r="1205" spans="1:15" ht="12.5">
      <c r="A1205" s="115" t="s">
        <v>5653</v>
      </c>
      <c r="B1205" s="5">
        <v>0</v>
      </c>
      <c r="C1205" s="5">
        <v>61</v>
      </c>
      <c r="D1205" s="5">
        <v>4</v>
      </c>
      <c r="E1205" s="5">
        <v>120</v>
      </c>
      <c r="F1205" s="5">
        <v>6</v>
      </c>
      <c r="G1205" s="5">
        <v>400</v>
      </c>
      <c r="H1205" s="5" t="s">
        <v>5534</v>
      </c>
      <c r="I1205" s="5" t="s">
        <v>5647</v>
      </c>
      <c r="J1205" s="5" t="s">
        <v>5654</v>
      </c>
      <c r="K1205" s="10" t="e">
        <f t="shared" si="0"/>
        <v>#VALUE!</v>
      </c>
      <c r="L1205" s="10">
        <f t="shared" si="1"/>
        <v>1</v>
      </c>
      <c r="M1205" s="10" t="str">
        <f t="shared" si="2"/>
        <v>004</v>
      </c>
      <c r="N1205" s="10" t="str">
        <f t="shared" si="3"/>
        <v>02</v>
      </c>
      <c r="O1205" s="10" t="str">
        <f t="shared" si="16"/>
        <v>PAK LAHENG</v>
      </c>
    </row>
    <row r="1206" spans="1:15" ht="12.5">
      <c r="A1206" s="115" t="s">
        <v>5655</v>
      </c>
      <c r="B1206" s="5">
        <v>0</v>
      </c>
      <c r="C1206" s="5">
        <v>61</v>
      </c>
      <c r="D1206" s="5">
        <v>4</v>
      </c>
      <c r="E1206" s="5">
        <v>120</v>
      </c>
      <c r="F1206" s="5">
        <v>6</v>
      </c>
      <c r="G1206" s="5">
        <v>500</v>
      </c>
      <c r="H1206" s="5" t="s">
        <v>5534</v>
      </c>
      <c r="I1206" s="5" t="s">
        <v>5647</v>
      </c>
      <c r="J1206" s="5" t="s">
        <v>5656</v>
      </c>
      <c r="K1206" s="10" t="e">
        <f t="shared" si="0"/>
        <v>#VALUE!</v>
      </c>
      <c r="L1206" s="10">
        <f t="shared" si="1"/>
        <v>1</v>
      </c>
      <c r="M1206" s="10" t="str">
        <f t="shared" si="2"/>
        <v>005</v>
      </c>
      <c r="N1206" s="10" t="str">
        <f t="shared" si="3"/>
        <v>02</v>
      </c>
      <c r="O1206" s="10" t="str">
        <f t="shared" si="16"/>
        <v>PAK LAHENG</v>
      </c>
    </row>
    <row r="1207" spans="1:15" ht="12.5">
      <c r="A1207" s="115" t="s">
        <v>5657</v>
      </c>
      <c r="B1207" s="5">
        <v>0</v>
      </c>
      <c r="C1207" s="5">
        <v>61</v>
      </c>
      <c r="D1207" s="5">
        <v>4</v>
      </c>
      <c r="E1207" s="5">
        <v>120</v>
      </c>
      <c r="F1207" s="5">
        <v>6</v>
      </c>
      <c r="G1207" s="5">
        <v>600</v>
      </c>
      <c r="H1207" s="5" t="s">
        <v>5534</v>
      </c>
      <c r="I1207" s="5" t="s">
        <v>5647</v>
      </c>
      <c r="J1207" s="5" t="s">
        <v>5658</v>
      </c>
      <c r="K1207" s="10" t="e">
        <f t="shared" si="0"/>
        <v>#VALUE!</v>
      </c>
      <c r="L1207" s="10">
        <f t="shared" si="1"/>
        <v>1</v>
      </c>
      <c r="M1207" s="10" t="str">
        <f t="shared" si="2"/>
        <v>006</v>
      </c>
      <c r="N1207" s="10" t="str">
        <f t="shared" si="3"/>
        <v>02</v>
      </c>
      <c r="O1207" s="10" t="str">
        <f t="shared" si="16"/>
        <v>PAK LAHENG</v>
      </c>
    </row>
    <row r="1208" spans="1:15" ht="12.5">
      <c r="A1208" s="115" t="s">
        <v>5659</v>
      </c>
      <c r="B1208" s="5">
        <v>0</v>
      </c>
      <c r="C1208" s="5">
        <v>61</v>
      </c>
      <c r="D1208" s="5">
        <v>4</v>
      </c>
      <c r="E1208" s="5">
        <v>120</v>
      </c>
      <c r="F1208" s="5">
        <v>6</v>
      </c>
      <c r="G1208" s="5">
        <v>700</v>
      </c>
      <c r="H1208" s="5" t="s">
        <v>5534</v>
      </c>
      <c r="I1208" s="5" t="s">
        <v>5647</v>
      </c>
      <c r="J1208" s="5" t="s">
        <v>5660</v>
      </c>
      <c r="K1208" s="10" t="e">
        <f t="shared" si="0"/>
        <v>#VALUE!</v>
      </c>
      <c r="L1208" s="10">
        <f t="shared" si="1"/>
        <v>1</v>
      </c>
      <c r="M1208" s="10" t="str">
        <f t="shared" si="2"/>
        <v>009</v>
      </c>
      <c r="N1208" s="10" t="str">
        <f t="shared" si="3"/>
        <v>02</v>
      </c>
      <c r="O1208" s="10" t="str">
        <f t="shared" si="16"/>
        <v>PAK LAHENG</v>
      </c>
    </row>
    <row r="1209" spans="1:15" ht="12.5">
      <c r="A1209" s="115" t="s">
        <v>5661</v>
      </c>
      <c r="B1209" s="5">
        <v>0</v>
      </c>
      <c r="C1209" s="5">
        <v>61</v>
      </c>
      <c r="D1209" s="5">
        <v>4</v>
      </c>
      <c r="E1209" s="5">
        <v>120</v>
      </c>
      <c r="F1209" s="5">
        <v>6</v>
      </c>
      <c r="G1209" s="5">
        <v>800</v>
      </c>
      <c r="H1209" s="5" t="s">
        <v>5534</v>
      </c>
      <c r="I1209" s="5" t="s">
        <v>5647</v>
      </c>
      <c r="J1209" s="5" t="s">
        <v>5662</v>
      </c>
      <c r="K1209" s="10" t="e">
        <f t="shared" si="0"/>
        <v>#VALUE!</v>
      </c>
      <c r="L1209" s="10">
        <f t="shared" si="1"/>
        <v>1</v>
      </c>
      <c r="M1209" s="10" t="str">
        <f t="shared" si="2"/>
        <v>007</v>
      </c>
      <c r="N1209" s="10" t="str">
        <f t="shared" si="3"/>
        <v>03</v>
      </c>
      <c r="O1209" s="10" t="str">
        <f t="shared" si="16"/>
        <v>SEKEK</v>
      </c>
    </row>
    <row r="1210" spans="1:15" ht="12.5">
      <c r="A1210" s="115" t="s">
        <v>5663</v>
      </c>
      <c r="B1210" s="5">
        <v>0</v>
      </c>
      <c r="C1210" s="5">
        <v>61</v>
      </c>
      <c r="D1210" s="5">
        <v>4</v>
      </c>
      <c r="E1210" s="5">
        <v>120</v>
      </c>
      <c r="F1210" s="5">
        <v>6</v>
      </c>
      <c r="G1210" s="5">
        <v>900</v>
      </c>
      <c r="H1210" s="5" t="s">
        <v>5534</v>
      </c>
      <c r="I1210" s="5" t="s">
        <v>5647</v>
      </c>
      <c r="J1210" s="5" t="s">
        <v>5664</v>
      </c>
      <c r="K1210" s="10" t="e">
        <f t="shared" si="0"/>
        <v>#VALUE!</v>
      </c>
      <c r="L1210" s="10">
        <f t="shared" si="1"/>
        <v>1</v>
      </c>
      <c r="M1210" s="10" t="str">
        <f t="shared" si="2"/>
        <v>008</v>
      </c>
      <c r="N1210" s="10" t="str">
        <f t="shared" si="3"/>
        <v>03</v>
      </c>
      <c r="O1210" s="10" t="str">
        <f t="shared" si="16"/>
        <v>SEKEK</v>
      </c>
    </row>
    <row r="1211" spans="1:15" ht="12.5">
      <c r="A1211" s="115" t="s">
        <v>5665</v>
      </c>
      <c r="B1211" s="5">
        <v>2</v>
      </c>
      <c r="C1211" s="5">
        <v>61</v>
      </c>
      <c r="D1211" s="5">
        <v>4</v>
      </c>
      <c r="E1211" s="5">
        <v>120</v>
      </c>
      <c r="F1211" s="5">
        <v>6</v>
      </c>
      <c r="G1211" s="5">
        <v>200100</v>
      </c>
      <c r="H1211" s="5" t="s">
        <v>5534</v>
      </c>
      <c r="I1211" s="5" t="s">
        <v>5647</v>
      </c>
      <c r="J1211" s="5" t="s">
        <v>5666</v>
      </c>
      <c r="K1211" s="10" t="e">
        <f t="shared" si="0"/>
        <v>#VALUE!</v>
      </c>
      <c r="L1211" s="10">
        <f t="shared" si="1"/>
        <v>0</v>
      </c>
      <c r="M1211" s="10" t="str">
        <f t="shared" si="2"/>
        <v xml:space="preserve">AN </v>
      </c>
      <c r="N1211" s="10" t="str">
        <f t="shared" si="3"/>
        <v>LAH</v>
      </c>
      <c r="O1211" s="10" t="str">
        <f t="shared" si="16"/>
        <v/>
      </c>
    </row>
    <row r="1212" spans="1:15" ht="12.5">
      <c r="A1212" s="115" t="s">
        <v>5667</v>
      </c>
      <c r="B1212" s="5">
        <v>2</v>
      </c>
      <c r="C1212" s="5">
        <v>61</v>
      </c>
      <c r="D1212" s="5">
        <v>4</v>
      </c>
      <c r="E1212" s="5">
        <v>120</v>
      </c>
      <c r="F1212" s="5">
        <v>6</v>
      </c>
      <c r="G1212" s="5">
        <v>200200</v>
      </c>
      <c r="H1212" s="5" t="s">
        <v>5534</v>
      </c>
      <c r="I1212" s="5" t="s">
        <v>5647</v>
      </c>
      <c r="J1212" s="5" t="s">
        <v>5668</v>
      </c>
      <c r="K1212" s="10" t="e">
        <f t="shared" si="0"/>
        <v>#VALUE!</v>
      </c>
      <c r="L1212" s="10">
        <f t="shared" si="1"/>
        <v>0</v>
      </c>
      <c r="M1212" s="10" t="str">
        <f t="shared" si="2"/>
        <v xml:space="preserve">AN </v>
      </c>
      <c r="N1212" s="10" t="str">
        <f t="shared" si="3"/>
        <v>S 0</v>
      </c>
      <c r="O1212" s="10" t="str">
        <f t="shared" si="16"/>
        <v/>
      </c>
    </row>
    <row r="1213" spans="1:15" ht="12.5">
      <c r="A1213" s="115" t="s">
        <v>5669</v>
      </c>
      <c r="B1213" s="5">
        <v>0</v>
      </c>
      <c r="C1213" s="5">
        <v>61</v>
      </c>
      <c r="D1213" s="5">
        <v>4</v>
      </c>
      <c r="E1213" s="5">
        <v>120</v>
      </c>
      <c r="F1213" s="5">
        <v>7</v>
      </c>
      <c r="G1213" s="5">
        <v>100</v>
      </c>
      <c r="H1213" s="5" t="s">
        <v>5534</v>
      </c>
      <c r="I1213" s="5" t="s">
        <v>5670</v>
      </c>
      <c r="J1213" s="5" t="s">
        <v>5671</v>
      </c>
      <c r="K1213" s="10" t="e">
        <f t="shared" si="0"/>
        <v>#VALUE!</v>
      </c>
      <c r="L1213" s="10">
        <f t="shared" si="1"/>
        <v>1</v>
      </c>
      <c r="M1213" s="10" t="str">
        <f t="shared" si="2"/>
        <v>001</v>
      </c>
      <c r="N1213" s="10" t="str">
        <f t="shared" si="3"/>
        <v>01</v>
      </c>
      <c r="O1213" s="10" t="str">
        <f t="shared" si="16"/>
        <v>TERAP</v>
      </c>
    </row>
    <row r="1214" spans="1:15" ht="12.5">
      <c r="A1214" s="115" t="s">
        <v>5672</v>
      </c>
      <c r="B1214" s="5">
        <v>0</v>
      </c>
      <c r="C1214" s="5">
        <v>61</v>
      </c>
      <c r="D1214" s="5">
        <v>4</v>
      </c>
      <c r="E1214" s="5">
        <v>120</v>
      </c>
      <c r="F1214" s="5">
        <v>7</v>
      </c>
      <c r="G1214" s="5">
        <v>200</v>
      </c>
      <c r="H1214" s="5" t="s">
        <v>5534</v>
      </c>
      <c r="I1214" s="5" t="s">
        <v>5670</v>
      </c>
      <c r="J1214" s="5" t="s">
        <v>5673</v>
      </c>
      <c r="K1214" s="10" t="e">
        <f t="shared" si="0"/>
        <v>#VALUE!</v>
      </c>
      <c r="L1214" s="10">
        <f t="shared" si="1"/>
        <v>1</v>
      </c>
      <c r="M1214" s="10" t="str">
        <f t="shared" si="2"/>
        <v>002</v>
      </c>
      <c r="N1214" s="10" t="str">
        <f t="shared" si="3"/>
        <v>01</v>
      </c>
      <c r="O1214" s="10" t="str">
        <f t="shared" si="16"/>
        <v>TERAP</v>
      </c>
    </row>
    <row r="1215" spans="1:15" ht="12.5">
      <c r="A1215" s="115" t="s">
        <v>5674</v>
      </c>
      <c r="B1215" s="5">
        <v>0</v>
      </c>
      <c r="C1215" s="5">
        <v>61</v>
      </c>
      <c r="D1215" s="5">
        <v>4</v>
      </c>
      <c r="E1215" s="5">
        <v>120</v>
      </c>
      <c r="F1215" s="5">
        <v>7</v>
      </c>
      <c r="G1215" s="5">
        <v>300</v>
      </c>
      <c r="H1215" s="5" t="s">
        <v>5534</v>
      </c>
      <c r="I1215" s="5" t="s">
        <v>5670</v>
      </c>
      <c r="J1215" s="5" t="s">
        <v>5675</v>
      </c>
      <c r="K1215" s="10" t="e">
        <f t="shared" si="0"/>
        <v>#VALUE!</v>
      </c>
      <c r="L1215" s="10">
        <f t="shared" si="1"/>
        <v>1</v>
      </c>
      <c r="M1215" s="10" t="str">
        <f t="shared" si="2"/>
        <v>011</v>
      </c>
      <c r="N1215" s="10" t="str">
        <f t="shared" si="3"/>
        <v>01</v>
      </c>
      <c r="O1215" s="10" t="str">
        <f t="shared" si="16"/>
        <v>TERAP</v>
      </c>
    </row>
    <row r="1216" spans="1:15" ht="12.5">
      <c r="A1216" s="115" t="s">
        <v>5676</v>
      </c>
      <c r="B1216" s="5">
        <v>0</v>
      </c>
      <c r="C1216" s="5">
        <v>61</v>
      </c>
      <c r="D1216" s="5">
        <v>4</v>
      </c>
      <c r="E1216" s="5">
        <v>120</v>
      </c>
      <c r="F1216" s="5">
        <v>7</v>
      </c>
      <c r="G1216" s="5">
        <v>400</v>
      </c>
      <c r="H1216" s="5" t="s">
        <v>5534</v>
      </c>
      <c r="I1216" s="5" t="s">
        <v>5670</v>
      </c>
      <c r="J1216" s="5" t="s">
        <v>5677</v>
      </c>
      <c r="K1216" s="10" t="e">
        <f t="shared" si="0"/>
        <v>#VALUE!</v>
      </c>
      <c r="L1216" s="10">
        <f t="shared" si="1"/>
        <v>1</v>
      </c>
      <c r="M1216" s="10" t="str">
        <f t="shared" si="2"/>
        <v>003</v>
      </c>
      <c r="N1216" s="10" t="str">
        <f t="shared" si="3"/>
        <v>02</v>
      </c>
      <c r="O1216" s="10" t="str">
        <f t="shared" si="16"/>
        <v>TERAP</v>
      </c>
    </row>
    <row r="1217" spans="1:15" ht="12.5">
      <c r="A1217" s="115" t="s">
        <v>5678</v>
      </c>
      <c r="B1217" s="5">
        <v>0</v>
      </c>
      <c r="C1217" s="5">
        <v>61</v>
      </c>
      <c r="D1217" s="5">
        <v>4</v>
      </c>
      <c r="E1217" s="5">
        <v>120</v>
      </c>
      <c r="F1217" s="5">
        <v>7</v>
      </c>
      <c r="G1217" s="5">
        <v>500</v>
      </c>
      <c r="H1217" s="5" t="s">
        <v>5534</v>
      </c>
      <c r="I1217" s="5" t="s">
        <v>5670</v>
      </c>
      <c r="J1217" s="5" t="s">
        <v>5679</v>
      </c>
      <c r="K1217" s="10" t="e">
        <f t="shared" si="0"/>
        <v>#VALUE!</v>
      </c>
      <c r="L1217" s="10">
        <f t="shared" si="1"/>
        <v>1</v>
      </c>
      <c r="M1217" s="10" t="str">
        <f t="shared" si="2"/>
        <v>004</v>
      </c>
      <c r="N1217" s="10" t="str">
        <f t="shared" si="3"/>
        <v>02</v>
      </c>
      <c r="O1217" s="10" t="str">
        <f t="shared" si="16"/>
        <v>TERAP</v>
      </c>
    </row>
    <row r="1218" spans="1:15" ht="12.5">
      <c r="A1218" s="115" t="s">
        <v>5680</v>
      </c>
      <c r="B1218" s="5">
        <v>0</v>
      </c>
      <c r="C1218" s="5">
        <v>61</v>
      </c>
      <c r="D1218" s="5">
        <v>4</v>
      </c>
      <c r="E1218" s="5">
        <v>120</v>
      </c>
      <c r="F1218" s="5">
        <v>7</v>
      </c>
      <c r="G1218" s="5">
        <v>600</v>
      </c>
      <c r="H1218" s="5" t="s">
        <v>5534</v>
      </c>
      <c r="I1218" s="5" t="s">
        <v>5670</v>
      </c>
      <c r="J1218" s="5" t="s">
        <v>5681</v>
      </c>
      <c r="K1218" s="10" t="e">
        <f t="shared" si="0"/>
        <v>#VALUE!</v>
      </c>
      <c r="L1218" s="10">
        <f t="shared" si="1"/>
        <v>1</v>
      </c>
      <c r="M1218" s="10" t="str">
        <f t="shared" si="2"/>
        <v>012</v>
      </c>
      <c r="N1218" s="10" t="str">
        <f t="shared" si="3"/>
        <v>02</v>
      </c>
      <c r="O1218" s="10" t="str">
        <f t="shared" si="16"/>
        <v>TERAP</v>
      </c>
    </row>
    <row r="1219" spans="1:15" ht="12.5">
      <c r="A1219" s="115" t="s">
        <v>5682</v>
      </c>
      <c r="B1219" s="5">
        <v>0</v>
      </c>
      <c r="C1219" s="5">
        <v>61</v>
      </c>
      <c r="D1219" s="5">
        <v>4</v>
      </c>
      <c r="E1219" s="5">
        <v>120</v>
      </c>
      <c r="F1219" s="5">
        <v>7</v>
      </c>
      <c r="G1219" s="5">
        <v>700</v>
      </c>
      <c r="H1219" s="5" t="s">
        <v>5534</v>
      </c>
      <c r="I1219" s="5" t="s">
        <v>5670</v>
      </c>
      <c r="J1219" s="5" t="s">
        <v>5683</v>
      </c>
      <c r="K1219" s="10" t="e">
        <f t="shared" si="0"/>
        <v>#VALUE!</v>
      </c>
      <c r="L1219" s="10">
        <f t="shared" si="1"/>
        <v>1</v>
      </c>
      <c r="M1219" s="10" t="str">
        <f t="shared" si="2"/>
        <v>005</v>
      </c>
      <c r="N1219" s="10" t="str">
        <f t="shared" si="3"/>
        <v>03</v>
      </c>
      <c r="O1219" s="10" t="str">
        <f t="shared" si="16"/>
        <v>BALAH</v>
      </c>
    </row>
    <row r="1220" spans="1:15" ht="12.5">
      <c r="A1220" s="115" t="s">
        <v>5684</v>
      </c>
      <c r="B1220" s="5">
        <v>0</v>
      </c>
      <c r="C1220" s="5">
        <v>61</v>
      </c>
      <c r="D1220" s="5">
        <v>4</v>
      </c>
      <c r="E1220" s="5">
        <v>120</v>
      </c>
      <c r="F1220" s="5">
        <v>7</v>
      </c>
      <c r="G1220" s="5">
        <v>800</v>
      </c>
      <c r="H1220" s="5" t="s">
        <v>5534</v>
      </c>
      <c r="I1220" s="5" t="s">
        <v>5670</v>
      </c>
      <c r="J1220" s="5" t="s">
        <v>5685</v>
      </c>
      <c r="K1220" s="10" t="e">
        <f t="shared" si="0"/>
        <v>#VALUE!</v>
      </c>
      <c r="L1220" s="10">
        <f t="shared" si="1"/>
        <v>1</v>
      </c>
      <c r="M1220" s="10" t="str">
        <f t="shared" si="2"/>
        <v>006</v>
      </c>
      <c r="N1220" s="10" t="str">
        <f t="shared" si="3"/>
        <v>03</v>
      </c>
      <c r="O1220" s="10" t="str">
        <f t="shared" si="16"/>
        <v>BALAH</v>
      </c>
    </row>
    <row r="1221" spans="1:15" ht="12.5">
      <c r="A1221" s="115" t="s">
        <v>5686</v>
      </c>
      <c r="B1221" s="5">
        <v>0</v>
      </c>
      <c r="C1221" s="5">
        <v>61</v>
      </c>
      <c r="D1221" s="5">
        <v>4</v>
      </c>
      <c r="E1221" s="5">
        <v>120</v>
      </c>
      <c r="F1221" s="5">
        <v>7</v>
      </c>
      <c r="G1221" s="5">
        <v>900</v>
      </c>
      <c r="H1221" s="5" t="s">
        <v>5534</v>
      </c>
      <c r="I1221" s="5" t="s">
        <v>5670</v>
      </c>
      <c r="J1221" s="5" t="s">
        <v>5687</v>
      </c>
      <c r="K1221" s="10" t="e">
        <f t="shared" si="0"/>
        <v>#VALUE!</v>
      </c>
      <c r="L1221" s="10">
        <f t="shared" si="1"/>
        <v>1</v>
      </c>
      <c r="M1221" s="10" t="str">
        <f t="shared" si="2"/>
        <v>009</v>
      </c>
      <c r="N1221" s="10" t="str">
        <f t="shared" si="3"/>
        <v>03</v>
      </c>
      <c r="O1221" s="10" t="str">
        <f t="shared" si="16"/>
        <v>BALAH</v>
      </c>
    </row>
    <row r="1222" spans="1:15" ht="12.5">
      <c r="A1222" s="115" t="s">
        <v>5688</v>
      </c>
      <c r="B1222" s="5">
        <v>0</v>
      </c>
      <c r="C1222" s="5">
        <v>61</v>
      </c>
      <c r="D1222" s="5">
        <v>4</v>
      </c>
      <c r="E1222" s="5">
        <v>120</v>
      </c>
      <c r="F1222" s="5">
        <v>7</v>
      </c>
      <c r="G1222" s="5">
        <v>1000</v>
      </c>
      <c r="H1222" s="5" t="s">
        <v>5534</v>
      </c>
      <c r="I1222" s="5" t="s">
        <v>5670</v>
      </c>
      <c r="J1222" s="5" t="s">
        <v>5689</v>
      </c>
      <c r="K1222" s="10" t="e">
        <f t="shared" si="0"/>
        <v>#VALUE!</v>
      </c>
      <c r="L1222" s="10">
        <f t="shared" si="1"/>
        <v>1</v>
      </c>
      <c r="M1222" s="10" t="str">
        <f t="shared" si="2"/>
        <v>010</v>
      </c>
      <c r="N1222" s="10" t="str">
        <f t="shared" si="3"/>
        <v>03</v>
      </c>
      <c r="O1222" s="10" t="str">
        <f t="shared" si="16"/>
        <v>BALAH</v>
      </c>
    </row>
    <row r="1223" spans="1:15" ht="12.5">
      <c r="A1223" s="115" t="s">
        <v>5690</v>
      </c>
      <c r="B1223" s="5">
        <v>0</v>
      </c>
      <c r="C1223" s="5">
        <v>61</v>
      </c>
      <c r="D1223" s="5">
        <v>4</v>
      </c>
      <c r="E1223" s="5">
        <v>120</v>
      </c>
      <c r="F1223" s="5">
        <v>7</v>
      </c>
      <c r="G1223" s="5">
        <v>1100</v>
      </c>
      <c r="H1223" s="5" t="s">
        <v>5534</v>
      </c>
      <c r="I1223" s="5" t="s">
        <v>5670</v>
      </c>
      <c r="J1223" s="5" t="s">
        <v>5691</v>
      </c>
      <c r="K1223" s="10" t="e">
        <f t="shared" si="0"/>
        <v>#VALUE!</v>
      </c>
      <c r="L1223" s="10">
        <f t="shared" si="1"/>
        <v>1</v>
      </c>
      <c r="M1223" s="10" t="str">
        <f t="shared" si="2"/>
        <v>007</v>
      </c>
      <c r="N1223" s="10" t="str">
        <f t="shared" si="3"/>
        <v>04</v>
      </c>
      <c r="O1223" s="10" t="str">
        <f t="shared" si="16"/>
        <v>BALAH</v>
      </c>
    </row>
    <row r="1224" spans="1:15" ht="12.5">
      <c r="A1224" s="115" t="s">
        <v>5692</v>
      </c>
      <c r="B1224" s="5">
        <v>0</v>
      </c>
      <c r="C1224" s="5">
        <v>61</v>
      </c>
      <c r="D1224" s="5">
        <v>4</v>
      </c>
      <c r="E1224" s="5">
        <v>120</v>
      </c>
      <c r="F1224" s="5">
        <v>7</v>
      </c>
      <c r="G1224" s="5">
        <v>1200</v>
      </c>
      <c r="H1224" s="5" t="s">
        <v>5534</v>
      </c>
      <c r="I1224" s="5" t="s">
        <v>5670</v>
      </c>
      <c r="J1224" s="5" t="s">
        <v>5693</v>
      </c>
      <c r="K1224" s="10" t="e">
        <f t="shared" si="0"/>
        <v>#VALUE!</v>
      </c>
      <c r="L1224" s="10">
        <f t="shared" si="1"/>
        <v>1</v>
      </c>
      <c r="M1224" s="10" t="str">
        <f t="shared" si="2"/>
        <v>008</v>
      </c>
      <c r="N1224" s="10" t="str">
        <f t="shared" si="3"/>
        <v>04</v>
      </c>
      <c r="O1224" s="10" t="str">
        <f t="shared" si="16"/>
        <v>BALAH</v>
      </c>
    </row>
    <row r="1225" spans="1:15" ht="12.5">
      <c r="A1225" s="115" t="s">
        <v>5694</v>
      </c>
      <c r="B1225" s="5">
        <v>2</v>
      </c>
      <c r="C1225" s="5">
        <v>61</v>
      </c>
      <c r="D1225" s="5">
        <v>4</v>
      </c>
      <c r="E1225" s="5">
        <v>120</v>
      </c>
      <c r="F1225" s="5">
        <v>7</v>
      </c>
      <c r="G1225" s="5">
        <v>200100</v>
      </c>
      <c r="H1225" s="5" t="s">
        <v>5534</v>
      </c>
      <c r="I1225" s="5" t="s">
        <v>5670</v>
      </c>
      <c r="J1225" s="5" t="s">
        <v>5695</v>
      </c>
      <c r="K1225" s="10" t="e">
        <f t="shared" si="0"/>
        <v>#VALUE!</v>
      </c>
      <c r="L1225" s="10">
        <f t="shared" si="1"/>
        <v>0</v>
      </c>
      <c r="M1225" s="10" t="str">
        <f t="shared" si="2"/>
        <v xml:space="preserve"> SL</v>
      </c>
      <c r="N1225" s="10" t="str">
        <f t="shared" si="3"/>
        <v>RAP</v>
      </c>
      <c r="O1225" s="10" t="str">
        <f t="shared" si="16"/>
        <v>N)</v>
      </c>
    </row>
    <row r="1226" spans="1:15" ht="12.5">
      <c r="A1226" s="115" t="s">
        <v>5696</v>
      </c>
      <c r="B1226" s="5">
        <v>0</v>
      </c>
      <c r="C1226" s="5">
        <v>61</v>
      </c>
      <c r="D1226" s="5">
        <v>4</v>
      </c>
      <c r="E1226" s="5">
        <v>120</v>
      </c>
      <c r="F1226" s="5">
        <v>8</v>
      </c>
      <c r="G1226" s="5">
        <v>100</v>
      </c>
      <c r="H1226" s="5" t="s">
        <v>5534</v>
      </c>
      <c r="I1226" s="5" t="s">
        <v>5697</v>
      </c>
      <c r="J1226" s="5" t="s">
        <v>5698</v>
      </c>
      <c r="K1226" s="10" t="e">
        <f t="shared" si="0"/>
        <v>#VALUE!</v>
      </c>
      <c r="L1226" s="10">
        <f t="shared" si="1"/>
        <v>1</v>
      </c>
      <c r="M1226" s="10" t="str">
        <f t="shared" si="2"/>
        <v>001</v>
      </c>
      <c r="N1226" s="10" t="str">
        <f t="shared" si="3"/>
        <v>UN</v>
      </c>
      <c r="O1226" s="10" t="str">
        <f t="shared" si="16"/>
        <v/>
      </c>
    </row>
    <row r="1227" spans="1:15" ht="12.5">
      <c r="A1227" s="115" t="s">
        <v>5699</v>
      </c>
      <c r="B1227" s="5">
        <v>0</v>
      </c>
      <c r="C1227" s="5">
        <v>61</v>
      </c>
      <c r="D1227" s="5">
        <v>4</v>
      </c>
      <c r="E1227" s="5">
        <v>120</v>
      </c>
      <c r="F1227" s="5">
        <v>8</v>
      </c>
      <c r="G1227" s="5">
        <v>200</v>
      </c>
      <c r="H1227" s="5" t="s">
        <v>5534</v>
      </c>
      <c r="I1227" s="5" t="s">
        <v>5697</v>
      </c>
      <c r="J1227" s="5" t="s">
        <v>5700</v>
      </c>
      <c r="K1227" s="10" t="e">
        <f t="shared" si="0"/>
        <v>#VALUE!</v>
      </c>
      <c r="L1227" s="10">
        <f t="shared" si="1"/>
        <v>1</v>
      </c>
      <c r="M1227" s="10" t="str">
        <f t="shared" si="2"/>
        <v>002</v>
      </c>
      <c r="N1227" s="10" t="str">
        <f t="shared" si="3"/>
        <v>UN</v>
      </c>
      <c r="O1227" s="10" t="str">
        <f t="shared" si="16"/>
        <v/>
      </c>
    </row>
    <row r="1228" spans="1:15" ht="12.5">
      <c r="A1228" s="115" t="s">
        <v>5701</v>
      </c>
      <c r="B1228" s="5">
        <v>0</v>
      </c>
      <c r="C1228" s="5">
        <v>61</v>
      </c>
      <c r="D1228" s="5">
        <v>4</v>
      </c>
      <c r="E1228" s="5">
        <v>120</v>
      </c>
      <c r="F1228" s="5">
        <v>8</v>
      </c>
      <c r="G1228" s="5">
        <v>300</v>
      </c>
      <c r="H1228" s="5" t="s">
        <v>5534</v>
      </c>
      <c r="I1228" s="5" t="s">
        <v>5697</v>
      </c>
      <c r="J1228" s="5" t="s">
        <v>5702</v>
      </c>
      <c r="K1228" s="10" t="e">
        <f t="shared" si="0"/>
        <v>#VALUE!</v>
      </c>
      <c r="L1228" s="10">
        <f t="shared" si="1"/>
        <v>1</v>
      </c>
      <c r="M1228" s="10" t="str">
        <f t="shared" si="2"/>
        <v>003</v>
      </c>
      <c r="N1228" s="10" t="str">
        <f t="shared" si="3"/>
        <v>UN</v>
      </c>
      <c r="O1228" s="10" t="str">
        <f t="shared" si="16"/>
        <v/>
      </c>
    </row>
    <row r="1229" spans="1:15" ht="12.5">
      <c r="A1229" s="115" t="s">
        <v>5703</v>
      </c>
      <c r="B1229" s="5">
        <v>0</v>
      </c>
      <c r="C1229" s="5">
        <v>61</v>
      </c>
      <c r="D1229" s="5">
        <v>4</v>
      </c>
      <c r="E1229" s="5">
        <v>120</v>
      </c>
      <c r="F1229" s="5">
        <v>8</v>
      </c>
      <c r="G1229" s="5">
        <v>400</v>
      </c>
      <c r="H1229" s="5" t="s">
        <v>5534</v>
      </c>
      <c r="I1229" s="5" t="s">
        <v>5697</v>
      </c>
      <c r="J1229" s="5" t="s">
        <v>5704</v>
      </c>
      <c r="K1229" s="10" t="e">
        <f t="shared" si="0"/>
        <v>#VALUE!</v>
      </c>
      <c r="L1229" s="10">
        <f t="shared" si="1"/>
        <v>1</v>
      </c>
      <c r="M1229" s="10" t="str">
        <f t="shared" si="2"/>
        <v>004</v>
      </c>
      <c r="N1229" s="10" t="str">
        <f t="shared" si="3"/>
        <v>UN</v>
      </c>
      <c r="O1229" s="10" t="str">
        <f t="shared" si="16"/>
        <v/>
      </c>
    </row>
    <row r="1230" spans="1:15" ht="12.5">
      <c r="A1230" s="115" t="s">
        <v>5705</v>
      </c>
      <c r="B1230" s="5">
        <v>0</v>
      </c>
      <c r="C1230" s="5">
        <v>61</v>
      </c>
      <c r="D1230" s="5">
        <v>4</v>
      </c>
      <c r="E1230" s="5">
        <v>120</v>
      </c>
      <c r="F1230" s="5">
        <v>8</v>
      </c>
      <c r="G1230" s="5">
        <v>500</v>
      </c>
      <c r="H1230" s="5" t="s">
        <v>5534</v>
      </c>
      <c r="I1230" s="5" t="s">
        <v>5697</v>
      </c>
      <c r="J1230" s="5" t="s">
        <v>5706</v>
      </c>
      <c r="K1230" s="10" t="e">
        <f t="shared" si="0"/>
        <v>#VALUE!</v>
      </c>
      <c r="L1230" s="10">
        <f t="shared" si="1"/>
        <v>1</v>
      </c>
      <c r="M1230" s="10" t="str">
        <f t="shared" si="2"/>
        <v>005</v>
      </c>
      <c r="N1230" s="10" t="str">
        <f t="shared" si="3"/>
        <v>UN</v>
      </c>
      <c r="O1230" s="10" t="str">
        <f t="shared" si="16"/>
        <v>G</v>
      </c>
    </row>
    <row r="1231" spans="1:15" ht="12.5">
      <c r="A1231" s="115" t="s">
        <v>5707</v>
      </c>
      <c r="B1231" s="5">
        <v>0</v>
      </c>
      <c r="C1231" s="5">
        <v>61</v>
      </c>
      <c r="D1231" s="5">
        <v>4</v>
      </c>
      <c r="E1231" s="5">
        <v>120</v>
      </c>
      <c r="F1231" s="5">
        <v>8</v>
      </c>
      <c r="G1231" s="5">
        <v>600</v>
      </c>
      <c r="H1231" s="5" t="s">
        <v>5534</v>
      </c>
      <c r="I1231" s="5" t="s">
        <v>5697</v>
      </c>
      <c r="J1231" s="5" t="s">
        <v>5708</v>
      </c>
      <c r="K1231" s="10" t="e">
        <f t="shared" si="0"/>
        <v>#VALUE!</v>
      </c>
      <c r="L1231" s="10">
        <f t="shared" si="1"/>
        <v>1</v>
      </c>
      <c r="M1231" s="10" t="str">
        <f t="shared" si="2"/>
        <v>006</v>
      </c>
      <c r="N1231" s="10" t="str">
        <f t="shared" si="3"/>
        <v>UN</v>
      </c>
      <c r="O1231" s="10" t="str">
        <f t="shared" si="16"/>
        <v>G</v>
      </c>
    </row>
    <row r="1232" spans="1:15" ht="12.5">
      <c r="A1232" s="115" t="s">
        <v>5709</v>
      </c>
      <c r="B1232" s="5">
        <v>2</v>
      </c>
      <c r="C1232" s="5">
        <v>61</v>
      </c>
      <c r="D1232" s="5">
        <v>4</v>
      </c>
      <c r="E1232" s="5">
        <v>120</v>
      </c>
      <c r="F1232" s="5">
        <v>8</v>
      </c>
      <c r="G1232" s="5">
        <v>200100</v>
      </c>
      <c r="H1232" s="5" t="s">
        <v>5534</v>
      </c>
      <c r="I1232" s="5" t="s">
        <v>5697</v>
      </c>
      <c r="J1232" s="5" t="s">
        <v>3517</v>
      </c>
      <c r="K1232" s="10" t="e">
        <f t="shared" si="0"/>
        <v>#VALUE!</v>
      </c>
      <c r="L1232" s="10">
        <f t="shared" si="1"/>
        <v>0</v>
      </c>
      <c r="M1232" s="10" t="str">
        <f t="shared" si="2"/>
        <v>AN</v>
      </c>
      <c r="N1232" s="10" t="str">
        <f t="shared" si="3"/>
        <v/>
      </c>
      <c r="O1232" s="10" t="str">
        <f t="shared" si="16"/>
        <v/>
      </c>
    </row>
    <row r="1233" spans="1:15" ht="12.5">
      <c r="A1233" s="115" t="s">
        <v>5710</v>
      </c>
      <c r="B1233" s="5">
        <v>2</v>
      </c>
      <c r="C1233" s="5">
        <v>61</v>
      </c>
      <c r="D1233" s="5">
        <v>4</v>
      </c>
      <c r="E1233" s="5">
        <v>120</v>
      </c>
      <c r="F1233" s="5">
        <v>8</v>
      </c>
      <c r="G1233" s="5">
        <v>200200</v>
      </c>
      <c r="H1233" s="5" t="s">
        <v>5534</v>
      </c>
      <c r="I1233" s="5" t="s">
        <v>5697</v>
      </c>
      <c r="J1233" s="5" t="s">
        <v>5711</v>
      </c>
      <c r="K1233" s="10" t="e">
        <f t="shared" si="0"/>
        <v>#VALUE!</v>
      </c>
      <c r="L1233" s="10">
        <f t="shared" si="1"/>
        <v>0</v>
      </c>
      <c r="M1233" s="10" t="str">
        <f t="shared" si="2"/>
        <v xml:space="preserve">AN </v>
      </c>
      <c r="N1233" s="10" t="str">
        <f t="shared" si="3"/>
        <v>S 0</v>
      </c>
      <c r="O1233" s="10" t="str">
        <f t="shared" si="16"/>
        <v/>
      </c>
    </row>
    <row r="1234" spans="1:15" ht="12.5">
      <c r="A1234" s="115" t="s">
        <v>5712</v>
      </c>
      <c r="B1234" s="5">
        <v>2</v>
      </c>
      <c r="C1234" s="5">
        <v>61</v>
      </c>
      <c r="D1234" s="5">
        <v>4</v>
      </c>
      <c r="E1234" s="5">
        <v>120</v>
      </c>
      <c r="F1234" s="5">
        <v>8</v>
      </c>
      <c r="G1234" s="5">
        <v>200300</v>
      </c>
      <c r="H1234" s="5" t="s">
        <v>5534</v>
      </c>
      <c r="I1234" s="5" t="s">
        <v>5697</v>
      </c>
      <c r="J1234" s="5" t="s">
        <v>4139</v>
      </c>
      <c r="K1234" s="10" t="e">
        <f t="shared" si="0"/>
        <v>#VALUE!</v>
      </c>
      <c r="L1234" s="10">
        <f t="shared" si="1"/>
        <v>0</v>
      </c>
      <c r="M1234" s="10" t="str">
        <f t="shared" si="2"/>
        <v xml:space="preserve">AN </v>
      </c>
      <c r="N1234" s="10" t="str">
        <f t="shared" si="3"/>
        <v>S 0</v>
      </c>
      <c r="O1234" s="10" t="str">
        <f t="shared" si="16"/>
        <v/>
      </c>
    </row>
    <row r="1235" spans="1:15" ht="12.5">
      <c r="A1235" s="115" t="s">
        <v>5713</v>
      </c>
      <c r="B1235" s="5">
        <v>0</v>
      </c>
      <c r="C1235" s="5">
        <v>61</v>
      </c>
      <c r="D1235" s="5">
        <v>4</v>
      </c>
      <c r="E1235" s="5">
        <v>120</v>
      </c>
      <c r="F1235" s="5">
        <v>9</v>
      </c>
      <c r="G1235" s="5">
        <v>100</v>
      </c>
      <c r="H1235" s="5" t="s">
        <v>5534</v>
      </c>
      <c r="I1235" s="5" t="s">
        <v>5714</v>
      </c>
      <c r="J1235" s="5" t="s">
        <v>5715</v>
      </c>
      <c r="K1235" s="10" t="e">
        <f t="shared" si="0"/>
        <v>#VALUE!</v>
      </c>
      <c r="L1235" s="10">
        <f t="shared" si="1"/>
        <v>1</v>
      </c>
      <c r="M1235" s="10" t="str">
        <f t="shared" si="2"/>
        <v>001</v>
      </c>
      <c r="N1235" s="10" t="str">
        <f t="shared" si="3"/>
        <v>01</v>
      </c>
      <c r="O1235" s="10" t="str">
        <f t="shared" si="16"/>
        <v>TOHO ILIR</v>
      </c>
    </row>
    <row r="1236" spans="1:15" ht="12.5">
      <c r="A1236" s="115" t="s">
        <v>5716</v>
      </c>
      <c r="B1236" s="5">
        <v>0</v>
      </c>
      <c r="C1236" s="5">
        <v>61</v>
      </c>
      <c r="D1236" s="5">
        <v>4</v>
      </c>
      <c r="E1236" s="5">
        <v>120</v>
      </c>
      <c r="F1236" s="5">
        <v>9</v>
      </c>
      <c r="G1236" s="5">
        <v>200</v>
      </c>
      <c r="H1236" s="5" t="s">
        <v>5534</v>
      </c>
      <c r="I1236" s="5" t="s">
        <v>5714</v>
      </c>
      <c r="J1236" s="5" t="s">
        <v>5717</v>
      </c>
      <c r="K1236" s="10" t="e">
        <f t="shared" si="0"/>
        <v>#VALUE!</v>
      </c>
      <c r="L1236" s="10">
        <f t="shared" si="1"/>
        <v>1</v>
      </c>
      <c r="M1236" s="10" t="str">
        <f t="shared" si="2"/>
        <v>002</v>
      </c>
      <c r="N1236" s="10" t="str">
        <f t="shared" si="3"/>
        <v>01</v>
      </c>
      <c r="O1236" s="10" t="str">
        <f t="shared" si="16"/>
        <v>TOHO ILIR</v>
      </c>
    </row>
    <row r="1237" spans="1:15" ht="12.5">
      <c r="A1237" s="115" t="s">
        <v>5718</v>
      </c>
      <c r="B1237" s="5">
        <v>0</v>
      </c>
      <c r="C1237" s="5">
        <v>61</v>
      </c>
      <c r="D1237" s="5">
        <v>4</v>
      </c>
      <c r="E1237" s="5">
        <v>120</v>
      </c>
      <c r="F1237" s="5">
        <v>9</v>
      </c>
      <c r="G1237" s="5">
        <v>300</v>
      </c>
      <c r="H1237" s="5" t="s">
        <v>5534</v>
      </c>
      <c r="I1237" s="5" t="s">
        <v>5714</v>
      </c>
      <c r="J1237" s="5" t="s">
        <v>5719</v>
      </c>
      <c r="K1237" s="10" t="e">
        <f t="shared" si="0"/>
        <v>#VALUE!</v>
      </c>
      <c r="L1237" s="10">
        <f t="shared" si="1"/>
        <v>1</v>
      </c>
      <c r="M1237" s="10" t="str">
        <f t="shared" si="2"/>
        <v>003</v>
      </c>
      <c r="N1237" s="10" t="str">
        <f t="shared" si="3"/>
        <v>01</v>
      </c>
      <c r="O1237" s="10" t="str">
        <f t="shared" si="16"/>
        <v>TOHO ILIR</v>
      </c>
    </row>
    <row r="1238" spans="1:15" ht="12.5">
      <c r="A1238" s="115" t="s">
        <v>5720</v>
      </c>
      <c r="B1238" s="5">
        <v>0</v>
      </c>
      <c r="C1238" s="5">
        <v>61</v>
      </c>
      <c r="D1238" s="5">
        <v>4</v>
      </c>
      <c r="E1238" s="5">
        <v>120</v>
      </c>
      <c r="F1238" s="5">
        <v>9</v>
      </c>
      <c r="G1238" s="5">
        <v>400</v>
      </c>
      <c r="H1238" s="5" t="s">
        <v>5534</v>
      </c>
      <c r="I1238" s="5" t="s">
        <v>5714</v>
      </c>
      <c r="J1238" s="5" t="s">
        <v>5721</v>
      </c>
      <c r="K1238" s="10" t="e">
        <f t="shared" si="0"/>
        <v>#VALUE!</v>
      </c>
      <c r="L1238" s="10">
        <f t="shared" si="1"/>
        <v>1</v>
      </c>
      <c r="M1238" s="10" t="str">
        <f t="shared" si="2"/>
        <v>004</v>
      </c>
      <c r="N1238" s="10" t="str">
        <f t="shared" si="3"/>
        <v>01</v>
      </c>
      <c r="O1238" s="10" t="str">
        <f t="shared" si="16"/>
        <v>TOHO ILIR</v>
      </c>
    </row>
    <row r="1239" spans="1:15" ht="12.5">
      <c r="A1239" s="115" t="s">
        <v>5722</v>
      </c>
      <c r="B1239" s="5">
        <v>0</v>
      </c>
      <c r="C1239" s="5">
        <v>61</v>
      </c>
      <c r="D1239" s="5">
        <v>4</v>
      </c>
      <c r="E1239" s="5">
        <v>120</v>
      </c>
      <c r="F1239" s="5">
        <v>9</v>
      </c>
      <c r="G1239" s="5">
        <v>500</v>
      </c>
      <c r="H1239" s="5" t="s">
        <v>5534</v>
      </c>
      <c r="I1239" s="5" t="s">
        <v>5714</v>
      </c>
      <c r="J1239" s="5" t="s">
        <v>5723</v>
      </c>
      <c r="K1239" s="10" t="e">
        <f t="shared" si="0"/>
        <v>#VALUE!</v>
      </c>
      <c r="L1239" s="10">
        <f t="shared" si="1"/>
        <v>1</v>
      </c>
      <c r="M1239" s="10" t="str">
        <f t="shared" si="2"/>
        <v>005</v>
      </c>
      <c r="N1239" s="10" t="str">
        <f t="shared" si="3"/>
        <v>01</v>
      </c>
      <c r="O1239" s="10" t="str">
        <f t="shared" si="16"/>
        <v>TOHO ILIR</v>
      </c>
    </row>
    <row r="1240" spans="1:15" ht="12.5">
      <c r="A1240" s="115" t="s">
        <v>5724</v>
      </c>
      <c r="B1240" s="5">
        <v>0</v>
      </c>
      <c r="C1240" s="5">
        <v>61</v>
      </c>
      <c r="D1240" s="5">
        <v>4</v>
      </c>
      <c r="E1240" s="5">
        <v>120</v>
      </c>
      <c r="F1240" s="5">
        <v>9</v>
      </c>
      <c r="G1240" s="5">
        <v>600</v>
      </c>
      <c r="H1240" s="5" t="s">
        <v>5534</v>
      </c>
      <c r="I1240" s="5" t="s">
        <v>5714</v>
      </c>
      <c r="J1240" s="5" t="s">
        <v>5725</v>
      </c>
      <c r="K1240" s="10" t="e">
        <f t="shared" si="0"/>
        <v>#VALUE!</v>
      </c>
      <c r="L1240" s="10">
        <f t="shared" si="1"/>
        <v>1</v>
      </c>
      <c r="M1240" s="10" t="str">
        <f t="shared" si="2"/>
        <v>006</v>
      </c>
      <c r="N1240" s="10" t="str">
        <f t="shared" si="3"/>
        <v>01</v>
      </c>
      <c r="O1240" s="10" t="str">
        <f t="shared" si="16"/>
        <v>TOHO ILIR</v>
      </c>
    </row>
    <row r="1241" spans="1:15" ht="12.5">
      <c r="A1241" s="115" t="s">
        <v>5726</v>
      </c>
      <c r="B1241" s="5">
        <v>0</v>
      </c>
      <c r="C1241" s="5">
        <v>61</v>
      </c>
      <c r="D1241" s="5">
        <v>4</v>
      </c>
      <c r="E1241" s="5">
        <v>120</v>
      </c>
      <c r="F1241" s="5">
        <v>9</v>
      </c>
      <c r="G1241" s="5">
        <v>700</v>
      </c>
      <c r="H1241" s="5" t="s">
        <v>5534</v>
      </c>
      <c r="I1241" s="5" t="s">
        <v>5714</v>
      </c>
      <c r="J1241" s="5" t="s">
        <v>5727</v>
      </c>
      <c r="K1241" s="10" t="e">
        <f t="shared" si="0"/>
        <v>#VALUE!</v>
      </c>
      <c r="L1241" s="10">
        <f t="shared" si="1"/>
        <v>1</v>
      </c>
      <c r="M1241" s="10" t="str">
        <f t="shared" si="2"/>
        <v>007</v>
      </c>
      <c r="N1241" s="10" t="str">
        <f t="shared" si="3"/>
        <v>02</v>
      </c>
      <c r="O1241" s="10" t="str">
        <f t="shared" si="16"/>
        <v>KUALA TOHO</v>
      </c>
    </row>
    <row r="1242" spans="1:15" ht="12.5">
      <c r="A1242" s="115" t="s">
        <v>5728</v>
      </c>
      <c r="B1242" s="5">
        <v>0</v>
      </c>
      <c r="C1242" s="5">
        <v>61</v>
      </c>
      <c r="D1242" s="5">
        <v>4</v>
      </c>
      <c r="E1242" s="5">
        <v>120</v>
      </c>
      <c r="F1242" s="5">
        <v>9</v>
      </c>
      <c r="G1242" s="5">
        <v>800</v>
      </c>
      <c r="H1242" s="5" t="s">
        <v>5534</v>
      </c>
      <c r="I1242" s="5" t="s">
        <v>5714</v>
      </c>
      <c r="J1242" s="5" t="s">
        <v>5729</v>
      </c>
      <c r="K1242" s="10" t="e">
        <f t="shared" si="0"/>
        <v>#VALUE!</v>
      </c>
      <c r="L1242" s="10">
        <f t="shared" si="1"/>
        <v>1</v>
      </c>
      <c r="M1242" s="10" t="str">
        <f t="shared" si="2"/>
        <v>008</v>
      </c>
      <c r="N1242" s="10" t="str">
        <f t="shared" si="3"/>
        <v>02</v>
      </c>
      <c r="O1242" s="10" t="str">
        <f t="shared" si="16"/>
        <v>KUALA TOHO</v>
      </c>
    </row>
    <row r="1243" spans="1:15" ht="12.5">
      <c r="A1243" s="115" t="s">
        <v>5730</v>
      </c>
      <c r="B1243" s="5">
        <v>0</v>
      </c>
      <c r="C1243" s="5">
        <v>61</v>
      </c>
      <c r="D1243" s="5">
        <v>4</v>
      </c>
      <c r="E1243" s="5">
        <v>120</v>
      </c>
      <c r="F1243" s="5">
        <v>9</v>
      </c>
      <c r="G1243" s="5">
        <v>900</v>
      </c>
      <c r="H1243" s="5" t="s">
        <v>5534</v>
      </c>
      <c r="I1243" s="5" t="s">
        <v>5714</v>
      </c>
      <c r="J1243" s="5" t="s">
        <v>5731</v>
      </c>
      <c r="K1243" s="10" t="e">
        <f t="shared" si="0"/>
        <v>#VALUE!</v>
      </c>
      <c r="L1243" s="10">
        <f t="shared" si="1"/>
        <v>1</v>
      </c>
      <c r="M1243" s="10" t="str">
        <f t="shared" si="2"/>
        <v>009</v>
      </c>
      <c r="N1243" s="10" t="str">
        <f t="shared" si="3"/>
        <v>03</v>
      </c>
      <c r="O1243" s="10" t="str">
        <f t="shared" si="16"/>
        <v>BONSORAN</v>
      </c>
    </row>
    <row r="1244" spans="1:15" ht="12.5">
      <c r="A1244" s="115" t="s">
        <v>5732</v>
      </c>
      <c r="B1244" s="5">
        <v>0</v>
      </c>
      <c r="C1244" s="5">
        <v>61</v>
      </c>
      <c r="D1244" s="5">
        <v>4</v>
      </c>
      <c r="E1244" s="5">
        <v>120</v>
      </c>
      <c r="F1244" s="5">
        <v>9</v>
      </c>
      <c r="G1244" s="5">
        <v>1000</v>
      </c>
      <c r="H1244" s="5" t="s">
        <v>5534</v>
      </c>
      <c r="I1244" s="5" t="s">
        <v>5714</v>
      </c>
      <c r="J1244" s="5" t="s">
        <v>5733</v>
      </c>
      <c r="K1244" s="10" t="e">
        <f t="shared" si="0"/>
        <v>#VALUE!</v>
      </c>
      <c r="L1244" s="10">
        <f t="shared" si="1"/>
        <v>1</v>
      </c>
      <c r="M1244" s="10" t="str">
        <f t="shared" si="2"/>
        <v>010</v>
      </c>
      <c r="N1244" s="10" t="str">
        <f t="shared" si="3"/>
        <v>03</v>
      </c>
      <c r="O1244" s="10" t="str">
        <f t="shared" si="16"/>
        <v>BONSORAN</v>
      </c>
    </row>
    <row r="1245" spans="1:15" ht="12.5">
      <c r="A1245" s="115" t="s">
        <v>5734</v>
      </c>
      <c r="B1245" s="5">
        <v>0</v>
      </c>
      <c r="C1245" s="5">
        <v>61</v>
      </c>
      <c r="D1245" s="5">
        <v>4</v>
      </c>
      <c r="E1245" s="5">
        <v>120</v>
      </c>
      <c r="F1245" s="5">
        <v>9</v>
      </c>
      <c r="G1245" s="5">
        <v>1100</v>
      </c>
      <c r="H1245" s="5" t="s">
        <v>5534</v>
      </c>
      <c r="I1245" s="5" t="s">
        <v>5714</v>
      </c>
      <c r="J1245" s="5" t="s">
        <v>5735</v>
      </c>
      <c r="K1245" s="10" t="e">
        <f t="shared" si="0"/>
        <v>#VALUE!</v>
      </c>
      <c r="L1245" s="10">
        <f t="shared" si="1"/>
        <v>1</v>
      </c>
      <c r="M1245" s="10" t="str">
        <f t="shared" si="2"/>
        <v>011</v>
      </c>
      <c r="N1245" s="10" t="str">
        <f t="shared" si="3"/>
        <v>04</v>
      </c>
      <c r="O1245" s="10" t="str">
        <f t="shared" si="16"/>
        <v>PROMPONG</v>
      </c>
    </row>
    <row r="1246" spans="1:15" ht="12.5">
      <c r="A1246" s="115" t="s">
        <v>5736</v>
      </c>
      <c r="B1246" s="5">
        <v>0</v>
      </c>
      <c r="C1246" s="5">
        <v>61</v>
      </c>
      <c r="D1246" s="5">
        <v>4</v>
      </c>
      <c r="E1246" s="5">
        <v>120</v>
      </c>
      <c r="F1246" s="5">
        <v>9</v>
      </c>
      <c r="G1246" s="5">
        <v>1200</v>
      </c>
      <c r="H1246" s="5" t="s">
        <v>5534</v>
      </c>
      <c r="I1246" s="5" t="s">
        <v>5714</v>
      </c>
      <c r="J1246" s="5" t="s">
        <v>5737</v>
      </c>
      <c r="K1246" s="10" t="e">
        <f t="shared" si="0"/>
        <v>#VALUE!</v>
      </c>
      <c r="L1246" s="10">
        <f t="shared" si="1"/>
        <v>1</v>
      </c>
      <c r="M1246" s="10" t="str">
        <f t="shared" si="2"/>
        <v>012</v>
      </c>
      <c r="N1246" s="10" t="str">
        <f t="shared" si="3"/>
        <v>04</v>
      </c>
      <c r="O1246" s="10" t="str">
        <f t="shared" si="16"/>
        <v>PROMPONG</v>
      </c>
    </row>
    <row r="1247" spans="1:15" ht="12.5">
      <c r="A1247" s="115" t="s">
        <v>5738</v>
      </c>
      <c r="B1247" s="5">
        <v>0</v>
      </c>
      <c r="C1247" s="5">
        <v>61</v>
      </c>
      <c r="D1247" s="5">
        <v>4</v>
      </c>
      <c r="E1247" s="5">
        <v>120</v>
      </c>
      <c r="F1247" s="5">
        <v>9</v>
      </c>
      <c r="G1247" s="5">
        <v>1300</v>
      </c>
      <c r="H1247" s="5" t="s">
        <v>5534</v>
      </c>
      <c r="I1247" s="5" t="s">
        <v>5714</v>
      </c>
      <c r="J1247" s="5" t="s">
        <v>5739</v>
      </c>
      <c r="K1247" s="10" t="e">
        <f t="shared" si="0"/>
        <v>#VALUE!</v>
      </c>
      <c r="L1247" s="10">
        <f t="shared" si="1"/>
        <v>1</v>
      </c>
      <c r="M1247" s="10" t="str">
        <f t="shared" si="2"/>
        <v>013</v>
      </c>
      <c r="N1247" s="10" t="str">
        <f t="shared" si="3"/>
        <v>04</v>
      </c>
      <c r="O1247" s="10" t="str">
        <f t="shared" si="16"/>
        <v>PROMPONG</v>
      </c>
    </row>
    <row r="1248" spans="1:15" ht="12.5">
      <c r="A1248" s="115" t="s">
        <v>5740</v>
      </c>
      <c r="B1248" s="5">
        <v>0</v>
      </c>
      <c r="C1248" s="5">
        <v>61</v>
      </c>
      <c r="D1248" s="5">
        <v>4</v>
      </c>
      <c r="E1248" s="5">
        <v>121</v>
      </c>
      <c r="F1248" s="5">
        <v>1</v>
      </c>
      <c r="G1248" s="5">
        <v>100</v>
      </c>
      <c r="H1248" s="5" t="s">
        <v>5741</v>
      </c>
      <c r="I1248" s="5" t="s">
        <v>5742</v>
      </c>
      <c r="J1248" s="5" t="s">
        <v>5743</v>
      </c>
      <c r="K1248" s="10" t="e">
        <f t="shared" si="0"/>
        <v>#VALUE!</v>
      </c>
      <c r="L1248" s="10">
        <f t="shared" si="1"/>
        <v>1</v>
      </c>
      <c r="M1248" s="10" t="str">
        <f t="shared" si="2"/>
        <v>001</v>
      </c>
      <c r="N1248" s="10" t="str">
        <f t="shared" si="3"/>
        <v>01</v>
      </c>
      <c r="O1248" s="10" t="str">
        <f t="shared" si="16"/>
        <v>PENTEK</v>
      </c>
    </row>
    <row r="1249" spans="1:15" ht="12.5">
      <c r="A1249" s="115" t="s">
        <v>5744</v>
      </c>
      <c r="B1249" s="5">
        <v>0</v>
      </c>
      <c r="C1249" s="5">
        <v>61</v>
      </c>
      <c r="D1249" s="5">
        <v>4</v>
      </c>
      <c r="E1249" s="5">
        <v>121</v>
      </c>
      <c r="F1249" s="5">
        <v>1</v>
      </c>
      <c r="G1249" s="5">
        <v>200</v>
      </c>
      <c r="H1249" s="5" t="s">
        <v>5741</v>
      </c>
      <c r="I1249" s="5" t="s">
        <v>5742</v>
      </c>
      <c r="J1249" s="5" t="s">
        <v>5745</v>
      </c>
      <c r="K1249" s="10" t="e">
        <f t="shared" si="0"/>
        <v>#VALUE!</v>
      </c>
      <c r="L1249" s="10">
        <f t="shared" si="1"/>
        <v>1</v>
      </c>
      <c r="M1249" s="10" t="str">
        <f t="shared" si="2"/>
        <v>002</v>
      </c>
      <c r="N1249" s="10" t="str">
        <f t="shared" si="3"/>
        <v>01</v>
      </c>
      <c r="O1249" s="10" t="str">
        <f t="shared" si="16"/>
        <v>PENTEK</v>
      </c>
    </row>
    <row r="1250" spans="1:15" ht="12.5">
      <c r="A1250" s="115" t="s">
        <v>5746</v>
      </c>
      <c r="B1250" s="5">
        <v>0</v>
      </c>
      <c r="C1250" s="5">
        <v>61</v>
      </c>
      <c r="D1250" s="5">
        <v>4</v>
      </c>
      <c r="E1250" s="5">
        <v>121</v>
      </c>
      <c r="F1250" s="5">
        <v>1</v>
      </c>
      <c r="G1250" s="5">
        <v>300</v>
      </c>
      <c r="H1250" s="5" t="s">
        <v>5741</v>
      </c>
      <c r="I1250" s="5" t="s">
        <v>5742</v>
      </c>
      <c r="J1250" s="5" t="s">
        <v>5747</v>
      </c>
      <c r="K1250" s="10" t="e">
        <f t="shared" si="0"/>
        <v>#VALUE!</v>
      </c>
      <c r="L1250" s="10">
        <f t="shared" si="1"/>
        <v>1</v>
      </c>
      <c r="M1250" s="10" t="str">
        <f t="shared" si="2"/>
        <v>003</v>
      </c>
      <c r="N1250" s="10" t="str">
        <f t="shared" si="3"/>
        <v>06</v>
      </c>
      <c r="O1250" s="10" t="str">
        <f t="shared" si="16"/>
        <v>KUMPANG</v>
      </c>
    </row>
    <row r="1251" spans="1:15" ht="12.5">
      <c r="A1251" s="115" t="s">
        <v>5748</v>
      </c>
      <c r="B1251" s="5">
        <v>0</v>
      </c>
      <c r="C1251" s="5">
        <v>61</v>
      </c>
      <c r="D1251" s="5">
        <v>4</v>
      </c>
      <c r="E1251" s="5">
        <v>121</v>
      </c>
      <c r="F1251" s="5">
        <v>1</v>
      </c>
      <c r="G1251" s="5">
        <v>400</v>
      </c>
      <c r="H1251" s="5" t="s">
        <v>5741</v>
      </c>
      <c r="I1251" s="5" t="s">
        <v>5742</v>
      </c>
      <c r="J1251" s="5" t="s">
        <v>5749</v>
      </c>
      <c r="K1251" s="10" t="e">
        <f t="shared" si="0"/>
        <v>#VALUE!</v>
      </c>
      <c r="L1251" s="10">
        <f t="shared" si="1"/>
        <v>1</v>
      </c>
      <c r="M1251" s="10" t="str">
        <f t="shared" si="2"/>
        <v>004</v>
      </c>
      <c r="N1251" s="10" t="str">
        <f t="shared" si="3"/>
        <v>06</v>
      </c>
      <c r="O1251" s="10" t="str">
        <f t="shared" si="16"/>
        <v>KUMPANG</v>
      </c>
    </row>
    <row r="1252" spans="1:15" ht="12.5">
      <c r="A1252" s="115" t="s">
        <v>5750</v>
      </c>
      <c r="B1252" s="5">
        <v>0</v>
      </c>
      <c r="C1252" s="5">
        <v>61</v>
      </c>
      <c r="D1252" s="5">
        <v>4</v>
      </c>
      <c r="E1252" s="5">
        <v>121</v>
      </c>
      <c r="F1252" s="5">
        <v>1</v>
      </c>
      <c r="G1252" s="5">
        <v>500</v>
      </c>
      <c r="H1252" s="5" t="s">
        <v>5741</v>
      </c>
      <c r="I1252" s="5" t="s">
        <v>5742</v>
      </c>
      <c r="J1252" s="5" t="s">
        <v>5751</v>
      </c>
      <c r="K1252" s="10" t="e">
        <f t="shared" si="0"/>
        <v>#VALUE!</v>
      </c>
      <c r="L1252" s="10">
        <f t="shared" si="1"/>
        <v>1</v>
      </c>
      <c r="M1252" s="10" t="str">
        <f t="shared" si="2"/>
        <v>005</v>
      </c>
      <c r="N1252" s="10" t="str">
        <f t="shared" si="3"/>
        <v>02</v>
      </c>
      <c r="O1252" s="10" t="str">
        <f t="shared" si="16"/>
        <v>MURU</v>
      </c>
    </row>
    <row r="1253" spans="1:15" ht="12.5">
      <c r="A1253" s="115" t="s">
        <v>5752</v>
      </c>
      <c r="B1253" s="5">
        <v>0</v>
      </c>
      <c r="C1253" s="5">
        <v>61</v>
      </c>
      <c r="D1253" s="5">
        <v>4</v>
      </c>
      <c r="E1253" s="5">
        <v>121</v>
      </c>
      <c r="F1253" s="5">
        <v>1</v>
      </c>
      <c r="G1253" s="5">
        <v>600</v>
      </c>
      <c r="H1253" s="5" t="s">
        <v>5741</v>
      </c>
      <c r="I1253" s="5" t="s">
        <v>5742</v>
      </c>
      <c r="J1253" s="5" t="s">
        <v>5753</v>
      </c>
      <c r="K1253" s="10" t="e">
        <f t="shared" si="0"/>
        <v>#VALUE!</v>
      </c>
      <c r="L1253" s="10">
        <f t="shared" si="1"/>
        <v>1</v>
      </c>
      <c r="M1253" s="10" t="str">
        <f t="shared" si="2"/>
        <v>006</v>
      </c>
      <c r="N1253" s="10" t="str">
        <f t="shared" si="3"/>
        <v>02</v>
      </c>
      <c r="O1253" s="10" t="str">
        <f t="shared" si="16"/>
        <v>MURU</v>
      </c>
    </row>
    <row r="1254" spans="1:15" ht="12.5">
      <c r="A1254" s="115" t="s">
        <v>5754</v>
      </c>
      <c r="B1254" s="5">
        <v>0</v>
      </c>
      <c r="C1254" s="5">
        <v>61</v>
      </c>
      <c r="D1254" s="5">
        <v>4</v>
      </c>
      <c r="E1254" s="5">
        <v>121</v>
      </c>
      <c r="F1254" s="5">
        <v>1</v>
      </c>
      <c r="G1254" s="5">
        <v>700</v>
      </c>
      <c r="H1254" s="5" t="s">
        <v>5741</v>
      </c>
      <c r="I1254" s="5" t="s">
        <v>5742</v>
      </c>
      <c r="J1254" s="5" t="s">
        <v>5755</v>
      </c>
      <c r="K1254" s="10" t="e">
        <f t="shared" si="0"/>
        <v>#VALUE!</v>
      </c>
      <c r="L1254" s="10">
        <f t="shared" si="1"/>
        <v>1</v>
      </c>
      <c r="M1254" s="10" t="str">
        <f t="shared" si="2"/>
        <v>007</v>
      </c>
      <c r="N1254" s="10" t="str">
        <f t="shared" si="3"/>
        <v>03</v>
      </c>
      <c r="O1254" s="10" t="str">
        <f t="shared" si="16"/>
        <v>UNTANG</v>
      </c>
    </row>
    <row r="1255" spans="1:15" ht="12.5">
      <c r="A1255" s="115" t="s">
        <v>5756</v>
      </c>
      <c r="B1255" s="5">
        <v>0</v>
      </c>
      <c r="C1255" s="5">
        <v>61</v>
      </c>
      <c r="D1255" s="5">
        <v>4</v>
      </c>
      <c r="E1255" s="5">
        <v>121</v>
      </c>
      <c r="F1255" s="5">
        <v>1</v>
      </c>
      <c r="G1255" s="5">
        <v>800</v>
      </c>
      <c r="H1255" s="5" t="s">
        <v>5741</v>
      </c>
      <c r="I1255" s="5" t="s">
        <v>5742</v>
      </c>
      <c r="J1255" s="5" t="s">
        <v>5757</v>
      </c>
      <c r="K1255" s="10" t="e">
        <f t="shared" si="0"/>
        <v>#VALUE!</v>
      </c>
      <c r="L1255" s="10">
        <f t="shared" si="1"/>
        <v>1</v>
      </c>
      <c r="M1255" s="10" t="str">
        <f t="shared" si="2"/>
        <v>008</v>
      </c>
      <c r="N1255" s="10" t="str">
        <f t="shared" si="3"/>
        <v>03</v>
      </c>
      <c r="O1255" s="10" t="str">
        <f t="shared" si="16"/>
        <v>UNTANG</v>
      </c>
    </row>
    <row r="1256" spans="1:15" ht="12.5">
      <c r="A1256" s="115" t="s">
        <v>5758</v>
      </c>
      <c r="B1256" s="5">
        <v>0</v>
      </c>
      <c r="C1256" s="5">
        <v>61</v>
      </c>
      <c r="D1256" s="5">
        <v>4</v>
      </c>
      <c r="E1256" s="5">
        <v>121</v>
      </c>
      <c r="F1256" s="5">
        <v>1</v>
      </c>
      <c r="G1256" s="5">
        <v>900</v>
      </c>
      <c r="H1256" s="5" t="s">
        <v>5741</v>
      </c>
      <c r="I1256" s="5" t="s">
        <v>5742</v>
      </c>
      <c r="J1256" s="5" t="s">
        <v>5759</v>
      </c>
      <c r="K1256" s="10" t="e">
        <f t="shared" si="0"/>
        <v>#VALUE!</v>
      </c>
      <c r="L1256" s="10">
        <f t="shared" si="1"/>
        <v>1</v>
      </c>
      <c r="M1256" s="10" t="str">
        <f t="shared" si="2"/>
        <v>009</v>
      </c>
      <c r="N1256" s="10" t="str">
        <f t="shared" si="3"/>
        <v>03</v>
      </c>
      <c r="O1256" s="10" t="str">
        <f t="shared" si="16"/>
        <v>UNTANG</v>
      </c>
    </row>
    <row r="1257" spans="1:15" ht="12.5">
      <c r="A1257" s="115" t="s">
        <v>5760</v>
      </c>
      <c r="B1257" s="5">
        <v>0</v>
      </c>
      <c r="C1257" s="5">
        <v>61</v>
      </c>
      <c r="D1257" s="5">
        <v>4</v>
      </c>
      <c r="E1257" s="5">
        <v>121</v>
      </c>
      <c r="F1257" s="5">
        <v>1</v>
      </c>
      <c r="G1257" s="5">
        <v>1000</v>
      </c>
      <c r="H1257" s="5" t="s">
        <v>5741</v>
      </c>
      <c r="I1257" s="5" t="s">
        <v>5742</v>
      </c>
      <c r="J1257" s="5" t="s">
        <v>5761</v>
      </c>
      <c r="K1257" s="10" t="e">
        <f t="shared" si="0"/>
        <v>#VALUE!</v>
      </c>
      <c r="L1257" s="10">
        <f t="shared" si="1"/>
        <v>1</v>
      </c>
      <c r="M1257" s="10" t="str">
        <f t="shared" si="2"/>
        <v>012</v>
      </c>
      <c r="N1257" s="10" t="str">
        <f t="shared" si="3"/>
        <v>03</v>
      </c>
      <c r="O1257" s="10" t="str">
        <f t="shared" si="16"/>
        <v>UNTANG</v>
      </c>
    </row>
    <row r="1258" spans="1:15" ht="12.5">
      <c r="A1258" s="115" t="s">
        <v>5762</v>
      </c>
      <c r="B1258" s="5">
        <v>0</v>
      </c>
      <c r="C1258" s="5">
        <v>61</v>
      </c>
      <c r="D1258" s="5">
        <v>4</v>
      </c>
      <c r="E1258" s="5">
        <v>121</v>
      </c>
      <c r="F1258" s="5">
        <v>1</v>
      </c>
      <c r="G1258" s="5">
        <v>1100</v>
      </c>
      <c r="H1258" s="5" t="s">
        <v>5741</v>
      </c>
      <c r="I1258" s="5" t="s">
        <v>5742</v>
      </c>
      <c r="J1258" s="5" t="s">
        <v>5763</v>
      </c>
      <c r="K1258" s="10" t="e">
        <f t="shared" si="0"/>
        <v>#VALUE!</v>
      </c>
      <c r="L1258" s="10">
        <f t="shared" si="1"/>
        <v>1</v>
      </c>
      <c r="M1258" s="10" t="str">
        <f t="shared" si="2"/>
        <v>010</v>
      </c>
      <c r="N1258" s="10" t="str">
        <f t="shared" si="3"/>
        <v>04</v>
      </c>
      <c r="O1258" s="10" t="str">
        <f t="shared" si="16"/>
        <v>PENYUAK</v>
      </c>
    </row>
    <row r="1259" spans="1:15" ht="12.5">
      <c r="A1259" s="115" t="s">
        <v>5764</v>
      </c>
      <c r="B1259" s="5">
        <v>0</v>
      </c>
      <c r="C1259" s="5">
        <v>61</v>
      </c>
      <c r="D1259" s="5">
        <v>4</v>
      </c>
      <c r="E1259" s="5">
        <v>121</v>
      </c>
      <c r="F1259" s="5">
        <v>1</v>
      </c>
      <c r="G1259" s="5">
        <v>1200</v>
      </c>
      <c r="H1259" s="5" t="s">
        <v>5741</v>
      </c>
      <c r="I1259" s="5" t="s">
        <v>5742</v>
      </c>
      <c r="J1259" s="5" t="s">
        <v>5765</v>
      </c>
      <c r="K1259" s="10" t="e">
        <f t="shared" si="0"/>
        <v>#VALUE!</v>
      </c>
      <c r="L1259" s="10">
        <f t="shared" si="1"/>
        <v>1</v>
      </c>
      <c r="M1259" s="10" t="str">
        <f t="shared" si="2"/>
        <v>011</v>
      </c>
      <c r="N1259" s="10" t="str">
        <f t="shared" si="3"/>
        <v>04</v>
      </c>
      <c r="O1259" s="10" t="str">
        <f t="shared" si="16"/>
        <v>PENYUAK</v>
      </c>
    </row>
    <row r="1260" spans="1:15" ht="12.5">
      <c r="A1260" s="115" t="s">
        <v>5766</v>
      </c>
      <c r="B1260" s="5">
        <v>2</v>
      </c>
      <c r="C1260" s="5">
        <v>61</v>
      </c>
      <c r="D1260" s="5">
        <v>4</v>
      </c>
      <c r="E1260" s="5">
        <v>121</v>
      </c>
      <c r="F1260" s="5">
        <v>1</v>
      </c>
      <c r="G1260" s="5">
        <v>200100</v>
      </c>
      <c r="H1260" s="5" t="s">
        <v>5741</v>
      </c>
      <c r="I1260" s="5" t="s">
        <v>5742</v>
      </c>
      <c r="J1260" s="5" t="s">
        <v>3517</v>
      </c>
      <c r="K1260" s="10" t="e">
        <f t="shared" si="0"/>
        <v>#VALUE!</v>
      </c>
      <c r="L1260" s="10">
        <f t="shared" si="1"/>
        <v>0</v>
      </c>
      <c r="M1260" s="10" t="str">
        <f t="shared" si="2"/>
        <v>AN</v>
      </c>
      <c r="N1260" s="10" t="str">
        <f t="shared" si="3"/>
        <v/>
      </c>
      <c r="O1260" s="10" t="str">
        <f t="shared" si="16"/>
        <v/>
      </c>
    </row>
    <row r="1261" spans="1:15" ht="12.5">
      <c r="A1261" s="115" t="s">
        <v>5767</v>
      </c>
      <c r="B1261" s="5">
        <v>2</v>
      </c>
      <c r="C1261" s="5">
        <v>61</v>
      </c>
      <c r="D1261" s="5">
        <v>4</v>
      </c>
      <c r="E1261" s="5">
        <v>121</v>
      </c>
      <c r="F1261" s="5">
        <v>1</v>
      </c>
      <c r="G1261" s="5">
        <v>200200</v>
      </c>
      <c r="H1261" s="5" t="s">
        <v>5741</v>
      </c>
      <c r="I1261" s="5" t="s">
        <v>5742</v>
      </c>
      <c r="J1261" s="5" t="s">
        <v>5768</v>
      </c>
      <c r="K1261" s="10" t="e">
        <f t="shared" si="0"/>
        <v>#VALUE!</v>
      </c>
      <c r="L1261" s="10">
        <f t="shared" si="1"/>
        <v>0</v>
      </c>
      <c r="M1261" s="10" t="str">
        <f t="shared" si="2"/>
        <v xml:space="preserve">AN </v>
      </c>
      <c r="N1261" s="10" t="str">
        <f t="shared" si="3"/>
        <v>S 0</v>
      </c>
      <c r="O1261" s="10" t="str">
        <f t="shared" si="16"/>
        <v/>
      </c>
    </row>
    <row r="1262" spans="1:15" ht="12.5">
      <c r="A1262" s="115" t="s">
        <v>5769</v>
      </c>
      <c r="B1262" s="5">
        <v>2</v>
      </c>
      <c r="C1262" s="5">
        <v>61</v>
      </c>
      <c r="D1262" s="5">
        <v>4</v>
      </c>
      <c r="E1262" s="5">
        <v>121</v>
      </c>
      <c r="F1262" s="5">
        <v>1</v>
      </c>
      <c r="G1262" s="5">
        <v>200300</v>
      </c>
      <c r="H1262" s="5" t="s">
        <v>5741</v>
      </c>
      <c r="I1262" s="5" t="s">
        <v>5742</v>
      </c>
      <c r="J1262" s="5" t="s">
        <v>5668</v>
      </c>
      <c r="K1262" s="10" t="e">
        <f t="shared" si="0"/>
        <v>#VALUE!</v>
      </c>
      <c r="L1262" s="10">
        <f t="shared" si="1"/>
        <v>0</v>
      </c>
      <c r="M1262" s="10" t="str">
        <f t="shared" si="2"/>
        <v xml:space="preserve">AN </v>
      </c>
      <c r="N1262" s="10" t="str">
        <f t="shared" si="3"/>
        <v>S 0</v>
      </c>
      <c r="O1262" s="10" t="str">
        <f t="shared" si="16"/>
        <v/>
      </c>
    </row>
    <row r="1263" spans="1:15" ht="12.5">
      <c r="A1263" s="115" t="s">
        <v>5770</v>
      </c>
      <c r="B1263" s="5">
        <v>2</v>
      </c>
      <c r="C1263" s="5">
        <v>61</v>
      </c>
      <c r="D1263" s="5">
        <v>4</v>
      </c>
      <c r="E1263" s="5">
        <v>121</v>
      </c>
      <c r="F1263" s="5">
        <v>1</v>
      </c>
      <c r="G1263" s="5">
        <v>200400</v>
      </c>
      <c r="H1263" s="5" t="s">
        <v>5741</v>
      </c>
      <c r="I1263" s="5" t="s">
        <v>5742</v>
      </c>
      <c r="J1263" s="5" t="s">
        <v>5771</v>
      </c>
      <c r="K1263" s="10" t="e">
        <f t="shared" si="0"/>
        <v>#VALUE!</v>
      </c>
      <c r="L1263" s="10">
        <f t="shared" si="1"/>
        <v>0</v>
      </c>
      <c r="M1263" s="10" t="str">
        <f t="shared" si="2"/>
        <v xml:space="preserve">AN </v>
      </c>
      <c r="N1263" s="10" t="str">
        <f t="shared" si="3"/>
        <v>S 0</v>
      </c>
      <c r="O1263" s="10" t="str">
        <f t="shared" si="16"/>
        <v/>
      </c>
    </row>
    <row r="1264" spans="1:15" ht="12.5">
      <c r="A1264" s="115" t="s">
        <v>5772</v>
      </c>
      <c r="B1264" s="5">
        <v>0</v>
      </c>
      <c r="C1264" s="5">
        <v>61</v>
      </c>
      <c r="D1264" s="5">
        <v>4</v>
      </c>
      <c r="E1264" s="5">
        <v>121</v>
      </c>
      <c r="F1264" s="5">
        <v>2</v>
      </c>
      <c r="G1264" s="5">
        <v>100</v>
      </c>
      <c r="H1264" s="5" t="s">
        <v>5741</v>
      </c>
      <c r="I1264" s="5" t="s">
        <v>5773</v>
      </c>
      <c r="J1264" s="5" t="s">
        <v>5774</v>
      </c>
      <c r="K1264" s="10" t="e">
        <f t="shared" si="0"/>
        <v>#VALUE!</v>
      </c>
      <c r="L1264" s="10">
        <f t="shared" si="1"/>
        <v>1</v>
      </c>
      <c r="M1264" s="10" t="str">
        <f t="shared" si="2"/>
        <v>001</v>
      </c>
      <c r="N1264" s="10" t="str">
        <f t="shared" si="3"/>
        <v>01</v>
      </c>
      <c r="O1264" s="10" t="str">
        <f t="shared" si="16"/>
        <v>SEKABUK</v>
      </c>
    </row>
    <row r="1265" spans="1:15" ht="12.5">
      <c r="A1265" s="115" t="s">
        <v>5775</v>
      </c>
      <c r="B1265" s="5">
        <v>0</v>
      </c>
      <c r="C1265" s="5">
        <v>61</v>
      </c>
      <c r="D1265" s="5">
        <v>4</v>
      </c>
      <c r="E1265" s="5">
        <v>121</v>
      </c>
      <c r="F1265" s="5">
        <v>2</v>
      </c>
      <c r="G1265" s="5">
        <v>200</v>
      </c>
      <c r="H1265" s="5" t="s">
        <v>5741</v>
      </c>
      <c r="I1265" s="5" t="s">
        <v>5773</v>
      </c>
      <c r="J1265" s="5" t="s">
        <v>5776</v>
      </c>
      <c r="K1265" s="10" t="e">
        <f t="shared" si="0"/>
        <v>#VALUE!</v>
      </c>
      <c r="L1265" s="10">
        <f t="shared" si="1"/>
        <v>1</v>
      </c>
      <c r="M1265" s="10" t="str">
        <f t="shared" si="2"/>
        <v>002</v>
      </c>
      <c r="N1265" s="10" t="str">
        <f t="shared" si="3"/>
        <v>01</v>
      </c>
      <c r="O1265" s="10" t="str">
        <f t="shared" si="16"/>
        <v>SEKABUK</v>
      </c>
    </row>
    <row r="1266" spans="1:15" ht="12.5">
      <c r="A1266" s="115" t="s">
        <v>5777</v>
      </c>
      <c r="B1266" s="5">
        <v>0</v>
      </c>
      <c r="C1266" s="5">
        <v>61</v>
      </c>
      <c r="D1266" s="5">
        <v>4</v>
      </c>
      <c r="E1266" s="5">
        <v>121</v>
      </c>
      <c r="F1266" s="5">
        <v>2</v>
      </c>
      <c r="G1266" s="5">
        <v>300</v>
      </c>
      <c r="H1266" s="5" t="s">
        <v>5741</v>
      </c>
      <c r="I1266" s="5" t="s">
        <v>5773</v>
      </c>
      <c r="J1266" s="5" t="s">
        <v>5778</v>
      </c>
      <c r="K1266" s="10" t="e">
        <f t="shared" si="0"/>
        <v>#VALUE!</v>
      </c>
      <c r="L1266" s="10">
        <f t="shared" si="1"/>
        <v>1</v>
      </c>
      <c r="M1266" s="10" t="str">
        <f t="shared" si="2"/>
        <v>003</v>
      </c>
      <c r="N1266" s="10" t="str">
        <f t="shared" si="3"/>
        <v>02</v>
      </c>
      <c r="O1266" s="10" t="str">
        <f t="shared" si="16"/>
        <v>PAK NUNGKA</v>
      </c>
    </row>
    <row r="1267" spans="1:15" ht="12.5">
      <c r="A1267" s="115" t="s">
        <v>5779</v>
      </c>
      <c r="B1267" s="5">
        <v>0</v>
      </c>
      <c r="C1267" s="5">
        <v>61</v>
      </c>
      <c r="D1267" s="5">
        <v>4</v>
      </c>
      <c r="E1267" s="5">
        <v>121</v>
      </c>
      <c r="F1267" s="5">
        <v>2</v>
      </c>
      <c r="G1267" s="5">
        <v>400</v>
      </c>
      <c r="H1267" s="5" t="s">
        <v>5741</v>
      </c>
      <c r="I1267" s="5" t="s">
        <v>5773</v>
      </c>
      <c r="J1267" s="5" t="s">
        <v>5780</v>
      </c>
      <c r="K1267" s="10" t="e">
        <f t="shared" si="0"/>
        <v>#VALUE!</v>
      </c>
      <c r="L1267" s="10">
        <f t="shared" si="1"/>
        <v>1</v>
      </c>
      <c r="M1267" s="10" t="str">
        <f t="shared" si="2"/>
        <v>004</v>
      </c>
      <c r="N1267" s="10" t="str">
        <f t="shared" si="3"/>
        <v>02</v>
      </c>
      <c r="O1267" s="10" t="str">
        <f t="shared" si="16"/>
        <v>PAK NUNGKA</v>
      </c>
    </row>
    <row r="1268" spans="1:15" ht="12.5">
      <c r="A1268" s="115" t="s">
        <v>5781</v>
      </c>
      <c r="B1268" s="5">
        <v>0</v>
      </c>
      <c r="C1268" s="5">
        <v>61</v>
      </c>
      <c r="D1268" s="5">
        <v>4</v>
      </c>
      <c r="E1268" s="5">
        <v>121</v>
      </c>
      <c r="F1268" s="5">
        <v>2</v>
      </c>
      <c r="G1268" s="5">
        <v>500</v>
      </c>
      <c r="H1268" s="5" t="s">
        <v>5741</v>
      </c>
      <c r="I1268" s="5" t="s">
        <v>5773</v>
      </c>
      <c r="J1268" s="5" t="s">
        <v>5782</v>
      </c>
      <c r="K1268" s="10" t="e">
        <f t="shared" si="0"/>
        <v>#VALUE!</v>
      </c>
      <c r="L1268" s="10">
        <f t="shared" si="1"/>
        <v>1</v>
      </c>
      <c r="M1268" s="10" t="str">
        <f t="shared" si="2"/>
        <v>005</v>
      </c>
      <c r="N1268" s="10" t="str">
        <f t="shared" si="3"/>
        <v>03</v>
      </c>
      <c r="O1268" s="10" t="str">
        <f t="shared" si="16"/>
        <v>PAK NUNGKA</v>
      </c>
    </row>
    <row r="1269" spans="1:15" ht="12.5">
      <c r="A1269" s="115" t="s">
        <v>5783</v>
      </c>
      <c r="B1269" s="5">
        <v>0</v>
      </c>
      <c r="C1269" s="5">
        <v>61</v>
      </c>
      <c r="D1269" s="5">
        <v>4</v>
      </c>
      <c r="E1269" s="5">
        <v>121</v>
      </c>
      <c r="F1269" s="5">
        <v>2</v>
      </c>
      <c r="G1269" s="5">
        <v>600</v>
      </c>
      <c r="H1269" s="5" t="s">
        <v>5741</v>
      </c>
      <c r="I1269" s="5" t="s">
        <v>5773</v>
      </c>
      <c r="J1269" s="5" t="s">
        <v>5784</v>
      </c>
      <c r="K1269" s="10" t="e">
        <f t="shared" si="0"/>
        <v>#VALUE!</v>
      </c>
      <c r="L1269" s="10">
        <f t="shared" si="1"/>
        <v>1</v>
      </c>
      <c r="M1269" s="10" t="str">
        <f t="shared" si="2"/>
        <v>006</v>
      </c>
      <c r="N1269" s="10" t="str">
        <f t="shared" si="3"/>
        <v>04</v>
      </c>
      <c r="O1269" s="10" t="str">
        <f t="shared" si="16"/>
        <v>TITI DAHAN</v>
      </c>
    </row>
    <row r="1270" spans="1:15" ht="12.5">
      <c r="A1270" s="115" t="s">
        <v>5785</v>
      </c>
      <c r="B1270" s="5">
        <v>0</v>
      </c>
      <c r="C1270" s="5">
        <v>61</v>
      </c>
      <c r="D1270" s="5">
        <v>4</v>
      </c>
      <c r="E1270" s="5">
        <v>121</v>
      </c>
      <c r="F1270" s="5">
        <v>2</v>
      </c>
      <c r="G1270" s="5">
        <v>700</v>
      </c>
      <c r="H1270" s="5" t="s">
        <v>5741</v>
      </c>
      <c r="I1270" s="5" t="s">
        <v>5773</v>
      </c>
      <c r="J1270" s="5" t="s">
        <v>5786</v>
      </c>
      <c r="K1270" s="10" t="e">
        <f t="shared" si="0"/>
        <v>#VALUE!</v>
      </c>
      <c r="L1270" s="10">
        <f t="shared" si="1"/>
        <v>1</v>
      </c>
      <c r="M1270" s="10" t="str">
        <f t="shared" si="2"/>
        <v>007</v>
      </c>
      <c r="N1270" s="10" t="str">
        <f t="shared" si="3"/>
        <v>05</v>
      </c>
      <c r="O1270" s="10" t="str">
        <f t="shared" si="16"/>
        <v>TITI DAHAN</v>
      </c>
    </row>
    <row r="1271" spans="1:15" ht="12.5">
      <c r="A1271" s="115" t="s">
        <v>5787</v>
      </c>
      <c r="B1271" s="5">
        <v>0</v>
      </c>
      <c r="C1271" s="5">
        <v>61</v>
      </c>
      <c r="D1271" s="5">
        <v>4</v>
      </c>
      <c r="E1271" s="5">
        <v>121</v>
      </c>
      <c r="F1271" s="5">
        <v>2</v>
      </c>
      <c r="G1271" s="5">
        <v>800</v>
      </c>
      <c r="H1271" s="5" t="s">
        <v>5741</v>
      </c>
      <c r="I1271" s="5" t="s">
        <v>5773</v>
      </c>
      <c r="J1271" s="5" t="s">
        <v>5788</v>
      </c>
      <c r="K1271" s="10" t="e">
        <f t="shared" si="0"/>
        <v>#VALUE!</v>
      </c>
      <c r="L1271" s="10">
        <f t="shared" si="1"/>
        <v>1</v>
      </c>
      <c r="M1271" s="10" t="str">
        <f t="shared" si="2"/>
        <v>008</v>
      </c>
      <c r="N1271" s="10" t="str">
        <f t="shared" si="3"/>
        <v>06</v>
      </c>
      <c r="O1271" s="10" t="str">
        <f t="shared" si="16"/>
        <v>GELOMBANG</v>
      </c>
    </row>
    <row r="1272" spans="1:15" ht="12.5">
      <c r="A1272" s="115" t="s">
        <v>5789</v>
      </c>
      <c r="B1272" s="5">
        <v>0</v>
      </c>
      <c r="C1272" s="5">
        <v>61</v>
      </c>
      <c r="D1272" s="5">
        <v>4</v>
      </c>
      <c r="E1272" s="5">
        <v>121</v>
      </c>
      <c r="F1272" s="5">
        <v>2</v>
      </c>
      <c r="G1272" s="5">
        <v>900</v>
      </c>
      <c r="H1272" s="5" t="s">
        <v>5741</v>
      </c>
      <c r="I1272" s="5" t="s">
        <v>5773</v>
      </c>
      <c r="J1272" s="5" t="s">
        <v>5790</v>
      </c>
      <c r="K1272" s="10" t="e">
        <f t="shared" si="0"/>
        <v>#VALUE!</v>
      </c>
      <c r="L1272" s="10">
        <f t="shared" si="1"/>
        <v>1</v>
      </c>
      <c r="M1272" s="10" t="str">
        <f t="shared" si="2"/>
        <v>009</v>
      </c>
      <c r="N1272" s="10" t="str">
        <f t="shared" si="3"/>
        <v>06</v>
      </c>
      <c r="O1272" s="10" t="str">
        <f t="shared" si="16"/>
        <v>GELOMBANG</v>
      </c>
    </row>
    <row r="1273" spans="1:15" ht="12.5">
      <c r="A1273" s="115" t="s">
        <v>5791</v>
      </c>
      <c r="B1273" s="5">
        <v>0</v>
      </c>
      <c r="C1273" s="5">
        <v>61</v>
      </c>
      <c r="D1273" s="5">
        <v>4</v>
      </c>
      <c r="E1273" s="5">
        <v>121</v>
      </c>
      <c r="F1273" s="5">
        <v>2</v>
      </c>
      <c r="G1273" s="5">
        <v>1000</v>
      </c>
      <c r="H1273" s="5" t="s">
        <v>5741</v>
      </c>
      <c r="I1273" s="5" t="s">
        <v>5773</v>
      </c>
      <c r="J1273" s="5" t="s">
        <v>5792</v>
      </c>
      <c r="K1273" s="10" t="e">
        <f t="shared" si="0"/>
        <v>#VALUE!</v>
      </c>
      <c r="L1273" s="10">
        <f t="shared" si="1"/>
        <v>1</v>
      </c>
      <c r="M1273" s="10" t="str">
        <f t="shared" si="2"/>
        <v>010</v>
      </c>
      <c r="N1273" s="10" t="str">
        <f t="shared" si="3"/>
        <v>06</v>
      </c>
      <c r="O1273" s="10" t="str">
        <f t="shared" si="16"/>
        <v>GELOMBANG</v>
      </c>
    </row>
    <row r="1274" spans="1:15" ht="12.5">
      <c r="A1274" s="115" t="s">
        <v>5793</v>
      </c>
      <c r="B1274" s="5">
        <v>2</v>
      </c>
      <c r="C1274" s="5">
        <v>61</v>
      </c>
      <c r="D1274" s="5">
        <v>4</v>
      </c>
      <c r="E1274" s="5">
        <v>121</v>
      </c>
      <c r="F1274" s="5">
        <v>2</v>
      </c>
      <c r="G1274" s="5">
        <v>200100</v>
      </c>
      <c r="H1274" s="5" t="s">
        <v>5741</v>
      </c>
      <c r="I1274" s="5" t="s">
        <v>5773</v>
      </c>
      <c r="J1274" s="5" t="s">
        <v>3517</v>
      </c>
      <c r="K1274" s="10" t="e">
        <f t="shared" si="0"/>
        <v>#VALUE!</v>
      </c>
      <c r="L1274" s="10">
        <f t="shared" si="1"/>
        <v>0</v>
      </c>
      <c r="M1274" s="10" t="str">
        <f t="shared" si="2"/>
        <v>AN</v>
      </c>
      <c r="N1274" s="10" t="str">
        <f t="shared" si="3"/>
        <v/>
      </c>
      <c r="O1274" s="10" t="str">
        <f t="shared" si="16"/>
        <v/>
      </c>
    </row>
    <row r="1275" spans="1:15" ht="12.5">
      <c r="A1275" s="115" t="s">
        <v>5794</v>
      </c>
      <c r="B1275" s="5">
        <v>2</v>
      </c>
      <c r="C1275" s="5">
        <v>61</v>
      </c>
      <c r="D1275" s="5">
        <v>4</v>
      </c>
      <c r="E1275" s="5">
        <v>121</v>
      </c>
      <c r="F1275" s="5">
        <v>2</v>
      </c>
      <c r="G1275" s="5">
        <v>200200</v>
      </c>
      <c r="H1275" s="5" t="s">
        <v>5741</v>
      </c>
      <c r="I1275" s="5" t="s">
        <v>5773</v>
      </c>
      <c r="J1275" s="5" t="s">
        <v>3517</v>
      </c>
      <c r="K1275" s="10" t="e">
        <f t="shared" si="0"/>
        <v>#VALUE!</v>
      </c>
      <c r="L1275" s="10">
        <f t="shared" si="1"/>
        <v>0</v>
      </c>
      <c r="M1275" s="10" t="str">
        <f t="shared" si="2"/>
        <v>AN</v>
      </c>
      <c r="N1275" s="10" t="str">
        <f t="shared" si="3"/>
        <v/>
      </c>
      <c r="O1275" s="10" t="str">
        <f t="shared" si="16"/>
        <v/>
      </c>
    </row>
    <row r="1276" spans="1:15" ht="12.5">
      <c r="A1276" s="115" t="s">
        <v>5795</v>
      </c>
      <c r="B1276" s="5">
        <v>0</v>
      </c>
      <c r="C1276" s="5">
        <v>61</v>
      </c>
      <c r="D1276" s="5">
        <v>4</v>
      </c>
      <c r="E1276" s="5">
        <v>121</v>
      </c>
      <c r="F1276" s="5">
        <v>3</v>
      </c>
      <c r="G1276" s="5">
        <v>100</v>
      </c>
      <c r="H1276" s="5" t="s">
        <v>5741</v>
      </c>
      <c r="I1276" s="5" t="s">
        <v>5796</v>
      </c>
      <c r="J1276" s="5" t="s">
        <v>5797</v>
      </c>
      <c r="K1276" s="10" t="e">
        <f t="shared" si="0"/>
        <v>#VALUE!</v>
      </c>
      <c r="L1276" s="10">
        <f t="shared" si="1"/>
        <v>1</v>
      </c>
      <c r="M1276" s="10" t="str">
        <f t="shared" si="2"/>
        <v>001</v>
      </c>
      <c r="N1276" s="10" t="str">
        <f t="shared" si="3"/>
        <v>01</v>
      </c>
      <c r="O1276" s="10" t="str">
        <f t="shared" si="16"/>
        <v>BUMBUN</v>
      </c>
    </row>
    <row r="1277" spans="1:15" ht="12.5">
      <c r="A1277" s="115" t="s">
        <v>5798</v>
      </c>
      <c r="B1277" s="5">
        <v>0</v>
      </c>
      <c r="C1277" s="5">
        <v>61</v>
      </c>
      <c r="D1277" s="5">
        <v>4</v>
      </c>
      <c r="E1277" s="5">
        <v>121</v>
      </c>
      <c r="F1277" s="5">
        <v>3</v>
      </c>
      <c r="G1277" s="5">
        <v>200</v>
      </c>
      <c r="H1277" s="5" t="s">
        <v>5741</v>
      </c>
      <c r="I1277" s="5" t="s">
        <v>5796</v>
      </c>
      <c r="J1277" s="5" t="s">
        <v>5799</v>
      </c>
      <c r="K1277" s="10" t="e">
        <f t="shared" si="0"/>
        <v>#VALUE!</v>
      </c>
      <c r="L1277" s="10">
        <f t="shared" si="1"/>
        <v>1</v>
      </c>
      <c r="M1277" s="10" t="str">
        <f t="shared" si="2"/>
        <v>002</v>
      </c>
      <c r="N1277" s="10" t="str">
        <f t="shared" si="3"/>
        <v>01</v>
      </c>
      <c r="O1277" s="10" t="str">
        <f t="shared" si="16"/>
        <v>BUMBUN</v>
      </c>
    </row>
    <row r="1278" spans="1:15" ht="12.5">
      <c r="A1278" s="115" t="s">
        <v>5800</v>
      </c>
      <c r="B1278" s="5">
        <v>0</v>
      </c>
      <c r="C1278" s="5">
        <v>61</v>
      </c>
      <c r="D1278" s="5">
        <v>4</v>
      </c>
      <c r="E1278" s="5">
        <v>121</v>
      </c>
      <c r="F1278" s="5">
        <v>3</v>
      </c>
      <c r="G1278" s="5">
        <v>300</v>
      </c>
      <c r="H1278" s="5" t="s">
        <v>5741</v>
      </c>
      <c r="I1278" s="5" t="s">
        <v>5796</v>
      </c>
      <c r="J1278" s="5" t="s">
        <v>5801</v>
      </c>
      <c r="K1278" s="10" t="e">
        <f t="shared" si="0"/>
        <v>#VALUE!</v>
      </c>
      <c r="L1278" s="10">
        <f t="shared" si="1"/>
        <v>1</v>
      </c>
      <c r="M1278" s="10" t="str">
        <f t="shared" si="2"/>
        <v>003</v>
      </c>
      <c r="N1278" s="10" t="str">
        <f t="shared" si="3"/>
        <v>01</v>
      </c>
      <c r="O1278" s="10" t="str">
        <f t="shared" si="16"/>
        <v>BUMBUN</v>
      </c>
    </row>
    <row r="1279" spans="1:15" ht="12.5">
      <c r="A1279" s="115" t="s">
        <v>5802</v>
      </c>
      <c r="B1279" s="5">
        <v>0</v>
      </c>
      <c r="C1279" s="5">
        <v>61</v>
      </c>
      <c r="D1279" s="5">
        <v>4</v>
      </c>
      <c r="E1279" s="5">
        <v>121</v>
      </c>
      <c r="F1279" s="5">
        <v>3</v>
      </c>
      <c r="G1279" s="5">
        <v>400</v>
      </c>
      <c r="H1279" s="5" t="s">
        <v>5741</v>
      </c>
      <c r="I1279" s="5" t="s">
        <v>5796</v>
      </c>
      <c r="J1279" s="5" t="s">
        <v>5803</v>
      </c>
      <c r="K1279" s="10" t="e">
        <f t="shared" si="0"/>
        <v>#VALUE!</v>
      </c>
      <c r="L1279" s="10">
        <f t="shared" si="1"/>
        <v>1</v>
      </c>
      <c r="M1279" s="10" t="str">
        <f t="shared" si="2"/>
        <v>004</v>
      </c>
      <c r="N1279" s="10" t="str">
        <f t="shared" si="3"/>
        <v>02</v>
      </c>
      <c r="O1279" s="10" t="str">
        <f t="shared" si="16"/>
        <v>SATAK</v>
      </c>
    </row>
    <row r="1280" spans="1:15" ht="12.5">
      <c r="A1280" s="115" t="s">
        <v>5804</v>
      </c>
      <c r="B1280" s="5">
        <v>0</v>
      </c>
      <c r="C1280" s="5">
        <v>61</v>
      </c>
      <c r="D1280" s="5">
        <v>4</v>
      </c>
      <c r="E1280" s="5">
        <v>121</v>
      </c>
      <c r="F1280" s="5">
        <v>3</v>
      </c>
      <c r="G1280" s="5">
        <v>500</v>
      </c>
      <c r="H1280" s="5" t="s">
        <v>5741</v>
      </c>
      <c r="I1280" s="5" t="s">
        <v>5796</v>
      </c>
      <c r="J1280" s="5" t="s">
        <v>5805</v>
      </c>
      <c r="K1280" s="10" t="e">
        <f t="shared" si="0"/>
        <v>#VALUE!</v>
      </c>
      <c r="L1280" s="10">
        <f t="shared" si="1"/>
        <v>1</v>
      </c>
      <c r="M1280" s="10" t="str">
        <f t="shared" si="2"/>
        <v>005</v>
      </c>
      <c r="N1280" s="10" t="str">
        <f t="shared" si="3"/>
        <v>02</v>
      </c>
      <c r="O1280" s="10" t="str">
        <f t="shared" si="16"/>
        <v>SATAK</v>
      </c>
    </row>
    <row r="1281" spans="1:15" ht="12.5">
      <c r="A1281" s="115" t="s">
        <v>5806</v>
      </c>
      <c r="B1281" s="5">
        <v>0</v>
      </c>
      <c r="C1281" s="5">
        <v>61</v>
      </c>
      <c r="D1281" s="5">
        <v>4</v>
      </c>
      <c r="E1281" s="5">
        <v>121</v>
      </c>
      <c r="F1281" s="5">
        <v>3</v>
      </c>
      <c r="G1281" s="5">
        <v>600</v>
      </c>
      <c r="H1281" s="5" t="s">
        <v>5741</v>
      </c>
      <c r="I1281" s="5" t="s">
        <v>5796</v>
      </c>
      <c r="J1281" s="5" t="s">
        <v>5807</v>
      </c>
      <c r="K1281" s="10" t="e">
        <f t="shared" si="0"/>
        <v>#VALUE!</v>
      </c>
      <c r="L1281" s="10">
        <f t="shared" si="1"/>
        <v>1</v>
      </c>
      <c r="M1281" s="10" t="str">
        <f t="shared" si="2"/>
        <v>013</v>
      </c>
      <c r="N1281" s="10" t="str">
        <f t="shared" si="3"/>
        <v>02</v>
      </c>
      <c r="O1281" s="10" t="str">
        <f t="shared" si="16"/>
        <v>SATAK</v>
      </c>
    </row>
    <row r="1282" spans="1:15" ht="12.5">
      <c r="A1282" s="115" t="s">
        <v>5808</v>
      </c>
      <c r="B1282" s="5">
        <v>0</v>
      </c>
      <c r="C1282" s="5">
        <v>61</v>
      </c>
      <c r="D1282" s="5">
        <v>4</v>
      </c>
      <c r="E1282" s="5">
        <v>121</v>
      </c>
      <c r="F1282" s="5">
        <v>3</v>
      </c>
      <c r="G1282" s="5">
        <v>700</v>
      </c>
      <c r="H1282" s="5" t="s">
        <v>5741</v>
      </c>
      <c r="I1282" s="5" t="s">
        <v>5796</v>
      </c>
      <c r="J1282" s="5" t="s">
        <v>5809</v>
      </c>
      <c r="K1282" s="10" t="e">
        <f t="shared" si="0"/>
        <v>#VALUE!</v>
      </c>
      <c r="L1282" s="10">
        <f t="shared" si="1"/>
        <v>1</v>
      </c>
      <c r="M1282" s="10" t="str">
        <f t="shared" si="2"/>
        <v>006</v>
      </c>
      <c r="N1282" s="10" t="str">
        <f t="shared" si="3"/>
        <v>05</v>
      </c>
      <c r="O1282" s="10" t="str">
        <f t="shared" si="16"/>
        <v>SATAK</v>
      </c>
    </row>
    <row r="1283" spans="1:15" ht="12.5">
      <c r="A1283" s="115" t="s">
        <v>5810</v>
      </c>
      <c r="B1283" s="5">
        <v>0</v>
      </c>
      <c r="C1283" s="5">
        <v>61</v>
      </c>
      <c r="D1283" s="5">
        <v>4</v>
      </c>
      <c r="E1283" s="5">
        <v>121</v>
      </c>
      <c r="F1283" s="5">
        <v>3</v>
      </c>
      <c r="G1283" s="5">
        <v>800</v>
      </c>
      <c r="H1283" s="5" t="s">
        <v>5741</v>
      </c>
      <c r="I1283" s="5" t="s">
        <v>5796</v>
      </c>
      <c r="J1283" s="5" t="s">
        <v>5811</v>
      </c>
      <c r="K1283" s="10" t="e">
        <f t="shared" si="0"/>
        <v>#VALUE!</v>
      </c>
      <c r="L1283" s="10">
        <f t="shared" si="1"/>
        <v>1</v>
      </c>
      <c r="M1283" s="10" t="str">
        <f t="shared" si="2"/>
        <v>007</v>
      </c>
      <c r="N1283" s="10" t="str">
        <f t="shared" si="3"/>
        <v>05</v>
      </c>
      <c r="O1283" s="10" t="str">
        <f t="shared" si="16"/>
        <v>SATAK</v>
      </c>
    </row>
    <row r="1284" spans="1:15" ht="12.5">
      <c r="A1284" s="115" t="s">
        <v>5812</v>
      </c>
      <c r="B1284" s="5">
        <v>0</v>
      </c>
      <c r="C1284" s="5">
        <v>61</v>
      </c>
      <c r="D1284" s="5">
        <v>4</v>
      </c>
      <c r="E1284" s="5">
        <v>121</v>
      </c>
      <c r="F1284" s="5">
        <v>3</v>
      </c>
      <c r="G1284" s="5">
        <v>900</v>
      </c>
      <c r="H1284" s="5" t="s">
        <v>5741</v>
      </c>
      <c r="I1284" s="5" t="s">
        <v>5796</v>
      </c>
      <c r="J1284" s="5" t="s">
        <v>5813</v>
      </c>
      <c r="K1284" s="10" t="e">
        <f t="shared" si="0"/>
        <v>#VALUE!</v>
      </c>
      <c r="L1284" s="10">
        <f t="shared" si="1"/>
        <v>1</v>
      </c>
      <c r="M1284" s="10" t="str">
        <f t="shared" si="2"/>
        <v>008</v>
      </c>
      <c r="N1284" s="10" t="str">
        <f t="shared" si="3"/>
        <v>03</v>
      </c>
      <c r="O1284" s="10" t="str">
        <f t="shared" si="16"/>
        <v>BAWING</v>
      </c>
    </row>
    <row r="1285" spans="1:15" ht="12.5">
      <c r="A1285" s="115" t="s">
        <v>5814</v>
      </c>
      <c r="B1285" s="5">
        <v>0</v>
      </c>
      <c r="C1285" s="5">
        <v>61</v>
      </c>
      <c r="D1285" s="5">
        <v>4</v>
      </c>
      <c r="E1285" s="5">
        <v>121</v>
      </c>
      <c r="F1285" s="5">
        <v>3</v>
      </c>
      <c r="G1285" s="5">
        <v>1000</v>
      </c>
      <c r="H1285" s="5" t="s">
        <v>5741</v>
      </c>
      <c r="I1285" s="5" t="s">
        <v>5796</v>
      </c>
      <c r="J1285" s="5" t="s">
        <v>5815</v>
      </c>
      <c r="K1285" s="10" t="e">
        <f t="shared" si="0"/>
        <v>#VALUE!</v>
      </c>
      <c r="L1285" s="10">
        <f t="shared" si="1"/>
        <v>1</v>
      </c>
      <c r="M1285" s="10" t="str">
        <f t="shared" si="2"/>
        <v>009</v>
      </c>
      <c r="N1285" s="10" t="str">
        <f t="shared" si="3"/>
        <v>03</v>
      </c>
      <c r="O1285" s="10" t="str">
        <f t="shared" si="16"/>
        <v>BAWING</v>
      </c>
    </row>
    <row r="1286" spans="1:15" ht="12.5">
      <c r="A1286" s="115" t="s">
        <v>5816</v>
      </c>
      <c r="B1286" s="5">
        <v>0</v>
      </c>
      <c r="C1286" s="5">
        <v>61</v>
      </c>
      <c r="D1286" s="5">
        <v>4</v>
      </c>
      <c r="E1286" s="5">
        <v>121</v>
      </c>
      <c r="F1286" s="5">
        <v>3</v>
      </c>
      <c r="G1286" s="5">
        <v>1100</v>
      </c>
      <c r="H1286" s="5" t="s">
        <v>5741</v>
      </c>
      <c r="I1286" s="5" t="s">
        <v>5796</v>
      </c>
      <c r="J1286" s="5" t="s">
        <v>5817</v>
      </c>
      <c r="K1286" s="10" t="e">
        <f t="shared" si="0"/>
        <v>#VALUE!</v>
      </c>
      <c r="L1286" s="10">
        <f t="shared" si="1"/>
        <v>1</v>
      </c>
      <c r="M1286" s="10" t="str">
        <f t="shared" si="2"/>
        <v>012</v>
      </c>
      <c r="N1286" s="10" t="str">
        <f t="shared" si="3"/>
        <v>03</v>
      </c>
      <c r="O1286" s="10" t="str">
        <f t="shared" si="16"/>
        <v>BAWING</v>
      </c>
    </row>
    <row r="1287" spans="1:15" ht="12.5">
      <c r="A1287" s="115" t="s">
        <v>5818</v>
      </c>
      <c r="B1287" s="5">
        <v>0</v>
      </c>
      <c r="C1287" s="5">
        <v>61</v>
      </c>
      <c r="D1287" s="5">
        <v>4</v>
      </c>
      <c r="E1287" s="5">
        <v>121</v>
      </c>
      <c r="F1287" s="5">
        <v>3</v>
      </c>
      <c r="G1287" s="5">
        <v>1200</v>
      </c>
      <c r="H1287" s="5" t="s">
        <v>5741</v>
      </c>
      <c r="I1287" s="5" t="s">
        <v>5796</v>
      </c>
      <c r="J1287" s="5" t="s">
        <v>5819</v>
      </c>
      <c r="K1287" s="10" t="e">
        <f t="shared" si="0"/>
        <v>#VALUE!</v>
      </c>
      <c r="L1287" s="10">
        <f t="shared" si="1"/>
        <v>1</v>
      </c>
      <c r="M1287" s="10" t="str">
        <f t="shared" si="2"/>
        <v>010</v>
      </c>
      <c r="N1287" s="10" t="str">
        <f t="shared" si="3"/>
        <v>04</v>
      </c>
      <c r="O1287" s="10" t="str">
        <f t="shared" si="16"/>
        <v>NANGKA</v>
      </c>
    </row>
    <row r="1288" spans="1:15" ht="12.5">
      <c r="A1288" s="115" t="s">
        <v>5820</v>
      </c>
      <c r="B1288" s="5">
        <v>0</v>
      </c>
      <c r="C1288" s="5">
        <v>61</v>
      </c>
      <c r="D1288" s="5">
        <v>4</v>
      </c>
      <c r="E1288" s="5">
        <v>121</v>
      </c>
      <c r="F1288" s="5">
        <v>3</v>
      </c>
      <c r="G1288" s="5">
        <v>1300</v>
      </c>
      <c r="H1288" s="5" t="s">
        <v>5741</v>
      </c>
      <c r="I1288" s="5" t="s">
        <v>5796</v>
      </c>
      <c r="J1288" s="5" t="s">
        <v>5821</v>
      </c>
      <c r="K1288" s="10" t="e">
        <f t="shared" si="0"/>
        <v>#VALUE!</v>
      </c>
      <c r="L1288" s="10">
        <f t="shared" si="1"/>
        <v>1</v>
      </c>
      <c r="M1288" s="10" t="str">
        <f t="shared" si="2"/>
        <v>011</v>
      </c>
      <c r="N1288" s="10" t="str">
        <f t="shared" si="3"/>
        <v>04</v>
      </c>
      <c r="O1288" s="10" t="str">
        <f t="shared" si="16"/>
        <v>NANGKA</v>
      </c>
    </row>
    <row r="1289" spans="1:15" ht="12.5">
      <c r="A1289" s="115" t="s">
        <v>5822</v>
      </c>
      <c r="B1289" s="5">
        <v>0</v>
      </c>
      <c r="C1289" s="5">
        <v>61</v>
      </c>
      <c r="D1289" s="5">
        <v>4</v>
      </c>
      <c r="E1289" s="5">
        <v>121</v>
      </c>
      <c r="F1289" s="5">
        <v>4</v>
      </c>
      <c r="G1289" s="5">
        <v>100</v>
      </c>
      <c r="H1289" s="5" t="s">
        <v>5741</v>
      </c>
      <c r="I1289" s="5" t="s">
        <v>5823</v>
      </c>
      <c r="J1289" s="5" t="s">
        <v>5824</v>
      </c>
      <c r="K1289" s="10" t="e">
        <f t="shared" si="0"/>
        <v>#VALUE!</v>
      </c>
      <c r="L1289" s="10">
        <f t="shared" si="1"/>
        <v>1</v>
      </c>
      <c r="M1289" s="10" t="str">
        <f t="shared" si="2"/>
        <v>001</v>
      </c>
      <c r="N1289" s="10" t="str">
        <f t="shared" si="3"/>
        <v>01</v>
      </c>
      <c r="O1289" s="10" t="str">
        <f t="shared" si="16"/>
        <v>AMAWANG</v>
      </c>
    </row>
    <row r="1290" spans="1:15" ht="12.5">
      <c r="A1290" s="115" t="s">
        <v>5825</v>
      </c>
      <c r="B1290" s="5">
        <v>0</v>
      </c>
      <c r="C1290" s="5">
        <v>61</v>
      </c>
      <c r="D1290" s="5">
        <v>4</v>
      </c>
      <c r="E1290" s="5">
        <v>121</v>
      </c>
      <c r="F1290" s="5">
        <v>4</v>
      </c>
      <c r="G1290" s="5">
        <v>200</v>
      </c>
      <c r="H1290" s="5" t="s">
        <v>5741</v>
      </c>
      <c r="I1290" s="5" t="s">
        <v>5823</v>
      </c>
      <c r="J1290" s="5" t="s">
        <v>5826</v>
      </c>
      <c r="K1290" s="10" t="e">
        <f t="shared" si="0"/>
        <v>#VALUE!</v>
      </c>
      <c r="L1290" s="10">
        <f t="shared" si="1"/>
        <v>1</v>
      </c>
      <c r="M1290" s="10" t="str">
        <f t="shared" si="2"/>
        <v>002</v>
      </c>
      <c r="N1290" s="10" t="str">
        <f t="shared" si="3"/>
        <v>01</v>
      </c>
      <c r="O1290" s="10" t="str">
        <f t="shared" si="16"/>
        <v>AMAWANG</v>
      </c>
    </row>
    <row r="1291" spans="1:15" ht="12.5">
      <c r="A1291" s="115" t="s">
        <v>5827</v>
      </c>
      <c r="B1291" s="5">
        <v>0</v>
      </c>
      <c r="C1291" s="5">
        <v>61</v>
      </c>
      <c r="D1291" s="5">
        <v>4</v>
      </c>
      <c r="E1291" s="5">
        <v>121</v>
      </c>
      <c r="F1291" s="5">
        <v>4</v>
      </c>
      <c r="G1291" s="5">
        <v>300</v>
      </c>
      <c r="H1291" s="5" t="s">
        <v>5741</v>
      </c>
      <c r="I1291" s="5" t="s">
        <v>5823</v>
      </c>
      <c r="J1291" s="5" t="s">
        <v>5828</v>
      </c>
      <c r="K1291" s="10" t="e">
        <f t="shared" si="0"/>
        <v>#VALUE!</v>
      </c>
      <c r="L1291" s="10">
        <f t="shared" si="1"/>
        <v>1</v>
      </c>
      <c r="M1291" s="10" t="str">
        <f t="shared" si="2"/>
        <v>003</v>
      </c>
      <c r="N1291" s="10" t="str">
        <f t="shared" si="3"/>
        <v>01</v>
      </c>
      <c r="O1291" s="10" t="str">
        <f t="shared" si="16"/>
        <v>AMAWANG</v>
      </c>
    </row>
    <row r="1292" spans="1:15" ht="12.5">
      <c r="A1292" s="115" t="s">
        <v>5829</v>
      </c>
      <c r="B1292" s="5">
        <v>0</v>
      </c>
      <c r="C1292" s="5">
        <v>61</v>
      </c>
      <c r="D1292" s="5">
        <v>4</v>
      </c>
      <c r="E1292" s="5">
        <v>121</v>
      </c>
      <c r="F1292" s="5">
        <v>4</v>
      </c>
      <c r="G1292" s="5">
        <v>400</v>
      </c>
      <c r="H1292" s="5" t="s">
        <v>5741</v>
      </c>
      <c r="I1292" s="5" t="s">
        <v>5823</v>
      </c>
      <c r="J1292" s="5" t="s">
        <v>5830</v>
      </c>
      <c r="K1292" s="10" t="e">
        <f t="shared" si="0"/>
        <v>#VALUE!</v>
      </c>
      <c r="L1292" s="10">
        <f t="shared" si="1"/>
        <v>1</v>
      </c>
      <c r="M1292" s="10" t="str">
        <f t="shared" si="2"/>
        <v>007</v>
      </c>
      <c r="N1292" s="10" t="str">
        <f t="shared" si="3"/>
        <v>02</v>
      </c>
      <c r="O1292" s="10" t="str">
        <f t="shared" si="16"/>
        <v>PUDAK</v>
      </c>
    </row>
    <row r="1293" spans="1:15" ht="12.5">
      <c r="A1293" s="115" t="s">
        <v>5831</v>
      </c>
      <c r="B1293" s="5">
        <v>0</v>
      </c>
      <c r="C1293" s="5">
        <v>61</v>
      </c>
      <c r="D1293" s="5">
        <v>4</v>
      </c>
      <c r="E1293" s="5">
        <v>121</v>
      </c>
      <c r="F1293" s="5">
        <v>4</v>
      </c>
      <c r="G1293" s="5">
        <v>500</v>
      </c>
      <c r="H1293" s="5" t="s">
        <v>5741</v>
      </c>
      <c r="I1293" s="5" t="s">
        <v>5823</v>
      </c>
      <c r="J1293" s="5" t="s">
        <v>5832</v>
      </c>
      <c r="K1293" s="10" t="e">
        <f t="shared" si="0"/>
        <v>#VALUE!</v>
      </c>
      <c r="L1293" s="10">
        <f t="shared" si="1"/>
        <v>1</v>
      </c>
      <c r="M1293" s="10" t="str">
        <f t="shared" si="2"/>
        <v>008</v>
      </c>
      <c r="N1293" s="10" t="str">
        <f t="shared" si="3"/>
        <v>02</v>
      </c>
      <c r="O1293" s="10" t="str">
        <f t="shared" si="16"/>
        <v>PUDAK</v>
      </c>
    </row>
    <row r="1294" spans="1:15" ht="12.5">
      <c r="A1294" s="115" t="s">
        <v>5833</v>
      </c>
      <c r="B1294" s="5">
        <v>0</v>
      </c>
      <c r="C1294" s="5">
        <v>61</v>
      </c>
      <c r="D1294" s="5">
        <v>4</v>
      </c>
      <c r="E1294" s="5">
        <v>121</v>
      </c>
      <c r="F1294" s="5">
        <v>4</v>
      </c>
      <c r="G1294" s="5">
        <v>600</v>
      </c>
      <c r="H1294" s="5" t="s">
        <v>5741</v>
      </c>
      <c r="I1294" s="5" t="s">
        <v>5823</v>
      </c>
      <c r="J1294" s="5" t="s">
        <v>5834</v>
      </c>
      <c r="K1294" s="10" t="e">
        <f t="shared" si="0"/>
        <v>#VALUE!</v>
      </c>
      <c r="L1294" s="10">
        <f t="shared" si="1"/>
        <v>1</v>
      </c>
      <c r="M1294" s="10" t="str">
        <f t="shared" si="2"/>
        <v>009</v>
      </c>
      <c r="N1294" s="10" t="str">
        <f t="shared" si="3"/>
        <v>02</v>
      </c>
      <c r="O1294" s="10" t="str">
        <f t="shared" si="16"/>
        <v>PUDAK</v>
      </c>
    </row>
    <row r="1295" spans="1:15" ht="12.5">
      <c r="A1295" s="115" t="s">
        <v>5835</v>
      </c>
      <c r="B1295" s="5">
        <v>0</v>
      </c>
      <c r="C1295" s="5">
        <v>61</v>
      </c>
      <c r="D1295" s="5">
        <v>4</v>
      </c>
      <c r="E1295" s="5">
        <v>121</v>
      </c>
      <c r="F1295" s="5">
        <v>4</v>
      </c>
      <c r="G1295" s="5">
        <v>700</v>
      </c>
      <c r="H1295" s="5" t="s">
        <v>5741</v>
      </c>
      <c r="I1295" s="5" t="s">
        <v>5823</v>
      </c>
      <c r="J1295" s="5" t="s">
        <v>5836</v>
      </c>
      <c r="K1295" s="10" t="e">
        <f t="shared" si="0"/>
        <v>#VALUE!</v>
      </c>
      <c r="L1295" s="10">
        <f t="shared" si="1"/>
        <v>1</v>
      </c>
      <c r="M1295" s="10" t="str">
        <f t="shared" si="2"/>
        <v>010</v>
      </c>
      <c r="N1295" s="10" t="str">
        <f t="shared" si="3"/>
        <v>03</v>
      </c>
      <c r="O1295" s="10" t="str">
        <f t="shared" si="16"/>
        <v>PELANJAU</v>
      </c>
    </row>
    <row r="1296" spans="1:15" ht="12.5">
      <c r="A1296" s="115" t="s">
        <v>5837</v>
      </c>
      <c r="B1296" s="5">
        <v>0</v>
      </c>
      <c r="C1296" s="5">
        <v>61</v>
      </c>
      <c r="D1296" s="5">
        <v>4</v>
      </c>
      <c r="E1296" s="5">
        <v>121</v>
      </c>
      <c r="F1296" s="5">
        <v>4</v>
      </c>
      <c r="G1296" s="5">
        <v>800</v>
      </c>
      <c r="H1296" s="5" t="s">
        <v>5741</v>
      </c>
      <c r="I1296" s="5" t="s">
        <v>5823</v>
      </c>
      <c r="J1296" s="5" t="s">
        <v>5838</v>
      </c>
      <c r="K1296" s="10" t="e">
        <f t="shared" si="0"/>
        <v>#VALUE!</v>
      </c>
      <c r="L1296" s="10">
        <f t="shared" si="1"/>
        <v>1</v>
      </c>
      <c r="M1296" s="10" t="str">
        <f t="shared" si="2"/>
        <v>011</v>
      </c>
      <c r="N1296" s="10" t="str">
        <f t="shared" si="3"/>
        <v>03</v>
      </c>
      <c r="O1296" s="10" t="str">
        <f t="shared" si="16"/>
        <v>PELANJAU</v>
      </c>
    </row>
    <row r="1297" spans="1:15" ht="12.5">
      <c r="A1297" s="115" t="s">
        <v>5839</v>
      </c>
      <c r="B1297" s="5">
        <v>0</v>
      </c>
      <c r="C1297" s="5">
        <v>61</v>
      </c>
      <c r="D1297" s="5">
        <v>4</v>
      </c>
      <c r="E1297" s="5">
        <v>121</v>
      </c>
      <c r="F1297" s="5">
        <v>4</v>
      </c>
      <c r="G1297" s="5">
        <v>900</v>
      </c>
      <c r="H1297" s="5" t="s">
        <v>5741</v>
      </c>
      <c r="I1297" s="5" t="s">
        <v>5823</v>
      </c>
      <c r="J1297" s="5" t="s">
        <v>5840</v>
      </c>
      <c r="K1297" s="10" t="e">
        <f t="shared" si="0"/>
        <v>#VALUE!</v>
      </c>
      <c r="L1297" s="10">
        <f t="shared" si="1"/>
        <v>1</v>
      </c>
      <c r="M1297" s="10" t="str">
        <f t="shared" si="2"/>
        <v>014</v>
      </c>
      <c r="N1297" s="10" t="str">
        <f t="shared" si="3"/>
        <v>03</v>
      </c>
      <c r="O1297" s="10" t="str">
        <f t="shared" si="16"/>
        <v>PELANJAU</v>
      </c>
    </row>
    <row r="1298" spans="1:15" ht="12.5">
      <c r="A1298" s="115" t="s">
        <v>5841</v>
      </c>
      <c r="B1298" s="5">
        <v>0</v>
      </c>
      <c r="C1298" s="5">
        <v>61</v>
      </c>
      <c r="D1298" s="5">
        <v>4</v>
      </c>
      <c r="E1298" s="5">
        <v>121</v>
      </c>
      <c r="F1298" s="5">
        <v>4</v>
      </c>
      <c r="G1298" s="5">
        <v>1000</v>
      </c>
      <c r="H1298" s="5" t="s">
        <v>5741</v>
      </c>
      <c r="I1298" s="5" t="s">
        <v>5823</v>
      </c>
      <c r="J1298" s="5" t="s">
        <v>5842</v>
      </c>
      <c r="K1298" s="10" t="e">
        <f t="shared" si="0"/>
        <v>#VALUE!</v>
      </c>
      <c r="L1298" s="10">
        <f t="shared" si="1"/>
        <v>1</v>
      </c>
      <c r="M1298" s="10" t="str">
        <f t="shared" si="2"/>
        <v>012</v>
      </c>
      <c r="N1298" s="10" t="str">
        <f t="shared" si="3"/>
        <v>04</v>
      </c>
      <c r="O1298" s="10" t="str">
        <f t="shared" si="16"/>
        <v>PENDENG</v>
      </c>
    </row>
    <row r="1299" spans="1:15" ht="12.5">
      <c r="A1299" s="115" t="s">
        <v>5843</v>
      </c>
      <c r="B1299" s="5">
        <v>0</v>
      </c>
      <c r="C1299" s="5">
        <v>61</v>
      </c>
      <c r="D1299" s="5">
        <v>4</v>
      </c>
      <c r="E1299" s="5">
        <v>121</v>
      </c>
      <c r="F1299" s="5">
        <v>4</v>
      </c>
      <c r="G1299" s="5">
        <v>1100</v>
      </c>
      <c r="H1299" s="5" t="s">
        <v>5741</v>
      </c>
      <c r="I1299" s="5" t="s">
        <v>5823</v>
      </c>
      <c r="J1299" s="5" t="s">
        <v>5844</v>
      </c>
      <c r="K1299" s="10" t="e">
        <f t="shared" si="0"/>
        <v>#VALUE!</v>
      </c>
      <c r="L1299" s="10">
        <f t="shared" si="1"/>
        <v>1</v>
      </c>
      <c r="M1299" s="10" t="str">
        <f t="shared" si="2"/>
        <v>013</v>
      </c>
      <c r="N1299" s="10" t="str">
        <f t="shared" si="3"/>
        <v>04</v>
      </c>
      <c r="O1299" s="10" t="str">
        <f t="shared" si="16"/>
        <v>PENDENG</v>
      </c>
    </row>
    <row r="1300" spans="1:15" ht="12.5">
      <c r="A1300" s="115" t="s">
        <v>5845</v>
      </c>
      <c r="B1300" s="5">
        <v>0</v>
      </c>
      <c r="C1300" s="5">
        <v>61</v>
      </c>
      <c r="D1300" s="5">
        <v>4</v>
      </c>
      <c r="E1300" s="5">
        <v>121</v>
      </c>
      <c r="F1300" s="5">
        <v>4</v>
      </c>
      <c r="G1300" s="5">
        <v>1200</v>
      </c>
      <c r="H1300" s="5" t="s">
        <v>5741</v>
      </c>
      <c r="I1300" s="5" t="s">
        <v>5823</v>
      </c>
      <c r="J1300" s="5" t="s">
        <v>5846</v>
      </c>
      <c r="K1300" s="10" t="e">
        <f t="shared" si="0"/>
        <v>#VALUE!</v>
      </c>
      <c r="L1300" s="10">
        <f t="shared" si="1"/>
        <v>1</v>
      </c>
      <c r="M1300" s="10" t="str">
        <f t="shared" si="2"/>
        <v>004</v>
      </c>
      <c r="N1300" s="10" t="str">
        <f t="shared" si="3"/>
        <v>05</v>
      </c>
      <c r="O1300" s="10" t="str">
        <f t="shared" si="16"/>
        <v>PARONG</v>
      </c>
    </row>
    <row r="1301" spans="1:15" ht="12.5">
      <c r="A1301" s="115" t="s">
        <v>5847</v>
      </c>
      <c r="B1301" s="5">
        <v>0</v>
      </c>
      <c r="C1301" s="5">
        <v>61</v>
      </c>
      <c r="D1301" s="5">
        <v>4</v>
      </c>
      <c r="E1301" s="5">
        <v>121</v>
      </c>
      <c r="F1301" s="5">
        <v>4</v>
      </c>
      <c r="G1301" s="5">
        <v>1300</v>
      </c>
      <c r="H1301" s="5" t="s">
        <v>5741</v>
      </c>
      <c r="I1301" s="5" t="s">
        <v>5823</v>
      </c>
      <c r="J1301" s="5" t="s">
        <v>5848</v>
      </c>
      <c r="K1301" s="10" t="e">
        <f t="shared" si="0"/>
        <v>#VALUE!</v>
      </c>
      <c r="L1301" s="10">
        <f t="shared" si="1"/>
        <v>1</v>
      </c>
      <c r="M1301" s="10" t="str">
        <f t="shared" si="2"/>
        <v>005</v>
      </c>
      <c r="N1301" s="10" t="str">
        <f t="shared" si="3"/>
        <v>05</v>
      </c>
      <c r="O1301" s="10" t="str">
        <f t="shared" si="16"/>
        <v>PARONG</v>
      </c>
    </row>
    <row r="1302" spans="1:15" ht="12.5">
      <c r="A1302" s="115" t="s">
        <v>5849</v>
      </c>
      <c r="B1302" s="5">
        <v>0</v>
      </c>
      <c r="C1302" s="5">
        <v>61</v>
      </c>
      <c r="D1302" s="5">
        <v>4</v>
      </c>
      <c r="E1302" s="5">
        <v>121</v>
      </c>
      <c r="F1302" s="5">
        <v>4</v>
      </c>
      <c r="G1302" s="5">
        <v>1400</v>
      </c>
      <c r="H1302" s="5" t="s">
        <v>5741</v>
      </c>
      <c r="I1302" s="5" t="s">
        <v>5823</v>
      </c>
      <c r="J1302" s="5" t="s">
        <v>5850</v>
      </c>
      <c r="K1302" s="10" t="e">
        <f t="shared" si="0"/>
        <v>#VALUE!</v>
      </c>
      <c r="L1302" s="10">
        <f t="shared" si="1"/>
        <v>1</v>
      </c>
      <c r="M1302" s="10" t="str">
        <f t="shared" si="2"/>
        <v>006</v>
      </c>
      <c r="N1302" s="10" t="str">
        <f t="shared" si="3"/>
        <v>05</v>
      </c>
      <c r="O1302" s="10" t="str">
        <f t="shared" si="16"/>
        <v>PARONG</v>
      </c>
    </row>
    <row r="1303" spans="1:15" ht="12.5">
      <c r="A1303" s="115" t="s">
        <v>5851</v>
      </c>
      <c r="B1303" s="5">
        <v>2</v>
      </c>
      <c r="C1303" s="5">
        <v>61</v>
      </c>
      <c r="D1303" s="5">
        <v>4</v>
      </c>
      <c r="E1303" s="5">
        <v>121</v>
      </c>
      <c r="F1303" s="5">
        <v>4</v>
      </c>
      <c r="G1303" s="5">
        <v>200100</v>
      </c>
      <c r="H1303" s="5" t="s">
        <v>5741</v>
      </c>
      <c r="I1303" s="5" t="s">
        <v>5823</v>
      </c>
      <c r="J1303" s="5" t="s">
        <v>3517</v>
      </c>
      <c r="K1303" s="10" t="e">
        <f t="shared" si="0"/>
        <v>#VALUE!</v>
      </c>
      <c r="L1303" s="10">
        <f t="shared" si="1"/>
        <v>0</v>
      </c>
      <c r="M1303" s="10" t="str">
        <f t="shared" si="2"/>
        <v>AN</v>
      </c>
      <c r="N1303" s="10" t="str">
        <f t="shared" si="3"/>
        <v/>
      </c>
      <c r="O1303" s="10" t="str">
        <f t="shared" si="16"/>
        <v/>
      </c>
    </row>
    <row r="1304" spans="1:15" ht="12.5">
      <c r="A1304" s="115" t="s">
        <v>5852</v>
      </c>
      <c r="B1304" s="5">
        <v>2</v>
      </c>
      <c r="C1304" s="5">
        <v>61</v>
      </c>
      <c r="D1304" s="5">
        <v>4</v>
      </c>
      <c r="E1304" s="5">
        <v>121</v>
      </c>
      <c r="F1304" s="5">
        <v>4</v>
      </c>
      <c r="G1304" s="5">
        <v>200200</v>
      </c>
      <c r="H1304" s="5" t="s">
        <v>5741</v>
      </c>
      <c r="I1304" s="5" t="s">
        <v>5823</v>
      </c>
      <c r="J1304" s="5" t="s">
        <v>3517</v>
      </c>
      <c r="K1304" s="10" t="e">
        <f t="shared" si="0"/>
        <v>#VALUE!</v>
      </c>
      <c r="L1304" s="10">
        <f t="shared" si="1"/>
        <v>0</v>
      </c>
      <c r="M1304" s="10" t="str">
        <f t="shared" si="2"/>
        <v>AN</v>
      </c>
      <c r="N1304" s="10" t="str">
        <f t="shared" si="3"/>
        <v/>
      </c>
      <c r="O1304" s="10" t="str">
        <f t="shared" si="16"/>
        <v/>
      </c>
    </row>
    <row r="1305" spans="1:15" ht="12.5">
      <c r="A1305" s="115" t="s">
        <v>5853</v>
      </c>
      <c r="B1305" s="5">
        <v>2</v>
      </c>
      <c r="C1305" s="5">
        <v>61</v>
      </c>
      <c r="D1305" s="5">
        <v>4</v>
      </c>
      <c r="E1305" s="5">
        <v>121</v>
      </c>
      <c r="F1305" s="5">
        <v>4</v>
      </c>
      <c r="G1305" s="5">
        <v>200300</v>
      </c>
      <c r="H1305" s="5" t="s">
        <v>5741</v>
      </c>
      <c r="I1305" s="5" t="s">
        <v>5823</v>
      </c>
      <c r="J1305" s="5" t="s">
        <v>3517</v>
      </c>
      <c r="K1305" s="10" t="e">
        <f t="shared" si="0"/>
        <v>#VALUE!</v>
      </c>
      <c r="L1305" s="10">
        <f t="shared" si="1"/>
        <v>0</v>
      </c>
      <c r="M1305" s="10" t="str">
        <f t="shared" si="2"/>
        <v>AN</v>
      </c>
      <c r="N1305" s="10" t="str">
        <f t="shared" si="3"/>
        <v/>
      </c>
      <c r="O1305" s="10" t="str">
        <f t="shared" si="16"/>
        <v/>
      </c>
    </row>
    <row r="1306" spans="1:15" ht="12.5">
      <c r="A1306" s="115" t="s">
        <v>5854</v>
      </c>
      <c r="B1306" s="5">
        <v>0</v>
      </c>
      <c r="C1306" s="5">
        <v>61</v>
      </c>
      <c r="D1306" s="5">
        <v>4</v>
      </c>
      <c r="E1306" s="5">
        <v>121</v>
      </c>
      <c r="F1306" s="5">
        <v>5</v>
      </c>
      <c r="G1306" s="5">
        <v>100</v>
      </c>
      <c r="H1306" s="5" t="s">
        <v>5741</v>
      </c>
      <c r="I1306" s="5" t="s">
        <v>5855</v>
      </c>
      <c r="J1306" s="5" t="s">
        <v>5856</v>
      </c>
      <c r="K1306" s="10" t="e">
        <f t="shared" si="0"/>
        <v>#VALUE!</v>
      </c>
      <c r="L1306" s="10">
        <f t="shared" si="1"/>
        <v>1</v>
      </c>
      <c r="M1306" s="10" t="str">
        <f t="shared" si="2"/>
        <v>001</v>
      </c>
      <c r="N1306" s="10" t="str">
        <f t="shared" si="3"/>
        <v>UN</v>
      </c>
      <c r="O1306" s="10" t="str">
        <f t="shared" si="16"/>
        <v>NG</v>
      </c>
    </row>
    <row r="1307" spans="1:15" ht="12.5">
      <c r="A1307" s="115" t="s">
        <v>5857</v>
      </c>
      <c r="B1307" s="5">
        <v>0</v>
      </c>
      <c r="C1307" s="5">
        <v>61</v>
      </c>
      <c r="D1307" s="5">
        <v>4</v>
      </c>
      <c r="E1307" s="5">
        <v>121</v>
      </c>
      <c r="F1307" s="5">
        <v>5</v>
      </c>
      <c r="G1307" s="5">
        <v>200</v>
      </c>
      <c r="H1307" s="5" t="s">
        <v>5741</v>
      </c>
      <c r="I1307" s="5" t="s">
        <v>5855</v>
      </c>
      <c r="J1307" s="5" t="s">
        <v>5858</v>
      </c>
      <c r="K1307" s="10" t="e">
        <f t="shared" si="0"/>
        <v>#VALUE!</v>
      </c>
      <c r="L1307" s="10">
        <f t="shared" si="1"/>
        <v>1</v>
      </c>
      <c r="M1307" s="10" t="str">
        <f t="shared" si="2"/>
        <v>002</v>
      </c>
      <c r="N1307" s="10" t="str">
        <f t="shared" si="3"/>
        <v>UN</v>
      </c>
      <c r="O1307" s="10" t="str">
        <f t="shared" si="16"/>
        <v>NG</v>
      </c>
    </row>
    <row r="1308" spans="1:15" ht="12.5">
      <c r="A1308" s="115" t="s">
        <v>5859</v>
      </c>
      <c r="B1308" s="5">
        <v>0</v>
      </c>
      <c r="C1308" s="5">
        <v>61</v>
      </c>
      <c r="D1308" s="5">
        <v>4</v>
      </c>
      <c r="E1308" s="5">
        <v>121</v>
      </c>
      <c r="F1308" s="5">
        <v>5</v>
      </c>
      <c r="G1308" s="5">
        <v>300</v>
      </c>
      <c r="H1308" s="5" t="s">
        <v>5741</v>
      </c>
      <c r="I1308" s="5" t="s">
        <v>5855</v>
      </c>
      <c r="J1308" s="5" t="s">
        <v>5860</v>
      </c>
      <c r="K1308" s="10" t="e">
        <f t="shared" si="0"/>
        <v>#VALUE!</v>
      </c>
      <c r="L1308" s="10">
        <f t="shared" si="1"/>
        <v>1</v>
      </c>
      <c r="M1308" s="10" t="str">
        <f t="shared" si="2"/>
        <v>003</v>
      </c>
      <c r="N1308" s="10" t="str">
        <f t="shared" si="3"/>
        <v>UN</v>
      </c>
      <c r="O1308" s="10" t="str">
        <f t="shared" si="16"/>
        <v>NG</v>
      </c>
    </row>
    <row r="1309" spans="1:15" ht="12.5">
      <c r="A1309" s="115" t="s">
        <v>5861</v>
      </c>
      <c r="B1309" s="5">
        <v>0</v>
      </c>
      <c r="C1309" s="5">
        <v>61</v>
      </c>
      <c r="D1309" s="5">
        <v>4</v>
      </c>
      <c r="E1309" s="5">
        <v>121</v>
      </c>
      <c r="F1309" s="5">
        <v>5</v>
      </c>
      <c r="G1309" s="5">
        <v>400</v>
      </c>
      <c r="H1309" s="5" t="s">
        <v>5741</v>
      </c>
      <c r="I1309" s="5" t="s">
        <v>5855</v>
      </c>
      <c r="J1309" s="5" t="s">
        <v>5862</v>
      </c>
      <c r="K1309" s="10" t="e">
        <f t="shared" si="0"/>
        <v>#VALUE!</v>
      </c>
      <c r="L1309" s="10">
        <f t="shared" si="1"/>
        <v>1</v>
      </c>
      <c r="M1309" s="10" t="str">
        <f t="shared" si="2"/>
        <v>004</v>
      </c>
      <c r="N1309" s="10" t="str">
        <f t="shared" si="3"/>
        <v>UN</v>
      </c>
      <c r="O1309" s="10" t="str">
        <f t="shared" si="16"/>
        <v/>
      </c>
    </row>
    <row r="1310" spans="1:15" ht="12.5">
      <c r="A1310" s="115" t="s">
        <v>5863</v>
      </c>
      <c r="B1310" s="5">
        <v>0</v>
      </c>
      <c r="C1310" s="5">
        <v>61</v>
      </c>
      <c r="D1310" s="5">
        <v>4</v>
      </c>
      <c r="E1310" s="5">
        <v>121</v>
      </c>
      <c r="F1310" s="5">
        <v>5</v>
      </c>
      <c r="G1310" s="5">
        <v>500</v>
      </c>
      <c r="H1310" s="5" t="s">
        <v>5741</v>
      </c>
      <c r="I1310" s="5" t="s">
        <v>5855</v>
      </c>
      <c r="J1310" s="5" t="s">
        <v>5864</v>
      </c>
      <c r="K1310" s="10" t="e">
        <f t="shared" si="0"/>
        <v>#VALUE!</v>
      </c>
      <c r="L1310" s="10">
        <f t="shared" si="1"/>
        <v>1</v>
      </c>
      <c r="M1310" s="10" t="str">
        <f t="shared" si="2"/>
        <v>006</v>
      </c>
      <c r="N1310" s="10" t="str">
        <f t="shared" si="3"/>
        <v>UN</v>
      </c>
      <c r="O1310" s="10" t="str">
        <f t="shared" si="16"/>
        <v/>
      </c>
    </row>
    <row r="1311" spans="1:15" ht="12.5">
      <c r="A1311" s="115" t="s">
        <v>5865</v>
      </c>
      <c r="B1311" s="5">
        <v>0</v>
      </c>
      <c r="C1311" s="5">
        <v>61</v>
      </c>
      <c r="D1311" s="5">
        <v>4</v>
      </c>
      <c r="E1311" s="5">
        <v>121</v>
      </c>
      <c r="F1311" s="5">
        <v>5</v>
      </c>
      <c r="G1311" s="5">
        <v>600</v>
      </c>
      <c r="H1311" s="5" t="s">
        <v>5741</v>
      </c>
      <c r="I1311" s="5" t="s">
        <v>5855</v>
      </c>
      <c r="J1311" s="5" t="s">
        <v>5866</v>
      </c>
      <c r="K1311" s="10" t="e">
        <f t="shared" si="0"/>
        <v>#VALUE!</v>
      </c>
      <c r="L1311" s="10">
        <f t="shared" si="1"/>
        <v>1</v>
      </c>
      <c r="M1311" s="10" t="str">
        <f t="shared" si="2"/>
        <v>005</v>
      </c>
      <c r="N1311" s="10" t="str">
        <f t="shared" si="3"/>
        <v>UN</v>
      </c>
      <c r="O1311" s="10" t="str">
        <f t="shared" si="16"/>
        <v/>
      </c>
    </row>
    <row r="1312" spans="1:15" ht="12.5">
      <c r="A1312" s="115" t="s">
        <v>5867</v>
      </c>
      <c r="B1312" s="5">
        <v>0</v>
      </c>
      <c r="C1312" s="5">
        <v>61</v>
      </c>
      <c r="D1312" s="5">
        <v>4</v>
      </c>
      <c r="E1312" s="5">
        <v>121</v>
      </c>
      <c r="F1312" s="5">
        <v>5</v>
      </c>
      <c r="G1312" s="5">
        <v>700</v>
      </c>
      <c r="H1312" s="5" t="s">
        <v>5741</v>
      </c>
      <c r="I1312" s="5" t="s">
        <v>5855</v>
      </c>
      <c r="J1312" s="5" t="s">
        <v>5868</v>
      </c>
      <c r="K1312" s="10" t="e">
        <f t="shared" si="0"/>
        <v>#VALUE!</v>
      </c>
      <c r="L1312" s="10">
        <f t="shared" si="1"/>
        <v>1</v>
      </c>
      <c r="M1312" s="10" t="str">
        <f t="shared" si="2"/>
        <v>007</v>
      </c>
      <c r="N1312" s="10" t="str">
        <f t="shared" si="3"/>
        <v>UN</v>
      </c>
      <c r="O1312" s="10" t="str">
        <f t="shared" si="16"/>
        <v/>
      </c>
    </row>
    <row r="1313" spans="1:15" ht="12.5">
      <c r="A1313" s="115" t="s">
        <v>5869</v>
      </c>
      <c r="B1313" s="5">
        <v>2</v>
      </c>
      <c r="C1313" s="5">
        <v>61</v>
      </c>
      <c r="D1313" s="5">
        <v>4</v>
      </c>
      <c r="E1313" s="5">
        <v>121</v>
      </c>
      <c r="F1313" s="5">
        <v>5</v>
      </c>
      <c r="G1313" s="5">
        <v>200100</v>
      </c>
      <c r="H1313" s="5" t="s">
        <v>5741</v>
      </c>
      <c r="I1313" s="5" t="s">
        <v>5855</v>
      </c>
      <c r="J1313" s="5" t="s">
        <v>3517</v>
      </c>
      <c r="K1313" s="10" t="e">
        <f t="shared" si="0"/>
        <v>#VALUE!</v>
      </c>
      <c r="L1313" s="10">
        <f t="shared" si="1"/>
        <v>0</v>
      </c>
      <c r="M1313" s="10" t="str">
        <f t="shared" si="2"/>
        <v>AN</v>
      </c>
      <c r="N1313" s="10" t="str">
        <f t="shared" si="3"/>
        <v/>
      </c>
      <c r="O1313" s="10" t="str">
        <f t="shared" si="16"/>
        <v/>
      </c>
    </row>
    <row r="1314" spans="1:15" ht="12.5">
      <c r="A1314" s="115" t="s">
        <v>5870</v>
      </c>
      <c r="B1314" s="5">
        <v>2</v>
      </c>
      <c r="C1314" s="5">
        <v>61</v>
      </c>
      <c r="D1314" s="5">
        <v>4</v>
      </c>
      <c r="E1314" s="5">
        <v>121</v>
      </c>
      <c r="F1314" s="5">
        <v>5</v>
      </c>
      <c r="G1314" s="5">
        <v>200200</v>
      </c>
      <c r="H1314" s="5" t="s">
        <v>5741</v>
      </c>
      <c r="I1314" s="5" t="s">
        <v>5855</v>
      </c>
      <c r="J1314" s="5" t="s">
        <v>3517</v>
      </c>
      <c r="K1314" s="10" t="e">
        <f t="shared" si="0"/>
        <v>#VALUE!</v>
      </c>
      <c r="L1314" s="10">
        <f t="shared" si="1"/>
        <v>0</v>
      </c>
      <c r="M1314" s="10" t="str">
        <f t="shared" si="2"/>
        <v>AN</v>
      </c>
      <c r="N1314" s="10" t="str">
        <f t="shared" si="3"/>
        <v/>
      </c>
      <c r="O1314" s="10" t="str">
        <f t="shared" si="16"/>
        <v/>
      </c>
    </row>
    <row r="1315" spans="1:15" ht="12.5">
      <c r="A1315" s="115" t="s">
        <v>5871</v>
      </c>
      <c r="B1315" s="5">
        <v>2</v>
      </c>
      <c r="C1315" s="5">
        <v>61</v>
      </c>
      <c r="D1315" s="5">
        <v>4</v>
      </c>
      <c r="E1315" s="5">
        <v>121</v>
      </c>
      <c r="F1315" s="5">
        <v>5</v>
      </c>
      <c r="G1315" s="5">
        <v>200300</v>
      </c>
      <c r="H1315" s="5" t="s">
        <v>5741</v>
      </c>
      <c r="I1315" s="5" t="s">
        <v>5855</v>
      </c>
      <c r="J1315" s="5" t="s">
        <v>5872</v>
      </c>
      <c r="K1315" s="10" t="e">
        <f t="shared" si="0"/>
        <v>#VALUE!</v>
      </c>
      <c r="L1315" s="10">
        <f t="shared" si="1"/>
        <v>0</v>
      </c>
      <c r="M1315" s="10" t="str">
        <f t="shared" si="2"/>
        <v xml:space="preserve">AN </v>
      </c>
      <c r="N1315" s="10" t="str">
        <f t="shared" si="3"/>
        <v>S 0</v>
      </c>
      <c r="O1315" s="10" t="str">
        <f t="shared" si="16"/>
        <v/>
      </c>
    </row>
    <row r="1316" spans="1:15" ht="12.5">
      <c r="A1316" s="115" t="s">
        <v>5873</v>
      </c>
      <c r="B1316" s="5">
        <v>0</v>
      </c>
      <c r="C1316" s="5">
        <v>61</v>
      </c>
      <c r="D1316" s="5">
        <v>4</v>
      </c>
      <c r="E1316" s="5">
        <v>121</v>
      </c>
      <c r="F1316" s="5">
        <v>6</v>
      </c>
      <c r="G1316" s="5">
        <v>100</v>
      </c>
      <c r="H1316" s="5" t="s">
        <v>5741</v>
      </c>
      <c r="I1316" s="5" t="s">
        <v>5874</v>
      </c>
      <c r="J1316" s="5" t="s">
        <v>5875</v>
      </c>
      <c r="K1316" s="10" t="e">
        <f t="shared" si="0"/>
        <v>#VALUE!</v>
      </c>
      <c r="L1316" s="10">
        <f t="shared" si="1"/>
        <v>1</v>
      </c>
      <c r="M1316" s="10" t="str">
        <f t="shared" si="2"/>
        <v>001</v>
      </c>
      <c r="N1316" s="10" t="str">
        <f t="shared" si="3"/>
        <v>01</v>
      </c>
      <c r="O1316" s="10" t="str">
        <f t="shared" si="16"/>
        <v>BARANGAN</v>
      </c>
    </row>
    <row r="1317" spans="1:15" ht="12.5">
      <c r="A1317" s="115" t="s">
        <v>5876</v>
      </c>
      <c r="B1317" s="5">
        <v>0</v>
      </c>
      <c r="C1317" s="5">
        <v>61</v>
      </c>
      <c r="D1317" s="5">
        <v>4</v>
      </c>
      <c r="E1317" s="5">
        <v>121</v>
      </c>
      <c r="F1317" s="5">
        <v>6</v>
      </c>
      <c r="G1317" s="5">
        <v>200</v>
      </c>
      <c r="H1317" s="5" t="s">
        <v>5741</v>
      </c>
      <c r="I1317" s="5" t="s">
        <v>5874</v>
      </c>
      <c r="J1317" s="5" t="s">
        <v>5877</v>
      </c>
      <c r="K1317" s="10" t="e">
        <f t="shared" si="0"/>
        <v>#VALUE!</v>
      </c>
      <c r="L1317" s="10">
        <f t="shared" si="1"/>
        <v>1</v>
      </c>
      <c r="M1317" s="10" t="str">
        <f t="shared" si="2"/>
        <v>002</v>
      </c>
      <c r="N1317" s="10" t="str">
        <f t="shared" si="3"/>
        <v>01</v>
      </c>
      <c r="O1317" s="10" t="str">
        <f t="shared" si="16"/>
        <v>BARANGAN</v>
      </c>
    </row>
    <row r="1318" spans="1:15" ht="12.5">
      <c r="A1318" s="115" t="s">
        <v>5878</v>
      </c>
      <c r="B1318" s="5">
        <v>0</v>
      </c>
      <c r="C1318" s="5">
        <v>61</v>
      </c>
      <c r="D1318" s="5">
        <v>4</v>
      </c>
      <c r="E1318" s="5">
        <v>121</v>
      </c>
      <c r="F1318" s="5">
        <v>6</v>
      </c>
      <c r="G1318" s="5">
        <v>300</v>
      </c>
      <c r="H1318" s="5" t="s">
        <v>5741</v>
      </c>
      <c r="I1318" s="5" t="s">
        <v>5874</v>
      </c>
      <c r="J1318" s="5" t="s">
        <v>5879</v>
      </c>
      <c r="K1318" s="10" t="e">
        <f t="shared" si="0"/>
        <v>#VALUE!</v>
      </c>
      <c r="L1318" s="10">
        <f t="shared" si="1"/>
        <v>1</v>
      </c>
      <c r="M1318" s="10" t="str">
        <f t="shared" si="2"/>
        <v>003</v>
      </c>
      <c r="N1318" s="10" t="str">
        <f t="shared" si="3"/>
        <v>01</v>
      </c>
      <c r="O1318" s="10" t="str">
        <f t="shared" si="16"/>
        <v>BARANGAN</v>
      </c>
    </row>
    <row r="1319" spans="1:15" ht="12.5">
      <c r="A1319" s="115" t="s">
        <v>5880</v>
      </c>
      <c r="B1319" s="5">
        <v>0</v>
      </c>
      <c r="C1319" s="5">
        <v>61</v>
      </c>
      <c r="D1319" s="5">
        <v>4</v>
      </c>
      <c r="E1319" s="5">
        <v>121</v>
      </c>
      <c r="F1319" s="5">
        <v>6</v>
      </c>
      <c r="G1319" s="5">
        <v>400</v>
      </c>
      <c r="H1319" s="5" t="s">
        <v>5741</v>
      </c>
      <c r="I1319" s="5" t="s">
        <v>5874</v>
      </c>
      <c r="J1319" s="5" t="s">
        <v>5881</v>
      </c>
      <c r="K1319" s="10" t="e">
        <f t="shared" si="0"/>
        <v>#VALUE!</v>
      </c>
      <c r="L1319" s="10">
        <f t="shared" si="1"/>
        <v>1</v>
      </c>
      <c r="M1319" s="10" t="str">
        <f t="shared" si="2"/>
        <v>009</v>
      </c>
      <c r="N1319" s="10" t="str">
        <f t="shared" si="3"/>
        <v>01</v>
      </c>
      <c r="O1319" s="10" t="str">
        <f t="shared" si="16"/>
        <v>BARANGAN</v>
      </c>
    </row>
    <row r="1320" spans="1:15" ht="12.5">
      <c r="A1320" s="115" t="s">
        <v>5882</v>
      </c>
      <c r="B1320" s="5">
        <v>0</v>
      </c>
      <c r="C1320" s="5">
        <v>61</v>
      </c>
      <c r="D1320" s="5">
        <v>4</v>
      </c>
      <c r="E1320" s="5">
        <v>121</v>
      </c>
      <c r="F1320" s="5">
        <v>6</v>
      </c>
      <c r="G1320" s="5">
        <v>500</v>
      </c>
      <c r="H1320" s="5" t="s">
        <v>5741</v>
      </c>
      <c r="I1320" s="5" t="s">
        <v>5874</v>
      </c>
      <c r="J1320" s="5" t="s">
        <v>5883</v>
      </c>
      <c r="K1320" s="10" t="e">
        <f t="shared" si="0"/>
        <v>#VALUE!</v>
      </c>
      <c r="L1320" s="10">
        <f t="shared" si="1"/>
        <v>1</v>
      </c>
      <c r="M1320" s="10" t="str">
        <f t="shared" si="2"/>
        <v>010</v>
      </c>
      <c r="N1320" s="10" t="str">
        <f t="shared" si="3"/>
        <v>02</v>
      </c>
      <c r="O1320" s="10" t="str">
        <f t="shared" si="16"/>
        <v>SAMANTAKIN</v>
      </c>
    </row>
    <row r="1321" spans="1:15" ht="12.5">
      <c r="A1321" s="115" t="s">
        <v>5884</v>
      </c>
      <c r="B1321" s="5">
        <v>0</v>
      </c>
      <c r="C1321" s="5">
        <v>61</v>
      </c>
      <c r="D1321" s="5">
        <v>4</v>
      </c>
      <c r="E1321" s="5">
        <v>121</v>
      </c>
      <c r="F1321" s="5">
        <v>6</v>
      </c>
      <c r="G1321" s="5">
        <v>600</v>
      </c>
      <c r="H1321" s="5" t="s">
        <v>5741</v>
      </c>
      <c r="I1321" s="5" t="s">
        <v>5874</v>
      </c>
      <c r="J1321" s="5" t="s">
        <v>5885</v>
      </c>
      <c r="K1321" s="10" t="e">
        <f t="shared" si="0"/>
        <v>#VALUE!</v>
      </c>
      <c r="L1321" s="10">
        <f t="shared" si="1"/>
        <v>1</v>
      </c>
      <c r="M1321" s="10" t="str">
        <f t="shared" si="2"/>
        <v>004</v>
      </c>
      <c r="N1321" s="10" t="str">
        <f t="shared" si="3"/>
        <v>03</v>
      </c>
      <c r="O1321" s="10" t="str">
        <f t="shared" si="16"/>
        <v>SAMANTAKIN</v>
      </c>
    </row>
    <row r="1322" spans="1:15" ht="12.5">
      <c r="A1322" s="115" t="s">
        <v>5886</v>
      </c>
      <c r="B1322" s="5">
        <v>0</v>
      </c>
      <c r="C1322" s="5">
        <v>61</v>
      </c>
      <c r="D1322" s="5">
        <v>4</v>
      </c>
      <c r="E1322" s="5">
        <v>121</v>
      </c>
      <c r="F1322" s="5">
        <v>6</v>
      </c>
      <c r="G1322" s="5">
        <v>700</v>
      </c>
      <c r="H1322" s="5" t="s">
        <v>5741</v>
      </c>
      <c r="I1322" s="5" t="s">
        <v>5874</v>
      </c>
      <c r="J1322" s="5" t="s">
        <v>5887</v>
      </c>
      <c r="K1322" s="10" t="e">
        <f t="shared" si="0"/>
        <v>#VALUE!</v>
      </c>
      <c r="L1322" s="10">
        <f t="shared" si="1"/>
        <v>1</v>
      </c>
      <c r="M1322" s="10" t="str">
        <f t="shared" si="2"/>
        <v>005</v>
      </c>
      <c r="N1322" s="10" t="str">
        <f t="shared" si="3"/>
        <v>03</v>
      </c>
      <c r="O1322" s="10" t="str">
        <f t="shared" si="16"/>
        <v>GURO</v>
      </c>
    </row>
    <row r="1323" spans="1:15" ht="12.5">
      <c r="A1323" s="115" t="s">
        <v>5888</v>
      </c>
      <c r="B1323" s="5">
        <v>0</v>
      </c>
      <c r="C1323" s="5">
        <v>61</v>
      </c>
      <c r="D1323" s="5">
        <v>4</v>
      </c>
      <c r="E1323" s="5">
        <v>121</v>
      </c>
      <c r="F1323" s="5">
        <v>6</v>
      </c>
      <c r="G1323" s="5">
        <v>800</v>
      </c>
      <c r="H1323" s="5" t="s">
        <v>5741</v>
      </c>
      <c r="I1323" s="5" t="s">
        <v>5874</v>
      </c>
      <c r="J1323" s="5" t="s">
        <v>5889</v>
      </c>
      <c r="K1323" s="10" t="e">
        <f t="shared" si="0"/>
        <v>#VALUE!</v>
      </c>
      <c r="L1323" s="10">
        <f t="shared" si="1"/>
        <v>1</v>
      </c>
      <c r="M1323" s="10" t="str">
        <f t="shared" si="2"/>
        <v>006</v>
      </c>
      <c r="N1323" s="10" t="str">
        <f t="shared" si="3"/>
        <v>03</v>
      </c>
      <c r="O1323" s="10" t="str">
        <f t="shared" si="16"/>
        <v>GURO</v>
      </c>
    </row>
    <row r="1324" spans="1:15" ht="12.5">
      <c r="A1324" s="115" t="s">
        <v>5890</v>
      </c>
      <c r="B1324" s="5">
        <v>0</v>
      </c>
      <c r="C1324" s="5">
        <v>61</v>
      </c>
      <c r="D1324" s="5">
        <v>4</v>
      </c>
      <c r="E1324" s="5">
        <v>121</v>
      </c>
      <c r="F1324" s="5">
        <v>6</v>
      </c>
      <c r="G1324" s="5">
        <v>900</v>
      </c>
      <c r="H1324" s="5" t="s">
        <v>5741</v>
      </c>
      <c r="I1324" s="5" t="s">
        <v>5874</v>
      </c>
      <c r="J1324" s="5" t="s">
        <v>5891</v>
      </c>
      <c r="K1324" s="10" t="e">
        <f t="shared" si="0"/>
        <v>#VALUE!</v>
      </c>
      <c r="L1324" s="10">
        <f t="shared" si="1"/>
        <v>1</v>
      </c>
      <c r="M1324" s="10" t="str">
        <f t="shared" si="2"/>
        <v>008</v>
      </c>
      <c r="N1324" s="10" t="str">
        <f t="shared" si="3"/>
        <v>03</v>
      </c>
      <c r="O1324" s="10" t="str">
        <f t="shared" si="16"/>
        <v>GURO</v>
      </c>
    </row>
    <row r="1325" spans="1:15" ht="12.5">
      <c r="A1325" s="115" t="s">
        <v>5892</v>
      </c>
      <c r="B1325" s="5">
        <v>0</v>
      </c>
      <c r="C1325" s="5">
        <v>61</v>
      </c>
      <c r="D1325" s="5">
        <v>4</v>
      </c>
      <c r="E1325" s="5">
        <v>121</v>
      </c>
      <c r="F1325" s="5">
        <v>6</v>
      </c>
      <c r="G1325" s="5">
        <v>1000</v>
      </c>
      <c r="H1325" s="5" t="s">
        <v>5741</v>
      </c>
      <c r="I1325" s="5" t="s">
        <v>5874</v>
      </c>
      <c r="J1325" s="5" t="s">
        <v>5893</v>
      </c>
      <c r="K1325" s="10" t="e">
        <f t="shared" si="0"/>
        <v>#VALUE!</v>
      </c>
      <c r="L1325" s="10">
        <f t="shared" si="1"/>
        <v>1</v>
      </c>
      <c r="M1325" s="10" t="str">
        <f t="shared" si="2"/>
        <v>007</v>
      </c>
      <c r="N1325" s="10" t="str">
        <f t="shared" si="3"/>
        <v>04</v>
      </c>
      <c r="O1325" s="10" t="str">
        <f t="shared" si="16"/>
        <v>PARASAN</v>
      </c>
    </row>
    <row r="1326" spans="1:15" ht="12.5">
      <c r="A1326" s="115" t="s">
        <v>5894</v>
      </c>
      <c r="B1326" s="5">
        <v>1</v>
      </c>
      <c r="C1326" s="5">
        <v>61</v>
      </c>
      <c r="D1326" s="5">
        <v>4</v>
      </c>
      <c r="E1326" s="5">
        <v>121</v>
      </c>
      <c r="F1326" s="5">
        <v>6</v>
      </c>
      <c r="G1326" s="5">
        <v>100300</v>
      </c>
      <c r="H1326" s="5" t="s">
        <v>5741</v>
      </c>
      <c r="I1326" s="5" t="s">
        <v>5874</v>
      </c>
      <c r="J1326" s="5" t="s">
        <v>5895</v>
      </c>
      <c r="K1326" s="10" t="e">
        <f t="shared" si="0"/>
        <v>#VALUE!</v>
      </c>
      <c r="L1326" s="10">
        <f t="shared" si="1"/>
        <v>0</v>
      </c>
      <c r="M1326" s="10" t="str">
        <f t="shared" si="2"/>
        <v>KEB</v>
      </c>
      <c r="N1326" s="10" t="str">
        <f t="shared" si="3"/>
        <v>SA</v>
      </c>
      <c r="O1326" s="10" t="str">
        <f t="shared" si="16"/>
        <v>007P</v>
      </c>
    </row>
    <row r="1327" spans="1:15" ht="12.5">
      <c r="A1327" s="115" t="s">
        <v>5896</v>
      </c>
      <c r="B1327" s="5">
        <v>1</v>
      </c>
      <c r="C1327" s="5">
        <v>61</v>
      </c>
      <c r="D1327" s="5">
        <v>4</v>
      </c>
      <c r="E1327" s="5">
        <v>121</v>
      </c>
      <c r="F1327" s="5">
        <v>6</v>
      </c>
      <c r="G1327" s="5">
        <v>100400</v>
      </c>
      <c r="H1327" s="5" t="s">
        <v>5741</v>
      </c>
      <c r="I1327" s="5" t="s">
        <v>5874</v>
      </c>
      <c r="J1327" s="5" t="s">
        <v>5897</v>
      </c>
      <c r="K1327" s="10" t="e">
        <f t="shared" si="0"/>
        <v>#VALUE!</v>
      </c>
      <c r="L1327" s="10">
        <f t="shared" si="1"/>
        <v>0</v>
      </c>
      <c r="M1327" s="10" t="str">
        <f t="shared" si="2"/>
        <v>KEB</v>
      </c>
      <c r="N1327" s="10" t="str">
        <f t="shared" si="3"/>
        <v>SA</v>
      </c>
      <c r="O1327" s="10" t="str">
        <f t="shared" si="16"/>
        <v>009P</v>
      </c>
    </row>
    <row r="1328" spans="1:15" ht="12.5">
      <c r="A1328" s="115" t="s">
        <v>5898</v>
      </c>
      <c r="B1328" s="5">
        <v>1</v>
      </c>
      <c r="C1328" s="5">
        <v>61</v>
      </c>
      <c r="D1328" s="5">
        <v>4</v>
      </c>
      <c r="E1328" s="5">
        <v>121</v>
      </c>
      <c r="F1328" s="5">
        <v>6</v>
      </c>
      <c r="G1328" s="5">
        <v>100500</v>
      </c>
      <c r="H1328" s="5" t="s">
        <v>5741</v>
      </c>
      <c r="I1328" s="5" t="s">
        <v>5874</v>
      </c>
      <c r="J1328" s="5" t="s">
        <v>5899</v>
      </c>
      <c r="K1328" s="10" t="e">
        <f t="shared" si="0"/>
        <v>#VALUE!</v>
      </c>
      <c r="L1328" s="10">
        <f t="shared" si="1"/>
        <v>0</v>
      </c>
      <c r="M1328" s="10" t="str">
        <f t="shared" si="2"/>
        <v>KEB</v>
      </c>
      <c r="N1328" s="10" t="str">
        <f t="shared" si="3"/>
        <v>KA</v>
      </c>
      <c r="O1328" s="10" t="str">
        <f t="shared" si="16"/>
        <v>0010P</v>
      </c>
    </row>
    <row r="1329" spans="1:15" ht="12.5">
      <c r="A1329" s="115" t="s">
        <v>5900</v>
      </c>
      <c r="B1329" s="5">
        <v>2</v>
      </c>
      <c r="C1329" s="5">
        <v>61</v>
      </c>
      <c r="D1329" s="5">
        <v>4</v>
      </c>
      <c r="E1329" s="5">
        <v>121</v>
      </c>
      <c r="F1329" s="5">
        <v>6</v>
      </c>
      <c r="G1329" s="5">
        <v>200100</v>
      </c>
      <c r="H1329" s="5" t="s">
        <v>5741</v>
      </c>
      <c r="I1329" s="5" t="s">
        <v>5874</v>
      </c>
      <c r="J1329" s="5" t="s">
        <v>3517</v>
      </c>
      <c r="K1329" s="10" t="e">
        <f t="shared" si="0"/>
        <v>#VALUE!</v>
      </c>
      <c r="L1329" s="10">
        <f t="shared" si="1"/>
        <v>0</v>
      </c>
      <c r="M1329" s="10" t="str">
        <f t="shared" si="2"/>
        <v>AN</v>
      </c>
      <c r="N1329" s="10" t="str">
        <f t="shared" si="3"/>
        <v/>
      </c>
      <c r="O1329" s="10" t="str">
        <f t="shared" si="16"/>
        <v/>
      </c>
    </row>
    <row r="1330" spans="1:15" ht="12.5">
      <c r="A1330" s="115" t="s">
        <v>5901</v>
      </c>
      <c r="B1330" s="5">
        <v>2</v>
      </c>
      <c r="C1330" s="5">
        <v>61</v>
      </c>
      <c r="D1330" s="5">
        <v>4</v>
      </c>
      <c r="E1330" s="5">
        <v>121</v>
      </c>
      <c r="F1330" s="5">
        <v>6</v>
      </c>
      <c r="G1330" s="5">
        <v>200200</v>
      </c>
      <c r="H1330" s="5" t="s">
        <v>5741</v>
      </c>
      <c r="I1330" s="5" t="s">
        <v>5874</v>
      </c>
      <c r="J1330" s="5" t="s">
        <v>5902</v>
      </c>
      <c r="K1330" s="10" t="e">
        <f t="shared" si="0"/>
        <v>#VALUE!</v>
      </c>
      <c r="L1330" s="10">
        <f t="shared" si="1"/>
        <v>0</v>
      </c>
      <c r="M1330" s="10" t="str">
        <f t="shared" si="2"/>
        <v xml:space="preserve">AN </v>
      </c>
      <c r="N1330" s="10" t="str">
        <f t="shared" si="3"/>
        <v>06P</v>
      </c>
      <c r="O1330" s="10" t="str">
        <f t="shared" si="16"/>
        <v/>
      </c>
    </row>
  </sheetData>
  <autoFilter ref="A1:O1330" xr:uid="{00000000-0009-0000-0000-00000C000000}"/>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outlinePr summaryBelow="0" summaryRight="0"/>
  </sheetPr>
  <dimension ref="A1:H1009"/>
  <sheetViews>
    <sheetView workbookViewId="0">
      <pane ySplit="10" topLeftCell="A11" activePane="bottomLeft" state="frozen"/>
      <selection pane="bottomLeft" activeCell="B12" sqref="B12"/>
    </sheetView>
  </sheetViews>
  <sheetFormatPr defaultColWidth="12.6328125" defaultRowHeight="15.75" customHeight="1"/>
  <cols>
    <col min="1" max="1" width="31.08984375" customWidth="1"/>
    <col min="2" max="2" width="18.26953125" customWidth="1"/>
    <col min="3" max="3" width="19.6328125" customWidth="1"/>
    <col min="4" max="4" width="25.453125" customWidth="1"/>
    <col min="7" max="7" width="19.6328125" customWidth="1"/>
  </cols>
  <sheetData>
    <row r="1" spans="1:8" ht="20.25" customHeight="1">
      <c r="A1" s="116" t="str">
        <f ca="1">"Rekapitulasi Rangking per "&amp;DAY(NOW())&amp;"-"&amp;MONTH(NOW())&amp;"-"&amp;YEAR(NOW())</f>
        <v>Rekapitulasi Rangking per 10-10-2024</v>
      </c>
      <c r="B1" s="117"/>
      <c r="C1" s="117"/>
    </row>
    <row r="2" spans="1:8" ht="13">
      <c r="A2" s="116"/>
      <c r="B2" s="117" t="s">
        <v>330</v>
      </c>
      <c r="C2" s="117"/>
    </row>
    <row r="3" spans="1:8" ht="13">
      <c r="A3" s="116" t="s">
        <v>5903</v>
      </c>
      <c r="B3" s="118" t="e">
        <f t="array" aca="1" ref="B3" ca="1">INDEX($B$11:$B1009, MATCH(MIN(D11:D1009),$D$11:$D1009,0))</f>
        <v>#NAME?</v>
      </c>
      <c r="C3" s="118" t="e">
        <f t="array" aca="1" ref="C3" ca="1">INDEX($C$11:$C1009,MATCH(B3,$B$11:$B1009,0))&amp;" Kegiatan"</f>
        <v>#NAME?</v>
      </c>
    </row>
    <row r="4" spans="1:8" ht="13">
      <c r="A4" s="116"/>
      <c r="B4" s="117"/>
      <c r="C4" s="117"/>
    </row>
    <row r="5" spans="1:8" ht="13">
      <c r="A5" s="116" t="s">
        <v>5904</v>
      </c>
      <c r="B5" s="119" t="str">
        <f ca="1">IFERROR(__xludf.DUMMYFUNCTION("FILTER(B11:B1009,C11:C1009&gt;0,$F$11:$F1009=MAX(FILTER(F11:F1009,C11:C1009&gt;0)))"),"Yuyun Antoni, S.E.")</f>
        <v>Yuyun Antoni, S.E.</v>
      </c>
      <c r="C5" s="118" t="str">
        <f ca="1">IFERROR(__xludf.DUMMYFUNCTION("MAX(FILTER(F11:F1009,C11:C1009&gt;0))&amp;"" Tahun"""),"49 Tahun")</f>
        <v>49 Tahun</v>
      </c>
    </row>
    <row r="6" spans="1:8" ht="13">
      <c r="A6" s="116"/>
      <c r="B6" s="119"/>
      <c r="C6" s="118"/>
    </row>
    <row r="7" spans="1:8" ht="13">
      <c r="A7" s="116" t="s">
        <v>5905</v>
      </c>
      <c r="B7" s="119" t="str">
        <f ca="1">IFERROR(__xludf.DUMMYFUNCTION("FILTER(B11:B1009,C11:C1009&gt;0,$F$11:$F1009=min(FILTER(F11:F1009,C11:C1009&gt;0)))"),"Difa Faradifa")</f>
        <v>Difa Faradifa</v>
      </c>
      <c r="C7" s="118" t="str">
        <f ca="1">IFERROR(__xludf.DUMMYFUNCTION("min(FILTER(F11:F1009,C11:C1009&gt;0))&amp;"" Tahun"""),"20 Tahun")</f>
        <v>20 Tahun</v>
      </c>
    </row>
    <row r="8" spans="1:8" ht="13">
      <c r="A8" s="116"/>
      <c r="B8" s="119" t="str">
        <f ca="1">IFERROR(__xludf.DUMMYFUNCTION("""COMPUTED_VALUE"""),"Muhammad Habibie")</f>
        <v>Muhammad Habibie</v>
      </c>
      <c r="C8" s="118" t="str">
        <f ca="1">IFERROR(__xludf.DUMMYFUNCTION("min(FILTER(F12:F1009,C12:C1009&gt;0))&amp;"" Tahun"""),"20 Tahun")</f>
        <v>20 Tahun</v>
      </c>
      <c r="D8" s="2"/>
    </row>
    <row r="9" spans="1:8" ht="13">
      <c r="A9" s="120"/>
      <c r="B9" s="2"/>
      <c r="C9" s="2"/>
      <c r="D9" s="2"/>
    </row>
    <row r="10" spans="1:8" ht="13">
      <c r="A10" s="120" t="s">
        <v>57</v>
      </c>
      <c r="B10" s="2" t="s">
        <v>330</v>
      </c>
      <c r="C10" s="2" t="s">
        <v>5906</v>
      </c>
      <c r="D10" s="2" t="s">
        <v>5907</v>
      </c>
      <c r="E10" s="2" t="s">
        <v>3025</v>
      </c>
      <c r="F10" s="2" t="s">
        <v>3026</v>
      </c>
      <c r="G10" s="2" t="s">
        <v>2</v>
      </c>
      <c r="H10" s="2" t="s">
        <v>65</v>
      </c>
    </row>
    <row r="11" spans="1:8" ht="12.5">
      <c r="A11" s="121">
        <v>610422040059</v>
      </c>
      <c r="B11" s="10" t="s">
        <v>365</v>
      </c>
      <c r="C11" s="10" t="e">
        <f ca="1">COUNTUNIQUEIFS('Alokasi Honor Hingga Sekarang'!D$2:D1009,'Alokasi Honor Hingga Sekarang'!C$2:C1009,A11)</f>
        <v>#NAME?</v>
      </c>
      <c r="D11" s="10" t="e">
        <f t="shared" ref="D11:D443" ca="1" si="0">RANK(C11,$C$11:C1009)</f>
        <v>#NAME?</v>
      </c>
      <c r="E11" s="82">
        <f t="array" ref="E11">INDEX('Database Mitra'!$R$2:$R1009,MATCH(A11,'Database Mitra'!$B$2:$B1009,0))</f>
        <v>28816</v>
      </c>
      <c r="F11" s="10" t="e">
        <f t="shared" ref="F11:F443" ca="1" si="1">FLOOR(_xludf.DAYS(NOW(),E11)/365,1)</f>
        <v>#NAME?</v>
      </c>
      <c r="G11" s="10" t="e">
        <f t="array" ref="G11">INDEX('Database Mitra'!$E$2:$E1009,MATCH(A11,'Database Mitra'!$B$2:$B1009,0))</f>
        <v>#VALUE!</v>
      </c>
      <c r="H11" s="10" t="e">
        <f t="array" ref="H11">INDEX('Database Mitra'!$F$2:$F1009,MATCH(A11,'Database Mitra'!$B$2:$B1009,0))</f>
        <v>#VALUE!</v>
      </c>
    </row>
    <row r="12" spans="1:8" ht="12.5">
      <c r="A12" s="121">
        <v>610423090005</v>
      </c>
      <c r="B12" s="10" t="s">
        <v>5908</v>
      </c>
      <c r="C12" s="10" t="e">
        <f ca="1">COUNTUNIQUEIFS('Alokasi Honor Hingga Sekarang'!D$2:D1009,'Alokasi Honor Hingga Sekarang'!C$2:C1009,A12)</f>
        <v>#NAME?</v>
      </c>
      <c r="D12" s="10" t="e">
        <f t="shared" ca="1" si="0"/>
        <v>#NAME?</v>
      </c>
      <c r="E12" s="82">
        <f t="array" ref="E12">INDEX('Database Mitra'!$R$2:$R1009,MATCH(A12,'Database Mitra'!$B$2:$B1009,0))</f>
        <v>32647</v>
      </c>
      <c r="F12" s="10" t="e">
        <f t="shared" ca="1" si="1"/>
        <v>#NAME?</v>
      </c>
      <c r="G12" s="10" t="e">
        <f t="array" ref="G12">INDEX('Database Mitra'!$E$2:$E1009,MATCH(A12,'Database Mitra'!$B$2:$B1009,0))</f>
        <v>#VALUE!</v>
      </c>
      <c r="H12" s="10" t="e">
        <f t="array" ref="H12">INDEX('Database Mitra'!$F$2:$F1009,MATCH(A12,'Database Mitra'!$B$2:$B1009,0))</f>
        <v>#VALUE!</v>
      </c>
    </row>
    <row r="13" spans="1:8" ht="12.5">
      <c r="A13" s="121">
        <v>610422020016</v>
      </c>
      <c r="B13" s="10" t="s">
        <v>380</v>
      </c>
      <c r="C13" s="10" t="e">
        <f ca="1">COUNTUNIQUEIFS('Alokasi Honor Hingga Sekarang'!D$2:D1009,'Alokasi Honor Hingga Sekarang'!C$2:C1009,A13)</f>
        <v>#NAME?</v>
      </c>
      <c r="D13" s="10" t="e">
        <f t="shared" ca="1" si="0"/>
        <v>#NAME?</v>
      </c>
      <c r="E13" s="11">
        <f t="array" ref="E13">INDEX('Database Mitra'!$R$2:$R1009,MATCH(A13,'Database Mitra'!$B$2:$B1009,0))</f>
        <v>34895</v>
      </c>
      <c r="F13" s="10" t="e">
        <f t="shared" ca="1" si="1"/>
        <v>#NAME?</v>
      </c>
      <c r="G13" s="10" t="e">
        <f t="array" ref="G13">INDEX('Database Mitra'!$E$2:$E1009,MATCH(A13,'Database Mitra'!$B$2:$B1009,0))</f>
        <v>#VALUE!</v>
      </c>
      <c r="H13" s="10" t="e">
        <f t="array" ref="H13">INDEX('Database Mitra'!$F$2:$F1009,MATCH(A13,'Database Mitra'!$B$2:$B1009,0))</f>
        <v>#VALUE!</v>
      </c>
    </row>
    <row r="14" spans="1:8" ht="12.5">
      <c r="A14" s="121">
        <v>610423110168</v>
      </c>
      <c r="B14" s="10" t="s">
        <v>387</v>
      </c>
      <c r="C14" s="10" t="e">
        <f ca="1">COUNTUNIQUEIFS('Alokasi Honor Hingga Sekarang'!D$2:D1009,'Alokasi Honor Hingga Sekarang'!C$2:C1009,A14)</f>
        <v>#NAME?</v>
      </c>
      <c r="D14" s="10" t="e">
        <f t="shared" ca="1" si="0"/>
        <v>#NAME?</v>
      </c>
      <c r="E14" s="82">
        <f t="array" ref="E14">INDEX('Database Mitra'!$R$2:$R1009,MATCH(A14,'Database Mitra'!$B$2:$B1009,0))</f>
        <v>35206</v>
      </c>
      <c r="F14" s="10" t="e">
        <f t="shared" ca="1" si="1"/>
        <v>#NAME?</v>
      </c>
      <c r="G14" s="10" t="e">
        <f t="array" ref="G14">INDEX('Database Mitra'!$E$2:$E1009,MATCH(A14,'Database Mitra'!$B$2:$B1009,0))</f>
        <v>#VALUE!</v>
      </c>
      <c r="H14" s="10" t="e">
        <f t="array" ref="H14">INDEX('Database Mitra'!$F$2:$F1009,MATCH(A14,'Database Mitra'!$B$2:$B1009,0))</f>
        <v>#VALUE!</v>
      </c>
    </row>
    <row r="15" spans="1:8" ht="12.5">
      <c r="A15" s="121">
        <v>610423110027</v>
      </c>
      <c r="B15" s="10" t="s">
        <v>5909</v>
      </c>
      <c r="C15" s="10" t="e">
        <f ca="1">COUNTUNIQUEIFS('Alokasi Honor Hingga Sekarang'!D$2:D1009,'Alokasi Honor Hingga Sekarang'!C$2:C1009,A15)</f>
        <v>#NAME?</v>
      </c>
      <c r="D15" s="10" t="e">
        <f t="shared" ca="1" si="0"/>
        <v>#NAME?</v>
      </c>
      <c r="E15" s="82">
        <f t="array" ref="E15">INDEX('Database Mitra'!$R$2:$R1009,MATCH(A15,'Database Mitra'!$B$2:$B1009,0))</f>
        <v>31115</v>
      </c>
      <c r="F15" s="10" t="e">
        <f t="shared" ca="1" si="1"/>
        <v>#NAME?</v>
      </c>
      <c r="G15" s="10" t="e">
        <f t="array" ref="G15">INDEX('Database Mitra'!$E$2:$E1009,MATCH(A15,'Database Mitra'!$B$2:$B1009,0))</f>
        <v>#VALUE!</v>
      </c>
      <c r="H15" s="10" t="e">
        <f t="array" ref="H15">INDEX('Database Mitra'!$F$2:$F1009,MATCH(A15,'Database Mitra'!$B$2:$B1009,0))</f>
        <v>#VALUE!</v>
      </c>
    </row>
    <row r="16" spans="1:8" ht="12.5">
      <c r="A16" s="121">
        <v>610422020050</v>
      </c>
      <c r="B16" s="10" t="s">
        <v>5910</v>
      </c>
      <c r="C16" s="10" t="e">
        <f ca="1">COUNTUNIQUEIFS('Alokasi Honor Hingga Sekarang'!D$2:D1009,'Alokasi Honor Hingga Sekarang'!C$2:C1009,A16)</f>
        <v>#NAME?</v>
      </c>
      <c r="D16" s="10" t="e">
        <f t="shared" ca="1" si="0"/>
        <v>#NAME?</v>
      </c>
      <c r="E16" s="82">
        <f t="array" ref="E16">INDEX('Database Mitra'!$R$2:$R1009,MATCH(A16,'Database Mitra'!$B$2:$B1009,0))</f>
        <v>29597</v>
      </c>
      <c r="F16" s="10" t="e">
        <f t="shared" ca="1" si="1"/>
        <v>#NAME?</v>
      </c>
      <c r="G16" s="10" t="e">
        <f t="array" ref="G16">INDEX('Database Mitra'!$E$2:$E1009,MATCH(A16,'Database Mitra'!$B$2:$B1009,0))</f>
        <v>#VALUE!</v>
      </c>
      <c r="H16" s="10" t="e">
        <f t="array" ref="H16">INDEX('Database Mitra'!$F$2:$F1009,MATCH(A16,'Database Mitra'!$B$2:$B1009,0))</f>
        <v>#VALUE!</v>
      </c>
    </row>
    <row r="17" spans="1:8" ht="12.5">
      <c r="A17" s="121">
        <v>610422020017</v>
      </c>
      <c r="B17" s="10" t="s">
        <v>5911</v>
      </c>
      <c r="C17" s="10" t="e">
        <f ca="1">COUNTUNIQUEIFS('Alokasi Honor Hingga Sekarang'!D$2:D1009,'Alokasi Honor Hingga Sekarang'!C$2:C1009,A17)</f>
        <v>#NAME?</v>
      </c>
      <c r="D17" s="10" t="e">
        <f t="shared" ca="1" si="0"/>
        <v>#NAME?</v>
      </c>
      <c r="E17" s="82">
        <f t="array" ref="E17">INDEX('Database Mitra'!$R$2:$R1009,MATCH(A17,'Database Mitra'!$B$2:$B1009,0))</f>
        <v>33569</v>
      </c>
      <c r="F17" s="10" t="e">
        <f t="shared" ca="1" si="1"/>
        <v>#NAME?</v>
      </c>
      <c r="G17" s="10" t="e">
        <f t="array" ref="G17">INDEX('Database Mitra'!$E$2:$E1009,MATCH(A17,'Database Mitra'!$B$2:$B1009,0))</f>
        <v>#VALUE!</v>
      </c>
      <c r="H17" s="10" t="e">
        <f t="array" ref="H17">INDEX('Database Mitra'!$F$2:$F1009,MATCH(A17,'Database Mitra'!$B$2:$B1009,0))</f>
        <v>#VALUE!</v>
      </c>
    </row>
    <row r="18" spans="1:8" ht="12.5">
      <c r="A18" s="121">
        <v>610422100042</v>
      </c>
      <c r="B18" s="10" t="s">
        <v>414</v>
      </c>
      <c r="C18" s="10" t="e">
        <f ca="1">COUNTUNIQUEIFS('Alokasi Honor Hingga Sekarang'!D$2:D1009,'Alokasi Honor Hingga Sekarang'!C$2:C1009,A18)</f>
        <v>#NAME?</v>
      </c>
      <c r="D18" s="10" t="e">
        <f t="shared" ca="1" si="0"/>
        <v>#NAME?</v>
      </c>
      <c r="E18" s="82">
        <f t="array" ref="E18">INDEX('Database Mitra'!$R$2:$R1009,MATCH(A18,'Database Mitra'!$B$2:$B1009,0))</f>
        <v>35766</v>
      </c>
      <c r="F18" s="10" t="e">
        <f t="shared" ca="1" si="1"/>
        <v>#NAME?</v>
      </c>
      <c r="G18" s="10" t="e">
        <f t="array" ref="G18">INDEX('Database Mitra'!$E$2:$E1009,MATCH(A18,'Database Mitra'!$B$2:$B1009,0))</f>
        <v>#VALUE!</v>
      </c>
      <c r="H18" s="10" t="e">
        <f t="array" ref="H18">INDEX('Database Mitra'!$F$2:$F1009,MATCH(A18,'Database Mitra'!$B$2:$B1009,0))</f>
        <v>#VALUE!</v>
      </c>
    </row>
    <row r="19" spans="1:8" ht="12.5">
      <c r="A19" s="121">
        <v>610422100070</v>
      </c>
      <c r="B19" s="10" t="s">
        <v>420</v>
      </c>
      <c r="C19" s="10" t="e">
        <f ca="1">COUNTUNIQUEIFS('Alokasi Honor Hingga Sekarang'!D$2:D1009,'Alokasi Honor Hingga Sekarang'!C$2:C1009,A19)</f>
        <v>#NAME?</v>
      </c>
      <c r="D19" s="10" t="e">
        <f t="shared" ca="1" si="0"/>
        <v>#NAME?</v>
      </c>
      <c r="E19" s="11">
        <f t="array" ref="E19">INDEX('Database Mitra'!$R$2:$R1009,MATCH(A19,'Database Mitra'!$B$2:$B1009,0))</f>
        <v>34279</v>
      </c>
      <c r="F19" s="10" t="e">
        <f t="shared" ca="1" si="1"/>
        <v>#NAME?</v>
      </c>
      <c r="G19" s="10" t="e">
        <f t="array" ref="G19">INDEX('Database Mitra'!$E$2:$E1009,MATCH(A19,'Database Mitra'!$B$2:$B1009,0))</f>
        <v>#VALUE!</v>
      </c>
      <c r="H19" s="10" t="e">
        <f t="array" ref="H19">INDEX('Database Mitra'!$F$2:$F1009,MATCH(A19,'Database Mitra'!$B$2:$B1009,0))</f>
        <v>#VALUE!</v>
      </c>
    </row>
    <row r="20" spans="1:8" ht="12.5">
      <c r="A20" s="121">
        <v>610423030007</v>
      </c>
      <c r="B20" s="10" t="s">
        <v>427</v>
      </c>
      <c r="C20" s="10" t="e">
        <f ca="1">COUNTUNIQUEIFS('Alokasi Honor Hingga Sekarang'!D$2:D1009,'Alokasi Honor Hingga Sekarang'!C$2:C1009,A20)</f>
        <v>#NAME?</v>
      </c>
      <c r="D20" s="10" t="e">
        <f t="shared" ca="1" si="0"/>
        <v>#NAME?</v>
      </c>
      <c r="E20" s="82">
        <f t="array" ref="E20">INDEX('Database Mitra'!$R$2:$R1009,MATCH(A20,'Database Mitra'!$B$2:$B1009,0))</f>
        <v>38020</v>
      </c>
      <c r="F20" s="10" t="e">
        <f t="shared" ca="1" si="1"/>
        <v>#NAME?</v>
      </c>
      <c r="G20" s="10" t="e">
        <f t="array" ref="G20">INDEX('Database Mitra'!$E$2:$E1009,MATCH(A20,'Database Mitra'!$B$2:$B1009,0))</f>
        <v>#VALUE!</v>
      </c>
      <c r="H20" s="10" t="e">
        <f t="array" ref="H20">INDEX('Database Mitra'!$F$2:$F1009,MATCH(A20,'Database Mitra'!$B$2:$B1009,0))</f>
        <v>#VALUE!</v>
      </c>
    </row>
    <row r="21" spans="1:8" ht="12.5">
      <c r="A21" s="121">
        <v>610423110118</v>
      </c>
      <c r="B21" s="10" t="s">
        <v>433</v>
      </c>
      <c r="C21" s="10" t="e">
        <f ca="1">COUNTUNIQUEIFS('Alokasi Honor Hingga Sekarang'!D$2:D1009,'Alokasi Honor Hingga Sekarang'!C$2:C1009,A21)</f>
        <v>#NAME?</v>
      </c>
      <c r="D21" s="10" t="e">
        <f t="shared" ca="1" si="0"/>
        <v>#NAME?</v>
      </c>
      <c r="E21" s="82">
        <f t="array" ref="E21">INDEX('Database Mitra'!$R$2:$R1009,MATCH(A21,'Database Mitra'!$B$2:$B1009,0))</f>
        <v>32633</v>
      </c>
      <c r="F21" s="10" t="e">
        <f t="shared" ca="1" si="1"/>
        <v>#NAME?</v>
      </c>
      <c r="G21" s="10" t="e">
        <f t="array" ref="G21">INDEX('Database Mitra'!$E$2:$E1009,MATCH(A21,'Database Mitra'!$B$2:$B1009,0))</f>
        <v>#VALUE!</v>
      </c>
      <c r="H21" s="10" t="e">
        <f t="array" ref="H21">INDEX('Database Mitra'!$F$2:$F1009,MATCH(A21,'Database Mitra'!$B$2:$B1009,0))</f>
        <v>#VALUE!</v>
      </c>
    </row>
    <row r="22" spans="1:8" ht="12.5">
      <c r="A22" s="121">
        <v>610423110146</v>
      </c>
      <c r="B22" s="10" t="s">
        <v>440</v>
      </c>
      <c r="C22" s="10" t="e">
        <f ca="1">COUNTUNIQUEIFS('Alokasi Honor Hingga Sekarang'!D$2:D1009,'Alokasi Honor Hingga Sekarang'!C$2:C1009,A22)</f>
        <v>#NAME?</v>
      </c>
      <c r="D22" s="10" t="e">
        <f t="shared" ca="1" si="0"/>
        <v>#NAME?</v>
      </c>
      <c r="E22" s="11">
        <f t="array" ref="E22">INDEX('Database Mitra'!$R$2:$R1009,MATCH(A22,'Database Mitra'!$B$2:$B1009,0))</f>
        <v>37187</v>
      </c>
      <c r="F22" s="10" t="e">
        <f t="shared" ca="1" si="1"/>
        <v>#NAME?</v>
      </c>
      <c r="G22" s="10" t="e">
        <f t="array" ref="G22">INDEX('Database Mitra'!$E$2:$E1009,MATCH(A22,'Database Mitra'!$B$2:$B1009,0))</f>
        <v>#VALUE!</v>
      </c>
      <c r="H22" s="10" t="e">
        <f t="array" ref="H22">INDEX('Database Mitra'!$F$2:$F1009,MATCH(A22,'Database Mitra'!$B$2:$B1009,0))</f>
        <v>#VALUE!</v>
      </c>
    </row>
    <row r="23" spans="1:8" ht="12.5">
      <c r="A23" s="121">
        <v>610423110043</v>
      </c>
      <c r="B23" s="10" t="s">
        <v>446</v>
      </c>
      <c r="C23" s="10" t="e">
        <f ca="1">COUNTUNIQUEIFS('Alokasi Honor Hingga Sekarang'!D$2:D1009,'Alokasi Honor Hingga Sekarang'!C$2:C1009,A23)</f>
        <v>#NAME?</v>
      </c>
      <c r="D23" s="10" t="e">
        <f t="shared" ca="1" si="0"/>
        <v>#NAME?</v>
      </c>
      <c r="E23" s="82">
        <f t="array" ref="E23">INDEX('Database Mitra'!$R$2:$R1009,MATCH(A23,'Database Mitra'!$B$2:$B1009,0))</f>
        <v>34260</v>
      </c>
      <c r="F23" s="10" t="e">
        <f t="shared" ca="1" si="1"/>
        <v>#NAME?</v>
      </c>
      <c r="G23" s="10" t="e">
        <f t="array" ref="G23">INDEX('Database Mitra'!$E$2:$E1009,MATCH(A23,'Database Mitra'!$B$2:$B1009,0))</f>
        <v>#VALUE!</v>
      </c>
      <c r="H23" s="10" t="e">
        <f t="array" ref="H23">INDEX('Database Mitra'!$F$2:$F1009,MATCH(A23,'Database Mitra'!$B$2:$B1009,0))</f>
        <v>#VALUE!</v>
      </c>
    </row>
    <row r="24" spans="1:8" ht="12.5">
      <c r="A24" s="121">
        <v>610423110039</v>
      </c>
      <c r="B24" s="10" t="s">
        <v>5912</v>
      </c>
      <c r="C24" s="10" t="e">
        <f ca="1">COUNTUNIQUEIFS('Alokasi Honor Hingga Sekarang'!D$2:D1009,'Alokasi Honor Hingga Sekarang'!C$2:C1009,A24)</f>
        <v>#NAME?</v>
      </c>
      <c r="D24" s="10" t="e">
        <f t="shared" ca="1" si="0"/>
        <v>#NAME?</v>
      </c>
      <c r="E24" s="82">
        <f t="array" ref="E24">INDEX('Database Mitra'!$R$2:$R1009,MATCH(A24,'Database Mitra'!$B$2:$B1009,0))</f>
        <v>36842</v>
      </c>
      <c r="F24" s="10" t="e">
        <f t="shared" ca="1" si="1"/>
        <v>#NAME?</v>
      </c>
      <c r="G24" s="10" t="e">
        <f t="array" ref="G24">INDEX('Database Mitra'!$E$2:$E1009,MATCH(A24,'Database Mitra'!$B$2:$B1009,0))</f>
        <v>#VALUE!</v>
      </c>
      <c r="H24" s="10" t="e">
        <f t="array" ref="H24">INDEX('Database Mitra'!$F$2:$F1009,MATCH(A24,'Database Mitra'!$B$2:$B1009,0))</f>
        <v>#VALUE!</v>
      </c>
    </row>
    <row r="25" spans="1:8" ht="12.5">
      <c r="A25" s="121">
        <v>610422100218</v>
      </c>
      <c r="B25" s="10" t="s">
        <v>5913</v>
      </c>
      <c r="C25" s="10" t="e">
        <f ca="1">COUNTUNIQUEIFS('Alokasi Honor Hingga Sekarang'!D$2:D1009,'Alokasi Honor Hingga Sekarang'!C$2:C1009,A25)</f>
        <v>#NAME?</v>
      </c>
      <c r="D25" s="10" t="e">
        <f t="shared" ca="1" si="0"/>
        <v>#NAME?</v>
      </c>
      <c r="E25" s="82">
        <f t="array" ref="E25">INDEX('Database Mitra'!$R$2:$R1009,MATCH(A25,'Database Mitra'!$B$2:$B1009,0))</f>
        <v>36275</v>
      </c>
      <c r="F25" s="10" t="e">
        <f t="shared" ca="1" si="1"/>
        <v>#NAME?</v>
      </c>
      <c r="G25" s="10" t="e">
        <f t="array" ref="G25">INDEX('Database Mitra'!$E$2:$E1009,MATCH(A25,'Database Mitra'!$B$2:$B1009,0))</f>
        <v>#VALUE!</v>
      </c>
      <c r="H25" s="10" t="e">
        <f t="array" ref="H25">INDEX('Database Mitra'!$F$2:$F1009,MATCH(A25,'Database Mitra'!$B$2:$B1009,0))</f>
        <v>#VALUE!</v>
      </c>
    </row>
    <row r="26" spans="1:8" ht="12.5">
      <c r="A26" s="121">
        <v>610422100172</v>
      </c>
      <c r="B26" s="10" t="s">
        <v>466</v>
      </c>
      <c r="C26" s="10" t="e">
        <f ca="1">COUNTUNIQUEIFS('Alokasi Honor Hingga Sekarang'!D$2:D1009,'Alokasi Honor Hingga Sekarang'!C$2:C1009,A26)</f>
        <v>#NAME?</v>
      </c>
      <c r="D26" s="10" t="e">
        <f t="shared" ca="1" si="0"/>
        <v>#NAME?</v>
      </c>
      <c r="E26" s="11">
        <f t="array" ref="E26">INDEX('Database Mitra'!$R$2:$R1009,MATCH(A26,'Database Mitra'!$B$2:$B1009,0))</f>
        <v>30599</v>
      </c>
      <c r="F26" s="10" t="e">
        <f t="shared" ca="1" si="1"/>
        <v>#NAME?</v>
      </c>
      <c r="G26" s="10" t="e">
        <f t="array" ref="G26">INDEX('Database Mitra'!$E$2:$E1009,MATCH(A26,'Database Mitra'!$B$2:$B1009,0))</f>
        <v>#VALUE!</v>
      </c>
      <c r="H26" s="10" t="e">
        <f t="array" ref="H26">INDEX('Database Mitra'!$F$2:$F1009,MATCH(A26,'Database Mitra'!$B$2:$B1009,0))</f>
        <v>#VALUE!</v>
      </c>
    </row>
    <row r="27" spans="1:8" ht="12.5">
      <c r="A27" s="121">
        <v>610423110070</v>
      </c>
      <c r="B27" s="10" t="s">
        <v>473</v>
      </c>
      <c r="C27" s="10" t="e">
        <f ca="1">COUNTUNIQUEIFS('Alokasi Honor Hingga Sekarang'!D$2:D1009,'Alokasi Honor Hingga Sekarang'!C$2:C1009,A27)</f>
        <v>#NAME?</v>
      </c>
      <c r="D27" s="10" t="e">
        <f t="shared" ca="1" si="0"/>
        <v>#NAME?</v>
      </c>
      <c r="E27" s="82">
        <f t="array" ref="E27">INDEX('Database Mitra'!$R$2:$R1009,MATCH(A27,'Database Mitra'!$B$2:$B1009,0))</f>
        <v>35846</v>
      </c>
      <c r="F27" s="10" t="e">
        <f t="shared" ca="1" si="1"/>
        <v>#NAME?</v>
      </c>
      <c r="G27" s="10" t="e">
        <f t="array" ref="G27">INDEX('Database Mitra'!$E$2:$E1009,MATCH(A27,'Database Mitra'!$B$2:$B1009,0))</f>
        <v>#VALUE!</v>
      </c>
      <c r="H27" s="10" t="e">
        <f t="array" ref="H27">INDEX('Database Mitra'!$F$2:$F1009,MATCH(A27,'Database Mitra'!$B$2:$B1009,0))</f>
        <v>#VALUE!</v>
      </c>
    </row>
    <row r="28" spans="1:8" ht="12.5">
      <c r="A28" s="121">
        <v>610423110093</v>
      </c>
      <c r="B28" s="10" t="s">
        <v>479</v>
      </c>
      <c r="C28" s="10" t="e">
        <f ca="1">COUNTUNIQUEIFS('Alokasi Honor Hingga Sekarang'!D$2:D1009,'Alokasi Honor Hingga Sekarang'!C$2:C1009,A28)</f>
        <v>#NAME?</v>
      </c>
      <c r="D28" s="10" t="e">
        <f t="shared" ca="1" si="0"/>
        <v>#NAME?</v>
      </c>
      <c r="E28" s="11">
        <f t="array" ref="E28">INDEX('Database Mitra'!$R$2:$R1009,MATCH(A28,'Database Mitra'!$B$2:$B1009,0))</f>
        <v>34427</v>
      </c>
      <c r="F28" s="10" t="e">
        <f t="shared" ca="1" si="1"/>
        <v>#NAME?</v>
      </c>
      <c r="G28" s="10" t="e">
        <f t="array" ref="G28">INDEX('Database Mitra'!$E$2:$E1009,MATCH(A28,'Database Mitra'!$B$2:$B1009,0))</f>
        <v>#VALUE!</v>
      </c>
      <c r="H28" s="10" t="e">
        <f t="array" ref="H28">INDEX('Database Mitra'!$F$2:$F1009,MATCH(A28,'Database Mitra'!$B$2:$B1009,0))</f>
        <v>#VALUE!</v>
      </c>
    </row>
    <row r="29" spans="1:8" ht="12.5">
      <c r="A29" s="121">
        <v>610423110031</v>
      </c>
      <c r="B29" s="10" t="s">
        <v>484</v>
      </c>
      <c r="C29" s="10" t="e">
        <f ca="1">COUNTUNIQUEIFS('Alokasi Honor Hingga Sekarang'!D$2:D1009,'Alokasi Honor Hingga Sekarang'!C$2:C1009,A29)</f>
        <v>#NAME?</v>
      </c>
      <c r="D29" s="10" t="e">
        <f t="shared" ca="1" si="0"/>
        <v>#NAME?</v>
      </c>
      <c r="E29" s="82">
        <f t="array" ref="E29">INDEX('Database Mitra'!$R$2:$R1009,MATCH(A29,'Database Mitra'!$B$2:$B1009,0))</f>
        <v>37116</v>
      </c>
      <c r="F29" s="10" t="e">
        <f t="shared" ca="1" si="1"/>
        <v>#NAME?</v>
      </c>
      <c r="G29" s="10" t="e">
        <f t="array" ref="G29">INDEX('Database Mitra'!$E$2:$E1009,MATCH(A29,'Database Mitra'!$B$2:$B1009,0))</f>
        <v>#VALUE!</v>
      </c>
      <c r="H29" s="10" t="e">
        <f t="array" ref="H29">INDEX('Database Mitra'!$F$2:$F1009,MATCH(A29,'Database Mitra'!$B$2:$B1009,0))</f>
        <v>#VALUE!</v>
      </c>
    </row>
    <row r="30" spans="1:8" ht="12.5">
      <c r="A30" s="121">
        <v>610423110165</v>
      </c>
      <c r="B30" s="10" t="s">
        <v>5914</v>
      </c>
      <c r="C30" s="10" t="e">
        <f ca="1">COUNTUNIQUEIFS('Alokasi Honor Hingga Sekarang'!D$2:D1009,'Alokasi Honor Hingga Sekarang'!C$2:C1009,A30)</f>
        <v>#NAME?</v>
      </c>
      <c r="D30" s="10" t="e">
        <f t="shared" ca="1" si="0"/>
        <v>#NAME?</v>
      </c>
      <c r="E30" s="82">
        <f t="array" ref="E30">INDEX('Database Mitra'!$R$2:$R1009,MATCH(A30,'Database Mitra'!$B$2:$B1009,0))</f>
        <v>33464</v>
      </c>
      <c r="F30" s="10" t="e">
        <f t="shared" ca="1" si="1"/>
        <v>#NAME?</v>
      </c>
      <c r="G30" s="10" t="e">
        <f t="array" ref="G30">INDEX('Database Mitra'!$E$2:$E1009,MATCH(A30,'Database Mitra'!$B$2:$B1009,0))</f>
        <v>#VALUE!</v>
      </c>
      <c r="H30" s="10" t="e">
        <f t="array" ref="H30">INDEX('Database Mitra'!$F$2:$F1009,MATCH(A30,'Database Mitra'!$B$2:$B1009,0))</f>
        <v>#VALUE!</v>
      </c>
    </row>
    <row r="31" spans="1:8" ht="12.5">
      <c r="A31" s="121">
        <v>610422020052</v>
      </c>
      <c r="B31" s="10" t="s">
        <v>498</v>
      </c>
      <c r="C31" s="10" t="e">
        <f ca="1">COUNTUNIQUEIFS('Alokasi Honor Hingga Sekarang'!D$2:D1009,'Alokasi Honor Hingga Sekarang'!C$2:C1009,A31)</f>
        <v>#NAME?</v>
      </c>
      <c r="D31" s="10" t="e">
        <f t="shared" ca="1" si="0"/>
        <v>#NAME?</v>
      </c>
      <c r="E31" s="82">
        <f t="array" ref="E31">INDEX('Database Mitra'!$R$2:$R1009,MATCH(A31,'Database Mitra'!$B$2:$B1009,0))</f>
        <v>29177</v>
      </c>
      <c r="F31" s="10" t="e">
        <f t="shared" ca="1" si="1"/>
        <v>#NAME?</v>
      </c>
      <c r="G31" s="10" t="e">
        <f t="array" ref="G31">INDEX('Database Mitra'!$E$2:$E1009,MATCH(A31,'Database Mitra'!$B$2:$B1009,0))</f>
        <v>#VALUE!</v>
      </c>
      <c r="H31" s="10" t="e">
        <f t="array" ref="H31">INDEX('Database Mitra'!$F$2:$F1009,MATCH(A31,'Database Mitra'!$B$2:$B1009,0))</f>
        <v>#VALUE!</v>
      </c>
    </row>
    <row r="32" spans="1:8" ht="12.5">
      <c r="A32" s="121">
        <v>610423110126</v>
      </c>
      <c r="B32" s="10" t="s">
        <v>5915</v>
      </c>
      <c r="C32" s="10" t="e">
        <f ca="1">COUNTUNIQUEIFS('Alokasi Honor Hingga Sekarang'!D$2:D1009,'Alokasi Honor Hingga Sekarang'!C$2:C1009,A32)</f>
        <v>#NAME?</v>
      </c>
      <c r="D32" s="10" t="e">
        <f t="shared" ca="1" si="0"/>
        <v>#NAME?</v>
      </c>
      <c r="E32" s="82">
        <f t="array" ref="E32">INDEX('Database Mitra'!$R$2:$R1009,MATCH(A32,'Database Mitra'!$B$2:$B1009,0))</f>
        <v>34497</v>
      </c>
      <c r="F32" s="10" t="e">
        <f t="shared" ca="1" si="1"/>
        <v>#NAME?</v>
      </c>
      <c r="G32" s="10" t="e">
        <f t="array" ref="G32">INDEX('Database Mitra'!$E$2:$E1009,MATCH(A32,'Database Mitra'!$B$2:$B1009,0))</f>
        <v>#VALUE!</v>
      </c>
      <c r="H32" s="10" t="e">
        <f t="array" ref="H32">INDEX('Database Mitra'!$F$2:$F1009,MATCH(A32,'Database Mitra'!$B$2:$B1009,0))</f>
        <v>#VALUE!</v>
      </c>
    </row>
    <row r="33" spans="1:8" ht="12.5">
      <c r="A33" s="121">
        <v>610422100208</v>
      </c>
      <c r="B33" s="10" t="s">
        <v>511</v>
      </c>
      <c r="C33" s="10" t="e">
        <f ca="1">COUNTUNIQUEIFS('Alokasi Honor Hingga Sekarang'!D$2:D1009,'Alokasi Honor Hingga Sekarang'!C$2:C1009,A33)</f>
        <v>#NAME?</v>
      </c>
      <c r="D33" s="10" t="e">
        <f t="shared" ca="1" si="0"/>
        <v>#NAME?</v>
      </c>
      <c r="E33" s="82">
        <f t="array" ref="E33">INDEX('Database Mitra'!$R$2:$R1009,MATCH(A33,'Database Mitra'!$B$2:$B1009,0))</f>
        <v>34208</v>
      </c>
      <c r="F33" s="10" t="e">
        <f t="shared" ca="1" si="1"/>
        <v>#NAME?</v>
      </c>
      <c r="G33" s="10" t="e">
        <f t="array" ref="G33">INDEX('Database Mitra'!$E$2:$E1009,MATCH(A33,'Database Mitra'!$B$2:$B1009,0))</f>
        <v>#VALUE!</v>
      </c>
      <c r="H33" s="10" t="e">
        <f t="array" ref="H33">INDEX('Database Mitra'!$F$2:$F1009,MATCH(A33,'Database Mitra'!$B$2:$B1009,0))</f>
        <v>#VALUE!</v>
      </c>
    </row>
    <row r="34" spans="1:8" ht="12.5">
      <c r="A34" s="121">
        <v>610422100166</v>
      </c>
      <c r="B34" s="10" t="s">
        <v>516</v>
      </c>
      <c r="C34" s="10" t="e">
        <f ca="1">COUNTUNIQUEIFS('Alokasi Honor Hingga Sekarang'!D$2:D1009,'Alokasi Honor Hingga Sekarang'!C$2:C1009,A34)</f>
        <v>#NAME?</v>
      </c>
      <c r="D34" s="10" t="e">
        <f t="shared" ca="1" si="0"/>
        <v>#NAME?</v>
      </c>
      <c r="E34" s="82">
        <f t="array" ref="E34">INDEX('Database Mitra'!$R$2:$R1009,MATCH(A34,'Database Mitra'!$B$2:$B1009,0))</f>
        <v>34130</v>
      </c>
      <c r="F34" s="10" t="e">
        <f t="shared" ca="1" si="1"/>
        <v>#NAME?</v>
      </c>
      <c r="G34" s="10" t="e">
        <f t="array" ref="G34">INDEX('Database Mitra'!$E$2:$E1009,MATCH(A34,'Database Mitra'!$B$2:$B1009,0))</f>
        <v>#VALUE!</v>
      </c>
      <c r="H34" s="10" t="e">
        <f t="array" ref="H34">INDEX('Database Mitra'!$F$2:$F1009,MATCH(A34,'Database Mitra'!$B$2:$B1009,0))</f>
        <v>#VALUE!</v>
      </c>
    </row>
    <row r="35" spans="1:8" ht="12.5">
      <c r="A35" s="121">
        <v>610423110045</v>
      </c>
      <c r="B35" s="10" t="s">
        <v>522</v>
      </c>
      <c r="C35" s="10" t="e">
        <f ca="1">COUNTUNIQUEIFS('Alokasi Honor Hingga Sekarang'!D$2:D1009,'Alokasi Honor Hingga Sekarang'!C$2:C1009,A35)</f>
        <v>#NAME?</v>
      </c>
      <c r="D35" s="10" t="e">
        <f t="shared" ca="1" si="0"/>
        <v>#NAME?</v>
      </c>
      <c r="E35" s="82">
        <f t="array" ref="E35">INDEX('Database Mitra'!$R$2:$R1009,MATCH(A35,'Database Mitra'!$B$2:$B1009,0))</f>
        <v>35654</v>
      </c>
      <c r="F35" s="10" t="e">
        <f t="shared" ca="1" si="1"/>
        <v>#NAME?</v>
      </c>
      <c r="G35" s="10" t="e">
        <f t="array" ref="G35">INDEX('Database Mitra'!$E$2:$E1009,MATCH(A35,'Database Mitra'!$B$2:$B1009,0))</f>
        <v>#VALUE!</v>
      </c>
      <c r="H35" s="10" t="e">
        <f t="array" ref="H35">INDEX('Database Mitra'!$F$2:$F1009,MATCH(A35,'Database Mitra'!$B$2:$B1009,0))</f>
        <v>#VALUE!</v>
      </c>
    </row>
    <row r="36" spans="1:8" ht="12.5">
      <c r="A36" s="121">
        <v>610423110160</v>
      </c>
      <c r="B36" s="10" t="s">
        <v>530</v>
      </c>
      <c r="C36" s="10" t="e">
        <f ca="1">COUNTUNIQUEIFS('Alokasi Honor Hingga Sekarang'!D$2:D1009,'Alokasi Honor Hingga Sekarang'!C$2:C1009,A36)</f>
        <v>#NAME?</v>
      </c>
      <c r="D36" s="10" t="e">
        <f t="shared" ca="1" si="0"/>
        <v>#NAME?</v>
      </c>
      <c r="E36" s="82">
        <f t="array" ref="E36">INDEX('Database Mitra'!$R$2:$R1009,MATCH(A36,'Database Mitra'!$B$2:$B1009,0))</f>
        <v>31182</v>
      </c>
      <c r="F36" s="10" t="e">
        <f t="shared" ca="1" si="1"/>
        <v>#NAME?</v>
      </c>
      <c r="G36" s="10" t="e">
        <f t="array" ref="G36">INDEX('Database Mitra'!$E$2:$E1009,MATCH(A36,'Database Mitra'!$B$2:$B1009,0))</f>
        <v>#VALUE!</v>
      </c>
      <c r="H36" s="10" t="e">
        <f t="array" ref="H36">INDEX('Database Mitra'!$F$2:$F1009,MATCH(A36,'Database Mitra'!$B$2:$B1009,0))</f>
        <v>#VALUE!</v>
      </c>
    </row>
    <row r="37" spans="1:8" ht="12.5">
      <c r="A37" s="121">
        <v>610423110115</v>
      </c>
      <c r="B37" s="10" t="s">
        <v>537</v>
      </c>
      <c r="C37" s="10" t="e">
        <f ca="1">COUNTUNIQUEIFS('Alokasi Honor Hingga Sekarang'!D$2:D1009,'Alokasi Honor Hingga Sekarang'!C$2:C1009,A37)</f>
        <v>#NAME?</v>
      </c>
      <c r="D37" s="10" t="e">
        <f t="shared" ca="1" si="0"/>
        <v>#NAME?</v>
      </c>
      <c r="E37" s="82">
        <f t="array" ref="E37">INDEX('Database Mitra'!$R$2:$R1009,MATCH(A37,'Database Mitra'!$B$2:$B1009,0))</f>
        <v>38327</v>
      </c>
      <c r="F37" s="10" t="e">
        <f t="shared" ca="1" si="1"/>
        <v>#NAME?</v>
      </c>
      <c r="G37" s="10" t="e">
        <f t="array" ref="G37">INDEX('Database Mitra'!$E$2:$E1009,MATCH(A37,'Database Mitra'!$B$2:$B1009,0))</f>
        <v>#VALUE!</v>
      </c>
      <c r="H37" s="10" t="e">
        <f t="array" ref="H37">INDEX('Database Mitra'!$F$2:$F1009,MATCH(A37,'Database Mitra'!$B$2:$B1009,0))</f>
        <v>#VALUE!</v>
      </c>
    </row>
    <row r="38" spans="1:8" ht="12.5">
      <c r="A38" s="121">
        <v>610423040022</v>
      </c>
      <c r="B38" s="10" t="s">
        <v>543</v>
      </c>
      <c r="C38" s="10" t="e">
        <f ca="1">COUNTUNIQUEIFS('Alokasi Honor Hingga Sekarang'!D$2:D1009,'Alokasi Honor Hingga Sekarang'!C$2:C1009,A38)</f>
        <v>#NAME?</v>
      </c>
      <c r="D38" s="10" t="e">
        <f t="shared" ca="1" si="0"/>
        <v>#NAME?</v>
      </c>
      <c r="E38" s="82">
        <f t="array" ref="E38">INDEX('Database Mitra'!$R$2:$R1009,MATCH(A38,'Database Mitra'!$B$2:$B1009,0))</f>
        <v>35815</v>
      </c>
      <c r="F38" s="10" t="e">
        <f t="shared" ca="1" si="1"/>
        <v>#NAME?</v>
      </c>
      <c r="G38" s="10" t="e">
        <f t="array" ref="G38">INDEX('Database Mitra'!$E$2:$E1009,MATCH(A38,'Database Mitra'!$B$2:$B1009,0))</f>
        <v>#VALUE!</v>
      </c>
      <c r="H38" s="10" t="e">
        <f t="array" ref="H38">INDEX('Database Mitra'!$F$2:$F1009,MATCH(A38,'Database Mitra'!$B$2:$B1009,0))</f>
        <v>#VALUE!</v>
      </c>
    </row>
    <row r="39" spans="1:8" ht="12.5">
      <c r="A39" s="121">
        <v>610422100016</v>
      </c>
      <c r="B39" s="10" t="s">
        <v>550</v>
      </c>
      <c r="C39" s="10" t="e">
        <f ca="1">COUNTUNIQUEIFS('Alokasi Honor Hingga Sekarang'!D$2:D1009,'Alokasi Honor Hingga Sekarang'!C$2:C1009,A39)</f>
        <v>#NAME?</v>
      </c>
      <c r="D39" s="10" t="e">
        <f t="shared" ca="1" si="0"/>
        <v>#NAME?</v>
      </c>
      <c r="E39" s="82">
        <f t="array" ref="E39">INDEX('Database Mitra'!$R$2:$R1009,MATCH(A39,'Database Mitra'!$B$2:$B1009,0))</f>
        <v>37531</v>
      </c>
      <c r="F39" s="10" t="e">
        <f t="shared" ca="1" si="1"/>
        <v>#NAME?</v>
      </c>
      <c r="G39" s="10" t="e">
        <f t="array" ref="G39">INDEX('Database Mitra'!$E$2:$E1009,MATCH(A39,'Database Mitra'!$B$2:$B1009,0))</f>
        <v>#VALUE!</v>
      </c>
      <c r="H39" s="10" t="e">
        <f t="array" ref="H39">INDEX('Database Mitra'!$F$2:$F1009,MATCH(A39,'Database Mitra'!$B$2:$B1009,0))</f>
        <v>#VALUE!</v>
      </c>
    </row>
    <row r="40" spans="1:8" ht="12.5">
      <c r="A40" s="121">
        <v>610423110107</v>
      </c>
      <c r="B40" s="10" t="s">
        <v>556</v>
      </c>
      <c r="C40" s="10" t="e">
        <f ca="1">COUNTUNIQUEIFS('Alokasi Honor Hingga Sekarang'!D$2:D1009,'Alokasi Honor Hingga Sekarang'!C$2:C1009,A40)</f>
        <v>#NAME?</v>
      </c>
      <c r="D40" s="10" t="e">
        <f t="shared" ca="1" si="0"/>
        <v>#NAME?</v>
      </c>
      <c r="E40" s="82">
        <f t="array" ref="E40">INDEX('Database Mitra'!$R$2:$R1009,MATCH(A40,'Database Mitra'!$B$2:$B1009,0))</f>
        <v>37015</v>
      </c>
      <c r="F40" s="10" t="e">
        <f t="shared" ca="1" si="1"/>
        <v>#NAME?</v>
      </c>
      <c r="G40" s="10" t="e">
        <f t="array" ref="G40">INDEX('Database Mitra'!$E$2:$E1009,MATCH(A40,'Database Mitra'!$B$2:$B1009,0))</f>
        <v>#VALUE!</v>
      </c>
      <c r="H40" s="10" t="e">
        <f t="array" ref="H40">INDEX('Database Mitra'!$F$2:$F1009,MATCH(A40,'Database Mitra'!$B$2:$B1009,0))</f>
        <v>#VALUE!</v>
      </c>
    </row>
    <row r="41" spans="1:8" ht="12.5">
      <c r="A41" s="121">
        <v>610423110054</v>
      </c>
      <c r="B41" s="10" t="s">
        <v>564</v>
      </c>
      <c r="C41" s="10" t="e">
        <f ca="1">COUNTUNIQUEIFS('Alokasi Honor Hingga Sekarang'!D$2:D1009,'Alokasi Honor Hingga Sekarang'!C$2:C1009,A41)</f>
        <v>#NAME?</v>
      </c>
      <c r="D41" s="10" t="e">
        <f t="shared" ca="1" si="0"/>
        <v>#NAME?</v>
      </c>
      <c r="E41" s="82">
        <f t="array" ref="E41">INDEX('Database Mitra'!$R$2:$R1009,MATCH(A41,'Database Mitra'!$B$2:$B1009,0))</f>
        <v>37080</v>
      </c>
      <c r="F41" s="10" t="e">
        <f t="shared" ca="1" si="1"/>
        <v>#NAME?</v>
      </c>
      <c r="G41" s="10" t="str">
        <f t="array" ref="G41">INDEX('Database Mitra'!$E$2:$E1009,MATCH(A41,'Database Mitra'!$B$2:$B1009,0))</f>
        <v>PONTIANAK UTARA</v>
      </c>
      <c r="H41" s="10" t="str">
        <f t="array" ref="H41">INDEX('Database Mitra'!$F$2:$F1009,MATCH(A41,'Database Mitra'!$B$2:$B1009,0))</f>
        <v>BATU LAYANG</v>
      </c>
    </row>
    <row r="42" spans="1:8" ht="12.5">
      <c r="A42" s="121">
        <v>610422100177</v>
      </c>
      <c r="B42" s="10" t="s">
        <v>571</v>
      </c>
      <c r="C42" s="10" t="e">
        <f ca="1">COUNTUNIQUEIFS('Alokasi Honor Hingga Sekarang'!D$2:D1009,'Alokasi Honor Hingga Sekarang'!C$2:C1009,A42)</f>
        <v>#NAME?</v>
      </c>
      <c r="D42" s="10" t="e">
        <f t="shared" ca="1" si="0"/>
        <v>#NAME?</v>
      </c>
      <c r="E42" s="82">
        <f t="array" ref="E42">INDEX('Database Mitra'!$R$2:$R1009,MATCH(A42,'Database Mitra'!$B$2:$B1009,0))</f>
        <v>35839</v>
      </c>
      <c r="F42" s="10" t="e">
        <f t="shared" ca="1" si="1"/>
        <v>#NAME?</v>
      </c>
      <c r="G42" s="10" t="e">
        <f t="array" ref="G42">INDEX('Database Mitra'!$E$2:$E1009,MATCH(A42,'Database Mitra'!$B$2:$B1009,0))</f>
        <v>#VALUE!</v>
      </c>
      <c r="H42" s="10" t="e">
        <f t="array" ref="H42">INDEX('Database Mitra'!$F$2:$F1009,MATCH(A42,'Database Mitra'!$B$2:$B1009,0))</f>
        <v>#VALUE!</v>
      </c>
    </row>
    <row r="43" spans="1:8" ht="12.5">
      <c r="A43" s="121">
        <v>610423020003</v>
      </c>
      <c r="B43" s="10" t="s">
        <v>578</v>
      </c>
      <c r="C43" s="10" t="e">
        <f ca="1">COUNTUNIQUEIFS('Alokasi Honor Hingga Sekarang'!D$2:D1009,'Alokasi Honor Hingga Sekarang'!C$2:C1009,A43)</f>
        <v>#NAME?</v>
      </c>
      <c r="D43" s="10" t="e">
        <f t="shared" ca="1" si="0"/>
        <v>#NAME?</v>
      </c>
      <c r="E43" s="82">
        <f t="array" ref="E43">INDEX('Database Mitra'!$R$2:$R1009,MATCH(A43,'Database Mitra'!$B$2:$B1009,0))</f>
        <v>34632</v>
      </c>
      <c r="F43" s="10" t="e">
        <f t="shared" ca="1" si="1"/>
        <v>#NAME?</v>
      </c>
      <c r="G43" s="10" t="e">
        <f t="array" ref="G43">INDEX('Database Mitra'!$E$2:$E1009,MATCH(A43,'Database Mitra'!$B$2:$B1009,0))</f>
        <v>#VALUE!</v>
      </c>
      <c r="H43" s="10" t="e">
        <f t="array" ref="H43">INDEX('Database Mitra'!$F$2:$F1009,MATCH(A43,'Database Mitra'!$B$2:$B1009,0))</f>
        <v>#VALUE!</v>
      </c>
    </row>
    <row r="44" spans="1:8" ht="12.5">
      <c r="A44" s="121">
        <v>610422100233</v>
      </c>
      <c r="B44" s="10" t="s">
        <v>5916</v>
      </c>
      <c r="C44" s="10" t="e">
        <f ca="1">COUNTUNIQUEIFS('Alokasi Honor Hingga Sekarang'!D$2:D1009,'Alokasi Honor Hingga Sekarang'!C$2:C1009,A44)</f>
        <v>#NAME?</v>
      </c>
      <c r="D44" s="10" t="e">
        <f t="shared" ca="1" si="0"/>
        <v>#NAME?</v>
      </c>
      <c r="E44" s="82">
        <f t="array" ref="E44">INDEX('Database Mitra'!$R$2:$R1009,MATCH(A44,'Database Mitra'!$B$2:$B1009,0))</f>
        <v>37497</v>
      </c>
      <c r="F44" s="10" t="e">
        <f t="shared" ca="1" si="1"/>
        <v>#NAME?</v>
      </c>
      <c r="G44" s="10" t="e">
        <f t="array" ref="G44">INDEX('Database Mitra'!$E$2:$E1009,MATCH(A44,'Database Mitra'!$B$2:$B1009,0))</f>
        <v>#VALUE!</v>
      </c>
      <c r="H44" s="10" t="e">
        <f t="array" ref="H44">INDEX('Database Mitra'!$F$2:$F1009,MATCH(A44,'Database Mitra'!$B$2:$B1009,0))</f>
        <v>#VALUE!</v>
      </c>
    </row>
    <row r="45" spans="1:8" ht="12.5">
      <c r="A45" s="121">
        <v>610423110079</v>
      </c>
      <c r="B45" s="10" t="s">
        <v>5917</v>
      </c>
      <c r="C45" s="10" t="e">
        <f ca="1">COUNTUNIQUEIFS('Alokasi Honor Hingga Sekarang'!D$2:D1009,'Alokasi Honor Hingga Sekarang'!C$2:C1009,A45)</f>
        <v>#NAME?</v>
      </c>
      <c r="D45" s="10" t="e">
        <f t="shared" ca="1" si="0"/>
        <v>#NAME?</v>
      </c>
      <c r="E45" s="82">
        <f t="array" ref="E45">INDEX('Database Mitra'!$R$2:$R1009,MATCH(A45,'Database Mitra'!$B$2:$B1009,0))</f>
        <v>36132</v>
      </c>
      <c r="F45" s="10" t="e">
        <f t="shared" ca="1" si="1"/>
        <v>#NAME?</v>
      </c>
      <c r="G45" s="10" t="str">
        <f t="array" ref="G45">INDEX('Database Mitra'!$E$2:$E1009,MATCH(A45,'Database Mitra'!$B$2:$B1009,0))</f>
        <v>PONTIANAK BARAT</v>
      </c>
      <c r="H45" s="10" t="str">
        <f t="array" ref="H45">INDEX('Database Mitra'!$F$2:$F1009,MATCH(A45,'Database Mitra'!$B$2:$B1009,0))</f>
        <v>SUNGAI BELIUNG</v>
      </c>
    </row>
    <row r="46" spans="1:8" ht="12.5">
      <c r="A46" s="121">
        <v>610423110157</v>
      </c>
      <c r="B46" s="10" t="s">
        <v>607</v>
      </c>
      <c r="C46" s="10" t="e">
        <f ca="1">COUNTUNIQUEIFS('Alokasi Honor Hingga Sekarang'!D$2:D1009,'Alokasi Honor Hingga Sekarang'!C$2:C1009,A46)</f>
        <v>#NAME?</v>
      </c>
      <c r="D46" s="10" t="e">
        <f t="shared" ca="1" si="0"/>
        <v>#NAME?</v>
      </c>
      <c r="E46" s="11">
        <f t="array" ref="E46">INDEX('Database Mitra'!$R$2:$R1009,MATCH(A46,'Database Mitra'!$B$2:$B1009,0))</f>
        <v>34993</v>
      </c>
      <c r="F46" s="10" t="e">
        <f t="shared" ca="1" si="1"/>
        <v>#NAME?</v>
      </c>
      <c r="G46" s="10" t="e">
        <f t="array" ref="G46">INDEX('Database Mitra'!$E$2:$E1009,MATCH(A46,'Database Mitra'!$B$2:$B1009,0))</f>
        <v>#VALUE!</v>
      </c>
      <c r="H46" s="10" t="e">
        <f t="array" ref="H46">INDEX('Database Mitra'!$F$2:$F1009,MATCH(A46,'Database Mitra'!$B$2:$B1009,0))</f>
        <v>#VALUE!</v>
      </c>
    </row>
    <row r="47" spans="1:8" ht="12.5">
      <c r="A47" s="121">
        <v>610422100129</v>
      </c>
      <c r="B47" s="10" t="s">
        <v>607</v>
      </c>
      <c r="C47" s="10" t="e">
        <f ca="1">COUNTUNIQUEIFS('Alokasi Honor Hingga Sekarang'!D$2:D1009,'Alokasi Honor Hingga Sekarang'!C$2:C1009,A47)</f>
        <v>#NAME?</v>
      </c>
      <c r="D47" s="10" t="e">
        <f t="shared" ca="1" si="0"/>
        <v>#NAME?</v>
      </c>
      <c r="E47" s="82">
        <f t="array" ref="E47">INDEX('Database Mitra'!$R$2:$R1009,MATCH(A47,'Database Mitra'!$B$2:$B1009,0))</f>
        <v>35962</v>
      </c>
      <c r="F47" s="10" t="e">
        <f t="shared" ca="1" si="1"/>
        <v>#NAME?</v>
      </c>
      <c r="G47" s="10" t="e">
        <f t="array" ref="G47">INDEX('Database Mitra'!$E$2:$E1009,MATCH(A47,'Database Mitra'!$B$2:$B1009,0))</f>
        <v>#VALUE!</v>
      </c>
      <c r="H47" s="10" t="e">
        <f t="array" ref="H47">INDEX('Database Mitra'!$F$2:$F1009,MATCH(A47,'Database Mitra'!$B$2:$B1009,0))</f>
        <v>#VALUE!</v>
      </c>
    </row>
    <row r="48" spans="1:8" ht="12.5">
      <c r="A48" s="121">
        <v>610422100301</v>
      </c>
      <c r="B48" s="10" t="s">
        <v>612</v>
      </c>
      <c r="C48" s="10" t="e">
        <f ca="1">COUNTUNIQUEIFS('Alokasi Honor Hingga Sekarang'!D$2:D1009,'Alokasi Honor Hingga Sekarang'!C$2:C1009,A48)</f>
        <v>#NAME?</v>
      </c>
      <c r="D48" s="10" t="e">
        <f t="shared" ca="1" si="0"/>
        <v>#NAME?</v>
      </c>
      <c r="E48" s="82">
        <f t="array" ref="E48">INDEX('Database Mitra'!$R$2:$R1009,MATCH(A48,'Database Mitra'!$B$2:$B1009,0))</f>
        <v>33456</v>
      </c>
      <c r="F48" s="10" t="e">
        <f t="shared" ca="1" si="1"/>
        <v>#NAME?</v>
      </c>
      <c r="G48" s="10" t="e">
        <f t="array" ref="G48">INDEX('Database Mitra'!$E$2:$E1009,MATCH(A48,'Database Mitra'!$B$2:$B1009,0))</f>
        <v>#VALUE!</v>
      </c>
      <c r="H48" s="10" t="e">
        <f t="array" ref="H48">INDEX('Database Mitra'!$F$2:$F1009,MATCH(A48,'Database Mitra'!$B$2:$B1009,0))</f>
        <v>#VALUE!</v>
      </c>
    </row>
    <row r="49" spans="1:8" ht="12.5">
      <c r="A49" s="121">
        <v>610423110186</v>
      </c>
      <c r="B49" s="10" t="s">
        <v>5918</v>
      </c>
      <c r="C49" s="10" t="e">
        <f ca="1">COUNTUNIQUEIFS('Alokasi Honor Hingga Sekarang'!D$2:D1009,'Alokasi Honor Hingga Sekarang'!C$2:C1009,A49)</f>
        <v>#NAME?</v>
      </c>
      <c r="D49" s="10" t="e">
        <f t="shared" ca="1" si="0"/>
        <v>#NAME?</v>
      </c>
      <c r="E49" s="82">
        <f t="array" ref="E49">INDEX('Database Mitra'!$R$2:$R1009,MATCH(A49,'Database Mitra'!$B$2:$B1009,0))</f>
        <v>36509</v>
      </c>
      <c r="F49" s="10" t="e">
        <f t="shared" ca="1" si="1"/>
        <v>#NAME?</v>
      </c>
      <c r="G49" s="10" t="e">
        <f t="array" ref="G49">INDEX('Database Mitra'!$E$2:$E1009,MATCH(A49,'Database Mitra'!$B$2:$B1009,0))</f>
        <v>#VALUE!</v>
      </c>
      <c r="H49" s="10" t="e">
        <f t="array" ref="H49">INDEX('Database Mitra'!$F$2:$F1009,MATCH(A49,'Database Mitra'!$B$2:$B1009,0))</f>
        <v>#VALUE!</v>
      </c>
    </row>
    <row r="50" spans="1:8" ht="12.5">
      <c r="A50" s="121">
        <v>610422100274</v>
      </c>
      <c r="B50" s="10" t="s">
        <v>624</v>
      </c>
      <c r="C50" s="10" t="e">
        <f ca="1">COUNTUNIQUEIFS('Alokasi Honor Hingga Sekarang'!D$2:D1009,'Alokasi Honor Hingga Sekarang'!C$2:C1009,A50)</f>
        <v>#NAME?</v>
      </c>
      <c r="D50" s="10" t="e">
        <f t="shared" ca="1" si="0"/>
        <v>#NAME?</v>
      </c>
      <c r="E50" s="82">
        <f t="array" ref="E50">INDEX('Database Mitra'!$R$2:$R1009,MATCH(A50,'Database Mitra'!$B$2:$B1009,0))</f>
        <v>36436</v>
      </c>
      <c r="F50" s="10" t="e">
        <f t="shared" ca="1" si="1"/>
        <v>#NAME?</v>
      </c>
      <c r="G50" s="10" t="e">
        <f t="array" ref="G50">INDEX('Database Mitra'!$E$2:$E1009,MATCH(A50,'Database Mitra'!$B$2:$B1009,0))</f>
        <v>#VALUE!</v>
      </c>
      <c r="H50" s="10" t="e">
        <f t="array" ref="H50">INDEX('Database Mitra'!$F$2:$F1009,MATCH(A50,'Database Mitra'!$B$2:$B1009,0))</f>
        <v>#VALUE!</v>
      </c>
    </row>
    <row r="51" spans="1:8" ht="12.5">
      <c r="A51" s="121">
        <v>610422100198</v>
      </c>
      <c r="B51" s="10" t="s">
        <v>630</v>
      </c>
      <c r="C51" s="10" t="e">
        <f ca="1">COUNTUNIQUEIFS('Alokasi Honor Hingga Sekarang'!D$2:D1009,'Alokasi Honor Hingga Sekarang'!C$2:C1009,A51)</f>
        <v>#NAME?</v>
      </c>
      <c r="D51" s="10" t="e">
        <f t="shared" ca="1" si="0"/>
        <v>#NAME?</v>
      </c>
      <c r="E51" s="82">
        <f t="array" ref="E51">INDEX('Database Mitra'!$R$2:$R1009,MATCH(A51,'Database Mitra'!$B$2:$B1009,0))</f>
        <v>36231</v>
      </c>
      <c r="F51" s="10" t="e">
        <f t="shared" ca="1" si="1"/>
        <v>#NAME?</v>
      </c>
      <c r="G51" s="10" t="e">
        <f t="array" ref="G51">INDEX('Database Mitra'!$E$2:$E1009,MATCH(A51,'Database Mitra'!$B$2:$B1009,0))</f>
        <v>#VALUE!</v>
      </c>
      <c r="H51" s="10" t="e">
        <f t="array" ref="H51">INDEX('Database Mitra'!$F$2:$F1009,MATCH(A51,'Database Mitra'!$B$2:$B1009,0))</f>
        <v>#VALUE!</v>
      </c>
    </row>
    <row r="52" spans="1:8" ht="12.5">
      <c r="A52" s="121">
        <v>610422100047</v>
      </c>
      <c r="B52" s="10" t="s">
        <v>635</v>
      </c>
      <c r="C52" s="10" t="e">
        <f ca="1">COUNTUNIQUEIFS('Alokasi Honor Hingga Sekarang'!D$2:D1009,'Alokasi Honor Hingga Sekarang'!C$2:C1009,A52)</f>
        <v>#NAME?</v>
      </c>
      <c r="D52" s="10" t="e">
        <f t="shared" ca="1" si="0"/>
        <v>#NAME?</v>
      </c>
      <c r="E52" s="11">
        <f t="array" ref="E52">INDEX('Database Mitra'!$R$2:$R1009,MATCH(A52,'Database Mitra'!$B$2:$B1009,0))</f>
        <v>36098</v>
      </c>
      <c r="F52" s="10" t="e">
        <f t="shared" ca="1" si="1"/>
        <v>#NAME?</v>
      </c>
      <c r="G52" s="10" t="e">
        <f t="array" ref="G52">INDEX('Database Mitra'!$E$2:$E1009,MATCH(A52,'Database Mitra'!$B$2:$B1009,0))</f>
        <v>#VALUE!</v>
      </c>
      <c r="H52" s="10" t="e">
        <f t="array" ref="H52">INDEX('Database Mitra'!$F$2:$F1009,MATCH(A52,'Database Mitra'!$B$2:$B1009,0))</f>
        <v>#VALUE!</v>
      </c>
    </row>
    <row r="53" spans="1:8" ht="12.5">
      <c r="A53" s="121">
        <v>610423110065</v>
      </c>
      <c r="B53" s="10" t="s">
        <v>643</v>
      </c>
      <c r="C53" s="10" t="e">
        <f ca="1">COUNTUNIQUEIFS('Alokasi Honor Hingga Sekarang'!D$2:D1009,'Alokasi Honor Hingga Sekarang'!C$2:C1009,A53)</f>
        <v>#NAME?</v>
      </c>
      <c r="D53" s="10" t="e">
        <f t="shared" ca="1" si="0"/>
        <v>#NAME?</v>
      </c>
      <c r="E53" s="82">
        <f t="array" ref="E53">INDEX('Database Mitra'!$R$2:$R1009,MATCH(A53,'Database Mitra'!$B$2:$B1009,0))</f>
        <v>37383</v>
      </c>
      <c r="F53" s="10" t="e">
        <f t="shared" ca="1" si="1"/>
        <v>#NAME?</v>
      </c>
      <c r="G53" s="10" t="str">
        <f t="array" ref="G53">INDEX('Database Mitra'!$E$2:$E1009,MATCH(A53,'Database Mitra'!$B$2:$B1009,0))</f>
        <v>PONTIANAK TIMUR</v>
      </c>
      <c r="H53" s="10" t="str">
        <f t="array" ref="H53">INDEX('Database Mitra'!$F$2:$F1009,MATCH(A53,'Database Mitra'!$B$2:$B1009,0))</f>
        <v>SAIGON</v>
      </c>
    </row>
    <row r="54" spans="1:8" ht="12.5">
      <c r="A54" s="121">
        <v>610422100210</v>
      </c>
      <c r="B54" s="10" t="s">
        <v>5919</v>
      </c>
      <c r="C54" s="10" t="e">
        <f ca="1">COUNTUNIQUEIFS('Alokasi Honor Hingga Sekarang'!D$2:D1009,'Alokasi Honor Hingga Sekarang'!C$2:C1009,A54)</f>
        <v>#NAME?</v>
      </c>
      <c r="D54" s="10" t="e">
        <f t="shared" ca="1" si="0"/>
        <v>#NAME?</v>
      </c>
      <c r="E54" s="11">
        <f t="array" ref="E54">INDEX('Database Mitra'!$R$2:$R1009,MATCH(A54,'Database Mitra'!$B$2:$B1009,0))</f>
        <v>37231</v>
      </c>
      <c r="F54" s="10" t="e">
        <f t="shared" ca="1" si="1"/>
        <v>#NAME?</v>
      </c>
      <c r="G54" s="10" t="e">
        <f t="array" ref="G54">INDEX('Database Mitra'!$E$2:$E1009,MATCH(A54,'Database Mitra'!$B$2:$B1009,0))</f>
        <v>#VALUE!</v>
      </c>
      <c r="H54" s="10" t="e">
        <f t="array" ref="H54">INDEX('Database Mitra'!$F$2:$F1009,MATCH(A54,'Database Mitra'!$B$2:$B1009,0))</f>
        <v>#VALUE!</v>
      </c>
    </row>
    <row r="55" spans="1:8" ht="12.5">
      <c r="A55" s="121">
        <v>610423110122</v>
      </c>
      <c r="B55" s="10" t="s">
        <v>5920</v>
      </c>
      <c r="C55" s="10" t="e">
        <f ca="1">COUNTUNIQUEIFS('Alokasi Honor Hingga Sekarang'!D$2:D1009,'Alokasi Honor Hingga Sekarang'!C$2:C1009,A55)</f>
        <v>#NAME?</v>
      </c>
      <c r="D55" s="10" t="e">
        <f t="shared" ca="1" si="0"/>
        <v>#NAME?</v>
      </c>
      <c r="E55" s="82">
        <f t="array" ref="E55">INDEX('Database Mitra'!$R$2:$R1009,MATCH(A55,'Database Mitra'!$B$2:$B1009,0))</f>
        <v>33335</v>
      </c>
      <c r="F55" s="10" t="e">
        <f t="shared" ca="1" si="1"/>
        <v>#NAME?</v>
      </c>
      <c r="G55" s="10" t="e">
        <f t="array" ref="G55">INDEX('Database Mitra'!$E$2:$E1009,MATCH(A55,'Database Mitra'!$B$2:$B1009,0))</f>
        <v>#VALUE!</v>
      </c>
      <c r="H55" s="10" t="e">
        <f t="array" ref="H55">INDEX('Database Mitra'!$F$2:$F1009,MATCH(A55,'Database Mitra'!$B$2:$B1009,0))</f>
        <v>#VALUE!</v>
      </c>
    </row>
    <row r="56" spans="1:8" ht="12.5">
      <c r="A56" s="121">
        <v>610422040070</v>
      </c>
      <c r="B56" s="10" t="s">
        <v>664</v>
      </c>
      <c r="C56" s="10" t="e">
        <f ca="1">COUNTUNIQUEIFS('Alokasi Honor Hingga Sekarang'!D$2:D1009,'Alokasi Honor Hingga Sekarang'!C$2:C1009,A56)</f>
        <v>#NAME?</v>
      </c>
      <c r="D56" s="10" t="e">
        <f t="shared" ca="1" si="0"/>
        <v>#NAME?</v>
      </c>
      <c r="E56" s="82">
        <f t="array" ref="E56">INDEX('Database Mitra'!$R$2:$R1009,MATCH(A56,'Database Mitra'!$B$2:$B1009,0))</f>
        <v>33799</v>
      </c>
      <c r="F56" s="10" t="e">
        <f t="shared" ca="1" si="1"/>
        <v>#NAME?</v>
      </c>
      <c r="G56" s="10" t="e">
        <f t="array" ref="G56">INDEX('Database Mitra'!$E$2:$E1009,MATCH(A56,'Database Mitra'!$B$2:$B1009,0))</f>
        <v>#VALUE!</v>
      </c>
      <c r="H56" s="10" t="e">
        <f t="array" ref="H56">INDEX('Database Mitra'!$F$2:$F1009,MATCH(A56,'Database Mitra'!$B$2:$B1009,0))</f>
        <v>#VALUE!</v>
      </c>
    </row>
    <row r="57" spans="1:8" ht="12.5">
      <c r="A57" s="121">
        <v>610422100079</v>
      </c>
      <c r="B57" s="10" t="s">
        <v>5921</v>
      </c>
      <c r="C57" s="10" t="e">
        <f ca="1">COUNTUNIQUEIFS('Alokasi Honor Hingga Sekarang'!D$2:D1009,'Alokasi Honor Hingga Sekarang'!C$2:C1009,A57)</f>
        <v>#NAME?</v>
      </c>
      <c r="D57" s="10" t="e">
        <f t="shared" ca="1" si="0"/>
        <v>#NAME?</v>
      </c>
      <c r="E57" s="82">
        <f t="array" ref="E57">INDEX('Database Mitra'!$R$2:$R1009,MATCH(A57,'Database Mitra'!$B$2:$B1009,0))</f>
        <v>30289</v>
      </c>
      <c r="F57" s="10" t="e">
        <f t="shared" ca="1" si="1"/>
        <v>#NAME?</v>
      </c>
      <c r="G57" s="10" t="e">
        <f t="array" ref="G57">INDEX('Database Mitra'!$E$2:$E1009,MATCH(A57,'Database Mitra'!$B$2:$B1009,0))</f>
        <v>#VALUE!</v>
      </c>
      <c r="H57" s="10" t="e">
        <f t="array" ref="H57">INDEX('Database Mitra'!$F$2:$F1009,MATCH(A57,'Database Mitra'!$B$2:$B1009,0))</f>
        <v>#VALUE!</v>
      </c>
    </row>
    <row r="58" spans="1:8" ht="12.5">
      <c r="A58" s="121">
        <v>610422100217</v>
      </c>
      <c r="B58" s="10" t="s">
        <v>677</v>
      </c>
      <c r="C58" s="10" t="e">
        <f ca="1">COUNTUNIQUEIFS('Alokasi Honor Hingga Sekarang'!D$2:D1009,'Alokasi Honor Hingga Sekarang'!C$2:C1009,A58)</f>
        <v>#NAME?</v>
      </c>
      <c r="D58" s="10" t="e">
        <f t="shared" ca="1" si="0"/>
        <v>#NAME?</v>
      </c>
      <c r="E58" s="82">
        <f t="array" ref="E58">INDEX('Database Mitra'!$R$2:$R1009,MATCH(A58,'Database Mitra'!$B$2:$B1009,0))</f>
        <v>33855</v>
      </c>
      <c r="F58" s="10" t="e">
        <f t="shared" ca="1" si="1"/>
        <v>#NAME?</v>
      </c>
      <c r="G58" s="10" t="e">
        <f t="array" ref="G58">INDEX('Database Mitra'!$E$2:$E1009,MATCH(A58,'Database Mitra'!$B$2:$B1009,0))</f>
        <v>#VALUE!</v>
      </c>
      <c r="H58" s="10" t="e">
        <f t="array" ref="H58">INDEX('Database Mitra'!$F$2:$F1009,MATCH(A58,'Database Mitra'!$B$2:$B1009,0))</f>
        <v>#VALUE!</v>
      </c>
    </row>
    <row r="59" spans="1:8" ht="12.5">
      <c r="A59" s="121">
        <v>610423110158</v>
      </c>
      <c r="B59" s="10" t="s">
        <v>683</v>
      </c>
      <c r="C59" s="10" t="e">
        <f ca="1">COUNTUNIQUEIFS('Alokasi Honor Hingga Sekarang'!D$2:D1009,'Alokasi Honor Hingga Sekarang'!C$2:C1009,A59)</f>
        <v>#NAME?</v>
      </c>
      <c r="D59" s="10" t="e">
        <f t="shared" ca="1" si="0"/>
        <v>#NAME?</v>
      </c>
      <c r="E59" s="11">
        <f t="array" ref="E59">INDEX('Database Mitra'!$R$2:$R1009,MATCH(A59,'Database Mitra'!$B$2:$B1009,0))</f>
        <v>32090</v>
      </c>
      <c r="F59" s="10" t="e">
        <f t="shared" ca="1" si="1"/>
        <v>#NAME?</v>
      </c>
      <c r="G59" s="10" t="e">
        <f t="array" ref="G59">INDEX('Database Mitra'!$E$2:$E1009,MATCH(A59,'Database Mitra'!$B$2:$B1009,0))</f>
        <v>#VALUE!</v>
      </c>
      <c r="H59" s="10" t="e">
        <f t="array" ref="H59">INDEX('Database Mitra'!$F$2:$F1009,MATCH(A59,'Database Mitra'!$B$2:$B1009,0))</f>
        <v>#VALUE!</v>
      </c>
    </row>
    <row r="60" spans="1:8" ht="12.5">
      <c r="A60" s="121">
        <v>610423110164</v>
      </c>
      <c r="B60" s="10" t="s">
        <v>690</v>
      </c>
      <c r="C60" s="10" t="e">
        <f ca="1">COUNTUNIQUEIFS('Alokasi Honor Hingga Sekarang'!D$2:D1009,'Alokasi Honor Hingga Sekarang'!C$2:C1009,A60)</f>
        <v>#NAME?</v>
      </c>
      <c r="D60" s="10" t="e">
        <f t="shared" ca="1" si="0"/>
        <v>#NAME?</v>
      </c>
      <c r="E60" s="11">
        <f t="array" ref="E60">INDEX('Database Mitra'!$R$2:$R1009,MATCH(A60,'Database Mitra'!$B$2:$B1009,0))</f>
        <v>38501</v>
      </c>
      <c r="F60" s="10" t="e">
        <f t="shared" ca="1" si="1"/>
        <v>#NAME?</v>
      </c>
      <c r="G60" s="10" t="e">
        <f t="array" ref="G60">INDEX('Database Mitra'!$E$2:$E1009,MATCH(A60,'Database Mitra'!$B$2:$B1009,0))</f>
        <v>#VALUE!</v>
      </c>
      <c r="H60" s="10" t="e">
        <f t="array" ref="H60">INDEX('Database Mitra'!$F$2:$F1009,MATCH(A60,'Database Mitra'!$B$2:$B1009,0))</f>
        <v>#VALUE!</v>
      </c>
    </row>
    <row r="61" spans="1:8" ht="12.5">
      <c r="A61" s="121">
        <v>610423110024</v>
      </c>
      <c r="B61" s="10" t="s">
        <v>5922</v>
      </c>
      <c r="C61" s="10" t="e">
        <f ca="1">COUNTUNIQUEIFS('Alokasi Honor Hingga Sekarang'!D$2:D1009,'Alokasi Honor Hingga Sekarang'!C$2:C1009,A61)</f>
        <v>#NAME?</v>
      </c>
      <c r="D61" s="10" t="e">
        <f t="shared" ca="1" si="0"/>
        <v>#NAME?</v>
      </c>
      <c r="E61" s="82">
        <f t="array" ref="E61">INDEX('Database Mitra'!$R$2:$R1009,MATCH(A61,'Database Mitra'!$B$2:$B1009,0))</f>
        <v>36082</v>
      </c>
      <c r="F61" s="10" t="e">
        <f t="shared" ca="1" si="1"/>
        <v>#NAME?</v>
      </c>
      <c r="G61" s="10" t="e">
        <f t="array" ref="G61">INDEX('Database Mitra'!$E$2:$E1009,MATCH(A61,'Database Mitra'!$B$2:$B1009,0))</f>
        <v>#VALUE!</v>
      </c>
      <c r="H61" s="10" t="e">
        <f t="array" ref="H61">INDEX('Database Mitra'!$F$2:$F1009,MATCH(A61,'Database Mitra'!$B$2:$B1009,0))</f>
        <v>#VALUE!</v>
      </c>
    </row>
    <row r="62" spans="1:8" ht="12.5">
      <c r="A62" s="121">
        <v>610422020025</v>
      </c>
      <c r="B62" s="10" t="s">
        <v>702</v>
      </c>
      <c r="C62" s="10" t="e">
        <f ca="1">COUNTUNIQUEIFS('Alokasi Honor Hingga Sekarang'!D$2:D1009,'Alokasi Honor Hingga Sekarang'!C$2:C1009,A62)</f>
        <v>#NAME?</v>
      </c>
      <c r="D62" s="10" t="e">
        <f t="shared" ca="1" si="0"/>
        <v>#NAME?</v>
      </c>
      <c r="E62" s="11">
        <f t="array" ref="E62">INDEX('Database Mitra'!$R$2:$R1009,MATCH(A62,'Database Mitra'!$B$2:$B1009,0))</f>
        <v>35374</v>
      </c>
      <c r="F62" s="10" t="e">
        <f t="shared" ca="1" si="1"/>
        <v>#NAME?</v>
      </c>
      <c r="G62" s="10" t="e">
        <f t="array" ref="G62">INDEX('Database Mitra'!$E$2:$E1009,MATCH(A62,'Database Mitra'!$B$2:$B1009,0))</f>
        <v>#VALUE!</v>
      </c>
      <c r="H62" s="10" t="e">
        <f t="array" ref="H62">INDEX('Database Mitra'!$F$2:$F1009,MATCH(A62,'Database Mitra'!$B$2:$B1009,0))</f>
        <v>#VALUE!</v>
      </c>
    </row>
    <row r="63" spans="1:8" ht="12.5">
      <c r="A63" s="121">
        <v>610422100215</v>
      </c>
      <c r="B63" s="10" t="s">
        <v>707</v>
      </c>
      <c r="C63" s="10" t="e">
        <f ca="1">COUNTUNIQUEIFS('Alokasi Honor Hingga Sekarang'!D$2:D1009,'Alokasi Honor Hingga Sekarang'!C$2:C1009,A63)</f>
        <v>#NAME?</v>
      </c>
      <c r="D63" s="10" t="e">
        <f t="shared" ca="1" si="0"/>
        <v>#NAME?</v>
      </c>
      <c r="E63" s="82">
        <f t="array" ref="E63">INDEX('Database Mitra'!$R$2:$R1009,MATCH(A63,'Database Mitra'!$B$2:$B1009,0))</f>
        <v>35153</v>
      </c>
      <c r="F63" s="10" t="e">
        <f t="shared" ca="1" si="1"/>
        <v>#NAME?</v>
      </c>
      <c r="G63" s="10" t="e">
        <f t="array" ref="G63">INDEX('Database Mitra'!$E$2:$E1009,MATCH(A63,'Database Mitra'!$B$2:$B1009,0))</f>
        <v>#VALUE!</v>
      </c>
      <c r="H63" s="10" t="e">
        <f t="array" ref="H63">INDEX('Database Mitra'!$F$2:$F1009,MATCH(A63,'Database Mitra'!$B$2:$B1009,0))</f>
        <v>#VALUE!</v>
      </c>
    </row>
    <row r="64" spans="1:8" ht="12.5">
      <c r="A64" s="121">
        <v>610423090024</v>
      </c>
      <c r="B64" s="10" t="s">
        <v>714</v>
      </c>
      <c r="C64" s="10" t="e">
        <f ca="1">COUNTUNIQUEIFS('Alokasi Honor Hingga Sekarang'!D$2:D1009,'Alokasi Honor Hingga Sekarang'!C$2:C1009,A64)</f>
        <v>#NAME?</v>
      </c>
      <c r="D64" s="10" t="e">
        <f t="shared" ca="1" si="0"/>
        <v>#NAME?</v>
      </c>
      <c r="E64" s="82">
        <f t="array" ref="E64">INDEX('Database Mitra'!$R$2:$R1009,MATCH(A64,'Database Mitra'!$B$2:$B1009,0))</f>
        <v>31458</v>
      </c>
      <c r="F64" s="10" t="e">
        <f t="shared" ca="1" si="1"/>
        <v>#NAME?</v>
      </c>
      <c r="G64" s="10" t="e">
        <f t="array" ref="G64">INDEX('Database Mitra'!$E$2:$E1009,MATCH(A64,'Database Mitra'!$B$2:$B1009,0))</f>
        <v>#VALUE!</v>
      </c>
      <c r="H64" s="10" t="e">
        <f t="array" ref="H64">INDEX('Database Mitra'!$F$2:$F1009,MATCH(A64,'Database Mitra'!$B$2:$B1009,0))</f>
        <v>#VALUE!</v>
      </c>
    </row>
    <row r="65" spans="1:8" ht="12.5">
      <c r="A65" s="121">
        <v>610423110129</v>
      </c>
      <c r="B65" s="10" t="s">
        <v>721</v>
      </c>
      <c r="C65" s="10" t="e">
        <f ca="1">COUNTUNIQUEIFS('Alokasi Honor Hingga Sekarang'!D$2:D1009,'Alokasi Honor Hingga Sekarang'!C$2:C1009,A65)</f>
        <v>#NAME?</v>
      </c>
      <c r="D65" s="10" t="e">
        <f t="shared" ca="1" si="0"/>
        <v>#NAME?</v>
      </c>
      <c r="E65" s="82">
        <f t="array" ref="E65">INDEX('Database Mitra'!$R$2:$R1009,MATCH(A65,'Database Mitra'!$B$2:$B1009,0))</f>
        <v>36665</v>
      </c>
      <c r="F65" s="10" t="e">
        <f t="shared" ca="1" si="1"/>
        <v>#NAME?</v>
      </c>
      <c r="G65" s="10" t="e">
        <f t="array" ref="G65">INDEX('Database Mitra'!$E$2:$E1009,MATCH(A65,'Database Mitra'!$B$2:$B1009,0))</f>
        <v>#VALUE!</v>
      </c>
      <c r="H65" s="10" t="e">
        <f t="array" ref="H65">INDEX('Database Mitra'!$F$2:$F1009,MATCH(A65,'Database Mitra'!$B$2:$B1009,0))</f>
        <v>#VALUE!</v>
      </c>
    </row>
    <row r="66" spans="1:8" ht="12.5">
      <c r="A66" s="121">
        <v>610422100269</v>
      </c>
      <c r="B66" s="10" t="s">
        <v>5923</v>
      </c>
      <c r="C66" s="10" t="e">
        <f ca="1">COUNTUNIQUEIFS('Alokasi Honor Hingga Sekarang'!D$2:D1009,'Alokasi Honor Hingga Sekarang'!C$2:C1009,A66)</f>
        <v>#NAME?</v>
      </c>
      <c r="D66" s="10" t="e">
        <f t="shared" ca="1" si="0"/>
        <v>#NAME?</v>
      </c>
      <c r="E66" s="82">
        <f t="array" ref="E66">INDEX('Database Mitra'!$R$2:$R1009,MATCH(A66,'Database Mitra'!$B$2:$B1009,0))</f>
        <v>37693</v>
      </c>
      <c r="F66" s="10" t="e">
        <f t="shared" ca="1" si="1"/>
        <v>#NAME?</v>
      </c>
      <c r="G66" s="10" t="e">
        <f t="array" ref="G66">INDEX('Database Mitra'!$E$2:$E1009,MATCH(A66,'Database Mitra'!$B$2:$B1009,0))</f>
        <v>#VALUE!</v>
      </c>
      <c r="H66" s="10" t="e">
        <f t="array" ref="H66">INDEX('Database Mitra'!$F$2:$F1009,MATCH(A66,'Database Mitra'!$B$2:$B1009,0))</f>
        <v>#VALUE!</v>
      </c>
    </row>
    <row r="67" spans="1:8" ht="12.5">
      <c r="A67" s="121">
        <v>610423040004</v>
      </c>
      <c r="B67" s="10" t="s">
        <v>731</v>
      </c>
      <c r="C67" s="10" t="e">
        <f ca="1">COUNTUNIQUEIFS('Alokasi Honor Hingga Sekarang'!D$2:D1009,'Alokasi Honor Hingga Sekarang'!C$2:C1009,A67)</f>
        <v>#NAME?</v>
      </c>
      <c r="D67" s="10" t="e">
        <f t="shared" ca="1" si="0"/>
        <v>#NAME?</v>
      </c>
      <c r="E67" s="82">
        <f t="array" ref="E67">INDEX('Database Mitra'!$R$2:$R1009,MATCH(A67,'Database Mitra'!$B$2:$B1009,0))</f>
        <v>34191</v>
      </c>
      <c r="F67" s="10" t="e">
        <f t="shared" ca="1" si="1"/>
        <v>#NAME?</v>
      </c>
      <c r="G67" s="10" t="e">
        <f t="array" ref="G67">INDEX('Database Mitra'!$E$2:$E1009,MATCH(A67,'Database Mitra'!$B$2:$B1009,0))</f>
        <v>#VALUE!</v>
      </c>
      <c r="H67" s="10" t="e">
        <f t="array" ref="H67">INDEX('Database Mitra'!$F$2:$F1009,MATCH(A67,'Database Mitra'!$B$2:$B1009,0))</f>
        <v>#VALUE!</v>
      </c>
    </row>
    <row r="68" spans="1:8" ht="12.5">
      <c r="A68" s="121">
        <v>610423110136</v>
      </c>
      <c r="B68" s="10" t="s">
        <v>737</v>
      </c>
      <c r="C68" s="10" t="e">
        <f ca="1">COUNTUNIQUEIFS('Alokasi Honor Hingga Sekarang'!D$2:D1009,'Alokasi Honor Hingga Sekarang'!C$2:C1009,A68)</f>
        <v>#NAME?</v>
      </c>
      <c r="D68" s="10" t="e">
        <f t="shared" ca="1" si="0"/>
        <v>#NAME?</v>
      </c>
      <c r="E68" s="11">
        <f t="array" ref="E68">INDEX('Database Mitra'!$R$2:$R1009,MATCH(A68,'Database Mitra'!$B$2:$B1009,0))</f>
        <v>35434</v>
      </c>
      <c r="F68" s="10" t="e">
        <f t="shared" ca="1" si="1"/>
        <v>#NAME?</v>
      </c>
      <c r="G68" s="10" t="e">
        <f t="array" ref="G68">INDEX('Database Mitra'!$E$2:$E1009,MATCH(A68,'Database Mitra'!$B$2:$B1009,0))</f>
        <v>#VALUE!</v>
      </c>
      <c r="H68" s="10" t="e">
        <f t="array" ref="H68">INDEX('Database Mitra'!$F$2:$F1009,MATCH(A68,'Database Mitra'!$B$2:$B1009,0))</f>
        <v>#VALUE!</v>
      </c>
    </row>
    <row r="69" spans="1:8" ht="12.5">
      <c r="A69" s="121">
        <v>610423110183</v>
      </c>
      <c r="B69" s="10" t="s">
        <v>5924</v>
      </c>
      <c r="C69" s="10" t="e">
        <f ca="1">COUNTUNIQUEIFS('Alokasi Honor Hingga Sekarang'!D$2:D1009,'Alokasi Honor Hingga Sekarang'!C$2:C1009,A69)</f>
        <v>#NAME?</v>
      </c>
      <c r="D69" s="10" t="e">
        <f t="shared" ca="1" si="0"/>
        <v>#NAME?</v>
      </c>
      <c r="E69" s="82">
        <f t="array" ref="E69">INDEX('Database Mitra'!$R$2:$R1009,MATCH(A69,'Database Mitra'!$B$2:$B1009,0))</f>
        <v>29171</v>
      </c>
      <c r="F69" s="10" t="e">
        <f t="shared" ca="1" si="1"/>
        <v>#NAME?</v>
      </c>
      <c r="G69" s="10" t="e">
        <f t="array" ref="G69">INDEX('Database Mitra'!$E$2:$E1009,MATCH(A69,'Database Mitra'!$B$2:$B1009,0))</f>
        <v>#VALUE!</v>
      </c>
      <c r="H69" s="10" t="e">
        <f t="array" ref="H69">INDEX('Database Mitra'!$F$2:$F1009,MATCH(A69,'Database Mitra'!$B$2:$B1009,0))</f>
        <v>#VALUE!</v>
      </c>
    </row>
    <row r="70" spans="1:8" ht="12.5">
      <c r="A70" s="121">
        <v>610422100142</v>
      </c>
      <c r="B70" s="10" t="s">
        <v>749</v>
      </c>
      <c r="C70" s="10" t="e">
        <f ca="1">COUNTUNIQUEIFS('Alokasi Honor Hingga Sekarang'!D$2:D1009,'Alokasi Honor Hingga Sekarang'!C$2:C1009,A70)</f>
        <v>#NAME?</v>
      </c>
      <c r="D70" s="10" t="e">
        <f t="shared" ca="1" si="0"/>
        <v>#NAME?</v>
      </c>
      <c r="E70" s="82">
        <f t="array" ref="E70">INDEX('Database Mitra'!$R$2:$R1009,MATCH(A70,'Database Mitra'!$B$2:$B1009,0))</f>
        <v>34529</v>
      </c>
      <c r="F70" s="10" t="e">
        <f t="shared" ca="1" si="1"/>
        <v>#NAME?</v>
      </c>
      <c r="G70" s="10" t="e">
        <f t="array" ref="G70">INDEX('Database Mitra'!$E$2:$E1009,MATCH(A70,'Database Mitra'!$B$2:$B1009,0))</f>
        <v>#VALUE!</v>
      </c>
      <c r="H70" s="10" t="e">
        <f t="array" ref="H70">INDEX('Database Mitra'!$F$2:$F1009,MATCH(A70,'Database Mitra'!$B$2:$B1009,0))</f>
        <v>#VALUE!</v>
      </c>
    </row>
    <row r="71" spans="1:8" ht="12.5">
      <c r="A71" s="121">
        <v>610423110072</v>
      </c>
      <c r="B71" s="10" t="s">
        <v>756</v>
      </c>
      <c r="C71" s="10" t="e">
        <f ca="1">COUNTUNIQUEIFS('Alokasi Honor Hingga Sekarang'!D$2:D1009,'Alokasi Honor Hingga Sekarang'!C$2:C1009,A71)</f>
        <v>#NAME?</v>
      </c>
      <c r="D71" s="10" t="e">
        <f t="shared" ca="1" si="0"/>
        <v>#NAME?</v>
      </c>
      <c r="E71" s="82">
        <f t="array" ref="E71">INDEX('Database Mitra'!$R$2:$R1009,MATCH(A71,'Database Mitra'!$B$2:$B1009,0))</f>
        <v>35855</v>
      </c>
      <c r="F71" s="10" t="e">
        <f t="shared" ca="1" si="1"/>
        <v>#NAME?</v>
      </c>
      <c r="G71" s="10" t="e">
        <f t="array" ref="G71">INDEX('Database Mitra'!$E$2:$E1009,MATCH(A71,'Database Mitra'!$B$2:$B1009,0))</f>
        <v>#VALUE!</v>
      </c>
      <c r="H71" s="10" t="e">
        <f t="array" ref="H71">INDEX('Database Mitra'!$F$2:$F1009,MATCH(A71,'Database Mitra'!$B$2:$B1009,0))</f>
        <v>#VALUE!</v>
      </c>
    </row>
    <row r="72" spans="1:8" ht="12.5">
      <c r="A72" s="121">
        <v>610423110188</v>
      </c>
      <c r="B72" s="10" t="s">
        <v>764</v>
      </c>
      <c r="C72" s="10" t="e">
        <f ca="1">COUNTUNIQUEIFS('Alokasi Honor Hingga Sekarang'!D$2:D1009,'Alokasi Honor Hingga Sekarang'!C$2:C1009,A72)</f>
        <v>#NAME?</v>
      </c>
      <c r="D72" s="10" t="e">
        <f t="shared" ca="1" si="0"/>
        <v>#NAME?</v>
      </c>
      <c r="E72" s="82">
        <f t="array" ref="E72">INDEX('Database Mitra'!$R$2:$R1009,MATCH(A72,'Database Mitra'!$B$2:$B1009,0))</f>
        <v>32012</v>
      </c>
      <c r="F72" s="10" t="e">
        <f t="shared" ca="1" si="1"/>
        <v>#NAME?</v>
      </c>
      <c r="G72" s="10" t="e">
        <f t="array" ref="G72">INDEX('Database Mitra'!$E$2:$E1009,MATCH(A72,'Database Mitra'!$B$2:$B1009,0))</f>
        <v>#VALUE!</v>
      </c>
      <c r="H72" s="10" t="e">
        <f t="array" ref="H72">INDEX('Database Mitra'!$F$2:$F1009,MATCH(A72,'Database Mitra'!$B$2:$B1009,0))</f>
        <v>#VALUE!</v>
      </c>
    </row>
    <row r="73" spans="1:8" ht="12.5">
      <c r="A73" s="121">
        <v>610422100147</v>
      </c>
      <c r="B73" s="10" t="s">
        <v>771</v>
      </c>
      <c r="C73" s="10" t="e">
        <f ca="1">COUNTUNIQUEIFS('Alokasi Honor Hingga Sekarang'!D$2:D1009,'Alokasi Honor Hingga Sekarang'!C$2:C1009,A73)</f>
        <v>#NAME?</v>
      </c>
      <c r="D73" s="10" t="e">
        <f t="shared" ca="1" si="0"/>
        <v>#NAME?</v>
      </c>
      <c r="E73" s="11">
        <f t="array" ref="E73">INDEX('Database Mitra'!$R$2:$R1009,MATCH(A73,'Database Mitra'!$B$2:$B1009,0))</f>
        <v>34637</v>
      </c>
      <c r="F73" s="10" t="e">
        <f t="shared" ca="1" si="1"/>
        <v>#NAME?</v>
      </c>
      <c r="G73" s="10" t="e">
        <f t="array" ref="G73">INDEX('Database Mitra'!$E$2:$E1009,MATCH(A73,'Database Mitra'!$B$2:$B1009,0))</f>
        <v>#VALUE!</v>
      </c>
      <c r="H73" s="10" t="e">
        <f t="array" ref="H73">INDEX('Database Mitra'!$F$2:$F1009,MATCH(A73,'Database Mitra'!$B$2:$B1009,0))</f>
        <v>#VALUE!</v>
      </c>
    </row>
    <row r="74" spans="1:8" ht="12.5">
      <c r="A74" s="121">
        <v>610422100022</v>
      </c>
      <c r="B74" s="10" t="s">
        <v>778</v>
      </c>
      <c r="C74" s="10" t="e">
        <f ca="1">COUNTUNIQUEIFS('Alokasi Honor Hingga Sekarang'!D$2:D1009,'Alokasi Honor Hingga Sekarang'!C$2:C1009,A74)</f>
        <v>#NAME?</v>
      </c>
      <c r="D74" s="10" t="e">
        <f t="shared" ca="1" si="0"/>
        <v>#NAME?</v>
      </c>
      <c r="E74" s="82">
        <f t="array" ref="E74">INDEX('Database Mitra'!$R$2:$R1009,MATCH(A74,'Database Mitra'!$B$2:$B1009,0))</f>
        <v>35433</v>
      </c>
      <c r="F74" s="10" t="e">
        <f t="shared" ca="1" si="1"/>
        <v>#NAME?</v>
      </c>
      <c r="G74" s="10" t="e">
        <f t="array" ref="G74">INDEX('Database Mitra'!$E$2:$E1009,MATCH(A74,'Database Mitra'!$B$2:$B1009,0))</f>
        <v>#VALUE!</v>
      </c>
      <c r="H74" s="10" t="e">
        <f t="array" ref="H74">INDEX('Database Mitra'!$F$2:$F1009,MATCH(A74,'Database Mitra'!$B$2:$B1009,0))</f>
        <v>#VALUE!</v>
      </c>
    </row>
    <row r="75" spans="1:8" ht="12.5">
      <c r="A75" s="121">
        <v>610423090017</v>
      </c>
      <c r="B75" s="10" t="s">
        <v>786</v>
      </c>
      <c r="C75" s="10" t="e">
        <f ca="1">COUNTUNIQUEIFS('Alokasi Honor Hingga Sekarang'!D$2:D1009,'Alokasi Honor Hingga Sekarang'!C$2:C1009,A75)</f>
        <v>#NAME?</v>
      </c>
      <c r="D75" s="10" t="e">
        <f t="shared" ca="1" si="0"/>
        <v>#NAME?</v>
      </c>
      <c r="E75" s="82">
        <f t="array" ref="E75">INDEX('Database Mitra'!$R$2:$R1009,MATCH(A75,'Database Mitra'!$B$2:$B1009,0))</f>
        <v>35205</v>
      </c>
      <c r="F75" s="10" t="e">
        <f t="shared" ca="1" si="1"/>
        <v>#NAME?</v>
      </c>
      <c r="G75" s="10" t="e">
        <f t="array" ref="G75">INDEX('Database Mitra'!$E$2:$E1009,MATCH(A75,'Database Mitra'!$B$2:$B1009,0))</f>
        <v>#VALUE!</v>
      </c>
      <c r="H75" s="10" t="e">
        <f t="array" ref="H75">INDEX('Database Mitra'!$F$2:$F1009,MATCH(A75,'Database Mitra'!$B$2:$B1009,0))</f>
        <v>#VALUE!</v>
      </c>
    </row>
    <row r="76" spans="1:8" ht="12.5">
      <c r="A76" s="121">
        <v>610423110089</v>
      </c>
      <c r="B76" s="10" t="s">
        <v>5925</v>
      </c>
      <c r="C76" s="10" t="e">
        <f ca="1">COUNTUNIQUEIFS('Alokasi Honor Hingga Sekarang'!D$2:D1009,'Alokasi Honor Hingga Sekarang'!C$2:C1009,A76)</f>
        <v>#NAME?</v>
      </c>
      <c r="D76" s="10" t="e">
        <f t="shared" ca="1" si="0"/>
        <v>#NAME?</v>
      </c>
      <c r="E76" s="11">
        <f t="array" ref="E76">INDEX('Database Mitra'!$R$2:$R1009,MATCH(A76,'Database Mitra'!$B$2:$B1009,0))</f>
        <v>37469</v>
      </c>
      <c r="F76" s="10" t="e">
        <f t="shared" ca="1" si="1"/>
        <v>#NAME?</v>
      </c>
      <c r="G76" s="10" t="e">
        <f t="array" ref="G76">INDEX('Database Mitra'!$E$2:$E1009,MATCH(A76,'Database Mitra'!$B$2:$B1009,0))</f>
        <v>#VALUE!</v>
      </c>
      <c r="H76" s="10" t="e">
        <f t="array" ref="H76">INDEX('Database Mitra'!$F$2:$F1009,MATCH(A76,'Database Mitra'!$B$2:$B1009,0))</f>
        <v>#VALUE!</v>
      </c>
    </row>
    <row r="77" spans="1:8" ht="12.5">
      <c r="A77" s="121">
        <v>610423110061</v>
      </c>
      <c r="B77" s="10" t="s">
        <v>799</v>
      </c>
      <c r="C77" s="10" t="e">
        <f ca="1">COUNTUNIQUEIFS('Alokasi Honor Hingga Sekarang'!D$2:D1009,'Alokasi Honor Hingga Sekarang'!C$2:C1009,A77)</f>
        <v>#NAME?</v>
      </c>
      <c r="D77" s="10" t="e">
        <f t="shared" ca="1" si="0"/>
        <v>#NAME?</v>
      </c>
      <c r="E77" s="11">
        <f t="array" ref="E77">INDEX('Database Mitra'!$R$2:$R1009,MATCH(A77,'Database Mitra'!$B$2:$B1009,0))</f>
        <v>36419</v>
      </c>
      <c r="F77" s="10" t="e">
        <f t="shared" ca="1" si="1"/>
        <v>#NAME?</v>
      </c>
      <c r="G77" s="10" t="str">
        <f t="array" ref="G77">INDEX('Database Mitra'!$E$2:$E1009,MATCH(A77,'Database Mitra'!$B$2:$B1009,0))</f>
        <v>PONTIANAK UTARA</v>
      </c>
      <c r="H77" s="10" t="str">
        <f t="array" ref="H77">INDEX('Database Mitra'!$F$2:$F1009,MATCH(A77,'Database Mitra'!$B$2:$B1009,0))</f>
        <v>BATU LAYANG</v>
      </c>
    </row>
    <row r="78" spans="1:8" ht="12.5">
      <c r="A78" s="121">
        <v>610423110152</v>
      </c>
      <c r="B78" s="10" t="s">
        <v>806</v>
      </c>
      <c r="C78" s="10" t="e">
        <f ca="1">COUNTUNIQUEIFS('Alokasi Honor Hingga Sekarang'!D$2:D1009,'Alokasi Honor Hingga Sekarang'!C$2:C1009,A78)</f>
        <v>#NAME?</v>
      </c>
      <c r="D78" s="10" t="e">
        <f t="shared" ca="1" si="0"/>
        <v>#NAME?</v>
      </c>
      <c r="E78" s="82">
        <f t="array" ref="E78">INDEX('Database Mitra'!$R$2:$R1009,MATCH(A78,'Database Mitra'!$B$2:$B1009,0))</f>
        <v>37450</v>
      </c>
      <c r="F78" s="10" t="e">
        <f t="shared" ca="1" si="1"/>
        <v>#NAME?</v>
      </c>
      <c r="G78" s="10" t="e">
        <f t="array" ref="G78">INDEX('Database Mitra'!$E$2:$E1009,MATCH(A78,'Database Mitra'!$B$2:$B1009,0))</f>
        <v>#VALUE!</v>
      </c>
      <c r="H78" s="10" t="e">
        <f t="array" ref="H78">INDEX('Database Mitra'!$F$2:$F1009,MATCH(A78,'Database Mitra'!$B$2:$B1009,0))</f>
        <v>#VALUE!</v>
      </c>
    </row>
    <row r="79" spans="1:8" ht="12.5">
      <c r="A79" s="121">
        <v>610423110187</v>
      </c>
      <c r="B79" s="10" t="s">
        <v>5926</v>
      </c>
      <c r="C79" s="10" t="e">
        <f ca="1">COUNTUNIQUEIFS('Alokasi Honor Hingga Sekarang'!D$2:D1009,'Alokasi Honor Hingga Sekarang'!C$2:C1009,A79)</f>
        <v>#NAME?</v>
      </c>
      <c r="D79" s="10" t="e">
        <f t="shared" ca="1" si="0"/>
        <v>#NAME?</v>
      </c>
      <c r="E79" s="82">
        <f t="array" ref="E79">INDEX('Database Mitra'!$R$2:$R1009,MATCH(A79,'Database Mitra'!$B$2:$B1009,0))</f>
        <v>30655</v>
      </c>
      <c r="F79" s="10" t="e">
        <f t="shared" ca="1" si="1"/>
        <v>#NAME?</v>
      </c>
      <c r="G79" s="10" t="e">
        <f t="array" ref="G79">INDEX('Database Mitra'!$E$2:$E1009,MATCH(A79,'Database Mitra'!$B$2:$B1009,0))</f>
        <v>#VALUE!</v>
      </c>
      <c r="H79" s="10" t="e">
        <f t="array" ref="H79">INDEX('Database Mitra'!$F$2:$F1009,MATCH(A79,'Database Mitra'!$B$2:$B1009,0))</f>
        <v>#VALUE!</v>
      </c>
    </row>
    <row r="80" spans="1:8" ht="12.5">
      <c r="A80" s="121">
        <v>610422100186</v>
      </c>
      <c r="B80" s="10" t="s">
        <v>818</v>
      </c>
      <c r="C80" s="10" t="e">
        <f ca="1">COUNTUNIQUEIFS('Alokasi Honor Hingga Sekarang'!D$2:D1009,'Alokasi Honor Hingga Sekarang'!C$2:C1009,A80)</f>
        <v>#NAME?</v>
      </c>
      <c r="D80" s="10" t="e">
        <f t="shared" ca="1" si="0"/>
        <v>#NAME?</v>
      </c>
      <c r="E80" s="82">
        <f t="array" ref="E80">INDEX('Database Mitra'!$R$2:$R1009,MATCH(A80,'Database Mitra'!$B$2:$B1009,0))</f>
        <v>36180</v>
      </c>
      <c r="F80" s="10" t="e">
        <f t="shared" ca="1" si="1"/>
        <v>#NAME?</v>
      </c>
      <c r="G80" s="10" t="e">
        <f t="array" ref="G80">INDEX('Database Mitra'!$E$2:$E1009,MATCH(A80,'Database Mitra'!$B$2:$B1009,0))</f>
        <v>#VALUE!</v>
      </c>
      <c r="H80" s="10" t="e">
        <f t="array" ref="H80">INDEX('Database Mitra'!$F$2:$F1009,MATCH(A80,'Database Mitra'!$B$2:$B1009,0))</f>
        <v>#VALUE!</v>
      </c>
    </row>
    <row r="81" spans="1:8" ht="12.5">
      <c r="A81" s="121">
        <v>610422100111</v>
      </c>
      <c r="B81" s="10" t="s">
        <v>5927</v>
      </c>
      <c r="C81" s="10" t="e">
        <f ca="1">COUNTUNIQUEIFS('Alokasi Honor Hingga Sekarang'!D$2:D1009,'Alokasi Honor Hingga Sekarang'!C$2:C1009,A81)</f>
        <v>#NAME?</v>
      </c>
      <c r="D81" s="10" t="e">
        <f t="shared" ca="1" si="0"/>
        <v>#NAME?</v>
      </c>
      <c r="E81" s="11">
        <f t="array" ref="E81">INDEX('Database Mitra'!$R$2:$R1009,MATCH(A81,'Database Mitra'!$B$2:$B1009,0))</f>
        <v>37335</v>
      </c>
      <c r="F81" s="10" t="e">
        <f t="shared" ca="1" si="1"/>
        <v>#NAME?</v>
      </c>
      <c r="G81" s="10" t="e">
        <f t="array" ref="G81">INDEX('Database Mitra'!$E$2:$E1009,MATCH(A81,'Database Mitra'!$B$2:$B1009,0))</f>
        <v>#VALUE!</v>
      </c>
      <c r="H81" s="10" t="e">
        <f t="array" ref="H81">INDEX('Database Mitra'!$F$2:$F1009,MATCH(A81,'Database Mitra'!$B$2:$B1009,0))</f>
        <v>#VALUE!</v>
      </c>
    </row>
    <row r="82" spans="1:8" ht="12.5">
      <c r="A82" s="121">
        <v>610423090007</v>
      </c>
      <c r="B82" s="10" t="s">
        <v>5928</v>
      </c>
      <c r="C82" s="10" t="e">
        <f ca="1">COUNTUNIQUEIFS('Alokasi Honor Hingga Sekarang'!D$2:D1009,'Alokasi Honor Hingga Sekarang'!C$2:C1009,A82)</f>
        <v>#NAME?</v>
      </c>
      <c r="D82" s="10" t="e">
        <f t="shared" ca="1" si="0"/>
        <v>#NAME?</v>
      </c>
      <c r="E82" s="82">
        <f t="array" ref="E82">INDEX('Database Mitra'!$R$2:$R1009,MATCH(A82,'Database Mitra'!$B$2:$B1009,0))</f>
        <v>36937</v>
      </c>
      <c r="F82" s="10" t="e">
        <f t="shared" ca="1" si="1"/>
        <v>#NAME?</v>
      </c>
      <c r="G82" s="10" t="e">
        <f t="array" ref="G82">INDEX('Database Mitra'!$E$2:$E1009,MATCH(A82,'Database Mitra'!$B$2:$B1009,0))</f>
        <v>#VALUE!</v>
      </c>
      <c r="H82" s="10" t="e">
        <f t="array" ref="H82">INDEX('Database Mitra'!$F$2:$F1009,MATCH(A82,'Database Mitra'!$B$2:$B1009,0))</f>
        <v>#VALUE!</v>
      </c>
    </row>
    <row r="83" spans="1:8" ht="12.5">
      <c r="A83" s="121">
        <v>610423110148</v>
      </c>
      <c r="B83" s="10" t="s">
        <v>836</v>
      </c>
      <c r="C83" s="10" t="e">
        <f ca="1">COUNTUNIQUEIFS('Alokasi Honor Hingga Sekarang'!D$2:D1009,'Alokasi Honor Hingga Sekarang'!C$2:C1009,A83)</f>
        <v>#NAME?</v>
      </c>
      <c r="D83" s="10" t="e">
        <f t="shared" ca="1" si="0"/>
        <v>#NAME?</v>
      </c>
      <c r="E83" s="82">
        <f t="array" ref="E83">INDEX('Database Mitra'!$R$2:$R1009,MATCH(A83,'Database Mitra'!$B$2:$B1009,0))</f>
        <v>38146</v>
      </c>
      <c r="F83" s="10" t="e">
        <f t="shared" ca="1" si="1"/>
        <v>#NAME?</v>
      </c>
      <c r="G83" s="10" t="e">
        <f t="array" ref="G83">INDEX('Database Mitra'!$E$2:$E1009,MATCH(A83,'Database Mitra'!$B$2:$B1009,0))</f>
        <v>#VALUE!</v>
      </c>
      <c r="H83" s="10" t="e">
        <f t="array" ref="H83">INDEX('Database Mitra'!$F$2:$F1009,MATCH(A83,'Database Mitra'!$B$2:$B1009,0))</f>
        <v>#VALUE!</v>
      </c>
    </row>
    <row r="84" spans="1:8" ht="12.5">
      <c r="A84" s="121">
        <v>610422100034</v>
      </c>
      <c r="B84" s="10" t="s">
        <v>841</v>
      </c>
      <c r="C84" s="10" t="e">
        <f ca="1">COUNTUNIQUEIFS('Alokasi Honor Hingga Sekarang'!D$2:D1009,'Alokasi Honor Hingga Sekarang'!C$2:C1009,A84)</f>
        <v>#NAME?</v>
      </c>
      <c r="D84" s="10" t="e">
        <f t="shared" ca="1" si="0"/>
        <v>#NAME?</v>
      </c>
      <c r="E84" s="82">
        <f t="array" ref="E84">INDEX('Database Mitra'!$R$2:$R1009,MATCH(A84,'Database Mitra'!$B$2:$B1009,0))</f>
        <v>29339</v>
      </c>
      <c r="F84" s="10" t="e">
        <f t="shared" ca="1" si="1"/>
        <v>#NAME?</v>
      </c>
      <c r="G84" s="10" t="e">
        <f t="array" ref="G84">INDEX('Database Mitra'!$E$2:$E1009,MATCH(A84,'Database Mitra'!$B$2:$B1009,0))</f>
        <v>#VALUE!</v>
      </c>
      <c r="H84" s="10" t="e">
        <f t="array" ref="H84">INDEX('Database Mitra'!$F$2:$F1009,MATCH(A84,'Database Mitra'!$B$2:$B1009,0))</f>
        <v>#VALUE!</v>
      </c>
    </row>
    <row r="85" spans="1:8" ht="12.5">
      <c r="A85" s="121">
        <v>610422040069</v>
      </c>
      <c r="B85" s="10" t="s">
        <v>847</v>
      </c>
      <c r="C85" s="10" t="e">
        <f ca="1">COUNTUNIQUEIFS('Alokasi Honor Hingga Sekarang'!D$2:D1009,'Alokasi Honor Hingga Sekarang'!C$2:C1009,A85)</f>
        <v>#NAME?</v>
      </c>
      <c r="D85" s="10" t="e">
        <f t="shared" ca="1" si="0"/>
        <v>#NAME?</v>
      </c>
      <c r="E85" s="82">
        <f t="array" ref="E85">INDEX('Database Mitra'!$R$2:$R1009,MATCH(A85,'Database Mitra'!$B$2:$B1009,0))</f>
        <v>36506</v>
      </c>
      <c r="F85" s="10" t="e">
        <f t="shared" ca="1" si="1"/>
        <v>#NAME?</v>
      </c>
      <c r="G85" s="10" t="e">
        <f t="array" ref="G85">INDEX('Database Mitra'!$E$2:$E1009,MATCH(A85,'Database Mitra'!$B$2:$B1009,0))</f>
        <v>#VALUE!</v>
      </c>
      <c r="H85" s="10" t="e">
        <f t="array" ref="H85">INDEX('Database Mitra'!$F$2:$F1009,MATCH(A85,'Database Mitra'!$B$2:$B1009,0))</f>
        <v>#VALUE!</v>
      </c>
    </row>
    <row r="86" spans="1:8" ht="12.5">
      <c r="A86" s="121">
        <v>610422100006</v>
      </c>
      <c r="B86" s="10" t="s">
        <v>854</v>
      </c>
      <c r="C86" s="10" t="e">
        <f ca="1">COUNTUNIQUEIFS('Alokasi Honor Hingga Sekarang'!D$2:D1009,'Alokasi Honor Hingga Sekarang'!C$2:C1009,A86)</f>
        <v>#NAME?</v>
      </c>
      <c r="D86" s="10" t="e">
        <f t="shared" ca="1" si="0"/>
        <v>#NAME?</v>
      </c>
      <c r="E86" s="82">
        <f t="array" ref="E86">INDEX('Database Mitra'!$R$2:$R1009,MATCH(A86,'Database Mitra'!$B$2:$B1009,0))</f>
        <v>36088</v>
      </c>
      <c r="F86" s="10" t="e">
        <f t="shared" ca="1" si="1"/>
        <v>#NAME?</v>
      </c>
      <c r="G86" s="10" t="e">
        <f t="array" ref="G86">INDEX('Database Mitra'!$E$2:$E1009,MATCH(A86,'Database Mitra'!$B$2:$B1009,0))</f>
        <v>#VALUE!</v>
      </c>
      <c r="H86" s="10" t="e">
        <f t="array" ref="H86">INDEX('Database Mitra'!$F$2:$F1009,MATCH(A86,'Database Mitra'!$B$2:$B1009,0))</f>
        <v>#VALUE!</v>
      </c>
    </row>
    <row r="87" spans="1:8" ht="12.5">
      <c r="A87" s="121">
        <v>610423110120</v>
      </c>
      <c r="B87" s="10" t="s">
        <v>5929</v>
      </c>
      <c r="C87" s="10" t="e">
        <f ca="1">COUNTUNIQUEIFS('Alokasi Honor Hingga Sekarang'!D$2:D1009,'Alokasi Honor Hingga Sekarang'!C$2:C1009,A87)</f>
        <v>#NAME?</v>
      </c>
      <c r="D87" s="10" t="e">
        <f t="shared" ca="1" si="0"/>
        <v>#NAME?</v>
      </c>
      <c r="E87" s="82">
        <f t="array" ref="E87">INDEX('Database Mitra'!$R$2:$R1009,MATCH(A87,'Database Mitra'!$B$2:$B1009,0))</f>
        <v>32874</v>
      </c>
      <c r="F87" s="10" t="e">
        <f t="shared" ca="1" si="1"/>
        <v>#NAME?</v>
      </c>
      <c r="G87" s="10" t="e">
        <f t="array" ref="G87">INDEX('Database Mitra'!$E$2:$E1009,MATCH(A87,'Database Mitra'!$B$2:$B1009,0))</f>
        <v>#VALUE!</v>
      </c>
      <c r="H87" s="10" t="e">
        <f t="array" ref="H87">INDEX('Database Mitra'!$F$2:$F1009,MATCH(A87,'Database Mitra'!$B$2:$B1009,0))</f>
        <v>#VALUE!</v>
      </c>
    </row>
    <row r="88" spans="1:8" ht="12.5">
      <c r="A88" s="121">
        <v>610423110074</v>
      </c>
      <c r="B88" s="10" t="s">
        <v>5930</v>
      </c>
      <c r="C88" s="10" t="e">
        <f ca="1">COUNTUNIQUEIFS('Alokasi Honor Hingga Sekarang'!D$2:D1009,'Alokasi Honor Hingga Sekarang'!C$2:C1009,A88)</f>
        <v>#NAME?</v>
      </c>
      <c r="D88" s="10" t="e">
        <f t="shared" ca="1" si="0"/>
        <v>#NAME?</v>
      </c>
      <c r="E88" s="82">
        <f t="array" ref="E88">INDEX('Database Mitra'!$R$2:$R1009,MATCH(A88,'Database Mitra'!$B$2:$B1009,0))</f>
        <v>35515</v>
      </c>
      <c r="F88" s="10" t="e">
        <f t="shared" ca="1" si="1"/>
        <v>#NAME?</v>
      </c>
      <c r="G88" s="10" t="e">
        <f t="array" ref="G88">INDEX('Database Mitra'!$E$2:$E1009,MATCH(A88,'Database Mitra'!$B$2:$B1009,0))</f>
        <v>#VALUE!</v>
      </c>
      <c r="H88" s="10" t="e">
        <f t="array" ref="H88">INDEX('Database Mitra'!$F$2:$F1009,MATCH(A88,'Database Mitra'!$B$2:$B1009,0))</f>
        <v>#VALUE!</v>
      </c>
    </row>
    <row r="89" spans="1:8" ht="12.5">
      <c r="A89" s="121">
        <v>610423110009</v>
      </c>
      <c r="B89" s="10" t="s">
        <v>872</v>
      </c>
      <c r="C89" s="10" t="e">
        <f ca="1">COUNTUNIQUEIFS('Alokasi Honor Hingga Sekarang'!D$2:D1009,'Alokasi Honor Hingga Sekarang'!C$2:C1009,A89)</f>
        <v>#NAME?</v>
      </c>
      <c r="D89" s="10" t="e">
        <f t="shared" ca="1" si="0"/>
        <v>#NAME?</v>
      </c>
      <c r="E89" s="82">
        <f t="array" ref="E89">INDEX('Database Mitra'!$R$2:$R1009,MATCH(A89,'Database Mitra'!$B$2:$B1009,0))</f>
        <v>35924</v>
      </c>
      <c r="F89" s="10" t="e">
        <f t="shared" ca="1" si="1"/>
        <v>#NAME?</v>
      </c>
      <c r="G89" s="10" t="e">
        <f t="array" ref="G89">INDEX('Database Mitra'!$E$2:$E1009,MATCH(A89,'Database Mitra'!$B$2:$B1009,0))</f>
        <v>#VALUE!</v>
      </c>
      <c r="H89" s="10" t="e">
        <f t="array" ref="H89">INDEX('Database Mitra'!$F$2:$F1009,MATCH(A89,'Database Mitra'!$B$2:$B1009,0))</f>
        <v>#VALUE!</v>
      </c>
    </row>
    <row r="90" spans="1:8" ht="12.5">
      <c r="A90" s="121">
        <v>610423110177</v>
      </c>
      <c r="B90" s="10" t="s">
        <v>879</v>
      </c>
      <c r="C90" s="10" t="e">
        <f ca="1">COUNTUNIQUEIFS('Alokasi Honor Hingga Sekarang'!D$2:D1009,'Alokasi Honor Hingga Sekarang'!C$2:C1009,A90)</f>
        <v>#NAME?</v>
      </c>
      <c r="D90" s="10" t="e">
        <f t="shared" ca="1" si="0"/>
        <v>#NAME?</v>
      </c>
      <c r="E90" s="82">
        <f t="array" ref="E90">INDEX('Database Mitra'!$R$2:$R1009,MATCH(A90,'Database Mitra'!$B$2:$B1009,0))</f>
        <v>33942</v>
      </c>
      <c r="F90" s="10" t="e">
        <f t="shared" ca="1" si="1"/>
        <v>#NAME?</v>
      </c>
      <c r="G90" s="10" t="e">
        <f t="array" ref="G90">INDEX('Database Mitra'!$E$2:$E1009,MATCH(A90,'Database Mitra'!$B$2:$B1009,0))</f>
        <v>#VALUE!</v>
      </c>
      <c r="H90" s="10" t="e">
        <f t="array" ref="H90">INDEX('Database Mitra'!$F$2:$F1009,MATCH(A90,'Database Mitra'!$B$2:$B1009,0))</f>
        <v>#VALUE!</v>
      </c>
    </row>
    <row r="91" spans="1:8" ht="12.5">
      <c r="A91" s="121">
        <v>610422040051</v>
      </c>
      <c r="B91" s="10" t="s">
        <v>5931</v>
      </c>
      <c r="C91" s="10" t="e">
        <f ca="1">COUNTUNIQUEIFS('Alokasi Honor Hingga Sekarang'!D$2:D1009,'Alokasi Honor Hingga Sekarang'!C$2:C1009,A91)</f>
        <v>#NAME?</v>
      </c>
      <c r="D91" s="10" t="e">
        <f t="shared" ca="1" si="0"/>
        <v>#NAME?</v>
      </c>
      <c r="E91" s="11">
        <f t="array" ref="E91">INDEX('Database Mitra'!$R$2:$R1009,MATCH(A91,'Database Mitra'!$B$2:$B1009,0))</f>
        <v>37221</v>
      </c>
      <c r="F91" s="10" t="e">
        <f t="shared" ca="1" si="1"/>
        <v>#NAME?</v>
      </c>
      <c r="G91" s="10" t="e">
        <f t="array" ref="G91">INDEX('Database Mitra'!$E$2:$E1009,MATCH(A91,'Database Mitra'!$B$2:$B1009,0))</f>
        <v>#VALUE!</v>
      </c>
      <c r="H91" s="10" t="e">
        <f t="array" ref="H91">INDEX('Database Mitra'!$F$2:$F1009,MATCH(A91,'Database Mitra'!$B$2:$B1009,0))</f>
        <v>#VALUE!</v>
      </c>
    </row>
    <row r="92" spans="1:8" ht="12.5">
      <c r="A92" s="121">
        <v>610423110075</v>
      </c>
      <c r="B92" s="10" t="s">
        <v>892</v>
      </c>
      <c r="C92" s="10" t="e">
        <f ca="1">COUNTUNIQUEIFS('Alokasi Honor Hingga Sekarang'!D$2:D1009,'Alokasi Honor Hingga Sekarang'!C$2:C1009,A92)</f>
        <v>#NAME?</v>
      </c>
      <c r="D92" s="10" t="e">
        <f t="shared" ca="1" si="0"/>
        <v>#NAME?</v>
      </c>
      <c r="E92" s="82">
        <f t="array" ref="E92">INDEX('Database Mitra'!$R$2:$R1009,MATCH(A92,'Database Mitra'!$B$2:$B1009,0))</f>
        <v>36286</v>
      </c>
      <c r="F92" s="10" t="e">
        <f t="shared" ca="1" si="1"/>
        <v>#NAME?</v>
      </c>
      <c r="G92" s="10" t="e">
        <f t="array" ref="G92">INDEX('Database Mitra'!$E$2:$E1009,MATCH(A92,'Database Mitra'!$B$2:$B1009,0))</f>
        <v>#VALUE!</v>
      </c>
      <c r="H92" s="10" t="e">
        <f t="array" ref="H92">INDEX('Database Mitra'!$F$2:$F1009,MATCH(A92,'Database Mitra'!$B$2:$B1009,0))</f>
        <v>#VALUE!</v>
      </c>
    </row>
    <row r="93" spans="1:8" ht="12.5">
      <c r="A93" s="121">
        <v>610423110068</v>
      </c>
      <c r="B93" s="10" t="s">
        <v>5932</v>
      </c>
      <c r="C93" s="10" t="e">
        <f ca="1">COUNTUNIQUEIFS('Alokasi Honor Hingga Sekarang'!D$2:D1009,'Alokasi Honor Hingga Sekarang'!C$2:C1009,A93)</f>
        <v>#NAME?</v>
      </c>
      <c r="D93" s="10" t="e">
        <f t="shared" ca="1" si="0"/>
        <v>#NAME?</v>
      </c>
      <c r="E93" s="82">
        <f t="array" ref="E93">INDEX('Database Mitra'!$R$2:$R1009,MATCH(A93,'Database Mitra'!$B$2:$B1009,0))</f>
        <v>35049</v>
      </c>
      <c r="F93" s="10" t="e">
        <f t="shared" ca="1" si="1"/>
        <v>#NAME?</v>
      </c>
      <c r="G93" s="10" t="e">
        <f t="array" ref="G93">INDEX('Database Mitra'!$E$2:$E1009,MATCH(A93,'Database Mitra'!$B$2:$B1009,0))</f>
        <v>#VALUE!</v>
      </c>
      <c r="H93" s="10" t="e">
        <f t="array" ref="H93">INDEX('Database Mitra'!$F$2:$F1009,MATCH(A93,'Database Mitra'!$B$2:$B1009,0))</f>
        <v>#VALUE!</v>
      </c>
    </row>
    <row r="94" spans="1:8" ht="12.5">
      <c r="A94" s="121">
        <v>610423110014</v>
      </c>
      <c r="B94" s="10" t="s">
        <v>904</v>
      </c>
      <c r="C94" s="10" t="e">
        <f ca="1">COUNTUNIQUEIFS('Alokasi Honor Hingga Sekarang'!D$2:D1009,'Alokasi Honor Hingga Sekarang'!C$2:C1009,A94)</f>
        <v>#NAME?</v>
      </c>
      <c r="D94" s="10" t="e">
        <f t="shared" ca="1" si="0"/>
        <v>#NAME?</v>
      </c>
      <c r="E94" s="82">
        <f t="array" ref="E94">INDEX('Database Mitra'!$R$2:$R1009,MATCH(A94,'Database Mitra'!$B$2:$B1009,0))</f>
        <v>37619</v>
      </c>
      <c r="F94" s="10" t="e">
        <f t="shared" ca="1" si="1"/>
        <v>#NAME?</v>
      </c>
      <c r="G94" s="10" t="e">
        <f t="array" ref="G94">INDEX('Database Mitra'!$E$2:$E1009,MATCH(A94,'Database Mitra'!$B$2:$B1009,0))</f>
        <v>#VALUE!</v>
      </c>
      <c r="H94" s="10" t="e">
        <f t="array" ref="H94">INDEX('Database Mitra'!$F$2:$F1009,MATCH(A94,'Database Mitra'!$B$2:$B1009,0))</f>
        <v>#VALUE!</v>
      </c>
    </row>
    <row r="95" spans="1:8" ht="12.5">
      <c r="A95" s="121">
        <v>610423110137</v>
      </c>
      <c r="B95" s="10" t="s">
        <v>911</v>
      </c>
      <c r="C95" s="10" t="e">
        <f ca="1">COUNTUNIQUEIFS('Alokasi Honor Hingga Sekarang'!D$2:D1009,'Alokasi Honor Hingga Sekarang'!C$2:C1009,A95)</f>
        <v>#NAME?</v>
      </c>
      <c r="D95" s="10" t="e">
        <f t="shared" ca="1" si="0"/>
        <v>#NAME?</v>
      </c>
      <c r="E95" s="82">
        <f t="array" ref="E95">INDEX('Database Mitra'!$R$2:$R1009,MATCH(A95,'Database Mitra'!$B$2:$B1009,0))</f>
        <v>38615</v>
      </c>
      <c r="F95" s="10" t="e">
        <f t="shared" ca="1" si="1"/>
        <v>#NAME?</v>
      </c>
      <c r="G95" s="10" t="e">
        <f t="array" ref="G95">INDEX('Database Mitra'!$E$2:$E1009,MATCH(A95,'Database Mitra'!$B$2:$B1009,0))</f>
        <v>#VALUE!</v>
      </c>
      <c r="H95" s="10" t="e">
        <f t="array" ref="H95">INDEX('Database Mitra'!$F$2:$F1009,MATCH(A95,'Database Mitra'!$B$2:$B1009,0))</f>
        <v>#VALUE!</v>
      </c>
    </row>
    <row r="96" spans="1:8" ht="12.5">
      <c r="A96" s="121">
        <v>610422050008</v>
      </c>
      <c r="B96" s="10" t="s">
        <v>918</v>
      </c>
      <c r="C96" s="10" t="e">
        <f ca="1">COUNTUNIQUEIFS('Alokasi Honor Hingga Sekarang'!D$2:D1009,'Alokasi Honor Hingga Sekarang'!C$2:C1009,A96)</f>
        <v>#NAME?</v>
      </c>
      <c r="D96" s="10" t="e">
        <f t="shared" ca="1" si="0"/>
        <v>#NAME?</v>
      </c>
      <c r="E96" s="82">
        <f t="array" ref="E96">INDEX('Database Mitra'!$R$2:$R1009,MATCH(A96,'Database Mitra'!$B$2:$B1009,0))</f>
        <v>31775</v>
      </c>
      <c r="F96" s="10" t="e">
        <f t="shared" ca="1" si="1"/>
        <v>#NAME?</v>
      </c>
      <c r="G96" s="10" t="e">
        <f t="array" ref="G96">INDEX('Database Mitra'!$E$2:$E1009,MATCH(A96,'Database Mitra'!$B$2:$B1009,0))</f>
        <v>#VALUE!</v>
      </c>
      <c r="H96" s="10" t="e">
        <f t="array" ref="H96">INDEX('Database Mitra'!$F$2:$F1009,MATCH(A96,'Database Mitra'!$B$2:$B1009,0))</f>
        <v>#VALUE!</v>
      </c>
    </row>
    <row r="97" spans="1:8" ht="12.5">
      <c r="A97" s="121">
        <v>610423030006</v>
      </c>
      <c r="B97" s="10" t="s">
        <v>5933</v>
      </c>
      <c r="C97" s="10" t="e">
        <f ca="1">COUNTUNIQUEIFS('Alokasi Honor Hingga Sekarang'!D$2:D1009,'Alokasi Honor Hingga Sekarang'!C$2:C1009,A97)</f>
        <v>#NAME?</v>
      </c>
      <c r="D97" s="10" t="e">
        <f t="shared" ca="1" si="0"/>
        <v>#NAME?</v>
      </c>
      <c r="E97" s="11">
        <f t="array" ref="E97">INDEX('Database Mitra'!$R$2:$R1009,MATCH(A97,'Database Mitra'!$B$2:$B1009,0))</f>
        <v>35043</v>
      </c>
      <c r="F97" s="10" t="e">
        <f t="shared" ca="1" si="1"/>
        <v>#NAME?</v>
      </c>
      <c r="G97" s="10" t="e">
        <f t="array" ref="G97">INDEX('Database Mitra'!$E$2:$E1009,MATCH(A97,'Database Mitra'!$B$2:$B1009,0))</f>
        <v>#VALUE!</v>
      </c>
      <c r="H97" s="10" t="e">
        <f t="array" ref="H97">INDEX('Database Mitra'!$F$2:$F1009,MATCH(A97,'Database Mitra'!$B$2:$B1009,0))</f>
        <v>#VALUE!</v>
      </c>
    </row>
    <row r="98" spans="1:8" ht="12.5">
      <c r="A98" s="121">
        <v>610422030002</v>
      </c>
      <c r="B98" s="10" t="s">
        <v>5934</v>
      </c>
      <c r="C98" s="10" t="e">
        <f ca="1">COUNTUNIQUEIFS('Alokasi Honor Hingga Sekarang'!D$2:D1009,'Alokasi Honor Hingga Sekarang'!C$2:C1009,A98)</f>
        <v>#NAME?</v>
      </c>
      <c r="D98" s="10" t="e">
        <f t="shared" ca="1" si="0"/>
        <v>#NAME?</v>
      </c>
      <c r="E98" s="82">
        <f t="array" ref="E98">INDEX('Database Mitra'!$R$2:$R1009,MATCH(A98,'Database Mitra'!$B$2:$B1009,0))</f>
        <v>31773</v>
      </c>
      <c r="F98" s="10" t="e">
        <f t="shared" ca="1" si="1"/>
        <v>#NAME?</v>
      </c>
      <c r="G98" s="10" t="e">
        <f t="array" ref="G98">INDEX('Database Mitra'!$E$2:$E1009,MATCH(A98,'Database Mitra'!$B$2:$B1009,0))</f>
        <v>#VALUE!</v>
      </c>
      <c r="H98" s="10" t="e">
        <f t="array" ref="H98">INDEX('Database Mitra'!$F$2:$F1009,MATCH(A98,'Database Mitra'!$B$2:$B1009,0))</f>
        <v>#VALUE!</v>
      </c>
    </row>
    <row r="99" spans="1:8" ht="12.5">
      <c r="A99" s="121">
        <v>610423110169</v>
      </c>
      <c r="B99" s="10" t="s">
        <v>937</v>
      </c>
      <c r="C99" s="10" t="e">
        <f ca="1">COUNTUNIQUEIFS('Alokasi Honor Hingga Sekarang'!D$2:D1009,'Alokasi Honor Hingga Sekarang'!C$2:C1009,A99)</f>
        <v>#NAME?</v>
      </c>
      <c r="D99" s="10" t="e">
        <f t="shared" ca="1" si="0"/>
        <v>#NAME?</v>
      </c>
      <c r="E99" s="82">
        <f t="array" ref="E99">INDEX('Database Mitra'!$R$2:$R1009,MATCH(A99,'Database Mitra'!$B$2:$B1009,0))</f>
        <v>36834</v>
      </c>
      <c r="F99" s="10" t="e">
        <f t="shared" ca="1" si="1"/>
        <v>#NAME?</v>
      </c>
      <c r="G99" s="10" t="e">
        <f t="array" ref="G99">INDEX('Database Mitra'!$E$2:$E1009,MATCH(A99,'Database Mitra'!$B$2:$B1009,0))</f>
        <v>#VALUE!</v>
      </c>
      <c r="H99" s="10" t="e">
        <f t="array" ref="H99">INDEX('Database Mitra'!$F$2:$F1009,MATCH(A99,'Database Mitra'!$B$2:$B1009,0))</f>
        <v>#VALUE!</v>
      </c>
    </row>
    <row r="100" spans="1:8" ht="12.5">
      <c r="A100" s="121">
        <v>610422040024</v>
      </c>
      <c r="B100" s="10" t="s">
        <v>943</v>
      </c>
      <c r="C100" s="10" t="e">
        <f ca="1">COUNTUNIQUEIFS('Alokasi Honor Hingga Sekarang'!D$2:D1009,'Alokasi Honor Hingga Sekarang'!C$2:C1009,A100)</f>
        <v>#NAME?</v>
      </c>
      <c r="D100" s="10" t="e">
        <f t="shared" ca="1" si="0"/>
        <v>#NAME?</v>
      </c>
      <c r="E100" s="82">
        <f t="array" ref="E100">INDEX('Database Mitra'!$R$2:$R1009,MATCH(A100,'Database Mitra'!$B$2:$B1009,0))</f>
        <v>36033</v>
      </c>
      <c r="F100" s="10" t="e">
        <f t="shared" ca="1" si="1"/>
        <v>#NAME?</v>
      </c>
      <c r="G100" s="10" t="e">
        <f t="array" ref="G100">INDEX('Database Mitra'!$E$2:$E1009,MATCH(A100,'Database Mitra'!$B$2:$B1009,0))</f>
        <v>#VALUE!</v>
      </c>
      <c r="H100" s="10" t="e">
        <f t="array" ref="H100">INDEX('Database Mitra'!$F$2:$F1009,MATCH(A100,'Database Mitra'!$B$2:$B1009,0))</f>
        <v>#VALUE!</v>
      </c>
    </row>
    <row r="101" spans="1:8" ht="12.5">
      <c r="A101" s="121">
        <v>610423110026</v>
      </c>
      <c r="B101" s="10" t="s">
        <v>949</v>
      </c>
      <c r="C101" s="10" t="e">
        <f ca="1">COUNTUNIQUEIFS('Alokasi Honor Hingga Sekarang'!D$2:D1009,'Alokasi Honor Hingga Sekarang'!C$2:C1009,A101)</f>
        <v>#NAME?</v>
      </c>
      <c r="D101" s="10" t="e">
        <f t="shared" ca="1" si="0"/>
        <v>#NAME?</v>
      </c>
      <c r="E101" s="11">
        <f t="array" ref="E101">INDEX('Database Mitra'!$R$2:$R1009,MATCH(A101,'Database Mitra'!$B$2:$B1009,0))</f>
        <v>38325</v>
      </c>
      <c r="F101" s="10" t="e">
        <f t="shared" ca="1" si="1"/>
        <v>#NAME?</v>
      </c>
      <c r="G101" s="10" t="e">
        <f t="array" ref="G101">INDEX('Database Mitra'!$E$2:$E1009,MATCH(A101,'Database Mitra'!$B$2:$B1009,0))</f>
        <v>#VALUE!</v>
      </c>
      <c r="H101" s="10" t="e">
        <f t="array" ref="H101">INDEX('Database Mitra'!$F$2:$F1009,MATCH(A101,'Database Mitra'!$B$2:$B1009,0))</f>
        <v>#VALUE!</v>
      </c>
    </row>
    <row r="102" spans="1:8" ht="12.5">
      <c r="A102" s="121">
        <v>610423110117</v>
      </c>
      <c r="B102" s="10" t="s">
        <v>955</v>
      </c>
      <c r="C102" s="10" t="e">
        <f ca="1">COUNTUNIQUEIFS('Alokasi Honor Hingga Sekarang'!D$2:D1009,'Alokasi Honor Hingga Sekarang'!C$2:C1009,A102)</f>
        <v>#NAME?</v>
      </c>
      <c r="D102" s="10" t="e">
        <f t="shared" ca="1" si="0"/>
        <v>#NAME?</v>
      </c>
      <c r="E102" s="82">
        <f t="array" ref="E102">INDEX('Database Mitra'!$R$2:$R1009,MATCH(A102,'Database Mitra'!$B$2:$B1009,0))</f>
        <v>37565</v>
      </c>
      <c r="F102" s="10" t="e">
        <f t="shared" ca="1" si="1"/>
        <v>#NAME?</v>
      </c>
      <c r="G102" s="10" t="e">
        <f t="array" ref="G102">INDEX('Database Mitra'!$E$2:$E1009,MATCH(A102,'Database Mitra'!$B$2:$B1009,0))</f>
        <v>#VALUE!</v>
      </c>
      <c r="H102" s="10" t="e">
        <f t="array" ref="H102">INDEX('Database Mitra'!$F$2:$F1009,MATCH(A102,'Database Mitra'!$B$2:$B1009,0))</f>
        <v>#VALUE!</v>
      </c>
    </row>
    <row r="103" spans="1:8" ht="12.5">
      <c r="A103" s="121">
        <v>610422100099</v>
      </c>
      <c r="B103" s="10" t="s">
        <v>5935</v>
      </c>
      <c r="C103" s="10" t="e">
        <f ca="1">COUNTUNIQUEIFS('Alokasi Honor Hingga Sekarang'!D$2:D1009,'Alokasi Honor Hingga Sekarang'!C$2:C1009,A103)</f>
        <v>#NAME?</v>
      </c>
      <c r="D103" s="10" t="e">
        <f t="shared" ca="1" si="0"/>
        <v>#NAME?</v>
      </c>
      <c r="E103" s="82">
        <f t="array" ref="E103">INDEX('Database Mitra'!$R$2:$R1009,MATCH(A103,'Database Mitra'!$B$2:$B1009,0))</f>
        <v>38055</v>
      </c>
      <c r="F103" s="10" t="e">
        <f t="shared" ca="1" si="1"/>
        <v>#NAME?</v>
      </c>
      <c r="G103" s="10" t="e">
        <f t="array" ref="G103">INDEX('Database Mitra'!$E$2:$E1009,MATCH(A103,'Database Mitra'!$B$2:$B1009,0))</f>
        <v>#VALUE!</v>
      </c>
      <c r="H103" s="10" t="e">
        <f t="array" ref="H103">INDEX('Database Mitra'!$F$2:$F1009,MATCH(A103,'Database Mitra'!$B$2:$B1009,0))</f>
        <v>#VALUE!</v>
      </c>
    </row>
    <row r="104" spans="1:8" ht="12.5">
      <c r="A104" s="121">
        <v>610423040023</v>
      </c>
      <c r="B104" s="10" t="s">
        <v>966</v>
      </c>
      <c r="C104" s="10" t="e">
        <f ca="1">COUNTUNIQUEIFS('Alokasi Honor Hingga Sekarang'!D$2:D1009,'Alokasi Honor Hingga Sekarang'!C$2:C1009,A104)</f>
        <v>#NAME?</v>
      </c>
      <c r="D104" s="10" t="e">
        <f t="shared" ca="1" si="0"/>
        <v>#NAME?</v>
      </c>
      <c r="E104" s="82">
        <f t="array" ref="E104">INDEX('Database Mitra'!$R$2:$R1009,MATCH(A104,'Database Mitra'!$B$2:$B1009,0))</f>
        <v>36673</v>
      </c>
      <c r="F104" s="10" t="e">
        <f t="shared" ca="1" si="1"/>
        <v>#NAME?</v>
      </c>
      <c r="G104" s="10" t="e">
        <f t="array" ref="G104">INDEX('Database Mitra'!$E$2:$E1009,MATCH(A104,'Database Mitra'!$B$2:$B1009,0))</f>
        <v>#VALUE!</v>
      </c>
      <c r="H104" s="10" t="e">
        <f t="array" ref="H104">INDEX('Database Mitra'!$F$2:$F1009,MATCH(A104,'Database Mitra'!$B$2:$B1009,0))</f>
        <v>#VALUE!</v>
      </c>
    </row>
    <row r="105" spans="1:8" ht="12.5">
      <c r="A105" s="121">
        <v>610422100090</v>
      </c>
      <c r="B105" s="10" t="s">
        <v>5936</v>
      </c>
      <c r="C105" s="10" t="e">
        <f ca="1">COUNTUNIQUEIFS('Alokasi Honor Hingga Sekarang'!D$2:D1009,'Alokasi Honor Hingga Sekarang'!C$2:C1009,A105)</f>
        <v>#NAME?</v>
      </c>
      <c r="D105" s="10" t="e">
        <f t="shared" ca="1" si="0"/>
        <v>#NAME?</v>
      </c>
      <c r="E105" s="11">
        <f t="array" ref="E105">INDEX('Database Mitra'!$R$2:$R1009,MATCH(A105,'Database Mitra'!$B$2:$B1009,0))</f>
        <v>36016</v>
      </c>
      <c r="F105" s="10" t="e">
        <f t="shared" ca="1" si="1"/>
        <v>#NAME?</v>
      </c>
      <c r="G105" s="10" t="e">
        <f t="array" ref="G105">INDEX('Database Mitra'!$E$2:$E1009,MATCH(A105,'Database Mitra'!$B$2:$B1009,0))</f>
        <v>#VALUE!</v>
      </c>
      <c r="H105" s="10" t="e">
        <f t="array" ref="H105">INDEX('Database Mitra'!$F$2:$F1009,MATCH(A105,'Database Mitra'!$B$2:$B1009,0))</f>
        <v>#VALUE!</v>
      </c>
    </row>
    <row r="106" spans="1:8" ht="12.5">
      <c r="A106" s="121">
        <v>610422100096</v>
      </c>
      <c r="B106" s="10" t="s">
        <v>977</v>
      </c>
      <c r="C106" s="10" t="e">
        <f ca="1">COUNTUNIQUEIFS('Alokasi Honor Hingga Sekarang'!D$2:D1009,'Alokasi Honor Hingga Sekarang'!C$2:C1009,A106)</f>
        <v>#NAME?</v>
      </c>
      <c r="D106" s="10" t="e">
        <f t="shared" ca="1" si="0"/>
        <v>#NAME?</v>
      </c>
      <c r="E106" s="82">
        <f t="array" ref="E106">INDEX('Database Mitra'!$R$2:$R1009,MATCH(A106,'Database Mitra'!$B$2:$B1009,0))</f>
        <v>37285</v>
      </c>
      <c r="F106" s="10" t="e">
        <f t="shared" ca="1" si="1"/>
        <v>#NAME?</v>
      </c>
      <c r="G106" s="10" t="e">
        <f t="array" ref="G106">INDEX('Database Mitra'!$E$2:$E1009,MATCH(A106,'Database Mitra'!$B$2:$B1009,0))</f>
        <v>#VALUE!</v>
      </c>
      <c r="H106" s="10" t="e">
        <f t="array" ref="H106">INDEX('Database Mitra'!$F$2:$F1009,MATCH(A106,'Database Mitra'!$B$2:$B1009,0))</f>
        <v>#VALUE!</v>
      </c>
    </row>
    <row r="107" spans="1:8" ht="12.5">
      <c r="A107" s="121">
        <v>610423110190</v>
      </c>
      <c r="B107" s="10" t="s">
        <v>985</v>
      </c>
      <c r="C107" s="10" t="e">
        <f ca="1">COUNTUNIQUEIFS('Alokasi Honor Hingga Sekarang'!D$2:D1009,'Alokasi Honor Hingga Sekarang'!C$2:C1009,A107)</f>
        <v>#NAME?</v>
      </c>
      <c r="D107" s="10" t="e">
        <f t="shared" ca="1" si="0"/>
        <v>#NAME?</v>
      </c>
      <c r="E107" s="82">
        <f t="array" ref="E107">INDEX('Database Mitra'!$R$2:$R1009,MATCH(A107,'Database Mitra'!$B$2:$B1009,0))</f>
        <v>35893</v>
      </c>
      <c r="F107" s="10" t="e">
        <f t="shared" ca="1" si="1"/>
        <v>#NAME?</v>
      </c>
      <c r="G107" s="10" t="e">
        <f t="array" ref="G107">INDEX('Database Mitra'!$E$2:$E1009,MATCH(A107,'Database Mitra'!$B$2:$B1009,0))</f>
        <v>#VALUE!</v>
      </c>
      <c r="H107" s="10" t="e">
        <f t="array" ref="H107">INDEX('Database Mitra'!$F$2:$F1009,MATCH(A107,'Database Mitra'!$B$2:$B1009,0))</f>
        <v>#VALUE!</v>
      </c>
    </row>
    <row r="108" spans="1:8" ht="12.5">
      <c r="A108" s="121">
        <v>610422040064</v>
      </c>
      <c r="B108" s="10" t="s">
        <v>991</v>
      </c>
      <c r="C108" s="10" t="e">
        <f ca="1">COUNTUNIQUEIFS('Alokasi Honor Hingga Sekarang'!D$2:D1009,'Alokasi Honor Hingga Sekarang'!C$2:C1009,A108)</f>
        <v>#NAME?</v>
      </c>
      <c r="D108" s="10" t="e">
        <f t="shared" ca="1" si="0"/>
        <v>#NAME?</v>
      </c>
      <c r="E108" s="82">
        <f t="array" ref="E108">INDEX('Database Mitra'!$R$2:$R1009,MATCH(A108,'Database Mitra'!$B$2:$B1009,0))</f>
        <v>31757</v>
      </c>
      <c r="F108" s="10" t="e">
        <f t="shared" ca="1" si="1"/>
        <v>#NAME?</v>
      </c>
      <c r="G108" s="10" t="e">
        <f t="array" ref="G108">INDEX('Database Mitra'!$E$2:$E1009,MATCH(A108,'Database Mitra'!$B$2:$B1009,0))</f>
        <v>#VALUE!</v>
      </c>
      <c r="H108" s="10" t="e">
        <f t="array" ref="H108">INDEX('Database Mitra'!$F$2:$F1009,MATCH(A108,'Database Mitra'!$B$2:$B1009,0))</f>
        <v>#VALUE!</v>
      </c>
    </row>
    <row r="109" spans="1:8" ht="12.5">
      <c r="A109" s="121">
        <v>610422100048</v>
      </c>
      <c r="B109" s="10" t="s">
        <v>5937</v>
      </c>
      <c r="C109" s="10" t="e">
        <f ca="1">COUNTUNIQUEIFS('Alokasi Honor Hingga Sekarang'!D$2:D1009,'Alokasi Honor Hingga Sekarang'!C$2:C1009,A109)</f>
        <v>#NAME?</v>
      </c>
      <c r="D109" s="10" t="e">
        <f t="shared" ca="1" si="0"/>
        <v>#NAME?</v>
      </c>
      <c r="E109" s="82">
        <f t="array" ref="E109">INDEX('Database Mitra'!$R$2:$R1009,MATCH(A109,'Database Mitra'!$B$2:$B1009,0))</f>
        <v>35641</v>
      </c>
      <c r="F109" s="10" t="e">
        <f t="shared" ca="1" si="1"/>
        <v>#NAME?</v>
      </c>
      <c r="G109" s="10" t="e">
        <f t="array" ref="G109">INDEX('Database Mitra'!$E$2:$E1009,MATCH(A109,'Database Mitra'!$B$2:$B1009,0))</f>
        <v>#VALUE!</v>
      </c>
      <c r="H109" s="10" t="e">
        <f t="array" ref="H109">INDEX('Database Mitra'!$F$2:$F1009,MATCH(A109,'Database Mitra'!$B$2:$B1009,0))</f>
        <v>#VALUE!</v>
      </c>
    </row>
    <row r="110" spans="1:8" ht="12.5">
      <c r="A110" s="121">
        <v>610423110050</v>
      </c>
      <c r="B110" s="10" t="s">
        <v>1002</v>
      </c>
      <c r="C110" s="10" t="e">
        <f ca="1">COUNTUNIQUEIFS('Alokasi Honor Hingga Sekarang'!D$2:D1009,'Alokasi Honor Hingga Sekarang'!C$2:C1009,A110)</f>
        <v>#NAME?</v>
      </c>
      <c r="D110" s="10" t="e">
        <f t="shared" ca="1" si="0"/>
        <v>#NAME?</v>
      </c>
      <c r="E110" s="11">
        <f t="array" ref="E110">INDEX('Database Mitra'!$R$2:$R1009,MATCH(A110,'Database Mitra'!$B$2:$B1009,0))</f>
        <v>36645</v>
      </c>
      <c r="F110" s="10" t="e">
        <f t="shared" ca="1" si="1"/>
        <v>#NAME?</v>
      </c>
      <c r="G110" s="10" t="e">
        <f t="array" ref="G110">INDEX('Database Mitra'!$E$2:$E1009,MATCH(A110,'Database Mitra'!$B$2:$B1009,0))</f>
        <v>#VALUE!</v>
      </c>
      <c r="H110" s="10" t="e">
        <f t="array" ref="H110">INDEX('Database Mitra'!$F$2:$F1009,MATCH(A110,'Database Mitra'!$B$2:$B1009,0))</f>
        <v>#VALUE!</v>
      </c>
    </row>
    <row r="111" spans="1:8" ht="12.5">
      <c r="A111" s="121">
        <v>610422060009</v>
      </c>
      <c r="B111" s="10" t="s">
        <v>5938</v>
      </c>
      <c r="C111" s="10" t="e">
        <f ca="1">COUNTUNIQUEIFS('Alokasi Honor Hingga Sekarang'!D$2:D1009,'Alokasi Honor Hingga Sekarang'!C$2:C1009,A111)</f>
        <v>#NAME?</v>
      </c>
      <c r="D111" s="10" t="e">
        <f t="shared" ca="1" si="0"/>
        <v>#NAME?</v>
      </c>
      <c r="E111" s="82">
        <f t="array" ref="E111">INDEX('Database Mitra'!$R$2:$R1009,MATCH(A111,'Database Mitra'!$B$2:$B1009,0))</f>
        <v>33521</v>
      </c>
      <c r="F111" s="10" t="e">
        <f t="shared" ca="1" si="1"/>
        <v>#NAME?</v>
      </c>
      <c r="G111" s="10" t="e">
        <f t="array" ref="G111">INDEX('Database Mitra'!$E$2:$E1009,MATCH(A111,'Database Mitra'!$B$2:$B1009,0))</f>
        <v>#VALUE!</v>
      </c>
      <c r="H111" s="10" t="e">
        <f t="array" ref="H111">INDEX('Database Mitra'!$F$2:$F1009,MATCH(A111,'Database Mitra'!$B$2:$B1009,0))</f>
        <v>#VALUE!</v>
      </c>
    </row>
    <row r="112" spans="1:8" ht="12.5">
      <c r="A112" s="121">
        <v>610423110147</v>
      </c>
      <c r="B112" s="10" t="s">
        <v>5939</v>
      </c>
      <c r="C112" s="10" t="e">
        <f ca="1">COUNTUNIQUEIFS('Alokasi Honor Hingga Sekarang'!D$2:D1009,'Alokasi Honor Hingga Sekarang'!C$2:C1009,A112)</f>
        <v>#NAME?</v>
      </c>
      <c r="D112" s="10" t="e">
        <f t="shared" ca="1" si="0"/>
        <v>#NAME?</v>
      </c>
      <c r="E112" s="82">
        <f t="array" ref="E112">INDEX('Database Mitra'!$R$2:$R1009,MATCH(A112,'Database Mitra'!$B$2:$B1009,0))</f>
        <v>33404</v>
      </c>
      <c r="F112" s="10" t="e">
        <f t="shared" ca="1" si="1"/>
        <v>#NAME?</v>
      </c>
      <c r="G112" s="10" t="e">
        <f t="array" ref="G112">INDEX('Database Mitra'!$E$2:$E1009,MATCH(A112,'Database Mitra'!$B$2:$B1009,0))</f>
        <v>#VALUE!</v>
      </c>
      <c r="H112" s="10" t="e">
        <f t="array" ref="H112">INDEX('Database Mitra'!$F$2:$F1009,MATCH(A112,'Database Mitra'!$B$2:$B1009,0))</f>
        <v>#VALUE!</v>
      </c>
    </row>
    <row r="113" spans="1:8" ht="12.5">
      <c r="A113" s="121">
        <v>610422020023</v>
      </c>
      <c r="B113" s="10" t="s">
        <v>1020</v>
      </c>
      <c r="C113" s="10" t="e">
        <f ca="1">COUNTUNIQUEIFS('Alokasi Honor Hingga Sekarang'!D$2:D1009,'Alokasi Honor Hingga Sekarang'!C$2:C1009,A113)</f>
        <v>#NAME?</v>
      </c>
      <c r="D113" s="10" t="e">
        <f t="shared" ca="1" si="0"/>
        <v>#NAME?</v>
      </c>
      <c r="E113" s="82">
        <f t="array" ref="E113">INDEX('Database Mitra'!$R$2:$R1009,MATCH(A113,'Database Mitra'!$B$2:$B1009,0))</f>
        <v>36179</v>
      </c>
      <c r="F113" s="10" t="e">
        <f t="shared" ca="1" si="1"/>
        <v>#NAME?</v>
      </c>
      <c r="G113" s="10" t="e">
        <f t="array" ref="G113">INDEX('Database Mitra'!$E$2:$E1009,MATCH(A113,'Database Mitra'!$B$2:$B1009,0))</f>
        <v>#VALUE!</v>
      </c>
      <c r="H113" s="10" t="e">
        <f t="array" ref="H113">INDEX('Database Mitra'!$F$2:$F1009,MATCH(A113,'Database Mitra'!$B$2:$B1009,0))</f>
        <v>#VALUE!</v>
      </c>
    </row>
    <row r="114" spans="1:8" ht="12.5">
      <c r="A114" s="121">
        <v>610422100043</v>
      </c>
      <c r="B114" s="10" t="s">
        <v>5940</v>
      </c>
      <c r="C114" s="10" t="e">
        <f ca="1">COUNTUNIQUEIFS('Alokasi Honor Hingga Sekarang'!D$2:D1009,'Alokasi Honor Hingga Sekarang'!C$2:C1009,A114)</f>
        <v>#NAME?</v>
      </c>
      <c r="D114" s="10" t="e">
        <f t="shared" ca="1" si="0"/>
        <v>#NAME?</v>
      </c>
      <c r="E114" s="82">
        <f t="array" ref="E114">INDEX('Database Mitra'!$R$2:$R1009,MATCH(A114,'Database Mitra'!$B$2:$B1009,0))</f>
        <v>36876</v>
      </c>
      <c r="F114" s="10" t="e">
        <f t="shared" ca="1" si="1"/>
        <v>#NAME?</v>
      </c>
      <c r="G114" s="10" t="e">
        <f t="array" ref="G114">INDEX('Database Mitra'!$E$2:$E1009,MATCH(A114,'Database Mitra'!$B$2:$B1009,0))</f>
        <v>#VALUE!</v>
      </c>
      <c r="H114" s="10" t="e">
        <f t="array" ref="H114">INDEX('Database Mitra'!$F$2:$F1009,MATCH(A114,'Database Mitra'!$B$2:$B1009,0))</f>
        <v>#VALUE!</v>
      </c>
    </row>
    <row r="115" spans="1:8" ht="12.5">
      <c r="A115" s="121">
        <v>610423090030</v>
      </c>
      <c r="B115" s="10" t="s">
        <v>5941</v>
      </c>
      <c r="C115" s="10" t="e">
        <f ca="1">COUNTUNIQUEIFS('Alokasi Honor Hingga Sekarang'!D$2:D1009,'Alokasi Honor Hingga Sekarang'!C$2:C1009,A115)</f>
        <v>#NAME?</v>
      </c>
      <c r="D115" s="10" t="e">
        <f t="shared" ca="1" si="0"/>
        <v>#NAME?</v>
      </c>
      <c r="E115" s="82">
        <f t="array" ref="E115">INDEX('Database Mitra'!$R$2:$R1009,MATCH(A115,'Database Mitra'!$B$2:$B1009,0))</f>
        <v>37671</v>
      </c>
      <c r="F115" s="10" t="e">
        <f t="shared" ca="1" si="1"/>
        <v>#NAME?</v>
      </c>
      <c r="G115" s="10" t="e">
        <f t="array" ref="G115">INDEX('Database Mitra'!$E$2:$E1009,MATCH(A115,'Database Mitra'!$B$2:$B1009,0))</f>
        <v>#VALUE!</v>
      </c>
      <c r="H115" s="10" t="e">
        <f t="array" ref="H115">INDEX('Database Mitra'!$F$2:$F1009,MATCH(A115,'Database Mitra'!$B$2:$B1009,0))</f>
        <v>#VALUE!</v>
      </c>
    </row>
    <row r="116" spans="1:8" ht="12.5">
      <c r="A116" s="121">
        <v>610422100162</v>
      </c>
      <c r="B116" s="10" t="s">
        <v>5942</v>
      </c>
      <c r="C116" s="10" t="e">
        <f ca="1">COUNTUNIQUEIFS('Alokasi Honor Hingga Sekarang'!D$2:D1009,'Alokasi Honor Hingga Sekarang'!C$2:C1009,A116)</f>
        <v>#NAME?</v>
      </c>
      <c r="D116" s="10" t="e">
        <f t="shared" ca="1" si="0"/>
        <v>#NAME?</v>
      </c>
      <c r="E116" s="82">
        <f t="array" ref="E116">INDEX('Database Mitra'!$R$2:$R1009,MATCH(A116,'Database Mitra'!$B$2:$B1009,0))</f>
        <v>36177</v>
      </c>
      <c r="F116" s="10" t="e">
        <f t="shared" ca="1" si="1"/>
        <v>#NAME?</v>
      </c>
      <c r="G116" s="10" t="e">
        <f t="array" ref="G116">INDEX('Database Mitra'!$E$2:$E1009,MATCH(A116,'Database Mitra'!$B$2:$B1009,0))</f>
        <v>#VALUE!</v>
      </c>
      <c r="H116" s="10" t="e">
        <f t="array" ref="H116">INDEX('Database Mitra'!$F$2:$F1009,MATCH(A116,'Database Mitra'!$B$2:$B1009,0))</f>
        <v>#VALUE!</v>
      </c>
    </row>
    <row r="117" spans="1:8" ht="12.5">
      <c r="A117" s="121">
        <v>610422060001</v>
      </c>
      <c r="B117" s="10" t="s">
        <v>1042</v>
      </c>
      <c r="C117" s="10" t="e">
        <f ca="1">COUNTUNIQUEIFS('Alokasi Honor Hingga Sekarang'!D$2:D1009,'Alokasi Honor Hingga Sekarang'!C$2:C1009,A117)</f>
        <v>#NAME?</v>
      </c>
      <c r="D117" s="10" t="e">
        <f t="shared" ca="1" si="0"/>
        <v>#NAME?</v>
      </c>
      <c r="E117" s="82">
        <f t="array" ref="E117">INDEX('Database Mitra'!$R$2:$R1009,MATCH(A117,'Database Mitra'!$B$2:$B1009,0))</f>
        <v>34977</v>
      </c>
      <c r="F117" s="10" t="e">
        <f t="shared" ca="1" si="1"/>
        <v>#NAME?</v>
      </c>
      <c r="G117" s="10" t="e">
        <f t="array" ref="G117">INDEX('Database Mitra'!$E$2:$E1009,MATCH(A117,'Database Mitra'!$B$2:$B1009,0))</f>
        <v>#VALUE!</v>
      </c>
      <c r="H117" s="10" t="e">
        <f t="array" ref="H117">INDEX('Database Mitra'!$F$2:$F1009,MATCH(A117,'Database Mitra'!$B$2:$B1009,0))</f>
        <v>#VALUE!</v>
      </c>
    </row>
    <row r="118" spans="1:8" ht="12.5">
      <c r="A118" s="121">
        <v>610423090009</v>
      </c>
      <c r="B118" s="10" t="s">
        <v>5943</v>
      </c>
      <c r="C118" s="10" t="e">
        <f ca="1">COUNTUNIQUEIFS('Alokasi Honor Hingga Sekarang'!D$2:D1009,'Alokasi Honor Hingga Sekarang'!C$2:C1009,A118)</f>
        <v>#NAME?</v>
      </c>
      <c r="D118" s="10" t="e">
        <f t="shared" ca="1" si="0"/>
        <v>#NAME?</v>
      </c>
      <c r="E118" s="82">
        <f t="array" ref="E118">INDEX('Database Mitra'!$R$2:$R1009,MATCH(A118,'Database Mitra'!$B$2:$B1009,0))</f>
        <v>34063</v>
      </c>
      <c r="F118" s="10" t="e">
        <f t="shared" ca="1" si="1"/>
        <v>#NAME?</v>
      </c>
      <c r="G118" s="10" t="e">
        <f t="array" ref="G118">INDEX('Database Mitra'!$E$2:$E1009,MATCH(A118,'Database Mitra'!$B$2:$B1009,0))</f>
        <v>#VALUE!</v>
      </c>
      <c r="H118" s="10" t="e">
        <f t="array" ref="H118">INDEX('Database Mitra'!$F$2:$F1009,MATCH(A118,'Database Mitra'!$B$2:$B1009,0))</f>
        <v>#VALUE!</v>
      </c>
    </row>
    <row r="119" spans="1:8" ht="12.5">
      <c r="A119" s="121">
        <v>610423110170</v>
      </c>
      <c r="B119" s="10" t="s">
        <v>5944</v>
      </c>
      <c r="C119" s="10" t="e">
        <f ca="1">COUNTUNIQUEIFS('Alokasi Honor Hingga Sekarang'!D$2:D1009,'Alokasi Honor Hingga Sekarang'!C$2:C1009,A119)</f>
        <v>#NAME?</v>
      </c>
      <c r="D119" s="10" t="e">
        <f t="shared" ca="1" si="0"/>
        <v>#NAME?</v>
      </c>
      <c r="E119" s="82">
        <f t="array" ref="E119">INDEX('Database Mitra'!$R$2:$R1009,MATCH(A119,'Database Mitra'!$B$2:$B1009,0))</f>
        <v>32680</v>
      </c>
      <c r="F119" s="10" t="e">
        <f t="shared" ca="1" si="1"/>
        <v>#NAME?</v>
      </c>
      <c r="G119" s="10" t="e">
        <f t="array" ref="G119">INDEX('Database Mitra'!$E$2:$E1009,MATCH(A119,'Database Mitra'!$B$2:$B1009,0))</f>
        <v>#VALUE!</v>
      </c>
      <c r="H119" s="10" t="e">
        <f t="array" ref="H119">INDEX('Database Mitra'!$F$2:$F1009,MATCH(A119,'Database Mitra'!$B$2:$B1009,0))</f>
        <v>#VALUE!</v>
      </c>
    </row>
    <row r="120" spans="1:8" ht="12.5">
      <c r="A120" s="121">
        <v>610423110161</v>
      </c>
      <c r="B120" s="10" t="s">
        <v>1061</v>
      </c>
      <c r="C120" s="10" t="e">
        <f ca="1">COUNTUNIQUEIFS('Alokasi Honor Hingga Sekarang'!D$2:D1009,'Alokasi Honor Hingga Sekarang'!C$2:C1009,A120)</f>
        <v>#NAME?</v>
      </c>
      <c r="D120" s="10" t="e">
        <f t="shared" ca="1" si="0"/>
        <v>#NAME?</v>
      </c>
      <c r="E120" s="82">
        <f t="array" ref="E120">INDEX('Database Mitra'!$R$2:$R1009,MATCH(A120,'Database Mitra'!$B$2:$B1009,0))</f>
        <v>35716</v>
      </c>
      <c r="F120" s="10" t="e">
        <f t="shared" ca="1" si="1"/>
        <v>#NAME?</v>
      </c>
      <c r="G120" s="10" t="e">
        <f t="array" ref="G120">INDEX('Database Mitra'!$E$2:$E1009,MATCH(A120,'Database Mitra'!$B$2:$B1009,0))</f>
        <v>#VALUE!</v>
      </c>
      <c r="H120" s="10" t="e">
        <f t="array" ref="H120">INDEX('Database Mitra'!$F$2:$F1009,MATCH(A120,'Database Mitra'!$B$2:$B1009,0))</f>
        <v>#VALUE!</v>
      </c>
    </row>
    <row r="121" spans="1:8" ht="12.5">
      <c r="A121" s="121">
        <v>610422100182</v>
      </c>
      <c r="B121" s="10" t="s">
        <v>5945</v>
      </c>
      <c r="C121" s="10" t="e">
        <f ca="1">COUNTUNIQUEIFS('Alokasi Honor Hingga Sekarang'!D$2:D1009,'Alokasi Honor Hingga Sekarang'!C$2:C1009,A121)</f>
        <v>#NAME?</v>
      </c>
      <c r="D121" s="10" t="e">
        <f t="shared" ca="1" si="0"/>
        <v>#NAME?</v>
      </c>
      <c r="E121" s="82">
        <f t="array" ref="E121">INDEX('Database Mitra'!$R$2:$R1009,MATCH(A121,'Database Mitra'!$B$2:$B1009,0))</f>
        <v>37530</v>
      </c>
      <c r="F121" s="10" t="e">
        <f t="shared" ca="1" si="1"/>
        <v>#NAME?</v>
      </c>
      <c r="G121" s="10" t="e">
        <f t="array" ref="G121">INDEX('Database Mitra'!$E$2:$E1009,MATCH(A121,'Database Mitra'!$B$2:$B1009,0))</f>
        <v>#VALUE!</v>
      </c>
      <c r="H121" s="10" t="e">
        <f t="array" ref="H121">INDEX('Database Mitra'!$F$2:$F1009,MATCH(A121,'Database Mitra'!$B$2:$B1009,0))</f>
        <v>#VALUE!</v>
      </c>
    </row>
    <row r="122" spans="1:8" ht="12.5">
      <c r="A122" s="121">
        <v>610423110162</v>
      </c>
      <c r="B122" s="10" t="s">
        <v>5946</v>
      </c>
      <c r="C122" s="10" t="e">
        <f ca="1">COUNTUNIQUEIFS('Alokasi Honor Hingga Sekarang'!D$2:D1009,'Alokasi Honor Hingga Sekarang'!C$2:C1009,A122)</f>
        <v>#NAME?</v>
      </c>
      <c r="D122" s="10" t="e">
        <f t="shared" ca="1" si="0"/>
        <v>#NAME?</v>
      </c>
      <c r="E122" s="82">
        <f t="array" ref="E122">INDEX('Database Mitra'!$R$2:$R1009,MATCH(A122,'Database Mitra'!$B$2:$B1009,0))</f>
        <v>35743</v>
      </c>
      <c r="F122" s="10" t="e">
        <f t="shared" ca="1" si="1"/>
        <v>#NAME?</v>
      </c>
      <c r="G122" s="10" t="e">
        <f t="array" ref="G122">INDEX('Database Mitra'!$E$2:$E1009,MATCH(A122,'Database Mitra'!$B$2:$B1009,0))</f>
        <v>#VALUE!</v>
      </c>
      <c r="H122" s="10" t="e">
        <f t="array" ref="H122">INDEX('Database Mitra'!$F$2:$F1009,MATCH(A122,'Database Mitra'!$B$2:$B1009,0))</f>
        <v>#VALUE!</v>
      </c>
    </row>
    <row r="123" spans="1:8" ht="12.5">
      <c r="A123" s="121">
        <v>332022020038</v>
      </c>
      <c r="B123" s="10" t="s">
        <v>1082</v>
      </c>
      <c r="C123" s="10" t="e">
        <f ca="1">COUNTUNIQUEIFS('Alokasi Honor Hingga Sekarang'!D$2:D1009,'Alokasi Honor Hingga Sekarang'!C$2:C1009,A123)</f>
        <v>#NAME?</v>
      </c>
      <c r="D123" s="10" t="e">
        <f t="shared" ca="1" si="0"/>
        <v>#NAME?</v>
      </c>
      <c r="E123" s="82">
        <f t="array" ref="E123">INDEX('Database Mitra'!$R$2:$R1009,MATCH(A123,'Database Mitra'!$B$2:$B1009,0))</f>
        <v>35023</v>
      </c>
      <c r="F123" s="10" t="e">
        <f t="shared" ca="1" si="1"/>
        <v>#NAME?</v>
      </c>
      <c r="G123" s="10" t="e">
        <f t="array" ref="G123">INDEX('Database Mitra'!$E$2:$E1009,MATCH(A123,'Database Mitra'!$B$2:$B1009,0))</f>
        <v>#VALUE!</v>
      </c>
      <c r="H123" s="10" t="e">
        <f t="array" ref="H123">INDEX('Database Mitra'!$F$2:$F1009,MATCH(A123,'Database Mitra'!$B$2:$B1009,0))</f>
        <v>#VALUE!</v>
      </c>
    </row>
    <row r="124" spans="1:8" ht="12.5">
      <c r="A124" s="121">
        <v>610422100108</v>
      </c>
      <c r="B124" s="10" t="s">
        <v>1089</v>
      </c>
      <c r="C124" s="10" t="e">
        <f ca="1">COUNTUNIQUEIFS('Alokasi Honor Hingga Sekarang'!D$2:D1009,'Alokasi Honor Hingga Sekarang'!C$2:C1009,A124)</f>
        <v>#NAME?</v>
      </c>
      <c r="D124" s="10" t="e">
        <f t="shared" ca="1" si="0"/>
        <v>#NAME?</v>
      </c>
      <c r="E124" s="82">
        <f t="array" ref="E124">INDEX('Database Mitra'!$R$2:$R1009,MATCH(A124,'Database Mitra'!$B$2:$B1009,0))</f>
        <v>36154</v>
      </c>
      <c r="F124" s="10" t="e">
        <f t="shared" ca="1" si="1"/>
        <v>#NAME?</v>
      </c>
      <c r="G124" s="10" t="e">
        <f t="array" ref="G124">INDEX('Database Mitra'!$E$2:$E1009,MATCH(A124,'Database Mitra'!$B$2:$B1009,0))</f>
        <v>#VALUE!</v>
      </c>
      <c r="H124" s="10" t="e">
        <f t="array" ref="H124">INDEX('Database Mitra'!$F$2:$F1009,MATCH(A124,'Database Mitra'!$B$2:$B1009,0))</f>
        <v>#VALUE!</v>
      </c>
    </row>
    <row r="125" spans="1:8" ht="12.5">
      <c r="A125" s="121">
        <v>610422100031</v>
      </c>
      <c r="B125" s="10" t="s">
        <v>1095</v>
      </c>
      <c r="C125" s="10" t="e">
        <f ca="1">COUNTUNIQUEIFS('Alokasi Honor Hingga Sekarang'!D$2:D1009,'Alokasi Honor Hingga Sekarang'!C$2:C1009,A125)</f>
        <v>#NAME?</v>
      </c>
      <c r="D125" s="10" t="e">
        <f t="shared" ca="1" si="0"/>
        <v>#NAME?</v>
      </c>
      <c r="E125" s="11">
        <f t="array" ref="E125">INDEX('Database Mitra'!$R$2:$R1009,MATCH(A125,'Database Mitra'!$B$2:$B1009,0))</f>
        <v>34894</v>
      </c>
      <c r="F125" s="10" t="e">
        <f t="shared" ca="1" si="1"/>
        <v>#NAME?</v>
      </c>
      <c r="G125" s="10" t="e">
        <f t="array" ref="G125">INDEX('Database Mitra'!$E$2:$E1009,MATCH(A125,'Database Mitra'!$B$2:$B1009,0))</f>
        <v>#VALUE!</v>
      </c>
      <c r="H125" s="10" t="e">
        <f t="array" ref="H125">INDEX('Database Mitra'!$F$2:$F1009,MATCH(A125,'Database Mitra'!$B$2:$B1009,0))</f>
        <v>#VALUE!</v>
      </c>
    </row>
    <row r="126" spans="1:8" ht="12.5">
      <c r="A126" s="121">
        <v>610422040025</v>
      </c>
      <c r="B126" s="10" t="s">
        <v>5947</v>
      </c>
      <c r="C126" s="10" t="e">
        <f ca="1">COUNTUNIQUEIFS('Alokasi Honor Hingga Sekarang'!D$2:D1009,'Alokasi Honor Hingga Sekarang'!C$2:C1009,A126)</f>
        <v>#NAME?</v>
      </c>
      <c r="D126" s="10" t="e">
        <f t="shared" ca="1" si="0"/>
        <v>#NAME?</v>
      </c>
      <c r="E126" s="82">
        <f t="array" ref="E126">INDEX('Database Mitra'!$R$2:$R1009,MATCH(A126,'Database Mitra'!$B$2:$B1009,0))</f>
        <v>33778</v>
      </c>
      <c r="F126" s="10" t="e">
        <f t="shared" ca="1" si="1"/>
        <v>#NAME?</v>
      </c>
      <c r="G126" s="10" t="e">
        <f t="array" ref="G126">INDEX('Database Mitra'!$E$2:$E1009,MATCH(A126,'Database Mitra'!$B$2:$B1009,0))</f>
        <v>#VALUE!</v>
      </c>
      <c r="H126" s="10" t="e">
        <f t="array" ref="H126">INDEX('Database Mitra'!$F$2:$F1009,MATCH(A126,'Database Mitra'!$B$2:$B1009,0))</f>
        <v>#VALUE!</v>
      </c>
    </row>
    <row r="127" spans="1:8" ht="12.5">
      <c r="A127" s="121">
        <v>610423040009</v>
      </c>
      <c r="B127" s="10" t="s">
        <v>1107</v>
      </c>
      <c r="C127" s="10" t="e">
        <f ca="1">COUNTUNIQUEIFS('Alokasi Honor Hingga Sekarang'!D$2:D1009,'Alokasi Honor Hingga Sekarang'!C$2:C1009,A127)</f>
        <v>#NAME?</v>
      </c>
      <c r="D127" s="10" t="e">
        <f t="shared" ca="1" si="0"/>
        <v>#NAME?</v>
      </c>
      <c r="E127" s="82">
        <f t="array" ref="E127">INDEX('Database Mitra'!$R$2:$R1009,MATCH(A127,'Database Mitra'!$B$2:$B1009,0))</f>
        <v>30085</v>
      </c>
      <c r="F127" s="10" t="e">
        <f t="shared" ca="1" si="1"/>
        <v>#NAME?</v>
      </c>
      <c r="G127" s="10" t="e">
        <f t="array" ref="G127">INDEX('Database Mitra'!$E$2:$E1009,MATCH(A127,'Database Mitra'!$B$2:$B1009,0))</f>
        <v>#VALUE!</v>
      </c>
      <c r="H127" s="10" t="e">
        <f t="array" ref="H127">INDEX('Database Mitra'!$F$2:$F1009,MATCH(A127,'Database Mitra'!$B$2:$B1009,0))</f>
        <v>#VALUE!</v>
      </c>
    </row>
    <row r="128" spans="1:8" ht="12.5">
      <c r="A128" s="121">
        <v>610423110091</v>
      </c>
      <c r="B128" s="10" t="s">
        <v>5948</v>
      </c>
      <c r="C128" s="10" t="e">
        <f ca="1">COUNTUNIQUEIFS('Alokasi Honor Hingga Sekarang'!D$2:D1009,'Alokasi Honor Hingga Sekarang'!C$2:C1009,A128)</f>
        <v>#NAME?</v>
      </c>
      <c r="D128" s="10" t="e">
        <f t="shared" ca="1" si="0"/>
        <v>#NAME?</v>
      </c>
      <c r="E128" s="82">
        <f t="array" ref="E128">INDEX('Database Mitra'!$R$2:$R1009,MATCH(A128,'Database Mitra'!$B$2:$B1009,0))</f>
        <v>31901</v>
      </c>
      <c r="F128" s="10" t="e">
        <f t="shared" ca="1" si="1"/>
        <v>#NAME?</v>
      </c>
      <c r="G128" s="10" t="e">
        <f t="array" ref="G128">INDEX('Database Mitra'!$E$2:$E1009,MATCH(A128,'Database Mitra'!$B$2:$B1009,0))</f>
        <v>#VALUE!</v>
      </c>
      <c r="H128" s="10" t="e">
        <f t="array" ref="H128">INDEX('Database Mitra'!$F$2:$F1009,MATCH(A128,'Database Mitra'!$B$2:$B1009,0))</f>
        <v>#VALUE!</v>
      </c>
    </row>
    <row r="129" spans="1:8" ht="12.5">
      <c r="A129" s="121">
        <v>610423110116</v>
      </c>
      <c r="B129" s="10" t="s">
        <v>1121</v>
      </c>
      <c r="C129" s="10" t="e">
        <f ca="1">COUNTUNIQUEIFS('Alokasi Honor Hingga Sekarang'!D$2:D1009,'Alokasi Honor Hingga Sekarang'!C$2:C1009,A129)</f>
        <v>#NAME?</v>
      </c>
      <c r="D129" s="10" t="e">
        <f t="shared" ca="1" si="0"/>
        <v>#NAME?</v>
      </c>
      <c r="E129" s="82">
        <f t="array" ref="E129">INDEX('Database Mitra'!$R$2:$R1009,MATCH(A129,'Database Mitra'!$B$2:$B1009,0))</f>
        <v>35961</v>
      </c>
      <c r="F129" s="10" t="e">
        <f t="shared" ca="1" si="1"/>
        <v>#NAME?</v>
      </c>
      <c r="G129" s="10" t="e">
        <f t="array" ref="G129">INDEX('Database Mitra'!$E$2:$E1009,MATCH(A129,'Database Mitra'!$B$2:$B1009,0))</f>
        <v>#VALUE!</v>
      </c>
      <c r="H129" s="10" t="e">
        <f t="array" ref="H129">INDEX('Database Mitra'!$F$2:$F1009,MATCH(A129,'Database Mitra'!$B$2:$B1009,0))</f>
        <v>#VALUE!</v>
      </c>
    </row>
    <row r="130" spans="1:8" ht="12.5">
      <c r="A130" s="121">
        <v>610422050001</v>
      </c>
      <c r="B130" s="10" t="s">
        <v>5949</v>
      </c>
      <c r="C130" s="10" t="e">
        <f ca="1">COUNTUNIQUEIFS('Alokasi Honor Hingga Sekarang'!D$2:D1009,'Alokasi Honor Hingga Sekarang'!C$2:C1009,A130)</f>
        <v>#NAME?</v>
      </c>
      <c r="D130" s="10" t="e">
        <f t="shared" ca="1" si="0"/>
        <v>#NAME?</v>
      </c>
      <c r="E130" s="82">
        <f t="array" ref="E130">INDEX('Database Mitra'!$R$2:$R1009,MATCH(A130,'Database Mitra'!$B$2:$B1009,0))</f>
        <v>30692</v>
      </c>
      <c r="F130" s="10" t="e">
        <f t="shared" ca="1" si="1"/>
        <v>#NAME?</v>
      </c>
      <c r="G130" s="10" t="e">
        <f t="array" ref="G130">INDEX('Database Mitra'!$E$2:$E1009,MATCH(A130,'Database Mitra'!$B$2:$B1009,0))</f>
        <v>#VALUE!</v>
      </c>
      <c r="H130" s="10" t="e">
        <f t="array" ref="H130">INDEX('Database Mitra'!$F$2:$F1009,MATCH(A130,'Database Mitra'!$B$2:$B1009,0))</f>
        <v>#VALUE!</v>
      </c>
    </row>
    <row r="131" spans="1:8" ht="12.5">
      <c r="A131" s="121">
        <v>610423110130</v>
      </c>
      <c r="B131" s="10" t="s">
        <v>5950</v>
      </c>
      <c r="C131" s="10" t="e">
        <f ca="1">COUNTUNIQUEIFS('Alokasi Honor Hingga Sekarang'!D$2:D1009,'Alokasi Honor Hingga Sekarang'!C$2:C1009,A131)</f>
        <v>#NAME?</v>
      </c>
      <c r="D131" s="10" t="e">
        <f t="shared" ca="1" si="0"/>
        <v>#NAME?</v>
      </c>
      <c r="E131" s="82">
        <f t="array" ref="E131">INDEX('Database Mitra'!$R$2:$R1009,MATCH(A131,'Database Mitra'!$B$2:$B1009,0))</f>
        <v>35279</v>
      </c>
      <c r="F131" s="10" t="e">
        <f t="shared" ca="1" si="1"/>
        <v>#NAME?</v>
      </c>
      <c r="G131" s="10" t="e">
        <f t="array" ref="G131">INDEX('Database Mitra'!$E$2:$E1009,MATCH(A131,'Database Mitra'!$B$2:$B1009,0))</f>
        <v>#VALUE!</v>
      </c>
      <c r="H131" s="10" t="e">
        <f t="array" ref="H131">INDEX('Database Mitra'!$F$2:$F1009,MATCH(A131,'Database Mitra'!$B$2:$B1009,0))</f>
        <v>#VALUE!</v>
      </c>
    </row>
    <row r="132" spans="1:8" ht="12.5">
      <c r="A132" s="121">
        <v>610423110153</v>
      </c>
      <c r="B132" s="10" t="s">
        <v>5951</v>
      </c>
      <c r="C132" s="10" t="e">
        <f ca="1">COUNTUNIQUEIFS('Alokasi Honor Hingga Sekarang'!D$2:D1009,'Alokasi Honor Hingga Sekarang'!C$2:C1009,A132)</f>
        <v>#NAME?</v>
      </c>
      <c r="D132" s="10" t="e">
        <f t="shared" ca="1" si="0"/>
        <v>#NAME?</v>
      </c>
      <c r="E132" s="82">
        <f t="array" ref="E132">INDEX('Database Mitra'!$R$2:$R1009,MATCH(A132,'Database Mitra'!$B$2:$B1009,0))</f>
        <v>36641</v>
      </c>
      <c r="F132" s="10" t="e">
        <f t="shared" ca="1" si="1"/>
        <v>#NAME?</v>
      </c>
      <c r="G132" s="10" t="e">
        <f t="array" ref="G132">INDEX('Database Mitra'!$E$2:$E1009,MATCH(A132,'Database Mitra'!$B$2:$B1009,0))</f>
        <v>#VALUE!</v>
      </c>
      <c r="H132" s="10" t="e">
        <f t="array" ref="H132">INDEX('Database Mitra'!$F$2:$F1009,MATCH(A132,'Database Mitra'!$B$2:$B1009,0))</f>
        <v>#VALUE!</v>
      </c>
    </row>
    <row r="133" spans="1:8" ht="12.5">
      <c r="A133" s="121">
        <v>610423040025</v>
      </c>
      <c r="B133" s="10" t="s">
        <v>1146</v>
      </c>
      <c r="C133" s="10" t="e">
        <f ca="1">COUNTUNIQUEIFS('Alokasi Honor Hingga Sekarang'!D$2:D1009,'Alokasi Honor Hingga Sekarang'!C$2:C1009,A133)</f>
        <v>#NAME?</v>
      </c>
      <c r="D133" s="10" t="e">
        <f t="shared" ca="1" si="0"/>
        <v>#NAME?</v>
      </c>
      <c r="E133" s="11">
        <f t="array" ref="E133">INDEX('Database Mitra'!$R$2:$R1009,MATCH(A133,'Database Mitra'!$B$2:$B1009,0))</f>
        <v>37261</v>
      </c>
      <c r="F133" s="10" t="e">
        <f t="shared" ca="1" si="1"/>
        <v>#NAME?</v>
      </c>
      <c r="G133" s="10" t="e">
        <f t="array" ref="G133">INDEX('Database Mitra'!$E$2:$E1009,MATCH(A133,'Database Mitra'!$B$2:$B1009,0))</f>
        <v>#VALUE!</v>
      </c>
      <c r="H133" s="10" t="e">
        <f t="array" ref="H133">INDEX('Database Mitra'!$F$2:$F1009,MATCH(A133,'Database Mitra'!$B$2:$B1009,0))</f>
        <v>#VALUE!</v>
      </c>
    </row>
    <row r="134" spans="1:8" ht="12.5">
      <c r="A134" s="121">
        <v>610422040003</v>
      </c>
      <c r="B134" s="10" t="s">
        <v>1150</v>
      </c>
      <c r="C134" s="10" t="e">
        <f ca="1">COUNTUNIQUEIFS('Alokasi Honor Hingga Sekarang'!D$2:D1009,'Alokasi Honor Hingga Sekarang'!C$2:C1009,A134)</f>
        <v>#NAME?</v>
      </c>
      <c r="D134" s="10" t="e">
        <f t="shared" ca="1" si="0"/>
        <v>#NAME?</v>
      </c>
      <c r="E134" s="82">
        <f t="array" ref="E134">INDEX('Database Mitra'!$R$2:$R1009,MATCH(A134,'Database Mitra'!$B$2:$B1009,0))</f>
        <v>34075</v>
      </c>
      <c r="F134" s="10" t="e">
        <f t="shared" ca="1" si="1"/>
        <v>#NAME?</v>
      </c>
      <c r="G134" s="10" t="e">
        <f t="array" ref="G134">INDEX('Database Mitra'!$E$2:$E1009,MATCH(A134,'Database Mitra'!$B$2:$B1009,0))</f>
        <v>#VALUE!</v>
      </c>
      <c r="H134" s="10" t="e">
        <f t="array" ref="H134">INDEX('Database Mitra'!$F$2:$F1009,MATCH(A134,'Database Mitra'!$B$2:$B1009,0))</f>
        <v>#VALUE!</v>
      </c>
    </row>
    <row r="135" spans="1:8" ht="12.5">
      <c r="A135" s="121">
        <v>610423040016</v>
      </c>
      <c r="B135" s="10" t="s">
        <v>1158</v>
      </c>
      <c r="C135" s="10" t="e">
        <f ca="1">COUNTUNIQUEIFS('Alokasi Honor Hingga Sekarang'!D$2:D1009,'Alokasi Honor Hingga Sekarang'!C$2:C1009,A135)</f>
        <v>#NAME?</v>
      </c>
      <c r="D135" s="10" t="e">
        <f t="shared" ca="1" si="0"/>
        <v>#NAME?</v>
      </c>
      <c r="E135" s="82">
        <f t="array" ref="E135">INDEX('Database Mitra'!$R$2:$R1009,MATCH(A135,'Database Mitra'!$B$2:$B1009,0))</f>
        <v>37161</v>
      </c>
      <c r="F135" s="10" t="e">
        <f t="shared" ca="1" si="1"/>
        <v>#NAME?</v>
      </c>
      <c r="G135" s="10" t="e">
        <f t="array" ref="G135">INDEX('Database Mitra'!$E$2:$E1009,MATCH(A135,'Database Mitra'!$B$2:$B1009,0))</f>
        <v>#VALUE!</v>
      </c>
      <c r="H135" s="10" t="e">
        <f t="array" ref="H135">INDEX('Database Mitra'!$F$2:$F1009,MATCH(A135,'Database Mitra'!$B$2:$B1009,0))</f>
        <v>#VALUE!</v>
      </c>
    </row>
    <row r="136" spans="1:8" ht="12.5">
      <c r="A136" s="121">
        <v>610423110112</v>
      </c>
      <c r="B136" s="10" t="s">
        <v>1164</v>
      </c>
      <c r="C136" s="10" t="e">
        <f ca="1">COUNTUNIQUEIFS('Alokasi Honor Hingga Sekarang'!D$2:D1009,'Alokasi Honor Hingga Sekarang'!C$2:C1009,A136)</f>
        <v>#NAME?</v>
      </c>
      <c r="D136" s="10" t="e">
        <f t="shared" ca="1" si="0"/>
        <v>#NAME?</v>
      </c>
      <c r="E136" s="82">
        <f t="array" ref="E136">INDEX('Database Mitra'!$R$2:$R1009,MATCH(A136,'Database Mitra'!$B$2:$B1009,0))</f>
        <v>34451</v>
      </c>
      <c r="F136" s="10" t="e">
        <f t="shared" ca="1" si="1"/>
        <v>#NAME?</v>
      </c>
      <c r="G136" s="10" t="e">
        <f t="array" ref="G136">INDEX('Database Mitra'!$E$2:$E1009,MATCH(A136,'Database Mitra'!$B$2:$B1009,0))</f>
        <v>#VALUE!</v>
      </c>
      <c r="H136" s="10" t="e">
        <f t="array" ref="H136">INDEX('Database Mitra'!$F$2:$F1009,MATCH(A136,'Database Mitra'!$B$2:$B1009,0))</f>
        <v>#VALUE!</v>
      </c>
    </row>
    <row r="137" spans="1:8" ht="12.5">
      <c r="A137" s="121">
        <v>610423110196</v>
      </c>
      <c r="B137" s="10" t="s">
        <v>5952</v>
      </c>
      <c r="C137" s="10" t="e">
        <f ca="1">COUNTUNIQUEIFS('Alokasi Honor Hingga Sekarang'!D$2:D1009,'Alokasi Honor Hingga Sekarang'!C$2:C1009,A137)</f>
        <v>#NAME?</v>
      </c>
      <c r="D137" s="10" t="e">
        <f t="shared" ca="1" si="0"/>
        <v>#NAME?</v>
      </c>
      <c r="E137" s="11">
        <f t="array" ref="E137">INDEX('Database Mitra'!$R$2:$R1009,MATCH(A137,'Database Mitra'!$B$2:$B1009,0))</f>
        <v>35571</v>
      </c>
      <c r="F137" s="10" t="e">
        <f t="shared" ca="1" si="1"/>
        <v>#NAME?</v>
      </c>
      <c r="G137" s="10" t="e">
        <f t="array" ref="G137">INDEX('Database Mitra'!$E$2:$E1009,MATCH(A137,'Database Mitra'!$B$2:$B1009,0))</f>
        <v>#VALUE!</v>
      </c>
      <c r="H137" s="10" t="e">
        <f t="array" ref="H137">INDEX('Database Mitra'!$F$2:$F1009,MATCH(A137,'Database Mitra'!$B$2:$B1009,0))</f>
        <v>#VALUE!</v>
      </c>
    </row>
    <row r="138" spans="1:8" ht="12.5">
      <c r="A138" s="121">
        <v>610422100001</v>
      </c>
      <c r="B138" s="10" t="s">
        <v>1177</v>
      </c>
      <c r="C138" s="10" t="e">
        <f ca="1">COUNTUNIQUEIFS('Alokasi Honor Hingga Sekarang'!D$2:D1009,'Alokasi Honor Hingga Sekarang'!C$2:C1009,A138)</f>
        <v>#NAME?</v>
      </c>
      <c r="D138" s="10" t="e">
        <f t="shared" ca="1" si="0"/>
        <v>#NAME?</v>
      </c>
      <c r="E138" s="82">
        <f t="array" ref="E138">INDEX('Database Mitra'!$R$2:$R1009,MATCH(A138,'Database Mitra'!$B$2:$B1009,0))</f>
        <v>30507</v>
      </c>
      <c r="F138" s="10" t="e">
        <f t="shared" ca="1" si="1"/>
        <v>#NAME?</v>
      </c>
      <c r="G138" s="10" t="e">
        <f t="array" ref="G138">INDEX('Database Mitra'!$E$2:$E1009,MATCH(A138,'Database Mitra'!$B$2:$B1009,0))</f>
        <v>#VALUE!</v>
      </c>
      <c r="H138" s="10" t="e">
        <f t="array" ref="H138">INDEX('Database Mitra'!$F$2:$F1009,MATCH(A138,'Database Mitra'!$B$2:$B1009,0))</f>
        <v>#VALUE!</v>
      </c>
    </row>
    <row r="139" spans="1:8" ht="12.5">
      <c r="A139" s="121">
        <v>610423110098</v>
      </c>
      <c r="B139" s="10" t="s">
        <v>5953</v>
      </c>
      <c r="C139" s="10" t="e">
        <f ca="1">COUNTUNIQUEIFS('Alokasi Honor Hingga Sekarang'!D$2:D1009,'Alokasi Honor Hingga Sekarang'!C$2:C1009,A139)</f>
        <v>#NAME?</v>
      </c>
      <c r="D139" s="10" t="e">
        <f t="shared" ca="1" si="0"/>
        <v>#NAME?</v>
      </c>
      <c r="E139" s="11">
        <f t="array" ref="E139">INDEX('Database Mitra'!$R$2:$R1009,MATCH(A139,'Database Mitra'!$B$2:$B1009,0))</f>
        <v>36203</v>
      </c>
      <c r="F139" s="10" t="e">
        <f t="shared" ca="1" si="1"/>
        <v>#NAME?</v>
      </c>
      <c r="G139" s="10" t="e">
        <f t="array" ref="G139">INDEX('Database Mitra'!$E$2:$E1009,MATCH(A139,'Database Mitra'!$B$2:$B1009,0))</f>
        <v>#VALUE!</v>
      </c>
      <c r="H139" s="10" t="e">
        <f t="array" ref="H139">INDEX('Database Mitra'!$F$2:$F1009,MATCH(A139,'Database Mitra'!$B$2:$B1009,0))</f>
        <v>#VALUE!</v>
      </c>
    </row>
    <row r="140" spans="1:8" ht="12.5">
      <c r="A140" s="121">
        <v>610422100176</v>
      </c>
      <c r="B140" s="10" t="s">
        <v>1190</v>
      </c>
      <c r="C140" s="10" t="e">
        <f ca="1">COUNTUNIQUEIFS('Alokasi Honor Hingga Sekarang'!D$2:D1009,'Alokasi Honor Hingga Sekarang'!C$2:C1009,A140)</f>
        <v>#NAME?</v>
      </c>
      <c r="D140" s="10" t="e">
        <f t="shared" ca="1" si="0"/>
        <v>#NAME?</v>
      </c>
      <c r="E140" s="11">
        <f t="array" ref="E140">INDEX('Database Mitra'!$R$2:$R1009,MATCH(A140,'Database Mitra'!$B$2:$B1009,0))</f>
        <v>32481</v>
      </c>
      <c r="F140" s="10" t="e">
        <f t="shared" ca="1" si="1"/>
        <v>#NAME?</v>
      </c>
      <c r="G140" s="10" t="e">
        <f t="array" ref="G140">INDEX('Database Mitra'!$E$2:$E1009,MATCH(A140,'Database Mitra'!$B$2:$B1009,0))</f>
        <v>#VALUE!</v>
      </c>
      <c r="H140" s="10" t="e">
        <f t="array" ref="H140">INDEX('Database Mitra'!$F$2:$F1009,MATCH(A140,'Database Mitra'!$B$2:$B1009,0))</f>
        <v>#VALUE!</v>
      </c>
    </row>
    <row r="141" spans="1:8" ht="12.5">
      <c r="A141" s="121">
        <v>610423110182</v>
      </c>
      <c r="B141" s="10" t="s">
        <v>1197</v>
      </c>
      <c r="C141" s="10" t="e">
        <f ca="1">COUNTUNIQUEIFS('Alokasi Honor Hingga Sekarang'!D$2:D1009,'Alokasi Honor Hingga Sekarang'!C$2:C1009,A141)</f>
        <v>#NAME?</v>
      </c>
      <c r="D141" s="10" t="e">
        <f t="shared" ca="1" si="0"/>
        <v>#NAME?</v>
      </c>
      <c r="E141" s="82">
        <f t="array" ref="E141">INDEX('Database Mitra'!$R$2:$R1009,MATCH(A141,'Database Mitra'!$B$2:$B1009,0))</f>
        <v>36526</v>
      </c>
      <c r="F141" s="10" t="e">
        <f t="shared" ca="1" si="1"/>
        <v>#NAME?</v>
      </c>
      <c r="G141" s="10" t="e">
        <f t="array" ref="G141">INDEX('Database Mitra'!$E$2:$E1009,MATCH(A141,'Database Mitra'!$B$2:$B1009,0))</f>
        <v>#VALUE!</v>
      </c>
      <c r="H141" s="10" t="e">
        <f t="array" ref="H141">INDEX('Database Mitra'!$F$2:$F1009,MATCH(A141,'Database Mitra'!$B$2:$B1009,0))</f>
        <v>#VALUE!</v>
      </c>
    </row>
    <row r="142" spans="1:8" ht="12.5">
      <c r="A142" s="121">
        <v>610422100068</v>
      </c>
      <c r="B142" s="10" t="s">
        <v>5954</v>
      </c>
      <c r="C142" s="10" t="e">
        <f ca="1">COUNTUNIQUEIFS('Alokasi Honor Hingga Sekarang'!D$2:D1009,'Alokasi Honor Hingga Sekarang'!C$2:C1009,A142)</f>
        <v>#NAME?</v>
      </c>
      <c r="D142" s="10" t="e">
        <f t="shared" ca="1" si="0"/>
        <v>#NAME?</v>
      </c>
      <c r="E142" s="82">
        <f t="array" ref="E142">INDEX('Database Mitra'!$R$2:$R1009,MATCH(A142,'Database Mitra'!$B$2:$B1009,0))</f>
        <v>37307</v>
      </c>
      <c r="F142" s="10" t="e">
        <f t="shared" ca="1" si="1"/>
        <v>#NAME?</v>
      </c>
      <c r="G142" s="10" t="e">
        <f t="array" ref="G142">INDEX('Database Mitra'!$E$2:$E1009,MATCH(A142,'Database Mitra'!$B$2:$B1009,0))</f>
        <v>#VALUE!</v>
      </c>
      <c r="H142" s="10" t="e">
        <f t="array" ref="H142">INDEX('Database Mitra'!$F$2:$F1009,MATCH(A142,'Database Mitra'!$B$2:$B1009,0))</f>
        <v>#VALUE!</v>
      </c>
    </row>
    <row r="143" spans="1:8" ht="12.5">
      <c r="A143" s="121">
        <v>610423110066</v>
      </c>
      <c r="B143" s="10" t="s">
        <v>1210</v>
      </c>
      <c r="C143" s="10" t="e">
        <f ca="1">COUNTUNIQUEIFS('Alokasi Honor Hingga Sekarang'!D$2:D1009,'Alokasi Honor Hingga Sekarang'!C$2:C1009,A143)</f>
        <v>#NAME?</v>
      </c>
      <c r="D143" s="10" t="e">
        <f t="shared" ca="1" si="0"/>
        <v>#NAME?</v>
      </c>
      <c r="E143" s="11">
        <f t="array" ref="E143">INDEX('Database Mitra'!$R$2:$R1009,MATCH(A143,'Database Mitra'!$B$2:$B1009,0))</f>
        <v>34852</v>
      </c>
      <c r="F143" s="10" t="e">
        <f t="shared" ca="1" si="1"/>
        <v>#NAME?</v>
      </c>
      <c r="G143" s="10" t="e">
        <f t="array" ref="G143">INDEX('Database Mitra'!$E$2:$E1009,MATCH(A143,'Database Mitra'!$B$2:$B1009,0))</f>
        <v>#VALUE!</v>
      </c>
      <c r="H143" s="10" t="e">
        <f t="array" ref="H143">INDEX('Database Mitra'!$F$2:$F1009,MATCH(A143,'Database Mitra'!$B$2:$B1009,0))</f>
        <v>#VALUE!</v>
      </c>
    </row>
    <row r="144" spans="1:8" ht="12.5">
      <c r="A144" s="121">
        <v>610423110189</v>
      </c>
      <c r="B144" s="10" t="s">
        <v>1217</v>
      </c>
      <c r="C144" s="10" t="e">
        <f ca="1">COUNTUNIQUEIFS('Alokasi Honor Hingga Sekarang'!D$2:D1009,'Alokasi Honor Hingga Sekarang'!C$2:C1009,A144)</f>
        <v>#NAME?</v>
      </c>
      <c r="D144" s="10" t="e">
        <f t="shared" ca="1" si="0"/>
        <v>#NAME?</v>
      </c>
      <c r="E144" s="82">
        <f t="array" ref="E144">INDEX('Database Mitra'!$R$2:$R1009,MATCH(A144,'Database Mitra'!$B$2:$B1009,0))</f>
        <v>34507</v>
      </c>
      <c r="F144" s="10" t="e">
        <f t="shared" ca="1" si="1"/>
        <v>#NAME?</v>
      </c>
      <c r="G144" s="10" t="e">
        <f t="array" ref="G144">INDEX('Database Mitra'!$E$2:$E1009,MATCH(A144,'Database Mitra'!$B$2:$B1009,0))</f>
        <v>#VALUE!</v>
      </c>
      <c r="H144" s="10" t="e">
        <f t="array" ref="H144">INDEX('Database Mitra'!$F$2:$F1009,MATCH(A144,'Database Mitra'!$B$2:$B1009,0))</f>
        <v>#VALUE!</v>
      </c>
    </row>
    <row r="145" spans="1:8" ht="12.5">
      <c r="A145" s="121">
        <v>610423040003</v>
      </c>
      <c r="B145" s="10" t="s">
        <v>1222</v>
      </c>
      <c r="C145" s="10" t="e">
        <f ca="1">COUNTUNIQUEIFS('Alokasi Honor Hingga Sekarang'!D$2:D1009,'Alokasi Honor Hingga Sekarang'!C$2:C1009,A145)</f>
        <v>#NAME?</v>
      </c>
      <c r="D145" s="10" t="e">
        <f t="shared" ca="1" si="0"/>
        <v>#NAME?</v>
      </c>
      <c r="E145" s="11">
        <f t="array" ref="E145">INDEX('Database Mitra'!$R$2:$R1009,MATCH(A145,'Database Mitra'!$B$2:$B1009,0))</f>
        <v>36492</v>
      </c>
      <c r="F145" s="10" t="e">
        <f t="shared" ca="1" si="1"/>
        <v>#NAME?</v>
      </c>
      <c r="G145" s="10" t="e">
        <f t="array" ref="G145">INDEX('Database Mitra'!$E$2:$E1009,MATCH(A145,'Database Mitra'!$B$2:$B1009,0))</f>
        <v>#VALUE!</v>
      </c>
      <c r="H145" s="10" t="e">
        <f t="array" ref="H145">INDEX('Database Mitra'!$F$2:$F1009,MATCH(A145,'Database Mitra'!$B$2:$B1009,0))</f>
        <v>#VALUE!</v>
      </c>
    </row>
    <row r="146" spans="1:8" ht="12.5">
      <c r="A146" s="121">
        <v>610422100143</v>
      </c>
      <c r="B146" s="10" t="s">
        <v>1227</v>
      </c>
      <c r="C146" s="10" t="e">
        <f ca="1">COUNTUNIQUEIFS('Alokasi Honor Hingga Sekarang'!D$2:D1009,'Alokasi Honor Hingga Sekarang'!C$2:C1009,A146)</f>
        <v>#NAME?</v>
      </c>
      <c r="D146" s="10" t="e">
        <f t="shared" ca="1" si="0"/>
        <v>#NAME?</v>
      </c>
      <c r="E146" s="11">
        <f t="array" ref="E146">INDEX('Database Mitra'!$R$2:$R1009,MATCH(A146,'Database Mitra'!$B$2:$B1009,0))</f>
        <v>37334</v>
      </c>
      <c r="F146" s="10" t="e">
        <f t="shared" ca="1" si="1"/>
        <v>#NAME?</v>
      </c>
      <c r="G146" s="10" t="e">
        <f t="array" ref="G146">INDEX('Database Mitra'!$E$2:$E1009,MATCH(A146,'Database Mitra'!$B$2:$B1009,0))</f>
        <v>#VALUE!</v>
      </c>
      <c r="H146" s="10" t="e">
        <f t="array" ref="H146">INDEX('Database Mitra'!$F$2:$F1009,MATCH(A146,'Database Mitra'!$B$2:$B1009,0))</f>
        <v>#VALUE!</v>
      </c>
    </row>
    <row r="147" spans="1:8" ht="12.5">
      <c r="A147" s="121">
        <v>610423040014</v>
      </c>
      <c r="B147" s="10" t="s">
        <v>5955</v>
      </c>
      <c r="C147" s="10" t="e">
        <f ca="1">COUNTUNIQUEIFS('Alokasi Honor Hingga Sekarang'!D$2:D1009,'Alokasi Honor Hingga Sekarang'!C$2:C1009,A147)</f>
        <v>#NAME?</v>
      </c>
      <c r="D147" s="10" t="e">
        <f t="shared" ca="1" si="0"/>
        <v>#NAME?</v>
      </c>
      <c r="E147" s="11">
        <f t="array" ref="E147">INDEX('Database Mitra'!$R$2:$R1009,MATCH(A147,'Database Mitra'!$B$2:$B1009,0))</f>
        <v>33318</v>
      </c>
      <c r="F147" s="10" t="e">
        <f t="shared" ca="1" si="1"/>
        <v>#NAME?</v>
      </c>
      <c r="G147" s="10" t="e">
        <f t="array" ref="G147">INDEX('Database Mitra'!$E$2:$E1009,MATCH(A147,'Database Mitra'!$B$2:$B1009,0))</f>
        <v>#VALUE!</v>
      </c>
      <c r="H147" s="10" t="e">
        <f t="array" ref="H147">INDEX('Database Mitra'!$F$2:$F1009,MATCH(A147,'Database Mitra'!$B$2:$B1009,0))</f>
        <v>#VALUE!</v>
      </c>
    </row>
    <row r="148" spans="1:8" ht="12.5">
      <c r="A148" s="121">
        <v>610423110059</v>
      </c>
      <c r="B148" s="10" t="s">
        <v>1238</v>
      </c>
      <c r="C148" s="10" t="e">
        <f ca="1">COUNTUNIQUEIFS('Alokasi Honor Hingga Sekarang'!D$2:D1009,'Alokasi Honor Hingga Sekarang'!C$2:C1009,A148)</f>
        <v>#NAME?</v>
      </c>
      <c r="D148" s="10" t="e">
        <f t="shared" ca="1" si="0"/>
        <v>#NAME?</v>
      </c>
      <c r="E148" s="11">
        <f t="array" ref="E148">INDEX('Database Mitra'!$R$2:$R1009,MATCH(A148,'Database Mitra'!$B$2:$B1009,0))</f>
        <v>34230</v>
      </c>
      <c r="F148" s="10" t="e">
        <f t="shared" ca="1" si="1"/>
        <v>#NAME?</v>
      </c>
      <c r="G148" s="10" t="e">
        <f t="array" ref="G148">INDEX('Database Mitra'!$E$2:$E1009,MATCH(A148,'Database Mitra'!$B$2:$B1009,0))</f>
        <v>#VALUE!</v>
      </c>
      <c r="H148" s="10" t="e">
        <f t="array" ref="H148">INDEX('Database Mitra'!$F$2:$F1009,MATCH(A148,'Database Mitra'!$B$2:$B1009,0))</f>
        <v>#VALUE!</v>
      </c>
    </row>
    <row r="149" spans="1:8" ht="12.5">
      <c r="A149" s="121">
        <v>610423110060</v>
      </c>
      <c r="B149" s="10" t="s">
        <v>1244</v>
      </c>
      <c r="C149" s="10" t="e">
        <f ca="1">COUNTUNIQUEIFS('Alokasi Honor Hingga Sekarang'!D$2:D1009,'Alokasi Honor Hingga Sekarang'!C$2:C1009,A149)</f>
        <v>#NAME?</v>
      </c>
      <c r="D149" s="10" t="e">
        <f t="shared" ca="1" si="0"/>
        <v>#NAME?</v>
      </c>
      <c r="E149" s="82">
        <f t="array" ref="E149">INDEX('Database Mitra'!$R$2:$R1009,MATCH(A149,'Database Mitra'!$B$2:$B1009,0))</f>
        <v>37611</v>
      </c>
      <c r="F149" s="10" t="e">
        <f t="shared" ca="1" si="1"/>
        <v>#NAME?</v>
      </c>
      <c r="G149" s="10" t="e">
        <f t="array" ref="G149">INDEX('Database Mitra'!$E$2:$E1009,MATCH(A149,'Database Mitra'!$B$2:$B1009,0))</f>
        <v>#VALUE!</v>
      </c>
      <c r="H149" s="10" t="e">
        <f t="array" ref="H149">INDEX('Database Mitra'!$F$2:$F1009,MATCH(A149,'Database Mitra'!$B$2:$B1009,0))</f>
        <v>#VALUE!</v>
      </c>
    </row>
    <row r="150" spans="1:8" ht="12.5">
      <c r="A150" s="121">
        <v>610423040010</v>
      </c>
      <c r="B150" s="10" t="s">
        <v>1250</v>
      </c>
      <c r="C150" s="10" t="e">
        <f ca="1">COUNTUNIQUEIFS('Alokasi Honor Hingga Sekarang'!D$2:D1009,'Alokasi Honor Hingga Sekarang'!C$2:C1009,A150)</f>
        <v>#NAME?</v>
      </c>
      <c r="D150" s="10" t="e">
        <f t="shared" ca="1" si="0"/>
        <v>#NAME?</v>
      </c>
      <c r="E150" s="82">
        <f t="array" ref="E150">INDEX('Database Mitra'!$R$2:$R1009,MATCH(A150,'Database Mitra'!$B$2:$B1009,0))</f>
        <v>36419</v>
      </c>
      <c r="F150" s="10" t="e">
        <f t="shared" ca="1" si="1"/>
        <v>#NAME?</v>
      </c>
      <c r="G150" s="10" t="e">
        <f t="array" ref="G150">INDEX('Database Mitra'!$E$2:$E1009,MATCH(A150,'Database Mitra'!$B$2:$B1009,0))</f>
        <v>#VALUE!</v>
      </c>
      <c r="H150" s="10" t="e">
        <f t="array" ref="H150">INDEX('Database Mitra'!$F$2:$F1009,MATCH(A150,'Database Mitra'!$B$2:$B1009,0))</f>
        <v>#VALUE!</v>
      </c>
    </row>
    <row r="151" spans="1:8" ht="12.5">
      <c r="A151" s="121">
        <v>610423110010</v>
      </c>
      <c r="B151" s="10" t="s">
        <v>5956</v>
      </c>
      <c r="C151" s="10" t="e">
        <f ca="1">COUNTUNIQUEIFS('Alokasi Honor Hingga Sekarang'!D$2:D1009,'Alokasi Honor Hingga Sekarang'!C$2:C1009,A151)</f>
        <v>#NAME?</v>
      </c>
      <c r="D151" s="10" t="e">
        <f t="shared" ca="1" si="0"/>
        <v>#NAME?</v>
      </c>
      <c r="E151" s="82">
        <f t="array" ref="E151">INDEX('Database Mitra'!$R$2:$R1009,MATCH(A151,'Database Mitra'!$B$2:$B1009,0))</f>
        <v>28367</v>
      </c>
      <c r="F151" s="10" t="e">
        <f t="shared" ca="1" si="1"/>
        <v>#NAME?</v>
      </c>
      <c r="G151" s="10" t="e">
        <f t="array" ref="G151">INDEX('Database Mitra'!$E$2:$E1009,MATCH(A151,'Database Mitra'!$B$2:$B1009,0))</f>
        <v>#VALUE!</v>
      </c>
      <c r="H151" s="10" t="e">
        <f t="array" ref="H151">INDEX('Database Mitra'!$F$2:$F1009,MATCH(A151,'Database Mitra'!$B$2:$B1009,0))</f>
        <v>#VALUE!</v>
      </c>
    </row>
    <row r="152" spans="1:8" ht="12.5">
      <c r="A152" s="121">
        <v>610423110192</v>
      </c>
      <c r="B152" s="10" t="s">
        <v>1262</v>
      </c>
      <c r="C152" s="10" t="e">
        <f ca="1">COUNTUNIQUEIFS('Alokasi Honor Hingga Sekarang'!D$2:D1009,'Alokasi Honor Hingga Sekarang'!C$2:C1009,A152)</f>
        <v>#NAME?</v>
      </c>
      <c r="D152" s="10" t="e">
        <f t="shared" ca="1" si="0"/>
        <v>#NAME?</v>
      </c>
      <c r="E152" s="82">
        <f t="array" ref="E152">INDEX('Database Mitra'!$R$2:$R1009,MATCH(A152,'Database Mitra'!$B$2:$B1009,0))</f>
        <v>28321</v>
      </c>
      <c r="F152" s="10" t="e">
        <f t="shared" ca="1" si="1"/>
        <v>#NAME?</v>
      </c>
      <c r="G152" s="10" t="e">
        <f t="array" ref="G152">INDEX('Database Mitra'!$E$2:$E1009,MATCH(A152,'Database Mitra'!$B$2:$B1009,0))</f>
        <v>#VALUE!</v>
      </c>
      <c r="H152" s="10" t="e">
        <f t="array" ref="H152">INDEX('Database Mitra'!$F$2:$F1009,MATCH(A152,'Database Mitra'!$B$2:$B1009,0))</f>
        <v>#VALUE!</v>
      </c>
    </row>
    <row r="153" spans="1:8" ht="12.5">
      <c r="A153" s="121">
        <v>610423090010</v>
      </c>
      <c r="B153" s="10" t="s">
        <v>1268</v>
      </c>
      <c r="C153" s="10" t="e">
        <f ca="1">COUNTUNIQUEIFS('Alokasi Honor Hingga Sekarang'!D$2:D1009,'Alokasi Honor Hingga Sekarang'!C$2:C1009,A153)</f>
        <v>#NAME?</v>
      </c>
      <c r="D153" s="10" t="e">
        <f t="shared" ca="1" si="0"/>
        <v>#NAME?</v>
      </c>
      <c r="E153" s="82">
        <f t="array" ref="E153">INDEX('Database Mitra'!$R$2:$R1009,MATCH(A153,'Database Mitra'!$B$2:$B1009,0))</f>
        <v>37048</v>
      </c>
      <c r="F153" s="10" t="e">
        <f t="shared" ca="1" si="1"/>
        <v>#NAME?</v>
      </c>
      <c r="G153" s="10" t="e">
        <f t="array" ref="G153">INDEX('Database Mitra'!$E$2:$E1009,MATCH(A153,'Database Mitra'!$B$2:$B1009,0))</f>
        <v>#VALUE!</v>
      </c>
      <c r="H153" s="10" t="e">
        <f t="array" ref="H153">INDEX('Database Mitra'!$F$2:$F1009,MATCH(A153,'Database Mitra'!$B$2:$B1009,0))</f>
        <v>#VALUE!</v>
      </c>
    </row>
    <row r="154" spans="1:8" ht="12.5">
      <c r="A154" s="121">
        <v>610422040028</v>
      </c>
      <c r="B154" s="10" t="s">
        <v>1274</v>
      </c>
      <c r="C154" s="10" t="e">
        <f ca="1">COUNTUNIQUEIFS('Alokasi Honor Hingga Sekarang'!D$2:D1009,'Alokasi Honor Hingga Sekarang'!C$2:C1009,A154)</f>
        <v>#NAME?</v>
      </c>
      <c r="D154" s="10" t="e">
        <f t="shared" ca="1" si="0"/>
        <v>#NAME?</v>
      </c>
      <c r="E154" s="11">
        <f t="array" ref="E154">INDEX('Database Mitra'!$R$2:$R1009,MATCH(A154,'Database Mitra'!$B$2:$B1009,0))</f>
        <v>34792</v>
      </c>
      <c r="F154" s="10" t="e">
        <f t="shared" ca="1" si="1"/>
        <v>#NAME?</v>
      </c>
      <c r="G154" s="10" t="e">
        <f t="array" ref="G154">INDEX('Database Mitra'!$E$2:$E1009,MATCH(A154,'Database Mitra'!$B$2:$B1009,0))</f>
        <v>#VALUE!</v>
      </c>
      <c r="H154" s="10" t="e">
        <f t="array" ref="H154">INDEX('Database Mitra'!$F$2:$F1009,MATCH(A154,'Database Mitra'!$B$2:$B1009,0))</f>
        <v>#VALUE!</v>
      </c>
    </row>
    <row r="155" spans="1:8" ht="12.5">
      <c r="A155" s="121">
        <v>611222110135</v>
      </c>
      <c r="B155" s="10" t="s">
        <v>1281</v>
      </c>
      <c r="C155" s="10" t="e">
        <f ca="1">COUNTUNIQUEIFS('Alokasi Honor Hingga Sekarang'!D$2:D1009,'Alokasi Honor Hingga Sekarang'!C$2:C1009,A155)</f>
        <v>#NAME?</v>
      </c>
      <c r="D155" s="10" t="e">
        <f t="shared" ca="1" si="0"/>
        <v>#NAME?</v>
      </c>
      <c r="E155" s="82">
        <f t="array" ref="E155">INDEX('Database Mitra'!$R$2:$R1009,MATCH(A155,'Database Mitra'!$B$2:$B1009,0))</f>
        <v>34483</v>
      </c>
      <c r="F155" s="10" t="e">
        <f t="shared" ca="1" si="1"/>
        <v>#NAME?</v>
      </c>
      <c r="G155" s="10" t="e">
        <f t="array" ref="G155">INDEX('Database Mitra'!$E$2:$E1009,MATCH(A155,'Database Mitra'!$B$2:$B1009,0))</f>
        <v>#VALUE!</v>
      </c>
      <c r="H155" s="10" t="e">
        <f t="array" ref="H155">INDEX('Database Mitra'!$F$2:$F1009,MATCH(A155,'Database Mitra'!$B$2:$B1009,0))</f>
        <v>#VALUE!</v>
      </c>
    </row>
    <row r="156" spans="1:8" ht="12.5">
      <c r="A156" s="121">
        <v>610423110018</v>
      </c>
      <c r="B156" s="10" t="s">
        <v>1293</v>
      </c>
      <c r="C156" s="10" t="e">
        <f ca="1">COUNTUNIQUEIFS('Alokasi Honor Hingga Sekarang'!D$2:D1009,'Alokasi Honor Hingga Sekarang'!C$2:C1009,A156)</f>
        <v>#NAME?</v>
      </c>
      <c r="D156" s="10" t="e">
        <f t="shared" ca="1" si="0"/>
        <v>#NAME?</v>
      </c>
      <c r="E156" s="82">
        <f t="array" ref="E156">INDEX('Database Mitra'!$R$2:$R1009,MATCH(A156,'Database Mitra'!$B$2:$B1009,0))</f>
        <v>35685</v>
      </c>
      <c r="F156" s="10" t="e">
        <f t="shared" ca="1" si="1"/>
        <v>#NAME?</v>
      </c>
      <c r="G156" s="10" t="e">
        <f t="array" ref="G156">INDEX('Database Mitra'!$E$2:$E1009,MATCH(A156,'Database Mitra'!$B$2:$B1009,0))</f>
        <v>#VALUE!</v>
      </c>
      <c r="H156" s="10" t="e">
        <f t="array" ref="H156">INDEX('Database Mitra'!$F$2:$F1009,MATCH(A156,'Database Mitra'!$B$2:$B1009,0))</f>
        <v>#VALUE!</v>
      </c>
    </row>
    <row r="157" spans="1:8" ht="12.5">
      <c r="A157" s="121">
        <v>610422100204</v>
      </c>
      <c r="B157" s="10" t="s">
        <v>1295</v>
      </c>
      <c r="C157" s="10" t="e">
        <f ca="1">COUNTUNIQUEIFS('Alokasi Honor Hingga Sekarang'!D$2:D1009,'Alokasi Honor Hingga Sekarang'!C$2:C1009,A157)</f>
        <v>#NAME?</v>
      </c>
      <c r="D157" s="10" t="e">
        <f t="shared" ca="1" si="0"/>
        <v>#NAME?</v>
      </c>
      <c r="E157" s="11">
        <f t="array" ref="E157">INDEX('Database Mitra'!$R$2:$R1009,MATCH(A157,'Database Mitra'!$B$2:$B1009,0))</f>
        <v>30972</v>
      </c>
      <c r="F157" s="10" t="e">
        <f t="shared" ca="1" si="1"/>
        <v>#NAME?</v>
      </c>
      <c r="G157" s="10" t="e">
        <f t="array" ref="G157">INDEX('Database Mitra'!$E$2:$E1009,MATCH(A157,'Database Mitra'!$B$2:$B1009,0))</f>
        <v>#VALUE!</v>
      </c>
      <c r="H157" s="10" t="e">
        <f t="array" ref="H157">INDEX('Database Mitra'!$F$2:$F1009,MATCH(A157,'Database Mitra'!$B$2:$B1009,0))</f>
        <v>#VALUE!</v>
      </c>
    </row>
    <row r="158" spans="1:8" ht="12.5">
      <c r="A158" s="121">
        <v>610423040018</v>
      </c>
      <c r="B158" s="10" t="s">
        <v>1301</v>
      </c>
      <c r="C158" s="10" t="e">
        <f ca="1">COUNTUNIQUEIFS('Alokasi Honor Hingga Sekarang'!D$2:D1009,'Alokasi Honor Hingga Sekarang'!C$2:C1009,A158)</f>
        <v>#NAME?</v>
      </c>
      <c r="D158" s="10" t="e">
        <f t="shared" ca="1" si="0"/>
        <v>#NAME?</v>
      </c>
      <c r="E158" s="82">
        <f t="array" ref="E158">INDEX('Database Mitra'!$R$2:$R1009,MATCH(A158,'Database Mitra'!$B$2:$B1009,0))</f>
        <v>32409</v>
      </c>
      <c r="F158" s="10" t="e">
        <f t="shared" ca="1" si="1"/>
        <v>#NAME?</v>
      </c>
      <c r="G158" s="10" t="e">
        <f t="array" ref="G158">INDEX('Database Mitra'!$E$2:$E1009,MATCH(A158,'Database Mitra'!$B$2:$B1009,0))</f>
        <v>#VALUE!</v>
      </c>
      <c r="H158" s="10" t="e">
        <f t="array" ref="H158">INDEX('Database Mitra'!$F$2:$F1009,MATCH(A158,'Database Mitra'!$B$2:$B1009,0))</f>
        <v>#VALUE!</v>
      </c>
    </row>
    <row r="159" spans="1:8" ht="12.5">
      <c r="A159" s="121">
        <v>610422100194</v>
      </c>
      <c r="B159" s="10" t="s">
        <v>5957</v>
      </c>
      <c r="C159" s="10" t="e">
        <f ca="1">COUNTUNIQUEIFS('Alokasi Honor Hingga Sekarang'!D$2:D1009,'Alokasi Honor Hingga Sekarang'!C$2:C1009,A159)</f>
        <v>#NAME?</v>
      </c>
      <c r="D159" s="10" t="e">
        <f t="shared" ca="1" si="0"/>
        <v>#NAME?</v>
      </c>
      <c r="E159" s="82">
        <f t="array" ref="E159">INDEX('Database Mitra'!$R$2:$R1009,MATCH(A159,'Database Mitra'!$B$2:$B1009,0))</f>
        <v>27681</v>
      </c>
      <c r="F159" s="10" t="e">
        <f t="shared" ca="1" si="1"/>
        <v>#NAME?</v>
      </c>
      <c r="G159" s="10" t="e">
        <f t="array" ref="G159">INDEX('Database Mitra'!$E$2:$E1009,MATCH(A159,'Database Mitra'!$B$2:$B1009,0))</f>
        <v>#VALUE!</v>
      </c>
      <c r="H159" s="10" t="e">
        <f t="array" ref="H159">INDEX('Database Mitra'!$F$2:$F1009,MATCH(A159,'Database Mitra'!$B$2:$B1009,0))</f>
        <v>#VALUE!</v>
      </c>
    </row>
    <row r="160" spans="1:8" ht="12.5">
      <c r="A160" s="121">
        <v>610423110154</v>
      </c>
      <c r="B160" s="10" t="s">
        <v>1314</v>
      </c>
      <c r="C160" s="10" t="e">
        <f ca="1">COUNTUNIQUEIFS('Alokasi Honor Hingga Sekarang'!D$2:D1009,'Alokasi Honor Hingga Sekarang'!C$2:C1009,A160)</f>
        <v>#NAME?</v>
      </c>
      <c r="D160" s="10" t="e">
        <f t="shared" ca="1" si="0"/>
        <v>#NAME?</v>
      </c>
      <c r="E160" s="82">
        <f t="array" ref="E160">INDEX('Database Mitra'!$R$2:$R1009,MATCH(A160,'Database Mitra'!$B$2:$B1009,0))</f>
        <v>36524</v>
      </c>
      <c r="F160" s="10" t="e">
        <f t="shared" ca="1" si="1"/>
        <v>#NAME?</v>
      </c>
      <c r="G160" s="10" t="e">
        <f t="array" ref="G160">INDEX('Database Mitra'!$E$2:$E1009,MATCH(A160,'Database Mitra'!$B$2:$B1009,0))</f>
        <v>#VALUE!</v>
      </c>
      <c r="H160" s="10" t="e">
        <f t="array" ref="H160">INDEX('Database Mitra'!$F$2:$F1009,MATCH(A160,'Database Mitra'!$B$2:$B1009,0))</f>
        <v>#VALUE!</v>
      </c>
    </row>
    <row r="161" spans="1:8" ht="12.5">
      <c r="A161" s="121">
        <v>610423110172</v>
      </c>
      <c r="B161" s="10" t="s">
        <v>1320</v>
      </c>
      <c r="C161" s="10" t="e">
        <f ca="1">COUNTUNIQUEIFS('Alokasi Honor Hingga Sekarang'!D$2:D1009,'Alokasi Honor Hingga Sekarang'!C$2:C1009,A161)</f>
        <v>#NAME?</v>
      </c>
      <c r="D161" s="10" t="e">
        <f t="shared" ca="1" si="0"/>
        <v>#NAME?</v>
      </c>
      <c r="E161" s="82">
        <f t="array" ref="E161">INDEX('Database Mitra'!$R$2:$R1009,MATCH(A161,'Database Mitra'!$B$2:$B1009,0))</f>
        <v>36393</v>
      </c>
      <c r="F161" s="10" t="e">
        <f t="shared" ca="1" si="1"/>
        <v>#NAME?</v>
      </c>
      <c r="G161" s="10" t="e">
        <f t="array" ref="G161">INDEX('Database Mitra'!$E$2:$E1009,MATCH(A161,'Database Mitra'!$B$2:$B1009,0))</f>
        <v>#VALUE!</v>
      </c>
      <c r="H161" s="10" t="e">
        <f t="array" ref="H161">INDEX('Database Mitra'!$F$2:$F1009,MATCH(A161,'Database Mitra'!$B$2:$B1009,0))</f>
        <v>#VALUE!</v>
      </c>
    </row>
    <row r="162" spans="1:8" ht="12.5">
      <c r="A162" s="121">
        <v>610422020044</v>
      </c>
      <c r="B162" s="10" t="s">
        <v>1327</v>
      </c>
      <c r="C162" s="10" t="e">
        <f ca="1">COUNTUNIQUEIFS('Alokasi Honor Hingga Sekarang'!D$2:D1009,'Alokasi Honor Hingga Sekarang'!C$2:C1009,A162)</f>
        <v>#NAME?</v>
      </c>
      <c r="D162" s="10" t="e">
        <f t="shared" ca="1" si="0"/>
        <v>#NAME?</v>
      </c>
      <c r="E162" s="82">
        <f t="array" ref="E162">INDEX('Database Mitra'!$R$2:$R1009,MATCH(A162,'Database Mitra'!$B$2:$B1009,0))</f>
        <v>31484</v>
      </c>
      <c r="F162" s="10" t="e">
        <f t="shared" ca="1" si="1"/>
        <v>#NAME?</v>
      </c>
      <c r="G162" s="10" t="e">
        <f t="array" ref="G162">INDEX('Database Mitra'!$E$2:$E1009,MATCH(A162,'Database Mitra'!$B$2:$B1009,0))</f>
        <v>#VALUE!</v>
      </c>
      <c r="H162" s="10" t="e">
        <f t="array" ref="H162">INDEX('Database Mitra'!$F$2:$F1009,MATCH(A162,'Database Mitra'!$B$2:$B1009,0))</f>
        <v>#VALUE!</v>
      </c>
    </row>
    <row r="163" spans="1:8" ht="12.5">
      <c r="A163" s="121">
        <v>610423110055</v>
      </c>
      <c r="B163" s="10" t="s">
        <v>1333</v>
      </c>
      <c r="C163" s="10" t="e">
        <f ca="1">COUNTUNIQUEIFS('Alokasi Honor Hingga Sekarang'!D$2:D1009,'Alokasi Honor Hingga Sekarang'!C$2:C1009,A163)</f>
        <v>#NAME?</v>
      </c>
      <c r="D163" s="10" t="e">
        <f t="shared" ca="1" si="0"/>
        <v>#NAME?</v>
      </c>
      <c r="E163" s="11">
        <f t="array" ref="E163">INDEX('Database Mitra'!$R$2:$R1009,MATCH(A163,'Database Mitra'!$B$2:$B1009,0))</f>
        <v>34620</v>
      </c>
      <c r="F163" s="10" t="e">
        <f t="shared" ca="1" si="1"/>
        <v>#NAME?</v>
      </c>
      <c r="G163" s="10" t="e">
        <f t="array" ref="G163">INDEX('Database Mitra'!$E$2:$E1009,MATCH(A163,'Database Mitra'!$B$2:$B1009,0))</f>
        <v>#VALUE!</v>
      </c>
      <c r="H163" s="10" t="e">
        <f t="array" ref="H163">INDEX('Database Mitra'!$F$2:$F1009,MATCH(A163,'Database Mitra'!$B$2:$B1009,0))</f>
        <v>#VALUE!</v>
      </c>
    </row>
    <row r="164" spans="1:8" ht="12.5">
      <c r="A164" s="121">
        <v>610423050002</v>
      </c>
      <c r="B164" s="10" t="s">
        <v>1341</v>
      </c>
      <c r="C164" s="10" t="e">
        <f ca="1">COUNTUNIQUEIFS('Alokasi Honor Hingga Sekarang'!D$2:D1009,'Alokasi Honor Hingga Sekarang'!C$2:C1009,A164)</f>
        <v>#NAME?</v>
      </c>
      <c r="D164" s="10" t="e">
        <f t="shared" ca="1" si="0"/>
        <v>#NAME?</v>
      </c>
      <c r="E164" s="82">
        <f t="array" ref="E164">INDEX('Database Mitra'!$R$2:$R1009,MATCH(A164,'Database Mitra'!$B$2:$B1009,0))</f>
        <v>36285</v>
      </c>
      <c r="F164" s="10" t="e">
        <f t="shared" ca="1" si="1"/>
        <v>#NAME?</v>
      </c>
      <c r="G164" s="10" t="e">
        <f t="array" ref="G164">INDEX('Database Mitra'!$E$2:$E1009,MATCH(A164,'Database Mitra'!$B$2:$B1009,0))</f>
        <v>#VALUE!</v>
      </c>
      <c r="H164" s="10" t="e">
        <f t="array" ref="H164">INDEX('Database Mitra'!$F$2:$F1009,MATCH(A164,'Database Mitra'!$B$2:$B1009,0))</f>
        <v>#VALUE!</v>
      </c>
    </row>
    <row r="165" spans="1:8" ht="12.5">
      <c r="A165" s="121">
        <v>610423110124</v>
      </c>
      <c r="B165" s="10" t="s">
        <v>5958</v>
      </c>
      <c r="C165" s="10" t="e">
        <f ca="1">COUNTUNIQUEIFS('Alokasi Honor Hingga Sekarang'!D$2:D1009,'Alokasi Honor Hingga Sekarang'!C$2:C1009,A165)</f>
        <v>#NAME?</v>
      </c>
      <c r="D165" s="10" t="e">
        <f t="shared" ca="1" si="0"/>
        <v>#NAME?</v>
      </c>
      <c r="E165" s="82">
        <f t="array" ref="E165">INDEX('Database Mitra'!$R$2:$R1009,MATCH(A165,'Database Mitra'!$B$2:$B1009,0))</f>
        <v>35589</v>
      </c>
      <c r="F165" s="10" t="e">
        <f t="shared" ca="1" si="1"/>
        <v>#NAME?</v>
      </c>
      <c r="G165" s="10" t="e">
        <f t="array" ref="G165">INDEX('Database Mitra'!$E$2:$E1009,MATCH(A165,'Database Mitra'!$B$2:$B1009,0))</f>
        <v>#VALUE!</v>
      </c>
      <c r="H165" s="10" t="e">
        <f t="array" ref="H165">INDEX('Database Mitra'!$F$2:$F1009,MATCH(A165,'Database Mitra'!$B$2:$B1009,0))</f>
        <v>#VALUE!</v>
      </c>
    </row>
    <row r="166" spans="1:8" ht="12.5">
      <c r="A166" s="121">
        <v>610422020045</v>
      </c>
      <c r="B166" s="10" t="s">
        <v>1352</v>
      </c>
      <c r="C166" s="10" t="e">
        <f ca="1">COUNTUNIQUEIFS('Alokasi Honor Hingga Sekarang'!D$2:D1009,'Alokasi Honor Hingga Sekarang'!C$2:C1009,A166)</f>
        <v>#NAME?</v>
      </c>
      <c r="D166" s="10" t="e">
        <f t="shared" ca="1" si="0"/>
        <v>#NAME?</v>
      </c>
      <c r="E166" s="82">
        <f t="array" ref="E166">INDEX('Database Mitra'!$R$2:$R1009,MATCH(A166,'Database Mitra'!$B$2:$B1009,0))</f>
        <v>34232</v>
      </c>
      <c r="F166" s="10" t="e">
        <f t="shared" ca="1" si="1"/>
        <v>#NAME?</v>
      </c>
      <c r="G166" s="10" t="e">
        <f t="array" ref="G166">INDEX('Database Mitra'!$E$2:$E1009,MATCH(A166,'Database Mitra'!$B$2:$B1009,0))</f>
        <v>#VALUE!</v>
      </c>
      <c r="H166" s="10" t="e">
        <f t="array" ref="H166">INDEX('Database Mitra'!$F$2:$F1009,MATCH(A166,'Database Mitra'!$B$2:$B1009,0))</f>
        <v>#VALUE!</v>
      </c>
    </row>
    <row r="167" spans="1:8" ht="12.5">
      <c r="A167" s="121">
        <v>610422020048</v>
      </c>
      <c r="B167" s="10" t="s">
        <v>1359</v>
      </c>
      <c r="C167" s="10" t="e">
        <f ca="1">COUNTUNIQUEIFS('Alokasi Honor Hingga Sekarang'!D$2:D1009,'Alokasi Honor Hingga Sekarang'!C$2:C1009,A167)</f>
        <v>#NAME?</v>
      </c>
      <c r="D167" s="10" t="e">
        <f t="shared" ca="1" si="0"/>
        <v>#NAME?</v>
      </c>
      <c r="E167" s="11">
        <f t="array" ref="E167">INDEX('Database Mitra'!$R$2:$R1009,MATCH(A167,'Database Mitra'!$B$2:$B1009,0))</f>
        <v>29305</v>
      </c>
      <c r="F167" s="10" t="e">
        <f t="shared" ca="1" si="1"/>
        <v>#NAME?</v>
      </c>
      <c r="G167" s="10" t="e">
        <f t="array" ref="G167">INDEX('Database Mitra'!$E$2:$E1009,MATCH(A167,'Database Mitra'!$B$2:$B1009,0))</f>
        <v>#VALUE!</v>
      </c>
      <c r="H167" s="10" t="e">
        <f t="array" ref="H167">INDEX('Database Mitra'!$F$2:$F1009,MATCH(A167,'Database Mitra'!$B$2:$B1009,0))</f>
        <v>#VALUE!</v>
      </c>
    </row>
    <row r="168" spans="1:8" ht="12.5">
      <c r="A168" s="121">
        <v>610423110021</v>
      </c>
      <c r="B168" s="10" t="s">
        <v>1364</v>
      </c>
      <c r="C168" s="10" t="e">
        <f ca="1">COUNTUNIQUEIFS('Alokasi Honor Hingga Sekarang'!D$2:D1009,'Alokasi Honor Hingga Sekarang'!C$2:C1009,A168)</f>
        <v>#NAME?</v>
      </c>
      <c r="D168" s="10" t="e">
        <f t="shared" ca="1" si="0"/>
        <v>#NAME?</v>
      </c>
      <c r="E168" s="82">
        <f t="array" ref="E168">INDEX('Database Mitra'!$R$2:$R1009,MATCH(A168,'Database Mitra'!$B$2:$B1009,0))</f>
        <v>37183</v>
      </c>
      <c r="F168" s="10" t="e">
        <f t="shared" ca="1" si="1"/>
        <v>#NAME?</v>
      </c>
      <c r="G168" s="10" t="e">
        <f t="array" ref="G168">INDEX('Database Mitra'!$E$2:$E1009,MATCH(A168,'Database Mitra'!$B$2:$B1009,0))</f>
        <v>#VALUE!</v>
      </c>
      <c r="H168" s="10" t="e">
        <f t="array" ref="H168">INDEX('Database Mitra'!$F$2:$F1009,MATCH(A168,'Database Mitra'!$B$2:$B1009,0))</f>
        <v>#VALUE!</v>
      </c>
    </row>
    <row r="169" spans="1:8" ht="12.5">
      <c r="A169" s="121">
        <v>610423110040</v>
      </c>
      <c r="B169" s="10" t="s">
        <v>1370</v>
      </c>
      <c r="C169" s="10" t="e">
        <f ca="1">COUNTUNIQUEIFS('Alokasi Honor Hingga Sekarang'!D$2:D1009,'Alokasi Honor Hingga Sekarang'!C$2:C1009,A169)</f>
        <v>#NAME?</v>
      </c>
      <c r="D169" s="10" t="e">
        <f t="shared" ca="1" si="0"/>
        <v>#NAME?</v>
      </c>
      <c r="E169" s="82">
        <f t="array" ref="E169">INDEX('Database Mitra'!$R$2:$R1009,MATCH(A169,'Database Mitra'!$B$2:$B1009,0))</f>
        <v>37413</v>
      </c>
      <c r="F169" s="10" t="e">
        <f t="shared" ca="1" si="1"/>
        <v>#NAME?</v>
      </c>
      <c r="G169" s="10" t="e">
        <f t="array" ref="G169">INDEX('Database Mitra'!$E$2:$E1009,MATCH(A169,'Database Mitra'!$B$2:$B1009,0))</f>
        <v>#VALUE!</v>
      </c>
      <c r="H169" s="10" t="e">
        <f t="array" ref="H169">INDEX('Database Mitra'!$F$2:$F1009,MATCH(A169,'Database Mitra'!$B$2:$B1009,0))</f>
        <v>#VALUE!</v>
      </c>
    </row>
    <row r="170" spans="1:8" ht="12.5">
      <c r="A170" s="121">
        <v>610423110088</v>
      </c>
      <c r="B170" s="10" t="s">
        <v>1376</v>
      </c>
      <c r="C170" s="10" t="e">
        <f ca="1">COUNTUNIQUEIFS('Alokasi Honor Hingga Sekarang'!D$2:D1009,'Alokasi Honor Hingga Sekarang'!C$2:C1009,A170)</f>
        <v>#NAME?</v>
      </c>
      <c r="D170" s="10" t="e">
        <f t="shared" ca="1" si="0"/>
        <v>#NAME?</v>
      </c>
      <c r="E170" s="82">
        <f t="array" ref="E170">INDEX('Database Mitra'!$R$2:$R1009,MATCH(A170,'Database Mitra'!$B$2:$B1009,0))</f>
        <v>38046</v>
      </c>
      <c r="F170" s="10" t="e">
        <f t="shared" ca="1" si="1"/>
        <v>#NAME?</v>
      </c>
      <c r="G170" s="10" t="e">
        <f t="array" ref="G170">INDEX('Database Mitra'!$E$2:$E1009,MATCH(A170,'Database Mitra'!$B$2:$B1009,0))</f>
        <v>#VALUE!</v>
      </c>
      <c r="H170" s="10" t="e">
        <f t="array" ref="H170">INDEX('Database Mitra'!$F$2:$F1009,MATCH(A170,'Database Mitra'!$B$2:$B1009,0))</f>
        <v>#VALUE!</v>
      </c>
    </row>
    <row r="171" spans="1:8" ht="12.5">
      <c r="A171" s="121">
        <v>610423110141</v>
      </c>
      <c r="B171" s="10" t="s">
        <v>1381</v>
      </c>
      <c r="C171" s="10" t="e">
        <f ca="1">COUNTUNIQUEIFS('Alokasi Honor Hingga Sekarang'!D$2:D1009,'Alokasi Honor Hingga Sekarang'!C$2:C1009,A171)</f>
        <v>#NAME?</v>
      </c>
      <c r="D171" s="10" t="e">
        <f t="shared" ca="1" si="0"/>
        <v>#NAME?</v>
      </c>
      <c r="E171" s="82">
        <f t="array" ref="E171">INDEX('Database Mitra'!$R$2:$R1009,MATCH(A171,'Database Mitra'!$B$2:$B1009,0))</f>
        <v>36856</v>
      </c>
      <c r="F171" s="10" t="e">
        <f t="shared" ca="1" si="1"/>
        <v>#NAME?</v>
      </c>
      <c r="G171" s="10" t="e">
        <f t="array" ref="G171">INDEX('Database Mitra'!$E$2:$E1009,MATCH(A171,'Database Mitra'!$B$2:$B1009,0))</f>
        <v>#VALUE!</v>
      </c>
      <c r="H171" s="10" t="e">
        <f t="array" ref="H171">INDEX('Database Mitra'!$F$2:$F1009,MATCH(A171,'Database Mitra'!$B$2:$B1009,0))</f>
        <v>#VALUE!</v>
      </c>
    </row>
    <row r="172" spans="1:8" ht="12.5">
      <c r="A172" s="121">
        <v>610423110114</v>
      </c>
      <c r="B172" s="10" t="s">
        <v>5959</v>
      </c>
      <c r="C172" s="10" t="e">
        <f ca="1">COUNTUNIQUEIFS('Alokasi Honor Hingga Sekarang'!D$2:D1009,'Alokasi Honor Hingga Sekarang'!C$2:C1009,A172)</f>
        <v>#NAME?</v>
      </c>
      <c r="D172" s="10" t="e">
        <f t="shared" ca="1" si="0"/>
        <v>#NAME?</v>
      </c>
      <c r="E172" s="82">
        <f t="array" ref="E172">INDEX('Database Mitra'!$R$2:$R1009,MATCH(A172,'Database Mitra'!$B$2:$B1009,0))</f>
        <v>36850</v>
      </c>
      <c r="F172" s="10" t="e">
        <f t="shared" ca="1" si="1"/>
        <v>#NAME?</v>
      </c>
      <c r="G172" s="10" t="e">
        <f t="array" ref="G172">INDEX('Database Mitra'!$E$2:$E1009,MATCH(A172,'Database Mitra'!$B$2:$B1009,0))</f>
        <v>#VALUE!</v>
      </c>
      <c r="H172" s="10" t="e">
        <f t="array" ref="H172">INDEX('Database Mitra'!$F$2:$F1009,MATCH(A172,'Database Mitra'!$B$2:$B1009,0))</f>
        <v>#VALUE!</v>
      </c>
    </row>
    <row r="173" spans="1:8" ht="12.5">
      <c r="A173" s="121">
        <v>610422100277</v>
      </c>
      <c r="B173" s="10" t="s">
        <v>1394</v>
      </c>
      <c r="C173" s="10" t="e">
        <f ca="1">COUNTUNIQUEIFS('Alokasi Honor Hingga Sekarang'!D$2:D1009,'Alokasi Honor Hingga Sekarang'!C$2:C1009,A173)</f>
        <v>#NAME?</v>
      </c>
      <c r="D173" s="10" t="e">
        <f t="shared" ca="1" si="0"/>
        <v>#NAME?</v>
      </c>
      <c r="E173" s="82">
        <f t="array" ref="E173">INDEX('Database Mitra'!$R$2:$R1009,MATCH(A173,'Database Mitra'!$B$2:$B1009,0))</f>
        <v>36561</v>
      </c>
      <c r="F173" s="10" t="e">
        <f t="shared" ca="1" si="1"/>
        <v>#NAME?</v>
      </c>
      <c r="G173" s="10" t="e">
        <f t="array" ref="G173">INDEX('Database Mitra'!$E$2:$E1009,MATCH(A173,'Database Mitra'!$B$2:$B1009,0))</f>
        <v>#VALUE!</v>
      </c>
      <c r="H173" s="10" t="e">
        <f t="array" ref="H173">INDEX('Database Mitra'!$F$2:$F1009,MATCH(A173,'Database Mitra'!$B$2:$B1009,0))</f>
        <v>#VALUE!</v>
      </c>
    </row>
    <row r="174" spans="1:8" ht="12.5">
      <c r="A174" s="121">
        <v>610423090029</v>
      </c>
      <c r="B174" s="10" t="s">
        <v>1401</v>
      </c>
      <c r="C174" s="10" t="e">
        <f ca="1">COUNTUNIQUEIFS('Alokasi Honor Hingga Sekarang'!D$2:D1009,'Alokasi Honor Hingga Sekarang'!C$2:C1009,A174)</f>
        <v>#NAME?</v>
      </c>
      <c r="D174" s="10" t="e">
        <f t="shared" ca="1" si="0"/>
        <v>#NAME?</v>
      </c>
      <c r="E174" s="11">
        <f t="array" ref="E174">INDEX('Database Mitra'!$R$2:$R1009,MATCH(A174,'Database Mitra'!$B$2:$B1009,0))</f>
        <v>36414</v>
      </c>
      <c r="F174" s="10" t="e">
        <f t="shared" ca="1" si="1"/>
        <v>#NAME?</v>
      </c>
      <c r="G174" s="10" t="e">
        <f t="array" ref="G174">INDEX('Database Mitra'!$E$2:$E1009,MATCH(A174,'Database Mitra'!$B$2:$B1009,0))</f>
        <v>#VALUE!</v>
      </c>
      <c r="H174" s="10" t="e">
        <f t="array" ref="H174">INDEX('Database Mitra'!$F$2:$F1009,MATCH(A174,'Database Mitra'!$B$2:$B1009,0))</f>
        <v>#VALUE!</v>
      </c>
    </row>
    <row r="175" spans="1:8" ht="12.5">
      <c r="A175" s="121">
        <v>610423090020</v>
      </c>
      <c r="B175" s="10" t="s">
        <v>1407</v>
      </c>
      <c r="C175" s="10" t="e">
        <f ca="1">COUNTUNIQUEIFS('Alokasi Honor Hingga Sekarang'!D$2:D1009,'Alokasi Honor Hingga Sekarang'!C$2:C1009,A175)</f>
        <v>#NAME?</v>
      </c>
      <c r="D175" s="10" t="e">
        <f t="shared" ca="1" si="0"/>
        <v>#NAME?</v>
      </c>
      <c r="E175" s="82">
        <f t="array" ref="E175">INDEX('Database Mitra'!$R$2:$R1009,MATCH(A175,'Database Mitra'!$B$2:$B1009,0))</f>
        <v>37518</v>
      </c>
      <c r="F175" s="10" t="e">
        <f t="shared" ca="1" si="1"/>
        <v>#NAME?</v>
      </c>
      <c r="G175" s="10" t="e">
        <f t="array" ref="G175">INDEX('Database Mitra'!$E$2:$E1009,MATCH(A175,'Database Mitra'!$B$2:$B1009,0))</f>
        <v>#VALUE!</v>
      </c>
      <c r="H175" s="10" t="e">
        <f t="array" ref="H175">INDEX('Database Mitra'!$F$2:$F1009,MATCH(A175,'Database Mitra'!$B$2:$B1009,0))</f>
        <v>#VALUE!</v>
      </c>
    </row>
    <row r="176" spans="1:8" ht="12.5">
      <c r="A176" s="121">
        <v>610423090011</v>
      </c>
      <c r="B176" s="10" t="s">
        <v>5960</v>
      </c>
      <c r="C176" s="10" t="e">
        <f ca="1">COUNTUNIQUEIFS('Alokasi Honor Hingga Sekarang'!D$2:D1009,'Alokasi Honor Hingga Sekarang'!C$2:C1009,A176)</f>
        <v>#NAME?</v>
      </c>
      <c r="D176" s="10" t="e">
        <f t="shared" ca="1" si="0"/>
        <v>#NAME?</v>
      </c>
      <c r="E176" s="11">
        <f t="array" ref="E176">INDEX('Database Mitra'!$R$2:$R1009,MATCH(A176,'Database Mitra'!$B$2:$B1009,0))</f>
        <v>32383</v>
      </c>
      <c r="F176" s="10" t="e">
        <f t="shared" ca="1" si="1"/>
        <v>#NAME?</v>
      </c>
      <c r="G176" s="10" t="e">
        <f t="array" ref="G176">INDEX('Database Mitra'!$E$2:$E1009,MATCH(A176,'Database Mitra'!$B$2:$B1009,0))</f>
        <v>#VALUE!</v>
      </c>
      <c r="H176" s="10" t="e">
        <f t="array" ref="H176">INDEX('Database Mitra'!$F$2:$F1009,MATCH(A176,'Database Mitra'!$B$2:$B1009,0))</f>
        <v>#VALUE!</v>
      </c>
    </row>
    <row r="177" spans="1:8" ht="12.5">
      <c r="A177" s="121">
        <v>610423110156</v>
      </c>
      <c r="B177" s="10" t="s">
        <v>5961</v>
      </c>
      <c r="C177" s="10" t="e">
        <f ca="1">COUNTUNIQUEIFS('Alokasi Honor Hingga Sekarang'!D$2:D1009,'Alokasi Honor Hingga Sekarang'!C$2:C1009,A177)</f>
        <v>#NAME?</v>
      </c>
      <c r="D177" s="10" t="e">
        <f t="shared" ca="1" si="0"/>
        <v>#NAME?</v>
      </c>
      <c r="E177" s="82">
        <f t="array" ref="E177">INDEX('Database Mitra'!$R$2:$R1009,MATCH(A177,'Database Mitra'!$B$2:$B1009,0))</f>
        <v>36382</v>
      </c>
      <c r="F177" s="10" t="e">
        <f t="shared" ca="1" si="1"/>
        <v>#NAME?</v>
      </c>
      <c r="G177" s="10" t="e">
        <f t="array" ref="G177">INDEX('Database Mitra'!$E$2:$E1009,MATCH(A177,'Database Mitra'!$B$2:$B1009,0))</f>
        <v>#VALUE!</v>
      </c>
      <c r="H177" s="10" t="e">
        <f t="array" ref="H177">INDEX('Database Mitra'!$F$2:$F1009,MATCH(A177,'Database Mitra'!$B$2:$B1009,0))</f>
        <v>#VALUE!</v>
      </c>
    </row>
    <row r="178" spans="1:8" ht="12.5">
      <c r="A178" s="121">
        <v>610422020008</v>
      </c>
      <c r="B178" s="10" t="s">
        <v>1424</v>
      </c>
      <c r="C178" s="10" t="e">
        <f ca="1">COUNTUNIQUEIFS('Alokasi Honor Hingga Sekarang'!D$2:D1009,'Alokasi Honor Hingga Sekarang'!C$2:C1009,A178)</f>
        <v>#NAME?</v>
      </c>
      <c r="D178" s="10" t="e">
        <f t="shared" ca="1" si="0"/>
        <v>#NAME?</v>
      </c>
      <c r="E178" s="82">
        <f t="array" ref="E178">INDEX('Database Mitra'!$R$2:$R1009,MATCH(A178,'Database Mitra'!$B$2:$B1009,0))</f>
        <v>35501</v>
      </c>
      <c r="F178" s="10" t="e">
        <f t="shared" ca="1" si="1"/>
        <v>#NAME?</v>
      </c>
      <c r="G178" s="10" t="e">
        <f t="array" ref="G178">INDEX('Database Mitra'!$E$2:$E1009,MATCH(A178,'Database Mitra'!$B$2:$B1009,0))</f>
        <v>#VALUE!</v>
      </c>
      <c r="H178" s="10" t="e">
        <f t="array" ref="H178">INDEX('Database Mitra'!$F$2:$F1009,MATCH(A178,'Database Mitra'!$B$2:$B1009,0))</f>
        <v>#VALUE!</v>
      </c>
    </row>
    <row r="179" spans="1:8" ht="12.5">
      <c r="A179" s="121">
        <v>610422100083</v>
      </c>
      <c r="B179" s="10" t="s">
        <v>5962</v>
      </c>
      <c r="C179" s="10" t="e">
        <f ca="1">COUNTUNIQUEIFS('Alokasi Honor Hingga Sekarang'!D$2:D1009,'Alokasi Honor Hingga Sekarang'!C$2:C1009,A179)</f>
        <v>#NAME?</v>
      </c>
      <c r="D179" s="10" t="e">
        <f t="shared" ca="1" si="0"/>
        <v>#NAME?</v>
      </c>
      <c r="E179" s="82">
        <f t="array" ref="E179">INDEX('Database Mitra'!$R$2:$R1009,MATCH(A179,'Database Mitra'!$B$2:$B1009,0))</f>
        <v>35601</v>
      </c>
      <c r="F179" s="10" t="e">
        <f t="shared" ca="1" si="1"/>
        <v>#NAME?</v>
      </c>
      <c r="G179" s="10" t="e">
        <f t="array" ref="G179">INDEX('Database Mitra'!$E$2:$E1009,MATCH(A179,'Database Mitra'!$B$2:$B1009,0))</f>
        <v>#VALUE!</v>
      </c>
      <c r="H179" s="10" t="e">
        <f t="array" ref="H179">INDEX('Database Mitra'!$F$2:$F1009,MATCH(A179,'Database Mitra'!$B$2:$B1009,0))</f>
        <v>#VALUE!</v>
      </c>
    </row>
    <row r="180" spans="1:8" ht="12.5">
      <c r="A180" s="121">
        <v>610422040031</v>
      </c>
      <c r="B180" s="10" t="s">
        <v>5963</v>
      </c>
      <c r="C180" s="10" t="e">
        <f ca="1">COUNTUNIQUEIFS('Alokasi Honor Hingga Sekarang'!D$2:D1009,'Alokasi Honor Hingga Sekarang'!C$2:C1009,A180)</f>
        <v>#NAME?</v>
      </c>
      <c r="D180" s="10" t="e">
        <f t="shared" ca="1" si="0"/>
        <v>#NAME?</v>
      </c>
      <c r="E180" s="82">
        <f t="array" ref="E180">INDEX('Database Mitra'!$R$2:$R1009,MATCH(A180,'Database Mitra'!$B$2:$B1009,0))</f>
        <v>37115</v>
      </c>
      <c r="F180" s="10" t="e">
        <f t="shared" ca="1" si="1"/>
        <v>#NAME?</v>
      </c>
      <c r="G180" s="10" t="e">
        <f t="array" ref="G180">INDEX('Database Mitra'!$E$2:$E1009,MATCH(A180,'Database Mitra'!$B$2:$B1009,0))</f>
        <v>#VALUE!</v>
      </c>
      <c r="H180" s="10" t="e">
        <f t="array" ref="H180">INDEX('Database Mitra'!$F$2:$F1009,MATCH(A180,'Database Mitra'!$B$2:$B1009,0))</f>
        <v>#VALUE!</v>
      </c>
    </row>
    <row r="181" spans="1:8" ht="12.5">
      <c r="A181" s="121">
        <v>610423110005</v>
      </c>
      <c r="B181" s="10" t="s">
        <v>1440</v>
      </c>
      <c r="C181" s="10" t="e">
        <f ca="1">COUNTUNIQUEIFS('Alokasi Honor Hingga Sekarang'!D$2:D1009,'Alokasi Honor Hingga Sekarang'!C$2:C1009,A181)</f>
        <v>#NAME?</v>
      </c>
      <c r="D181" s="10" t="e">
        <f t="shared" ca="1" si="0"/>
        <v>#NAME?</v>
      </c>
      <c r="E181" s="82">
        <f t="array" ref="E181">INDEX('Database Mitra'!$R$2:$R1009,MATCH(A181,'Database Mitra'!$B$2:$B1009,0))</f>
        <v>29550</v>
      </c>
      <c r="F181" s="10" t="e">
        <f t="shared" ca="1" si="1"/>
        <v>#NAME?</v>
      </c>
      <c r="G181" s="10" t="e">
        <f t="array" ref="G181">INDEX('Database Mitra'!$E$2:$E1009,MATCH(A181,'Database Mitra'!$B$2:$B1009,0))</f>
        <v>#VALUE!</v>
      </c>
      <c r="H181" s="10" t="e">
        <f t="array" ref="H181">INDEX('Database Mitra'!$F$2:$F1009,MATCH(A181,'Database Mitra'!$B$2:$B1009,0))</f>
        <v>#VALUE!</v>
      </c>
    </row>
    <row r="182" spans="1:8" ht="12.5">
      <c r="A182" s="121">
        <v>610422100086</v>
      </c>
      <c r="B182" s="10" t="s">
        <v>5964</v>
      </c>
      <c r="C182" s="10" t="e">
        <f ca="1">COUNTUNIQUEIFS('Alokasi Honor Hingga Sekarang'!D$2:D1009,'Alokasi Honor Hingga Sekarang'!C$2:C1009,A182)</f>
        <v>#NAME?</v>
      </c>
      <c r="D182" s="10" t="e">
        <f t="shared" ca="1" si="0"/>
        <v>#NAME?</v>
      </c>
      <c r="E182" s="82">
        <f t="array" ref="E182">INDEX('Database Mitra'!$R$2:$R1009,MATCH(A182,'Database Mitra'!$B$2:$B1009,0))</f>
        <v>34295</v>
      </c>
      <c r="F182" s="10" t="e">
        <f t="shared" ca="1" si="1"/>
        <v>#NAME?</v>
      </c>
      <c r="G182" s="10" t="e">
        <f t="array" ref="G182">INDEX('Database Mitra'!$E$2:$E1009,MATCH(A182,'Database Mitra'!$B$2:$B1009,0))</f>
        <v>#VALUE!</v>
      </c>
      <c r="H182" s="10" t="e">
        <f t="array" ref="H182">INDEX('Database Mitra'!$F$2:$F1009,MATCH(A182,'Database Mitra'!$B$2:$B1009,0))</f>
        <v>#VALUE!</v>
      </c>
    </row>
    <row r="183" spans="1:8" ht="12.5">
      <c r="A183" s="121">
        <v>610423110123</v>
      </c>
      <c r="B183" s="10" t="s">
        <v>5965</v>
      </c>
      <c r="C183" s="10" t="e">
        <f ca="1">COUNTUNIQUEIFS('Alokasi Honor Hingga Sekarang'!D$2:D1009,'Alokasi Honor Hingga Sekarang'!C$2:C1009,A183)</f>
        <v>#NAME?</v>
      </c>
      <c r="D183" s="10" t="e">
        <f t="shared" ca="1" si="0"/>
        <v>#NAME?</v>
      </c>
      <c r="E183" s="82">
        <f t="array" ref="E183">INDEX('Database Mitra'!$R$2:$R1009,MATCH(A183,'Database Mitra'!$B$2:$B1009,0))</f>
        <v>38048</v>
      </c>
      <c r="F183" s="10" t="e">
        <f t="shared" ca="1" si="1"/>
        <v>#NAME?</v>
      </c>
      <c r="G183" s="10" t="e">
        <f t="array" ref="G183">INDEX('Database Mitra'!$E$2:$E1009,MATCH(A183,'Database Mitra'!$B$2:$B1009,0))</f>
        <v>#VALUE!</v>
      </c>
      <c r="H183" s="10" t="e">
        <f t="array" ref="H183">INDEX('Database Mitra'!$F$2:$F1009,MATCH(A183,'Database Mitra'!$B$2:$B1009,0))</f>
        <v>#VALUE!</v>
      </c>
    </row>
    <row r="184" spans="1:8" ht="12.5">
      <c r="A184" s="121">
        <v>610422100286</v>
      </c>
      <c r="B184" s="10" t="s">
        <v>5966</v>
      </c>
      <c r="C184" s="10" t="e">
        <f ca="1">COUNTUNIQUEIFS('Alokasi Honor Hingga Sekarang'!D$2:D1009,'Alokasi Honor Hingga Sekarang'!C$2:C1009,A184)</f>
        <v>#NAME?</v>
      </c>
      <c r="D184" s="10" t="e">
        <f t="shared" ca="1" si="0"/>
        <v>#NAME?</v>
      </c>
      <c r="E184" s="82">
        <f t="array" ref="E184">INDEX('Database Mitra'!$R$2:$R1009,MATCH(A184,'Database Mitra'!$B$2:$B1009,0))</f>
        <v>27427</v>
      </c>
      <c r="F184" s="10" t="e">
        <f t="shared" ca="1" si="1"/>
        <v>#NAME?</v>
      </c>
      <c r="G184" s="10" t="e">
        <f t="array" ref="G184">INDEX('Database Mitra'!$E$2:$E1009,MATCH(A184,'Database Mitra'!$B$2:$B1009,0))</f>
        <v>#VALUE!</v>
      </c>
      <c r="H184" s="10" t="e">
        <f t="array" ref="H184">INDEX('Database Mitra'!$F$2:$F1009,MATCH(A184,'Database Mitra'!$B$2:$B1009,0))</f>
        <v>#VALUE!</v>
      </c>
    </row>
    <row r="185" spans="1:8" ht="12.5">
      <c r="A185" s="121">
        <v>610423110038</v>
      </c>
      <c r="B185" s="10" t="s">
        <v>1464</v>
      </c>
      <c r="C185" s="10" t="e">
        <f ca="1">COUNTUNIQUEIFS('Alokasi Honor Hingga Sekarang'!D$2:D1009,'Alokasi Honor Hingga Sekarang'!C$2:C1009,A185)</f>
        <v>#NAME?</v>
      </c>
      <c r="D185" s="10" t="e">
        <f t="shared" ca="1" si="0"/>
        <v>#NAME?</v>
      </c>
      <c r="E185" s="82">
        <f t="array" ref="E185">INDEX('Database Mitra'!$R$2:$R1009,MATCH(A185,'Database Mitra'!$B$2:$B1009,0))</f>
        <v>31378</v>
      </c>
      <c r="F185" s="10" t="e">
        <f t="shared" ca="1" si="1"/>
        <v>#NAME?</v>
      </c>
      <c r="G185" s="10" t="e">
        <f t="array" ref="G185">INDEX('Database Mitra'!$E$2:$E1009,MATCH(A185,'Database Mitra'!$B$2:$B1009,0))</f>
        <v>#VALUE!</v>
      </c>
      <c r="H185" s="10" t="e">
        <f t="array" ref="H185">INDEX('Database Mitra'!$F$2:$F1009,MATCH(A185,'Database Mitra'!$B$2:$B1009,0))</f>
        <v>#VALUE!</v>
      </c>
    </row>
    <row r="186" spans="1:8" ht="12.5">
      <c r="A186" s="121">
        <v>610422040054</v>
      </c>
      <c r="B186" s="10" t="s">
        <v>1471</v>
      </c>
      <c r="C186" s="10" t="e">
        <f ca="1">COUNTUNIQUEIFS('Alokasi Honor Hingga Sekarang'!D$2:D1009,'Alokasi Honor Hingga Sekarang'!C$2:C1009,A186)</f>
        <v>#NAME?</v>
      </c>
      <c r="D186" s="10" t="e">
        <f t="shared" ca="1" si="0"/>
        <v>#NAME?</v>
      </c>
      <c r="E186" s="82">
        <f t="array" ref="E186">INDEX('Database Mitra'!$R$2:$R1009,MATCH(A186,'Database Mitra'!$B$2:$B1009,0))</f>
        <v>34097</v>
      </c>
      <c r="F186" s="10" t="e">
        <f t="shared" ca="1" si="1"/>
        <v>#NAME?</v>
      </c>
      <c r="G186" s="10" t="e">
        <f t="array" ref="G186">INDEX('Database Mitra'!$E$2:$E1009,MATCH(A186,'Database Mitra'!$B$2:$B1009,0))</f>
        <v>#VALUE!</v>
      </c>
      <c r="H186" s="10" t="e">
        <f t="array" ref="H186">INDEX('Database Mitra'!$F$2:$F1009,MATCH(A186,'Database Mitra'!$B$2:$B1009,0))</f>
        <v>#VALUE!</v>
      </c>
    </row>
    <row r="187" spans="1:8" ht="12.5">
      <c r="A187" s="121">
        <v>610423110057</v>
      </c>
      <c r="B187" s="10" t="s">
        <v>1477</v>
      </c>
      <c r="C187" s="10" t="e">
        <f ca="1">COUNTUNIQUEIFS('Alokasi Honor Hingga Sekarang'!D$2:D1009,'Alokasi Honor Hingga Sekarang'!C$2:C1009,A187)</f>
        <v>#NAME?</v>
      </c>
      <c r="D187" s="10" t="e">
        <f t="shared" ca="1" si="0"/>
        <v>#NAME?</v>
      </c>
      <c r="E187" s="82">
        <f t="array" ref="E187">INDEX('Database Mitra'!$R$2:$R1009,MATCH(A187,'Database Mitra'!$B$2:$B1009,0))</f>
        <v>37085</v>
      </c>
      <c r="F187" s="10" t="e">
        <f t="shared" ca="1" si="1"/>
        <v>#NAME?</v>
      </c>
      <c r="G187" s="10" t="e">
        <f t="array" ref="G187">INDEX('Database Mitra'!$E$2:$E1009,MATCH(A187,'Database Mitra'!$B$2:$B1009,0))</f>
        <v>#VALUE!</v>
      </c>
      <c r="H187" s="10" t="e">
        <f t="array" ref="H187">INDEX('Database Mitra'!$F$2:$F1009,MATCH(A187,'Database Mitra'!$B$2:$B1009,0))</f>
        <v>#VALUE!</v>
      </c>
    </row>
    <row r="188" spans="1:8" ht="12.5">
      <c r="A188" s="121">
        <v>610422110005</v>
      </c>
      <c r="B188" s="10" t="s">
        <v>5967</v>
      </c>
      <c r="C188" s="10" t="e">
        <f ca="1">COUNTUNIQUEIFS('Alokasi Honor Hingga Sekarang'!D$2:D1009,'Alokasi Honor Hingga Sekarang'!C$2:C1009,A188)</f>
        <v>#NAME?</v>
      </c>
      <c r="D188" s="10" t="e">
        <f t="shared" ca="1" si="0"/>
        <v>#NAME?</v>
      </c>
      <c r="E188" s="82">
        <f t="array" ref="E188">INDEX('Database Mitra'!$R$2:$R1009,MATCH(A188,'Database Mitra'!$B$2:$B1009,0))</f>
        <v>34855</v>
      </c>
      <c r="F188" s="10" t="e">
        <f t="shared" ca="1" si="1"/>
        <v>#NAME?</v>
      </c>
      <c r="G188" s="10" t="e">
        <f t="array" ref="G188">INDEX('Database Mitra'!$E$2:$E1009,MATCH(A188,'Database Mitra'!$B$2:$B1009,0))</f>
        <v>#VALUE!</v>
      </c>
      <c r="H188" s="10" t="e">
        <f t="array" ref="H188">INDEX('Database Mitra'!$F$2:$F1009,MATCH(A188,'Database Mitra'!$B$2:$B1009,0))</f>
        <v>#VALUE!</v>
      </c>
    </row>
    <row r="189" spans="1:8" ht="12.5">
      <c r="A189" s="121">
        <v>610423110082</v>
      </c>
      <c r="B189" s="10" t="s">
        <v>5968</v>
      </c>
      <c r="C189" s="10" t="e">
        <f ca="1">COUNTUNIQUEIFS('Alokasi Honor Hingga Sekarang'!D$2:D1009,'Alokasi Honor Hingga Sekarang'!C$2:C1009,A189)</f>
        <v>#NAME?</v>
      </c>
      <c r="D189" s="10" t="e">
        <f t="shared" ca="1" si="0"/>
        <v>#NAME?</v>
      </c>
      <c r="E189" s="82">
        <f t="array" ref="E189">INDEX('Database Mitra'!$R$2:$R1009,MATCH(A189,'Database Mitra'!$B$2:$B1009,0))</f>
        <v>35646</v>
      </c>
      <c r="F189" s="10" t="e">
        <f t="shared" ca="1" si="1"/>
        <v>#NAME?</v>
      </c>
      <c r="G189" s="10" t="e">
        <f t="array" ref="G189">INDEX('Database Mitra'!$E$2:$E1009,MATCH(A189,'Database Mitra'!$B$2:$B1009,0))</f>
        <v>#VALUE!</v>
      </c>
      <c r="H189" s="10" t="e">
        <f t="array" ref="H189">INDEX('Database Mitra'!$F$2:$F1009,MATCH(A189,'Database Mitra'!$B$2:$B1009,0))</f>
        <v>#VALUE!</v>
      </c>
    </row>
    <row r="190" spans="1:8" ht="12.5">
      <c r="A190" s="121">
        <v>610423110140</v>
      </c>
      <c r="B190" s="10" t="s">
        <v>1495</v>
      </c>
      <c r="C190" s="10" t="e">
        <f ca="1">COUNTUNIQUEIFS('Alokasi Honor Hingga Sekarang'!D$2:D1009,'Alokasi Honor Hingga Sekarang'!C$2:C1009,A190)</f>
        <v>#NAME?</v>
      </c>
      <c r="D190" s="10" t="e">
        <f t="shared" ca="1" si="0"/>
        <v>#NAME?</v>
      </c>
      <c r="E190" s="11">
        <f t="array" ref="E190">INDEX('Database Mitra'!$R$2:$R1009,MATCH(A190,'Database Mitra'!$B$2:$B1009,0))</f>
        <v>37624</v>
      </c>
      <c r="F190" s="10" t="e">
        <f t="shared" ca="1" si="1"/>
        <v>#NAME?</v>
      </c>
      <c r="G190" s="10" t="e">
        <f t="array" ref="G190">INDEX('Database Mitra'!$E$2:$E1009,MATCH(A190,'Database Mitra'!$B$2:$B1009,0))</f>
        <v>#VALUE!</v>
      </c>
      <c r="H190" s="10" t="e">
        <f t="array" ref="H190">INDEX('Database Mitra'!$F$2:$F1009,MATCH(A190,'Database Mitra'!$B$2:$B1009,0))</f>
        <v>#VALUE!</v>
      </c>
    </row>
    <row r="191" spans="1:8" ht="12.5">
      <c r="A191" s="121">
        <v>610422100113</v>
      </c>
      <c r="B191" s="10" t="s">
        <v>5969</v>
      </c>
      <c r="C191" s="10" t="e">
        <f ca="1">COUNTUNIQUEIFS('Alokasi Honor Hingga Sekarang'!D$2:D1009,'Alokasi Honor Hingga Sekarang'!C$2:C1009,A191)</f>
        <v>#NAME?</v>
      </c>
      <c r="D191" s="10" t="e">
        <f t="shared" ca="1" si="0"/>
        <v>#NAME?</v>
      </c>
      <c r="E191" s="82">
        <f t="array" ref="E191">INDEX('Database Mitra'!$R$2:$R1009,MATCH(A191,'Database Mitra'!$B$2:$B1009,0))</f>
        <v>33634</v>
      </c>
      <c r="F191" s="10" t="e">
        <f t="shared" ca="1" si="1"/>
        <v>#NAME?</v>
      </c>
      <c r="G191" s="10" t="e">
        <f t="array" ref="G191">INDEX('Database Mitra'!$E$2:$E1009,MATCH(A191,'Database Mitra'!$B$2:$B1009,0))</f>
        <v>#VALUE!</v>
      </c>
      <c r="H191" s="10" t="e">
        <f t="array" ref="H191">INDEX('Database Mitra'!$F$2:$F1009,MATCH(A191,'Database Mitra'!$B$2:$B1009,0))</f>
        <v>#VALUE!</v>
      </c>
    </row>
    <row r="192" spans="1:8" ht="12.5">
      <c r="A192" s="121">
        <v>610423110047</v>
      </c>
      <c r="B192" s="10" t="s">
        <v>1507</v>
      </c>
      <c r="C192" s="10" t="e">
        <f ca="1">COUNTUNIQUEIFS('Alokasi Honor Hingga Sekarang'!D$2:D1009,'Alokasi Honor Hingga Sekarang'!C$2:C1009,A192)</f>
        <v>#NAME?</v>
      </c>
      <c r="D192" s="10" t="e">
        <f t="shared" ca="1" si="0"/>
        <v>#NAME?</v>
      </c>
      <c r="E192" s="82">
        <f t="array" ref="E192">INDEX('Database Mitra'!$R$2:$R1009,MATCH(A192,'Database Mitra'!$B$2:$B1009,0))</f>
        <v>36625</v>
      </c>
      <c r="F192" s="10" t="e">
        <f t="shared" ca="1" si="1"/>
        <v>#NAME?</v>
      </c>
      <c r="G192" s="10" t="e">
        <f t="array" ref="G192">INDEX('Database Mitra'!$E$2:$E1009,MATCH(A192,'Database Mitra'!$B$2:$B1009,0))</f>
        <v>#VALUE!</v>
      </c>
      <c r="H192" s="10" t="e">
        <f t="array" ref="H192">INDEX('Database Mitra'!$F$2:$F1009,MATCH(A192,'Database Mitra'!$B$2:$B1009,0))</f>
        <v>#VALUE!</v>
      </c>
    </row>
    <row r="193" spans="1:8" ht="12.5">
      <c r="A193" s="121">
        <v>610422100144</v>
      </c>
      <c r="B193" s="10" t="s">
        <v>5970</v>
      </c>
      <c r="C193" s="10" t="e">
        <f ca="1">COUNTUNIQUEIFS('Alokasi Honor Hingga Sekarang'!D$2:D1009,'Alokasi Honor Hingga Sekarang'!C$2:C1009,A193)</f>
        <v>#NAME?</v>
      </c>
      <c r="D193" s="10" t="e">
        <f t="shared" ca="1" si="0"/>
        <v>#NAME?</v>
      </c>
      <c r="E193" s="82">
        <f t="array" ref="E193">INDEX('Database Mitra'!$R$2:$R1009,MATCH(A193,'Database Mitra'!$B$2:$B1009,0))</f>
        <v>36460</v>
      </c>
      <c r="F193" s="10" t="e">
        <f t="shared" ca="1" si="1"/>
        <v>#NAME?</v>
      </c>
      <c r="G193" s="10" t="e">
        <f t="array" ref="G193">INDEX('Database Mitra'!$E$2:$E1009,MATCH(A193,'Database Mitra'!$B$2:$B1009,0))</f>
        <v>#VALUE!</v>
      </c>
      <c r="H193" s="10" t="e">
        <f t="array" ref="H193">INDEX('Database Mitra'!$F$2:$F1009,MATCH(A193,'Database Mitra'!$B$2:$B1009,0))</f>
        <v>#VALUE!</v>
      </c>
    </row>
    <row r="194" spans="1:8" ht="12.5">
      <c r="A194" s="121">
        <v>610422100161</v>
      </c>
      <c r="B194" s="10" t="s">
        <v>5971</v>
      </c>
      <c r="C194" s="10" t="e">
        <f ca="1">COUNTUNIQUEIFS('Alokasi Honor Hingga Sekarang'!D$2:D1009,'Alokasi Honor Hingga Sekarang'!C$2:C1009,A194)</f>
        <v>#NAME?</v>
      </c>
      <c r="D194" s="10" t="e">
        <f t="shared" ca="1" si="0"/>
        <v>#NAME?</v>
      </c>
      <c r="E194" s="82">
        <f t="array" ref="E194">INDEX('Database Mitra'!$R$2:$R1009,MATCH(A194,'Database Mitra'!$B$2:$B1009,0))</f>
        <v>35831</v>
      </c>
      <c r="F194" s="10" t="e">
        <f t="shared" ca="1" si="1"/>
        <v>#NAME?</v>
      </c>
      <c r="G194" s="10" t="e">
        <f t="array" ref="G194">INDEX('Database Mitra'!$E$2:$E1009,MATCH(A194,'Database Mitra'!$B$2:$B1009,0))</f>
        <v>#VALUE!</v>
      </c>
      <c r="H194" s="10" t="e">
        <f t="array" ref="H194">INDEX('Database Mitra'!$F$2:$F1009,MATCH(A194,'Database Mitra'!$B$2:$B1009,0))</f>
        <v>#VALUE!</v>
      </c>
    </row>
    <row r="195" spans="1:8" ht="12.5">
      <c r="A195" s="121">
        <v>610423090031</v>
      </c>
      <c r="B195" s="10" t="s">
        <v>5972</v>
      </c>
      <c r="C195" s="10" t="e">
        <f ca="1">COUNTUNIQUEIFS('Alokasi Honor Hingga Sekarang'!D$2:D1009,'Alokasi Honor Hingga Sekarang'!C$2:C1009,A195)</f>
        <v>#NAME?</v>
      </c>
      <c r="D195" s="10" t="e">
        <f t="shared" ca="1" si="0"/>
        <v>#NAME?</v>
      </c>
      <c r="E195" s="82">
        <f t="array" ref="E195">INDEX('Database Mitra'!$R$2:$R1009,MATCH(A195,'Database Mitra'!$B$2:$B1009,0))</f>
        <v>35925</v>
      </c>
      <c r="F195" s="10" t="e">
        <f t="shared" ca="1" si="1"/>
        <v>#NAME?</v>
      </c>
      <c r="G195" s="10" t="e">
        <f t="array" ref="G195">INDEX('Database Mitra'!$E$2:$E1009,MATCH(A195,'Database Mitra'!$B$2:$B1009,0))</f>
        <v>#VALUE!</v>
      </c>
      <c r="H195" s="10" t="e">
        <f t="array" ref="H195">INDEX('Database Mitra'!$F$2:$F1009,MATCH(A195,'Database Mitra'!$B$2:$B1009,0))</f>
        <v>#VALUE!</v>
      </c>
    </row>
    <row r="196" spans="1:8" ht="12.5">
      <c r="A196" s="121">
        <v>610422100059</v>
      </c>
      <c r="B196" s="10" t="s">
        <v>5973</v>
      </c>
      <c r="C196" s="10" t="e">
        <f ca="1">COUNTUNIQUEIFS('Alokasi Honor Hingga Sekarang'!D$2:D1009,'Alokasi Honor Hingga Sekarang'!C$2:C1009,A196)</f>
        <v>#NAME?</v>
      </c>
      <c r="D196" s="10" t="e">
        <f t="shared" ca="1" si="0"/>
        <v>#NAME?</v>
      </c>
      <c r="E196" s="82">
        <f t="array" ref="E196">INDEX('Database Mitra'!$R$2:$R1009,MATCH(A196,'Database Mitra'!$B$2:$B1009,0))</f>
        <v>36769</v>
      </c>
      <c r="F196" s="10" t="e">
        <f t="shared" ca="1" si="1"/>
        <v>#NAME?</v>
      </c>
      <c r="G196" s="10" t="e">
        <f t="array" ref="G196">INDEX('Database Mitra'!$E$2:$E1009,MATCH(A196,'Database Mitra'!$B$2:$B1009,0))</f>
        <v>#VALUE!</v>
      </c>
      <c r="H196" s="10" t="e">
        <f t="array" ref="H196">INDEX('Database Mitra'!$F$2:$F1009,MATCH(A196,'Database Mitra'!$B$2:$B1009,0))</f>
        <v>#VALUE!</v>
      </c>
    </row>
    <row r="197" spans="1:8" ht="12.5">
      <c r="A197" s="121">
        <v>610422020012</v>
      </c>
      <c r="B197" s="10" t="s">
        <v>5974</v>
      </c>
      <c r="C197" s="10" t="e">
        <f ca="1">COUNTUNIQUEIFS('Alokasi Honor Hingga Sekarang'!D$2:D1009,'Alokasi Honor Hingga Sekarang'!C$2:C1009,A197)</f>
        <v>#NAME?</v>
      </c>
      <c r="D197" s="10" t="e">
        <f t="shared" ca="1" si="0"/>
        <v>#NAME?</v>
      </c>
      <c r="E197" s="82">
        <f t="array" ref="E197">INDEX('Database Mitra'!$R$2:$R1009,MATCH(A197,'Database Mitra'!$B$2:$B1009,0))</f>
        <v>31585</v>
      </c>
      <c r="F197" s="10" t="e">
        <f t="shared" ca="1" si="1"/>
        <v>#NAME?</v>
      </c>
      <c r="G197" s="10" t="e">
        <f t="array" ref="G197">INDEX('Database Mitra'!$E$2:$E1009,MATCH(A197,'Database Mitra'!$B$2:$B1009,0))</f>
        <v>#VALUE!</v>
      </c>
      <c r="H197" s="10" t="e">
        <f t="array" ref="H197">INDEX('Database Mitra'!$F$2:$F1009,MATCH(A197,'Database Mitra'!$B$2:$B1009,0))</f>
        <v>#VALUE!</v>
      </c>
    </row>
    <row r="198" spans="1:8" ht="12.5">
      <c r="A198" s="121">
        <v>610423110104</v>
      </c>
      <c r="B198" s="10" t="s">
        <v>5975</v>
      </c>
      <c r="C198" s="10" t="e">
        <f ca="1">COUNTUNIQUEIFS('Alokasi Honor Hingga Sekarang'!D$2:D1009,'Alokasi Honor Hingga Sekarang'!C$2:C1009,A198)</f>
        <v>#NAME?</v>
      </c>
      <c r="D198" s="10" t="e">
        <f t="shared" ca="1" si="0"/>
        <v>#NAME?</v>
      </c>
      <c r="E198" s="11">
        <f t="array" ref="E198">INDEX('Database Mitra'!$R$2:$R1009,MATCH(A198,'Database Mitra'!$B$2:$B1009,0))</f>
        <v>33197</v>
      </c>
      <c r="F198" s="10" t="e">
        <f t="shared" ca="1" si="1"/>
        <v>#NAME?</v>
      </c>
      <c r="G198" s="10" t="e">
        <f t="array" ref="G198">INDEX('Database Mitra'!$E$2:$E1009,MATCH(A198,'Database Mitra'!$B$2:$B1009,0))</f>
        <v>#VALUE!</v>
      </c>
      <c r="H198" s="10" t="e">
        <f t="array" ref="H198">INDEX('Database Mitra'!$F$2:$F1009,MATCH(A198,'Database Mitra'!$B$2:$B1009,0))</f>
        <v>#VALUE!</v>
      </c>
    </row>
    <row r="199" spans="1:8" ht="12.5">
      <c r="A199" s="121">
        <v>610422040058</v>
      </c>
      <c r="B199" s="10" t="s">
        <v>5976</v>
      </c>
      <c r="C199" s="10" t="e">
        <f ca="1">COUNTUNIQUEIFS('Alokasi Honor Hingga Sekarang'!D$2:D1009,'Alokasi Honor Hingga Sekarang'!C$2:C1009,A199)</f>
        <v>#NAME?</v>
      </c>
      <c r="D199" s="10" t="e">
        <f t="shared" ca="1" si="0"/>
        <v>#NAME?</v>
      </c>
      <c r="E199" s="82">
        <f t="array" ref="E199">INDEX('Database Mitra'!$R$2:$R1009,MATCH(A199,'Database Mitra'!$B$2:$B1009,0))</f>
        <v>34541</v>
      </c>
      <c r="F199" s="10" t="e">
        <f t="shared" ca="1" si="1"/>
        <v>#NAME?</v>
      </c>
      <c r="G199" s="10" t="e">
        <f t="array" ref="G199">INDEX('Database Mitra'!$E$2:$E1009,MATCH(A199,'Database Mitra'!$B$2:$B1009,0))</f>
        <v>#VALUE!</v>
      </c>
      <c r="H199" s="10" t="e">
        <f t="array" ref="H199">INDEX('Database Mitra'!$F$2:$F1009,MATCH(A199,'Database Mitra'!$B$2:$B1009,0))</f>
        <v>#VALUE!</v>
      </c>
    </row>
    <row r="200" spans="1:8" ht="12.5">
      <c r="A200" s="121">
        <v>610422100122</v>
      </c>
      <c r="B200" s="10" t="s">
        <v>1554</v>
      </c>
      <c r="C200" s="10" t="e">
        <f ca="1">COUNTUNIQUEIFS('Alokasi Honor Hingga Sekarang'!D$2:D1009,'Alokasi Honor Hingga Sekarang'!C$2:C1009,A200)</f>
        <v>#NAME?</v>
      </c>
      <c r="D200" s="10" t="e">
        <f t="shared" ca="1" si="0"/>
        <v>#NAME?</v>
      </c>
      <c r="E200" s="82">
        <f t="array" ref="E200">INDEX('Database Mitra'!$R$2:$R1009,MATCH(A200,'Database Mitra'!$B$2:$B1009,0))</f>
        <v>28354</v>
      </c>
      <c r="F200" s="10" t="e">
        <f t="shared" ca="1" si="1"/>
        <v>#NAME?</v>
      </c>
      <c r="G200" s="10" t="e">
        <f t="array" ref="G200">INDEX('Database Mitra'!$E$2:$E1009,MATCH(A200,'Database Mitra'!$B$2:$B1009,0))</f>
        <v>#VALUE!</v>
      </c>
      <c r="H200" s="10" t="e">
        <f t="array" ref="H200">INDEX('Database Mitra'!$F$2:$F1009,MATCH(A200,'Database Mitra'!$B$2:$B1009,0))</f>
        <v>#VALUE!</v>
      </c>
    </row>
    <row r="201" spans="1:8" ht="12.5">
      <c r="A201" s="121">
        <v>610422100146</v>
      </c>
      <c r="B201" s="10" t="s">
        <v>1559</v>
      </c>
      <c r="C201" s="10" t="e">
        <f ca="1">COUNTUNIQUEIFS('Alokasi Honor Hingga Sekarang'!D$2:D1009,'Alokasi Honor Hingga Sekarang'!C$2:C1009,A201)</f>
        <v>#NAME?</v>
      </c>
      <c r="D201" s="10" t="e">
        <f t="shared" ca="1" si="0"/>
        <v>#NAME?</v>
      </c>
      <c r="E201" s="82">
        <f t="array" ref="E201">INDEX('Database Mitra'!$R$2:$R1009,MATCH(A201,'Database Mitra'!$B$2:$B1009,0))</f>
        <v>29637</v>
      </c>
      <c r="F201" s="10" t="e">
        <f t="shared" ca="1" si="1"/>
        <v>#NAME?</v>
      </c>
      <c r="G201" s="10" t="e">
        <f t="array" ref="G201">INDEX('Database Mitra'!$E$2:$E1009,MATCH(A201,'Database Mitra'!$B$2:$B1009,0))</f>
        <v>#VALUE!</v>
      </c>
      <c r="H201" s="10" t="e">
        <f t="array" ref="H201">INDEX('Database Mitra'!$F$2:$F1009,MATCH(A201,'Database Mitra'!$B$2:$B1009,0))</f>
        <v>#VALUE!</v>
      </c>
    </row>
    <row r="202" spans="1:8" ht="12.5">
      <c r="A202" s="121">
        <v>610423110037</v>
      </c>
      <c r="B202" s="10" t="s">
        <v>1566</v>
      </c>
      <c r="C202" s="10" t="e">
        <f ca="1">COUNTUNIQUEIFS('Alokasi Honor Hingga Sekarang'!D$2:D1009,'Alokasi Honor Hingga Sekarang'!C$2:C1009,A202)</f>
        <v>#NAME?</v>
      </c>
      <c r="D202" s="10" t="e">
        <f t="shared" ca="1" si="0"/>
        <v>#NAME?</v>
      </c>
      <c r="E202" s="82">
        <f t="array" ref="E202">INDEX('Database Mitra'!$R$2:$R1009,MATCH(A202,'Database Mitra'!$B$2:$B1009,0))</f>
        <v>32699</v>
      </c>
      <c r="F202" s="10" t="e">
        <f t="shared" ca="1" si="1"/>
        <v>#NAME?</v>
      </c>
      <c r="G202" s="10" t="e">
        <f t="array" ref="G202">INDEX('Database Mitra'!$E$2:$E1009,MATCH(A202,'Database Mitra'!$B$2:$B1009,0))</f>
        <v>#VALUE!</v>
      </c>
      <c r="H202" s="10" t="e">
        <f t="array" ref="H202">INDEX('Database Mitra'!$F$2:$F1009,MATCH(A202,'Database Mitra'!$B$2:$B1009,0))</f>
        <v>#VALUE!</v>
      </c>
    </row>
    <row r="203" spans="1:8" ht="12.5">
      <c r="A203" s="121">
        <v>610422040036</v>
      </c>
      <c r="B203" s="10" t="s">
        <v>1571</v>
      </c>
      <c r="C203" s="10" t="e">
        <f ca="1">COUNTUNIQUEIFS('Alokasi Honor Hingga Sekarang'!D$2:D1009,'Alokasi Honor Hingga Sekarang'!C$2:C1009,A203)</f>
        <v>#NAME?</v>
      </c>
      <c r="D203" s="10" t="e">
        <f t="shared" ca="1" si="0"/>
        <v>#NAME?</v>
      </c>
      <c r="E203" s="82">
        <f t="array" ref="E203">INDEX('Database Mitra'!$R$2:$R1009,MATCH(A203,'Database Mitra'!$B$2:$B1009,0))</f>
        <v>32509</v>
      </c>
      <c r="F203" s="10" t="e">
        <f t="shared" ca="1" si="1"/>
        <v>#NAME?</v>
      </c>
      <c r="G203" s="10" t="e">
        <f t="array" ref="G203">INDEX('Database Mitra'!$E$2:$E1009,MATCH(A203,'Database Mitra'!$B$2:$B1009,0))</f>
        <v>#VALUE!</v>
      </c>
      <c r="H203" s="10" t="e">
        <f t="array" ref="H203">INDEX('Database Mitra'!$F$2:$F1009,MATCH(A203,'Database Mitra'!$B$2:$B1009,0))</f>
        <v>#VALUE!</v>
      </c>
    </row>
    <row r="204" spans="1:8" ht="12.5">
      <c r="A204" s="121">
        <v>610423110185</v>
      </c>
      <c r="B204" s="10" t="s">
        <v>1577</v>
      </c>
      <c r="C204" s="10" t="e">
        <f ca="1">COUNTUNIQUEIFS('Alokasi Honor Hingga Sekarang'!D$2:D1009,'Alokasi Honor Hingga Sekarang'!C$2:C1009,A204)</f>
        <v>#NAME?</v>
      </c>
      <c r="D204" s="10" t="e">
        <f t="shared" ca="1" si="0"/>
        <v>#NAME?</v>
      </c>
      <c r="E204" s="82">
        <f t="array" ref="E204">INDEX('Database Mitra'!$R$2:$R1009,MATCH(A204,'Database Mitra'!$B$2:$B1009,0))</f>
        <v>35460</v>
      </c>
      <c r="F204" s="10" t="e">
        <f t="shared" ca="1" si="1"/>
        <v>#NAME?</v>
      </c>
      <c r="G204" s="10" t="e">
        <f t="array" ref="G204">INDEX('Database Mitra'!$E$2:$E1009,MATCH(A204,'Database Mitra'!$B$2:$B1009,0))</f>
        <v>#VALUE!</v>
      </c>
      <c r="H204" s="10" t="e">
        <f t="array" ref="H204">INDEX('Database Mitra'!$F$2:$F1009,MATCH(A204,'Database Mitra'!$B$2:$B1009,0))</f>
        <v>#VALUE!</v>
      </c>
    </row>
    <row r="205" spans="1:8" ht="12.5">
      <c r="A205" s="121">
        <v>610423110102</v>
      </c>
      <c r="B205" s="10" t="s">
        <v>1584</v>
      </c>
      <c r="C205" s="10" t="e">
        <f ca="1">COUNTUNIQUEIFS('Alokasi Honor Hingga Sekarang'!D$2:D1009,'Alokasi Honor Hingga Sekarang'!C$2:C1009,A205)</f>
        <v>#NAME?</v>
      </c>
      <c r="D205" s="10" t="e">
        <f t="shared" ca="1" si="0"/>
        <v>#NAME?</v>
      </c>
      <c r="E205" s="82">
        <f t="array" ref="E205">INDEX('Database Mitra'!$R$2:$R1009,MATCH(A205,'Database Mitra'!$B$2:$B1009,0))</f>
        <v>37084</v>
      </c>
      <c r="F205" s="10" t="e">
        <f t="shared" ca="1" si="1"/>
        <v>#NAME?</v>
      </c>
      <c r="G205" s="10" t="str">
        <f t="array" ref="G205">INDEX('Database Mitra'!$E$2:$E1009,MATCH(A205,'Database Mitra'!$B$2:$B1009,0))</f>
        <v>PONTIANAK SELATAN</v>
      </c>
      <c r="H205" s="10" t="str">
        <f t="array" ref="H205">INDEX('Database Mitra'!$F$2:$F1009,MATCH(A205,'Database Mitra'!$B$2:$B1009,0))</f>
        <v>KOTA BARU</v>
      </c>
    </row>
    <row r="206" spans="1:8" ht="12.5">
      <c r="A206" s="121">
        <v>610423110077</v>
      </c>
      <c r="B206" s="10" t="s">
        <v>1590</v>
      </c>
      <c r="C206" s="10" t="e">
        <f ca="1">COUNTUNIQUEIFS('Alokasi Honor Hingga Sekarang'!D$2:D1009,'Alokasi Honor Hingga Sekarang'!C$2:C1009,A206)</f>
        <v>#NAME?</v>
      </c>
      <c r="D206" s="10" t="e">
        <f t="shared" ca="1" si="0"/>
        <v>#NAME?</v>
      </c>
      <c r="E206" s="82">
        <f t="array" ref="E206">INDEX('Database Mitra'!$R$2:$R1009,MATCH(A206,'Database Mitra'!$B$2:$B1009,0))</f>
        <v>35211</v>
      </c>
      <c r="F206" s="10" t="e">
        <f t="shared" ca="1" si="1"/>
        <v>#NAME?</v>
      </c>
      <c r="G206" s="10" t="e">
        <f t="array" ref="G206">INDEX('Database Mitra'!$E$2:$E1009,MATCH(A206,'Database Mitra'!$B$2:$B1009,0))</f>
        <v>#VALUE!</v>
      </c>
      <c r="H206" s="10" t="e">
        <f t="array" ref="H206">INDEX('Database Mitra'!$F$2:$F1009,MATCH(A206,'Database Mitra'!$B$2:$B1009,0))</f>
        <v>#VALUE!</v>
      </c>
    </row>
    <row r="207" spans="1:8" ht="12.5">
      <c r="A207" s="121">
        <v>610422100153</v>
      </c>
      <c r="B207" s="10" t="s">
        <v>5977</v>
      </c>
      <c r="C207" s="10" t="e">
        <f ca="1">COUNTUNIQUEIFS('Alokasi Honor Hingga Sekarang'!D$2:D1009,'Alokasi Honor Hingga Sekarang'!C$2:C1009,A207)</f>
        <v>#NAME?</v>
      </c>
      <c r="D207" s="10" t="e">
        <f t="shared" ca="1" si="0"/>
        <v>#NAME?</v>
      </c>
      <c r="E207" s="82">
        <f t="array" ref="E207">INDEX('Database Mitra'!$R$2:$R1009,MATCH(A207,'Database Mitra'!$B$2:$B1009,0))</f>
        <v>35465</v>
      </c>
      <c r="F207" s="10" t="e">
        <f t="shared" ca="1" si="1"/>
        <v>#NAME?</v>
      </c>
      <c r="G207" s="10" t="e">
        <f t="array" ref="G207">INDEX('Database Mitra'!$E$2:$E1009,MATCH(A207,'Database Mitra'!$B$2:$B1009,0))</f>
        <v>#VALUE!</v>
      </c>
      <c r="H207" s="10" t="e">
        <f t="array" ref="H207">INDEX('Database Mitra'!$F$2:$F1009,MATCH(A207,'Database Mitra'!$B$2:$B1009,0))</f>
        <v>#VALUE!</v>
      </c>
    </row>
    <row r="208" spans="1:8" ht="12.5">
      <c r="A208" s="121">
        <v>610422100235</v>
      </c>
      <c r="B208" s="10" t="s">
        <v>5978</v>
      </c>
      <c r="C208" s="10" t="e">
        <f ca="1">COUNTUNIQUEIFS('Alokasi Honor Hingga Sekarang'!D$2:D1009,'Alokasi Honor Hingga Sekarang'!C$2:C1009,A208)</f>
        <v>#NAME?</v>
      </c>
      <c r="D208" s="10" t="e">
        <f t="shared" ca="1" si="0"/>
        <v>#NAME?</v>
      </c>
      <c r="E208" s="82">
        <f t="array" ref="E208">INDEX('Database Mitra'!$R$2:$R1009,MATCH(A208,'Database Mitra'!$B$2:$B1009,0))</f>
        <v>35468</v>
      </c>
      <c r="F208" s="10" t="e">
        <f t="shared" ca="1" si="1"/>
        <v>#NAME?</v>
      </c>
      <c r="G208" s="10" t="e">
        <f t="array" ref="G208">INDEX('Database Mitra'!$E$2:$E1009,MATCH(A208,'Database Mitra'!$B$2:$B1009,0))</f>
        <v>#VALUE!</v>
      </c>
      <c r="H208" s="10" t="e">
        <f t="array" ref="H208">INDEX('Database Mitra'!$F$2:$F1009,MATCH(A208,'Database Mitra'!$B$2:$B1009,0))</f>
        <v>#VALUE!</v>
      </c>
    </row>
    <row r="209" spans="1:8" ht="12.5">
      <c r="A209" s="121">
        <v>610422100270</v>
      </c>
      <c r="B209" s="10" t="s">
        <v>5979</v>
      </c>
      <c r="C209" s="10" t="e">
        <f ca="1">COUNTUNIQUEIFS('Alokasi Honor Hingga Sekarang'!D$2:D1009,'Alokasi Honor Hingga Sekarang'!C$2:C1009,A209)</f>
        <v>#NAME?</v>
      </c>
      <c r="D209" s="10" t="e">
        <f t="shared" ca="1" si="0"/>
        <v>#NAME?</v>
      </c>
      <c r="E209" s="82">
        <f t="array" ref="E209">INDEX('Database Mitra'!$R$2:$R1009,MATCH(A209,'Database Mitra'!$B$2:$B1009,0))</f>
        <v>34567</v>
      </c>
      <c r="F209" s="10" t="e">
        <f t="shared" ca="1" si="1"/>
        <v>#NAME?</v>
      </c>
      <c r="G209" s="10" t="e">
        <f t="array" ref="G209">INDEX('Database Mitra'!$E$2:$E1009,MATCH(A209,'Database Mitra'!$B$2:$B1009,0))</f>
        <v>#VALUE!</v>
      </c>
      <c r="H209" s="10" t="e">
        <f t="array" ref="H209">INDEX('Database Mitra'!$F$2:$F1009,MATCH(A209,'Database Mitra'!$B$2:$B1009,0))</f>
        <v>#VALUE!</v>
      </c>
    </row>
    <row r="210" spans="1:8" ht="12.5">
      <c r="A210" s="121">
        <v>610423110128</v>
      </c>
      <c r="B210" s="10" t="s">
        <v>5980</v>
      </c>
      <c r="C210" s="10" t="e">
        <f ca="1">COUNTUNIQUEIFS('Alokasi Honor Hingga Sekarang'!D$2:D1009,'Alokasi Honor Hingga Sekarang'!C$2:C1009,A210)</f>
        <v>#NAME?</v>
      </c>
      <c r="D210" s="10" t="e">
        <f t="shared" ca="1" si="0"/>
        <v>#NAME?</v>
      </c>
      <c r="E210" s="11">
        <f t="array" ref="E210">INDEX('Database Mitra'!$R$2:$R1009,MATCH(A210,'Database Mitra'!$B$2:$B1009,0))</f>
        <v>34653</v>
      </c>
      <c r="F210" s="10" t="e">
        <f t="shared" ca="1" si="1"/>
        <v>#NAME?</v>
      </c>
      <c r="G210" s="10" t="e">
        <f t="array" ref="G210">INDEX('Database Mitra'!$E$2:$E1009,MATCH(A210,'Database Mitra'!$B$2:$B1009,0))</f>
        <v>#VALUE!</v>
      </c>
      <c r="H210" s="10" t="e">
        <f t="array" ref="H210">INDEX('Database Mitra'!$F$2:$F1009,MATCH(A210,'Database Mitra'!$B$2:$B1009,0))</f>
        <v>#VALUE!</v>
      </c>
    </row>
    <row r="211" spans="1:8" ht="12.5">
      <c r="A211" s="121">
        <v>610422020029</v>
      </c>
      <c r="B211" s="10" t="s">
        <v>1622</v>
      </c>
      <c r="C211" s="10" t="e">
        <f ca="1">COUNTUNIQUEIFS('Alokasi Honor Hingga Sekarang'!D$2:D1009,'Alokasi Honor Hingga Sekarang'!C$2:C1009,A211)</f>
        <v>#NAME?</v>
      </c>
      <c r="D211" s="10" t="e">
        <f t="shared" ca="1" si="0"/>
        <v>#NAME?</v>
      </c>
      <c r="E211" s="11">
        <f t="array" ref="E211">INDEX('Database Mitra'!$R$2:$R1009,MATCH(A211,'Database Mitra'!$B$2:$B1009,0))</f>
        <v>35714</v>
      </c>
      <c r="F211" s="10" t="e">
        <f t="shared" ca="1" si="1"/>
        <v>#NAME?</v>
      </c>
      <c r="G211" s="10" t="e">
        <f t="array" ref="G211">INDEX('Database Mitra'!$E$2:$E1009,MATCH(A211,'Database Mitra'!$B$2:$B1009,0))</f>
        <v>#VALUE!</v>
      </c>
      <c r="H211" s="10" t="e">
        <f t="array" ref="H211">INDEX('Database Mitra'!$F$2:$F1009,MATCH(A211,'Database Mitra'!$B$2:$B1009,0))</f>
        <v>#VALUE!</v>
      </c>
    </row>
    <row r="212" spans="1:8" ht="12.5">
      <c r="A212" s="121">
        <v>610423030004</v>
      </c>
      <c r="B212" s="10" t="s">
        <v>1627</v>
      </c>
      <c r="C212" s="10" t="e">
        <f ca="1">COUNTUNIQUEIFS('Alokasi Honor Hingga Sekarang'!D$2:D1009,'Alokasi Honor Hingga Sekarang'!C$2:C1009,A212)</f>
        <v>#NAME?</v>
      </c>
      <c r="D212" s="10" t="e">
        <f t="shared" ca="1" si="0"/>
        <v>#NAME?</v>
      </c>
      <c r="E212" s="82">
        <f t="array" ref="E212">INDEX('Database Mitra'!$R$2:$R1009,MATCH(A212,'Database Mitra'!$B$2:$B1009,0))</f>
        <v>36711</v>
      </c>
      <c r="F212" s="10" t="e">
        <f t="shared" ca="1" si="1"/>
        <v>#NAME?</v>
      </c>
      <c r="G212" s="10" t="e">
        <f t="array" ref="G212">INDEX('Database Mitra'!$E$2:$E1009,MATCH(A212,'Database Mitra'!$B$2:$B1009,0))</f>
        <v>#VALUE!</v>
      </c>
      <c r="H212" s="10" t="e">
        <f t="array" ref="H212">INDEX('Database Mitra'!$F$2:$F1009,MATCH(A212,'Database Mitra'!$B$2:$B1009,0))</f>
        <v>#VALUE!</v>
      </c>
    </row>
    <row r="213" spans="1:8" ht="12.5">
      <c r="A213" s="121">
        <v>610423110135</v>
      </c>
      <c r="B213" s="10" t="s">
        <v>1634</v>
      </c>
      <c r="C213" s="10" t="e">
        <f ca="1">COUNTUNIQUEIFS('Alokasi Honor Hingga Sekarang'!D$2:D1009,'Alokasi Honor Hingga Sekarang'!C$2:C1009,A213)</f>
        <v>#NAME?</v>
      </c>
      <c r="D213" s="10" t="e">
        <f t="shared" ca="1" si="0"/>
        <v>#NAME?</v>
      </c>
      <c r="E213" s="82">
        <f t="array" ref="E213">INDEX('Database Mitra'!$R$2:$R1009,MATCH(A213,'Database Mitra'!$B$2:$B1009,0))</f>
        <v>36629</v>
      </c>
      <c r="F213" s="10" t="e">
        <f t="shared" ca="1" si="1"/>
        <v>#NAME?</v>
      </c>
      <c r="G213" s="10" t="e">
        <f t="array" ref="G213">INDEX('Database Mitra'!$E$2:$E1009,MATCH(A213,'Database Mitra'!$B$2:$B1009,0))</f>
        <v>#VALUE!</v>
      </c>
      <c r="H213" s="10" t="e">
        <f t="array" ref="H213">INDEX('Database Mitra'!$F$2:$F1009,MATCH(A213,'Database Mitra'!$B$2:$B1009,0))</f>
        <v>#VALUE!</v>
      </c>
    </row>
    <row r="214" spans="1:8" ht="12.5">
      <c r="A214" s="121">
        <v>610422020032</v>
      </c>
      <c r="B214" s="10" t="s">
        <v>1640</v>
      </c>
      <c r="C214" s="10" t="e">
        <f ca="1">COUNTUNIQUEIFS('Alokasi Honor Hingga Sekarang'!D$2:D1009,'Alokasi Honor Hingga Sekarang'!C$2:C1009,A214)</f>
        <v>#NAME?</v>
      </c>
      <c r="D214" s="10" t="e">
        <f t="shared" ca="1" si="0"/>
        <v>#NAME?</v>
      </c>
      <c r="E214" s="82">
        <f t="array" ref="E214">INDEX('Database Mitra'!$R$2:$R1009,MATCH(A214,'Database Mitra'!$B$2:$B1009,0))</f>
        <v>32184</v>
      </c>
      <c r="F214" s="10" t="e">
        <f t="shared" ca="1" si="1"/>
        <v>#NAME?</v>
      </c>
      <c r="G214" s="10" t="e">
        <f t="array" ref="G214">INDEX('Database Mitra'!$E$2:$E1009,MATCH(A214,'Database Mitra'!$B$2:$B1009,0))</f>
        <v>#VALUE!</v>
      </c>
      <c r="H214" s="10" t="e">
        <f t="array" ref="H214">INDEX('Database Mitra'!$F$2:$F1009,MATCH(A214,'Database Mitra'!$B$2:$B1009,0))</f>
        <v>#VALUE!</v>
      </c>
    </row>
    <row r="215" spans="1:8" ht="12.5">
      <c r="A215" s="121">
        <v>610422100085</v>
      </c>
      <c r="B215" s="10" t="s">
        <v>5981</v>
      </c>
      <c r="C215" s="10" t="e">
        <f ca="1">COUNTUNIQUEIFS('Alokasi Honor Hingga Sekarang'!D$2:D1009,'Alokasi Honor Hingga Sekarang'!C$2:C1009,A215)</f>
        <v>#NAME?</v>
      </c>
      <c r="D215" s="10" t="e">
        <f t="shared" ca="1" si="0"/>
        <v>#NAME?</v>
      </c>
      <c r="E215" s="82">
        <f t="array" ref="E215">INDEX('Database Mitra'!$R$2:$R1009,MATCH(A215,'Database Mitra'!$B$2:$B1009,0))</f>
        <v>31275</v>
      </c>
      <c r="F215" s="10" t="e">
        <f t="shared" ca="1" si="1"/>
        <v>#NAME?</v>
      </c>
      <c r="G215" s="10" t="e">
        <f t="array" ref="G215">INDEX('Database Mitra'!$E$2:$E1009,MATCH(A215,'Database Mitra'!$B$2:$B1009,0))</f>
        <v>#VALUE!</v>
      </c>
      <c r="H215" s="10" t="e">
        <f t="array" ref="H215">INDEX('Database Mitra'!$F$2:$F1009,MATCH(A215,'Database Mitra'!$B$2:$B1009,0))</f>
        <v>#VALUE!</v>
      </c>
    </row>
    <row r="216" spans="1:8" ht="12.5">
      <c r="A216" s="121">
        <v>610423110046</v>
      </c>
      <c r="B216" s="10" t="s">
        <v>1653</v>
      </c>
      <c r="C216" s="10" t="e">
        <f ca="1">COUNTUNIQUEIFS('Alokasi Honor Hingga Sekarang'!D$2:D1009,'Alokasi Honor Hingga Sekarang'!C$2:C1009,A216)</f>
        <v>#NAME?</v>
      </c>
      <c r="D216" s="10" t="e">
        <f t="shared" ca="1" si="0"/>
        <v>#NAME?</v>
      </c>
      <c r="E216" s="82">
        <f t="array" ref="E216">INDEX('Database Mitra'!$R$2:$R1009,MATCH(A216,'Database Mitra'!$B$2:$B1009,0))</f>
        <v>38198</v>
      </c>
      <c r="F216" s="10" t="e">
        <f t="shared" ca="1" si="1"/>
        <v>#NAME?</v>
      </c>
      <c r="G216" s="10" t="e">
        <f t="array" ref="G216">INDEX('Database Mitra'!$E$2:$E1009,MATCH(A216,'Database Mitra'!$B$2:$B1009,0))</f>
        <v>#VALUE!</v>
      </c>
      <c r="H216" s="10" t="e">
        <f t="array" ref="H216">INDEX('Database Mitra'!$F$2:$F1009,MATCH(A216,'Database Mitra'!$B$2:$B1009,0))</f>
        <v>#VALUE!</v>
      </c>
    </row>
    <row r="217" spans="1:8" ht="12.5">
      <c r="A217" s="121">
        <v>610423040013</v>
      </c>
      <c r="B217" s="10" t="s">
        <v>1658</v>
      </c>
      <c r="C217" s="10" t="e">
        <f ca="1">COUNTUNIQUEIFS('Alokasi Honor Hingga Sekarang'!D$2:D1009,'Alokasi Honor Hingga Sekarang'!C$2:C1009,A217)</f>
        <v>#NAME?</v>
      </c>
      <c r="D217" s="10" t="e">
        <f t="shared" ca="1" si="0"/>
        <v>#NAME?</v>
      </c>
      <c r="E217" s="82">
        <f t="array" ref="E217">INDEX('Database Mitra'!$R$2:$R1009,MATCH(A217,'Database Mitra'!$B$2:$B1009,0))</f>
        <v>36546</v>
      </c>
      <c r="F217" s="10" t="e">
        <f t="shared" ca="1" si="1"/>
        <v>#NAME?</v>
      </c>
      <c r="G217" s="10" t="e">
        <f t="array" ref="G217">INDEX('Database Mitra'!$E$2:$E1009,MATCH(A217,'Database Mitra'!$B$2:$B1009,0))</f>
        <v>#VALUE!</v>
      </c>
      <c r="H217" s="10" t="e">
        <f t="array" ref="H217">INDEX('Database Mitra'!$F$2:$F1009,MATCH(A217,'Database Mitra'!$B$2:$B1009,0))</f>
        <v>#VALUE!</v>
      </c>
    </row>
    <row r="218" spans="1:8" ht="12.5">
      <c r="A218" s="121">
        <v>610422100028</v>
      </c>
      <c r="B218" s="10" t="s">
        <v>5982</v>
      </c>
      <c r="C218" s="10" t="e">
        <f ca="1">COUNTUNIQUEIFS('Alokasi Honor Hingga Sekarang'!D$2:D1009,'Alokasi Honor Hingga Sekarang'!C$2:C1009,A218)</f>
        <v>#NAME?</v>
      </c>
      <c r="D218" s="10" t="e">
        <f t="shared" ca="1" si="0"/>
        <v>#NAME?</v>
      </c>
      <c r="E218" s="82">
        <f t="array" ref="E218">INDEX('Database Mitra'!$R$2:$R1009,MATCH(A218,'Database Mitra'!$B$2:$B1009,0))</f>
        <v>36226</v>
      </c>
      <c r="F218" s="10" t="e">
        <f t="shared" ca="1" si="1"/>
        <v>#NAME?</v>
      </c>
      <c r="G218" s="10" t="e">
        <f t="array" ref="G218">INDEX('Database Mitra'!$E$2:$E1009,MATCH(A218,'Database Mitra'!$B$2:$B1009,0))</f>
        <v>#VALUE!</v>
      </c>
      <c r="H218" s="10" t="e">
        <f t="array" ref="H218">INDEX('Database Mitra'!$F$2:$F1009,MATCH(A218,'Database Mitra'!$B$2:$B1009,0))</f>
        <v>#VALUE!</v>
      </c>
    </row>
    <row r="219" spans="1:8" ht="12.5">
      <c r="A219" s="121">
        <v>610422040044</v>
      </c>
      <c r="B219" s="10" t="s">
        <v>1670</v>
      </c>
      <c r="C219" s="10" t="e">
        <f ca="1">COUNTUNIQUEIFS('Alokasi Honor Hingga Sekarang'!D$2:D1009,'Alokasi Honor Hingga Sekarang'!C$2:C1009,A219)</f>
        <v>#NAME?</v>
      </c>
      <c r="D219" s="10" t="e">
        <f t="shared" ca="1" si="0"/>
        <v>#NAME?</v>
      </c>
      <c r="E219" s="82">
        <f t="array" ref="E219">INDEX('Database Mitra'!$R$2:$R1009,MATCH(A219,'Database Mitra'!$B$2:$B1009,0))</f>
        <v>29608</v>
      </c>
      <c r="F219" s="10" t="e">
        <f t="shared" ca="1" si="1"/>
        <v>#NAME?</v>
      </c>
      <c r="G219" s="10" t="e">
        <f t="array" ref="G219">INDEX('Database Mitra'!$E$2:$E1009,MATCH(A219,'Database Mitra'!$B$2:$B1009,0))</f>
        <v>#VALUE!</v>
      </c>
      <c r="H219" s="10" t="e">
        <f t="array" ref="H219">INDEX('Database Mitra'!$F$2:$F1009,MATCH(A219,'Database Mitra'!$B$2:$B1009,0))</f>
        <v>#VALUE!</v>
      </c>
    </row>
    <row r="220" spans="1:8" ht="12.5">
      <c r="A220" s="121">
        <v>610423110132</v>
      </c>
      <c r="B220" s="10" t="s">
        <v>5983</v>
      </c>
      <c r="C220" s="10" t="e">
        <f ca="1">COUNTUNIQUEIFS('Alokasi Honor Hingga Sekarang'!D$2:D1009,'Alokasi Honor Hingga Sekarang'!C$2:C1009,A220)</f>
        <v>#NAME?</v>
      </c>
      <c r="D220" s="10" t="e">
        <f t="shared" ca="1" si="0"/>
        <v>#NAME?</v>
      </c>
      <c r="E220" s="82">
        <f t="array" ref="E220">INDEX('Database Mitra'!$R$2:$R1009,MATCH(A220,'Database Mitra'!$B$2:$B1009,0))</f>
        <v>38433</v>
      </c>
      <c r="F220" s="10" t="e">
        <f t="shared" ca="1" si="1"/>
        <v>#NAME?</v>
      </c>
      <c r="G220" s="10" t="e">
        <f t="array" ref="G220">INDEX('Database Mitra'!$E$2:$E1009,MATCH(A220,'Database Mitra'!$B$2:$B1009,0))</f>
        <v>#VALUE!</v>
      </c>
      <c r="H220" s="10" t="e">
        <f t="array" ref="H220">INDEX('Database Mitra'!$F$2:$F1009,MATCH(A220,'Database Mitra'!$B$2:$B1009,0))</f>
        <v>#VALUE!</v>
      </c>
    </row>
    <row r="221" spans="1:8" ht="12.5">
      <c r="A221" s="121">
        <v>610423110053</v>
      </c>
      <c r="B221" s="10" t="s">
        <v>5984</v>
      </c>
      <c r="C221" s="10" t="e">
        <f ca="1">COUNTUNIQUEIFS('Alokasi Honor Hingga Sekarang'!D$2:D1009,'Alokasi Honor Hingga Sekarang'!C$2:C1009,A221)</f>
        <v>#NAME?</v>
      </c>
      <c r="D221" s="10" t="e">
        <f t="shared" ca="1" si="0"/>
        <v>#NAME?</v>
      </c>
      <c r="E221" s="82">
        <f t="array" ref="E221">INDEX('Database Mitra'!$R$2:$R1009,MATCH(A221,'Database Mitra'!$B$2:$B1009,0))</f>
        <v>35865</v>
      </c>
      <c r="F221" s="10" t="e">
        <f t="shared" ca="1" si="1"/>
        <v>#NAME?</v>
      </c>
      <c r="G221" s="10" t="e">
        <f t="array" ref="G221">INDEX('Database Mitra'!$E$2:$E1009,MATCH(A221,'Database Mitra'!$B$2:$B1009,0))</f>
        <v>#VALUE!</v>
      </c>
      <c r="H221" s="10" t="e">
        <f t="array" ref="H221">INDEX('Database Mitra'!$F$2:$F1009,MATCH(A221,'Database Mitra'!$B$2:$B1009,0))</f>
        <v>#VALUE!</v>
      </c>
    </row>
    <row r="222" spans="1:8" ht="12.5">
      <c r="A222" s="121">
        <v>610422100157</v>
      </c>
      <c r="B222" s="10" t="s">
        <v>1690</v>
      </c>
      <c r="C222" s="10" t="e">
        <f ca="1">COUNTUNIQUEIFS('Alokasi Honor Hingga Sekarang'!D$2:D1009,'Alokasi Honor Hingga Sekarang'!C$2:C1009,A222)</f>
        <v>#NAME?</v>
      </c>
      <c r="D222" s="10" t="e">
        <f t="shared" ca="1" si="0"/>
        <v>#NAME?</v>
      </c>
      <c r="E222" s="82">
        <f t="array" ref="E222">INDEX('Database Mitra'!$R$2:$R1009,MATCH(A222,'Database Mitra'!$B$2:$B1009,0))</f>
        <v>35541</v>
      </c>
      <c r="F222" s="10" t="e">
        <f t="shared" ca="1" si="1"/>
        <v>#NAME?</v>
      </c>
      <c r="G222" s="10" t="e">
        <f t="array" ref="G222">INDEX('Database Mitra'!$E$2:$E1009,MATCH(A222,'Database Mitra'!$B$2:$B1009,0))</f>
        <v>#VALUE!</v>
      </c>
      <c r="H222" s="10" t="e">
        <f t="array" ref="H222">INDEX('Database Mitra'!$F$2:$F1009,MATCH(A222,'Database Mitra'!$B$2:$B1009,0))</f>
        <v>#VALUE!</v>
      </c>
    </row>
    <row r="223" spans="1:8" ht="12.5">
      <c r="A223" s="121">
        <v>610423110063</v>
      </c>
      <c r="B223" s="10" t="s">
        <v>1696</v>
      </c>
      <c r="C223" s="10" t="e">
        <f ca="1">COUNTUNIQUEIFS('Alokasi Honor Hingga Sekarang'!D$2:D1009,'Alokasi Honor Hingga Sekarang'!C$2:C1009,A223)</f>
        <v>#NAME?</v>
      </c>
      <c r="D223" s="10" t="e">
        <f t="shared" ca="1" si="0"/>
        <v>#NAME?</v>
      </c>
      <c r="E223" s="82">
        <f t="array" ref="E223">INDEX('Database Mitra'!$R$2:$R1009,MATCH(A223,'Database Mitra'!$B$2:$B1009,0))</f>
        <v>34848</v>
      </c>
      <c r="F223" s="10" t="e">
        <f t="shared" ca="1" si="1"/>
        <v>#NAME?</v>
      </c>
      <c r="G223" s="10" t="e">
        <f t="array" ref="G223">INDEX('Database Mitra'!$E$2:$E1009,MATCH(A223,'Database Mitra'!$B$2:$B1009,0))</f>
        <v>#VALUE!</v>
      </c>
      <c r="H223" s="10" t="e">
        <f t="array" ref="H223">INDEX('Database Mitra'!$F$2:$F1009,MATCH(A223,'Database Mitra'!$B$2:$B1009,0))</f>
        <v>#VALUE!</v>
      </c>
    </row>
    <row r="224" spans="1:8" ht="12.5">
      <c r="A224" s="121">
        <v>610423110019</v>
      </c>
      <c r="B224" s="10" t="s">
        <v>1701</v>
      </c>
      <c r="C224" s="10" t="e">
        <f ca="1">COUNTUNIQUEIFS('Alokasi Honor Hingga Sekarang'!D$2:D1009,'Alokasi Honor Hingga Sekarang'!C$2:C1009,A224)</f>
        <v>#NAME?</v>
      </c>
      <c r="D224" s="10" t="e">
        <f t="shared" ca="1" si="0"/>
        <v>#NAME?</v>
      </c>
      <c r="E224" s="11">
        <f t="array" ref="E224">INDEX('Database Mitra'!$R$2:$R1009,MATCH(A224,'Database Mitra'!$B$2:$B1009,0))</f>
        <v>36507</v>
      </c>
      <c r="F224" s="10" t="e">
        <f t="shared" ca="1" si="1"/>
        <v>#NAME?</v>
      </c>
      <c r="G224" s="10" t="e">
        <f t="array" ref="G224">INDEX('Database Mitra'!$E$2:$E1009,MATCH(A224,'Database Mitra'!$B$2:$B1009,0))</f>
        <v>#VALUE!</v>
      </c>
      <c r="H224" s="10" t="e">
        <f t="array" ref="H224">INDEX('Database Mitra'!$F$2:$F1009,MATCH(A224,'Database Mitra'!$B$2:$B1009,0))</f>
        <v>#VALUE!</v>
      </c>
    </row>
    <row r="225" spans="1:8" ht="12.5">
      <c r="A225" s="121">
        <v>610423110062</v>
      </c>
      <c r="B225" s="10" t="s">
        <v>1708</v>
      </c>
      <c r="C225" s="10" t="e">
        <f ca="1">COUNTUNIQUEIFS('Alokasi Honor Hingga Sekarang'!D$2:D1009,'Alokasi Honor Hingga Sekarang'!C$2:C1009,A225)</f>
        <v>#NAME?</v>
      </c>
      <c r="D225" s="10" t="e">
        <f t="shared" ca="1" si="0"/>
        <v>#NAME?</v>
      </c>
      <c r="E225" s="82">
        <f t="array" ref="E225">INDEX('Database Mitra'!$R$2:$R1009,MATCH(A225,'Database Mitra'!$B$2:$B1009,0))</f>
        <v>37416</v>
      </c>
      <c r="F225" s="10" t="e">
        <f t="shared" ca="1" si="1"/>
        <v>#NAME?</v>
      </c>
      <c r="G225" s="10" t="e">
        <f t="array" ref="G225">INDEX('Database Mitra'!$E$2:$E1009,MATCH(A225,'Database Mitra'!$B$2:$B1009,0))</f>
        <v>#VALUE!</v>
      </c>
      <c r="H225" s="10" t="e">
        <f t="array" ref="H225">INDEX('Database Mitra'!$F$2:$F1009,MATCH(A225,'Database Mitra'!$B$2:$B1009,0))</f>
        <v>#VALUE!</v>
      </c>
    </row>
    <row r="226" spans="1:8" ht="12.5">
      <c r="A226" s="121">
        <v>610423020001</v>
      </c>
      <c r="B226" s="10" t="s">
        <v>1714</v>
      </c>
      <c r="C226" s="10" t="e">
        <f ca="1">COUNTUNIQUEIFS('Alokasi Honor Hingga Sekarang'!D$2:D1009,'Alokasi Honor Hingga Sekarang'!C$2:C1009,A226)</f>
        <v>#NAME?</v>
      </c>
      <c r="D226" s="10" t="e">
        <f t="shared" ca="1" si="0"/>
        <v>#NAME?</v>
      </c>
      <c r="E226" s="82">
        <f t="array" ref="E226">INDEX('Database Mitra'!$R$2:$R1009,MATCH(A226,'Database Mitra'!$B$2:$B1009,0))</f>
        <v>28550</v>
      </c>
      <c r="F226" s="10" t="e">
        <f t="shared" ca="1" si="1"/>
        <v>#NAME?</v>
      </c>
      <c r="G226" s="10" t="e">
        <f t="array" ref="G226">INDEX('Database Mitra'!$E$2:$E1009,MATCH(A226,'Database Mitra'!$B$2:$B1009,0))</f>
        <v>#VALUE!</v>
      </c>
      <c r="H226" s="10" t="e">
        <f t="array" ref="H226">INDEX('Database Mitra'!$F$2:$F1009,MATCH(A226,'Database Mitra'!$B$2:$B1009,0))</f>
        <v>#VALUE!</v>
      </c>
    </row>
    <row r="227" spans="1:8" ht="12.5">
      <c r="A227" s="121">
        <v>610422100137</v>
      </c>
      <c r="B227" s="10" t="s">
        <v>5985</v>
      </c>
      <c r="C227" s="10" t="e">
        <f ca="1">COUNTUNIQUEIFS('Alokasi Honor Hingga Sekarang'!D$2:D1009,'Alokasi Honor Hingga Sekarang'!C$2:C1009,A227)</f>
        <v>#NAME?</v>
      </c>
      <c r="D227" s="10" t="e">
        <f t="shared" ca="1" si="0"/>
        <v>#NAME?</v>
      </c>
      <c r="E227" s="82">
        <f t="array" ref="E227">INDEX('Database Mitra'!$R$2:$R1009,MATCH(A227,'Database Mitra'!$B$2:$B1009,0))</f>
        <v>32027</v>
      </c>
      <c r="F227" s="10" t="e">
        <f t="shared" ca="1" si="1"/>
        <v>#NAME?</v>
      </c>
      <c r="G227" s="10" t="e">
        <f t="array" ref="G227">INDEX('Database Mitra'!$E$2:$E1009,MATCH(A227,'Database Mitra'!$B$2:$B1009,0))</f>
        <v>#VALUE!</v>
      </c>
      <c r="H227" s="10" t="e">
        <f t="array" ref="H227">INDEX('Database Mitra'!$F$2:$F1009,MATCH(A227,'Database Mitra'!$B$2:$B1009,0))</f>
        <v>#VALUE!</v>
      </c>
    </row>
    <row r="228" spans="1:8" ht="12.5">
      <c r="A228" s="121">
        <v>610423110034</v>
      </c>
      <c r="B228" s="10" t="s">
        <v>5986</v>
      </c>
      <c r="C228" s="10" t="e">
        <f ca="1">COUNTUNIQUEIFS('Alokasi Honor Hingga Sekarang'!D$2:D1009,'Alokasi Honor Hingga Sekarang'!C$2:C1009,A228)</f>
        <v>#NAME?</v>
      </c>
      <c r="D228" s="10" t="e">
        <f t="shared" ca="1" si="0"/>
        <v>#NAME?</v>
      </c>
      <c r="E228" s="82">
        <f t="array" ref="E228">INDEX('Database Mitra'!$R$2:$R1009,MATCH(A228,'Database Mitra'!$B$2:$B1009,0))</f>
        <v>33106</v>
      </c>
      <c r="F228" s="10" t="e">
        <f t="shared" ca="1" si="1"/>
        <v>#NAME?</v>
      </c>
      <c r="G228" s="10" t="e">
        <f t="array" ref="G228">INDEX('Database Mitra'!$E$2:$E1009,MATCH(A228,'Database Mitra'!$B$2:$B1009,0))</f>
        <v>#VALUE!</v>
      </c>
      <c r="H228" s="10" t="e">
        <f t="array" ref="H228">INDEX('Database Mitra'!$F$2:$F1009,MATCH(A228,'Database Mitra'!$B$2:$B1009,0))</f>
        <v>#VALUE!</v>
      </c>
    </row>
    <row r="229" spans="1:8" ht="12.5">
      <c r="A229" s="121">
        <v>610422040039</v>
      </c>
      <c r="B229" s="10" t="s">
        <v>1735</v>
      </c>
      <c r="C229" s="10" t="e">
        <f ca="1">COUNTUNIQUEIFS('Alokasi Honor Hingga Sekarang'!D$2:D1009,'Alokasi Honor Hingga Sekarang'!C$2:C1009,A229)</f>
        <v>#NAME?</v>
      </c>
      <c r="D229" s="10" t="e">
        <f t="shared" ca="1" si="0"/>
        <v>#NAME?</v>
      </c>
      <c r="E229" s="82">
        <f t="array" ref="E229">INDEX('Database Mitra'!$R$2:$R1009,MATCH(A229,'Database Mitra'!$B$2:$B1009,0))</f>
        <v>34955</v>
      </c>
      <c r="F229" s="10" t="e">
        <f t="shared" ca="1" si="1"/>
        <v>#NAME?</v>
      </c>
      <c r="G229" s="10" t="e">
        <f t="array" ref="G229">INDEX('Database Mitra'!$E$2:$E1009,MATCH(A229,'Database Mitra'!$B$2:$B1009,0))</f>
        <v>#VALUE!</v>
      </c>
      <c r="H229" s="10" t="e">
        <f t="array" ref="H229">INDEX('Database Mitra'!$F$2:$F1009,MATCH(A229,'Database Mitra'!$B$2:$B1009,0))</f>
        <v>#VALUE!</v>
      </c>
    </row>
    <row r="230" spans="1:8" ht="12.5">
      <c r="A230" s="121">
        <v>610423110095</v>
      </c>
      <c r="B230" s="10" t="s">
        <v>5987</v>
      </c>
      <c r="C230" s="10" t="e">
        <f ca="1">COUNTUNIQUEIFS('Alokasi Honor Hingga Sekarang'!D$2:D1009,'Alokasi Honor Hingga Sekarang'!C$2:C1009,A230)</f>
        <v>#NAME?</v>
      </c>
      <c r="D230" s="10" t="e">
        <f t="shared" ca="1" si="0"/>
        <v>#NAME?</v>
      </c>
      <c r="E230" s="82">
        <f t="array" ref="E230">INDEX('Database Mitra'!$R$2:$R1009,MATCH(A230,'Database Mitra'!$B$2:$B1009,0))</f>
        <v>34899</v>
      </c>
      <c r="F230" s="10" t="e">
        <f t="shared" ca="1" si="1"/>
        <v>#NAME?</v>
      </c>
      <c r="G230" s="10" t="e">
        <f t="array" ref="G230">INDEX('Database Mitra'!$E$2:$E1009,MATCH(A230,'Database Mitra'!$B$2:$B1009,0))</f>
        <v>#VALUE!</v>
      </c>
      <c r="H230" s="10" t="e">
        <f t="array" ref="H230">INDEX('Database Mitra'!$F$2:$F1009,MATCH(A230,'Database Mitra'!$B$2:$B1009,0))</f>
        <v>#VALUE!</v>
      </c>
    </row>
    <row r="231" spans="1:8" ht="12.5">
      <c r="A231" s="121">
        <v>610423090032</v>
      </c>
      <c r="B231" s="10" t="s">
        <v>1748</v>
      </c>
      <c r="C231" s="10" t="e">
        <f ca="1">COUNTUNIQUEIFS('Alokasi Honor Hingga Sekarang'!D$2:D1009,'Alokasi Honor Hingga Sekarang'!C$2:C1009,A231)</f>
        <v>#NAME?</v>
      </c>
      <c r="D231" s="10" t="e">
        <f t="shared" ca="1" si="0"/>
        <v>#NAME?</v>
      </c>
      <c r="E231" s="82">
        <f t="array" ref="E231">INDEX('Database Mitra'!$R$2:$R1009,MATCH(A231,'Database Mitra'!$B$2:$B1009,0))</f>
        <v>36298</v>
      </c>
      <c r="F231" s="10" t="e">
        <f t="shared" ca="1" si="1"/>
        <v>#NAME?</v>
      </c>
      <c r="G231" s="10" t="e">
        <f t="array" ref="G231">INDEX('Database Mitra'!$E$2:$E1009,MATCH(A231,'Database Mitra'!$B$2:$B1009,0))</f>
        <v>#VALUE!</v>
      </c>
      <c r="H231" s="10" t="e">
        <f t="array" ref="H231">INDEX('Database Mitra'!$F$2:$F1009,MATCH(A231,'Database Mitra'!$B$2:$B1009,0))</f>
        <v>#VALUE!</v>
      </c>
    </row>
    <row r="232" spans="1:8" ht="12.5">
      <c r="A232" s="121">
        <v>610423110020</v>
      </c>
      <c r="B232" s="10" t="s">
        <v>5988</v>
      </c>
      <c r="C232" s="10" t="e">
        <f ca="1">COUNTUNIQUEIFS('Alokasi Honor Hingga Sekarang'!D$2:D1009,'Alokasi Honor Hingga Sekarang'!C$2:C1009,A232)</f>
        <v>#NAME?</v>
      </c>
      <c r="D232" s="10" t="e">
        <f t="shared" ca="1" si="0"/>
        <v>#NAME?</v>
      </c>
      <c r="E232" s="82">
        <f t="array" ref="E232">INDEX('Database Mitra'!$R$2:$R1009,MATCH(A232,'Database Mitra'!$B$2:$B1009,0))</f>
        <v>37034</v>
      </c>
      <c r="F232" s="10" t="e">
        <f t="shared" ca="1" si="1"/>
        <v>#NAME?</v>
      </c>
      <c r="G232" s="10" t="e">
        <f t="array" ref="G232">INDEX('Database Mitra'!$E$2:$E1009,MATCH(A232,'Database Mitra'!$B$2:$B1009,0))</f>
        <v>#VALUE!</v>
      </c>
      <c r="H232" s="10" t="e">
        <f t="array" ref="H232">INDEX('Database Mitra'!$F$2:$F1009,MATCH(A232,'Database Mitra'!$B$2:$B1009,0))</f>
        <v>#VALUE!</v>
      </c>
    </row>
    <row r="233" spans="1:8" ht="12.5">
      <c r="A233" s="121">
        <v>610423110184</v>
      </c>
      <c r="B233" s="10" t="s">
        <v>5989</v>
      </c>
      <c r="C233" s="10" t="e">
        <f ca="1">COUNTUNIQUEIFS('Alokasi Honor Hingga Sekarang'!D$2:D1009,'Alokasi Honor Hingga Sekarang'!C$2:C1009,A233)</f>
        <v>#NAME?</v>
      </c>
      <c r="D233" s="10" t="e">
        <f t="shared" ca="1" si="0"/>
        <v>#NAME?</v>
      </c>
      <c r="E233" s="82">
        <f t="array" ref="E233">INDEX('Database Mitra'!$R$2:$R1009,MATCH(A233,'Database Mitra'!$B$2:$B1009,0))</f>
        <v>31495</v>
      </c>
      <c r="F233" s="10" t="e">
        <f t="shared" ca="1" si="1"/>
        <v>#NAME?</v>
      </c>
      <c r="G233" s="10" t="e">
        <f t="array" ref="G233">INDEX('Database Mitra'!$E$2:$E1009,MATCH(A233,'Database Mitra'!$B$2:$B1009,0))</f>
        <v>#VALUE!</v>
      </c>
      <c r="H233" s="10" t="e">
        <f t="array" ref="H233">INDEX('Database Mitra'!$F$2:$F1009,MATCH(A233,'Database Mitra'!$B$2:$B1009,0))</f>
        <v>#VALUE!</v>
      </c>
    </row>
    <row r="234" spans="1:8" ht="12.5">
      <c r="A234" s="121">
        <v>610423110099</v>
      </c>
      <c r="B234" s="10" t="s">
        <v>1766</v>
      </c>
      <c r="C234" s="10" t="e">
        <f ca="1">COUNTUNIQUEIFS('Alokasi Honor Hingga Sekarang'!D$2:D1009,'Alokasi Honor Hingga Sekarang'!C$2:C1009,A234)</f>
        <v>#NAME?</v>
      </c>
      <c r="D234" s="10" t="e">
        <f t="shared" ca="1" si="0"/>
        <v>#NAME?</v>
      </c>
      <c r="E234" s="82">
        <f t="array" ref="E234">INDEX('Database Mitra'!$R$2:$R1009,MATCH(A234,'Database Mitra'!$B$2:$B1009,0))</f>
        <v>35692</v>
      </c>
      <c r="F234" s="10" t="e">
        <f t="shared" ca="1" si="1"/>
        <v>#NAME?</v>
      </c>
      <c r="G234" s="10" t="e">
        <f t="array" ref="G234">INDEX('Database Mitra'!$E$2:$E1009,MATCH(A234,'Database Mitra'!$B$2:$B1009,0))</f>
        <v>#VALUE!</v>
      </c>
      <c r="H234" s="10" t="e">
        <f t="array" ref="H234">INDEX('Database Mitra'!$F$2:$F1009,MATCH(A234,'Database Mitra'!$B$2:$B1009,0))</f>
        <v>#VALUE!</v>
      </c>
    </row>
    <row r="235" spans="1:8" ht="12.5">
      <c r="A235" s="121">
        <v>610423110064</v>
      </c>
      <c r="B235" s="10" t="s">
        <v>1772</v>
      </c>
      <c r="C235" s="10" t="e">
        <f ca="1">COUNTUNIQUEIFS('Alokasi Honor Hingga Sekarang'!D$2:D1009,'Alokasi Honor Hingga Sekarang'!C$2:C1009,A235)</f>
        <v>#NAME?</v>
      </c>
      <c r="D235" s="10" t="e">
        <f t="shared" ca="1" si="0"/>
        <v>#NAME?</v>
      </c>
      <c r="E235" s="82">
        <f t="array" ref="E235">INDEX('Database Mitra'!$R$2:$R1009,MATCH(A235,'Database Mitra'!$B$2:$B1009,0))</f>
        <v>34587</v>
      </c>
      <c r="F235" s="10" t="e">
        <f t="shared" ca="1" si="1"/>
        <v>#NAME?</v>
      </c>
      <c r="G235" s="10" t="e">
        <f t="array" ref="G235">INDEX('Database Mitra'!$E$2:$E1009,MATCH(A235,'Database Mitra'!$B$2:$B1009,0))</f>
        <v>#VALUE!</v>
      </c>
      <c r="H235" s="10" t="e">
        <f t="array" ref="H235">INDEX('Database Mitra'!$F$2:$F1009,MATCH(A235,'Database Mitra'!$B$2:$B1009,0))</f>
        <v>#VALUE!</v>
      </c>
    </row>
    <row r="236" spans="1:8" ht="12.5">
      <c r="A236" s="121">
        <v>610422100256</v>
      </c>
      <c r="B236" s="10" t="s">
        <v>1778</v>
      </c>
      <c r="C236" s="10" t="e">
        <f ca="1">COUNTUNIQUEIFS('Alokasi Honor Hingga Sekarang'!D$2:D1009,'Alokasi Honor Hingga Sekarang'!C$2:C1009,A236)</f>
        <v>#NAME?</v>
      </c>
      <c r="D236" s="10" t="e">
        <f t="shared" ca="1" si="0"/>
        <v>#NAME?</v>
      </c>
      <c r="E236" s="82">
        <f t="array" ref="E236">INDEX('Database Mitra'!$R$2:$R1009,MATCH(A236,'Database Mitra'!$B$2:$B1009,0))</f>
        <v>35555</v>
      </c>
      <c r="F236" s="10" t="e">
        <f t="shared" ca="1" si="1"/>
        <v>#NAME?</v>
      </c>
      <c r="G236" s="10" t="e">
        <f t="array" ref="G236">INDEX('Database Mitra'!$E$2:$E1009,MATCH(A236,'Database Mitra'!$B$2:$B1009,0))</f>
        <v>#VALUE!</v>
      </c>
      <c r="H236" s="10" t="e">
        <f t="array" ref="H236">INDEX('Database Mitra'!$F$2:$F1009,MATCH(A236,'Database Mitra'!$B$2:$B1009,0))</f>
        <v>#VALUE!</v>
      </c>
    </row>
    <row r="237" spans="1:8" ht="12.5">
      <c r="A237" s="121">
        <v>610422040043</v>
      </c>
      <c r="B237" s="10" t="s">
        <v>1784</v>
      </c>
      <c r="C237" s="10" t="e">
        <f ca="1">COUNTUNIQUEIFS('Alokasi Honor Hingga Sekarang'!D$2:D1009,'Alokasi Honor Hingga Sekarang'!C$2:C1009,A237)</f>
        <v>#NAME?</v>
      </c>
      <c r="D237" s="10" t="e">
        <f t="shared" ca="1" si="0"/>
        <v>#NAME?</v>
      </c>
      <c r="E237" s="82">
        <f t="array" ref="E237">INDEX('Database Mitra'!$R$2:$R1009,MATCH(A237,'Database Mitra'!$B$2:$B1009,0))</f>
        <v>32606</v>
      </c>
      <c r="F237" s="10" t="e">
        <f t="shared" ca="1" si="1"/>
        <v>#NAME?</v>
      </c>
      <c r="G237" s="10" t="e">
        <f t="array" ref="G237">INDEX('Database Mitra'!$E$2:$E1009,MATCH(A237,'Database Mitra'!$B$2:$B1009,0))</f>
        <v>#VALUE!</v>
      </c>
      <c r="H237" s="10" t="e">
        <f t="array" ref="H237">INDEX('Database Mitra'!$F$2:$F1009,MATCH(A237,'Database Mitra'!$B$2:$B1009,0))</f>
        <v>#VALUE!</v>
      </c>
    </row>
    <row r="238" spans="1:8" ht="12.5">
      <c r="A238" s="121">
        <v>610423110194</v>
      </c>
      <c r="B238" s="10" t="s">
        <v>5990</v>
      </c>
      <c r="C238" s="10" t="e">
        <f ca="1">COUNTUNIQUEIFS('Alokasi Honor Hingga Sekarang'!D$2:D1009,'Alokasi Honor Hingga Sekarang'!C$2:C1009,A238)</f>
        <v>#NAME?</v>
      </c>
      <c r="D238" s="10" t="e">
        <f t="shared" ca="1" si="0"/>
        <v>#NAME?</v>
      </c>
      <c r="E238" s="82">
        <f t="array" ref="E238">INDEX('Database Mitra'!$R$2:$R1009,MATCH(A238,'Database Mitra'!$B$2:$B1009,0))</f>
        <v>34746</v>
      </c>
      <c r="F238" s="10" t="e">
        <f t="shared" ca="1" si="1"/>
        <v>#NAME?</v>
      </c>
      <c r="G238" s="10" t="e">
        <f t="array" ref="G238">INDEX('Database Mitra'!$E$2:$E1009,MATCH(A238,'Database Mitra'!$B$2:$B1009,0))</f>
        <v>#VALUE!</v>
      </c>
      <c r="H238" s="10" t="e">
        <f t="array" ref="H238">INDEX('Database Mitra'!$F$2:$F1009,MATCH(A238,'Database Mitra'!$B$2:$B1009,0))</f>
        <v>#VALUE!</v>
      </c>
    </row>
    <row r="239" spans="1:8" ht="12.5">
      <c r="A239" s="121">
        <v>610423110111</v>
      </c>
      <c r="B239" s="10" t="s">
        <v>1797</v>
      </c>
      <c r="C239" s="10" t="e">
        <f ca="1">COUNTUNIQUEIFS('Alokasi Honor Hingga Sekarang'!D$2:D1009,'Alokasi Honor Hingga Sekarang'!C$2:C1009,A239)</f>
        <v>#NAME?</v>
      </c>
      <c r="D239" s="10" t="e">
        <f t="shared" ca="1" si="0"/>
        <v>#NAME?</v>
      </c>
      <c r="E239" s="82">
        <f t="array" ref="E239">INDEX('Database Mitra'!$R$2:$R1009,MATCH(A239,'Database Mitra'!$B$2:$B1009,0))</f>
        <v>31903</v>
      </c>
      <c r="F239" s="10" t="e">
        <f t="shared" ca="1" si="1"/>
        <v>#NAME?</v>
      </c>
      <c r="G239" s="10" t="e">
        <f t="array" ref="G239">INDEX('Database Mitra'!$E$2:$E1009,MATCH(A239,'Database Mitra'!$B$2:$B1009,0))</f>
        <v>#VALUE!</v>
      </c>
      <c r="H239" s="10" t="e">
        <f t="array" ref="H239">INDEX('Database Mitra'!$F$2:$F1009,MATCH(A239,'Database Mitra'!$B$2:$B1009,0))</f>
        <v>#VALUE!</v>
      </c>
    </row>
    <row r="240" spans="1:8" ht="12.5">
      <c r="A240" s="121">
        <v>610423110090</v>
      </c>
      <c r="B240" s="10" t="s">
        <v>1802</v>
      </c>
      <c r="C240" s="10" t="e">
        <f ca="1">COUNTUNIQUEIFS('Alokasi Honor Hingga Sekarang'!D$2:D1009,'Alokasi Honor Hingga Sekarang'!C$2:C1009,A240)</f>
        <v>#NAME?</v>
      </c>
      <c r="D240" s="10" t="e">
        <f t="shared" ca="1" si="0"/>
        <v>#NAME?</v>
      </c>
      <c r="E240" s="82">
        <f t="array" ref="E240">INDEX('Database Mitra'!$R$2:$R1009,MATCH(A240,'Database Mitra'!$B$2:$B1009,0))</f>
        <v>37996</v>
      </c>
      <c r="F240" s="10" t="e">
        <f t="shared" ca="1" si="1"/>
        <v>#NAME?</v>
      </c>
      <c r="G240" s="10" t="e">
        <f t="array" ref="G240">INDEX('Database Mitra'!$E$2:$E1009,MATCH(A240,'Database Mitra'!$B$2:$B1009,0))</f>
        <v>#VALUE!</v>
      </c>
      <c r="H240" s="10" t="e">
        <f t="array" ref="H240">INDEX('Database Mitra'!$F$2:$F1009,MATCH(A240,'Database Mitra'!$B$2:$B1009,0))</f>
        <v>#VALUE!</v>
      </c>
    </row>
    <row r="241" spans="1:8" ht="12.5">
      <c r="A241" s="121">
        <v>610422100062</v>
      </c>
      <c r="B241" s="10" t="s">
        <v>5991</v>
      </c>
      <c r="C241" s="10" t="e">
        <f ca="1">COUNTUNIQUEIFS('Alokasi Honor Hingga Sekarang'!D$2:D1009,'Alokasi Honor Hingga Sekarang'!C$2:C1009,A241)</f>
        <v>#NAME?</v>
      </c>
      <c r="D241" s="10" t="e">
        <f t="shared" ca="1" si="0"/>
        <v>#NAME?</v>
      </c>
      <c r="E241" s="82">
        <f t="array" ref="E241">INDEX('Database Mitra'!$R$2:$R1009,MATCH(A241,'Database Mitra'!$B$2:$B1009,0))</f>
        <v>35874</v>
      </c>
      <c r="F241" s="10" t="e">
        <f t="shared" ca="1" si="1"/>
        <v>#NAME?</v>
      </c>
      <c r="G241" s="10" t="e">
        <f t="array" ref="G241">INDEX('Database Mitra'!$E$2:$E1009,MATCH(A241,'Database Mitra'!$B$2:$B1009,0))</f>
        <v>#VALUE!</v>
      </c>
      <c r="H241" s="10" t="e">
        <f t="array" ref="H241">INDEX('Database Mitra'!$F$2:$F1009,MATCH(A241,'Database Mitra'!$B$2:$B1009,0))</f>
        <v>#VALUE!</v>
      </c>
    </row>
    <row r="242" spans="1:8" ht="12.5">
      <c r="A242" s="121">
        <v>610422040012</v>
      </c>
      <c r="B242" s="10" t="s">
        <v>1813</v>
      </c>
      <c r="C242" s="10" t="e">
        <f ca="1">COUNTUNIQUEIFS('Alokasi Honor Hingga Sekarang'!D$2:D1009,'Alokasi Honor Hingga Sekarang'!C$2:C1009,A242)</f>
        <v>#NAME?</v>
      </c>
      <c r="D242" s="10" t="e">
        <f t="shared" ca="1" si="0"/>
        <v>#NAME?</v>
      </c>
      <c r="E242" s="82">
        <f t="array" ref="E242">INDEX('Database Mitra'!$R$2:$R1009,MATCH(A242,'Database Mitra'!$B$2:$B1009,0))</f>
        <v>36043</v>
      </c>
      <c r="F242" s="10" t="e">
        <f t="shared" ca="1" si="1"/>
        <v>#NAME?</v>
      </c>
      <c r="G242" s="10" t="e">
        <f t="array" ref="G242">INDEX('Database Mitra'!$E$2:$E1009,MATCH(A242,'Database Mitra'!$B$2:$B1009,0))</f>
        <v>#VALUE!</v>
      </c>
      <c r="H242" s="10" t="e">
        <f t="array" ref="H242">INDEX('Database Mitra'!$F$2:$F1009,MATCH(A242,'Database Mitra'!$B$2:$B1009,0))</f>
        <v>#VALUE!</v>
      </c>
    </row>
    <row r="243" spans="1:8" ht="12.5">
      <c r="A243" s="121">
        <v>610422020037</v>
      </c>
      <c r="B243" s="10" t="s">
        <v>1819</v>
      </c>
      <c r="C243" s="10" t="e">
        <f ca="1">COUNTUNIQUEIFS('Alokasi Honor Hingga Sekarang'!D$2:D1009,'Alokasi Honor Hingga Sekarang'!C$2:C1009,A243)</f>
        <v>#NAME?</v>
      </c>
      <c r="D243" s="10" t="e">
        <f t="shared" ca="1" si="0"/>
        <v>#NAME?</v>
      </c>
      <c r="E243" s="82">
        <f t="array" ref="E243">INDEX('Database Mitra'!$R$2:$R1009,MATCH(A243,'Database Mitra'!$B$2:$B1009,0))</f>
        <v>35669</v>
      </c>
      <c r="F243" s="10" t="e">
        <f t="shared" ca="1" si="1"/>
        <v>#NAME?</v>
      </c>
      <c r="G243" s="10" t="e">
        <f t="array" ref="G243">INDEX('Database Mitra'!$E$2:$E1009,MATCH(A243,'Database Mitra'!$B$2:$B1009,0))</f>
        <v>#VALUE!</v>
      </c>
      <c r="H243" s="10" t="e">
        <f t="array" ref="H243">INDEX('Database Mitra'!$F$2:$F1009,MATCH(A243,'Database Mitra'!$B$2:$B1009,0))</f>
        <v>#VALUE!</v>
      </c>
    </row>
    <row r="244" spans="1:8" ht="12.5">
      <c r="A244" s="121">
        <v>610423040006</v>
      </c>
      <c r="B244" s="10" t="s">
        <v>5992</v>
      </c>
      <c r="C244" s="10" t="e">
        <f ca="1">COUNTUNIQUEIFS('Alokasi Honor Hingga Sekarang'!D$2:D1009,'Alokasi Honor Hingga Sekarang'!C$2:C1009,A244)</f>
        <v>#NAME?</v>
      </c>
      <c r="D244" s="10" t="e">
        <f t="shared" ca="1" si="0"/>
        <v>#NAME?</v>
      </c>
      <c r="E244" s="82">
        <f t="array" ref="E244">INDEX('Database Mitra'!$R$2:$R1009,MATCH(A244,'Database Mitra'!$B$2:$B1009,0))</f>
        <v>36663</v>
      </c>
      <c r="F244" s="10" t="e">
        <f t="shared" ca="1" si="1"/>
        <v>#NAME?</v>
      </c>
      <c r="G244" s="10" t="e">
        <f t="array" ref="G244">INDEX('Database Mitra'!$E$2:$E1009,MATCH(A244,'Database Mitra'!$B$2:$B1009,0))</f>
        <v>#VALUE!</v>
      </c>
      <c r="H244" s="10" t="e">
        <f t="array" ref="H244">INDEX('Database Mitra'!$F$2:$F1009,MATCH(A244,'Database Mitra'!$B$2:$B1009,0))</f>
        <v>#VALUE!</v>
      </c>
    </row>
    <row r="245" spans="1:8" ht="12.5">
      <c r="A245" s="121">
        <v>610423110030</v>
      </c>
      <c r="B245" s="10" t="s">
        <v>5993</v>
      </c>
      <c r="C245" s="10" t="e">
        <f ca="1">COUNTUNIQUEIFS('Alokasi Honor Hingga Sekarang'!D$2:D1009,'Alokasi Honor Hingga Sekarang'!C$2:C1009,A245)</f>
        <v>#NAME?</v>
      </c>
      <c r="D245" s="10" t="e">
        <f t="shared" ca="1" si="0"/>
        <v>#NAME?</v>
      </c>
      <c r="E245" s="11">
        <f t="array" ref="E245">INDEX('Database Mitra'!$R$2:$R1009,MATCH(A245,'Database Mitra'!$B$2:$B1009,0))</f>
        <v>36810</v>
      </c>
      <c r="F245" s="10" t="e">
        <f t="shared" ca="1" si="1"/>
        <v>#NAME?</v>
      </c>
      <c r="G245" s="10" t="e">
        <f t="array" ref="G245">INDEX('Database Mitra'!$E$2:$E1009,MATCH(A245,'Database Mitra'!$B$2:$B1009,0))</f>
        <v>#VALUE!</v>
      </c>
      <c r="H245" s="10" t="e">
        <f t="array" ref="H245">INDEX('Database Mitra'!$F$2:$F1009,MATCH(A245,'Database Mitra'!$B$2:$B1009,0))</f>
        <v>#VALUE!</v>
      </c>
    </row>
    <row r="246" spans="1:8" ht="12.5">
      <c r="A246" s="121">
        <v>610423040017</v>
      </c>
      <c r="B246" s="10" t="s">
        <v>1837</v>
      </c>
      <c r="C246" s="10" t="e">
        <f ca="1">COUNTUNIQUEIFS('Alokasi Honor Hingga Sekarang'!D$2:D1009,'Alokasi Honor Hingga Sekarang'!C$2:C1009,A246)</f>
        <v>#NAME?</v>
      </c>
      <c r="D246" s="10" t="e">
        <f t="shared" ca="1" si="0"/>
        <v>#NAME?</v>
      </c>
      <c r="E246" s="82">
        <f t="array" ref="E246">INDEX('Database Mitra'!$R$2:$R1009,MATCH(A246,'Database Mitra'!$B$2:$B1009,0))</f>
        <v>35566</v>
      </c>
      <c r="F246" s="10" t="e">
        <f t="shared" ca="1" si="1"/>
        <v>#NAME?</v>
      </c>
      <c r="G246" s="10" t="e">
        <f t="array" ref="G246">INDEX('Database Mitra'!$E$2:$E1009,MATCH(A246,'Database Mitra'!$B$2:$B1009,0))</f>
        <v>#VALUE!</v>
      </c>
      <c r="H246" s="10" t="e">
        <f t="array" ref="H246">INDEX('Database Mitra'!$F$2:$F1009,MATCH(A246,'Database Mitra'!$B$2:$B1009,0))</f>
        <v>#VALUE!</v>
      </c>
    </row>
    <row r="247" spans="1:8" ht="12.5">
      <c r="A247" s="121">
        <v>610422020007</v>
      </c>
      <c r="B247" s="10" t="s">
        <v>1844</v>
      </c>
      <c r="C247" s="10" t="e">
        <f ca="1">COUNTUNIQUEIFS('Alokasi Honor Hingga Sekarang'!D$2:D1009,'Alokasi Honor Hingga Sekarang'!C$2:C1009,A247)</f>
        <v>#NAME?</v>
      </c>
      <c r="D247" s="10" t="e">
        <f t="shared" ca="1" si="0"/>
        <v>#NAME?</v>
      </c>
      <c r="E247" s="82">
        <f t="array" ref="E247">INDEX('Database Mitra'!$R$2:$R1009,MATCH(A247,'Database Mitra'!$B$2:$B1009,0))</f>
        <v>32266</v>
      </c>
      <c r="F247" s="10" t="e">
        <f t="shared" ca="1" si="1"/>
        <v>#NAME?</v>
      </c>
      <c r="G247" s="10" t="e">
        <f t="array" ref="G247">INDEX('Database Mitra'!$E$2:$E1009,MATCH(A247,'Database Mitra'!$B$2:$B1009,0))</f>
        <v>#VALUE!</v>
      </c>
      <c r="H247" s="10" t="e">
        <f t="array" ref="H247">INDEX('Database Mitra'!$F$2:$F1009,MATCH(A247,'Database Mitra'!$B$2:$B1009,0))</f>
        <v>#VALUE!</v>
      </c>
    </row>
    <row r="248" spans="1:8" ht="12.5">
      <c r="A248" s="121">
        <v>610423110174</v>
      </c>
      <c r="B248" s="10" t="s">
        <v>1851</v>
      </c>
      <c r="C248" s="10" t="e">
        <f ca="1">COUNTUNIQUEIFS('Alokasi Honor Hingga Sekarang'!D$2:D1009,'Alokasi Honor Hingga Sekarang'!C$2:C1009,A248)</f>
        <v>#NAME?</v>
      </c>
      <c r="D248" s="10" t="e">
        <f t="shared" ca="1" si="0"/>
        <v>#NAME?</v>
      </c>
      <c r="E248" s="82">
        <f t="array" ref="E248">INDEX('Database Mitra'!$R$2:$R1009,MATCH(A248,'Database Mitra'!$B$2:$B1009,0))</f>
        <v>37503</v>
      </c>
      <c r="F248" s="10" t="e">
        <f t="shared" ca="1" si="1"/>
        <v>#NAME?</v>
      </c>
      <c r="G248" s="10" t="str">
        <f t="array" ref="G248">INDEX('Database Mitra'!$E$2:$E1009,MATCH(A248,'Database Mitra'!$B$2:$B1009,0))</f>
        <v>PONTIANAK SELATAN</v>
      </c>
      <c r="H248" s="10" t="str">
        <f t="array" ref="H248">INDEX('Database Mitra'!$F$2:$F1009,MATCH(A248,'Database Mitra'!$B$2:$B1009,0))</f>
        <v>BENUA MELAYU LAUT</v>
      </c>
    </row>
    <row r="249" spans="1:8" ht="12.5">
      <c r="A249" s="121">
        <v>610423090012</v>
      </c>
      <c r="B249" s="10" t="s">
        <v>1857</v>
      </c>
      <c r="C249" s="10" t="e">
        <f ca="1">COUNTUNIQUEIFS('Alokasi Honor Hingga Sekarang'!D$2:D1009,'Alokasi Honor Hingga Sekarang'!C$2:C1009,A249)</f>
        <v>#NAME?</v>
      </c>
      <c r="D249" s="10" t="e">
        <f t="shared" ca="1" si="0"/>
        <v>#NAME?</v>
      </c>
      <c r="E249" s="82">
        <f t="array" ref="E249">INDEX('Database Mitra'!$R$2:$R1009,MATCH(A249,'Database Mitra'!$B$2:$B1009,0))</f>
        <v>35041</v>
      </c>
      <c r="F249" s="10" t="e">
        <f t="shared" ca="1" si="1"/>
        <v>#NAME?</v>
      </c>
      <c r="G249" s="10" t="e">
        <f t="array" ref="G249">INDEX('Database Mitra'!$E$2:$E1009,MATCH(A249,'Database Mitra'!$B$2:$B1009,0))</f>
        <v>#VALUE!</v>
      </c>
      <c r="H249" s="10" t="e">
        <f t="array" ref="H249">INDEX('Database Mitra'!$F$2:$F1009,MATCH(A249,'Database Mitra'!$B$2:$B1009,0))</f>
        <v>#VALUE!</v>
      </c>
    </row>
    <row r="250" spans="1:8" ht="12.5">
      <c r="A250" s="121">
        <v>610423110085</v>
      </c>
      <c r="B250" s="10" t="s">
        <v>5994</v>
      </c>
      <c r="C250" s="10" t="e">
        <f ca="1">COUNTUNIQUEIFS('Alokasi Honor Hingga Sekarang'!D$2:D1009,'Alokasi Honor Hingga Sekarang'!C$2:C1009,A250)</f>
        <v>#NAME?</v>
      </c>
      <c r="D250" s="10" t="e">
        <f t="shared" ca="1" si="0"/>
        <v>#NAME?</v>
      </c>
      <c r="E250" s="82">
        <f t="array" ref="E250">INDEX('Database Mitra'!$R$2:$R1009,MATCH(A250,'Database Mitra'!$B$2:$B1009,0))</f>
        <v>36689</v>
      </c>
      <c r="F250" s="10" t="e">
        <f t="shared" ca="1" si="1"/>
        <v>#NAME?</v>
      </c>
      <c r="G250" s="10" t="e">
        <f t="array" ref="G250">INDEX('Database Mitra'!$E$2:$E1009,MATCH(A250,'Database Mitra'!$B$2:$B1009,0))</f>
        <v>#VALUE!</v>
      </c>
      <c r="H250" s="10" t="e">
        <f t="array" ref="H250">INDEX('Database Mitra'!$F$2:$F1009,MATCH(A250,'Database Mitra'!$B$2:$B1009,0))</f>
        <v>#VALUE!</v>
      </c>
    </row>
    <row r="251" spans="1:8" ht="12.5">
      <c r="A251" s="121">
        <v>610423110081</v>
      </c>
      <c r="B251" s="10" t="s">
        <v>1868</v>
      </c>
      <c r="C251" s="10" t="e">
        <f ca="1">COUNTUNIQUEIFS('Alokasi Honor Hingga Sekarang'!D$2:D1009,'Alokasi Honor Hingga Sekarang'!C$2:C1009,A251)</f>
        <v>#NAME?</v>
      </c>
      <c r="D251" s="10" t="e">
        <f t="shared" ca="1" si="0"/>
        <v>#NAME?</v>
      </c>
      <c r="E251" s="82">
        <f t="array" ref="E251">INDEX('Database Mitra'!$R$2:$R1009,MATCH(A251,'Database Mitra'!$B$2:$B1009,0))</f>
        <v>35621</v>
      </c>
      <c r="F251" s="10" t="e">
        <f t="shared" ca="1" si="1"/>
        <v>#NAME?</v>
      </c>
      <c r="G251" s="10" t="e">
        <f t="array" ref="G251">INDEX('Database Mitra'!$E$2:$E1009,MATCH(A251,'Database Mitra'!$B$2:$B1009,0))</f>
        <v>#VALUE!</v>
      </c>
      <c r="H251" s="10" t="e">
        <f t="array" ref="H251">INDEX('Database Mitra'!$F$2:$F1009,MATCH(A251,'Database Mitra'!$B$2:$B1009,0))</f>
        <v>#VALUE!</v>
      </c>
    </row>
    <row r="252" spans="1:8" ht="12.5">
      <c r="A252" s="121">
        <v>617122110049</v>
      </c>
      <c r="B252" s="10" t="s">
        <v>1874</v>
      </c>
      <c r="C252" s="10" t="e">
        <f ca="1">COUNTUNIQUEIFS('Alokasi Honor Hingga Sekarang'!D$2:D1009,'Alokasi Honor Hingga Sekarang'!C$2:C1009,A252)</f>
        <v>#NAME?</v>
      </c>
      <c r="D252" s="10" t="e">
        <f t="shared" ca="1" si="0"/>
        <v>#NAME?</v>
      </c>
      <c r="E252" s="82">
        <f t="array" ref="E252">INDEX('Database Mitra'!$R$2:$R1009,MATCH(A252,'Database Mitra'!$B$2:$B1009,0))</f>
        <v>36391</v>
      </c>
      <c r="F252" s="10" t="e">
        <f t="shared" ca="1" si="1"/>
        <v>#NAME?</v>
      </c>
      <c r="G252" s="10" t="e">
        <f t="array" ref="G252">INDEX('Database Mitra'!$E$2:$E1009,MATCH(A252,'Database Mitra'!$B$2:$B1009,0))</f>
        <v>#VALUE!</v>
      </c>
      <c r="H252" s="10" t="e">
        <f t="array" ref="H252">INDEX('Database Mitra'!$F$2:$F1009,MATCH(A252,'Database Mitra'!$B$2:$B1009,0))</f>
        <v>#VALUE!</v>
      </c>
    </row>
    <row r="253" spans="1:8" ht="12.5">
      <c r="A253" s="121">
        <v>610422060012</v>
      </c>
      <c r="B253" s="10" t="s">
        <v>1879</v>
      </c>
      <c r="C253" s="10" t="e">
        <f ca="1">COUNTUNIQUEIFS('Alokasi Honor Hingga Sekarang'!D$2:D1009,'Alokasi Honor Hingga Sekarang'!C$2:C1009,A253)</f>
        <v>#NAME?</v>
      </c>
      <c r="D253" s="10" t="e">
        <f t="shared" ca="1" si="0"/>
        <v>#NAME?</v>
      </c>
      <c r="E253" s="82">
        <f t="array" ref="E253">INDEX('Database Mitra'!$R$2:$R1009,MATCH(A253,'Database Mitra'!$B$2:$B1009,0))</f>
        <v>37467</v>
      </c>
      <c r="F253" s="10" t="e">
        <f t="shared" ca="1" si="1"/>
        <v>#NAME?</v>
      </c>
      <c r="G253" s="10" t="e">
        <f t="array" ref="G253">INDEX('Database Mitra'!$E$2:$E1009,MATCH(A253,'Database Mitra'!$B$2:$B1009,0))</f>
        <v>#VALUE!</v>
      </c>
      <c r="H253" s="10" t="e">
        <f t="array" ref="H253">INDEX('Database Mitra'!$F$2:$F1009,MATCH(A253,'Database Mitra'!$B$2:$B1009,0))</f>
        <v>#VALUE!</v>
      </c>
    </row>
    <row r="254" spans="1:8" ht="12.5">
      <c r="A254" s="121">
        <v>610423110029</v>
      </c>
      <c r="B254" s="10" t="s">
        <v>5995</v>
      </c>
      <c r="C254" s="10" t="e">
        <f ca="1">COUNTUNIQUEIFS('Alokasi Honor Hingga Sekarang'!D$2:D1009,'Alokasi Honor Hingga Sekarang'!C$2:C1009,A254)</f>
        <v>#NAME?</v>
      </c>
      <c r="D254" s="10" t="e">
        <f t="shared" ca="1" si="0"/>
        <v>#NAME?</v>
      </c>
      <c r="E254" s="82">
        <f t="array" ref="E254">INDEX('Database Mitra'!$R$2:$R1009,MATCH(A254,'Database Mitra'!$B$2:$B1009,0))</f>
        <v>36425</v>
      </c>
      <c r="F254" s="10" t="e">
        <f t="shared" ca="1" si="1"/>
        <v>#NAME?</v>
      </c>
      <c r="G254" s="10" t="e">
        <f t="array" ref="G254">INDEX('Database Mitra'!$E$2:$E1009,MATCH(A254,'Database Mitra'!$B$2:$B1009,0))</f>
        <v>#VALUE!</v>
      </c>
      <c r="H254" s="10" t="e">
        <f t="array" ref="H254">INDEX('Database Mitra'!$F$2:$F1009,MATCH(A254,'Database Mitra'!$B$2:$B1009,0))</f>
        <v>#VALUE!</v>
      </c>
    </row>
    <row r="255" spans="1:8" ht="12.5">
      <c r="A255" s="121">
        <v>610423110167</v>
      </c>
      <c r="B255" s="10" t="s">
        <v>1891</v>
      </c>
      <c r="C255" s="10" t="e">
        <f ca="1">COUNTUNIQUEIFS('Alokasi Honor Hingga Sekarang'!D$2:D1009,'Alokasi Honor Hingga Sekarang'!C$2:C1009,A255)</f>
        <v>#NAME?</v>
      </c>
      <c r="D255" s="10" t="e">
        <f t="shared" ca="1" si="0"/>
        <v>#NAME?</v>
      </c>
      <c r="E255" s="82">
        <f t="array" ref="E255">INDEX('Database Mitra'!$R$2:$R1009,MATCH(A255,'Database Mitra'!$B$2:$B1009,0))</f>
        <v>35831</v>
      </c>
      <c r="F255" s="10" t="e">
        <f t="shared" ca="1" si="1"/>
        <v>#NAME?</v>
      </c>
      <c r="G255" s="10" t="str">
        <f t="array" ref="G255">INDEX('Database Mitra'!$E$2:$E1009,MATCH(A255,'Database Mitra'!$B$2:$B1009,0))</f>
        <v>PONTIANAK BARAT</v>
      </c>
      <c r="H255" s="10" t="str">
        <f t="array" ref="H255">INDEX('Database Mitra'!$F$2:$F1009,MATCH(A255,'Database Mitra'!$B$2:$B1009,0))</f>
        <v>PAL LIMA</v>
      </c>
    </row>
    <row r="256" spans="1:8" ht="12.5">
      <c r="A256" s="121">
        <v>610422110006</v>
      </c>
      <c r="B256" s="10" t="s">
        <v>1898</v>
      </c>
      <c r="C256" s="10" t="e">
        <f ca="1">COUNTUNIQUEIFS('Alokasi Honor Hingga Sekarang'!D$2:D1009,'Alokasi Honor Hingga Sekarang'!C$2:C1009,A256)</f>
        <v>#NAME?</v>
      </c>
      <c r="D256" s="10" t="e">
        <f t="shared" ca="1" si="0"/>
        <v>#NAME?</v>
      </c>
      <c r="E256" s="82">
        <f t="array" ref="E256">INDEX('Database Mitra'!$R$2:$R1009,MATCH(A256,'Database Mitra'!$B$2:$B1009,0))</f>
        <v>38242</v>
      </c>
      <c r="F256" s="10" t="e">
        <f t="shared" ca="1" si="1"/>
        <v>#NAME?</v>
      </c>
      <c r="G256" s="10" t="e">
        <f t="array" ref="G256">INDEX('Database Mitra'!$E$2:$E1009,MATCH(A256,'Database Mitra'!$B$2:$B1009,0))</f>
        <v>#VALUE!</v>
      </c>
      <c r="H256" s="10" t="e">
        <f t="array" ref="H256">INDEX('Database Mitra'!$F$2:$F1009,MATCH(A256,'Database Mitra'!$B$2:$B1009,0))</f>
        <v>#VALUE!</v>
      </c>
    </row>
    <row r="257" spans="1:8" ht="12.5">
      <c r="A257" s="121">
        <v>610423110149</v>
      </c>
      <c r="B257" s="10" t="s">
        <v>5996</v>
      </c>
      <c r="C257" s="10" t="e">
        <f ca="1">COUNTUNIQUEIFS('Alokasi Honor Hingga Sekarang'!D$2:D1009,'Alokasi Honor Hingga Sekarang'!C$2:C1009,A257)</f>
        <v>#NAME?</v>
      </c>
      <c r="D257" s="10" t="e">
        <f t="shared" ca="1" si="0"/>
        <v>#NAME?</v>
      </c>
      <c r="E257" s="11">
        <f t="array" ref="E257">INDEX('Database Mitra'!$R$2:$R1009,MATCH(A257,'Database Mitra'!$B$2:$B1009,0))</f>
        <v>34325</v>
      </c>
      <c r="F257" s="10" t="e">
        <f t="shared" ca="1" si="1"/>
        <v>#NAME?</v>
      </c>
      <c r="G257" s="10" t="str">
        <f t="array" ref="G257">INDEX('Database Mitra'!$E$2:$E1009,MATCH(A257,'Database Mitra'!$B$2:$B1009,0))</f>
        <v>PONTIANAK TENGGARA</v>
      </c>
      <c r="H257" s="10" t="str">
        <f t="array" ref="H257">INDEX('Database Mitra'!$F$2:$F1009,MATCH(A257,'Database Mitra'!$B$2:$B1009,0))</f>
        <v>BANSIR DARAT</v>
      </c>
    </row>
    <row r="258" spans="1:8" ht="12.5">
      <c r="A258" s="121">
        <v>610422100192</v>
      </c>
      <c r="B258" s="10" t="s">
        <v>1911</v>
      </c>
      <c r="C258" s="10" t="e">
        <f ca="1">COUNTUNIQUEIFS('Alokasi Honor Hingga Sekarang'!D$2:D1009,'Alokasi Honor Hingga Sekarang'!C$2:C1009,A258)</f>
        <v>#NAME?</v>
      </c>
      <c r="D258" s="10" t="e">
        <f t="shared" ca="1" si="0"/>
        <v>#NAME?</v>
      </c>
      <c r="E258" s="82">
        <f t="array" ref="E258">INDEX('Database Mitra'!$R$2:$R1009,MATCH(A258,'Database Mitra'!$B$2:$B1009,0))</f>
        <v>36192</v>
      </c>
      <c r="F258" s="10" t="e">
        <f t="shared" ca="1" si="1"/>
        <v>#NAME?</v>
      </c>
      <c r="G258" s="10" t="e">
        <f t="array" ref="G258">INDEX('Database Mitra'!$E$2:$E1009,MATCH(A258,'Database Mitra'!$B$2:$B1009,0))</f>
        <v>#VALUE!</v>
      </c>
      <c r="H258" s="10" t="e">
        <f t="array" ref="H258">INDEX('Database Mitra'!$F$2:$F1009,MATCH(A258,'Database Mitra'!$B$2:$B1009,0))</f>
        <v>#VALUE!</v>
      </c>
    </row>
    <row r="259" spans="1:8" ht="12.5">
      <c r="A259" s="121">
        <v>610423110058</v>
      </c>
      <c r="B259" s="10" t="s">
        <v>5997</v>
      </c>
      <c r="C259" s="10" t="e">
        <f ca="1">COUNTUNIQUEIFS('Alokasi Honor Hingga Sekarang'!D$2:D1009,'Alokasi Honor Hingga Sekarang'!C$2:C1009,A259)</f>
        <v>#NAME?</v>
      </c>
      <c r="D259" s="10" t="e">
        <f t="shared" ca="1" si="0"/>
        <v>#NAME?</v>
      </c>
      <c r="E259" s="11">
        <f t="array" ref="E259">INDEX('Database Mitra'!$R$2:$R1009,MATCH(A259,'Database Mitra'!$B$2:$B1009,0))</f>
        <v>37185</v>
      </c>
      <c r="F259" s="10" t="e">
        <f t="shared" ca="1" si="1"/>
        <v>#NAME?</v>
      </c>
      <c r="G259" s="10" t="e">
        <f t="array" ref="G259">INDEX('Database Mitra'!$E$2:$E1009,MATCH(A259,'Database Mitra'!$B$2:$B1009,0))</f>
        <v>#VALUE!</v>
      </c>
      <c r="H259" s="10" t="e">
        <f t="array" ref="H259">INDEX('Database Mitra'!$F$2:$F1009,MATCH(A259,'Database Mitra'!$B$2:$B1009,0))</f>
        <v>#VALUE!</v>
      </c>
    </row>
    <row r="260" spans="1:8" ht="12.5">
      <c r="A260" s="121">
        <v>610423110080</v>
      </c>
      <c r="B260" s="10" t="s">
        <v>1924</v>
      </c>
      <c r="C260" s="10" t="e">
        <f ca="1">COUNTUNIQUEIFS('Alokasi Honor Hingga Sekarang'!D$2:D1009,'Alokasi Honor Hingga Sekarang'!C$2:C1009,A260)</f>
        <v>#NAME?</v>
      </c>
      <c r="D260" s="10" t="e">
        <f t="shared" ca="1" si="0"/>
        <v>#NAME?</v>
      </c>
      <c r="E260" s="82">
        <f t="array" ref="E260">INDEX('Database Mitra'!$R$2:$R1009,MATCH(A260,'Database Mitra'!$B$2:$B1009,0))</f>
        <v>36679</v>
      </c>
      <c r="F260" s="10" t="e">
        <f t="shared" ca="1" si="1"/>
        <v>#NAME?</v>
      </c>
      <c r="G260" s="10" t="str">
        <f t="array" ref="G260">INDEX('Database Mitra'!$E$2:$E1009,MATCH(A260,'Database Mitra'!$B$2:$B1009,0))</f>
        <v>PONTIANAK KOTA</v>
      </c>
      <c r="H260" s="10" t="str">
        <f t="array" ref="H260">INDEX('Database Mitra'!$F$2:$F1009,MATCH(A260,'Database Mitra'!$B$2:$B1009,0))</f>
        <v>SUNGAI JAWI</v>
      </c>
    </row>
    <row r="261" spans="1:8" ht="12.5">
      <c r="A261" s="121">
        <v>610423110175</v>
      </c>
      <c r="B261" s="10" t="s">
        <v>1929</v>
      </c>
      <c r="C261" s="10" t="e">
        <f ca="1">COUNTUNIQUEIFS('Alokasi Honor Hingga Sekarang'!D$2:D1009,'Alokasi Honor Hingga Sekarang'!C$2:C1009,A261)</f>
        <v>#NAME?</v>
      </c>
      <c r="D261" s="10" t="e">
        <f t="shared" ca="1" si="0"/>
        <v>#NAME?</v>
      </c>
      <c r="E261" s="82">
        <f t="array" ref="E261">INDEX('Database Mitra'!$R$2:$R1009,MATCH(A261,'Database Mitra'!$B$2:$B1009,0))</f>
        <v>34051</v>
      </c>
      <c r="F261" s="10" t="e">
        <f t="shared" ca="1" si="1"/>
        <v>#NAME?</v>
      </c>
      <c r="G261" s="10" t="e">
        <f t="array" ref="G261">INDEX('Database Mitra'!$E$2:$E1009,MATCH(A261,'Database Mitra'!$B$2:$B1009,0))</f>
        <v>#VALUE!</v>
      </c>
      <c r="H261" s="10" t="e">
        <f t="array" ref="H261">INDEX('Database Mitra'!$F$2:$F1009,MATCH(A261,'Database Mitra'!$B$2:$B1009,0))</f>
        <v>#VALUE!</v>
      </c>
    </row>
    <row r="262" spans="1:8" ht="12.5">
      <c r="A262" s="121">
        <v>610422100010</v>
      </c>
      <c r="B262" s="10" t="s">
        <v>1936</v>
      </c>
      <c r="C262" s="10" t="e">
        <f ca="1">COUNTUNIQUEIFS('Alokasi Honor Hingga Sekarang'!D$2:D1009,'Alokasi Honor Hingga Sekarang'!C$2:C1009,A262)</f>
        <v>#NAME?</v>
      </c>
      <c r="D262" s="10" t="e">
        <f t="shared" ca="1" si="0"/>
        <v>#NAME?</v>
      </c>
      <c r="E262" s="11">
        <f t="array" ref="E262">INDEX('Database Mitra'!$R$2:$R1009,MATCH(A262,'Database Mitra'!$B$2:$B1009,0))</f>
        <v>36455</v>
      </c>
      <c r="F262" s="10" t="e">
        <f t="shared" ca="1" si="1"/>
        <v>#NAME?</v>
      </c>
      <c r="G262" s="10" t="e">
        <f t="array" ref="G262">INDEX('Database Mitra'!$E$2:$E1009,MATCH(A262,'Database Mitra'!$B$2:$B1009,0))</f>
        <v>#VALUE!</v>
      </c>
      <c r="H262" s="10" t="e">
        <f t="array" ref="H262">INDEX('Database Mitra'!$F$2:$F1009,MATCH(A262,'Database Mitra'!$B$2:$B1009,0))</f>
        <v>#VALUE!</v>
      </c>
    </row>
    <row r="263" spans="1:8" ht="12.5">
      <c r="A263" s="121">
        <v>610422100032</v>
      </c>
      <c r="B263" s="10" t="s">
        <v>1942</v>
      </c>
      <c r="C263" s="10" t="e">
        <f ca="1">COUNTUNIQUEIFS('Alokasi Honor Hingga Sekarang'!D$2:D1009,'Alokasi Honor Hingga Sekarang'!C$2:C1009,A263)</f>
        <v>#NAME?</v>
      </c>
      <c r="D263" s="10" t="e">
        <f t="shared" ca="1" si="0"/>
        <v>#NAME?</v>
      </c>
      <c r="E263" s="11">
        <f t="array" ref="E263">INDEX('Database Mitra'!$R$2:$R1009,MATCH(A263,'Database Mitra'!$B$2:$B1009,0))</f>
        <v>35721</v>
      </c>
      <c r="F263" s="10" t="e">
        <f t="shared" ca="1" si="1"/>
        <v>#NAME?</v>
      </c>
      <c r="G263" s="10" t="e">
        <f t="array" ref="G263">INDEX('Database Mitra'!$E$2:$E1009,MATCH(A263,'Database Mitra'!$B$2:$B1009,0))</f>
        <v>#VALUE!</v>
      </c>
      <c r="H263" s="10" t="e">
        <f t="array" ref="H263">INDEX('Database Mitra'!$F$2:$F1009,MATCH(A263,'Database Mitra'!$B$2:$B1009,0))</f>
        <v>#VALUE!</v>
      </c>
    </row>
    <row r="264" spans="1:8" ht="12.5">
      <c r="A264" s="121">
        <v>610423110051</v>
      </c>
      <c r="B264" s="10" t="s">
        <v>5998</v>
      </c>
      <c r="C264" s="10" t="e">
        <f ca="1">COUNTUNIQUEIFS('Alokasi Honor Hingga Sekarang'!D$2:D1009,'Alokasi Honor Hingga Sekarang'!C$2:C1009,A264)</f>
        <v>#NAME?</v>
      </c>
      <c r="D264" s="10" t="e">
        <f t="shared" ca="1" si="0"/>
        <v>#NAME?</v>
      </c>
      <c r="E264" s="82">
        <f t="array" ref="E264">INDEX('Database Mitra'!$R$2:$R1009,MATCH(A264,'Database Mitra'!$B$2:$B1009,0))</f>
        <v>38962</v>
      </c>
      <c r="F264" s="10" t="e">
        <f t="shared" ca="1" si="1"/>
        <v>#NAME?</v>
      </c>
      <c r="G264" s="10" t="e">
        <f t="array" ref="G264">INDEX('Database Mitra'!$E$2:$E1009,MATCH(A264,'Database Mitra'!$B$2:$B1009,0))</f>
        <v>#VALUE!</v>
      </c>
      <c r="H264" s="10" t="e">
        <f t="array" ref="H264">INDEX('Database Mitra'!$F$2:$F1009,MATCH(A264,'Database Mitra'!$B$2:$B1009,0))</f>
        <v>#VALUE!</v>
      </c>
    </row>
    <row r="265" spans="1:8" ht="12.5">
      <c r="A265" s="121">
        <v>610423110134</v>
      </c>
      <c r="B265" s="10" t="s">
        <v>1955</v>
      </c>
      <c r="C265" s="10" t="e">
        <f ca="1">COUNTUNIQUEIFS('Alokasi Honor Hingga Sekarang'!D$2:D1009,'Alokasi Honor Hingga Sekarang'!C$2:C1009,A265)</f>
        <v>#NAME?</v>
      </c>
      <c r="D265" s="10" t="e">
        <f t="shared" ca="1" si="0"/>
        <v>#NAME?</v>
      </c>
      <c r="E265" s="82">
        <f t="array" ref="E265">INDEX('Database Mitra'!$R$2:$R1009,MATCH(A265,'Database Mitra'!$B$2:$B1009,0))</f>
        <v>38241</v>
      </c>
      <c r="F265" s="10" t="e">
        <f t="shared" ca="1" si="1"/>
        <v>#NAME?</v>
      </c>
      <c r="G265" s="10" t="e">
        <f t="array" ref="G265">INDEX('Database Mitra'!$E$2:$E1009,MATCH(A265,'Database Mitra'!$B$2:$B1009,0))</f>
        <v>#VALUE!</v>
      </c>
      <c r="H265" s="10" t="e">
        <f t="array" ref="H265">INDEX('Database Mitra'!$F$2:$F1009,MATCH(A265,'Database Mitra'!$B$2:$B1009,0))</f>
        <v>#VALUE!</v>
      </c>
    </row>
    <row r="266" spans="1:8" ht="12.5">
      <c r="A266" s="121">
        <v>610422100024</v>
      </c>
      <c r="B266" s="10" t="s">
        <v>1959</v>
      </c>
      <c r="C266" s="10" t="e">
        <f ca="1">COUNTUNIQUEIFS('Alokasi Honor Hingga Sekarang'!D$2:D1009,'Alokasi Honor Hingga Sekarang'!C$2:C1009,A266)</f>
        <v>#NAME?</v>
      </c>
      <c r="D266" s="10" t="e">
        <f t="shared" ca="1" si="0"/>
        <v>#NAME?</v>
      </c>
      <c r="E266" s="82">
        <f t="array" ref="E266">INDEX('Database Mitra'!$R$2:$R1009,MATCH(A266,'Database Mitra'!$B$2:$B1009,0))</f>
        <v>35836</v>
      </c>
      <c r="F266" s="10" t="e">
        <f t="shared" ca="1" si="1"/>
        <v>#NAME?</v>
      </c>
      <c r="G266" s="10" t="e">
        <f t="array" ref="G266">INDEX('Database Mitra'!$E$2:$E1009,MATCH(A266,'Database Mitra'!$B$2:$B1009,0))</f>
        <v>#VALUE!</v>
      </c>
      <c r="H266" s="10" t="e">
        <f t="array" ref="H266">INDEX('Database Mitra'!$F$2:$F1009,MATCH(A266,'Database Mitra'!$B$2:$B1009,0))</f>
        <v>#VALUE!</v>
      </c>
    </row>
    <row r="267" spans="1:8" ht="12.5">
      <c r="A267" s="121">
        <v>610423110180</v>
      </c>
      <c r="B267" s="10" t="s">
        <v>5999</v>
      </c>
      <c r="C267" s="10" t="e">
        <f ca="1">COUNTUNIQUEIFS('Alokasi Honor Hingga Sekarang'!D$2:D1009,'Alokasi Honor Hingga Sekarang'!C$2:C1009,A267)</f>
        <v>#NAME?</v>
      </c>
      <c r="D267" s="10" t="e">
        <f t="shared" ca="1" si="0"/>
        <v>#NAME?</v>
      </c>
      <c r="E267" s="82">
        <f t="array" ref="E267">INDEX('Database Mitra'!$R$2:$R1009,MATCH(A267,'Database Mitra'!$B$2:$B1009,0))</f>
        <v>31101</v>
      </c>
      <c r="F267" s="10" t="e">
        <f t="shared" ca="1" si="1"/>
        <v>#NAME?</v>
      </c>
      <c r="G267" s="10" t="e">
        <f t="array" ref="G267">INDEX('Database Mitra'!$E$2:$E1009,MATCH(A267,'Database Mitra'!$B$2:$B1009,0))</f>
        <v>#VALUE!</v>
      </c>
      <c r="H267" s="10" t="e">
        <f t="array" ref="H267">INDEX('Database Mitra'!$F$2:$F1009,MATCH(A267,'Database Mitra'!$B$2:$B1009,0))</f>
        <v>#VALUE!</v>
      </c>
    </row>
    <row r="268" spans="1:8" ht="12.5">
      <c r="A268" s="121">
        <v>610423090004</v>
      </c>
      <c r="B268" s="10" t="s">
        <v>6000</v>
      </c>
      <c r="C268" s="10" t="e">
        <f ca="1">COUNTUNIQUEIFS('Alokasi Honor Hingga Sekarang'!D$2:D1009,'Alokasi Honor Hingga Sekarang'!C$2:C1009,A268)</f>
        <v>#NAME?</v>
      </c>
      <c r="D268" s="10" t="e">
        <f t="shared" ca="1" si="0"/>
        <v>#NAME?</v>
      </c>
      <c r="E268" s="82">
        <f t="array" ref="E268">INDEX('Database Mitra'!$R$2:$R1009,MATCH(A268,'Database Mitra'!$B$2:$B1009,0))</f>
        <v>29026</v>
      </c>
      <c r="F268" s="10" t="e">
        <f t="shared" ca="1" si="1"/>
        <v>#NAME?</v>
      </c>
      <c r="G268" s="10" t="str">
        <f t="array" ref="G268">INDEX('Database Mitra'!$E$2:$E1009,MATCH(A268,'Database Mitra'!$B$2:$B1009,0))</f>
        <v>PONTIANAK UTARA</v>
      </c>
      <c r="H268" s="10" t="str">
        <f t="array" ref="H268">INDEX('Database Mitra'!$F$2:$F1009,MATCH(A268,'Database Mitra'!$B$2:$B1009,0))</f>
        <v>BATU LAYANG</v>
      </c>
    </row>
    <row r="269" spans="1:8" ht="12.5">
      <c r="A269" s="121">
        <v>610422100077</v>
      </c>
      <c r="B269" s="10" t="s">
        <v>6001</v>
      </c>
      <c r="C269" s="10" t="e">
        <f ca="1">COUNTUNIQUEIFS('Alokasi Honor Hingga Sekarang'!D$2:D1009,'Alokasi Honor Hingga Sekarang'!C$2:C1009,A269)</f>
        <v>#NAME?</v>
      </c>
      <c r="D269" s="10" t="e">
        <f t="shared" ca="1" si="0"/>
        <v>#NAME?</v>
      </c>
      <c r="E269" s="82">
        <f t="array" ref="E269">INDEX('Database Mitra'!$R$2:$R1009,MATCH(A269,'Database Mitra'!$B$2:$B1009,0))</f>
        <v>36320</v>
      </c>
      <c r="F269" s="10" t="e">
        <f t="shared" ca="1" si="1"/>
        <v>#NAME?</v>
      </c>
      <c r="G269" s="10" t="e">
        <f t="array" ref="G269">INDEX('Database Mitra'!$E$2:$E1009,MATCH(A269,'Database Mitra'!$B$2:$B1009,0))</f>
        <v>#VALUE!</v>
      </c>
      <c r="H269" s="10" t="e">
        <f t="array" ref="H269">INDEX('Database Mitra'!$F$2:$F1009,MATCH(A269,'Database Mitra'!$B$2:$B1009,0))</f>
        <v>#VALUE!</v>
      </c>
    </row>
    <row r="270" spans="1:8" ht="12.5">
      <c r="A270" s="121">
        <v>610423110015</v>
      </c>
      <c r="B270" s="10" t="s">
        <v>1985</v>
      </c>
      <c r="C270" s="10" t="e">
        <f ca="1">COUNTUNIQUEIFS('Alokasi Honor Hingga Sekarang'!D$2:D1009,'Alokasi Honor Hingga Sekarang'!C$2:C1009,A270)</f>
        <v>#NAME?</v>
      </c>
      <c r="D270" s="10" t="e">
        <f t="shared" ca="1" si="0"/>
        <v>#NAME?</v>
      </c>
      <c r="E270" s="82">
        <f t="array" ref="E270">INDEX('Database Mitra'!$R$2:$R1009,MATCH(A270,'Database Mitra'!$B$2:$B1009,0))</f>
        <v>38393</v>
      </c>
      <c r="F270" s="10" t="e">
        <f t="shared" ca="1" si="1"/>
        <v>#NAME?</v>
      </c>
      <c r="G270" s="10" t="e">
        <f t="array" ref="G270">INDEX('Database Mitra'!$E$2:$E1009,MATCH(A270,'Database Mitra'!$B$2:$B1009,0))</f>
        <v>#VALUE!</v>
      </c>
      <c r="H270" s="10" t="e">
        <f t="array" ref="H270">INDEX('Database Mitra'!$F$2:$F1009,MATCH(A270,'Database Mitra'!$B$2:$B1009,0))</f>
        <v>#VALUE!</v>
      </c>
    </row>
    <row r="271" spans="1:8" ht="12.5">
      <c r="A271" s="121">
        <v>610422100285</v>
      </c>
      <c r="B271" s="10" t="s">
        <v>1990</v>
      </c>
      <c r="C271" s="10" t="e">
        <f ca="1">COUNTUNIQUEIFS('Alokasi Honor Hingga Sekarang'!D$2:D1009,'Alokasi Honor Hingga Sekarang'!C$2:C1009,A271)</f>
        <v>#NAME?</v>
      </c>
      <c r="D271" s="10" t="e">
        <f t="shared" ca="1" si="0"/>
        <v>#NAME?</v>
      </c>
      <c r="E271" s="82">
        <f t="array" ref="E271">INDEX('Database Mitra'!$R$2:$R1009,MATCH(A271,'Database Mitra'!$B$2:$B1009,0))</f>
        <v>34740</v>
      </c>
      <c r="F271" s="10" t="e">
        <f t="shared" ca="1" si="1"/>
        <v>#NAME?</v>
      </c>
      <c r="G271" s="10" t="e">
        <f t="array" ref="G271">INDEX('Database Mitra'!$E$2:$E1009,MATCH(A271,'Database Mitra'!$B$2:$B1009,0))</f>
        <v>#VALUE!</v>
      </c>
      <c r="H271" s="10" t="e">
        <f t="array" ref="H271">INDEX('Database Mitra'!$F$2:$F1009,MATCH(A271,'Database Mitra'!$B$2:$B1009,0))</f>
        <v>#VALUE!</v>
      </c>
    </row>
    <row r="272" spans="1:8" ht="12.5">
      <c r="A272" s="121">
        <v>610423110002</v>
      </c>
      <c r="B272" s="10" t="s">
        <v>1997</v>
      </c>
      <c r="C272" s="10" t="e">
        <f ca="1">COUNTUNIQUEIFS('Alokasi Honor Hingga Sekarang'!D$2:D1009,'Alokasi Honor Hingga Sekarang'!C$2:C1009,A272)</f>
        <v>#NAME?</v>
      </c>
      <c r="D272" s="10" t="e">
        <f t="shared" ca="1" si="0"/>
        <v>#NAME?</v>
      </c>
      <c r="E272" s="82">
        <f t="array" ref="E272">INDEX('Database Mitra'!$R$2:$R1009,MATCH(A272,'Database Mitra'!$B$2:$B1009,0))</f>
        <v>29365</v>
      </c>
      <c r="F272" s="10" t="e">
        <f t="shared" ca="1" si="1"/>
        <v>#NAME?</v>
      </c>
      <c r="G272" s="10" t="e">
        <f t="array" ref="G272">INDEX('Database Mitra'!$E$2:$E1009,MATCH(A272,'Database Mitra'!$B$2:$B1009,0))</f>
        <v>#VALUE!</v>
      </c>
      <c r="H272" s="10" t="e">
        <f t="array" ref="H272">INDEX('Database Mitra'!$F$2:$F1009,MATCH(A272,'Database Mitra'!$B$2:$B1009,0))</f>
        <v>#VALUE!</v>
      </c>
    </row>
    <row r="273" spans="1:8" ht="12.5">
      <c r="A273" s="121">
        <v>610423040002</v>
      </c>
      <c r="B273" s="10" t="s">
        <v>2003</v>
      </c>
      <c r="C273" s="10" t="e">
        <f ca="1">COUNTUNIQUEIFS('Alokasi Honor Hingga Sekarang'!D$2:D1009,'Alokasi Honor Hingga Sekarang'!C$2:C1009,A273)</f>
        <v>#NAME?</v>
      </c>
      <c r="D273" s="10" t="e">
        <f t="shared" ca="1" si="0"/>
        <v>#NAME?</v>
      </c>
      <c r="E273" s="82">
        <f t="array" ref="E273">INDEX('Database Mitra'!$R$2:$R1009,MATCH(A273,'Database Mitra'!$B$2:$B1009,0))</f>
        <v>31131</v>
      </c>
      <c r="F273" s="10" t="e">
        <f t="shared" ca="1" si="1"/>
        <v>#NAME?</v>
      </c>
      <c r="G273" s="10" t="e">
        <f t="array" ref="G273">INDEX('Database Mitra'!$E$2:$E1009,MATCH(A273,'Database Mitra'!$B$2:$B1009,0))</f>
        <v>#VALUE!</v>
      </c>
      <c r="H273" s="10" t="e">
        <f t="array" ref="H273">INDEX('Database Mitra'!$F$2:$F1009,MATCH(A273,'Database Mitra'!$B$2:$B1009,0))</f>
        <v>#VALUE!</v>
      </c>
    </row>
    <row r="274" spans="1:8" ht="12.5">
      <c r="A274" s="121">
        <v>610422040060</v>
      </c>
      <c r="B274" s="10" t="s">
        <v>2014</v>
      </c>
      <c r="C274" s="10" t="e">
        <f ca="1">COUNTUNIQUEIFS('Alokasi Honor Hingga Sekarang'!D$2:D1009,'Alokasi Honor Hingga Sekarang'!C$2:C1009,A274)</f>
        <v>#NAME?</v>
      </c>
      <c r="D274" s="10" t="e">
        <f t="shared" ca="1" si="0"/>
        <v>#NAME?</v>
      </c>
      <c r="E274" s="82">
        <f t="array" ref="E274">INDEX('Database Mitra'!$R$2:$R1009,MATCH(A274,'Database Mitra'!$B$2:$B1009,0))</f>
        <v>33501</v>
      </c>
      <c r="F274" s="10" t="e">
        <f t="shared" ca="1" si="1"/>
        <v>#NAME?</v>
      </c>
      <c r="G274" s="10" t="e">
        <f t="array" ref="G274">INDEX('Database Mitra'!$E$2:$E1009,MATCH(A274,'Database Mitra'!$B$2:$B1009,0))</f>
        <v>#VALUE!</v>
      </c>
      <c r="H274" s="10" t="e">
        <f t="array" ref="H274">INDEX('Database Mitra'!$F$2:$F1009,MATCH(A274,'Database Mitra'!$B$2:$B1009,0))</f>
        <v>#VALUE!</v>
      </c>
    </row>
    <row r="275" spans="1:8" ht="12.5">
      <c r="A275" s="121">
        <v>610422100167</v>
      </c>
      <c r="B275" s="10" t="s">
        <v>2016</v>
      </c>
      <c r="C275" s="10" t="e">
        <f ca="1">COUNTUNIQUEIFS('Alokasi Honor Hingga Sekarang'!D$2:D1009,'Alokasi Honor Hingga Sekarang'!C$2:C1009,A275)</f>
        <v>#NAME?</v>
      </c>
      <c r="D275" s="10" t="e">
        <f t="shared" ca="1" si="0"/>
        <v>#NAME?</v>
      </c>
      <c r="E275" s="82">
        <f t="array" ref="E275">INDEX('Database Mitra'!$R$2:$R1009,MATCH(A275,'Database Mitra'!$B$2:$B1009,0))</f>
        <v>36401</v>
      </c>
      <c r="F275" s="10" t="e">
        <f t="shared" ca="1" si="1"/>
        <v>#NAME?</v>
      </c>
      <c r="G275" s="10" t="e">
        <f t="array" ref="G275">INDEX('Database Mitra'!$E$2:$E1009,MATCH(A275,'Database Mitra'!$B$2:$B1009,0))</f>
        <v>#VALUE!</v>
      </c>
      <c r="H275" s="10" t="e">
        <f t="array" ref="H275">INDEX('Database Mitra'!$F$2:$F1009,MATCH(A275,'Database Mitra'!$B$2:$B1009,0))</f>
        <v>#VALUE!</v>
      </c>
    </row>
    <row r="276" spans="1:8" ht="12.5">
      <c r="A276" s="121">
        <v>610423110125</v>
      </c>
      <c r="B276" s="10" t="s">
        <v>2021</v>
      </c>
      <c r="C276" s="10" t="e">
        <f ca="1">COUNTUNIQUEIFS('Alokasi Honor Hingga Sekarang'!D$2:D1009,'Alokasi Honor Hingga Sekarang'!C$2:C1009,A276)</f>
        <v>#NAME?</v>
      </c>
      <c r="D276" s="10" t="e">
        <f t="shared" ca="1" si="0"/>
        <v>#NAME?</v>
      </c>
      <c r="E276" s="82">
        <f t="array" ref="E276">INDEX('Database Mitra'!$R$2:$R1009,MATCH(A276,'Database Mitra'!$B$2:$B1009,0))</f>
        <v>44997</v>
      </c>
      <c r="F276" s="10" t="e">
        <f t="shared" ca="1" si="1"/>
        <v>#NAME?</v>
      </c>
      <c r="G276" s="10" t="e">
        <f t="array" ref="G276">INDEX('Database Mitra'!$E$2:$E1009,MATCH(A276,'Database Mitra'!$B$2:$B1009,0))</f>
        <v>#VALUE!</v>
      </c>
      <c r="H276" s="10" t="e">
        <f t="array" ref="H276">INDEX('Database Mitra'!$F$2:$F1009,MATCH(A276,'Database Mitra'!$B$2:$B1009,0))</f>
        <v>#VALUE!</v>
      </c>
    </row>
    <row r="277" spans="1:8" ht="12.5">
      <c r="A277" s="121">
        <v>610422060002</v>
      </c>
      <c r="B277" s="10" t="s">
        <v>2029</v>
      </c>
      <c r="C277" s="10" t="e">
        <f ca="1">COUNTUNIQUEIFS('Alokasi Honor Hingga Sekarang'!D$2:D1009,'Alokasi Honor Hingga Sekarang'!C$2:C1009,A277)</f>
        <v>#NAME?</v>
      </c>
      <c r="D277" s="10" t="e">
        <f t="shared" ca="1" si="0"/>
        <v>#NAME?</v>
      </c>
      <c r="E277" s="82">
        <f t="array" ref="E277">INDEX('Database Mitra'!$R$2:$R1009,MATCH(A277,'Database Mitra'!$B$2:$B1009,0))</f>
        <v>36073</v>
      </c>
      <c r="F277" s="10" t="e">
        <f t="shared" ca="1" si="1"/>
        <v>#NAME?</v>
      </c>
      <c r="G277" s="10" t="e">
        <f t="array" ref="G277">INDEX('Database Mitra'!$E$2:$E1009,MATCH(A277,'Database Mitra'!$B$2:$B1009,0))</f>
        <v>#VALUE!</v>
      </c>
      <c r="H277" s="10" t="e">
        <f t="array" ref="H277">INDEX('Database Mitra'!$F$2:$F1009,MATCH(A277,'Database Mitra'!$B$2:$B1009,0))</f>
        <v>#VALUE!</v>
      </c>
    </row>
    <row r="278" spans="1:8" ht="12.5">
      <c r="A278" s="121">
        <v>610422100033</v>
      </c>
      <c r="B278" s="10" t="s">
        <v>2036</v>
      </c>
      <c r="C278" s="10" t="e">
        <f ca="1">COUNTUNIQUEIFS('Alokasi Honor Hingga Sekarang'!D$2:D1009,'Alokasi Honor Hingga Sekarang'!C$2:C1009,A278)</f>
        <v>#NAME?</v>
      </c>
      <c r="D278" s="10" t="e">
        <f t="shared" ca="1" si="0"/>
        <v>#NAME?</v>
      </c>
      <c r="E278" s="82">
        <f t="array" ref="E278">INDEX('Database Mitra'!$R$2:$R1009,MATCH(A278,'Database Mitra'!$B$2:$B1009,0))</f>
        <v>34920</v>
      </c>
      <c r="F278" s="10" t="e">
        <f t="shared" ca="1" si="1"/>
        <v>#NAME?</v>
      </c>
      <c r="G278" s="10" t="e">
        <f t="array" ref="G278">INDEX('Database Mitra'!$E$2:$E1009,MATCH(A278,'Database Mitra'!$B$2:$B1009,0))</f>
        <v>#VALUE!</v>
      </c>
      <c r="H278" s="10" t="e">
        <f t="array" ref="H278">INDEX('Database Mitra'!$F$2:$F1009,MATCH(A278,'Database Mitra'!$B$2:$B1009,0))</f>
        <v>#VALUE!</v>
      </c>
    </row>
    <row r="279" spans="1:8" ht="12.5">
      <c r="A279" s="121">
        <v>610422100220</v>
      </c>
      <c r="B279" s="10" t="s">
        <v>2043</v>
      </c>
      <c r="C279" s="10" t="e">
        <f ca="1">COUNTUNIQUEIFS('Alokasi Honor Hingga Sekarang'!D$2:D1009,'Alokasi Honor Hingga Sekarang'!C$2:C1009,A279)</f>
        <v>#NAME?</v>
      </c>
      <c r="D279" s="10" t="e">
        <f t="shared" ca="1" si="0"/>
        <v>#NAME?</v>
      </c>
      <c r="E279" s="82">
        <f t="array" ref="E279">INDEX('Database Mitra'!$R$2:$R1009,MATCH(A279,'Database Mitra'!$B$2:$B1009,0))</f>
        <v>30542</v>
      </c>
      <c r="F279" s="10" t="e">
        <f t="shared" ca="1" si="1"/>
        <v>#NAME?</v>
      </c>
      <c r="G279" s="10" t="e">
        <f t="array" ref="G279">INDEX('Database Mitra'!$E$2:$E1009,MATCH(A279,'Database Mitra'!$B$2:$B1009,0))</f>
        <v>#VALUE!</v>
      </c>
      <c r="H279" s="10" t="e">
        <f t="array" ref="H279">INDEX('Database Mitra'!$F$2:$F1009,MATCH(A279,'Database Mitra'!$B$2:$B1009,0))</f>
        <v>#VALUE!</v>
      </c>
    </row>
    <row r="280" spans="1:8" ht="12.5">
      <c r="A280" s="121">
        <v>610423110083</v>
      </c>
      <c r="B280" s="10" t="s">
        <v>2049</v>
      </c>
      <c r="C280" s="10" t="e">
        <f ca="1">COUNTUNIQUEIFS('Alokasi Honor Hingga Sekarang'!D$2:D1009,'Alokasi Honor Hingga Sekarang'!C$2:C1009,A280)</f>
        <v>#NAME?</v>
      </c>
      <c r="D280" s="10" t="e">
        <f t="shared" ca="1" si="0"/>
        <v>#NAME?</v>
      </c>
      <c r="E280" s="82">
        <f t="array" ref="E280">INDEX('Database Mitra'!$R$2:$R1009,MATCH(A280,'Database Mitra'!$B$2:$B1009,0))</f>
        <v>35508</v>
      </c>
      <c r="F280" s="10" t="e">
        <f t="shared" ca="1" si="1"/>
        <v>#NAME?</v>
      </c>
      <c r="G280" s="10" t="e">
        <f t="array" ref="G280">INDEX('Database Mitra'!$E$2:$E1009,MATCH(A280,'Database Mitra'!$B$2:$B1009,0))</f>
        <v>#VALUE!</v>
      </c>
      <c r="H280" s="10" t="e">
        <f t="array" ref="H280">INDEX('Database Mitra'!$F$2:$F1009,MATCH(A280,'Database Mitra'!$B$2:$B1009,0))</f>
        <v>#VALUE!</v>
      </c>
    </row>
    <row r="281" spans="1:8" ht="12.5">
      <c r="A281" s="121">
        <v>610423110155</v>
      </c>
      <c r="B281" s="10" t="s">
        <v>2049</v>
      </c>
      <c r="C281" s="10" t="e">
        <f ca="1">COUNTUNIQUEIFS('Alokasi Honor Hingga Sekarang'!D$2:D1009,'Alokasi Honor Hingga Sekarang'!C$2:C1009,A281)</f>
        <v>#NAME?</v>
      </c>
      <c r="D281" s="10" t="e">
        <f t="shared" ca="1" si="0"/>
        <v>#NAME?</v>
      </c>
      <c r="E281" s="82">
        <f t="array" ref="E281">INDEX('Database Mitra'!$R$2:$R1009,MATCH(A281,'Database Mitra'!$B$2:$B1009,0))</f>
        <v>37418</v>
      </c>
      <c r="F281" s="10" t="e">
        <f t="shared" ca="1" si="1"/>
        <v>#NAME?</v>
      </c>
      <c r="G281" s="10" t="e">
        <f t="array" ref="G281">INDEX('Database Mitra'!$E$2:$E1009,MATCH(A281,'Database Mitra'!$B$2:$B1009,0))</f>
        <v>#VALUE!</v>
      </c>
      <c r="H281" s="10" t="e">
        <f t="array" ref="H281">INDEX('Database Mitra'!$F$2:$F1009,MATCH(A281,'Database Mitra'!$B$2:$B1009,0))</f>
        <v>#VALUE!</v>
      </c>
    </row>
    <row r="282" spans="1:8" ht="12.5">
      <c r="A282" s="121">
        <v>610423110105</v>
      </c>
      <c r="B282" s="10" t="s">
        <v>6002</v>
      </c>
      <c r="C282" s="10" t="e">
        <f ca="1">COUNTUNIQUEIFS('Alokasi Honor Hingga Sekarang'!D$2:D1009,'Alokasi Honor Hingga Sekarang'!C$2:C1009,A282)</f>
        <v>#NAME?</v>
      </c>
      <c r="D282" s="10" t="e">
        <f t="shared" ca="1" si="0"/>
        <v>#NAME?</v>
      </c>
      <c r="E282" s="82">
        <f t="array" ref="E282">INDEX('Database Mitra'!$R$2:$R1009,MATCH(A282,'Database Mitra'!$B$2:$B1009,0))</f>
        <v>35898</v>
      </c>
      <c r="F282" s="10" t="e">
        <f t="shared" ca="1" si="1"/>
        <v>#NAME?</v>
      </c>
      <c r="G282" s="10" t="e">
        <f t="array" ref="G282">INDEX('Database Mitra'!$E$2:$E1009,MATCH(A282,'Database Mitra'!$B$2:$B1009,0))</f>
        <v>#VALUE!</v>
      </c>
      <c r="H282" s="10" t="e">
        <f t="array" ref="H282">INDEX('Database Mitra'!$F$2:$F1009,MATCH(A282,'Database Mitra'!$B$2:$B1009,0))</f>
        <v>#VALUE!</v>
      </c>
    </row>
    <row r="283" spans="1:8" ht="12.5">
      <c r="A283" s="121">
        <v>610423110176</v>
      </c>
      <c r="B283" s="10" t="s">
        <v>6003</v>
      </c>
      <c r="C283" s="10" t="e">
        <f ca="1">COUNTUNIQUEIFS('Alokasi Honor Hingga Sekarang'!D$2:D1009,'Alokasi Honor Hingga Sekarang'!C$2:C1009,A283)</f>
        <v>#NAME?</v>
      </c>
      <c r="D283" s="10" t="e">
        <f t="shared" ca="1" si="0"/>
        <v>#NAME?</v>
      </c>
      <c r="E283" s="82">
        <f t="array" ref="E283">INDEX('Database Mitra'!$R$2:$R1009,MATCH(A283,'Database Mitra'!$B$2:$B1009,0))</f>
        <v>36798</v>
      </c>
      <c r="F283" s="10" t="e">
        <f t="shared" ca="1" si="1"/>
        <v>#NAME?</v>
      </c>
      <c r="G283" s="10" t="e">
        <f t="array" ref="G283">INDEX('Database Mitra'!$E$2:$E1009,MATCH(A283,'Database Mitra'!$B$2:$B1009,0))</f>
        <v>#VALUE!</v>
      </c>
      <c r="H283" s="10" t="e">
        <f t="array" ref="H283">INDEX('Database Mitra'!$F$2:$F1009,MATCH(A283,'Database Mitra'!$B$2:$B1009,0))</f>
        <v>#VALUE!</v>
      </c>
    </row>
    <row r="284" spans="1:8" ht="12.5">
      <c r="A284" s="121">
        <v>610423110145</v>
      </c>
      <c r="B284" s="10" t="s">
        <v>2074</v>
      </c>
      <c r="C284" s="10" t="e">
        <f ca="1">COUNTUNIQUEIFS('Alokasi Honor Hingga Sekarang'!D$2:D1009,'Alokasi Honor Hingga Sekarang'!C$2:C1009,A284)</f>
        <v>#NAME?</v>
      </c>
      <c r="D284" s="10" t="e">
        <f t="shared" ca="1" si="0"/>
        <v>#NAME?</v>
      </c>
      <c r="E284" s="82">
        <f t="array" ref="E284">INDEX('Database Mitra'!$R$2:$R1009,MATCH(A284,'Database Mitra'!$B$2:$B1009,0))</f>
        <v>37322</v>
      </c>
      <c r="F284" s="10" t="e">
        <f t="shared" ca="1" si="1"/>
        <v>#NAME?</v>
      </c>
      <c r="G284" s="10" t="e">
        <f t="array" ref="G284">INDEX('Database Mitra'!$E$2:$E1009,MATCH(A284,'Database Mitra'!$B$2:$B1009,0))</f>
        <v>#VALUE!</v>
      </c>
      <c r="H284" s="10" t="e">
        <f t="array" ref="H284">INDEX('Database Mitra'!$F$2:$F1009,MATCH(A284,'Database Mitra'!$B$2:$B1009,0))</f>
        <v>#VALUE!</v>
      </c>
    </row>
    <row r="285" spans="1:8" ht="12.5">
      <c r="A285" s="121">
        <v>610423110087</v>
      </c>
      <c r="B285" s="10" t="s">
        <v>6004</v>
      </c>
      <c r="C285" s="10" t="e">
        <f ca="1">COUNTUNIQUEIFS('Alokasi Honor Hingga Sekarang'!D$2:D1009,'Alokasi Honor Hingga Sekarang'!C$2:C1009,A285)</f>
        <v>#NAME?</v>
      </c>
      <c r="D285" s="10" t="e">
        <f t="shared" ca="1" si="0"/>
        <v>#NAME?</v>
      </c>
      <c r="E285" s="11">
        <f t="array" ref="E285">INDEX('Database Mitra'!$R$2:$R1009,MATCH(A285,'Database Mitra'!$B$2:$B1009,0))</f>
        <v>37244</v>
      </c>
      <c r="F285" s="10" t="e">
        <f t="shared" ca="1" si="1"/>
        <v>#NAME?</v>
      </c>
      <c r="G285" s="10" t="e">
        <f t="array" ref="G285">INDEX('Database Mitra'!$E$2:$E1009,MATCH(A285,'Database Mitra'!$B$2:$B1009,0))</f>
        <v>#VALUE!</v>
      </c>
      <c r="H285" s="10" t="e">
        <f t="array" ref="H285">INDEX('Database Mitra'!$F$2:$F1009,MATCH(A285,'Database Mitra'!$B$2:$B1009,0))</f>
        <v>#VALUE!</v>
      </c>
    </row>
    <row r="286" spans="1:8" ht="12.5">
      <c r="A286" s="121">
        <v>610422040005</v>
      </c>
      <c r="B286" s="10" t="s">
        <v>6005</v>
      </c>
      <c r="C286" s="10" t="e">
        <f ca="1">COUNTUNIQUEIFS('Alokasi Honor Hingga Sekarang'!D$2:D1009,'Alokasi Honor Hingga Sekarang'!C$2:C1009,A286)</f>
        <v>#NAME?</v>
      </c>
      <c r="D286" s="10" t="e">
        <f t="shared" ca="1" si="0"/>
        <v>#NAME?</v>
      </c>
      <c r="E286" s="11">
        <f t="array" ref="E286">INDEX('Database Mitra'!$R$2:$R1009,MATCH(A286,'Database Mitra'!$B$2:$B1009,0))</f>
        <v>36888</v>
      </c>
      <c r="F286" s="10" t="e">
        <f t="shared" ca="1" si="1"/>
        <v>#NAME?</v>
      </c>
      <c r="G286" s="10" t="e">
        <f t="array" ref="G286">INDEX('Database Mitra'!$E$2:$E1009,MATCH(A286,'Database Mitra'!$B$2:$B1009,0))</f>
        <v>#VALUE!</v>
      </c>
      <c r="H286" s="10" t="e">
        <f t="array" ref="H286">INDEX('Database Mitra'!$F$2:$F1009,MATCH(A286,'Database Mitra'!$B$2:$B1009,0))</f>
        <v>#VALUE!</v>
      </c>
    </row>
    <row r="287" spans="1:8" ht="12.5">
      <c r="A287" s="121">
        <v>610423110131</v>
      </c>
      <c r="B287" s="10" t="s">
        <v>2092</v>
      </c>
      <c r="C287" s="10" t="e">
        <f ca="1">COUNTUNIQUEIFS('Alokasi Honor Hingga Sekarang'!D$2:D1009,'Alokasi Honor Hingga Sekarang'!C$2:C1009,A287)</f>
        <v>#NAME?</v>
      </c>
      <c r="D287" s="10" t="e">
        <f t="shared" ca="1" si="0"/>
        <v>#NAME?</v>
      </c>
      <c r="E287" s="82">
        <f t="array" ref="E287">INDEX('Database Mitra'!$R$2:$R1009,MATCH(A287,'Database Mitra'!$B$2:$B1009,0))</f>
        <v>36415</v>
      </c>
      <c r="F287" s="10" t="e">
        <f t="shared" ca="1" si="1"/>
        <v>#NAME?</v>
      </c>
      <c r="G287" s="10" t="e">
        <f t="array" ref="G287">INDEX('Database Mitra'!$E$2:$E1009,MATCH(A287,'Database Mitra'!$B$2:$B1009,0))</f>
        <v>#VALUE!</v>
      </c>
      <c r="H287" s="10" t="e">
        <f t="array" ref="H287">INDEX('Database Mitra'!$F$2:$F1009,MATCH(A287,'Database Mitra'!$B$2:$B1009,0))</f>
        <v>#VALUE!</v>
      </c>
    </row>
    <row r="288" spans="1:8" ht="12.5">
      <c r="A288" s="121">
        <v>610422020006</v>
      </c>
      <c r="B288" s="10" t="s">
        <v>2098</v>
      </c>
      <c r="C288" s="10" t="e">
        <f ca="1">COUNTUNIQUEIFS('Alokasi Honor Hingga Sekarang'!D$2:D1009,'Alokasi Honor Hingga Sekarang'!C$2:C1009,A288)</f>
        <v>#NAME?</v>
      </c>
      <c r="D288" s="10" t="e">
        <f t="shared" ca="1" si="0"/>
        <v>#NAME?</v>
      </c>
      <c r="E288" s="11">
        <f t="array" ref="E288">INDEX('Database Mitra'!$R$2:$R1009,MATCH(A288,'Database Mitra'!$B$2:$B1009,0))</f>
        <v>35744</v>
      </c>
      <c r="F288" s="10" t="e">
        <f t="shared" ca="1" si="1"/>
        <v>#NAME?</v>
      </c>
      <c r="G288" s="10" t="e">
        <f t="array" ref="G288">INDEX('Database Mitra'!$E$2:$E1009,MATCH(A288,'Database Mitra'!$B$2:$B1009,0))</f>
        <v>#VALUE!</v>
      </c>
      <c r="H288" s="10" t="e">
        <f t="array" ref="H288">INDEX('Database Mitra'!$F$2:$F1009,MATCH(A288,'Database Mitra'!$B$2:$B1009,0))</f>
        <v>#VALUE!</v>
      </c>
    </row>
    <row r="289" spans="1:8" ht="12.5">
      <c r="A289" s="121">
        <v>610423110033</v>
      </c>
      <c r="B289" s="10" t="s">
        <v>6006</v>
      </c>
      <c r="C289" s="10" t="e">
        <f ca="1">COUNTUNIQUEIFS('Alokasi Honor Hingga Sekarang'!D$2:D1009,'Alokasi Honor Hingga Sekarang'!C$2:C1009,A289)</f>
        <v>#NAME?</v>
      </c>
      <c r="D289" s="10" t="e">
        <f t="shared" ca="1" si="0"/>
        <v>#NAME?</v>
      </c>
      <c r="E289" s="82">
        <f t="array" ref="E289">INDEX('Database Mitra'!$R$2:$R1009,MATCH(A289,'Database Mitra'!$B$2:$B1009,0))</f>
        <v>36254</v>
      </c>
      <c r="F289" s="10" t="e">
        <f t="shared" ca="1" si="1"/>
        <v>#NAME?</v>
      </c>
      <c r="G289" s="10" t="e">
        <f t="array" ref="G289">INDEX('Database Mitra'!$E$2:$E1009,MATCH(A289,'Database Mitra'!$B$2:$B1009,0))</f>
        <v>#VALUE!</v>
      </c>
      <c r="H289" s="10" t="e">
        <f t="array" ref="H289">INDEX('Database Mitra'!$F$2:$F1009,MATCH(A289,'Database Mitra'!$B$2:$B1009,0))</f>
        <v>#VALUE!</v>
      </c>
    </row>
    <row r="290" spans="1:8" ht="12.5">
      <c r="A290" s="121">
        <v>610422040034</v>
      </c>
      <c r="B290" s="10" t="s">
        <v>2110</v>
      </c>
      <c r="C290" s="10" t="e">
        <f ca="1">COUNTUNIQUEIFS('Alokasi Honor Hingga Sekarang'!D$2:D1009,'Alokasi Honor Hingga Sekarang'!C$2:C1009,A290)</f>
        <v>#NAME?</v>
      </c>
      <c r="D290" s="10" t="e">
        <f t="shared" ca="1" si="0"/>
        <v>#NAME?</v>
      </c>
      <c r="E290" s="82">
        <f t="array" ref="E290">INDEX('Database Mitra'!$R$2:$R1009,MATCH(A290,'Database Mitra'!$B$2:$B1009,0))</f>
        <v>32849</v>
      </c>
      <c r="F290" s="10" t="e">
        <f t="shared" ca="1" si="1"/>
        <v>#NAME?</v>
      </c>
      <c r="G290" s="10" t="e">
        <f t="array" ref="G290">INDEX('Database Mitra'!$E$2:$E1009,MATCH(A290,'Database Mitra'!$B$2:$B1009,0))</f>
        <v>#VALUE!</v>
      </c>
      <c r="H290" s="10" t="e">
        <f t="array" ref="H290">INDEX('Database Mitra'!$F$2:$F1009,MATCH(A290,'Database Mitra'!$B$2:$B1009,0))</f>
        <v>#VALUE!</v>
      </c>
    </row>
    <row r="291" spans="1:8" ht="12.5">
      <c r="A291" s="121">
        <v>610423040007</v>
      </c>
      <c r="B291" s="10" t="s">
        <v>6007</v>
      </c>
      <c r="C291" s="10" t="e">
        <f ca="1">COUNTUNIQUEIFS('Alokasi Honor Hingga Sekarang'!D$2:D1009,'Alokasi Honor Hingga Sekarang'!C$2:C1009,A291)</f>
        <v>#NAME?</v>
      </c>
      <c r="D291" s="10" t="e">
        <f t="shared" ca="1" si="0"/>
        <v>#NAME?</v>
      </c>
      <c r="E291" s="82">
        <f t="array" ref="E291">INDEX('Database Mitra'!$R$2:$R1009,MATCH(A291,'Database Mitra'!$B$2:$B1009,0))</f>
        <v>30418</v>
      </c>
      <c r="F291" s="10" t="e">
        <f t="shared" ca="1" si="1"/>
        <v>#NAME?</v>
      </c>
      <c r="G291" s="10" t="e">
        <f t="array" ref="G291">INDEX('Database Mitra'!$E$2:$E1009,MATCH(A291,'Database Mitra'!$B$2:$B1009,0))</f>
        <v>#VALUE!</v>
      </c>
      <c r="H291" s="10" t="e">
        <f t="array" ref="H291">INDEX('Database Mitra'!$F$2:$F1009,MATCH(A291,'Database Mitra'!$B$2:$B1009,0))</f>
        <v>#VALUE!</v>
      </c>
    </row>
    <row r="292" spans="1:8" ht="12.5">
      <c r="A292" s="121">
        <v>610422060007</v>
      </c>
      <c r="B292" s="10" t="s">
        <v>2122</v>
      </c>
      <c r="C292" s="10" t="e">
        <f ca="1">COUNTUNIQUEIFS('Alokasi Honor Hingga Sekarang'!D$2:D1009,'Alokasi Honor Hingga Sekarang'!C$2:C1009,A292)</f>
        <v>#NAME?</v>
      </c>
      <c r="D292" s="10" t="e">
        <f t="shared" ca="1" si="0"/>
        <v>#NAME?</v>
      </c>
      <c r="E292" s="82">
        <f t="array" ref="E292">INDEX('Database Mitra'!$R$2:$R1009,MATCH(A292,'Database Mitra'!$B$2:$B1009,0))</f>
        <v>34168</v>
      </c>
      <c r="F292" s="10" t="e">
        <f t="shared" ca="1" si="1"/>
        <v>#NAME?</v>
      </c>
      <c r="G292" s="10" t="e">
        <f t="array" ref="G292">INDEX('Database Mitra'!$E$2:$E1009,MATCH(A292,'Database Mitra'!$B$2:$B1009,0))</f>
        <v>#VALUE!</v>
      </c>
      <c r="H292" s="10" t="e">
        <f t="array" ref="H292">INDEX('Database Mitra'!$F$2:$F1009,MATCH(A292,'Database Mitra'!$B$2:$B1009,0))</f>
        <v>#VALUE!</v>
      </c>
    </row>
    <row r="293" spans="1:8" ht="12.5">
      <c r="A293" s="121">
        <v>610423110133</v>
      </c>
      <c r="B293" s="10" t="s">
        <v>2128</v>
      </c>
      <c r="C293" s="10" t="e">
        <f ca="1">COUNTUNIQUEIFS('Alokasi Honor Hingga Sekarang'!D$2:D1009,'Alokasi Honor Hingga Sekarang'!C$2:C1009,A293)</f>
        <v>#NAME?</v>
      </c>
      <c r="D293" s="10" t="e">
        <f t="shared" ca="1" si="0"/>
        <v>#NAME?</v>
      </c>
      <c r="E293" s="82">
        <f t="array" ref="E293">INDEX('Database Mitra'!$R$2:$R1009,MATCH(A293,'Database Mitra'!$B$2:$B1009,0))</f>
        <v>35544</v>
      </c>
      <c r="F293" s="10" t="e">
        <f t="shared" ca="1" si="1"/>
        <v>#NAME?</v>
      </c>
      <c r="G293" s="10" t="e">
        <f t="array" ref="G293">INDEX('Database Mitra'!$E$2:$E1009,MATCH(A293,'Database Mitra'!$B$2:$B1009,0))</f>
        <v>#VALUE!</v>
      </c>
      <c r="H293" s="10" t="e">
        <f t="array" ref="H293">INDEX('Database Mitra'!$F$2:$F1009,MATCH(A293,'Database Mitra'!$B$2:$B1009,0))</f>
        <v>#VALUE!</v>
      </c>
    </row>
    <row r="294" spans="1:8" ht="12.5">
      <c r="A294" s="121">
        <v>610422100076</v>
      </c>
      <c r="B294" s="10" t="s">
        <v>6008</v>
      </c>
      <c r="C294" s="10" t="e">
        <f ca="1">COUNTUNIQUEIFS('Alokasi Honor Hingga Sekarang'!D$2:D1009,'Alokasi Honor Hingga Sekarang'!C$2:C1009,A294)</f>
        <v>#NAME?</v>
      </c>
      <c r="D294" s="10" t="e">
        <f t="shared" ca="1" si="0"/>
        <v>#NAME?</v>
      </c>
      <c r="E294" s="82">
        <f t="array" ref="E294">INDEX('Database Mitra'!$R$2:$R1009,MATCH(A294,'Database Mitra'!$B$2:$B1009,0))</f>
        <v>35528</v>
      </c>
      <c r="F294" s="10" t="e">
        <f t="shared" ca="1" si="1"/>
        <v>#NAME?</v>
      </c>
      <c r="G294" s="10" t="e">
        <f t="array" ref="G294">INDEX('Database Mitra'!$E$2:$E1009,MATCH(A294,'Database Mitra'!$B$2:$B1009,0))</f>
        <v>#VALUE!</v>
      </c>
      <c r="H294" s="10" t="e">
        <f t="array" ref="H294">INDEX('Database Mitra'!$F$2:$F1009,MATCH(A294,'Database Mitra'!$B$2:$B1009,0))</f>
        <v>#VALUE!</v>
      </c>
    </row>
    <row r="295" spans="1:8" ht="12.5">
      <c r="A295" s="121">
        <v>610422100008</v>
      </c>
      <c r="B295" s="10" t="s">
        <v>2142</v>
      </c>
      <c r="C295" s="10" t="e">
        <f ca="1">COUNTUNIQUEIFS('Alokasi Honor Hingga Sekarang'!D$2:D1009,'Alokasi Honor Hingga Sekarang'!C$2:C1009,A295)</f>
        <v>#NAME?</v>
      </c>
      <c r="D295" s="10" t="e">
        <f t="shared" ca="1" si="0"/>
        <v>#NAME?</v>
      </c>
      <c r="E295" s="11">
        <f t="array" ref="E295">INDEX('Database Mitra'!$R$2:$R1009,MATCH(A295,'Database Mitra'!$B$2:$B1009,0))</f>
        <v>32461</v>
      </c>
      <c r="F295" s="10" t="e">
        <f t="shared" ca="1" si="1"/>
        <v>#NAME?</v>
      </c>
      <c r="G295" s="10" t="str">
        <f t="array" ref="G295">INDEX('Database Mitra'!$E$2:$E1009,MATCH(A295,'Database Mitra'!$B$2:$B1009,0))</f>
        <v>PONTIANAK KOTA</v>
      </c>
      <c r="H295" s="10" t="str">
        <f t="array" ref="H295">INDEX('Database Mitra'!$F$2:$F1009,MATCH(A295,'Database Mitra'!$B$2:$B1009,0))</f>
        <v>SUNGAI BANGKONG</v>
      </c>
    </row>
    <row r="296" spans="1:8" ht="12.5">
      <c r="A296" s="121">
        <v>610423090018</v>
      </c>
      <c r="B296" s="10" t="s">
        <v>6009</v>
      </c>
      <c r="C296" s="10" t="e">
        <f ca="1">COUNTUNIQUEIFS('Alokasi Honor Hingga Sekarang'!D$2:D1009,'Alokasi Honor Hingga Sekarang'!C$2:C1009,A296)</f>
        <v>#NAME?</v>
      </c>
      <c r="D296" s="10" t="e">
        <f t="shared" ca="1" si="0"/>
        <v>#NAME?</v>
      </c>
      <c r="E296" s="11">
        <f t="array" ref="E296">INDEX('Database Mitra'!$R$2:$R1009,MATCH(A296,'Database Mitra'!$B$2:$B1009,0))</f>
        <v>33932</v>
      </c>
      <c r="F296" s="10" t="e">
        <f t="shared" ca="1" si="1"/>
        <v>#NAME?</v>
      </c>
      <c r="G296" s="10" t="e">
        <f t="array" ref="G296">INDEX('Database Mitra'!$E$2:$E1009,MATCH(A296,'Database Mitra'!$B$2:$B1009,0))</f>
        <v>#VALUE!</v>
      </c>
      <c r="H296" s="10" t="e">
        <f t="array" ref="H296">INDEX('Database Mitra'!$F$2:$F1009,MATCH(A296,'Database Mitra'!$B$2:$B1009,0))</f>
        <v>#VALUE!</v>
      </c>
    </row>
    <row r="297" spans="1:8" ht="12.5">
      <c r="A297" s="121">
        <v>610422040050</v>
      </c>
      <c r="B297" s="10" t="s">
        <v>6010</v>
      </c>
      <c r="C297" s="10" t="e">
        <f ca="1">COUNTUNIQUEIFS('Alokasi Honor Hingga Sekarang'!D$2:D1009,'Alokasi Honor Hingga Sekarang'!C$2:C1009,A297)</f>
        <v>#NAME?</v>
      </c>
      <c r="D297" s="10" t="e">
        <f t="shared" ca="1" si="0"/>
        <v>#NAME?</v>
      </c>
      <c r="E297" s="82">
        <f t="array" ref="E297">INDEX('Database Mitra'!$R$2:$R1009,MATCH(A297,'Database Mitra'!$B$2:$B1009,0))</f>
        <v>36330</v>
      </c>
      <c r="F297" s="10" t="e">
        <f t="shared" ca="1" si="1"/>
        <v>#NAME?</v>
      </c>
      <c r="G297" s="10" t="e">
        <f t="array" ref="G297">INDEX('Database Mitra'!$E$2:$E1009,MATCH(A297,'Database Mitra'!$B$2:$B1009,0))</f>
        <v>#VALUE!</v>
      </c>
      <c r="H297" s="10" t="e">
        <f t="array" ref="H297">INDEX('Database Mitra'!$F$2:$F1009,MATCH(A297,'Database Mitra'!$B$2:$B1009,0))</f>
        <v>#VALUE!</v>
      </c>
    </row>
    <row r="298" spans="1:8" ht="12.5">
      <c r="A298" s="121">
        <v>610423110103</v>
      </c>
      <c r="B298" s="10" t="s">
        <v>6011</v>
      </c>
      <c r="C298" s="10" t="e">
        <f ca="1">COUNTUNIQUEIFS('Alokasi Honor Hingga Sekarang'!D$2:D1009,'Alokasi Honor Hingga Sekarang'!C$2:C1009,A298)</f>
        <v>#NAME?</v>
      </c>
      <c r="D298" s="10" t="e">
        <f t="shared" ca="1" si="0"/>
        <v>#NAME?</v>
      </c>
      <c r="E298" s="82">
        <f t="array" ref="E298">INDEX('Database Mitra'!$R$2:$R1009,MATCH(A298,'Database Mitra'!$B$2:$B1009,0))</f>
        <v>36223</v>
      </c>
      <c r="F298" s="10" t="e">
        <f t="shared" ca="1" si="1"/>
        <v>#NAME?</v>
      </c>
      <c r="G298" s="10" t="e">
        <f t="array" ref="G298">INDEX('Database Mitra'!$E$2:$E1009,MATCH(A298,'Database Mitra'!$B$2:$B1009,0))</f>
        <v>#VALUE!</v>
      </c>
      <c r="H298" s="10" t="e">
        <f t="array" ref="H298">INDEX('Database Mitra'!$F$2:$F1009,MATCH(A298,'Database Mitra'!$B$2:$B1009,0))</f>
        <v>#VALUE!</v>
      </c>
    </row>
    <row r="299" spans="1:8" ht="12.5">
      <c r="A299" s="121">
        <v>610423110121</v>
      </c>
      <c r="B299" s="10" t="s">
        <v>2166</v>
      </c>
      <c r="C299" s="10" t="e">
        <f ca="1">COUNTUNIQUEIFS('Alokasi Honor Hingga Sekarang'!D$2:D1009,'Alokasi Honor Hingga Sekarang'!C$2:C1009,A299)</f>
        <v>#NAME?</v>
      </c>
      <c r="D299" s="10" t="e">
        <f t="shared" ca="1" si="0"/>
        <v>#NAME?</v>
      </c>
      <c r="E299" s="11">
        <f t="array" ref="E299">INDEX('Database Mitra'!$R$2:$R1009,MATCH(A299,'Database Mitra'!$B$2:$B1009,0))</f>
        <v>37246</v>
      </c>
      <c r="F299" s="10" t="e">
        <f t="shared" ca="1" si="1"/>
        <v>#NAME?</v>
      </c>
      <c r="G299" s="10" t="e">
        <f t="array" ref="G299">INDEX('Database Mitra'!$E$2:$E1009,MATCH(A299,'Database Mitra'!$B$2:$B1009,0))</f>
        <v>#VALUE!</v>
      </c>
      <c r="H299" s="10" t="e">
        <f t="array" ref="H299">INDEX('Database Mitra'!$F$2:$F1009,MATCH(A299,'Database Mitra'!$B$2:$B1009,0))</f>
        <v>#VALUE!</v>
      </c>
    </row>
    <row r="300" spans="1:8" ht="12.5">
      <c r="A300" s="121">
        <v>610423110028</v>
      </c>
      <c r="B300" s="10" t="s">
        <v>2173</v>
      </c>
      <c r="C300" s="10" t="e">
        <f ca="1">COUNTUNIQUEIFS('Alokasi Honor Hingga Sekarang'!D$2:D1009,'Alokasi Honor Hingga Sekarang'!C$2:C1009,A300)</f>
        <v>#NAME?</v>
      </c>
      <c r="D300" s="10" t="e">
        <f t="shared" ca="1" si="0"/>
        <v>#NAME?</v>
      </c>
      <c r="E300" s="82">
        <f t="array" ref="E300">INDEX('Database Mitra'!$R$2:$R1009,MATCH(A300,'Database Mitra'!$B$2:$B1009,0))</f>
        <v>36714</v>
      </c>
      <c r="F300" s="10" t="e">
        <f t="shared" ca="1" si="1"/>
        <v>#NAME?</v>
      </c>
      <c r="G300" s="10" t="e">
        <f t="array" ref="G300">INDEX('Database Mitra'!$E$2:$E1009,MATCH(A300,'Database Mitra'!$B$2:$B1009,0))</f>
        <v>#VALUE!</v>
      </c>
      <c r="H300" s="10" t="e">
        <f t="array" ref="H300">INDEX('Database Mitra'!$F$2:$F1009,MATCH(A300,'Database Mitra'!$B$2:$B1009,0))</f>
        <v>#VALUE!</v>
      </c>
    </row>
    <row r="301" spans="1:8" ht="12.5">
      <c r="A301" s="121">
        <v>610422070003</v>
      </c>
      <c r="B301" s="10" t="s">
        <v>2179</v>
      </c>
      <c r="C301" s="10" t="e">
        <f ca="1">COUNTUNIQUEIFS('Alokasi Honor Hingga Sekarang'!D$2:D1009,'Alokasi Honor Hingga Sekarang'!C$2:C1009,A301)</f>
        <v>#NAME?</v>
      </c>
      <c r="D301" s="10" t="e">
        <f t="shared" ca="1" si="0"/>
        <v>#NAME?</v>
      </c>
      <c r="E301" s="82">
        <f t="array" ref="E301">INDEX('Database Mitra'!$R$2:$R1009,MATCH(A301,'Database Mitra'!$B$2:$B1009,0))</f>
        <v>38153</v>
      </c>
      <c r="F301" s="10" t="e">
        <f t="shared" ca="1" si="1"/>
        <v>#NAME?</v>
      </c>
      <c r="G301" s="10" t="e">
        <f t="array" ref="G301">INDEX('Database Mitra'!$E$2:$E1009,MATCH(A301,'Database Mitra'!$B$2:$B1009,0))</f>
        <v>#VALUE!</v>
      </c>
      <c r="H301" s="10" t="e">
        <f t="array" ref="H301">INDEX('Database Mitra'!$F$2:$F1009,MATCH(A301,'Database Mitra'!$B$2:$B1009,0))</f>
        <v>#VALUE!</v>
      </c>
    </row>
    <row r="302" spans="1:8" ht="12.5">
      <c r="A302" s="121">
        <v>610423110076</v>
      </c>
      <c r="B302" s="10" t="s">
        <v>2184</v>
      </c>
      <c r="C302" s="10" t="e">
        <f ca="1">COUNTUNIQUEIFS('Alokasi Honor Hingga Sekarang'!D$2:D1009,'Alokasi Honor Hingga Sekarang'!C$2:C1009,A302)</f>
        <v>#NAME?</v>
      </c>
      <c r="D302" s="10" t="e">
        <f t="shared" ca="1" si="0"/>
        <v>#NAME?</v>
      </c>
      <c r="E302" s="82">
        <f t="array" ref="E302">INDEX('Database Mitra'!$R$2:$R1009,MATCH(A302,'Database Mitra'!$B$2:$B1009,0))</f>
        <v>33443</v>
      </c>
      <c r="F302" s="10" t="e">
        <f t="shared" ca="1" si="1"/>
        <v>#NAME?</v>
      </c>
      <c r="G302" s="10" t="e">
        <f t="array" ref="G302">INDEX('Database Mitra'!$E$2:$E1009,MATCH(A302,'Database Mitra'!$B$2:$B1009,0))</f>
        <v>#VALUE!</v>
      </c>
      <c r="H302" s="10" t="e">
        <f t="array" ref="H302">INDEX('Database Mitra'!$F$2:$F1009,MATCH(A302,'Database Mitra'!$B$2:$B1009,0))</f>
        <v>#VALUE!</v>
      </c>
    </row>
    <row r="303" spans="1:8" ht="12.5">
      <c r="A303" s="121">
        <v>610422100224</v>
      </c>
      <c r="B303" s="10" t="s">
        <v>2189</v>
      </c>
      <c r="C303" s="10" t="e">
        <f ca="1">COUNTUNIQUEIFS('Alokasi Honor Hingga Sekarang'!D$2:D1009,'Alokasi Honor Hingga Sekarang'!C$2:C1009,A303)</f>
        <v>#NAME?</v>
      </c>
      <c r="D303" s="10" t="e">
        <f t="shared" ca="1" si="0"/>
        <v>#NAME?</v>
      </c>
      <c r="E303" s="11">
        <f t="array" ref="E303">INDEX('Database Mitra'!$R$2:$R1009,MATCH(A303,'Database Mitra'!$B$2:$B1009,0))</f>
        <v>37554</v>
      </c>
      <c r="F303" s="10" t="e">
        <f t="shared" ca="1" si="1"/>
        <v>#NAME?</v>
      </c>
      <c r="G303" s="10" t="e">
        <f t="array" ref="G303">INDEX('Database Mitra'!$E$2:$E1009,MATCH(A303,'Database Mitra'!$B$2:$B1009,0))</f>
        <v>#VALUE!</v>
      </c>
      <c r="H303" s="10" t="e">
        <f t="array" ref="H303">INDEX('Database Mitra'!$F$2:$F1009,MATCH(A303,'Database Mitra'!$B$2:$B1009,0))</f>
        <v>#VALUE!</v>
      </c>
    </row>
    <row r="304" spans="1:8" ht="12.5">
      <c r="A304" s="121">
        <v>610422040033</v>
      </c>
      <c r="B304" s="10" t="s">
        <v>6012</v>
      </c>
      <c r="C304" s="10" t="e">
        <f ca="1">COUNTUNIQUEIFS('Alokasi Honor Hingga Sekarang'!D$2:D1009,'Alokasi Honor Hingga Sekarang'!C$2:C1009,A304)</f>
        <v>#NAME?</v>
      </c>
      <c r="D304" s="10" t="e">
        <f t="shared" ca="1" si="0"/>
        <v>#NAME?</v>
      </c>
      <c r="E304" s="82">
        <f t="array" ref="E304">INDEX('Database Mitra'!$R$2:$R1009,MATCH(A304,'Database Mitra'!$B$2:$B1009,0))</f>
        <v>35166</v>
      </c>
      <c r="F304" s="10" t="e">
        <f t="shared" ca="1" si="1"/>
        <v>#NAME?</v>
      </c>
      <c r="G304" s="10" t="e">
        <f t="array" ref="G304">INDEX('Database Mitra'!$E$2:$E1009,MATCH(A304,'Database Mitra'!$B$2:$B1009,0))</f>
        <v>#VALUE!</v>
      </c>
      <c r="H304" s="10" t="e">
        <f t="array" ref="H304">INDEX('Database Mitra'!$F$2:$F1009,MATCH(A304,'Database Mitra'!$B$2:$B1009,0))</f>
        <v>#VALUE!</v>
      </c>
    </row>
    <row r="305" spans="1:8" ht="12.5">
      <c r="A305" s="121">
        <v>610423110109</v>
      </c>
      <c r="B305" s="10" t="s">
        <v>2201</v>
      </c>
      <c r="C305" s="10" t="e">
        <f ca="1">COUNTUNIQUEIFS('Alokasi Honor Hingga Sekarang'!D$2:D1009,'Alokasi Honor Hingga Sekarang'!C$2:C1009,A305)</f>
        <v>#NAME?</v>
      </c>
      <c r="D305" s="10" t="e">
        <f t="shared" ca="1" si="0"/>
        <v>#NAME?</v>
      </c>
      <c r="E305" s="82">
        <f t="array" ref="E305">INDEX('Database Mitra'!$R$2:$R1009,MATCH(A305,'Database Mitra'!$B$2:$B1009,0))</f>
        <v>36472</v>
      </c>
      <c r="F305" s="10" t="e">
        <f t="shared" ca="1" si="1"/>
        <v>#NAME?</v>
      </c>
      <c r="G305" s="10" t="e">
        <f t="array" ref="G305">INDEX('Database Mitra'!$E$2:$E1009,MATCH(A305,'Database Mitra'!$B$2:$B1009,0))</f>
        <v>#VALUE!</v>
      </c>
      <c r="H305" s="10" t="e">
        <f t="array" ref="H305">INDEX('Database Mitra'!$F$2:$F1009,MATCH(A305,'Database Mitra'!$B$2:$B1009,0))</f>
        <v>#VALUE!</v>
      </c>
    </row>
    <row r="306" spans="1:8" ht="12.5">
      <c r="A306" s="121">
        <v>610423040011</v>
      </c>
      <c r="B306" s="10" t="s">
        <v>2207</v>
      </c>
      <c r="C306" s="10" t="e">
        <f ca="1">COUNTUNIQUEIFS('Alokasi Honor Hingga Sekarang'!D$2:D1009,'Alokasi Honor Hingga Sekarang'!C$2:C1009,A306)</f>
        <v>#NAME?</v>
      </c>
      <c r="D306" s="10" t="e">
        <f t="shared" ca="1" si="0"/>
        <v>#NAME?</v>
      </c>
      <c r="E306" s="82">
        <f t="array" ref="E306">INDEX('Database Mitra'!$R$2:$R1009,MATCH(A306,'Database Mitra'!$B$2:$B1009,0))</f>
        <v>35665</v>
      </c>
      <c r="F306" s="10" t="e">
        <f t="shared" ca="1" si="1"/>
        <v>#NAME?</v>
      </c>
      <c r="G306" s="10" t="e">
        <f t="array" ref="G306">INDEX('Database Mitra'!$E$2:$E1009,MATCH(A306,'Database Mitra'!$B$2:$B1009,0))</f>
        <v>#VALUE!</v>
      </c>
      <c r="H306" s="10" t="e">
        <f t="array" ref="H306">INDEX('Database Mitra'!$F$2:$F1009,MATCH(A306,'Database Mitra'!$B$2:$B1009,0))</f>
        <v>#VALUE!</v>
      </c>
    </row>
    <row r="307" spans="1:8" ht="12.5">
      <c r="A307" s="121">
        <v>610423090019</v>
      </c>
      <c r="B307" s="10" t="s">
        <v>2213</v>
      </c>
      <c r="C307" s="10" t="e">
        <f ca="1">COUNTUNIQUEIFS('Alokasi Honor Hingga Sekarang'!D$2:D1009,'Alokasi Honor Hingga Sekarang'!C$2:C1009,A307)</f>
        <v>#NAME?</v>
      </c>
      <c r="D307" s="10" t="e">
        <f t="shared" ca="1" si="0"/>
        <v>#NAME?</v>
      </c>
      <c r="E307" s="82">
        <f t="array" ref="E307">INDEX('Database Mitra'!$R$2:$R1009,MATCH(A307,'Database Mitra'!$B$2:$B1009,0))</f>
        <v>30991</v>
      </c>
      <c r="F307" s="10" t="e">
        <f t="shared" ca="1" si="1"/>
        <v>#NAME?</v>
      </c>
      <c r="G307" s="10" t="e">
        <f t="array" ref="G307">INDEX('Database Mitra'!$E$2:$E1009,MATCH(A307,'Database Mitra'!$B$2:$B1009,0))</f>
        <v>#VALUE!</v>
      </c>
      <c r="H307" s="10" t="e">
        <f t="array" ref="H307">INDEX('Database Mitra'!$F$2:$F1009,MATCH(A307,'Database Mitra'!$B$2:$B1009,0))</f>
        <v>#VALUE!</v>
      </c>
    </row>
    <row r="308" spans="1:8" ht="12.5">
      <c r="A308" s="121">
        <v>610423110042</v>
      </c>
      <c r="B308" s="10" t="s">
        <v>2218</v>
      </c>
      <c r="C308" s="10" t="e">
        <f ca="1">COUNTUNIQUEIFS('Alokasi Honor Hingga Sekarang'!D$2:D1009,'Alokasi Honor Hingga Sekarang'!C$2:C1009,A308)</f>
        <v>#NAME?</v>
      </c>
      <c r="D308" s="10" t="e">
        <f t="shared" ca="1" si="0"/>
        <v>#NAME?</v>
      </c>
      <c r="E308" s="11">
        <f t="array" ref="E308">INDEX('Database Mitra'!$R$2:$R1009,MATCH(A308,'Database Mitra'!$B$2:$B1009,0))</f>
        <v>35017</v>
      </c>
      <c r="F308" s="10" t="e">
        <f t="shared" ca="1" si="1"/>
        <v>#NAME?</v>
      </c>
      <c r="G308" s="10" t="e">
        <f t="array" ref="G308">INDEX('Database Mitra'!$E$2:$E1009,MATCH(A308,'Database Mitra'!$B$2:$B1009,0))</f>
        <v>#VALUE!</v>
      </c>
      <c r="H308" s="10" t="e">
        <f t="array" ref="H308">INDEX('Database Mitra'!$F$2:$F1009,MATCH(A308,'Database Mitra'!$B$2:$B1009,0))</f>
        <v>#VALUE!</v>
      </c>
    </row>
    <row r="309" spans="1:8" ht="12.5">
      <c r="A309" s="121">
        <v>610422040018</v>
      </c>
      <c r="B309" s="10" t="s">
        <v>6013</v>
      </c>
      <c r="C309" s="10" t="e">
        <f ca="1">COUNTUNIQUEIFS('Alokasi Honor Hingga Sekarang'!D$2:D1009,'Alokasi Honor Hingga Sekarang'!C$2:C1009,A309)</f>
        <v>#NAME?</v>
      </c>
      <c r="D309" s="10" t="e">
        <f t="shared" ca="1" si="0"/>
        <v>#NAME?</v>
      </c>
      <c r="E309" s="11">
        <f t="array" ref="E309">INDEX('Database Mitra'!$R$2:$R1009,MATCH(A309,'Database Mitra'!$B$2:$B1009,0))</f>
        <v>37600</v>
      </c>
      <c r="F309" s="10" t="e">
        <f t="shared" ca="1" si="1"/>
        <v>#NAME?</v>
      </c>
      <c r="G309" s="10" t="e">
        <f t="array" ref="G309">INDEX('Database Mitra'!$E$2:$E1009,MATCH(A309,'Database Mitra'!$B$2:$B1009,0))</f>
        <v>#VALUE!</v>
      </c>
      <c r="H309" s="10" t="e">
        <f t="array" ref="H309">INDEX('Database Mitra'!$F$2:$F1009,MATCH(A309,'Database Mitra'!$B$2:$B1009,0))</f>
        <v>#VALUE!</v>
      </c>
    </row>
    <row r="310" spans="1:8" ht="12.5">
      <c r="A310" s="121">
        <v>610422030001</v>
      </c>
      <c r="B310" s="10" t="s">
        <v>6014</v>
      </c>
      <c r="C310" s="10" t="e">
        <f ca="1">COUNTUNIQUEIFS('Alokasi Honor Hingga Sekarang'!D$2:D1009,'Alokasi Honor Hingga Sekarang'!C$2:C1009,A310)</f>
        <v>#NAME?</v>
      </c>
      <c r="D310" s="10" t="e">
        <f t="shared" ca="1" si="0"/>
        <v>#NAME?</v>
      </c>
      <c r="E310" s="82">
        <f t="array" ref="E310">INDEX('Database Mitra'!$R$2:$R1009,MATCH(A310,'Database Mitra'!$B$2:$B1009,0))</f>
        <v>29441</v>
      </c>
      <c r="F310" s="10" t="e">
        <f t="shared" ca="1" si="1"/>
        <v>#NAME?</v>
      </c>
      <c r="G310" s="10" t="e">
        <f t="array" ref="G310">INDEX('Database Mitra'!$E$2:$E1009,MATCH(A310,'Database Mitra'!$B$2:$B1009,0))</f>
        <v>#VALUE!</v>
      </c>
      <c r="H310" s="10" t="e">
        <f t="array" ref="H310">INDEX('Database Mitra'!$F$2:$F1009,MATCH(A310,'Database Mitra'!$B$2:$B1009,0))</f>
        <v>#VALUE!</v>
      </c>
    </row>
    <row r="311" spans="1:8" ht="12.5">
      <c r="A311" s="121">
        <v>610422100124</v>
      </c>
      <c r="B311" s="10" t="s">
        <v>2237</v>
      </c>
      <c r="C311" s="10" t="e">
        <f ca="1">COUNTUNIQUEIFS('Alokasi Honor Hingga Sekarang'!D$2:D1009,'Alokasi Honor Hingga Sekarang'!C$2:C1009,A311)</f>
        <v>#NAME?</v>
      </c>
      <c r="D311" s="10" t="e">
        <f t="shared" ca="1" si="0"/>
        <v>#NAME?</v>
      </c>
      <c r="E311" s="82">
        <f t="array" ref="E311">INDEX('Database Mitra'!$R$2:$R1009,MATCH(A311,'Database Mitra'!$B$2:$B1009,0))</f>
        <v>29068</v>
      </c>
      <c r="F311" s="10" t="e">
        <f t="shared" ca="1" si="1"/>
        <v>#NAME?</v>
      </c>
      <c r="G311" s="10" t="str">
        <f t="array" ref="G311">INDEX('Database Mitra'!$E$2:$E1009,MATCH(A311,'Database Mitra'!$B$2:$B1009,0))</f>
        <v>PONTIANAK KOTA</v>
      </c>
      <c r="H311" s="10" t="str">
        <f t="array" ref="H311">INDEX('Database Mitra'!$F$2:$F1009,MATCH(A311,'Database Mitra'!$B$2:$B1009,0))</f>
        <v>SUNGAI BANGKONG</v>
      </c>
    </row>
    <row r="312" spans="1:8" ht="12.5">
      <c r="A312" s="121">
        <v>610422100051</v>
      </c>
      <c r="B312" s="10" t="s">
        <v>2244</v>
      </c>
      <c r="C312" s="10" t="e">
        <f ca="1">COUNTUNIQUEIFS('Alokasi Honor Hingga Sekarang'!D$2:D1009,'Alokasi Honor Hingga Sekarang'!C$2:C1009,A312)</f>
        <v>#NAME?</v>
      </c>
      <c r="D312" s="10" t="e">
        <f t="shared" ca="1" si="0"/>
        <v>#NAME?</v>
      </c>
      <c r="E312" s="82">
        <f t="array" ref="E312">INDEX('Database Mitra'!$R$2:$R1009,MATCH(A312,'Database Mitra'!$B$2:$B1009,0))</f>
        <v>36714</v>
      </c>
      <c r="F312" s="10" t="e">
        <f t="shared" ca="1" si="1"/>
        <v>#NAME?</v>
      </c>
      <c r="G312" s="10" t="e">
        <f t="array" ref="G312">INDEX('Database Mitra'!$E$2:$E1009,MATCH(A312,'Database Mitra'!$B$2:$B1009,0))</f>
        <v>#VALUE!</v>
      </c>
      <c r="H312" s="10" t="e">
        <f t="array" ref="H312">INDEX('Database Mitra'!$F$2:$F1009,MATCH(A312,'Database Mitra'!$B$2:$B1009,0))</f>
        <v>#VALUE!</v>
      </c>
    </row>
    <row r="313" spans="1:8" ht="12.5">
      <c r="A313" s="121">
        <v>610422020003</v>
      </c>
      <c r="B313" s="10" t="s">
        <v>2250</v>
      </c>
      <c r="C313" s="10" t="e">
        <f ca="1">COUNTUNIQUEIFS('Alokasi Honor Hingga Sekarang'!D$2:D1009,'Alokasi Honor Hingga Sekarang'!C$2:C1009,A313)</f>
        <v>#NAME?</v>
      </c>
      <c r="D313" s="10" t="e">
        <f t="shared" ca="1" si="0"/>
        <v>#NAME?</v>
      </c>
      <c r="E313" s="82">
        <f t="array" ref="E313">INDEX('Database Mitra'!$R$2:$R1009,MATCH(A313,'Database Mitra'!$B$2:$B1009,0))</f>
        <v>37565</v>
      </c>
      <c r="F313" s="10" t="e">
        <f t="shared" ca="1" si="1"/>
        <v>#NAME?</v>
      </c>
      <c r="G313" s="10" t="e">
        <f t="array" ref="G313">INDEX('Database Mitra'!$E$2:$E1009,MATCH(A313,'Database Mitra'!$B$2:$B1009,0))</f>
        <v>#VALUE!</v>
      </c>
      <c r="H313" s="10" t="e">
        <f t="array" ref="H313">INDEX('Database Mitra'!$F$2:$F1009,MATCH(A313,'Database Mitra'!$B$2:$B1009,0))</f>
        <v>#VALUE!</v>
      </c>
    </row>
    <row r="314" spans="1:8" ht="12.5">
      <c r="A314" s="121">
        <v>610423110032</v>
      </c>
      <c r="B314" s="10" t="s">
        <v>2256</v>
      </c>
      <c r="C314" s="10" t="e">
        <f ca="1">COUNTUNIQUEIFS('Alokasi Honor Hingga Sekarang'!D$2:D1009,'Alokasi Honor Hingga Sekarang'!C$2:C1009,A314)</f>
        <v>#NAME?</v>
      </c>
      <c r="D314" s="10" t="e">
        <f t="shared" ca="1" si="0"/>
        <v>#NAME?</v>
      </c>
      <c r="E314" s="82">
        <f t="array" ref="E314">INDEX('Database Mitra'!$R$2:$R1009,MATCH(A314,'Database Mitra'!$B$2:$B1009,0))</f>
        <v>36391</v>
      </c>
      <c r="F314" s="10" t="e">
        <f t="shared" ca="1" si="1"/>
        <v>#NAME?</v>
      </c>
      <c r="G314" s="10" t="e">
        <f t="array" ref="G314">INDEX('Database Mitra'!$E$2:$E1009,MATCH(A314,'Database Mitra'!$B$2:$B1009,0))</f>
        <v>#VALUE!</v>
      </c>
      <c r="H314" s="10" t="e">
        <f t="array" ref="H314">INDEX('Database Mitra'!$F$2:$F1009,MATCH(A314,'Database Mitra'!$B$2:$B1009,0))</f>
        <v>#VALUE!</v>
      </c>
    </row>
    <row r="315" spans="1:8" ht="12.5">
      <c r="A315" s="121">
        <v>610423110025</v>
      </c>
      <c r="B315" s="10" t="s">
        <v>6015</v>
      </c>
      <c r="C315" s="10" t="e">
        <f ca="1">COUNTUNIQUEIFS('Alokasi Honor Hingga Sekarang'!D$2:D1009,'Alokasi Honor Hingga Sekarang'!C$2:C1009,A315)</f>
        <v>#NAME?</v>
      </c>
      <c r="D315" s="10" t="e">
        <f t="shared" ca="1" si="0"/>
        <v>#NAME?</v>
      </c>
      <c r="E315" s="82">
        <f t="array" ref="E315">INDEX('Database Mitra'!$R$2:$R1009,MATCH(A315,'Database Mitra'!$B$2:$B1009,0))</f>
        <v>36965</v>
      </c>
      <c r="F315" s="10" t="e">
        <f t="shared" ca="1" si="1"/>
        <v>#NAME?</v>
      </c>
      <c r="G315" s="10" t="e">
        <f t="array" ref="G315">INDEX('Database Mitra'!$E$2:$E1009,MATCH(A315,'Database Mitra'!$B$2:$B1009,0))</f>
        <v>#VALUE!</v>
      </c>
      <c r="H315" s="10" t="e">
        <f t="array" ref="H315">INDEX('Database Mitra'!$F$2:$F1009,MATCH(A315,'Database Mitra'!$B$2:$B1009,0))</f>
        <v>#VALUE!</v>
      </c>
    </row>
    <row r="316" spans="1:8" ht="12.5">
      <c r="A316" s="121">
        <v>610422100180</v>
      </c>
      <c r="B316" s="10" t="s">
        <v>6016</v>
      </c>
      <c r="C316" s="10" t="e">
        <f ca="1">COUNTUNIQUEIFS('Alokasi Honor Hingga Sekarang'!D$2:D1009,'Alokasi Honor Hingga Sekarang'!C$2:C1009,A316)</f>
        <v>#NAME?</v>
      </c>
      <c r="D316" s="10" t="e">
        <f t="shared" ca="1" si="0"/>
        <v>#NAME?</v>
      </c>
      <c r="E316" s="82">
        <f t="array" ref="E316">INDEX('Database Mitra'!$R$2:$R1009,MATCH(A316,'Database Mitra'!$B$2:$B1009,0))</f>
        <v>36470</v>
      </c>
      <c r="F316" s="10" t="e">
        <f t="shared" ca="1" si="1"/>
        <v>#NAME?</v>
      </c>
      <c r="G316" s="10" t="e">
        <f t="array" ref="G316">INDEX('Database Mitra'!$E$2:$E1009,MATCH(A316,'Database Mitra'!$B$2:$B1009,0))</f>
        <v>#VALUE!</v>
      </c>
      <c r="H316" s="10" t="e">
        <f t="array" ref="H316">INDEX('Database Mitra'!$F$2:$F1009,MATCH(A316,'Database Mitra'!$B$2:$B1009,0))</f>
        <v>#VALUE!</v>
      </c>
    </row>
    <row r="317" spans="1:8" ht="12.5">
      <c r="A317" s="121">
        <v>610423110092</v>
      </c>
      <c r="B317" s="10" t="s">
        <v>2274</v>
      </c>
      <c r="C317" s="10" t="e">
        <f ca="1">COUNTUNIQUEIFS('Alokasi Honor Hingga Sekarang'!D$2:D1009,'Alokasi Honor Hingga Sekarang'!C$2:C1009,A317)</f>
        <v>#NAME?</v>
      </c>
      <c r="D317" s="10" t="e">
        <f t="shared" ca="1" si="0"/>
        <v>#NAME?</v>
      </c>
      <c r="E317" s="82">
        <f t="array" ref="E317">INDEX('Database Mitra'!$R$2:$R1009,MATCH(A317,'Database Mitra'!$B$2:$B1009,0))</f>
        <v>35923</v>
      </c>
      <c r="F317" s="10" t="e">
        <f t="shared" ca="1" si="1"/>
        <v>#NAME?</v>
      </c>
      <c r="G317" s="10" t="e">
        <f t="array" ref="G317">INDEX('Database Mitra'!$E$2:$E1009,MATCH(A317,'Database Mitra'!$B$2:$B1009,0))</f>
        <v>#VALUE!</v>
      </c>
      <c r="H317" s="10" t="e">
        <f t="array" ref="H317">INDEX('Database Mitra'!$F$2:$F1009,MATCH(A317,'Database Mitra'!$B$2:$B1009,0))</f>
        <v>#VALUE!</v>
      </c>
    </row>
    <row r="318" spans="1:8" ht="12.5">
      <c r="A318" s="121">
        <v>610422040035</v>
      </c>
      <c r="B318" s="10" t="s">
        <v>2281</v>
      </c>
      <c r="C318" s="10" t="e">
        <f ca="1">COUNTUNIQUEIFS('Alokasi Honor Hingga Sekarang'!D$2:D1009,'Alokasi Honor Hingga Sekarang'!C$2:C1009,A318)</f>
        <v>#NAME?</v>
      </c>
      <c r="D318" s="10" t="e">
        <f t="shared" ca="1" si="0"/>
        <v>#NAME?</v>
      </c>
      <c r="E318" s="82">
        <f t="array" ref="E318">INDEX('Database Mitra'!$R$2:$R1009,MATCH(A318,'Database Mitra'!$B$2:$B1009,0))</f>
        <v>35544</v>
      </c>
      <c r="F318" s="10" t="e">
        <f t="shared" ca="1" si="1"/>
        <v>#NAME?</v>
      </c>
      <c r="G318" s="10" t="e">
        <f t="array" ref="G318">INDEX('Database Mitra'!$E$2:$E1009,MATCH(A318,'Database Mitra'!$B$2:$B1009,0))</f>
        <v>#VALUE!</v>
      </c>
      <c r="H318" s="10" t="e">
        <f t="array" ref="H318">INDEX('Database Mitra'!$F$2:$F1009,MATCH(A318,'Database Mitra'!$B$2:$B1009,0))</f>
        <v>#VALUE!</v>
      </c>
    </row>
    <row r="319" spans="1:8" ht="12.5">
      <c r="A319" s="121">
        <v>610423110178</v>
      </c>
      <c r="B319" s="10" t="s">
        <v>6017</v>
      </c>
      <c r="C319" s="10" t="e">
        <f ca="1">COUNTUNIQUEIFS('Alokasi Honor Hingga Sekarang'!D$2:D1009,'Alokasi Honor Hingga Sekarang'!C$2:C1009,A319)</f>
        <v>#NAME?</v>
      </c>
      <c r="D319" s="10" t="e">
        <f t="shared" ca="1" si="0"/>
        <v>#NAME?</v>
      </c>
      <c r="E319" s="82">
        <f t="array" ref="E319">INDEX('Database Mitra'!$R$2:$R1009,MATCH(A319,'Database Mitra'!$B$2:$B1009,0))</f>
        <v>31925</v>
      </c>
      <c r="F319" s="10" t="e">
        <f t="shared" ca="1" si="1"/>
        <v>#NAME?</v>
      </c>
      <c r="G319" s="10" t="e">
        <f t="array" ref="G319">INDEX('Database Mitra'!$E$2:$E1009,MATCH(A319,'Database Mitra'!$B$2:$B1009,0))</f>
        <v>#VALUE!</v>
      </c>
      <c r="H319" s="10" t="e">
        <f t="array" ref="H319">INDEX('Database Mitra'!$F$2:$F1009,MATCH(A319,'Database Mitra'!$B$2:$B1009,0))</f>
        <v>#VALUE!</v>
      </c>
    </row>
    <row r="320" spans="1:8" ht="12.5">
      <c r="A320" s="121">
        <v>610422100175</v>
      </c>
      <c r="B320" s="10" t="s">
        <v>2295</v>
      </c>
      <c r="C320" s="10" t="e">
        <f ca="1">COUNTUNIQUEIFS('Alokasi Honor Hingga Sekarang'!D$2:D1009,'Alokasi Honor Hingga Sekarang'!C$2:C1009,A320)</f>
        <v>#NAME?</v>
      </c>
      <c r="D320" s="10" t="e">
        <f t="shared" ca="1" si="0"/>
        <v>#NAME?</v>
      </c>
      <c r="E320" s="82">
        <f t="array" ref="E320">INDEX('Database Mitra'!$R$2:$R1009,MATCH(A320,'Database Mitra'!$B$2:$B1009,0))</f>
        <v>36001</v>
      </c>
      <c r="F320" s="10" t="e">
        <f t="shared" ca="1" si="1"/>
        <v>#NAME?</v>
      </c>
      <c r="G320" s="10" t="e">
        <f t="array" ref="G320">INDEX('Database Mitra'!$E$2:$E1009,MATCH(A320,'Database Mitra'!$B$2:$B1009,0))</f>
        <v>#VALUE!</v>
      </c>
      <c r="H320" s="10" t="e">
        <f t="array" ref="H320">INDEX('Database Mitra'!$F$2:$F1009,MATCH(A320,'Database Mitra'!$B$2:$B1009,0))</f>
        <v>#VALUE!</v>
      </c>
    </row>
    <row r="321" spans="1:8" ht="12.5">
      <c r="A321" s="121">
        <v>610423110100</v>
      </c>
      <c r="B321" s="10" t="s">
        <v>2302</v>
      </c>
      <c r="C321" s="10" t="e">
        <f ca="1">COUNTUNIQUEIFS('Alokasi Honor Hingga Sekarang'!D$2:D1009,'Alokasi Honor Hingga Sekarang'!C$2:C1009,A321)</f>
        <v>#NAME?</v>
      </c>
      <c r="D321" s="10" t="e">
        <f t="shared" ca="1" si="0"/>
        <v>#NAME?</v>
      </c>
      <c r="E321" s="11">
        <f t="array" ref="E321">INDEX('Database Mitra'!$R$2:$R1009,MATCH(A321,'Database Mitra'!$B$2:$B1009,0))</f>
        <v>36097</v>
      </c>
      <c r="F321" s="10" t="e">
        <f t="shared" ca="1" si="1"/>
        <v>#NAME?</v>
      </c>
      <c r="G321" s="10" t="e">
        <f t="array" ref="G321">INDEX('Database Mitra'!$E$2:$E1009,MATCH(A321,'Database Mitra'!$B$2:$B1009,0))</f>
        <v>#VALUE!</v>
      </c>
      <c r="H321" s="10" t="e">
        <f t="array" ref="H321">INDEX('Database Mitra'!$F$2:$F1009,MATCH(A321,'Database Mitra'!$B$2:$B1009,0))</f>
        <v>#VALUE!</v>
      </c>
    </row>
    <row r="322" spans="1:8" ht="12.5">
      <c r="A322" s="121">
        <v>610423110017</v>
      </c>
      <c r="B322" s="10" t="s">
        <v>6018</v>
      </c>
      <c r="C322" s="10" t="e">
        <f ca="1">COUNTUNIQUEIFS('Alokasi Honor Hingga Sekarang'!D$2:D1009,'Alokasi Honor Hingga Sekarang'!C$2:C1009,A322)</f>
        <v>#NAME?</v>
      </c>
      <c r="D322" s="10" t="e">
        <f t="shared" ca="1" si="0"/>
        <v>#NAME?</v>
      </c>
      <c r="E322" s="11">
        <f t="array" ref="E322">INDEX('Database Mitra'!$R$2:$R1009,MATCH(A322,'Database Mitra'!$B$2:$B1009,0))</f>
        <v>35051</v>
      </c>
      <c r="F322" s="10" t="e">
        <f t="shared" ca="1" si="1"/>
        <v>#NAME?</v>
      </c>
      <c r="G322" s="10" t="e">
        <f t="array" ref="G322">INDEX('Database Mitra'!$E$2:$E1009,MATCH(A322,'Database Mitra'!$B$2:$B1009,0))</f>
        <v>#VALUE!</v>
      </c>
      <c r="H322" s="10" t="e">
        <f t="array" ref="H322">INDEX('Database Mitra'!$F$2:$F1009,MATCH(A322,'Database Mitra'!$B$2:$B1009,0))</f>
        <v>#VALUE!</v>
      </c>
    </row>
    <row r="323" spans="1:8" ht="12.5">
      <c r="A323" s="121">
        <v>610422100183</v>
      </c>
      <c r="B323" s="10" t="s">
        <v>2312</v>
      </c>
      <c r="C323" s="10" t="e">
        <f ca="1">COUNTUNIQUEIFS('Alokasi Honor Hingga Sekarang'!D$2:D1009,'Alokasi Honor Hingga Sekarang'!C$2:C1009,A323)</f>
        <v>#NAME?</v>
      </c>
      <c r="D323" s="10" t="e">
        <f t="shared" ca="1" si="0"/>
        <v>#NAME?</v>
      </c>
      <c r="E323" s="82">
        <f t="array" ref="E323">INDEX('Database Mitra'!$R$2:$R1009,MATCH(A323,'Database Mitra'!$B$2:$B1009,0))</f>
        <v>37172</v>
      </c>
      <c r="F323" s="10" t="e">
        <f t="shared" ca="1" si="1"/>
        <v>#NAME?</v>
      </c>
      <c r="G323" s="10" t="e">
        <f t="array" ref="G323">INDEX('Database Mitra'!$E$2:$E1009,MATCH(A323,'Database Mitra'!$B$2:$B1009,0))</f>
        <v>#VALUE!</v>
      </c>
      <c r="H323" s="10" t="e">
        <f t="array" ref="H323">INDEX('Database Mitra'!$F$2:$F1009,MATCH(A323,'Database Mitra'!$B$2:$B1009,0))</f>
        <v>#VALUE!</v>
      </c>
    </row>
    <row r="324" spans="1:8" ht="12.5">
      <c r="A324" s="121">
        <v>610422040027</v>
      </c>
      <c r="B324" s="10" t="s">
        <v>2319</v>
      </c>
      <c r="C324" s="10" t="e">
        <f ca="1">COUNTUNIQUEIFS('Alokasi Honor Hingga Sekarang'!D$2:D1009,'Alokasi Honor Hingga Sekarang'!C$2:C1009,A324)</f>
        <v>#NAME?</v>
      </c>
      <c r="D324" s="10" t="e">
        <f t="shared" ca="1" si="0"/>
        <v>#NAME?</v>
      </c>
      <c r="E324" s="82">
        <f t="array" ref="E324">INDEX('Database Mitra'!$R$2:$R1009,MATCH(A324,'Database Mitra'!$B$2:$B1009,0))</f>
        <v>36723</v>
      </c>
      <c r="F324" s="10" t="e">
        <f t="shared" ca="1" si="1"/>
        <v>#NAME?</v>
      </c>
      <c r="G324" s="10" t="e">
        <f t="array" ref="G324">INDEX('Database Mitra'!$E$2:$E1009,MATCH(A324,'Database Mitra'!$B$2:$B1009,0))</f>
        <v>#VALUE!</v>
      </c>
      <c r="H324" s="10" t="e">
        <f t="array" ref="H324">INDEX('Database Mitra'!$F$2:$F1009,MATCH(A324,'Database Mitra'!$B$2:$B1009,0))</f>
        <v>#VALUE!</v>
      </c>
    </row>
    <row r="325" spans="1:8" ht="12.5">
      <c r="A325" s="121">
        <v>610423110159</v>
      </c>
      <c r="B325" s="10" t="s">
        <v>6019</v>
      </c>
      <c r="C325" s="10" t="e">
        <f ca="1">COUNTUNIQUEIFS('Alokasi Honor Hingga Sekarang'!D$2:D1009,'Alokasi Honor Hingga Sekarang'!C$2:C1009,A325)</f>
        <v>#NAME?</v>
      </c>
      <c r="D325" s="10" t="e">
        <f t="shared" ca="1" si="0"/>
        <v>#NAME?</v>
      </c>
      <c r="E325" s="11">
        <f t="array" ref="E325">INDEX('Database Mitra'!$R$2:$R1009,MATCH(A325,'Database Mitra'!$B$2:$B1009,0))</f>
        <v>34693</v>
      </c>
      <c r="F325" s="10" t="e">
        <f t="shared" ca="1" si="1"/>
        <v>#NAME?</v>
      </c>
      <c r="G325" s="10" t="e">
        <f t="array" ref="G325">INDEX('Database Mitra'!$E$2:$E1009,MATCH(A325,'Database Mitra'!$B$2:$B1009,0))</f>
        <v>#VALUE!</v>
      </c>
      <c r="H325" s="10" t="e">
        <f t="array" ref="H325">INDEX('Database Mitra'!$F$2:$F1009,MATCH(A325,'Database Mitra'!$B$2:$B1009,0))</f>
        <v>#VALUE!</v>
      </c>
    </row>
    <row r="326" spans="1:8" ht="12.5">
      <c r="A326" s="121">
        <v>610422040006</v>
      </c>
      <c r="B326" s="10" t="s">
        <v>6020</v>
      </c>
      <c r="C326" s="10" t="e">
        <f ca="1">COUNTUNIQUEIFS('Alokasi Honor Hingga Sekarang'!D$2:D1009,'Alokasi Honor Hingga Sekarang'!C$2:C1009,A326)</f>
        <v>#NAME?</v>
      </c>
      <c r="D326" s="10" t="e">
        <f t="shared" ca="1" si="0"/>
        <v>#NAME?</v>
      </c>
      <c r="E326" s="82">
        <f t="array" ref="E326">INDEX('Database Mitra'!$R$2:$R1009,MATCH(A326,'Database Mitra'!$B$2:$B1009,0))</f>
        <v>37343</v>
      </c>
      <c r="F326" s="10" t="e">
        <f t="shared" ca="1" si="1"/>
        <v>#NAME?</v>
      </c>
      <c r="G326" s="10" t="e">
        <f t="array" ref="G326">INDEX('Database Mitra'!$E$2:$E1009,MATCH(A326,'Database Mitra'!$B$2:$B1009,0))</f>
        <v>#VALUE!</v>
      </c>
      <c r="H326" s="10" t="e">
        <f t="array" ref="H326">INDEX('Database Mitra'!$F$2:$F1009,MATCH(A326,'Database Mitra'!$B$2:$B1009,0))</f>
        <v>#VALUE!</v>
      </c>
    </row>
    <row r="327" spans="1:8" ht="12.5">
      <c r="A327" s="121">
        <v>610422100106</v>
      </c>
      <c r="B327" s="10" t="s">
        <v>2337</v>
      </c>
      <c r="C327" s="10" t="e">
        <f ca="1">COUNTUNIQUEIFS('Alokasi Honor Hingga Sekarang'!D$2:D1009,'Alokasi Honor Hingga Sekarang'!C$2:C1009,A327)</f>
        <v>#NAME?</v>
      </c>
      <c r="D327" s="10" t="e">
        <f t="shared" ca="1" si="0"/>
        <v>#NAME?</v>
      </c>
      <c r="E327" s="82">
        <f t="array" ref="E327">INDEX('Database Mitra'!$R$2:$R1009,MATCH(A327,'Database Mitra'!$B$2:$B1009,0))</f>
        <v>33451</v>
      </c>
      <c r="F327" s="10" t="e">
        <f t="shared" ca="1" si="1"/>
        <v>#NAME?</v>
      </c>
      <c r="G327" s="10" t="e">
        <f t="array" ref="G327">INDEX('Database Mitra'!$E$2:$E1009,MATCH(A327,'Database Mitra'!$B$2:$B1009,0))</f>
        <v>#VALUE!</v>
      </c>
      <c r="H327" s="10" t="e">
        <f t="array" ref="H327">INDEX('Database Mitra'!$F$2:$F1009,MATCH(A327,'Database Mitra'!$B$2:$B1009,0))</f>
        <v>#VALUE!</v>
      </c>
    </row>
    <row r="328" spans="1:8" ht="12.5">
      <c r="A328" s="121">
        <v>610423110166</v>
      </c>
      <c r="B328" s="10" t="s">
        <v>6021</v>
      </c>
      <c r="C328" s="10" t="e">
        <f ca="1">COUNTUNIQUEIFS('Alokasi Honor Hingga Sekarang'!D$2:D1009,'Alokasi Honor Hingga Sekarang'!C$2:C1009,A328)</f>
        <v>#NAME?</v>
      </c>
      <c r="D328" s="10" t="e">
        <f t="shared" ca="1" si="0"/>
        <v>#NAME?</v>
      </c>
      <c r="E328" s="82">
        <f t="array" ref="E328">INDEX('Database Mitra'!$R$2:$R1009,MATCH(A328,'Database Mitra'!$B$2:$B1009,0))</f>
        <v>36549</v>
      </c>
      <c r="F328" s="10" t="e">
        <f t="shared" ca="1" si="1"/>
        <v>#NAME?</v>
      </c>
      <c r="G328" s="10" t="e">
        <f t="array" ref="G328">INDEX('Database Mitra'!$E$2:$E1009,MATCH(A328,'Database Mitra'!$B$2:$B1009,0))</f>
        <v>#VALUE!</v>
      </c>
      <c r="H328" s="10" t="e">
        <f t="array" ref="H328">INDEX('Database Mitra'!$F$2:$F1009,MATCH(A328,'Database Mitra'!$B$2:$B1009,0))</f>
        <v>#VALUE!</v>
      </c>
    </row>
    <row r="329" spans="1:8" ht="12.5">
      <c r="A329" s="121">
        <v>610422100231</v>
      </c>
      <c r="B329" s="10" t="s">
        <v>2351</v>
      </c>
      <c r="C329" s="10" t="e">
        <f ca="1">COUNTUNIQUEIFS('Alokasi Honor Hingga Sekarang'!D$2:D1009,'Alokasi Honor Hingga Sekarang'!C$2:C1009,A329)</f>
        <v>#NAME?</v>
      </c>
      <c r="D329" s="10" t="e">
        <f t="shared" ca="1" si="0"/>
        <v>#NAME?</v>
      </c>
      <c r="E329" s="82">
        <f t="array" ref="E329">INDEX('Database Mitra'!$R$2:$R1009,MATCH(A329,'Database Mitra'!$B$2:$B1009,0))</f>
        <v>35691</v>
      </c>
      <c r="F329" s="10" t="e">
        <f t="shared" ca="1" si="1"/>
        <v>#NAME?</v>
      </c>
      <c r="G329" s="10" t="e">
        <f t="array" ref="G329">INDEX('Database Mitra'!$E$2:$E1009,MATCH(A329,'Database Mitra'!$B$2:$B1009,0))</f>
        <v>#VALUE!</v>
      </c>
      <c r="H329" s="10" t="e">
        <f t="array" ref="H329">INDEX('Database Mitra'!$F$2:$F1009,MATCH(A329,'Database Mitra'!$B$2:$B1009,0))</f>
        <v>#VALUE!</v>
      </c>
    </row>
    <row r="330" spans="1:8" ht="12.5">
      <c r="A330" s="121">
        <v>610422100029</v>
      </c>
      <c r="B330" s="10" t="s">
        <v>2357</v>
      </c>
      <c r="C330" s="10" t="e">
        <f ca="1">COUNTUNIQUEIFS('Alokasi Honor Hingga Sekarang'!D$2:D1009,'Alokasi Honor Hingga Sekarang'!C$2:C1009,A330)</f>
        <v>#NAME?</v>
      </c>
      <c r="D330" s="10" t="e">
        <f t="shared" ca="1" si="0"/>
        <v>#NAME?</v>
      </c>
      <c r="E330" s="82">
        <f t="array" ref="E330">INDEX('Database Mitra'!$R$2:$R1009,MATCH(A330,'Database Mitra'!$B$2:$B1009,0))</f>
        <v>36730</v>
      </c>
      <c r="F330" s="10" t="e">
        <f t="shared" ca="1" si="1"/>
        <v>#NAME?</v>
      </c>
      <c r="G330" s="10" t="e">
        <f t="array" ref="G330">INDEX('Database Mitra'!$E$2:$E1009,MATCH(A330,'Database Mitra'!$B$2:$B1009,0))</f>
        <v>#VALUE!</v>
      </c>
      <c r="H330" s="10" t="e">
        <f t="array" ref="H330">INDEX('Database Mitra'!$F$2:$F1009,MATCH(A330,'Database Mitra'!$B$2:$B1009,0))</f>
        <v>#VALUE!</v>
      </c>
    </row>
    <row r="331" spans="1:8" ht="12.5">
      <c r="A331" s="121">
        <v>610423110150</v>
      </c>
      <c r="B331" s="10" t="s">
        <v>2364</v>
      </c>
      <c r="C331" s="10" t="e">
        <f ca="1">COUNTUNIQUEIFS('Alokasi Honor Hingga Sekarang'!D$2:D1009,'Alokasi Honor Hingga Sekarang'!C$2:C1009,A331)</f>
        <v>#NAME?</v>
      </c>
      <c r="D331" s="10" t="e">
        <f t="shared" ca="1" si="0"/>
        <v>#NAME?</v>
      </c>
      <c r="E331" s="82">
        <f t="array" ref="E331">INDEX('Database Mitra'!$R$2:$R1009,MATCH(A331,'Database Mitra'!$B$2:$B1009,0))</f>
        <v>34381</v>
      </c>
      <c r="F331" s="10" t="e">
        <f t="shared" ca="1" si="1"/>
        <v>#NAME?</v>
      </c>
      <c r="G331" s="10" t="e">
        <f t="array" ref="G331">INDEX('Database Mitra'!$E$2:$E1009,MATCH(A331,'Database Mitra'!$B$2:$B1009,0))</f>
        <v>#VALUE!</v>
      </c>
      <c r="H331" s="10" t="e">
        <f t="array" ref="H331">INDEX('Database Mitra'!$F$2:$F1009,MATCH(A331,'Database Mitra'!$B$2:$B1009,0))</f>
        <v>#VALUE!</v>
      </c>
    </row>
    <row r="332" spans="1:8" ht="12.5">
      <c r="A332" s="121">
        <v>610423110197</v>
      </c>
      <c r="B332" s="10" t="s">
        <v>2369</v>
      </c>
      <c r="C332" s="10" t="e">
        <f ca="1">COUNTUNIQUEIFS('Alokasi Honor Hingga Sekarang'!D$2:D1009,'Alokasi Honor Hingga Sekarang'!C$2:C1009,A332)</f>
        <v>#NAME?</v>
      </c>
      <c r="D332" s="10" t="e">
        <f t="shared" ca="1" si="0"/>
        <v>#NAME?</v>
      </c>
      <c r="E332" s="11">
        <f t="array" ref="E332">INDEX('Database Mitra'!$R$2:$R1009,MATCH(A332,'Database Mitra'!$B$2:$B1009,0))</f>
        <v>38286</v>
      </c>
      <c r="F332" s="10" t="e">
        <f t="shared" ca="1" si="1"/>
        <v>#NAME?</v>
      </c>
      <c r="G332" s="10" t="e">
        <f t="array" ref="G332">INDEX('Database Mitra'!$E$2:$E1009,MATCH(A332,'Database Mitra'!$B$2:$B1009,0))</f>
        <v>#VALUE!</v>
      </c>
      <c r="H332" s="10" t="e">
        <f t="array" ref="H332">INDEX('Database Mitra'!$F$2:$F1009,MATCH(A332,'Database Mitra'!$B$2:$B1009,0))</f>
        <v>#VALUE!</v>
      </c>
    </row>
    <row r="333" spans="1:8" ht="12.5">
      <c r="A333" s="121">
        <v>610423040020</v>
      </c>
      <c r="B333" s="10" t="s">
        <v>6022</v>
      </c>
      <c r="C333" s="10" t="e">
        <f ca="1">COUNTUNIQUEIFS('Alokasi Honor Hingga Sekarang'!D$2:D1009,'Alokasi Honor Hingga Sekarang'!C$2:C1009,A333)</f>
        <v>#NAME?</v>
      </c>
      <c r="D333" s="10" t="e">
        <f t="shared" ca="1" si="0"/>
        <v>#NAME?</v>
      </c>
      <c r="E333" s="11">
        <f t="array" ref="E333">INDEX('Database Mitra'!$R$2:$R1009,MATCH(A333,'Database Mitra'!$B$2:$B1009,0))</f>
        <v>36885</v>
      </c>
      <c r="F333" s="10" t="e">
        <f t="shared" ca="1" si="1"/>
        <v>#NAME?</v>
      </c>
      <c r="G333" s="10" t="e">
        <f t="array" ref="G333">INDEX('Database Mitra'!$E$2:$E1009,MATCH(A333,'Database Mitra'!$B$2:$B1009,0))</f>
        <v>#VALUE!</v>
      </c>
      <c r="H333" s="10" t="e">
        <f t="array" ref="H333">INDEX('Database Mitra'!$F$2:$F1009,MATCH(A333,'Database Mitra'!$B$2:$B1009,0))</f>
        <v>#VALUE!</v>
      </c>
    </row>
    <row r="334" spans="1:8" ht="12.5">
      <c r="A334" s="121">
        <v>610423110012</v>
      </c>
      <c r="B334" s="10" t="s">
        <v>2379</v>
      </c>
      <c r="C334" s="10" t="e">
        <f ca="1">COUNTUNIQUEIFS('Alokasi Honor Hingga Sekarang'!D$2:D1009,'Alokasi Honor Hingga Sekarang'!C$2:C1009,A334)</f>
        <v>#NAME?</v>
      </c>
      <c r="D334" s="10" t="e">
        <f t="shared" ca="1" si="0"/>
        <v>#NAME?</v>
      </c>
      <c r="E334" s="82">
        <f t="array" ref="E334">INDEX('Database Mitra'!$R$2:$R1009,MATCH(A334,'Database Mitra'!$B$2:$B1009,0))</f>
        <v>37370</v>
      </c>
      <c r="F334" s="10" t="e">
        <f t="shared" ca="1" si="1"/>
        <v>#NAME?</v>
      </c>
      <c r="G334" s="10" t="e">
        <f t="array" ref="G334">INDEX('Database Mitra'!$E$2:$E1009,MATCH(A334,'Database Mitra'!$B$2:$B1009,0))</f>
        <v>#VALUE!</v>
      </c>
      <c r="H334" s="10" t="e">
        <f t="array" ref="H334">INDEX('Database Mitra'!$F$2:$F1009,MATCH(A334,'Database Mitra'!$B$2:$B1009,0))</f>
        <v>#VALUE!</v>
      </c>
    </row>
    <row r="335" spans="1:8" ht="12.5">
      <c r="A335" s="121">
        <v>610423090014</v>
      </c>
      <c r="B335" s="10" t="s">
        <v>6023</v>
      </c>
      <c r="C335" s="10" t="e">
        <f ca="1">COUNTUNIQUEIFS('Alokasi Honor Hingga Sekarang'!D$2:D1009,'Alokasi Honor Hingga Sekarang'!C$2:C1009,A335)</f>
        <v>#NAME?</v>
      </c>
      <c r="D335" s="10" t="e">
        <f t="shared" ca="1" si="0"/>
        <v>#NAME?</v>
      </c>
      <c r="E335" s="82">
        <f t="array" ref="E335">INDEX('Database Mitra'!$R$2:$R1009,MATCH(A335,'Database Mitra'!$B$2:$B1009,0))</f>
        <v>36649</v>
      </c>
      <c r="F335" s="10" t="e">
        <f t="shared" ca="1" si="1"/>
        <v>#NAME?</v>
      </c>
      <c r="G335" s="10" t="e">
        <f t="array" ref="G335">INDEX('Database Mitra'!$E$2:$E1009,MATCH(A335,'Database Mitra'!$B$2:$B1009,0))</f>
        <v>#VALUE!</v>
      </c>
      <c r="H335" s="10" t="e">
        <f t="array" ref="H335">INDEX('Database Mitra'!$F$2:$F1009,MATCH(A335,'Database Mitra'!$B$2:$B1009,0))</f>
        <v>#VALUE!</v>
      </c>
    </row>
    <row r="336" spans="1:8" ht="12.5">
      <c r="A336" s="121">
        <v>610423110191</v>
      </c>
      <c r="B336" s="10" t="s">
        <v>2391</v>
      </c>
      <c r="C336" s="10" t="e">
        <f ca="1">COUNTUNIQUEIFS('Alokasi Honor Hingga Sekarang'!D$2:D1009,'Alokasi Honor Hingga Sekarang'!C$2:C1009,A336)</f>
        <v>#NAME?</v>
      </c>
      <c r="D336" s="10" t="e">
        <f t="shared" ca="1" si="0"/>
        <v>#NAME?</v>
      </c>
      <c r="E336" s="82">
        <f t="array" ref="E336">INDEX('Database Mitra'!$R$2:$R1009,MATCH(A336,'Database Mitra'!$B$2:$B1009,0))</f>
        <v>36995</v>
      </c>
      <c r="F336" s="10" t="e">
        <f t="shared" ca="1" si="1"/>
        <v>#NAME?</v>
      </c>
      <c r="G336" s="10" t="e">
        <f t="array" ref="G336">INDEX('Database Mitra'!$E$2:$E1009,MATCH(A336,'Database Mitra'!$B$2:$B1009,0))</f>
        <v>#VALUE!</v>
      </c>
      <c r="H336" s="10" t="e">
        <f t="array" ref="H336">INDEX('Database Mitra'!$F$2:$F1009,MATCH(A336,'Database Mitra'!$B$2:$B1009,0))</f>
        <v>#VALUE!</v>
      </c>
    </row>
    <row r="337" spans="1:8" ht="12.5">
      <c r="A337" s="121">
        <v>610423090015</v>
      </c>
      <c r="B337" s="10" t="s">
        <v>6024</v>
      </c>
      <c r="C337" s="10" t="e">
        <f ca="1">COUNTUNIQUEIFS('Alokasi Honor Hingga Sekarang'!D$2:D1009,'Alokasi Honor Hingga Sekarang'!C$2:C1009,A337)</f>
        <v>#NAME?</v>
      </c>
      <c r="D337" s="10" t="e">
        <f t="shared" ca="1" si="0"/>
        <v>#NAME?</v>
      </c>
      <c r="E337" s="82">
        <f t="array" ref="E337">INDEX('Database Mitra'!$R$2:$R1009,MATCH(A337,'Database Mitra'!$B$2:$B1009,0))</f>
        <v>35927</v>
      </c>
      <c r="F337" s="10" t="e">
        <f t="shared" ca="1" si="1"/>
        <v>#NAME?</v>
      </c>
      <c r="G337" s="10" t="e">
        <f t="array" ref="G337">INDEX('Database Mitra'!$E$2:$E1009,MATCH(A337,'Database Mitra'!$B$2:$B1009,0))</f>
        <v>#VALUE!</v>
      </c>
      <c r="H337" s="10" t="e">
        <f t="array" ref="H337">INDEX('Database Mitra'!$F$2:$F1009,MATCH(A337,'Database Mitra'!$B$2:$B1009,0))</f>
        <v>#VALUE!</v>
      </c>
    </row>
    <row r="338" spans="1:8" ht="12.5">
      <c r="A338" s="121">
        <v>610423110073</v>
      </c>
      <c r="B338" s="10" t="s">
        <v>2401</v>
      </c>
      <c r="C338" s="10" t="e">
        <f ca="1">COUNTUNIQUEIFS('Alokasi Honor Hingga Sekarang'!D$2:D1009,'Alokasi Honor Hingga Sekarang'!C$2:C1009,A338)</f>
        <v>#NAME?</v>
      </c>
      <c r="D338" s="10" t="e">
        <f t="shared" ca="1" si="0"/>
        <v>#NAME?</v>
      </c>
      <c r="E338" s="82">
        <f t="array" ref="E338">INDEX('Database Mitra'!$R$2:$R1009,MATCH(A338,'Database Mitra'!$B$2:$B1009,0))</f>
        <v>35931</v>
      </c>
      <c r="F338" s="10" t="e">
        <f t="shared" ca="1" si="1"/>
        <v>#NAME?</v>
      </c>
      <c r="G338" s="10" t="e">
        <f t="array" ref="G338">INDEX('Database Mitra'!$E$2:$E1009,MATCH(A338,'Database Mitra'!$B$2:$B1009,0))</f>
        <v>#VALUE!</v>
      </c>
      <c r="H338" s="10" t="e">
        <f t="array" ref="H338">INDEX('Database Mitra'!$F$2:$F1009,MATCH(A338,'Database Mitra'!$B$2:$B1009,0))</f>
        <v>#VALUE!</v>
      </c>
    </row>
    <row r="339" spans="1:8" ht="12.5">
      <c r="A339" s="121">
        <v>610422100188</v>
      </c>
      <c r="B339" s="10" t="s">
        <v>2408</v>
      </c>
      <c r="C339" s="10" t="e">
        <f ca="1">COUNTUNIQUEIFS('Alokasi Honor Hingga Sekarang'!D$2:D1009,'Alokasi Honor Hingga Sekarang'!C$2:C1009,A339)</f>
        <v>#NAME?</v>
      </c>
      <c r="D339" s="10" t="e">
        <f t="shared" ca="1" si="0"/>
        <v>#NAME?</v>
      </c>
      <c r="E339" s="82">
        <f t="array" ref="E339">INDEX('Database Mitra'!$R$2:$R1009,MATCH(A339,'Database Mitra'!$B$2:$B1009,0))</f>
        <v>36592</v>
      </c>
      <c r="F339" s="10" t="e">
        <f t="shared" ca="1" si="1"/>
        <v>#NAME?</v>
      </c>
      <c r="G339" s="10" t="e">
        <f t="array" ref="G339">INDEX('Database Mitra'!$E$2:$E1009,MATCH(A339,'Database Mitra'!$B$2:$B1009,0))</f>
        <v>#VALUE!</v>
      </c>
      <c r="H339" s="10" t="e">
        <f t="array" ref="H339">INDEX('Database Mitra'!$F$2:$F1009,MATCH(A339,'Database Mitra'!$B$2:$B1009,0))</f>
        <v>#VALUE!</v>
      </c>
    </row>
    <row r="340" spans="1:8" ht="12.5">
      <c r="A340" s="121">
        <v>610423110096</v>
      </c>
      <c r="B340" s="10" t="s">
        <v>2414</v>
      </c>
      <c r="C340" s="10" t="e">
        <f ca="1">COUNTUNIQUEIFS('Alokasi Honor Hingga Sekarang'!D$2:D1009,'Alokasi Honor Hingga Sekarang'!C$2:C1009,A340)</f>
        <v>#NAME?</v>
      </c>
      <c r="D340" s="10" t="e">
        <f t="shared" ca="1" si="0"/>
        <v>#NAME?</v>
      </c>
      <c r="E340" s="82">
        <f t="array" ref="E340">INDEX('Database Mitra'!$R$2:$R1009,MATCH(A340,'Database Mitra'!$B$2:$B1009,0))</f>
        <v>35195</v>
      </c>
      <c r="F340" s="10" t="e">
        <f t="shared" ca="1" si="1"/>
        <v>#NAME?</v>
      </c>
      <c r="G340" s="10" t="e">
        <f t="array" ref="G340">INDEX('Database Mitra'!$E$2:$E1009,MATCH(A340,'Database Mitra'!$B$2:$B1009,0))</f>
        <v>#VALUE!</v>
      </c>
      <c r="H340" s="10" t="e">
        <f t="array" ref="H340">INDEX('Database Mitra'!$F$2:$F1009,MATCH(A340,'Database Mitra'!$B$2:$B1009,0))</f>
        <v>#VALUE!</v>
      </c>
    </row>
    <row r="341" spans="1:8" ht="12.5">
      <c r="A341" s="121">
        <v>610422100229</v>
      </c>
      <c r="B341" s="10" t="s">
        <v>2420</v>
      </c>
      <c r="C341" s="10" t="e">
        <f ca="1">COUNTUNIQUEIFS('Alokasi Honor Hingga Sekarang'!D$2:D1009,'Alokasi Honor Hingga Sekarang'!C$2:C1009,A341)</f>
        <v>#NAME?</v>
      </c>
      <c r="D341" s="10" t="e">
        <f t="shared" ca="1" si="0"/>
        <v>#NAME?</v>
      </c>
      <c r="E341" s="82">
        <f t="array" ref="E341">INDEX('Database Mitra'!$R$2:$R1009,MATCH(A341,'Database Mitra'!$B$2:$B1009,0))</f>
        <v>36423</v>
      </c>
      <c r="F341" s="10" t="e">
        <f t="shared" ca="1" si="1"/>
        <v>#NAME?</v>
      </c>
      <c r="G341" s="10" t="e">
        <f t="array" ref="G341">INDEX('Database Mitra'!$E$2:$E1009,MATCH(A341,'Database Mitra'!$B$2:$B1009,0))</f>
        <v>#VALUE!</v>
      </c>
      <c r="H341" s="10" t="e">
        <f t="array" ref="H341">INDEX('Database Mitra'!$F$2:$F1009,MATCH(A341,'Database Mitra'!$B$2:$B1009,0))</f>
        <v>#VALUE!</v>
      </c>
    </row>
    <row r="342" spans="1:8" ht="12.5">
      <c r="A342" s="121">
        <v>610422100225</v>
      </c>
      <c r="B342" s="10" t="s">
        <v>6025</v>
      </c>
      <c r="C342" s="10" t="e">
        <f ca="1">COUNTUNIQUEIFS('Alokasi Honor Hingga Sekarang'!D$2:D1009,'Alokasi Honor Hingga Sekarang'!C$2:C1009,A342)</f>
        <v>#NAME?</v>
      </c>
      <c r="D342" s="10" t="e">
        <f t="shared" ca="1" si="0"/>
        <v>#NAME?</v>
      </c>
      <c r="E342" s="82">
        <f t="array" ref="E342">INDEX('Database Mitra'!$R$2:$R1009,MATCH(A342,'Database Mitra'!$B$2:$B1009,0))</f>
        <v>33771</v>
      </c>
      <c r="F342" s="10" t="e">
        <f t="shared" ca="1" si="1"/>
        <v>#NAME?</v>
      </c>
      <c r="G342" s="10" t="e">
        <f t="array" ref="G342">INDEX('Database Mitra'!$E$2:$E1009,MATCH(A342,'Database Mitra'!$B$2:$B1009,0))</f>
        <v>#VALUE!</v>
      </c>
      <c r="H342" s="10" t="e">
        <f t="array" ref="H342">INDEX('Database Mitra'!$F$2:$F1009,MATCH(A342,'Database Mitra'!$B$2:$B1009,0))</f>
        <v>#VALUE!</v>
      </c>
    </row>
    <row r="343" spans="1:8" ht="12.5">
      <c r="A343" s="121">
        <v>610423090016</v>
      </c>
      <c r="B343" s="10" t="s">
        <v>2434</v>
      </c>
      <c r="C343" s="10" t="e">
        <f ca="1">COUNTUNIQUEIFS('Alokasi Honor Hingga Sekarang'!D$2:D1009,'Alokasi Honor Hingga Sekarang'!C$2:C1009,A343)</f>
        <v>#NAME?</v>
      </c>
      <c r="D343" s="10" t="e">
        <f t="shared" ca="1" si="0"/>
        <v>#NAME?</v>
      </c>
      <c r="E343" s="82">
        <f t="array" ref="E343">INDEX('Database Mitra'!$R$2:$R1009,MATCH(A343,'Database Mitra'!$B$2:$B1009,0))</f>
        <v>35206</v>
      </c>
      <c r="F343" s="10" t="e">
        <f t="shared" ca="1" si="1"/>
        <v>#NAME?</v>
      </c>
      <c r="G343" s="10" t="e">
        <f t="array" ref="G343">INDEX('Database Mitra'!$E$2:$E1009,MATCH(A343,'Database Mitra'!$B$2:$B1009,0))</f>
        <v>#VALUE!</v>
      </c>
      <c r="H343" s="10" t="e">
        <f t="array" ref="H343">INDEX('Database Mitra'!$F$2:$F1009,MATCH(A343,'Database Mitra'!$B$2:$B1009,0))</f>
        <v>#VALUE!</v>
      </c>
    </row>
    <row r="344" spans="1:8" ht="12.5">
      <c r="A344" s="121">
        <v>610422040061</v>
      </c>
      <c r="B344" s="10" t="s">
        <v>2440</v>
      </c>
      <c r="C344" s="10" t="e">
        <f ca="1">COUNTUNIQUEIFS('Alokasi Honor Hingga Sekarang'!D$2:D1009,'Alokasi Honor Hingga Sekarang'!C$2:C1009,A344)</f>
        <v>#NAME?</v>
      </c>
      <c r="D344" s="10" t="e">
        <f t="shared" ca="1" si="0"/>
        <v>#NAME?</v>
      </c>
      <c r="E344" s="11">
        <f t="array" ref="E344">INDEX('Database Mitra'!$R$2:$R1009,MATCH(A344,'Database Mitra'!$B$2:$B1009,0))</f>
        <v>31777</v>
      </c>
      <c r="F344" s="10" t="e">
        <f t="shared" ca="1" si="1"/>
        <v>#NAME?</v>
      </c>
      <c r="G344" s="10" t="e">
        <f t="array" ref="G344">INDEX('Database Mitra'!$E$2:$E1009,MATCH(A344,'Database Mitra'!$B$2:$B1009,0))</f>
        <v>#VALUE!</v>
      </c>
      <c r="H344" s="10" t="e">
        <f t="array" ref="H344">INDEX('Database Mitra'!$F$2:$F1009,MATCH(A344,'Database Mitra'!$B$2:$B1009,0))</f>
        <v>#VALUE!</v>
      </c>
    </row>
    <row r="345" spans="1:8" ht="12.5">
      <c r="A345" s="121">
        <v>610423110007</v>
      </c>
      <c r="B345" s="10" t="s">
        <v>6026</v>
      </c>
      <c r="C345" s="10" t="e">
        <f ca="1">COUNTUNIQUEIFS('Alokasi Honor Hingga Sekarang'!D$2:D1009,'Alokasi Honor Hingga Sekarang'!C$2:C1009,A345)</f>
        <v>#NAME?</v>
      </c>
      <c r="D345" s="10" t="e">
        <f t="shared" ca="1" si="0"/>
        <v>#NAME?</v>
      </c>
      <c r="E345" s="82">
        <f t="array" ref="E345">INDEX('Database Mitra'!$R$2:$R1009,MATCH(A345,'Database Mitra'!$B$2:$B1009,0))</f>
        <v>38444</v>
      </c>
      <c r="F345" s="10" t="e">
        <f t="shared" ca="1" si="1"/>
        <v>#NAME?</v>
      </c>
      <c r="G345" s="10" t="e">
        <f t="array" ref="G345">INDEX('Database Mitra'!$E$2:$E1009,MATCH(A345,'Database Mitra'!$B$2:$B1009,0))</f>
        <v>#VALUE!</v>
      </c>
      <c r="H345" s="10" t="e">
        <f t="array" ref="H345">INDEX('Database Mitra'!$F$2:$F1009,MATCH(A345,'Database Mitra'!$B$2:$B1009,0))</f>
        <v>#VALUE!</v>
      </c>
    </row>
    <row r="346" spans="1:8" ht="12.5">
      <c r="A346" s="121">
        <v>610423110108</v>
      </c>
      <c r="B346" s="10" t="s">
        <v>2454</v>
      </c>
      <c r="C346" s="10" t="e">
        <f ca="1">COUNTUNIQUEIFS('Alokasi Honor Hingga Sekarang'!D$2:D1009,'Alokasi Honor Hingga Sekarang'!C$2:C1009,A346)</f>
        <v>#NAME?</v>
      </c>
      <c r="D346" s="10" t="e">
        <f t="shared" ca="1" si="0"/>
        <v>#NAME?</v>
      </c>
      <c r="E346" s="82">
        <f t="array" ref="E346">INDEX('Database Mitra'!$R$2:$R1009,MATCH(A346,'Database Mitra'!$B$2:$B1009,0))</f>
        <v>34170</v>
      </c>
      <c r="F346" s="10" t="e">
        <f t="shared" ca="1" si="1"/>
        <v>#NAME?</v>
      </c>
      <c r="G346" s="10" t="e">
        <f t="array" ref="G346">INDEX('Database Mitra'!$E$2:$E1009,MATCH(A346,'Database Mitra'!$B$2:$B1009,0))</f>
        <v>#VALUE!</v>
      </c>
      <c r="H346" s="10" t="e">
        <f t="array" ref="H346">INDEX('Database Mitra'!$F$2:$F1009,MATCH(A346,'Database Mitra'!$B$2:$B1009,0))</f>
        <v>#VALUE!</v>
      </c>
    </row>
    <row r="347" spans="1:8" ht="12.5">
      <c r="A347" s="121">
        <v>610422060011</v>
      </c>
      <c r="B347" s="10" t="s">
        <v>6027</v>
      </c>
      <c r="C347" s="10" t="e">
        <f ca="1">COUNTUNIQUEIFS('Alokasi Honor Hingga Sekarang'!D$2:D1009,'Alokasi Honor Hingga Sekarang'!C$2:C1009,A347)</f>
        <v>#NAME?</v>
      </c>
      <c r="D347" s="10" t="e">
        <f t="shared" ca="1" si="0"/>
        <v>#NAME?</v>
      </c>
      <c r="E347" s="82">
        <f t="array" ref="E347">INDEX('Database Mitra'!$R$2:$R1009,MATCH(A347,'Database Mitra'!$B$2:$B1009,0))</f>
        <v>32143</v>
      </c>
      <c r="F347" s="10" t="e">
        <f t="shared" ca="1" si="1"/>
        <v>#NAME?</v>
      </c>
      <c r="G347" s="10" t="e">
        <f t="array" ref="G347">INDEX('Database Mitra'!$E$2:$E1009,MATCH(A347,'Database Mitra'!$B$2:$B1009,0))</f>
        <v>#VALUE!</v>
      </c>
      <c r="H347" s="10" t="e">
        <f t="array" ref="H347">INDEX('Database Mitra'!$F$2:$F1009,MATCH(A347,'Database Mitra'!$B$2:$B1009,0))</f>
        <v>#VALUE!</v>
      </c>
    </row>
    <row r="348" spans="1:8" ht="12.5">
      <c r="A348" s="121">
        <v>610423110052</v>
      </c>
      <c r="B348" s="10" t="s">
        <v>2465</v>
      </c>
      <c r="C348" s="10" t="e">
        <f ca="1">COUNTUNIQUEIFS('Alokasi Honor Hingga Sekarang'!D$2:D1009,'Alokasi Honor Hingga Sekarang'!C$2:C1009,A348)</f>
        <v>#NAME?</v>
      </c>
      <c r="D348" s="10" t="e">
        <f t="shared" ca="1" si="0"/>
        <v>#NAME?</v>
      </c>
      <c r="E348" s="82">
        <f t="array" ref="E348">INDEX('Database Mitra'!$R$2:$R1009,MATCH(A348,'Database Mitra'!$B$2:$B1009,0))</f>
        <v>36346</v>
      </c>
      <c r="F348" s="10" t="e">
        <f t="shared" ca="1" si="1"/>
        <v>#NAME?</v>
      </c>
      <c r="G348" s="10" t="e">
        <f t="array" ref="G348">INDEX('Database Mitra'!$E$2:$E1009,MATCH(A348,'Database Mitra'!$B$2:$B1009,0))</f>
        <v>#VALUE!</v>
      </c>
      <c r="H348" s="10" t="e">
        <f t="array" ref="H348">INDEX('Database Mitra'!$F$2:$F1009,MATCH(A348,'Database Mitra'!$B$2:$B1009,0))</f>
        <v>#VALUE!</v>
      </c>
    </row>
    <row r="349" spans="1:8" ht="12.5">
      <c r="A349" s="121">
        <v>610423090025</v>
      </c>
      <c r="B349" s="10" t="s">
        <v>6028</v>
      </c>
      <c r="C349" s="10" t="e">
        <f ca="1">COUNTUNIQUEIFS('Alokasi Honor Hingga Sekarang'!D$2:D1009,'Alokasi Honor Hingga Sekarang'!C$2:C1009,A349)</f>
        <v>#NAME?</v>
      </c>
      <c r="D349" s="10" t="e">
        <f t="shared" ca="1" si="0"/>
        <v>#NAME?</v>
      </c>
      <c r="E349" s="82">
        <f t="array" ref="E349">INDEX('Database Mitra'!$R$2:$R1009,MATCH(A349,'Database Mitra'!$B$2:$B1009,0))</f>
        <v>35520</v>
      </c>
      <c r="F349" s="10" t="e">
        <f t="shared" ca="1" si="1"/>
        <v>#NAME?</v>
      </c>
      <c r="G349" s="10" t="e">
        <f t="array" ref="G349">INDEX('Database Mitra'!$E$2:$E1009,MATCH(A349,'Database Mitra'!$B$2:$B1009,0))</f>
        <v>#VALUE!</v>
      </c>
      <c r="H349" s="10" t="e">
        <f t="array" ref="H349">INDEX('Database Mitra'!$F$2:$F1009,MATCH(A349,'Database Mitra'!$B$2:$B1009,0))</f>
        <v>#VALUE!</v>
      </c>
    </row>
    <row r="350" spans="1:8" ht="12.5">
      <c r="A350" s="121">
        <v>610423110048</v>
      </c>
      <c r="B350" s="10" t="s">
        <v>2479</v>
      </c>
      <c r="C350" s="10" t="e">
        <f ca="1">COUNTUNIQUEIFS('Alokasi Honor Hingga Sekarang'!D$2:D1009,'Alokasi Honor Hingga Sekarang'!C$2:C1009,A350)</f>
        <v>#NAME?</v>
      </c>
      <c r="D350" s="10" t="e">
        <f t="shared" ca="1" si="0"/>
        <v>#NAME?</v>
      </c>
      <c r="E350" s="82">
        <f t="array" ref="E350">INDEX('Database Mitra'!$R$2:$R1009,MATCH(A350,'Database Mitra'!$B$2:$B1009,0))</f>
        <v>35636</v>
      </c>
      <c r="F350" s="10" t="e">
        <f t="shared" ca="1" si="1"/>
        <v>#NAME?</v>
      </c>
      <c r="G350" s="10" t="e">
        <f t="array" ref="G350">INDEX('Database Mitra'!$E$2:$E1009,MATCH(A350,'Database Mitra'!$B$2:$B1009,0))</f>
        <v>#VALUE!</v>
      </c>
      <c r="H350" s="10" t="e">
        <f t="array" ref="H350">INDEX('Database Mitra'!$F$2:$F1009,MATCH(A350,'Database Mitra'!$B$2:$B1009,0))</f>
        <v>#VALUE!</v>
      </c>
    </row>
    <row r="351" spans="1:8" ht="12.5">
      <c r="A351" s="121">
        <v>610423110044</v>
      </c>
      <c r="B351" s="10" t="s">
        <v>2484</v>
      </c>
      <c r="C351" s="10" t="e">
        <f ca="1">COUNTUNIQUEIFS('Alokasi Honor Hingga Sekarang'!D$2:D1009,'Alokasi Honor Hingga Sekarang'!C$2:C1009,A351)</f>
        <v>#NAME?</v>
      </c>
      <c r="D351" s="10" t="e">
        <f t="shared" ca="1" si="0"/>
        <v>#NAME?</v>
      </c>
      <c r="E351" s="82">
        <f t="array" ref="E351">INDEX('Database Mitra'!$R$2:$R1009,MATCH(A351,'Database Mitra'!$B$2:$B1009,0))</f>
        <v>36391</v>
      </c>
      <c r="F351" s="10" t="e">
        <f t="shared" ca="1" si="1"/>
        <v>#NAME?</v>
      </c>
      <c r="G351" s="10" t="e">
        <f t="array" ref="G351">INDEX('Database Mitra'!$E$2:$E1009,MATCH(A351,'Database Mitra'!$B$2:$B1009,0))</f>
        <v>#VALUE!</v>
      </c>
      <c r="H351" s="10" t="e">
        <f t="array" ref="H351">INDEX('Database Mitra'!$F$2:$F1009,MATCH(A351,'Database Mitra'!$B$2:$B1009,0))</f>
        <v>#VALUE!</v>
      </c>
    </row>
    <row r="352" spans="1:8" ht="12.5">
      <c r="A352" s="121">
        <v>610422020009</v>
      </c>
      <c r="B352" s="10" t="s">
        <v>2489</v>
      </c>
      <c r="C352" s="10" t="e">
        <f ca="1">COUNTUNIQUEIFS('Alokasi Honor Hingga Sekarang'!D$2:D1009,'Alokasi Honor Hingga Sekarang'!C$2:C1009,A352)</f>
        <v>#NAME?</v>
      </c>
      <c r="D352" s="10" t="e">
        <f t="shared" ca="1" si="0"/>
        <v>#NAME?</v>
      </c>
      <c r="E352" s="82">
        <f t="array" ref="E352">INDEX('Database Mitra'!$R$2:$R1009,MATCH(A352,'Database Mitra'!$B$2:$B1009,0))</f>
        <v>35951</v>
      </c>
      <c r="F352" s="10" t="e">
        <f t="shared" ca="1" si="1"/>
        <v>#NAME?</v>
      </c>
      <c r="G352" s="10" t="e">
        <f t="array" ref="G352">INDEX('Database Mitra'!$E$2:$E1009,MATCH(A352,'Database Mitra'!$B$2:$B1009,0))</f>
        <v>#VALUE!</v>
      </c>
      <c r="H352" s="10" t="e">
        <f t="array" ref="H352">INDEX('Database Mitra'!$F$2:$F1009,MATCH(A352,'Database Mitra'!$B$2:$B1009,0))</f>
        <v>#VALUE!</v>
      </c>
    </row>
    <row r="353" spans="1:8" ht="12.5">
      <c r="A353" s="121">
        <v>610423110113</v>
      </c>
      <c r="B353" s="10" t="s">
        <v>6029</v>
      </c>
      <c r="C353" s="10" t="e">
        <f ca="1">COUNTUNIQUEIFS('Alokasi Honor Hingga Sekarang'!D$2:D1009,'Alokasi Honor Hingga Sekarang'!C$2:C1009,A353)</f>
        <v>#NAME?</v>
      </c>
      <c r="D353" s="10" t="e">
        <f t="shared" ca="1" si="0"/>
        <v>#NAME?</v>
      </c>
      <c r="E353" s="82">
        <f t="array" ref="E353">INDEX('Database Mitra'!$R$2:$R1009,MATCH(A353,'Database Mitra'!$B$2:$B1009,0))</f>
        <v>34588</v>
      </c>
      <c r="F353" s="10" t="e">
        <f t="shared" ca="1" si="1"/>
        <v>#NAME?</v>
      </c>
      <c r="G353" s="10" t="e">
        <f t="array" ref="G353">INDEX('Database Mitra'!$E$2:$E1009,MATCH(A353,'Database Mitra'!$B$2:$B1009,0))</f>
        <v>#VALUE!</v>
      </c>
      <c r="H353" s="10" t="e">
        <f t="array" ref="H353">INDEX('Database Mitra'!$F$2:$F1009,MATCH(A353,'Database Mitra'!$B$2:$B1009,0))</f>
        <v>#VALUE!</v>
      </c>
    </row>
    <row r="354" spans="1:8" ht="12.5">
      <c r="A354" s="121">
        <v>610422020041</v>
      </c>
      <c r="B354" s="10" t="s">
        <v>6030</v>
      </c>
      <c r="C354" s="10" t="e">
        <f ca="1">COUNTUNIQUEIFS('Alokasi Honor Hingga Sekarang'!D$2:D1009,'Alokasi Honor Hingga Sekarang'!C$2:C1009,A354)</f>
        <v>#NAME?</v>
      </c>
      <c r="D354" s="10" t="e">
        <f t="shared" ca="1" si="0"/>
        <v>#NAME?</v>
      </c>
      <c r="E354" s="82">
        <f t="array" ref="E354">INDEX('Database Mitra'!$R$2:$R1009,MATCH(A354,'Database Mitra'!$B$2:$B1009,0))</f>
        <v>37877</v>
      </c>
      <c r="F354" s="10" t="e">
        <f t="shared" ca="1" si="1"/>
        <v>#NAME?</v>
      </c>
      <c r="G354" s="10" t="e">
        <f t="array" ref="G354">INDEX('Database Mitra'!$E$2:$E1009,MATCH(A354,'Database Mitra'!$B$2:$B1009,0))</f>
        <v>#VALUE!</v>
      </c>
      <c r="H354" s="10" t="e">
        <f t="array" ref="H354">INDEX('Database Mitra'!$F$2:$F1009,MATCH(A354,'Database Mitra'!$B$2:$B1009,0))</f>
        <v>#VALUE!</v>
      </c>
    </row>
    <row r="355" spans="1:8" ht="12.5">
      <c r="A355" s="121">
        <v>610423040021</v>
      </c>
      <c r="B355" s="10" t="s">
        <v>2505</v>
      </c>
      <c r="C355" s="10" t="e">
        <f ca="1">COUNTUNIQUEIFS('Alokasi Honor Hingga Sekarang'!D$2:D1009,'Alokasi Honor Hingga Sekarang'!C$2:C1009,A355)</f>
        <v>#NAME?</v>
      </c>
      <c r="D355" s="10" t="e">
        <f t="shared" ca="1" si="0"/>
        <v>#NAME?</v>
      </c>
      <c r="E355" s="82">
        <f t="array" ref="E355">INDEX('Database Mitra'!$R$2:$R1009,MATCH(A355,'Database Mitra'!$B$2:$B1009,0))</f>
        <v>32320</v>
      </c>
      <c r="F355" s="10" t="e">
        <f t="shared" ca="1" si="1"/>
        <v>#NAME?</v>
      </c>
      <c r="G355" s="10" t="e">
        <f t="array" ref="G355">INDEX('Database Mitra'!$E$2:$E1009,MATCH(A355,'Database Mitra'!$B$2:$B1009,0))</f>
        <v>#VALUE!</v>
      </c>
      <c r="H355" s="10" t="e">
        <f t="array" ref="H355">INDEX('Database Mitra'!$F$2:$F1009,MATCH(A355,'Database Mitra'!$B$2:$B1009,0))</f>
        <v>#VALUE!</v>
      </c>
    </row>
    <row r="356" spans="1:8" ht="12.5">
      <c r="A356" s="121">
        <v>610423110084</v>
      </c>
      <c r="B356" s="10" t="s">
        <v>6031</v>
      </c>
      <c r="C356" s="10" t="e">
        <f ca="1">COUNTUNIQUEIFS('Alokasi Honor Hingga Sekarang'!D$2:D1009,'Alokasi Honor Hingga Sekarang'!C$2:C1009,A356)</f>
        <v>#NAME?</v>
      </c>
      <c r="D356" s="10" t="e">
        <f t="shared" ca="1" si="0"/>
        <v>#NAME?</v>
      </c>
      <c r="E356" s="82">
        <f t="array" ref="E356">INDEX('Database Mitra'!$R$2:$R1009,MATCH(A356,'Database Mitra'!$B$2:$B1009,0))</f>
        <v>37030</v>
      </c>
      <c r="F356" s="10" t="e">
        <f t="shared" ca="1" si="1"/>
        <v>#NAME?</v>
      </c>
      <c r="G356" s="10" t="e">
        <f t="array" ref="G356">INDEX('Database Mitra'!$E$2:$E1009,MATCH(A356,'Database Mitra'!$B$2:$B1009,0))</f>
        <v>#VALUE!</v>
      </c>
      <c r="H356" s="10" t="e">
        <f t="array" ref="H356">INDEX('Database Mitra'!$F$2:$F1009,MATCH(A356,'Database Mitra'!$B$2:$B1009,0))</f>
        <v>#VALUE!</v>
      </c>
    </row>
    <row r="357" spans="1:8" ht="12.5">
      <c r="A357" s="121">
        <v>610423110195</v>
      </c>
      <c r="B357" s="10" t="s">
        <v>6032</v>
      </c>
      <c r="C357" s="10" t="e">
        <f ca="1">COUNTUNIQUEIFS('Alokasi Honor Hingga Sekarang'!D$2:D1009,'Alokasi Honor Hingga Sekarang'!C$2:C1009,A357)</f>
        <v>#NAME?</v>
      </c>
      <c r="D357" s="10" t="e">
        <f t="shared" ca="1" si="0"/>
        <v>#NAME?</v>
      </c>
      <c r="E357" s="82">
        <f t="array" ref="E357">INDEX('Database Mitra'!$R$2:$R1009,MATCH(A357,'Database Mitra'!$B$2:$B1009,0))</f>
        <v>38154</v>
      </c>
      <c r="F357" s="10" t="e">
        <f t="shared" ca="1" si="1"/>
        <v>#NAME?</v>
      </c>
      <c r="G357" s="10" t="e">
        <f t="array" ref="G357">INDEX('Database Mitra'!$E$2:$E1009,MATCH(A357,'Database Mitra'!$B$2:$B1009,0))</f>
        <v>#VALUE!</v>
      </c>
      <c r="H357" s="10" t="e">
        <f t="array" ref="H357">INDEX('Database Mitra'!$F$2:$F1009,MATCH(A357,'Database Mitra'!$B$2:$B1009,0))</f>
        <v>#VALUE!</v>
      </c>
    </row>
    <row r="358" spans="1:8" ht="12.5">
      <c r="A358" s="121">
        <v>610422020043</v>
      </c>
      <c r="B358" s="10" t="s">
        <v>2522</v>
      </c>
      <c r="C358" s="10" t="e">
        <f ca="1">COUNTUNIQUEIFS('Alokasi Honor Hingga Sekarang'!D$2:D1009,'Alokasi Honor Hingga Sekarang'!C$2:C1009,A358)</f>
        <v>#NAME?</v>
      </c>
      <c r="D358" s="10" t="e">
        <f t="shared" ca="1" si="0"/>
        <v>#NAME?</v>
      </c>
      <c r="E358" s="82">
        <f t="array" ref="E358">INDEX('Database Mitra'!$R$2:$R1009,MATCH(A358,'Database Mitra'!$B$2:$B1009,0))</f>
        <v>36770</v>
      </c>
      <c r="F358" s="10" t="e">
        <f t="shared" ca="1" si="1"/>
        <v>#NAME?</v>
      </c>
      <c r="G358" s="10" t="e">
        <f t="array" ref="G358">INDEX('Database Mitra'!$E$2:$E1009,MATCH(A358,'Database Mitra'!$B$2:$B1009,0))</f>
        <v>#VALUE!</v>
      </c>
      <c r="H358" s="10" t="e">
        <f t="array" ref="H358">INDEX('Database Mitra'!$F$2:$F1009,MATCH(A358,'Database Mitra'!$B$2:$B1009,0))</f>
        <v>#VALUE!</v>
      </c>
    </row>
    <row r="359" spans="1:8" ht="12.5">
      <c r="A359" s="121">
        <v>610423110036</v>
      </c>
      <c r="B359" s="10" t="s">
        <v>6033</v>
      </c>
      <c r="C359" s="10" t="e">
        <f ca="1">COUNTUNIQUEIFS('Alokasi Honor Hingga Sekarang'!D$2:D1009,'Alokasi Honor Hingga Sekarang'!C$2:C1009,A359)</f>
        <v>#NAME?</v>
      </c>
      <c r="D359" s="10" t="e">
        <f t="shared" ca="1" si="0"/>
        <v>#NAME?</v>
      </c>
      <c r="E359" s="82">
        <f t="array" ref="E359">INDEX('Database Mitra'!$R$2:$R1009,MATCH(A359,'Database Mitra'!$B$2:$B1009,0))</f>
        <v>36935</v>
      </c>
      <c r="F359" s="10" t="e">
        <f t="shared" ca="1" si="1"/>
        <v>#NAME?</v>
      </c>
      <c r="G359" s="10" t="e">
        <f t="array" ref="G359">INDEX('Database Mitra'!$E$2:$E1009,MATCH(A359,'Database Mitra'!$B$2:$B1009,0))</f>
        <v>#VALUE!</v>
      </c>
      <c r="H359" s="10" t="e">
        <f t="array" ref="H359">INDEX('Database Mitra'!$F$2:$F1009,MATCH(A359,'Database Mitra'!$B$2:$B1009,0))</f>
        <v>#VALUE!</v>
      </c>
    </row>
    <row r="360" spans="1:8" ht="12.5">
      <c r="A360" s="121">
        <v>610422020040</v>
      </c>
      <c r="B360" s="10" t="s">
        <v>2532</v>
      </c>
      <c r="C360" s="10" t="e">
        <f ca="1">COUNTUNIQUEIFS('Alokasi Honor Hingga Sekarang'!D$2:D1009,'Alokasi Honor Hingga Sekarang'!C$2:C1009,A360)</f>
        <v>#NAME?</v>
      </c>
      <c r="D360" s="10" t="e">
        <f t="shared" ca="1" si="0"/>
        <v>#NAME?</v>
      </c>
      <c r="E360" s="82">
        <f t="array" ref="E360">INDEX('Database Mitra'!$R$2:$R1009,MATCH(A360,'Database Mitra'!$B$2:$B1009,0))</f>
        <v>29297</v>
      </c>
      <c r="F360" s="10" t="e">
        <f t="shared" ca="1" si="1"/>
        <v>#NAME?</v>
      </c>
      <c r="G360" s="10" t="e">
        <f t="array" ref="G360">INDEX('Database Mitra'!$E$2:$E1009,MATCH(A360,'Database Mitra'!$B$2:$B1009,0))</f>
        <v>#VALUE!</v>
      </c>
      <c r="H360" s="10" t="e">
        <f t="array" ref="H360">INDEX('Database Mitra'!$F$2:$F1009,MATCH(A360,'Database Mitra'!$B$2:$B1009,0))</f>
        <v>#VALUE!</v>
      </c>
    </row>
    <row r="361" spans="1:8" ht="12.5">
      <c r="A361" s="121">
        <v>610423110139</v>
      </c>
      <c r="B361" s="10" t="s">
        <v>6034</v>
      </c>
      <c r="C361" s="10" t="e">
        <f ca="1">COUNTUNIQUEIFS('Alokasi Honor Hingga Sekarang'!D$2:D1009,'Alokasi Honor Hingga Sekarang'!C$2:C1009,A361)</f>
        <v>#NAME?</v>
      </c>
      <c r="D361" s="10" t="e">
        <f t="shared" ca="1" si="0"/>
        <v>#NAME?</v>
      </c>
      <c r="E361" s="82">
        <f t="array" ref="E361">INDEX('Database Mitra'!$R$2:$R1009,MATCH(A361,'Database Mitra'!$B$2:$B1009,0))</f>
        <v>45051</v>
      </c>
      <c r="F361" s="10" t="e">
        <f t="shared" ca="1" si="1"/>
        <v>#NAME?</v>
      </c>
      <c r="G361" s="10" t="e">
        <f t="array" ref="G361">INDEX('Database Mitra'!$E$2:$E1009,MATCH(A361,'Database Mitra'!$B$2:$B1009,0))</f>
        <v>#VALUE!</v>
      </c>
      <c r="H361" s="10" t="e">
        <f t="array" ref="H361">INDEX('Database Mitra'!$F$2:$F1009,MATCH(A361,'Database Mitra'!$B$2:$B1009,0))</f>
        <v>#VALUE!</v>
      </c>
    </row>
    <row r="362" spans="1:8" ht="12.5">
      <c r="A362" s="121">
        <v>610423110094</v>
      </c>
      <c r="B362" s="10" t="s">
        <v>6035</v>
      </c>
      <c r="C362" s="10" t="e">
        <f ca="1">COUNTUNIQUEIFS('Alokasi Honor Hingga Sekarang'!D$2:D1009,'Alokasi Honor Hingga Sekarang'!C$2:C1009,A362)</f>
        <v>#NAME?</v>
      </c>
      <c r="D362" s="10" t="e">
        <f t="shared" ca="1" si="0"/>
        <v>#NAME?</v>
      </c>
      <c r="E362" s="82">
        <f t="array" ref="E362">INDEX('Database Mitra'!$R$2:$R1009,MATCH(A362,'Database Mitra'!$B$2:$B1009,0))</f>
        <v>35157</v>
      </c>
      <c r="F362" s="10" t="e">
        <f t="shared" ca="1" si="1"/>
        <v>#NAME?</v>
      </c>
      <c r="G362" s="10" t="e">
        <f t="array" ref="G362">INDEX('Database Mitra'!$E$2:$E1009,MATCH(A362,'Database Mitra'!$B$2:$B1009,0))</f>
        <v>#VALUE!</v>
      </c>
      <c r="H362" s="10" t="e">
        <f t="array" ref="H362">INDEX('Database Mitra'!$F$2:$F1009,MATCH(A362,'Database Mitra'!$B$2:$B1009,0))</f>
        <v>#VALUE!</v>
      </c>
    </row>
    <row r="363" spans="1:8" ht="12.5">
      <c r="A363" s="121">
        <v>610422100140</v>
      </c>
      <c r="B363" s="10" t="s">
        <v>6036</v>
      </c>
      <c r="C363" s="10" t="e">
        <f ca="1">COUNTUNIQUEIFS('Alokasi Honor Hingga Sekarang'!D$2:D1009,'Alokasi Honor Hingga Sekarang'!C$2:C1009,A363)</f>
        <v>#NAME?</v>
      </c>
      <c r="D363" s="10" t="e">
        <f t="shared" ca="1" si="0"/>
        <v>#NAME?</v>
      </c>
      <c r="E363" s="82">
        <f t="array" ref="E363">INDEX('Database Mitra'!$R$2:$R1009,MATCH(A363,'Database Mitra'!$B$2:$B1009,0))</f>
        <v>35842</v>
      </c>
      <c r="F363" s="10" t="e">
        <f t="shared" ca="1" si="1"/>
        <v>#NAME?</v>
      </c>
      <c r="G363" s="10" t="e">
        <f t="array" ref="G363">INDEX('Database Mitra'!$E$2:$E1009,MATCH(A363,'Database Mitra'!$B$2:$B1009,0))</f>
        <v>#VALUE!</v>
      </c>
      <c r="H363" s="10" t="e">
        <f t="array" ref="H363">INDEX('Database Mitra'!$F$2:$F1009,MATCH(A363,'Database Mitra'!$B$2:$B1009,0))</f>
        <v>#VALUE!</v>
      </c>
    </row>
    <row r="364" spans="1:8" ht="12.5">
      <c r="A364" s="121">
        <v>610423110151</v>
      </c>
      <c r="B364" s="10" t="s">
        <v>6037</v>
      </c>
      <c r="C364" s="10" t="e">
        <f ca="1">COUNTUNIQUEIFS('Alokasi Honor Hingga Sekarang'!D$2:D1009,'Alokasi Honor Hingga Sekarang'!C$2:C1009,A364)</f>
        <v>#NAME?</v>
      </c>
      <c r="D364" s="10" t="e">
        <f t="shared" ca="1" si="0"/>
        <v>#NAME?</v>
      </c>
      <c r="E364" s="82">
        <f t="array" ref="E364">INDEX('Database Mitra'!$R$2:$R1009,MATCH(A364,'Database Mitra'!$B$2:$B1009,0))</f>
        <v>35335</v>
      </c>
      <c r="F364" s="10" t="e">
        <f t="shared" ca="1" si="1"/>
        <v>#NAME?</v>
      </c>
      <c r="G364" s="10" t="e">
        <f t="array" ref="G364">INDEX('Database Mitra'!$E$2:$E1009,MATCH(A364,'Database Mitra'!$B$2:$B1009,0))</f>
        <v>#VALUE!</v>
      </c>
      <c r="H364" s="10" t="e">
        <f t="array" ref="H364">INDEX('Database Mitra'!$F$2:$F1009,MATCH(A364,'Database Mitra'!$B$2:$B1009,0))</f>
        <v>#VALUE!</v>
      </c>
    </row>
    <row r="365" spans="1:8" ht="12.5">
      <c r="A365" s="121">
        <v>610423110016</v>
      </c>
      <c r="B365" s="10" t="s">
        <v>2564</v>
      </c>
      <c r="C365" s="10" t="e">
        <f ca="1">COUNTUNIQUEIFS('Alokasi Honor Hingga Sekarang'!D$2:D1009,'Alokasi Honor Hingga Sekarang'!C$2:C1009,A365)</f>
        <v>#NAME?</v>
      </c>
      <c r="D365" s="10" t="e">
        <f t="shared" ca="1" si="0"/>
        <v>#NAME?</v>
      </c>
      <c r="E365" s="82">
        <f t="array" ref="E365">INDEX('Database Mitra'!$R$2:$R1009,MATCH(A365,'Database Mitra'!$B$2:$B1009,0))</f>
        <v>35926</v>
      </c>
      <c r="F365" s="10" t="e">
        <f t="shared" ca="1" si="1"/>
        <v>#NAME?</v>
      </c>
      <c r="G365" s="10" t="e">
        <f t="array" ref="G365">INDEX('Database Mitra'!$E$2:$E1009,MATCH(A365,'Database Mitra'!$B$2:$B1009,0))</f>
        <v>#VALUE!</v>
      </c>
      <c r="H365" s="10" t="e">
        <f t="array" ref="H365">INDEX('Database Mitra'!$F$2:$F1009,MATCH(A365,'Database Mitra'!$B$2:$B1009,0))</f>
        <v>#VALUE!</v>
      </c>
    </row>
    <row r="366" spans="1:8" ht="12.5">
      <c r="A366" s="121">
        <v>610422100280</v>
      </c>
      <c r="B366" s="10" t="s">
        <v>2570</v>
      </c>
      <c r="C366" s="10" t="e">
        <f ca="1">COUNTUNIQUEIFS('Alokasi Honor Hingga Sekarang'!D$2:D1009,'Alokasi Honor Hingga Sekarang'!C$2:C1009,A366)</f>
        <v>#NAME?</v>
      </c>
      <c r="D366" s="10" t="e">
        <f t="shared" ca="1" si="0"/>
        <v>#NAME?</v>
      </c>
      <c r="E366" s="82">
        <f t="array" ref="E366">INDEX('Database Mitra'!$R$2:$R1009,MATCH(A366,'Database Mitra'!$B$2:$B1009,0))</f>
        <v>37801</v>
      </c>
      <c r="F366" s="10" t="e">
        <f t="shared" ca="1" si="1"/>
        <v>#NAME?</v>
      </c>
      <c r="G366" s="10" t="e">
        <f t="array" ref="G366">INDEX('Database Mitra'!$E$2:$E1009,MATCH(A366,'Database Mitra'!$B$2:$B1009,0))</f>
        <v>#VALUE!</v>
      </c>
      <c r="H366" s="10" t="e">
        <f t="array" ref="H366">INDEX('Database Mitra'!$F$2:$F1009,MATCH(A366,'Database Mitra'!$B$2:$B1009,0))</f>
        <v>#VALUE!</v>
      </c>
    </row>
    <row r="367" spans="1:8" ht="12.5">
      <c r="A367" s="121">
        <v>610423110110</v>
      </c>
      <c r="B367" s="10" t="s">
        <v>2576</v>
      </c>
      <c r="C367" s="10" t="e">
        <f ca="1">COUNTUNIQUEIFS('Alokasi Honor Hingga Sekarang'!D$2:D1009,'Alokasi Honor Hingga Sekarang'!C$2:C1009,A367)</f>
        <v>#NAME?</v>
      </c>
      <c r="D367" s="10" t="e">
        <f t="shared" ca="1" si="0"/>
        <v>#NAME?</v>
      </c>
      <c r="E367" s="82">
        <f t="array" ref="E367">INDEX('Database Mitra'!$R$2:$R1009,MATCH(A367,'Database Mitra'!$B$2:$B1009,0))</f>
        <v>36655</v>
      </c>
      <c r="F367" s="10" t="e">
        <f t="shared" ca="1" si="1"/>
        <v>#NAME?</v>
      </c>
      <c r="G367" s="10" t="e">
        <f t="array" ref="G367">INDEX('Database Mitra'!$E$2:$E1009,MATCH(A367,'Database Mitra'!$B$2:$B1009,0))</f>
        <v>#VALUE!</v>
      </c>
      <c r="H367" s="10" t="e">
        <f t="array" ref="H367">INDEX('Database Mitra'!$F$2:$F1009,MATCH(A367,'Database Mitra'!$B$2:$B1009,0))</f>
        <v>#VALUE!</v>
      </c>
    </row>
    <row r="368" spans="1:8" ht="12.5">
      <c r="A368" s="121">
        <v>610422100132</v>
      </c>
      <c r="B368" s="10" t="s">
        <v>2581</v>
      </c>
      <c r="C368" s="10" t="e">
        <f ca="1">COUNTUNIQUEIFS('Alokasi Honor Hingga Sekarang'!D$2:D1009,'Alokasi Honor Hingga Sekarang'!C$2:C1009,A368)</f>
        <v>#NAME?</v>
      </c>
      <c r="D368" s="10" t="e">
        <f t="shared" ca="1" si="0"/>
        <v>#NAME?</v>
      </c>
      <c r="E368" s="82">
        <f t="array" ref="E368">INDEX('Database Mitra'!$R$2:$R1009,MATCH(A368,'Database Mitra'!$B$2:$B1009,0))</f>
        <v>35929</v>
      </c>
      <c r="F368" s="10" t="e">
        <f t="shared" ca="1" si="1"/>
        <v>#NAME?</v>
      </c>
      <c r="G368" s="10" t="e">
        <f t="array" ref="G368">INDEX('Database Mitra'!$E$2:$E1009,MATCH(A368,'Database Mitra'!$B$2:$B1009,0))</f>
        <v>#VALUE!</v>
      </c>
      <c r="H368" s="10" t="e">
        <f t="array" ref="H368">INDEX('Database Mitra'!$F$2:$F1009,MATCH(A368,'Database Mitra'!$B$2:$B1009,0))</f>
        <v>#VALUE!</v>
      </c>
    </row>
    <row r="369" spans="1:8" ht="12.5">
      <c r="A369" s="121">
        <v>610422040048</v>
      </c>
      <c r="B369" s="10" t="s">
        <v>2587</v>
      </c>
      <c r="C369" s="10" t="e">
        <f ca="1">COUNTUNIQUEIFS('Alokasi Honor Hingga Sekarang'!D$2:D1009,'Alokasi Honor Hingga Sekarang'!C$2:C1009,A369)</f>
        <v>#NAME?</v>
      </c>
      <c r="D369" s="10" t="e">
        <f t="shared" ca="1" si="0"/>
        <v>#NAME?</v>
      </c>
      <c r="E369" s="82">
        <f t="array" ref="E369">INDEX('Database Mitra'!$R$2:$R1009,MATCH(A369,'Database Mitra'!$B$2:$B1009,0))</f>
        <v>33313</v>
      </c>
      <c r="F369" s="10" t="e">
        <f t="shared" ca="1" si="1"/>
        <v>#NAME?</v>
      </c>
      <c r="G369" s="10" t="e">
        <f t="array" ref="G369">INDEX('Database Mitra'!$E$2:$E1009,MATCH(A369,'Database Mitra'!$B$2:$B1009,0))</f>
        <v>#VALUE!</v>
      </c>
      <c r="H369" s="10" t="e">
        <f t="array" ref="H369">INDEX('Database Mitra'!$F$2:$F1009,MATCH(A369,'Database Mitra'!$B$2:$B1009,0))</f>
        <v>#VALUE!</v>
      </c>
    </row>
    <row r="370" spans="1:8" ht="12.5">
      <c r="A370" s="121">
        <v>610422100104</v>
      </c>
      <c r="B370" s="10" t="s">
        <v>6038</v>
      </c>
      <c r="C370" s="10" t="e">
        <f ca="1">COUNTUNIQUEIFS('Alokasi Honor Hingga Sekarang'!D$2:D1009,'Alokasi Honor Hingga Sekarang'!C$2:C1009,A370)</f>
        <v>#NAME?</v>
      </c>
      <c r="D370" s="10" t="e">
        <f t="shared" ca="1" si="0"/>
        <v>#NAME?</v>
      </c>
      <c r="E370" s="82">
        <f t="array" ref="E370">INDEX('Database Mitra'!$R$2:$R1009,MATCH(A370,'Database Mitra'!$B$2:$B1009,0))</f>
        <v>36542</v>
      </c>
      <c r="F370" s="10" t="e">
        <f t="shared" ca="1" si="1"/>
        <v>#NAME?</v>
      </c>
      <c r="G370" s="10" t="e">
        <f t="array" ref="G370">INDEX('Database Mitra'!$E$2:$E1009,MATCH(A370,'Database Mitra'!$B$2:$B1009,0))</f>
        <v>#VALUE!</v>
      </c>
      <c r="H370" s="10" t="e">
        <f t="array" ref="H370">INDEX('Database Mitra'!$F$2:$F1009,MATCH(A370,'Database Mitra'!$B$2:$B1009,0))</f>
        <v>#VALUE!</v>
      </c>
    </row>
    <row r="371" spans="1:8" ht="12.5">
      <c r="A371" s="121">
        <v>610423110071</v>
      </c>
      <c r="B371" s="10" t="s">
        <v>2598</v>
      </c>
      <c r="C371" s="10" t="e">
        <f ca="1">COUNTUNIQUEIFS('Alokasi Honor Hingga Sekarang'!D$2:D1009,'Alokasi Honor Hingga Sekarang'!C$2:C1009,A371)</f>
        <v>#NAME?</v>
      </c>
      <c r="D371" s="10" t="e">
        <f t="shared" ca="1" si="0"/>
        <v>#NAME?</v>
      </c>
      <c r="E371" s="82">
        <f t="array" ref="E371">INDEX('Database Mitra'!$R$2:$R1009,MATCH(A371,'Database Mitra'!$B$2:$B1009,0))</f>
        <v>35860</v>
      </c>
      <c r="F371" s="10" t="e">
        <f t="shared" ca="1" si="1"/>
        <v>#NAME?</v>
      </c>
      <c r="G371" s="10" t="e">
        <f t="array" ref="G371">INDEX('Database Mitra'!$E$2:$E1009,MATCH(A371,'Database Mitra'!$B$2:$B1009,0))</f>
        <v>#VALUE!</v>
      </c>
      <c r="H371" s="10" t="e">
        <f t="array" ref="H371">INDEX('Database Mitra'!$F$2:$F1009,MATCH(A371,'Database Mitra'!$B$2:$B1009,0))</f>
        <v>#VALUE!</v>
      </c>
    </row>
    <row r="372" spans="1:8" ht="12.5">
      <c r="A372" s="121">
        <v>610422040067</v>
      </c>
      <c r="B372" s="10" t="s">
        <v>2603</v>
      </c>
      <c r="C372" s="10" t="e">
        <f ca="1">COUNTUNIQUEIFS('Alokasi Honor Hingga Sekarang'!D$2:D1009,'Alokasi Honor Hingga Sekarang'!C$2:C1009,A372)</f>
        <v>#NAME?</v>
      </c>
      <c r="D372" s="10" t="e">
        <f t="shared" ca="1" si="0"/>
        <v>#NAME?</v>
      </c>
      <c r="E372" s="82">
        <f t="array" ref="E372">INDEX('Database Mitra'!$R$2:$R1009,MATCH(A372,'Database Mitra'!$B$2:$B1009,0))</f>
        <v>37728</v>
      </c>
      <c r="F372" s="10" t="e">
        <f t="shared" ca="1" si="1"/>
        <v>#NAME?</v>
      </c>
      <c r="G372" s="10" t="e">
        <f t="array" ref="G372">INDEX('Database Mitra'!$E$2:$E1009,MATCH(A372,'Database Mitra'!$B$2:$B1009,0))</f>
        <v>#VALUE!</v>
      </c>
      <c r="H372" s="10" t="e">
        <f t="array" ref="H372">INDEX('Database Mitra'!$F$2:$F1009,MATCH(A372,'Database Mitra'!$B$2:$B1009,0))</f>
        <v>#VALUE!</v>
      </c>
    </row>
    <row r="373" spans="1:8" ht="12.5">
      <c r="A373" s="121">
        <v>610422020011</v>
      </c>
      <c r="B373" s="10" t="s">
        <v>6039</v>
      </c>
      <c r="C373" s="10" t="e">
        <f ca="1">COUNTUNIQUEIFS('Alokasi Honor Hingga Sekarang'!D$2:D1009,'Alokasi Honor Hingga Sekarang'!C$2:C1009,A373)</f>
        <v>#NAME?</v>
      </c>
      <c r="D373" s="10" t="e">
        <f t="shared" ca="1" si="0"/>
        <v>#NAME?</v>
      </c>
      <c r="E373" s="82">
        <f t="array" ref="E373">INDEX('Database Mitra'!$R$2:$R1009,MATCH(A373,'Database Mitra'!$B$2:$B1009,0))</f>
        <v>35534</v>
      </c>
      <c r="F373" s="10" t="e">
        <f t="shared" ca="1" si="1"/>
        <v>#NAME?</v>
      </c>
      <c r="G373" s="10" t="e">
        <f t="array" ref="G373">INDEX('Database Mitra'!$E$2:$E1009,MATCH(A373,'Database Mitra'!$B$2:$B1009,0))</f>
        <v>#VALUE!</v>
      </c>
      <c r="H373" s="10" t="e">
        <f t="array" ref="H373">INDEX('Database Mitra'!$F$2:$F1009,MATCH(A373,'Database Mitra'!$B$2:$B1009,0))</f>
        <v>#VALUE!</v>
      </c>
    </row>
    <row r="374" spans="1:8" ht="12.5">
      <c r="A374" s="121">
        <v>610422100084</v>
      </c>
      <c r="B374" s="10" t="s">
        <v>6040</v>
      </c>
      <c r="C374" s="10" t="e">
        <f ca="1">COUNTUNIQUEIFS('Alokasi Honor Hingga Sekarang'!D$2:D1009,'Alokasi Honor Hingga Sekarang'!C$2:C1009,A374)</f>
        <v>#NAME?</v>
      </c>
      <c r="D374" s="10" t="e">
        <f t="shared" ca="1" si="0"/>
        <v>#NAME?</v>
      </c>
      <c r="E374" s="11">
        <f t="array" ref="E374">INDEX('Database Mitra'!$R$2:$R1009,MATCH(A374,'Database Mitra'!$B$2:$B1009,0))</f>
        <v>30640</v>
      </c>
      <c r="F374" s="10" t="e">
        <f t="shared" ca="1" si="1"/>
        <v>#NAME?</v>
      </c>
      <c r="G374" s="10" t="e">
        <f t="array" ref="G374">INDEX('Database Mitra'!$E$2:$E1009,MATCH(A374,'Database Mitra'!$B$2:$B1009,0))</f>
        <v>#VALUE!</v>
      </c>
      <c r="H374" s="10" t="e">
        <f t="array" ref="H374">INDEX('Database Mitra'!$F$2:$F1009,MATCH(A374,'Database Mitra'!$B$2:$B1009,0))</f>
        <v>#VALUE!</v>
      </c>
    </row>
    <row r="375" spans="1:8" ht="12.5">
      <c r="A375" s="121">
        <v>610422020019</v>
      </c>
      <c r="B375" s="10" t="s">
        <v>2621</v>
      </c>
      <c r="C375" s="10" t="e">
        <f ca="1">COUNTUNIQUEIFS('Alokasi Honor Hingga Sekarang'!D$2:D1009,'Alokasi Honor Hingga Sekarang'!C$2:C1009,A375)</f>
        <v>#NAME?</v>
      </c>
      <c r="D375" s="10" t="e">
        <f t="shared" ca="1" si="0"/>
        <v>#NAME?</v>
      </c>
      <c r="E375" s="82">
        <f t="array" ref="E375">INDEX('Database Mitra'!$R$2:$R1009,MATCH(A375,'Database Mitra'!$B$2:$B1009,0))</f>
        <v>36501</v>
      </c>
      <c r="F375" s="10" t="e">
        <f t="shared" ca="1" si="1"/>
        <v>#NAME?</v>
      </c>
      <c r="G375" s="10" t="e">
        <f t="array" ref="G375">INDEX('Database Mitra'!$E$2:$E1009,MATCH(A375,'Database Mitra'!$B$2:$B1009,0))</f>
        <v>#VALUE!</v>
      </c>
      <c r="H375" s="10" t="e">
        <f t="array" ref="H375">INDEX('Database Mitra'!$F$2:$F1009,MATCH(A375,'Database Mitra'!$B$2:$B1009,0))</f>
        <v>#VALUE!</v>
      </c>
    </row>
    <row r="376" spans="1:8" ht="12.5">
      <c r="A376" s="121">
        <v>610423110067</v>
      </c>
      <c r="B376" s="10" t="s">
        <v>6041</v>
      </c>
      <c r="C376" s="10" t="e">
        <f ca="1">COUNTUNIQUEIFS('Alokasi Honor Hingga Sekarang'!D$2:D1009,'Alokasi Honor Hingga Sekarang'!C$2:C1009,A376)</f>
        <v>#NAME?</v>
      </c>
      <c r="D376" s="10" t="e">
        <f t="shared" ca="1" si="0"/>
        <v>#NAME?</v>
      </c>
      <c r="E376" s="11">
        <f t="array" ref="E376">INDEX('Database Mitra'!$R$2:$R1009,MATCH(A376,'Database Mitra'!$B$2:$B1009,0))</f>
        <v>37190</v>
      </c>
      <c r="F376" s="10" t="e">
        <f t="shared" ca="1" si="1"/>
        <v>#NAME?</v>
      </c>
      <c r="G376" s="10" t="e">
        <f t="array" ref="G376">INDEX('Database Mitra'!$E$2:$E1009,MATCH(A376,'Database Mitra'!$B$2:$B1009,0))</f>
        <v>#VALUE!</v>
      </c>
      <c r="H376" s="10" t="e">
        <f t="array" ref="H376">INDEX('Database Mitra'!$F$2:$F1009,MATCH(A376,'Database Mitra'!$B$2:$B1009,0))</f>
        <v>#VALUE!</v>
      </c>
    </row>
    <row r="377" spans="1:8" ht="12.5">
      <c r="A377" s="121">
        <v>610422100244</v>
      </c>
      <c r="B377" s="10" t="s">
        <v>2633</v>
      </c>
      <c r="C377" s="10" t="e">
        <f ca="1">COUNTUNIQUEIFS('Alokasi Honor Hingga Sekarang'!D$2:D1009,'Alokasi Honor Hingga Sekarang'!C$2:C1009,A377)</f>
        <v>#NAME?</v>
      </c>
      <c r="D377" s="10" t="e">
        <f t="shared" ca="1" si="0"/>
        <v>#NAME?</v>
      </c>
      <c r="E377" s="82">
        <f t="array" ref="E377">INDEX('Database Mitra'!$R$2:$R1009,MATCH(A377,'Database Mitra'!$B$2:$B1009,0))</f>
        <v>32942</v>
      </c>
      <c r="F377" s="10" t="e">
        <f t="shared" ca="1" si="1"/>
        <v>#NAME?</v>
      </c>
      <c r="G377" s="10" t="e">
        <f t="array" ref="G377">INDEX('Database Mitra'!$E$2:$E1009,MATCH(A377,'Database Mitra'!$B$2:$B1009,0))</f>
        <v>#VALUE!</v>
      </c>
      <c r="H377" s="10" t="e">
        <f t="array" ref="H377">INDEX('Database Mitra'!$F$2:$F1009,MATCH(A377,'Database Mitra'!$B$2:$B1009,0))</f>
        <v>#VALUE!</v>
      </c>
    </row>
    <row r="378" spans="1:8" ht="12.5">
      <c r="A378" s="121">
        <v>610422100027</v>
      </c>
      <c r="B378" s="10" t="s">
        <v>6042</v>
      </c>
      <c r="C378" s="10" t="e">
        <f ca="1">COUNTUNIQUEIFS('Alokasi Honor Hingga Sekarang'!D$2:D1009,'Alokasi Honor Hingga Sekarang'!C$2:C1009,A378)</f>
        <v>#NAME?</v>
      </c>
      <c r="D378" s="10" t="e">
        <f t="shared" ca="1" si="0"/>
        <v>#NAME?</v>
      </c>
      <c r="E378" s="82">
        <f t="array" ref="E378">INDEX('Database Mitra'!$R$2:$R1009,MATCH(A378,'Database Mitra'!$B$2:$B1009,0))</f>
        <v>34788</v>
      </c>
      <c r="F378" s="10" t="e">
        <f t="shared" ca="1" si="1"/>
        <v>#NAME?</v>
      </c>
      <c r="G378" s="10" t="e">
        <f t="array" ref="G378">INDEX('Database Mitra'!$E$2:$E1009,MATCH(A378,'Database Mitra'!$B$2:$B1009,0))</f>
        <v>#VALUE!</v>
      </c>
      <c r="H378" s="10" t="e">
        <f t="array" ref="H378">INDEX('Database Mitra'!$F$2:$F1009,MATCH(A378,'Database Mitra'!$B$2:$B1009,0))</f>
        <v>#VALUE!</v>
      </c>
    </row>
    <row r="379" spans="1:8" ht="12.5">
      <c r="A379" s="121">
        <v>610422100101</v>
      </c>
      <c r="B379" s="10" t="s">
        <v>6043</v>
      </c>
      <c r="C379" s="10" t="e">
        <f ca="1">COUNTUNIQUEIFS('Alokasi Honor Hingga Sekarang'!D$2:D1009,'Alokasi Honor Hingga Sekarang'!C$2:C1009,A379)</f>
        <v>#NAME?</v>
      </c>
      <c r="D379" s="10" t="e">
        <f t="shared" ca="1" si="0"/>
        <v>#NAME?</v>
      </c>
      <c r="E379" s="82">
        <f t="array" ref="E379">INDEX('Database Mitra'!$R$2:$R1009,MATCH(A379,'Database Mitra'!$B$2:$B1009,0))</f>
        <v>32158</v>
      </c>
      <c r="F379" s="10" t="e">
        <f t="shared" ca="1" si="1"/>
        <v>#NAME?</v>
      </c>
      <c r="G379" s="10" t="e">
        <f t="array" ref="G379">INDEX('Database Mitra'!$E$2:$E1009,MATCH(A379,'Database Mitra'!$B$2:$B1009,0))</f>
        <v>#VALUE!</v>
      </c>
      <c r="H379" s="10" t="e">
        <f t="array" ref="H379">INDEX('Database Mitra'!$F$2:$F1009,MATCH(A379,'Database Mitra'!$B$2:$B1009,0))</f>
        <v>#VALUE!</v>
      </c>
    </row>
    <row r="380" spans="1:8" ht="12.5">
      <c r="A380" s="121">
        <v>610422040049</v>
      </c>
      <c r="B380" s="10" t="s">
        <v>6044</v>
      </c>
      <c r="C380" s="10" t="e">
        <f ca="1">COUNTUNIQUEIFS('Alokasi Honor Hingga Sekarang'!D$2:D1009,'Alokasi Honor Hingga Sekarang'!C$2:C1009,A380)</f>
        <v>#NAME?</v>
      </c>
      <c r="D380" s="10" t="e">
        <f t="shared" ca="1" si="0"/>
        <v>#NAME?</v>
      </c>
      <c r="E380" s="82">
        <f t="array" ref="E380">INDEX('Database Mitra'!$R$2:$R1009,MATCH(A380,'Database Mitra'!$B$2:$B1009,0))</f>
        <v>30866</v>
      </c>
      <c r="F380" s="10" t="e">
        <f t="shared" ca="1" si="1"/>
        <v>#NAME?</v>
      </c>
      <c r="G380" s="10" t="e">
        <f t="array" ref="G380">INDEX('Database Mitra'!$E$2:$E1009,MATCH(A380,'Database Mitra'!$B$2:$B1009,0))</f>
        <v>#VALUE!</v>
      </c>
      <c r="H380" s="10" t="e">
        <f t="array" ref="H380">INDEX('Database Mitra'!$F$2:$F1009,MATCH(A380,'Database Mitra'!$B$2:$B1009,0))</f>
        <v>#VALUE!</v>
      </c>
    </row>
    <row r="381" spans="1:8" ht="12.5">
      <c r="A381" s="121">
        <v>610423110008</v>
      </c>
      <c r="B381" s="10" t="s">
        <v>2655</v>
      </c>
      <c r="C381" s="10" t="e">
        <f ca="1">COUNTUNIQUEIFS('Alokasi Honor Hingga Sekarang'!D$2:D1009,'Alokasi Honor Hingga Sekarang'!C$2:C1009,A381)</f>
        <v>#NAME?</v>
      </c>
      <c r="D381" s="10" t="e">
        <f t="shared" ca="1" si="0"/>
        <v>#NAME?</v>
      </c>
      <c r="E381" s="82">
        <f t="array" ref="E381">INDEX('Database Mitra'!$R$2:$R1009,MATCH(A381,'Database Mitra'!$B$2:$B1009,0))</f>
        <v>32941</v>
      </c>
      <c r="F381" s="10" t="e">
        <f t="shared" ca="1" si="1"/>
        <v>#NAME?</v>
      </c>
      <c r="G381" s="10" t="e">
        <f t="array" ref="G381">INDEX('Database Mitra'!$E$2:$E1009,MATCH(A381,'Database Mitra'!$B$2:$B1009,0))</f>
        <v>#VALUE!</v>
      </c>
      <c r="H381" s="10" t="e">
        <f t="array" ref="H381">INDEX('Database Mitra'!$F$2:$F1009,MATCH(A381,'Database Mitra'!$B$2:$B1009,0))</f>
        <v>#VALUE!</v>
      </c>
    </row>
    <row r="382" spans="1:8" ht="12.5">
      <c r="A382" s="121">
        <v>610422100030</v>
      </c>
      <c r="B382" s="10" t="s">
        <v>2660</v>
      </c>
      <c r="C382" s="10" t="e">
        <f ca="1">COUNTUNIQUEIFS('Alokasi Honor Hingga Sekarang'!D$2:D1009,'Alokasi Honor Hingga Sekarang'!C$2:C1009,A382)</f>
        <v>#NAME?</v>
      </c>
      <c r="D382" s="10" t="e">
        <f t="shared" ca="1" si="0"/>
        <v>#NAME?</v>
      </c>
      <c r="E382" s="11">
        <f t="array" ref="E382">INDEX('Database Mitra'!$R$2:$R1009,MATCH(A382,'Database Mitra'!$B$2:$B1009,0))</f>
        <v>34997</v>
      </c>
      <c r="F382" s="10" t="e">
        <f t="shared" ca="1" si="1"/>
        <v>#NAME?</v>
      </c>
      <c r="G382" s="10" t="e">
        <f t="array" ref="G382">INDEX('Database Mitra'!$E$2:$E1009,MATCH(A382,'Database Mitra'!$B$2:$B1009,0))</f>
        <v>#VALUE!</v>
      </c>
      <c r="H382" s="10" t="e">
        <f t="array" ref="H382">INDEX('Database Mitra'!$F$2:$F1009,MATCH(A382,'Database Mitra'!$B$2:$B1009,0))</f>
        <v>#VALUE!</v>
      </c>
    </row>
    <row r="383" spans="1:8" ht="12.5">
      <c r="A383" s="121">
        <v>610423110106</v>
      </c>
      <c r="B383" s="10" t="s">
        <v>2666</v>
      </c>
      <c r="C383" s="10" t="e">
        <f ca="1">COUNTUNIQUEIFS('Alokasi Honor Hingga Sekarang'!D$2:D1009,'Alokasi Honor Hingga Sekarang'!C$2:C1009,A383)</f>
        <v>#NAME?</v>
      </c>
      <c r="D383" s="10" t="e">
        <f t="shared" ca="1" si="0"/>
        <v>#NAME?</v>
      </c>
      <c r="E383" s="82">
        <f t="array" ref="E383">INDEX('Database Mitra'!$R$2:$R1009,MATCH(A383,'Database Mitra'!$B$2:$B1009,0))</f>
        <v>36638</v>
      </c>
      <c r="F383" s="10" t="e">
        <f t="shared" ca="1" si="1"/>
        <v>#NAME?</v>
      </c>
      <c r="G383" s="10" t="e">
        <f t="array" ref="G383">INDEX('Database Mitra'!$E$2:$E1009,MATCH(A383,'Database Mitra'!$B$2:$B1009,0))</f>
        <v>#VALUE!</v>
      </c>
      <c r="H383" s="10" t="e">
        <f t="array" ref="H383">INDEX('Database Mitra'!$F$2:$F1009,MATCH(A383,'Database Mitra'!$B$2:$B1009,0))</f>
        <v>#VALUE!</v>
      </c>
    </row>
    <row r="384" spans="1:8" ht="12.5">
      <c r="A384" s="121">
        <v>610422020039</v>
      </c>
      <c r="B384" s="10" t="s">
        <v>2671</v>
      </c>
      <c r="C384" s="10" t="e">
        <f ca="1">COUNTUNIQUEIFS('Alokasi Honor Hingga Sekarang'!D$2:D1009,'Alokasi Honor Hingga Sekarang'!C$2:C1009,A384)</f>
        <v>#NAME?</v>
      </c>
      <c r="D384" s="10" t="e">
        <f t="shared" ca="1" si="0"/>
        <v>#NAME?</v>
      </c>
      <c r="E384" s="82">
        <f t="array" ref="E384">INDEX('Database Mitra'!$R$2:$R1009,MATCH(A384,'Database Mitra'!$B$2:$B1009,0))</f>
        <v>33438</v>
      </c>
      <c r="F384" s="10" t="e">
        <f t="shared" ca="1" si="1"/>
        <v>#NAME?</v>
      </c>
      <c r="G384" s="10" t="e">
        <f t="array" ref="G384">INDEX('Database Mitra'!$E$2:$E1009,MATCH(A384,'Database Mitra'!$B$2:$B1009,0))</f>
        <v>#VALUE!</v>
      </c>
      <c r="H384" s="10" t="e">
        <f t="array" ref="H384">INDEX('Database Mitra'!$F$2:$F1009,MATCH(A384,'Database Mitra'!$B$2:$B1009,0))</f>
        <v>#VALUE!</v>
      </c>
    </row>
    <row r="385" spans="1:8" ht="12.5">
      <c r="A385" s="121">
        <v>610423110069</v>
      </c>
      <c r="B385" s="10" t="s">
        <v>6045</v>
      </c>
      <c r="C385" s="10" t="e">
        <f ca="1">COUNTUNIQUEIFS('Alokasi Honor Hingga Sekarang'!D$2:D1009,'Alokasi Honor Hingga Sekarang'!C$2:C1009,A385)</f>
        <v>#NAME?</v>
      </c>
      <c r="D385" s="10" t="e">
        <f t="shared" ca="1" si="0"/>
        <v>#NAME?</v>
      </c>
      <c r="E385" s="82">
        <f t="array" ref="E385">INDEX('Database Mitra'!$R$2:$R1009,MATCH(A385,'Database Mitra'!$B$2:$B1009,0))</f>
        <v>38494</v>
      </c>
      <c r="F385" s="10" t="e">
        <f t="shared" ca="1" si="1"/>
        <v>#NAME?</v>
      </c>
      <c r="G385" s="10" t="e">
        <f t="array" ref="G385">INDEX('Database Mitra'!$E$2:$E1009,MATCH(A385,'Database Mitra'!$B$2:$B1009,0))</f>
        <v>#VALUE!</v>
      </c>
      <c r="H385" s="10" t="e">
        <f t="array" ref="H385">INDEX('Database Mitra'!$F$2:$F1009,MATCH(A385,'Database Mitra'!$B$2:$B1009,0))</f>
        <v>#VALUE!</v>
      </c>
    </row>
    <row r="386" spans="1:8" ht="12.5">
      <c r="A386" s="121">
        <v>610422100131</v>
      </c>
      <c r="B386" s="10" t="s">
        <v>6046</v>
      </c>
      <c r="C386" s="10" t="e">
        <f ca="1">COUNTUNIQUEIFS('Alokasi Honor Hingga Sekarang'!D$2:D1009,'Alokasi Honor Hingga Sekarang'!C$2:C1009,A386)</f>
        <v>#NAME?</v>
      </c>
      <c r="D386" s="10" t="e">
        <f t="shared" ca="1" si="0"/>
        <v>#NAME?</v>
      </c>
      <c r="E386" s="82">
        <f t="array" ref="E386">INDEX('Database Mitra'!$R$2:$R1009,MATCH(A386,'Database Mitra'!$B$2:$B1009,0))</f>
        <v>31602</v>
      </c>
      <c r="F386" s="10" t="e">
        <f t="shared" ca="1" si="1"/>
        <v>#NAME?</v>
      </c>
      <c r="G386" s="10" t="e">
        <f t="array" ref="G386">INDEX('Database Mitra'!$E$2:$E1009,MATCH(A386,'Database Mitra'!$B$2:$B1009,0))</f>
        <v>#VALUE!</v>
      </c>
      <c r="H386" s="10" t="e">
        <f t="array" ref="H386">INDEX('Database Mitra'!$F$2:$F1009,MATCH(A386,'Database Mitra'!$B$2:$B1009,0))</f>
        <v>#VALUE!</v>
      </c>
    </row>
    <row r="387" spans="1:8" ht="12.5">
      <c r="A387" s="121">
        <v>610422100038</v>
      </c>
      <c r="B387" s="10" t="s">
        <v>2690</v>
      </c>
      <c r="C387" s="10" t="e">
        <f ca="1">COUNTUNIQUEIFS('Alokasi Honor Hingga Sekarang'!D$2:D1009,'Alokasi Honor Hingga Sekarang'!C$2:C1009,A387)</f>
        <v>#NAME?</v>
      </c>
      <c r="D387" s="10" t="e">
        <f t="shared" ca="1" si="0"/>
        <v>#NAME?</v>
      </c>
      <c r="E387" s="82">
        <f t="array" ref="E387">INDEX('Database Mitra'!$R$2:$R1009,MATCH(A387,'Database Mitra'!$B$2:$B1009,0))</f>
        <v>32378</v>
      </c>
      <c r="F387" s="10" t="e">
        <f t="shared" ca="1" si="1"/>
        <v>#NAME?</v>
      </c>
      <c r="G387" s="10" t="e">
        <f t="array" ref="G387">INDEX('Database Mitra'!$E$2:$E1009,MATCH(A387,'Database Mitra'!$B$2:$B1009,0))</f>
        <v>#VALUE!</v>
      </c>
      <c r="H387" s="10" t="e">
        <f t="array" ref="H387">INDEX('Database Mitra'!$F$2:$F1009,MATCH(A387,'Database Mitra'!$B$2:$B1009,0))</f>
        <v>#VALUE!</v>
      </c>
    </row>
    <row r="388" spans="1:8" ht="12.5">
      <c r="A388" s="121">
        <v>610422040030</v>
      </c>
      <c r="B388" s="10" t="s">
        <v>2697</v>
      </c>
      <c r="C388" s="10" t="e">
        <f ca="1">COUNTUNIQUEIFS('Alokasi Honor Hingga Sekarang'!D$2:D1009,'Alokasi Honor Hingga Sekarang'!C$2:C1009,A388)</f>
        <v>#NAME?</v>
      </c>
      <c r="D388" s="10" t="e">
        <f t="shared" ca="1" si="0"/>
        <v>#NAME?</v>
      </c>
      <c r="E388" s="82">
        <f t="array" ref="E388">INDEX('Database Mitra'!$R$2:$R1009,MATCH(A388,'Database Mitra'!$B$2:$B1009,0))</f>
        <v>35038</v>
      </c>
      <c r="F388" s="10" t="e">
        <f t="shared" ca="1" si="1"/>
        <v>#NAME?</v>
      </c>
      <c r="G388" s="10" t="e">
        <f t="array" ref="G388">INDEX('Database Mitra'!$E$2:$E1009,MATCH(A388,'Database Mitra'!$B$2:$B1009,0))</f>
        <v>#VALUE!</v>
      </c>
      <c r="H388" s="10" t="e">
        <f t="array" ref="H388">INDEX('Database Mitra'!$F$2:$F1009,MATCH(A388,'Database Mitra'!$B$2:$B1009,0))</f>
        <v>#VALUE!</v>
      </c>
    </row>
    <row r="389" spans="1:8" ht="12.5">
      <c r="A389" s="121">
        <v>610423110013</v>
      </c>
      <c r="B389" s="10" t="s">
        <v>6047</v>
      </c>
      <c r="C389" s="10" t="e">
        <f ca="1">COUNTUNIQUEIFS('Alokasi Honor Hingga Sekarang'!D$2:D1009,'Alokasi Honor Hingga Sekarang'!C$2:C1009,A389)</f>
        <v>#NAME?</v>
      </c>
      <c r="D389" s="10" t="e">
        <f t="shared" ca="1" si="0"/>
        <v>#NAME?</v>
      </c>
      <c r="E389" s="82">
        <f t="array" ref="E389">INDEX('Database Mitra'!$R$2:$R1009,MATCH(A389,'Database Mitra'!$B$2:$B1009,0))</f>
        <v>38022</v>
      </c>
      <c r="F389" s="10" t="e">
        <f t="shared" ca="1" si="1"/>
        <v>#NAME?</v>
      </c>
      <c r="G389" s="10" t="e">
        <f t="array" ref="G389">INDEX('Database Mitra'!$E$2:$E1009,MATCH(A389,'Database Mitra'!$B$2:$B1009,0))</f>
        <v>#VALUE!</v>
      </c>
      <c r="H389" s="10" t="e">
        <f t="array" ref="H389">INDEX('Database Mitra'!$F$2:$F1009,MATCH(A389,'Database Mitra'!$B$2:$B1009,0))</f>
        <v>#VALUE!</v>
      </c>
    </row>
    <row r="390" spans="1:8" ht="12.5">
      <c r="A390" s="121">
        <v>610423110023</v>
      </c>
      <c r="B390" s="10" t="s">
        <v>6048</v>
      </c>
      <c r="C390" s="10" t="e">
        <f ca="1">COUNTUNIQUEIFS('Alokasi Honor Hingga Sekarang'!D$2:D1009,'Alokasi Honor Hingga Sekarang'!C$2:C1009,A390)</f>
        <v>#NAME?</v>
      </c>
      <c r="D390" s="10" t="e">
        <f t="shared" ca="1" si="0"/>
        <v>#NAME?</v>
      </c>
      <c r="E390" s="82">
        <f t="array" ref="E390">INDEX('Database Mitra'!$R$2:$R1009,MATCH(A390,'Database Mitra'!$B$2:$B1009,0))</f>
        <v>36038</v>
      </c>
      <c r="F390" s="10" t="e">
        <f t="shared" ca="1" si="1"/>
        <v>#NAME?</v>
      </c>
      <c r="G390" s="10" t="e">
        <f t="array" ref="G390">INDEX('Database Mitra'!$E$2:$E1009,MATCH(A390,'Database Mitra'!$B$2:$B1009,0))</f>
        <v>#VALUE!</v>
      </c>
      <c r="H390" s="10" t="e">
        <f t="array" ref="H390">INDEX('Database Mitra'!$F$2:$F1009,MATCH(A390,'Database Mitra'!$B$2:$B1009,0))</f>
        <v>#VALUE!</v>
      </c>
    </row>
    <row r="391" spans="1:8" ht="12.5">
      <c r="A391" s="121">
        <v>610423110181</v>
      </c>
      <c r="B391" s="10" t="s">
        <v>6049</v>
      </c>
      <c r="C391" s="10" t="e">
        <f ca="1">COUNTUNIQUEIFS('Alokasi Honor Hingga Sekarang'!D$2:D1009,'Alokasi Honor Hingga Sekarang'!C$2:C1009,A391)</f>
        <v>#NAME?</v>
      </c>
      <c r="D391" s="10" t="e">
        <f t="shared" ca="1" si="0"/>
        <v>#NAME?</v>
      </c>
      <c r="E391" s="82">
        <f t="array" ref="E391">INDEX('Database Mitra'!$R$2:$R1009,MATCH(A391,'Database Mitra'!$B$2:$B1009,0))</f>
        <v>37411</v>
      </c>
      <c r="F391" s="10" t="e">
        <f t="shared" ca="1" si="1"/>
        <v>#NAME?</v>
      </c>
      <c r="G391" s="10" t="e">
        <f t="array" ref="G391">INDEX('Database Mitra'!$E$2:$E1009,MATCH(A391,'Database Mitra'!$B$2:$B1009,0))</f>
        <v>#VALUE!</v>
      </c>
      <c r="H391" s="10" t="e">
        <f t="array" ref="H391">INDEX('Database Mitra'!$F$2:$F1009,MATCH(A391,'Database Mitra'!$B$2:$B1009,0))</f>
        <v>#VALUE!</v>
      </c>
    </row>
    <row r="392" spans="1:8" ht="12.5">
      <c r="A392" s="121">
        <v>610423110041</v>
      </c>
      <c r="B392" s="10" t="s">
        <v>2720</v>
      </c>
      <c r="C392" s="10" t="e">
        <f ca="1">COUNTUNIQUEIFS('Alokasi Honor Hingga Sekarang'!D$2:D1009,'Alokasi Honor Hingga Sekarang'!C$2:C1009,A392)</f>
        <v>#NAME?</v>
      </c>
      <c r="D392" s="10" t="e">
        <f t="shared" ca="1" si="0"/>
        <v>#NAME?</v>
      </c>
      <c r="E392" s="82">
        <f t="array" ref="E392">INDEX('Database Mitra'!$R$2:$R1009,MATCH(A392,'Database Mitra'!$B$2:$B1009,0))</f>
        <v>38357</v>
      </c>
      <c r="F392" s="10" t="e">
        <f t="shared" ca="1" si="1"/>
        <v>#NAME?</v>
      </c>
      <c r="G392" s="10" t="e">
        <f t="array" ref="G392">INDEX('Database Mitra'!$E$2:$E1009,MATCH(A392,'Database Mitra'!$B$2:$B1009,0))</f>
        <v>#VALUE!</v>
      </c>
      <c r="H392" s="10" t="e">
        <f t="array" ref="H392">INDEX('Database Mitra'!$F$2:$F1009,MATCH(A392,'Database Mitra'!$B$2:$B1009,0))</f>
        <v>#VALUE!</v>
      </c>
    </row>
    <row r="393" spans="1:8" ht="12.5">
      <c r="A393" s="121">
        <v>610422100236</v>
      </c>
      <c r="B393" s="10" t="s">
        <v>2726</v>
      </c>
      <c r="C393" s="10" t="e">
        <f ca="1">COUNTUNIQUEIFS('Alokasi Honor Hingga Sekarang'!D$2:D1009,'Alokasi Honor Hingga Sekarang'!C$2:C1009,A393)</f>
        <v>#NAME?</v>
      </c>
      <c r="D393" s="10" t="e">
        <f t="shared" ca="1" si="0"/>
        <v>#NAME?</v>
      </c>
      <c r="E393" s="82">
        <f t="array" ref="E393">INDEX('Database Mitra'!$R$2:$R1009,MATCH(A393,'Database Mitra'!$B$2:$B1009,0))</f>
        <v>37002</v>
      </c>
      <c r="F393" s="10" t="e">
        <f t="shared" ca="1" si="1"/>
        <v>#NAME?</v>
      </c>
      <c r="G393" s="10" t="e">
        <f t="array" ref="G393">INDEX('Database Mitra'!$E$2:$E1009,MATCH(A393,'Database Mitra'!$B$2:$B1009,0))</f>
        <v>#VALUE!</v>
      </c>
      <c r="H393" s="10" t="e">
        <f t="array" ref="H393">INDEX('Database Mitra'!$F$2:$F1009,MATCH(A393,'Database Mitra'!$B$2:$B1009,0))</f>
        <v>#VALUE!</v>
      </c>
    </row>
    <row r="394" spans="1:8" ht="12.5">
      <c r="A394" s="121">
        <v>610423090021</v>
      </c>
      <c r="B394" s="10" t="s">
        <v>2731</v>
      </c>
      <c r="C394" s="10" t="e">
        <f ca="1">COUNTUNIQUEIFS('Alokasi Honor Hingga Sekarang'!D$2:D1009,'Alokasi Honor Hingga Sekarang'!C$2:C1009,A394)</f>
        <v>#NAME?</v>
      </c>
      <c r="D394" s="10" t="e">
        <f t="shared" ca="1" si="0"/>
        <v>#NAME?</v>
      </c>
      <c r="E394" s="82">
        <f t="array" ref="E394">INDEX('Database Mitra'!$R$2:$R1009,MATCH(A394,'Database Mitra'!$B$2:$B1009,0))</f>
        <v>36245</v>
      </c>
      <c r="F394" s="10" t="e">
        <f t="shared" ca="1" si="1"/>
        <v>#NAME?</v>
      </c>
      <c r="G394" s="10" t="e">
        <f t="array" ref="G394">INDEX('Database Mitra'!$E$2:$E1009,MATCH(A394,'Database Mitra'!$B$2:$B1009,0))</f>
        <v>#VALUE!</v>
      </c>
      <c r="H394" s="10" t="e">
        <f t="array" ref="H394">INDEX('Database Mitra'!$F$2:$F1009,MATCH(A394,'Database Mitra'!$B$2:$B1009,0))</f>
        <v>#VALUE!</v>
      </c>
    </row>
    <row r="395" spans="1:8" ht="12.5">
      <c r="A395" s="121">
        <v>610423110144</v>
      </c>
      <c r="B395" s="10" t="s">
        <v>2737</v>
      </c>
      <c r="C395" s="10" t="e">
        <f ca="1">COUNTUNIQUEIFS('Alokasi Honor Hingga Sekarang'!D$2:D1009,'Alokasi Honor Hingga Sekarang'!C$2:C1009,A395)</f>
        <v>#NAME?</v>
      </c>
      <c r="D395" s="10" t="e">
        <f t="shared" ca="1" si="0"/>
        <v>#NAME?</v>
      </c>
      <c r="E395" s="82">
        <f t="array" ref="E395">INDEX('Database Mitra'!$R$2:$R1009,MATCH(A395,'Database Mitra'!$B$2:$B1009,0))</f>
        <v>35371</v>
      </c>
      <c r="F395" s="10" t="e">
        <f t="shared" ca="1" si="1"/>
        <v>#NAME?</v>
      </c>
      <c r="G395" s="10" t="e">
        <f t="array" ref="G395">INDEX('Database Mitra'!$E$2:$E1009,MATCH(A395,'Database Mitra'!$B$2:$B1009,0))</f>
        <v>#VALUE!</v>
      </c>
      <c r="H395" s="10" t="e">
        <f t="array" ref="H395">INDEX('Database Mitra'!$F$2:$F1009,MATCH(A395,'Database Mitra'!$B$2:$B1009,0))</f>
        <v>#VALUE!</v>
      </c>
    </row>
    <row r="396" spans="1:8" ht="12.5">
      <c r="A396" s="121">
        <v>610423110086</v>
      </c>
      <c r="B396" s="10" t="s">
        <v>6050</v>
      </c>
      <c r="C396" s="10" t="e">
        <f ca="1">COUNTUNIQUEIFS('Alokasi Honor Hingga Sekarang'!D$2:D1009,'Alokasi Honor Hingga Sekarang'!C$2:C1009,A396)</f>
        <v>#NAME?</v>
      </c>
      <c r="D396" s="10" t="e">
        <f t="shared" ca="1" si="0"/>
        <v>#NAME?</v>
      </c>
      <c r="E396" s="82">
        <f t="array" ref="E396">INDEX('Database Mitra'!$R$2:$R1009,MATCH(A396,'Database Mitra'!$B$2:$B1009,0))</f>
        <v>34924</v>
      </c>
      <c r="F396" s="10" t="e">
        <f t="shared" ca="1" si="1"/>
        <v>#NAME?</v>
      </c>
      <c r="G396" s="10" t="e">
        <f t="array" ref="G396">INDEX('Database Mitra'!$E$2:$E1009,MATCH(A396,'Database Mitra'!$B$2:$B1009,0))</f>
        <v>#VALUE!</v>
      </c>
      <c r="H396" s="10" t="e">
        <f t="array" ref="H396">INDEX('Database Mitra'!$F$2:$F1009,MATCH(A396,'Database Mitra'!$B$2:$B1009,0))</f>
        <v>#VALUE!</v>
      </c>
    </row>
    <row r="397" spans="1:8" ht="12.5">
      <c r="A397" s="121">
        <v>610423110179</v>
      </c>
      <c r="B397" s="10" t="s">
        <v>6051</v>
      </c>
      <c r="C397" s="10" t="e">
        <f ca="1">COUNTUNIQUEIFS('Alokasi Honor Hingga Sekarang'!D$2:D1009,'Alokasi Honor Hingga Sekarang'!C$2:C1009,A397)</f>
        <v>#NAME?</v>
      </c>
      <c r="D397" s="10" t="e">
        <f t="shared" ca="1" si="0"/>
        <v>#NAME?</v>
      </c>
      <c r="E397" s="82">
        <f t="array" ref="E397">INDEX('Database Mitra'!$R$2:$R1009,MATCH(A397,'Database Mitra'!$B$2:$B1009,0))</f>
        <v>31264</v>
      </c>
      <c r="F397" s="10" t="e">
        <f t="shared" ca="1" si="1"/>
        <v>#NAME?</v>
      </c>
      <c r="G397" s="10" t="e">
        <f t="array" ref="G397">INDEX('Database Mitra'!$E$2:$E1009,MATCH(A397,'Database Mitra'!$B$2:$B1009,0))</f>
        <v>#VALUE!</v>
      </c>
      <c r="H397" s="10" t="e">
        <f t="array" ref="H397">INDEX('Database Mitra'!$F$2:$F1009,MATCH(A397,'Database Mitra'!$B$2:$B1009,0))</f>
        <v>#VALUE!</v>
      </c>
    </row>
    <row r="398" spans="1:8" ht="12.5">
      <c r="A398" s="121">
        <v>610423110138</v>
      </c>
      <c r="B398" s="10" t="s">
        <v>2755</v>
      </c>
      <c r="C398" s="10" t="e">
        <f ca="1">COUNTUNIQUEIFS('Alokasi Honor Hingga Sekarang'!D$2:D1009,'Alokasi Honor Hingga Sekarang'!C$2:C1009,A398)</f>
        <v>#NAME?</v>
      </c>
      <c r="D398" s="10" t="e">
        <f t="shared" ca="1" si="0"/>
        <v>#NAME?</v>
      </c>
      <c r="E398" s="11">
        <f t="array" ref="E398">INDEX('Database Mitra'!$R$2:$R1009,MATCH(A398,'Database Mitra'!$B$2:$B1009,0))</f>
        <v>31027</v>
      </c>
      <c r="F398" s="10" t="e">
        <f t="shared" ca="1" si="1"/>
        <v>#NAME?</v>
      </c>
      <c r="G398" s="10" t="e">
        <f t="array" ref="G398">INDEX('Database Mitra'!$E$2:$E1009,MATCH(A398,'Database Mitra'!$B$2:$B1009,0))</f>
        <v>#VALUE!</v>
      </c>
      <c r="H398" s="10" t="e">
        <f t="array" ref="H398">INDEX('Database Mitra'!$F$2:$F1009,MATCH(A398,'Database Mitra'!$B$2:$B1009,0))</f>
        <v>#VALUE!</v>
      </c>
    </row>
    <row r="399" spans="1:8" ht="12.5">
      <c r="A399" s="121">
        <v>610423110173</v>
      </c>
      <c r="B399" s="10" t="s">
        <v>6052</v>
      </c>
      <c r="C399" s="10" t="e">
        <f ca="1">COUNTUNIQUEIFS('Alokasi Honor Hingga Sekarang'!D$2:D1009,'Alokasi Honor Hingga Sekarang'!C$2:C1009,A399)</f>
        <v>#NAME?</v>
      </c>
      <c r="D399" s="10" t="e">
        <f t="shared" ca="1" si="0"/>
        <v>#NAME?</v>
      </c>
      <c r="E399" s="82">
        <f t="array" ref="E399">INDEX('Database Mitra'!$R$2:$R1009,MATCH(A399,'Database Mitra'!$B$2:$B1009,0))</f>
        <v>33063</v>
      </c>
      <c r="F399" s="10" t="e">
        <f t="shared" ca="1" si="1"/>
        <v>#NAME?</v>
      </c>
      <c r="G399" s="10" t="e">
        <f t="array" ref="G399">INDEX('Database Mitra'!$E$2:$E1009,MATCH(A399,'Database Mitra'!$B$2:$B1009,0))</f>
        <v>#VALUE!</v>
      </c>
      <c r="H399" s="10" t="e">
        <f t="array" ref="H399">INDEX('Database Mitra'!$F$2:$F1009,MATCH(A399,'Database Mitra'!$B$2:$B1009,0))</f>
        <v>#VALUE!</v>
      </c>
    </row>
    <row r="400" spans="1:8" ht="12.5">
      <c r="A400" s="121">
        <v>610422100053</v>
      </c>
      <c r="B400" s="10" t="s">
        <v>6053</v>
      </c>
      <c r="C400" s="10" t="e">
        <f ca="1">COUNTUNIQUEIFS('Alokasi Honor Hingga Sekarang'!D$2:D1009,'Alokasi Honor Hingga Sekarang'!C$2:C1009,A400)</f>
        <v>#NAME?</v>
      </c>
      <c r="D400" s="10" t="e">
        <f t="shared" ca="1" si="0"/>
        <v>#NAME?</v>
      </c>
      <c r="E400" s="82">
        <f t="array" ref="E400">INDEX('Database Mitra'!$R$2:$R1009,MATCH(A400,'Database Mitra'!$B$2:$B1009,0))</f>
        <v>37415</v>
      </c>
      <c r="F400" s="10" t="e">
        <f t="shared" ca="1" si="1"/>
        <v>#NAME?</v>
      </c>
      <c r="G400" s="10" t="e">
        <f t="array" ref="G400">INDEX('Database Mitra'!$E$2:$E1009,MATCH(A400,'Database Mitra'!$B$2:$B1009,0))</f>
        <v>#VALUE!</v>
      </c>
      <c r="H400" s="10" t="e">
        <f t="array" ref="H400">INDEX('Database Mitra'!$F$2:$F1009,MATCH(A400,'Database Mitra'!$B$2:$B1009,0))</f>
        <v>#VALUE!</v>
      </c>
    </row>
    <row r="401" spans="1:8" ht="12.5">
      <c r="A401" s="121">
        <v>610423090001</v>
      </c>
      <c r="B401" s="10" t="s">
        <v>2770</v>
      </c>
      <c r="C401" s="10" t="e">
        <f ca="1">COUNTUNIQUEIFS('Alokasi Honor Hingga Sekarang'!D$2:D1009,'Alokasi Honor Hingga Sekarang'!C$2:C1009,A401)</f>
        <v>#NAME?</v>
      </c>
      <c r="D401" s="10" t="e">
        <f t="shared" ca="1" si="0"/>
        <v>#NAME?</v>
      </c>
      <c r="E401" s="11">
        <f t="array" ref="E401">INDEX('Database Mitra'!$R$2:$R1009,MATCH(A401,'Database Mitra'!$B$2:$B1009,0))</f>
        <v>36096</v>
      </c>
      <c r="F401" s="10" t="e">
        <f t="shared" ca="1" si="1"/>
        <v>#NAME?</v>
      </c>
      <c r="G401" s="10" t="e">
        <f t="array" ref="G401">INDEX('Database Mitra'!$E$2:$E1009,MATCH(A401,'Database Mitra'!$B$2:$B1009,0))</f>
        <v>#VALUE!</v>
      </c>
      <c r="H401" s="10" t="e">
        <f t="array" ref="H401">INDEX('Database Mitra'!$F$2:$F1009,MATCH(A401,'Database Mitra'!$B$2:$B1009,0))</f>
        <v>#VALUE!</v>
      </c>
    </row>
    <row r="402" spans="1:8" ht="12.5">
      <c r="A402" s="121">
        <v>610423110004</v>
      </c>
      <c r="B402" s="10" t="s">
        <v>2775</v>
      </c>
      <c r="C402" s="10" t="e">
        <f ca="1">COUNTUNIQUEIFS('Alokasi Honor Hingga Sekarang'!D$2:D1009,'Alokasi Honor Hingga Sekarang'!C$2:C1009,A402)</f>
        <v>#NAME?</v>
      </c>
      <c r="D402" s="10" t="e">
        <f t="shared" ca="1" si="0"/>
        <v>#NAME?</v>
      </c>
      <c r="E402" s="11">
        <f t="array" ref="E402">INDEX('Database Mitra'!$R$2:$R1009,MATCH(A402,'Database Mitra'!$B$2:$B1009,0))</f>
        <v>29538</v>
      </c>
      <c r="F402" s="10" t="e">
        <f t="shared" ca="1" si="1"/>
        <v>#NAME?</v>
      </c>
      <c r="G402" s="10" t="e">
        <f t="array" ref="G402">INDEX('Database Mitra'!$E$2:$E1009,MATCH(A402,'Database Mitra'!$B$2:$B1009,0))</f>
        <v>#VALUE!</v>
      </c>
      <c r="H402" s="10" t="e">
        <f t="array" ref="H402">INDEX('Database Mitra'!$F$2:$F1009,MATCH(A402,'Database Mitra'!$B$2:$B1009,0))</f>
        <v>#VALUE!</v>
      </c>
    </row>
    <row r="403" spans="1:8" ht="12.5">
      <c r="A403" s="121">
        <v>610422040053</v>
      </c>
      <c r="B403" s="10" t="s">
        <v>2781</v>
      </c>
      <c r="C403" s="10" t="e">
        <f ca="1">COUNTUNIQUEIFS('Alokasi Honor Hingga Sekarang'!D$2:D1009,'Alokasi Honor Hingga Sekarang'!C$2:C1009,A403)</f>
        <v>#NAME?</v>
      </c>
      <c r="D403" s="10" t="e">
        <f t="shared" ca="1" si="0"/>
        <v>#NAME?</v>
      </c>
      <c r="E403" s="82">
        <f t="array" ref="E403">INDEX('Database Mitra'!$R$2:$R1009,MATCH(A403,'Database Mitra'!$B$2:$B1009,0))</f>
        <v>36997</v>
      </c>
      <c r="F403" s="10" t="e">
        <f t="shared" ca="1" si="1"/>
        <v>#NAME?</v>
      </c>
      <c r="G403" s="10" t="e">
        <f t="array" ref="G403">INDEX('Database Mitra'!$E$2:$E1009,MATCH(A403,'Database Mitra'!$B$2:$B1009,0))</f>
        <v>#VALUE!</v>
      </c>
      <c r="H403" s="10" t="e">
        <f t="array" ref="H403">INDEX('Database Mitra'!$F$2:$F1009,MATCH(A403,'Database Mitra'!$B$2:$B1009,0))</f>
        <v>#VALUE!</v>
      </c>
    </row>
    <row r="404" spans="1:8" ht="12.5">
      <c r="A404" s="121">
        <v>610422020047</v>
      </c>
      <c r="B404" s="10" t="s">
        <v>2786</v>
      </c>
      <c r="C404" s="10" t="e">
        <f ca="1">COUNTUNIQUEIFS('Alokasi Honor Hingga Sekarang'!D$2:D1009,'Alokasi Honor Hingga Sekarang'!C$2:C1009,A404)</f>
        <v>#NAME?</v>
      </c>
      <c r="D404" s="10" t="e">
        <f t="shared" ca="1" si="0"/>
        <v>#NAME?</v>
      </c>
      <c r="E404" s="82">
        <f t="array" ref="E404">INDEX('Database Mitra'!$R$2:$R1009,MATCH(A404,'Database Mitra'!$B$2:$B1009,0))</f>
        <v>36542</v>
      </c>
      <c r="F404" s="10" t="e">
        <f t="shared" ca="1" si="1"/>
        <v>#NAME?</v>
      </c>
      <c r="G404" s="10" t="e">
        <f t="array" ref="G404">INDEX('Database Mitra'!$E$2:$E1009,MATCH(A404,'Database Mitra'!$B$2:$B1009,0))</f>
        <v>#VALUE!</v>
      </c>
      <c r="H404" s="10" t="e">
        <f t="array" ref="H404">INDEX('Database Mitra'!$F$2:$F1009,MATCH(A404,'Database Mitra'!$B$2:$B1009,0))</f>
        <v>#VALUE!</v>
      </c>
    </row>
    <row r="405" spans="1:8" ht="12.5">
      <c r="A405" s="121">
        <v>610422100055</v>
      </c>
      <c r="B405" s="10" t="s">
        <v>2791</v>
      </c>
      <c r="C405" s="10" t="e">
        <f ca="1">COUNTUNIQUEIFS('Alokasi Honor Hingga Sekarang'!D$2:D1009,'Alokasi Honor Hingga Sekarang'!C$2:C1009,A405)</f>
        <v>#NAME?</v>
      </c>
      <c r="D405" s="10" t="e">
        <f t="shared" ca="1" si="0"/>
        <v>#NAME?</v>
      </c>
      <c r="E405" s="82">
        <f t="array" ref="E405">INDEX('Database Mitra'!$R$2:$R1009,MATCH(A405,'Database Mitra'!$B$2:$B1009,0))</f>
        <v>35978</v>
      </c>
      <c r="F405" s="10" t="e">
        <f t="shared" ca="1" si="1"/>
        <v>#NAME?</v>
      </c>
      <c r="G405" s="10" t="e">
        <f t="array" ref="G405">INDEX('Database Mitra'!$E$2:$E1009,MATCH(A405,'Database Mitra'!$B$2:$B1009,0))</f>
        <v>#VALUE!</v>
      </c>
      <c r="H405" s="10" t="e">
        <f t="array" ref="H405">INDEX('Database Mitra'!$F$2:$F1009,MATCH(A405,'Database Mitra'!$B$2:$B1009,0))</f>
        <v>#VALUE!</v>
      </c>
    </row>
    <row r="406" spans="1:8" ht="12.5">
      <c r="A406" s="121">
        <v>610422040045</v>
      </c>
      <c r="B406" s="10" t="s">
        <v>2796</v>
      </c>
      <c r="C406" s="10" t="e">
        <f ca="1">COUNTUNIQUEIFS('Alokasi Honor Hingga Sekarang'!D$2:D1009,'Alokasi Honor Hingga Sekarang'!C$2:C1009,A406)</f>
        <v>#NAME?</v>
      </c>
      <c r="D406" s="10" t="e">
        <f t="shared" ca="1" si="0"/>
        <v>#NAME?</v>
      </c>
      <c r="E406" s="11">
        <f t="array" ref="E406">INDEX('Database Mitra'!$R$2:$R1009,MATCH(A406,'Database Mitra'!$B$2:$B1009,0))</f>
        <v>35730</v>
      </c>
      <c r="F406" s="10" t="e">
        <f t="shared" ca="1" si="1"/>
        <v>#NAME?</v>
      </c>
      <c r="G406" s="10" t="e">
        <f t="array" ref="G406">INDEX('Database Mitra'!$E$2:$E1009,MATCH(A406,'Database Mitra'!$B$2:$B1009,0))</f>
        <v>#VALUE!</v>
      </c>
      <c r="H406" s="10" t="e">
        <f t="array" ref="H406">INDEX('Database Mitra'!$F$2:$F1009,MATCH(A406,'Database Mitra'!$B$2:$B1009,0))</f>
        <v>#VALUE!</v>
      </c>
    </row>
    <row r="407" spans="1:8" ht="12.5">
      <c r="A407" s="121">
        <v>610423110011</v>
      </c>
      <c r="B407" s="10" t="s">
        <v>2803</v>
      </c>
      <c r="C407" s="10" t="e">
        <f ca="1">COUNTUNIQUEIFS('Alokasi Honor Hingga Sekarang'!D$2:D1009,'Alokasi Honor Hingga Sekarang'!C$2:C1009,A407)</f>
        <v>#NAME?</v>
      </c>
      <c r="D407" s="10" t="e">
        <f t="shared" ca="1" si="0"/>
        <v>#NAME?</v>
      </c>
      <c r="E407" s="82">
        <f t="array" ref="E407">INDEX('Database Mitra'!$R$2:$R1009,MATCH(A407,'Database Mitra'!$B$2:$B1009,0))</f>
        <v>36254</v>
      </c>
      <c r="F407" s="10" t="e">
        <f t="shared" ca="1" si="1"/>
        <v>#NAME?</v>
      </c>
      <c r="G407" s="10" t="e">
        <f t="array" ref="G407">INDEX('Database Mitra'!$E$2:$E1009,MATCH(A407,'Database Mitra'!$B$2:$B1009,0))</f>
        <v>#VALUE!</v>
      </c>
      <c r="H407" s="10" t="e">
        <f t="array" ref="H407">INDEX('Database Mitra'!$F$2:$F1009,MATCH(A407,'Database Mitra'!$B$2:$B1009,0))</f>
        <v>#VALUE!</v>
      </c>
    </row>
    <row r="408" spans="1:8" ht="12.5">
      <c r="A408" s="121">
        <v>610423090026</v>
      </c>
      <c r="B408" s="10" t="s">
        <v>6054</v>
      </c>
      <c r="C408" s="10" t="e">
        <f ca="1">COUNTUNIQUEIFS('Alokasi Honor Hingga Sekarang'!D$2:D1009,'Alokasi Honor Hingga Sekarang'!C$2:C1009,A408)</f>
        <v>#NAME?</v>
      </c>
      <c r="D408" s="10" t="e">
        <f t="shared" ca="1" si="0"/>
        <v>#NAME?</v>
      </c>
      <c r="E408" s="82">
        <f t="array" ref="E408">INDEX('Database Mitra'!$R$2:$R1009,MATCH(A408,'Database Mitra'!$B$2:$B1009,0))</f>
        <v>36323</v>
      </c>
      <c r="F408" s="10" t="e">
        <f t="shared" ca="1" si="1"/>
        <v>#NAME?</v>
      </c>
      <c r="G408" s="10" t="e">
        <f t="array" ref="G408">INDEX('Database Mitra'!$E$2:$E1009,MATCH(A408,'Database Mitra'!$B$2:$B1009,0))</f>
        <v>#VALUE!</v>
      </c>
      <c r="H408" s="10" t="e">
        <f t="array" ref="H408">INDEX('Database Mitra'!$F$2:$F1009,MATCH(A408,'Database Mitra'!$B$2:$B1009,0))</f>
        <v>#VALUE!</v>
      </c>
    </row>
    <row r="409" spans="1:8" ht="12.5">
      <c r="A409" s="121">
        <v>610422040010</v>
      </c>
      <c r="B409" s="10" t="s">
        <v>2813</v>
      </c>
      <c r="C409" s="10" t="e">
        <f ca="1">COUNTUNIQUEIFS('Alokasi Honor Hingga Sekarang'!D$2:D1009,'Alokasi Honor Hingga Sekarang'!C$2:C1009,A409)</f>
        <v>#NAME?</v>
      </c>
      <c r="D409" s="10" t="e">
        <f t="shared" ca="1" si="0"/>
        <v>#NAME?</v>
      </c>
      <c r="E409" s="11">
        <f t="array" ref="E409">INDEX('Database Mitra'!$R$2:$R1009,MATCH(A409,'Database Mitra'!$B$2:$B1009,0))</f>
        <v>36825</v>
      </c>
      <c r="F409" s="10" t="e">
        <f t="shared" ca="1" si="1"/>
        <v>#NAME?</v>
      </c>
      <c r="G409" s="10" t="e">
        <f t="array" ref="G409">INDEX('Database Mitra'!$E$2:$E1009,MATCH(A409,'Database Mitra'!$B$2:$B1009,0))</f>
        <v>#VALUE!</v>
      </c>
      <c r="H409" s="10" t="e">
        <f t="array" ref="H409">INDEX('Database Mitra'!$F$2:$F1009,MATCH(A409,'Database Mitra'!$B$2:$B1009,0))</f>
        <v>#VALUE!</v>
      </c>
    </row>
    <row r="410" spans="1:8" ht="12.5">
      <c r="A410" s="121">
        <v>610423110035</v>
      </c>
      <c r="B410" s="10" t="s">
        <v>2818</v>
      </c>
      <c r="C410" s="10" t="e">
        <f ca="1">COUNTUNIQUEIFS('Alokasi Honor Hingga Sekarang'!D$2:D1009,'Alokasi Honor Hingga Sekarang'!C$2:C1009,A410)</f>
        <v>#NAME?</v>
      </c>
      <c r="D410" s="10" t="e">
        <f t="shared" ca="1" si="0"/>
        <v>#NAME?</v>
      </c>
      <c r="E410" s="82">
        <f t="array" ref="E410">INDEX('Database Mitra'!$R$2:$R1009,MATCH(A410,'Database Mitra'!$B$2:$B1009,0))</f>
        <v>30221</v>
      </c>
      <c r="F410" s="10" t="e">
        <f t="shared" ca="1" si="1"/>
        <v>#NAME?</v>
      </c>
      <c r="G410" s="10" t="e">
        <f t="array" ref="G410">INDEX('Database Mitra'!$E$2:$E1009,MATCH(A410,'Database Mitra'!$B$2:$B1009,0))</f>
        <v>#VALUE!</v>
      </c>
      <c r="H410" s="10" t="e">
        <f t="array" ref="H410">INDEX('Database Mitra'!$F$2:$F1009,MATCH(A410,'Database Mitra'!$B$2:$B1009,0))</f>
        <v>#VALUE!</v>
      </c>
    </row>
    <row r="411" spans="1:8" ht="12.5">
      <c r="A411" s="121">
        <v>610422040056</v>
      </c>
      <c r="B411" s="10" t="s">
        <v>2825</v>
      </c>
      <c r="C411" s="10" t="e">
        <f ca="1">COUNTUNIQUEIFS('Alokasi Honor Hingga Sekarang'!D$2:D1009,'Alokasi Honor Hingga Sekarang'!C$2:C1009,A411)</f>
        <v>#NAME?</v>
      </c>
      <c r="D411" s="10" t="e">
        <f t="shared" ca="1" si="0"/>
        <v>#NAME?</v>
      </c>
      <c r="E411" s="82">
        <f t="array" ref="E411">INDEX('Database Mitra'!$R$2:$R1009,MATCH(A411,'Database Mitra'!$B$2:$B1009,0))</f>
        <v>27798</v>
      </c>
      <c r="F411" s="10" t="e">
        <f t="shared" ca="1" si="1"/>
        <v>#NAME?</v>
      </c>
      <c r="G411" s="10" t="e">
        <f t="array" ref="G411">INDEX('Database Mitra'!$E$2:$E1009,MATCH(A411,'Database Mitra'!$B$2:$B1009,0))</f>
        <v>#VALUE!</v>
      </c>
      <c r="H411" s="10" t="e">
        <f t="array" ref="H411">INDEX('Database Mitra'!$F$2:$F1009,MATCH(A411,'Database Mitra'!$B$2:$B1009,0))</f>
        <v>#VALUE!</v>
      </c>
    </row>
    <row r="412" spans="1:8" ht="12.5">
      <c r="A412" s="121">
        <v>610423110003</v>
      </c>
      <c r="B412" s="10" t="s">
        <v>2829</v>
      </c>
      <c r="C412" s="10" t="e">
        <f ca="1">COUNTUNIQUEIFS('Alokasi Honor Hingga Sekarang'!D$2:D1009,'Alokasi Honor Hingga Sekarang'!C$2:C1009,A412)</f>
        <v>#NAME?</v>
      </c>
      <c r="D412" s="10" t="e">
        <f t="shared" ca="1" si="0"/>
        <v>#NAME?</v>
      </c>
      <c r="E412" s="82">
        <f t="array" ref="E412">INDEX('Database Mitra'!$R$2:$R1009,MATCH(A412,'Database Mitra'!$B$2:$B1009,0))</f>
        <v>28669</v>
      </c>
      <c r="F412" s="10" t="e">
        <f t="shared" ca="1" si="1"/>
        <v>#NAME?</v>
      </c>
      <c r="G412" s="10" t="e">
        <f t="array" ref="G412">INDEX('Database Mitra'!$E$2:$E1009,MATCH(A412,'Database Mitra'!$B$2:$B1009,0))</f>
        <v>#VALUE!</v>
      </c>
      <c r="H412" s="10" t="e">
        <f t="array" ref="H412">INDEX('Database Mitra'!$F$2:$F1009,MATCH(A412,'Database Mitra'!$B$2:$B1009,0))</f>
        <v>#VALUE!</v>
      </c>
    </row>
    <row r="413" spans="1:8" ht="12.5">
      <c r="A413" s="121">
        <v>610423110006</v>
      </c>
      <c r="B413" s="10" t="s">
        <v>6055</v>
      </c>
      <c r="C413" s="10" t="e">
        <f ca="1">COUNTUNIQUEIFS('Alokasi Honor Hingga Sekarang'!D$2:D1009,'Alokasi Honor Hingga Sekarang'!C$2:C1009,A413)</f>
        <v>#NAME?</v>
      </c>
      <c r="D413" s="10" t="e">
        <f t="shared" ca="1" si="0"/>
        <v>#NAME?</v>
      </c>
      <c r="E413" s="82">
        <f t="array" ref="E413">INDEX('Database Mitra'!$R$2:$R1009,MATCH(A413,'Database Mitra'!$B$2:$B1009,0))</f>
        <v>34338</v>
      </c>
      <c r="F413" s="10" t="e">
        <f t="shared" ca="1" si="1"/>
        <v>#NAME?</v>
      </c>
      <c r="G413" s="10" t="e">
        <f t="array" ref="G413">INDEX('Database Mitra'!$E$2:$E1009,MATCH(A413,'Database Mitra'!$B$2:$B1009,0))</f>
        <v>#VALUE!</v>
      </c>
      <c r="H413" s="10" t="e">
        <f t="array" ref="H413">INDEX('Database Mitra'!$F$2:$F1009,MATCH(A413,'Database Mitra'!$B$2:$B1009,0))</f>
        <v>#VALUE!</v>
      </c>
    </row>
    <row r="414" spans="1:8" ht="12.5">
      <c r="A414" s="121">
        <v>610422100139</v>
      </c>
      <c r="B414" s="10" t="s">
        <v>2842</v>
      </c>
      <c r="C414" s="10" t="e">
        <f ca="1">COUNTUNIQUEIFS('Alokasi Honor Hingga Sekarang'!D$2:D1009,'Alokasi Honor Hingga Sekarang'!C$2:C1009,A414)</f>
        <v>#NAME?</v>
      </c>
      <c r="D414" s="10" t="e">
        <f t="shared" ca="1" si="0"/>
        <v>#NAME?</v>
      </c>
      <c r="E414" s="11">
        <f t="array" ref="E414">INDEX('Database Mitra'!$R$2:$R1009,MATCH(A414,'Database Mitra'!$B$2:$B1009,0))</f>
        <v>36522</v>
      </c>
      <c r="F414" s="10" t="e">
        <f t="shared" ca="1" si="1"/>
        <v>#NAME?</v>
      </c>
      <c r="G414" s="10" t="e">
        <f t="array" ref="G414">INDEX('Database Mitra'!$E$2:$E1009,MATCH(A414,'Database Mitra'!$B$2:$B1009,0))</f>
        <v>#VALUE!</v>
      </c>
      <c r="H414" s="10" t="e">
        <f t="array" ref="H414">INDEX('Database Mitra'!$F$2:$F1009,MATCH(A414,'Database Mitra'!$B$2:$B1009,0))</f>
        <v>#VALUE!</v>
      </c>
    </row>
    <row r="415" spans="1:8" ht="12.5">
      <c r="A415" s="121">
        <v>610423110142</v>
      </c>
      <c r="B415" s="10" t="s">
        <v>2848</v>
      </c>
      <c r="C415" s="10" t="e">
        <f ca="1">COUNTUNIQUEIFS('Alokasi Honor Hingga Sekarang'!D$2:D1009,'Alokasi Honor Hingga Sekarang'!C$2:C1009,A415)</f>
        <v>#NAME?</v>
      </c>
      <c r="D415" s="10" t="e">
        <f t="shared" ca="1" si="0"/>
        <v>#NAME?</v>
      </c>
      <c r="E415" s="11">
        <f t="array" ref="E415">INDEX('Database Mitra'!$R$2:$R1009,MATCH(A415,'Database Mitra'!$B$2:$B1009,0))</f>
        <v>36078</v>
      </c>
      <c r="F415" s="10" t="e">
        <f t="shared" ca="1" si="1"/>
        <v>#NAME?</v>
      </c>
      <c r="G415" s="10" t="e">
        <f t="array" ref="G415">INDEX('Database Mitra'!$E$2:$E1009,MATCH(A415,'Database Mitra'!$B$2:$B1009,0))</f>
        <v>#VALUE!</v>
      </c>
      <c r="H415" s="10" t="e">
        <f t="array" ref="H415">INDEX('Database Mitra'!$F$2:$F1009,MATCH(A415,'Database Mitra'!$B$2:$B1009,0))</f>
        <v>#VALUE!</v>
      </c>
    </row>
    <row r="416" spans="1:8" ht="12.5">
      <c r="A416" s="121">
        <v>610422100165</v>
      </c>
      <c r="B416" s="10" t="s">
        <v>2855</v>
      </c>
      <c r="C416" s="10" t="e">
        <f ca="1">COUNTUNIQUEIFS('Alokasi Honor Hingga Sekarang'!D$2:D1009,'Alokasi Honor Hingga Sekarang'!C$2:C1009,A416)</f>
        <v>#NAME?</v>
      </c>
      <c r="D416" s="10" t="e">
        <f t="shared" ca="1" si="0"/>
        <v>#NAME?</v>
      </c>
      <c r="E416" s="82">
        <f t="array" ref="E416">INDEX('Database Mitra'!$R$2:$R1009,MATCH(A416,'Database Mitra'!$B$2:$B1009,0))</f>
        <v>35862</v>
      </c>
      <c r="F416" s="10" t="e">
        <f t="shared" ca="1" si="1"/>
        <v>#NAME?</v>
      </c>
      <c r="G416" s="10" t="e">
        <f t="array" ref="G416">INDEX('Database Mitra'!$E$2:$E1009,MATCH(A416,'Database Mitra'!$B$2:$B1009,0))</f>
        <v>#VALUE!</v>
      </c>
      <c r="H416" s="10" t="e">
        <f t="array" ref="H416">INDEX('Database Mitra'!$F$2:$F1009,MATCH(A416,'Database Mitra'!$B$2:$B1009,0))</f>
        <v>#VALUE!</v>
      </c>
    </row>
    <row r="417" spans="1:8" ht="12.5">
      <c r="A417" s="121">
        <v>610422100105</v>
      </c>
      <c r="B417" s="10" t="s">
        <v>2862</v>
      </c>
      <c r="C417" s="10" t="e">
        <f ca="1">COUNTUNIQUEIFS('Alokasi Honor Hingga Sekarang'!D$2:D1009,'Alokasi Honor Hingga Sekarang'!C$2:C1009,A417)</f>
        <v>#NAME?</v>
      </c>
      <c r="D417" s="10" t="e">
        <f t="shared" ca="1" si="0"/>
        <v>#NAME?</v>
      </c>
      <c r="E417" s="82">
        <f t="array" ref="E417">INDEX('Database Mitra'!$R$2:$R1009,MATCH(A417,'Database Mitra'!$B$2:$B1009,0))</f>
        <v>36266</v>
      </c>
      <c r="F417" s="10" t="e">
        <f t="shared" ca="1" si="1"/>
        <v>#NAME?</v>
      </c>
      <c r="G417" s="10" t="e">
        <f t="array" ref="G417">INDEX('Database Mitra'!$E$2:$E1009,MATCH(A417,'Database Mitra'!$B$2:$B1009,0))</f>
        <v>#VALUE!</v>
      </c>
      <c r="H417" s="10" t="e">
        <f t="array" ref="H417">INDEX('Database Mitra'!$F$2:$F1009,MATCH(A417,'Database Mitra'!$B$2:$B1009,0))</f>
        <v>#VALUE!</v>
      </c>
    </row>
    <row r="418" spans="1:8" ht="12.5">
      <c r="A418" s="121">
        <v>610422100257</v>
      </c>
      <c r="B418" s="10" t="s">
        <v>6056</v>
      </c>
      <c r="C418" s="10" t="e">
        <f ca="1">COUNTUNIQUEIFS('Alokasi Honor Hingga Sekarang'!D$2:D1009,'Alokasi Honor Hingga Sekarang'!C$2:C1009,A418)</f>
        <v>#NAME?</v>
      </c>
      <c r="D418" s="10" t="e">
        <f t="shared" ca="1" si="0"/>
        <v>#NAME?</v>
      </c>
      <c r="E418" s="11">
        <f t="array" ref="E418">INDEX('Database Mitra'!$R$2:$R1009,MATCH(A418,'Database Mitra'!$B$2:$B1009,0))</f>
        <v>35019</v>
      </c>
      <c r="F418" s="10" t="e">
        <f t="shared" ca="1" si="1"/>
        <v>#NAME?</v>
      </c>
      <c r="G418" s="10" t="e">
        <f t="array" ref="G418">INDEX('Database Mitra'!$E$2:$E1009,MATCH(A418,'Database Mitra'!$B$2:$B1009,0))</f>
        <v>#VALUE!</v>
      </c>
      <c r="H418" s="10" t="e">
        <f t="array" ref="H418">INDEX('Database Mitra'!$F$2:$F1009,MATCH(A418,'Database Mitra'!$B$2:$B1009,0))</f>
        <v>#VALUE!</v>
      </c>
    </row>
    <row r="419" spans="1:8" ht="12.5">
      <c r="A419" s="121">
        <v>610423110119</v>
      </c>
      <c r="B419" s="10" t="s">
        <v>6057</v>
      </c>
      <c r="C419" s="10" t="e">
        <f ca="1">COUNTUNIQUEIFS('Alokasi Honor Hingga Sekarang'!D$2:D1009,'Alokasi Honor Hingga Sekarang'!C$2:C1009,A419)</f>
        <v>#NAME?</v>
      </c>
      <c r="D419" s="10" t="e">
        <f t="shared" ca="1" si="0"/>
        <v>#NAME?</v>
      </c>
      <c r="E419" s="82">
        <f t="array" ref="E419">INDEX('Database Mitra'!$R$2:$R1009,MATCH(A419,'Database Mitra'!$B$2:$B1009,0))</f>
        <v>35328</v>
      </c>
      <c r="F419" s="10" t="e">
        <f t="shared" ca="1" si="1"/>
        <v>#NAME?</v>
      </c>
      <c r="G419" s="10" t="e">
        <f t="array" ref="G419">INDEX('Database Mitra'!$E$2:$E1009,MATCH(A419,'Database Mitra'!$B$2:$B1009,0))</f>
        <v>#VALUE!</v>
      </c>
      <c r="H419" s="10" t="e">
        <f t="array" ref="H419">INDEX('Database Mitra'!$F$2:$F1009,MATCH(A419,'Database Mitra'!$B$2:$B1009,0))</f>
        <v>#VALUE!</v>
      </c>
    </row>
    <row r="420" spans="1:8" ht="12.5">
      <c r="A420" s="121">
        <v>610423110193</v>
      </c>
      <c r="B420" s="10" t="s">
        <v>6058</v>
      </c>
      <c r="C420" s="10" t="e">
        <f ca="1">COUNTUNIQUEIFS('Alokasi Honor Hingga Sekarang'!D$2:D1009,'Alokasi Honor Hingga Sekarang'!C$2:C1009,A420)</f>
        <v>#NAME?</v>
      </c>
      <c r="D420" s="10" t="e">
        <f t="shared" ca="1" si="0"/>
        <v>#NAME?</v>
      </c>
      <c r="E420" s="82">
        <f t="array" ref="E420">INDEX('Database Mitra'!$R$2:$R1009,MATCH(A420,'Database Mitra'!$B$2:$B1009,0))</f>
        <v>35607</v>
      </c>
      <c r="F420" s="10" t="e">
        <f t="shared" ca="1" si="1"/>
        <v>#NAME?</v>
      </c>
      <c r="G420" s="10" t="e">
        <f t="array" ref="G420">INDEX('Database Mitra'!$E$2:$E1009,MATCH(A420,'Database Mitra'!$B$2:$B1009,0))</f>
        <v>#VALUE!</v>
      </c>
      <c r="H420" s="10" t="e">
        <f t="array" ref="H420">INDEX('Database Mitra'!$F$2:$F1009,MATCH(A420,'Database Mitra'!$B$2:$B1009,0))</f>
        <v>#VALUE!</v>
      </c>
    </row>
    <row r="421" spans="1:8" ht="12.5">
      <c r="A421" s="121">
        <v>610423110097</v>
      </c>
      <c r="B421" s="10" t="s">
        <v>2888</v>
      </c>
      <c r="C421" s="10" t="e">
        <f ca="1">COUNTUNIQUEIFS('Alokasi Honor Hingga Sekarang'!D$2:D1009,'Alokasi Honor Hingga Sekarang'!C$2:C1009,A421)</f>
        <v>#NAME?</v>
      </c>
      <c r="D421" s="10" t="e">
        <f t="shared" ca="1" si="0"/>
        <v>#NAME?</v>
      </c>
      <c r="E421" s="82">
        <f t="array" ref="E421">INDEX('Database Mitra'!$R$2:$R1009,MATCH(A421,'Database Mitra'!$B$2:$B1009,0))</f>
        <v>35812</v>
      </c>
      <c r="F421" s="10" t="e">
        <f t="shared" ca="1" si="1"/>
        <v>#NAME?</v>
      </c>
      <c r="G421" s="10" t="e">
        <f t="array" ref="G421">INDEX('Database Mitra'!$E$2:$E1009,MATCH(A421,'Database Mitra'!$B$2:$B1009,0))</f>
        <v>#VALUE!</v>
      </c>
      <c r="H421" s="10" t="e">
        <f t="array" ref="H421">INDEX('Database Mitra'!$F$2:$F1009,MATCH(A421,'Database Mitra'!$B$2:$B1009,0))</f>
        <v>#VALUE!</v>
      </c>
    </row>
    <row r="422" spans="1:8" ht="12.5">
      <c r="A422" s="121">
        <v>610423110022</v>
      </c>
      <c r="B422" s="10" t="s">
        <v>2893</v>
      </c>
      <c r="C422" s="10" t="e">
        <f ca="1">COUNTUNIQUEIFS('Alokasi Honor Hingga Sekarang'!D$2:D1009,'Alokasi Honor Hingga Sekarang'!C$2:C1009,A422)</f>
        <v>#NAME?</v>
      </c>
      <c r="D422" s="10" t="e">
        <f t="shared" ca="1" si="0"/>
        <v>#NAME?</v>
      </c>
      <c r="E422" s="82">
        <f t="array" ref="E422">INDEX('Database Mitra'!$R$2:$R1009,MATCH(A422,'Database Mitra'!$B$2:$B1009,0))</f>
        <v>33821</v>
      </c>
      <c r="F422" s="10" t="e">
        <f t="shared" ca="1" si="1"/>
        <v>#NAME?</v>
      </c>
      <c r="G422" s="10" t="e">
        <f t="array" ref="G422">INDEX('Database Mitra'!$E$2:$E1009,MATCH(A422,'Database Mitra'!$B$2:$B1009,0))</f>
        <v>#VALUE!</v>
      </c>
      <c r="H422" s="10" t="e">
        <f t="array" ref="H422">INDEX('Database Mitra'!$F$2:$F1009,MATCH(A422,'Database Mitra'!$B$2:$B1009,0))</f>
        <v>#VALUE!</v>
      </c>
    </row>
    <row r="423" spans="1:8" ht="12.5">
      <c r="A423" s="121">
        <v>610422040062</v>
      </c>
      <c r="B423" s="10" t="s">
        <v>2899</v>
      </c>
      <c r="C423" s="10" t="e">
        <f ca="1">COUNTUNIQUEIFS('Alokasi Honor Hingga Sekarang'!D$2:D1009,'Alokasi Honor Hingga Sekarang'!C$2:C1009,A423)</f>
        <v>#NAME?</v>
      </c>
      <c r="D423" s="10" t="e">
        <f t="shared" ca="1" si="0"/>
        <v>#NAME?</v>
      </c>
      <c r="E423" s="82">
        <f t="array" ref="E423">INDEX('Database Mitra'!$R$2:$R1009,MATCH(A423,'Database Mitra'!$B$2:$B1009,0))</f>
        <v>29359</v>
      </c>
      <c r="F423" s="10" t="e">
        <f t="shared" ca="1" si="1"/>
        <v>#NAME?</v>
      </c>
      <c r="G423" s="10" t="e">
        <f t="array" ref="G423">INDEX('Database Mitra'!$E$2:$E1009,MATCH(A423,'Database Mitra'!$B$2:$B1009,0))</f>
        <v>#VALUE!</v>
      </c>
      <c r="H423" s="10" t="e">
        <f t="array" ref="H423">INDEX('Database Mitra'!$F$2:$F1009,MATCH(A423,'Database Mitra'!$B$2:$B1009,0))</f>
        <v>#VALUE!</v>
      </c>
    </row>
    <row r="424" spans="1:8" ht="12.5">
      <c r="A424" s="121">
        <v>610422100126</v>
      </c>
      <c r="B424" s="10" t="s">
        <v>2906</v>
      </c>
      <c r="C424" s="10" t="e">
        <f ca="1">COUNTUNIQUEIFS('Alokasi Honor Hingga Sekarang'!D$2:D1009,'Alokasi Honor Hingga Sekarang'!C$2:C1009,A424)</f>
        <v>#NAME?</v>
      </c>
      <c r="D424" s="10" t="e">
        <f t="shared" ca="1" si="0"/>
        <v>#NAME?</v>
      </c>
      <c r="E424" s="82">
        <f t="array" ref="E424">INDEX('Database Mitra'!$R$2:$R1009,MATCH(A424,'Database Mitra'!$B$2:$B1009,0))</f>
        <v>36716</v>
      </c>
      <c r="F424" s="10" t="e">
        <f t="shared" ca="1" si="1"/>
        <v>#NAME?</v>
      </c>
      <c r="G424" s="10" t="e">
        <f t="array" ref="G424">INDEX('Database Mitra'!$E$2:$E1009,MATCH(A424,'Database Mitra'!$B$2:$B1009,0))</f>
        <v>#VALUE!</v>
      </c>
      <c r="H424" s="10" t="e">
        <f t="array" ref="H424">INDEX('Database Mitra'!$F$2:$F1009,MATCH(A424,'Database Mitra'!$B$2:$B1009,0))</f>
        <v>#VALUE!</v>
      </c>
    </row>
    <row r="425" spans="1:8" ht="12.5">
      <c r="A425" s="121">
        <v>610423110056</v>
      </c>
      <c r="B425" s="10" t="s">
        <v>2912</v>
      </c>
      <c r="C425" s="10" t="e">
        <f ca="1">COUNTUNIQUEIFS('Alokasi Honor Hingga Sekarang'!D$2:D1009,'Alokasi Honor Hingga Sekarang'!C$2:C1009,A425)</f>
        <v>#NAME?</v>
      </c>
      <c r="D425" s="10" t="e">
        <f t="shared" ca="1" si="0"/>
        <v>#NAME?</v>
      </c>
      <c r="E425" s="82">
        <f t="array" ref="E425">INDEX('Database Mitra'!$R$2:$R1009,MATCH(A425,'Database Mitra'!$B$2:$B1009,0))</f>
        <v>35616</v>
      </c>
      <c r="F425" s="10" t="e">
        <f t="shared" ca="1" si="1"/>
        <v>#NAME?</v>
      </c>
      <c r="G425" s="10" t="e">
        <f t="array" ref="G425">INDEX('Database Mitra'!$E$2:$E1009,MATCH(A425,'Database Mitra'!$B$2:$B1009,0))</f>
        <v>#VALUE!</v>
      </c>
      <c r="H425" s="10" t="e">
        <f t="array" ref="H425">INDEX('Database Mitra'!$F$2:$F1009,MATCH(A425,'Database Mitra'!$B$2:$B1009,0))</f>
        <v>#VALUE!</v>
      </c>
    </row>
    <row r="426" spans="1:8" ht="12.5">
      <c r="A426" s="121">
        <v>610423110101</v>
      </c>
      <c r="B426" s="10" t="s">
        <v>2918</v>
      </c>
      <c r="C426" s="10" t="e">
        <f ca="1">COUNTUNIQUEIFS('Alokasi Honor Hingga Sekarang'!D$2:D1009,'Alokasi Honor Hingga Sekarang'!C$2:C1009,A426)</f>
        <v>#NAME?</v>
      </c>
      <c r="D426" s="10" t="e">
        <f t="shared" ca="1" si="0"/>
        <v>#NAME?</v>
      </c>
      <c r="E426" s="11">
        <f t="array" ref="E426">INDEX('Database Mitra'!$R$2:$R1009,MATCH(A426,'Database Mitra'!$B$2:$B1009,0))</f>
        <v>36147</v>
      </c>
      <c r="F426" s="10" t="e">
        <f t="shared" ca="1" si="1"/>
        <v>#NAME?</v>
      </c>
      <c r="G426" s="10" t="e">
        <f t="array" ref="G426">INDEX('Database Mitra'!$E$2:$E1009,MATCH(A426,'Database Mitra'!$B$2:$B1009,0))</f>
        <v>#VALUE!</v>
      </c>
      <c r="H426" s="10" t="e">
        <f t="array" ref="H426">INDEX('Database Mitra'!$F$2:$F1009,MATCH(A426,'Database Mitra'!$B$2:$B1009,0))</f>
        <v>#VALUE!</v>
      </c>
    </row>
    <row r="427" spans="1:8" ht="12.5">
      <c r="A427" s="121">
        <v>610422100184</v>
      </c>
      <c r="B427" s="10" t="s">
        <v>6059</v>
      </c>
      <c r="C427" s="10" t="e">
        <f ca="1">COUNTUNIQUEIFS('Alokasi Honor Hingga Sekarang'!D$2:D1009,'Alokasi Honor Hingga Sekarang'!C$2:C1009,A427)</f>
        <v>#NAME?</v>
      </c>
      <c r="D427" s="10" t="e">
        <f t="shared" ca="1" si="0"/>
        <v>#NAME?</v>
      </c>
      <c r="E427" s="82">
        <f t="array" ref="E427">INDEX('Database Mitra'!$R$2:$R1009,MATCH(A427,'Database Mitra'!$B$2:$B1009,0))</f>
        <v>36729</v>
      </c>
      <c r="F427" s="10" t="e">
        <f t="shared" ca="1" si="1"/>
        <v>#NAME?</v>
      </c>
      <c r="G427" s="10" t="e">
        <f t="array" ref="G427">INDEX('Database Mitra'!$E$2:$E1009,MATCH(A427,'Database Mitra'!$B$2:$B1009,0))</f>
        <v>#VALUE!</v>
      </c>
      <c r="H427" s="10" t="e">
        <f t="array" ref="H427">INDEX('Database Mitra'!$F$2:$F1009,MATCH(A427,'Database Mitra'!$B$2:$B1009,0))</f>
        <v>#VALUE!</v>
      </c>
    </row>
    <row r="428" spans="1:8" ht="12.5">
      <c r="A428" s="121">
        <v>610422040014</v>
      </c>
      <c r="B428" s="10" t="s">
        <v>2929</v>
      </c>
      <c r="C428" s="10" t="e">
        <f ca="1">COUNTUNIQUEIFS('Alokasi Honor Hingga Sekarang'!D$2:D1009,'Alokasi Honor Hingga Sekarang'!C$2:C1009,A428)</f>
        <v>#NAME?</v>
      </c>
      <c r="D428" s="10" t="e">
        <f t="shared" ca="1" si="0"/>
        <v>#NAME?</v>
      </c>
      <c r="E428" s="82">
        <f t="array" ref="E428">INDEX('Database Mitra'!$R$2:$R1009,MATCH(A428,'Database Mitra'!$B$2:$B1009,0))</f>
        <v>35224</v>
      </c>
      <c r="F428" s="10" t="e">
        <f t="shared" ca="1" si="1"/>
        <v>#NAME?</v>
      </c>
      <c r="G428" s="10" t="e">
        <f t="array" ref="G428">INDEX('Database Mitra'!$E$2:$E1009,MATCH(A428,'Database Mitra'!$B$2:$B1009,0))</f>
        <v>#VALUE!</v>
      </c>
      <c r="H428" s="10" t="e">
        <f t="array" ref="H428">INDEX('Database Mitra'!$F$2:$F1009,MATCH(A428,'Database Mitra'!$B$2:$B1009,0))</f>
        <v>#VALUE!</v>
      </c>
    </row>
    <row r="429" spans="1:8" ht="12.5">
      <c r="A429" s="121">
        <v>610423110143</v>
      </c>
      <c r="B429" s="10" t="s">
        <v>2935</v>
      </c>
      <c r="C429" s="10" t="e">
        <f ca="1">COUNTUNIQUEIFS('Alokasi Honor Hingga Sekarang'!D$2:D1009,'Alokasi Honor Hingga Sekarang'!C$2:C1009,A429)</f>
        <v>#NAME?</v>
      </c>
      <c r="D429" s="10" t="e">
        <f t="shared" ca="1" si="0"/>
        <v>#NAME?</v>
      </c>
      <c r="E429" s="82">
        <f t="array" ref="E429">INDEX('Database Mitra'!$R$2:$R1009,MATCH(A429,'Database Mitra'!$B$2:$B1009,0))</f>
        <v>37105</v>
      </c>
      <c r="F429" s="10" t="e">
        <f t="shared" ca="1" si="1"/>
        <v>#NAME?</v>
      </c>
      <c r="G429" s="10" t="e">
        <f t="array" ref="G429">INDEX('Database Mitra'!$E$2:$E1009,MATCH(A429,'Database Mitra'!$B$2:$B1009,0))</f>
        <v>#VALUE!</v>
      </c>
      <c r="H429" s="10" t="e">
        <f t="array" ref="H429">INDEX('Database Mitra'!$F$2:$F1009,MATCH(A429,'Database Mitra'!$B$2:$B1009,0))</f>
        <v>#VALUE!</v>
      </c>
    </row>
    <row r="430" spans="1:8" ht="12.5">
      <c r="A430" s="121">
        <v>610423110171</v>
      </c>
      <c r="B430" s="10" t="s">
        <v>2939</v>
      </c>
      <c r="C430" s="10" t="e">
        <f ca="1">COUNTUNIQUEIFS('Alokasi Honor Hingga Sekarang'!D$2:D1009,'Alokasi Honor Hingga Sekarang'!C$2:C1009,A430)</f>
        <v>#NAME?</v>
      </c>
      <c r="D430" s="10" t="e">
        <f t="shared" ca="1" si="0"/>
        <v>#NAME?</v>
      </c>
      <c r="E430" s="11">
        <f t="array" ref="E430">INDEX('Database Mitra'!$R$2:$R1009,MATCH(A430,'Database Mitra'!$B$2:$B1009,0))</f>
        <v>36819</v>
      </c>
      <c r="F430" s="10" t="e">
        <f t="shared" ca="1" si="1"/>
        <v>#NAME?</v>
      </c>
      <c r="G430" s="10" t="e">
        <f t="array" ref="G430">INDEX('Database Mitra'!$E$2:$E1009,MATCH(A430,'Database Mitra'!$B$2:$B1009,0))</f>
        <v>#VALUE!</v>
      </c>
      <c r="H430" s="10" t="e">
        <f t="array" ref="H430">INDEX('Database Mitra'!$F$2:$F1009,MATCH(A430,'Database Mitra'!$B$2:$B1009,0))</f>
        <v>#VALUE!</v>
      </c>
    </row>
    <row r="431" spans="1:8" ht="12.5">
      <c r="A431" s="121">
        <v>610423110163</v>
      </c>
      <c r="B431" s="10" t="s">
        <v>6060</v>
      </c>
      <c r="C431" s="10" t="e">
        <f ca="1">COUNTUNIQUEIFS('Alokasi Honor Hingga Sekarang'!D$2:D1009,'Alokasi Honor Hingga Sekarang'!C$2:C1009,A431)</f>
        <v>#NAME?</v>
      </c>
      <c r="D431" s="10" t="e">
        <f t="shared" ca="1" si="0"/>
        <v>#NAME?</v>
      </c>
      <c r="E431" s="11">
        <f t="array" ref="E431">INDEX('Database Mitra'!$R$2:$R1009,MATCH(A431,'Database Mitra'!$B$2:$B1009,0))</f>
        <v>28777</v>
      </c>
      <c r="F431" s="10" t="e">
        <f t="shared" ca="1" si="1"/>
        <v>#NAME?</v>
      </c>
      <c r="G431" s="10" t="e">
        <f t="array" ref="G431">INDEX('Database Mitra'!$E$2:$E1009,MATCH(A431,'Database Mitra'!$B$2:$B1009,0))</f>
        <v>#VALUE!</v>
      </c>
      <c r="H431" s="10" t="e">
        <f t="array" ref="H431">INDEX('Database Mitra'!$F$2:$F1009,MATCH(A431,'Database Mitra'!$B$2:$B1009,0))</f>
        <v>#VALUE!</v>
      </c>
    </row>
    <row r="432" spans="1:8" ht="12.5">
      <c r="A432" s="121">
        <v>610422040052</v>
      </c>
      <c r="B432" s="10" t="s">
        <v>2952</v>
      </c>
      <c r="C432" s="10" t="e">
        <f ca="1">COUNTUNIQUEIFS('Alokasi Honor Hingga Sekarang'!D$2:D1009,'Alokasi Honor Hingga Sekarang'!C$2:C1009,A432)</f>
        <v>#NAME?</v>
      </c>
      <c r="D432" s="10" t="e">
        <f t="shared" ca="1" si="0"/>
        <v>#NAME?</v>
      </c>
      <c r="E432" s="82">
        <f t="array" ref="E432">INDEX('Database Mitra'!$R$2:$R1009,MATCH(A432,'Database Mitra'!$B$2:$B1009,0))</f>
        <v>28920</v>
      </c>
      <c r="F432" s="10" t="e">
        <f t="shared" ca="1" si="1"/>
        <v>#NAME?</v>
      </c>
      <c r="G432" s="10" t="e">
        <f t="array" ref="G432">INDEX('Database Mitra'!$E$2:$E1009,MATCH(A432,'Database Mitra'!$B$2:$B1009,0))</f>
        <v>#VALUE!</v>
      </c>
      <c r="H432" s="10" t="e">
        <f t="array" ref="H432">INDEX('Database Mitra'!$F$2:$F1009,MATCH(A432,'Database Mitra'!$B$2:$B1009,0))</f>
        <v>#VALUE!</v>
      </c>
    </row>
    <row r="433" spans="1:8" ht="12.5">
      <c r="A433" s="121">
        <v>610422040013</v>
      </c>
      <c r="B433" s="10" t="s">
        <v>6061</v>
      </c>
      <c r="C433" s="10" t="e">
        <f ca="1">COUNTUNIQUEIFS('Alokasi Honor Hingga Sekarang'!D$2:D1009,'Alokasi Honor Hingga Sekarang'!C$2:C1009,A433)</f>
        <v>#NAME?</v>
      </c>
      <c r="D433" s="10" t="e">
        <f t="shared" ca="1" si="0"/>
        <v>#NAME?</v>
      </c>
      <c r="E433" s="11">
        <f t="array" ref="E433">INDEX('Database Mitra'!$R$2:$R1009,MATCH(A433,'Database Mitra'!$B$2:$B1009,0))</f>
        <v>32832</v>
      </c>
      <c r="F433" s="10" t="e">
        <f t="shared" ca="1" si="1"/>
        <v>#NAME?</v>
      </c>
      <c r="G433" s="10" t="e">
        <f t="array" ref="G433">INDEX('Database Mitra'!$E$2:$E1009,MATCH(A433,'Database Mitra'!$B$2:$B1009,0))</f>
        <v>#VALUE!</v>
      </c>
      <c r="H433" s="10" t="e">
        <f t="array" ref="H433">INDEX('Database Mitra'!$F$2:$F1009,MATCH(A433,'Database Mitra'!$B$2:$B1009,0))</f>
        <v>#VALUE!</v>
      </c>
    </row>
    <row r="434" spans="1:8" ht="12.5">
      <c r="A434" s="121">
        <v>610422100205</v>
      </c>
      <c r="B434" s="10" t="s">
        <v>6062</v>
      </c>
      <c r="C434" s="10" t="e">
        <f ca="1">COUNTUNIQUEIFS('Alokasi Honor Hingga Sekarang'!D$2:D1009,'Alokasi Honor Hingga Sekarang'!C$2:C1009,A434)</f>
        <v>#NAME?</v>
      </c>
      <c r="D434" s="10" t="e">
        <f t="shared" ca="1" si="0"/>
        <v>#NAME?</v>
      </c>
      <c r="E434" s="11">
        <f t="array" ref="E434">INDEX('Database Mitra'!$R$2:$R1009,MATCH(A434,'Database Mitra'!$B$2:$B1009,0))</f>
        <v>36872</v>
      </c>
      <c r="F434" s="10" t="e">
        <f t="shared" ca="1" si="1"/>
        <v>#NAME?</v>
      </c>
      <c r="G434" s="10" t="e">
        <f t="array" ref="G434">INDEX('Database Mitra'!$E$2:$E1009,MATCH(A434,'Database Mitra'!$B$2:$B1009,0))</f>
        <v>#VALUE!</v>
      </c>
      <c r="H434" s="10" t="e">
        <f t="array" ref="H434">INDEX('Database Mitra'!$F$2:$F1009,MATCH(A434,'Database Mitra'!$B$2:$B1009,0))</f>
        <v>#VALUE!</v>
      </c>
    </row>
    <row r="435" spans="1:8" ht="12.5">
      <c r="A435" s="121">
        <v>610422040002</v>
      </c>
      <c r="B435" s="10" t="s">
        <v>6063</v>
      </c>
      <c r="C435" s="10" t="e">
        <f ca="1">COUNTUNIQUEIFS('Alokasi Honor Hingga Sekarang'!D$2:D1009,'Alokasi Honor Hingga Sekarang'!C$2:C1009,A435)</f>
        <v>#NAME?</v>
      </c>
      <c r="D435" s="10" t="e">
        <f t="shared" ca="1" si="0"/>
        <v>#NAME?</v>
      </c>
      <c r="E435" s="82">
        <f t="array" ref="E435">INDEX('Database Mitra'!$R$2:$R1009,MATCH(A435,'Database Mitra'!$B$2:$B1009,0))</f>
        <v>36649</v>
      </c>
      <c r="F435" s="10" t="e">
        <f t="shared" ca="1" si="1"/>
        <v>#NAME?</v>
      </c>
      <c r="G435" s="10" t="e">
        <f t="array" ref="G435">INDEX('Database Mitra'!$E$2:$E1009,MATCH(A435,'Database Mitra'!$B$2:$B1009,0))</f>
        <v>#VALUE!</v>
      </c>
      <c r="H435" s="10" t="e">
        <f t="array" ref="H435">INDEX('Database Mitra'!$F$2:$F1009,MATCH(A435,'Database Mitra'!$B$2:$B1009,0))</f>
        <v>#VALUE!</v>
      </c>
    </row>
    <row r="436" spans="1:8" ht="12.5">
      <c r="A436" s="121">
        <v>610422040068</v>
      </c>
      <c r="B436" s="10" t="s">
        <v>2978</v>
      </c>
      <c r="C436" s="10" t="e">
        <f ca="1">COUNTUNIQUEIFS('Alokasi Honor Hingga Sekarang'!D$2:D1009,'Alokasi Honor Hingga Sekarang'!C$2:C1009,A436)</f>
        <v>#NAME?</v>
      </c>
      <c r="D436" s="10" t="e">
        <f t="shared" ca="1" si="0"/>
        <v>#NAME?</v>
      </c>
      <c r="E436" s="82">
        <f t="array" ref="E436">INDEX('Database Mitra'!$R$2:$R1009,MATCH(A436,'Database Mitra'!$B$2:$B1009,0))</f>
        <v>28626</v>
      </c>
      <c r="F436" s="10" t="e">
        <f t="shared" ca="1" si="1"/>
        <v>#NAME?</v>
      </c>
      <c r="G436" s="10" t="e">
        <f t="array" ref="G436">INDEX('Database Mitra'!$E$2:$E1009,MATCH(A436,'Database Mitra'!$B$2:$B1009,0))</f>
        <v>#VALUE!</v>
      </c>
      <c r="H436" s="10" t="e">
        <f t="array" ref="H436">INDEX('Database Mitra'!$F$2:$F1009,MATCH(A436,'Database Mitra'!$B$2:$B1009,0))</f>
        <v>#VALUE!</v>
      </c>
    </row>
    <row r="437" spans="1:8" ht="12.5">
      <c r="A437" s="121">
        <v>610423030002</v>
      </c>
      <c r="B437" s="10" t="s">
        <v>6064</v>
      </c>
      <c r="C437" s="10" t="e">
        <f ca="1">COUNTUNIQUEIFS('Alokasi Honor Hingga Sekarang'!D$2:D1009,'Alokasi Honor Hingga Sekarang'!C$2:C1009,A437)</f>
        <v>#NAME?</v>
      </c>
      <c r="D437" s="10" t="e">
        <f t="shared" ca="1" si="0"/>
        <v>#NAME?</v>
      </c>
      <c r="E437" s="82">
        <f t="array" ref="E437">INDEX('Database Mitra'!$R$2:$R1009,MATCH(A437,'Database Mitra'!$B$2:$B1009,0))</f>
        <v>35577</v>
      </c>
      <c r="F437" s="10" t="e">
        <f t="shared" ca="1" si="1"/>
        <v>#NAME?</v>
      </c>
      <c r="G437" s="10" t="e">
        <f t="array" ref="G437">INDEX('Database Mitra'!$E$2:$E1009,MATCH(A437,'Database Mitra'!$B$2:$B1009,0))</f>
        <v>#VALUE!</v>
      </c>
      <c r="H437" s="10" t="e">
        <f t="array" ref="H437">INDEX('Database Mitra'!$F$2:$F1009,MATCH(A437,'Database Mitra'!$B$2:$B1009,0))</f>
        <v>#VALUE!</v>
      </c>
    </row>
    <row r="438" spans="1:8" ht="12.5">
      <c r="A438" s="121">
        <v>610422040038</v>
      </c>
      <c r="B438" s="10" t="s">
        <v>6065</v>
      </c>
      <c r="C438" s="10" t="e">
        <f ca="1">COUNTUNIQUEIFS('Alokasi Honor Hingga Sekarang'!D$2:D1009,'Alokasi Honor Hingga Sekarang'!C$2:C1009,A438)</f>
        <v>#NAME?</v>
      </c>
      <c r="D438" s="10" t="e">
        <f t="shared" ca="1" si="0"/>
        <v>#NAME?</v>
      </c>
      <c r="E438" s="82">
        <f t="array" ref="E438">INDEX('Database Mitra'!$R$2:$R1009,MATCH(A438,'Database Mitra'!$B$2:$B1009,0))</f>
        <v>27566</v>
      </c>
      <c r="F438" s="10" t="e">
        <f t="shared" ca="1" si="1"/>
        <v>#NAME?</v>
      </c>
      <c r="G438" s="10" t="e">
        <f t="array" ref="G438">INDEX('Database Mitra'!$E$2:$E1009,MATCH(A438,'Database Mitra'!$B$2:$B1009,0))</f>
        <v>#VALUE!</v>
      </c>
      <c r="H438" s="10" t="e">
        <f t="array" ref="H438">INDEX('Database Mitra'!$F$2:$F1009,MATCH(A438,'Database Mitra'!$B$2:$B1009,0))</f>
        <v>#VALUE!</v>
      </c>
    </row>
    <row r="439" spans="1:8" ht="12.5">
      <c r="A439" s="121">
        <v>610422100174</v>
      </c>
      <c r="B439" s="10" t="s">
        <v>2994</v>
      </c>
      <c r="C439" s="10" t="e">
        <f ca="1">COUNTUNIQUEIFS('Alokasi Honor Hingga Sekarang'!D$2:D1009,'Alokasi Honor Hingga Sekarang'!C$2:C1009,A439)</f>
        <v>#NAME?</v>
      </c>
      <c r="D439" s="10" t="e">
        <f t="shared" ca="1" si="0"/>
        <v>#NAME?</v>
      </c>
      <c r="E439" s="11">
        <f t="array" ref="E439">INDEX('Database Mitra'!$R$2:$R1009,MATCH(A439,'Database Mitra'!$B$2:$B1009,0))</f>
        <v>29519</v>
      </c>
      <c r="F439" s="10" t="e">
        <f t="shared" ca="1" si="1"/>
        <v>#NAME?</v>
      </c>
      <c r="G439" s="10" t="e">
        <f t="array" ref="G439">INDEX('Database Mitra'!$E$2:$E1009,MATCH(A439,'Database Mitra'!$B$2:$B1009,0))</f>
        <v>#VALUE!</v>
      </c>
      <c r="H439" s="10" t="e">
        <f t="array" ref="H439">INDEX('Database Mitra'!$F$2:$F1009,MATCH(A439,'Database Mitra'!$B$2:$B1009,0))</f>
        <v>#VALUE!</v>
      </c>
    </row>
    <row r="440" spans="1:8" ht="12.5">
      <c r="A440" s="121">
        <v>610422040029</v>
      </c>
      <c r="B440" s="10" t="s">
        <v>3000</v>
      </c>
      <c r="C440" s="10" t="e">
        <f ca="1">COUNTUNIQUEIFS('Alokasi Honor Hingga Sekarang'!D$2:D1009,'Alokasi Honor Hingga Sekarang'!C$2:C1009,A440)</f>
        <v>#NAME?</v>
      </c>
      <c r="D440" s="10" t="e">
        <f t="shared" ca="1" si="0"/>
        <v>#NAME?</v>
      </c>
      <c r="E440" s="82">
        <f t="array" ref="E440">INDEX('Database Mitra'!$R$2:$R1009,MATCH(A440,'Database Mitra'!$B$2:$B1009,0))</f>
        <v>31964</v>
      </c>
      <c r="F440" s="10" t="e">
        <f t="shared" ca="1" si="1"/>
        <v>#NAME?</v>
      </c>
      <c r="G440" s="10" t="e">
        <f t="array" ref="G440">INDEX('Database Mitra'!$E$2:$E1009,MATCH(A440,'Database Mitra'!$B$2:$B1009,0))</f>
        <v>#VALUE!</v>
      </c>
      <c r="H440" s="10" t="e">
        <f t="array" ref="H440">INDEX('Database Mitra'!$F$2:$F1009,MATCH(A440,'Database Mitra'!$B$2:$B1009,0))</f>
        <v>#VALUE!</v>
      </c>
    </row>
    <row r="441" spans="1:8" ht="12.5">
      <c r="A441" s="121">
        <v>610422100064</v>
      </c>
      <c r="B441" s="10" t="s">
        <v>3006</v>
      </c>
      <c r="C441" s="10" t="e">
        <f ca="1">COUNTUNIQUEIFS('Alokasi Honor Hingga Sekarang'!D$2:D1009,'Alokasi Honor Hingga Sekarang'!C$2:C1009,A441)</f>
        <v>#NAME?</v>
      </c>
      <c r="D441" s="10" t="e">
        <f t="shared" ca="1" si="0"/>
        <v>#NAME?</v>
      </c>
      <c r="E441" s="82">
        <f t="array" ref="E441">INDEX('Database Mitra'!$R$2:$R1009,MATCH(A441,'Database Mitra'!$B$2:$B1009,0))</f>
        <v>35554</v>
      </c>
      <c r="F441" s="10" t="e">
        <f t="shared" ca="1" si="1"/>
        <v>#NAME?</v>
      </c>
      <c r="G441" s="10" t="e">
        <f t="array" ref="G441">INDEX('Database Mitra'!$E$2:$E1009,MATCH(A441,'Database Mitra'!$B$2:$B1009,0))</f>
        <v>#VALUE!</v>
      </c>
      <c r="H441" s="10" t="e">
        <f t="array" ref="H441">INDEX('Database Mitra'!$F$2:$F1009,MATCH(A441,'Database Mitra'!$B$2:$B1009,0))</f>
        <v>#VALUE!</v>
      </c>
    </row>
    <row r="442" spans="1:8" ht="12.5">
      <c r="A442" s="121">
        <v>610422040055</v>
      </c>
      <c r="B442" s="10" t="s">
        <v>3013</v>
      </c>
      <c r="C442" s="10" t="e">
        <f ca="1">COUNTUNIQUEIFS('Alokasi Honor Hingga Sekarang'!D$2:D1009,'Alokasi Honor Hingga Sekarang'!C$2:C1009,A442)</f>
        <v>#NAME?</v>
      </c>
      <c r="D442" s="10" t="e">
        <f t="shared" ca="1" si="0"/>
        <v>#NAME?</v>
      </c>
      <c r="E442" s="82">
        <f t="array" ref="E442">INDEX('Database Mitra'!$R$2:$R1009,MATCH(A442,'Database Mitra'!$B$2:$B1009,0))</f>
        <v>36930</v>
      </c>
      <c r="F442" s="10" t="e">
        <f t="shared" ca="1" si="1"/>
        <v>#NAME?</v>
      </c>
      <c r="G442" s="10" t="e">
        <f t="array" ref="G442">INDEX('Database Mitra'!$E$2:$E1009,MATCH(A442,'Database Mitra'!$B$2:$B1009,0))</f>
        <v>#VALUE!</v>
      </c>
      <c r="H442" s="10" t="e">
        <f t="array" ref="H442">INDEX('Database Mitra'!$F$2:$F1009,MATCH(A442,'Database Mitra'!$B$2:$B1009,0))</f>
        <v>#VALUE!</v>
      </c>
    </row>
    <row r="443" spans="1:8" ht="12.5">
      <c r="A443" s="121">
        <v>610423110127</v>
      </c>
      <c r="B443" s="10" t="s">
        <v>3018</v>
      </c>
      <c r="C443" s="10" t="e">
        <f ca="1">COUNTUNIQUEIFS('Alokasi Honor Hingga Sekarang'!D$2:D1009,'Alokasi Honor Hingga Sekarang'!C$2:C1009,A443)</f>
        <v>#NAME?</v>
      </c>
      <c r="D443" s="10" t="e">
        <f t="shared" ca="1" si="0"/>
        <v>#NAME?</v>
      </c>
      <c r="E443" s="82">
        <f t="array" ref="E443">INDEX('Database Mitra'!$R$2:$R1009,MATCH(A443,'Database Mitra'!$B$2:$B1009,0))</f>
        <v>30910</v>
      </c>
      <c r="F443" s="10" t="e">
        <f t="shared" ca="1" si="1"/>
        <v>#NAME?</v>
      </c>
      <c r="G443" s="10" t="e">
        <f t="array" ref="G443">INDEX('Database Mitra'!$E$2:$E1009,MATCH(A443,'Database Mitra'!$B$2:$B1009,0))</f>
        <v>#VALUE!</v>
      </c>
      <c r="H443" s="10" t="e">
        <f t="array" ref="H443">INDEX('Database Mitra'!$F$2:$F1009,MATCH(A443,'Database Mitra'!$B$2:$B1009,0))</f>
        <v>#VALUE!</v>
      </c>
    </row>
    <row r="444" spans="1:8" ht="12.5">
      <c r="A444" s="121"/>
    </row>
    <row r="445" spans="1:8" ht="12.5">
      <c r="A445" s="121"/>
    </row>
    <row r="446" spans="1:8" ht="12.5">
      <c r="A446" s="121"/>
    </row>
    <row r="447" spans="1:8" ht="12.5">
      <c r="A447" s="121"/>
    </row>
    <row r="448" spans="1:8" ht="12.5">
      <c r="A448" s="121"/>
    </row>
    <row r="449" spans="1:1" ht="12.5">
      <c r="A449" s="121"/>
    </row>
    <row r="450" spans="1:1" ht="12.5">
      <c r="A450" s="121"/>
    </row>
    <row r="451" spans="1:1" ht="12.5">
      <c r="A451" s="121"/>
    </row>
    <row r="452" spans="1:1" ht="12.5">
      <c r="A452" s="121"/>
    </row>
    <row r="453" spans="1:1" ht="12.5">
      <c r="A453" s="121"/>
    </row>
    <row r="454" spans="1:1" ht="12.5">
      <c r="A454" s="121"/>
    </row>
    <row r="455" spans="1:1" ht="12.5">
      <c r="A455" s="121"/>
    </row>
    <row r="456" spans="1:1" ht="12.5">
      <c r="A456" s="121"/>
    </row>
    <row r="457" spans="1:1" ht="12.5">
      <c r="A457" s="121"/>
    </row>
    <row r="458" spans="1:1" ht="12.5">
      <c r="A458" s="121"/>
    </row>
    <row r="459" spans="1:1" ht="12.5">
      <c r="A459" s="121"/>
    </row>
    <row r="460" spans="1:1" ht="12.5">
      <c r="A460" s="121"/>
    </row>
    <row r="461" spans="1:1" ht="12.5">
      <c r="A461" s="121"/>
    </row>
    <row r="462" spans="1:1" ht="12.5">
      <c r="A462" s="121"/>
    </row>
    <row r="463" spans="1:1" ht="12.5">
      <c r="A463" s="121"/>
    </row>
    <row r="464" spans="1:1" ht="12.5">
      <c r="A464" s="121"/>
    </row>
    <row r="465" spans="1:1" ht="12.5">
      <c r="A465" s="121"/>
    </row>
    <row r="466" spans="1:1" ht="12.5">
      <c r="A466" s="121"/>
    </row>
    <row r="467" spans="1:1" ht="12.5">
      <c r="A467" s="121"/>
    </row>
    <row r="468" spans="1:1" ht="12.5">
      <c r="A468" s="121"/>
    </row>
    <row r="469" spans="1:1" ht="12.5">
      <c r="A469" s="121"/>
    </row>
    <row r="470" spans="1:1" ht="12.5">
      <c r="A470" s="121"/>
    </row>
    <row r="471" spans="1:1" ht="12.5">
      <c r="A471" s="121"/>
    </row>
    <row r="472" spans="1:1" ht="12.5">
      <c r="A472" s="121"/>
    </row>
    <row r="473" spans="1:1" ht="12.5">
      <c r="A473" s="121"/>
    </row>
    <row r="474" spans="1:1" ht="12.5">
      <c r="A474" s="121"/>
    </row>
    <row r="475" spans="1:1" ht="12.5">
      <c r="A475" s="121"/>
    </row>
    <row r="476" spans="1:1" ht="12.5">
      <c r="A476" s="121"/>
    </row>
    <row r="477" spans="1:1" ht="12.5">
      <c r="A477" s="121"/>
    </row>
    <row r="478" spans="1:1" ht="12.5">
      <c r="A478" s="121"/>
    </row>
    <row r="479" spans="1:1" ht="12.5">
      <c r="A479" s="121"/>
    </row>
    <row r="480" spans="1:1" ht="12.5">
      <c r="A480" s="121"/>
    </row>
    <row r="481" spans="1:1" ht="12.5">
      <c r="A481" s="121"/>
    </row>
    <row r="482" spans="1:1" ht="12.5">
      <c r="A482" s="121"/>
    </row>
    <row r="483" spans="1:1" ht="12.5">
      <c r="A483" s="121"/>
    </row>
    <row r="484" spans="1:1" ht="12.5">
      <c r="A484" s="121"/>
    </row>
    <row r="485" spans="1:1" ht="12.5">
      <c r="A485" s="121"/>
    </row>
    <row r="486" spans="1:1" ht="12.5">
      <c r="A486" s="121"/>
    </row>
    <row r="487" spans="1:1" ht="12.5">
      <c r="A487" s="121"/>
    </row>
    <row r="488" spans="1:1" ht="12.5">
      <c r="A488" s="121"/>
    </row>
    <row r="489" spans="1:1" ht="12.5">
      <c r="A489" s="121"/>
    </row>
    <row r="490" spans="1:1" ht="12.5">
      <c r="A490" s="121"/>
    </row>
    <row r="491" spans="1:1" ht="12.5">
      <c r="A491" s="121"/>
    </row>
    <row r="492" spans="1:1" ht="12.5">
      <c r="A492" s="121"/>
    </row>
    <row r="493" spans="1:1" ht="12.5">
      <c r="A493" s="121"/>
    </row>
    <row r="494" spans="1:1" ht="12.5">
      <c r="A494" s="121"/>
    </row>
    <row r="495" spans="1:1" ht="12.5">
      <c r="A495" s="121"/>
    </row>
    <row r="496" spans="1:1" ht="12.5">
      <c r="A496" s="121"/>
    </row>
    <row r="497" spans="1:1" ht="12.5">
      <c r="A497" s="121"/>
    </row>
    <row r="498" spans="1:1" ht="12.5">
      <c r="A498" s="121"/>
    </row>
    <row r="499" spans="1:1" ht="12.5">
      <c r="A499" s="121"/>
    </row>
    <row r="500" spans="1:1" ht="12.5">
      <c r="A500" s="121"/>
    </row>
    <row r="501" spans="1:1" ht="12.5">
      <c r="A501" s="121"/>
    </row>
    <row r="502" spans="1:1" ht="12.5">
      <c r="A502" s="121"/>
    </row>
    <row r="503" spans="1:1" ht="12.5">
      <c r="A503" s="121"/>
    </row>
    <row r="504" spans="1:1" ht="12.5">
      <c r="A504" s="121"/>
    </row>
    <row r="505" spans="1:1" ht="12.5">
      <c r="A505" s="121"/>
    </row>
    <row r="506" spans="1:1" ht="12.5">
      <c r="A506" s="121"/>
    </row>
    <row r="507" spans="1:1" ht="12.5">
      <c r="A507" s="121"/>
    </row>
    <row r="508" spans="1:1" ht="12.5">
      <c r="A508" s="121"/>
    </row>
    <row r="509" spans="1:1" ht="12.5">
      <c r="A509" s="121"/>
    </row>
    <row r="510" spans="1:1" ht="12.5">
      <c r="A510" s="121"/>
    </row>
    <row r="511" spans="1:1" ht="12.5">
      <c r="A511" s="121"/>
    </row>
    <row r="512" spans="1:1" ht="12.5">
      <c r="A512" s="121"/>
    </row>
    <row r="513" spans="1:1" ht="12.5">
      <c r="A513" s="121"/>
    </row>
    <row r="514" spans="1:1" ht="12.5">
      <c r="A514" s="121"/>
    </row>
    <row r="515" spans="1:1" ht="12.5">
      <c r="A515" s="121"/>
    </row>
    <row r="516" spans="1:1" ht="12.5">
      <c r="A516" s="121"/>
    </row>
    <row r="517" spans="1:1" ht="12.5">
      <c r="A517" s="121"/>
    </row>
    <row r="518" spans="1:1" ht="12.5">
      <c r="A518" s="121"/>
    </row>
    <row r="519" spans="1:1" ht="12.5">
      <c r="A519" s="121"/>
    </row>
    <row r="520" spans="1:1" ht="12.5">
      <c r="A520" s="121"/>
    </row>
    <row r="521" spans="1:1" ht="12.5">
      <c r="A521" s="121"/>
    </row>
    <row r="522" spans="1:1" ht="12.5">
      <c r="A522" s="121"/>
    </row>
    <row r="523" spans="1:1" ht="12.5">
      <c r="A523" s="121"/>
    </row>
    <row r="524" spans="1:1" ht="12.5">
      <c r="A524" s="121"/>
    </row>
    <row r="525" spans="1:1" ht="12.5">
      <c r="A525" s="121"/>
    </row>
    <row r="526" spans="1:1" ht="12.5">
      <c r="A526" s="121"/>
    </row>
    <row r="527" spans="1:1" ht="12.5">
      <c r="A527" s="121"/>
    </row>
    <row r="528" spans="1:1" ht="12.5">
      <c r="A528" s="121"/>
    </row>
    <row r="529" spans="1:1" ht="12.5">
      <c r="A529" s="121"/>
    </row>
    <row r="530" spans="1:1" ht="12.5">
      <c r="A530" s="121"/>
    </row>
    <row r="531" spans="1:1" ht="12.5">
      <c r="A531" s="121"/>
    </row>
    <row r="532" spans="1:1" ht="12.5">
      <c r="A532" s="121"/>
    </row>
    <row r="533" spans="1:1" ht="12.5">
      <c r="A533" s="121"/>
    </row>
    <row r="534" spans="1:1" ht="12.5">
      <c r="A534" s="121"/>
    </row>
    <row r="535" spans="1:1" ht="12.5">
      <c r="A535" s="121"/>
    </row>
    <row r="536" spans="1:1" ht="12.5">
      <c r="A536" s="121"/>
    </row>
    <row r="537" spans="1:1" ht="12.5">
      <c r="A537" s="121"/>
    </row>
    <row r="538" spans="1:1" ht="12.5">
      <c r="A538" s="121"/>
    </row>
    <row r="539" spans="1:1" ht="12.5">
      <c r="A539" s="121"/>
    </row>
    <row r="540" spans="1:1" ht="12.5">
      <c r="A540" s="121"/>
    </row>
    <row r="541" spans="1:1" ht="12.5">
      <c r="A541" s="121"/>
    </row>
    <row r="542" spans="1:1" ht="12.5">
      <c r="A542" s="121"/>
    </row>
    <row r="543" spans="1:1" ht="12.5">
      <c r="A543" s="121"/>
    </row>
    <row r="544" spans="1:1" ht="12.5">
      <c r="A544" s="121"/>
    </row>
    <row r="545" spans="1:1" ht="12.5">
      <c r="A545" s="121"/>
    </row>
    <row r="546" spans="1:1" ht="12.5">
      <c r="A546" s="121"/>
    </row>
    <row r="547" spans="1:1" ht="12.5">
      <c r="A547" s="121"/>
    </row>
    <row r="548" spans="1:1" ht="12.5">
      <c r="A548" s="121"/>
    </row>
    <row r="549" spans="1:1" ht="12.5">
      <c r="A549" s="121"/>
    </row>
    <row r="550" spans="1:1" ht="12.5">
      <c r="A550" s="121"/>
    </row>
    <row r="551" spans="1:1" ht="12.5">
      <c r="A551" s="121"/>
    </row>
    <row r="552" spans="1:1" ht="12.5">
      <c r="A552" s="121"/>
    </row>
    <row r="553" spans="1:1" ht="12.5">
      <c r="A553" s="121"/>
    </row>
    <row r="554" spans="1:1" ht="12.5">
      <c r="A554" s="121"/>
    </row>
    <row r="555" spans="1:1" ht="12.5">
      <c r="A555" s="121"/>
    </row>
    <row r="556" spans="1:1" ht="12.5">
      <c r="A556" s="121"/>
    </row>
    <row r="557" spans="1:1" ht="12.5">
      <c r="A557" s="121"/>
    </row>
    <row r="558" spans="1:1" ht="12.5">
      <c r="A558" s="121"/>
    </row>
    <row r="559" spans="1:1" ht="12.5">
      <c r="A559" s="121"/>
    </row>
    <row r="560" spans="1:1" ht="12.5">
      <c r="A560" s="121"/>
    </row>
    <row r="561" spans="1:1" ht="12.5">
      <c r="A561" s="121"/>
    </row>
    <row r="562" spans="1:1" ht="12.5">
      <c r="A562" s="121"/>
    </row>
    <row r="563" spans="1:1" ht="12.5">
      <c r="A563" s="121"/>
    </row>
    <row r="564" spans="1:1" ht="12.5">
      <c r="A564" s="121"/>
    </row>
    <row r="565" spans="1:1" ht="12.5">
      <c r="A565" s="121"/>
    </row>
    <row r="566" spans="1:1" ht="12.5">
      <c r="A566" s="121"/>
    </row>
    <row r="567" spans="1:1" ht="12.5">
      <c r="A567" s="121"/>
    </row>
    <row r="568" spans="1:1" ht="12.5">
      <c r="A568" s="121"/>
    </row>
    <row r="569" spans="1:1" ht="12.5">
      <c r="A569" s="121"/>
    </row>
    <row r="570" spans="1:1" ht="12.5">
      <c r="A570" s="121"/>
    </row>
    <row r="571" spans="1:1" ht="12.5">
      <c r="A571" s="121"/>
    </row>
    <row r="572" spans="1:1" ht="12.5">
      <c r="A572" s="121"/>
    </row>
    <row r="573" spans="1:1" ht="12.5">
      <c r="A573" s="121"/>
    </row>
    <row r="574" spans="1:1" ht="12.5">
      <c r="A574" s="121"/>
    </row>
    <row r="575" spans="1:1" ht="12.5">
      <c r="A575" s="121"/>
    </row>
    <row r="576" spans="1:1" ht="12.5">
      <c r="A576" s="121"/>
    </row>
    <row r="577" spans="1:1" ht="12.5">
      <c r="A577" s="121"/>
    </row>
    <row r="578" spans="1:1" ht="12.5">
      <c r="A578" s="121"/>
    </row>
    <row r="579" spans="1:1" ht="12.5">
      <c r="A579" s="121"/>
    </row>
    <row r="580" spans="1:1" ht="12.5">
      <c r="A580" s="121"/>
    </row>
    <row r="581" spans="1:1" ht="12.5">
      <c r="A581" s="121"/>
    </row>
    <row r="582" spans="1:1" ht="12.5">
      <c r="A582" s="121"/>
    </row>
    <row r="583" spans="1:1" ht="12.5">
      <c r="A583" s="121"/>
    </row>
    <row r="584" spans="1:1" ht="12.5">
      <c r="A584" s="121"/>
    </row>
    <row r="585" spans="1:1" ht="12.5">
      <c r="A585" s="121"/>
    </row>
    <row r="586" spans="1:1" ht="12.5">
      <c r="A586" s="121"/>
    </row>
    <row r="587" spans="1:1" ht="12.5">
      <c r="A587" s="121"/>
    </row>
    <row r="588" spans="1:1" ht="12.5">
      <c r="A588" s="121"/>
    </row>
    <row r="589" spans="1:1" ht="12.5">
      <c r="A589" s="121"/>
    </row>
    <row r="590" spans="1:1" ht="12.5">
      <c r="A590" s="121"/>
    </row>
    <row r="591" spans="1:1" ht="12.5">
      <c r="A591" s="121"/>
    </row>
    <row r="592" spans="1:1" ht="12.5">
      <c r="A592" s="121"/>
    </row>
    <row r="593" spans="1:1" ht="12.5">
      <c r="A593" s="121"/>
    </row>
    <row r="594" spans="1:1" ht="12.5">
      <c r="A594" s="121"/>
    </row>
    <row r="595" spans="1:1" ht="12.5">
      <c r="A595" s="121"/>
    </row>
    <row r="596" spans="1:1" ht="12.5">
      <c r="A596" s="121"/>
    </row>
    <row r="597" spans="1:1" ht="12.5">
      <c r="A597" s="121"/>
    </row>
    <row r="598" spans="1:1" ht="12.5">
      <c r="A598" s="121"/>
    </row>
    <row r="599" spans="1:1" ht="12.5">
      <c r="A599" s="121"/>
    </row>
    <row r="600" spans="1:1" ht="12.5">
      <c r="A600" s="121"/>
    </row>
    <row r="601" spans="1:1" ht="12.5">
      <c r="A601" s="121"/>
    </row>
    <row r="602" spans="1:1" ht="12.5">
      <c r="A602" s="121"/>
    </row>
    <row r="603" spans="1:1" ht="12.5">
      <c r="A603" s="121"/>
    </row>
    <row r="604" spans="1:1" ht="12.5">
      <c r="A604" s="121"/>
    </row>
    <row r="605" spans="1:1" ht="12.5">
      <c r="A605" s="121"/>
    </row>
    <row r="606" spans="1:1" ht="12.5">
      <c r="A606" s="121"/>
    </row>
    <row r="607" spans="1:1" ht="12.5">
      <c r="A607" s="121"/>
    </row>
    <row r="608" spans="1:1" ht="12.5">
      <c r="A608" s="121"/>
    </row>
    <row r="609" spans="1:1" ht="12.5">
      <c r="A609" s="121"/>
    </row>
    <row r="610" spans="1:1" ht="12.5">
      <c r="A610" s="121"/>
    </row>
    <row r="611" spans="1:1" ht="12.5">
      <c r="A611" s="121"/>
    </row>
    <row r="612" spans="1:1" ht="12.5">
      <c r="A612" s="121"/>
    </row>
    <row r="613" spans="1:1" ht="12.5">
      <c r="A613" s="121"/>
    </row>
    <row r="614" spans="1:1" ht="12.5">
      <c r="A614" s="121"/>
    </row>
    <row r="615" spans="1:1" ht="12.5">
      <c r="A615" s="121"/>
    </row>
    <row r="616" spans="1:1" ht="12.5">
      <c r="A616" s="121"/>
    </row>
    <row r="617" spans="1:1" ht="12.5">
      <c r="A617" s="121"/>
    </row>
    <row r="618" spans="1:1" ht="12.5">
      <c r="A618" s="121"/>
    </row>
    <row r="619" spans="1:1" ht="12.5">
      <c r="A619" s="121"/>
    </row>
    <row r="620" spans="1:1" ht="12.5">
      <c r="A620" s="121"/>
    </row>
    <row r="621" spans="1:1" ht="12.5">
      <c r="A621" s="121"/>
    </row>
    <row r="622" spans="1:1" ht="12.5">
      <c r="A622" s="121"/>
    </row>
    <row r="623" spans="1:1" ht="12.5">
      <c r="A623" s="121"/>
    </row>
    <row r="624" spans="1:1" ht="12.5">
      <c r="A624" s="121"/>
    </row>
    <row r="625" spans="1:1" ht="12.5">
      <c r="A625" s="121"/>
    </row>
    <row r="626" spans="1:1" ht="12.5">
      <c r="A626" s="121"/>
    </row>
    <row r="627" spans="1:1" ht="12.5">
      <c r="A627" s="121"/>
    </row>
    <row r="628" spans="1:1" ht="12.5">
      <c r="A628" s="121"/>
    </row>
    <row r="629" spans="1:1" ht="12.5">
      <c r="A629" s="121"/>
    </row>
    <row r="630" spans="1:1" ht="12.5">
      <c r="A630" s="121"/>
    </row>
    <row r="631" spans="1:1" ht="12.5">
      <c r="A631" s="121"/>
    </row>
    <row r="632" spans="1:1" ht="12.5">
      <c r="A632" s="121"/>
    </row>
    <row r="633" spans="1:1" ht="12.5">
      <c r="A633" s="121"/>
    </row>
    <row r="634" spans="1:1" ht="12.5">
      <c r="A634" s="121"/>
    </row>
    <row r="635" spans="1:1" ht="12.5">
      <c r="A635" s="121"/>
    </row>
    <row r="636" spans="1:1" ht="12.5">
      <c r="A636" s="121"/>
    </row>
    <row r="637" spans="1:1" ht="12.5">
      <c r="A637" s="121"/>
    </row>
    <row r="638" spans="1:1" ht="12.5">
      <c r="A638" s="121"/>
    </row>
    <row r="639" spans="1:1" ht="12.5">
      <c r="A639" s="121"/>
    </row>
    <row r="640" spans="1:1" ht="12.5">
      <c r="A640" s="121"/>
    </row>
    <row r="641" spans="1:1" ht="12.5">
      <c r="A641" s="121"/>
    </row>
    <row r="642" spans="1:1" ht="12.5">
      <c r="A642" s="121"/>
    </row>
    <row r="643" spans="1:1" ht="12.5">
      <c r="A643" s="121"/>
    </row>
    <row r="644" spans="1:1" ht="12.5">
      <c r="A644" s="121"/>
    </row>
    <row r="645" spans="1:1" ht="12.5">
      <c r="A645" s="121"/>
    </row>
    <row r="646" spans="1:1" ht="12.5">
      <c r="A646" s="121"/>
    </row>
    <row r="647" spans="1:1" ht="12.5">
      <c r="A647" s="121"/>
    </row>
    <row r="648" spans="1:1" ht="12.5">
      <c r="A648" s="121"/>
    </row>
    <row r="649" spans="1:1" ht="12.5">
      <c r="A649" s="121"/>
    </row>
    <row r="650" spans="1:1" ht="12.5">
      <c r="A650" s="121"/>
    </row>
    <row r="651" spans="1:1" ht="12.5">
      <c r="A651" s="121"/>
    </row>
    <row r="652" spans="1:1" ht="12.5">
      <c r="A652" s="121"/>
    </row>
    <row r="653" spans="1:1" ht="12.5">
      <c r="A653" s="121"/>
    </row>
    <row r="654" spans="1:1" ht="12.5">
      <c r="A654" s="121"/>
    </row>
    <row r="655" spans="1:1" ht="12.5">
      <c r="A655" s="121"/>
    </row>
    <row r="656" spans="1:1" ht="12.5">
      <c r="A656" s="121"/>
    </row>
    <row r="657" spans="1:1" ht="12.5">
      <c r="A657" s="121"/>
    </row>
    <row r="658" spans="1:1" ht="12.5">
      <c r="A658" s="121"/>
    </row>
    <row r="659" spans="1:1" ht="12.5">
      <c r="A659" s="121"/>
    </row>
    <row r="660" spans="1:1" ht="12.5">
      <c r="A660" s="121"/>
    </row>
    <row r="661" spans="1:1" ht="12.5">
      <c r="A661" s="121"/>
    </row>
    <row r="662" spans="1:1" ht="12.5">
      <c r="A662" s="121"/>
    </row>
    <row r="663" spans="1:1" ht="12.5">
      <c r="A663" s="121"/>
    </row>
    <row r="664" spans="1:1" ht="12.5">
      <c r="A664" s="121"/>
    </row>
    <row r="665" spans="1:1" ht="12.5">
      <c r="A665" s="121"/>
    </row>
    <row r="666" spans="1:1" ht="12.5">
      <c r="A666" s="121"/>
    </row>
    <row r="667" spans="1:1" ht="12.5">
      <c r="A667" s="121"/>
    </row>
    <row r="668" spans="1:1" ht="12.5">
      <c r="A668" s="121"/>
    </row>
    <row r="669" spans="1:1" ht="12.5">
      <c r="A669" s="121"/>
    </row>
    <row r="670" spans="1:1" ht="12.5">
      <c r="A670" s="121"/>
    </row>
    <row r="671" spans="1:1" ht="12.5">
      <c r="A671" s="121"/>
    </row>
    <row r="672" spans="1:1" ht="12.5">
      <c r="A672" s="121"/>
    </row>
    <row r="673" spans="1:1" ht="12.5">
      <c r="A673" s="121"/>
    </row>
    <row r="674" spans="1:1" ht="12.5">
      <c r="A674" s="121"/>
    </row>
    <row r="675" spans="1:1" ht="12.5">
      <c r="A675" s="121"/>
    </row>
    <row r="676" spans="1:1" ht="12.5">
      <c r="A676" s="121"/>
    </row>
    <row r="677" spans="1:1" ht="12.5">
      <c r="A677" s="121"/>
    </row>
    <row r="678" spans="1:1" ht="12.5">
      <c r="A678" s="121"/>
    </row>
    <row r="679" spans="1:1" ht="12.5">
      <c r="A679" s="121"/>
    </row>
    <row r="680" spans="1:1" ht="12.5">
      <c r="A680" s="121"/>
    </row>
    <row r="681" spans="1:1" ht="12.5">
      <c r="A681" s="121"/>
    </row>
    <row r="682" spans="1:1" ht="12.5">
      <c r="A682" s="121"/>
    </row>
    <row r="683" spans="1:1" ht="12.5">
      <c r="A683" s="121"/>
    </row>
    <row r="684" spans="1:1" ht="12.5">
      <c r="A684" s="121"/>
    </row>
    <row r="685" spans="1:1" ht="12.5">
      <c r="A685" s="121"/>
    </row>
    <row r="686" spans="1:1" ht="12.5">
      <c r="A686" s="121"/>
    </row>
    <row r="687" spans="1:1" ht="12.5">
      <c r="A687" s="121"/>
    </row>
    <row r="688" spans="1:1" ht="12.5">
      <c r="A688" s="121"/>
    </row>
    <row r="689" spans="1:1" ht="12.5">
      <c r="A689" s="121"/>
    </row>
    <row r="690" spans="1:1" ht="12.5">
      <c r="A690" s="121"/>
    </row>
    <row r="691" spans="1:1" ht="12.5">
      <c r="A691" s="121"/>
    </row>
    <row r="692" spans="1:1" ht="12.5">
      <c r="A692" s="121"/>
    </row>
    <row r="693" spans="1:1" ht="12.5">
      <c r="A693" s="121"/>
    </row>
    <row r="694" spans="1:1" ht="12.5">
      <c r="A694" s="121"/>
    </row>
    <row r="695" spans="1:1" ht="12.5">
      <c r="A695" s="121"/>
    </row>
    <row r="696" spans="1:1" ht="12.5">
      <c r="A696" s="121"/>
    </row>
    <row r="697" spans="1:1" ht="12.5">
      <c r="A697" s="121"/>
    </row>
    <row r="698" spans="1:1" ht="12.5">
      <c r="A698" s="121"/>
    </row>
    <row r="699" spans="1:1" ht="12.5">
      <c r="A699" s="121"/>
    </row>
    <row r="700" spans="1:1" ht="12.5">
      <c r="A700" s="121"/>
    </row>
    <row r="701" spans="1:1" ht="12.5">
      <c r="A701" s="121"/>
    </row>
    <row r="702" spans="1:1" ht="12.5">
      <c r="A702" s="121"/>
    </row>
    <row r="703" spans="1:1" ht="12.5">
      <c r="A703" s="121"/>
    </row>
    <row r="704" spans="1:1" ht="12.5">
      <c r="A704" s="121"/>
    </row>
    <row r="705" spans="1:1" ht="12.5">
      <c r="A705" s="121"/>
    </row>
    <row r="706" spans="1:1" ht="12.5">
      <c r="A706" s="121"/>
    </row>
    <row r="707" spans="1:1" ht="12.5">
      <c r="A707" s="121"/>
    </row>
    <row r="708" spans="1:1" ht="12.5">
      <c r="A708" s="121"/>
    </row>
    <row r="709" spans="1:1" ht="12.5">
      <c r="A709" s="121"/>
    </row>
    <row r="710" spans="1:1" ht="12.5">
      <c r="A710" s="121"/>
    </row>
    <row r="711" spans="1:1" ht="12.5">
      <c r="A711" s="121"/>
    </row>
    <row r="712" spans="1:1" ht="12.5">
      <c r="A712" s="121"/>
    </row>
    <row r="713" spans="1:1" ht="12.5">
      <c r="A713" s="121"/>
    </row>
    <row r="714" spans="1:1" ht="12.5">
      <c r="A714" s="121"/>
    </row>
    <row r="715" spans="1:1" ht="12.5">
      <c r="A715" s="121"/>
    </row>
    <row r="716" spans="1:1" ht="12.5">
      <c r="A716" s="121"/>
    </row>
    <row r="717" spans="1:1" ht="12.5">
      <c r="A717" s="121"/>
    </row>
    <row r="718" spans="1:1" ht="12.5">
      <c r="A718" s="121"/>
    </row>
    <row r="719" spans="1:1" ht="12.5">
      <c r="A719" s="121"/>
    </row>
    <row r="720" spans="1:1" ht="12.5">
      <c r="A720" s="121"/>
    </row>
    <row r="721" spans="1:1" ht="12.5">
      <c r="A721" s="121"/>
    </row>
    <row r="722" spans="1:1" ht="12.5">
      <c r="A722" s="121"/>
    </row>
    <row r="723" spans="1:1" ht="12.5">
      <c r="A723" s="121"/>
    </row>
    <row r="724" spans="1:1" ht="12.5">
      <c r="A724" s="121"/>
    </row>
    <row r="725" spans="1:1" ht="12.5">
      <c r="A725" s="121"/>
    </row>
    <row r="726" spans="1:1" ht="12.5">
      <c r="A726" s="121"/>
    </row>
    <row r="727" spans="1:1" ht="12.5">
      <c r="A727" s="121"/>
    </row>
    <row r="728" spans="1:1" ht="12.5">
      <c r="A728" s="121"/>
    </row>
    <row r="729" spans="1:1" ht="12.5">
      <c r="A729" s="121"/>
    </row>
    <row r="730" spans="1:1" ht="12.5">
      <c r="A730" s="121"/>
    </row>
    <row r="731" spans="1:1" ht="12.5">
      <c r="A731" s="121"/>
    </row>
    <row r="732" spans="1:1" ht="12.5">
      <c r="A732" s="121"/>
    </row>
    <row r="733" spans="1:1" ht="12.5">
      <c r="A733" s="121"/>
    </row>
    <row r="734" spans="1:1" ht="12.5">
      <c r="A734" s="121"/>
    </row>
    <row r="735" spans="1:1" ht="12.5">
      <c r="A735" s="121"/>
    </row>
    <row r="736" spans="1:1" ht="12.5">
      <c r="A736" s="121"/>
    </row>
    <row r="737" spans="1:1" ht="12.5">
      <c r="A737" s="121"/>
    </row>
    <row r="738" spans="1:1" ht="12.5">
      <c r="A738" s="121"/>
    </row>
    <row r="739" spans="1:1" ht="12.5">
      <c r="A739" s="121"/>
    </row>
    <row r="740" spans="1:1" ht="12.5">
      <c r="A740" s="121"/>
    </row>
    <row r="741" spans="1:1" ht="12.5">
      <c r="A741" s="121"/>
    </row>
    <row r="742" spans="1:1" ht="12.5">
      <c r="A742" s="121"/>
    </row>
    <row r="743" spans="1:1" ht="12.5">
      <c r="A743" s="121"/>
    </row>
    <row r="744" spans="1:1" ht="12.5">
      <c r="A744" s="121"/>
    </row>
    <row r="745" spans="1:1" ht="12.5">
      <c r="A745" s="121"/>
    </row>
    <row r="746" spans="1:1" ht="12.5">
      <c r="A746" s="121"/>
    </row>
    <row r="747" spans="1:1" ht="12.5">
      <c r="A747" s="121"/>
    </row>
    <row r="748" spans="1:1" ht="12.5">
      <c r="A748" s="121"/>
    </row>
    <row r="749" spans="1:1" ht="12.5">
      <c r="A749" s="121"/>
    </row>
    <row r="750" spans="1:1" ht="12.5">
      <c r="A750" s="121"/>
    </row>
    <row r="751" spans="1:1" ht="12.5">
      <c r="A751" s="121"/>
    </row>
    <row r="752" spans="1:1" ht="12.5">
      <c r="A752" s="121"/>
    </row>
    <row r="753" spans="1:1" ht="12.5">
      <c r="A753" s="121"/>
    </row>
    <row r="754" spans="1:1" ht="12.5">
      <c r="A754" s="121"/>
    </row>
    <row r="755" spans="1:1" ht="12.5">
      <c r="A755" s="121"/>
    </row>
    <row r="756" spans="1:1" ht="12.5">
      <c r="A756" s="121"/>
    </row>
    <row r="757" spans="1:1" ht="12.5">
      <c r="A757" s="121"/>
    </row>
    <row r="758" spans="1:1" ht="12.5">
      <c r="A758" s="121"/>
    </row>
    <row r="759" spans="1:1" ht="12.5">
      <c r="A759" s="121"/>
    </row>
    <row r="760" spans="1:1" ht="12.5">
      <c r="A760" s="121"/>
    </row>
    <row r="761" spans="1:1" ht="12.5">
      <c r="A761" s="121"/>
    </row>
    <row r="762" spans="1:1" ht="12.5">
      <c r="A762" s="121"/>
    </row>
    <row r="763" spans="1:1" ht="12.5">
      <c r="A763" s="121"/>
    </row>
    <row r="764" spans="1:1" ht="12.5">
      <c r="A764" s="121"/>
    </row>
    <row r="765" spans="1:1" ht="12.5">
      <c r="A765" s="121"/>
    </row>
    <row r="766" spans="1:1" ht="12.5">
      <c r="A766" s="121"/>
    </row>
    <row r="767" spans="1:1" ht="12.5">
      <c r="A767" s="121"/>
    </row>
    <row r="768" spans="1:1" ht="12.5">
      <c r="A768" s="121"/>
    </row>
    <row r="769" spans="1:1" ht="12.5">
      <c r="A769" s="121"/>
    </row>
    <row r="770" spans="1:1" ht="12.5">
      <c r="A770" s="121"/>
    </row>
    <row r="771" spans="1:1" ht="12.5">
      <c r="A771" s="121"/>
    </row>
    <row r="772" spans="1:1" ht="12.5">
      <c r="A772" s="121"/>
    </row>
    <row r="773" spans="1:1" ht="12.5">
      <c r="A773" s="121"/>
    </row>
    <row r="774" spans="1:1" ht="12.5">
      <c r="A774" s="121"/>
    </row>
    <row r="775" spans="1:1" ht="12.5">
      <c r="A775" s="121"/>
    </row>
    <row r="776" spans="1:1" ht="12.5">
      <c r="A776" s="121"/>
    </row>
    <row r="777" spans="1:1" ht="12.5">
      <c r="A777" s="121"/>
    </row>
    <row r="778" spans="1:1" ht="12.5">
      <c r="A778" s="121"/>
    </row>
    <row r="779" spans="1:1" ht="12.5">
      <c r="A779" s="121"/>
    </row>
    <row r="780" spans="1:1" ht="12.5">
      <c r="A780" s="121"/>
    </row>
    <row r="781" spans="1:1" ht="12.5">
      <c r="A781" s="121"/>
    </row>
    <row r="782" spans="1:1" ht="12.5">
      <c r="A782" s="121"/>
    </row>
    <row r="783" spans="1:1" ht="12.5">
      <c r="A783" s="121"/>
    </row>
    <row r="784" spans="1:1" ht="12.5">
      <c r="A784" s="121"/>
    </row>
    <row r="785" spans="1:1" ht="12.5">
      <c r="A785" s="121"/>
    </row>
    <row r="786" spans="1:1" ht="12.5">
      <c r="A786" s="121"/>
    </row>
    <row r="787" spans="1:1" ht="12.5">
      <c r="A787" s="121"/>
    </row>
    <row r="788" spans="1:1" ht="12.5">
      <c r="A788" s="121"/>
    </row>
    <row r="789" spans="1:1" ht="12.5">
      <c r="A789" s="121"/>
    </row>
    <row r="790" spans="1:1" ht="12.5">
      <c r="A790" s="121"/>
    </row>
    <row r="791" spans="1:1" ht="12.5">
      <c r="A791" s="121"/>
    </row>
    <row r="792" spans="1:1" ht="12.5">
      <c r="A792" s="121"/>
    </row>
    <row r="793" spans="1:1" ht="12.5">
      <c r="A793" s="121"/>
    </row>
    <row r="794" spans="1:1" ht="12.5">
      <c r="A794" s="121"/>
    </row>
    <row r="795" spans="1:1" ht="12.5">
      <c r="A795" s="121"/>
    </row>
    <row r="796" spans="1:1" ht="12.5">
      <c r="A796" s="121"/>
    </row>
    <row r="797" spans="1:1" ht="12.5">
      <c r="A797" s="121"/>
    </row>
    <row r="798" spans="1:1" ht="12.5">
      <c r="A798" s="121"/>
    </row>
    <row r="799" spans="1:1" ht="12.5">
      <c r="A799" s="121"/>
    </row>
    <row r="800" spans="1:1" ht="12.5">
      <c r="A800" s="121"/>
    </row>
    <row r="801" spans="1:1" ht="12.5">
      <c r="A801" s="121"/>
    </row>
    <row r="802" spans="1:1" ht="12.5">
      <c r="A802" s="121"/>
    </row>
    <row r="803" spans="1:1" ht="12.5">
      <c r="A803" s="121"/>
    </row>
    <row r="804" spans="1:1" ht="12.5">
      <c r="A804" s="121"/>
    </row>
    <row r="805" spans="1:1" ht="12.5">
      <c r="A805" s="121"/>
    </row>
    <row r="806" spans="1:1" ht="12.5">
      <c r="A806" s="121"/>
    </row>
    <row r="807" spans="1:1" ht="12.5">
      <c r="A807" s="121"/>
    </row>
    <row r="808" spans="1:1" ht="12.5">
      <c r="A808" s="121"/>
    </row>
    <row r="809" spans="1:1" ht="12.5">
      <c r="A809" s="121"/>
    </row>
    <row r="810" spans="1:1" ht="12.5">
      <c r="A810" s="121"/>
    </row>
    <row r="811" spans="1:1" ht="12.5">
      <c r="A811" s="121"/>
    </row>
    <row r="812" spans="1:1" ht="12.5">
      <c r="A812" s="121"/>
    </row>
    <row r="813" spans="1:1" ht="12.5">
      <c r="A813" s="121"/>
    </row>
    <row r="814" spans="1:1" ht="12.5">
      <c r="A814" s="121"/>
    </row>
    <row r="815" spans="1:1" ht="12.5">
      <c r="A815" s="121"/>
    </row>
    <row r="816" spans="1:1" ht="12.5">
      <c r="A816" s="121"/>
    </row>
    <row r="817" spans="1:1" ht="12.5">
      <c r="A817" s="121"/>
    </row>
    <row r="818" spans="1:1" ht="12.5">
      <c r="A818" s="121"/>
    </row>
    <row r="819" spans="1:1" ht="12.5">
      <c r="A819" s="121"/>
    </row>
    <row r="820" spans="1:1" ht="12.5">
      <c r="A820" s="121"/>
    </row>
    <row r="821" spans="1:1" ht="12.5">
      <c r="A821" s="121"/>
    </row>
    <row r="822" spans="1:1" ht="12.5">
      <c r="A822" s="121"/>
    </row>
    <row r="823" spans="1:1" ht="12.5">
      <c r="A823" s="121"/>
    </row>
    <row r="824" spans="1:1" ht="12.5">
      <c r="A824" s="121"/>
    </row>
    <row r="825" spans="1:1" ht="12.5">
      <c r="A825" s="121"/>
    </row>
    <row r="826" spans="1:1" ht="12.5">
      <c r="A826" s="121"/>
    </row>
    <row r="827" spans="1:1" ht="12.5">
      <c r="A827" s="121"/>
    </row>
    <row r="828" spans="1:1" ht="12.5">
      <c r="A828" s="121"/>
    </row>
    <row r="829" spans="1:1" ht="12.5">
      <c r="A829" s="121"/>
    </row>
    <row r="830" spans="1:1" ht="12.5">
      <c r="A830" s="121"/>
    </row>
    <row r="831" spans="1:1" ht="12.5">
      <c r="A831" s="121"/>
    </row>
    <row r="832" spans="1:1" ht="12.5">
      <c r="A832" s="121"/>
    </row>
    <row r="833" spans="1:1" ht="12.5">
      <c r="A833" s="121"/>
    </row>
    <row r="834" spans="1:1" ht="12.5">
      <c r="A834" s="121"/>
    </row>
    <row r="835" spans="1:1" ht="12.5">
      <c r="A835" s="121"/>
    </row>
    <row r="836" spans="1:1" ht="12.5">
      <c r="A836" s="121"/>
    </row>
    <row r="837" spans="1:1" ht="12.5">
      <c r="A837" s="121"/>
    </row>
    <row r="838" spans="1:1" ht="12.5">
      <c r="A838" s="121"/>
    </row>
    <row r="839" spans="1:1" ht="12.5">
      <c r="A839" s="121"/>
    </row>
    <row r="840" spans="1:1" ht="12.5">
      <c r="A840" s="121"/>
    </row>
    <row r="841" spans="1:1" ht="12.5">
      <c r="A841" s="121"/>
    </row>
    <row r="842" spans="1:1" ht="12.5">
      <c r="A842" s="121"/>
    </row>
    <row r="843" spans="1:1" ht="12.5">
      <c r="A843" s="121"/>
    </row>
    <row r="844" spans="1:1" ht="12.5">
      <c r="A844" s="121"/>
    </row>
    <row r="845" spans="1:1" ht="12.5">
      <c r="A845" s="121"/>
    </row>
    <row r="846" spans="1:1" ht="12.5">
      <c r="A846" s="121"/>
    </row>
    <row r="847" spans="1:1" ht="12.5">
      <c r="A847" s="121"/>
    </row>
    <row r="848" spans="1:1" ht="12.5">
      <c r="A848" s="121"/>
    </row>
    <row r="849" spans="1:1" ht="12.5">
      <c r="A849" s="121"/>
    </row>
    <row r="850" spans="1:1" ht="12.5">
      <c r="A850" s="121"/>
    </row>
    <row r="851" spans="1:1" ht="12.5">
      <c r="A851" s="121"/>
    </row>
    <row r="852" spans="1:1" ht="12.5">
      <c r="A852" s="121"/>
    </row>
    <row r="853" spans="1:1" ht="12.5">
      <c r="A853" s="121"/>
    </row>
    <row r="854" spans="1:1" ht="12.5">
      <c r="A854" s="121"/>
    </row>
    <row r="855" spans="1:1" ht="12.5">
      <c r="A855" s="121"/>
    </row>
    <row r="856" spans="1:1" ht="12.5">
      <c r="A856" s="121"/>
    </row>
    <row r="857" spans="1:1" ht="12.5">
      <c r="A857" s="121"/>
    </row>
    <row r="858" spans="1:1" ht="12.5">
      <c r="A858" s="121"/>
    </row>
    <row r="859" spans="1:1" ht="12.5">
      <c r="A859" s="121"/>
    </row>
    <row r="860" spans="1:1" ht="12.5">
      <c r="A860" s="121"/>
    </row>
    <row r="861" spans="1:1" ht="12.5">
      <c r="A861" s="121"/>
    </row>
    <row r="862" spans="1:1" ht="12.5">
      <c r="A862" s="121"/>
    </row>
    <row r="863" spans="1:1" ht="12.5">
      <c r="A863" s="121"/>
    </row>
    <row r="864" spans="1:1" ht="12.5">
      <c r="A864" s="121"/>
    </row>
    <row r="865" spans="1:1" ht="12.5">
      <c r="A865" s="121"/>
    </row>
    <row r="866" spans="1:1" ht="12.5">
      <c r="A866" s="121"/>
    </row>
    <row r="867" spans="1:1" ht="12.5">
      <c r="A867" s="121"/>
    </row>
    <row r="868" spans="1:1" ht="12.5">
      <c r="A868" s="121"/>
    </row>
    <row r="869" spans="1:1" ht="12.5">
      <c r="A869" s="121"/>
    </row>
    <row r="870" spans="1:1" ht="12.5">
      <c r="A870" s="121"/>
    </row>
    <row r="871" spans="1:1" ht="12.5">
      <c r="A871" s="121"/>
    </row>
    <row r="872" spans="1:1" ht="12.5">
      <c r="A872" s="121"/>
    </row>
    <row r="873" spans="1:1" ht="12.5">
      <c r="A873" s="121"/>
    </row>
    <row r="874" spans="1:1" ht="12.5">
      <c r="A874" s="121"/>
    </row>
    <row r="875" spans="1:1" ht="12.5">
      <c r="A875" s="121"/>
    </row>
    <row r="876" spans="1:1" ht="12.5">
      <c r="A876" s="121"/>
    </row>
    <row r="877" spans="1:1" ht="12.5">
      <c r="A877" s="121"/>
    </row>
    <row r="878" spans="1:1" ht="12.5">
      <c r="A878" s="121"/>
    </row>
    <row r="879" spans="1:1" ht="12.5">
      <c r="A879" s="121"/>
    </row>
    <row r="880" spans="1:1" ht="12.5">
      <c r="A880" s="121"/>
    </row>
    <row r="881" spans="1:1" ht="12.5">
      <c r="A881" s="121"/>
    </row>
    <row r="882" spans="1:1" ht="12.5">
      <c r="A882" s="121"/>
    </row>
    <row r="883" spans="1:1" ht="12.5">
      <c r="A883" s="121"/>
    </row>
    <row r="884" spans="1:1" ht="12.5">
      <c r="A884" s="121"/>
    </row>
    <row r="885" spans="1:1" ht="12.5">
      <c r="A885" s="121"/>
    </row>
    <row r="886" spans="1:1" ht="12.5">
      <c r="A886" s="121"/>
    </row>
    <row r="887" spans="1:1" ht="12.5">
      <c r="A887" s="121"/>
    </row>
    <row r="888" spans="1:1" ht="12.5">
      <c r="A888" s="121"/>
    </row>
    <row r="889" spans="1:1" ht="12.5">
      <c r="A889" s="121"/>
    </row>
    <row r="890" spans="1:1" ht="12.5">
      <c r="A890" s="121"/>
    </row>
    <row r="891" spans="1:1" ht="12.5">
      <c r="A891" s="121"/>
    </row>
    <row r="892" spans="1:1" ht="12.5">
      <c r="A892" s="121"/>
    </row>
    <row r="893" spans="1:1" ht="12.5">
      <c r="A893" s="121"/>
    </row>
    <row r="894" spans="1:1" ht="12.5">
      <c r="A894" s="121"/>
    </row>
    <row r="895" spans="1:1" ht="12.5">
      <c r="A895" s="121"/>
    </row>
    <row r="896" spans="1:1" ht="12.5">
      <c r="A896" s="121"/>
    </row>
    <row r="897" spans="1:1" ht="12.5">
      <c r="A897" s="121"/>
    </row>
    <row r="898" spans="1:1" ht="12.5">
      <c r="A898" s="121"/>
    </row>
    <row r="899" spans="1:1" ht="12.5">
      <c r="A899" s="121"/>
    </row>
    <row r="900" spans="1:1" ht="12.5">
      <c r="A900" s="121"/>
    </row>
    <row r="901" spans="1:1" ht="12.5">
      <c r="A901" s="121"/>
    </row>
    <row r="902" spans="1:1" ht="12.5">
      <c r="A902" s="121"/>
    </row>
    <row r="903" spans="1:1" ht="12.5">
      <c r="A903" s="121"/>
    </row>
    <row r="904" spans="1:1" ht="12.5">
      <c r="A904" s="121"/>
    </row>
    <row r="905" spans="1:1" ht="12.5">
      <c r="A905" s="121"/>
    </row>
    <row r="906" spans="1:1" ht="12.5">
      <c r="A906" s="121"/>
    </row>
    <row r="907" spans="1:1" ht="12.5">
      <c r="A907" s="121"/>
    </row>
    <row r="908" spans="1:1" ht="12.5">
      <c r="A908" s="121"/>
    </row>
    <row r="909" spans="1:1" ht="12.5">
      <c r="A909" s="121"/>
    </row>
    <row r="910" spans="1:1" ht="12.5">
      <c r="A910" s="121"/>
    </row>
    <row r="911" spans="1:1" ht="12.5">
      <c r="A911" s="121"/>
    </row>
    <row r="912" spans="1:1" ht="12.5">
      <c r="A912" s="121"/>
    </row>
    <row r="913" spans="1:1" ht="12.5">
      <c r="A913" s="121"/>
    </row>
    <row r="914" spans="1:1" ht="12.5">
      <c r="A914" s="121"/>
    </row>
    <row r="915" spans="1:1" ht="12.5">
      <c r="A915" s="121"/>
    </row>
    <row r="916" spans="1:1" ht="12.5">
      <c r="A916" s="121"/>
    </row>
    <row r="917" spans="1:1" ht="12.5">
      <c r="A917" s="121"/>
    </row>
    <row r="918" spans="1:1" ht="12.5">
      <c r="A918" s="121"/>
    </row>
    <row r="919" spans="1:1" ht="12.5">
      <c r="A919" s="121"/>
    </row>
    <row r="920" spans="1:1" ht="12.5">
      <c r="A920" s="121"/>
    </row>
    <row r="921" spans="1:1" ht="12.5">
      <c r="A921" s="121"/>
    </row>
    <row r="922" spans="1:1" ht="12.5">
      <c r="A922" s="121"/>
    </row>
    <row r="923" spans="1:1" ht="12.5">
      <c r="A923" s="121"/>
    </row>
    <row r="924" spans="1:1" ht="12.5">
      <c r="A924" s="121"/>
    </row>
    <row r="925" spans="1:1" ht="12.5">
      <c r="A925" s="121"/>
    </row>
    <row r="926" spans="1:1" ht="12.5">
      <c r="A926" s="121"/>
    </row>
    <row r="927" spans="1:1" ht="12.5">
      <c r="A927" s="121"/>
    </row>
    <row r="928" spans="1:1" ht="12.5">
      <c r="A928" s="121"/>
    </row>
    <row r="929" spans="1:1" ht="12.5">
      <c r="A929" s="121"/>
    </row>
    <row r="930" spans="1:1" ht="12.5">
      <c r="A930" s="121"/>
    </row>
    <row r="931" spans="1:1" ht="12.5">
      <c r="A931" s="121"/>
    </row>
    <row r="932" spans="1:1" ht="12.5">
      <c r="A932" s="121"/>
    </row>
    <row r="933" spans="1:1" ht="12.5">
      <c r="A933" s="121"/>
    </row>
    <row r="934" spans="1:1" ht="12.5">
      <c r="A934" s="121"/>
    </row>
    <row r="935" spans="1:1" ht="12.5">
      <c r="A935" s="121"/>
    </row>
    <row r="936" spans="1:1" ht="12.5">
      <c r="A936" s="121"/>
    </row>
    <row r="937" spans="1:1" ht="12.5">
      <c r="A937" s="121"/>
    </row>
    <row r="938" spans="1:1" ht="12.5">
      <c r="A938" s="121"/>
    </row>
    <row r="939" spans="1:1" ht="12.5">
      <c r="A939" s="121"/>
    </row>
    <row r="940" spans="1:1" ht="12.5">
      <c r="A940" s="121"/>
    </row>
    <row r="941" spans="1:1" ht="12.5">
      <c r="A941" s="121"/>
    </row>
    <row r="942" spans="1:1" ht="12.5">
      <c r="A942" s="121"/>
    </row>
    <row r="943" spans="1:1" ht="12.5">
      <c r="A943" s="121"/>
    </row>
    <row r="944" spans="1:1" ht="12.5">
      <c r="A944" s="121"/>
    </row>
    <row r="945" spans="1:1" ht="12.5">
      <c r="A945" s="121"/>
    </row>
    <row r="946" spans="1:1" ht="12.5">
      <c r="A946" s="121"/>
    </row>
    <row r="947" spans="1:1" ht="12.5">
      <c r="A947" s="121"/>
    </row>
    <row r="948" spans="1:1" ht="12.5">
      <c r="A948" s="121"/>
    </row>
    <row r="949" spans="1:1" ht="12.5">
      <c r="A949" s="121"/>
    </row>
    <row r="950" spans="1:1" ht="12.5">
      <c r="A950" s="121"/>
    </row>
    <row r="951" spans="1:1" ht="12.5">
      <c r="A951" s="121"/>
    </row>
    <row r="952" spans="1:1" ht="12.5">
      <c r="A952" s="121"/>
    </row>
    <row r="953" spans="1:1" ht="12.5">
      <c r="A953" s="121"/>
    </row>
    <row r="954" spans="1:1" ht="12.5">
      <c r="A954" s="121"/>
    </row>
    <row r="955" spans="1:1" ht="12.5">
      <c r="A955" s="121"/>
    </row>
    <row r="956" spans="1:1" ht="12.5">
      <c r="A956" s="121"/>
    </row>
    <row r="957" spans="1:1" ht="12.5">
      <c r="A957" s="121"/>
    </row>
    <row r="958" spans="1:1" ht="12.5">
      <c r="A958" s="121"/>
    </row>
    <row r="959" spans="1:1" ht="12.5">
      <c r="A959" s="121"/>
    </row>
    <row r="960" spans="1:1" ht="12.5">
      <c r="A960" s="121"/>
    </row>
    <row r="961" spans="1:1" ht="12.5">
      <c r="A961" s="121"/>
    </row>
    <row r="962" spans="1:1" ht="12.5">
      <c r="A962" s="121"/>
    </row>
    <row r="963" spans="1:1" ht="12.5">
      <c r="A963" s="121"/>
    </row>
    <row r="964" spans="1:1" ht="12.5">
      <c r="A964" s="121"/>
    </row>
    <row r="965" spans="1:1" ht="12.5">
      <c r="A965" s="121"/>
    </row>
    <row r="966" spans="1:1" ht="12.5">
      <c r="A966" s="121"/>
    </row>
    <row r="967" spans="1:1" ht="12.5">
      <c r="A967" s="121"/>
    </row>
    <row r="968" spans="1:1" ht="12.5">
      <c r="A968" s="121"/>
    </row>
    <row r="969" spans="1:1" ht="12.5">
      <c r="A969" s="121"/>
    </row>
    <row r="970" spans="1:1" ht="12.5">
      <c r="A970" s="121"/>
    </row>
    <row r="971" spans="1:1" ht="12.5">
      <c r="A971" s="121"/>
    </row>
    <row r="972" spans="1:1" ht="12.5">
      <c r="A972" s="121"/>
    </row>
    <row r="973" spans="1:1" ht="12.5">
      <c r="A973" s="121"/>
    </row>
    <row r="974" spans="1:1" ht="12.5">
      <c r="A974" s="121"/>
    </row>
    <row r="975" spans="1:1" ht="12.5">
      <c r="A975" s="121"/>
    </row>
    <row r="976" spans="1:1" ht="12.5">
      <c r="A976" s="121"/>
    </row>
    <row r="977" spans="1:1" ht="12.5">
      <c r="A977" s="121"/>
    </row>
    <row r="978" spans="1:1" ht="12.5">
      <c r="A978" s="121"/>
    </row>
    <row r="979" spans="1:1" ht="12.5">
      <c r="A979" s="121"/>
    </row>
    <row r="980" spans="1:1" ht="12.5">
      <c r="A980" s="121"/>
    </row>
    <row r="981" spans="1:1" ht="12.5">
      <c r="A981" s="121"/>
    </row>
    <row r="982" spans="1:1" ht="12.5">
      <c r="A982" s="121"/>
    </row>
    <row r="983" spans="1:1" ht="12.5">
      <c r="A983" s="121"/>
    </row>
    <row r="984" spans="1:1" ht="12.5">
      <c r="A984" s="121"/>
    </row>
    <row r="985" spans="1:1" ht="12.5">
      <c r="A985" s="121"/>
    </row>
    <row r="986" spans="1:1" ht="12.5">
      <c r="A986" s="121"/>
    </row>
    <row r="987" spans="1:1" ht="12.5">
      <c r="A987" s="121"/>
    </row>
    <row r="988" spans="1:1" ht="12.5">
      <c r="A988" s="121"/>
    </row>
    <row r="989" spans="1:1" ht="12.5">
      <c r="A989" s="121"/>
    </row>
    <row r="990" spans="1:1" ht="12.5">
      <c r="A990" s="121"/>
    </row>
    <row r="991" spans="1:1" ht="12.5">
      <c r="A991" s="121"/>
    </row>
    <row r="992" spans="1:1" ht="12.5">
      <c r="A992" s="121"/>
    </row>
    <row r="993" spans="1:1" ht="12.5">
      <c r="A993" s="121"/>
    </row>
    <row r="994" spans="1:1" ht="12.5">
      <c r="A994" s="121"/>
    </row>
    <row r="995" spans="1:1" ht="12.5">
      <c r="A995" s="121"/>
    </row>
    <row r="996" spans="1:1" ht="12.5">
      <c r="A996" s="121"/>
    </row>
    <row r="997" spans="1:1" ht="12.5">
      <c r="A997" s="121"/>
    </row>
    <row r="998" spans="1:1" ht="12.5">
      <c r="A998" s="121"/>
    </row>
    <row r="999" spans="1:1" ht="12.5">
      <c r="A999" s="121"/>
    </row>
    <row r="1000" spans="1:1" ht="12.5">
      <c r="A1000" s="121"/>
    </row>
    <row r="1001" spans="1:1" ht="12.5">
      <c r="A1001" s="121"/>
    </row>
    <row r="1002" spans="1:1" ht="12.5">
      <c r="A1002" s="121"/>
    </row>
    <row r="1003" spans="1:1" ht="12.5">
      <c r="A1003" s="121"/>
    </row>
    <row r="1004" spans="1:1" ht="12.5">
      <c r="A1004" s="121"/>
    </row>
    <row r="1005" spans="1:1" ht="12.5">
      <c r="A1005" s="121"/>
    </row>
    <row r="1006" spans="1:1" ht="12.5">
      <c r="A1006" s="121"/>
    </row>
    <row r="1007" spans="1:1" ht="12.5">
      <c r="A1007" s="121"/>
    </row>
    <row r="1008" spans="1:1" ht="12.5">
      <c r="A1008" s="121"/>
    </row>
    <row r="1009" spans="1:1" ht="12.5">
      <c r="A1009" s="121"/>
    </row>
  </sheetData>
  <autoFilter ref="A10:F443" xr:uid="{00000000-0009-0000-0000-00000D000000}"/>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outlinePr summaryBelow="0" summaryRight="0"/>
  </sheetPr>
  <dimension ref="A1:D17"/>
  <sheetViews>
    <sheetView workbookViewId="0"/>
  </sheetViews>
  <sheetFormatPr defaultColWidth="12.6328125" defaultRowHeight="15.75" customHeight="1"/>
  <sheetData>
    <row r="1" spans="1:4" ht="15.75" customHeight="1">
      <c r="A1" s="5" t="s">
        <v>6066</v>
      </c>
      <c r="B1" s="5" t="s">
        <v>6067</v>
      </c>
      <c r="C1" s="5" t="s">
        <v>3216</v>
      </c>
      <c r="D1" s="5" t="s">
        <v>3215</v>
      </c>
    </row>
    <row r="2" spans="1:4" ht="15.75" customHeight="1">
      <c r="A2" s="5">
        <v>1</v>
      </c>
      <c r="B2" s="5" t="s">
        <v>6068</v>
      </c>
      <c r="C2" s="5">
        <v>7</v>
      </c>
      <c r="D2" s="5">
        <v>2024</v>
      </c>
    </row>
    <row r="3" spans="1:4" ht="15.75" customHeight="1">
      <c r="A3" s="5">
        <v>2</v>
      </c>
      <c r="B3" s="5" t="s">
        <v>6068</v>
      </c>
      <c r="C3" s="5">
        <v>7</v>
      </c>
      <c r="D3" s="5">
        <v>2024</v>
      </c>
    </row>
    <row r="4" spans="1:4" ht="15.75" customHeight="1">
      <c r="A4" s="5">
        <v>3</v>
      </c>
      <c r="B4" s="5" t="s">
        <v>6068</v>
      </c>
      <c r="C4" s="5">
        <v>7</v>
      </c>
      <c r="D4" s="5">
        <v>2024</v>
      </c>
    </row>
    <row r="5" spans="1:4" ht="15.75" customHeight="1">
      <c r="A5" s="5">
        <v>4</v>
      </c>
      <c r="B5" s="5" t="s">
        <v>6068</v>
      </c>
      <c r="C5" s="5">
        <v>7</v>
      </c>
      <c r="D5" s="5">
        <v>2024</v>
      </c>
    </row>
    <row r="6" spans="1:4" ht="15.75" customHeight="1">
      <c r="A6" s="5">
        <v>5</v>
      </c>
      <c r="B6" s="5" t="s">
        <v>6068</v>
      </c>
      <c r="C6" s="5">
        <v>7</v>
      </c>
      <c r="D6" s="5">
        <v>2024</v>
      </c>
    </row>
    <row r="7" spans="1:4" ht="15.75" customHeight="1">
      <c r="A7" s="5">
        <v>6</v>
      </c>
      <c r="B7" s="5" t="s">
        <v>6068</v>
      </c>
      <c r="C7" s="5">
        <v>7</v>
      </c>
      <c r="D7" s="5">
        <v>2024</v>
      </c>
    </row>
    <row r="8" spans="1:4" ht="15.75" customHeight="1">
      <c r="A8" s="5">
        <v>7</v>
      </c>
      <c r="B8" s="5" t="s">
        <v>6068</v>
      </c>
      <c r="C8" s="5">
        <v>7</v>
      </c>
      <c r="D8" s="5">
        <v>2024</v>
      </c>
    </row>
    <row r="9" spans="1:4" ht="15.75" customHeight="1">
      <c r="A9" s="5">
        <v>8</v>
      </c>
      <c r="B9" s="5" t="s">
        <v>6068</v>
      </c>
      <c r="C9" s="5">
        <v>7</v>
      </c>
      <c r="D9" s="5">
        <v>2024</v>
      </c>
    </row>
    <row r="10" spans="1:4" ht="15.75" customHeight="1">
      <c r="A10" s="5">
        <v>9</v>
      </c>
      <c r="B10" s="5" t="s">
        <v>6068</v>
      </c>
      <c r="C10" s="5">
        <v>7</v>
      </c>
      <c r="D10" s="5">
        <v>2024</v>
      </c>
    </row>
    <row r="11" spans="1:4" ht="15.75" customHeight="1">
      <c r="A11" s="5">
        <v>10</v>
      </c>
      <c r="B11" s="5" t="s">
        <v>6068</v>
      </c>
      <c r="C11" s="5">
        <v>7</v>
      </c>
      <c r="D11" s="5">
        <v>2024</v>
      </c>
    </row>
    <row r="12" spans="1:4" ht="15.75" customHeight="1">
      <c r="A12" s="5">
        <v>11</v>
      </c>
      <c r="B12" s="5" t="s">
        <v>6068</v>
      </c>
      <c r="C12" s="5">
        <v>7</v>
      </c>
      <c r="D12" s="5">
        <v>2024</v>
      </c>
    </row>
    <row r="13" spans="1:4" ht="15.75" customHeight="1">
      <c r="A13" s="5">
        <v>12</v>
      </c>
      <c r="B13" s="5" t="s">
        <v>6068</v>
      </c>
      <c r="C13" s="5">
        <v>7</v>
      </c>
      <c r="D13" s="5">
        <v>2024</v>
      </c>
    </row>
    <row r="14" spans="1:4" ht="15.75" customHeight="1">
      <c r="A14" s="5">
        <v>13</v>
      </c>
      <c r="B14" s="5" t="s">
        <v>6068</v>
      </c>
      <c r="C14" s="5">
        <v>7</v>
      </c>
      <c r="D14" s="5">
        <v>2024</v>
      </c>
    </row>
    <row r="15" spans="1:4" ht="15.75" customHeight="1">
      <c r="A15" s="5">
        <v>14</v>
      </c>
      <c r="B15" s="5" t="s">
        <v>6068</v>
      </c>
      <c r="C15" s="5">
        <v>7</v>
      </c>
      <c r="D15" s="5">
        <v>2024</v>
      </c>
    </row>
    <row r="16" spans="1:4" ht="15.75" customHeight="1">
      <c r="A16" s="5">
        <v>15</v>
      </c>
      <c r="B16" s="5" t="s">
        <v>6068</v>
      </c>
      <c r="C16" s="5">
        <v>7</v>
      </c>
      <c r="D16" s="5">
        <v>2024</v>
      </c>
    </row>
    <row r="17" spans="1:4" ht="15.75" customHeight="1">
      <c r="A17" s="5">
        <v>16</v>
      </c>
      <c r="B17" s="5" t="s">
        <v>6068</v>
      </c>
      <c r="C17" s="5">
        <v>7</v>
      </c>
      <c r="D17" s="5">
        <v>2024</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outlinePr summaryBelow="0" summaryRight="0"/>
  </sheetPr>
  <dimension ref="A1:AU13"/>
  <sheetViews>
    <sheetView workbookViewId="0"/>
  </sheetViews>
  <sheetFormatPr defaultColWidth="12.6328125" defaultRowHeight="15.75" customHeight="1"/>
  <sheetData>
    <row r="1" spans="1:47" ht="15.75" customHeight="1">
      <c r="A1" s="5" t="e">
        <f ca="1">CONCATENATE("[",A4:AU4,"]")</f>
        <v>#NAME?</v>
      </c>
      <c r="B1" s="5"/>
      <c r="C1" s="5"/>
      <c r="D1" s="5"/>
      <c r="E1" s="5"/>
      <c r="F1" s="5"/>
      <c r="G1" s="5"/>
      <c r="H1" s="5"/>
      <c r="I1" s="5"/>
      <c r="J1" s="5"/>
      <c r="K1" s="5"/>
      <c r="L1" s="5"/>
      <c r="M1" s="5"/>
      <c r="N1" s="5"/>
      <c r="O1" s="5"/>
      <c r="P1" s="5"/>
      <c r="Q1" s="5"/>
      <c r="R1" s="5"/>
      <c r="S1" s="5"/>
      <c r="T1" s="5"/>
    </row>
    <row r="2" spans="1:47" ht="15.75" customHeight="1">
      <c r="A2" s="5" t="e">
        <f ca="1">CONCATENATE("",A3:AU3,",")</f>
        <v>#NAME?</v>
      </c>
      <c r="B2" s="5"/>
      <c r="C2" s="5"/>
      <c r="D2" s="5"/>
      <c r="E2" s="5"/>
      <c r="F2" s="5"/>
      <c r="G2" s="5"/>
      <c r="H2" s="5"/>
      <c r="I2" s="5"/>
      <c r="J2" s="5"/>
      <c r="K2" s="5"/>
      <c r="L2" s="5"/>
      <c r="M2" s="5"/>
      <c r="N2" s="5"/>
      <c r="O2" s="5"/>
      <c r="P2" s="5"/>
      <c r="Q2" s="5"/>
      <c r="R2" s="5"/>
      <c r="S2" s="5"/>
      <c r="T2" s="5"/>
      <c r="U2" s="5"/>
    </row>
    <row r="3" spans="1:47" ht="15.75" customHeight="1">
      <c r="A3" s="5" t="e">
        <f t="shared" ref="A3:AE3" ca="1" si="0">""&amp;A5&amp;","</f>
        <v>#NAME?</v>
      </c>
      <c r="B3" s="5" t="e">
        <f t="shared" ca="1" si="0"/>
        <v>#NAME?</v>
      </c>
      <c r="C3" s="5" t="e">
        <f t="shared" ca="1" si="0"/>
        <v>#NAME?</v>
      </c>
      <c r="D3" s="5" t="e">
        <f t="shared" ca="1" si="0"/>
        <v>#NAME?</v>
      </c>
      <c r="E3" s="5" t="e">
        <f t="shared" ca="1" si="0"/>
        <v>#NAME?</v>
      </c>
      <c r="F3" s="5" t="e">
        <f t="shared" ca="1" si="0"/>
        <v>#NAME?</v>
      </c>
      <c r="G3" s="5" t="e">
        <f t="shared" ca="1" si="0"/>
        <v>#NAME?</v>
      </c>
      <c r="H3" s="5" t="e">
        <f t="shared" ca="1" si="0"/>
        <v>#NAME?</v>
      </c>
      <c r="I3" s="5" t="e">
        <f t="shared" ca="1" si="0"/>
        <v>#NAME?</v>
      </c>
      <c r="J3" s="5" t="e">
        <f t="shared" ca="1" si="0"/>
        <v>#NAME?</v>
      </c>
      <c r="K3" s="5" t="e">
        <f t="shared" ca="1" si="0"/>
        <v>#NAME?</v>
      </c>
      <c r="L3" s="5" t="e">
        <f t="shared" ca="1" si="0"/>
        <v>#NAME?</v>
      </c>
      <c r="M3" s="5" t="e">
        <f t="shared" ca="1" si="0"/>
        <v>#NAME?</v>
      </c>
      <c r="N3" s="5" t="e">
        <f t="shared" ca="1" si="0"/>
        <v>#NAME?</v>
      </c>
      <c r="O3" s="5" t="e">
        <f t="shared" ca="1" si="0"/>
        <v>#NAME?</v>
      </c>
      <c r="P3" s="5" t="e">
        <f t="shared" ca="1" si="0"/>
        <v>#NAME?</v>
      </c>
      <c r="Q3" s="5" t="e">
        <f t="shared" ca="1" si="0"/>
        <v>#NAME?</v>
      </c>
      <c r="R3" s="5" t="e">
        <f t="shared" ca="1" si="0"/>
        <v>#NAME?</v>
      </c>
      <c r="S3" s="5" t="e">
        <f t="shared" ca="1" si="0"/>
        <v>#NAME?</v>
      </c>
      <c r="T3" s="5" t="e">
        <f t="shared" ca="1" si="0"/>
        <v>#NAME?</v>
      </c>
      <c r="U3" s="5" t="e">
        <f t="shared" ca="1" si="0"/>
        <v>#NAME?</v>
      </c>
      <c r="V3" s="5" t="e">
        <f t="shared" ca="1" si="0"/>
        <v>#NAME?</v>
      </c>
      <c r="W3" s="5" t="e">
        <f t="shared" ca="1" si="0"/>
        <v>#NAME?</v>
      </c>
      <c r="X3" s="5" t="e">
        <f t="shared" ca="1" si="0"/>
        <v>#NAME?</v>
      </c>
      <c r="Y3" s="5" t="e">
        <f t="shared" ca="1" si="0"/>
        <v>#NAME?</v>
      </c>
      <c r="Z3" s="5" t="e">
        <f t="shared" ca="1" si="0"/>
        <v>#NAME?</v>
      </c>
      <c r="AA3" s="5" t="e">
        <f t="shared" ca="1" si="0"/>
        <v>#NAME?</v>
      </c>
      <c r="AB3" s="5" t="e">
        <f t="shared" ca="1" si="0"/>
        <v>#NAME?</v>
      </c>
      <c r="AC3" s="5" t="e">
        <f t="shared" ca="1" si="0"/>
        <v>#NAME?</v>
      </c>
      <c r="AD3" s="5" t="e">
        <f t="shared" ca="1" si="0"/>
        <v>#NAME?</v>
      </c>
      <c r="AE3" s="5" t="e">
        <f t="shared" ca="1" si="0"/>
        <v>#NAME?</v>
      </c>
      <c r="AF3" s="5"/>
      <c r="AG3" s="5"/>
      <c r="AH3" s="5"/>
      <c r="AI3" s="5"/>
      <c r="AJ3" s="5"/>
      <c r="AK3" s="5"/>
      <c r="AL3" s="5"/>
      <c r="AM3" s="5"/>
      <c r="AN3" s="5"/>
      <c r="AO3" s="5"/>
      <c r="AP3" s="5"/>
      <c r="AQ3" s="5"/>
      <c r="AR3" s="5"/>
      <c r="AS3" s="5"/>
      <c r="AT3" s="5"/>
      <c r="AU3" s="5"/>
    </row>
    <row r="4" spans="1:47" ht="15.75" customHeight="1">
      <c r="A4" s="5" t="e">
        <f t="shared" ref="A4:AE4" ca="1" si="1">"'"&amp;A5&amp;"',"</f>
        <v>#NAME?</v>
      </c>
      <c r="B4" s="5" t="e">
        <f t="shared" ca="1" si="1"/>
        <v>#NAME?</v>
      </c>
      <c r="C4" s="5" t="e">
        <f t="shared" ca="1" si="1"/>
        <v>#NAME?</v>
      </c>
      <c r="D4" s="5" t="e">
        <f t="shared" ca="1" si="1"/>
        <v>#NAME?</v>
      </c>
      <c r="E4" s="5" t="e">
        <f t="shared" ca="1" si="1"/>
        <v>#NAME?</v>
      </c>
      <c r="F4" s="5" t="e">
        <f t="shared" ca="1" si="1"/>
        <v>#NAME?</v>
      </c>
      <c r="G4" s="5" t="e">
        <f t="shared" ca="1" si="1"/>
        <v>#NAME?</v>
      </c>
      <c r="H4" s="5" t="e">
        <f t="shared" ca="1" si="1"/>
        <v>#NAME?</v>
      </c>
      <c r="I4" s="5" t="e">
        <f t="shared" ca="1" si="1"/>
        <v>#NAME?</v>
      </c>
      <c r="J4" s="5" t="e">
        <f t="shared" ca="1" si="1"/>
        <v>#NAME?</v>
      </c>
      <c r="K4" s="5" t="e">
        <f t="shared" ca="1" si="1"/>
        <v>#NAME?</v>
      </c>
      <c r="L4" s="5" t="e">
        <f t="shared" ca="1" si="1"/>
        <v>#NAME?</v>
      </c>
      <c r="M4" s="5" t="e">
        <f t="shared" ca="1" si="1"/>
        <v>#NAME?</v>
      </c>
      <c r="N4" s="5" t="e">
        <f t="shared" ca="1" si="1"/>
        <v>#NAME?</v>
      </c>
      <c r="O4" s="5" t="e">
        <f t="shared" ca="1" si="1"/>
        <v>#NAME?</v>
      </c>
      <c r="P4" s="5" t="e">
        <f t="shared" ca="1" si="1"/>
        <v>#NAME?</v>
      </c>
      <c r="Q4" s="5" t="e">
        <f t="shared" ca="1" si="1"/>
        <v>#NAME?</v>
      </c>
      <c r="R4" s="5" t="e">
        <f t="shared" ca="1" si="1"/>
        <v>#NAME?</v>
      </c>
      <c r="S4" s="5" t="e">
        <f t="shared" ca="1" si="1"/>
        <v>#NAME?</v>
      </c>
      <c r="T4" s="5" t="e">
        <f t="shared" ca="1" si="1"/>
        <v>#NAME?</v>
      </c>
      <c r="U4" s="5" t="e">
        <f t="shared" ca="1" si="1"/>
        <v>#NAME?</v>
      </c>
      <c r="V4" s="5" t="e">
        <f t="shared" ca="1" si="1"/>
        <v>#NAME?</v>
      </c>
      <c r="W4" s="5" t="e">
        <f t="shared" ca="1" si="1"/>
        <v>#NAME?</v>
      </c>
      <c r="X4" s="5" t="e">
        <f t="shared" ca="1" si="1"/>
        <v>#NAME?</v>
      </c>
      <c r="Y4" s="5" t="e">
        <f t="shared" ca="1" si="1"/>
        <v>#NAME?</v>
      </c>
      <c r="Z4" s="5" t="e">
        <f t="shared" ca="1" si="1"/>
        <v>#NAME?</v>
      </c>
      <c r="AA4" s="5" t="e">
        <f t="shared" ca="1" si="1"/>
        <v>#NAME?</v>
      </c>
      <c r="AB4" s="5" t="e">
        <f t="shared" ca="1" si="1"/>
        <v>#NAME?</v>
      </c>
      <c r="AC4" s="5" t="e">
        <f t="shared" ca="1" si="1"/>
        <v>#NAME?</v>
      </c>
      <c r="AD4" s="5" t="e">
        <f t="shared" ca="1" si="1"/>
        <v>#NAME?</v>
      </c>
      <c r="AE4" s="5" t="e">
        <f t="shared" ca="1" si="1"/>
        <v>#NAME?</v>
      </c>
      <c r="AF4" s="5"/>
      <c r="AG4" s="5"/>
      <c r="AH4" s="5"/>
      <c r="AI4" s="5"/>
      <c r="AJ4" s="5"/>
      <c r="AK4" s="5"/>
      <c r="AL4" s="5"/>
      <c r="AM4" s="5"/>
      <c r="AN4" s="5"/>
      <c r="AO4" s="5"/>
      <c r="AP4" s="5"/>
      <c r="AQ4" s="5"/>
      <c r="AR4" s="5"/>
      <c r="AS4" s="5"/>
      <c r="AT4" s="5"/>
      <c r="AU4" s="5"/>
    </row>
    <row r="5" spans="1:47" ht="15.75" customHeight="1">
      <c r="A5" s="5" t="e">
        <f t="shared" ref="A5:AE5" ca="1" si="2">snake_case_string(A6)</f>
        <v>#NAME?</v>
      </c>
      <c r="B5" s="5" t="e">
        <f t="shared" ca="1" si="2"/>
        <v>#NAME?</v>
      </c>
      <c r="C5" s="5" t="e">
        <f t="shared" ca="1" si="2"/>
        <v>#NAME?</v>
      </c>
      <c r="D5" s="5" t="e">
        <f t="shared" ca="1" si="2"/>
        <v>#NAME?</v>
      </c>
      <c r="E5" s="5" t="e">
        <f t="shared" ca="1" si="2"/>
        <v>#NAME?</v>
      </c>
      <c r="F5" s="5" t="e">
        <f t="shared" ca="1" si="2"/>
        <v>#NAME?</v>
      </c>
      <c r="G5" s="5" t="e">
        <f t="shared" ca="1" si="2"/>
        <v>#NAME?</v>
      </c>
      <c r="H5" s="5" t="e">
        <f t="shared" ca="1" si="2"/>
        <v>#NAME?</v>
      </c>
      <c r="I5" s="5" t="e">
        <f t="shared" ca="1" si="2"/>
        <v>#NAME?</v>
      </c>
      <c r="J5" s="5" t="e">
        <f t="shared" ca="1" si="2"/>
        <v>#NAME?</v>
      </c>
      <c r="K5" s="5" t="e">
        <f t="shared" ca="1" si="2"/>
        <v>#NAME?</v>
      </c>
      <c r="L5" s="5" t="e">
        <f t="shared" ca="1" si="2"/>
        <v>#NAME?</v>
      </c>
      <c r="M5" s="5" t="e">
        <f t="shared" ca="1" si="2"/>
        <v>#NAME?</v>
      </c>
      <c r="N5" s="5" t="e">
        <f t="shared" ca="1" si="2"/>
        <v>#NAME?</v>
      </c>
      <c r="O5" s="5" t="e">
        <f t="shared" ca="1" si="2"/>
        <v>#NAME?</v>
      </c>
      <c r="P5" s="5" t="e">
        <f t="shared" ca="1" si="2"/>
        <v>#NAME?</v>
      </c>
      <c r="Q5" s="5" t="e">
        <f t="shared" ca="1" si="2"/>
        <v>#NAME?</v>
      </c>
      <c r="R5" s="5" t="e">
        <f t="shared" ca="1" si="2"/>
        <v>#NAME?</v>
      </c>
      <c r="S5" s="5" t="e">
        <f t="shared" ca="1" si="2"/>
        <v>#NAME?</v>
      </c>
      <c r="T5" s="5" t="e">
        <f t="shared" ca="1" si="2"/>
        <v>#NAME?</v>
      </c>
      <c r="U5" s="5" t="e">
        <f t="shared" ca="1" si="2"/>
        <v>#NAME?</v>
      </c>
      <c r="V5" s="5" t="e">
        <f t="shared" ca="1" si="2"/>
        <v>#NAME?</v>
      </c>
      <c r="W5" s="5" t="e">
        <f t="shared" ca="1" si="2"/>
        <v>#NAME?</v>
      </c>
      <c r="X5" s="5" t="e">
        <f t="shared" ca="1" si="2"/>
        <v>#NAME?</v>
      </c>
      <c r="Y5" s="5" t="e">
        <f t="shared" ca="1" si="2"/>
        <v>#NAME?</v>
      </c>
      <c r="Z5" s="5" t="e">
        <f t="shared" ca="1" si="2"/>
        <v>#NAME?</v>
      </c>
      <c r="AA5" s="5" t="e">
        <f t="shared" ca="1" si="2"/>
        <v>#NAME?</v>
      </c>
      <c r="AB5" s="5" t="e">
        <f t="shared" ca="1" si="2"/>
        <v>#NAME?</v>
      </c>
      <c r="AC5" s="5" t="e">
        <f t="shared" ca="1" si="2"/>
        <v>#NAME?</v>
      </c>
      <c r="AD5" s="5" t="e">
        <f t="shared" ca="1" si="2"/>
        <v>#NAME?</v>
      </c>
      <c r="AE5" s="5" t="e">
        <f t="shared" ca="1" si="2"/>
        <v>#NAME?</v>
      </c>
      <c r="AF5" s="5"/>
      <c r="AG5" s="5"/>
      <c r="AH5" s="5"/>
      <c r="AI5" s="5"/>
      <c r="AJ5" s="5"/>
      <c r="AK5" s="5"/>
      <c r="AL5" s="5"/>
      <c r="AM5" s="5"/>
      <c r="AN5" s="5"/>
      <c r="AO5" s="5"/>
      <c r="AP5" s="5"/>
      <c r="AQ5" s="5"/>
      <c r="AR5" s="5"/>
      <c r="AS5" s="5"/>
      <c r="AT5" s="5"/>
      <c r="AU5" s="5"/>
    </row>
    <row r="6" spans="1:47" ht="15.75" customHeight="1">
      <c r="A6" s="10" t="str">
        <f t="array" ref="A6:AE6">'Alokasi Honor'!A1:AU1</f>
        <v>id_sobat</v>
      </c>
      <c r="B6" s="10" t="str">
        <v>id_kegiatan</v>
      </c>
      <c r="C6" s="10" t="str">
        <v>belum_ada</v>
      </c>
      <c r="D6" s="10" t="str">
        <v>bisa_ikut</v>
      </c>
      <c r="E6" s="10" t="str">
        <v>nama_petugas</v>
      </c>
      <c r="F6" s="10" t="str">
        <v>jabatan</v>
      </c>
      <c r="G6" s="10" t="str">
        <v>nik</v>
      </c>
      <c r="H6" s="10" t="str">
        <v>jenis_honor</v>
      </c>
      <c r="I6" s="10" t="str">
        <v>id_honor</v>
      </c>
      <c r="J6" s="10" t="str">
        <v>satuan_honor</v>
      </c>
      <c r="K6" s="66" t="str">
        <v>honor_per_satuan_honor</v>
      </c>
      <c r="L6" s="10" t="str">
        <v>target_per_satuan_honor</v>
      </c>
      <c r="M6" s="10" t="str">
        <v>target_honor</v>
      </c>
      <c r="N6" s="70" t="str">
        <v>honor_bersih</v>
      </c>
      <c r="O6" s="67" t="str">
        <v>tanggal_akhir_kegiatan</v>
      </c>
      <c r="P6" s="10" t="str">
        <v>tahun_akhir_kegiatan</v>
      </c>
      <c r="Q6" s="10" t="str">
        <v>bulan_akhir_kegiatan</v>
      </c>
      <c r="R6" s="10" t="str">
        <v>id_batasan_honor</v>
      </c>
      <c r="S6" s="10" t="str">
        <v>id_alokasi_waktu_honor</v>
      </c>
      <c r="T6" s="10" t="str">
        <v>id_alokasi_waktu_batasan_honor</v>
      </c>
      <c r="U6" s="10" t="str">
        <v>sudah_dibayarkan</v>
      </c>
      <c r="V6" s="10" t="str">
        <v>sisa_hari_hingga_batas_pencairan</v>
      </c>
      <c r="W6" s="67" t="str">
        <v>tanggal_pencairan</v>
      </c>
      <c r="X6" s="10" t="str">
        <v>nama_kegiatan</v>
      </c>
      <c r="Y6" s="10" t="str">
        <v>kecamatan_domisili</v>
      </c>
      <c r="Z6" s="10" t="str">
        <v>desa_domisili</v>
      </c>
      <c r="AA6" s="67" t="str">
        <v>tanggal_penanda_tanganan_spk_oleh_petugas</v>
      </c>
      <c r="AB6" s="67" t="str">
        <v>tanggal_mulai_perjanjian</v>
      </c>
      <c r="AC6" s="67" t="str">
        <v>tanggal_akhir_perjanjian</v>
      </c>
      <c r="AD6" s="67" t="str">
        <v>tanggal_terima_hasil_pekerjaan_paling_lambat</v>
      </c>
      <c r="AE6" s="67" t="str">
        <v>tambahan_waktu_tanggal_terima_hasil_pekerjaan_paling_lambat</v>
      </c>
    </row>
    <row r="8" spans="1:47" ht="15.75" customHeight="1">
      <c r="A8" s="5" t="e">
        <f ca="1">CONCATENATE("[",A11:AU11,"]")</f>
        <v>#NAME?</v>
      </c>
    </row>
    <row r="9" spans="1:47" ht="15.75" customHeight="1">
      <c r="A9" s="5" t="e">
        <f ca="1">CONCATENATE("",A10:AU10,",")</f>
        <v>#NAME?</v>
      </c>
    </row>
    <row r="10" spans="1:47" ht="15.75" customHeight="1">
      <c r="A10" s="5" t="e">
        <f t="shared" ref="A10:AK10" ca="1" si="3">""&amp;A12&amp;","</f>
        <v>#NAME?</v>
      </c>
      <c r="B10" s="5" t="e">
        <f t="shared" ca="1" si="3"/>
        <v>#NAME?</v>
      </c>
      <c r="C10" s="5" t="e">
        <f t="shared" ca="1" si="3"/>
        <v>#NAME?</v>
      </c>
      <c r="D10" s="5" t="e">
        <f t="shared" ca="1" si="3"/>
        <v>#NAME?</v>
      </c>
      <c r="E10" s="5" t="e">
        <f t="shared" ca="1" si="3"/>
        <v>#NAME?</v>
      </c>
      <c r="F10" s="5" t="e">
        <f t="shared" ca="1" si="3"/>
        <v>#NAME?</v>
      </c>
      <c r="G10" s="5" t="e">
        <f t="shared" ca="1" si="3"/>
        <v>#NAME?</v>
      </c>
      <c r="H10" s="5" t="e">
        <f t="shared" ca="1" si="3"/>
        <v>#NAME?</v>
      </c>
      <c r="I10" s="5" t="e">
        <f t="shared" ca="1" si="3"/>
        <v>#NAME?</v>
      </c>
      <c r="J10" s="5" t="e">
        <f t="shared" ca="1" si="3"/>
        <v>#NAME?</v>
      </c>
      <c r="K10" s="5" t="e">
        <f t="shared" ca="1" si="3"/>
        <v>#NAME?</v>
      </c>
      <c r="L10" s="5" t="e">
        <f t="shared" ca="1" si="3"/>
        <v>#NAME?</v>
      </c>
      <c r="M10" s="5" t="e">
        <f t="shared" ca="1" si="3"/>
        <v>#NAME?</v>
      </c>
      <c r="N10" s="5" t="e">
        <f t="shared" ca="1" si="3"/>
        <v>#NAME?</v>
      </c>
      <c r="O10" s="5" t="e">
        <f t="shared" ca="1" si="3"/>
        <v>#NAME?</v>
      </c>
      <c r="P10" s="5" t="e">
        <f t="shared" ca="1" si="3"/>
        <v>#NAME?</v>
      </c>
      <c r="Q10" s="5" t="e">
        <f t="shared" ca="1" si="3"/>
        <v>#NAME?</v>
      </c>
      <c r="R10" s="5" t="e">
        <f t="shared" ca="1" si="3"/>
        <v>#NAME?</v>
      </c>
      <c r="S10" s="5" t="e">
        <f t="shared" ca="1" si="3"/>
        <v>#NAME?</v>
      </c>
      <c r="T10" s="5" t="e">
        <f t="shared" ca="1" si="3"/>
        <v>#NAME?</v>
      </c>
      <c r="U10" s="5" t="e">
        <f t="shared" ca="1" si="3"/>
        <v>#NAME?</v>
      </c>
      <c r="V10" s="5" t="e">
        <f t="shared" ca="1" si="3"/>
        <v>#NAME?</v>
      </c>
      <c r="W10" s="5" t="e">
        <f t="shared" ca="1" si="3"/>
        <v>#NAME?</v>
      </c>
      <c r="X10" s="5" t="e">
        <f t="shared" ca="1" si="3"/>
        <v>#NAME?</v>
      </c>
      <c r="Y10" s="5" t="e">
        <f t="shared" ca="1" si="3"/>
        <v>#NAME?</v>
      </c>
      <c r="Z10" s="5" t="e">
        <f t="shared" ca="1" si="3"/>
        <v>#NAME?</v>
      </c>
      <c r="AA10" s="5" t="e">
        <f t="shared" ca="1" si="3"/>
        <v>#NAME?</v>
      </c>
      <c r="AB10" s="5" t="e">
        <f t="shared" ca="1" si="3"/>
        <v>#NAME?</v>
      </c>
      <c r="AC10" s="5" t="e">
        <f t="shared" ca="1" si="3"/>
        <v>#NAME?</v>
      </c>
      <c r="AD10" s="5" t="e">
        <f t="shared" ca="1" si="3"/>
        <v>#NAME?</v>
      </c>
      <c r="AE10" s="5" t="e">
        <f t="shared" ca="1" si="3"/>
        <v>#NAME?</v>
      </c>
      <c r="AF10" s="5" t="e">
        <f t="shared" ca="1" si="3"/>
        <v>#NAME?</v>
      </c>
      <c r="AG10" s="5" t="e">
        <f t="shared" ca="1" si="3"/>
        <v>#NAME?</v>
      </c>
      <c r="AH10" s="5" t="e">
        <f t="shared" ca="1" si="3"/>
        <v>#NAME?</v>
      </c>
      <c r="AI10" s="5" t="e">
        <f t="shared" ca="1" si="3"/>
        <v>#NAME?</v>
      </c>
      <c r="AJ10" s="5" t="e">
        <f t="shared" ca="1" si="3"/>
        <v>#NAME?</v>
      </c>
      <c r="AK10" s="5" t="e">
        <f t="shared" ca="1" si="3"/>
        <v>#NAME?</v>
      </c>
    </row>
    <row r="11" spans="1:47" ht="15.75" customHeight="1">
      <c r="A11" s="5" t="e">
        <f t="shared" ref="A11:AK11" ca="1" si="4">"'"&amp;A12&amp;"',"</f>
        <v>#NAME?</v>
      </c>
      <c r="B11" s="5" t="e">
        <f t="shared" ca="1" si="4"/>
        <v>#NAME?</v>
      </c>
      <c r="C11" s="5" t="e">
        <f t="shared" ca="1" si="4"/>
        <v>#NAME?</v>
      </c>
      <c r="D11" s="5" t="e">
        <f t="shared" ca="1" si="4"/>
        <v>#NAME?</v>
      </c>
      <c r="E11" s="5" t="e">
        <f t="shared" ca="1" si="4"/>
        <v>#NAME?</v>
      </c>
      <c r="F11" s="5" t="e">
        <f t="shared" ca="1" si="4"/>
        <v>#NAME?</v>
      </c>
      <c r="G11" s="5" t="e">
        <f t="shared" ca="1" si="4"/>
        <v>#NAME?</v>
      </c>
      <c r="H11" s="5" t="e">
        <f t="shared" ca="1" si="4"/>
        <v>#NAME?</v>
      </c>
      <c r="I11" s="5" t="e">
        <f t="shared" ca="1" si="4"/>
        <v>#NAME?</v>
      </c>
      <c r="J11" s="5" t="e">
        <f t="shared" ca="1" si="4"/>
        <v>#NAME?</v>
      </c>
      <c r="K11" s="5" t="e">
        <f t="shared" ca="1" si="4"/>
        <v>#NAME?</v>
      </c>
      <c r="L11" s="5" t="e">
        <f t="shared" ca="1" si="4"/>
        <v>#NAME?</v>
      </c>
      <c r="M11" s="5" t="e">
        <f t="shared" ca="1" si="4"/>
        <v>#NAME?</v>
      </c>
      <c r="N11" s="5" t="e">
        <f t="shared" ca="1" si="4"/>
        <v>#NAME?</v>
      </c>
      <c r="O11" s="5" t="e">
        <f t="shared" ca="1" si="4"/>
        <v>#NAME?</v>
      </c>
      <c r="P11" s="5" t="e">
        <f t="shared" ca="1" si="4"/>
        <v>#NAME?</v>
      </c>
      <c r="Q11" s="5" t="e">
        <f t="shared" ca="1" si="4"/>
        <v>#NAME?</v>
      </c>
      <c r="R11" s="5" t="e">
        <f t="shared" ca="1" si="4"/>
        <v>#NAME?</v>
      </c>
      <c r="S11" s="5" t="e">
        <f t="shared" ca="1" si="4"/>
        <v>#NAME?</v>
      </c>
      <c r="T11" s="5" t="e">
        <f t="shared" ca="1" si="4"/>
        <v>#NAME?</v>
      </c>
      <c r="U11" s="5" t="e">
        <f t="shared" ca="1" si="4"/>
        <v>#NAME?</v>
      </c>
      <c r="V11" s="5" t="e">
        <f t="shared" ca="1" si="4"/>
        <v>#NAME?</v>
      </c>
      <c r="W11" s="5" t="e">
        <f t="shared" ca="1" si="4"/>
        <v>#NAME?</v>
      </c>
      <c r="X11" s="5" t="e">
        <f t="shared" ca="1" si="4"/>
        <v>#NAME?</v>
      </c>
      <c r="Y11" s="5" t="e">
        <f t="shared" ca="1" si="4"/>
        <v>#NAME?</v>
      </c>
      <c r="Z11" s="5" t="e">
        <f t="shared" ca="1" si="4"/>
        <v>#NAME?</v>
      </c>
      <c r="AA11" s="5" t="e">
        <f t="shared" ca="1" si="4"/>
        <v>#NAME?</v>
      </c>
      <c r="AB11" s="5" t="e">
        <f t="shared" ca="1" si="4"/>
        <v>#NAME?</v>
      </c>
      <c r="AC11" s="5" t="e">
        <f t="shared" ca="1" si="4"/>
        <v>#NAME?</v>
      </c>
      <c r="AD11" s="5" t="e">
        <f t="shared" ca="1" si="4"/>
        <v>#NAME?</v>
      </c>
      <c r="AE11" s="5" t="e">
        <f t="shared" ca="1" si="4"/>
        <v>#NAME?</v>
      </c>
      <c r="AF11" s="5" t="e">
        <f t="shared" ca="1" si="4"/>
        <v>#NAME?</v>
      </c>
      <c r="AG11" s="5" t="e">
        <f t="shared" ca="1" si="4"/>
        <v>#NAME?</v>
      </c>
      <c r="AH11" s="5" t="e">
        <f t="shared" ca="1" si="4"/>
        <v>#NAME?</v>
      </c>
      <c r="AI11" s="5" t="e">
        <f t="shared" ca="1" si="4"/>
        <v>#NAME?</v>
      </c>
      <c r="AJ11" s="5" t="e">
        <f t="shared" ca="1" si="4"/>
        <v>#NAME?</v>
      </c>
      <c r="AK11" s="5" t="e">
        <f t="shared" ca="1" si="4"/>
        <v>#NAME?</v>
      </c>
    </row>
    <row r="12" spans="1:47" ht="15.75" customHeight="1">
      <c r="A12" s="5" t="e">
        <f t="shared" ref="A12:AK12" ca="1" si="5">snake_case_string(A13)</f>
        <v>#NAME?</v>
      </c>
      <c r="B12" s="5" t="e">
        <f t="shared" ca="1" si="5"/>
        <v>#NAME?</v>
      </c>
      <c r="C12" s="5" t="e">
        <f t="shared" ca="1" si="5"/>
        <v>#NAME?</v>
      </c>
      <c r="D12" s="5" t="e">
        <f t="shared" ca="1" si="5"/>
        <v>#NAME?</v>
      </c>
      <c r="E12" s="5" t="e">
        <f t="shared" ca="1" si="5"/>
        <v>#NAME?</v>
      </c>
      <c r="F12" s="5" t="e">
        <f t="shared" ca="1" si="5"/>
        <v>#NAME?</v>
      </c>
      <c r="G12" s="5" t="e">
        <f t="shared" ca="1" si="5"/>
        <v>#NAME?</v>
      </c>
      <c r="H12" s="5" t="e">
        <f t="shared" ca="1" si="5"/>
        <v>#NAME?</v>
      </c>
      <c r="I12" s="5" t="e">
        <f t="shared" ca="1" si="5"/>
        <v>#NAME?</v>
      </c>
      <c r="J12" s="5" t="e">
        <f t="shared" ca="1" si="5"/>
        <v>#NAME?</v>
      </c>
      <c r="K12" s="5" t="e">
        <f t="shared" ca="1" si="5"/>
        <v>#NAME?</v>
      </c>
      <c r="L12" s="5" t="e">
        <f t="shared" ca="1" si="5"/>
        <v>#NAME?</v>
      </c>
      <c r="M12" s="5" t="e">
        <f t="shared" ca="1" si="5"/>
        <v>#NAME?</v>
      </c>
      <c r="N12" s="5" t="e">
        <f t="shared" ca="1" si="5"/>
        <v>#NAME?</v>
      </c>
      <c r="O12" s="5" t="e">
        <f t="shared" ca="1" si="5"/>
        <v>#NAME?</v>
      </c>
      <c r="P12" s="5" t="e">
        <f t="shared" ca="1" si="5"/>
        <v>#NAME?</v>
      </c>
      <c r="Q12" s="5" t="e">
        <f t="shared" ca="1" si="5"/>
        <v>#NAME?</v>
      </c>
      <c r="R12" s="5" t="e">
        <f t="shared" ca="1" si="5"/>
        <v>#NAME?</v>
      </c>
      <c r="S12" s="5" t="e">
        <f t="shared" ca="1" si="5"/>
        <v>#NAME?</v>
      </c>
      <c r="T12" s="5" t="e">
        <f t="shared" ca="1" si="5"/>
        <v>#NAME?</v>
      </c>
      <c r="U12" s="5" t="e">
        <f t="shared" ca="1" si="5"/>
        <v>#NAME?</v>
      </c>
      <c r="V12" s="5" t="e">
        <f t="shared" ca="1" si="5"/>
        <v>#NAME?</v>
      </c>
      <c r="W12" s="5" t="e">
        <f t="shared" ca="1" si="5"/>
        <v>#NAME?</v>
      </c>
      <c r="X12" s="5" t="e">
        <f t="shared" ca="1" si="5"/>
        <v>#NAME?</v>
      </c>
      <c r="Y12" s="5" t="e">
        <f t="shared" ca="1" si="5"/>
        <v>#NAME?</v>
      </c>
      <c r="Z12" s="5" t="e">
        <f t="shared" ca="1" si="5"/>
        <v>#NAME?</v>
      </c>
      <c r="AA12" s="5" t="e">
        <f t="shared" ca="1" si="5"/>
        <v>#NAME?</v>
      </c>
      <c r="AB12" s="5" t="e">
        <f t="shared" ca="1" si="5"/>
        <v>#NAME?</v>
      </c>
      <c r="AC12" s="5" t="e">
        <f t="shared" ca="1" si="5"/>
        <v>#NAME?</v>
      </c>
      <c r="AD12" s="5" t="e">
        <f t="shared" ca="1" si="5"/>
        <v>#NAME?</v>
      </c>
      <c r="AE12" s="5" t="e">
        <f t="shared" ca="1" si="5"/>
        <v>#NAME?</v>
      </c>
      <c r="AF12" s="5" t="e">
        <f t="shared" ca="1" si="5"/>
        <v>#NAME?</v>
      </c>
      <c r="AG12" s="5" t="e">
        <f t="shared" ca="1" si="5"/>
        <v>#NAME?</v>
      </c>
      <c r="AH12" s="5" t="e">
        <f t="shared" ca="1" si="5"/>
        <v>#NAME?</v>
      </c>
      <c r="AI12" s="5" t="e">
        <f t="shared" ca="1" si="5"/>
        <v>#NAME?</v>
      </c>
      <c r="AJ12" s="5" t="e">
        <f t="shared" ca="1" si="5"/>
        <v>#NAME?</v>
      </c>
      <c r="AK12" s="5" t="e">
        <f t="shared" ca="1" si="5"/>
        <v>#NAME?</v>
      </c>
    </row>
    <row r="13" spans="1:47" ht="15.75" customHeight="1">
      <c r="A13" s="10" t="str">
        <f t="array" ref="A13:AK13">'Database Mitra'!B1:AU1</f>
        <v>ID SOBAT</v>
      </c>
      <c r="B13" s="10" t="str">
        <v>Nama_1</v>
      </c>
      <c r="C13" s="10" t="str">
        <v>Kabupaten Domisili</v>
      </c>
      <c r="D13" s="10" t="str">
        <v>Kecamatan Domisili</v>
      </c>
      <c r="E13" s="10" t="str">
        <v>Desa Domisili</v>
      </c>
      <c r="F13" s="10" t="str">
        <v>NIK</v>
      </c>
      <c r="G13" s="10" t="str">
        <v>Nama_2</v>
      </c>
      <c r="H13" s="10" t="str">
        <v>Posisi</v>
      </c>
      <c r="I13" s="10" t="str">
        <v>Status Seleksi (1=Terpilih, 2=Tidak Terpilih)</v>
      </c>
      <c r="J13" s="10" t="str">
        <v>Email</v>
      </c>
      <c r="K13" s="10" t="str">
        <v>Alamat Prov</v>
      </c>
      <c r="L13" s="10" t="str">
        <v>Alamat Kab</v>
      </c>
      <c r="M13" s="10" t="str">
        <v>Alamat Kec</v>
      </c>
      <c r="N13" s="10" t="str">
        <v>Alamat Desa</v>
      </c>
      <c r="O13" s="10" t="str">
        <v>Alamat Detail</v>
      </c>
      <c r="P13" s="10" t="str">
        <v>Domisili Sama</v>
      </c>
      <c r="Q13" s="10" t="str">
        <v>Tanggal Lahir (dd/mm/yyyy)</v>
      </c>
      <c r="R13" s="10" t="str">
        <v>NPWP</v>
      </c>
      <c r="S13" s="10" t="str">
        <v>Jenis Kelamin</v>
      </c>
      <c r="T13" s="10" t="str">
        <v>Agama</v>
      </c>
      <c r="U13" s="10" t="str">
        <v>Status Perkawinan</v>
      </c>
      <c r="V13" s="10" t="str">
        <v>Pendidikan</v>
      </c>
      <c r="W13" s="10" t="str">
        <v>Pekerjaan</v>
      </c>
      <c r="X13" s="10" t="str">
        <v>Deskripsi Pekerjaan Lain</v>
      </c>
      <c r="Y13" s="10" t="str">
        <v>No Telp</v>
      </c>
      <c r="Z13" s="10" t="str">
        <v>Mengikuti Pendataan BPS</v>
      </c>
      <c r="AA13" s="10" t="str">
        <v>SP</v>
      </c>
      <c r="AB13" s="10" t="str">
        <v>ST</v>
      </c>
      <c r="AC13" s="10" t="str">
        <v>SE</v>
      </c>
      <c r="AD13" s="10" t="str">
        <v>Susenas</v>
      </c>
      <c r="AE13" s="10" t="str">
        <v>Sakernas</v>
      </c>
      <c r="AF13" s="10" t="str">
        <v>SBH</v>
      </c>
      <c r="AG13" s="10" t="str">
        <v>Catatan</v>
      </c>
      <c r="AH13" s="10" t="str">
        <v>Posisi Daftar</v>
      </c>
      <c r="AI13" s="10" t="str">
        <v>Username</v>
      </c>
      <c r="AJ13" s="10" t="str">
        <v>SOBAT ID</v>
      </c>
      <c r="AK13" s="10" t="str">
        <v>ID Desa</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outlinePr summaryBelow="0" summaryRight="0"/>
  </sheetPr>
  <dimension ref="A1:AE801"/>
  <sheetViews>
    <sheetView workbookViewId="0"/>
  </sheetViews>
  <sheetFormatPr defaultColWidth="12.6328125" defaultRowHeight="15.75" customHeight="1"/>
  <cols>
    <col min="2" max="2" width="34.90625" customWidth="1"/>
    <col min="7" max="7" width="23.08984375" customWidth="1"/>
    <col min="8" max="8" width="22.7265625" customWidth="1"/>
    <col min="9" max="9" width="59.90625" customWidth="1"/>
    <col min="11" max="11" width="25.36328125" customWidth="1"/>
    <col min="18" max="18" width="18.08984375" customWidth="1"/>
    <col min="19" max="19" width="45.08984375" customWidth="1"/>
    <col min="20" max="20" width="29.26953125" customWidth="1"/>
    <col min="21" max="21" width="29.453125" customWidth="1"/>
    <col min="27" max="27" width="37.08984375" customWidth="1"/>
    <col min="29" max="29" width="50.7265625" customWidth="1"/>
    <col min="30" max="30" width="45.7265625" customWidth="1"/>
    <col min="31" max="31" width="40.36328125" customWidth="1"/>
  </cols>
  <sheetData>
    <row r="1" spans="1:31" ht="15.75" customHeight="1">
      <c r="A1" s="5" t="e">
        <f t="shared" ref="A1:AE1" ca="1" si="0">snake_case_string(A2)</f>
        <v>#NAME?</v>
      </c>
      <c r="B1" s="5" t="e">
        <f t="shared" ca="1" si="0"/>
        <v>#NAME?</v>
      </c>
      <c r="C1" s="5" t="e">
        <f t="shared" ca="1" si="0"/>
        <v>#NAME?</v>
      </c>
      <c r="D1" s="5" t="e">
        <f t="shared" ca="1" si="0"/>
        <v>#NAME?</v>
      </c>
      <c r="E1" s="5" t="e">
        <f t="shared" ca="1" si="0"/>
        <v>#NAME?</v>
      </c>
      <c r="F1" s="5" t="e">
        <f t="shared" ca="1" si="0"/>
        <v>#NAME?</v>
      </c>
      <c r="G1" s="5" t="e">
        <f t="shared" ca="1" si="0"/>
        <v>#NAME?</v>
      </c>
      <c r="H1" s="5" t="e">
        <f t="shared" ca="1" si="0"/>
        <v>#NAME?</v>
      </c>
      <c r="I1" s="5" t="e">
        <f t="shared" ca="1" si="0"/>
        <v>#NAME?</v>
      </c>
      <c r="J1" s="5" t="e">
        <f t="shared" ca="1" si="0"/>
        <v>#NAME?</v>
      </c>
      <c r="K1" s="5" t="e">
        <f t="shared" ca="1" si="0"/>
        <v>#NAME?</v>
      </c>
      <c r="L1" s="5" t="e">
        <f t="shared" ca="1" si="0"/>
        <v>#NAME?</v>
      </c>
      <c r="M1" s="5" t="e">
        <f t="shared" ca="1" si="0"/>
        <v>#NAME?</v>
      </c>
      <c r="N1" s="5" t="e">
        <f t="shared" ca="1" si="0"/>
        <v>#NAME?</v>
      </c>
      <c r="O1" s="5" t="e">
        <f t="shared" ca="1" si="0"/>
        <v>#NAME?</v>
      </c>
      <c r="P1" s="5" t="e">
        <f t="shared" ca="1" si="0"/>
        <v>#NAME?</v>
      </c>
      <c r="Q1" s="5" t="e">
        <f t="shared" ca="1" si="0"/>
        <v>#NAME?</v>
      </c>
      <c r="R1" s="5" t="e">
        <f t="shared" ca="1" si="0"/>
        <v>#NAME?</v>
      </c>
      <c r="S1" s="5" t="e">
        <f t="shared" ca="1" si="0"/>
        <v>#NAME?</v>
      </c>
      <c r="T1" s="5" t="e">
        <f t="shared" ca="1" si="0"/>
        <v>#NAME?</v>
      </c>
      <c r="U1" s="5" t="e">
        <f t="shared" ca="1" si="0"/>
        <v>#NAME?</v>
      </c>
      <c r="V1" s="5" t="e">
        <f t="shared" ca="1" si="0"/>
        <v>#NAME?</v>
      </c>
      <c r="W1" s="5" t="e">
        <f t="shared" ca="1" si="0"/>
        <v>#NAME?</v>
      </c>
      <c r="X1" s="5" t="e">
        <f t="shared" ca="1" si="0"/>
        <v>#NAME?</v>
      </c>
      <c r="Y1" s="5" t="e">
        <f t="shared" ca="1" si="0"/>
        <v>#NAME?</v>
      </c>
      <c r="Z1" s="5" t="e">
        <f t="shared" ca="1" si="0"/>
        <v>#NAME?</v>
      </c>
      <c r="AA1" s="5" t="e">
        <f t="shared" ca="1" si="0"/>
        <v>#NAME?</v>
      </c>
      <c r="AB1" s="5" t="e">
        <f t="shared" ca="1" si="0"/>
        <v>#NAME?</v>
      </c>
      <c r="AC1" s="5" t="e">
        <f t="shared" ca="1" si="0"/>
        <v>#NAME?</v>
      </c>
      <c r="AD1" s="5" t="e">
        <f t="shared" ca="1" si="0"/>
        <v>#NAME?</v>
      </c>
      <c r="AE1" s="5" t="e">
        <f t="shared" ca="1" si="0"/>
        <v>#NAME?</v>
      </c>
    </row>
    <row r="2" spans="1:31" ht="15.75" customHeight="1">
      <c r="A2" s="10" t="str">
        <f t="array" ref="A2:AE801">'Alokasi Honor'!A1:AE1000</f>
        <v>id_sobat</v>
      </c>
      <c r="B2" s="10" t="str">
        <v>id_kegiatan</v>
      </c>
      <c r="C2" s="10" t="str">
        <v>belum_ada</v>
      </c>
      <c r="D2" s="10" t="str">
        <v>bisa_ikut</v>
      </c>
      <c r="E2" s="10" t="str">
        <v>nama_petugas</v>
      </c>
      <c r="F2" s="10" t="str">
        <v>jabatan</v>
      </c>
      <c r="G2" s="10" t="str">
        <v>nik</v>
      </c>
      <c r="H2" s="10" t="str">
        <v>jenis_honor</v>
      </c>
      <c r="I2" s="10" t="str">
        <v>id_honor</v>
      </c>
      <c r="J2" s="10" t="str">
        <v>satuan_honor</v>
      </c>
      <c r="K2" s="66" t="str">
        <v>honor_per_satuan_honor</v>
      </c>
      <c r="L2" s="10" t="str">
        <v>target_per_satuan_honor</v>
      </c>
      <c r="M2" s="10" t="str">
        <v>target_honor</v>
      </c>
      <c r="N2" s="70" t="str">
        <v>honor_bersih</v>
      </c>
      <c r="O2" s="67" t="str">
        <v>tanggal_akhir_kegiatan</v>
      </c>
      <c r="P2" s="10" t="str">
        <v>tahun_akhir_kegiatan</v>
      </c>
      <c r="Q2" s="10" t="str">
        <v>bulan_akhir_kegiatan</v>
      </c>
      <c r="R2" s="10" t="str">
        <v>id_batasan_honor</v>
      </c>
      <c r="S2" s="10" t="str">
        <v>id_alokasi_waktu_honor</v>
      </c>
      <c r="T2" s="10" t="str">
        <v>id_alokasi_waktu_batasan_honor</v>
      </c>
      <c r="U2" s="10" t="str">
        <v>sudah_dibayarkan</v>
      </c>
      <c r="V2" s="10" t="str">
        <v>sisa_hari_hingga_batas_pencairan</v>
      </c>
      <c r="W2" s="67" t="str">
        <v>tanggal_pencairan</v>
      </c>
      <c r="X2" s="10" t="str">
        <v>nama_kegiatan</v>
      </c>
      <c r="Y2" s="10" t="str">
        <v>kecamatan_domisili</v>
      </c>
      <c r="Z2" s="10" t="str">
        <v>desa_domisili</v>
      </c>
      <c r="AA2" s="67" t="str">
        <v>tanggal_penanda_tanganan_spk_oleh_petugas</v>
      </c>
      <c r="AB2" s="67" t="str">
        <v>tanggal_mulai_perjanjian</v>
      </c>
      <c r="AC2" s="67" t="str">
        <v>tanggal_akhir_perjanjian</v>
      </c>
      <c r="AD2" s="67" t="str">
        <v>tanggal_terima_hasil_pekerjaan_paling_lambat</v>
      </c>
      <c r="AE2" s="67" t="str">
        <v>tambahan_waktu_tanggal_terima_hasil_pekerjaan_paling_lambat</v>
      </c>
    </row>
    <row r="3" spans="1:31" ht="15.75" customHeight="1">
      <c r="A3" s="10">
        <v>610422030002</v>
      </c>
      <c r="B3" s="10" t="str">
        <v>SHPB24-LAPANGAN-JANUARI</v>
      </c>
      <c r="C3" s="10">
        <v>0</v>
      </c>
      <c r="D3" s="10">
        <f ca="1"/>
        <v>1</v>
      </c>
      <c r="E3" s="10" t="str">
        <v>Deti Erni Widiastuti</v>
      </c>
      <c r="F3" s="10" t="str">
        <v>PPL</v>
      </c>
      <c r="G3" s="10" t="str">
        <v>6102016712860001</v>
      </c>
      <c r="H3" s="10" t="str">
        <v>PENDATAAN</v>
      </c>
      <c r="I3" s="10" t="str">
        <v>SHPB24-LAPANGAN-JANUARI-PPL-PENDATAAN</v>
      </c>
      <c r="J3" s="10" t="str">
        <v>Dokumen</v>
      </c>
      <c r="K3" s="66">
        <v>50000</v>
      </c>
      <c r="L3" s="10">
        <v>15</v>
      </c>
      <c r="M3" s="10">
        <v>750000</v>
      </c>
      <c r="N3" s="10">
        <v>0</v>
      </c>
      <c r="O3" s="67">
        <v>45311</v>
      </c>
      <c r="P3" s="10">
        <v>2024</v>
      </c>
      <c r="Q3" s="10">
        <v>1</v>
      </c>
      <c r="R3" s="10" t="str">
        <v>SURVEI-PPL</v>
      </c>
      <c r="S3" s="10" t="str">
        <v>610422030002-2024-1</v>
      </c>
      <c r="T3" s="10" t="str">
        <v>610422030002-2024-1-SURVEI-PPL</v>
      </c>
      <c r="U3" s="10">
        <v>1</v>
      </c>
      <c r="V3" s="10" t="e">
        <f ca="1"/>
        <v>#NAME?</v>
      </c>
      <c r="W3" s="67">
        <v>45347</v>
      </c>
      <c r="X3" s="11" t="str">
        <v>Survei Harga Perdagangan Besar (SHPB24) Januari</v>
      </c>
      <c r="Y3" s="11" t="str">
        <v>SEGEDONG</v>
      </c>
      <c r="Z3" s="11" t="str">
        <v>PENITI DALAM I</v>
      </c>
      <c r="AA3" s="67">
        <v>45291</v>
      </c>
      <c r="AB3" s="67">
        <v>45292</v>
      </c>
      <c r="AC3" s="67">
        <v>45322</v>
      </c>
      <c r="AD3" s="67">
        <v>45321</v>
      </c>
      <c r="AE3" s="67">
        <v>45322</v>
      </c>
    </row>
    <row r="4" spans="1:31" ht="15.75" customHeight="1">
      <c r="A4" s="10">
        <v>610422100244</v>
      </c>
      <c r="B4" s="10" t="str">
        <v>HPG24-LAPANGAN-JANUARI</v>
      </c>
      <c r="C4" s="10">
        <v>0</v>
      </c>
      <c r="D4" s="10">
        <f ca="1"/>
        <v>1</v>
      </c>
      <c r="E4" s="10" t="str">
        <v>Sugianto</v>
      </c>
      <c r="F4" s="10" t="str">
        <v>PPL</v>
      </c>
      <c r="G4" s="10" t="str">
        <v>6102171003900002</v>
      </c>
      <c r="H4" s="10" t="str">
        <v>PENDATAAN</v>
      </c>
      <c r="I4" s="10" t="str">
        <v>HPG24-LAPANGAN-JANUARI-PPL-PENDATAAN</v>
      </c>
      <c r="J4" s="10" t="str">
        <v>Dokumen</v>
      </c>
      <c r="K4" s="66">
        <v>50000</v>
      </c>
      <c r="L4" s="10">
        <v>1</v>
      </c>
      <c r="M4" s="10">
        <v>50000</v>
      </c>
      <c r="N4" s="10">
        <v>0</v>
      </c>
      <c r="O4" s="67">
        <v>45311</v>
      </c>
      <c r="P4" s="10">
        <v>2024</v>
      </c>
      <c r="Q4" s="10">
        <v>1</v>
      </c>
      <c r="R4" s="10" t="str">
        <v>SURVEI-PPL</v>
      </c>
      <c r="S4" s="10" t="str">
        <v>610422100244-2024-1</v>
      </c>
      <c r="T4" s="10" t="str">
        <v>610422100244-2024-1-SURVEI-PPL</v>
      </c>
      <c r="U4" s="10">
        <v>1</v>
      </c>
      <c r="V4" s="10" t="e">
        <f ca="1"/>
        <v>#NAME?</v>
      </c>
      <c r="W4" s="67">
        <v>45347</v>
      </c>
      <c r="X4" s="11" t="str">
        <v>Survei Harga Produsen Gabah (HPG24) Januari</v>
      </c>
      <c r="Y4" s="11" t="str">
        <v>SADANIANG</v>
      </c>
      <c r="Z4" s="11" t="str">
        <v>BUMBUN</v>
      </c>
      <c r="AA4" s="67">
        <v>45291</v>
      </c>
      <c r="AB4" s="67">
        <v>45292</v>
      </c>
      <c r="AC4" s="67">
        <v>45322</v>
      </c>
      <c r="AD4" s="67">
        <v>45321</v>
      </c>
      <c r="AE4" s="67">
        <v>45322</v>
      </c>
    </row>
    <row r="5" spans="1:31" ht="15.75" customHeight="1">
      <c r="A5" s="10">
        <v>610422100124</v>
      </c>
      <c r="B5" s="10" t="str">
        <v>HPG24-LAPANGAN-JANUARI</v>
      </c>
      <c r="C5" s="10">
        <v>0</v>
      </c>
      <c r="D5" s="10">
        <f ca="1"/>
        <v>1</v>
      </c>
      <c r="E5" s="10" t="str">
        <v>Prabowo</v>
      </c>
      <c r="F5" s="10" t="str">
        <v>PPL</v>
      </c>
      <c r="G5" s="10" t="str">
        <v>6171010108790015</v>
      </c>
      <c r="H5" s="10" t="str">
        <v>PENDATAAN</v>
      </c>
      <c r="I5" s="10" t="str">
        <v>HPG24-LAPANGAN-JANUARI-PPL-PENDATAAN</v>
      </c>
      <c r="J5" s="10" t="str">
        <v>Dokumen</v>
      </c>
      <c r="K5" s="66">
        <v>50000</v>
      </c>
      <c r="L5" s="10">
        <v>1</v>
      </c>
      <c r="M5" s="10">
        <v>50000</v>
      </c>
      <c r="N5" s="10">
        <v>0</v>
      </c>
      <c r="O5" s="67">
        <v>45311</v>
      </c>
      <c r="P5" s="10">
        <v>2024</v>
      </c>
      <c r="Q5" s="10">
        <v>1</v>
      </c>
      <c r="R5" s="10" t="str">
        <v>SURVEI-PPL</v>
      </c>
      <c r="S5" s="10" t="str">
        <v>610422100124-2024-1</v>
      </c>
      <c r="T5" s="10" t="str">
        <v>610422100124-2024-1-SURVEI-PPL</v>
      </c>
      <c r="U5" s="10">
        <v>1</v>
      </c>
      <c r="V5" s="10" t="e">
        <f ca="1"/>
        <v>#NAME?</v>
      </c>
      <c r="W5" s="67">
        <v>45347</v>
      </c>
      <c r="X5" s="11" t="str">
        <v>Survei Harga Produsen Gabah (HPG24) Januari</v>
      </c>
      <c r="Y5" s="11" t="str">
        <v>PONTIANAK KOTA</v>
      </c>
      <c r="Z5" s="11" t="str">
        <v>SUNGAI BANGKONG</v>
      </c>
      <c r="AA5" s="67">
        <v>45291</v>
      </c>
      <c r="AB5" s="67">
        <v>45292</v>
      </c>
      <c r="AC5" s="67">
        <v>45322</v>
      </c>
      <c r="AD5" s="67">
        <v>45321</v>
      </c>
      <c r="AE5" s="67">
        <v>45322</v>
      </c>
    </row>
    <row r="6" spans="1:31" ht="15.75" customHeight="1">
      <c r="A6" s="10">
        <v>610422020008</v>
      </c>
      <c r="B6" s="10" t="str">
        <v>SHPED24-LAPANGAN-JANUARI</v>
      </c>
      <c r="C6" s="10">
        <v>0</v>
      </c>
      <c r="D6" s="10">
        <f ca="1"/>
        <v>1</v>
      </c>
      <c r="E6" s="10" t="str">
        <v>Ilfi Nur Diana</v>
      </c>
      <c r="F6" s="10" t="str">
        <v>PPL</v>
      </c>
      <c r="G6" s="10" t="str">
        <v>6102125203970003</v>
      </c>
      <c r="H6" s="10" t="str">
        <v>PENDATAAN KONSUMEN</v>
      </c>
      <c r="I6" s="10" t="str">
        <v>SHPED24-LAPANGAN-JANUARI-PPL-PENDATAAN KONSUMEN</v>
      </c>
      <c r="J6" s="10" t="str">
        <v>Dokumen</v>
      </c>
      <c r="K6" s="66">
        <v>65000</v>
      </c>
      <c r="L6" s="10">
        <v>3</v>
      </c>
      <c r="M6" s="10">
        <v>195000</v>
      </c>
      <c r="N6" s="10">
        <v>0</v>
      </c>
      <c r="O6" s="67">
        <v>45311</v>
      </c>
      <c r="P6" s="10">
        <v>2024</v>
      </c>
      <c r="Q6" s="10">
        <v>1</v>
      </c>
      <c r="R6" s="10" t="str">
        <v>SURVEI-PPL</v>
      </c>
      <c r="S6" s="10" t="str">
        <v>610422020008-2024-1</v>
      </c>
      <c r="T6" s="10" t="str">
        <v>610422020008-2024-1-SURVEI-PPL</v>
      </c>
      <c r="U6" s="10">
        <v>1</v>
      </c>
      <c r="V6" s="10" t="e">
        <f ca="1"/>
        <v>#NAME?</v>
      </c>
      <c r="W6" s="67">
        <v>45347</v>
      </c>
      <c r="X6" s="11" t="str">
        <v>Survei Harga Perdesaan (SHPED24) Januari</v>
      </c>
      <c r="Y6" s="11" t="str">
        <v>SUNGAI KUNYIT</v>
      </c>
      <c r="Z6" s="11" t="str">
        <v>SUNGAI KUNYIT LAUT</v>
      </c>
      <c r="AA6" s="67">
        <v>45291</v>
      </c>
      <c r="AB6" s="67">
        <v>45292</v>
      </c>
      <c r="AC6" s="67">
        <v>45322</v>
      </c>
      <c r="AD6" s="67">
        <v>45321</v>
      </c>
      <c r="AE6" s="67">
        <v>45322</v>
      </c>
    </row>
    <row r="7" spans="1:31" ht="15.75" customHeight="1">
      <c r="A7" s="10">
        <v>610422050001</v>
      </c>
      <c r="B7" s="10" t="str">
        <v>SHPED24-LAPANGAN-JANUARI</v>
      </c>
      <c r="C7" s="10">
        <v>0</v>
      </c>
      <c r="D7" s="10">
        <f ca="1"/>
        <v>1</v>
      </c>
      <c r="E7" s="10" t="str">
        <v>Evi Juniarty</v>
      </c>
      <c r="F7" s="10" t="str">
        <v>PPL</v>
      </c>
      <c r="G7" s="10" t="str">
        <v>6102165101840001</v>
      </c>
      <c r="H7" s="10" t="str">
        <v>PENDATAAN KONSUMEN</v>
      </c>
      <c r="I7" s="10" t="str">
        <v>SHPED24-LAPANGAN-JANUARI-PPL-PENDATAAN KONSUMEN</v>
      </c>
      <c r="J7" s="10" t="str">
        <v>Dokumen</v>
      </c>
      <c r="K7" s="66">
        <v>65000</v>
      </c>
      <c r="L7" s="10">
        <v>3</v>
      </c>
      <c r="M7" s="10">
        <v>195000</v>
      </c>
      <c r="N7" s="10">
        <v>0</v>
      </c>
      <c r="O7" s="67">
        <v>45311</v>
      </c>
      <c r="P7" s="10">
        <v>2024</v>
      </c>
      <c r="Q7" s="10">
        <v>1</v>
      </c>
      <c r="R7" s="10" t="str">
        <v>SURVEI-PPL</v>
      </c>
      <c r="S7" s="10" t="str">
        <v>610422050001-2024-1</v>
      </c>
      <c r="T7" s="10" t="str">
        <v>610422050001-2024-1-SURVEI-PPL</v>
      </c>
      <c r="U7" s="10">
        <v>1</v>
      </c>
      <c r="V7" s="10" t="e">
        <f ca="1"/>
        <v>#NAME?</v>
      </c>
      <c r="W7" s="67">
        <v>45347</v>
      </c>
      <c r="X7" s="11" t="str">
        <v>Survei Harga Perdesaan (SHPED24) Januari</v>
      </c>
      <c r="Y7" s="11" t="str">
        <v>ANJONGAN</v>
      </c>
      <c r="Z7" s="11" t="str">
        <v>ANJUNGAN MELANCAR</v>
      </c>
      <c r="AA7" s="67">
        <v>45291</v>
      </c>
      <c r="AB7" s="67">
        <v>45292</v>
      </c>
      <c r="AC7" s="67">
        <v>45322</v>
      </c>
      <c r="AD7" s="67">
        <v>45321</v>
      </c>
      <c r="AE7" s="67">
        <v>45322</v>
      </c>
    </row>
    <row r="8" spans="1:31" ht="15.75" customHeight="1">
      <c r="A8" s="10">
        <v>610422040030</v>
      </c>
      <c r="B8" s="10" t="str">
        <v>SHPED24-LAPANGAN-JANUARI</v>
      </c>
      <c r="C8" s="10">
        <v>0</v>
      </c>
      <c r="D8" s="10">
        <f ca="1"/>
        <v>1</v>
      </c>
      <c r="E8" s="10" t="str">
        <v>Syarifah Desti Pratiwi</v>
      </c>
      <c r="F8" s="10" t="str">
        <v>PPL</v>
      </c>
      <c r="G8" s="10" t="str">
        <v>6102084512950002</v>
      </c>
      <c r="H8" s="10" t="str">
        <v>PENDATAAN PRODUSEN</v>
      </c>
      <c r="I8" s="10" t="str">
        <v>SHPED24-LAPANGAN-JANUARI-PPL-PENDATAAN PRODUSEN</v>
      </c>
      <c r="J8" s="10" t="str">
        <v>Dokumen</v>
      </c>
      <c r="K8" s="66">
        <v>55000</v>
      </c>
      <c r="L8" s="10">
        <v>1</v>
      </c>
      <c r="M8" s="10">
        <v>55000</v>
      </c>
      <c r="N8" s="10">
        <v>0</v>
      </c>
      <c r="O8" s="67">
        <v>45311</v>
      </c>
      <c r="P8" s="10">
        <v>2024</v>
      </c>
      <c r="Q8" s="10">
        <v>1</v>
      </c>
      <c r="R8" s="10" t="str">
        <v>SURVEI-PPL</v>
      </c>
      <c r="S8" s="10" t="str">
        <v>610422040030-2024-1</v>
      </c>
      <c r="T8" s="10" t="str">
        <v>610422040030-2024-1-SURVEI-PPL</v>
      </c>
      <c r="U8" s="10">
        <v>1</v>
      </c>
      <c r="V8" s="10" t="e">
        <f ca="1"/>
        <v>#NAME?</v>
      </c>
      <c r="W8" s="67">
        <v>45347</v>
      </c>
      <c r="X8" s="11" t="str">
        <v>Survei Harga Perdesaan (SHPED24) Januari</v>
      </c>
      <c r="Y8" s="11" t="str">
        <v>JONGKAT</v>
      </c>
      <c r="Z8" s="11" t="str">
        <v>JUNGKAT</v>
      </c>
      <c r="AA8" s="67">
        <v>45291</v>
      </c>
      <c r="AB8" s="67">
        <v>45292</v>
      </c>
      <c r="AC8" s="67">
        <v>45322</v>
      </c>
      <c r="AD8" s="67">
        <v>45321</v>
      </c>
      <c r="AE8" s="67">
        <v>45322</v>
      </c>
    </row>
    <row r="9" spans="1:31" ht="15.75" customHeight="1">
      <c r="A9" s="10">
        <v>610422100124</v>
      </c>
      <c r="B9" s="10" t="str">
        <v>SHPED24-LAPANGAN-JANUARI</v>
      </c>
      <c r="C9" s="10">
        <v>0</v>
      </c>
      <c r="D9" s="10">
        <f ca="1"/>
        <v>1</v>
      </c>
      <c r="E9" s="10" t="str">
        <v>Prabowo</v>
      </c>
      <c r="F9" s="10" t="str">
        <v>PPL</v>
      </c>
      <c r="G9" s="10" t="str">
        <v>6171010108790015</v>
      </c>
      <c r="H9" s="10" t="str">
        <v>PENDATAAN PRODUSEN</v>
      </c>
      <c r="I9" s="10" t="str">
        <v>SHPED24-LAPANGAN-JANUARI-PPL-PENDATAAN PRODUSEN</v>
      </c>
      <c r="J9" s="10" t="str">
        <v>Dokumen</v>
      </c>
      <c r="K9" s="66">
        <v>55000</v>
      </c>
      <c r="L9" s="10">
        <v>3</v>
      </c>
      <c r="M9" s="10">
        <v>165000</v>
      </c>
      <c r="N9" s="10">
        <v>0</v>
      </c>
      <c r="O9" s="67">
        <v>45311</v>
      </c>
      <c r="P9" s="10">
        <v>2024</v>
      </c>
      <c r="Q9" s="10">
        <v>1</v>
      </c>
      <c r="R9" s="10" t="str">
        <v>SURVEI-PPL</v>
      </c>
      <c r="S9" s="10" t="str">
        <v>610422100124-2024-1</v>
      </c>
      <c r="T9" s="10" t="str">
        <v>610422100124-2024-1-SURVEI-PPL</v>
      </c>
      <c r="U9" s="10">
        <v>1</v>
      </c>
      <c r="V9" s="10" t="e">
        <f ca="1"/>
        <v>#NAME?</v>
      </c>
      <c r="W9" s="67">
        <v>45347</v>
      </c>
      <c r="X9" s="11" t="str">
        <v>Survei Harga Perdesaan (SHPED24) Januari</v>
      </c>
      <c r="Y9" s="11" t="str">
        <v>PONTIANAK KOTA</v>
      </c>
      <c r="Z9" s="11" t="str">
        <v>SUNGAI BANGKONG</v>
      </c>
      <c r="AA9" s="67">
        <v>45291</v>
      </c>
      <c r="AB9" s="67">
        <v>45292</v>
      </c>
      <c r="AC9" s="67">
        <v>45322</v>
      </c>
      <c r="AD9" s="67">
        <v>45321</v>
      </c>
      <c r="AE9" s="67">
        <v>45322</v>
      </c>
    </row>
    <row r="10" spans="1:31" ht="15.75" customHeight="1">
      <c r="A10" s="10">
        <v>610422100244</v>
      </c>
      <c r="B10" s="10" t="str">
        <v>SHPED24-LAPANGAN-JANUARI</v>
      </c>
      <c r="C10" s="10">
        <v>0</v>
      </c>
      <c r="D10" s="10">
        <f ca="1"/>
        <v>1</v>
      </c>
      <c r="E10" s="10" t="str">
        <v>Sugianto</v>
      </c>
      <c r="F10" s="10" t="str">
        <v>PPL</v>
      </c>
      <c r="G10" s="10" t="str">
        <v>6102171003900002</v>
      </c>
      <c r="H10" s="10" t="str">
        <v>PENDATAAN PRODUSEN</v>
      </c>
      <c r="I10" s="10" t="str">
        <v>SHPED24-LAPANGAN-JANUARI-PPL-PENDATAAN PRODUSEN</v>
      </c>
      <c r="J10" s="10" t="str">
        <v>Dokumen</v>
      </c>
      <c r="K10" s="66">
        <v>55000</v>
      </c>
      <c r="L10" s="10">
        <v>2</v>
      </c>
      <c r="M10" s="10">
        <v>110000</v>
      </c>
      <c r="N10" s="10">
        <v>0</v>
      </c>
      <c r="O10" s="67">
        <v>45311</v>
      </c>
      <c r="P10" s="10">
        <v>2024</v>
      </c>
      <c r="Q10" s="10">
        <v>1</v>
      </c>
      <c r="R10" s="10" t="str">
        <v>SURVEI-PPL</v>
      </c>
      <c r="S10" s="10" t="str">
        <v>610422100244-2024-1</v>
      </c>
      <c r="T10" s="10" t="str">
        <v>610422100244-2024-1-SURVEI-PPL</v>
      </c>
      <c r="U10" s="10">
        <v>1</v>
      </c>
      <c r="V10" s="10" t="e">
        <f ca="1"/>
        <v>#NAME?</v>
      </c>
      <c r="W10" s="67">
        <v>45347</v>
      </c>
      <c r="X10" s="11" t="str">
        <v>Survei Harga Perdesaan (SHPED24) Januari</v>
      </c>
      <c r="Y10" s="11" t="str">
        <v>SADANIANG</v>
      </c>
      <c r="Z10" s="11" t="str">
        <v>BUMBUN</v>
      </c>
      <c r="AA10" s="67">
        <v>45291</v>
      </c>
      <c r="AB10" s="67">
        <v>45292</v>
      </c>
      <c r="AC10" s="67">
        <v>45322</v>
      </c>
      <c r="AD10" s="67">
        <v>45321</v>
      </c>
      <c r="AE10" s="67">
        <v>45322</v>
      </c>
    </row>
    <row r="11" spans="1:31" ht="15.75" customHeight="1">
      <c r="A11" s="10">
        <v>610422020016</v>
      </c>
      <c r="B11" s="10" t="str">
        <v>SHPED24-LAPANGAN-JANUARI</v>
      </c>
      <c r="C11" s="10">
        <v>0</v>
      </c>
      <c r="D11" s="10">
        <f ca="1"/>
        <v>1</v>
      </c>
      <c r="E11" s="10" t="str">
        <v>Abdul Aziz</v>
      </c>
      <c r="F11" s="10" t="str">
        <v>PPL</v>
      </c>
      <c r="G11" s="10" t="str">
        <v>6102061507950006</v>
      </c>
      <c r="H11" s="10" t="str">
        <v>PENDATAAN PRODUSEN</v>
      </c>
      <c r="I11" s="10" t="str">
        <v>SHPED24-LAPANGAN-JANUARI-PPL-PENDATAAN PRODUSEN</v>
      </c>
      <c r="J11" s="10" t="str">
        <v>Dokumen</v>
      </c>
      <c r="K11" s="66">
        <v>55000</v>
      </c>
      <c r="L11" s="10">
        <v>3</v>
      </c>
      <c r="M11" s="10">
        <v>165000</v>
      </c>
      <c r="N11" s="10">
        <v>0</v>
      </c>
      <c r="O11" s="67">
        <v>45311</v>
      </c>
      <c r="P11" s="10">
        <v>2024</v>
      </c>
      <c r="Q11" s="10">
        <v>1</v>
      </c>
      <c r="R11" s="10" t="str">
        <v>SURVEI-PPL</v>
      </c>
      <c r="S11" s="10" t="str">
        <v>610422020016-2024-1</v>
      </c>
      <c r="T11" s="10" t="str">
        <v>610422020016-2024-1-SURVEI-PPL</v>
      </c>
      <c r="U11" s="10">
        <v>1</v>
      </c>
      <c r="V11" s="10" t="e">
        <f ca="1"/>
        <v>#NAME?</v>
      </c>
      <c r="W11" s="67">
        <v>45347</v>
      </c>
      <c r="X11" s="11" t="str">
        <v>Survei Harga Perdesaan (SHPED24) Januari</v>
      </c>
      <c r="Y11" s="11" t="str">
        <v>TOHO</v>
      </c>
      <c r="Z11" s="11" t="str">
        <v>SAMBORA</v>
      </c>
      <c r="AA11" s="67">
        <v>45291</v>
      </c>
      <c r="AB11" s="67">
        <v>45292</v>
      </c>
      <c r="AC11" s="67">
        <v>45322</v>
      </c>
      <c r="AD11" s="67">
        <v>45321</v>
      </c>
      <c r="AE11" s="67">
        <v>45322</v>
      </c>
    </row>
    <row r="12" spans="1:31" ht="15.75" customHeight="1">
      <c r="A12" s="10">
        <v>610422020008</v>
      </c>
      <c r="B12" s="10" t="str">
        <v>SHPED24-LAPANGAN-JANUARI</v>
      </c>
      <c r="C12" s="10">
        <v>0</v>
      </c>
      <c r="D12" s="10">
        <f ca="1"/>
        <v>1</v>
      </c>
      <c r="E12" s="10" t="str">
        <v>Ilfi Nur Diana</v>
      </c>
      <c r="F12" s="10" t="str">
        <v>PPL</v>
      </c>
      <c r="G12" s="10" t="str">
        <v>6102125203970003</v>
      </c>
      <c r="H12" s="10" t="str">
        <v>PENDATAAN PRODUSEN</v>
      </c>
      <c r="I12" s="10" t="str">
        <v>SHPED24-LAPANGAN-JANUARI-PPL-PENDATAAN PRODUSEN</v>
      </c>
      <c r="J12" s="10" t="str">
        <v>Dokumen</v>
      </c>
      <c r="K12" s="66">
        <v>55000</v>
      </c>
      <c r="L12" s="10">
        <v>1</v>
      </c>
      <c r="M12" s="10">
        <v>55000</v>
      </c>
      <c r="N12" s="10">
        <v>0</v>
      </c>
      <c r="O12" s="67">
        <v>45311</v>
      </c>
      <c r="P12" s="10">
        <v>2024</v>
      </c>
      <c r="Q12" s="10">
        <v>1</v>
      </c>
      <c r="R12" s="10" t="str">
        <v>SURVEI-PPL</v>
      </c>
      <c r="S12" s="10" t="str">
        <v>610422020008-2024-1</v>
      </c>
      <c r="T12" s="10" t="str">
        <v>610422020008-2024-1-SURVEI-PPL</v>
      </c>
      <c r="U12" s="10">
        <v>1</v>
      </c>
      <c r="V12" s="10" t="e">
        <f ca="1"/>
        <v>#NAME?</v>
      </c>
      <c r="W12" s="67">
        <v>45347</v>
      </c>
      <c r="X12" s="11" t="str">
        <v>Survei Harga Perdesaan (SHPED24) Januari</v>
      </c>
      <c r="Y12" s="11" t="str">
        <v>SUNGAI KUNYIT</v>
      </c>
      <c r="Z12" s="11" t="str">
        <v>SUNGAI KUNYIT LAUT</v>
      </c>
      <c r="AA12" s="67">
        <v>45291</v>
      </c>
      <c r="AB12" s="67">
        <v>45292</v>
      </c>
      <c r="AC12" s="67">
        <v>45322</v>
      </c>
      <c r="AD12" s="67">
        <v>45321</v>
      </c>
      <c r="AE12" s="67">
        <v>45322</v>
      </c>
    </row>
    <row r="13" spans="1:31" ht="15.75" customHeight="1">
      <c r="A13" s="10">
        <v>610422020048</v>
      </c>
      <c r="B13" s="10" t="str">
        <v>SHPED24-LAPANGAN-JANUARI</v>
      </c>
      <c r="C13" s="10">
        <v>0</v>
      </c>
      <c r="D13" s="10">
        <f ca="1"/>
        <v>1</v>
      </c>
      <c r="E13" s="10" t="str">
        <v>Herri Gustaman</v>
      </c>
      <c r="F13" s="10" t="str">
        <v>PPL</v>
      </c>
      <c r="G13" s="10" t="str">
        <v>6102072503800001</v>
      </c>
      <c r="H13" s="10" t="str">
        <v>PENDATAAN PRODUSEN</v>
      </c>
      <c r="I13" s="10" t="str">
        <v>SHPED24-LAPANGAN-JANUARI-PPL-PENDATAAN PRODUSEN</v>
      </c>
      <c r="J13" s="10" t="str">
        <v>Dokumen</v>
      </c>
      <c r="K13" s="66">
        <v>55000</v>
      </c>
      <c r="L13" s="10">
        <v>3</v>
      </c>
      <c r="M13" s="10">
        <v>165000</v>
      </c>
      <c r="N13" s="10">
        <v>0</v>
      </c>
      <c r="O13" s="67">
        <v>45311</v>
      </c>
      <c r="P13" s="10">
        <v>2024</v>
      </c>
      <c r="Q13" s="10">
        <v>1</v>
      </c>
      <c r="R13" s="10" t="str">
        <v>SURVEI-PPL</v>
      </c>
      <c r="S13" s="10" t="str">
        <v>610422020048-2024-1</v>
      </c>
      <c r="T13" s="10" t="str">
        <v>610422020048-2024-1-SURVEI-PPL</v>
      </c>
      <c r="U13" s="10">
        <v>1</v>
      </c>
      <c r="V13" s="10" t="e">
        <f ca="1"/>
        <v>#NAME?</v>
      </c>
      <c r="W13" s="67">
        <v>45347</v>
      </c>
      <c r="X13" s="11" t="str">
        <v>Survei Harga Perdesaan (SHPED24) Januari</v>
      </c>
      <c r="Y13" s="11" t="str">
        <v>MEMPAWAH TIMUR</v>
      </c>
      <c r="Z13" s="11" t="str">
        <v>SEJEGI</v>
      </c>
      <c r="AA13" s="67">
        <v>45291</v>
      </c>
      <c r="AB13" s="67">
        <v>45292</v>
      </c>
      <c r="AC13" s="67">
        <v>45322</v>
      </c>
      <c r="AD13" s="67">
        <v>45321</v>
      </c>
      <c r="AE13" s="67">
        <v>45322</v>
      </c>
    </row>
    <row r="14" spans="1:31" ht="15.75" customHeight="1">
      <c r="A14" s="10">
        <v>610422040029</v>
      </c>
      <c r="B14" s="10" t="str">
        <v>SHPED24-LAPANGAN-JANUARI</v>
      </c>
      <c r="C14" s="10">
        <v>0</v>
      </c>
      <c r="D14" s="10">
        <f ca="1"/>
        <v>1</v>
      </c>
      <c r="E14" s="10" t="str">
        <v>Zaini</v>
      </c>
      <c r="F14" s="10" t="str">
        <v>PPL</v>
      </c>
      <c r="G14" s="10" t="str">
        <v>6102010607870002</v>
      </c>
      <c r="H14" s="10" t="str">
        <v>PENDATAAN PRODUSEN</v>
      </c>
      <c r="I14" s="10" t="str">
        <v>SHPED24-LAPANGAN-JANUARI-PPL-PENDATAAN PRODUSEN</v>
      </c>
      <c r="J14" s="10" t="str">
        <v>Dokumen</v>
      </c>
      <c r="K14" s="66">
        <v>55000</v>
      </c>
      <c r="L14" s="10">
        <v>4</v>
      </c>
      <c r="M14" s="10">
        <v>220000</v>
      </c>
      <c r="N14" s="10">
        <v>0</v>
      </c>
      <c r="O14" s="67">
        <v>45311</v>
      </c>
      <c r="P14" s="10">
        <v>2024</v>
      </c>
      <c r="Q14" s="10">
        <v>1</v>
      </c>
      <c r="R14" s="10" t="str">
        <v>SURVEI-PPL</v>
      </c>
      <c r="S14" s="10" t="str">
        <v>610422040029-2024-1</v>
      </c>
      <c r="T14" s="10" t="str">
        <v>610422040029-2024-1-SURVEI-PPL</v>
      </c>
      <c r="U14" s="10">
        <v>1</v>
      </c>
      <c r="V14" s="10" t="e">
        <f ca="1"/>
        <v>#NAME?</v>
      </c>
      <c r="W14" s="67">
        <v>45347</v>
      </c>
      <c r="X14" s="11" t="str">
        <v>Survei Harga Perdesaan (SHPED24) Januari</v>
      </c>
      <c r="Y14" s="11" t="str">
        <v>MEMPAWAH HILIR</v>
      </c>
      <c r="Z14" s="11" t="str">
        <v>TENGAH</v>
      </c>
      <c r="AA14" s="67">
        <v>45291</v>
      </c>
      <c r="AB14" s="67">
        <v>45292</v>
      </c>
      <c r="AC14" s="67">
        <v>45322</v>
      </c>
      <c r="AD14" s="67">
        <v>45321</v>
      </c>
      <c r="AE14" s="67">
        <v>45322</v>
      </c>
    </row>
    <row r="15" spans="1:31" ht="15.75" customHeight="1">
      <c r="A15" s="10">
        <v>610422050001</v>
      </c>
      <c r="B15" s="10" t="str">
        <v>SHPED24-LAPANGAN-JANUARI</v>
      </c>
      <c r="C15" s="10">
        <v>0</v>
      </c>
      <c r="D15" s="10">
        <f ca="1"/>
        <v>1</v>
      </c>
      <c r="E15" s="10" t="str">
        <v>Evi Juniarty</v>
      </c>
      <c r="F15" s="10" t="str">
        <v>PPL</v>
      </c>
      <c r="G15" s="10" t="str">
        <v>6102165101840001</v>
      </c>
      <c r="H15" s="10" t="str">
        <v>PENDATAAN PRODUSEN</v>
      </c>
      <c r="I15" s="10" t="str">
        <v>SHPED24-LAPANGAN-JANUARI-PPL-PENDATAAN PRODUSEN</v>
      </c>
      <c r="J15" s="10" t="str">
        <v>Dokumen</v>
      </c>
      <c r="K15" s="66">
        <v>55000</v>
      </c>
      <c r="L15" s="10">
        <v>1</v>
      </c>
      <c r="M15" s="10">
        <v>55000</v>
      </c>
      <c r="N15" s="10">
        <v>0</v>
      </c>
      <c r="O15" s="67">
        <v>45311</v>
      </c>
      <c r="P15" s="10">
        <v>2024</v>
      </c>
      <c r="Q15" s="10">
        <v>1</v>
      </c>
      <c r="R15" s="10" t="str">
        <v>SURVEI-PPL</v>
      </c>
      <c r="S15" s="10" t="str">
        <v>610422050001-2024-1</v>
      </c>
      <c r="T15" s="10" t="str">
        <v>610422050001-2024-1-SURVEI-PPL</v>
      </c>
      <c r="U15" s="10">
        <v>1</v>
      </c>
      <c r="V15" s="10" t="e">
        <f ca="1"/>
        <v>#NAME?</v>
      </c>
      <c r="W15" s="67">
        <v>45347</v>
      </c>
      <c r="X15" s="11" t="str">
        <v>Survei Harga Perdesaan (SHPED24) Januari</v>
      </c>
      <c r="Y15" s="11" t="str">
        <v>ANJONGAN</v>
      </c>
      <c r="Z15" s="11" t="str">
        <v>ANJUNGAN MELANCAR</v>
      </c>
      <c r="AA15" s="67">
        <v>45291</v>
      </c>
      <c r="AB15" s="67">
        <v>45292</v>
      </c>
      <c r="AC15" s="67">
        <v>45322</v>
      </c>
      <c r="AD15" s="67">
        <v>45321</v>
      </c>
      <c r="AE15" s="67">
        <v>45322</v>
      </c>
    </row>
    <row r="16" spans="1:31" ht="15.75" customHeight="1">
      <c r="A16" s="10">
        <v>610422100124</v>
      </c>
      <c r="B16" s="10" t="str">
        <v>HPBG24-LAPANGAN-JANUARI</v>
      </c>
      <c r="C16" s="10">
        <v>0</v>
      </c>
      <c r="D16" s="10">
        <f ca="1"/>
        <v>1</v>
      </c>
      <c r="E16" s="10" t="str">
        <v>Prabowo</v>
      </c>
      <c r="F16" s="10" t="str">
        <v>PPL</v>
      </c>
      <c r="G16" s="10" t="str">
        <v>6171010108790015</v>
      </c>
      <c r="H16" s="10" t="str">
        <v>PENDATAAN</v>
      </c>
      <c r="I16" s="10" t="str">
        <v>HPBG24-LAPANGAN-JANUARI-PPL-PENDATAAN</v>
      </c>
      <c r="J16" s="10" t="str">
        <v>Dokumen</v>
      </c>
      <c r="K16" s="66">
        <v>55000</v>
      </c>
      <c r="L16" s="10">
        <v>2</v>
      </c>
      <c r="M16" s="10">
        <v>110000</v>
      </c>
      <c r="N16" s="10">
        <v>0</v>
      </c>
      <c r="O16" s="67">
        <v>45311</v>
      </c>
      <c r="P16" s="10">
        <v>2024</v>
      </c>
      <c r="Q16" s="10">
        <v>1</v>
      </c>
      <c r="R16" s="10" t="str">
        <v>SURVEI-PPL</v>
      </c>
      <c r="S16" s="10" t="str">
        <v>610422100124-2024-1</v>
      </c>
      <c r="T16" s="10" t="str">
        <v>610422100124-2024-1-SURVEI-PPL</v>
      </c>
      <c r="U16" s="10">
        <v>1</v>
      </c>
      <c r="V16" s="10" t="e">
        <f ca="1"/>
        <v>#NAME?</v>
      </c>
      <c r="W16" s="67">
        <v>45347</v>
      </c>
      <c r="X16" s="11" t="str">
        <v>Survei Harga Produsen Beras di Penggilingan 2024 (HPBG24) Januari</v>
      </c>
      <c r="Y16" s="11" t="str">
        <v>PONTIANAK KOTA</v>
      </c>
      <c r="Z16" s="11" t="str">
        <v>SUNGAI BANGKONG</v>
      </c>
      <c r="AA16" s="67">
        <v>45291</v>
      </c>
      <c r="AB16" s="67">
        <v>45292</v>
      </c>
      <c r="AC16" s="67">
        <v>45322</v>
      </c>
      <c r="AD16" s="67">
        <v>45321</v>
      </c>
      <c r="AE16" s="67">
        <v>45322</v>
      </c>
    </row>
    <row r="17" spans="1:31" ht="15.75" customHeight="1">
      <c r="A17" s="10">
        <v>610422100244</v>
      </c>
      <c r="B17" s="10" t="str">
        <v>HPBG24-LAPANGAN-JANUARI</v>
      </c>
      <c r="C17" s="10">
        <v>0</v>
      </c>
      <c r="D17" s="10">
        <f ca="1"/>
        <v>1</v>
      </c>
      <c r="E17" s="10" t="str">
        <v>Sugianto</v>
      </c>
      <c r="F17" s="10" t="str">
        <v>PPL</v>
      </c>
      <c r="G17" s="10" t="str">
        <v>6102171003900002</v>
      </c>
      <c r="H17" s="10" t="str">
        <v>PENDATAAN</v>
      </c>
      <c r="I17" s="10" t="str">
        <v>HPBG24-LAPANGAN-JANUARI-PPL-PENDATAAN</v>
      </c>
      <c r="J17" s="10" t="str">
        <v>Dokumen</v>
      </c>
      <c r="K17" s="66">
        <v>55000</v>
      </c>
      <c r="L17" s="10">
        <v>2</v>
      </c>
      <c r="M17" s="10">
        <v>110000</v>
      </c>
      <c r="N17" s="10">
        <v>0</v>
      </c>
      <c r="O17" s="67">
        <v>45311</v>
      </c>
      <c r="P17" s="10">
        <v>2024</v>
      </c>
      <c r="Q17" s="10">
        <v>1</v>
      </c>
      <c r="R17" s="10" t="str">
        <v>SURVEI-PPL</v>
      </c>
      <c r="S17" s="10" t="str">
        <v>610422100244-2024-1</v>
      </c>
      <c r="T17" s="10" t="str">
        <v>610422100244-2024-1-SURVEI-PPL</v>
      </c>
      <c r="U17" s="10">
        <v>1</v>
      </c>
      <c r="V17" s="10" t="e">
        <f ca="1"/>
        <v>#NAME?</v>
      </c>
      <c r="W17" s="67">
        <v>45347</v>
      </c>
      <c r="X17" s="11" t="str">
        <v>Survei Harga Produsen Beras di Penggilingan 2024 (HPBG24) Januari</v>
      </c>
      <c r="Y17" s="11" t="str">
        <v>SADANIANG</v>
      </c>
      <c r="Z17" s="11" t="str">
        <v>BUMBUN</v>
      </c>
      <c r="AA17" s="67">
        <v>45291</v>
      </c>
      <c r="AB17" s="67">
        <v>45292</v>
      </c>
      <c r="AC17" s="67">
        <v>45322</v>
      </c>
      <c r="AD17" s="67">
        <v>45321</v>
      </c>
      <c r="AE17" s="67">
        <v>45322</v>
      </c>
    </row>
    <row r="18" spans="1:31" ht="15.75" customHeight="1">
      <c r="A18" s="10">
        <v>610422100165</v>
      </c>
      <c r="B18" s="10" t="str">
        <v>HPBG24-LAPANGAN-JANUARI</v>
      </c>
      <c r="C18" s="10">
        <v>0</v>
      </c>
      <c r="D18" s="10">
        <f ca="1"/>
        <v>1</v>
      </c>
      <c r="E18" s="10" t="str">
        <v>Yanti</v>
      </c>
      <c r="F18" s="10" t="str">
        <v>PPL</v>
      </c>
      <c r="G18" s="10" t="str">
        <v>6102074803980002</v>
      </c>
      <c r="H18" s="10" t="str">
        <v>PENDATAAN</v>
      </c>
      <c r="I18" s="10" t="str">
        <v>HPBG24-LAPANGAN-JANUARI-PPL-PENDATAAN</v>
      </c>
      <c r="J18" s="10" t="str">
        <v>Dokumen</v>
      </c>
      <c r="K18" s="66">
        <v>55000</v>
      </c>
      <c r="L18" s="10">
        <v>2</v>
      </c>
      <c r="M18" s="10">
        <v>110000</v>
      </c>
      <c r="N18" s="10">
        <v>0</v>
      </c>
      <c r="O18" s="67">
        <v>45311</v>
      </c>
      <c r="P18" s="10">
        <v>2024</v>
      </c>
      <c r="Q18" s="10">
        <v>1</v>
      </c>
      <c r="R18" s="10" t="str">
        <v>SURVEI-PPL</v>
      </c>
      <c r="S18" s="10" t="str">
        <v>610422100165-2024-1</v>
      </c>
      <c r="T18" s="10" t="str">
        <v>610422100165-2024-1-SURVEI-PPL</v>
      </c>
      <c r="U18" s="10">
        <v>1</v>
      </c>
      <c r="V18" s="10" t="e">
        <f ca="1"/>
        <v>#NAME?</v>
      </c>
      <c r="W18" s="67">
        <v>45347</v>
      </c>
      <c r="X18" s="11" t="str">
        <v>Survei Harga Produsen Beras di Penggilingan 2024 (HPBG24) Januari</v>
      </c>
      <c r="Y18" s="11" t="str">
        <v>SUNGAI PINYUH</v>
      </c>
      <c r="Z18" s="11" t="str">
        <v>SUNGAI BAKAU BESAR LAUT</v>
      </c>
      <c r="AA18" s="67">
        <v>45291</v>
      </c>
      <c r="AB18" s="67">
        <v>45292</v>
      </c>
      <c r="AC18" s="67">
        <v>45322</v>
      </c>
      <c r="AD18" s="67">
        <v>45321</v>
      </c>
      <c r="AE18" s="67">
        <v>45322</v>
      </c>
    </row>
    <row r="19" spans="1:31" ht="15.75" customHeight="1">
      <c r="A19" s="10">
        <v>610422100165</v>
      </c>
      <c r="B19" s="10" t="str">
        <v>HPJ24-LAPANGAN-JANUARI</v>
      </c>
      <c r="C19" s="10">
        <v>0</v>
      </c>
      <c r="D19" s="10">
        <f ca="1"/>
        <v>1</v>
      </c>
      <c r="E19" s="10" t="str">
        <v>Yanti</v>
      </c>
      <c r="F19" s="10" t="str">
        <v>PPL</v>
      </c>
      <c r="G19" s="10" t="str">
        <v>6102074803980002</v>
      </c>
      <c r="H19" s="10" t="str">
        <v>PENDATAAN</v>
      </c>
      <c r="I19" s="10" t="str">
        <v>HPJ24-LAPANGAN-JANUARI-PPL-PENDATAAN</v>
      </c>
      <c r="J19" s="10" t="str">
        <v>Dokumen</v>
      </c>
      <c r="K19" s="66">
        <v>50000</v>
      </c>
      <c r="L19" s="10">
        <v>1</v>
      </c>
      <c r="M19" s="10">
        <v>50000</v>
      </c>
      <c r="N19" s="10">
        <v>0</v>
      </c>
      <c r="O19" s="67">
        <v>45311</v>
      </c>
      <c r="P19" s="10">
        <v>2024</v>
      </c>
      <c r="Q19" s="10">
        <v>1</v>
      </c>
      <c r="R19" s="10" t="str">
        <v>SURVEI-PPL</v>
      </c>
      <c r="S19" s="10" t="str">
        <v>610422100165-2024-1</v>
      </c>
      <c r="T19" s="10" t="str">
        <v>610422100165-2024-1-SURVEI-PPL</v>
      </c>
      <c r="U19" s="10">
        <v>1</v>
      </c>
      <c r="V19" s="10" t="e">
        <f ca="1"/>
        <v>#NAME?</v>
      </c>
      <c r="W19" s="67">
        <v>45347</v>
      </c>
      <c r="X19" s="11" t="str">
        <v>Survei Harga Produsen Jasa (HPJ24) Januari</v>
      </c>
      <c r="Y19" s="11" t="str">
        <v>SUNGAI PINYUH</v>
      </c>
      <c r="Z19" s="11" t="str">
        <v>SUNGAI BAKAU BESAR LAUT</v>
      </c>
      <c r="AA19" s="67">
        <v>45291</v>
      </c>
      <c r="AB19" s="67">
        <v>45292</v>
      </c>
      <c r="AC19" s="67">
        <v>45322</v>
      </c>
      <c r="AD19" s="67">
        <v>45321</v>
      </c>
      <c r="AE19" s="67">
        <v>45322</v>
      </c>
    </row>
    <row r="20" spans="1:31" ht="15.75" customHeight="1">
      <c r="A20" s="10">
        <v>610422040029</v>
      </c>
      <c r="B20" s="10" t="str">
        <v>VHTS24-LAPANGAN-JANUARI</v>
      </c>
      <c r="C20" s="10">
        <v>0</v>
      </c>
      <c r="D20" s="10">
        <f ca="1"/>
        <v>1</v>
      </c>
      <c r="E20" s="10" t="str">
        <v>Zaini</v>
      </c>
      <c r="F20" s="10" t="str">
        <v>PPL</v>
      </c>
      <c r="G20" s="10" t="str">
        <v>6102010607870002</v>
      </c>
      <c r="H20" s="10" t="str">
        <v>PENDATAAN</v>
      </c>
      <c r="I20" s="10" t="str">
        <v>VHTS24-LAPANGAN-JANUARI-PPL-PENDATAAN</v>
      </c>
      <c r="J20" s="10" t="str">
        <v>Dokumen</v>
      </c>
      <c r="K20" s="66">
        <v>55000</v>
      </c>
      <c r="L20" s="10">
        <v>3</v>
      </c>
      <c r="M20" s="10">
        <v>165000</v>
      </c>
      <c r="N20" s="70">
        <v>165000</v>
      </c>
      <c r="O20" s="67">
        <v>45311</v>
      </c>
      <c r="P20" s="10">
        <v>2024</v>
      </c>
      <c r="Q20" s="10">
        <v>1</v>
      </c>
      <c r="R20" s="10" t="str">
        <v>SURVEI-PPL</v>
      </c>
      <c r="S20" s="10" t="str">
        <v>610422040029-2024-1</v>
      </c>
      <c r="T20" s="10" t="str">
        <v>610422040029-2024-1-SURVEI-PPL</v>
      </c>
      <c r="U20" s="10">
        <v>1</v>
      </c>
      <c r="V20" s="10" t="e">
        <f ca="1"/>
        <v>#NAME?</v>
      </c>
      <c r="W20" s="67">
        <v>45344</v>
      </c>
      <c r="X20" s="11" t="str">
        <v>Survei Hotel dan Jasa Akomodasi Bulanan (VHTS) 2024 Januari</v>
      </c>
      <c r="Y20" s="11" t="str">
        <v>MEMPAWAH HILIR</v>
      </c>
      <c r="Z20" s="11" t="str">
        <v>TENGAH</v>
      </c>
      <c r="AA20" s="67">
        <v>45291</v>
      </c>
      <c r="AB20" s="67">
        <v>45292</v>
      </c>
      <c r="AC20" s="67">
        <v>45322</v>
      </c>
      <c r="AD20" s="67">
        <v>45321</v>
      </c>
      <c r="AE20" s="67">
        <v>45322</v>
      </c>
    </row>
    <row r="21" spans="1:31" ht="15.75" customHeight="1">
      <c r="A21" s="10">
        <v>610422100165</v>
      </c>
      <c r="B21" s="10" t="str">
        <v>VHTS24-LAPANGAN-JANUARI</v>
      </c>
      <c r="C21" s="10">
        <v>0</v>
      </c>
      <c r="D21" s="10">
        <f ca="1"/>
        <v>1</v>
      </c>
      <c r="E21" s="10" t="str">
        <v>Yanti</v>
      </c>
      <c r="F21" s="10" t="str">
        <v>PPL</v>
      </c>
      <c r="G21" s="10" t="str">
        <v>6102074803980002</v>
      </c>
      <c r="H21" s="10" t="str">
        <v>PENDATAAN</v>
      </c>
      <c r="I21" s="10" t="str">
        <v>VHTS24-LAPANGAN-JANUARI-PPL-PENDATAAN</v>
      </c>
      <c r="J21" s="10" t="str">
        <v>Dokumen</v>
      </c>
      <c r="K21" s="66">
        <v>55000</v>
      </c>
      <c r="L21" s="10">
        <v>3</v>
      </c>
      <c r="M21" s="10">
        <v>165000</v>
      </c>
      <c r="N21" s="70">
        <v>165000</v>
      </c>
      <c r="O21" s="67">
        <v>45311</v>
      </c>
      <c r="P21" s="10">
        <v>2024</v>
      </c>
      <c r="Q21" s="10">
        <v>1</v>
      </c>
      <c r="R21" s="10" t="str">
        <v>SURVEI-PPL</v>
      </c>
      <c r="S21" s="10" t="str">
        <v>610422100165-2024-1</v>
      </c>
      <c r="T21" s="10" t="str">
        <v>610422100165-2024-1-SURVEI-PPL</v>
      </c>
      <c r="U21" s="10">
        <v>1</v>
      </c>
      <c r="V21" s="10" t="e">
        <f ca="1"/>
        <v>#NAME?</v>
      </c>
      <c r="W21" s="67">
        <v>45344</v>
      </c>
      <c r="X21" s="11" t="str">
        <v>Survei Hotel dan Jasa Akomodasi Bulanan (VHTS) 2024 Januari</v>
      </c>
      <c r="Y21" s="11" t="str">
        <v>SUNGAI PINYUH</v>
      </c>
      <c r="Z21" s="11" t="str">
        <v>SUNGAI BAKAU BESAR LAUT</v>
      </c>
      <c r="AA21" s="67">
        <v>45291</v>
      </c>
      <c r="AB21" s="67">
        <v>45292</v>
      </c>
      <c r="AC21" s="67">
        <v>45322</v>
      </c>
      <c r="AD21" s="67">
        <v>45321</v>
      </c>
      <c r="AE21" s="67">
        <v>45322</v>
      </c>
    </row>
    <row r="22" spans="1:31" ht="15.75" customHeight="1">
      <c r="A22" s="10">
        <v>610422050001</v>
      </c>
      <c r="B22" s="10" t="str">
        <v>VHTS24-LAPANGAN-JANUARI</v>
      </c>
      <c r="C22" s="10">
        <v>0</v>
      </c>
      <c r="D22" s="10">
        <f ca="1"/>
        <v>1</v>
      </c>
      <c r="E22" s="10" t="str">
        <v>Evi Juniarty</v>
      </c>
      <c r="F22" s="10" t="str">
        <v>PPL</v>
      </c>
      <c r="G22" s="10" t="str">
        <v>6102165101840001</v>
      </c>
      <c r="H22" s="10" t="str">
        <v>PENDATAAN</v>
      </c>
      <c r="I22" s="10" t="str">
        <v>VHTS24-LAPANGAN-JANUARI-PPL-PENDATAAN</v>
      </c>
      <c r="J22" s="10" t="str">
        <v>Dokumen</v>
      </c>
      <c r="K22" s="66">
        <v>55000</v>
      </c>
      <c r="L22" s="10">
        <v>3</v>
      </c>
      <c r="M22" s="10">
        <v>165000</v>
      </c>
      <c r="N22" s="70">
        <v>165000</v>
      </c>
      <c r="O22" s="67">
        <v>45311</v>
      </c>
      <c r="P22" s="10">
        <v>2024</v>
      </c>
      <c r="Q22" s="10">
        <v>1</v>
      </c>
      <c r="R22" s="10" t="str">
        <v>SURVEI-PPL</v>
      </c>
      <c r="S22" s="10" t="str">
        <v>610422050001-2024-1</v>
      </c>
      <c r="T22" s="10" t="str">
        <v>610422050001-2024-1-SURVEI-PPL</v>
      </c>
      <c r="U22" s="10">
        <v>1</v>
      </c>
      <c r="V22" s="10" t="e">
        <f ca="1"/>
        <v>#NAME?</v>
      </c>
      <c r="W22" s="67">
        <v>45344</v>
      </c>
      <c r="X22" s="11" t="str">
        <v>Survei Hotel dan Jasa Akomodasi Bulanan (VHTS) 2024 Januari</v>
      </c>
      <c r="Y22" s="11" t="str">
        <v>ANJONGAN</v>
      </c>
      <c r="Z22" s="11" t="str">
        <v>ANJUNGAN MELANCAR</v>
      </c>
      <c r="AA22" s="67">
        <v>45291</v>
      </c>
      <c r="AB22" s="67">
        <v>45292</v>
      </c>
      <c r="AC22" s="67">
        <v>45322</v>
      </c>
      <c r="AD22" s="67">
        <v>45321</v>
      </c>
      <c r="AE22" s="67">
        <v>45322</v>
      </c>
    </row>
    <row r="23" spans="1:31" ht="15.75" customHeight="1">
      <c r="A23" s="10">
        <v>610422040056</v>
      </c>
      <c r="B23" s="10" t="str">
        <v>VHTS24-LAPANGAN-JANUARI</v>
      </c>
      <c r="C23" s="10">
        <v>0</v>
      </c>
      <c r="D23" s="10">
        <f ca="1"/>
        <v>1</v>
      </c>
      <c r="E23" s="10" t="str">
        <v>Wandi Syafari</v>
      </c>
      <c r="F23" s="10" t="str">
        <v>PPL</v>
      </c>
      <c r="G23" s="10" t="str">
        <v>6102010802760001</v>
      </c>
      <c r="H23" s="10" t="str">
        <v>PENDATAAN</v>
      </c>
      <c r="I23" s="10" t="str">
        <v>VHTS24-LAPANGAN-JANUARI-PPL-PENDATAAN</v>
      </c>
      <c r="J23" s="10" t="str">
        <v>Dokumen</v>
      </c>
      <c r="K23" s="66">
        <v>55000</v>
      </c>
      <c r="L23" s="10">
        <v>2</v>
      </c>
      <c r="M23" s="10">
        <v>110000</v>
      </c>
      <c r="N23" s="70">
        <v>110000</v>
      </c>
      <c r="O23" s="67">
        <v>45311</v>
      </c>
      <c r="P23" s="10">
        <v>2024</v>
      </c>
      <c r="Q23" s="10">
        <v>1</v>
      </c>
      <c r="R23" s="10" t="str">
        <v>SURVEI-PPL</v>
      </c>
      <c r="S23" s="10" t="str">
        <v>610422040056-2024-1</v>
      </c>
      <c r="T23" s="10" t="str">
        <v>610422040056-2024-1-SURVEI-PPL</v>
      </c>
      <c r="U23" s="10">
        <v>1</v>
      </c>
      <c r="V23" s="10" t="e">
        <f ca="1"/>
        <v>#NAME?</v>
      </c>
      <c r="W23" s="67">
        <v>45344</v>
      </c>
      <c r="X23" s="11" t="str">
        <v>Survei Hotel dan Jasa Akomodasi Bulanan (VHTS) 2024 Januari</v>
      </c>
      <c r="Y23" s="11" t="str">
        <v>MEMPAWAH HILIR</v>
      </c>
      <c r="Z23" s="11" t="str">
        <v>TERUSAN</v>
      </c>
      <c r="AA23" s="67">
        <v>45291</v>
      </c>
      <c r="AB23" s="67">
        <v>45292</v>
      </c>
      <c r="AC23" s="67">
        <v>45322</v>
      </c>
      <c r="AD23" s="67">
        <v>45321</v>
      </c>
      <c r="AE23" s="67">
        <v>45322</v>
      </c>
    </row>
    <row r="24" spans="1:31" ht="15.75" customHeight="1">
      <c r="A24" s="10">
        <v>610422040029</v>
      </c>
      <c r="B24" s="10" t="str">
        <v>SHKK24-LAPANGAN-JANUARI</v>
      </c>
      <c r="C24" s="10">
        <v>0</v>
      </c>
      <c r="D24" s="10">
        <f ca="1"/>
        <v>1</v>
      </c>
      <c r="E24" s="10" t="str">
        <v>Zaini</v>
      </c>
      <c r="F24" s="10" t="str">
        <v>PPL</v>
      </c>
      <c r="G24" s="10" t="str">
        <v>6102010607870002</v>
      </c>
      <c r="H24" s="10" t="str">
        <v>PENDATAAN</v>
      </c>
      <c r="I24" s="10" t="str">
        <v>SHKK24-LAPANGAN-JANUARI-PPL-PENDATAAN</v>
      </c>
      <c r="J24" s="10" t="str">
        <v>Dokumen</v>
      </c>
      <c r="K24" s="66">
        <v>60000</v>
      </c>
      <c r="L24" s="10">
        <v>16</v>
      </c>
      <c r="M24" s="10">
        <v>960000</v>
      </c>
      <c r="N24" s="10">
        <v>0</v>
      </c>
      <c r="O24" s="67">
        <v>45311</v>
      </c>
      <c r="P24" s="10">
        <v>2024</v>
      </c>
      <c r="Q24" s="10">
        <v>1</v>
      </c>
      <c r="R24" s="10" t="str">
        <v>SURVEI-PPL</v>
      </c>
      <c r="S24" s="10" t="str">
        <v>610422040029-2024-1</v>
      </c>
      <c r="T24" s="10" t="str">
        <v>610422040029-2024-1-SURVEI-PPL</v>
      </c>
      <c r="U24" s="10">
        <v>1</v>
      </c>
      <c r="V24" s="10" t="e">
        <f ca="1"/>
        <v>#NAME?</v>
      </c>
      <c r="W24" s="67">
        <v>45347</v>
      </c>
      <c r="X24" s="11" t="str">
        <v>Survei Harga Kemahalan Konstruksi (SHKK24) Januari</v>
      </c>
      <c r="Y24" s="11" t="str">
        <v>MEMPAWAH HILIR</v>
      </c>
      <c r="Z24" s="11" t="str">
        <v>TENGAH</v>
      </c>
      <c r="AA24" s="67">
        <v>45291</v>
      </c>
      <c r="AB24" s="67">
        <v>45292</v>
      </c>
      <c r="AC24" s="67">
        <v>45322</v>
      </c>
      <c r="AD24" s="67">
        <v>45321</v>
      </c>
      <c r="AE24" s="67">
        <v>45322</v>
      </c>
    </row>
    <row r="25" spans="1:31" ht="15.75" customHeight="1">
      <c r="A25" s="10">
        <v>610422020048</v>
      </c>
      <c r="B25" s="10" t="str">
        <v>SHKK24-LAPANGAN-JANUARI</v>
      </c>
      <c r="C25" s="10">
        <v>0</v>
      </c>
      <c r="D25" s="10">
        <f ca="1"/>
        <v>1</v>
      </c>
      <c r="E25" s="10" t="str">
        <v>Herri Gustaman</v>
      </c>
      <c r="F25" s="10" t="str">
        <v>PPL</v>
      </c>
      <c r="G25" s="10" t="str">
        <v>6102072503800001</v>
      </c>
      <c r="H25" s="10" t="str">
        <v>PENDATAAN</v>
      </c>
      <c r="I25" s="10" t="str">
        <v>SHKK24-LAPANGAN-JANUARI-PPL-PENDATAAN</v>
      </c>
      <c r="J25" s="10" t="str">
        <v>Dokumen</v>
      </c>
      <c r="K25" s="66">
        <v>60000</v>
      </c>
      <c r="L25" s="10">
        <v>10</v>
      </c>
      <c r="M25" s="10">
        <v>600000</v>
      </c>
      <c r="N25" s="10">
        <v>0</v>
      </c>
      <c r="O25" s="67">
        <v>45311</v>
      </c>
      <c r="P25" s="10">
        <v>2024</v>
      </c>
      <c r="Q25" s="10">
        <v>1</v>
      </c>
      <c r="R25" s="10" t="str">
        <v>SURVEI-PPL</v>
      </c>
      <c r="S25" s="10" t="str">
        <v>610422020048-2024-1</v>
      </c>
      <c r="T25" s="10" t="str">
        <v>610422020048-2024-1-SURVEI-PPL</v>
      </c>
      <c r="U25" s="10">
        <v>1</v>
      </c>
      <c r="V25" s="10" t="e">
        <f ca="1"/>
        <v>#NAME?</v>
      </c>
      <c r="W25" s="67">
        <v>45347</v>
      </c>
      <c r="X25" s="11" t="str">
        <v>Survei Harga Kemahalan Konstruksi (SHKK24) Januari</v>
      </c>
      <c r="Y25" s="11" t="str">
        <v>MEMPAWAH TIMUR</v>
      </c>
      <c r="Z25" s="11" t="str">
        <v>SEJEGI</v>
      </c>
      <c r="AA25" s="67">
        <v>45291</v>
      </c>
      <c r="AB25" s="67">
        <v>45292</v>
      </c>
      <c r="AC25" s="67">
        <v>45322</v>
      </c>
      <c r="AD25" s="67">
        <v>45321</v>
      </c>
      <c r="AE25" s="67">
        <v>45322</v>
      </c>
    </row>
    <row r="26" spans="1:31" ht="15.75" customHeight="1">
      <c r="A26" s="10">
        <v>610422100165</v>
      </c>
      <c r="B26" s="10" t="str">
        <v>SHKK24-LAPANGAN-JANUARI</v>
      </c>
      <c r="C26" s="10">
        <v>0</v>
      </c>
      <c r="D26" s="10">
        <f ca="1"/>
        <v>1</v>
      </c>
      <c r="E26" s="10" t="str">
        <v>Yanti</v>
      </c>
      <c r="F26" s="10" t="str">
        <v>PPL</v>
      </c>
      <c r="G26" s="10" t="str">
        <v>6102074803980002</v>
      </c>
      <c r="H26" s="10" t="str">
        <v>PENDATAAN</v>
      </c>
      <c r="I26" s="10" t="str">
        <v>SHKK24-LAPANGAN-JANUARI-PPL-PENDATAAN</v>
      </c>
      <c r="J26" s="10" t="str">
        <v>Dokumen</v>
      </c>
      <c r="K26" s="66">
        <v>60000</v>
      </c>
      <c r="L26" s="10">
        <v>6</v>
      </c>
      <c r="M26" s="10">
        <v>360000</v>
      </c>
      <c r="N26" s="10">
        <v>0</v>
      </c>
      <c r="O26" s="67">
        <v>45311</v>
      </c>
      <c r="P26" s="10">
        <v>2024</v>
      </c>
      <c r="Q26" s="10">
        <v>1</v>
      </c>
      <c r="R26" s="10" t="str">
        <v>SURVEI-PPL</v>
      </c>
      <c r="S26" s="10" t="str">
        <v>610422100165-2024-1</v>
      </c>
      <c r="T26" s="10" t="str">
        <v>610422100165-2024-1-SURVEI-PPL</v>
      </c>
      <c r="U26" s="10">
        <v>1</v>
      </c>
      <c r="V26" s="10" t="e">
        <f ca="1"/>
        <v>#NAME?</v>
      </c>
      <c r="W26" s="67">
        <v>45347</v>
      </c>
      <c r="X26" s="11" t="str">
        <v>Survei Harga Kemahalan Konstruksi (SHKK24) Januari</v>
      </c>
      <c r="Y26" s="11" t="str">
        <v>SUNGAI PINYUH</v>
      </c>
      <c r="Z26" s="11" t="str">
        <v>SUNGAI BAKAU BESAR LAUT</v>
      </c>
      <c r="AA26" s="67">
        <v>45291</v>
      </c>
      <c r="AB26" s="67">
        <v>45292</v>
      </c>
      <c r="AC26" s="67">
        <v>45322</v>
      </c>
      <c r="AD26" s="67">
        <v>45321</v>
      </c>
      <c r="AE26" s="67">
        <v>45322</v>
      </c>
    </row>
    <row r="27" spans="1:31" ht="15.75" customHeight="1">
      <c r="A27" s="10">
        <v>610422020052</v>
      </c>
      <c r="B27" s="10" t="str">
        <v>SHKK24-LAPANGAN-JANUARI</v>
      </c>
      <c r="C27" s="10">
        <v>0</v>
      </c>
      <c r="D27" s="10">
        <f ca="1"/>
        <v>1</v>
      </c>
      <c r="E27" s="10" t="str">
        <v>Agus Supriyanto</v>
      </c>
      <c r="F27" s="10" t="str">
        <v>PPL</v>
      </c>
      <c r="G27" s="10" t="str">
        <v>6102071811790001</v>
      </c>
      <c r="H27" s="10" t="str">
        <v>PENDATAAN</v>
      </c>
      <c r="I27" s="10" t="str">
        <v>SHKK24-LAPANGAN-JANUARI-PPL-PENDATAAN</v>
      </c>
      <c r="J27" s="10" t="str">
        <v>Dokumen</v>
      </c>
      <c r="K27" s="66">
        <v>60000</v>
      </c>
      <c r="L27" s="10">
        <v>7</v>
      </c>
      <c r="M27" s="10">
        <v>420000</v>
      </c>
      <c r="N27" s="10">
        <v>0</v>
      </c>
      <c r="O27" s="67">
        <v>45311</v>
      </c>
      <c r="P27" s="10">
        <v>2024</v>
      </c>
      <c r="Q27" s="10">
        <v>1</v>
      </c>
      <c r="R27" s="10" t="str">
        <v>SURVEI-PPL</v>
      </c>
      <c r="S27" s="10" t="str">
        <v>610422020052-2024-1</v>
      </c>
      <c r="T27" s="10" t="str">
        <v>610422020052-2024-1-SURVEI-PPL</v>
      </c>
      <c r="U27" s="10">
        <v>1</v>
      </c>
      <c r="V27" s="10" t="e">
        <f ca="1"/>
        <v>#NAME?</v>
      </c>
      <c r="W27" s="67">
        <v>45347</v>
      </c>
      <c r="X27" s="11" t="str">
        <v>Survei Harga Kemahalan Konstruksi (SHKK24) Januari</v>
      </c>
      <c r="Y27" s="11" t="str">
        <v>SUNGAI PINYUH</v>
      </c>
      <c r="Z27" s="11" t="str">
        <v>NUSAPATI</v>
      </c>
      <c r="AA27" s="67">
        <v>45291</v>
      </c>
      <c r="AB27" s="67">
        <v>45292</v>
      </c>
      <c r="AC27" s="67">
        <v>45322</v>
      </c>
      <c r="AD27" s="67">
        <v>45321</v>
      </c>
      <c r="AE27" s="67">
        <v>45322</v>
      </c>
    </row>
    <row r="28" spans="1:31" ht="15.75" customHeight="1">
      <c r="A28" s="10">
        <v>610422020016</v>
      </c>
      <c r="B28" s="10" t="str">
        <v>KSA24-LAPANGAN-JANUARI</v>
      </c>
      <c r="C28" s="10">
        <v>0</v>
      </c>
      <c r="D28" s="10">
        <f ca="1"/>
        <v>1</v>
      </c>
      <c r="E28" s="10" t="str">
        <v>Abdul Aziz</v>
      </c>
      <c r="F28" s="10" t="str">
        <v>PPL</v>
      </c>
      <c r="G28" s="10" t="str">
        <v>6102061507950006</v>
      </c>
      <c r="H28" s="10" t="str">
        <v>KSA PADI</v>
      </c>
      <c r="I28" s="10" t="str">
        <v>KSA24-LAPANGAN-JANUARI-PPL-KSA PADI</v>
      </c>
      <c r="J28" s="10" t="str">
        <v>Segmen</v>
      </c>
      <c r="K28" s="66">
        <v>116000</v>
      </c>
      <c r="L28" s="10">
        <v>3</v>
      </c>
      <c r="M28" s="10">
        <v>348000</v>
      </c>
      <c r="N28" s="70">
        <v>348000</v>
      </c>
      <c r="O28" s="67">
        <v>45322</v>
      </c>
      <c r="P28" s="10">
        <v>2024</v>
      </c>
      <c r="Q28" s="10">
        <v>1</v>
      </c>
      <c r="R28" s="10" t="str">
        <v>SURVEI-PPL</v>
      </c>
      <c r="S28" s="10" t="str">
        <v>610422020016-2024-1</v>
      </c>
      <c r="T28" s="10" t="str">
        <v>610422020016-2024-1-SURVEI-PPL</v>
      </c>
      <c r="U28" s="10">
        <v>1</v>
      </c>
      <c r="V28" s="10" t="e">
        <f ca="1"/>
        <v>#NAME?</v>
      </c>
      <c r="W28" s="67">
        <v>45344</v>
      </c>
      <c r="X28" s="11" t="str">
        <v>Kerangka Sampel Area (KSA) 2024 Januari</v>
      </c>
      <c r="Y28" s="11" t="str">
        <v>TOHO</v>
      </c>
      <c r="Z28" s="11" t="str">
        <v>SAMBORA</v>
      </c>
      <c r="AA28" s="67">
        <v>45291</v>
      </c>
      <c r="AB28" s="67">
        <v>45292</v>
      </c>
      <c r="AC28" s="67">
        <v>45322</v>
      </c>
      <c r="AD28" s="67">
        <v>45321</v>
      </c>
      <c r="AE28" s="67">
        <v>45322</v>
      </c>
    </row>
    <row r="29" spans="1:31" ht="12.5">
      <c r="A29" s="10">
        <v>610422040012</v>
      </c>
      <c r="B29" s="10" t="str">
        <v>KSA24-LAPANGAN-JANUARI</v>
      </c>
      <c r="C29" s="10">
        <v>0</v>
      </c>
      <c r="D29" s="10">
        <f ca="1"/>
        <v>1</v>
      </c>
      <c r="E29" s="10" t="str">
        <v>Misdi</v>
      </c>
      <c r="F29" s="10" t="str">
        <v>PPL</v>
      </c>
      <c r="G29" s="10" t="str">
        <v>6102070706940001</v>
      </c>
      <c r="H29" s="10" t="str">
        <v>KSA PADI</v>
      </c>
      <c r="I29" s="10" t="str">
        <v>KSA24-LAPANGAN-JANUARI-PPL-KSA PADI</v>
      </c>
      <c r="J29" s="10" t="str">
        <v>Segmen</v>
      </c>
      <c r="K29" s="66">
        <v>116000</v>
      </c>
      <c r="L29" s="10">
        <v>3</v>
      </c>
      <c r="M29" s="10">
        <v>348000</v>
      </c>
      <c r="N29" s="70">
        <v>348000</v>
      </c>
      <c r="O29" s="67">
        <v>45322</v>
      </c>
      <c r="P29" s="10">
        <v>2024</v>
      </c>
      <c r="Q29" s="10">
        <v>1</v>
      </c>
      <c r="R29" s="10" t="str">
        <v>SURVEI-PPL</v>
      </c>
      <c r="S29" s="10" t="str">
        <v>610422040012-2024-1</v>
      </c>
      <c r="T29" s="10" t="str">
        <v>610422040012-2024-1-SURVEI-PPL</v>
      </c>
      <c r="U29" s="10">
        <v>1</v>
      </c>
      <c r="V29" s="10" t="e">
        <f ca="1"/>
        <v>#NAME?</v>
      </c>
      <c r="W29" s="67">
        <v>45344</v>
      </c>
      <c r="X29" s="11" t="str">
        <v>Kerangka Sampel Area (KSA) 2024 Januari</v>
      </c>
      <c r="Y29" s="11" t="str">
        <v>SUNGAI PINYUH</v>
      </c>
      <c r="Z29" s="11" t="str">
        <v>SUNGAI BAKAU BESAR DARAT</v>
      </c>
      <c r="AA29" s="67">
        <v>45291</v>
      </c>
      <c r="AB29" s="67">
        <v>45292</v>
      </c>
      <c r="AC29" s="67">
        <v>45322</v>
      </c>
      <c r="AD29" s="67">
        <v>45321</v>
      </c>
      <c r="AE29" s="67">
        <v>45322</v>
      </c>
    </row>
    <row r="30" spans="1:31" ht="12.5">
      <c r="A30" s="10">
        <v>610422040059</v>
      </c>
      <c r="B30" s="10" t="str">
        <v>KSA24-LAPANGAN-JANUARI</v>
      </c>
      <c r="C30" s="10">
        <v>0</v>
      </c>
      <c r="D30" s="10">
        <f ca="1"/>
        <v>1</v>
      </c>
      <c r="E30" s="10" t="str">
        <v>Abang Handri</v>
      </c>
      <c r="F30" s="10" t="str">
        <v>PPL</v>
      </c>
      <c r="G30" s="10" t="str">
        <v>6102072211780002</v>
      </c>
      <c r="H30" s="10" t="str">
        <v>KSA PADI</v>
      </c>
      <c r="I30" s="10" t="str">
        <v>KSA24-LAPANGAN-JANUARI-PPL-KSA PADI</v>
      </c>
      <c r="J30" s="10" t="str">
        <v>Segmen</v>
      </c>
      <c r="K30" s="66">
        <v>116000</v>
      </c>
      <c r="L30" s="10">
        <v>4</v>
      </c>
      <c r="M30" s="10">
        <v>464000</v>
      </c>
      <c r="N30" s="70">
        <v>464000</v>
      </c>
      <c r="O30" s="67">
        <v>45322</v>
      </c>
      <c r="P30" s="10">
        <v>2024</v>
      </c>
      <c r="Q30" s="10">
        <v>1</v>
      </c>
      <c r="R30" s="10" t="str">
        <v>SURVEI-PPL</v>
      </c>
      <c r="S30" s="10" t="str">
        <v>610422040059-2024-1</v>
      </c>
      <c r="T30" s="10" t="str">
        <v>610422040059-2024-1-SURVEI-PPL</v>
      </c>
      <c r="U30" s="10">
        <v>1</v>
      </c>
      <c r="V30" s="10" t="e">
        <f ca="1"/>
        <v>#NAME?</v>
      </c>
      <c r="W30" s="67">
        <v>45344</v>
      </c>
      <c r="X30" s="11" t="str">
        <v>Kerangka Sampel Area (KSA) 2024 Januari</v>
      </c>
      <c r="Y30" s="11" t="str">
        <v>MEMPAWAH HILIR</v>
      </c>
      <c r="Z30" s="11" t="str">
        <v>TERUSAN</v>
      </c>
      <c r="AA30" s="67">
        <v>45291</v>
      </c>
      <c r="AB30" s="67">
        <v>45292</v>
      </c>
      <c r="AC30" s="67">
        <v>45322</v>
      </c>
      <c r="AD30" s="67">
        <v>45321</v>
      </c>
      <c r="AE30" s="67">
        <v>45322</v>
      </c>
    </row>
    <row r="31" spans="1:31" ht="12.5">
      <c r="A31" s="10">
        <v>610422040061</v>
      </c>
      <c r="B31" s="10" t="str">
        <v>KSA24-LAPANGAN-JANUARI</v>
      </c>
      <c r="C31" s="10">
        <v>0</v>
      </c>
      <c r="D31" s="10">
        <f ca="1"/>
        <v>1</v>
      </c>
      <c r="E31" s="10" t="str">
        <v>Sabani</v>
      </c>
      <c r="F31" s="10" t="str">
        <v>PPL</v>
      </c>
      <c r="G31" s="10" t="str">
        <v>6102153112860003</v>
      </c>
      <c r="H31" s="10" t="str">
        <v>KSA PADI</v>
      </c>
      <c r="I31" s="10" t="str">
        <v>KSA24-LAPANGAN-JANUARI-PPL-KSA PADI</v>
      </c>
      <c r="J31" s="10" t="str">
        <v>Segmen</v>
      </c>
      <c r="K31" s="66">
        <v>116000</v>
      </c>
      <c r="L31" s="10">
        <v>3</v>
      </c>
      <c r="M31" s="10">
        <v>348000</v>
      </c>
      <c r="N31" s="70">
        <v>348000</v>
      </c>
      <c r="O31" s="67">
        <v>45322</v>
      </c>
      <c r="P31" s="10">
        <v>2024</v>
      </c>
      <c r="Q31" s="10">
        <v>1</v>
      </c>
      <c r="R31" s="10" t="str">
        <v>SURVEI-PPL</v>
      </c>
      <c r="S31" s="10" t="str">
        <v>610422040061-2024-1</v>
      </c>
      <c r="T31" s="10" t="str">
        <v>610422040061-2024-1-SURVEI-PPL</v>
      </c>
      <c r="U31" s="10">
        <v>1</v>
      </c>
      <c r="V31" s="10" t="e">
        <f ca="1"/>
        <v>#NAME?</v>
      </c>
      <c r="W31" s="67">
        <v>45344</v>
      </c>
      <c r="X31" s="11" t="str">
        <v>Kerangka Sampel Area (KSA) 2024 Januari</v>
      </c>
      <c r="Y31" s="11" t="str">
        <v>SEGEDONG</v>
      </c>
      <c r="Z31" s="11" t="str">
        <v>PENITI BESAR</v>
      </c>
      <c r="AA31" s="67">
        <v>45291</v>
      </c>
      <c r="AB31" s="67">
        <v>45292</v>
      </c>
      <c r="AC31" s="67">
        <v>45322</v>
      </c>
      <c r="AD31" s="67">
        <v>45321</v>
      </c>
      <c r="AE31" s="67">
        <v>45322</v>
      </c>
    </row>
    <row r="32" spans="1:31" ht="12.5">
      <c r="A32" s="10">
        <v>610422100131</v>
      </c>
      <c r="B32" s="10" t="str">
        <v>KSA24-LAPANGAN-JANUARI</v>
      </c>
      <c r="C32" s="10">
        <v>0</v>
      </c>
      <c r="D32" s="10">
        <f ca="1"/>
        <v>1</v>
      </c>
      <c r="E32" s="10" t="str">
        <v>Syamsul</v>
      </c>
      <c r="F32" s="10" t="str">
        <v>PPL</v>
      </c>
      <c r="G32" s="10" t="str">
        <v>6102150907860003</v>
      </c>
      <c r="H32" s="10" t="str">
        <v>KSA PADI</v>
      </c>
      <c r="I32" s="10" t="str">
        <v>KSA24-LAPANGAN-JANUARI-PPL-KSA PADI</v>
      </c>
      <c r="J32" s="10" t="str">
        <v>Segmen</v>
      </c>
      <c r="K32" s="66">
        <v>116000</v>
      </c>
      <c r="L32" s="10">
        <v>3</v>
      </c>
      <c r="M32" s="10">
        <v>348000</v>
      </c>
      <c r="N32" s="70">
        <v>348000</v>
      </c>
      <c r="O32" s="67">
        <v>45322</v>
      </c>
      <c r="P32" s="10">
        <v>2024</v>
      </c>
      <c r="Q32" s="10">
        <v>1</v>
      </c>
      <c r="R32" s="10" t="str">
        <v>SURVEI-PPL</v>
      </c>
      <c r="S32" s="10" t="str">
        <v>610422100131-2024-1</v>
      </c>
      <c r="T32" s="10" t="str">
        <v>610422100131-2024-1-SURVEI-PPL</v>
      </c>
      <c r="U32" s="10">
        <v>1</v>
      </c>
      <c r="V32" s="10" t="e">
        <f ca="1"/>
        <v>#NAME?</v>
      </c>
      <c r="W32" s="67">
        <v>45344</v>
      </c>
      <c r="X32" s="11" t="str">
        <v>Kerangka Sampel Area (KSA) 2024 Januari</v>
      </c>
      <c r="Y32" s="11" t="str">
        <v>SUNGAI KUNYIT</v>
      </c>
      <c r="Z32" s="11" t="str">
        <v>SUNGAI KUNYIT LAUT</v>
      </c>
      <c r="AA32" s="67">
        <v>45291</v>
      </c>
      <c r="AB32" s="67">
        <v>45292</v>
      </c>
      <c r="AC32" s="67">
        <v>45322</v>
      </c>
      <c r="AD32" s="67">
        <v>45321</v>
      </c>
      <c r="AE32" s="67">
        <v>45322</v>
      </c>
    </row>
    <row r="33" spans="1:31" ht="12.5">
      <c r="A33" s="10">
        <v>610422100244</v>
      </c>
      <c r="B33" s="10" t="str">
        <v>KSA24-LAPANGAN-JANUARI</v>
      </c>
      <c r="C33" s="10">
        <v>0</v>
      </c>
      <c r="D33" s="10">
        <f ca="1"/>
        <v>1</v>
      </c>
      <c r="E33" s="10" t="str">
        <v>Sugianto</v>
      </c>
      <c r="F33" s="10" t="str">
        <v>PPL</v>
      </c>
      <c r="G33" s="10" t="str">
        <v>6102171003900002</v>
      </c>
      <c r="H33" s="10" t="str">
        <v>KSA PADI</v>
      </c>
      <c r="I33" s="10" t="str">
        <v>KSA24-LAPANGAN-JANUARI-PPL-KSA PADI</v>
      </c>
      <c r="J33" s="10" t="str">
        <v>Segmen</v>
      </c>
      <c r="K33" s="66">
        <v>116000</v>
      </c>
      <c r="L33" s="10">
        <v>3</v>
      </c>
      <c r="M33" s="10">
        <v>348000</v>
      </c>
      <c r="N33" s="70">
        <v>348000</v>
      </c>
      <c r="O33" s="67">
        <v>45322</v>
      </c>
      <c r="P33" s="10">
        <v>2024</v>
      </c>
      <c r="Q33" s="10">
        <v>1</v>
      </c>
      <c r="R33" s="10" t="str">
        <v>SURVEI-PPL</v>
      </c>
      <c r="S33" s="10" t="str">
        <v>610422100244-2024-1</v>
      </c>
      <c r="T33" s="10" t="str">
        <v>610422100244-2024-1-SURVEI-PPL</v>
      </c>
      <c r="U33" s="10">
        <v>1</v>
      </c>
      <c r="V33" s="10" t="e">
        <f ca="1"/>
        <v>#NAME?</v>
      </c>
      <c r="W33" s="67">
        <v>45344</v>
      </c>
      <c r="X33" s="11" t="str">
        <v>Kerangka Sampel Area (KSA) 2024 Januari</v>
      </c>
      <c r="Y33" s="11" t="str">
        <v>SADANIANG</v>
      </c>
      <c r="Z33" s="11" t="str">
        <v>BUMBUN</v>
      </c>
      <c r="AA33" s="67">
        <v>45291</v>
      </c>
      <c r="AB33" s="67">
        <v>45292</v>
      </c>
      <c r="AC33" s="67">
        <v>45322</v>
      </c>
      <c r="AD33" s="67">
        <v>45321</v>
      </c>
      <c r="AE33" s="67">
        <v>45322</v>
      </c>
    </row>
    <row r="34" spans="1:31" ht="12.5">
      <c r="A34" s="10">
        <v>610422100176</v>
      </c>
      <c r="B34" s="10" t="str">
        <v>KSA24-LAPANGAN-JANUARI</v>
      </c>
      <c r="C34" s="10">
        <v>0</v>
      </c>
      <c r="D34" s="10">
        <f ca="1"/>
        <v>1</v>
      </c>
      <c r="E34" s="10" t="str">
        <v>Feri Firdaus</v>
      </c>
      <c r="F34" s="10" t="str">
        <v>PPL</v>
      </c>
      <c r="G34" s="10" t="str">
        <v>6102150412880001</v>
      </c>
      <c r="H34" s="10" t="str">
        <v>KSA PADI</v>
      </c>
      <c r="I34" s="10" t="str">
        <v>KSA24-LAPANGAN-JANUARI-PPL-KSA PADI</v>
      </c>
      <c r="J34" s="10" t="str">
        <v>Segmen</v>
      </c>
      <c r="K34" s="66">
        <v>116000</v>
      </c>
      <c r="L34" s="10">
        <v>3</v>
      </c>
      <c r="M34" s="10">
        <v>348000</v>
      </c>
      <c r="N34" s="70">
        <v>348000</v>
      </c>
      <c r="O34" s="67">
        <v>45322</v>
      </c>
      <c r="P34" s="10">
        <v>2024</v>
      </c>
      <c r="Q34" s="10">
        <v>1</v>
      </c>
      <c r="R34" s="10" t="str">
        <v>SURVEI-PPL</v>
      </c>
      <c r="S34" s="10" t="str">
        <v>610422100176-2024-1</v>
      </c>
      <c r="T34" s="10" t="str">
        <v>610422100176-2024-1-SURVEI-PPL</v>
      </c>
      <c r="U34" s="10">
        <v>1</v>
      </c>
      <c r="V34" s="10" t="e">
        <f ca="1"/>
        <v>#NAME?</v>
      </c>
      <c r="W34" s="67">
        <v>45344</v>
      </c>
      <c r="X34" s="11" t="str">
        <v>Kerangka Sampel Area (KSA) 2024 Januari</v>
      </c>
      <c r="Y34" s="11" t="str">
        <v>SEGEDONG</v>
      </c>
      <c r="Z34" s="11" t="str">
        <v>SUNGAI BURUNG</v>
      </c>
      <c r="AA34" s="67">
        <v>45291</v>
      </c>
      <c r="AB34" s="67">
        <v>45292</v>
      </c>
      <c r="AC34" s="67">
        <v>45322</v>
      </c>
      <c r="AD34" s="67">
        <v>45321</v>
      </c>
      <c r="AE34" s="67">
        <v>45322</v>
      </c>
    </row>
    <row r="35" spans="1:31" ht="12.5">
      <c r="A35" s="10">
        <v>610423110183</v>
      </c>
      <c r="B35" s="10" t="str">
        <v>KSA24-LAPANGAN-JANUARI</v>
      </c>
      <c r="C35" s="10">
        <v>0</v>
      </c>
      <c r="D35" s="10">
        <f ca="1"/>
        <v>1</v>
      </c>
      <c r="E35" s="10" t="str">
        <v>Azhar</v>
      </c>
      <c r="F35" s="10" t="str">
        <v>PPL</v>
      </c>
      <c r="G35" s="10" t="str">
        <v>6102081211790004</v>
      </c>
      <c r="H35" s="10" t="str">
        <v>KSA PADI</v>
      </c>
      <c r="I35" s="10" t="str">
        <v>KSA24-LAPANGAN-JANUARI-PPL-KSA PADI</v>
      </c>
      <c r="J35" s="10" t="str">
        <v>Segmen</v>
      </c>
      <c r="K35" s="66">
        <v>116000</v>
      </c>
      <c r="L35" s="10">
        <v>6</v>
      </c>
      <c r="M35" s="10">
        <v>696000</v>
      </c>
      <c r="N35" s="70">
        <v>696000</v>
      </c>
      <c r="O35" s="67">
        <v>45322</v>
      </c>
      <c r="P35" s="10">
        <v>2024</v>
      </c>
      <c r="Q35" s="10">
        <v>1</v>
      </c>
      <c r="R35" s="10" t="str">
        <v>SURVEI-PPL</v>
      </c>
      <c r="S35" s="10" t="str">
        <v>610423110183-2024-1</v>
      </c>
      <c r="T35" s="10" t="str">
        <v>610423110183-2024-1-SURVEI-PPL</v>
      </c>
      <c r="U35" s="10">
        <v>1</v>
      </c>
      <c r="V35" s="10" t="e">
        <f ca="1"/>
        <v>#NAME?</v>
      </c>
      <c r="W35" s="67">
        <v>45344</v>
      </c>
      <c r="X35" s="11" t="str">
        <v>Kerangka Sampel Area (KSA) 2024 Januari</v>
      </c>
      <c r="Y35" s="11" t="str">
        <v>JONGKAT</v>
      </c>
      <c r="Z35" s="11" t="str">
        <v>SUNGAI NIPAH</v>
      </c>
      <c r="AA35" s="67">
        <v>45291</v>
      </c>
      <c r="AB35" s="67">
        <v>45292</v>
      </c>
      <c r="AC35" s="67">
        <v>45322</v>
      </c>
      <c r="AD35" s="67">
        <v>45321</v>
      </c>
      <c r="AE35" s="67">
        <v>45322</v>
      </c>
    </row>
    <row r="36" spans="1:31" ht="12.5">
      <c r="A36" s="10">
        <v>610423040018</v>
      </c>
      <c r="B36" s="10" t="str">
        <v>KSA24-LAPANGAN-JANUARI</v>
      </c>
      <c r="C36" s="10">
        <v>0</v>
      </c>
      <c r="D36" s="10">
        <f ca="1"/>
        <v>1</v>
      </c>
      <c r="E36" s="10" t="str">
        <v>Handoko Tuah Sabarman Sipayung</v>
      </c>
      <c r="F36" s="10" t="str">
        <v>PPL</v>
      </c>
      <c r="G36" s="10" t="str">
        <v>1212092309880001</v>
      </c>
      <c r="H36" s="10" t="str">
        <v>KSA PADI</v>
      </c>
      <c r="I36" s="10" t="str">
        <v>KSA24-LAPANGAN-JANUARI-PPL-KSA PADI</v>
      </c>
      <c r="J36" s="10" t="str">
        <v>Segmen</v>
      </c>
      <c r="K36" s="66">
        <v>116000</v>
      </c>
      <c r="L36" s="10">
        <v>4</v>
      </c>
      <c r="M36" s="10">
        <v>464000</v>
      </c>
      <c r="N36" s="70">
        <v>464000</v>
      </c>
      <c r="O36" s="67">
        <v>45322</v>
      </c>
      <c r="P36" s="10">
        <v>2024</v>
      </c>
      <c r="Q36" s="10">
        <v>1</v>
      </c>
      <c r="R36" s="10" t="str">
        <v>SURVEI-PPL</v>
      </c>
      <c r="S36" s="10" t="str">
        <v>610423040018-2024-1</v>
      </c>
      <c r="T36" s="10" t="str">
        <v>610423040018-2024-1-SURVEI-PPL</v>
      </c>
      <c r="U36" s="10">
        <v>1</v>
      </c>
      <c r="V36" s="10" t="e">
        <f ca="1"/>
        <v>#NAME?</v>
      </c>
      <c r="W36" s="67">
        <v>45344</v>
      </c>
      <c r="X36" s="11" t="str">
        <v>Kerangka Sampel Area (KSA) 2024 Januari</v>
      </c>
      <c r="Y36" s="11" t="str">
        <v>TOHO</v>
      </c>
      <c r="Z36" s="11" t="str">
        <v>PAK LAHENG</v>
      </c>
      <c r="AA36" s="67">
        <v>45291</v>
      </c>
      <c r="AB36" s="67">
        <v>45292</v>
      </c>
      <c r="AC36" s="67">
        <v>45322</v>
      </c>
      <c r="AD36" s="67">
        <v>45321</v>
      </c>
      <c r="AE36" s="67">
        <v>45322</v>
      </c>
    </row>
    <row r="37" spans="1:31" ht="12.5">
      <c r="A37" s="10">
        <v>610422040059</v>
      </c>
      <c r="B37" s="10" t="str">
        <v>KSA24-LAPANGAN-JANUARI</v>
      </c>
      <c r="C37" s="10">
        <v>0</v>
      </c>
      <c r="D37" s="10">
        <f ca="1"/>
        <v>1</v>
      </c>
      <c r="E37" s="10" t="str">
        <v>Abang Handri</v>
      </c>
      <c r="F37" s="10" t="str">
        <v>PPL</v>
      </c>
      <c r="G37" s="10" t="str">
        <v>6102072211780002</v>
      </c>
      <c r="H37" s="10" t="str">
        <v>KSA JAGUNG</v>
      </c>
      <c r="I37" s="10" t="str">
        <v>KSA24-LAPANGAN-JANUARI-PPL-KSA JAGUNG</v>
      </c>
      <c r="J37" s="10" t="str">
        <v>Segmen</v>
      </c>
      <c r="K37" s="66">
        <v>59000</v>
      </c>
      <c r="L37" s="10">
        <v>6</v>
      </c>
      <c r="M37" s="10">
        <v>354000</v>
      </c>
      <c r="N37" s="70">
        <v>354000</v>
      </c>
      <c r="O37" s="67">
        <v>45322</v>
      </c>
      <c r="P37" s="10">
        <v>2024</v>
      </c>
      <c r="Q37" s="10">
        <v>1</v>
      </c>
      <c r="R37" s="10" t="str">
        <v>SURVEI-PPL</v>
      </c>
      <c r="S37" s="10" t="str">
        <v>610422040059-2024-1</v>
      </c>
      <c r="T37" s="10" t="str">
        <v>610422040059-2024-1-SURVEI-PPL</v>
      </c>
      <c r="U37" s="10">
        <v>1</v>
      </c>
      <c r="V37" s="10" t="e">
        <f ca="1"/>
        <v>#NAME?</v>
      </c>
      <c r="W37" s="67">
        <v>45344</v>
      </c>
      <c r="X37" s="11" t="str">
        <v>Kerangka Sampel Area (KSA) 2024 Januari</v>
      </c>
      <c r="Y37" s="11" t="str">
        <v>MEMPAWAH HILIR</v>
      </c>
      <c r="Z37" s="11" t="str">
        <v>TERUSAN</v>
      </c>
      <c r="AA37" s="67">
        <v>45291</v>
      </c>
      <c r="AB37" s="67">
        <v>45292</v>
      </c>
      <c r="AC37" s="67">
        <v>45322</v>
      </c>
      <c r="AD37" s="67">
        <v>45321</v>
      </c>
      <c r="AE37" s="67">
        <v>45322</v>
      </c>
    </row>
    <row r="38" spans="1:31" ht="12.5">
      <c r="A38" s="10">
        <v>610422020048</v>
      </c>
      <c r="B38" s="10" t="str">
        <v>KSA24-LAPANGAN-JANUARI</v>
      </c>
      <c r="C38" s="10">
        <v>0</v>
      </c>
      <c r="D38" s="10">
        <f ca="1"/>
        <v>1</v>
      </c>
      <c r="E38" s="10" t="str">
        <v>Herri Gustaman</v>
      </c>
      <c r="F38" s="10" t="str">
        <v>PPL</v>
      </c>
      <c r="G38" s="10" t="str">
        <v>6102072503800001</v>
      </c>
      <c r="H38" s="10" t="str">
        <v>KSA JAGUNG</v>
      </c>
      <c r="I38" s="10" t="str">
        <v>KSA24-LAPANGAN-JANUARI-PPL-KSA JAGUNG</v>
      </c>
      <c r="J38" s="10" t="str">
        <v>Segmen</v>
      </c>
      <c r="K38" s="66">
        <v>59000</v>
      </c>
      <c r="L38" s="10">
        <v>6</v>
      </c>
      <c r="M38" s="10">
        <v>354000</v>
      </c>
      <c r="N38" s="70">
        <v>354000</v>
      </c>
      <c r="O38" s="67">
        <v>45322</v>
      </c>
      <c r="P38" s="10">
        <v>2024</v>
      </c>
      <c r="Q38" s="10">
        <v>1</v>
      </c>
      <c r="R38" s="10" t="str">
        <v>SURVEI-PPL</v>
      </c>
      <c r="S38" s="10" t="str">
        <v>610422020048-2024-1</v>
      </c>
      <c r="T38" s="10" t="str">
        <v>610422020048-2024-1-SURVEI-PPL</v>
      </c>
      <c r="U38" s="10">
        <v>1</v>
      </c>
      <c r="V38" s="10" t="e">
        <f ca="1"/>
        <v>#NAME?</v>
      </c>
      <c r="W38" s="67">
        <v>45344</v>
      </c>
      <c r="X38" s="11" t="str">
        <v>Kerangka Sampel Area (KSA) 2024 Januari</v>
      </c>
      <c r="Y38" s="11" t="str">
        <v>MEMPAWAH TIMUR</v>
      </c>
      <c r="Z38" s="11" t="str">
        <v>SEJEGI</v>
      </c>
      <c r="AA38" s="67">
        <v>45291</v>
      </c>
      <c r="AB38" s="67">
        <v>45292</v>
      </c>
      <c r="AC38" s="67">
        <v>45322</v>
      </c>
      <c r="AD38" s="67">
        <v>45321</v>
      </c>
      <c r="AE38" s="67">
        <v>45322</v>
      </c>
    </row>
    <row r="39" spans="1:31" ht="12.5">
      <c r="A39" s="10">
        <v>610422040058</v>
      </c>
      <c r="B39" s="10" t="str">
        <v>KSA24-LAPANGAN-JANUARI</v>
      </c>
      <c r="C39" s="10">
        <v>0</v>
      </c>
      <c r="D39" s="10">
        <f ca="1"/>
        <v>1</v>
      </c>
      <c r="E39" s="10" t="str">
        <v>Jamaluddin, Sp</v>
      </c>
      <c r="F39" s="10" t="str">
        <v>PPL</v>
      </c>
      <c r="G39" s="10" t="str">
        <v>6102152607940002</v>
      </c>
      <c r="H39" s="10" t="str">
        <v>KSA JAGUNG</v>
      </c>
      <c r="I39" s="10" t="str">
        <v>KSA24-LAPANGAN-JANUARI-PPL-KSA JAGUNG</v>
      </c>
      <c r="J39" s="10" t="str">
        <v>Segmen</v>
      </c>
      <c r="K39" s="66">
        <v>59000</v>
      </c>
      <c r="L39" s="10">
        <v>10</v>
      </c>
      <c r="M39" s="10">
        <v>590000</v>
      </c>
      <c r="N39" s="70">
        <v>590000</v>
      </c>
      <c r="O39" s="67">
        <v>45322</v>
      </c>
      <c r="P39" s="10">
        <v>2024</v>
      </c>
      <c r="Q39" s="10">
        <v>1</v>
      </c>
      <c r="R39" s="10" t="str">
        <v>SURVEI-PPL</v>
      </c>
      <c r="S39" s="10" t="str">
        <v>610422040058-2024-1</v>
      </c>
      <c r="T39" s="10" t="str">
        <v>610422040058-2024-1-SURVEI-PPL</v>
      </c>
      <c r="U39" s="10">
        <v>1</v>
      </c>
      <c r="V39" s="10" t="e">
        <f ca="1"/>
        <v>#NAME?</v>
      </c>
      <c r="W39" s="67">
        <v>45344</v>
      </c>
      <c r="X39" s="11" t="str">
        <v>Kerangka Sampel Area (KSA) 2024 Januari</v>
      </c>
      <c r="Y39" s="11" t="str">
        <v>SEGEDONG</v>
      </c>
      <c r="Z39" s="11" t="str">
        <v>PENITI DALAM I</v>
      </c>
      <c r="AA39" s="67">
        <v>45291</v>
      </c>
      <c r="AB39" s="67">
        <v>45292</v>
      </c>
      <c r="AC39" s="67">
        <v>45322</v>
      </c>
      <c r="AD39" s="67">
        <v>45321</v>
      </c>
      <c r="AE39" s="67">
        <v>45322</v>
      </c>
    </row>
    <row r="40" spans="1:31" ht="12.5">
      <c r="A40" s="10">
        <v>610423110183</v>
      </c>
      <c r="B40" s="10" t="str">
        <v>KSA24-LAPANGAN-JANUARI</v>
      </c>
      <c r="C40" s="10">
        <v>0</v>
      </c>
      <c r="D40" s="10">
        <f ca="1"/>
        <v>1</v>
      </c>
      <c r="E40" s="10" t="str">
        <v>Azhar</v>
      </c>
      <c r="F40" s="10" t="str">
        <v>PPL</v>
      </c>
      <c r="G40" s="10" t="str">
        <v>6102081211790004</v>
      </c>
      <c r="H40" s="10" t="str">
        <v>KSA JAGUNG</v>
      </c>
      <c r="I40" s="10" t="str">
        <v>KSA24-LAPANGAN-JANUARI-PPL-KSA JAGUNG</v>
      </c>
      <c r="J40" s="10" t="str">
        <v>Segmen</v>
      </c>
      <c r="K40" s="66">
        <v>59000</v>
      </c>
      <c r="L40" s="10">
        <v>6</v>
      </c>
      <c r="M40" s="10">
        <v>354000</v>
      </c>
      <c r="N40" s="70">
        <v>354000</v>
      </c>
      <c r="O40" s="67">
        <v>45322</v>
      </c>
      <c r="P40" s="10">
        <v>2024</v>
      </c>
      <c r="Q40" s="10">
        <v>1</v>
      </c>
      <c r="R40" s="10" t="str">
        <v>SURVEI-PPL</v>
      </c>
      <c r="S40" s="10" t="str">
        <v>610423110183-2024-1</v>
      </c>
      <c r="T40" s="10" t="str">
        <v>610423110183-2024-1-SURVEI-PPL</v>
      </c>
      <c r="U40" s="10">
        <v>1</v>
      </c>
      <c r="V40" s="10" t="e">
        <f ca="1"/>
        <v>#NAME?</v>
      </c>
      <c r="W40" s="67">
        <v>45344</v>
      </c>
      <c r="X40" s="11" t="str">
        <v>Kerangka Sampel Area (KSA) 2024 Januari</v>
      </c>
      <c r="Y40" s="11" t="str">
        <v>JONGKAT</v>
      </c>
      <c r="Z40" s="11" t="str">
        <v>SUNGAI NIPAH</v>
      </c>
      <c r="AA40" s="67">
        <v>45291</v>
      </c>
      <c r="AB40" s="67">
        <v>45292</v>
      </c>
      <c r="AC40" s="67">
        <v>45322</v>
      </c>
      <c r="AD40" s="67">
        <v>45321</v>
      </c>
      <c r="AE40" s="67">
        <v>45322</v>
      </c>
    </row>
    <row r="41" spans="1:31" ht="12.5">
      <c r="A41" s="10">
        <v>610422100244</v>
      </c>
      <c r="B41" s="10" t="str">
        <v>KSA24-LAPANGAN-JANUARI</v>
      </c>
      <c r="C41" s="10">
        <v>0</v>
      </c>
      <c r="D41" s="10">
        <f ca="1"/>
        <v>1</v>
      </c>
      <c r="E41" s="10" t="str">
        <v>Sugianto</v>
      </c>
      <c r="F41" s="10" t="str">
        <v>PPL</v>
      </c>
      <c r="G41" s="10" t="str">
        <v>6102171003900002</v>
      </c>
      <c r="H41" s="10" t="str">
        <v>KSA JAGUNG</v>
      </c>
      <c r="I41" s="10" t="str">
        <v>KSA24-LAPANGAN-JANUARI-PPL-KSA JAGUNG</v>
      </c>
      <c r="J41" s="10" t="str">
        <v>Segmen</v>
      </c>
      <c r="K41" s="66">
        <v>59000</v>
      </c>
      <c r="L41" s="10">
        <v>8</v>
      </c>
      <c r="M41" s="10">
        <v>472000</v>
      </c>
      <c r="N41" s="70">
        <v>472000</v>
      </c>
      <c r="O41" s="67">
        <v>45322</v>
      </c>
      <c r="P41" s="10">
        <v>2024</v>
      </c>
      <c r="Q41" s="10">
        <v>1</v>
      </c>
      <c r="R41" s="10" t="str">
        <v>SURVEI-PPL</v>
      </c>
      <c r="S41" s="10" t="str">
        <v>610422100244-2024-1</v>
      </c>
      <c r="T41" s="10" t="str">
        <v>610422100244-2024-1-SURVEI-PPL</v>
      </c>
      <c r="U41" s="10">
        <v>1</v>
      </c>
      <c r="V41" s="10" t="e">
        <f ca="1"/>
        <v>#NAME?</v>
      </c>
      <c r="W41" s="67">
        <v>45344</v>
      </c>
      <c r="X41" s="11" t="str">
        <v>Kerangka Sampel Area (KSA) 2024 Januari</v>
      </c>
      <c r="Y41" s="11" t="str">
        <v>SADANIANG</v>
      </c>
      <c r="Z41" s="11" t="str">
        <v>BUMBUN</v>
      </c>
      <c r="AA41" s="67">
        <v>45291</v>
      </c>
      <c r="AB41" s="67">
        <v>45292</v>
      </c>
      <c r="AC41" s="67">
        <v>45322</v>
      </c>
      <c r="AD41" s="67">
        <v>45321</v>
      </c>
      <c r="AE41" s="67">
        <v>45322</v>
      </c>
    </row>
    <row r="42" spans="1:31" ht="12.5">
      <c r="A42" s="10">
        <v>610422100165</v>
      </c>
      <c r="B42" s="10" t="str">
        <v>HPSJT-UPDATING</v>
      </c>
      <c r="C42" s="10">
        <v>0</v>
      </c>
      <c r="D42" s="10">
        <f ca="1"/>
        <v>1</v>
      </c>
      <c r="E42" s="10" t="str">
        <v>Yanti</v>
      </c>
      <c r="F42" s="10" t="str">
        <v>PPL</v>
      </c>
      <c r="G42" s="10" t="str">
        <v>6102074803980002</v>
      </c>
      <c r="H42" s="10" t="str">
        <v>PAKET UPDATING LISTING</v>
      </c>
      <c r="I42" s="10" t="str">
        <v>HPSJT-UPDATING-PPL-PAKET UPDATING LISTING</v>
      </c>
      <c r="J42" s="10" t="str">
        <v>Dokumen</v>
      </c>
      <c r="K42" s="66">
        <v>50000</v>
      </c>
      <c r="L42" s="10">
        <v>1</v>
      </c>
      <c r="M42" s="10">
        <v>50000</v>
      </c>
      <c r="N42" s="10">
        <v>0</v>
      </c>
      <c r="O42" s="67">
        <v>45322</v>
      </c>
      <c r="P42" s="10">
        <v>2024</v>
      </c>
      <c r="Q42" s="10">
        <v>1</v>
      </c>
      <c r="R42" s="10" t="str">
        <v>SURVEI-PPL</v>
      </c>
      <c r="S42" s="10" t="str">
        <v>610422100165-2024-1</v>
      </c>
      <c r="T42" s="10" t="str">
        <v>610422100165-2024-1-SURVEI-PPL</v>
      </c>
      <c r="U42" s="10">
        <v>1</v>
      </c>
      <c r="V42" s="10" t="e">
        <f ca="1"/>
        <v>#NAME?</v>
      </c>
      <c r="W42" s="67">
        <v>0</v>
      </c>
      <c r="X42" s="11" t="str">
        <v>Updating Paket HPS, HPJ, dan HPT Kabupaten</v>
      </c>
      <c r="Y42" s="11" t="str">
        <v>SUNGAI PINYUH</v>
      </c>
      <c r="Z42" s="11" t="str">
        <v>SUNGAI BAKAU BESAR LAUT</v>
      </c>
      <c r="AA42" s="67">
        <v>45291</v>
      </c>
      <c r="AB42" s="67">
        <v>45292</v>
      </c>
      <c r="AC42" s="67">
        <v>45322</v>
      </c>
      <c r="AD42" s="67">
        <v>45321</v>
      </c>
      <c r="AE42" s="67">
        <v>45322</v>
      </c>
    </row>
    <row r="43" spans="1:31" ht="12.5">
      <c r="A43" s="10">
        <v>610422030001</v>
      </c>
      <c r="B43" s="10" t="str">
        <v>SAKERNAS24-LAPANGAN-SEMESTER1</v>
      </c>
      <c r="C43" s="10">
        <v>0</v>
      </c>
      <c r="D43" s="10">
        <f ca="1"/>
        <v>1</v>
      </c>
      <c r="E43" s="10" t="str">
        <v>Pitra,Sp</v>
      </c>
      <c r="F43" s="10" t="str">
        <v>PML</v>
      </c>
      <c r="G43" s="10" t="str">
        <v>6102010808800006</v>
      </c>
      <c r="H43" s="10" t="str">
        <v>UPDATING LISTING</v>
      </c>
      <c r="I43" s="10" t="str">
        <v>SAKERNAS24-LAPANGAN-SEMESTER1-PML-UPDATING LISTING</v>
      </c>
      <c r="J43" s="10" t="str">
        <v>Dokumen</v>
      </c>
      <c r="K43" s="66">
        <v>55000</v>
      </c>
      <c r="L43" s="10">
        <v>4</v>
      </c>
      <c r="M43" s="10">
        <v>220000</v>
      </c>
      <c r="N43" s="70">
        <v>213400</v>
      </c>
      <c r="O43" s="67">
        <v>45330</v>
      </c>
      <c r="P43" s="10">
        <v>2024</v>
      </c>
      <c r="Q43" s="10">
        <v>2</v>
      </c>
      <c r="R43" s="10" t="str">
        <v>SURVEI-PML</v>
      </c>
      <c r="S43" s="10" t="str">
        <v>610422030001-2024-2</v>
      </c>
      <c r="T43" s="10" t="str">
        <v>610422030001-2024-2-SURVEI-PML</v>
      </c>
      <c r="U43" s="10">
        <v>1</v>
      </c>
      <c r="V43" s="10" t="e">
        <f ca="1"/>
        <v>#NAME?</v>
      </c>
      <c r="W43" s="67">
        <v>45351</v>
      </c>
      <c r="X43" s="11" t="str">
        <v>Sakernas Februari 2024</v>
      </c>
      <c r="Y43" s="11" t="str">
        <v>SEGEDONG</v>
      </c>
      <c r="Z43" s="11" t="str">
        <v>PENITI DALAM I</v>
      </c>
      <c r="AA43" s="67">
        <v>45322</v>
      </c>
      <c r="AB43" s="67">
        <v>45323</v>
      </c>
      <c r="AC43" s="67">
        <v>45351</v>
      </c>
      <c r="AD43" s="67">
        <v>45350</v>
      </c>
      <c r="AE43" s="67">
        <v>45351</v>
      </c>
    </row>
    <row r="44" spans="1:31" ht="12.5">
      <c r="A44" s="10">
        <v>610422040056</v>
      </c>
      <c r="B44" s="10" t="str">
        <v>SAKERNAS24-LAPANGAN-SEMESTER1</v>
      </c>
      <c r="C44" s="10">
        <v>0</v>
      </c>
      <c r="D44" s="10">
        <f ca="1"/>
        <v>1</v>
      </c>
      <c r="E44" s="10" t="str">
        <v>Wandi Syafari</v>
      </c>
      <c r="F44" s="10" t="str">
        <v>PML</v>
      </c>
      <c r="G44" s="10" t="str">
        <v>6102010802760001</v>
      </c>
      <c r="H44" s="10" t="str">
        <v>UPDATING LISTING</v>
      </c>
      <c r="I44" s="10" t="str">
        <v>SAKERNAS24-LAPANGAN-SEMESTER1-PML-UPDATING LISTING</v>
      </c>
      <c r="J44" s="10" t="str">
        <v>Dokumen</v>
      </c>
      <c r="K44" s="66">
        <v>55000</v>
      </c>
      <c r="L44" s="10">
        <v>6</v>
      </c>
      <c r="M44" s="10">
        <v>330000</v>
      </c>
      <c r="N44" s="70">
        <v>320100</v>
      </c>
      <c r="O44" s="67">
        <v>45330</v>
      </c>
      <c r="P44" s="10">
        <v>2024</v>
      </c>
      <c r="Q44" s="10">
        <v>2</v>
      </c>
      <c r="R44" s="10" t="str">
        <v>SURVEI-PML</v>
      </c>
      <c r="S44" s="10" t="str">
        <v>610422040056-2024-2</v>
      </c>
      <c r="T44" s="10" t="str">
        <v>610422040056-2024-2-SURVEI-PML</v>
      </c>
      <c r="U44" s="10">
        <v>1</v>
      </c>
      <c r="V44" s="10" t="e">
        <f ca="1"/>
        <v>#NAME?</v>
      </c>
      <c r="W44" s="67">
        <v>45351</v>
      </c>
      <c r="X44" s="11" t="str">
        <v>Sakernas Februari 2024</v>
      </c>
      <c r="Y44" s="11" t="str">
        <v>MEMPAWAH HILIR</v>
      </c>
      <c r="Z44" s="11" t="str">
        <v>TERUSAN</v>
      </c>
      <c r="AA44" s="67">
        <v>45322</v>
      </c>
      <c r="AB44" s="67">
        <v>45323</v>
      </c>
      <c r="AC44" s="67">
        <v>45351</v>
      </c>
      <c r="AD44" s="67">
        <v>45350</v>
      </c>
      <c r="AE44" s="67">
        <v>45351</v>
      </c>
    </row>
    <row r="45" spans="1:31" ht="12.5">
      <c r="A45" s="10">
        <v>610423030006</v>
      </c>
      <c r="B45" s="10" t="str">
        <v>SAKERNAS24-LAPANGAN-SEMESTER1</v>
      </c>
      <c r="C45" s="10">
        <v>0</v>
      </c>
      <c r="D45" s="10">
        <f ca="1"/>
        <v>1</v>
      </c>
      <c r="E45" s="10" t="str">
        <v>Desta Dara Ayu Lestari, S.Pd</v>
      </c>
      <c r="F45" s="10" t="str">
        <v>PML</v>
      </c>
      <c r="G45" s="10" t="str">
        <v>6102065012950003</v>
      </c>
      <c r="H45" s="10" t="str">
        <v>UPDATING LISTING</v>
      </c>
      <c r="I45" s="10" t="str">
        <v>SAKERNAS24-LAPANGAN-SEMESTER1-PML-UPDATING LISTING</v>
      </c>
      <c r="J45" s="10" t="str">
        <v>Dokumen</v>
      </c>
      <c r="K45" s="66">
        <v>55000</v>
      </c>
      <c r="L45" s="10">
        <v>4</v>
      </c>
      <c r="M45" s="10">
        <v>220000</v>
      </c>
      <c r="N45" s="70">
        <v>213400</v>
      </c>
      <c r="O45" s="67">
        <v>45330</v>
      </c>
      <c r="P45" s="10">
        <v>2024</v>
      </c>
      <c r="Q45" s="10">
        <v>2</v>
      </c>
      <c r="R45" s="10" t="str">
        <v>SURVEI-PML</v>
      </c>
      <c r="S45" s="10" t="str">
        <v>610423030006-2024-2</v>
      </c>
      <c r="T45" s="10" t="str">
        <v>610423030006-2024-2-SURVEI-PML</v>
      </c>
      <c r="U45" s="10">
        <v>1</v>
      </c>
      <c r="V45" s="10" t="e">
        <f ca="1"/>
        <v>#NAME?</v>
      </c>
      <c r="W45" s="67">
        <v>45351</v>
      </c>
      <c r="X45" s="11" t="str">
        <v>Sakernas Februari 2024</v>
      </c>
      <c r="Y45" s="11" t="str">
        <v>TOHO</v>
      </c>
      <c r="Z45" s="11" t="str">
        <v>SEPANG</v>
      </c>
      <c r="AA45" s="67">
        <v>45322</v>
      </c>
      <c r="AB45" s="67">
        <v>45323</v>
      </c>
      <c r="AC45" s="67">
        <v>45351</v>
      </c>
      <c r="AD45" s="67">
        <v>45350</v>
      </c>
      <c r="AE45" s="67">
        <v>45351</v>
      </c>
    </row>
    <row r="46" spans="1:31" ht="12.5">
      <c r="A46" s="10">
        <v>610423090001</v>
      </c>
      <c r="B46" s="10" t="str">
        <v>SAKERNAS24-LAPANGAN-SEMESTER1</v>
      </c>
      <c r="C46" s="10">
        <v>0</v>
      </c>
      <c r="D46" s="10">
        <f ca="1"/>
        <v>1</v>
      </c>
      <c r="E46" s="10" t="str">
        <v>Utami Angraini</v>
      </c>
      <c r="F46" s="10" t="str">
        <v>PPL</v>
      </c>
      <c r="G46" s="10" t="str">
        <v>6102086810980002</v>
      </c>
      <c r="H46" s="10" t="str">
        <v>UPDATING LISTING</v>
      </c>
      <c r="I46" s="10" t="str">
        <v>SAKERNAS24-LAPANGAN-SEMESTER1-PPL-UPDATING LISTING</v>
      </c>
      <c r="J46" s="10" t="str">
        <v>Blok Sensus</v>
      </c>
      <c r="K46" s="66">
        <v>168000</v>
      </c>
      <c r="L46" s="10">
        <v>2</v>
      </c>
      <c r="M46" s="10">
        <v>336000</v>
      </c>
      <c r="N46" s="70">
        <v>325920</v>
      </c>
      <c r="O46" s="67">
        <v>45330</v>
      </c>
      <c r="P46" s="10">
        <v>2024</v>
      </c>
      <c r="Q46" s="10">
        <v>2</v>
      </c>
      <c r="R46" s="10" t="str">
        <v>SURVEI-PPL</v>
      </c>
      <c r="S46" s="10" t="str">
        <v>610423090001-2024-2</v>
      </c>
      <c r="T46" s="10" t="str">
        <v>610423090001-2024-2-SURVEI-PPL</v>
      </c>
      <c r="U46" s="10">
        <v>1</v>
      </c>
      <c r="V46" s="10" t="e">
        <f ca="1"/>
        <v>#NAME?</v>
      </c>
      <c r="W46" s="67">
        <v>45351</v>
      </c>
      <c r="X46" s="11" t="str">
        <v>Sakernas Februari 2024</v>
      </c>
      <c r="Y46" s="11" t="str">
        <v>JONGKAT</v>
      </c>
      <c r="Z46" s="11" t="str">
        <v>JUNGKAT</v>
      </c>
      <c r="AA46" s="67">
        <v>45322</v>
      </c>
      <c r="AB46" s="67">
        <v>45323</v>
      </c>
      <c r="AC46" s="67">
        <v>45351</v>
      </c>
      <c r="AD46" s="67">
        <v>45350</v>
      </c>
      <c r="AE46" s="67">
        <v>45351</v>
      </c>
    </row>
    <row r="47" spans="1:31" ht="12.5">
      <c r="A47" s="10">
        <v>610422040059</v>
      </c>
      <c r="B47" s="10" t="str">
        <v>SAKERNAS24-LAPANGAN-SEMESTER1</v>
      </c>
      <c r="C47" s="10">
        <v>0</v>
      </c>
      <c r="D47" s="10">
        <f ca="1"/>
        <v>1</v>
      </c>
      <c r="E47" s="10" t="str">
        <v>Abang Handri</v>
      </c>
      <c r="F47" s="10" t="str">
        <v>PPL</v>
      </c>
      <c r="G47" s="10" t="str">
        <v>6102072211780002</v>
      </c>
      <c r="H47" s="10" t="str">
        <v>UPDATING LISTING</v>
      </c>
      <c r="I47" s="10" t="str">
        <v>SAKERNAS24-LAPANGAN-SEMESTER1-PPL-UPDATING LISTING</v>
      </c>
      <c r="J47" s="10" t="str">
        <v>Blok Sensus</v>
      </c>
      <c r="K47" s="66">
        <v>168000</v>
      </c>
      <c r="L47" s="10">
        <v>2</v>
      </c>
      <c r="M47" s="10">
        <v>336000</v>
      </c>
      <c r="N47" s="70">
        <v>325920</v>
      </c>
      <c r="O47" s="67">
        <v>45330</v>
      </c>
      <c r="P47" s="10">
        <v>2024</v>
      </c>
      <c r="Q47" s="10">
        <v>2</v>
      </c>
      <c r="R47" s="10" t="str">
        <v>SURVEI-PPL</v>
      </c>
      <c r="S47" s="10" t="str">
        <v>610422040059-2024-2</v>
      </c>
      <c r="T47" s="10" t="str">
        <v>610422040059-2024-2-SURVEI-PPL</v>
      </c>
      <c r="U47" s="10">
        <v>1</v>
      </c>
      <c r="V47" s="10" t="e">
        <f ca="1"/>
        <v>#NAME?</v>
      </c>
      <c r="W47" s="67">
        <v>45351</v>
      </c>
      <c r="X47" s="11" t="str">
        <v>Sakernas Februari 2024</v>
      </c>
      <c r="Y47" s="11" t="str">
        <v>MEMPAWAH HILIR</v>
      </c>
      <c r="Z47" s="11" t="str">
        <v>TERUSAN</v>
      </c>
      <c r="AA47" s="67">
        <v>45322</v>
      </c>
      <c r="AB47" s="67">
        <v>45323</v>
      </c>
      <c r="AC47" s="67">
        <v>45351</v>
      </c>
      <c r="AD47" s="67">
        <v>45350</v>
      </c>
      <c r="AE47" s="67">
        <v>45351</v>
      </c>
    </row>
    <row r="48" spans="1:31" ht="12.5">
      <c r="A48" s="10">
        <v>610422100008</v>
      </c>
      <c r="B48" s="10" t="str">
        <v>SAKERNAS24-LAPANGAN-SEMESTER1</v>
      </c>
      <c r="C48" s="10">
        <v>0</v>
      </c>
      <c r="D48" s="10">
        <f ca="1"/>
        <v>1</v>
      </c>
      <c r="E48" s="10" t="str">
        <v>Novi Sri Wulandari</v>
      </c>
      <c r="F48" s="10" t="str">
        <v>PPL</v>
      </c>
      <c r="G48" s="10" t="str">
        <v>6171055411880008</v>
      </c>
      <c r="H48" s="10" t="str">
        <v>UPDATING LISTING</v>
      </c>
      <c r="I48" s="10" t="str">
        <v>SAKERNAS24-LAPANGAN-SEMESTER1-PPL-UPDATING LISTING</v>
      </c>
      <c r="J48" s="10" t="str">
        <v>Blok Sensus</v>
      </c>
      <c r="K48" s="66">
        <v>168000</v>
      </c>
      <c r="L48" s="10">
        <v>2</v>
      </c>
      <c r="M48" s="10">
        <v>336000</v>
      </c>
      <c r="N48" s="70">
        <v>325920</v>
      </c>
      <c r="O48" s="67">
        <v>45330</v>
      </c>
      <c r="P48" s="10">
        <v>2024</v>
      </c>
      <c r="Q48" s="10">
        <v>2</v>
      </c>
      <c r="R48" s="10" t="str">
        <v>SURVEI-PPL</v>
      </c>
      <c r="S48" s="10" t="str">
        <v>610422100008-2024-2</v>
      </c>
      <c r="T48" s="10" t="str">
        <v>610422100008-2024-2-SURVEI-PPL</v>
      </c>
      <c r="U48" s="10">
        <v>1</v>
      </c>
      <c r="V48" s="10" t="e">
        <f ca="1"/>
        <v>#NAME?</v>
      </c>
      <c r="W48" s="67">
        <v>45351</v>
      </c>
      <c r="X48" s="11" t="str">
        <v>Sakernas Februari 2024</v>
      </c>
      <c r="Y48" s="11" t="str">
        <v>PONTIANAK KOTA</v>
      </c>
      <c r="Z48" s="11" t="str">
        <v>SUNGAI BANGKONG</v>
      </c>
      <c r="AA48" s="67">
        <v>45322</v>
      </c>
      <c r="AB48" s="67">
        <v>45323</v>
      </c>
      <c r="AC48" s="67">
        <v>45351</v>
      </c>
      <c r="AD48" s="67">
        <v>45350</v>
      </c>
      <c r="AE48" s="67">
        <v>45351</v>
      </c>
    </row>
    <row r="49" spans="1:31" ht="12.5">
      <c r="A49" s="10">
        <v>610422100043</v>
      </c>
      <c r="B49" s="10" t="str">
        <v>SAKERNAS24-LAPANGAN-SEMESTER1</v>
      </c>
      <c r="C49" s="10">
        <v>0</v>
      </c>
      <c r="D49" s="10">
        <f ca="1"/>
        <v>1</v>
      </c>
      <c r="E49" s="10" t="str">
        <v>Eligia Giok</v>
      </c>
      <c r="F49" s="10" t="str">
        <v>PPL</v>
      </c>
      <c r="G49" s="10" t="str">
        <v>6102165612000001</v>
      </c>
      <c r="H49" s="10" t="str">
        <v>UPDATING LISTING</v>
      </c>
      <c r="I49" s="10" t="str">
        <v>SAKERNAS24-LAPANGAN-SEMESTER1-PPL-UPDATING LISTING</v>
      </c>
      <c r="J49" s="10" t="str">
        <v>Blok Sensus</v>
      </c>
      <c r="K49" s="66">
        <v>168000</v>
      </c>
      <c r="L49" s="10">
        <v>2</v>
      </c>
      <c r="M49" s="10">
        <v>336000</v>
      </c>
      <c r="N49" s="70">
        <v>325920</v>
      </c>
      <c r="O49" s="67">
        <v>45330</v>
      </c>
      <c r="P49" s="10">
        <v>2024</v>
      </c>
      <c r="Q49" s="10">
        <v>2</v>
      </c>
      <c r="R49" s="10" t="str">
        <v>SURVEI-PPL</v>
      </c>
      <c r="S49" s="10" t="str">
        <v>610422100043-2024-2</v>
      </c>
      <c r="T49" s="10" t="str">
        <v>610422100043-2024-2-SURVEI-PPL</v>
      </c>
      <c r="U49" s="10">
        <v>1</v>
      </c>
      <c r="V49" s="10" t="e">
        <f ca="1"/>
        <v>#NAME?</v>
      </c>
      <c r="W49" s="67">
        <v>45351</v>
      </c>
      <c r="X49" s="11" t="str">
        <v>Sakernas Februari 2024</v>
      </c>
      <c r="Y49" s="11" t="str">
        <v>ANJONGAN</v>
      </c>
      <c r="Z49" s="11" t="str">
        <v>DEMA</v>
      </c>
      <c r="AA49" s="67">
        <v>45322</v>
      </c>
      <c r="AB49" s="67">
        <v>45323</v>
      </c>
      <c r="AC49" s="67">
        <v>45351</v>
      </c>
      <c r="AD49" s="67">
        <v>45350</v>
      </c>
      <c r="AE49" s="67">
        <v>45351</v>
      </c>
    </row>
    <row r="50" spans="1:31" ht="12.5">
      <c r="A50" s="10">
        <v>610422100086</v>
      </c>
      <c r="B50" s="10" t="str">
        <v>SAKERNAS24-LAPANGAN-SEMESTER1</v>
      </c>
      <c r="C50" s="10">
        <v>0</v>
      </c>
      <c r="D50" s="10">
        <f ca="1"/>
        <v>1</v>
      </c>
      <c r="E50" s="10" t="str">
        <v>Imamul Akhyar</v>
      </c>
      <c r="F50" s="10" t="str">
        <v>PPL</v>
      </c>
      <c r="G50" s="10" t="str">
        <v>6102012211930002</v>
      </c>
      <c r="H50" s="10" t="str">
        <v>UPDATING LISTING</v>
      </c>
      <c r="I50" s="10" t="str">
        <v>SAKERNAS24-LAPANGAN-SEMESTER1-PPL-UPDATING LISTING</v>
      </c>
      <c r="J50" s="10" t="str">
        <v>Blok Sensus</v>
      </c>
      <c r="K50" s="66">
        <v>168000</v>
      </c>
      <c r="L50" s="10">
        <v>2</v>
      </c>
      <c r="M50" s="10">
        <v>336000</v>
      </c>
      <c r="N50" s="70">
        <v>325920</v>
      </c>
      <c r="O50" s="67">
        <v>45330</v>
      </c>
      <c r="P50" s="10">
        <v>2024</v>
      </c>
      <c r="Q50" s="10">
        <v>2</v>
      </c>
      <c r="R50" s="10" t="str">
        <v>SURVEI-PPL</v>
      </c>
      <c r="S50" s="10" t="str">
        <v>610422100086-2024-2</v>
      </c>
      <c r="T50" s="10" t="str">
        <v>610422100086-2024-2-SURVEI-PPL</v>
      </c>
      <c r="U50" s="10">
        <v>1</v>
      </c>
      <c r="V50" s="10" t="e">
        <f ca="1"/>
        <v>#NAME?</v>
      </c>
      <c r="W50" s="67">
        <v>45351</v>
      </c>
      <c r="X50" s="11" t="str">
        <v>Sakernas Februari 2024</v>
      </c>
      <c r="Y50" s="11" t="str">
        <v>MEMPAWAH HILIR</v>
      </c>
      <c r="Z50" s="11" t="str">
        <v>SENGKUBANG</v>
      </c>
      <c r="AA50" s="67">
        <v>45322</v>
      </c>
      <c r="AB50" s="67">
        <v>45323</v>
      </c>
      <c r="AC50" s="67">
        <v>45351</v>
      </c>
      <c r="AD50" s="67">
        <v>45350</v>
      </c>
      <c r="AE50" s="67">
        <v>45351</v>
      </c>
    </row>
    <row r="51" spans="1:31" ht="12.5">
      <c r="A51" s="10">
        <v>610422100111</v>
      </c>
      <c r="B51" s="10" t="str">
        <v>SAKERNAS24-LAPANGAN-SEMESTER1</v>
      </c>
      <c r="C51" s="10">
        <v>0</v>
      </c>
      <c r="D51" s="10">
        <f ca="1"/>
        <v>1</v>
      </c>
      <c r="E51" s="10" t="str">
        <v>Cici Purnamasari</v>
      </c>
      <c r="F51" s="10" t="str">
        <v>PPL</v>
      </c>
      <c r="G51" s="10" t="str">
        <v>6102074203010007</v>
      </c>
      <c r="H51" s="10" t="str">
        <v>UPDATING LISTING</v>
      </c>
      <c r="I51" s="10" t="str">
        <v>SAKERNAS24-LAPANGAN-SEMESTER1-PPL-UPDATING LISTING</v>
      </c>
      <c r="J51" s="10" t="str">
        <v>Blok Sensus</v>
      </c>
      <c r="K51" s="66">
        <v>168000</v>
      </c>
      <c r="L51" s="10">
        <v>2</v>
      </c>
      <c r="M51" s="10">
        <v>336000</v>
      </c>
      <c r="N51" s="70">
        <v>325920</v>
      </c>
      <c r="O51" s="67">
        <v>45330</v>
      </c>
      <c r="P51" s="10">
        <v>2024</v>
      </c>
      <c r="Q51" s="10">
        <v>2</v>
      </c>
      <c r="R51" s="10" t="str">
        <v>SURVEI-PPL</v>
      </c>
      <c r="S51" s="10" t="str">
        <v>610422100111-2024-2</v>
      </c>
      <c r="T51" s="10" t="str">
        <v>610422100111-2024-2-SURVEI-PPL</v>
      </c>
      <c r="U51" s="10">
        <v>1</v>
      </c>
      <c r="V51" s="10" t="e">
        <f ca="1"/>
        <v>#NAME?</v>
      </c>
      <c r="W51" s="67">
        <v>45351</v>
      </c>
      <c r="X51" s="11" t="str">
        <v>Sakernas Februari 2024</v>
      </c>
      <c r="Y51" s="11" t="str">
        <v>SUNGAI PINYUH</v>
      </c>
      <c r="Z51" s="11" t="str">
        <v>PENIRAMAN</v>
      </c>
      <c r="AA51" s="67">
        <v>45322</v>
      </c>
      <c r="AB51" s="67">
        <v>45323</v>
      </c>
      <c r="AC51" s="67">
        <v>45351</v>
      </c>
      <c r="AD51" s="67">
        <v>45350</v>
      </c>
      <c r="AE51" s="67">
        <v>45351</v>
      </c>
    </row>
    <row r="52" spans="1:31" ht="12.5">
      <c r="A52" s="10">
        <v>610422100175</v>
      </c>
      <c r="B52" s="10" t="str">
        <v>SAKERNAS24-LAPANGAN-SEMESTER1</v>
      </c>
      <c r="C52" s="10">
        <v>0</v>
      </c>
      <c r="D52" s="10">
        <f ca="1"/>
        <v>1</v>
      </c>
      <c r="E52" s="10" t="str">
        <v>Rara Shati</v>
      </c>
      <c r="F52" s="10" t="str">
        <v>PPL</v>
      </c>
      <c r="G52" s="10" t="str">
        <v>6102066507980001</v>
      </c>
      <c r="H52" s="10" t="str">
        <v>UPDATING LISTING</v>
      </c>
      <c r="I52" s="10" t="str">
        <v>SAKERNAS24-LAPANGAN-SEMESTER1-PPL-UPDATING LISTING</v>
      </c>
      <c r="J52" s="10" t="str">
        <v>Blok Sensus</v>
      </c>
      <c r="K52" s="66">
        <v>168000</v>
      </c>
      <c r="L52" s="10">
        <v>2</v>
      </c>
      <c r="M52" s="10">
        <v>336000</v>
      </c>
      <c r="N52" s="70">
        <v>325920</v>
      </c>
      <c r="O52" s="67">
        <v>45330</v>
      </c>
      <c r="P52" s="10">
        <v>2024</v>
      </c>
      <c r="Q52" s="10">
        <v>2</v>
      </c>
      <c r="R52" s="10" t="str">
        <v>SURVEI-PPL</v>
      </c>
      <c r="S52" s="10" t="str">
        <v>610422100175-2024-2</v>
      </c>
      <c r="T52" s="10" t="str">
        <v>610422100175-2024-2-SURVEI-PPL</v>
      </c>
      <c r="U52" s="10">
        <v>1</v>
      </c>
      <c r="V52" s="10" t="e">
        <f ca="1"/>
        <v>#NAME?</v>
      </c>
      <c r="W52" s="67">
        <v>45351</v>
      </c>
      <c r="X52" s="11" t="str">
        <v>Sakernas Februari 2024</v>
      </c>
      <c r="Y52" s="11" t="str">
        <v>TOHO</v>
      </c>
      <c r="Z52" s="11" t="str">
        <v>SEPANG</v>
      </c>
      <c r="AA52" s="67">
        <v>45322</v>
      </c>
      <c r="AB52" s="67">
        <v>45323</v>
      </c>
      <c r="AC52" s="67">
        <v>45351</v>
      </c>
      <c r="AD52" s="67">
        <v>45350</v>
      </c>
      <c r="AE52" s="67">
        <v>45351</v>
      </c>
    </row>
    <row r="53" spans="1:31" ht="12.5">
      <c r="A53" s="10">
        <v>610422020029</v>
      </c>
      <c r="B53" s="10" t="str">
        <v>SUSENAS24-LAPANGAN-SEMESTER1</v>
      </c>
      <c r="C53" s="10">
        <v>0</v>
      </c>
      <c r="D53" s="10">
        <f ca="1"/>
        <v>1</v>
      </c>
      <c r="E53" s="10" t="str">
        <v>Kurniadi</v>
      </c>
      <c r="F53" s="10" t="str">
        <v>PML</v>
      </c>
      <c r="G53" s="10" t="str">
        <v>6102011110970002</v>
      </c>
      <c r="H53" s="10" t="str">
        <v>UPDATING LISTING</v>
      </c>
      <c r="I53" s="10" t="str">
        <v>SUSENAS24-LAPANGAN-SEMESTER1-PML-UPDATING LISTING</v>
      </c>
      <c r="J53" s="10" t="str">
        <v>Blok Sensus</v>
      </c>
      <c r="K53" s="66">
        <v>55000</v>
      </c>
      <c r="L53" s="10">
        <v>4</v>
      </c>
      <c r="M53" s="10">
        <v>220000</v>
      </c>
      <c r="N53" s="70">
        <v>0</v>
      </c>
      <c r="O53" s="67">
        <v>45335</v>
      </c>
      <c r="P53" s="10">
        <v>2024</v>
      </c>
      <c r="Q53" s="10">
        <v>2</v>
      </c>
      <c r="R53" s="10" t="str">
        <v>SURVEI-PML</v>
      </c>
      <c r="S53" s="10" t="str">
        <v>610422020029-2024-2</v>
      </c>
      <c r="T53" s="10" t="str">
        <v>610422020029-2024-2-SURVEI-PML</v>
      </c>
      <c r="U53" s="10">
        <v>1</v>
      </c>
      <c r="V53" s="10" t="e">
        <f ca="1"/>
        <v>#NAME?</v>
      </c>
      <c r="W53" s="67">
        <v>45351</v>
      </c>
      <c r="X53" s="11" t="str">
        <v>Susenas Maret 2024</v>
      </c>
      <c r="Y53" s="11" t="str">
        <v>MEMPAWAH HILIR</v>
      </c>
      <c r="Z53" s="11" t="str">
        <v>TERUSAN</v>
      </c>
      <c r="AA53" s="67">
        <v>45322</v>
      </c>
      <c r="AB53" s="67">
        <v>45323</v>
      </c>
      <c r="AC53" s="67">
        <v>45351</v>
      </c>
      <c r="AD53" s="67">
        <v>45350</v>
      </c>
      <c r="AE53" s="67">
        <v>45351</v>
      </c>
    </row>
    <row r="54" spans="1:31" ht="12.5">
      <c r="A54" s="10">
        <v>610422020016</v>
      </c>
      <c r="B54" s="10" t="str">
        <v>SUSENAS24-LAPANGAN-SEMESTER1</v>
      </c>
      <c r="C54" s="10">
        <v>0</v>
      </c>
      <c r="D54" s="10">
        <f ca="1"/>
        <v>1</v>
      </c>
      <c r="E54" s="10" t="str">
        <v>Abdul Aziz</v>
      </c>
      <c r="F54" s="10" t="str">
        <v>PML</v>
      </c>
      <c r="G54" s="10" t="str">
        <v>6102061507950006</v>
      </c>
      <c r="H54" s="10" t="str">
        <v>UPDATING LISTING</v>
      </c>
      <c r="I54" s="10" t="str">
        <v>SUSENAS24-LAPANGAN-SEMESTER1-PML-UPDATING LISTING</v>
      </c>
      <c r="J54" s="10" t="str">
        <v>Blok Sensus</v>
      </c>
      <c r="K54" s="66">
        <v>55000</v>
      </c>
      <c r="L54" s="10">
        <v>4</v>
      </c>
      <c r="M54" s="10">
        <v>220000</v>
      </c>
      <c r="N54" s="70">
        <v>0</v>
      </c>
      <c r="O54" s="67">
        <v>45335</v>
      </c>
      <c r="P54" s="10">
        <v>2024</v>
      </c>
      <c r="Q54" s="10">
        <v>2</v>
      </c>
      <c r="R54" s="10" t="str">
        <v>SURVEI-PML</v>
      </c>
      <c r="S54" s="10" t="str">
        <v>610422020016-2024-2</v>
      </c>
      <c r="T54" s="10" t="str">
        <v>610422020016-2024-2-SURVEI-PML</v>
      </c>
      <c r="U54" s="10">
        <v>1</v>
      </c>
      <c r="V54" s="10" t="e">
        <f ca="1"/>
        <v>#NAME?</v>
      </c>
      <c r="W54" s="67">
        <v>45351</v>
      </c>
      <c r="X54" s="11" t="str">
        <v>Susenas Maret 2024</v>
      </c>
      <c r="Y54" s="11" t="str">
        <v>TOHO</v>
      </c>
      <c r="Z54" s="11" t="str">
        <v>SAMBORA</v>
      </c>
      <c r="AA54" s="67">
        <v>45322</v>
      </c>
      <c r="AB54" s="67">
        <v>45323</v>
      </c>
      <c r="AC54" s="67">
        <v>45351</v>
      </c>
      <c r="AD54" s="67">
        <v>45350</v>
      </c>
      <c r="AE54" s="67">
        <v>45351</v>
      </c>
    </row>
    <row r="55" spans="1:31" ht="12.5">
      <c r="A55" s="10">
        <v>610422040031</v>
      </c>
      <c r="B55" s="10" t="str">
        <v>SUSENAS24-LAPANGAN-SEMESTER1</v>
      </c>
      <c r="C55" s="10">
        <v>0</v>
      </c>
      <c r="D55" s="10">
        <f ca="1"/>
        <v>1</v>
      </c>
      <c r="E55" s="10" t="str">
        <v>Imam Fajri Muslim</v>
      </c>
      <c r="F55" s="10" t="str">
        <v>PML</v>
      </c>
      <c r="G55" s="10" t="str">
        <v>6102161208010001</v>
      </c>
      <c r="H55" s="10" t="str">
        <v>UPDATING LISTING</v>
      </c>
      <c r="I55" s="10" t="str">
        <v>SUSENAS24-LAPANGAN-SEMESTER1-PML-UPDATING LISTING</v>
      </c>
      <c r="J55" s="10" t="str">
        <v>Blok Sensus</v>
      </c>
      <c r="K55" s="66">
        <v>55000</v>
      </c>
      <c r="L55" s="10">
        <v>4</v>
      </c>
      <c r="M55" s="10">
        <v>220000</v>
      </c>
      <c r="N55" s="70">
        <v>0</v>
      </c>
      <c r="O55" s="67">
        <v>45335</v>
      </c>
      <c r="P55" s="10">
        <v>2024</v>
      </c>
      <c r="Q55" s="10">
        <v>2</v>
      </c>
      <c r="R55" s="10" t="str">
        <v>SURVEI-PML</v>
      </c>
      <c r="S55" s="10" t="str">
        <v>610422040031-2024-2</v>
      </c>
      <c r="T55" s="10" t="str">
        <v>610422040031-2024-2-SURVEI-PML</v>
      </c>
      <c r="U55" s="10">
        <v>1</v>
      </c>
      <c r="V55" s="10" t="e">
        <f ca="1"/>
        <v>#NAME?</v>
      </c>
      <c r="W55" s="67">
        <v>45351</v>
      </c>
      <c r="X55" s="11" t="str">
        <v>Susenas Maret 2024</v>
      </c>
      <c r="Y55" s="11" t="str">
        <v>MEMPAWAH HILIR</v>
      </c>
      <c r="Z55" s="11" t="str">
        <v>TERUSAN</v>
      </c>
      <c r="AA55" s="67">
        <v>45322</v>
      </c>
      <c r="AB55" s="67">
        <v>45323</v>
      </c>
      <c r="AC55" s="67">
        <v>45351</v>
      </c>
      <c r="AD55" s="67">
        <v>45350</v>
      </c>
      <c r="AE55" s="67">
        <v>45351</v>
      </c>
    </row>
    <row r="56" spans="1:31" ht="12.5">
      <c r="A56" s="10">
        <v>610422040005</v>
      </c>
      <c r="B56" s="10" t="str">
        <v>SUSENAS24-LAPANGAN-SEMESTER1</v>
      </c>
      <c r="C56" s="10">
        <v>0</v>
      </c>
      <c r="D56" s="10">
        <f ca="1"/>
        <v>1</v>
      </c>
      <c r="E56" s="10" t="str">
        <v>Nanda Ariska</v>
      </c>
      <c r="F56" s="10" t="str">
        <v>PML</v>
      </c>
      <c r="G56" s="10" t="str">
        <v>6102186812000004</v>
      </c>
      <c r="H56" s="10" t="str">
        <v>UPDATING LISTING</v>
      </c>
      <c r="I56" s="10" t="str">
        <v>SUSENAS24-LAPANGAN-SEMESTER1-PML-UPDATING LISTING</v>
      </c>
      <c r="J56" s="10" t="str">
        <v>Blok Sensus</v>
      </c>
      <c r="K56" s="66">
        <v>55000</v>
      </c>
      <c r="L56" s="10">
        <v>4</v>
      </c>
      <c r="M56" s="10">
        <v>220000</v>
      </c>
      <c r="N56" s="70">
        <v>0</v>
      </c>
      <c r="O56" s="67">
        <v>45335</v>
      </c>
      <c r="P56" s="10">
        <v>2024</v>
      </c>
      <c r="Q56" s="10">
        <v>2</v>
      </c>
      <c r="R56" s="10" t="str">
        <v>SURVEI-PML</v>
      </c>
      <c r="S56" s="10" t="str">
        <v>610422040005-2024-2</v>
      </c>
      <c r="T56" s="10" t="str">
        <v>610422040005-2024-2-SURVEI-PML</v>
      </c>
      <c r="U56" s="10">
        <v>1</v>
      </c>
      <c r="V56" s="10" t="e">
        <f ca="1"/>
        <v>#NAME?</v>
      </c>
      <c r="W56" s="67">
        <v>45351</v>
      </c>
      <c r="X56" s="11" t="str">
        <v>Susenas Maret 2024</v>
      </c>
      <c r="Y56" s="11" t="str">
        <v>MEMPAWAH TIMUR</v>
      </c>
      <c r="Z56" s="11" t="str">
        <v>SEJEGI</v>
      </c>
      <c r="AA56" s="67">
        <v>45322</v>
      </c>
      <c r="AB56" s="67">
        <v>45323</v>
      </c>
      <c r="AC56" s="67">
        <v>45351</v>
      </c>
      <c r="AD56" s="67">
        <v>45350</v>
      </c>
      <c r="AE56" s="67">
        <v>45351</v>
      </c>
    </row>
    <row r="57" spans="1:31" ht="12.5">
      <c r="A57" s="10">
        <v>610422040038</v>
      </c>
      <c r="B57" s="10" t="str">
        <v>SUSENAS24-LAPANGAN-SEMESTER1</v>
      </c>
      <c r="C57" s="10">
        <v>0</v>
      </c>
      <c r="D57" s="10">
        <f ca="1"/>
        <v>1</v>
      </c>
      <c r="E57" s="10" t="str">
        <v>Yuyun Antoni, S.E.</v>
      </c>
      <c r="F57" s="10" t="str">
        <v>PML</v>
      </c>
      <c r="G57" s="10" t="str">
        <v>6102122106750003</v>
      </c>
      <c r="H57" s="10" t="str">
        <v>UPDATING LISTING</v>
      </c>
      <c r="I57" s="10" t="str">
        <v>SUSENAS24-LAPANGAN-SEMESTER1-PML-UPDATING LISTING</v>
      </c>
      <c r="J57" s="10" t="str">
        <v>Blok Sensus</v>
      </c>
      <c r="K57" s="66">
        <v>55000</v>
      </c>
      <c r="L57" s="10">
        <v>4</v>
      </c>
      <c r="M57" s="10">
        <v>220000</v>
      </c>
      <c r="N57" s="70">
        <v>0</v>
      </c>
      <c r="O57" s="67">
        <v>45335</v>
      </c>
      <c r="P57" s="10">
        <v>2024</v>
      </c>
      <c r="Q57" s="10">
        <v>2</v>
      </c>
      <c r="R57" s="10" t="str">
        <v>SURVEI-PML</v>
      </c>
      <c r="S57" s="10" t="str">
        <v>610422040038-2024-2</v>
      </c>
      <c r="T57" s="10" t="str">
        <v>610422040038-2024-2-SURVEI-PML</v>
      </c>
      <c r="U57" s="10">
        <v>1</v>
      </c>
      <c r="V57" s="10" t="e">
        <f ca="1"/>
        <v>#NAME?</v>
      </c>
      <c r="W57" s="67">
        <v>45351</v>
      </c>
      <c r="X57" s="11" t="str">
        <v>Susenas Maret 2024</v>
      </c>
      <c r="Y57" s="11" t="str">
        <v>SUNGAI KUNYIT</v>
      </c>
      <c r="Z57" s="11" t="str">
        <v>SUNGAI LIMAU</v>
      </c>
      <c r="AA57" s="67">
        <v>45322</v>
      </c>
      <c r="AB57" s="67">
        <v>45323</v>
      </c>
      <c r="AC57" s="67">
        <v>45351</v>
      </c>
      <c r="AD57" s="67">
        <v>45350</v>
      </c>
      <c r="AE57" s="67">
        <v>45351</v>
      </c>
    </row>
    <row r="58" spans="1:31" ht="12.5">
      <c r="A58" s="10">
        <v>610422040030</v>
      </c>
      <c r="B58" s="10" t="str">
        <v>SUSENAS24-LAPANGAN-SEMESTER1</v>
      </c>
      <c r="C58" s="10">
        <v>0</v>
      </c>
      <c r="D58" s="10">
        <f ca="1"/>
        <v>1</v>
      </c>
      <c r="E58" s="10" t="str">
        <v>Syarifah Desti Pratiwi</v>
      </c>
      <c r="F58" s="10" t="str">
        <v>PML</v>
      </c>
      <c r="G58" s="10" t="str">
        <v>6102084512950002</v>
      </c>
      <c r="H58" s="10" t="str">
        <v>UPDATING LISTING</v>
      </c>
      <c r="I58" s="10" t="str">
        <v>SUSENAS24-LAPANGAN-SEMESTER1-PML-UPDATING LISTING</v>
      </c>
      <c r="J58" s="10" t="str">
        <v>Blok Sensus</v>
      </c>
      <c r="K58" s="66">
        <v>55000</v>
      </c>
      <c r="L58" s="10">
        <v>4</v>
      </c>
      <c r="M58" s="10">
        <v>220000</v>
      </c>
      <c r="N58" s="70">
        <v>0</v>
      </c>
      <c r="O58" s="67">
        <v>45335</v>
      </c>
      <c r="P58" s="10">
        <v>2024</v>
      </c>
      <c r="Q58" s="10">
        <v>2</v>
      </c>
      <c r="R58" s="10" t="str">
        <v>SURVEI-PML</v>
      </c>
      <c r="S58" s="10" t="str">
        <v>610422040030-2024-2</v>
      </c>
      <c r="T58" s="10" t="str">
        <v>610422040030-2024-2-SURVEI-PML</v>
      </c>
      <c r="U58" s="10">
        <v>1</v>
      </c>
      <c r="V58" s="10" t="e">
        <f ca="1"/>
        <v>#NAME?</v>
      </c>
      <c r="W58" s="67">
        <v>45351</v>
      </c>
      <c r="X58" s="11" t="str">
        <v>Susenas Maret 2024</v>
      </c>
      <c r="Y58" s="11" t="str">
        <v>JONGKAT</v>
      </c>
      <c r="Z58" s="11" t="str">
        <v>JUNGKAT</v>
      </c>
      <c r="AA58" s="67">
        <v>45322</v>
      </c>
      <c r="AB58" s="67">
        <v>45323</v>
      </c>
      <c r="AC58" s="67">
        <v>45351</v>
      </c>
      <c r="AD58" s="67">
        <v>45350</v>
      </c>
      <c r="AE58" s="67">
        <v>45351</v>
      </c>
    </row>
    <row r="59" spans="1:31" ht="12.5">
      <c r="A59" s="10">
        <v>610422040062</v>
      </c>
      <c r="B59" s="10" t="str">
        <v>SUSENAS24-LAPANGAN-SEMESTER1</v>
      </c>
      <c r="C59" s="10">
        <v>0</v>
      </c>
      <c r="D59" s="10">
        <f ca="1"/>
        <v>1</v>
      </c>
      <c r="E59" s="10" t="str">
        <v>Yudi Wahyudi</v>
      </c>
      <c r="F59" s="10" t="str">
        <v>PML</v>
      </c>
      <c r="G59" s="10" t="str">
        <v>6108011805800004</v>
      </c>
      <c r="H59" s="10" t="str">
        <v>UPDATING LISTING</v>
      </c>
      <c r="I59" s="10" t="str">
        <v>SUSENAS24-LAPANGAN-SEMESTER1-PML-UPDATING LISTING</v>
      </c>
      <c r="J59" s="10" t="str">
        <v>Blok Sensus</v>
      </c>
      <c r="K59" s="66">
        <v>55000</v>
      </c>
      <c r="L59" s="10">
        <v>4</v>
      </c>
      <c r="M59" s="10">
        <v>220000</v>
      </c>
      <c r="N59" s="70">
        <v>0</v>
      </c>
      <c r="O59" s="67">
        <v>45335</v>
      </c>
      <c r="P59" s="10">
        <v>2024</v>
      </c>
      <c r="Q59" s="10">
        <v>2</v>
      </c>
      <c r="R59" s="10" t="str">
        <v>SURVEI-PML</v>
      </c>
      <c r="S59" s="10" t="str">
        <v>610422040062-2024-2</v>
      </c>
      <c r="T59" s="10" t="str">
        <v>610422040062-2024-2-SURVEI-PML</v>
      </c>
      <c r="U59" s="10">
        <v>1</v>
      </c>
      <c r="V59" s="10" t="e">
        <f ca="1"/>
        <v>#NAME?</v>
      </c>
      <c r="W59" s="67">
        <v>45351</v>
      </c>
      <c r="X59" s="11" t="str">
        <v>Susenas Maret 2024</v>
      </c>
      <c r="Y59" s="11" t="str">
        <v>SUNGAI PINYUH</v>
      </c>
      <c r="Z59" s="11" t="str">
        <v>SUNGAI BAKAU BESAR LAUT</v>
      </c>
      <c r="AA59" s="67">
        <v>45322</v>
      </c>
      <c r="AB59" s="67">
        <v>45323</v>
      </c>
      <c r="AC59" s="67">
        <v>45351</v>
      </c>
      <c r="AD59" s="67">
        <v>45350</v>
      </c>
      <c r="AE59" s="67">
        <v>45351</v>
      </c>
    </row>
    <row r="60" spans="1:31" ht="12.5">
      <c r="A60" s="10">
        <v>610422100274</v>
      </c>
      <c r="B60" s="10" t="str">
        <v>SUSENAS24-LAPANGAN-SEMESTER1</v>
      </c>
      <c r="C60" s="10">
        <v>0</v>
      </c>
      <c r="D60" s="10">
        <f ca="1"/>
        <v>1</v>
      </c>
      <c r="E60" s="10" t="str">
        <v>Anisatunnabilah</v>
      </c>
      <c r="F60" s="10" t="str">
        <v>PML</v>
      </c>
      <c r="G60" s="10" t="str">
        <v>6102184310990001</v>
      </c>
      <c r="H60" s="10" t="str">
        <v>UPDATING LISTING</v>
      </c>
      <c r="I60" s="10" t="str">
        <v>SUSENAS24-LAPANGAN-SEMESTER1-PML-UPDATING LISTING</v>
      </c>
      <c r="J60" s="10" t="str">
        <v>Blok Sensus</v>
      </c>
      <c r="K60" s="66">
        <v>55000</v>
      </c>
      <c r="L60" s="10">
        <v>4</v>
      </c>
      <c r="M60" s="10">
        <v>220000</v>
      </c>
      <c r="N60" s="70">
        <v>0</v>
      </c>
      <c r="O60" s="67">
        <v>45335</v>
      </c>
      <c r="P60" s="10">
        <v>2024</v>
      </c>
      <c r="Q60" s="10">
        <v>2</v>
      </c>
      <c r="R60" s="10" t="str">
        <v>SURVEI-PML</v>
      </c>
      <c r="S60" s="10" t="str">
        <v>610422100274-2024-2</v>
      </c>
      <c r="T60" s="10" t="str">
        <v>610422100274-2024-2-SURVEI-PML</v>
      </c>
      <c r="U60" s="10">
        <v>1</v>
      </c>
      <c r="V60" s="10" t="e">
        <f ca="1"/>
        <v>#NAME?</v>
      </c>
      <c r="W60" s="67">
        <v>45351</v>
      </c>
      <c r="X60" s="11" t="str">
        <v>Susenas Maret 2024</v>
      </c>
      <c r="Y60" s="11" t="str">
        <v>MEMPAWAH TIMUR</v>
      </c>
      <c r="Z60" s="11" t="str">
        <v>SEJEGI</v>
      </c>
      <c r="AA60" s="67">
        <v>45322</v>
      </c>
      <c r="AB60" s="67">
        <v>45323</v>
      </c>
      <c r="AC60" s="67">
        <v>45351</v>
      </c>
      <c r="AD60" s="67">
        <v>45350</v>
      </c>
      <c r="AE60" s="67">
        <v>45351</v>
      </c>
    </row>
    <row r="61" spans="1:31" ht="12.5">
      <c r="A61" s="10">
        <v>610422100108</v>
      </c>
      <c r="B61" s="10" t="str">
        <v>SUSENAS24-LAPANGAN-SEMESTER1</v>
      </c>
      <c r="C61" s="10">
        <v>0</v>
      </c>
      <c r="D61" s="10">
        <f ca="1"/>
        <v>1</v>
      </c>
      <c r="E61" s="10" t="str">
        <v>Ermi Tiyarni</v>
      </c>
      <c r="F61" s="10" t="str">
        <v>PML</v>
      </c>
      <c r="G61" s="10" t="str">
        <v>6102016512980004</v>
      </c>
      <c r="H61" s="10" t="str">
        <v>UPDATING LISTING</v>
      </c>
      <c r="I61" s="10" t="str">
        <v>SUSENAS24-LAPANGAN-SEMESTER1-PML-UPDATING LISTING</v>
      </c>
      <c r="J61" s="10" t="str">
        <v>Blok Sensus</v>
      </c>
      <c r="K61" s="66">
        <v>55000</v>
      </c>
      <c r="L61" s="10">
        <v>4</v>
      </c>
      <c r="M61" s="10">
        <v>220000</v>
      </c>
      <c r="N61" s="70">
        <v>0</v>
      </c>
      <c r="O61" s="67">
        <v>45335</v>
      </c>
      <c r="P61" s="10">
        <v>2024</v>
      </c>
      <c r="Q61" s="10">
        <v>2</v>
      </c>
      <c r="R61" s="10" t="str">
        <v>SURVEI-PML</v>
      </c>
      <c r="S61" s="10" t="str">
        <v>610422100108-2024-2</v>
      </c>
      <c r="T61" s="10" t="str">
        <v>610422100108-2024-2-SURVEI-PML</v>
      </c>
      <c r="U61" s="10">
        <v>1</v>
      </c>
      <c r="V61" s="10" t="e">
        <f ca="1"/>
        <v>#NAME?</v>
      </c>
      <c r="W61" s="67">
        <v>45351</v>
      </c>
      <c r="X61" s="11" t="str">
        <v>Susenas Maret 2024</v>
      </c>
      <c r="Y61" s="11" t="str">
        <v>MEMPAWAH HILIR</v>
      </c>
      <c r="Z61" s="11" t="str">
        <v>TENGAH</v>
      </c>
      <c r="AA61" s="67">
        <v>45322</v>
      </c>
      <c r="AB61" s="67">
        <v>45323</v>
      </c>
      <c r="AC61" s="67">
        <v>45351</v>
      </c>
      <c r="AD61" s="67">
        <v>45350</v>
      </c>
      <c r="AE61" s="67">
        <v>45351</v>
      </c>
    </row>
    <row r="62" spans="1:31" ht="12.5">
      <c r="A62" s="10">
        <v>610423040016</v>
      </c>
      <c r="B62" s="10" t="str">
        <v>SUSENAS24-LAPANGAN-SEMESTER1</v>
      </c>
      <c r="C62" s="10">
        <v>0</v>
      </c>
      <c r="D62" s="10">
        <f ca="1"/>
        <v>1</v>
      </c>
      <c r="E62" s="10" t="str">
        <v>Fairuztia Atiqah Putri</v>
      </c>
      <c r="F62" s="10" t="str">
        <v>PML</v>
      </c>
      <c r="G62" s="10" t="str">
        <v>6102016709010003</v>
      </c>
      <c r="H62" s="10" t="str">
        <v>UPDATING LISTING</v>
      </c>
      <c r="I62" s="10" t="str">
        <v>SUSENAS24-LAPANGAN-SEMESTER1-PML-UPDATING LISTING</v>
      </c>
      <c r="J62" s="10" t="str">
        <v>Blok Sensus</v>
      </c>
      <c r="K62" s="66">
        <v>55000</v>
      </c>
      <c r="L62" s="10">
        <v>4</v>
      </c>
      <c r="M62" s="10">
        <v>220000</v>
      </c>
      <c r="N62" s="70">
        <v>0</v>
      </c>
      <c r="O62" s="67">
        <v>45335</v>
      </c>
      <c r="P62" s="10">
        <v>2024</v>
      </c>
      <c r="Q62" s="10">
        <v>2</v>
      </c>
      <c r="R62" s="10" t="str">
        <v>SURVEI-PML</v>
      </c>
      <c r="S62" s="10" t="str">
        <v>610423040016-2024-2</v>
      </c>
      <c r="T62" s="10" t="str">
        <v>610423040016-2024-2-SURVEI-PML</v>
      </c>
      <c r="U62" s="10">
        <v>1</v>
      </c>
      <c r="V62" s="10" t="e">
        <f ca="1"/>
        <v>#NAME?</v>
      </c>
      <c r="W62" s="67">
        <v>45351</v>
      </c>
      <c r="X62" s="11" t="str">
        <v>Susenas Maret 2024</v>
      </c>
      <c r="Y62" s="11" t="str">
        <v>MEMPAWAH HILIR</v>
      </c>
      <c r="Z62" s="11" t="str">
        <v>TENGAH</v>
      </c>
      <c r="AA62" s="67">
        <v>45322</v>
      </c>
      <c r="AB62" s="67">
        <v>45323</v>
      </c>
      <c r="AC62" s="67">
        <v>45351</v>
      </c>
      <c r="AD62" s="67">
        <v>45350</v>
      </c>
      <c r="AE62" s="67">
        <v>45351</v>
      </c>
    </row>
    <row r="63" spans="1:31" ht="12.5">
      <c r="A63" s="10">
        <v>610422100032</v>
      </c>
      <c r="B63" s="10" t="str">
        <v>SUSENAS24-LAPANGAN-SEMESTER1</v>
      </c>
      <c r="C63" s="10">
        <v>0</v>
      </c>
      <c r="D63" s="10">
        <f ca="1"/>
        <v>1</v>
      </c>
      <c r="E63" s="10" t="str">
        <v>Muhammad Rizki Pratomo</v>
      </c>
      <c r="F63" s="10" t="str">
        <v>PML</v>
      </c>
      <c r="G63" s="10" t="str">
        <v>6102011810970004</v>
      </c>
      <c r="H63" s="10" t="str">
        <v>UPDATING LISTING</v>
      </c>
      <c r="I63" s="10" t="str">
        <v>SUSENAS24-LAPANGAN-SEMESTER1-PML-UPDATING LISTING</v>
      </c>
      <c r="J63" s="10" t="str">
        <v>Blok Sensus</v>
      </c>
      <c r="K63" s="66">
        <v>55000</v>
      </c>
      <c r="L63" s="10">
        <v>4</v>
      </c>
      <c r="M63" s="10">
        <v>220000</v>
      </c>
      <c r="N63" s="70">
        <v>0</v>
      </c>
      <c r="O63" s="67">
        <v>45335</v>
      </c>
      <c r="P63" s="10">
        <v>2024</v>
      </c>
      <c r="Q63" s="10">
        <v>2</v>
      </c>
      <c r="R63" s="10" t="str">
        <v>SURVEI-PML</v>
      </c>
      <c r="S63" s="10" t="str">
        <v>610422100032-2024-2</v>
      </c>
      <c r="T63" s="10" t="str">
        <v>610422100032-2024-2-SURVEI-PML</v>
      </c>
      <c r="U63" s="10">
        <v>1</v>
      </c>
      <c r="V63" s="10" t="e">
        <f ca="1"/>
        <v>#NAME?</v>
      </c>
      <c r="W63" s="67">
        <v>45351</v>
      </c>
      <c r="X63" s="11" t="str">
        <v>Susenas Maret 2024</v>
      </c>
      <c r="Y63" s="11" t="str">
        <v>MEMPAWAH HILIR</v>
      </c>
      <c r="Z63" s="11" t="str">
        <v>TERUSAN</v>
      </c>
      <c r="AA63" s="67">
        <v>45322</v>
      </c>
      <c r="AB63" s="67">
        <v>45323</v>
      </c>
      <c r="AC63" s="67">
        <v>45351</v>
      </c>
      <c r="AD63" s="67">
        <v>45350</v>
      </c>
      <c r="AE63" s="67">
        <v>45351</v>
      </c>
    </row>
    <row r="64" spans="1:31" ht="12.5">
      <c r="A64" s="10">
        <v>610422100244</v>
      </c>
      <c r="B64" s="10" t="str">
        <v>SUSENAS24-LAPANGAN-SEMESTER1</v>
      </c>
      <c r="C64" s="10">
        <v>0</v>
      </c>
      <c r="D64" s="10">
        <f ca="1"/>
        <v>1</v>
      </c>
      <c r="E64" s="10" t="str">
        <v>Sugianto</v>
      </c>
      <c r="F64" s="10" t="str">
        <v>PML</v>
      </c>
      <c r="G64" s="10" t="str">
        <v>6102171003900002</v>
      </c>
      <c r="H64" s="10" t="str">
        <v>UPDATING LISTING</v>
      </c>
      <c r="I64" s="10" t="str">
        <v>SUSENAS24-LAPANGAN-SEMESTER1-PML-UPDATING LISTING</v>
      </c>
      <c r="J64" s="10" t="str">
        <v>Blok Sensus</v>
      </c>
      <c r="K64" s="66">
        <v>55000</v>
      </c>
      <c r="L64" s="10">
        <v>4</v>
      </c>
      <c r="M64" s="10">
        <v>220000</v>
      </c>
      <c r="N64" s="70">
        <v>0</v>
      </c>
      <c r="O64" s="67">
        <v>45335</v>
      </c>
      <c r="P64" s="10">
        <v>2024</v>
      </c>
      <c r="Q64" s="10">
        <v>2</v>
      </c>
      <c r="R64" s="10" t="str">
        <v>SURVEI-PML</v>
      </c>
      <c r="S64" s="10" t="str">
        <v>610422100244-2024-2</v>
      </c>
      <c r="T64" s="10" t="str">
        <v>610422100244-2024-2-SURVEI-PML</v>
      </c>
      <c r="U64" s="10">
        <v>1</v>
      </c>
      <c r="V64" s="10" t="e">
        <f ca="1"/>
        <v>#NAME?</v>
      </c>
      <c r="W64" s="67">
        <v>45351</v>
      </c>
      <c r="X64" s="11" t="str">
        <v>Susenas Maret 2024</v>
      </c>
      <c r="Y64" s="11" t="str">
        <v>SADANIANG</v>
      </c>
      <c r="Z64" s="11" t="str">
        <v>BUMBUN</v>
      </c>
      <c r="AA64" s="67">
        <v>45322</v>
      </c>
      <c r="AB64" s="67">
        <v>45323</v>
      </c>
      <c r="AC64" s="67">
        <v>45351</v>
      </c>
      <c r="AD64" s="67">
        <v>45350</v>
      </c>
      <c r="AE64" s="67">
        <v>45351</v>
      </c>
    </row>
    <row r="65" spans="1:31" ht="12.5">
      <c r="A65" s="10">
        <v>610422100256</v>
      </c>
      <c r="B65" s="10" t="str">
        <v>SUSENAS24-LAPANGAN-SEMESTER1</v>
      </c>
      <c r="C65" s="10">
        <v>0</v>
      </c>
      <c r="D65" s="10">
        <f ca="1"/>
        <v>1</v>
      </c>
      <c r="E65" s="10" t="str">
        <v>Meta</v>
      </c>
      <c r="F65" s="10" t="str">
        <v>PPL</v>
      </c>
      <c r="G65" s="10" t="str">
        <v>6102174505970001</v>
      </c>
      <c r="H65" s="10" t="str">
        <v>UPDATING LISTING</v>
      </c>
      <c r="I65" s="10" t="str">
        <v>SUSENAS24-LAPANGAN-SEMESTER1-PPL-UPDATING LISTING</v>
      </c>
      <c r="J65" s="10" t="str">
        <v>Blok Sensus</v>
      </c>
      <c r="K65" s="66">
        <v>168000</v>
      </c>
      <c r="L65" s="10">
        <v>1</v>
      </c>
      <c r="M65" s="10">
        <v>168000</v>
      </c>
      <c r="N65" s="70">
        <v>162960</v>
      </c>
      <c r="O65" s="67">
        <v>45335</v>
      </c>
      <c r="P65" s="10">
        <v>2024</v>
      </c>
      <c r="Q65" s="10">
        <v>2</v>
      </c>
      <c r="R65" s="10" t="str">
        <v>SURVEI-PPL</v>
      </c>
      <c r="S65" s="10" t="str">
        <v>610422100256-2024-2</v>
      </c>
      <c r="T65" s="10" t="str">
        <v>610422100256-2024-2-SURVEI-PPL</v>
      </c>
      <c r="U65" s="10">
        <v>1</v>
      </c>
      <c r="V65" s="10" t="e">
        <f ca="1"/>
        <v>#NAME?</v>
      </c>
      <c r="W65" s="67">
        <v>45351</v>
      </c>
      <c r="X65" s="11" t="str">
        <v>Susenas Maret 2024</v>
      </c>
      <c r="Y65" s="11" t="str">
        <v>SADANIANG</v>
      </c>
      <c r="Z65" s="11" t="str">
        <v>PENTEK</v>
      </c>
      <c r="AA65" s="67">
        <v>45322</v>
      </c>
      <c r="AB65" s="67">
        <v>45323</v>
      </c>
      <c r="AC65" s="67">
        <v>45351</v>
      </c>
      <c r="AD65" s="67">
        <v>45350</v>
      </c>
      <c r="AE65" s="67">
        <v>45351</v>
      </c>
    </row>
    <row r="66" spans="1:31" ht="12.5">
      <c r="A66" s="10">
        <v>610422100055</v>
      </c>
      <c r="B66" s="10" t="str">
        <v>SUSENAS24-LAPANGAN-SEMESTER1</v>
      </c>
      <c r="C66" s="10">
        <v>0</v>
      </c>
      <c r="D66" s="10">
        <f ca="1"/>
        <v>1</v>
      </c>
      <c r="E66" s="10" t="str">
        <v>Vika Rizkiani</v>
      </c>
      <c r="F66" s="10" t="str">
        <v>PPL</v>
      </c>
      <c r="G66" s="10" t="str">
        <v>6102084207980006</v>
      </c>
      <c r="H66" s="10" t="str">
        <v>UPDATING LISTING</v>
      </c>
      <c r="I66" s="10" t="str">
        <v>SUSENAS24-LAPANGAN-SEMESTER1-PPL-UPDATING LISTING</v>
      </c>
      <c r="J66" s="10" t="str">
        <v>Blok Sensus</v>
      </c>
      <c r="K66" s="66">
        <v>168000</v>
      </c>
      <c r="L66" s="10">
        <v>1</v>
      </c>
      <c r="M66" s="10">
        <v>168000</v>
      </c>
      <c r="N66" s="70">
        <v>162960</v>
      </c>
      <c r="O66" s="67">
        <v>45335</v>
      </c>
      <c r="P66" s="10">
        <v>2024</v>
      </c>
      <c r="Q66" s="10">
        <v>2</v>
      </c>
      <c r="R66" s="10" t="str">
        <v>SURVEI-PPL</v>
      </c>
      <c r="S66" s="10" t="str">
        <v>610422100055-2024-2</v>
      </c>
      <c r="T66" s="10" t="str">
        <v>610422100055-2024-2-SURVEI-PPL</v>
      </c>
      <c r="U66" s="10">
        <v>1</v>
      </c>
      <c r="V66" s="10" t="e">
        <f ca="1"/>
        <v>#NAME?</v>
      </c>
      <c r="W66" s="67">
        <v>45351</v>
      </c>
      <c r="X66" s="11" t="str">
        <v>Susenas Maret 2024</v>
      </c>
      <c r="Y66" s="11" t="str">
        <v>JONGKAT</v>
      </c>
      <c r="Z66" s="11" t="str">
        <v>JUNGKAT</v>
      </c>
      <c r="AA66" s="67">
        <v>45322</v>
      </c>
      <c r="AB66" s="67">
        <v>45323</v>
      </c>
      <c r="AC66" s="67">
        <v>45351</v>
      </c>
      <c r="AD66" s="67">
        <v>45350</v>
      </c>
      <c r="AE66" s="67">
        <v>45351</v>
      </c>
    </row>
    <row r="67" spans="1:31" ht="12.5">
      <c r="A67" s="10">
        <v>610422020008</v>
      </c>
      <c r="B67" s="10" t="str">
        <v>SUSENAS24-LAPANGAN-SEMESTER1</v>
      </c>
      <c r="C67" s="10">
        <v>0</v>
      </c>
      <c r="D67" s="10">
        <f ca="1"/>
        <v>1</v>
      </c>
      <c r="E67" s="10" t="str">
        <v>Ilfi Nur Diana</v>
      </c>
      <c r="F67" s="10" t="str">
        <v>PPL</v>
      </c>
      <c r="G67" s="10" t="str">
        <v>6102125203970003</v>
      </c>
      <c r="H67" s="10" t="str">
        <v>UPDATING LISTING</v>
      </c>
      <c r="I67" s="10" t="str">
        <v>SUSENAS24-LAPANGAN-SEMESTER1-PPL-UPDATING LISTING</v>
      </c>
      <c r="J67" s="10" t="str">
        <v>Blok Sensus</v>
      </c>
      <c r="K67" s="66">
        <v>168000</v>
      </c>
      <c r="L67" s="10">
        <v>2</v>
      </c>
      <c r="M67" s="10">
        <v>336000</v>
      </c>
      <c r="N67" s="70">
        <v>325920</v>
      </c>
      <c r="O67" s="67">
        <v>45335</v>
      </c>
      <c r="P67" s="10">
        <v>2024</v>
      </c>
      <c r="Q67" s="10">
        <v>2</v>
      </c>
      <c r="R67" s="10" t="str">
        <v>SURVEI-PPL</v>
      </c>
      <c r="S67" s="10" t="str">
        <v>610422020008-2024-2</v>
      </c>
      <c r="T67" s="10" t="str">
        <v>610422020008-2024-2-SURVEI-PPL</v>
      </c>
      <c r="U67" s="10">
        <v>1</v>
      </c>
      <c r="V67" s="10" t="e">
        <f ca="1"/>
        <v>#NAME?</v>
      </c>
      <c r="W67" s="67">
        <v>45351</v>
      </c>
      <c r="X67" s="11" t="str">
        <v>Susenas Maret 2024</v>
      </c>
      <c r="Y67" s="11" t="str">
        <v>SUNGAI KUNYIT</v>
      </c>
      <c r="Z67" s="11" t="str">
        <v>SUNGAI KUNYIT LAUT</v>
      </c>
      <c r="AA67" s="67">
        <v>45322</v>
      </c>
      <c r="AB67" s="67">
        <v>45323</v>
      </c>
      <c r="AC67" s="67">
        <v>45351</v>
      </c>
      <c r="AD67" s="67">
        <v>45350</v>
      </c>
      <c r="AE67" s="67">
        <v>45351</v>
      </c>
    </row>
    <row r="68" spans="1:31" ht="12.5">
      <c r="A68" s="10">
        <v>610423040014</v>
      </c>
      <c r="B68" s="10" t="str">
        <v>SUSENAS24-LAPANGAN-SEMESTER1</v>
      </c>
      <c r="C68" s="10">
        <v>0</v>
      </c>
      <c r="D68" s="10">
        <f ca="1"/>
        <v>1</v>
      </c>
      <c r="E68" s="10" t="str">
        <v>Fransiska Romana</v>
      </c>
      <c r="F68" s="10" t="str">
        <v>PPL</v>
      </c>
      <c r="G68" s="10" t="str">
        <v>6107036103910001</v>
      </c>
      <c r="H68" s="10" t="str">
        <v>UPDATING LISTING</v>
      </c>
      <c r="I68" s="10" t="str">
        <v>SUSENAS24-LAPANGAN-SEMESTER1-PPL-UPDATING LISTING</v>
      </c>
      <c r="J68" s="10" t="str">
        <v>Blok Sensus</v>
      </c>
      <c r="K68" s="66">
        <v>168000</v>
      </c>
      <c r="L68" s="10">
        <v>2</v>
      </c>
      <c r="M68" s="10">
        <v>336000</v>
      </c>
      <c r="N68" s="70">
        <v>325920</v>
      </c>
      <c r="O68" s="67">
        <v>45335</v>
      </c>
      <c r="P68" s="10">
        <v>2024</v>
      </c>
      <c r="Q68" s="10">
        <v>2</v>
      </c>
      <c r="R68" s="10" t="str">
        <v>SURVEI-PPL</v>
      </c>
      <c r="S68" s="10" t="str">
        <v>610423040014-2024-2</v>
      </c>
      <c r="T68" s="10" t="str">
        <v>610423040014-2024-2-SURVEI-PPL</v>
      </c>
      <c r="U68" s="10">
        <v>1</v>
      </c>
      <c r="V68" s="10" t="e">
        <f ca="1"/>
        <v>#NAME?</v>
      </c>
      <c r="W68" s="67">
        <v>45351</v>
      </c>
      <c r="X68" s="11" t="str">
        <v>Susenas Maret 2024</v>
      </c>
      <c r="Y68" s="11" t="str">
        <v>TOHO</v>
      </c>
      <c r="Z68" s="11" t="str">
        <v>TOHO ILIR</v>
      </c>
      <c r="AA68" s="67">
        <v>45322</v>
      </c>
      <c r="AB68" s="67">
        <v>45323</v>
      </c>
      <c r="AC68" s="67">
        <v>45351</v>
      </c>
      <c r="AD68" s="67">
        <v>45350</v>
      </c>
      <c r="AE68" s="67">
        <v>45351</v>
      </c>
    </row>
    <row r="69" spans="1:31" ht="12.5">
      <c r="A69" s="10">
        <v>610423040022</v>
      </c>
      <c r="B69" s="10" t="str">
        <v>SUSENAS24-LAPANGAN-SEMESTER1</v>
      </c>
      <c r="C69" s="10">
        <v>0</v>
      </c>
      <c r="D69" s="10">
        <f ca="1"/>
        <v>1</v>
      </c>
      <c r="E69" s="10" t="str">
        <v>Alip Susanto</v>
      </c>
      <c r="F69" s="10" t="str">
        <v>PPL</v>
      </c>
      <c r="G69" s="10" t="str">
        <v>6102172001980001</v>
      </c>
      <c r="H69" s="10" t="str">
        <v>UPDATING LISTING</v>
      </c>
      <c r="I69" s="10" t="str">
        <v>SUSENAS24-LAPANGAN-SEMESTER1-PPL-UPDATING LISTING</v>
      </c>
      <c r="J69" s="10" t="str">
        <v>Blok Sensus</v>
      </c>
      <c r="K69" s="66">
        <v>168000</v>
      </c>
      <c r="L69" s="10">
        <v>2</v>
      </c>
      <c r="M69" s="10">
        <v>336000</v>
      </c>
      <c r="N69" s="70">
        <v>325920</v>
      </c>
      <c r="O69" s="67">
        <v>45335</v>
      </c>
      <c r="P69" s="10">
        <v>2024</v>
      </c>
      <c r="Q69" s="10">
        <v>2</v>
      </c>
      <c r="R69" s="10" t="str">
        <v>SURVEI-PPL</v>
      </c>
      <c r="S69" s="10" t="str">
        <v>610423040022-2024-2</v>
      </c>
      <c r="T69" s="10" t="str">
        <v>610423040022-2024-2-SURVEI-PPL</v>
      </c>
      <c r="U69" s="10">
        <v>1</v>
      </c>
      <c r="V69" s="10" t="e">
        <f ca="1"/>
        <v>#NAME?</v>
      </c>
      <c r="W69" s="67">
        <v>45351</v>
      </c>
      <c r="X69" s="11" t="str">
        <v>Susenas Maret 2024</v>
      </c>
      <c r="Y69" s="11" t="str">
        <v>SADANIANG</v>
      </c>
      <c r="Z69" s="11" t="str">
        <v>BUMBUN</v>
      </c>
      <c r="AA69" s="67">
        <v>45322</v>
      </c>
      <c r="AB69" s="67">
        <v>45323</v>
      </c>
      <c r="AC69" s="67">
        <v>45351</v>
      </c>
      <c r="AD69" s="67">
        <v>45350</v>
      </c>
      <c r="AE69" s="67">
        <v>45351</v>
      </c>
    </row>
    <row r="70" spans="1:31" ht="12.5">
      <c r="A70" s="10">
        <v>610423030004</v>
      </c>
      <c r="B70" s="10" t="str">
        <v>SUSENAS24-LAPANGAN-SEMESTER1</v>
      </c>
      <c r="C70" s="10">
        <v>0</v>
      </c>
      <c r="D70" s="10">
        <f ca="1"/>
        <v>1</v>
      </c>
      <c r="E70" s="10" t="str">
        <v>Laras Nanda Julita</v>
      </c>
      <c r="F70" s="10" t="str">
        <v>PPL</v>
      </c>
      <c r="G70" s="10" t="str">
        <v>6102074407000003</v>
      </c>
      <c r="H70" s="10" t="str">
        <v>UPDATING LISTING</v>
      </c>
      <c r="I70" s="10" t="str">
        <v>SUSENAS24-LAPANGAN-SEMESTER1-PPL-UPDATING LISTING</v>
      </c>
      <c r="J70" s="10" t="str">
        <v>Blok Sensus</v>
      </c>
      <c r="K70" s="66">
        <v>168000</v>
      </c>
      <c r="L70" s="10">
        <v>2</v>
      </c>
      <c r="M70" s="10">
        <v>336000</v>
      </c>
      <c r="N70" s="70">
        <v>325920</v>
      </c>
      <c r="O70" s="67">
        <v>45335</v>
      </c>
      <c r="P70" s="10">
        <v>2024</v>
      </c>
      <c r="Q70" s="10">
        <v>2</v>
      </c>
      <c r="R70" s="10" t="str">
        <v>SURVEI-PPL</v>
      </c>
      <c r="S70" s="10" t="str">
        <v>610423030004-2024-2</v>
      </c>
      <c r="T70" s="10" t="str">
        <v>610423030004-2024-2-SURVEI-PPL</v>
      </c>
      <c r="U70" s="10">
        <v>1</v>
      </c>
      <c r="V70" s="10" t="e">
        <f ca="1"/>
        <v>#NAME?</v>
      </c>
      <c r="W70" s="67">
        <v>45351</v>
      </c>
      <c r="X70" s="11" t="str">
        <v>Susenas Maret 2024</v>
      </c>
      <c r="Y70" s="11" t="str">
        <v>SUNGAI PINYUH</v>
      </c>
      <c r="Z70" s="11" t="str">
        <v>GALANG</v>
      </c>
      <c r="AA70" s="67">
        <v>45322</v>
      </c>
      <c r="AB70" s="67">
        <v>45323</v>
      </c>
      <c r="AC70" s="67">
        <v>45351</v>
      </c>
      <c r="AD70" s="67">
        <v>45350</v>
      </c>
      <c r="AE70" s="67">
        <v>45351</v>
      </c>
    </row>
    <row r="71" spans="1:31" ht="12.5">
      <c r="A71" s="10">
        <v>610423040004</v>
      </c>
      <c r="B71" s="10" t="str">
        <v>SUSENAS24-LAPANGAN-SEMESTER1</v>
      </c>
      <c r="C71" s="10">
        <v>0</v>
      </c>
      <c r="D71" s="10">
        <f ca="1"/>
        <v>1</v>
      </c>
      <c r="E71" s="10" t="str">
        <v>Ayu Agustin</v>
      </c>
      <c r="F71" s="10" t="str">
        <v>PPL</v>
      </c>
      <c r="G71" s="10" t="str">
        <v>6111025008930002</v>
      </c>
      <c r="H71" s="10" t="str">
        <v>UPDATING LISTING</v>
      </c>
      <c r="I71" s="10" t="str">
        <v>SUSENAS24-LAPANGAN-SEMESTER1-PPL-UPDATING LISTING</v>
      </c>
      <c r="J71" s="10" t="str">
        <v>Blok Sensus</v>
      </c>
      <c r="K71" s="66">
        <v>168000</v>
      </c>
      <c r="L71" s="10">
        <v>1</v>
      </c>
      <c r="M71" s="10">
        <v>168000</v>
      </c>
      <c r="N71" s="70">
        <v>162960</v>
      </c>
      <c r="O71" s="67">
        <v>45335</v>
      </c>
      <c r="P71" s="10">
        <v>2024</v>
      </c>
      <c r="Q71" s="10">
        <v>2</v>
      </c>
      <c r="R71" s="10" t="str">
        <v>SURVEI-PPL</v>
      </c>
      <c r="S71" s="10" t="str">
        <v>610423040004-2024-2</v>
      </c>
      <c r="T71" s="10" t="str">
        <v>610423040004-2024-2-SURVEI-PPL</v>
      </c>
      <c r="U71" s="10">
        <v>1</v>
      </c>
      <c r="V71" s="10" t="e">
        <f ca="1"/>
        <v>#NAME?</v>
      </c>
      <c r="W71" s="67">
        <v>45351</v>
      </c>
      <c r="X71" s="11" t="str">
        <v>Susenas Maret 2024</v>
      </c>
      <c r="Y71" s="11" t="str">
        <v>ANJONGAN</v>
      </c>
      <c r="Z71" s="11" t="str">
        <v>KEPAYANG</v>
      </c>
      <c r="AA71" s="67">
        <v>45322</v>
      </c>
      <c r="AB71" s="67">
        <v>45323</v>
      </c>
      <c r="AC71" s="67">
        <v>45351</v>
      </c>
      <c r="AD71" s="67">
        <v>45350</v>
      </c>
      <c r="AE71" s="67">
        <v>45351</v>
      </c>
    </row>
    <row r="72" spans="1:31" ht="12.5">
      <c r="A72" s="10">
        <v>610423040006</v>
      </c>
      <c r="B72" s="10" t="str">
        <v>SUSENAS24-LAPANGAN-SEMESTER1</v>
      </c>
      <c r="C72" s="10">
        <v>0</v>
      </c>
      <c r="D72" s="10">
        <f ca="1"/>
        <v>1</v>
      </c>
      <c r="E72" s="10" t="str">
        <v>Mitasya Fitri Nainggolan</v>
      </c>
      <c r="F72" s="10" t="str">
        <v>PPL</v>
      </c>
      <c r="G72" s="10" t="str">
        <v>6102185705000003</v>
      </c>
      <c r="H72" s="10" t="str">
        <v>UPDATING LISTING</v>
      </c>
      <c r="I72" s="10" t="str">
        <v>SUSENAS24-LAPANGAN-SEMESTER1-PPL-UPDATING LISTING</v>
      </c>
      <c r="J72" s="10" t="str">
        <v>Blok Sensus</v>
      </c>
      <c r="K72" s="66">
        <v>168000</v>
      </c>
      <c r="L72" s="10">
        <v>2</v>
      </c>
      <c r="M72" s="10">
        <v>336000</v>
      </c>
      <c r="N72" s="70">
        <v>325920</v>
      </c>
      <c r="O72" s="67">
        <v>45335</v>
      </c>
      <c r="P72" s="10">
        <v>2024</v>
      </c>
      <c r="Q72" s="10">
        <v>2</v>
      </c>
      <c r="R72" s="10" t="str">
        <v>SURVEI-PPL</v>
      </c>
      <c r="S72" s="10" t="str">
        <v>610423040006-2024-2</v>
      </c>
      <c r="T72" s="10" t="str">
        <v>610423040006-2024-2-SURVEI-PPL</v>
      </c>
      <c r="U72" s="10">
        <v>1</v>
      </c>
      <c r="V72" s="10" t="e">
        <f ca="1"/>
        <v>#NAME?</v>
      </c>
      <c r="W72" s="67">
        <v>45351</v>
      </c>
      <c r="X72" s="11" t="str">
        <v>Susenas Maret 2024</v>
      </c>
      <c r="Y72" s="11" t="str">
        <v>MEMPAWAH TIMUR</v>
      </c>
      <c r="Z72" s="11" t="str">
        <v>ANTIBAR</v>
      </c>
      <c r="AA72" s="67">
        <v>45322</v>
      </c>
      <c r="AB72" s="67">
        <v>45323</v>
      </c>
      <c r="AC72" s="67">
        <v>45351</v>
      </c>
      <c r="AD72" s="67">
        <v>45350</v>
      </c>
      <c r="AE72" s="67">
        <v>45351</v>
      </c>
    </row>
    <row r="73" spans="1:31" ht="12.5">
      <c r="A73" s="10">
        <v>610423040013</v>
      </c>
      <c r="B73" s="10" t="str">
        <v>SUSENAS24-LAPANGAN-SEMESTER1</v>
      </c>
      <c r="C73" s="10">
        <v>0</v>
      </c>
      <c r="D73" s="10">
        <f ca="1"/>
        <v>1</v>
      </c>
      <c r="E73" s="10" t="str">
        <v>Lulu Gesti Gunawati</v>
      </c>
      <c r="F73" s="10" t="str">
        <v>PPL</v>
      </c>
      <c r="G73" s="10" t="str">
        <v>3314066101000001</v>
      </c>
      <c r="H73" s="10" t="str">
        <v>UPDATING LISTING</v>
      </c>
      <c r="I73" s="10" t="str">
        <v>SUSENAS24-LAPANGAN-SEMESTER1-PPL-UPDATING LISTING</v>
      </c>
      <c r="J73" s="10" t="str">
        <v>Blok Sensus</v>
      </c>
      <c r="K73" s="66">
        <v>168000</v>
      </c>
      <c r="L73" s="10">
        <v>1</v>
      </c>
      <c r="M73" s="10">
        <v>168000</v>
      </c>
      <c r="N73" s="70">
        <v>162960</v>
      </c>
      <c r="O73" s="67">
        <v>45335</v>
      </c>
      <c r="P73" s="10">
        <v>2024</v>
      </c>
      <c r="Q73" s="10">
        <v>2</v>
      </c>
      <c r="R73" s="10" t="str">
        <v>SURVEI-PPL</v>
      </c>
      <c r="S73" s="10" t="str">
        <v>610423040013-2024-2</v>
      </c>
      <c r="T73" s="10" t="str">
        <v>610423040013-2024-2-SURVEI-PPL</v>
      </c>
      <c r="U73" s="10">
        <v>1</v>
      </c>
      <c r="V73" s="10" t="e">
        <f ca="1"/>
        <v>#NAME?</v>
      </c>
      <c r="W73" s="67">
        <v>45351</v>
      </c>
      <c r="X73" s="11" t="str">
        <v>Susenas Maret 2024</v>
      </c>
      <c r="Y73" s="11" t="str">
        <v>SUNGAI KUNYIT</v>
      </c>
      <c r="Z73" s="11" t="str">
        <v>MENDALOK</v>
      </c>
      <c r="AA73" s="67">
        <v>45322</v>
      </c>
      <c r="AB73" s="67">
        <v>45323</v>
      </c>
      <c r="AC73" s="67">
        <v>45351</v>
      </c>
      <c r="AD73" s="67">
        <v>45350</v>
      </c>
      <c r="AE73" s="67">
        <v>45351</v>
      </c>
    </row>
    <row r="74" spans="1:31" ht="12.5">
      <c r="A74" s="10">
        <v>610423090019</v>
      </c>
      <c r="B74" s="10" t="str">
        <v>SUSENAS24-LAPANGAN-SEMESTER1</v>
      </c>
      <c r="C74" s="10">
        <v>0</v>
      </c>
      <c r="D74" s="10">
        <f ca="1"/>
        <v>1</v>
      </c>
      <c r="E74" s="10" t="str">
        <v>Nurul Huda</v>
      </c>
      <c r="F74" s="10" t="str">
        <v>PPL</v>
      </c>
      <c r="G74" s="10" t="str">
        <v>6102014511840003</v>
      </c>
      <c r="H74" s="10" t="str">
        <v>UPDATING LISTING</v>
      </c>
      <c r="I74" s="10" t="str">
        <v>SUSENAS24-LAPANGAN-SEMESTER1-PPL-UPDATING LISTING</v>
      </c>
      <c r="J74" s="10" t="str">
        <v>Blok Sensus</v>
      </c>
      <c r="K74" s="66">
        <v>168000</v>
      </c>
      <c r="L74" s="10">
        <v>2</v>
      </c>
      <c r="M74" s="10">
        <v>336000</v>
      </c>
      <c r="N74" s="70">
        <v>325920</v>
      </c>
      <c r="O74" s="67">
        <v>45335</v>
      </c>
      <c r="P74" s="10">
        <v>2024</v>
      </c>
      <c r="Q74" s="10">
        <v>2</v>
      </c>
      <c r="R74" s="10" t="str">
        <v>SURVEI-PPL</v>
      </c>
      <c r="S74" s="10" t="str">
        <v>610423090019-2024-2</v>
      </c>
      <c r="T74" s="10" t="str">
        <v>610423090019-2024-2-SURVEI-PPL</v>
      </c>
      <c r="U74" s="10">
        <v>1</v>
      </c>
      <c r="V74" s="10" t="e">
        <f ca="1"/>
        <v>#NAME?</v>
      </c>
      <c r="W74" s="67">
        <v>45351</v>
      </c>
      <c r="X74" s="11" t="str">
        <v>Susenas Maret 2024</v>
      </c>
      <c r="Y74" s="11" t="str">
        <v>MEMPAWAH HILIR</v>
      </c>
      <c r="Z74" s="11" t="str">
        <v>KUALA SECAPAH</v>
      </c>
      <c r="AA74" s="67">
        <v>45322</v>
      </c>
      <c r="AB74" s="67">
        <v>45323</v>
      </c>
      <c r="AC74" s="67">
        <v>45351</v>
      </c>
      <c r="AD74" s="67">
        <v>45350</v>
      </c>
      <c r="AE74" s="67">
        <v>45351</v>
      </c>
    </row>
    <row r="75" spans="1:31" ht="12.5">
      <c r="A75" s="10">
        <v>610422100165</v>
      </c>
      <c r="B75" s="10" t="str">
        <v>SUSENAS24-LAPANGAN-SEMESTER1</v>
      </c>
      <c r="C75" s="10">
        <v>0</v>
      </c>
      <c r="D75" s="10">
        <f ca="1"/>
        <v>1</v>
      </c>
      <c r="E75" s="10" t="str">
        <v>Yanti</v>
      </c>
      <c r="F75" s="10" t="str">
        <v>PPL</v>
      </c>
      <c r="G75" s="10" t="str">
        <v>6102074803980002</v>
      </c>
      <c r="H75" s="10" t="str">
        <v>UPDATING LISTING</v>
      </c>
      <c r="I75" s="10" t="str">
        <v>SUSENAS24-LAPANGAN-SEMESTER1-PPL-UPDATING LISTING</v>
      </c>
      <c r="J75" s="10" t="str">
        <v>Blok Sensus</v>
      </c>
      <c r="K75" s="66">
        <v>168000</v>
      </c>
      <c r="L75" s="10">
        <v>2</v>
      </c>
      <c r="M75" s="10">
        <v>336000</v>
      </c>
      <c r="N75" s="70">
        <v>325920</v>
      </c>
      <c r="O75" s="67">
        <v>45335</v>
      </c>
      <c r="P75" s="10">
        <v>2024</v>
      </c>
      <c r="Q75" s="10">
        <v>2</v>
      </c>
      <c r="R75" s="10" t="str">
        <v>SURVEI-PPL</v>
      </c>
      <c r="S75" s="10" t="str">
        <v>610422100165-2024-2</v>
      </c>
      <c r="T75" s="10" t="str">
        <v>610422100165-2024-2-SURVEI-PPL</v>
      </c>
      <c r="U75" s="10">
        <v>1</v>
      </c>
      <c r="V75" s="10" t="e">
        <f ca="1"/>
        <v>#NAME?</v>
      </c>
      <c r="W75" s="67">
        <v>45351</v>
      </c>
      <c r="X75" s="11" t="str">
        <v>Susenas Maret 2024</v>
      </c>
      <c r="Y75" s="11" t="str">
        <v>SUNGAI PINYUH</v>
      </c>
      <c r="Z75" s="11" t="str">
        <v>SUNGAI BAKAU BESAR LAUT</v>
      </c>
      <c r="AA75" s="67">
        <v>45322</v>
      </c>
      <c r="AB75" s="67">
        <v>45323</v>
      </c>
      <c r="AC75" s="67">
        <v>45351</v>
      </c>
      <c r="AD75" s="67">
        <v>45350</v>
      </c>
      <c r="AE75" s="67">
        <v>45351</v>
      </c>
    </row>
    <row r="76" spans="1:31" ht="12.5">
      <c r="A76" s="10">
        <v>610422100139</v>
      </c>
      <c r="B76" s="10" t="str">
        <v>SUSENAS24-LAPANGAN-SEMESTER1</v>
      </c>
      <c r="C76" s="10">
        <v>0</v>
      </c>
      <c r="D76" s="10">
        <f ca="1"/>
        <v>1</v>
      </c>
      <c r="E76" s="10" t="str">
        <v>Winda Dwi Ananda</v>
      </c>
      <c r="F76" s="10" t="str">
        <v>PPL</v>
      </c>
      <c r="G76" s="10" t="str">
        <v>6102016812990001</v>
      </c>
      <c r="H76" s="10" t="str">
        <v>UPDATING LISTING</v>
      </c>
      <c r="I76" s="10" t="str">
        <v>SUSENAS24-LAPANGAN-SEMESTER1-PPL-UPDATING LISTING</v>
      </c>
      <c r="J76" s="10" t="str">
        <v>Blok Sensus</v>
      </c>
      <c r="K76" s="66">
        <v>168000</v>
      </c>
      <c r="L76" s="10">
        <v>1</v>
      </c>
      <c r="M76" s="10">
        <v>168000</v>
      </c>
      <c r="N76" s="70">
        <v>162960</v>
      </c>
      <c r="O76" s="67">
        <v>45335</v>
      </c>
      <c r="P76" s="10">
        <v>2024</v>
      </c>
      <c r="Q76" s="10">
        <v>2</v>
      </c>
      <c r="R76" s="10" t="str">
        <v>SURVEI-PPL</v>
      </c>
      <c r="S76" s="10" t="str">
        <v>610422100139-2024-2</v>
      </c>
      <c r="T76" s="10" t="str">
        <v>610422100139-2024-2-SURVEI-PPL</v>
      </c>
      <c r="U76" s="10">
        <v>1</v>
      </c>
      <c r="V76" s="10" t="e">
        <f ca="1"/>
        <v>#NAME?</v>
      </c>
      <c r="W76" s="67">
        <v>45351</v>
      </c>
      <c r="X76" s="11" t="str">
        <v>Susenas Maret 2024</v>
      </c>
      <c r="Y76" s="11" t="str">
        <v>MEMPAWAH HILIR</v>
      </c>
      <c r="Z76" s="11" t="str">
        <v>PENIBUNG</v>
      </c>
      <c r="AA76" s="67">
        <v>45322</v>
      </c>
      <c r="AB76" s="67">
        <v>45323</v>
      </c>
      <c r="AC76" s="67">
        <v>45351</v>
      </c>
      <c r="AD76" s="67">
        <v>45350</v>
      </c>
      <c r="AE76" s="67">
        <v>45351</v>
      </c>
    </row>
    <row r="77" spans="1:31" ht="12.5">
      <c r="A77" s="10">
        <v>610422100137</v>
      </c>
      <c r="B77" s="10" t="str">
        <v>SUSENAS24-LAPANGAN-SEMESTER1</v>
      </c>
      <c r="C77" s="10">
        <v>0</v>
      </c>
      <c r="D77" s="10">
        <f ca="1"/>
        <v>1</v>
      </c>
      <c r="E77" s="10" t="str">
        <v>Masturi</v>
      </c>
      <c r="F77" s="10" t="str">
        <v>PPL</v>
      </c>
      <c r="G77" s="10" t="str">
        <v>6102060709870002</v>
      </c>
      <c r="H77" s="10" t="str">
        <v>UPDATING LISTING</v>
      </c>
      <c r="I77" s="10" t="str">
        <v>SUSENAS24-LAPANGAN-SEMESTER1-PPL-UPDATING LISTING</v>
      </c>
      <c r="J77" s="10" t="str">
        <v>Blok Sensus</v>
      </c>
      <c r="K77" s="66">
        <v>168000</v>
      </c>
      <c r="L77" s="10">
        <v>1</v>
      </c>
      <c r="M77" s="10">
        <v>168000</v>
      </c>
      <c r="N77" s="70">
        <v>162960</v>
      </c>
      <c r="O77" s="67">
        <v>45335</v>
      </c>
      <c r="P77" s="10">
        <v>2024</v>
      </c>
      <c r="Q77" s="10">
        <v>2</v>
      </c>
      <c r="R77" s="10" t="str">
        <v>SURVEI-PPL</v>
      </c>
      <c r="S77" s="10" t="str">
        <v>610422100137-2024-2</v>
      </c>
      <c r="T77" s="10" t="str">
        <v>610422100137-2024-2-SURVEI-PPL</v>
      </c>
      <c r="U77" s="10">
        <v>1</v>
      </c>
      <c r="V77" s="10" t="e">
        <f ca="1"/>
        <v>#NAME?</v>
      </c>
      <c r="W77" s="67">
        <v>45351</v>
      </c>
      <c r="X77" s="11" t="str">
        <v>Susenas Maret 2024</v>
      </c>
      <c r="Y77" s="11" t="str">
        <v>TOHO</v>
      </c>
      <c r="Z77" s="11" t="str">
        <v>SAMBORA</v>
      </c>
      <c r="AA77" s="67">
        <v>45322</v>
      </c>
      <c r="AB77" s="67">
        <v>45323</v>
      </c>
      <c r="AC77" s="67">
        <v>45351</v>
      </c>
      <c r="AD77" s="67">
        <v>45350</v>
      </c>
      <c r="AE77" s="67">
        <v>45351</v>
      </c>
    </row>
    <row r="78" spans="1:31" ht="12.5">
      <c r="A78" s="10">
        <v>610422100144</v>
      </c>
      <c r="B78" s="10" t="str">
        <v>SUSENAS24-LAPANGAN-SEMESTER1</v>
      </c>
      <c r="C78" s="10">
        <v>0</v>
      </c>
      <c r="D78" s="10">
        <f ca="1"/>
        <v>1</v>
      </c>
      <c r="E78" s="10" t="str">
        <v>Irfan Faozi Sunaryo</v>
      </c>
      <c r="F78" s="10" t="str">
        <v>PPL</v>
      </c>
      <c r="G78" s="10" t="str">
        <v>6102122710990001</v>
      </c>
      <c r="H78" s="10" t="str">
        <v>UPDATING LISTING</v>
      </c>
      <c r="I78" s="10" t="str">
        <v>SUSENAS24-LAPANGAN-SEMESTER1-PPL-UPDATING LISTING</v>
      </c>
      <c r="J78" s="10" t="str">
        <v>Blok Sensus</v>
      </c>
      <c r="K78" s="66">
        <v>168000</v>
      </c>
      <c r="L78" s="10">
        <v>1</v>
      </c>
      <c r="M78" s="10">
        <v>168000</v>
      </c>
      <c r="N78" s="70">
        <v>162960</v>
      </c>
      <c r="O78" s="67">
        <v>45335</v>
      </c>
      <c r="P78" s="10">
        <v>2024</v>
      </c>
      <c r="Q78" s="10">
        <v>2</v>
      </c>
      <c r="R78" s="10" t="str">
        <v>SURVEI-PPL</v>
      </c>
      <c r="S78" s="10" t="str">
        <v>610422100144-2024-2</v>
      </c>
      <c r="T78" s="10" t="str">
        <v>610422100144-2024-2-SURVEI-PPL</v>
      </c>
      <c r="U78" s="10">
        <v>1</v>
      </c>
      <c r="V78" s="10" t="e">
        <f ca="1"/>
        <v>#NAME?</v>
      </c>
      <c r="W78" s="67">
        <v>45351</v>
      </c>
      <c r="X78" s="11" t="str">
        <v>Susenas Maret 2024</v>
      </c>
      <c r="Y78" s="11" t="str">
        <v>SUNGAI KUNYIT</v>
      </c>
      <c r="Z78" s="11" t="str">
        <v>SUNGAI DURI I</v>
      </c>
      <c r="AA78" s="67">
        <v>45322</v>
      </c>
      <c r="AB78" s="67">
        <v>45323</v>
      </c>
      <c r="AC78" s="67">
        <v>45351</v>
      </c>
      <c r="AD78" s="67">
        <v>45350</v>
      </c>
      <c r="AE78" s="67">
        <v>45351</v>
      </c>
    </row>
    <row r="79" spans="1:31" ht="12.5">
      <c r="A79" s="10">
        <v>610422100236</v>
      </c>
      <c r="B79" s="10" t="str">
        <v>SUSENAS24-LAPANGAN-SEMESTER1</v>
      </c>
      <c r="C79" s="10">
        <v>0</v>
      </c>
      <c r="D79" s="10">
        <f ca="1"/>
        <v>1</v>
      </c>
      <c r="E79" s="10" t="str">
        <v>Tesa</v>
      </c>
      <c r="F79" s="10" t="str">
        <v>PPL</v>
      </c>
      <c r="G79" s="10" t="str">
        <v>6102174604010003</v>
      </c>
      <c r="H79" s="10" t="str">
        <v>UPDATING LISTING</v>
      </c>
      <c r="I79" s="10" t="str">
        <v>SUSENAS24-LAPANGAN-SEMESTER1-PPL-UPDATING LISTING</v>
      </c>
      <c r="J79" s="10" t="str">
        <v>Blok Sensus</v>
      </c>
      <c r="K79" s="66">
        <v>168000</v>
      </c>
      <c r="L79" s="10">
        <v>2</v>
      </c>
      <c r="M79" s="10">
        <v>336000</v>
      </c>
      <c r="N79" s="70">
        <v>325920</v>
      </c>
      <c r="O79" s="67">
        <v>45335</v>
      </c>
      <c r="P79" s="10">
        <v>2024</v>
      </c>
      <c r="Q79" s="10">
        <v>2</v>
      </c>
      <c r="R79" s="10" t="str">
        <v>SURVEI-PPL</v>
      </c>
      <c r="S79" s="10" t="str">
        <v>610422100236-2024-2</v>
      </c>
      <c r="T79" s="10" t="str">
        <v>610422100236-2024-2-SURVEI-PPL</v>
      </c>
      <c r="U79" s="10">
        <v>1</v>
      </c>
      <c r="V79" s="10" t="e">
        <f ca="1"/>
        <v>#NAME?</v>
      </c>
      <c r="W79" s="67">
        <v>45351</v>
      </c>
      <c r="X79" s="11" t="str">
        <v>Susenas Maret 2024</v>
      </c>
      <c r="Y79" s="11" t="str">
        <v>SADANIANG</v>
      </c>
      <c r="Z79" s="11" t="str">
        <v>PENTEK</v>
      </c>
      <c r="AA79" s="67">
        <v>45322</v>
      </c>
      <c r="AB79" s="67">
        <v>45323</v>
      </c>
      <c r="AC79" s="67">
        <v>45351</v>
      </c>
      <c r="AD79" s="67">
        <v>45350</v>
      </c>
      <c r="AE79" s="67">
        <v>45351</v>
      </c>
    </row>
    <row r="80" spans="1:31" ht="12.5">
      <c r="A80" s="10">
        <v>610422100016</v>
      </c>
      <c r="B80" s="10" t="str">
        <v>SUSENAS24-LAPANGAN-SEMESTER1</v>
      </c>
      <c r="C80" s="10">
        <v>0</v>
      </c>
      <c r="D80" s="10">
        <f ca="1"/>
        <v>1</v>
      </c>
      <c r="E80" s="10" t="str">
        <v>Amalia Faisya</v>
      </c>
      <c r="F80" s="10" t="str">
        <v>PPL</v>
      </c>
      <c r="G80" s="10" t="str">
        <v>6102124210010005</v>
      </c>
      <c r="H80" s="10" t="str">
        <v>UPDATING LISTING</v>
      </c>
      <c r="I80" s="10" t="str">
        <v>SUSENAS24-LAPANGAN-SEMESTER1-PPL-UPDATING LISTING</v>
      </c>
      <c r="J80" s="10" t="str">
        <v>Blok Sensus</v>
      </c>
      <c r="K80" s="66">
        <v>168000</v>
      </c>
      <c r="L80" s="10">
        <v>2</v>
      </c>
      <c r="M80" s="10">
        <v>336000</v>
      </c>
      <c r="N80" s="70">
        <v>325920</v>
      </c>
      <c r="O80" s="67">
        <v>45335</v>
      </c>
      <c r="P80" s="10">
        <v>2024</v>
      </c>
      <c r="Q80" s="10">
        <v>2</v>
      </c>
      <c r="R80" s="10" t="str">
        <v>SURVEI-PPL</v>
      </c>
      <c r="S80" s="10" t="str">
        <v>610422100016-2024-2</v>
      </c>
      <c r="T80" s="10" t="str">
        <v>610422100016-2024-2-SURVEI-PPL</v>
      </c>
      <c r="U80" s="10">
        <v>1</v>
      </c>
      <c r="V80" s="10" t="e">
        <f ca="1"/>
        <v>#NAME?</v>
      </c>
      <c r="W80" s="67">
        <v>45351</v>
      </c>
      <c r="X80" s="11" t="str">
        <v>Susenas Maret 2024</v>
      </c>
      <c r="Y80" s="11" t="str">
        <v>SUNGAI KUNYIT</v>
      </c>
      <c r="Z80" s="11" t="str">
        <v>SUNGAI KUNYIT LAUT</v>
      </c>
      <c r="AA80" s="67">
        <v>45322</v>
      </c>
      <c r="AB80" s="67">
        <v>45323</v>
      </c>
      <c r="AC80" s="67">
        <v>45351</v>
      </c>
      <c r="AD80" s="67">
        <v>45350</v>
      </c>
      <c r="AE80" s="67">
        <v>45351</v>
      </c>
    </row>
    <row r="81" spans="1:31" ht="12.5">
      <c r="A81" s="10">
        <v>610422100101</v>
      </c>
      <c r="B81" s="10" t="str">
        <v>SUSENAS24-LAPANGAN-SEMESTER1</v>
      </c>
      <c r="C81" s="10">
        <v>0</v>
      </c>
      <c r="D81" s="10">
        <f ca="1"/>
        <v>1</v>
      </c>
      <c r="E81" s="10" t="str">
        <v>Sukmawati,S.Si</v>
      </c>
      <c r="F81" s="10" t="str">
        <v>PPL</v>
      </c>
      <c r="G81" s="10" t="str">
        <v>3402135601880001</v>
      </c>
      <c r="H81" s="10" t="str">
        <v>UPDATING LISTING</v>
      </c>
      <c r="I81" s="10" t="str">
        <v>SUSENAS24-LAPANGAN-SEMESTER1-PPL-UPDATING LISTING</v>
      </c>
      <c r="J81" s="10" t="str">
        <v>Blok Sensus</v>
      </c>
      <c r="K81" s="66">
        <v>168000</v>
      </c>
      <c r="L81" s="10">
        <v>2</v>
      </c>
      <c r="M81" s="10">
        <v>336000</v>
      </c>
      <c r="N81" s="70">
        <v>325920</v>
      </c>
      <c r="O81" s="67">
        <v>45335</v>
      </c>
      <c r="P81" s="10">
        <v>2024</v>
      </c>
      <c r="Q81" s="10">
        <v>2</v>
      </c>
      <c r="R81" s="10" t="str">
        <v>SURVEI-PPL</v>
      </c>
      <c r="S81" s="10" t="str">
        <v>610422100101-2024-2</v>
      </c>
      <c r="T81" s="10" t="str">
        <v>610422100101-2024-2-SURVEI-PPL</v>
      </c>
      <c r="U81" s="10">
        <v>1</v>
      </c>
      <c r="V81" s="10" t="e">
        <f ca="1"/>
        <v>#NAME?</v>
      </c>
      <c r="W81" s="67">
        <v>45351</v>
      </c>
      <c r="X81" s="11" t="str">
        <v>Susenas Maret 2024</v>
      </c>
      <c r="Y81" s="11" t="str">
        <v>ANJONGAN</v>
      </c>
      <c r="Z81" s="11" t="str">
        <v>ANJUNGAN MELANCAR</v>
      </c>
      <c r="AA81" s="67">
        <v>45322</v>
      </c>
      <c r="AB81" s="67">
        <v>45323</v>
      </c>
      <c r="AC81" s="67">
        <v>45351</v>
      </c>
      <c r="AD81" s="67">
        <v>45350</v>
      </c>
      <c r="AE81" s="67">
        <v>45351</v>
      </c>
    </row>
    <row r="82" spans="1:31" ht="12.5">
      <c r="A82" s="10">
        <v>610422100147</v>
      </c>
      <c r="B82" s="10" t="str">
        <v>SUSENAS24-LAPANGAN-SEMESTER1</v>
      </c>
      <c r="C82" s="10">
        <v>0</v>
      </c>
      <c r="D82" s="10">
        <f ca="1"/>
        <v>1</v>
      </c>
      <c r="E82" s="10" t="str">
        <v>Bella</v>
      </c>
      <c r="F82" s="10" t="str">
        <v>PPL</v>
      </c>
      <c r="G82" s="10" t="str">
        <v>6102067009940001</v>
      </c>
      <c r="H82" s="10" t="str">
        <v>UPDATING LISTING</v>
      </c>
      <c r="I82" s="10" t="str">
        <v>SUSENAS24-LAPANGAN-SEMESTER1-PPL-UPDATING LISTING</v>
      </c>
      <c r="J82" s="10" t="str">
        <v>Blok Sensus</v>
      </c>
      <c r="K82" s="66">
        <v>168000</v>
      </c>
      <c r="L82" s="10">
        <v>2</v>
      </c>
      <c r="M82" s="10">
        <v>336000</v>
      </c>
      <c r="N82" s="70">
        <v>325920</v>
      </c>
      <c r="O82" s="67">
        <v>45335</v>
      </c>
      <c r="P82" s="10">
        <v>2024</v>
      </c>
      <c r="Q82" s="10">
        <v>2</v>
      </c>
      <c r="R82" s="10" t="str">
        <v>SURVEI-PPL</v>
      </c>
      <c r="S82" s="10" t="str">
        <v>610422100147-2024-2</v>
      </c>
      <c r="T82" s="10" t="str">
        <v>610422100147-2024-2-SURVEI-PPL</v>
      </c>
      <c r="U82" s="10">
        <v>1</v>
      </c>
      <c r="V82" s="10" t="e">
        <f ca="1"/>
        <v>#NAME?</v>
      </c>
      <c r="W82" s="67">
        <v>45351</v>
      </c>
      <c r="X82" s="11" t="str">
        <v>Susenas Maret 2024</v>
      </c>
      <c r="Y82" s="11" t="str">
        <v>TOHO</v>
      </c>
      <c r="Z82" s="11" t="str">
        <v>TOHO ILIR</v>
      </c>
      <c r="AA82" s="67">
        <v>45322</v>
      </c>
      <c r="AB82" s="67">
        <v>45323</v>
      </c>
      <c r="AC82" s="67">
        <v>45351</v>
      </c>
      <c r="AD82" s="67">
        <v>45350</v>
      </c>
      <c r="AE82" s="67">
        <v>45351</v>
      </c>
    </row>
    <row r="83" spans="1:31" ht="12.5">
      <c r="A83" s="10">
        <v>610422050008</v>
      </c>
      <c r="B83" s="10" t="str">
        <v>SUSENAS24-LAPANGAN-SEMESTER1</v>
      </c>
      <c r="C83" s="10">
        <v>0</v>
      </c>
      <c r="D83" s="10">
        <f ca="1"/>
        <v>1</v>
      </c>
      <c r="E83" s="10" t="str">
        <v>Desi Natalia</v>
      </c>
      <c r="F83" s="10" t="str">
        <v>PPL</v>
      </c>
      <c r="G83" s="10" t="str">
        <v>6102066912860001</v>
      </c>
      <c r="H83" s="10" t="str">
        <v>UPDATING LISTING</v>
      </c>
      <c r="I83" s="10" t="str">
        <v>SUSENAS24-LAPANGAN-SEMESTER1-PPL-UPDATING LISTING</v>
      </c>
      <c r="J83" s="10" t="str">
        <v>Blok Sensus</v>
      </c>
      <c r="K83" s="66">
        <v>168000</v>
      </c>
      <c r="L83" s="10">
        <v>2</v>
      </c>
      <c r="M83" s="10">
        <v>336000</v>
      </c>
      <c r="N83" s="70">
        <v>325920</v>
      </c>
      <c r="O83" s="67">
        <v>45335</v>
      </c>
      <c r="P83" s="10">
        <v>2024</v>
      </c>
      <c r="Q83" s="10">
        <v>2</v>
      </c>
      <c r="R83" s="10" t="str">
        <v>SURVEI-PPL</v>
      </c>
      <c r="S83" s="10" t="str">
        <v>610422050008-2024-2</v>
      </c>
      <c r="T83" s="10" t="str">
        <v>610422050008-2024-2-SURVEI-PPL</v>
      </c>
      <c r="U83" s="10">
        <v>1</v>
      </c>
      <c r="V83" s="10" t="e">
        <f ca="1"/>
        <v>#NAME?</v>
      </c>
      <c r="W83" s="67">
        <v>45351</v>
      </c>
      <c r="X83" s="11" t="str">
        <v>Susenas Maret 2024</v>
      </c>
      <c r="Y83" s="11" t="str">
        <v>TOHO</v>
      </c>
      <c r="Z83" s="11" t="str">
        <v>TERAP</v>
      </c>
      <c r="AA83" s="67">
        <v>45322</v>
      </c>
      <c r="AB83" s="67">
        <v>45323</v>
      </c>
      <c r="AC83" s="67">
        <v>45351</v>
      </c>
      <c r="AD83" s="67">
        <v>45350</v>
      </c>
      <c r="AE83" s="67">
        <v>45351</v>
      </c>
    </row>
    <row r="84" spans="1:31" ht="12.5">
      <c r="A84" s="10">
        <v>610422100085</v>
      </c>
      <c r="B84" s="10" t="str">
        <v>SUSENAS24-LAPANGAN-SEMESTER1</v>
      </c>
      <c r="C84" s="10">
        <v>0</v>
      </c>
      <c r="D84" s="10">
        <f ca="1"/>
        <v>1</v>
      </c>
      <c r="E84" s="10" t="str">
        <v>Lina Agustin Widya Siwi</v>
      </c>
      <c r="F84" s="10" t="str">
        <v>PPL</v>
      </c>
      <c r="G84" s="10" t="str">
        <v>3301225608850001</v>
      </c>
      <c r="H84" s="10" t="str">
        <v>UPDATING LISTING</v>
      </c>
      <c r="I84" s="10" t="str">
        <v>SUSENAS24-LAPANGAN-SEMESTER1-PPL-UPDATING LISTING</v>
      </c>
      <c r="J84" s="10" t="str">
        <v>Blok Sensus</v>
      </c>
      <c r="K84" s="66">
        <v>168000</v>
      </c>
      <c r="L84" s="10">
        <v>1</v>
      </c>
      <c r="M84" s="10">
        <v>168000</v>
      </c>
      <c r="N84" s="70">
        <v>162960</v>
      </c>
      <c r="O84" s="67">
        <v>45335</v>
      </c>
      <c r="P84" s="10">
        <v>2024</v>
      </c>
      <c r="Q84" s="10">
        <v>2</v>
      </c>
      <c r="R84" s="10" t="str">
        <v>SURVEI-PPL</v>
      </c>
      <c r="S84" s="10" t="str">
        <v>610422100085-2024-2</v>
      </c>
      <c r="T84" s="10" t="str">
        <v>610422100085-2024-2-SURVEI-PPL</v>
      </c>
      <c r="U84" s="10">
        <v>1</v>
      </c>
      <c r="V84" s="10" t="e">
        <f ca="1"/>
        <v>#NAME?</v>
      </c>
      <c r="W84" s="67">
        <v>45351</v>
      </c>
      <c r="X84" s="11" t="str">
        <v>Susenas Maret 2024</v>
      </c>
      <c r="Y84" s="11" t="str">
        <v>SUNGAI PINYUH</v>
      </c>
      <c r="Z84" s="11" t="str">
        <v>NUSAPATI</v>
      </c>
      <c r="AA84" s="67">
        <v>45322</v>
      </c>
      <c r="AB84" s="67">
        <v>45323</v>
      </c>
      <c r="AC84" s="67">
        <v>45351</v>
      </c>
      <c r="AD84" s="67">
        <v>45350</v>
      </c>
      <c r="AE84" s="67">
        <v>45351</v>
      </c>
    </row>
    <row r="85" spans="1:31" ht="12.5">
      <c r="A85" s="10">
        <v>610422060001</v>
      </c>
      <c r="B85" s="10" t="str">
        <v>SUSENAS24-LAPANGAN-SEMESTER1</v>
      </c>
      <c r="C85" s="10">
        <v>0</v>
      </c>
      <c r="D85" s="10">
        <f ca="1"/>
        <v>1</v>
      </c>
      <c r="E85" s="10" t="str">
        <v>Elman</v>
      </c>
      <c r="F85" s="10" t="str">
        <v>PPL</v>
      </c>
      <c r="G85" s="10" t="str">
        <v>6102120510950002</v>
      </c>
      <c r="H85" s="10" t="str">
        <v>UPDATING LISTING</v>
      </c>
      <c r="I85" s="10" t="str">
        <v>SUSENAS24-LAPANGAN-SEMESTER1-PPL-UPDATING LISTING</v>
      </c>
      <c r="J85" s="10" t="str">
        <v>Blok Sensus</v>
      </c>
      <c r="K85" s="66">
        <v>168000</v>
      </c>
      <c r="L85" s="10">
        <v>2</v>
      </c>
      <c r="M85" s="10">
        <v>336000</v>
      </c>
      <c r="N85" s="70">
        <v>325920</v>
      </c>
      <c r="O85" s="67">
        <v>45335</v>
      </c>
      <c r="P85" s="10">
        <v>2024</v>
      </c>
      <c r="Q85" s="10">
        <v>2</v>
      </c>
      <c r="R85" s="10" t="str">
        <v>SURVEI-PPL</v>
      </c>
      <c r="S85" s="10" t="str">
        <v>610422060001-2024-2</v>
      </c>
      <c r="T85" s="10" t="str">
        <v>610422060001-2024-2-SURVEI-PPL</v>
      </c>
      <c r="U85" s="10">
        <v>1</v>
      </c>
      <c r="V85" s="10" t="e">
        <f ca="1"/>
        <v>#NAME?</v>
      </c>
      <c r="W85" s="67">
        <v>45351</v>
      </c>
      <c r="X85" s="11" t="str">
        <v>Susenas Maret 2024</v>
      </c>
      <c r="Y85" s="11" t="str">
        <v>SUNGAI KUNYIT</v>
      </c>
      <c r="Z85" s="11" t="str">
        <v>SUNGAI KUNYIT HULU</v>
      </c>
      <c r="AA85" s="67">
        <v>45322</v>
      </c>
      <c r="AB85" s="67">
        <v>45323</v>
      </c>
      <c r="AC85" s="67">
        <v>45351</v>
      </c>
      <c r="AD85" s="67">
        <v>45350</v>
      </c>
      <c r="AE85" s="67">
        <v>45351</v>
      </c>
    </row>
    <row r="86" spans="1:31" ht="12.5">
      <c r="A86" s="10">
        <v>610422100001</v>
      </c>
      <c r="B86" s="10" t="str">
        <v>SUSENAS24-LAPANGAN-SEMESTER1</v>
      </c>
      <c r="C86" s="10">
        <v>0</v>
      </c>
      <c r="D86" s="10">
        <f ca="1"/>
        <v>1</v>
      </c>
      <c r="E86" s="10" t="str">
        <v>Fatmawati,S.Hut</v>
      </c>
      <c r="F86" s="10" t="str">
        <v>PPL</v>
      </c>
      <c r="G86" s="10" t="str">
        <v>6102075007830003</v>
      </c>
      <c r="H86" s="10" t="str">
        <v>UPDATING LISTING</v>
      </c>
      <c r="I86" s="10" t="str">
        <v>SUSENAS24-LAPANGAN-SEMESTER1-PPL-UPDATING LISTING</v>
      </c>
      <c r="J86" s="10" t="str">
        <v>Blok Sensus</v>
      </c>
      <c r="K86" s="66">
        <v>168000</v>
      </c>
      <c r="L86" s="10">
        <v>2</v>
      </c>
      <c r="M86" s="10">
        <v>336000</v>
      </c>
      <c r="N86" s="70">
        <v>325920</v>
      </c>
      <c r="O86" s="67">
        <v>45335</v>
      </c>
      <c r="P86" s="10">
        <v>2024</v>
      </c>
      <c r="Q86" s="10">
        <v>2</v>
      </c>
      <c r="R86" s="10" t="str">
        <v>SURVEI-PPL</v>
      </c>
      <c r="S86" s="10" t="str">
        <v>610422100001-2024-2</v>
      </c>
      <c r="T86" s="10" t="str">
        <v>610422100001-2024-2-SURVEI-PPL</v>
      </c>
      <c r="U86" s="10">
        <v>1</v>
      </c>
      <c r="V86" s="10" t="e">
        <f ca="1"/>
        <v>#NAME?</v>
      </c>
      <c r="W86" s="67">
        <v>45351</v>
      </c>
      <c r="X86" s="11" t="str">
        <v>Susenas Maret 2024</v>
      </c>
      <c r="Y86" s="11" t="str">
        <v>SUNGAI PINYUH</v>
      </c>
      <c r="Z86" s="11" t="str">
        <v>SUNGAI BAKAU BESAR LAUT</v>
      </c>
      <c r="AA86" s="67">
        <v>45322</v>
      </c>
      <c r="AB86" s="67">
        <v>45323</v>
      </c>
      <c r="AC86" s="67">
        <v>45351</v>
      </c>
      <c r="AD86" s="67">
        <v>45350</v>
      </c>
      <c r="AE86" s="67">
        <v>45351</v>
      </c>
    </row>
    <row r="87" spans="1:31" ht="12.5">
      <c r="A87" s="10">
        <v>610422040034</v>
      </c>
      <c r="B87" s="10" t="str">
        <v>SUSENAS24-LAPANGAN-SEMESTER1</v>
      </c>
      <c r="C87" s="10">
        <v>0</v>
      </c>
      <c r="D87" s="10">
        <f ca="1"/>
        <v>1</v>
      </c>
      <c r="E87" s="10" t="str">
        <v>Nelly Nalita</v>
      </c>
      <c r="F87" s="10" t="str">
        <v>PPL</v>
      </c>
      <c r="G87" s="10" t="str">
        <v>6102014712890004</v>
      </c>
      <c r="H87" s="10" t="str">
        <v>UPDATING LISTING</v>
      </c>
      <c r="I87" s="10" t="str">
        <v>SUSENAS24-LAPANGAN-SEMESTER1-PPL-UPDATING LISTING</v>
      </c>
      <c r="J87" s="10" t="str">
        <v>Blok Sensus</v>
      </c>
      <c r="K87" s="66">
        <v>168000</v>
      </c>
      <c r="L87" s="10">
        <v>2</v>
      </c>
      <c r="M87" s="10">
        <v>336000</v>
      </c>
      <c r="N87" s="70">
        <v>325920</v>
      </c>
      <c r="O87" s="67">
        <v>45335</v>
      </c>
      <c r="P87" s="10">
        <v>2024</v>
      </c>
      <c r="Q87" s="10">
        <v>2</v>
      </c>
      <c r="R87" s="10" t="str">
        <v>SURVEI-PPL</v>
      </c>
      <c r="S87" s="10" t="str">
        <v>610422040034-2024-2</v>
      </c>
      <c r="T87" s="10" t="str">
        <v>610422040034-2024-2-SURVEI-PPL</v>
      </c>
      <c r="U87" s="10">
        <v>1</v>
      </c>
      <c r="V87" s="10" t="e">
        <f ca="1"/>
        <v>#NAME?</v>
      </c>
      <c r="W87" s="67">
        <v>45351</v>
      </c>
      <c r="X87" s="11" t="str">
        <v>Susenas Maret 2024</v>
      </c>
      <c r="Y87" s="11" t="str">
        <v>MEMPAWAH HILIR</v>
      </c>
      <c r="Z87" s="11" t="str">
        <v>SENGKUBANG</v>
      </c>
      <c r="AA87" s="67">
        <v>45322</v>
      </c>
      <c r="AB87" s="67">
        <v>45323</v>
      </c>
      <c r="AC87" s="67">
        <v>45351</v>
      </c>
      <c r="AD87" s="67">
        <v>45350</v>
      </c>
      <c r="AE87" s="67">
        <v>45351</v>
      </c>
    </row>
    <row r="88" spans="1:31" ht="12.5">
      <c r="A88" s="10">
        <v>610422040058</v>
      </c>
      <c r="B88" s="10" t="str">
        <v>SUSENAS24-LAPANGAN-SEMESTER1</v>
      </c>
      <c r="C88" s="10">
        <v>0</v>
      </c>
      <c r="D88" s="10">
        <f ca="1"/>
        <v>1</v>
      </c>
      <c r="E88" s="10" t="str">
        <v>Jamaluddin, Sp</v>
      </c>
      <c r="F88" s="10" t="str">
        <v>PPL</v>
      </c>
      <c r="G88" s="10" t="str">
        <v>6102152607940002</v>
      </c>
      <c r="H88" s="10" t="str">
        <v>UPDATING LISTING</v>
      </c>
      <c r="I88" s="10" t="str">
        <v>SUSENAS24-LAPANGAN-SEMESTER1-PPL-UPDATING LISTING</v>
      </c>
      <c r="J88" s="10" t="str">
        <v>Blok Sensus</v>
      </c>
      <c r="K88" s="66">
        <v>168000</v>
      </c>
      <c r="L88" s="10">
        <v>2</v>
      </c>
      <c r="M88" s="10">
        <v>336000</v>
      </c>
      <c r="N88" s="70">
        <v>325920</v>
      </c>
      <c r="O88" s="67">
        <v>45335</v>
      </c>
      <c r="P88" s="10">
        <v>2024</v>
      </c>
      <c r="Q88" s="10">
        <v>2</v>
      </c>
      <c r="R88" s="10" t="str">
        <v>SURVEI-PPL</v>
      </c>
      <c r="S88" s="10" t="str">
        <v>610422040058-2024-2</v>
      </c>
      <c r="T88" s="10" t="str">
        <v>610422040058-2024-2-SURVEI-PPL</v>
      </c>
      <c r="U88" s="10">
        <v>1</v>
      </c>
      <c r="V88" s="10" t="e">
        <f ca="1"/>
        <v>#NAME?</v>
      </c>
      <c r="W88" s="67">
        <v>45351</v>
      </c>
      <c r="X88" s="11" t="str">
        <v>Susenas Maret 2024</v>
      </c>
      <c r="Y88" s="11" t="str">
        <v>SEGEDONG</v>
      </c>
      <c r="Z88" s="11" t="str">
        <v>PENITI DALAM I</v>
      </c>
      <c r="AA88" s="67">
        <v>45322</v>
      </c>
      <c r="AB88" s="67">
        <v>45323</v>
      </c>
      <c r="AC88" s="67">
        <v>45351</v>
      </c>
      <c r="AD88" s="67">
        <v>45350</v>
      </c>
      <c r="AE88" s="67">
        <v>45351</v>
      </c>
    </row>
    <row r="89" spans="1:31" ht="12.5">
      <c r="A89" s="10">
        <v>610422040052</v>
      </c>
      <c r="B89" s="10" t="str">
        <v>SUSENAS24-LAPANGAN-SEMESTER1</v>
      </c>
      <c r="C89" s="10">
        <v>0</v>
      </c>
      <c r="D89" s="10">
        <f ca="1"/>
        <v>1</v>
      </c>
      <c r="E89" s="10" t="str">
        <v>Yusimianto</v>
      </c>
      <c r="F89" s="10" t="str">
        <v>PPL</v>
      </c>
      <c r="G89" s="10" t="str">
        <v>6102160603790001</v>
      </c>
      <c r="H89" s="10" t="str">
        <v>UPDATING LISTING</v>
      </c>
      <c r="I89" s="10" t="str">
        <v>SUSENAS24-LAPANGAN-SEMESTER1-PPL-UPDATING LISTING</v>
      </c>
      <c r="J89" s="10" t="str">
        <v>Blok Sensus</v>
      </c>
      <c r="K89" s="66">
        <v>168000</v>
      </c>
      <c r="L89" s="10">
        <v>1</v>
      </c>
      <c r="M89" s="10">
        <v>168000</v>
      </c>
      <c r="N89" s="70">
        <v>162960</v>
      </c>
      <c r="O89" s="67">
        <v>45335</v>
      </c>
      <c r="P89" s="10">
        <v>2024</v>
      </c>
      <c r="Q89" s="10">
        <v>2</v>
      </c>
      <c r="R89" s="10" t="str">
        <v>SURVEI-PPL</v>
      </c>
      <c r="S89" s="10" t="str">
        <v>610422040052-2024-2</v>
      </c>
      <c r="T89" s="10" t="str">
        <v>610422040052-2024-2-SURVEI-PPL</v>
      </c>
      <c r="U89" s="10">
        <v>1</v>
      </c>
      <c r="V89" s="10" t="e">
        <f ca="1"/>
        <v>#NAME?</v>
      </c>
      <c r="W89" s="67">
        <v>45351</v>
      </c>
      <c r="X89" s="11" t="str">
        <v>Susenas Maret 2024</v>
      </c>
      <c r="Y89" s="11" t="str">
        <v>ANJONGAN</v>
      </c>
      <c r="Z89" s="11" t="str">
        <v>PAK BULU</v>
      </c>
      <c r="AA89" s="67">
        <v>45322</v>
      </c>
      <c r="AB89" s="67">
        <v>45323</v>
      </c>
      <c r="AC89" s="67">
        <v>45351</v>
      </c>
      <c r="AD89" s="67">
        <v>45350</v>
      </c>
      <c r="AE89" s="67">
        <v>45351</v>
      </c>
    </row>
    <row r="90" spans="1:31" ht="12.5">
      <c r="A90" s="10">
        <v>610422040061</v>
      </c>
      <c r="B90" s="10" t="str">
        <v>SUSENAS24-LAPANGAN-SEMESTER1</v>
      </c>
      <c r="C90" s="10">
        <v>0</v>
      </c>
      <c r="D90" s="10">
        <f ca="1"/>
        <v>1</v>
      </c>
      <c r="E90" s="10" t="str">
        <v>Sabani</v>
      </c>
      <c r="F90" s="10" t="str">
        <v>PPL</v>
      </c>
      <c r="G90" s="10" t="str">
        <v>6102153112860003</v>
      </c>
      <c r="H90" s="10" t="str">
        <v>UPDATING LISTING</v>
      </c>
      <c r="I90" s="10" t="str">
        <v>SUSENAS24-LAPANGAN-SEMESTER1-PPL-UPDATING LISTING</v>
      </c>
      <c r="J90" s="10" t="str">
        <v>Blok Sensus</v>
      </c>
      <c r="K90" s="66">
        <v>168000</v>
      </c>
      <c r="L90" s="10">
        <v>1</v>
      </c>
      <c r="M90" s="10">
        <v>168000</v>
      </c>
      <c r="N90" s="70">
        <v>162960</v>
      </c>
      <c r="O90" s="67">
        <v>45335</v>
      </c>
      <c r="P90" s="10">
        <v>2024</v>
      </c>
      <c r="Q90" s="10">
        <v>2</v>
      </c>
      <c r="R90" s="10" t="str">
        <v>SURVEI-PPL</v>
      </c>
      <c r="S90" s="10" t="str">
        <v>610422040061-2024-2</v>
      </c>
      <c r="T90" s="10" t="str">
        <v>610422040061-2024-2-SURVEI-PPL</v>
      </c>
      <c r="U90" s="10">
        <v>1</v>
      </c>
      <c r="V90" s="10" t="e">
        <f ca="1"/>
        <v>#NAME?</v>
      </c>
      <c r="W90" s="67">
        <v>45351</v>
      </c>
      <c r="X90" s="11" t="str">
        <v>Susenas Maret 2024</v>
      </c>
      <c r="Y90" s="11" t="str">
        <v>SEGEDONG</v>
      </c>
      <c r="Z90" s="11" t="str">
        <v>PENITI BESAR</v>
      </c>
      <c r="AA90" s="67">
        <v>45322</v>
      </c>
      <c r="AB90" s="67">
        <v>45323</v>
      </c>
      <c r="AC90" s="67">
        <v>45351</v>
      </c>
      <c r="AD90" s="67">
        <v>45350</v>
      </c>
      <c r="AE90" s="67">
        <v>45351</v>
      </c>
    </row>
    <row r="91" spans="1:31" ht="12.5">
      <c r="A91" s="10">
        <v>610422040006</v>
      </c>
      <c r="B91" s="10" t="str">
        <v>SUSENAS24-LAPANGAN-SEMESTER1</v>
      </c>
      <c r="C91" s="10">
        <v>0</v>
      </c>
      <c r="D91" s="10">
        <f ca="1"/>
        <v>1</v>
      </c>
      <c r="E91" s="10" t="str">
        <v>Ridha Nur Mitha</v>
      </c>
      <c r="F91" s="10" t="str">
        <v>PPL</v>
      </c>
      <c r="G91" s="10" t="str">
        <v>6102186803020002</v>
      </c>
      <c r="H91" s="10" t="str">
        <v>UPDATING LISTING</v>
      </c>
      <c r="I91" s="10" t="str">
        <v>SUSENAS24-LAPANGAN-SEMESTER1-PPL-UPDATING LISTING</v>
      </c>
      <c r="J91" s="10" t="str">
        <v>Blok Sensus</v>
      </c>
      <c r="K91" s="66">
        <v>168000</v>
      </c>
      <c r="L91" s="10">
        <v>2</v>
      </c>
      <c r="M91" s="10">
        <v>336000</v>
      </c>
      <c r="N91" s="70">
        <v>325920</v>
      </c>
      <c r="O91" s="67">
        <v>45335</v>
      </c>
      <c r="P91" s="10">
        <v>2024</v>
      </c>
      <c r="Q91" s="10">
        <v>2</v>
      </c>
      <c r="R91" s="10" t="str">
        <v>SURVEI-PPL</v>
      </c>
      <c r="S91" s="10" t="str">
        <v>610422040006-2024-2</v>
      </c>
      <c r="T91" s="10" t="str">
        <v>610422040006-2024-2-SURVEI-PPL</v>
      </c>
      <c r="U91" s="10">
        <v>1</v>
      </c>
      <c r="V91" s="10" t="e">
        <f ca="1"/>
        <v>#NAME?</v>
      </c>
      <c r="W91" s="67">
        <v>45351</v>
      </c>
      <c r="X91" s="11" t="str">
        <v>Susenas Maret 2024</v>
      </c>
      <c r="Y91" s="11" t="str">
        <v>MEMPAWAH TIMUR</v>
      </c>
      <c r="Z91" s="11" t="str">
        <v>ANTIBAR</v>
      </c>
      <c r="AA91" s="67">
        <v>45322</v>
      </c>
      <c r="AB91" s="67">
        <v>45323</v>
      </c>
      <c r="AC91" s="67">
        <v>45351</v>
      </c>
      <c r="AD91" s="67">
        <v>45350</v>
      </c>
      <c r="AE91" s="67">
        <v>45351</v>
      </c>
    </row>
    <row r="92" spans="1:31" ht="12.5">
      <c r="A92" s="10">
        <v>610422040028</v>
      </c>
      <c r="B92" s="10" t="str">
        <v>SUSENAS24-LAPANGAN-SEMESTER1</v>
      </c>
      <c r="C92" s="10">
        <v>0</v>
      </c>
      <c r="D92" s="10">
        <f ca="1"/>
        <v>1</v>
      </c>
      <c r="E92" s="10" t="str">
        <v>Hafizh</v>
      </c>
      <c r="F92" s="10" t="str">
        <v>PPL</v>
      </c>
      <c r="G92" s="10" t="str">
        <v>6102184304950003</v>
      </c>
      <c r="H92" s="10" t="str">
        <v>UPDATING LISTING</v>
      </c>
      <c r="I92" s="10" t="str">
        <v>SUSENAS24-LAPANGAN-SEMESTER1-PPL-UPDATING LISTING</v>
      </c>
      <c r="J92" s="10" t="str">
        <v>Blok Sensus</v>
      </c>
      <c r="K92" s="66">
        <v>168000</v>
      </c>
      <c r="L92" s="10">
        <v>2</v>
      </c>
      <c r="M92" s="10">
        <v>336000</v>
      </c>
      <c r="N92" s="70">
        <v>325920</v>
      </c>
      <c r="O92" s="67">
        <v>45335</v>
      </c>
      <c r="P92" s="10">
        <v>2024</v>
      </c>
      <c r="Q92" s="10">
        <v>2</v>
      </c>
      <c r="R92" s="10" t="str">
        <v>SURVEI-PPL</v>
      </c>
      <c r="S92" s="10" t="str">
        <v>610422040028-2024-2</v>
      </c>
      <c r="T92" s="10" t="str">
        <v>610422040028-2024-2-SURVEI-PPL</v>
      </c>
      <c r="U92" s="10">
        <v>1</v>
      </c>
      <c r="V92" s="10" t="e">
        <f ca="1"/>
        <v>#NAME?</v>
      </c>
      <c r="W92" s="67">
        <v>45351</v>
      </c>
      <c r="X92" s="11" t="str">
        <v>Susenas Maret 2024</v>
      </c>
      <c r="Y92" s="11" t="str">
        <v>MEMPAWAH TIMUR</v>
      </c>
      <c r="Z92" s="11" t="str">
        <v>PASIR PANJANG</v>
      </c>
      <c r="AA92" s="67">
        <v>45322</v>
      </c>
      <c r="AB92" s="67">
        <v>45323</v>
      </c>
      <c r="AC92" s="67">
        <v>45351</v>
      </c>
      <c r="AD92" s="67">
        <v>45350</v>
      </c>
      <c r="AE92" s="67">
        <v>45351</v>
      </c>
    </row>
    <row r="93" spans="1:31" ht="12.5">
      <c r="A93" s="10">
        <v>610422040035</v>
      </c>
      <c r="B93" s="10" t="str">
        <v>SUSENAS24-LAPANGAN-SEMESTER1</v>
      </c>
      <c r="C93" s="10">
        <v>0</v>
      </c>
      <c r="D93" s="10">
        <f ca="1"/>
        <v>1</v>
      </c>
      <c r="E93" s="10" t="str">
        <v>Rahmayani</v>
      </c>
      <c r="F93" s="10" t="str">
        <v>PPL</v>
      </c>
      <c r="G93" s="10" t="str">
        <v>6102186404970003</v>
      </c>
      <c r="H93" s="10" t="str">
        <v>UPDATING LISTING</v>
      </c>
      <c r="I93" s="10" t="str">
        <v>SUSENAS24-LAPANGAN-SEMESTER1-PPL-UPDATING LISTING</v>
      </c>
      <c r="J93" s="10" t="str">
        <v>Blok Sensus</v>
      </c>
      <c r="K93" s="66">
        <v>168000</v>
      </c>
      <c r="L93" s="10">
        <v>1</v>
      </c>
      <c r="M93" s="10">
        <v>168000</v>
      </c>
      <c r="N93" s="70">
        <v>162960</v>
      </c>
      <c r="O93" s="67">
        <v>45335</v>
      </c>
      <c r="P93" s="10">
        <v>2024</v>
      </c>
      <c r="Q93" s="10">
        <v>2</v>
      </c>
      <c r="R93" s="10" t="str">
        <v>SURVEI-PPL</v>
      </c>
      <c r="S93" s="10" t="str">
        <v>610422040035-2024-2</v>
      </c>
      <c r="T93" s="10" t="str">
        <v>610422040035-2024-2-SURVEI-PPL</v>
      </c>
      <c r="U93" s="10">
        <v>1</v>
      </c>
      <c r="V93" s="10" t="e">
        <f ca="1"/>
        <v>#NAME?</v>
      </c>
      <c r="W93" s="67">
        <v>45351</v>
      </c>
      <c r="X93" s="11" t="str">
        <v>Susenas Maret 2024</v>
      </c>
      <c r="Y93" s="11" t="str">
        <v>MEMPAWAH TIMUR</v>
      </c>
      <c r="Z93" s="11" t="str">
        <v>SEJEGI</v>
      </c>
      <c r="AA93" s="67">
        <v>45322</v>
      </c>
      <c r="AB93" s="67">
        <v>45323</v>
      </c>
      <c r="AC93" s="67">
        <v>45351</v>
      </c>
      <c r="AD93" s="67">
        <v>45350</v>
      </c>
      <c r="AE93" s="67">
        <v>45351</v>
      </c>
    </row>
    <row r="94" spans="1:31" ht="12.5">
      <c r="A94" s="10">
        <v>610422040049</v>
      </c>
      <c r="B94" s="10" t="str">
        <v>SUSENAS24-LAPANGAN-SEMESTER1</v>
      </c>
      <c r="C94" s="10">
        <v>0</v>
      </c>
      <c r="D94" s="10">
        <f ca="1"/>
        <v>1</v>
      </c>
      <c r="E94" s="10" t="str">
        <v>Sulis Tri Handayani</v>
      </c>
      <c r="F94" s="10" t="str">
        <v>PPL</v>
      </c>
      <c r="G94" s="10" t="str">
        <v>6102074307840004</v>
      </c>
      <c r="H94" s="10" t="str">
        <v>UPDATING LISTING</v>
      </c>
      <c r="I94" s="10" t="str">
        <v>SUSENAS24-LAPANGAN-SEMESTER1-PPL-UPDATING LISTING</v>
      </c>
      <c r="J94" s="10" t="str">
        <v>Blok Sensus</v>
      </c>
      <c r="K94" s="66">
        <v>168000</v>
      </c>
      <c r="L94" s="10">
        <v>2</v>
      </c>
      <c r="M94" s="10">
        <v>336000</v>
      </c>
      <c r="N94" s="70">
        <v>325920</v>
      </c>
      <c r="O94" s="67">
        <v>45335</v>
      </c>
      <c r="P94" s="10">
        <v>2024</v>
      </c>
      <c r="Q94" s="10">
        <v>2</v>
      </c>
      <c r="R94" s="10" t="str">
        <v>SURVEI-PPL</v>
      </c>
      <c r="S94" s="10" t="str">
        <v>610422040049-2024-2</v>
      </c>
      <c r="T94" s="10" t="str">
        <v>610422040049-2024-2-SURVEI-PPL</v>
      </c>
      <c r="U94" s="10">
        <v>1</v>
      </c>
      <c r="V94" s="10" t="e">
        <f ca="1"/>
        <v>#NAME?</v>
      </c>
      <c r="W94" s="67">
        <v>45351</v>
      </c>
      <c r="X94" s="11" t="str">
        <v>Susenas Maret 2024</v>
      </c>
      <c r="Y94" s="11" t="str">
        <v>SUNGAI PINYUH</v>
      </c>
      <c r="Z94" s="11" t="str">
        <v>SUNGAI PINYUH</v>
      </c>
      <c r="AA94" s="67">
        <v>45322</v>
      </c>
      <c r="AB94" s="67">
        <v>45323</v>
      </c>
      <c r="AC94" s="67">
        <v>45351</v>
      </c>
      <c r="AD94" s="67">
        <v>45350</v>
      </c>
      <c r="AE94" s="67">
        <v>45351</v>
      </c>
    </row>
    <row r="95" spans="1:31" ht="12.5">
      <c r="A95" s="10">
        <v>610422040033</v>
      </c>
      <c r="B95" s="10" t="str">
        <v>SUSENAS24-LAPANGAN-SEMESTER1</v>
      </c>
      <c r="C95" s="10">
        <v>0</v>
      </c>
      <c r="D95" s="10">
        <f ca="1"/>
        <v>1</v>
      </c>
      <c r="E95" s="10" t="str">
        <v>Nurlian</v>
      </c>
      <c r="F95" s="10" t="str">
        <v>PPL</v>
      </c>
      <c r="G95" s="10" t="str">
        <v>6102085104960002</v>
      </c>
      <c r="H95" s="10" t="str">
        <v>UPDATING LISTING</v>
      </c>
      <c r="I95" s="10" t="str">
        <v>SUSENAS24-LAPANGAN-SEMESTER1-PPL-UPDATING LISTING</v>
      </c>
      <c r="J95" s="10" t="str">
        <v>Blok Sensus</v>
      </c>
      <c r="K95" s="66">
        <v>168000</v>
      </c>
      <c r="L95" s="10">
        <v>2</v>
      </c>
      <c r="M95" s="10">
        <v>336000</v>
      </c>
      <c r="N95" s="70">
        <v>325920</v>
      </c>
      <c r="O95" s="67">
        <v>45335</v>
      </c>
      <c r="P95" s="10">
        <v>2024</v>
      </c>
      <c r="Q95" s="10">
        <v>2</v>
      </c>
      <c r="R95" s="10" t="str">
        <v>SURVEI-PPL</v>
      </c>
      <c r="S95" s="10" t="str">
        <v>610422040033-2024-2</v>
      </c>
      <c r="T95" s="10" t="str">
        <v>610422040033-2024-2-SURVEI-PPL</v>
      </c>
      <c r="U95" s="10">
        <v>1</v>
      </c>
      <c r="V95" s="10" t="e">
        <f ca="1"/>
        <v>#NAME?</v>
      </c>
      <c r="W95" s="67">
        <v>45351</v>
      </c>
      <c r="X95" s="11" t="str">
        <v>Susenas Maret 2024</v>
      </c>
      <c r="Y95" s="11" t="str">
        <v>JONGKAT</v>
      </c>
      <c r="Z95" s="11" t="str">
        <v>JUNGKAT</v>
      </c>
      <c r="AA95" s="67">
        <v>45322</v>
      </c>
      <c r="AB95" s="67">
        <v>45323</v>
      </c>
      <c r="AC95" s="67">
        <v>45351</v>
      </c>
      <c r="AD95" s="67">
        <v>45350</v>
      </c>
      <c r="AE95" s="67">
        <v>45351</v>
      </c>
    </row>
    <row r="96" spans="1:31" ht="12.5">
      <c r="A96" s="10">
        <v>610422040050</v>
      </c>
      <c r="B96" s="10" t="str">
        <v>SUSENAS24-LAPANGAN-SEMESTER1</v>
      </c>
      <c r="C96" s="10">
        <v>0</v>
      </c>
      <c r="D96" s="10">
        <f ca="1"/>
        <v>1</v>
      </c>
      <c r="E96" s="10" t="str">
        <v>Novita Sari</v>
      </c>
      <c r="F96" s="10" t="str">
        <v>PPL</v>
      </c>
      <c r="G96" s="10" t="str">
        <v>6102085906990001</v>
      </c>
      <c r="H96" s="10" t="str">
        <v>UPDATING LISTING</v>
      </c>
      <c r="I96" s="10" t="str">
        <v>SUSENAS24-LAPANGAN-SEMESTER1-PPL-UPDATING LISTING</v>
      </c>
      <c r="J96" s="10" t="str">
        <v>Blok Sensus</v>
      </c>
      <c r="K96" s="66">
        <v>168000</v>
      </c>
      <c r="L96" s="10">
        <v>1</v>
      </c>
      <c r="M96" s="10">
        <v>168000</v>
      </c>
      <c r="N96" s="70">
        <v>162960</v>
      </c>
      <c r="O96" s="67">
        <v>45335</v>
      </c>
      <c r="P96" s="10">
        <v>2024</v>
      </c>
      <c r="Q96" s="10">
        <v>2</v>
      </c>
      <c r="R96" s="10" t="str">
        <v>SURVEI-PPL</v>
      </c>
      <c r="S96" s="10" t="str">
        <v>610422040050-2024-2</v>
      </c>
      <c r="T96" s="10" t="str">
        <v>610422040050-2024-2-SURVEI-PPL</v>
      </c>
      <c r="U96" s="10">
        <v>1</v>
      </c>
      <c r="V96" s="10" t="e">
        <f ca="1"/>
        <v>#NAME?</v>
      </c>
      <c r="W96" s="67">
        <v>45351</v>
      </c>
      <c r="X96" s="11" t="str">
        <v>Susenas Maret 2024</v>
      </c>
      <c r="Y96" s="11" t="str">
        <v>JONGKAT</v>
      </c>
      <c r="Z96" s="11" t="str">
        <v>JUNGKAT</v>
      </c>
      <c r="AA96" s="67">
        <v>45322</v>
      </c>
      <c r="AB96" s="67">
        <v>45323</v>
      </c>
      <c r="AC96" s="67">
        <v>45351</v>
      </c>
      <c r="AD96" s="67">
        <v>45350</v>
      </c>
      <c r="AE96" s="67">
        <v>45351</v>
      </c>
    </row>
    <row r="97" spans="1:31" ht="12.5">
      <c r="A97" s="10">
        <v>610422030002</v>
      </c>
      <c r="B97" s="10" t="str">
        <v>SUSENAS24-LAPANGAN-SEMESTER1</v>
      </c>
      <c r="C97" s="10">
        <v>0</v>
      </c>
      <c r="D97" s="10">
        <f ca="1"/>
        <v>1</v>
      </c>
      <c r="E97" s="10" t="str">
        <v>Deti Erni Widiastuti</v>
      </c>
      <c r="F97" s="10" t="str">
        <v>PPL</v>
      </c>
      <c r="G97" s="10" t="str">
        <v>6102016712860001</v>
      </c>
      <c r="H97" s="10" t="str">
        <v>UPDATING LISTING</v>
      </c>
      <c r="I97" s="10" t="str">
        <v>SUSENAS24-LAPANGAN-SEMESTER1-PPL-UPDATING LISTING</v>
      </c>
      <c r="J97" s="10" t="str">
        <v>Blok Sensus</v>
      </c>
      <c r="K97" s="66">
        <v>168000</v>
      </c>
      <c r="L97" s="10">
        <v>2</v>
      </c>
      <c r="M97" s="10">
        <v>336000</v>
      </c>
      <c r="N97" s="70">
        <v>325920</v>
      </c>
      <c r="O97" s="67">
        <v>45335</v>
      </c>
      <c r="P97" s="10">
        <v>2024</v>
      </c>
      <c r="Q97" s="10">
        <v>2</v>
      </c>
      <c r="R97" s="10" t="str">
        <v>SURVEI-PPL</v>
      </c>
      <c r="S97" s="10" t="str">
        <v>610422030002-2024-2</v>
      </c>
      <c r="T97" s="10" t="str">
        <v>610422030002-2024-2-SURVEI-PPL</v>
      </c>
      <c r="U97" s="10">
        <v>1</v>
      </c>
      <c r="V97" s="10" t="e">
        <f ca="1"/>
        <v>#NAME?</v>
      </c>
      <c r="W97" s="67">
        <v>45351</v>
      </c>
      <c r="X97" s="11" t="str">
        <v>Susenas Maret 2024</v>
      </c>
      <c r="Y97" s="11" t="str">
        <v>SEGEDONG</v>
      </c>
      <c r="Z97" s="11" t="str">
        <v>PENITI DALAM I</v>
      </c>
      <c r="AA97" s="67">
        <v>45322</v>
      </c>
      <c r="AB97" s="67">
        <v>45323</v>
      </c>
      <c r="AC97" s="67">
        <v>45351</v>
      </c>
      <c r="AD97" s="67">
        <v>45350</v>
      </c>
      <c r="AE97" s="67">
        <v>45351</v>
      </c>
    </row>
    <row r="98" spans="1:31" ht="12.5">
      <c r="A98" s="10">
        <v>610422040029</v>
      </c>
      <c r="B98" s="10" t="str">
        <v>SUSENAS24-LAPANGAN-SEMESTER1</v>
      </c>
      <c r="C98" s="10">
        <v>0</v>
      </c>
      <c r="D98" s="10">
        <f ca="1"/>
        <v>1</v>
      </c>
      <c r="E98" s="10" t="str">
        <v>Zaini</v>
      </c>
      <c r="F98" s="10" t="str">
        <v>PPL</v>
      </c>
      <c r="G98" s="10" t="str">
        <v>6102010607870002</v>
      </c>
      <c r="H98" s="10" t="str">
        <v>UPDATING LISTING</v>
      </c>
      <c r="I98" s="10" t="str">
        <v>SUSENAS24-LAPANGAN-SEMESTER1-PPL-UPDATING LISTING</v>
      </c>
      <c r="J98" s="10" t="str">
        <v>Blok Sensus</v>
      </c>
      <c r="K98" s="66">
        <v>168000</v>
      </c>
      <c r="L98" s="10">
        <v>2</v>
      </c>
      <c r="M98" s="10">
        <v>336000</v>
      </c>
      <c r="N98" s="70">
        <v>325920</v>
      </c>
      <c r="O98" s="67">
        <v>45335</v>
      </c>
      <c r="P98" s="10">
        <v>2024</v>
      </c>
      <c r="Q98" s="10">
        <v>2</v>
      </c>
      <c r="R98" s="10" t="str">
        <v>SURVEI-PPL</v>
      </c>
      <c r="S98" s="10" t="str">
        <v>610422040029-2024-2</v>
      </c>
      <c r="T98" s="10" t="str">
        <v>610422040029-2024-2-SURVEI-PPL</v>
      </c>
      <c r="U98" s="10">
        <v>1</v>
      </c>
      <c r="V98" s="10" t="e">
        <f ca="1"/>
        <v>#NAME?</v>
      </c>
      <c r="W98" s="67">
        <v>45351</v>
      </c>
      <c r="X98" s="11" t="str">
        <v>Susenas Maret 2024</v>
      </c>
      <c r="Y98" s="11" t="str">
        <v>MEMPAWAH HILIR</v>
      </c>
      <c r="Z98" s="11" t="str">
        <v>TENGAH</v>
      </c>
      <c r="AA98" s="67">
        <v>45322</v>
      </c>
      <c r="AB98" s="67">
        <v>45323</v>
      </c>
      <c r="AC98" s="67">
        <v>45351</v>
      </c>
      <c r="AD98" s="67">
        <v>45350</v>
      </c>
      <c r="AE98" s="67">
        <v>45351</v>
      </c>
    </row>
    <row r="99" spans="1:31" ht="12.5">
      <c r="A99" s="10">
        <v>610422040053</v>
      </c>
      <c r="B99" s="10" t="str">
        <v>SUSENAS24-LAPANGAN-SEMESTER1</v>
      </c>
      <c r="C99" s="10">
        <v>0</v>
      </c>
      <c r="D99" s="10">
        <f ca="1"/>
        <v>1</v>
      </c>
      <c r="E99" s="10" t="str">
        <v>Veti Ningsi</v>
      </c>
      <c r="F99" s="10" t="str">
        <v>PPL</v>
      </c>
      <c r="G99" s="10" t="str">
        <v>6102125604010002</v>
      </c>
      <c r="H99" s="10" t="str">
        <v>UPDATING LISTING</v>
      </c>
      <c r="I99" s="10" t="str">
        <v>SUSENAS24-LAPANGAN-SEMESTER1-PPL-UPDATING LISTING</v>
      </c>
      <c r="J99" s="10" t="str">
        <v>Blok Sensus</v>
      </c>
      <c r="K99" s="66">
        <v>168000</v>
      </c>
      <c r="L99" s="10">
        <v>1</v>
      </c>
      <c r="M99" s="10">
        <v>168000</v>
      </c>
      <c r="N99" s="70">
        <v>162960</v>
      </c>
      <c r="O99" s="67">
        <v>45335</v>
      </c>
      <c r="P99" s="10">
        <v>2024</v>
      </c>
      <c r="Q99" s="10">
        <v>2</v>
      </c>
      <c r="R99" s="10" t="str">
        <v>SURVEI-PPL</v>
      </c>
      <c r="S99" s="10" t="str">
        <v>610422040053-2024-2</v>
      </c>
      <c r="T99" s="10" t="str">
        <v>610422040053-2024-2-SURVEI-PPL</v>
      </c>
      <c r="U99" s="10">
        <v>1</v>
      </c>
      <c r="V99" s="10" t="e">
        <f ca="1"/>
        <v>#NAME?</v>
      </c>
      <c r="W99" s="67">
        <v>45351</v>
      </c>
      <c r="X99" s="11" t="str">
        <v>Susenas Maret 2024</v>
      </c>
      <c r="Y99" s="11" t="str">
        <v>SUNGAI KUNYIT</v>
      </c>
      <c r="Z99" s="11" t="str">
        <v>SUNGAI BUNDUNG LAUT</v>
      </c>
      <c r="AA99" s="67">
        <v>45322</v>
      </c>
      <c r="AB99" s="67">
        <v>45323</v>
      </c>
      <c r="AC99" s="67">
        <v>45351</v>
      </c>
      <c r="AD99" s="67">
        <v>45350</v>
      </c>
      <c r="AE99" s="67">
        <v>45351</v>
      </c>
    </row>
    <row r="100" spans="1:31" ht="12.5">
      <c r="A100" s="10">
        <v>610422040013</v>
      </c>
      <c r="B100" s="10" t="str">
        <v>SUSENAS24-LAPANGAN-SEMESTER1</v>
      </c>
      <c r="C100" s="10">
        <v>0</v>
      </c>
      <c r="D100" s="10">
        <f ca="1"/>
        <v>1</v>
      </c>
      <c r="E100" s="10" t="str">
        <v>Yusra, Se</v>
      </c>
      <c r="F100" s="10" t="str">
        <v>PPL</v>
      </c>
      <c r="G100" s="10" t="str">
        <v>6102152011890001</v>
      </c>
      <c r="H100" s="10" t="str">
        <v>UPDATING LISTING</v>
      </c>
      <c r="I100" s="10" t="str">
        <v>SUSENAS24-LAPANGAN-SEMESTER1-PPL-UPDATING LISTING</v>
      </c>
      <c r="J100" s="10" t="str">
        <v>Blok Sensus</v>
      </c>
      <c r="K100" s="66">
        <v>168000</v>
      </c>
      <c r="L100" s="10">
        <v>2</v>
      </c>
      <c r="M100" s="10">
        <v>336000</v>
      </c>
      <c r="N100" s="70">
        <v>325920</v>
      </c>
      <c r="O100" s="67">
        <v>45335</v>
      </c>
      <c r="P100" s="10">
        <v>2024</v>
      </c>
      <c r="Q100" s="10">
        <v>2</v>
      </c>
      <c r="R100" s="10" t="str">
        <v>SURVEI-PPL</v>
      </c>
      <c r="S100" s="10" t="str">
        <v>610422040013-2024-2</v>
      </c>
      <c r="T100" s="10" t="str">
        <v>610422040013-2024-2-SURVEI-PPL</v>
      </c>
      <c r="U100" s="10">
        <v>1</v>
      </c>
      <c r="V100" s="10" t="e">
        <f ca="1"/>
        <v>#NAME?</v>
      </c>
      <c r="W100" s="67">
        <v>45351</v>
      </c>
      <c r="X100" s="11" t="str">
        <v>Susenas Maret 2024</v>
      </c>
      <c r="Y100" s="11" t="str">
        <v>SEGEDONG</v>
      </c>
      <c r="Z100" s="11" t="str">
        <v>PENITI DALAM II</v>
      </c>
      <c r="AA100" s="67">
        <v>45322</v>
      </c>
      <c r="AB100" s="67">
        <v>45323</v>
      </c>
      <c r="AC100" s="67">
        <v>45351</v>
      </c>
      <c r="AD100" s="67">
        <v>45350</v>
      </c>
      <c r="AE100" s="67">
        <v>45351</v>
      </c>
    </row>
    <row r="101" spans="1:31" ht="12.5">
      <c r="A101" s="10">
        <v>610422020032</v>
      </c>
      <c r="B101" s="10" t="str">
        <v>SUSENAS24-LAPANGAN-SEMESTER1</v>
      </c>
      <c r="C101" s="10">
        <v>0</v>
      </c>
      <c r="D101" s="10">
        <f ca="1"/>
        <v>1</v>
      </c>
      <c r="E101" s="10" t="str">
        <v>Lilis Suryani</v>
      </c>
      <c r="F101" s="10" t="str">
        <v>PPL</v>
      </c>
      <c r="G101" s="10" t="str">
        <v>6102185102880001</v>
      </c>
      <c r="H101" s="10" t="str">
        <v>UPDATING LISTING</v>
      </c>
      <c r="I101" s="10" t="str">
        <v>SUSENAS24-LAPANGAN-SEMESTER1-PPL-UPDATING LISTING</v>
      </c>
      <c r="J101" s="10" t="str">
        <v>Blok Sensus</v>
      </c>
      <c r="K101" s="66">
        <v>168000</v>
      </c>
      <c r="L101" s="10">
        <v>1</v>
      </c>
      <c r="M101" s="10">
        <v>168000</v>
      </c>
      <c r="N101" s="70">
        <v>162960</v>
      </c>
      <c r="O101" s="67">
        <v>45335</v>
      </c>
      <c r="P101" s="10">
        <v>2024</v>
      </c>
      <c r="Q101" s="10">
        <v>2</v>
      </c>
      <c r="R101" s="10" t="str">
        <v>SURVEI-PPL</v>
      </c>
      <c r="S101" s="10" t="str">
        <v>610422020032-2024-2</v>
      </c>
      <c r="T101" s="10" t="str">
        <v>610422020032-2024-2-SURVEI-PPL</v>
      </c>
      <c r="U101" s="10">
        <v>1</v>
      </c>
      <c r="V101" s="10" t="e">
        <f ca="1"/>
        <v>#NAME?</v>
      </c>
      <c r="W101" s="67">
        <v>45351</v>
      </c>
      <c r="X101" s="11" t="str">
        <v>Susenas Maret 2024</v>
      </c>
      <c r="Y101" s="11" t="str">
        <v>MEMPAWAH TIMUR</v>
      </c>
      <c r="Z101" s="11" t="str">
        <v>PARIT BANJAR</v>
      </c>
      <c r="AA101" s="67">
        <v>45322</v>
      </c>
      <c r="AB101" s="67">
        <v>45323</v>
      </c>
      <c r="AC101" s="67">
        <v>45351</v>
      </c>
      <c r="AD101" s="67">
        <v>45350</v>
      </c>
      <c r="AE101" s="67">
        <v>45351</v>
      </c>
    </row>
    <row r="102" spans="1:31" ht="12.5">
      <c r="A102" s="10">
        <v>610422020045</v>
      </c>
      <c r="B102" s="10" t="str">
        <v>SUSENAS24-LAPANGAN-SEMESTER1</v>
      </c>
      <c r="C102" s="10">
        <v>0</v>
      </c>
      <c r="D102" s="10">
        <f ca="1"/>
        <v>1</v>
      </c>
      <c r="E102" s="10" t="str">
        <v>Herdinatara Febria</v>
      </c>
      <c r="F102" s="10" t="str">
        <v>PPL</v>
      </c>
      <c r="G102" s="10" t="str">
        <v>6107086009930002</v>
      </c>
      <c r="H102" s="10" t="str">
        <v>UPDATING LISTING</v>
      </c>
      <c r="I102" s="10" t="str">
        <v>SUSENAS24-LAPANGAN-SEMESTER1-PPL-UPDATING LISTING</v>
      </c>
      <c r="J102" s="10" t="str">
        <v>Blok Sensus</v>
      </c>
      <c r="K102" s="66">
        <v>168000</v>
      </c>
      <c r="L102" s="10">
        <v>2</v>
      </c>
      <c r="M102" s="10">
        <v>336000</v>
      </c>
      <c r="N102" s="70">
        <v>325920</v>
      </c>
      <c r="O102" s="67">
        <v>45335</v>
      </c>
      <c r="P102" s="10">
        <v>2024</v>
      </c>
      <c r="Q102" s="10">
        <v>2</v>
      </c>
      <c r="R102" s="10" t="str">
        <v>SURVEI-PPL</v>
      </c>
      <c r="S102" s="10" t="str">
        <v>610422020045-2024-2</v>
      </c>
      <c r="T102" s="10" t="str">
        <v>610422020045-2024-2-SURVEI-PPL</v>
      </c>
      <c r="U102" s="10">
        <v>1</v>
      </c>
      <c r="V102" s="10" t="e">
        <f ca="1"/>
        <v>#NAME?</v>
      </c>
      <c r="W102" s="67">
        <v>45351</v>
      </c>
      <c r="X102" s="11" t="str">
        <v>Susenas Maret 2024</v>
      </c>
      <c r="Y102" s="11" t="str">
        <v>JONGKAT</v>
      </c>
      <c r="Z102" s="11" t="str">
        <v>WAJOK HILIR</v>
      </c>
      <c r="AA102" s="67">
        <v>45322</v>
      </c>
      <c r="AB102" s="67">
        <v>45323</v>
      </c>
      <c r="AC102" s="67">
        <v>45351</v>
      </c>
      <c r="AD102" s="67">
        <v>45350</v>
      </c>
      <c r="AE102" s="67">
        <v>45351</v>
      </c>
    </row>
    <row r="103" spans="1:31" ht="12.5">
      <c r="A103" s="10">
        <v>610422020006</v>
      </c>
      <c r="B103" s="10" t="str">
        <v>SUSENAS24-LAPANGAN-SEMESTER1</v>
      </c>
      <c r="C103" s="10">
        <v>0</v>
      </c>
      <c r="D103" s="10">
        <f ca="1"/>
        <v>1</v>
      </c>
      <c r="E103" s="10" t="str">
        <v>Nasrullah</v>
      </c>
      <c r="F103" s="10" t="str">
        <v>PETUGAS ENTRI</v>
      </c>
      <c r="G103" s="10" t="str">
        <v>6102011011970003</v>
      </c>
      <c r="H103" s="10" t="str">
        <v>PENGOLAHAN LISTING</v>
      </c>
      <c r="I103" s="10" t="str">
        <v>SUSENAS24-LAPANGAN-SEMESTER1-PETUGAS ENTRI-PENGOLAHAN LISTING</v>
      </c>
      <c r="J103" s="10" t="str">
        <v>Dokumen</v>
      </c>
      <c r="K103" s="66">
        <v>34000</v>
      </c>
      <c r="L103" s="10">
        <v>26</v>
      </c>
      <c r="M103" s="10">
        <v>884000</v>
      </c>
      <c r="N103" s="70">
        <v>857480</v>
      </c>
      <c r="O103" s="67">
        <v>45340</v>
      </c>
      <c r="P103" s="10">
        <v>2024</v>
      </c>
      <c r="Q103" s="10">
        <v>2</v>
      </c>
      <c r="R103" s="10" t="str">
        <v>SURVEI-PETUGAS ENTRI</v>
      </c>
      <c r="S103" s="10" t="str">
        <v>610422020006-2024-2</v>
      </c>
      <c r="T103" s="10" t="str">
        <v>610422020006-2024-2-SURVEI-PETUGAS ENTRI</v>
      </c>
      <c r="U103" s="10">
        <v>1</v>
      </c>
      <c r="V103" s="10" t="e">
        <f ca="1"/>
        <v>#NAME?</v>
      </c>
      <c r="W103" s="67">
        <v>45351</v>
      </c>
      <c r="X103" s="11" t="str">
        <v>Susenas Maret 2024</v>
      </c>
      <c r="Y103" s="11" t="str">
        <v>MEMPAWAH HILIR</v>
      </c>
      <c r="Z103" s="11" t="str">
        <v>MALIKIAN</v>
      </c>
      <c r="AA103" s="67">
        <v>45322</v>
      </c>
      <c r="AB103" s="67">
        <v>45323</v>
      </c>
      <c r="AC103" s="67">
        <v>45351</v>
      </c>
      <c r="AD103" s="67">
        <v>45350</v>
      </c>
      <c r="AE103" s="67">
        <v>45351</v>
      </c>
    </row>
    <row r="104" spans="1:31" ht="12.5">
      <c r="A104" s="10">
        <v>610422100010</v>
      </c>
      <c r="B104" s="10" t="str">
        <v>SUSENAS24-LAPANGAN-SEMESTER1</v>
      </c>
      <c r="C104" s="10">
        <v>0</v>
      </c>
      <c r="D104" s="10">
        <f ca="1"/>
        <v>1</v>
      </c>
      <c r="E104" s="10" t="str">
        <v>Muhammad Rendi Fakhrian</v>
      </c>
      <c r="F104" s="10" t="str">
        <v>PETUGAS ENTRI</v>
      </c>
      <c r="G104" s="10" t="str">
        <v>6102012210990001</v>
      </c>
      <c r="H104" s="10" t="str">
        <v>PENGOLAHAN LISTING</v>
      </c>
      <c r="I104" s="10" t="str">
        <v>SUSENAS24-LAPANGAN-SEMESTER1-PETUGAS ENTRI-PENGOLAHAN LISTING</v>
      </c>
      <c r="J104" s="10" t="str">
        <v>Dokumen</v>
      </c>
      <c r="K104" s="66">
        <v>34000</v>
      </c>
      <c r="L104" s="10">
        <v>13</v>
      </c>
      <c r="M104" s="10">
        <v>442000</v>
      </c>
      <c r="N104" s="70">
        <v>428740</v>
      </c>
      <c r="O104" s="67">
        <v>45340</v>
      </c>
      <c r="P104" s="10">
        <v>2024</v>
      </c>
      <c r="Q104" s="10">
        <v>2</v>
      </c>
      <c r="R104" s="10" t="str">
        <v>SURVEI-PETUGAS ENTRI</v>
      </c>
      <c r="S104" s="10" t="str">
        <v>610422100010-2024-2</v>
      </c>
      <c r="T104" s="10" t="str">
        <v>610422100010-2024-2-SURVEI-PETUGAS ENTRI</v>
      </c>
      <c r="U104" s="10">
        <v>1</v>
      </c>
      <c r="V104" s="10" t="e">
        <f ca="1"/>
        <v>#NAME?</v>
      </c>
      <c r="W104" s="67">
        <v>45351</v>
      </c>
      <c r="X104" s="11" t="str">
        <v>Susenas Maret 2024</v>
      </c>
      <c r="Y104" s="11" t="str">
        <v>MEMPAWAH HILIR</v>
      </c>
      <c r="Z104" s="11" t="str">
        <v>TENGAH</v>
      </c>
      <c r="AA104" s="67">
        <v>45322</v>
      </c>
      <c r="AB104" s="67">
        <v>45323</v>
      </c>
      <c r="AC104" s="67">
        <v>45351</v>
      </c>
      <c r="AD104" s="67">
        <v>45350</v>
      </c>
      <c r="AE104" s="67">
        <v>45351</v>
      </c>
    </row>
    <row r="105" spans="1:31" ht="12.5">
      <c r="A105" s="10">
        <v>610422100177</v>
      </c>
      <c r="B105" s="10" t="str">
        <v>SUSENAS24-LAPANGAN-SEMESTER1</v>
      </c>
      <c r="C105" s="10">
        <v>0</v>
      </c>
      <c r="D105" s="10">
        <f ca="1"/>
        <v>1</v>
      </c>
      <c r="E105" s="10" t="str">
        <v>Amirah</v>
      </c>
      <c r="F105" s="10" t="str">
        <v>PETUGAS ENTRI</v>
      </c>
      <c r="G105" s="10" t="str">
        <v>6102015302980003</v>
      </c>
      <c r="H105" s="10" t="str">
        <v>PENGOLAHAN LISTING</v>
      </c>
      <c r="I105" s="10" t="str">
        <v>SUSENAS24-LAPANGAN-SEMESTER1-PETUGAS ENTRI-PENGOLAHAN LISTING</v>
      </c>
      <c r="J105" s="10" t="str">
        <v>Dokumen</v>
      </c>
      <c r="K105" s="66">
        <v>34000</v>
      </c>
      <c r="L105" s="10">
        <v>2</v>
      </c>
      <c r="M105" s="10">
        <v>68000</v>
      </c>
      <c r="N105" s="70">
        <v>65960</v>
      </c>
      <c r="O105" s="67">
        <v>45340</v>
      </c>
      <c r="P105" s="10">
        <v>2024</v>
      </c>
      <c r="Q105" s="10">
        <v>2</v>
      </c>
      <c r="R105" s="10" t="str">
        <v>SURVEI-PETUGAS ENTRI</v>
      </c>
      <c r="S105" s="10" t="str">
        <v>610422100177-2024-2</v>
      </c>
      <c r="T105" s="10" t="str">
        <v>610422100177-2024-2-SURVEI-PETUGAS ENTRI</v>
      </c>
      <c r="U105" s="10">
        <v>1</v>
      </c>
      <c r="V105" s="10" t="e">
        <f ca="1"/>
        <v>#NAME?</v>
      </c>
      <c r="W105" s="67">
        <v>45351</v>
      </c>
      <c r="X105" s="11" t="str">
        <v>Susenas Maret 2024</v>
      </c>
      <c r="Y105" s="11" t="str">
        <v>MEMPAWAH HILIR</v>
      </c>
      <c r="Z105" s="11" t="str">
        <v>TERUSAN</v>
      </c>
      <c r="AA105" s="67">
        <v>45322</v>
      </c>
      <c r="AB105" s="67">
        <v>45323</v>
      </c>
      <c r="AC105" s="67">
        <v>45351</v>
      </c>
      <c r="AD105" s="67">
        <v>45350</v>
      </c>
      <c r="AE105" s="67">
        <v>45351</v>
      </c>
    </row>
    <row r="106" spans="1:31" ht="12.5">
      <c r="A106" s="10">
        <v>610422100083</v>
      </c>
      <c r="B106" s="10" t="str">
        <v>SUSENAS24-LAPANGAN-SEMESTER1</v>
      </c>
      <c r="C106" s="10">
        <v>0</v>
      </c>
      <c r="D106" s="10">
        <f ca="1"/>
        <v>1</v>
      </c>
      <c r="E106" s="10" t="str">
        <v>Ilham Subagio</v>
      </c>
      <c r="F106" s="10" t="str">
        <v>PETUGAS ENTRI</v>
      </c>
      <c r="G106" s="10" t="str">
        <v>6102012006970002</v>
      </c>
      <c r="H106" s="10" t="str">
        <v>PENGOLAHAN LISTING</v>
      </c>
      <c r="I106" s="10" t="str">
        <v>SUSENAS24-LAPANGAN-SEMESTER1-PETUGAS ENTRI-PENGOLAHAN LISTING</v>
      </c>
      <c r="J106" s="10" t="str">
        <v>Dokumen</v>
      </c>
      <c r="K106" s="66">
        <v>34000</v>
      </c>
      <c r="L106" s="10">
        <v>21</v>
      </c>
      <c r="M106" s="10">
        <v>714000</v>
      </c>
      <c r="N106" s="70">
        <v>692580</v>
      </c>
      <c r="O106" s="67">
        <v>45340</v>
      </c>
      <c r="P106" s="10">
        <v>2024</v>
      </c>
      <c r="Q106" s="10">
        <v>2</v>
      </c>
      <c r="R106" s="10" t="str">
        <v>SURVEI-PETUGAS ENTRI</v>
      </c>
      <c r="S106" s="10" t="str">
        <v>610422100083-2024-2</v>
      </c>
      <c r="T106" s="10" t="str">
        <v>610422100083-2024-2-SURVEI-PETUGAS ENTRI</v>
      </c>
      <c r="U106" s="10">
        <v>1</v>
      </c>
      <c r="V106" s="10" t="e">
        <f ca="1"/>
        <v>#NAME?</v>
      </c>
      <c r="W106" s="67">
        <v>45351</v>
      </c>
      <c r="X106" s="11" t="str">
        <v>Susenas Maret 2024</v>
      </c>
      <c r="Y106" s="11" t="str">
        <v>MEMPAWAH HILIR</v>
      </c>
      <c r="Z106" s="11" t="str">
        <v>TENGAH</v>
      </c>
      <c r="AA106" s="67">
        <v>45322</v>
      </c>
      <c r="AB106" s="67">
        <v>45323</v>
      </c>
      <c r="AC106" s="67">
        <v>45351</v>
      </c>
      <c r="AD106" s="67">
        <v>45350</v>
      </c>
      <c r="AE106" s="67">
        <v>45351</v>
      </c>
    </row>
    <row r="107" spans="1:31" ht="12.5">
      <c r="A107" s="10">
        <v>610422030002</v>
      </c>
      <c r="B107" s="10" t="str">
        <v>SHPB24-LAPANGAN-FEBRUARI</v>
      </c>
      <c r="C107" s="10">
        <v>0</v>
      </c>
      <c r="D107" s="10">
        <f ca="1"/>
        <v>1</v>
      </c>
      <c r="E107" s="10" t="str">
        <v>Deti Erni Widiastuti</v>
      </c>
      <c r="F107" s="10" t="str">
        <v>PPL</v>
      </c>
      <c r="G107" s="10" t="str">
        <v>6102016712860001</v>
      </c>
      <c r="H107" s="10" t="str">
        <v>PENDATAAN</v>
      </c>
      <c r="I107" s="10" t="str">
        <v>SHPB24-LAPANGAN-FEBRUARI-PPL-PENDATAAN</v>
      </c>
      <c r="J107" s="10" t="str">
        <v>Dokumen</v>
      </c>
      <c r="K107" s="66">
        <v>50000</v>
      </c>
      <c r="L107" s="10">
        <v>15</v>
      </c>
      <c r="M107" s="10">
        <v>750000</v>
      </c>
      <c r="N107" s="10">
        <v>0</v>
      </c>
      <c r="O107" s="67">
        <v>45342</v>
      </c>
      <c r="P107" s="10">
        <v>2024</v>
      </c>
      <c r="Q107" s="10">
        <v>2</v>
      </c>
      <c r="R107" s="10" t="str">
        <v>SURVEI-PPL</v>
      </c>
      <c r="S107" s="10" t="str">
        <v>610422030002-2024-2</v>
      </c>
      <c r="T107" s="10" t="str">
        <v>610422030002-2024-2-SURVEI-PPL</v>
      </c>
      <c r="U107" s="10">
        <v>1</v>
      </c>
      <c r="V107" s="10" t="e">
        <f ca="1"/>
        <v>#NAME?</v>
      </c>
      <c r="W107" s="67">
        <v>45373</v>
      </c>
      <c r="X107" s="11" t="str">
        <v>Survei Harga Perdagangan Besar (SHPB24) Februari</v>
      </c>
      <c r="Y107" s="11" t="str">
        <v>SEGEDONG</v>
      </c>
      <c r="Z107" s="11" t="str">
        <v>PENITI DALAM I</v>
      </c>
      <c r="AA107" s="67">
        <v>45322</v>
      </c>
      <c r="AB107" s="67">
        <v>45323</v>
      </c>
      <c r="AC107" s="67">
        <v>45351</v>
      </c>
      <c r="AD107" s="67">
        <v>45350</v>
      </c>
      <c r="AE107" s="67">
        <v>45351</v>
      </c>
    </row>
    <row r="108" spans="1:31" ht="12.5">
      <c r="A108" s="10">
        <v>610422100244</v>
      </c>
      <c r="B108" s="10" t="str">
        <v>HPG24-LAPANGAN-FEBRUARI</v>
      </c>
      <c r="C108" s="10">
        <v>0</v>
      </c>
      <c r="D108" s="10">
        <f ca="1"/>
        <v>1</v>
      </c>
      <c r="E108" s="10" t="str">
        <v>Sugianto</v>
      </c>
      <c r="F108" s="10" t="str">
        <v>PPL</v>
      </c>
      <c r="G108" s="10" t="str">
        <v>6102171003900002</v>
      </c>
      <c r="H108" s="10" t="str">
        <v>PENDATAAN</v>
      </c>
      <c r="I108" s="10" t="str">
        <v>HPG24-LAPANGAN-FEBRUARI-PPL-PENDATAAN</v>
      </c>
      <c r="J108" s="10" t="str">
        <v>Dokumen</v>
      </c>
      <c r="K108" s="66">
        <v>50000</v>
      </c>
      <c r="L108" s="10">
        <v>1</v>
      </c>
      <c r="M108" s="10">
        <v>50000</v>
      </c>
      <c r="N108" s="10">
        <v>0</v>
      </c>
      <c r="O108" s="67">
        <v>45342</v>
      </c>
      <c r="P108" s="10">
        <v>2024</v>
      </c>
      <c r="Q108" s="10">
        <v>2</v>
      </c>
      <c r="R108" s="10" t="str">
        <v>SURVEI-PPL</v>
      </c>
      <c r="S108" s="10" t="str">
        <v>610422100244-2024-2</v>
      </c>
      <c r="T108" s="10" t="str">
        <v>610422100244-2024-2-SURVEI-PPL</v>
      </c>
      <c r="U108" s="10">
        <v>1</v>
      </c>
      <c r="V108" s="10" t="e">
        <f ca="1"/>
        <v>#NAME?</v>
      </c>
      <c r="W108" s="67">
        <v>45373</v>
      </c>
      <c r="X108" s="11" t="str">
        <v>Survei Harga Produsen Gabah (HPG24) Februari</v>
      </c>
      <c r="Y108" s="11" t="str">
        <v>SADANIANG</v>
      </c>
      <c r="Z108" s="11" t="str">
        <v>BUMBUN</v>
      </c>
      <c r="AA108" s="67">
        <v>45322</v>
      </c>
      <c r="AB108" s="67">
        <v>45323</v>
      </c>
      <c r="AC108" s="67">
        <v>45351</v>
      </c>
      <c r="AD108" s="67">
        <v>45350</v>
      </c>
      <c r="AE108" s="67">
        <v>45351</v>
      </c>
    </row>
    <row r="109" spans="1:31" ht="12.5">
      <c r="A109" s="10">
        <v>610422100124</v>
      </c>
      <c r="B109" s="10" t="str">
        <v>HPG24-LAPANGAN-FEBRUARI</v>
      </c>
      <c r="C109" s="10">
        <v>0</v>
      </c>
      <c r="D109" s="10">
        <f ca="1"/>
        <v>1</v>
      </c>
      <c r="E109" s="10" t="str">
        <v>Prabowo</v>
      </c>
      <c r="F109" s="10" t="str">
        <v>PPL</v>
      </c>
      <c r="G109" s="10" t="str">
        <v>6171010108790015</v>
      </c>
      <c r="H109" s="10" t="str">
        <v>PENDATAAN</v>
      </c>
      <c r="I109" s="10" t="str">
        <v>HPG24-LAPANGAN-FEBRUARI-PPL-PENDATAAN</v>
      </c>
      <c r="J109" s="10" t="str">
        <v>Dokumen</v>
      </c>
      <c r="K109" s="66">
        <v>50000</v>
      </c>
      <c r="L109" s="10">
        <v>1</v>
      </c>
      <c r="M109" s="10">
        <v>50000</v>
      </c>
      <c r="N109" s="10">
        <v>0</v>
      </c>
      <c r="O109" s="67">
        <v>45342</v>
      </c>
      <c r="P109" s="10">
        <v>2024</v>
      </c>
      <c r="Q109" s="10">
        <v>2</v>
      </c>
      <c r="R109" s="10" t="str">
        <v>SURVEI-PPL</v>
      </c>
      <c r="S109" s="10" t="str">
        <v>610422100124-2024-2</v>
      </c>
      <c r="T109" s="10" t="str">
        <v>610422100124-2024-2-SURVEI-PPL</v>
      </c>
      <c r="U109" s="10">
        <v>1</v>
      </c>
      <c r="V109" s="10" t="e">
        <f ca="1"/>
        <v>#NAME?</v>
      </c>
      <c r="W109" s="67">
        <v>45373</v>
      </c>
      <c r="X109" s="11" t="str">
        <v>Survei Harga Produsen Gabah (HPG24) Februari</v>
      </c>
      <c r="Y109" s="11" t="str">
        <v>PONTIANAK KOTA</v>
      </c>
      <c r="Z109" s="11" t="str">
        <v>SUNGAI BANGKONG</v>
      </c>
      <c r="AA109" s="67">
        <v>45322</v>
      </c>
      <c r="AB109" s="67">
        <v>45323</v>
      </c>
      <c r="AC109" s="67">
        <v>45351</v>
      </c>
      <c r="AD109" s="67">
        <v>45350</v>
      </c>
      <c r="AE109" s="67">
        <v>45351</v>
      </c>
    </row>
    <row r="110" spans="1:31" ht="12.5">
      <c r="A110" s="10">
        <v>610422100016</v>
      </c>
      <c r="B110" s="10" t="str">
        <v>SHPED24-LAPANGAN-FEBRUARI</v>
      </c>
      <c r="C110" s="10">
        <v>0</v>
      </c>
      <c r="D110" s="10">
        <f ca="1"/>
        <v>1</v>
      </c>
      <c r="E110" s="10" t="str">
        <v>Amalia Faisya</v>
      </c>
      <c r="F110" s="10" t="str">
        <v>PPL</v>
      </c>
      <c r="G110" s="10" t="str">
        <v>6102124210010005</v>
      </c>
      <c r="H110" s="10" t="str">
        <v>PENDATAAN KONSUMEN</v>
      </c>
      <c r="I110" s="10" t="str">
        <v>SHPED24-LAPANGAN-FEBRUARI-PPL-PENDATAAN KONSUMEN</v>
      </c>
      <c r="J110" s="10" t="str">
        <v>Dokumen</v>
      </c>
      <c r="K110" s="66">
        <v>65000</v>
      </c>
      <c r="L110" s="10">
        <v>3</v>
      </c>
      <c r="M110" s="10">
        <v>195000</v>
      </c>
      <c r="N110" s="10">
        <v>0</v>
      </c>
      <c r="O110" s="67">
        <v>45342</v>
      </c>
      <c r="P110" s="10">
        <v>2024</v>
      </c>
      <c r="Q110" s="10">
        <v>2</v>
      </c>
      <c r="R110" s="10" t="str">
        <v>SURVEI-PPL</v>
      </c>
      <c r="S110" s="10" t="str">
        <v>610422100016-2024-2</v>
      </c>
      <c r="T110" s="10" t="str">
        <v>610422100016-2024-2-SURVEI-PPL</v>
      </c>
      <c r="U110" s="10">
        <v>1</v>
      </c>
      <c r="V110" s="10" t="e">
        <f ca="1"/>
        <v>#NAME?</v>
      </c>
      <c r="W110" s="67">
        <v>45373</v>
      </c>
      <c r="X110" s="11" t="str">
        <v>Survei Harga Perdesaan (SHPED24) Februari</v>
      </c>
      <c r="Y110" s="11" t="str">
        <v>SUNGAI KUNYIT</v>
      </c>
      <c r="Z110" s="11" t="str">
        <v>SUNGAI KUNYIT LAUT</v>
      </c>
      <c r="AA110" s="67">
        <v>45322</v>
      </c>
      <c r="AB110" s="67">
        <v>45323</v>
      </c>
      <c r="AC110" s="67">
        <v>45351</v>
      </c>
      <c r="AD110" s="67">
        <v>45350</v>
      </c>
      <c r="AE110" s="67">
        <v>45351</v>
      </c>
    </row>
    <row r="111" spans="1:31" ht="12.5">
      <c r="A111" s="10">
        <v>610422050001</v>
      </c>
      <c r="B111" s="10" t="str">
        <v>SHPED24-LAPANGAN-FEBRUARI</v>
      </c>
      <c r="C111" s="10">
        <v>0</v>
      </c>
      <c r="D111" s="10">
        <f ca="1"/>
        <v>1</v>
      </c>
      <c r="E111" s="10" t="str">
        <v>Evi Juniarty</v>
      </c>
      <c r="F111" s="10" t="str">
        <v>PPL</v>
      </c>
      <c r="G111" s="10" t="str">
        <v>6102165101840001</v>
      </c>
      <c r="H111" s="10" t="str">
        <v>PENDATAAN KONSUMEN</v>
      </c>
      <c r="I111" s="10" t="str">
        <v>SHPED24-LAPANGAN-FEBRUARI-PPL-PENDATAAN KONSUMEN</v>
      </c>
      <c r="J111" s="10" t="str">
        <v>Dokumen</v>
      </c>
      <c r="K111" s="66">
        <v>65000</v>
      </c>
      <c r="L111" s="10">
        <v>3</v>
      </c>
      <c r="M111" s="10">
        <v>195000</v>
      </c>
      <c r="N111" s="10">
        <v>0</v>
      </c>
      <c r="O111" s="67">
        <v>45342</v>
      </c>
      <c r="P111" s="10">
        <v>2024</v>
      </c>
      <c r="Q111" s="10">
        <v>2</v>
      </c>
      <c r="R111" s="10" t="str">
        <v>SURVEI-PPL</v>
      </c>
      <c r="S111" s="10" t="str">
        <v>610422050001-2024-2</v>
      </c>
      <c r="T111" s="10" t="str">
        <v>610422050001-2024-2-SURVEI-PPL</v>
      </c>
      <c r="U111" s="10">
        <v>1</v>
      </c>
      <c r="V111" s="10" t="e">
        <f ca="1"/>
        <v>#NAME?</v>
      </c>
      <c r="W111" s="67">
        <v>45373</v>
      </c>
      <c r="X111" s="11" t="str">
        <v>Survei Harga Perdesaan (SHPED24) Februari</v>
      </c>
      <c r="Y111" s="11" t="str">
        <v>ANJONGAN</v>
      </c>
      <c r="Z111" s="11" t="str">
        <v>ANJUNGAN MELANCAR</v>
      </c>
      <c r="AA111" s="67">
        <v>45322</v>
      </c>
      <c r="AB111" s="67">
        <v>45323</v>
      </c>
      <c r="AC111" s="67">
        <v>45351</v>
      </c>
      <c r="AD111" s="67">
        <v>45350</v>
      </c>
      <c r="AE111" s="67">
        <v>45351</v>
      </c>
    </row>
    <row r="112" spans="1:31" ht="12.5">
      <c r="A112" s="10">
        <v>610422040030</v>
      </c>
      <c r="B112" s="10" t="str">
        <v>SHPED24-LAPANGAN-FEBRUARI</v>
      </c>
      <c r="C112" s="10">
        <v>0</v>
      </c>
      <c r="D112" s="10">
        <f ca="1"/>
        <v>1</v>
      </c>
      <c r="E112" s="10" t="str">
        <v>Syarifah Desti Pratiwi</v>
      </c>
      <c r="F112" s="10" t="str">
        <v>PPL</v>
      </c>
      <c r="G112" s="10" t="str">
        <v>6102084512950002</v>
      </c>
      <c r="H112" s="10" t="str">
        <v>PENDATAAN PRODUSEN</v>
      </c>
      <c r="I112" s="10" t="str">
        <v>SHPED24-LAPANGAN-FEBRUARI-PPL-PENDATAAN PRODUSEN</v>
      </c>
      <c r="J112" s="10" t="str">
        <v>Dokumen</v>
      </c>
      <c r="K112" s="66">
        <v>55000</v>
      </c>
      <c r="L112" s="10">
        <v>1</v>
      </c>
      <c r="M112" s="10">
        <v>55000</v>
      </c>
      <c r="N112" s="10">
        <v>0</v>
      </c>
      <c r="O112" s="67">
        <v>45342</v>
      </c>
      <c r="P112" s="10">
        <v>2024</v>
      </c>
      <c r="Q112" s="10">
        <v>2</v>
      </c>
      <c r="R112" s="10" t="str">
        <v>SURVEI-PPL</v>
      </c>
      <c r="S112" s="10" t="str">
        <v>610422040030-2024-2</v>
      </c>
      <c r="T112" s="10" t="str">
        <v>610422040030-2024-2-SURVEI-PPL</v>
      </c>
      <c r="U112" s="10">
        <v>1</v>
      </c>
      <c r="V112" s="10" t="e">
        <f ca="1"/>
        <v>#NAME?</v>
      </c>
      <c r="W112" s="67">
        <v>45373</v>
      </c>
      <c r="X112" s="11" t="str">
        <v>Survei Harga Perdesaan (SHPED24) Februari</v>
      </c>
      <c r="Y112" s="11" t="str">
        <v>JONGKAT</v>
      </c>
      <c r="Z112" s="11" t="str">
        <v>JUNGKAT</v>
      </c>
      <c r="AA112" s="67">
        <v>45322</v>
      </c>
      <c r="AB112" s="67">
        <v>45323</v>
      </c>
      <c r="AC112" s="67">
        <v>45351</v>
      </c>
      <c r="AD112" s="67">
        <v>45350</v>
      </c>
      <c r="AE112" s="67">
        <v>45351</v>
      </c>
    </row>
    <row r="113" spans="1:31" ht="12.5">
      <c r="A113" s="10">
        <v>610422100124</v>
      </c>
      <c r="B113" s="10" t="str">
        <v>SHPED24-LAPANGAN-FEBRUARI</v>
      </c>
      <c r="C113" s="10">
        <v>0</v>
      </c>
      <c r="D113" s="10">
        <f ca="1"/>
        <v>1</v>
      </c>
      <c r="E113" s="10" t="str">
        <v>Prabowo</v>
      </c>
      <c r="F113" s="10" t="str">
        <v>PPL</v>
      </c>
      <c r="G113" s="10" t="str">
        <v>6171010108790015</v>
      </c>
      <c r="H113" s="10" t="str">
        <v>PENDATAAN PRODUSEN</v>
      </c>
      <c r="I113" s="10" t="str">
        <v>SHPED24-LAPANGAN-FEBRUARI-PPL-PENDATAAN PRODUSEN</v>
      </c>
      <c r="J113" s="10" t="str">
        <v>Dokumen</v>
      </c>
      <c r="K113" s="66">
        <v>55000</v>
      </c>
      <c r="L113" s="10">
        <v>3</v>
      </c>
      <c r="M113" s="10">
        <v>165000</v>
      </c>
      <c r="N113" s="10">
        <v>0</v>
      </c>
      <c r="O113" s="67">
        <v>45342</v>
      </c>
      <c r="P113" s="10">
        <v>2024</v>
      </c>
      <c r="Q113" s="10">
        <v>2</v>
      </c>
      <c r="R113" s="10" t="str">
        <v>SURVEI-PPL</v>
      </c>
      <c r="S113" s="10" t="str">
        <v>610422100124-2024-2</v>
      </c>
      <c r="T113" s="10" t="str">
        <v>610422100124-2024-2-SURVEI-PPL</v>
      </c>
      <c r="U113" s="10">
        <v>1</v>
      </c>
      <c r="V113" s="10" t="e">
        <f ca="1"/>
        <v>#NAME?</v>
      </c>
      <c r="W113" s="67">
        <v>45373</v>
      </c>
      <c r="X113" s="11" t="str">
        <v>Survei Harga Perdesaan (SHPED24) Februari</v>
      </c>
      <c r="Y113" s="11" t="str">
        <v>PONTIANAK KOTA</v>
      </c>
      <c r="Z113" s="11" t="str">
        <v>SUNGAI BANGKONG</v>
      </c>
      <c r="AA113" s="67">
        <v>45322</v>
      </c>
      <c r="AB113" s="67">
        <v>45323</v>
      </c>
      <c r="AC113" s="67">
        <v>45351</v>
      </c>
      <c r="AD113" s="67">
        <v>45350</v>
      </c>
      <c r="AE113" s="67">
        <v>45351</v>
      </c>
    </row>
    <row r="114" spans="1:31" ht="12.5">
      <c r="A114" s="10">
        <v>610422100244</v>
      </c>
      <c r="B114" s="10" t="str">
        <v>SHPED24-LAPANGAN-FEBRUARI</v>
      </c>
      <c r="C114" s="10">
        <v>0</v>
      </c>
      <c r="D114" s="10">
        <f ca="1"/>
        <v>1</v>
      </c>
      <c r="E114" s="10" t="str">
        <v>Sugianto</v>
      </c>
      <c r="F114" s="10" t="str">
        <v>PPL</v>
      </c>
      <c r="G114" s="10" t="str">
        <v>6102171003900002</v>
      </c>
      <c r="H114" s="10" t="str">
        <v>PENDATAAN PRODUSEN</v>
      </c>
      <c r="I114" s="10" t="str">
        <v>SHPED24-LAPANGAN-FEBRUARI-PPL-PENDATAAN PRODUSEN</v>
      </c>
      <c r="J114" s="10" t="str">
        <v>Dokumen</v>
      </c>
      <c r="K114" s="66">
        <v>55000</v>
      </c>
      <c r="L114" s="10">
        <v>2</v>
      </c>
      <c r="M114" s="10">
        <v>110000</v>
      </c>
      <c r="N114" s="10">
        <v>0</v>
      </c>
      <c r="O114" s="67">
        <v>45342</v>
      </c>
      <c r="P114" s="10">
        <v>2024</v>
      </c>
      <c r="Q114" s="10">
        <v>2</v>
      </c>
      <c r="R114" s="10" t="str">
        <v>SURVEI-PPL</v>
      </c>
      <c r="S114" s="10" t="str">
        <v>610422100244-2024-2</v>
      </c>
      <c r="T114" s="10" t="str">
        <v>610422100244-2024-2-SURVEI-PPL</v>
      </c>
      <c r="U114" s="10">
        <v>1</v>
      </c>
      <c r="V114" s="10" t="e">
        <f ca="1"/>
        <v>#NAME?</v>
      </c>
      <c r="W114" s="67">
        <v>45373</v>
      </c>
      <c r="X114" s="11" t="str">
        <v>Survei Harga Perdesaan (SHPED24) Februari</v>
      </c>
      <c r="Y114" s="11" t="str">
        <v>SADANIANG</v>
      </c>
      <c r="Z114" s="11" t="str">
        <v>BUMBUN</v>
      </c>
      <c r="AA114" s="67">
        <v>45322</v>
      </c>
      <c r="AB114" s="67">
        <v>45323</v>
      </c>
      <c r="AC114" s="67">
        <v>45351</v>
      </c>
      <c r="AD114" s="67">
        <v>45350</v>
      </c>
      <c r="AE114" s="67">
        <v>45351</v>
      </c>
    </row>
    <row r="115" spans="1:31" ht="12.5">
      <c r="A115" s="10">
        <v>610422020016</v>
      </c>
      <c r="B115" s="10" t="str">
        <v>SHPED24-LAPANGAN-FEBRUARI</v>
      </c>
      <c r="C115" s="10">
        <v>0</v>
      </c>
      <c r="D115" s="10">
        <f ca="1"/>
        <v>1</v>
      </c>
      <c r="E115" s="10" t="str">
        <v>Abdul Aziz</v>
      </c>
      <c r="F115" s="10" t="str">
        <v>PPL</v>
      </c>
      <c r="G115" s="10" t="str">
        <v>6102061507950006</v>
      </c>
      <c r="H115" s="10" t="str">
        <v>PENDATAAN PRODUSEN</v>
      </c>
      <c r="I115" s="10" t="str">
        <v>SHPED24-LAPANGAN-FEBRUARI-PPL-PENDATAAN PRODUSEN</v>
      </c>
      <c r="J115" s="10" t="str">
        <v>Dokumen</v>
      </c>
      <c r="K115" s="66">
        <v>55000</v>
      </c>
      <c r="L115" s="10">
        <v>3</v>
      </c>
      <c r="M115" s="10">
        <v>165000</v>
      </c>
      <c r="N115" s="10">
        <v>0</v>
      </c>
      <c r="O115" s="67">
        <v>45342</v>
      </c>
      <c r="P115" s="10">
        <v>2024</v>
      </c>
      <c r="Q115" s="10">
        <v>2</v>
      </c>
      <c r="R115" s="10" t="str">
        <v>SURVEI-PPL</v>
      </c>
      <c r="S115" s="10" t="str">
        <v>610422020016-2024-2</v>
      </c>
      <c r="T115" s="10" t="str">
        <v>610422020016-2024-2-SURVEI-PPL</v>
      </c>
      <c r="U115" s="10">
        <v>1</v>
      </c>
      <c r="V115" s="10" t="e">
        <f ca="1"/>
        <v>#NAME?</v>
      </c>
      <c r="W115" s="67">
        <v>45373</v>
      </c>
      <c r="X115" s="11" t="str">
        <v>Survei Harga Perdesaan (SHPED24) Februari</v>
      </c>
      <c r="Y115" s="11" t="str">
        <v>TOHO</v>
      </c>
      <c r="Z115" s="11" t="str">
        <v>SAMBORA</v>
      </c>
      <c r="AA115" s="67">
        <v>45322</v>
      </c>
      <c r="AB115" s="67">
        <v>45323</v>
      </c>
      <c r="AC115" s="67">
        <v>45351</v>
      </c>
      <c r="AD115" s="67">
        <v>45350</v>
      </c>
      <c r="AE115" s="67">
        <v>45351</v>
      </c>
    </row>
    <row r="116" spans="1:31" ht="12.5">
      <c r="A116" s="10">
        <v>610422100016</v>
      </c>
      <c r="B116" s="10" t="str">
        <v>SHPED24-LAPANGAN-FEBRUARI</v>
      </c>
      <c r="C116" s="10">
        <v>0</v>
      </c>
      <c r="D116" s="10">
        <f ca="1"/>
        <v>1</v>
      </c>
      <c r="E116" s="10" t="str">
        <v>Amalia Faisya</v>
      </c>
      <c r="F116" s="10" t="str">
        <v>PPL</v>
      </c>
      <c r="G116" s="10" t="str">
        <v>6102124210010005</v>
      </c>
      <c r="H116" s="10" t="str">
        <v>PENDATAAN PRODUSEN</v>
      </c>
      <c r="I116" s="10" t="str">
        <v>SHPED24-LAPANGAN-FEBRUARI-PPL-PENDATAAN PRODUSEN</v>
      </c>
      <c r="J116" s="10" t="str">
        <v>Dokumen</v>
      </c>
      <c r="K116" s="66">
        <v>55000</v>
      </c>
      <c r="L116" s="10">
        <v>1</v>
      </c>
      <c r="M116" s="10">
        <v>55000</v>
      </c>
      <c r="N116" s="10">
        <v>0</v>
      </c>
      <c r="O116" s="67">
        <v>45342</v>
      </c>
      <c r="P116" s="10">
        <v>2024</v>
      </c>
      <c r="Q116" s="10">
        <v>2</v>
      </c>
      <c r="R116" s="10" t="str">
        <v>SURVEI-PPL</v>
      </c>
      <c r="S116" s="10" t="str">
        <v>610422100016-2024-2</v>
      </c>
      <c r="T116" s="10" t="str">
        <v>610422100016-2024-2-SURVEI-PPL</v>
      </c>
      <c r="U116" s="10">
        <v>1</v>
      </c>
      <c r="V116" s="10" t="e">
        <f ca="1"/>
        <v>#NAME?</v>
      </c>
      <c r="W116" s="67">
        <v>45373</v>
      </c>
      <c r="X116" s="11" t="str">
        <v>Survei Harga Perdesaan (SHPED24) Februari</v>
      </c>
      <c r="Y116" s="11" t="str">
        <v>SUNGAI KUNYIT</v>
      </c>
      <c r="Z116" s="11" t="str">
        <v>SUNGAI KUNYIT LAUT</v>
      </c>
      <c r="AA116" s="67">
        <v>45322</v>
      </c>
      <c r="AB116" s="67">
        <v>45323</v>
      </c>
      <c r="AC116" s="67">
        <v>45351</v>
      </c>
      <c r="AD116" s="67">
        <v>45350</v>
      </c>
      <c r="AE116" s="67">
        <v>45351</v>
      </c>
    </row>
    <row r="117" spans="1:31" ht="12.5">
      <c r="A117" s="10">
        <v>610422020048</v>
      </c>
      <c r="B117" s="10" t="str">
        <v>SHPED24-LAPANGAN-FEBRUARI</v>
      </c>
      <c r="C117" s="10">
        <v>0</v>
      </c>
      <c r="D117" s="10">
        <f ca="1"/>
        <v>1</v>
      </c>
      <c r="E117" s="10" t="str">
        <v>Herri Gustaman</v>
      </c>
      <c r="F117" s="10" t="str">
        <v>PPL</v>
      </c>
      <c r="G117" s="10" t="str">
        <v>6102072503800001</v>
      </c>
      <c r="H117" s="10" t="str">
        <v>PENDATAAN PRODUSEN</v>
      </c>
      <c r="I117" s="10" t="str">
        <v>SHPED24-LAPANGAN-FEBRUARI-PPL-PENDATAAN PRODUSEN</v>
      </c>
      <c r="J117" s="10" t="str">
        <v>Dokumen</v>
      </c>
      <c r="K117" s="66">
        <v>55000</v>
      </c>
      <c r="L117" s="10">
        <v>3</v>
      </c>
      <c r="M117" s="10">
        <v>165000</v>
      </c>
      <c r="N117" s="10">
        <v>0</v>
      </c>
      <c r="O117" s="67">
        <v>45342</v>
      </c>
      <c r="P117" s="10">
        <v>2024</v>
      </c>
      <c r="Q117" s="10">
        <v>2</v>
      </c>
      <c r="R117" s="10" t="str">
        <v>SURVEI-PPL</v>
      </c>
      <c r="S117" s="10" t="str">
        <v>610422020048-2024-2</v>
      </c>
      <c r="T117" s="10" t="str">
        <v>610422020048-2024-2-SURVEI-PPL</v>
      </c>
      <c r="U117" s="10">
        <v>1</v>
      </c>
      <c r="V117" s="10" t="e">
        <f ca="1"/>
        <v>#NAME?</v>
      </c>
      <c r="W117" s="67">
        <v>45373</v>
      </c>
      <c r="X117" s="11" t="str">
        <v>Survei Harga Perdesaan (SHPED24) Februari</v>
      </c>
      <c r="Y117" s="11" t="str">
        <v>MEMPAWAH TIMUR</v>
      </c>
      <c r="Z117" s="11" t="str">
        <v>SEJEGI</v>
      </c>
      <c r="AA117" s="67">
        <v>45322</v>
      </c>
      <c r="AB117" s="67">
        <v>45323</v>
      </c>
      <c r="AC117" s="67">
        <v>45351</v>
      </c>
      <c r="AD117" s="67">
        <v>45350</v>
      </c>
      <c r="AE117" s="67">
        <v>45351</v>
      </c>
    </row>
    <row r="118" spans="1:31" ht="12.5">
      <c r="A118" s="10">
        <v>610422040029</v>
      </c>
      <c r="B118" s="10" t="str">
        <v>SHPED24-LAPANGAN-FEBRUARI</v>
      </c>
      <c r="C118" s="10">
        <v>0</v>
      </c>
      <c r="D118" s="10">
        <f ca="1"/>
        <v>1</v>
      </c>
      <c r="E118" s="10" t="str">
        <v>Zaini</v>
      </c>
      <c r="F118" s="10" t="str">
        <v>PPL</v>
      </c>
      <c r="G118" s="10" t="str">
        <v>6102010607870002</v>
      </c>
      <c r="H118" s="10" t="str">
        <v>PENDATAAN PRODUSEN</v>
      </c>
      <c r="I118" s="10" t="str">
        <v>SHPED24-LAPANGAN-FEBRUARI-PPL-PENDATAAN PRODUSEN</v>
      </c>
      <c r="J118" s="10" t="str">
        <v>Dokumen</v>
      </c>
      <c r="K118" s="66">
        <v>55000</v>
      </c>
      <c r="L118" s="10">
        <v>4</v>
      </c>
      <c r="M118" s="10">
        <v>220000</v>
      </c>
      <c r="N118" s="10">
        <v>0</v>
      </c>
      <c r="O118" s="67">
        <v>45342</v>
      </c>
      <c r="P118" s="10">
        <v>2024</v>
      </c>
      <c r="Q118" s="10">
        <v>2</v>
      </c>
      <c r="R118" s="10" t="str">
        <v>SURVEI-PPL</v>
      </c>
      <c r="S118" s="10" t="str">
        <v>610422040029-2024-2</v>
      </c>
      <c r="T118" s="10" t="str">
        <v>610422040029-2024-2-SURVEI-PPL</v>
      </c>
      <c r="U118" s="10">
        <v>1</v>
      </c>
      <c r="V118" s="10" t="e">
        <f ca="1"/>
        <v>#NAME?</v>
      </c>
      <c r="W118" s="67">
        <v>45373</v>
      </c>
      <c r="X118" s="11" t="str">
        <v>Survei Harga Perdesaan (SHPED24) Februari</v>
      </c>
      <c r="Y118" s="11" t="str">
        <v>MEMPAWAH HILIR</v>
      </c>
      <c r="Z118" s="11" t="str">
        <v>TENGAH</v>
      </c>
      <c r="AA118" s="67">
        <v>45322</v>
      </c>
      <c r="AB118" s="67">
        <v>45323</v>
      </c>
      <c r="AC118" s="67">
        <v>45351</v>
      </c>
      <c r="AD118" s="67">
        <v>45350</v>
      </c>
      <c r="AE118" s="67">
        <v>45351</v>
      </c>
    </row>
    <row r="119" spans="1:31" ht="12.5">
      <c r="A119" s="10">
        <v>610422050001</v>
      </c>
      <c r="B119" s="10" t="str">
        <v>SHPED24-LAPANGAN-FEBRUARI</v>
      </c>
      <c r="C119" s="10">
        <v>0</v>
      </c>
      <c r="D119" s="10">
        <f ca="1"/>
        <v>1</v>
      </c>
      <c r="E119" s="10" t="str">
        <v>Evi Juniarty</v>
      </c>
      <c r="F119" s="10" t="str">
        <v>PPL</v>
      </c>
      <c r="G119" s="10" t="str">
        <v>6102165101840001</v>
      </c>
      <c r="H119" s="10" t="str">
        <v>PENDATAAN PRODUSEN</v>
      </c>
      <c r="I119" s="10" t="str">
        <v>SHPED24-LAPANGAN-FEBRUARI-PPL-PENDATAAN PRODUSEN</v>
      </c>
      <c r="J119" s="10" t="str">
        <v>Dokumen</v>
      </c>
      <c r="K119" s="66">
        <v>55000</v>
      </c>
      <c r="L119" s="10">
        <v>1</v>
      </c>
      <c r="M119" s="10">
        <v>55000</v>
      </c>
      <c r="N119" s="10">
        <v>0</v>
      </c>
      <c r="O119" s="67">
        <v>45342</v>
      </c>
      <c r="P119" s="10">
        <v>2024</v>
      </c>
      <c r="Q119" s="10">
        <v>2</v>
      </c>
      <c r="R119" s="10" t="str">
        <v>SURVEI-PPL</v>
      </c>
      <c r="S119" s="10" t="str">
        <v>610422050001-2024-2</v>
      </c>
      <c r="T119" s="10" t="str">
        <v>610422050001-2024-2-SURVEI-PPL</v>
      </c>
      <c r="U119" s="10">
        <v>1</v>
      </c>
      <c r="V119" s="10" t="e">
        <f ca="1"/>
        <v>#NAME?</v>
      </c>
      <c r="W119" s="67">
        <v>45373</v>
      </c>
      <c r="X119" s="11" t="str">
        <v>Survei Harga Perdesaan (SHPED24) Februari</v>
      </c>
      <c r="Y119" s="11" t="str">
        <v>ANJONGAN</v>
      </c>
      <c r="Z119" s="11" t="str">
        <v>ANJUNGAN MELANCAR</v>
      </c>
      <c r="AA119" s="67">
        <v>45322</v>
      </c>
      <c r="AB119" s="67">
        <v>45323</v>
      </c>
      <c r="AC119" s="67">
        <v>45351</v>
      </c>
      <c r="AD119" s="67">
        <v>45350</v>
      </c>
      <c r="AE119" s="67">
        <v>45351</v>
      </c>
    </row>
    <row r="120" spans="1:31" ht="12.5">
      <c r="A120" s="10">
        <v>610422100124</v>
      </c>
      <c r="B120" s="10" t="str">
        <v>HPBG24-LAPANGAN-FEBRUARI</v>
      </c>
      <c r="C120" s="10">
        <v>0</v>
      </c>
      <c r="D120" s="10">
        <f ca="1"/>
        <v>1</v>
      </c>
      <c r="E120" s="10" t="str">
        <v>Prabowo</v>
      </c>
      <c r="F120" s="10" t="str">
        <v>PPL</v>
      </c>
      <c r="G120" s="10" t="str">
        <v>6171010108790015</v>
      </c>
      <c r="H120" s="10" t="str">
        <v>PENDATAAN</v>
      </c>
      <c r="I120" s="10" t="str">
        <v>HPBG24-LAPANGAN-FEBRUARI-PPL-PENDATAAN</v>
      </c>
      <c r="J120" s="10" t="str">
        <v>Dokumen</v>
      </c>
      <c r="K120" s="66">
        <v>55000</v>
      </c>
      <c r="L120" s="10">
        <v>2</v>
      </c>
      <c r="M120" s="10">
        <v>110000</v>
      </c>
      <c r="N120" s="10">
        <v>0</v>
      </c>
      <c r="O120" s="67">
        <v>45342</v>
      </c>
      <c r="P120" s="10">
        <v>2024</v>
      </c>
      <c r="Q120" s="10">
        <v>2</v>
      </c>
      <c r="R120" s="10" t="str">
        <v>SURVEI-PPL</v>
      </c>
      <c r="S120" s="10" t="str">
        <v>610422100124-2024-2</v>
      </c>
      <c r="T120" s="10" t="str">
        <v>610422100124-2024-2-SURVEI-PPL</v>
      </c>
      <c r="U120" s="10">
        <v>1</v>
      </c>
      <c r="V120" s="10" t="e">
        <f ca="1"/>
        <v>#NAME?</v>
      </c>
      <c r="W120" s="67">
        <v>45373</v>
      </c>
      <c r="X120" s="11" t="str">
        <v>Survei Harga Produsen Beras di Penggilingan 2024 (HPBG24) Februari</v>
      </c>
      <c r="Y120" s="11" t="str">
        <v>PONTIANAK KOTA</v>
      </c>
      <c r="Z120" s="11" t="str">
        <v>SUNGAI BANGKONG</v>
      </c>
      <c r="AA120" s="67">
        <v>45322</v>
      </c>
      <c r="AB120" s="67">
        <v>45323</v>
      </c>
      <c r="AC120" s="67">
        <v>45351</v>
      </c>
      <c r="AD120" s="67">
        <v>45350</v>
      </c>
      <c r="AE120" s="67">
        <v>45351</v>
      </c>
    </row>
    <row r="121" spans="1:31" ht="12.5">
      <c r="A121" s="10">
        <v>610422100244</v>
      </c>
      <c r="B121" s="10" t="str">
        <v>HPBG24-LAPANGAN-FEBRUARI</v>
      </c>
      <c r="C121" s="10">
        <v>0</v>
      </c>
      <c r="D121" s="10">
        <f ca="1"/>
        <v>1</v>
      </c>
      <c r="E121" s="10" t="str">
        <v>Sugianto</v>
      </c>
      <c r="F121" s="10" t="str">
        <v>PPL</v>
      </c>
      <c r="G121" s="10" t="str">
        <v>6102171003900002</v>
      </c>
      <c r="H121" s="10" t="str">
        <v>PENDATAAN</v>
      </c>
      <c r="I121" s="10" t="str">
        <v>HPBG24-LAPANGAN-FEBRUARI-PPL-PENDATAAN</v>
      </c>
      <c r="J121" s="10" t="str">
        <v>Dokumen</v>
      </c>
      <c r="K121" s="66">
        <v>55000</v>
      </c>
      <c r="L121" s="10">
        <v>2</v>
      </c>
      <c r="M121" s="10">
        <v>110000</v>
      </c>
      <c r="N121" s="10">
        <v>0</v>
      </c>
      <c r="O121" s="67">
        <v>45342</v>
      </c>
      <c r="P121" s="10">
        <v>2024</v>
      </c>
      <c r="Q121" s="10">
        <v>2</v>
      </c>
      <c r="R121" s="10" t="str">
        <v>SURVEI-PPL</v>
      </c>
      <c r="S121" s="10" t="str">
        <v>610422100244-2024-2</v>
      </c>
      <c r="T121" s="10" t="str">
        <v>610422100244-2024-2-SURVEI-PPL</v>
      </c>
      <c r="U121" s="10">
        <v>1</v>
      </c>
      <c r="V121" s="10" t="e">
        <f ca="1"/>
        <v>#NAME?</v>
      </c>
      <c r="W121" s="67">
        <v>45373</v>
      </c>
      <c r="X121" s="11" t="str">
        <v>Survei Harga Produsen Beras di Penggilingan 2024 (HPBG24) Februari</v>
      </c>
      <c r="Y121" s="11" t="str">
        <v>SADANIANG</v>
      </c>
      <c r="Z121" s="11" t="str">
        <v>BUMBUN</v>
      </c>
      <c r="AA121" s="67">
        <v>45322</v>
      </c>
      <c r="AB121" s="67">
        <v>45323</v>
      </c>
      <c r="AC121" s="67">
        <v>45351</v>
      </c>
      <c r="AD121" s="67">
        <v>45350</v>
      </c>
      <c r="AE121" s="67">
        <v>45351</v>
      </c>
    </row>
    <row r="122" spans="1:31" ht="12.5">
      <c r="A122" s="10">
        <v>610422100165</v>
      </c>
      <c r="B122" s="10" t="str">
        <v>HPBG24-LAPANGAN-FEBRUARI</v>
      </c>
      <c r="C122" s="10">
        <v>0</v>
      </c>
      <c r="D122" s="10">
        <f ca="1"/>
        <v>1</v>
      </c>
      <c r="E122" s="10" t="str">
        <v>Yanti</v>
      </c>
      <c r="F122" s="10" t="str">
        <v>PPL</v>
      </c>
      <c r="G122" s="10" t="str">
        <v>6102074803980002</v>
      </c>
      <c r="H122" s="10" t="str">
        <v>PENDATAAN</v>
      </c>
      <c r="I122" s="10" t="str">
        <v>HPBG24-LAPANGAN-FEBRUARI-PPL-PENDATAAN</v>
      </c>
      <c r="J122" s="10" t="str">
        <v>Dokumen</v>
      </c>
      <c r="K122" s="66">
        <v>55000</v>
      </c>
      <c r="L122" s="10">
        <v>2</v>
      </c>
      <c r="M122" s="10">
        <v>110000</v>
      </c>
      <c r="N122" s="10">
        <v>0</v>
      </c>
      <c r="O122" s="67">
        <v>45342</v>
      </c>
      <c r="P122" s="10">
        <v>2024</v>
      </c>
      <c r="Q122" s="10">
        <v>2</v>
      </c>
      <c r="R122" s="10" t="str">
        <v>SURVEI-PPL</v>
      </c>
      <c r="S122" s="10" t="str">
        <v>610422100165-2024-2</v>
      </c>
      <c r="T122" s="10" t="str">
        <v>610422100165-2024-2-SURVEI-PPL</v>
      </c>
      <c r="U122" s="10">
        <v>1</v>
      </c>
      <c r="V122" s="10" t="e">
        <f ca="1"/>
        <v>#NAME?</v>
      </c>
      <c r="W122" s="67">
        <v>45373</v>
      </c>
      <c r="X122" s="11" t="str">
        <v>Survei Harga Produsen Beras di Penggilingan 2024 (HPBG24) Februari</v>
      </c>
      <c r="Y122" s="11" t="str">
        <v>SUNGAI PINYUH</v>
      </c>
      <c r="Z122" s="11" t="str">
        <v>SUNGAI BAKAU BESAR LAUT</v>
      </c>
      <c r="AA122" s="67">
        <v>45322</v>
      </c>
      <c r="AB122" s="67">
        <v>45323</v>
      </c>
      <c r="AC122" s="67">
        <v>45351</v>
      </c>
      <c r="AD122" s="67">
        <v>45350</v>
      </c>
      <c r="AE122" s="67">
        <v>45351</v>
      </c>
    </row>
    <row r="123" spans="1:31" ht="12.5">
      <c r="A123" s="10">
        <v>610422100165</v>
      </c>
      <c r="B123" s="10" t="str">
        <v>HPJ24-LAPANGAN-FEBRUARI</v>
      </c>
      <c r="C123" s="10">
        <v>0</v>
      </c>
      <c r="D123" s="10">
        <f ca="1"/>
        <v>1</v>
      </c>
      <c r="E123" s="10" t="str">
        <v>Yanti</v>
      </c>
      <c r="F123" s="10" t="str">
        <v>PPL</v>
      </c>
      <c r="G123" s="10" t="str">
        <v>6102074803980002</v>
      </c>
      <c r="H123" s="10" t="str">
        <v>PENDATAAN</v>
      </c>
      <c r="I123" s="10" t="str">
        <v>HPJ24-LAPANGAN-FEBRUARI-PPL-PENDATAAN</v>
      </c>
      <c r="J123" s="10" t="str">
        <v>Dokumen</v>
      </c>
      <c r="K123" s="66">
        <v>50000</v>
      </c>
      <c r="L123" s="10">
        <v>1</v>
      </c>
      <c r="M123" s="10">
        <v>50000</v>
      </c>
      <c r="N123" s="10">
        <v>0</v>
      </c>
      <c r="O123" s="67">
        <v>45342</v>
      </c>
      <c r="P123" s="10">
        <v>2024</v>
      </c>
      <c r="Q123" s="10">
        <v>2</v>
      </c>
      <c r="R123" s="10" t="str">
        <v>SURVEI-PPL</v>
      </c>
      <c r="S123" s="10" t="str">
        <v>610422100165-2024-2</v>
      </c>
      <c r="T123" s="10" t="str">
        <v>610422100165-2024-2-SURVEI-PPL</v>
      </c>
      <c r="U123" s="10">
        <v>1</v>
      </c>
      <c r="V123" s="10" t="e">
        <f ca="1"/>
        <v>#NAME?</v>
      </c>
      <c r="W123" s="67">
        <v>45373</v>
      </c>
      <c r="X123" s="11" t="str">
        <v>Survei Harga Produsen Jasa (HPJ24) Februari</v>
      </c>
      <c r="Y123" s="11" t="str">
        <v>SUNGAI PINYUH</v>
      </c>
      <c r="Z123" s="11" t="str">
        <v>SUNGAI BAKAU BESAR LAUT</v>
      </c>
      <c r="AA123" s="67">
        <v>45322</v>
      </c>
      <c r="AB123" s="67">
        <v>45323</v>
      </c>
      <c r="AC123" s="67">
        <v>45351</v>
      </c>
      <c r="AD123" s="67">
        <v>45350</v>
      </c>
      <c r="AE123" s="67">
        <v>45351</v>
      </c>
    </row>
    <row r="124" spans="1:31" ht="12.5">
      <c r="A124" s="10">
        <v>610422040029</v>
      </c>
      <c r="B124" s="10" t="str">
        <v>VHTS24-LAPANGAN-FEBRUARI</v>
      </c>
      <c r="C124" s="10">
        <v>0</v>
      </c>
      <c r="D124" s="10">
        <f ca="1"/>
        <v>1</v>
      </c>
      <c r="E124" s="10" t="str">
        <v>Zaini</v>
      </c>
      <c r="F124" s="10" t="str">
        <v>PPL</v>
      </c>
      <c r="G124" s="10" t="str">
        <v>6102010607870002</v>
      </c>
      <c r="H124" s="10" t="str">
        <v>PENDATAAN</v>
      </c>
      <c r="I124" s="10" t="str">
        <v>VHTS24-LAPANGAN-FEBRUARI-PPL-PENDATAAN</v>
      </c>
      <c r="J124" s="10" t="str">
        <v>Dokumen</v>
      </c>
      <c r="K124" s="66">
        <v>55000</v>
      </c>
      <c r="L124" s="10">
        <v>3</v>
      </c>
      <c r="M124" s="10">
        <v>165000</v>
      </c>
      <c r="N124" s="10">
        <v>0</v>
      </c>
      <c r="O124" s="67">
        <v>45342</v>
      </c>
      <c r="P124" s="10">
        <v>2024</v>
      </c>
      <c r="Q124" s="10">
        <v>2</v>
      </c>
      <c r="R124" s="10" t="str">
        <v>SURVEI-PPL</v>
      </c>
      <c r="S124" s="10" t="str">
        <v>610422040029-2024-2</v>
      </c>
      <c r="T124" s="10" t="str">
        <v>610422040029-2024-2-SURVEI-PPL</v>
      </c>
      <c r="U124" s="10">
        <v>1</v>
      </c>
      <c r="V124" s="10" t="e">
        <f ca="1"/>
        <v>#NAME?</v>
      </c>
      <c r="W124" s="67">
        <v>45373</v>
      </c>
      <c r="X124" s="11" t="str">
        <v>Survei Hotel dan Jasa Akomodasi Bulanan (VHTS) 2024 Februari</v>
      </c>
      <c r="Y124" s="11" t="str">
        <v>MEMPAWAH HILIR</v>
      </c>
      <c r="Z124" s="11" t="str">
        <v>TENGAH</v>
      </c>
      <c r="AA124" s="67">
        <v>45322</v>
      </c>
      <c r="AB124" s="67">
        <v>45323</v>
      </c>
      <c r="AC124" s="67">
        <v>45351</v>
      </c>
      <c r="AD124" s="67">
        <v>45350</v>
      </c>
      <c r="AE124" s="67">
        <v>45351</v>
      </c>
    </row>
    <row r="125" spans="1:31" ht="12.5">
      <c r="A125" s="10">
        <v>610422100165</v>
      </c>
      <c r="B125" s="10" t="str">
        <v>VHTS24-LAPANGAN-FEBRUARI</v>
      </c>
      <c r="C125" s="10">
        <v>0</v>
      </c>
      <c r="D125" s="10">
        <f ca="1"/>
        <v>1</v>
      </c>
      <c r="E125" s="10" t="str">
        <v>Yanti</v>
      </c>
      <c r="F125" s="10" t="str">
        <v>PPL</v>
      </c>
      <c r="G125" s="10" t="str">
        <v>6102074803980002</v>
      </c>
      <c r="H125" s="10" t="str">
        <v>PENDATAAN</v>
      </c>
      <c r="I125" s="10" t="str">
        <v>VHTS24-LAPANGAN-FEBRUARI-PPL-PENDATAAN</v>
      </c>
      <c r="J125" s="10" t="str">
        <v>Dokumen</v>
      </c>
      <c r="K125" s="66">
        <v>55000</v>
      </c>
      <c r="L125" s="10">
        <v>3</v>
      </c>
      <c r="M125" s="10">
        <v>165000</v>
      </c>
      <c r="N125" s="10">
        <v>0</v>
      </c>
      <c r="O125" s="67">
        <v>45342</v>
      </c>
      <c r="P125" s="10">
        <v>2024</v>
      </c>
      <c r="Q125" s="10">
        <v>2</v>
      </c>
      <c r="R125" s="10" t="str">
        <v>SURVEI-PPL</v>
      </c>
      <c r="S125" s="10" t="str">
        <v>610422100165-2024-2</v>
      </c>
      <c r="T125" s="10" t="str">
        <v>610422100165-2024-2-SURVEI-PPL</v>
      </c>
      <c r="U125" s="10">
        <v>1</v>
      </c>
      <c r="V125" s="10" t="e">
        <f ca="1"/>
        <v>#NAME?</v>
      </c>
      <c r="W125" s="67">
        <v>45373</v>
      </c>
      <c r="X125" s="11" t="str">
        <v>Survei Hotel dan Jasa Akomodasi Bulanan (VHTS) 2024 Februari</v>
      </c>
      <c r="Y125" s="11" t="str">
        <v>SUNGAI PINYUH</v>
      </c>
      <c r="Z125" s="11" t="str">
        <v>SUNGAI BAKAU BESAR LAUT</v>
      </c>
      <c r="AA125" s="67">
        <v>45322</v>
      </c>
      <c r="AB125" s="67">
        <v>45323</v>
      </c>
      <c r="AC125" s="67">
        <v>45351</v>
      </c>
      <c r="AD125" s="67">
        <v>45350</v>
      </c>
      <c r="AE125" s="67">
        <v>45351</v>
      </c>
    </row>
    <row r="126" spans="1:31" ht="12.5">
      <c r="A126" s="10">
        <v>610422050001</v>
      </c>
      <c r="B126" s="10" t="str">
        <v>VHTS24-LAPANGAN-FEBRUARI</v>
      </c>
      <c r="C126" s="10">
        <v>0</v>
      </c>
      <c r="D126" s="10">
        <f ca="1"/>
        <v>1</v>
      </c>
      <c r="E126" s="10" t="str">
        <v>Evi Juniarty</v>
      </c>
      <c r="F126" s="10" t="str">
        <v>PPL</v>
      </c>
      <c r="G126" s="10" t="str">
        <v>6102165101840001</v>
      </c>
      <c r="H126" s="10" t="str">
        <v>PENDATAAN</v>
      </c>
      <c r="I126" s="10" t="str">
        <v>VHTS24-LAPANGAN-FEBRUARI-PPL-PENDATAAN</v>
      </c>
      <c r="J126" s="10" t="str">
        <v>Dokumen</v>
      </c>
      <c r="K126" s="66">
        <v>55000</v>
      </c>
      <c r="L126" s="10">
        <v>3</v>
      </c>
      <c r="M126" s="10">
        <v>165000</v>
      </c>
      <c r="N126" s="10">
        <v>0</v>
      </c>
      <c r="O126" s="67">
        <v>45342</v>
      </c>
      <c r="P126" s="10">
        <v>2024</v>
      </c>
      <c r="Q126" s="10">
        <v>2</v>
      </c>
      <c r="R126" s="10" t="str">
        <v>SURVEI-PPL</v>
      </c>
      <c r="S126" s="10" t="str">
        <v>610422050001-2024-2</v>
      </c>
      <c r="T126" s="10" t="str">
        <v>610422050001-2024-2-SURVEI-PPL</v>
      </c>
      <c r="U126" s="10">
        <v>1</v>
      </c>
      <c r="V126" s="10" t="e">
        <f ca="1"/>
        <v>#NAME?</v>
      </c>
      <c r="W126" s="67">
        <v>45373</v>
      </c>
      <c r="X126" s="11" t="str">
        <v>Survei Hotel dan Jasa Akomodasi Bulanan (VHTS) 2024 Februari</v>
      </c>
      <c r="Y126" s="11" t="str">
        <v>ANJONGAN</v>
      </c>
      <c r="Z126" s="11" t="str">
        <v>ANJUNGAN MELANCAR</v>
      </c>
      <c r="AA126" s="67">
        <v>45322</v>
      </c>
      <c r="AB126" s="67">
        <v>45323</v>
      </c>
      <c r="AC126" s="67">
        <v>45351</v>
      </c>
      <c r="AD126" s="67">
        <v>45350</v>
      </c>
      <c r="AE126" s="67">
        <v>45351</v>
      </c>
    </row>
    <row r="127" spans="1:31" ht="12.5">
      <c r="A127" s="10">
        <v>610422040056</v>
      </c>
      <c r="B127" s="10" t="str">
        <v>VHTS24-LAPANGAN-FEBRUARI</v>
      </c>
      <c r="C127" s="10">
        <v>0</v>
      </c>
      <c r="D127" s="10">
        <f ca="1"/>
        <v>1</v>
      </c>
      <c r="E127" s="10" t="str">
        <v>Wandi Syafari</v>
      </c>
      <c r="F127" s="10" t="str">
        <v>PPL</v>
      </c>
      <c r="G127" s="10" t="str">
        <v>6102010802760001</v>
      </c>
      <c r="H127" s="10" t="str">
        <v>PENDATAAN</v>
      </c>
      <c r="I127" s="10" t="str">
        <v>VHTS24-LAPANGAN-FEBRUARI-PPL-PENDATAAN</v>
      </c>
      <c r="J127" s="10" t="str">
        <v>Dokumen</v>
      </c>
      <c r="K127" s="66">
        <v>55000</v>
      </c>
      <c r="L127" s="10">
        <v>2</v>
      </c>
      <c r="M127" s="10">
        <v>110000</v>
      </c>
      <c r="N127" s="10">
        <v>0</v>
      </c>
      <c r="O127" s="67">
        <v>45342</v>
      </c>
      <c r="P127" s="10">
        <v>2024</v>
      </c>
      <c r="Q127" s="10">
        <v>2</v>
      </c>
      <c r="R127" s="10" t="str">
        <v>SURVEI-PPL</v>
      </c>
      <c r="S127" s="10" t="str">
        <v>610422040056-2024-2</v>
      </c>
      <c r="T127" s="10" t="str">
        <v>610422040056-2024-2-SURVEI-PPL</v>
      </c>
      <c r="U127" s="10">
        <v>1</v>
      </c>
      <c r="V127" s="10" t="e">
        <f ca="1"/>
        <v>#NAME?</v>
      </c>
      <c r="W127" s="67">
        <v>45373</v>
      </c>
      <c r="X127" s="11" t="str">
        <v>Survei Hotel dan Jasa Akomodasi Bulanan (VHTS) 2024 Februari</v>
      </c>
      <c r="Y127" s="11" t="str">
        <v>MEMPAWAH HILIR</v>
      </c>
      <c r="Z127" s="11" t="str">
        <v>TERUSAN</v>
      </c>
      <c r="AA127" s="67">
        <v>45322</v>
      </c>
      <c r="AB127" s="67">
        <v>45323</v>
      </c>
      <c r="AC127" s="67">
        <v>45351</v>
      </c>
      <c r="AD127" s="67">
        <v>45350</v>
      </c>
      <c r="AE127" s="67">
        <v>45351</v>
      </c>
    </row>
    <row r="128" spans="1:31" ht="12.5">
      <c r="A128" s="10">
        <v>610423040004</v>
      </c>
      <c r="B128" s="10" t="str">
        <v>SERUTI24-LAPANGAN-TRI1</v>
      </c>
      <c r="C128" s="10">
        <v>0</v>
      </c>
      <c r="D128" s="10">
        <f ca="1"/>
        <v>1</v>
      </c>
      <c r="E128" s="10" t="str">
        <v>Ayu Agustin</v>
      </c>
      <c r="F128" s="10" t="str">
        <v>PPL</v>
      </c>
      <c r="G128" s="10" t="str">
        <v>6111025008930002</v>
      </c>
      <c r="H128" s="10" t="str">
        <v>PENDATAAN</v>
      </c>
      <c r="I128" s="10" t="str">
        <v>SERUTI24-LAPANGAN-TRI1-PPL-PENDATAAN</v>
      </c>
      <c r="J128" s="10" t="str">
        <v>Dokumen</v>
      </c>
      <c r="K128" s="66">
        <v>60000</v>
      </c>
      <c r="L128" s="10">
        <v>10</v>
      </c>
      <c r="M128" s="10">
        <v>600000</v>
      </c>
      <c r="N128" s="10">
        <v>0</v>
      </c>
      <c r="O128" s="67">
        <v>45350</v>
      </c>
      <c r="P128" s="10">
        <v>2024</v>
      </c>
      <c r="Q128" s="10">
        <v>2</v>
      </c>
      <c r="R128" s="10" t="str">
        <v>SURVEI-PPL</v>
      </c>
      <c r="S128" s="10" t="str">
        <v>610423040004-2024-2</v>
      </c>
      <c r="T128" s="10" t="str">
        <v>610423040004-2024-2-SURVEI-PPL</v>
      </c>
      <c r="U128" s="10">
        <v>1</v>
      </c>
      <c r="V128" s="10" t="e">
        <f ca="1"/>
        <v>#NAME?</v>
      </c>
      <c r="W128" s="67">
        <v>45376</v>
      </c>
      <c r="X128" s="11" t="str">
        <v>Survei Ekonomi Rumah Tangga Triwulanan (SERUTI24) Triwulan I Kegiatan Lapangan</v>
      </c>
      <c r="Y128" s="11" t="str">
        <v>ANJONGAN</v>
      </c>
      <c r="Z128" s="11" t="str">
        <v>KEPAYANG</v>
      </c>
      <c r="AA128" s="67">
        <v>45322</v>
      </c>
      <c r="AB128" s="67">
        <v>45323</v>
      </c>
      <c r="AC128" s="67">
        <v>45351</v>
      </c>
      <c r="AD128" s="67">
        <v>45350</v>
      </c>
      <c r="AE128" s="67">
        <v>45351</v>
      </c>
    </row>
    <row r="129" spans="1:31" ht="12.5">
      <c r="A129" s="10">
        <v>610422100144</v>
      </c>
      <c r="B129" s="10" t="str">
        <v>SERUTI24-LAPANGAN-TRI1</v>
      </c>
      <c r="C129" s="10">
        <v>0</v>
      </c>
      <c r="D129" s="10">
        <f ca="1"/>
        <v>1</v>
      </c>
      <c r="E129" s="10" t="str">
        <v>Irfan Faozi Sunaryo</v>
      </c>
      <c r="F129" s="10" t="str">
        <v>PPL</v>
      </c>
      <c r="G129" s="10" t="str">
        <v>6102122710990001</v>
      </c>
      <c r="H129" s="10" t="str">
        <v>PENDATAAN</v>
      </c>
      <c r="I129" s="10" t="str">
        <v>SERUTI24-LAPANGAN-TRI1-PPL-PENDATAAN</v>
      </c>
      <c r="J129" s="10" t="str">
        <v>Dokumen</v>
      </c>
      <c r="K129" s="66">
        <v>60000</v>
      </c>
      <c r="L129" s="10">
        <v>10</v>
      </c>
      <c r="M129" s="10">
        <v>600000</v>
      </c>
      <c r="N129" s="10">
        <v>0</v>
      </c>
      <c r="O129" s="67">
        <v>45350</v>
      </c>
      <c r="P129" s="10">
        <v>2024</v>
      </c>
      <c r="Q129" s="10">
        <v>2</v>
      </c>
      <c r="R129" s="10" t="str">
        <v>SURVEI-PPL</v>
      </c>
      <c r="S129" s="10" t="str">
        <v>610422100144-2024-2</v>
      </c>
      <c r="T129" s="10" t="str">
        <v>610422100144-2024-2-SURVEI-PPL</v>
      </c>
      <c r="U129" s="10">
        <v>1</v>
      </c>
      <c r="V129" s="10" t="e">
        <f ca="1"/>
        <v>#NAME?</v>
      </c>
      <c r="W129" s="67">
        <v>45376</v>
      </c>
      <c r="X129" s="11" t="str">
        <v>Survei Ekonomi Rumah Tangga Triwulanan (SERUTI24) Triwulan I Kegiatan Lapangan</v>
      </c>
      <c r="Y129" s="11" t="str">
        <v>SUNGAI KUNYIT</v>
      </c>
      <c r="Z129" s="11" t="str">
        <v>SUNGAI DURI I</v>
      </c>
      <c r="AA129" s="67">
        <v>45322</v>
      </c>
      <c r="AB129" s="67">
        <v>45323</v>
      </c>
      <c r="AC129" s="67">
        <v>45351</v>
      </c>
      <c r="AD129" s="67">
        <v>45350</v>
      </c>
      <c r="AE129" s="67">
        <v>45351</v>
      </c>
    </row>
    <row r="130" spans="1:31" ht="12.5">
      <c r="A130" s="10">
        <v>610422020032</v>
      </c>
      <c r="B130" s="10" t="str">
        <v>SERUTI24-LAPANGAN-TRI1</v>
      </c>
      <c r="C130" s="10">
        <v>0</v>
      </c>
      <c r="D130" s="10">
        <f ca="1"/>
        <v>1</v>
      </c>
      <c r="E130" s="10" t="str">
        <v>Lilis Suryani</v>
      </c>
      <c r="F130" s="10" t="str">
        <v>PPL</v>
      </c>
      <c r="G130" s="10" t="str">
        <v>6102185102880001</v>
      </c>
      <c r="H130" s="10" t="str">
        <v>PENDATAAN</v>
      </c>
      <c r="I130" s="10" t="str">
        <v>SERUTI24-LAPANGAN-TRI1-PPL-PENDATAAN</v>
      </c>
      <c r="J130" s="10" t="str">
        <v>Dokumen</v>
      </c>
      <c r="K130" s="66">
        <v>60000</v>
      </c>
      <c r="L130" s="10">
        <v>10</v>
      </c>
      <c r="M130" s="10">
        <v>600000</v>
      </c>
      <c r="N130" s="10">
        <v>0</v>
      </c>
      <c r="O130" s="67">
        <v>45350</v>
      </c>
      <c r="P130" s="10">
        <v>2024</v>
      </c>
      <c r="Q130" s="10">
        <v>2</v>
      </c>
      <c r="R130" s="10" t="str">
        <v>SURVEI-PPL</v>
      </c>
      <c r="S130" s="10" t="str">
        <v>610422020032-2024-2</v>
      </c>
      <c r="T130" s="10" t="str">
        <v>610422020032-2024-2-SURVEI-PPL</v>
      </c>
      <c r="U130" s="10">
        <v>1</v>
      </c>
      <c r="V130" s="10" t="e">
        <f ca="1"/>
        <v>#NAME?</v>
      </c>
      <c r="W130" s="67">
        <v>45376</v>
      </c>
      <c r="X130" s="11" t="str">
        <v>Survei Ekonomi Rumah Tangga Triwulanan (SERUTI24) Triwulan I Kegiatan Lapangan</v>
      </c>
      <c r="Y130" s="11" t="str">
        <v>MEMPAWAH TIMUR</v>
      </c>
      <c r="Z130" s="11" t="str">
        <v>PARIT BANJAR</v>
      </c>
      <c r="AA130" s="67">
        <v>45322</v>
      </c>
      <c r="AB130" s="67">
        <v>45323</v>
      </c>
      <c r="AC130" s="67">
        <v>45351</v>
      </c>
      <c r="AD130" s="67">
        <v>45350</v>
      </c>
      <c r="AE130" s="67">
        <v>45351</v>
      </c>
    </row>
    <row r="131" spans="1:31" ht="12.5">
      <c r="A131" s="10">
        <v>610422100085</v>
      </c>
      <c r="B131" s="10" t="str">
        <v>SERUTI24-LAPANGAN-TRI1</v>
      </c>
      <c r="C131" s="10">
        <v>0</v>
      </c>
      <c r="D131" s="10">
        <f ca="1"/>
        <v>1</v>
      </c>
      <c r="E131" s="10" t="str">
        <v>Lina Agustin Widya Siwi</v>
      </c>
      <c r="F131" s="10" t="str">
        <v>PPL</v>
      </c>
      <c r="G131" s="10" t="str">
        <v>3301225608850001</v>
      </c>
      <c r="H131" s="10" t="str">
        <v>PENDATAAN</v>
      </c>
      <c r="I131" s="10" t="str">
        <v>SERUTI24-LAPANGAN-TRI1-PPL-PENDATAAN</v>
      </c>
      <c r="J131" s="10" t="str">
        <v>Dokumen</v>
      </c>
      <c r="K131" s="66">
        <v>60000</v>
      </c>
      <c r="L131" s="10">
        <v>10</v>
      </c>
      <c r="M131" s="10">
        <v>600000</v>
      </c>
      <c r="N131" s="10">
        <v>0</v>
      </c>
      <c r="O131" s="67">
        <v>45350</v>
      </c>
      <c r="P131" s="10">
        <v>2024</v>
      </c>
      <c r="Q131" s="10">
        <v>2</v>
      </c>
      <c r="R131" s="10" t="str">
        <v>SURVEI-PPL</v>
      </c>
      <c r="S131" s="10" t="str">
        <v>610422100085-2024-2</v>
      </c>
      <c r="T131" s="10" t="str">
        <v>610422100085-2024-2-SURVEI-PPL</v>
      </c>
      <c r="U131" s="10">
        <v>1</v>
      </c>
      <c r="V131" s="10" t="e">
        <f ca="1"/>
        <v>#NAME?</v>
      </c>
      <c r="W131" s="67">
        <v>45376</v>
      </c>
      <c r="X131" s="11" t="str">
        <v>Survei Ekonomi Rumah Tangga Triwulanan (SERUTI24) Triwulan I Kegiatan Lapangan</v>
      </c>
      <c r="Y131" s="11" t="str">
        <v>SUNGAI PINYUH</v>
      </c>
      <c r="Z131" s="11" t="str">
        <v>NUSAPATI</v>
      </c>
      <c r="AA131" s="67">
        <v>45322</v>
      </c>
      <c r="AB131" s="67">
        <v>45323</v>
      </c>
      <c r="AC131" s="67">
        <v>45351</v>
      </c>
      <c r="AD131" s="67">
        <v>45350</v>
      </c>
      <c r="AE131" s="67">
        <v>45351</v>
      </c>
    </row>
    <row r="132" spans="1:31" ht="12.5">
      <c r="A132" s="10">
        <v>610423040013</v>
      </c>
      <c r="B132" s="10" t="str">
        <v>SERUTI24-LAPANGAN-TRI1</v>
      </c>
      <c r="C132" s="10">
        <v>0</v>
      </c>
      <c r="D132" s="10">
        <f ca="1"/>
        <v>1</v>
      </c>
      <c r="E132" s="10" t="str">
        <v>Lulu Gesti Gunawati</v>
      </c>
      <c r="F132" s="10" t="str">
        <v>PPL</v>
      </c>
      <c r="G132" s="10" t="str">
        <v>3314066101000001</v>
      </c>
      <c r="H132" s="10" t="str">
        <v>PENDATAAN</v>
      </c>
      <c r="I132" s="10" t="str">
        <v>SERUTI24-LAPANGAN-TRI1-PPL-PENDATAAN</v>
      </c>
      <c r="J132" s="10" t="str">
        <v>Dokumen</v>
      </c>
      <c r="K132" s="66">
        <v>60000</v>
      </c>
      <c r="L132" s="10">
        <v>10</v>
      </c>
      <c r="M132" s="10">
        <v>600000</v>
      </c>
      <c r="N132" s="10">
        <v>0</v>
      </c>
      <c r="O132" s="67">
        <v>45350</v>
      </c>
      <c r="P132" s="10">
        <v>2024</v>
      </c>
      <c r="Q132" s="10">
        <v>2</v>
      </c>
      <c r="R132" s="10" t="str">
        <v>SURVEI-PPL</v>
      </c>
      <c r="S132" s="10" t="str">
        <v>610423040013-2024-2</v>
      </c>
      <c r="T132" s="10" t="str">
        <v>610423040013-2024-2-SURVEI-PPL</v>
      </c>
      <c r="U132" s="10">
        <v>1</v>
      </c>
      <c r="V132" s="10" t="e">
        <f ca="1"/>
        <v>#NAME?</v>
      </c>
      <c r="W132" s="67">
        <v>45376</v>
      </c>
      <c r="X132" s="11" t="str">
        <v>Survei Ekonomi Rumah Tangga Triwulanan (SERUTI24) Triwulan I Kegiatan Lapangan</v>
      </c>
      <c r="Y132" s="11" t="str">
        <v>SUNGAI KUNYIT</v>
      </c>
      <c r="Z132" s="11" t="str">
        <v>MENDALOK</v>
      </c>
      <c r="AA132" s="67">
        <v>45322</v>
      </c>
      <c r="AB132" s="67">
        <v>45323</v>
      </c>
      <c r="AC132" s="67">
        <v>45351</v>
      </c>
      <c r="AD132" s="67">
        <v>45350</v>
      </c>
      <c r="AE132" s="67">
        <v>45351</v>
      </c>
    </row>
    <row r="133" spans="1:31" ht="12.5">
      <c r="A133" s="10">
        <v>610422100137</v>
      </c>
      <c r="B133" s="10" t="str">
        <v>SERUTI24-LAPANGAN-TRI1</v>
      </c>
      <c r="C133" s="10">
        <v>0</v>
      </c>
      <c r="D133" s="10">
        <f ca="1"/>
        <v>1</v>
      </c>
      <c r="E133" s="10" t="str">
        <v>Masturi</v>
      </c>
      <c r="F133" s="10" t="str">
        <v>PPL</v>
      </c>
      <c r="G133" s="10" t="str">
        <v>6102060709870002</v>
      </c>
      <c r="H133" s="10" t="str">
        <v>PENDATAAN</v>
      </c>
      <c r="I133" s="10" t="str">
        <v>SERUTI24-LAPANGAN-TRI1-PPL-PENDATAAN</v>
      </c>
      <c r="J133" s="10" t="str">
        <v>Dokumen</v>
      </c>
      <c r="K133" s="66">
        <v>60000</v>
      </c>
      <c r="L133" s="10">
        <v>10</v>
      </c>
      <c r="M133" s="10">
        <v>600000</v>
      </c>
      <c r="N133" s="10">
        <v>0</v>
      </c>
      <c r="O133" s="67">
        <v>45350</v>
      </c>
      <c r="P133" s="10">
        <v>2024</v>
      </c>
      <c r="Q133" s="10">
        <v>2</v>
      </c>
      <c r="R133" s="10" t="str">
        <v>SURVEI-PPL</v>
      </c>
      <c r="S133" s="10" t="str">
        <v>610422100137-2024-2</v>
      </c>
      <c r="T133" s="10" t="str">
        <v>610422100137-2024-2-SURVEI-PPL</v>
      </c>
      <c r="U133" s="10">
        <v>1</v>
      </c>
      <c r="V133" s="10" t="e">
        <f ca="1"/>
        <v>#NAME?</v>
      </c>
      <c r="W133" s="67">
        <v>45376</v>
      </c>
      <c r="X133" s="11" t="str">
        <v>Survei Ekonomi Rumah Tangga Triwulanan (SERUTI24) Triwulan I Kegiatan Lapangan</v>
      </c>
      <c r="Y133" s="11" t="str">
        <v>TOHO</v>
      </c>
      <c r="Z133" s="11" t="str">
        <v>SAMBORA</v>
      </c>
      <c r="AA133" s="67">
        <v>45322</v>
      </c>
      <c r="AB133" s="67">
        <v>45323</v>
      </c>
      <c r="AC133" s="67">
        <v>45351</v>
      </c>
      <c r="AD133" s="67">
        <v>45350</v>
      </c>
      <c r="AE133" s="67">
        <v>45351</v>
      </c>
    </row>
    <row r="134" spans="1:31" ht="12.5">
      <c r="A134" s="10">
        <v>610422100256</v>
      </c>
      <c r="B134" s="10" t="str">
        <v>SERUTI24-LAPANGAN-TRI1</v>
      </c>
      <c r="C134" s="10">
        <v>0</v>
      </c>
      <c r="D134" s="10">
        <f ca="1"/>
        <v>1</v>
      </c>
      <c r="E134" s="10" t="str">
        <v>Meta</v>
      </c>
      <c r="F134" s="10" t="str">
        <v>PPL</v>
      </c>
      <c r="G134" s="10" t="str">
        <v>6102174505970001</v>
      </c>
      <c r="H134" s="10" t="str">
        <v>PENDATAAN</v>
      </c>
      <c r="I134" s="10" t="str">
        <v>SERUTI24-LAPANGAN-TRI1-PPL-PENDATAAN</v>
      </c>
      <c r="J134" s="10" t="str">
        <v>Dokumen</v>
      </c>
      <c r="K134" s="66">
        <v>60000</v>
      </c>
      <c r="L134" s="10">
        <v>10</v>
      </c>
      <c r="M134" s="10">
        <v>600000</v>
      </c>
      <c r="N134" s="10">
        <v>0</v>
      </c>
      <c r="O134" s="67">
        <v>45350</v>
      </c>
      <c r="P134" s="10">
        <v>2024</v>
      </c>
      <c r="Q134" s="10">
        <v>2</v>
      </c>
      <c r="R134" s="10" t="str">
        <v>SURVEI-PPL</v>
      </c>
      <c r="S134" s="10" t="str">
        <v>610422100256-2024-2</v>
      </c>
      <c r="T134" s="10" t="str">
        <v>610422100256-2024-2-SURVEI-PPL</v>
      </c>
      <c r="U134" s="10">
        <v>1</v>
      </c>
      <c r="V134" s="10" t="e">
        <f ca="1"/>
        <v>#NAME?</v>
      </c>
      <c r="W134" s="67">
        <v>45376</v>
      </c>
      <c r="X134" s="11" t="str">
        <v>Survei Ekonomi Rumah Tangga Triwulanan (SERUTI24) Triwulan I Kegiatan Lapangan</v>
      </c>
      <c r="Y134" s="11" t="str">
        <v>SADANIANG</v>
      </c>
      <c r="Z134" s="11" t="str">
        <v>PENTEK</v>
      </c>
      <c r="AA134" s="67">
        <v>45322</v>
      </c>
      <c r="AB134" s="67">
        <v>45323</v>
      </c>
      <c r="AC134" s="67">
        <v>45351</v>
      </c>
      <c r="AD134" s="67">
        <v>45350</v>
      </c>
      <c r="AE134" s="67">
        <v>45351</v>
      </c>
    </row>
    <row r="135" spans="1:31" ht="12.5">
      <c r="A135" s="10">
        <v>610422040050</v>
      </c>
      <c r="B135" s="10" t="str">
        <v>SERUTI24-LAPANGAN-TRI1</v>
      </c>
      <c r="C135" s="10">
        <v>0</v>
      </c>
      <c r="D135" s="10">
        <f ca="1"/>
        <v>1</v>
      </c>
      <c r="E135" s="10" t="str">
        <v>Novita Sari</v>
      </c>
      <c r="F135" s="10" t="str">
        <v>PPL</v>
      </c>
      <c r="G135" s="10" t="str">
        <v>6102085906990001</v>
      </c>
      <c r="H135" s="10" t="str">
        <v>PENDATAAN</v>
      </c>
      <c r="I135" s="10" t="str">
        <v>SERUTI24-LAPANGAN-TRI1-PPL-PENDATAAN</v>
      </c>
      <c r="J135" s="10" t="str">
        <v>Dokumen</v>
      </c>
      <c r="K135" s="66">
        <v>60000</v>
      </c>
      <c r="L135" s="10">
        <v>10</v>
      </c>
      <c r="M135" s="10">
        <v>600000</v>
      </c>
      <c r="N135" s="10">
        <v>0</v>
      </c>
      <c r="O135" s="67">
        <v>45350</v>
      </c>
      <c r="P135" s="10">
        <v>2024</v>
      </c>
      <c r="Q135" s="10">
        <v>2</v>
      </c>
      <c r="R135" s="10" t="str">
        <v>SURVEI-PPL</v>
      </c>
      <c r="S135" s="10" t="str">
        <v>610422040050-2024-2</v>
      </c>
      <c r="T135" s="10" t="str">
        <v>610422040050-2024-2-SURVEI-PPL</v>
      </c>
      <c r="U135" s="10">
        <v>1</v>
      </c>
      <c r="V135" s="10" t="e">
        <f ca="1"/>
        <v>#NAME?</v>
      </c>
      <c r="W135" s="67">
        <v>45376</v>
      </c>
      <c r="X135" s="11" t="str">
        <v>Survei Ekonomi Rumah Tangga Triwulanan (SERUTI24) Triwulan I Kegiatan Lapangan</v>
      </c>
      <c r="Y135" s="11" t="str">
        <v>JONGKAT</v>
      </c>
      <c r="Z135" s="11" t="str">
        <v>JUNGKAT</v>
      </c>
      <c r="AA135" s="67">
        <v>45322</v>
      </c>
      <c r="AB135" s="67">
        <v>45323</v>
      </c>
      <c r="AC135" s="67">
        <v>45351</v>
      </c>
      <c r="AD135" s="67">
        <v>45350</v>
      </c>
      <c r="AE135" s="67">
        <v>45351</v>
      </c>
    </row>
    <row r="136" spans="1:31" ht="12.5">
      <c r="A136" s="10">
        <v>610422040035</v>
      </c>
      <c r="B136" s="10" t="str">
        <v>SERUTI24-LAPANGAN-TRI1</v>
      </c>
      <c r="C136" s="10">
        <v>0</v>
      </c>
      <c r="D136" s="10">
        <f ca="1"/>
        <v>1</v>
      </c>
      <c r="E136" s="10" t="str">
        <v>Rahmayani</v>
      </c>
      <c r="F136" s="10" t="str">
        <v>PPL</v>
      </c>
      <c r="G136" s="10" t="str">
        <v>6102186404970003</v>
      </c>
      <c r="H136" s="10" t="str">
        <v>PENDATAAN</v>
      </c>
      <c r="I136" s="10" t="str">
        <v>SERUTI24-LAPANGAN-TRI1-PPL-PENDATAAN</v>
      </c>
      <c r="J136" s="10" t="str">
        <v>Dokumen</v>
      </c>
      <c r="K136" s="66">
        <v>60000</v>
      </c>
      <c r="L136" s="10">
        <v>10</v>
      </c>
      <c r="M136" s="10">
        <v>600000</v>
      </c>
      <c r="N136" s="10">
        <v>0</v>
      </c>
      <c r="O136" s="67">
        <v>45350</v>
      </c>
      <c r="P136" s="10">
        <v>2024</v>
      </c>
      <c r="Q136" s="10">
        <v>2</v>
      </c>
      <c r="R136" s="10" t="str">
        <v>SURVEI-PPL</v>
      </c>
      <c r="S136" s="10" t="str">
        <v>610422040035-2024-2</v>
      </c>
      <c r="T136" s="10" t="str">
        <v>610422040035-2024-2-SURVEI-PPL</v>
      </c>
      <c r="U136" s="10">
        <v>1</v>
      </c>
      <c r="V136" s="10" t="e">
        <f ca="1"/>
        <v>#NAME?</v>
      </c>
      <c r="W136" s="67">
        <v>45376</v>
      </c>
      <c r="X136" s="11" t="str">
        <v>Survei Ekonomi Rumah Tangga Triwulanan (SERUTI24) Triwulan I Kegiatan Lapangan</v>
      </c>
      <c r="Y136" s="11" t="str">
        <v>MEMPAWAH TIMUR</v>
      </c>
      <c r="Z136" s="11" t="str">
        <v>SEJEGI</v>
      </c>
      <c r="AA136" s="67">
        <v>45322</v>
      </c>
      <c r="AB136" s="67">
        <v>45323</v>
      </c>
      <c r="AC136" s="67">
        <v>45351</v>
      </c>
      <c r="AD136" s="67">
        <v>45350</v>
      </c>
      <c r="AE136" s="67">
        <v>45351</v>
      </c>
    </row>
    <row r="137" spans="1:31" ht="12.5">
      <c r="A137" s="10">
        <v>610422040061</v>
      </c>
      <c r="B137" s="10" t="str">
        <v>SERUTI24-LAPANGAN-TRI1</v>
      </c>
      <c r="C137" s="10">
        <v>0</v>
      </c>
      <c r="D137" s="10">
        <f ca="1"/>
        <v>1</v>
      </c>
      <c r="E137" s="10" t="str">
        <v>Sabani</v>
      </c>
      <c r="F137" s="10" t="str">
        <v>PPL</v>
      </c>
      <c r="G137" s="10" t="str">
        <v>6102153112860003</v>
      </c>
      <c r="H137" s="10" t="str">
        <v>PENDATAAN</v>
      </c>
      <c r="I137" s="10" t="str">
        <v>SERUTI24-LAPANGAN-TRI1-PPL-PENDATAAN</v>
      </c>
      <c r="J137" s="10" t="str">
        <v>Dokumen</v>
      </c>
      <c r="K137" s="66">
        <v>60000</v>
      </c>
      <c r="L137" s="10">
        <v>10</v>
      </c>
      <c r="M137" s="10">
        <v>600000</v>
      </c>
      <c r="N137" s="10">
        <v>0</v>
      </c>
      <c r="O137" s="67">
        <v>45350</v>
      </c>
      <c r="P137" s="10">
        <v>2024</v>
      </c>
      <c r="Q137" s="10">
        <v>2</v>
      </c>
      <c r="R137" s="10" t="str">
        <v>SURVEI-PPL</v>
      </c>
      <c r="S137" s="10" t="str">
        <v>610422040061-2024-2</v>
      </c>
      <c r="T137" s="10" t="str">
        <v>610422040061-2024-2-SURVEI-PPL</v>
      </c>
      <c r="U137" s="10">
        <v>1</v>
      </c>
      <c r="V137" s="10" t="e">
        <f ca="1"/>
        <v>#NAME?</v>
      </c>
      <c r="W137" s="67">
        <v>45376</v>
      </c>
      <c r="X137" s="11" t="str">
        <v>Survei Ekonomi Rumah Tangga Triwulanan (SERUTI24) Triwulan I Kegiatan Lapangan</v>
      </c>
      <c r="Y137" s="11" t="str">
        <v>SEGEDONG</v>
      </c>
      <c r="Z137" s="11" t="str">
        <v>PENITI BESAR</v>
      </c>
      <c r="AA137" s="67">
        <v>45322</v>
      </c>
      <c r="AB137" s="67">
        <v>45323</v>
      </c>
      <c r="AC137" s="67">
        <v>45351</v>
      </c>
      <c r="AD137" s="67">
        <v>45350</v>
      </c>
      <c r="AE137" s="67">
        <v>45351</v>
      </c>
    </row>
    <row r="138" spans="1:31" ht="12.5">
      <c r="A138" s="10">
        <v>610422040053</v>
      </c>
      <c r="B138" s="10" t="str">
        <v>SERUTI24-LAPANGAN-TRI1</v>
      </c>
      <c r="C138" s="10">
        <v>0</v>
      </c>
      <c r="D138" s="10">
        <f ca="1"/>
        <v>1</v>
      </c>
      <c r="E138" s="10" t="str">
        <v>Veti Ningsi</v>
      </c>
      <c r="F138" s="10" t="str">
        <v>PPL</v>
      </c>
      <c r="G138" s="10" t="str">
        <v>6102125604010002</v>
      </c>
      <c r="H138" s="10" t="str">
        <v>PENDATAAN</v>
      </c>
      <c r="I138" s="10" t="str">
        <v>SERUTI24-LAPANGAN-TRI1-PPL-PENDATAAN</v>
      </c>
      <c r="J138" s="10" t="str">
        <v>Dokumen</v>
      </c>
      <c r="K138" s="66">
        <v>60000</v>
      </c>
      <c r="L138" s="10">
        <v>10</v>
      </c>
      <c r="M138" s="10">
        <v>600000</v>
      </c>
      <c r="N138" s="10">
        <v>0</v>
      </c>
      <c r="O138" s="67">
        <v>45350</v>
      </c>
      <c r="P138" s="10">
        <v>2024</v>
      </c>
      <c r="Q138" s="10">
        <v>2</v>
      </c>
      <c r="R138" s="10" t="str">
        <v>SURVEI-PPL</v>
      </c>
      <c r="S138" s="10" t="str">
        <v>610422040053-2024-2</v>
      </c>
      <c r="T138" s="10" t="str">
        <v>610422040053-2024-2-SURVEI-PPL</v>
      </c>
      <c r="U138" s="10">
        <v>1</v>
      </c>
      <c r="V138" s="10" t="e">
        <f ca="1"/>
        <v>#NAME?</v>
      </c>
      <c r="W138" s="67">
        <v>45376</v>
      </c>
      <c r="X138" s="11" t="str">
        <v>Survei Ekonomi Rumah Tangga Triwulanan (SERUTI24) Triwulan I Kegiatan Lapangan</v>
      </c>
      <c r="Y138" s="11" t="str">
        <v>SUNGAI KUNYIT</v>
      </c>
      <c r="Z138" s="11" t="str">
        <v>SUNGAI BUNDUNG LAUT</v>
      </c>
      <c r="AA138" s="67">
        <v>45322</v>
      </c>
      <c r="AB138" s="67">
        <v>45323</v>
      </c>
      <c r="AC138" s="67">
        <v>45351</v>
      </c>
      <c r="AD138" s="67">
        <v>45350</v>
      </c>
      <c r="AE138" s="67">
        <v>45351</v>
      </c>
    </row>
    <row r="139" spans="1:31" ht="12.5">
      <c r="A139" s="10">
        <v>610422100055</v>
      </c>
      <c r="B139" s="10" t="str">
        <v>SERUTI24-LAPANGAN-TRI1</v>
      </c>
      <c r="C139" s="10">
        <v>0</v>
      </c>
      <c r="D139" s="10">
        <f ca="1"/>
        <v>1</v>
      </c>
      <c r="E139" s="10" t="str">
        <v>Vika Rizkiani</v>
      </c>
      <c r="F139" s="10" t="str">
        <v>PPL</v>
      </c>
      <c r="G139" s="10" t="str">
        <v>6102084207980006</v>
      </c>
      <c r="H139" s="10" t="str">
        <v>PENDATAAN</v>
      </c>
      <c r="I139" s="10" t="str">
        <v>SERUTI24-LAPANGAN-TRI1-PPL-PENDATAAN</v>
      </c>
      <c r="J139" s="10" t="str">
        <v>Dokumen</v>
      </c>
      <c r="K139" s="66">
        <v>60000</v>
      </c>
      <c r="L139" s="10">
        <v>10</v>
      </c>
      <c r="M139" s="10">
        <v>600000</v>
      </c>
      <c r="N139" s="10">
        <v>0</v>
      </c>
      <c r="O139" s="67">
        <v>45350</v>
      </c>
      <c r="P139" s="10">
        <v>2024</v>
      </c>
      <c r="Q139" s="10">
        <v>2</v>
      </c>
      <c r="R139" s="10" t="str">
        <v>SURVEI-PPL</v>
      </c>
      <c r="S139" s="10" t="str">
        <v>610422100055-2024-2</v>
      </c>
      <c r="T139" s="10" t="str">
        <v>610422100055-2024-2-SURVEI-PPL</v>
      </c>
      <c r="U139" s="10">
        <v>1</v>
      </c>
      <c r="V139" s="10" t="e">
        <f ca="1"/>
        <v>#NAME?</v>
      </c>
      <c r="W139" s="67">
        <v>45376</v>
      </c>
      <c r="X139" s="11" t="str">
        <v>Survei Ekonomi Rumah Tangga Triwulanan (SERUTI24) Triwulan I Kegiatan Lapangan</v>
      </c>
      <c r="Y139" s="11" t="str">
        <v>JONGKAT</v>
      </c>
      <c r="Z139" s="11" t="str">
        <v>JUNGKAT</v>
      </c>
      <c r="AA139" s="67">
        <v>45322</v>
      </c>
      <c r="AB139" s="67">
        <v>45323</v>
      </c>
      <c r="AC139" s="67">
        <v>45351</v>
      </c>
      <c r="AD139" s="67">
        <v>45350</v>
      </c>
      <c r="AE139" s="67">
        <v>45351</v>
      </c>
    </row>
    <row r="140" spans="1:31" ht="12.5">
      <c r="A140" s="10">
        <v>610422100139</v>
      </c>
      <c r="B140" s="10" t="str">
        <v>SERUTI24-LAPANGAN-TRI1</v>
      </c>
      <c r="C140" s="10">
        <v>0</v>
      </c>
      <c r="D140" s="10">
        <f ca="1"/>
        <v>1</v>
      </c>
      <c r="E140" s="10" t="str">
        <v>Winda Dwi Ananda</v>
      </c>
      <c r="F140" s="10" t="str">
        <v>PPL</v>
      </c>
      <c r="G140" s="10" t="str">
        <v>6102016812990001</v>
      </c>
      <c r="H140" s="10" t="str">
        <v>PENDATAAN</v>
      </c>
      <c r="I140" s="10" t="str">
        <v>SERUTI24-LAPANGAN-TRI1-PPL-PENDATAAN</v>
      </c>
      <c r="J140" s="10" t="str">
        <v>Dokumen</v>
      </c>
      <c r="K140" s="66">
        <v>60000</v>
      </c>
      <c r="L140" s="10">
        <v>10</v>
      </c>
      <c r="M140" s="10">
        <v>600000</v>
      </c>
      <c r="N140" s="10">
        <v>0</v>
      </c>
      <c r="O140" s="67">
        <v>45350</v>
      </c>
      <c r="P140" s="10">
        <v>2024</v>
      </c>
      <c r="Q140" s="10">
        <v>2</v>
      </c>
      <c r="R140" s="10" t="str">
        <v>SURVEI-PPL</v>
      </c>
      <c r="S140" s="10" t="str">
        <v>610422100139-2024-2</v>
      </c>
      <c r="T140" s="10" t="str">
        <v>610422100139-2024-2-SURVEI-PPL</v>
      </c>
      <c r="U140" s="10">
        <v>1</v>
      </c>
      <c r="V140" s="10" t="e">
        <f ca="1"/>
        <v>#NAME?</v>
      </c>
      <c r="W140" s="67">
        <v>45376</v>
      </c>
      <c r="X140" s="11" t="str">
        <v>Survei Ekonomi Rumah Tangga Triwulanan (SERUTI24) Triwulan I Kegiatan Lapangan</v>
      </c>
      <c r="Y140" s="11" t="str">
        <v>MEMPAWAH HILIR</v>
      </c>
      <c r="Z140" s="11" t="str">
        <v>PENIBUNG</v>
      </c>
      <c r="AA140" s="67">
        <v>45322</v>
      </c>
      <c r="AB140" s="67">
        <v>45323</v>
      </c>
      <c r="AC140" s="67">
        <v>45351</v>
      </c>
      <c r="AD140" s="67">
        <v>45350</v>
      </c>
      <c r="AE140" s="67">
        <v>45351</v>
      </c>
    </row>
    <row r="141" spans="1:31" ht="12.5">
      <c r="A141" s="10">
        <v>610422040052</v>
      </c>
      <c r="B141" s="10" t="str">
        <v>SERUTI24-LAPANGAN-TRI1</v>
      </c>
      <c r="C141" s="10">
        <v>0</v>
      </c>
      <c r="D141" s="10">
        <f ca="1"/>
        <v>1</v>
      </c>
      <c r="E141" s="10" t="str">
        <v>Yusimianto</v>
      </c>
      <c r="F141" s="10" t="str">
        <v>PPL</v>
      </c>
      <c r="G141" s="10" t="str">
        <v>6102160603790001</v>
      </c>
      <c r="H141" s="10" t="str">
        <v>PENDATAAN</v>
      </c>
      <c r="I141" s="10" t="str">
        <v>SERUTI24-LAPANGAN-TRI1-PPL-PENDATAAN</v>
      </c>
      <c r="J141" s="10" t="str">
        <v>Dokumen</v>
      </c>
      <c r="K141" s="66">
        <v>60000</v>
      </c>
      <c r="L141" s="10">
        <v>10</v>
      </c>
      <c r="M141" s="10">
        <v>600000</v>
      </c>
      <c r="N141" s="10">
        <v>0</v>
      </c>
      <c r="O141" s="67">
        <v>45350</v>
      </c>
      <c r="P141" s="10">
        <v>2024</v>
      </c>
      <c r="Q141" s="10">
        <v>2</v>
      </c>
      <c r="R141" s="10" t="str">
        <v>SURVEI-PPL</v>
      </c>
      <c r="S141" s="10" t="str">
        <v>610422040052-2024-2</v>
      </c>
      <c r="T141" s="10" t="str">
        <v>610422040052-2024-2-SURVEI-PPL</v>
      </c>
      <c r="U141" s="10">
        <v>1</v>
      </c>
      <c r="V141" s="10" t="e">
        <f ca="1"/>
        <v>#NAME?</v>
      </c>
      <c r="W141" s="67">
        <v>45376</v>
      </c>
      <c r="X141" s="11" t="str">
        <v>Survei Ekonomi Rumah Tangga Triwulanan (SERUTI24) Triwulan I Kegiatan Lapangan</v>
      </c>
      <c r="Y141" s="11" t="str">
        <v>ANJONGAN</v>
      </c>
      <c r="Z141" s="11" t="str">
        <v>PAK BULU</v>
      </c>
      <c r="AA141" s="67">
        <v>45322</v>
      </c>
      <c r="AB141" s="67">
        <v>45323</v>
      </c>
      <c r="AC141" s="67">
        <v>45351</v>
      </c>
      <c r="AD141" s="67">
        <v>45350</v>
      </c>
      <c r="AE141" s="67">
        <v>45351</v>
      </c>
    </row>
    <row r="142" spans="1:31" ht="12.5">
      <c r="A142" s="10">
        <v>610422020016</v>
      </c>
      <c r="B142" s="10" t="str">
        <v>KSA24-LAPANGAN-FEBRUARI</v>
      </c>
      <c r="C142" s="10">
        <v>0</v>
      </c>
      <c r="D142" s="10">
        <f ca="1"/>
        <v>1</v>
      </c>
      <c r="E142" s="10" t="str">
        <v>Abdul Aziz</v>
      </c>
      <c r="F142" s="10" t="str">
        <v>PPL</v>
      </c>
      <c r="G142" s="10" t="str">
        <v>6102061507950006</v>
      </c>
      <c r="H142" s="10" t="str">
        <v>KSA PADI</v>
      </c>
      <c r="I142" s="10" t="str">
        <v>KSA24-LAPANGAN-FEBRUARI-PPL-KSA PADI</v>
      </c>
      <c r="J142" s="10" t="str">
        <v>Segmen</v>
      </c>
      <c r="K142" s="66">
        <v>116000</v>
      </c>
      <c r="L142" s="10">
        <v>3</v>
      </c>
      <c r="M142" s="10">
        <v>348000</v>
      </c>
      <c r="N142" s="10">
        <v>0</v>
      </c>
      <c r="O142" s="67">
        <v>45351</v>
      </c>
      <c r="P142" s="10">
        <v>2024</v>
      </c>
      <c r="Q142" s="10">
        <v>2</v>
      </c>
      <c r="R142" s="10" t="str">
        <v>SURVEI-PPL</v>
      </c>
      <c r="S142" s="10" t="str">
        <v>610422020016-2024-2</v>
      </c>
      <c r="T142" s="10" t="str">
        <v>610422020016-2024-2-SURVEI-PPL</v>
      </c>
      <c r="U142" s="10">
        <v>1</v>
      </c>
      <c r="V142" s="10" t="e">
        <f ca="1"/>
        <v>#NAME?</v>
      </c>
      <c r="W142" s="67">
        <v>45373</v>
      </c>
      <c r="X142" s="11" t="str">
        <v>Kerangka Sampel Area (KSA) 2024 Februari</v>
      </c>
      <c r="Y142" s="11" t="str">
        <v>TOHO</v>
      </c>
      <c r="Z142" s="11" t="str">
        <v>SAMBORA</v>
      </c>
      <c r="AA142" s="67">
        <v>45322</v>
      </c>
      <c r="AB142" s="67">
        <v>45323</v>
      </c>
      <c r="AC142" s="67">
        <v>45351</v>
      </c>
      <c r="AD142" s="67">
        <v>45350</v>
      </c>
      <c r="AE142" s="67">
        <v>45351</v>
      </c>
    </row>
    <row r="143" spans="1:31" ht="12.5">
      <c r="A143" s="10">
        <v>610422040012</v>
      </c>
      <c r="B143" s="10" t="str">
        <v>KSA24-LAPANGAN-FEBRUARI</v>
      </c>
      <c r="C143" s="10">
        <v>0</v>
      </c>
      <c r="D143" s="10">
        <f ca="1"/>
        <v>1</v>
      </c>
      <c r="E143" s="10" t="str">
        <v>Misdi</v>
      </c>
      <c r="F143" s="10" t="str">
        <v>PPL</v>
      </c>
      <c r="G143" s="10" t="str">
        <v>6102070706940001</v>
      </c>
      <c r="H143" s="10" t="str">
        <v>KSA PADI</v>
      </c>
      <c r="I143" s="10" t="str">
        <v>KSA24-LAPANGAN-FEBRUARI-PPL-KSA PADI</v>
      </c>
      <c r="J143" s="10" t="str">
        <v>Segmen</v>
      </c>
      <c r="K143" s="66">
        <v>116000</v>
      </c>
      <c r="L143" s="10">
        <v>3</v>
      </c>
      <c r="M143" s="10">
        <v>348000</v>
      </c>
      <c r="N143" s="10">
        <v>0</v>
      </c>
      <c r="O143" s="67">
        <v>45351</v>
      </c>
      <c r="P143" s="10">
        <v>2024</v>
      </c>
      <c r="Q143" s="10">
        <v>2</v>
      </c>
      <c r="R143" s="10" t="str">
        <v>SURVEI-PPL</v>
      </c>
      <c r="S143" s="10" t="str">
        <v>610422040012-2024-2</v>
      </c>
      <c r="T143" s="10" t="str">
        <v>610422040012-2024-2-SURVEI-PPL</v>
      </c>
      <c r="U143" s="10">
        <v>1</v>
      </c>
      <c r="V143" s="10" t="e">
        <f ca="1"/>
        <v>#NAME?</v>
      </c>
      <c r="W143" s="67">
        <v>45373</v>
      </c>
      <c r="X143" s="11" t="str">
        <v>Kerangka Sampel Area (KSA) 2024 Februari</v>
      </c>
      <c r="Y143" s="11" t="str">
        <v>SUNGAI PINYUH</v>
      </c>
      <c r="Z143" s="11" t="str">
        <v>SUNGAI BAKAU BESAR DARAT</v>
      </c>
      <c r="AA143" s="67">
        <v>45322</v>
      </c>
      <c r="AB143" s="67">
        <v>45323</v>
      </c>
      <c r="AC143" s="67">
        <v>45351</v>
      </c>
      <c r="AD143" s="67">
        <v>45350</v>
      </c>
      <c r="AE143" s="67">
        <v>45351</v>
      </c>
    </row>
    <row r="144" spans="1:31" ht="12.5">
      <c r="A144" s="10">
        <v>610422040059</v>
      </c>
      <c r="B144" s="10" t="str">
        <v>KSA24-LAPANGAN-FEBRUARI</v>
      </c>
      <c r="C144" s="10">
        <v>0</v>
      </c>
      <c r="D144" s="10">
        <f ca="1"/>
        <v>1</v>
      </c>
      <c r="E144" s="10" t="str">
        <v>Abang Handri</v>
      </c>
      <c r="F144" s="10" t="str">
        <v>PPL</v>
      </c>
      <c r="G144" s="10" t="str">
        <v>6102072211780002</v>
      </c>
      <c r="H144" s="10" t="str">
        <v>KSA PADI</v>
      </c>
      <c r="I144" s="10" t="str">
        <v>KSA24-LAPANGAN-FEBRUARI-PPL-KSA PADI</v>
      </c>
      <c r="J144" s="10" t="str">
        <v>Segmen</v>
      </c>
      <c r="K144" s="66">
        <v>116000</v>
      </c>
      <c r="L144" s="10">
        <v>4</v>
      </c>
      <c r="M144" s="10">
        <v>464000</v>
      </c>
      <c r="N144" s="10">
        <v>0</v>
      </c>
      <c r="O144" s="67">
        <v>45351</v>
      </c>
      <c r="P144" s="10">
        <v>2024</v>
      </c>
      <c r="Q144" s="10">
        <v>2</v>
      </c>
      <c r="R144" s="10" t="str">
        <v>SURVEI-PPL</v>
      </c>
      <c r="S144" s="10" t="str">
        <v>610422040059-2024-2</v>
      </c>
      <c r="T144" s="10" t="str">
        <v>610422040059-2024-2-SURVEI-PPL</v>
      </c>
      <c r="U144" s="10">
        <v>1</v>
      </c>
      <c r="V144" s="10" t="e">
        <f ca="1"/>
        <v>#NAME?</v>
      </c>
      <c r="W144" s="67">
        <v>45373</v>
      </c>
      <c r="X144" s="11" t="str">
        <v>Kerangka Sampel Area (KSA) 2024 Februari</v>
      </c>
      <c r="Y144" s="11" t="str">
        <v>MEMPAWAH HILIR</v>
      </c>
      <c r="Z144" s="11" t="str">
        <v>TERUSAN</v>
      </c>
      <c r="AA144" s="67">
        <v>45322</v>
      </c>
      <c r="AB144" s="67">
        <v>45323</v>
      </c>
      <c r="AC144" s="67">
        <v>45351</v>
      </c>
      <c r="AD144" s="67">
        <v>45350</v>
      </c>
      <c r="AE144" s="67">
        <v>45351</v>
      </c>
    </row>
    <row r="145" spans="1:31" ht="12.5">
      <c r="A145" s="10">
        <v>610422040061</v>
      </c>
      <c r="B145" s="10" t="str">
        <v>KSA24-LAPANGAN-FEBRUARI</v>
      </c>
      <c r="C145" s="10">
        <v>0</v>
      </c>
      <c r="D145" s="10">
        <f ca="1"/>
        <v>1</v>
      </c>
      <c r="E145" s="10" t="str">
        <v>Sabani</v>
      </c>
      <c r="F145" s="10" t="str">
        <v>PPL</v>
      </c>
      <c r="G145" s="10" t="str">
        <v>6102153112860003</v>
      </c>
      <c r="H145" s="10" t="str">
        <v>KSA PADI</v>
      </c>
      <c r="I145" s="10" t="str">
        <v>KSA24-LAPANGAN-FEBRUARI-PPL-KSA PADI</v>
      </c>
      <c r="J145" s="10" t="str">
        <v>Segmen</v>
      </c>
      <c r="K145" s="66">
        <v>116000</v>
      </c>
      <c r="L145" s="10">
        <v>3</v>
      </c>
      <c r="M145" s="10">
        <v>348000</v>
      </c>
      <c r="N145" s="10">
        <v>0</v>
      </c>
      <c r="O145" s="67">
        <v>45351</v>
      </c>
      <c r="P145" s="10">
        <v>2024</v>
      </c>
      <c r="Q145" s="10">
        <v>2</v>
      </c>
      <c r="R145" s="10" t="str">
        <v>SURVEI-PPL</v>
      </c>
      <c r="S145" s="10" t="str">
        <v>610422040061-2024-2</v>
      </c>
      <c r="T145" s="10" t="str">
        <v>610422040061-2024-2-SURVEI-PPL</v>
      </c>
      <c r="U145" s="10">
        <v>1</v>
      </c>
      <c r="V145" s="10" t="e">
        <f ca="1"/>
        <v>#NAME?</v>
      </c>
      <c r="W145" s="67">
        <v>45373</v>
      </c>
      <c r="X145" s="11" t="str">
        <v>Kerangka Sampel Area (KSA) 2024 Februari</v>
      </c>
      <c r="Y145" s="11" t="str">
        <v>SEGEDONG</v>
      </c>
      <c r="Z145" s="11" t="str">
        <v>PENITI BESAR</v>
      </c>
      <c r="AA145" s="67">
        <v>45322</v>
      </c>
      <c r="AB145" s="67">
        <v>45323</v>
      </c>
      <c r="AC145" s="67">
        <v>45351</v>
      </c>
      <c r="AD145" s="67">
        <v>45350</v>
      </c>
      <c r="AE145" s="67">
        <v>45351</v>
      </c>
    </row>
    <row r="146" spans="1:31" ht="12.5">
      <c r="A146" s="10">
        <v>610422100131</v>
      </c>
      <c r="B146" s="10" t="str">
        <v>KSA24-LAPANGAN-FEBRUARI</v>
      </c>
      <c r="C146" s="10">
        <v>0</v>
      </c>
      <c r="D146" s="10">
        <f ca="1"/>
        <v>1</v>
      </c>
      <c r="E146" s="10" t="str">
        <v>Syamsul</v>
      </c>
      <c r="F146" s="10" t="str">
        <v>PPL</v>
      </c>
      <c r="G146" s="10" t="str">
        <v>6102150907860003</v>
      </c>
      <c r="H146" s="10" t="str">
        <v>KSA PADI</v>
      </c>
      <c r="I146" s="10" t="str">
        <v>KSA24-LAPANGAN-FEBRUARI-PPL-KSA PADI</v>
      </c>
      <c r="J146" s="10" t="str">
        <v>Segmen</v>
      </c>
      <c r="K146" s="66">
        <v>116000</v>
      </c>
      <c r="L146" s="10">
        <v>3</v>
      </c>
      <c r="M146" s="10">
        <v>348000</v>
      </c>
      <c r="N146" s="10">
        <v>0</v>
      </c>
      <c r="O146" s="67">
        <v>45351</v>
      </c>
      <c r="P146" s="10">
        <v>2024</v>
      </c>
      <c r="Q146" s="10">
        <v>2</v>
      </c>
      <c r="R146" s="10" t="str">
        <v>SURVEI-PPL</v>
      </c>
      <c r="S146" s="10" t="str">
        <v>610422100131-2024-2</v>
      </c>
      <c r="T146" s="10" t="str">
        <v>610422100131-2024-2-SURVEI-PPL</v>
      </c>
      <c r="U146" s="10">
        <v>1</v>
      </c>
      <c r="V146" s="10" t="e">
        <f ca="1"/>
        <v>#NAME?</v>
      </c>
      <c r="W146" s="67">
        <v>45373</v>
      </c>
      <c r="X146" s="11" t="str">
        <v>Kerangka Sampel Area (KSA) 2024 Februari</v>
      </c>
      <c r="Y146" s="11" t="str">
        <v>SUNGAI KUNYIT</v>
      </c>
      <c r="Z146" s="11" t="str">
        <v>SUNGAI KUNYIT LAUT</v>
      </c>
      <c r="AA146" s="67">
        <v>45322</v>
      </c>
      <c r="AB146" s="67">
        <v>45323</v>
      </c>
      <c r="AC146" s="67">
        <v>45351</v>
      </c>
      <c r="AD146" s="67">
        <v>45350</v>
      </c>
      <c r="AE146" s="67">
        <v>45351</v>
      </c>
    </row>
    <row r="147" spans="1:31" ht="12.5">
      <c r="A147" s="10">
        <v>610422100244</v>
      </c>
      <c r="B147" s="10" t="str">
        <v>KSA24-LAPANGAN-FEBRUARI</v>
      </c>
      <c r="C147" s="10">
        <v>0</v>
      </c>
      <c r="D147" s="10">
        <f ca="1"/>
        <v>1</v>
      </c>
      <c r="E147" s="10" t="str">
        <v>Sugianto</v>
      </c>
      <c r="F147" s="10" t="str">
        <v>PPL</v>
      </c>
      <c r="G147" s="10" t="str">
        <v>6102171003900002</v>
      </c>
      <c r="H147" s="10" t="str">
        <v>KSA PADI</v>
      </c>
      <c r="I147" s="10" t="str">
        <v>KSA24-LAPANGAN-FEBRUARI-PPL-KSA PADI</v>
      </c>
      <c r="J147" s="10" t="str">
        <v>Segmen</v>
      </c>
      <c r="K147" s="66">
        <v>116000</v>
      </c>
      <c r="L147" s="10">
        <v>3</v>
      </c>
      <c r="M147" s="10">
        <v>348000</v>
      </c>
      <c r="N147" s="10">
        <v>0</v>
      </c>
      <c r="O147" s="67">
        <v>45351</v>
      </c>
      <c r="P147" s="10">
        <v>2024</v>
      </c>
      <c r="Q147" s="10">
        <v>2</v>
      </c>
      <c r="R147" s="10" t="str">
        <v>SURVEI-PPL</v>
      </c>
      <c r="S147" s="10" t="str">
        <v>610422100244-2024-2</v>
      </c>
      <c r="T147" s="10" t="str">
        <v>610422100244-2024-2-SURVEI-PPL</v>
      </c>
      <c r="U147" s="10">
        <v>1</v>
      </c>
      <c r="V147" s="10" t="e">
        <f ca="1"/>
        <v>#NAME?</v>
      </c>
      <c r="W147" s="67">
        <v>45373</v>
      </c>
      <c r="X147" s="11" t="str">
        <v>Kerangka Sampel Area (KSA) 2024 Februari</v>
      </c>
      <c r="Y147" s="11" t="str">
        <v>SADANIANG</v>
      </c>
      <c r="Z147" s="11" t="str">
        <v>BUMBUN</v>
      </c>
      <c r="AA147" s="67">
        <v>45322</v>
      </c>
      <c r="AB147" s="67">
        <v>45323</v>
      </c>
      <c r="AC147" s="67">
        <v>45351</v>
      </c>
      <c r="AD147" s="67">
        <v>45350</v>
      </c>
      <c r="AE147" s="67">
        <v>45351</v>
      </c>
    </row>
    <row r="148" spans="1:31" ht="12.5">
      <c r="A148" s="10">
        <v>610422100176</v>
      </c>
      <c r="B148" s="10" t="str">
        <v>KSA24-LAPANGAN-FEBRUARI</v>
      </c>
      <c r="C148" s="10">
        <v>0</v>
      </c>
      <c r="D148" s="10">
        <f ca="1"/>
        <v>1</v>
      </c>
      <c r="E148" s="10" t="str">
        <v>Feri Firdaus</v>
      </c>
      <c r="F148" s="10" t="str">
        <v>PPL</v>
      </c>
      <c r="G148" s="10" t="str">
        <v>6102150412880001</v>
      </c>
      <c r="H148" s="10" t="str">
        <v>KSA PADI</v>
      </c>
      <c r="I148" s="10" t="str">
        <v>KSA24-LAPANGAN-FEBRUARI-PPL-KSA PADI</v>
      </c>
      <c r="J148" s="10" t="str">
        <v>Segmen</v>
      </c>
      <c r="K148" s="66">
        <v>116000</v>
      </c>
      <c r="L148" s="10">
        <v>3</v>
      </c>
      <c r="M148" s="10">
        <v>348000</v>
      </c>
      <c r="N148" s="10">
        <v>0</v>
      </c>
      <c r="O148" s="67">
        <v>45351</v>
      </c>
      <c r="P148" s="10">
        <v>2024</v>
      </c>
      <c r="Q148" s="10">
        <v>2</v>
      </c>
      <c r="R148" s="10" t="str">
        <v>SURVEI-PPL</v>
      </c>
      <c r="S148" s="10" t="str">
        <v>610422100176-2024-2</v>
      </c>
      <c r="T148" s="10" t="str">
        <v>610422100176-2024-2-SURVEI-PPL</v>
      </c>
      <c r="U148" s="10">
        <v>1</v>
      </c>
      <c r="V148" s="10" t="e">
        <f ca="1"/>
        <v>#NAME?</v>
      </c>
      <c r="W148" s="67">
        <v>45373</v>
      </c>
      <c r="X148" s="11" t="str">
        <v>Kerangka Sampel Area (KSA) 2024 Februari</v>
      </c>
      <c r="Y148" s="11" t="str">
        <v>SEGEDONG</v>
      </c>
      <c r="Z148" s="11" t="str">
        <v>SUNGAI BURUNG</v>
      </c>
      <c r="AA148" s="67">
        <v>45322</v>
      </c>
      <c r="AB148" s="67">
        <v>45323</v>
      </c>
      <c r="AC148" s="67">
        <v>45351</v>
      </c>
      <c r="AD148" s="67">
        <v>45350</v>
      </c>
      <c r="AE148" s="67">
        <v>45351</v>
      </c>
    </row>
    <row r="149" spans="1:31" ht="12.5">
      <c r="A149" s="10">
        <v>610423110183</v>
      </c>
      <c r="B149" s="10" t="str">
        <v>KSA24-LAPANGAN-FEBRUARI</v>
      </c>
      <c r="C149" s="10">
        <v>0</v>
      </c>
      <c r="D149" s="10">
        <f ca="1"/>
        <v>1</v>
      </c>
      <c r="E149" s="10" t="str">
        <v>Azhar</v>
      </c>
      <c r="F149" s="10" t="str">
        <v>PPL</v>
      </c>
      <c r="G149" s="10" t="str">
        <v>6102081211790004</v>
      </c>
      <c r="H149" s="10" t="str">
        <v>KSA PADI</v>
      </c>
      <c r="I149" s="10" t="str">
        <v>KSA24-LAPANGAN-FEBRUARI-PPL-KSA PADI</v>
      </c>
      <c r="J149" s="10" t="str">
        <v>Segmen</v>
      </c>
      <c r="K149" s="66">
        <v>116000</v>
      </c>
      <c r="L149" s="10">
        <v>6</v>
      </c>
      <c r="M149" s="10">
        <v>696000</v>
      </c>
      <c r="N149" s="10">
        <v>0</v>
      </c>
      <c r="O149" s="67">
        <v>45351</v>
      </c>
      <c r="P149" s="10">
        <v>2024</v>
      </c>
      <c r="Q149" s="10">
        <v>2</v>
      </c>
      <c r="R149" s="10" t="str">
        <v>SURVEI-PPL</v>
      </c>
      <c r="S149" s="10" t="str">
        <v>610423110183-2024-2</v>
      </c>
      <c r="T149" s="10" t="str">
        <v>610423110183-2024-2-SURVEI-PPL</v>
      </c>
      <c r="U149" s="10">
        <v>1</v>
      </c>
      <c r="V149" s="10" t="e">
        <f ca="1"/>
        <v>#NAME?</v>
      </c>
      <c r="W149" s="67">
        <v>45373</v>
      </c>
      <c r="X149" s="11" t="str">
        <v>Kerangka Sampel Area (KSA) 2024 Februari</v>
      </c>
      <c r="Y149" s="11" t="str">
        <v>JONGKAT</v>
      </c>
      <c r="Z149" s="11" t="str">
        <v>SUNGAI NIPAH</v>
      </c>
      <c r="AA149" s="67">
        <v>45322</v>
      </c>
      <c r="AB149" s="67">
        <v>45323</v>
      </c>
      <c r="AC149" s="67">
        <v>45351</v>
      </c>
      <c r="AD149" s="67">
        <v>45350</v>
      </c>
      <c r="AE149" s="67">
        <v>45351</v>
      </c>
    </row>
    <row r="150" spans="1:31" ht="12.5">
      <c r="A150" s="10">
        <v>610423040018</v>
      </c>
      <c r="B150" s="10" t="str">
        <v>KSA24-LAPANGAN-FEBRUARI</v>
      </c>
      <c r="C150" s="10">
        <v>0</v>
      </c>
      <c r="D150" s="10">
        <f ca="1"/>
        <v>1</v>
      </c>
      <c r="E150" s="10" t="str">
        <v>Handoko Tuah Sabarman Sipayung</v>
      </c>
      <c r="F150" s="10" t="str">
        <v>PPL</v>
      </c>
      <c r="G150" s="10" t="str">
        <v>1212092309880001</v>
      </c>
      <c r="H150" s="10" t="str">
        <v>KSA PADI</v>
      </c>
      <c r="I150" s="10" t="str">
        <v>KSA24-LAPANGAN-FEBRUARI-PPL-KSA PADI</v>
      </c>
      <c r="J150" s="10" t="str">
        <v>Segmen</v>
      </c>
      <c r="K150" s="66">
        <v>116000</v>
      </c>
      <c r="L150" s="10">
        <v>4</v>
      </c>
      <c r="M150" s="10">
        <v>464000</v>
      </c>
      <c r="N150" s="10">
        <v>0</v>
      </c>
      <c r="O150" s="67">
        <v>45351</v>
      </c>
      <c r="P150" s="10">
        <v>2024</v>
      </c>
      <c r="Q150" s="10">
        <v>2</v>
      </c>
      <c r="R150" s="10" t="str">
        <v>SURVEI-PPL</v>
      </c>
      <c r="S150" s="10" t="str">
        <v>610423040018-2024-2</v>
      </c>
      <c r="T150" s="10" t="str">
        <v>610423040018-2024-2-SURVEI-PPL</v>
      </c>
      <c r="U150" s="10">
        <v>1</v>
      </c>
      <c r="V150" s="10" t="e">
        <f ca="1"/>
        <v>#NAME?</v>
      </c>
      <c r="W150" s="67">
        <v>45373</v>
      </c>
      <c r="X150" s="11" t="str">
        <v>Kerangka Sampel Area (KSA) 2024 Februari</v>
      </c>
      <c r="Y150" s="11" t="str">
        <v>TOHO</v>
      </c>
      <c r="Z150" s="11" t="str">
        <v>PAK LAHENG</v>
      </c>
      <c r="AA150" s="67">
        <v>45322</v>
      </c>
      <c r="AB150" s="67">
        <v>45323</v>
      </c>
      <c r="AC150" s="67">
        <v>45351</v>
      </c>
      <c r="AD150" s="67">
        <v>45350</v>
      </c>
      <c r="AE150" s="67">
        <v>45351</v>
      </c>
    </row>
    <row r="151" spans="1:31" ht="12.5">
      <c r="A151" s="10">
        <v>610422040059</v>
      </c>
      <c r="B151" s="10" t="str">
        <v>KSA24-LAPANGAN-FEBRUARI</v>
      </c>
      <c r="C151" s="10">
        <v>0</v>
      </c>
      <c r="D151" s="10">
        <f ca="1"/>
        <v>1</v>
      </c>
      <c r="E151" s="10" t="str">
        <v>Abang Handri</v>
      </c>
      <c r="F151" s="10" t="str">
        <v>PPL</v>
      </c>
      <c r="G151" s="10" t="str">
        <v>6102072211780002</v>
      </c>
      <c r="H151" s="10" t="str">
        <v>KSA JAGUNG</v>
      </c>
      <c r="I151" s="10" t="str">
        <v>KSA24-LAPANGAN-FEBRUARI-PPL-KSA JAGUNG</v>
      </c>
      <c r="J151" s="10" t="str">
        <v>Segmen</v>
      </c>
      <c r="K151" s="66">
        <v>59000</v>
      </c>
      <c r="L151" s="10">
        <v>6</v>
      </c>
      <c r="M151" s="10">
        <v>354000</v>
      </c>
      <c r="N151" s="10">
        <v>0</v>
      </c>
      <c r="O151" s="67">
        <v>45351</v>
      </c>
      <c r="P151" s="10">
        <v>2024</v>
      </c>
      <c r="Q151" s="10">
        <v>2</v>
      </c>
      <c r="R151" s="10" t="str">
        <v>SURVEI-PPL</v>
      </c>
      <c r="S151" s="10" t="str">
        <v>610422040059-2024-2</v>
      </c>
      <c r="T151" s="10" t="str">
        <v>610422040059-2024-2-SURVEI-PPL</v>
      </c>
      <c r="U151" s="10">
        <v>1</v>
      </c>
      <c r="V151" s="10" t="e">
        <f ca="1"/>
        <v>#NAME?</v>
      </c>
      <c r="W151" s="67">
        <v>45373</v>
      </c>
      <c r="X151" s="11" t="str">
        <v>Kerangka Sampel Area (KSA) 2024 Februari</v>
      </c>
      <c r="Y151" s="11" t="str">
        <v>MEMPAWAH HILIR</v>
      </c>
      <c r="Z151" s="11" t="str">
        <v>TERUSAN</v>
      </c>
      <c r="AA151" s="67">
        <v>45322</v>
      </c>
      <c r="AB151" s="67">
        <v>45323</v>
      </c>
      <c r="AC151" s="67">
        <v>45351</v>
      </c>
      <c r="AD151" s="67">
        <v>45350</v>
      </c>
      <c r="AE151" s="67">
        <v>45351</v>
      </c>
    </row>
    <row r="152" spans="1:31" ht="12.5">
      <c r="A152" s="10">
        <v>610422020048</v>
      </c>
      <c r="B152" s="10" t="str">
        <v>KSA24-LAPANGAN-FEBRUARI</v>
      </c>
      <c r="C152" s="10">
        <v>0</v>
      </c>
      <c r="D152" s="10">
        <f ca="1"/>
        <v>1</v>
      </c>
      <c r="E152" s="10" t="str">
        <v>Herri Gustaman</v>
      </c>
      <c r="F152" s="10" t="str">
        <v>PPL</v>
      </c>
      <c r="G152" s="10" t="str">
        <v>6102072503800001</v>
      </c>
      <c r="H152" s="10" t="str">
        <v>KSA JAGUNG</v>
      </c>
      <c r="I152" s="10" t="str">
        <v>KSA24-LAPANGAN-FEBRUARI-PPL-KSA JAGUNG</v>
      </c>
      <c r="J152" s="10" t="str">
        <v>Segmen</v>
      </c>
      <c r="K152" s="66">
        <v>59000</v>
      </c>
      <c r="L152" s="10">
        <v>6</v>
      </c>
      <c r="M152" s="10">
        <v>354000</v>
      </c>
      <c r="N152" s="10">
        <v>0</v>
      </c>
      <c r="O152" s="67">
        <v>45351</v>
      </c>
      <c r="P152" s="10">
        <v>2024</v>
      </c>
      <c r="Q152" s="10">
        <v>2</v>
      </c>
      <c r="R152" s="10" t="str">
        <v>SURVEI-PPL</v>
      </c>
      <c r="S152" s="10" t="str">
        <v>610422020048-2024-2</v>
      </c>
      <c r="T152" s="10" t="str">
        <v>610422020048-2024-2-SURVEI-PPL</v>
      </c>
      <c r="U152" s="10">
        <v>1</v>
      </c>
      <c r="V152" s="10" t="e">
        <f ca="1"/>
        <v>#NAME?</v>
      </c>
      <c r="W152" s="67">
        <v>45373</v>
      </c>
      <c r="X152" s="11" t="str">
        <v>Kerangka Sampel Area (KSA) 2024 Februari</v>
      </c>
      <c r="Y152" s="11" t="str">
        <v>MEMPAWAH TIMUR</v>
      </c>
      <c r="Z152" s="11" t="str">
        <v>SEJEGI</v>
      </c>
      <c r="AA152" s="67">
        <v>45322</v>
      </c>
      <c r="AB152" s="67">
        <v>45323</v>
      </c>
      <c r="AC152" s="67">
        <v>45351</v>
      </c>
      <c r="AD152" s="67">
        <v>45350</v>
      </c>
      <c r="AE152" s="67">
        <v>45351</v>
      </c>
    </row>
    <row r="153" spans="1:31" ht="12.5">
      <c r="A153" s="10">
        <v>610422040058</v>
      </c>
      <c r="B153" s="10" t="str">
        <v>KSA24-LAPANGAN-FEBRUARI</v>
      </c>
      <c r="C153" s="10">
        <v>0</v>
      </c>
      <c r="D153" s="10">
        <f ca="1"/>
        <v>1</v>
      </c>
      <c r="E153" s="10" t="str">
        <v>Jamaluddin, Sp</v>
      </c>
      <c r="F153" s="10" t="str">
        <v>PPL</v>
      </c>
      <c r="G153" s="10" t="str">
        <v>6102152607940002</v>
      </c>
      <c r="H153" s="10" t="str">
        <v>KSA JAGUNG</v>
      </c>
      <c r="I153" s="10" t="str">
        <v>KSA24-LAPANGAN-FEBRUARI-PPL-KSA JAGUNG</v>
      </c>
      <c r="J153" s="10" t="str">
        <v>Segmen</v>
      </c>
      <c r="K153" s="66">
        <v>59000</v>
      </c>
      <c r="L153" s="10">
        <v>10</v>
      </c>
      <c r="M153" s="10">
        <v>590000</v>
      </c>
      <c r="N153" s="10">
        <v>0</v>
      </c>
      <c r="O153" s="67">
        <v>45351</v>
      </c>
      <c r="P153" s="10">
        <v>2024</v>
      </c>
      <c r="Q153" s="10">
        <v>2</v>
      </c>
      <c r="R153" s="10" t="str">
        <v>SURVEI-PPL</v>
      </c>
      <c r="S153" s="10" t="str">
        <v>610422040058-2024-2</v>
      </c>
      <c r="T153" s="10" t="str">
        <v>610422040058-2024-2-SURVEI-PPL</v>
      </c>
      <c r="U153" s="10">
        <v>1</v>
      </c>
      <c r="V153" s="10" t="e">
        <f ca="1"/>
        <v>#NAME?</v>
      </c>
      <c r="W153" s="67">
        <v>45373</v>
      </c>
      <c r="X153" s="11" t="str">
        <v>Kerangka Sampel Area (KSA) 2024 Februari</v>
      </c>
      <c r="Y153" s="11" t="str">
        <v>SEGEDONG</v>
      </c>
      <c r="Z153" s="11" t="str">
        <v>PENITI DALAM I</v>
      </c>
      <c r="AA153" s="67">
        <v>45322</v>
      </c>
      <c r="AB153" s="67">
        <v>45323</v>
      </c>
      <c r="AC153" s="67">
        <v>45351</v>
      </c>
      <c r="AD153" s="67">
        <v>45350</v>
      </c>
      <c r="AE153" s="67">
        <v>45351</v>
      </c>
    </row>
    <row r="154" spans="1:31" ht="12.5">
      <c r="A154" s="10">
        <v>610423110183</v>
      </c>
      <c r="B154" s="10" t="str">
        <v>KSA24-LAPANGAN-FEBRUARI</v>
      </c>
      <c r="C154" s="10">
        <v>0</v>
      </c>
      <c r="D154" s="10">
        <f ca="1"/>
        <v>1</v>
      </c>
      <c r="E154" s="10" t="str">
        <v>Azhar</v>
      </c>
      <c r="F154" s="10" t="str">
        <v>PPL</v>
      </c>
      <c r="G154" s="10" t="str">
        <v>6102081211790004</v>
      </c>
      <c r="H154" s="10" t="str">
        <v>KSA JAGUNG</v>
      </c>
      <c r="I154" s="10" t="str">
        <v>KSA24-LAPANGAN-FEBRUARI-PPL-KSA JAGUNG</v>
      </c>
      <c r="J154" s="10" t="str">
        <v>Segmen</v>
      </c>
      <c r="K154" s="66">
        <v>59000</v>
      </c>
      <c r="L154" s="10">
        <v>6</v>
      </c>
      <c r="M154" s="10">
        <v>354000</v>
      </c>
      <c r="N154" s="10">
        <v>0</v>
      </c>
      <c r="O154" s="67">
        <v>45351</v>
      </c>
      <c r="P154" s="10">
        <v>2024</v>
      </c>
      <c r="Q154" s="10">
        <v>2</v>
      </c>
      <c r="R154" s="10" t="str">
        <v>SURVEI-PPL</v>
      </c>
      <c r="S154" s="10" t="str">
        <v>610423110183-2024-2</v>
      </c>
      <c r="T154" s="10" t="str">
        <v>610423110183-2024-2-SURVEI-PPL</v>
      </c>
      <c r="U154" s="10">
        <v>1</v>
      </c>
      <c r="V154" s="10" t="e">
        <f ca="1"/>
        <v>#NAME?</v>
      </c>
      <c r="W154" s="67">
        <v>45373</v>
      </c>
      <c r="X154" s="11" t="str">
        <v>Kerangka Sampel Area (KSA) 2024 Februari</v>
      </c>
      <c r="Y154" s="11" t="str">
        <v>JONGKAT</v>
      </c>
      <c r="Z154" s="11" t="str">
        <v>SUNGAI NIPAH</v>
      </c>
      <c r="AA154" s="67">
        <v>45322</v>
      </c>
      <c r="AB154" s="67">
        <v>45323</v>
      </c>
      <c r="AC154" s="67">
        <v>45351</v>
      </c>
      <c r="AD154" s="67">
        <v>45350</v>
      </c>
      <c r="AE154" s="67">
        <v>45351</v>
      </c>
    </row>
    <row r="155" spans="1:31" ht="12.5">
      <c r="A155" s="10">
        <v>610422100244</v>
      </c>
      <c r="B155" s="10" t="str">
        <v>KSA24-LAPANGAN-FEBRUARI</v>
      </c>
      <c r="C155" s="10">
        <v>0</v>
      </c>
      <c r="D155" s="10">
        <f ca="1"/>
        <v>1</v>
      </c>
      <c r="E155" s="10" t="str">
        <v>Sugianto</v>
      </c>
      <c r="F155" s="10" t="str">
        <v>PPL</v>
      </c>
      <c r="G155" s="10" t="str">
        <v>6102171003900002</v>
      </c>
      <c r="H155" s="10" t="str">
        <v>KSA JAGUNG</v>
      </c>
      <c r="I155" s="10" t="str">
        <v>KSA24-LAPANGAN-FEBRUARI-PPL-KSA JAGUNG</v>
      </c>
      <c r="J155" s="10" t="str">
        <v>Segmen</v>
      </c>
      <c r="K155" s="66">
        <v>59000</v>
      </c>
      <c r="L155" s="10">
        <v>8</v>
      </c>
      <c r="M155" s="10">
        <v>472000</v>
      </c>
      <c r="N155" s="10">
        <v>0</v>
      </c>
      <c r="O155" s="67">
        <v>45351</v>
      </c>
      <c r="P155" s="10">
        <v>2024</v>
      </c>
      <c r="Q155" s="10">
        <v>2</v>
      </c>
      <c r="R155" s="10" t="str">
        <v>SURVEI-PPL</v>
      </c>
      <c r="S155" s="10" t="str">
        <v>610422100244-2024-2</v>
      </c>
      <c r="T155" s="10" t="str">
        <v>610422100244-2024-2-SURVEI-PPL</v>
      </c>
      <c r="U155" s="10">
        <v>1</v>
      </c>
      <c r="V155" s="10" t="e">
        <f ca="1"/>
        <v>#NAME?</v>
      </c>
      <c r="W155" s="67">
        <v>45373</v>
      </c>
      <c r="X155" s="11" t="str">
        <v>Kerangka Sampel Area (KSA) 2024 Februari</v>
      </c>
      <c r="Y155" s="11" t="str">
        <v>SADANIANG</v>
      </c>
      <c r="Z155" s="11" t="str">
        <v>BUMBUN</v>
      </c>
      <c r="AA155" s="67">
        <v>45322</v>
      </c>
      <c r="AB155" s="67">
        <v>45323</v>
      </c>
      <c r="AC155" s="67">
        <v>45351</v>
      </c>
      <c r="AD155" s="67">
        <v>45350</v>
      </c>
      <c r="AE155" s="67">
        <v>45351</v>
      </c>
    </row>
    <row r="156" spans="1:31" ht="12.5">
      <c r="A156" s="10">
        <v>610422030001</v>
      </c>
      <c r="B156" s="10" t="str">
        <v>SAKERNAS24-LAPANGAN-SEMESTER1</v>
      </c>
      <c r="C156" s="10">
        <v>0</v>
      </c>
      <c r="D156" s="10">
        <f ca="1"/>
        <v>1</v>
      </c>
      <c r="E156" s="10" t="str">
        <v>Pitra,Sp</v>
      </c>
      <c r="F156" s="10" t="str">
        <v>PML</v>
      </c>
      <c r="G156" s="10" t="str">
        <v>6102010808800006</v>
      </c>
      <c r="H156" s="10" t="str">
        <v>PENDATAAN</v>
      </c>
      <c r="I156" s="10" t="str">
        <v>SAKERNAS24-LAPANGAN-SEMESTER1-PML-PENDATAAN</v>
      </c>
      <c r="J156" s="10" t="str">
        <v>Dokumen</v>
      </c>
      <c r="K156" s="66">
        <v>23000</v>
      </c>
      <c r="L156" s="10">
        <v>40</v>
      </c>
      <c r="M156" s="10">
        <v>920000</v>
      </c>
      <c r="N156" s="10">
        <v>0</v>
      </c>
      <c r="O156" s="67">
        <v>45359</v>
      </c>
      <c r="P156" s="10">
        <v>2024</v>
      </c>
      <c r="Q156" s="10">
        <v>3</v>
      </c>
      <c r="R156" s="10" t="str">
        <v>SURVEI-PML</v>
      </c>
      <c r="S156" s="10" t="str">
        <v>610422030001-2024-3</v>
      </c>
      <c r="T156" s="10" t="str">
        <v>610422030001-2024-3-SURVEI-PML</v>
      </c>
      <c r="U156" s="10">
        <v>1</v>
      </c>
      <c r="V156" s="10" t="e">
        <f ca="1"/>
        <v>#NAME?</v>
      </c>
      <c r="W156" s="67">
        <v>45351</v>
      </c>
      <c r="X156" s="11" t="str">
        <v>Sakernas Februari 2024</v>
      </c>
      <c r="Y156" s="11" t="str">
        <v>SEGEDONG</v>
      </c>
      <c r="Z156" s="11" t="str">
        <v>PENITI DALAM I</v>
      </c>
      <c r="AA156" s="67">
        <v>45351</v>
      </c>
      <c r="AB156" s="67">
        <v>45352</v>
      </c>
      <c r="AC156" s="67">
        <v>45382</v>
      </c>
      <c r="AD156" s="67">
        <v>45381</v>
      </c>
      <c r="AE156" s="67">
        <v>45382</v>
      </c>
    </row>
    <row r="157" spans="1:31" ht="12.5">
      <c r="A157" s="10">
        <v>610422040056</v>
      </c>
      <c r="B157" s="10" t="str">
        <v>SAKERNAS24-LAPANGAN-SEMESTER1</v>
      </c>
      <c r="C157" s="10">
        <v>0</v>
      </c>
      <c r="D157" s="10">
        <f ca="1"/>
        <v>1</v>
      </c>
      <c r="E157" s="10" t="str">
        <v>Wandi Syafari</v>
      </c>
      <c r="F157" s="10" t="str">
        <v>PML</v>
      </c>
      <c r="G157" s="10" t="str">
        <v>6102010802760001</v>
      </c>
      <c r="H157" s="10" t="str">
        <v>PENDATAAN</v>
      </c>
      <c r="I157" s="10" t="str">
        <v>SAKERNAS24-LAPANGAN-SEMESTER1-PML-PENDATAAN</v>
      </c>
      <c r="J157" s="10" t="str">
        <v>Dokumen</v>
      </c>
      <c r="K157" s="66">
        <v>23000</v>
      </c>
      <c r="L157" s="10">
        <v>60</v>
      </c>
      <c r="M157" s="10">
        <v>1380000</v>
      </c>
      <c r="N157" s="10">
        <v>0</v>
      </c>
      <c r="O157" s="67">
        <v>45359</v>
      </c>
      <c r="P157" s="10">
        <v>2024</v>
      </c>
      <c r="Q157" s="10">
        <v>3</v>
      </c>
      <c r="R157" s="10" t="str">
        <v>SURVEI-PML</v>
      </c>
      <c r="S157" s="10" t="str">
        <v>610422040056-2024-3</v>
      </c>
      <c r="T157" s="10" t="str">
        <v>610422040056-2024-3-SURVEI-PML</v>
      </c>
      <c r="U157" s="10">
        <v>1</v>
      </c>
      <c r="V157" s="10" t="e">
        <f ca="1"/>
        <v>#NAME?</v>
      </c>
      <c r="W157" s="67">
        <v>45351</v>
      </c>
      <c r="X157" s="11" t="str">
        <v>Sakernas Februari 2024</v>
      </c>
      <c r="Y157" s="11" t="str">
        <v>MEMPAWAH HILIR</v>
      </c>
      <c r="Z157" s="11" t="str">
        <v>TERUSAN</v>
      </c>
      <c r="AA157" s="67">
        <v>45351</v>
      </c>
      <c r="AB157" s="67">
        <v>45352</v>
      </c>
      <c r="AC157" s="67">
        <v>45382</v>
      </c>
      <c r="AD157" s="67">
        <v>45381</v>
      </c>
      <c r="AE157" s="67">
        <v>45382</v>
      </c>
    </row>
    <row r="158" spans="1:31" ht="12.5">
      <c r="A158" s="10">
        <v>610423030006</v>
      </c>
      <c r="B158" s="10" t="str">
        <v>SAKERNAS24-LAPANGAN-SEMESTER1</v>
      </c>
      <c r="C158" s="10">
        <v>0</v>
      </c>
      <c r="D158" s="10">
        <f ca="1"/>
        <v>1</v>
      </c>
      <c r="E158" s="10" t="str">
        <v>Desta Dara Ayu Lestari, S.Pd</v>
      </c>
      <c r="F158" s="10" t="str">
        <v>PML</v>
      </c>
      <c r="G158" s="10" t="str">
        <v>6102065012950003</v>
      </c>
      <c r="H158" s="10" t="str">
        <v>PENDATAAN</v>
      </c>
      <c r="I158" s="10" t="str">
        <v>SAKERNAS24-LAPANGAN-SEMESTER1-PML-PENDATAAN</v>
      </c>
      <c r="J158" s="10" t="str">
        <v>Dokumen</v>
      </c>
      <c r="K158" s="66">
        <v>23000</v>
      </c>
      <c r="L158" s="10">
        <v>40</v>
      </c>
      <c r="M158" s="10">
        <v>920000</v>
      </c>
      <c r="N158" s="10">
        <v>0</v>
      </c>
      <c r="O158" s="67">
        <v>45359</v>
      </c>
      <c r="P158" s="10">
        <v>2024</v>
      </c>
      <c r="Q158" s="10">
        <v>3</v>
      </c>
      <c r="R158" s="10" t="str">
        <v>SURVEI-PML</v>
      </c>
      <c r="S158" s="10" t="str">
        <v>610423030006-2024-3</v>
      </c>
      <c r="T158" s="10" t="str">
        <v>610423030006-2024-3-SURVEI-PML</v>
      </c>
      <c r="U158" s="10">
        <v>1</v>
      </c>
      <c r="V158" s="10" t="e">
        <f ca="1"/>
        <v>#NAME?</v>
      </c>
      <c r="W158" s="67">
        <v>45351</v>
      </c>
      <c r="X158" s="11" t="str">
        <v>Sakernas Februari 2024</v>
      </c>
      <c r="Y158" s="11" t="str">
        <v>TOHO</v>
      </c>
      <c r="Z158" s="11" t="str">
        <v>SEPANG</v>
      </c>
      <c r="AA158" s="67">
        <v>45351</v>
      </c>
      <c r="AB158" s="67">
        <v>45352</v>
      </c>
      <c r="AC158" s="67">
        <v>45382</v>
      </c>
      <c r="AD158" s="67">
        <v>45381</v>
      </c>
      <c r="AE158" s="67">
        <v>45382</v>
      </c>
    </row>
    <row r="159" spans="1:31" ht="12.5">
      <c r="A159" s="10">
        <v>610423090001</v>
      </c>
      <c r="B159" s="10" t="str">
        <v>SAKERNAS24-LAPANGAN-SEMESTER1</v>
      </c>
      <c r="C159" s="10">
        <v>0</v>
      </c>
      <c r="D159" s="10">
        <f ca="1"/>
        <v>1</v>
      </c>
      <c r="E159" s="10" t="str">
        <v>Utami Angraini</v>
      </c>
      <c r="F159" s="10" t="str">
        <v>PPL</v>
      </c>
      <c r="G159" s="10" t="str">
        <v>6102086810980002</v>
      </c>
      <c r="H159" s="10" t="str">
        <v>PENDATAAN</v>
      </c>
      <c r="I159" s="10" t="str">
        <v>SAKERNAS24-LAPANGAN-SEMESTER1-PPL-PENDATAAN</v>
      </c>
      <c r="J159" s="10" t="str">
        <v>Rumah Tangga</v>
      </c>
      <c r="K159" s="66">
        <v>66000</v>
      </c>
      <c r="L159" s="10">
        <v>20</v>
      </c>
      <c r="M159" s="10">
        <v>1320000</v>
      </c>
      <c r="N159" s="10">
        <v>0</v>
      </c>
      <c r="O159" s="67">
        <v>45359</v>
      </c>
      <c r="P159" s="10">
        <v>2024</v>
      </c>
      <c r="Q159" s="10">
        <v>3</v>
      </c>
      <c r="R159" s="10" t="str">
        <v>SURVEI-PPL</v>
      </c>
      <c r="S159" s="10" t="str">
        <v>610423090001-2024-3</v>
      </c>
      <c r="T159" s="10" t="str">
        <v>610423090001-2024-3-SURVEI-PPL</v>
      </c>
      <c r="U159" s="10">
        <v>1</v>
      </c>
      <c r="V159" s="10" t="e">
        <f ca="1"/>
        <v>#NAME?</v>
      </c>
      <c r="W159" s="67">
        <v>45351</v>
      </c>
      <c r="X159" s="11" t="str">
        <v>Sakernas Februari 2024</v>
      </c>
      <c r="Y159" s="11" t="str">
        <v>JONGKAT</v>
      </c>
      <c r="Z159" s="11" t="str">
        <v>JUNGKAT</v>
      </c>
      <c r="AA159" s="67">
        <v>45351</v>
      </c>
      <c r="AB159" s="67">
        <v>45352</v>
      </c>
      <c r="AC159" s="67">
        <v>45382</v>
      </c>
      <c r="AD159" s="67">
        <v>45381</v>
      </c>
      <c r="AE159" s="67">
        <v>45382</v>
      </c>
    </row>
    <row r="160" spans="1:31" ht="12.5">
      <c r="A160" s="10">
        <v>610422040059</v>
      </c>
      <c r="B160" s="10" t="str">
        <v>SAKERNAS24-LAPANGAN-SEMESTER1</v>
      </c>
      <c r="C160" s="10">
        <v>0</v>
      </c>
      <c r="D160" s="10">
        <f ca="1"/>
        <v>1</v>
      </c>
      <c r="E160" s="10" t="str">
        <v>Abang Handri</v>
      </c>
      <c r="F160" s="10" t="str">
        <v>PPL</v>
      </c>
      <c r="G160" s="10" t="str">
        <v>6102072211780002</v>
      </c>
      <c r="H160" s="10" t="str">
        <v>PENDATAAN</v>
      </c>
      <c r="I160" s="10" t="str">
        <v>SAKERNAS24-LAPANGAN-SEMESTER1-PPL-PENDATAAN</v>
      </c>
      <c r="J160" s="10" t="str">
        <v>Rumah Tangga</v>
      </c>
      <c r="K160" s="66">
        <v>66000</v>
      </c>
      <c r="L160" s="10">
        <v>20</v>
      </c>
      <c r="M160" s="10">
        <v>1320000</v>
      </c>
      <c r="N160" s="10">
        <v>0</v>
      </c>
      <c r="O160" s="67">
        <v>45359</v>
      </c>
      <c r="P160" s="10">
        <v>2024</v>
      </c>
      <c r="Q160" s="10">
        <v>3</v>
      </c>
      <c r="R160" s="10" t="str">
        <v>SURVEI-PPL</v>
      </c>
      <c r="S160" s="10" t="str">
        <v>610422040059-2024-3</v>
      </c>
      <c r="T160" s="10" t="str">
        <v>610422040059-2024-3-SURVEI-PPL</v>
      </c>
      <c r="U160" s="10">
        <v>1</v>
      </c>
      <c r="V160" s="10" t="e">
        <f ca="1"/>
        <v>#NAME?</v>
      </c>
      <c r="W160" s="67">
        <v>45351</v>
      </c>
      <c r="X160" s="11" t="str">
        <v>Sakernas Februari 2024</v>
      </c>
      <c r="Y160" s="11" t="str">
        <v>MEMPAWAH HILIR</v>
      </c>
      <c r="Z160" s="11" t="str">
        <v>TERUSAN</v>
      </c>
      <c r="AA160" s="67">
        <v>45351</v>
      </c>
      <c r="AB160" s="67">
        <v>45352</v>
      </c>
      <c r="AC160" s="67">
        <v>45382</v>
      </c>
      <c r="AD160" s="67">
        <v>45381</v>
      </c>
      <c r="AE160" s="67">
        <v>45382</v>
      </c>
    </row>
    <row r="161" spans="1:31" ht="12.5">
      <c r="A161" s="10">
        <v>610422100008</v>
      </c>
      <c r="B161" s="10" t="str">
        <v>SAKERNAS24-LAPANGAN-SEMESTER1</v>
      </c>
      <c r="C161" s="10">
        <v>0</v>
      </c>
      <c r="D161" s="10">
        <f ca="1"/>
        <v>1</v>
      </c>
      <c r="E161" s="10" t="str">
        <v>Novi Sri Wulandari</v>
      </c>
      <c r="F161" s="10" t="str">
        <v>PPL</v>
      </c>
      <c r="G161" s="10" t="str">
        <v>6171055411880008</v>
      </c>
      <c r="H161" s="10" t="str">
        <v>PENDATAAN</v>
      </c>
      <c r="I161" s="10" t="str">
        <v>SAKERNAS24-LAPANGAN-SEMESTER1-PPL-PENDATAAN</v>
      </c>
      <c r="J161" s="10" t="str">
        <v>Rumah Tangga</v>
      </c>
      <c r="K161" s="66">
        <v>66000</v>
      </c>
      <c r="L161" s="10">
        <v>20</v>
      </c>
      <c r="M161" s="10">
        <v>1320000</v>
      </c>
      <c r="N161" s="10">
        <v>0</v>
      </c>
      <c r="O161" s="67">
        <v>45359</v>
      </c>
      <c r="P161" s="10">
        <v>2024</v>
      </c>
      <c r="Q161" s="10">
        <v>3</v>
      </c>
      <c r="R161" s="10" t="str">
        <v>SURVEI-PPL</v>
      </c>
      <c r="S161" s="10" t="str">
        <v>610422100008-2024-3</v>
      </c>
      <c r="T161" s="10" t="str">
        <v>610422100008-2024-3-SURVEI-PPL</v>
      </c>
      <c r="U161" s="10">
        <v>1</v>
      </c>
      <c r="V161" s="10" t="e">
        <f ca="1"/>
        <v>#NAME?</v>
      </c>
      <c r="W161" s="67">
        <v>45351</v>
      </c>
      <c r="X161" s="11" t="str">
        <v>Sakernas Februari 2024</v>
      </c>
      <c r="Y161" s="11" t="str">
        <v>PONTIANAK KOTA</v>
      </c>
      <c r="Z161" s="11" t="str">
        <v>SUNGAI BANGKONG</v>
      </c>
      <c r="AA161" s="67">
        <v>45351</v>
      </c>
      <c r="AB161" s="67">
        <v>45352</v>
      </c>
      <c r="AC161" s="67">
        <v>45382</v>
      </c>
      <c r="AD161" s="67">
        <v>45381</v>
      </c>
      <c r="AE161" s="67">
        <v>45382</v>
      </c>
    </row>
    <row r="162" spans="1:31" ht="12.5">
      <c r="A162" s="10">
        <v>610422100043</v>
      </c>
      <c r="B162" s="10" t="str">
        <v>SAKERNAS24-LAPANGAN-SEMESTER1</v>
      </c>
      <c r="C162" s="10">
        <v>0</v>
      </c>
      <c r="D162" s="10">
        <f ca="1"/>
        <v>1</v>
      </c>
      <c r="E162" s="10" t="str">
        <v>Eligia Giok</v>
      </c>
      <c r="F162" s="10" t="str">
        <v>PPL</v>
      </c>
      <c r="G162" s="10" t="str">
        <v>6102165612000001</v>
      </c>
      <c r="H162" s="10" t="str">
        <v>PENDATAAN</v>
      </c>
      <c r="I162" s="10" t="str">
        <v>SAKERNAS24-LAPANGAN-SEMESTER1-PPL-PENDATAAN</v>
      </c>
      <c r="J162" s="10" t="str">
        <v>Rumah Tangga</v>
      </c>
      <c r="K162" s="66">
        <v>66000</v>
      </c>
      <c r="L162" s="10">
        <v>20</v>
      </c>
      <c r="M162" s="10">
        <v>1320000</v>
      </c>
      <c r="N162" s="10">
        <v>0</v>
      </c>
      <c r="O162" s="67">
        <v>45359</v>
      </c>
      <c r="P162" s="10">
        <v>2024</v>
      </c>
      <c r="Q162" s="10">
        <v>3</v>
      </c>
      <c r="R162" s="10" t="str">
        <v>SURVEI-PPL</v>
      </c>
      <c r="S162" s="10" t="str">
        <v>610422100043-2024-3</v>
      </c>
      <c r="T162" s="10" t="str">
        <v>610422100043-2024-3-SURVEI-PPL</v>
      </c>
      <c r="U162" s="10">
        <v>1</v>
      </c>
      <c r="V162" s="10" t="e">
        <f ca="1"/>
        <v>#NAME?</v>
      </c>
      <c r="W162" s="67">
        <v>45351</v>
      </c>
      <c r="X162" s="11" t="str">
        <v>Sakernas Februari 2024</v>
      </c>
      <c r="Y162" s="11" t="str">
        <v>ANJONGAN</v>
      </c>
      <c r="Z162" s="11" t="str">
        <v>DEMA</v>
      </c>
      <c r="AA162" s="67">
        <v>45351</v>
      </c>
      <c r="AB162" s="67">
        <v>45352</v>
      </c>
      <c r="AC162" s="67">
        <v>45382</v>
      </c>
      <c r="AD162" s="67">
        <v>45381</v>
      </c>
      <c r="AE162" s="67">
        <v>45382</v>
      </c>
    </row>
    <row r="163" spans="1:31" ht="12.5">
      <c r="A163" s="10">
        <v>610422100086</v>
      </c>
      <c r="B163" s="10" t="str">
        <v>SAKERNAS24-LAPANGAN-SEMESTER1</v>
      </c>
      <c r="C163" s="10">
        <v>0</v>
      </c>
      <c r="D163" s="10">
        <f ca="1"/>
        <v>1</v>
      </c>
      <c r="E163" s="10" t="str">
        <v>Imamul Akhyar</v>
      </c>
      <c r="F163" s="10" t="str">
        <v>PPL</v>
      </c>
      <c r="G163" s="10" t="str">
        <v>6102012211930002</v>
      </c>
      <c r="H163" s="10" t="str">
        <v>PENDATAAN</v>
      </c>
      <c r="I163" s="10" t="str">
        <v>SAKERNAS24-LAPANGAN-SEMESTER1-PPL-PENDATAAN</v>
      </c>
      <c r="J163" s="10" t="str">
        <v>Rumah Tangga</v>
      </c>
      <c r="K163" s="66">
        <v>66000</v>
      </c>
      <c r="L163" s="10">
        <v>20</v>
      </c>
      <c r="M163" s="10">
        <v>1320000</v>
      </c>
      <c r="N163" s="10">
        <v>0</v>
      </c>
      <c r="O163" s="67">
        <v>45359</v>
      </c>
      <c r="P163" s="10">
        <v>2024</v>
      </c>
      <c r="Q163" s="10">
        <v>3</v>
      </c>
      <c r="R163" s="10" t="str">
        <v>SURVEI-PPL</v>
      </c>
      <c r="S163" s="10" t="str">
        <v>610422100086-2024-3</v>
      </c>
      <c r="T163" s="10" t="str">
        <v>610422100086-2024-3-SURVEI-PPL</v>
      </c>
      <c r="U163" s="10">
        <v>1</v>
      </c>
      <c r="V163" s="10" t="e">
        <f ca="1"/>
        <v>#NAME?</v>
      </c>
      <c r="W163" s="67">
        <v>45351</v>
      </c>
      <c r="X163" s="11" t="str">
        <v>Sakernas Februari 2024</v>
      </c>
      <c r="Y163" s="11" t="str">
        <v>MEMPAWAH HILIR</v>
      </c>
      <c r="Z163" s="11" t="str">
        <v>SENGKUBANG</v>
      </c>
      <c r="AA163" s="67">
        <v>45351</v>
      </c>
      <c r="AB163" s="67">
        <v>45352</v>
      </c>
      <c r="AC163" s="67">
        <v>45382</v>
      </c>
      <c r="AD163" s="67">
        <v>45381</v>
      </c>
      <c r="AE163" s="67">
        <v>45382</v>
      </c>
    </row>
    <row r="164" spans="1:31" ht="12.5">
      <c r="A164" s="10">
        <v>610422100111</v>
      </c>
      <c r="B164" s="10" t="str">
        <v>SAKERNAS24-LAPANGAN-SEMESTER1</v>
      </c>
      <c r="C164" s="10">
        <v>0</v>
      </c>
      <c r="D164" s="10">
        <f ca="1"/>
        <v>1</v>
      </c>
      <c r="E164" s="10" t="str">
        <v>Cici Purnamasari</v>
      </c>
      <c r="F164" s="10" t="str">
        <v>PPL</v>
      </c>
      <c r="G164" s="10" t="str">
        <v>6102074203010007</v>
      </c>
      <c r="H164" s="10" t="str">
        <v>PENDATAAN</v>
      </c>
      <c r="I164" s="10" t="str">
        <v>SAKERNAS24-LAPANGAN-SEMESTER1-PPL-PENDATAAN</v>
      </c>
      <c r="J164" s="10" t="str">
        <v>Rumah Tangga</v>
      </c>
      <c r="K164" s="66">
        <v>66000</v>
      </c>
      <c r="L164" s="10">
        <v>20</v>
      </c>
      <c r="M164" s="10">
        <v>1320000</v>
      </c>
      <c r="N164" s="10">
        <v>0</v>
      </c>
      <c r="O164" s="67">
        <v>45359</v>
      </c>
      <c r="P164" s="10">
        <v>2024</v>
      </c>
      <c r="Q164" s="10">
        <v>3</v>
      </c>
      <c r="R164" s="10" t="str">
        <v>SURVEI-PPL</v>
      </c>
      <c r="S164" s="10" t="str">
        <v>610422100111-2024-3</v>
      </c>
      <c r="T164" s="10" t="str">
        <v>610422100111-2024-3-SURVEI-PPL</v>
      </c>
      <c r="U164" s="10">
        <v>1</v>
      </c>
      <c r="V164" s="10" t="e">
        <f ca="1"/>
        <v>#NAME?</v>
      </c>
      <c r="W164" s="67">
        <v>45351</v>
      </c>
      <c r="X164" s="11" t="str">
        <v>Sakernas Februari 2024</v>
      </c>
      <c r="Y164" s="11" t="str">
        <v>SUNGAI PINYUH</v>
      </c>
      <c r="Z164" s="11" t="str">
        <v>PENIRAMAN</v>
      </c>
      <c r="AA164" s="67">
        <v>45351</v>
      </c>
      <c r="AB164" s="67">
        <v>45352</v>
      </c>
      <c r="AC164" s="67">
        <v>45382</v>
      </c>
      <c r="AD164" s="67">
        <v>45381</v>
      </c>
      <c r="AE164" s="67">
        <v>45382</v>
      </c>
    </row>
    <row r="165" spans="1:31" ht="12.5">
      <c r="A165" s="10">
        <v>610422100175</v>
      </c>
      <c r="B165" s="10" t="str">
        <v>SAKERNAS24-LAPANGAN-SEMESTER1</v>
      </c>
      <c r="C165" s="10">
        <v>0</v>
      </c>
      <c r="D165" s="10">
        <f ca="1"/>
        <v>1</v>
      </c>
      <c r="E165" s="10" t="str">
        <v>Rara Shati</v>
      </c>
      <c r="F165" s="10" t="str">
        <v>PPL</v>
      </c>
      <c r="G165" s="10" t="str">
        <v>6102066507980001</v>
      </c>
      <c r="H165" s="10" t="str">
        <v>PENDATAAN</v>
      </c>
      <c r="I165" s="10" t="str">
        <v>SAKERNAS24-LAPANGAN-SEMESTER1-PPL-PENDATAAN</v>
      </c>
      <c r="J165" s="10" t="str">
        <v>Rumah Tangga</v>
      </c>
      <c r="K165" s="66">
        <v>66000</v>
      </c>
      <c r="L165" s="10">
        <v>20</v>
      </c>
      <c r="M165" s="10">
        <v>1320000</v>
      </c>
      <c r="N165" s="10">
        <v>0</v>
      </c>
      <c r="O165" s="67">
        <v>45359</v>
      </c>
      <c r="P165" s="10">
        <v>2024</v>
      </c>
      <c r="Q165" s="10">
        <v>3</v>
      </c>
      <c r="R165" s="10" t="str">
        <v>SURVEI-PPL</v>
      </c>
      <c r="S165" s="10" t="str">
        <v>610422100175-2024-3</v>
      </c>
      <c r="T165" s="10" t="str">
        <v>610422100175-2024-3-SURVEI-PPL</v>
      </c>
      <c r="U165" s="10">
        <v>1</v>
      </c>
      <c r="V165" s="10" t="e">
        <f ca="1"/>
        <v>#NAME?</v>
      </c>
      <c r="W165" s="67">
        <v>45351</v>
      </c>
      <c r="X165" s="11" t="str">
        <v>Sakernas Februari 2024</v>
      </c>
      <c r="Y165" s="11" t="str">
        <v>TOHO</v>
      </c>
      <c r="Z165" s="11" t="str">
        <v>SEPANG</v>
      </c>
      <c r="AA165" s="67">
        <v>45351</v>
      </c>
      <c r="AB165" s="67">
        <v>45352</v>
      </c>
      <c r="AC165" s="67">
        <v>45382</v>
      </c>
      <c r="AD165" s="67">
        <v>45381</v>
      </c>
      <c r="AE165" s="67">
        <v>45382</v>
      </c>
    </row>
    <row r="166" spans="1:31" ht="12.5">
      <c r="A166" s="10">
        <v>610422020006</v>
      </c>
      <c r="B166" s="10" t="str">
        <v>SERUTI24-PENGOLAHAN-TRI1</v>
      </c>
      <c r="C166" s="10">
        <v>0</v>
      </c>
      <c r="D166" s="10">
        <f ca="1"/>
        <v>1</v>
      </c>
      <c r="E166" s="10" t="str">
        <v>Nasrullah</v>
      </c>
      <c r="F166" s="10" t="str">
        <v>PETUGAS ENTRI</v>
      </c>
      <c r="G166" s="10" t="str">
        <v>6102011011970003</v>
      </c>
      <c r="H166" s="10" t="str">
        <v>PENGOLAHAN</v>
      </c>
      <c r="I166" s="10" t="str">
        <v>SERUTI24-PENGOLAHAN-TRI1-PETUGAS ENTRI-PENGOLAHAN</v>
      </c>
      <c r="J166" s="10" t="str">
        <v>Dokumen</v>
      </c>
      <c r="K166" s="66">
        <v>12000</v>
      </c>
      <c r="L166" s="10">
        <v>13</v>
      </c>
      <c r="M166" s="10">
        <v>156000</v>
      </c>
      <c r="N166" s="10">
        <v>0</v>
      </c>
      <c r="O166" s="67">
        <v>45366</v>
      </c>
      <c r="P166" s="10">
        <v>2024</v>
      </c>
      <c r="Q166" s="10">
        <v>3</v>
      </c>
      <c r="R166" s="10" t="str">
        <v>SURVEI-PETUGAS ENTRI</v>
      </c>
      <c r="S166" s="10" t="str">
        <v>610422020006-2024-3</v>
      </c>
      <c r="T166" s="10" t="str">
        <v>610422020006-2024-3-SURVEI-PETUGAS ENTRI</v>
      </c>
      <c r="U166" s="10">
        <v>1</v>
      </c>
      <c r="V166" s="10" t="e">
        <f ca="1"/>
        <v>#NAME?</v>
      </c>
      <c r="W166" s="67">
        <v>45326</v>
      </c>
      <c r="X166" s="11" t="str">
        <v>Survei Ekonomi Rumah Tangga Triwulanan (SERUTI24) Triwulan I Kegiatan Pengolahan</v>
      </c>
      <c r="Y166" s="11" t="str">
        <v>MEMPAWAH HILIR</v>
      </c>
      <c r="Z166" s="11" t="str">
        <v>MALIKIAN</v>
      </c>
      <c r="AA166" s="67">
        <v>45351</v>
      </c>
      <c r="AB166" s="67">
        <v>45352</v>
      </c>
      <c r="AC166" s="67">
        <v>45382</v>
      </c>
      <c r="AD166" s="67">
        <v>45381</v>
      </c>
      <c r="AE166" s="67">
        <v>45382</v>
      </c>
    </row>
    <row r="167" spans="1:31" ht="12.5">
      <c r="A167" s="10">
        <v>610423110150</v>
      </c>
      <c r="B167" s="10" t="str">
        <v>SERUTI24-PENGOLAHAN-TRI1</v>
      </c>
      <c r="C167" s="10">
        <v>0</v>
      </c>
      <c r="D167" s="10">
        <f ca="1"/>
        <v>1</v>
      </c>
      <c r="E167" s="10" t="str">
        <v>Risa Yolani</v>
      </c>
      <c r="F167" s="10" t="str">
        <v>PETUGAS ENTRI</v>
      </c>
      <c r="G167" s="10" t="str">
        <v>6102015802940002</v>
      </c>
      <c r="H167" s="10" t="str">
        <v>PENGOLAHAN</v>
      </c>
      <c r="I167" s="10" t="str">
        <v>SERUTI24-PENGOLAHAN-TRI1-PETUGAS ENTRI-PENGOLAHAN</v>
      </c>
      <c r="J167" s="10" t="str">
        <v>Dokumen</v>
      </c>
      <c r="K167" s="66">
        <v>12000</v>
      </c>
      <c r="L167" s="10">
        <v>12</v>
      </c>
      <c r="M167" s="10">
        <v>144000</v>
      </c>
      <c r="N167" s="10">
        <v>0</v>
      </c>
      <c r="O167" s="67">
        <v>45366</v>
      </c>
      <c r="P167" s="10">
        <v>2024</v>
      </c>
      <c r="Q167" s="10">
        <v>3</v>
      </c>
      <c r="R167" s="10" t="str">
        <v>SURVEI-PETUGAS ENTRI</v>
      </c>
      <c r="S167" s="10" t="str">
        <v>610423110150-2024-3</v>
      </c>
      <c r="T167" s="10" t="str">
        <v>610423110150-2024-3-SURVEI-PETUGAS ENTRI</v>
      </c>
      <c r="U167" s="10">
        <v>1</v>
      </c>
      <c r="V167" s="10" t="e">
        <f ca="1"/>
        <v>#NAME?</v>
      </c>
      <c r="W167" s="67">
        <v>45326</v>
      </c>
      <c r="X167" s="11" t="str">
        <v>Survei Ekonomi Rumah Tangga Triwulanan (SERUTI24) Triwulan I Kegiatan Pengolahan</v>
      </c>
      <c r="Y167" s="11" t="str">
        <v>MEMPAWAH HILIR</v>
      </c>
      <c r="Z167" s="11" t="str">
        <v>TENGAH</v>
      </c>
      <c r="AA167" s="67">
        <v>45351</v>
      </c>
      <c r="AB167" s="67">
        <v>45352</v>
      </c>
      <c r="AC167" s="67">
        <v>45382</v>
      </c>
      <c r="AD167" s="67">
        <v>45381</v>
      </c>
      <c r="AE167" s="67">
        <v>45382</v>
      </c>
    </row>
    <row r="168" spans="1:31" ht="12.5">
      <c r="A168" s="10">
        <v>610423110129</v>
      </c>
      <c r="B168" s="10" t="str">
        <v>SERUTI24-PENGOLAHAN-TRI1</v>
      </c>
      <c r="C168" s="10">
        <v>0</v>
      </c>
      <c r="D168" s="10">
        <f ca="1"/>
        <v>1</v>
      </c>
      <c r="E168" s="10" t="str">
        <v>Athalia Meifira</v>
      </c>
      <c r="F168" s="10" t="str">
        <v>PETUGAS ENTRI</v>
      </c>
      <c r="G168" s="10" t="str">
        <v>6102015905000001</v>
      </c>
      <c r="H168" s="10" t="str">
        <v>PENGOLAHAN</v>
      </c>
      <c r="I168" s="10" t="str">
        <v>SERUTI24-PENGOLAHAN-TRI1-PETUGAS ENTRI-PENGOLAHAN</v>
      </c>
      <c r="J168" s="10" t="str">
        <v>Dokumen</v>
      </c>
      <c r="K168" s="66">
        <v>12000</v>
      </c>
      <c r="L168" s="10">
        <v>12</v>
      </c>
      <c r="M168" s="10">
        <v>144000</v>
      </c>
      <c r="N168" s="10">
        <v>0</v>
      </c>
      <c r="O168" s="67">
        <v>45366</v>
      </c>
      <c r="P168" s="10">
        <v>2024</v>
      </c>
      <c r="Q168" s="10">
        <v>3</v>
      </c>
      <c r="R168" s="10" t="str">
        <v>SURVEI-PETUGAS ENTRI</v>
      </c>
      <c r="S168" s="10" t="str">
        <v>610423110129-2024-3</v>
      </c>
      <c r="T168" s="10" t="str">
        <v>610423110129-2024-3-SURVEI-PETUGAS ENTRI</v>
      </c>
      <c r="U168" s="10">
        <v>1</v>
      </c>
      <c r="V168" s="10" t="e">
        <f ca="1"/>
        <v>#NAME?</v>
      </c>
      <c r="W168" s="67">
        <v>45326</v>
      </c>
      <c r="X168" s="11" t="str">
        <v>Survei Ekonomi Rumah Tangga Triwulanan (SERUTI24) Triwulan I Kegiatan Pengolahan</v>
      </c>
      <c r="Y168" s="11" t="str">
        <v>MEMPAWAH HILIR</v>
      </c>
      <c r="Z168" s="11" t="str">
        <v>TERUSAN</v>
      </c>
      <c r="AA168" s="67">
        <v>45351</v>
      </c>
      <c r="AB168" s="67">
        <v>45352</v>
      </c>
      <c r="AC168" s="67">
        <v>45382</v>
      </c>
      <c r="AD168" s="67">
        <v>45381</v>
      </c>
      <c r="AE168" s="67">
        <v>45382</v>
      </c>
    </row>
    <row r="169" spans="1:31" ht="12.5">
      <c r="A169" s="10">
        <v>610422020029</v>
      </c>
      <c r="B169" s="10" t="str">
        <v>SUSENAS24-LAPANGAN-SEMESTER1</v>
      </c>
      <c r="C169" s="10">
        <v>0</v>
      </c>
      <c r="D169" s="10">
        <f ca="1"/>
        <v>1</v>
      </c>
      <c r="E169" s="10" t="str">
        <v>Kurniadi</v>
      </c>
      <c r="F169" s="10" t="str">
        <v>PML</v>
      </c>
      <c r="G169" s="10" t="str">
        <v>6102011110970002</v>
      </c>
      <c r="H169" s="10" t="str">
        <v>PENDATAAN</v>
      </c>
      <c r="I169" s="10" t="str">
        <v>SUSENAS24-LAPANGAN-SEMESTER1-PML-PENDATAAN</v>
      </c>
      <c r="J169" s="10" t="str">
        <v>Rumah Tangga</v>
      </c>
      <c r="K169" s="66">
        <v>62000</v>
      </c>
      <c r="L169" s="10">
        <v>40</v>
      </c>
      <c r="M169" s="10">
        <v>2480000</v>
      </c>
      <c r="N169" s="70">
        <v>0</v>
      </c>
      <c r="O169" s="67">
        <v>45367</v>
      </c>
      <c r="P169" s="10">
        <v>2024</v>
      </c>
      <c r="Q169" s="10">
        <v>3</v>
      </c>
      <c r="R169" s="10" t="str">
        <v>SURVEI-PML</v>
      </c>
      <c r="S169" s="10" t="str">
        <v>610422020029-2024-3</v>
      </c>
      <c r="T169" s="10" t="str">
        <v>610422020029-2024-3-SURVEI-PML</v>
      </c>
      <c r="U169" s="10">
        <v>1</v>
      </c>
      <c r="V169" s="10" t="e">
        <f ca="1"/>
        <v>#NAME?</v>
      </c>
      <c r="W169" s="67">
        <v>45376</v>
      </c>
      <c r="X169" s="11" t="str">
        <v>Susenas Maret 2024</v>
      </c>
      <c r="Y169" s="11" t="str">
        <v>MEMPAWAH HILIR</v>
      </c>
      <c r="Z169" s="11" t="str">
        <v>TERUSAN</v>
      </c>
      <c r="AA169" s="67">
        <v>45351</v>
      </c>
      <c r="AB169" s="67">
        <v>45352</v>
      </c>
      <c r="AC169" s="67">
        <v>45382</v>
      </c>
      <c r="AD169" s="67">
        <v>45381</v>
      </c>
      <c r="AE169" s="67">
        <v>45382</v>
      </c>
    </row>
    <row r="170" spans="1:31" ht="12.5">
      <c r="A170" s="10">
        <v>610422020016</v>
      </c>
      <c r="B170" s="10" t="str">
        <v>SUSENAS24-LAPANGAN-SEMESTER1</v>
      </c>
      <c r="C170" s="10">
        <v>0</v>
      </c>
      <c r="D170" s="10">
        <f ca="1"/>
        <v>1</v>
      </c>
      <c r="E170" s="10" t="str">
        <v>Abdul Aziz</v>
      </c>
      <c r="F170" s="10" t="str">
        <v>PML</v>
      </c>
      <c r="G170" s="10" t="str">
        <v>6102061507950006</v>
      </c>
      <c r="H170" s="10" t="str">
        <v>PENDATAAN</v>
      </c>
      <c r="I170" s="10" t="str">
        <v>SUSENAS24-LAPANGAN-SEMESTER1-PML-PENDATAAN</v>
      </c>
      <c r="J170" s="10" t="str">
        <v>Rumah Tangga</v>
      </c>
      <c r="K170" s="66">
        <v>62000</v>
      </c>
      <c r="L170" s="10">
        <v>40</v>
      </c>
      <c r="M170" s="10">
        <v>2480000</v>
      </c>
      <c r="N170" s="70">
        <v>0</v>
      </c>
      <c r="O170" s="67">
        <v>45367</v>
      </c>
      <c r="P170" s="10">
        <v>2024</v>
      </c>
      <c r="Q170" s="10">
        <v>3</v>
      </c>
      <c r="R170" s="10" t="str">
        <v>SURVEI-PML</v>
      </c>
      <c r="S170" s="10" t="str">
        <v>610422020016-2024-3</v>
      </c>
      <c r="T170" s="10" t="str">
        <v>610422020016-2024-3-SURVEI-PML</v>
      </c>
      <c r="U170" s="10">
        <v>1</v>
      </c>
      <c r="V170" s="10" t="e">
        <f ca="1"/>
        <v>#NAME?</v>
      </c>
      <c r="W170" s="67">
        <v>45376</v>
      </c>
      <c r="X170" s="11" t="str">
        <v>Susenas Maret 2024</v>
      </c>
      <c r="Y170" s="11" t="str">
        <v>TOHO</v>
      </c>
      <c r="Z170" s="11" t="str">
        <v>SAMBORA</v>
      </c>
      <c r="AA170" s="67">
        <v>45351</v>
      </c>
      <c r="AB170" s="67">
        <v>45352</v>
      </c>
      <c r="AC170" s="67">
        <v>45382</v>
      </c>
      <c r="AD170" s="67">
        <v>45381</v>
      </c>
      <c r="AE170" s="67">
        <v>45382</v>
      </c>
    </row>
    <row r="171" spans="1:31" ht="12.5">
      <c r="A171" s="10">
        <v>610422040031</v>
      </c>
      <c r="B171" s="10" t="str">
        <v>SUSENAS24-LAPANGAN-SEMESTER1</v>
      </c>
      <c r="C171" s="10">
        <v>0</v>
      </c>
      <c r="D171" s="10">
        <f ca="1"/>
        <v>1</v>
      </c>
      <c r="E171" s="10" t="str">
        <v>Imam Fajri Muslim</v>
      </c>
      <c r="F171" s="10" t="str">
        <v>PML</v>
      </c>
      <c r="G171" s="10" t="str">
        <v>6102161208010001</v>
      </c>
      <c r="H171" s="10" t="str">
        <v>PENDATAAN</v>
      </c>
      <c r="I171" s="10" t="str">
        <v>SUSENAS24-LAPANGAN-SEMESTER1-PML-PENDATAAN</v>
      </c>
      <c r="J171" s="10" t="str">
        <v>Rumah Tangga</v>
      </c>
      <c r="K171" s="66">
        <v>62000</v>
      </c>
      <c r="L171" s="10">
        <v>40</v>
      </c>
      <c r="M171" s="10">
        <v>2480000</v>
      </c>
      <c r="N171" s="70">
        <v>0</v>
      </c>
      <c r="O171" s="67">
        <v>45367</v>
      </c>
      <c r="P171" s="10">
        <v>2024</v>
      </c>
      <c r="Q171" s="10">
        <v>3</v>
      </c>
      <c r="R171" s="10" t="str">
        <v>SURVEI-PML</v>
      </c>
      <c r="S171" s="10" t="str">
        <v>610422040031-2024-3</v>
      </c>
      <c r="T171" s="10" t="str">
        <v>610422040031-2024-3-SURVEI-PML</v>
      </c>
      <c r="U171" s="10">
        <v>1</v>
      </c>
      <c r="V171" s="10" t="e">
        <f ca="1"/>
        <v>#NAME?</v>
      </c>
      <c r="W171" s="67">
        <v>45376</v>
      </c>
      <c r="X171" s="11" t="str">
        <v>Susenas Maret 2024</v>
      </c>
      <c r="Y171" s="11" t="str">
        <v>MEMPAWAH HILIR</v>
      </c>
      <c r="Z171" s="11" t="str">
        <v>TERUSAN</v>
      </c>
      <c r="AA171" s="67">
        <v>45351</v>
      </c>
      <c r="AB171" s="67">
        <v>45352</v>
      </c>
      <c r="AC171" s="67">
        <v>45382</v>
      </c>
      <c r="AD171" s="67">
        <v>45381</v>
      </c>
      <c r="AE171" s="67">
        <v>45382</v>
      </c>
    </row>
    <row r="172" spans="1:31" ht="12.5">
      <c r="A172" s="10">
        <v>610422040005</v>
      </c>
      <c r="B172" s="10" t="str">
        <v>SUSENAS24-LAPANGAN-SEMESTER1</v>
      </c>
      <c r="C172" s="10">
        <v>0</v>
      </c>
      <c r="D172" s="10">
        <f ca="1"/>
        <v>1</v>
      </c>
      <c r="E172" s="10" t="str">
        <v>Nanda Ariska</v>
      </c>
      <c r="F172" s="10" t="str">
        <v>PML</v>
      </c>
      <c r="G172" s="10" t="str">
        <v>6102186812000004</v>
      </c>
      <c r="H172" s="10" t="str">
        <v>PENDATAAN</v>
      </c>
      <c r="I172" s="10" t="str">
        <v>SUSENAS24-LAPANGAN-SEMESTER1-PML-PENDATAAN</v>
      </c>
      <c r="J172" s="10" t="str">
        <v>Rumah Tangga</v>
      </c>
      <c r="K172" s="66">
        <v>62000</v>
      </c>
      <c r="L172" s="10">
        <v>40</v>
      </c>
      <c r="M172" s="10">
        <v>2480000</v>
      </c>
      <c r="N172" s="70">
        <v>0</v>
      </c>
      <c r="O172" s="67">
        <v>45367</v>
      </c>
      <c r="P172" s="10">
        <v>2024</v>
      </c>
      <c r="Q172" s="10">
        <v>3</v>
      </c>
      <c r="R172" s="10" t="str">
        <v>SURVEI-PML</v>
      </c>
      <c r="S172" s="10" t="str">
        <v>610422040005-2024-3</v>
      </c>
      <c r="T172" s="10" t="str">
        <v>610422040005-2024-3-SURVEI-PML</v>
      </c>
      <c r="U172" s="10">
        <v>1</v>
      </c>
      <c r="V172" s="10" t="e">
        <f ca="1"/>
        <v>#NAME?</v>
      </c>
      <c r="W172" s="67">
        <v>45376</v>
      </c>
      <c r="X172" s="11" t="str">
        <v>Susenas Maret 2024</v>
      </c>
      <c r="Y172" s="11" t="str">
        <v>MEMPAWAH TIMUR</v>
      </c>
      <c r="Z172" s="11" t="str">
        <v>SEJEGI</v>
      </c>
      <c r="AA172" s="67">
        <v>45351</v>
      </c>
      <c r="AB172" s="67">
        <v>45352</v>
      </c>
      <c r="AC172" s="67">
        <v>45382</v>
      </c>
      <c r="AD172" s="67">
        <v>45381</v>
      </c>
      <c r="AE172" s="67">
        <v>45382</v>
      </c>
    </row>
    <row r="173" spans="1:31" ht="12.5">
      <c r="A173" s="10">
        <v>610422040038</v>
      </c>
      <c r="B173" s="10" t="str">
        <v>SUSENAS24-LAPANGAN-SEMESTER1</v>
      </c>
      <c r="C173" s="10">
        <v>0</v>
      </c>
      <c r="D173" s="10">
        <f ca="1"/>
        <v>1</v>
      </c>
      <c r="E173" s="10" t="str">
        <v>Yuyun Antoni, S.E.</v>
      </c>
      <c r="F173" s="10" t="str">
        <v>PML</v>
      </c>
      <c r="G173" s="10" t="str">
        <v>6102122106750003</v>
      </c>
      <c r="H173" s="10" t="str">
        <v>PENDATAAN</v>
      </c>
      <c r="I173" s="10" t="str">
        <v>SUSENAS24-LAPANGAN-SEMESTER1-PML-PENDATAAN</v>
      </c>
      <c r="J173" s="10" t="str">
        <v>Rumah Tangga</v>
      </c>
      <c r="K173" s="66">
        <v>62000</v>
      </c>
      <c r="L173" s="10">
        <v>40</v>
      </c>
      <c r="M173" s="10">
        <v>2480000</v>
      </c>
      <c r="N173" s="70">
        <v>0</v>
      </c>
      <c r="O173" s="67">
        <v>45367</v>
      </c>
      <c r="P173" s="10">
        <v>2024</v>
      </c>
      <c r="Q173" s="10">
        <v>3</v>
      </c>
      <c r="R173" s="10" t="str">
        <v>SURVEI-PML</v>
      </c>
      <c r="S173" s="10" t="str">
        <v>610422040038-2024-3</v>
      </c>
      <c r="T173" s="10" t="str">
        <v>610422040038-2024-3-SURVEI-PML</v>
      </c>
      <c r="U173" s="10">
        <v>1</v>
      </c>
      <c r="V173" s="10" t="e">
        <f ca="1"/>
        <v>#NAME?</v>
      </c>
      <c r="W173" s="67">
        <v>45376</v>
      </c>
      <c r="X173" s="11" t="str">
        <v>Susenas Maret 2024</v>
      </c>
      <c r="Y173" s="11" t="str">
        <v>SUNGAI KUNYIT</v>
      </c>
      <c r="Z173" s="11" t="str">
        <v>SUNGAI LIMAU</v>
      </c>
      <c r="AA173" s="67">
        <v>45351</v>
      </c>
      <c r="AB173" s="67">
        <v>45352</v>
      </c>
      <c r="AC173" s="67">
        <v>45382</v>
      </c>
      <c r="AD173" s="67">
        <v>45381</v>
      </c>
      <c r="AE173" s="67">
        <v>45382</v>
      </c>
    </row>
    <row r="174" spans="1:31" ht="12.5">
      <c r="A174" s="10">
        <v>610422040030</v>
      </c>
      <c r="B174" s="10" t="str">
        <v>SUSENAS24-LAPANGAN-SEMESTER1</v>
      </c>
      <c r="C174" s="10">
        <v>0</v>
      </c>
      <c r="D174" s="10">
        <f ca="1"/>
        <v>1</v>
      </c>
      <c r="E174" s="10" t="str">
        <v>Syarifah Desti Pratiwi</v>
      </c>
      <c r="F174" s="10" t="str">
        <v>PML</v>
      </c>
      <c r="G174" s="10" t="str">
        <v>6102084512950002</v>
      </c>
      <c r="H174" s="10" t="str">
        <v>PENDATAAN</v>
      </c>
      <c r="I174" s="10" t="str">
        <v>SUSENAS24-LAPANGAN-SEMESTER1-PML-PENDATAAN</v>
      </c>
      <c r="J174" s="10" t="str">
        <v>Rumah Tangga</v>
      </c>
      <c r="K174" s="66">
        <v>62000</v>
      </c>
      <c r="L174" s="10">
        <v>40</v>
      </c>
      <c r="M174" s="10">
        <v>2480000</v>
      </c>
      <c r="N174" s="70">
        <v>0</v>
      </c>
      <c r="O174" s="67">
        <v>45367</v>
      </c>
      <c r="P174" s="10">
        <v>2024</v>
      </c>
      <c r="Q174" s="10">
        <v>3</v>
      </c>
      <c r="R174" s="10" t="str">
        <v>SURVEI-PML</v>
      </c>
      <c r="S174" s="10" t="str">
        <v>610422040030-2024-3</v>
      </c>
      <c r="T174" s="10" t="str">
        <v>610422040030-2024-3-SURVEI-PML</v>
      </c>
      <c r="U174" s="10">
        <v>1</v>
      </c>
      <c r="V174" s="10" t="e">
        <f ca="1"/>
        <v>#NAME?</v>
      </c>
      <c r="W174" s="67">
        <v>45376</v>
      </c>
      <c r="X174" s="11" t="str">
        <v>Susenas Maret 2024</v>
      </c>
      <c r="Y174" s="11" t="str">
        <v>JONGKAT</v>
      </c>
      <c r="Z174" s="11" t="str">
        <v>JUNGKAT</v>
      </c>
      <c r="AA174" s="67">
        <v>45351</v>
      </c>
      <c r="AB174" s="67">
        <v>45352</v>
      </c>
      <c r="AC174" s="67">
        <v>45382</v>
      </c>
      <c r="AD174" s="67">
        <v>45381</v>
      </c>
      <c r="AE174" s="67">
        <v>45382</v>
      </c>
    </row>
    <row r="175" spans="1:31" ht="12.5">
      <c r="A175" s="10">
        <v>610422040062</v>
      </c>
      <c r="B175" s="10" t="str">
        <v>SUSENAS24-LAPANGAN-SEMESTER1</v>
      </c>
      <c r="C175" s="10">
        <v>0</v>
      </c>
      <c r="D175" s="10">
        <f ca="1"/>
        <v>1</v>
      </c>
      <c r="E175" s="10" t="str">
        <v>Yudi Wahyudi</v>
      </c>
      <c r="F175" s="10" t="str">
        <v>PML</v>
      </c>
      <c r="G175" s="10" t="str">
        <v>6108011805800004</v>
      </c>
      <c r="H175" s="10" t="str">
        <v>PENDATAAN</v>
      </c>
      <c r="I175" s="10" t="str">
        <v>SUSENAS24-LAPANGAN-SEMESTER1-PML-PENDATAAN</v>
      </c>
      <c r="J175" s="10" t="str">
        <v>Rumah Tangga</v>
      </c>
      <c r="K175" s="66">
        <v>62000</v>
      </c>
      <c r="L175" s="10">
        <v>40</v>
      </c>
      <c r="M175" s="10">
        <v>2480000</v>
      </c>
      <c r="N175" s="70">
        <v>0</v>
      </c>
      <c r="O175" s="67">
        <v>45367</v>
      </c>
      <c r="P175" s="10">
        <v>2024</v>
      </c>
      <c r="Q175" s="10">
        <v>3</v>
      </c>
      <c r="R175" s="10" t="str">
        <v>SURVEI-PML</v>
      </c>
      <c r="S175" s="10" t="str">
        <v>610422040062-2024-3</v>
      </c>
      <c r="T175" s="10" t="str">
        <v>610422040062-2024-3-SURVEI-PML</v>
      </c>
      <c r="U175" s="10">
        <v>1</v>
      </c>
      <c r="V175" s="10" t="e">
        <f ca="1"/>
        <v>#NAME?</v>
      </c>
      <c r="W175" s="67">
        <v>45376</v>
      </c>
      <c r="X175" s="11" t="str">
        <v>Susenas Maret 2024</v>
      </c>
      <c r="Y175" s="11" t="str">
        <v>SUNGAI PINYUH</v>
      </c>
      <c r="Z175" s="11" t="str">
        <v>SUNGAI BAKAU BESAR LAUT</v>
      </c>
      <c r="AA175" s="67">
        <v>45351</v>
      </c>
      <c r="AB175" s="67">
        <v>45352</v>
      </c>
      <c r="AC175" s="67">
        <v>45382</v>
      </c>
      <c r="AD175" s="67">
        <v>45381</v>
      </c>
      <c r="AE175" s="67">
        <v>45382</v>
      </c>
    </row>
    <row r="176" spans="1:31" ht="12.5">
      <c r="A176" s="10">
        <v>610422100274</v>
      </c>
      <c r="B176" s="10" t="str">
        <v>SUSENAS24-LAPANGAN-SEMESTER1</v>
      </c>
      <c r="C176" s="10">
        <v>0</v>
      </c>
      <c r="D176" s="10">
        <f ca="1"/>
        <v>1</v>
      </c>
      <c r="E176" s="10" t="str">
        <v>Anisatunnabilah</v>
      </c>
      <c r="F176" s="10" t="str">
        <v>PML</v>
      </c>
      <c r="G176" s="10" t="str">
        <v>6102184310990001</v>
      </c>
      <c r="H176" s="10" t="str">
        <v>PENDATAAN</v>
      </c>
      <c r="I176" s="10" t="str">
        <v>SUSENAS24-LAPANGAN-SEMESTER1-PML-PENDATAAN</v>
      </c>
      <c r="J176" s="10" t="str">
        <v>Rumah Tangga</v>
      </c>
      <c r="K176" s="66">
        <v>62000</v>
      </c>
      <c r="L176" s="10">
        <v>40</v>
      </c>
      <c r="M176" s="10">
        <v>2480000</v>
      </c>
      <c r="N176" s="70">
        <v>0</v>
      </c>
      <c r="O176" s="67">
        <v>45367</v>
      </c>
      <c r="P176" s="10">
        <v>2024</v>
      </c>
      <c r="Q176" s="10">
        <v>3</v>
      </c>
      <c r="R176" s="10" t="str">
        <v>SURVEI-PML</v>
      </c>
      <c r="S176" s="10" t="str">
        <v>610422100274-2024-3</v>
      </c>
      <c r="T176" s="10" t="str">
        <v>610422100274-2024-3-SURVEI-PML</v>
      </c>
      <c r="U176" s="10">
        <v>1</v>
      </c>
      <c r="V176" s="10" t="e">
        <f ca="1"/>
        <v>#NAME?</v>
      </c>
      <c r="W176" s="67">
        <v>45376</v>
      </c>
      <c r="X176" s="11" t="str">
        <v>Susenas Maret 2024</v>
      </c>
      <c r="Y176" s="11" t="str">
        <v>MEMPAWAH TIMUR</v>
      </c>
      <c r="Z176" s="11" t="str">
        <v>SEJEGI</v>
      </c>
      <c r="AA176" s="67">
        <v>45351</v>
      </c>
      <c r="AB176" s="67">
        <v>45352</v>
      </c>
      <c r="AC176" s="67">
        <v>45382</v>
      </c>
      <c r="AD176" s="67">
        <v>45381</v>
      </c>
      <c r="AE176" s="67">
        <v>45382</v>
      </c>
    </row>
    <row r="177" spans="1:31" ht="12.5">
      <c r="A177" s="10">
        <v>610422100108</v>
      </c>
      <c r="B177" s="10" t="str">
        <v>SUSENAS24-LAPANGAN-SEMESTER1</v>
      </c>
      <c r="C177" s="10">
        <v>0</v>
      </c>
      <c r="D177" s="10">
        <f ca="1"/>
        <v>1</v>
      </c>
      <c r="E177" s="10" t="str">
        <v>Ermi Tiyarni</v>
      </c>
      <c r="F177" s="10" t="str">
        <v>PML</v>
      </c>
      <c r="G177" s="10" t="str">
        <v>6102016512980004</v>
      </c>
      <c r="H177" s="10" t="str">
        <v>PENDATAAN</v>
      </c>
      <c r="I177" s="10" t="str">
        <v>SUSENAS24-LAPANGAN-SEMESTER1-PML-PENDATAAN</v>
      </c>
      <c r="J177" s="10" t="str">
        <v>Rumah Tangga</v>
      </c>
      <c r="K177" s="66">
        <v>62000</v>
      </c>
      <c r="L177" s="10">
        <v>40</v>
      </c>
      <c r="M177" s="10">
        <v>2480000</v>
      </c>
      <c r="N177" s="70">
        <v>0</v>
      </c>
      <c r="O177" s="67">
        <v>45367</v>
      </c>
      <c r="P177" s="10">
        <v>2024</v>
      </c>
      <c r="Q177" s="10">
        <v>3</v>
      </c>
      <c r="R177" s="10" t="str">
        <v>SURVEI-PML</v>
      </c>
      <c r="S177" s="10" t="str">
        <v>610422100108-2024-3</v>
      </c>
      <c r="T177" s="10" t="str">
        <v>610422100108-2024-3-SURVEI-PML</v>
      </c>
      <c r="U177" s="10">
        <v>1</v>
      </c>
      <c r="V177" s="10" t="e">
        <f ca="1"/>
        <v>#NAME?</v>
      </c>
      <c r="W177" s="67">
        <v>45376</v>
      </c>
      <c r="X177" s="11" t="str">
        <v>Susenas Maret 2024</v>
      </c>
      <c r="Y177" s="11" t="str">
        <v>MEMPAWAH HILIR</v>
      </c>
      <c r="Z177" s="11" t="str">
        <v>TENGAH</v>
      </c>
      <c r="AA177" s="67">
        <v>45351</v>
      </c>
      <c r="AB177" s="67">
        <v>45352</v>
      </c>
      <c r="AC177" s="67">
        <v>45382</v>
      </c>
      <c r="AD177" s="67">
        <v>45381</v>
      </c>
      <c r="AE177" s="67">
        <v>45382</v>
      </c>
    </row>
    <row r="178" spans="1:31" ht="12.5">
      <c r="A178" s="10">
        <v>610423040016</v>
      </c>
      <c r="B178" s="10" t="str">
        <v>SUSENAS24-LAPANGAN-SEMESTER1</v>
      </c>
      <c r="C178" s="10">
        <v>0</v>
      </c>
      <c r="D178" s="10">
        <f ca="1"/>
        <v>1</v>
      </c>
      <c r="E178" s="10" t="str">
        <v>Fairuztia Atiqah Putri</v>
      </c>
      <c r="F178" s="10" t="str">
        <v>PML</v>
      </c>
      <c r="G178" s="10" t="str">
        <v>6102016709010003</v>
      </c>
      <c r="H178" s="10" t="str">
        <v>PENDATAAN</v>
      </c>
      <c r="I178" s="10" t="str">
        <v>SUSENAS24-LAPANGAN-SEMESTER1-PML-PENDATAAN</v>
      </c>
      <c r="J178" s="10" t="str">
        <v>Rumah Tangga</v>
      </c>
      <c r="K178" s="66">
        <v>62000</v>
      </c>
      <c r="L178" s="10">
        <v>40</v>
      </c>
      <c r="M178" s="10">
        <v>2480000</v>
      </c>
      <c r="N178" s="70">
        <v>0</v>
      </c>
      <c r="O178" s="67">
        <v>45367</v>
      </c>
      <c r="P178" s="10">
        <v>2024</v>
      </c>
      <c r="Q178" s="10">
        <v>3</v>
      </c>
      <c r="R178" s="10" t="str">
        <v>SURVEI-PML</v>
      </c>
      <c r="S178" s="10" t="str">
        <v>610423040016-2024-3</v>
      </c>
      <c r="T178" s="10" t="str">
        <v>610423040016-2024-3-SURVEI-PML</v>
      </c>
      <c r="U178" s="10">
        <v>1</v>
      </c>
      <c r="V178" s="10" t="e">
        <f ca="1"/>
        <v>#NAME?</v>
      </c>
      <c r="W178" s="67">
        <v>45376</v>
      </c>
      <c r="X178" s="11" t="str">
        <v>Susenas Maret 2024</v>
      </c>
      <c r="Y178" s="11" t="str">
        <v>MEMPAWAH HILIR</v>
      </c>
      <c r="Z178" s="11" t="str">
        <v>TENGAH</v>
      </c>
      <c r="AA178" s="67">
        <v>45351</v>
      </c>
      <c r="AB178" s="67">
        <v>45352</v>
      </c>
      <c r="AC178" s="67">
        <v>45382</v>
      </c>
      <c r="AD178" s="67">
        <v>45381</v>
      </c>
      <c r="AE178" s="67">
        <v>45382</v>
      </c>
    </row>
    <row r="179" spans="1:31" ht="12.5">
      <c r="A179" s="10">
        <v>610422100032</v>
      </c>
      <c r="B179" s="10" t="str">
        <v>SUSENAS24-LAPANGAN-SEMESTER1</v>
      </c>
      <c r="C179" s="10">
        <v>0</v>
      </c>
      <c r="D179" s="10">
        <f ca="1"/>
        <v>1</v>
      </c>
      <c r="E179" s="10" t="str">
        <v>Muhammad Rizki Pratomo</v>
      </c>
      <c r="F179" s="10" t="str">
        <v>PML</v>
      </c>
      <c r="G179" s="10" t="str">
        <v>6102011810970004</v>
      </c>
      <c r="H179" s="10" t="str">
        <v>PENDATAAN</v>
      </c>
      <c r="I179" s="10" t="str">
        <v>SUSENAS24-LAPANGAN-SEMESTER1-PML-PENDATAAN</v>
      </c>
      <c r="J179" s="10" t="str">
        <v>Rumah Tangga</v>
      </c>
      <c r="K179" s="66">
        <v>62000</v>
      </c>
      <c r="L179" s="10">
        <v>40</v>
      </c>
      <c r="M179" s="10">
        <v>2480000</v>
      </c>
      <c r="N179" s="70">
        <v>0</v>
      </c>
      <c r="O179" s="67">
        <v>45367</v>
      </c>
      <c r="P179" s="10">
        <v>2024</v>
      </c>
      <c r="Q179" s="10">
        <v>3</v>
      </c>
      <c r="R179" s="10" t="str">
        <v>SURVEI-PML</v>
      </c>
      <c r="S179" s="10" t="str">
        <v>610422100032-2024-3</v>
      </c>
      <c r="T179" s="10" t="str">
        <v>610422100032-2024-3-SURVEI-PML</v>
      </c>
      <c r="U179" s="10">
        <v>1</v>
      </c>
      <c r="V179" s="10" t="e">
        <f ca="1"/>
        <v>#NAME?</v>
      </c>
      <c r="W179" s="67">
        <v>45376</v>
      </c>
      <c r="X179" s="11" t="str">
        <v>Susenas Maret 2024</v>
      </c>
      <c r="Y179" s="11" t="str">
        <v>MEMPAWAH HILIR</v>
      </c>
      <c r="Z179" s="11" t="str">
        <v>TERUSAN</v>
      </c>
      <c r="AA179" s="67">
        <v>45351</v>
      </c>
      <c r="AB179" s="67">
        <v>45352</v>
      </c>
      <c r="AC179" s="67">
        <v>45382</v>
      </c>
      <c r="AD179" s="67">
        <v>45381</v>
      </c>
      <c r="AE179" s="67">
        <v>45382</v>
      </c>
    </row>
    <row r="180" spans="1:31" ht="12.5">
      <c r="A180" s="10">
        <v>610422100244</v>
      </c>
      <c r="B180" s="10" t="str">
        <v>SUSENAS24-LAPANGAN-SEMESTER1</v>
      </c>
      <c r="C180" s="10">
        <v>0</v>
      </c>
      <c r="D180" s="10">
        <f ca="1"/>
        <v>1</v>
      </c>
      <c r="E180" s="10" t="str">
        <v>Sugianto</v>
      </c>
      <c r="F180" s="10" t="str">
        <v>PML</v>
      </c>
      <c r="G180" s="10" t="str">
        <v>6102171003900002</v>
      </c>
      <c r="H180" s="10" t="str">
        <v>PENDATAAN</v>
      </c>
      <c r="I180" s="10" t="str">
        <v>SUSENAS24-LAPANGAN-SEMESTER1-PML-PENDATAAN</v>
      </c>
      <c r="J180" s="10" t="str">
        <v>Rumah Tangga</v>
      </c>
      <c r="K180" s="66">
        <v>62000</v>
      </c>
      <c r="L180" s="10">
        <v>40</v>
      </c>
      <c r="M180" s="10">
        <v>2480000</v>
      </c>
      <c r="N180" s="70">
        <v>0</v>
      </c>
      <c r="O180" s="67">
        <v>45367</v>
      </c>
      <c r="P180" s="10">
        <v>2024</v>
      </c>
      <c r="Q180" s="10">
        <v>3</v>
      </c>
      <c r="R180" s="10" t="str">
        <v>SURVEI-PML</v>
      </c>
      <c r="S180" s="10" t="str">
        <v>610422100244-2024-3</v>
      </c>
      <c r="T180" s="10" t="str">
        <v>610422100244-2024-3-SURVEI-PML</v>
      </c>
      <c r="U180" s="10">
        <v>1</v>
      </c>
      <c r="V180" s="10" t="e">
        <f ca="1"/>
        <v>#NAME?</v>
      </c>
      <c r="W180" s="67">
        <v>45376</v>
      </c>
      <c r="X180" s="11" t="str">
        <v>Susenas Maret 2024</v>
      </c>
      <c r="Y180" s="11" t="str">
        <v>SADANIANG</v>
      </c>
      <c r="Z180" s="11" t="str">
        <v>BUMBUN</v>
      </c>
      <c r="AA180" s="67">
        <v>45351</v>
      </c>
      <c r="AB180" s="67">
        <v>45352</v>
      </c>
      <c r="AC180" s="67">
        <v>45382</v>
      </c>
      <c r="AD180" s="67">
        <v>45381</v>
      </c>
      <c r="AE180" s="67">
        <v>45382</v>
      </c>
    </row>
    <row r="181" spans="1:31" ht="12.5">
      <c r="A181" s="10">
        <v>610422100256</v>
      </c>
      <c r="B181" s="10" t="str">
        <v>SUSENAS24-LAPANGAN-SEMESTER1</v>
      </c>
      <c r="C181" s="10">
        <v>0</v>
      </c>
      <c r="D181" s="10">
        <f ca="1"/>
        <v>1</v>
      </c>
      <c r="E181" s="10" t="str">
        <v>Meta</v>
      </c>
      <c r="F181" s="10" t="str">
        <v>PPL</v>
      </c>
      <c r="G181" s="10" t="str">
        <v>6102174505970001</v>
      </c>
      <c r="H181" s="10" t="str">
        <v>PENDATAAN</v>
      </c>
      <c r="I181" s="10" t="str">
        <v>SUSENAS24-LAPANGAN-SEMESTER1-PPL-PENDATAAN</v>
      </c>
      <c r="J181" s="10" t="str">
        <v>Rumah Tangga</v>
      </c>
      <c r="K181" s="66">
        <v>119000</v>
      </c>
      <c r="L181" s="10">
        <v>10</v>
      </c>
      <c r="M181" s="10">
        <v>1190000</v>
      </c>
      <c r="N181" s="70">
        <v>0</v>
      </c>
      <c r="O181" s="67">
        <v>45367</v>
      </c>
      <c r="P181" s="10">
        <v>2024</v>
      </c>
      <c r="Q181" s="10">
        <v>3</v>
      </c>
      <c r="R181" s="10" t="str">
        <v>SURVEI-PPL</v>
      </c>
      <c r="S181" s="10" t="str">
        <v>610422100256-2024-3</v>
      </c>
      <c r="T181" s="10" t="str">
        <v>610422100256-2024-3-SURVEI-PPL</v>
      </c>
      <c r="U181" s="10">
        <v>1</v>
      </c>
      <c r="V181" s="10" t="e">
        <f ca="1"/>
        <v>#NAME?</v>
      </c>
      <c r="W181" s="67">
        <v>45376</v>
      </c>
      <c r="X181" s="11" t="str">
        <v>Susenas Maret 2024</v>
      </c>
      <c r="Y181" s="11" t="str">
        <v>SADANIANG</v>
      </c>
      <c r="Z181" s="11" t="str">
        <v>PENTEK</v>
      </c>
      <c r="AA181" s="67">
        <v>45351</v>
      </c>
      <c r="AB181" s="67">
        <v>45352</v>
      </c>
      <c r="AC181" s="67">
        <v>45382</v>
      </c>
      <c r="AD181" s="67">
        <v>45381</v>
      </c>
      <c r="AE181" s="67">
        <v>45382</v>
      </c>
    </row>
    <row r="182" spans="1:31" ht="12.5">
      <c r="A182" s="10">
        <v>610422100055</v>
      </c>
      <c r="B182" s="10" t="str">
        <v>SUSENAS24-LAPANGAN-SEMESTER1</v>
      </c>
      <c r="C182" s="10">
        <v>0</v>
      </c>
      <c r="D182" s="10">
        <f ca="1"/>
        <v>1</v>
      </c>
      <c r="E182" s="10" t="str">
        <v>Vika Rizkiani</v>
      </c>
      <c r="F182" s="10" t="str">
        <v>PPL</v>
      </c>
      <c r="G182" s="10" t="str">
        <v>6102084207980006</v>
      </c>
      <c r="H182" s="10" t="str">
        <v>PENDATAAN</v>
      </c>
      <c r="I182" s="10" t="str">
        <v>SUSENAS24-LAPANGAN-SEMESTER1-PPL-PENDATAAN</v>
      </c>
      <c r="J182" s="10" t="str">
        <v>Rumah Tangga</v>
      </c>
      <c r="K182" s="66">
        <v>119000</v>
      </c>
      <c r="L182" s="10">
        <v>10</v>
      </c>
      <c r="M182" s="10">
        <v>1190000</v>
      </c>
      <c r="N182" s="70">
        <v>0</v>
      </c>
      <c r="O182" s="67">
        <v>45367</v>
      </c>
      <c r="P182" s="10">
        <v>2024</v>
      </c>
      <c r="Q182" s="10">
        <v>3</v>
      </c>
      <c r="R182" s="10" t="str">
        <v>SURVEI-PPL</v>
      </c>
      <c r="S182" s="10" t="str">
        <v>610422100055-2024-3</v>
      </c>
      <c r="T182" s="10" t="str">
        <v>610422100055-2024-3-SURVEI-PPL</v>
      </c>
      <c r="U182" s="10">
        <v>1</v>
      </c>
      <c r="V182" s="10" t="e">
        <f ca="1"/>
        <v>#NAME?</v>
      </c>
      <c r="W182" s="67">
        <v>45376</v>
      </c>
      <c r="X182" s="11" t="str">
        <v>Susenas Maret 2024</v>
      </c>
      <c r="Y182" s="11" t="str">
        <v>JONGKAT</v>
      </c>
      <c r="Z182" s="11" t="str">
        <v>JUNGKAT</v>
      </c>
      <c r="AA182" s="67">
        <v>45351</v>
      </c>
      <c r="AB182" s="67">
        <v>45352</v>
      </c>
      <c r="AC182" s="67">
        <v>45382</v>
      </c>
      <c r="AD182" s="67">
        <v>45381</v>
      </c>
      <c r="AE182" s="67">
        <v>45382</v>
      </c>
    </row>
    <row r="183" spans="1:31" ht="12.5">
      <c r="A183" s="10">
        <v>610422020008</v>
      </c>
      <c r="B183" s="10" t="str">
        <v>SUSENAS24-LAPANGAN-SEMESTER1</v>
      </c>
      <c r="C183" s="10">
        <v>0</v>
      </c>
      <c r="D183" s="10">
        <f ca="1"/>
        <v>1</v>
      </c>
      <c r="E183" s="10" t="str">
        <v>Ilfi Nur Diana</v>
      </c>
      <c r="F183" s="10" t="str">
        <v>PPL</v>
      </c>
      <c r="G183" s="10" t="str">
        <v>6102125203970003</v>
      </c>
      <c r="H183" s="10" t="str">
        <v>PENDATAAN</v>
      </c>
      <c r="I183" s="10" t="str">
        <v>SUSENAS24-LAPANGAN-SEMESTER1-PPL-PENDATAAN</v>
      </c>
      <c r="J183" s="10" t="str">
        <v>Rumah Tangga</v>
      </c>
      <c r="K183" s="66">
        <v>119000</v>
      </c>
      <c r="L183" s="10">
        <v>20</v>
      </c>
      <c r="M183" s="10">
        <v>2380000</v>
      </c>
      <c r="N183" s="70">
        <v>0</v>
      </c>
      <c r="O183" s="67">
        <v>45367</v>
      </c>
      <c r="P183" s="10">
        <v>2024</v>
      </c>
      <c r="Q183" s="10">
        <v>3</v>
      </c>
      <c r="R183" s="10" t="str">
        <v>SURVEI-PPL</v>
      </c>
      <c r="S183" s="10" t="str">
        <v>610422020008-2024-3</v>
      </c>
      <c r="T183" s="10" t="str">
        <v>610422020008-2024-3-SURVEI-PPL</v>
      </c>
      <c r="U183" s="10">
        <v>1</v>
      </c>
      <c r="V183" s="10" t="e">
        <f ca="1"/>
        <v>#NAME?</v>
      </c>
      <c r="W183" s="67">
        <v>45376</v>
      </c>
      <c r="X183" s="11" t="str">
        <v>Susenas Maret 2024</v>
      </c>
      <c r="Y183" s="11" t="str">
        <v>SUNGAI KUNYIT</v>
      </c>
      <c r="Z183" s="11" t="str">
        <v>SUNGAI KUNYIT LAUT</v>
      </c>
      <c r="AA183" s="67">
        <v>45351</v>
      </c>
      <c r="AB183" s="67">
        <v>45352</v>
      </c>
      <c r="AC183" s="67">
        <v>45382</v>
      </c>
      <c r="AD183" s="67">
        <v>45381</v>
      </c>
      <c r="AE183" s="67">
        <v>45382</v>
      </c>
    </row>
    <row r="184" spans="1:31" ht="12.5">
      <c r="A184" s="10">
        <v>610423040014</v>
      </c>
      <c r="B184" s="10" t="str">
        <v>SUSENAS24-LAPANGAN-SEMESTER1</v>
      </c>
      <c r="C184" s="10">
        <v>0</v>
      </c>
      <c r="D184" s="10">
        <f ca="1"/>
        <v>1</v>
      </c>
      <c r="E184" s="10" t="str">
        <v>Fransiska Romana</v>
      </c>
      <c r="F184" s="10" t="str">
        <v>PPL</v>
      </c>
      <c r="G184" s="10" t="str">
        <v>6107036103910001</v>
      </c>
      <c r="H184" s="10" t="str">
        <v>PENDATAAN</v>
      </c>
      <c r="I184" s="10" t="str">
        <v>SUSENAS24-LAPANGAN-SEMESTER1-PPL-PENDATAAN</v>
      </c>
      <c r="J184" s="10" t="str">
        <v>Rumah Tangga</v>
      </c>
      <c r="K184" s="66">
        <v>119000</v>
      </c>
      <c r="L184" s="10">
        <v>20</v>
      </c>
      <c r="M184" s="10">
        <v>2380000</v>
      </c>
      <c r="N184" s="70">
        <v>0</v>
      </c>
      <c r="O184" s="67">
        <v>45367</v>
      </c>
      <c r="P184" s="10">
        <v>2024</v>
      </c>
      <c r="Q184" s="10">
        <v>3</v>
      </c>
      <c r="R184" s="10" t="str">
        <v>SURVEI-PPL</v>
      </c>
      <c r="S184" s="10" t="str">
        <v>610423040014-2024-3</v>
      </c>
      <c r="T184" s="10" t="str">
        <v>610423040014-2024-3-SURVEI-PPL</v>
      </c>
      <c r="U184" s="10">
        <v>1</v>
      </c>
      <c r="V184" s="10" t="e">
        <f ca="1"/>
        <v>#NAME?</v>
      </c>
      <c r="W184" s="67">
        <v>45376</v>
      </c>
      <c r="X184" s="11" t="str">
        <v>Susenas Maret 2024</v>
      </c>
      <c r="Y184" s="11" t="str">
        <v>TOHO</v>
      </c>
      <c r="Z184" s="11" t="str">
        <v>TOHO ILIR</v>
      </c>
      <c r="AA184" s="67">
        <v>45351</v>
      </c>
      <c r="AB184" s="67">
        <v>45352</v>
      </c>
      <c r="AC184" s="67">
        <v>45382</v>
      </c>
      <c r="AD184" s="67">
        <v>45381</v>
      </c>
      <c r="AE184" s="67">
        <v>45382</v>
      </c>
    </row>
    <row r="185" spans="1:31" ht="12.5">
      <c r="A185" s="10">
        <v>610423040022</v>
      </c>
      <c r="B185" s="10" t="str">
        <v>SUSENAS24-LAPANGAN-SEMESTER1</v>
      </c>
      <c r="C185" s="10">
        <v>0</v>
      </c>
      <c r="D185" s="10">
        <f ca="1"/>
        <v>1</v>
      </c>
      <c r="E185" s="10" t="str">
        <v>Alip Susanto</v>
      </c>
      <c r="F185" s="10" t="str">
        <v>PPL</v>
      </c>
      <c r="G185" s="10" t="str">
        <v>6102172001980001</v>
      </c>
      <c r="H185" s="10" t="str">
        <v>PENDATAAN</v>
      </c>
      <c r="I185" s="10" t="str">
        <v>SUSENAS24-LAPANGAN-SEMESTER1-PPL-PENDATAAN</v>
      </c>
      <c r="J185" s="10" t="str">
        <v>Rumah Tangga</v>
      </c>
      <c r="K185" s="66">
        <v>119000</v>
      </c>
      <c r="L185" s="10">
        <v>20</v>
      </c>
      <c r="M185" s="10">
        <v>2380000</v>
      </c>
      <c r="N185" s="70">
        <v>0</v>
      </c>
      <c r="O185" s="67">
        <v>45367</v>
      </c>
      <c r="P185" s="10">
        <v>2024</v>
      </c>
      <c r="Q185" s="10">
        <v>3</v>
      </c>
      <c r="R185" s="10" t="str">
        <v>SURVEI-PPL</v>
      </c>
      <c r="S185" s="10" t="str">
        <v>610423040022-2024-3</v>
      </c>
      <c r="T185" s="10" t="str">
        <v>610423040022-2024-3-SURVEI-PPL</v>
      </c>
      <c r="U185" s="10">
        <v>1</v>
      </c>
      <c r="V185" s="10" t="e">
        <f ca="1"/>
        <v>#NAME?</v>
      </c>
      <c r="W185" s="67">
        <v>45376</v>
      </c>
      <c r="X185" s="11" t="str">
        <v>Susenas Maret 2024</v>
      </c>
      <c r="Y185" s="11" t="str">
        <v>SADANIANG</v>
      </c>
      <c r="Z185" s="11" t="str">
        <v>BUMBUN</v>
      </c>
      <c r="AA185" s="67">
        <v>45351</v>
      </c>
      <c r="AB185" s="67">
        <v>45352</v>
      </c>
      <c r="AC185" s="67">
        <v>45382</v>
      </c>
      <c r="AD185" s="67">
        <v>45381</v>
      </c>
      <c r="AE185" s="67">
        <v>45382</v>
      </c>
    </row>
    <row r="186" spans="1:31" ht="12.5">
      <c r="A186" s="10">
        <v>610423030004</v>
      </c>
      <c r="B186" s="10" t="str">
        <v>SUSENAS24-LAPANGAN-SEMESTER1</v>
      </c>
      <c r="C186" s="10">
        <v>0</v>
      </c>
      <c r="D186" s="10">
        <f ca="1"/>
        <v>1</v>
      </c>
      <c r="E186" s="10" t="str">
        <v>Laras Nanda Julita</v>
      </c>
      <c r="F186" s="10" t="str">
        <v>PPL</v>
      </c>
      <c r="G186" s="10" t="str">
        <v>6102074407000003</v>
      </c>
      <c r="H186" s="10" t="str">
        <v>PENDATAAN</v>
      </c>
      <c r="I186" s="10" t="str">
        <v>SUSENAS24-LAPANGAN-SEMESTER1-PPL-PENDATAAN</v>
      </c>
      <c r="J186" s="10" t="str">
        <v>Rumah Tangga</v>
      </c>
      <c r="K186" s="66">
        <v>119000</v>
      </c>
      <c r="L186" s="10">
        <v>20</v>
      </c>
      <c r="M186" s="10">
        <v>2380000</v>
      </c>
      <c r="N186" s="70">
        <v>0</v>
      </c>
      <c r="O186" s="67">
        <v>45367</v>
      </c>
      <c r="P186" s="10">
        <v>2024</v>
      </c>
      <c r="Q186" s="10">
        <v>3</v>
      </c>
      <c r="R186" s="10" t="str">
        <v>SURVEI-PPL</v>
      </c>
      <c r="S186" s="10" t="str">
        <v>610423030004-2024-3</v>
      </c>
      <c r="T186" s="10" t="str">
        <v>610423030004-2024-3-SURVEI-PPL</v>
      </c>
      <c r="U186" s="10">
        <v>1</v>
      </c>
      <c r="V186" s="10" t="e">
        <f ca="1"/>
        <v>#NAME?</v>
      </c>
      <c r="W186" s="67">
        <v>45376</v>
      </c>
      <c r="X186" s="11" t="str">
        <v>Susenas Maret 2024</v>
      </c>
      <c r="Y186" s="11" t="str">
        <v>SUNGAI PINYUH</v>
      </c>
      <c r="Z186" s="11" t="str">
        <v>GALANG</v>
      </c>
      <c r="AA186" s="67">
        <v>45351</v>
      </c>
      <c r="AB186" s="67">
        <v>45352</v>
      </c>
      <c r="AC186" s="67">
        <v>45382</v>
      </c>
      <c r="AD186" s="67">
        <v>45381</v>
      </c>
      <c r="AE186" s="67">
        <v>45382</v>
      </c>
    </row>
    <row r="187" spans="1:31" ht="12.5">
      <c r="A187" s="10">
        <v>610423040004</v>
      </c>
      <c r="B187" s="10" t="str">
        <v>SUSENAS24-LAPANGAN-SEMESTER1</v>
      </c>
      <c r="C187" s="10">
        <v>0</v>
      </c>
      <c r="D187" s="10">
        <f ca="1"/>
        <v>1</v>
      </c>
      <c r="E187" s="10" t="str">
        <v>Ayu Agustin</v>
      </c>
      <c r="F187" s="10" t="str">
        <v>PPL</v>
      </c>
      <c r="G187" s="10" t="str">
        <v>6111025008930002</v>
      </c>
      <c r="H187" s="10" t="str">
        <v>PENDATAAN</v>
      </c>
      <c r="I187" s="10" t="str">
        <v>SUSENAS24-LAPANGAN-SEMESTER1-PPL-PENDATAAN</v>
      </c>
      <c r="J187" s="10" t="str">
        <v>Rumah Tangga</v>
      </c>
      <c r="K187" s="66">
        <v>119000</v>
      </c>
      <c r="L187" s="10">
        <v>10</v>
      </c>
      <c r="M187" s="10">
        <v>1190000</v>
      </c>
      <c r="N187" s="70">
        <v>0</v>
      </c>
      <c r="O187" s="67">
        <v>45367</v>
      </c>
      <c r="P187" s="10">
        <v>2024</v>
      </c>
      <c r="Q187" s="10">
        <v>3</v>
      </c>
      <c r="R187" s="10" t="str">
        <v>SURVEI-PPL</v>
      </c>
      <c r="S187" s="10" t="str">
        <v>610423040004-2024-3</v>
      </c>
      <c r="T187" s="10" t="str">
        <v>610423040004-2024-3-SURVEI-PPL</v>
      </c>
      <c r="U187" s="10">
        <v>1</v>
      </c>
      <c r="V187" s="10" t="e">
        <f ca="1"/>
        <v>#NAME?</v>
      </c>
      <c r="W187" s="67">
        <v>45376</v>
      </c>
      <c r="X187" s="11" t="str">
        <v>Susenas Maret 2024</v>
      </c>
      <c r="Y187" s="11" t="str">
        <v>ANJONGAN</v>
      </c>
      <c r="Z187" s="11" t="str">
        <v>KEPAYANG</v>
      </c>
      <c r="AA187" s="67">
        <v>45351</v>
      </c>
      <c r="AB187" s="67">
        <v>45352</v>
      </c>
      <c r="AC187" s="67">
        <v>45382</v>
      </c>
      <c r="AD187" s="67">
        <v>45381</v>
      </c>
      <c r="AE187" s="67">
        <v>45382</v>
      </c>
    </row>
    <row r="188" spans="1:31" ht="12.5">
      <c r="A188" s="10">
        <v>610423040006</v>
      </c>
      <c r="B188" s="10" t="str">
        <v>SUSENAS24-LAPANGAN-SEMESTER1</v>
      </c>
      <c r="C188" s="10">
        <v>0</v>
      </c>
      <c r="D188" s="10">
        <f ca="1"/>
        <v>1</v>
      </c>
      <c r="E188" s="10" t="str">
        <v>Mitasya Fitri Nainggolan</v>
      </c>
      <c r="F188" s="10" t="str">
        <v>PPL</v>
      </c>
      <c r="G188" s="10" t="str">
        <v>6102185705000003</v>
      </c>
      <c r="H188" s="10" t="str">
        <v>PENDATAAN</v>
      </c>
      <c r="I188" s="10" t="str">
        <v>SUSENAS24-LAPANGAN-SEMESTER1-PPL-PENDATAAN</v>
      </c>
      <c r="J188" s="10" t="str">
        <v>Rumah Tangga</v>
      </c>
      <c r="K188" s="66">
        <v>119000</v>
      </c>
      <c r="L188" s="10">
        <v>20</v>
      </c>
      <c r="M188" s="10">
        <v>2380000</v>
      </c>
      <c r="N188" s="70">
        <v>0</v>
      </c>
      <c r="O188" s="67">
        <v>45367</v>
      </c>
      <c r="P188" s="10">
        <v>2024</v>
      </c>
      <c r="Q188" s="10">
        <v>3</v>
      </c>
      <c r="R188" s="10" t="str">
        <v>SURVEI-PPL</v>
      </c>
      <c r="S188" s="10" t="str">
        <v>610423040006-2024-3</v>
      </c>
      <c r="T188" s="10" t="str">
        <v>610423040006-2024-3-SURVEI-PPL</v>
      </c>
      <c r="U188" s="10">
        <v>1</v>
      </c>
      <c r="V188" s="10" t="e">
        <f ca="1"/>
        <v>#NAME?</v>
      </c>
      <c r="W188" s="67">
        <v>45376</v>
      </c>
      <c r="X188" s="11" t="str">
        <v>Susenas Maret 2024</v>
      </c>
      <c r="Y188" s="11" t="str">
        <v>MEMPAWAH TIMUR</v>
      </c>
      <c r="Z188" s="11" t="str">
        <v>ANTIBAR</v>
      </c>
      <c r="AA188" s="67">
        <v>45351</v>
      </c>
      <c r="AB188" s="67">
        <v>45352</v>
      </c>
      <c r="AC188" s="67">
        <v>45382</v>
      </c>
      <c r="AD188" s="67">
        <v>45381</v>
      </c>
      <c r="AE188" s="67">
        <v>45382</v>
      </c>
    </row>
    <row r="189" spans="1:31" ht="12.5">
      <c r="A189" s="10">
        <v>610423040013</v>
      </c>
      <c r="B189" s="10" t="str">
        <v>SUSENAS24-LAPANGAN-SEMESTER1</v>
      </c>
      <c r="C189" s="10">
        <v>0</v>
      </c>
      <c r="D189" s="10">
        <f ca="1"/>
        <v>1</v>
      </c>
      <c r="E189" s="10" t="str">
        <v>Lulu Gesti Gunawati</v>
      </c>
      <c r="F189" s="10" t="str">
        <v>PPL</v>
      </c>
      <c r="G189" s="10" t="str">
        <v>3314066101000001</v>
      </c>
      <c r="H189" s="10" t="str">
        <v>PENDATAAN</v>
      </c>
      <c r="I189" s="10" t="str">
        <v>SUSENAS24-LAPANGAN-SEMESTER1-PPL-PENDATAAN</v>
      </c>
      <c r="J189" s="10" t="str">
        <v>Rumah Tangga</v>
      </c>
      <c r="K189" s="66">
        <v>119000</v>
      </c>
      <c r="L189" s="10">
        <v>10</v>
      </c>
      <c r="M189" s="10">
        <v>1190000</v>
      </c>
      <c r="N189" s="70">
        <v>0</v>
      </c>
      <c r="O189" s="67">
        <v>45367</v>
      </c>
      <c r="P189" s="10">
        <v>2024</v>
      </c>
      <c r="Q189" s="10">
        <v>3</v>
      </c>
      <c r="R189" s="10" t="str">
        <v>SURVEI-PPL</v>
      </c>
      <c r="S189" s="10" t="str">
        <v>610423040013-2024-3</v>
      </c>
      <c r="T189" s="10" t="str">
        <v>610423040013-2024-3-SURVEI-PPL</v>
      </c>
      <c r="U189" s="10">
        <v>1</v>
      </c>
      <c r="V189" s="10" t="e">
        <f ca="1"/>
        <v>#NAME?</v>
      </c>
      <c r="W189" s="67">
        <v>45376</v>
      </c>
      <c r="X189" s="11" t="str">
        <v>Susenas Maret 2024</v>
      </c>
      <c r="Y189" s="11" t="str">
        <v>SUNGAI KUNYIT</v>
      </c>
      <c r="Z189" s="11" t="str">
        <v>MENDALOK</v>
      </c>
      <c r="AA189" s="67">
        <v>45351</v>
      </c>
      <c r="AB189" s="67">
        <v>45352</v>
      </c>
      <c r="AC189" s="67">
        <v>45382</v>
      </c>
      <c r="AD189" s="67">
        <v>45381</v>
      </c>
      <c r="AE189" s="67">
        <v>45382</v>
      </c>
    </row>
    <row r="190" spans="1:31" ht="12.5">
      <c r="A190" s="10">
        <v>610423090019</v>
      </c>
      <c r="B190" s="10" t="str">
        <v>SUSENAS24-LAPANGAN-SEMESTER1</v>
      </c>
      <c r="C190" s="10">
        <v>0</v>
      </c>
      <c r="D190" s="10">
        <f ca="1"/>
        <v>1</v>
      </c>
      <c r="E190" s="10" t="str">
        <v>Nurul Huda</v>
      </c>
      <c r="F190" s="10" t="str">
        <v>PPL</v>
      </c>
      <c r="G190" s="10" t="str">
        <v>6102014511840003</v>
      </c>
      <c r="H190" s="10" t="str">
        <v>PENDATAAN</v>
      </c>
      <c r="I190" s="10" t="str">
        <v>SUSENAS24-LAPANGAN-SEMESTER1-PPL-PENDATAAN</v>
      </c>
      <c r="J190" s="10" t="str">
        <v>Rumah Tangga</v>
      </c>
      <c r="K190" s="66">
        <v>119000</v>
      </c>
      <c r="L190" s="10">
        <v>20</v>
      </c>
      <c r="M190" s="10">
        <v>2380000</v>
      </c>
      <c r="N190" s="70">
        <v>0</v>
      </c>
      <c r="O190" s="67">
        <v>45367</v>
      </c>
      <c r="P190" s="10">
        <v>2024</v>
      </c>
      <c r="Q190" s="10">
        <v>3</v>
      </c>
      <c r="R190" s="10" t="str">
        <v>SURVEI-PPL</v>
      </c>
      <c r="S190" s="10" t="str">
        <v>610423090019-2024-3</v>
      </c>
      <c r="T190" s="10" t="str">
        <v>610423090019-2024-3-SURVEI-PPL</v>
      </c>
      <c r="U190" s="10">
        <v>1</v>
      </c>
      <c r="V190" s="10" t="e">
        <f ca="1"/>
        <v>#NAME?</v>
      </c>
      <c r="W190" s="67">
        <v>45376</v>
      </c>
      <c r="X190" s="11" t="str">
        <v>Susenas Maret 2024</v>
      </c>
      <c r="Y190" s="11" t="str">
        <v>MEMPAWAH HILIR</v>
      </c>
      <c r="Z190" s="11" t="str">
        <v>KUALA SECAPAH</v>
      </c>
      <c r="AA190" s="67">
        <v>45351</v>
      </c>
      <c r="AB190" s="67">
        <v>45352</v>
      </c>
      <c r="AC190" s="67">
        <v>45382</v>
      </c>
      <c r="AD190" s="67">
        <v>45381</v>
      </c>
      <c r="AE190" s="67">
        <v>45382</v>
      </c>
    </row>
    <row r="191" spans="1:31" ht="12.5">
      <c r="A191" s="10">
        <v>610422100165</v>
      </c>
      <c r="B191" s="10" t="str">
        <v>SUSENAS24-LAPANGAN-SEMESTER1</v>
      </c>
      <c r="C191" s="10">
        <v>0</v>
      </c>
      <c r="D191" s="10">
        <f ca="1"/>
        <v>1</v>
      </c>
      <c r="E191" s="10" t="str">
        <v>Yanti</v>
      </c>
      <c r="F191" s="10" t="str">
        <v>PPL</v>
      </c>
      <c r="G191" s="10" t="str">
        <v>6102074803980002</v>
      </c>
      <c r="H191" s="10" t="str">
        <v>PENDATAAN</v>
      </c>
      <c r="I191" s="10" t="str">
        <v>SUSENAS24-LAPANGAN-SEMESTER1-PPL-PENDATAAN</v>
      </c>
      <c r="J191" s="10" t="str">
        <v>Rumah Tangga</v>
      </c>
      <c r="K191" s="66">
        <v>119000</v>
      </c>
      <c r="L191" s="10">
        <v>20</v>
      </c>
      <c r="M191" s="10">
        <v>2380000</v>
      </c>
      <c r="N191" s="70">
        <v>0</v>
      </c>
      <c r="O191" s="67">
        <v>45367</v>
      </c>
      <c r="P191" s="10">
        <v>2024</v>
      </c>
      <c r="Q191" s="10">
        <v>3</v>
      </c>
      <c r="R191" s="10" t="str">
        <v>SURVEI-PPL</v>
      </c>
      <c r="S191" s="10" t="str">
        <v>610422100165-2024-3</v>
      </c>
      <c r="T191" s="10" t="str">
        <v>610422100165-2024-3-SURVEI-PPL</v>
      </c>
      <c r="U191" s="10">
        <v>1</v>
      </c>
      <c r="V191" s="10" t="e">
        <f ca="1"/>
        <v>#NAME?</v>
      </c>
      <c r="W191" s="67">
        <v>45376</v>
      </c>
      <c r="X191" s="11" t="str">
        <v>Susenas Maret 2024</v>
      </c>
      <c r="Y191" s="11" t="str">
        <v>SUNGAI PINYUH</v>
      </c>
      <c r="Z191" s="11" t="str">
        <v>SUNGAI BAKAU BESAR LAUT</v>
      </c>
      <c r="AA191" s="67">
        <v>45351</v>
      </c>
      <c r="AB191" s="67">
        <v>45352</v>
      </c>
      <c r="AC191" s="67">
        <v>45382</v>
      </c>
      <c r="AD191" s="67">
        <v>45381</v>
      </c>
      <c r="AE191" s="67">
        <v>45382</v>
      </c>
    </row>
    <row r="192" spans="1:31" ht="12.5">
      <c r="A192" s="10">
        <v>610422100139</v>
      </c>
      <c r="B192" s="10" t="str">
        <v>SUSENAS24-LAPANGAN-SEMESTER1</v>
      </c>
      <c r="C192" s="10">
        <v>0</v>
      </c>
      <c r="D192" s="10">
        <f ca="1"/>
        <v>1</v>
      </c>
      <c r="E192" s="10" t="str">
        <v>Winda Dwi Ananda</v>
      </c>
      <c r="F192" s="10" t="str">
        <v>PPL</v>
      </c>
      <c r="G192" s="10" t="str">
        <v>6102016812990001</v>
      </c>
      <c r="H192" s="10" t="str">
        <v>PENDATAAN</v>
      </c>
      <c r="I192" s="10" t="str">
        <v>SUSENAS24-LAPANGAN-SEMESTER1-PPL-PENDATAAN</v>
      </c>
      <c r="J192" s="10" t="str">
        <v>Rumah Tangga</v>
      </c>
      <c r="K192" s="66">
        <v>119000</v>
      </c>
      <c r="L192" s="10">
        <v>10</v>
      </c>
      <c r="M192" s="10">
        <v>1190000</v>
      </c>
      <c r="N192" s="70">
        <v>0</v>
      </c>
      <c r="O192" s="67">
        <v>45367</v>
      </c>
      <c r="P192" s="10">
        <v>2024</v>
      </c>
      <c r="Q192" s="10">
        <v>3</v>
      </c>
      <c r="R192" s="10" t="str">
        <v>SURVEI-PPL</v>
      </c>
      <c r="S192" s="10" t="str">
        <v>610422100139-2024-3</v>
      </c>
      <c r="T192" s="10" t="str">
        <v>610422100139-2024-3-SURVEI-PPL</v>
      </c>
      <c r="U192" s="10">
        <v>1</v>
      </c>
      <c r="V192" s="10" t="e">
        <f ca="1"/>
        <v>#NAME?</v>
      </c>
      <c r="W192" s="67">
        <v>45376</v>
      </c>
      <c r="X192" s="11" t="str">
        <v>Susenas Maret 2024</v>
      </c>
      <c r="Y192" s="11" t="str">
        <v>MEMPAWAH HILIR</v>
      </c>
      <c r="Z192" s="11" t="str">
        <v>PENIBUNG</v>
      </c>
      <c r="AA192" s="67">
        <v>45351</v>
      </c>
      <c r="AB192" s="67">
        <v>45352</v>
      </c>
      <c r="AC192" s="67">
        <v>45382</v>
      </c>
      <c r="AD192" s="67">
        <v>45381</v>
      </c>
      <c r="AE192" s="67">
        <v>45382</v>
      </c>
    </row>
    <row r="193" spans="1:31" ht="12.5">
      <c r="A193" s="10">
        <v>610422100137</v>
      </c>
      <c r="B193" s="10" t="str">
        <v>SUSENAS24-LAPANGAN-SEMESTER1</v>
      </c>
      <c r="C193" s="10">
        <v>0</v>
      </c>
      <c r="D193" s="10">
        <f ca="1"/>
        <v>1</v>
      </c>
      <c r="E193" s="10" t="str">
        <v>Masturi</v>
      </c>
      <c r="F193" s="10" t="str">
        <v>PPL</v>
      </c>
      <c r="G193" s="10" t="str">
        <v>6102060709870002</v>
      </c>
      <c r="H193" s="10" t="str">
        <v>PENDATAAN</v>
      </c>
      <c r="I193" s="10" t="str">
        <v>SUSENAS24-LAPANGAN-SEMESTER1-PPL-PENDATAAN</v>
      </c>
      <c r="J193" s="10" t="str">
        <v>Rumah Tangga</v>
      </c>
      <c r="K193" s="66">
        <v>119000</v>
      </c>
      <c r="L193" s="10">
        <v>10</v>
      </c>
      <c r="M193" s="10">
        <v>1190000</v>
      </c>
      <c r="N193" s="70">
        <v>0</v>
      </c>
      <c r="O193" s="67">
        <v>45367</v>
      </c>
      <c r="P193" s="10">
        <v>2024</v>
      </c>
      <c r="Q193" s="10">
        <v>3</v>
      </c>
      <c r="R193" s="10" t="str">
        <v>SURVEI-PPL</v>
      </c>
      <c r="S193" s="10" t="str">
        <v>610422100137-2024-3</v>
      </c>
      <c r="T193" s="10" t="str">
        <v>610422100137-2024-3-SURVEI-PPL</v>
      </c>
      <c r="U193" s="10">
        <v>1</v>
      </c>
      <c r="V193" s="10" t="e">
        <f ca="1"/>
        <v>#NAME?</v>
      </c>
      <c r="W193" s="67">
        <v>45376</v>
      </c>
      <c r="X193" s="11" t="str">
        <v>Susenas Maret 2024</v>
      </c>
      <c r="Y193" s="11" t="str">
        <v>TOHO</v>
      </c>
      <c r="Z193" s="11" t="str">
        <v>SAMBORA</v>
      </c>
      <c r="AA193" s="67">
        <v>45351</v>
      </c>
      <c r="AB193" s="67">
        <v>45352</v>
      </c>
      <c r="AC193" s="67">
        <v>45382</v>
      </c>
      <c r="AD193" s="67">
        <v>45381</v>
      </c>
      <c r="AE193" s="67">
        <v>45382</v>
      </c>
    </row>
    <row r="194" spans="1:31" ht="12.5">
      <c r="A194" s="10">
        <v>610422100144</v>
      </c>
      <c r="B194" s="10" t="str">
        <v>SUSENAS24-LAPANGAN-SEMESTER1</v>
      </c>
      <c r="C194" s="10">
        <v>0</v>
      </c>
      <c r="D194" s="10">
        <f ca="1"/>
        <v>1</v>
      </c>
      <c r="E194" s="10" t="str">
        <v>Irfan Faozi Sunaryo</v>
      </c>
      <c r="F194" s="10" t="str">
        <v>PPL</v>
      </c>
      <c r="G194" s="10" t="str">
        <v>6102122710990001</v>
      </c>
      <c r="H194" s="10" t="str">
        <v>PENDATAAN</v>
      </c>
      <c r="I194" s="10" t="str">
        <v>SUSENAS24-LAPANGAN-SEMESTER1-PPL-PENDATAAN</v>
      </c>
      <c r="J194" s="10" t="str">
        <v>Rumah Tangga</v>
      </c>
      <c r="K194" s="66">
        <v>119000</v>
      </c>
      <c r="L194" s="10">
        <v>10</v>
      </c>
      <c r="M194" s="10">
        <v>1190000</v>
      </c>
      <c r="N194" s="70">
        <v>0</v>
      </c>
      <c r="O194" s="67">
        <v>45367</v>
      </c>
      <c r="P194" s="10">
        <v>2024</v>
      </c>
      <c r="Q194" s="10">
        <v>3</v>
      </c>
      <c r="R194" s="10" t="str">
        <v>SURVEI-PPL</v>
      </c>
      <c r="S194" s="10" t="str">
        <v>610422100144-2024-3</v>
      </c>
      <c r="T194" s="10" t="str">
        <v>610422100144-2024-3-SURVEI-PPL</v>
      </c>
      <c r="U194" s="10">
        <v>1</v>
      </c>
      <c r="V194" s="10" t="e">
        <f ca="1"/>
        <v>#NAME?</v>
      </c>
      <c r="W194" s="67">
        <v>45376</v>
      </c>
      <c r="X194" s="11" t="str">
        <v>Susenas Maret 2024</v>
      </c>
      <c r="Y194" s="11" t="str">
        <v>SUNGAI KUNYIT</v>
      </c>
      <c r="Z194" s="11" t="str">
        <v>SUNGAI DURI I</v>
      </c>
      <c r="AA194" s="67">
        <v>45351</v>
      </c>
      <c r="AB194" s="67">
        <v>45352</v>
      </c>
      <c r="AC194" s="67">
        <v>45382</v>
      </c>
      <c r="AD194" s="67">
        <v>45381</v>
      </c>
      <c r="AE194" s="67">
        <v>45382</v>
      </c>
    </row>
    <row r="195" spans="1:31" ht="12.5">
      <c r="A195" s="10">
        <v>610422100236</v>
      </c>
      <c r="B195" s="10" t="str">
        <v>SUSENAS24-LAPANGAN-SEMESTER1</v>
      </c>
      <c r="C195" s="10">
        <v>0</v>
      </c>
      <c r="D195" s="10">
        <f ca="1"/>
        <v>1</v>
      </c>
      <c r="E195" s="10" t="str">
        <v>Tesa</v>
      </c>
      <c r="F195" s="10" t="str">
        <v>PPL</v>
      </c>
      <c r="G195" s="10" t="str">
        <v>6102174604010003</v>
      </c>
      <c r="H195" s="10" t="str">
        <v>PENDATAAN</v>
      </c>
      <c r="I195" s="10" t="str">
        <v>SUSENAS24-LAPANGAN-SEMESTER1-PPL-PENDATAAN</v>
      </c>
      <c r="J195" s="10" t="str">
        <v>Rumah Tangga</v>
      </c>
      <c r="K195" s="66">
        <v>119000</v>
      </c>
      <c r="L195" s="10">
        <v>20</v>
      </c>
      <c r="M195" s="10">
        <v>2380000</v>
      </c>
      <c r="N195" s="70">
        <v>0</v>
      </c>
      <c r="O195" s="67">
        <v>45367</v>
      </c>
      <c r="P195" s="10">
        <v>2024</v>
      </c>
      <c r="Q195" s="10">
        <v>3</v>
      </c>
      <c r="R195" s="10" t="str">
        <v>SURVEI-PPL</v>
      </c>
      <c r="S195" s="10" t="str">
        <v>610422100236-2024-3</v>
      </c>
      <c r="T195" s="10" t="str">
        <v>610422100236-2024-3-SURVEI-PPL</v>
      </c>
      <c r="U195" s="10">
        <v>1</v>
      </c>
      <c r="V195" s="10" t="e">
        <f ca="1"/>
        <v>#NAME?</v>
      </c>
      <c r="W195" s="67">
        <v>45376</v>
      </c>
      <c r="X195" s="11" t="str">
        <v>Susenas Maret 2024</v>
      </c>
      <c r="Y195" s="11" t="str">
        <v>SADANIANG</v>
      </c>
      <c r="Z195" s="11" t="str">
        <v>PENTEK</v>
      </c>
      <c r="AA195" s="67">
        <v>45351</v>
      </c>
      <c r="AB195" s="67">
        <v>45352</v>
      </c>
      <c r="AC195" s="67">
        <v>45382</v>
      </c>
      <c r="AD195" s="67">
        <v>45381</v>
      </c>
      <c r="AE195" s="67">
        <v>45382</v>
      </c>
    </row>
    <row r="196" spans="1:31" ht="12.5">
      <c r="A196" s="10">
        <v>610422100016</v>
      </c>
      <c r="B196" s="10" t="str">
        <v>SUSENAS24-LAPANGAN-SEMESTER1</v>
      </c>
      <c r="C196" s="10">
        <v>0</v>
      </c>
      <c r="D196" s="10">
        <f ca="1"/>
        <v>1</v>
      </c>
      <c r="E196" s="10" t="str">
        <v>Amalia Faisya</v>
      </c>
      <c r="F196" s="10" t="str">
        <v>PPL</v>
      </c>
      <c r="G196" s="10" t="str">
        <v>6102124210010005</v>
      </c>
      <c r="H196" s="10" t="str">
        <v>PENDATAAN</v>
      </c>
      <c r="I196" s="10" t="str">
        <v>SUSENAS24-LAPANGAN-SEMESTER1-PPL-PENDATAAN</v>
      </c>
      <c r="J196" s="10" t="str">
        <v>Rumah Tangga</v>
      </c>
      <c r="K196" s="66">
        <v>119000</v>
      </c>
      <c r="L196" s="10">
        <v>20</v>
      </c>
      <c r="M196" s="10">
        <v>2380000</v>
      </c>
      <c r="N196" s="70">
        <v>0</v>
      </c>
      <c r="O196" s="67">
        <v>45367</v>
      </c>
      <c r="P196" s="10">
        <v>2024</v>
      </c>
      <c r="Q196" s="10">
        <v>3</v>
      </c>
      <c r="R196" s="10" t="str">
        <v>SURVEI-PPL</v>
      </c>
      <c r="S196" s="10" t="str">
        <v>610422100016-2024-3</v>
      </c>
      <c r="T196" s="10" t="str">
        <v>610422100016-2024-3-SURVEI-PPL</v>
      </c>
      <c r="U196" s="10">
        <v>1</v>
      </c>
      <c r="V196" s="10" t="e">
        <f ca="1"/>
        <v>#NAME?</v>
      </c>
      <c r="W196" s="67">
        <v>45376</v>
      </c>
      <c r="X196" s="11" t="str">
        <v>Susenas Maret 2024</v>
      </c>
      <c r="Y196" s="11" t="str">
        <v>SUNGAI KUNYIT</v>
      </c>
      <c r="Z196" s="11" t="str">
        <v>SUNGAI KUNYIT LAUT</v>
      </c>
      <c r="AA196" s="67">
        <v>45351</v>
      </c>
      <c r="AB196" s="67">
        <v>45352</v>
      </c>
      <c r="AC196" s="67">
        <v>45382</v>
      </c>
      <c r="AD196" s="67">
        <v>45381</v>
      </c>
      <c r="AE196" s="67">
        <v>45382</v>
      </c>
    </row>
    <row r="197" spans="1:31" ht="12.5">
      <c r="A197" s="10">
        <v>610422100101</v>
      </c>
      <c r="B197" s="10" t="str">
        <v>SUSENAS24-LAPANGAN-SEMESTER1</v>
      </c>
      <c r="C197" s="10">
        <v>0</v>
      </c>
      <c r="D197" s="10">
        <f ca="1"/>
        <v>1</v>
      </c>
      <c r="E197" s="10" t="str">
        <v>Sukmawati,S.Si</v>
      </c>
      <c r="F197" s="10" t="str">
        <v>PPL</v>
      </c>
      <c r="G197" s="10" t="str">
        <v>3402135601880001</v>
      </c>
      <c r="H197" s="10" t="str">
        <v>PENDATAAN</v>
      </c>
      <c r="I197" s="10" t="str">
        <v>SUSENAS24-LAPANGAN-SEMESTER1-PPL-PENDATAAN</v>
      </c>
      <c r="J197" s="10" t="str">
        <v>Rumah Tangga</v>
      </c>
      <c r="K197" s="66">
        <v>119000</v>
      </c>
      <c r="L197" s="10">
        <v>20</v>
      </c>
      <c r="M197" s="10">
        <v>2380000</v>
      </c>
      <c r="N197" s="70">
        <v>0</v>
      </c>
      <c r="O197" s="67">
        <v>45367</v>
      </c>
      <c r="P197" s="10">
        <v>2024</v>
      </c>
      <c r="Q197" s="10">
        <v>3</v>
      </c>
      <c r="R197" s="10" t="str">
        <v>SURVEI-PPL</v>
      </c>
      <c r="S197" s="10" t="str">
        <v>610422100101-2024-3</v>
      </c>
      <c r="T197" s="10" t="str">
        <v>610422100101-2024-3-SURVEI-PPL</v>
      </c>
      <c r="U197" s="10">
        <v>1</v>
      </c>
      <c r="V197" s="10" t="e">
        <f ca="1"/>
        <v>#NAME?</v>
      </c>
      <c r="W197" s="67">
        <v>45376</v>
      </c>
      <c r="X197" s="11" t="str">
        <v>Susenas Maret 2024</v>
      </c>
      <c r="Y197" s="11" t="str">
        <v>ANJONGAN</v>
      </c>
      <c r="Z197" s="11" t="str">
        <v>ANJUNGAN MELANCAR</v>
      </c>
      <c r="AA197" s="67">
        <v>45351</v>
      </c>
      <c r="AB197" s="67">
        <v>45352</v>
      </c>
      <c r="AC197" s="67">
        <v>45382</v>
      </c>
      <c r="AD197" s="67">
        <v>45381</v>
      </c>
      <c r="AE197" s="67">
        <v>45382</v>
      </c>
    </row>
    <row r="198" spans="1:31" ht="12.5">
      <c r="A198" s="10">
        <v>610422100147</v>
      </c>
      <c r="B198" s="10" t="str">
        <v>SUSENAS24-LAPANGAN-SEMESTER1</v>
      </c>
      <c r="C198" s="10">
        <v>0</v>
      </c>
      <c r="D198" s="10">
        <f ca="1"/>
        <v>1</v>
      </c>
      <c r="E198" s="10" t="str">
        <v>Bella</v>
      </c>
      <c r="F198" s="10" t="str">
        <v>PPL</v>
      </c>
      <c r="G198" s="10" t="str">
        <v>6102067009940001</v>
      </c>
      <c r="H198" s="10" t="str">
        <v>PENDATAAN</v>
      </c>
      <c r="I198" s="10" t="str">
        <v>SUSENAS24-LAPANGAN-SEMESTER1-PPL-PENDATAAN</v>
      </c>
      <c r="J198" s="10" t="str">
        <v>Rumah Tangga</v>
      </c>
      <c r="K198" s="66">
        <v>119000</v>
      </c>
      <c r="L198" s="10">
        <v>20</v>
      </c>
      <c r="M198" s="10">
        <v>2380000</v>
      </c>
      <c r="N198" s="70">
        <v>0</v>
      </c>
      <c r="O198" s="67">
        <v>45367</v>
      </c>
      <c r="P198" s="10">
        <v>2024</v>
      </c>
      <c r="Q198" s="10">
        <v>3</v>
      </c>
      <c r="R198" s="10" t="str">
        <v>SURVEI-PPL</v>
      </c>
      <c r="S198" s="10" t="str">
        <v>610422100147-2024-3</v>
      </c>
      <c r="T198" s="10" t="str">
        <v>610422100147-2024-3-SURVEI-PPL</v>
      </c>
      <c r="U198" s="10">
        <v>1</v>
      </c>
      <c r="V198" s="10" t="e">
        <f ca="1"/>
        <v>#NAME?</v>
      </c>
      <c r="W198" s="67">
        <v>45376</v>
      </c>
      <c r="X198" s="11" t="str">
        <v>Susenas Maret 2024</v>
      </c>
      <c r="Y198" s="11" t="str">
        <v>TOHO</v>
      </c>
      <c r="Z198" s="11" t="str">
        <v>TOHO ILIR</v>
      </c>
      <c r="AA198" s="67">
        <v>45351</v>
      </c>
      <c r="AB198" s="67">
        <v>45352</v>
      </c>
      <c r="AC198" s="67">
        <v>45382</v>
      </c>
      <c r="AD198" s="67">
        <v>45381</v>
      </c>
      <c r="AE198" s="67">
        <v>45382</v>
      </c>
    </row>
    <row r="199" spans="1:31" ht="12.5">
      <c r="A199" s="10">
        <v>610422050008</v>
      </c>
      <c r="B199" s="10" t="str">
        <v>SUSENAS24-LAPANGAN-SEMESTER1</v>
      </c>
      <c r="C199" s="10">
        <v>0</v>
      </c>
      <c r="D199" s="10">
        <f ca="1"/>
        <v>1</v>
      </c>
      <c r="E199" s="10" t="str">
        <v>Desi Natalia</v>
      </c>
      <c r="F199" s="10" t="str">
        <v>PPL</v>
      </c>
      <c r="G199" s="10" t="str">
        <v>6102066912860001</v>
      </c>
      <c r="H199" s="10" t="str">
        <v>PENDATAAN</v>
      </c>
      <c r="I199" s="10" t="str">
        <v>SUSENAS24-LAPANGAN-SEMESTER1-PPL-PENDATAAN</v>
      </c>
      <c r="J199" s="10" t="str">
        <v>Rumah Tangga</v>
      </c>
      <c r="K199" s="66">
        <v>119000</v>
      </c>
      <c r="L199" s="10">
        <v>20</v>
      </c>
      <c r="M199" s="10">
        <v>2380000</v>
      </c>
      <c r="N199" s="70">
        <v>0</v>
      </c>
      <c r="O199" s="67">
        <v>45367</v>
      </c>
      <c r="P199" s="10">
        <v>2024</v>
      </c>
      <c r="Q199" s="10">
        <v>3</v>
      </c>
      <c r="R199" s="10" t="str">
        <v>SURVEI-PPL</v>
      </c>
      <c r="S199" s="10" t="str">
        <v>610422050008-2024-3</v>
      </c>
      <c r="T199" s="10" t="str">
        <v>610422050008-2024-3-SURVEI-PPL</v>
      </c>
      <c r="U199" s="10">
        <v>1</v>
      </c>
      <c r="V199" s="10" t="e">
        <f ca="1"/>
        <v>#NAME?</v>
      </c>
      <c r="W199" s="67">
        <v>45376</v>
      </c>
      <c r="X199" s="11" t="str">
        <v>Susenas Maret 2024</v>
      </c>
      <c r="Y199" s="11" t="str">
        <v>TOHO</v>
      </c>
      <c r="Z199" s="11" t="str">
        <v>TERAP</v>
      </c>
      <c r="AA199" s="67">
        <v>45351</v>
      </c>
      <c r="AB199" s="67">
        <v>45352</v>
      </c>
      <c r="AC199" s="67">
        <v>45382</v>
      </c>
      <c r="AD199" s="67">
        <v>45381</v>
      </c>
      <c r="AE199" s="67">
        <v>45382</v>
      </c>
    </row>
    <row r="200" spans="1:31" ht="12.5">
      <c r="A200" s="10">
        <v>610422100085</v>
      </c>
      <c r="B200" s="10" t="str">
        <v>SUSENAS24-LAPANGAN-SEMESTER1</v>
      </c>
      <c r="C200" s="10">
        <v>0</v>
      </c>
      <c r="D200" s="10">
        <f ca="1"/>
        <v>1</v>
      </c>
      <c r="E200" s="10" t="str">
        <v>Lina Agustin Widya Siwi</v>
      </c>
      <c r="F200" s="10" t="str">
        <v>PPL</v>
      </c>
      <c r="G200" s="10" t="str">
        <v>3301225608850001</v>
      </c>
      <c r="H200" s="10" t="str">
        <v>PENDATAAN</v>
      </c>
      <c r="I200" s="10" t="str">
        <v>SUSENAS24-LAPANGAN-SEMESTER1-PPL-PENDATAAN</v>
      </c>
      <c r="J200" s="10" t="str">
        <v>Rumah Tangga</v>
      </c>
      <c r="K200" s="66">
        <v>119000</v>
      </c>
      <c r="L200" s="10">
        <v>10</v>
      </c>
      <c r="M200" s="10">
        <v>1190000</v>
      </c>
      <c r="N200" s="70">
        <v>0</v>
      </c>
      <c r="O200" s="67">
        <v>45367</v>
      </c>
      <c r="P200" s="10">
        <v>2024</v>
      </c>
      <c r="Q200" s="10">
        <v>3</v>
      </c>
      <c r="R200" s="10" t="str">
        <v>SURVEI-PPL</v>
      </c>
      <c r="S200" s="10" t="str">
        <v>610422100085-2024-3</v>
      </c>
      <c r="T200" s="10" t="str">
        <v>610422100085-2024-3-SURVEI-PPL</v>
      </c>
      <c r="U200" s="10">
        <v>1</v>
      </c>
      <c r="V200" s="10" t="e">
        <f ca="1"/>
        <v>#NAME?</v>
      </c>
      <c r="W200" s="67">
        <v>45376</v>
      </c>
      <c r="X200" s="11" t="str">
        <v>Susenas Maret 2024</v>
      </c>
      <c r="Y200" s="11" t="str">
        <v>SUNGAI PINYUH</v>
      </c>
      <c r="Z200" s="11" t="str">
        <v>NUSAPATI</v>
      </c>
      <c r="AA200" s="67">
        <v>45351</v>
      </c>
      <c r="AB200" s="67">
        <v>45352</v>
      </c>
      <c r="AC200" s="67">
        <v>45382</v>
      </c>
      <c r="AD200" s="67">
        <v>45381</v>
      </c>
      <c r="AE200" s="67">
        <v>45382</v>
      </c>
    </row>
    <row r="201" spans="1:31" ht="12.5">
      <c r="A201" s="10">
        <v>610422060001</v>
      </c>
      <c r="B201" s="10" t="str">
        <v>SUSENAS24-LAPANGAN-SEMESTER1</v>
      </c>
      <c r="C201" s="10">
        <v>0</v>
      </c>
      <c r="D201" s="10">
        <f ca="1"/>
        <v>1</v>
      </c>
      <c r="E201" s="10" t="str">
        <v>Elman</v>
      </c>
      <c r="F201" s="10" t="str">
        <v>PPL</v>
      </c>
      <c r="G201" s="10" t="str">
        <v>6102120510950002</v>
      </c>
      <c r="H201" s="10" t="str">
        <v>PENDATAAN</v>
      </c>
      <c r="I201" s="10" t="str">
        <v>SUSENAS24-LAPANGAN-SEMESTER1-PPL-PENDATAAN</v>
      </c>
      <c r="J201" s="10" t="str">
        <v>Rumah Tangga</v>
      </c>
      <c r="K201" s="66">
        <v>119000</v>
      </c>
      <c r="L201" s="10">
        <v>20</v>
      </c>
      <c r="M201" s="10">
        <v>2380000</v>
      </c>
      <c r="N201" s="70">
        <v>0</v>
      </c>
      <c r="O201" s="67">
        <v>45367</v>
      </c>
      <c r="P201" s="10">
        <v>2024</v>
      </c>
      <c r="Q201" s="10">
        <v>3</v>
      </c>
      <c r="R201" s="10" t="str">
        <v>SURVEI-PPL</v>
      </c>
      <c r="S201" s="10" t="str">
        <v>610422060001-2024-3</v>
      </c>
      <c r="T201" s="10" t="str">
        <v>610422060001-2024-3-SURVEI-PPL</v>
      </c>
      <c r="U201" s="10">
        <v>1</v>
      </c>
      <c r="V201" s="10" t="e">
        <f ca="1"/>
        <v>#NAME?</v>
      </c>
      <c r="W201" s="67">
        <v>45376</v>
      </c>
      <c r="X201" s="11" t="str">
        <v>Susenas Maret 2024</v>
      </c>
      <c r="Y201" s="11" t="str">
        <v>SUNGAI KUNYIT</v>
      </c>
      <c r="Z201" s="11" t="str">
        <v>SUNGAI KUNYIT HULU</v>
      </c>
      <c r="AA201" s="67">
        <v>45351</v>
      </c>
      <c r="AB201" s="67">
        <v>45352</v>
      </c>
      <c r="AC201" s="67">
        <v>45382</v>
      </c>
      <c r="AD201" s="67">
        <v>45381</v>
      </c>
      <c r="AE201" s="67">
        <v>45382</v>
      </c>
    </row>
    <row r="202" spans="1:31" ht="12.5">
      <c r="A202" s="10">
        <v>610422100001</v>
      </c>
      <c r="B202" s="10" t="str">
        <v>SUSENAS24-LAPANGAN-SEMESTER1</v>
      </c>
      <c r="C202" s="10">
        <v>0</v>
      </c>
      <c r="D202" s="10">
        <f ca="1"/>
        <v>1</v>
      </c>
      <c r="E202" s="10" t="str">
        <v>Fatmawati,S.Hut</v>
      </c>
      <c r="F202" s="10" t="str">
        <v>PPL</v>
      </c>
      <c r="G202" s="10" t="str">
        <v>6102075007830003</v>
      </c>
      <c r="H202" s="10" t="str">
        <v>PENDATAAN</v>
      </c>
      <c r="I202" s="10" t="str">
        <v>SUSENAS24-LAPANGAN-SEMESTER1-PPL-PENDATAAN</v>
      </c>
      <c r="J202" s="10" t="str">
        <v>Rumah Tangga</v>
      </c>
      <c r="K202" s="66">
        <v>119000</v>
      </c>
      <c r="L202" s="10">
        <v>20</v>
      </c>
      <c r="M202" s="10">
        <v>2380000</v>
      </c>
      <c r="N202" s="70">
        <v>0</v>
      </c>
      <c r="O202" s="67">
        <v>45367</v>
      </c>
      <c r="P202" s="10">
        <v>2024</v>
      </c>
      <c r="Q202" s="10">
        <v>3</v>
      </c>
      <c r="R202" s="10" t="str">
        <v>SURVEI-PPL</v>
      </c>
      <c r="S202" s="10" t="str">
        <v>610422100001-2024-3</v>
      </c>
      <c r="T202" s="10" t="str">
        <v>610422100001-2024-3-SURVEI-PPL</v>
      </c>
      <c r="U202" s="10">
        <v>1</v>
      </c>
      <c r="V202" s="10" t="e">
        <f ca="1"/>
        <v>#NAME?</v>
      </c>
      <c r="W202" s="67">
        <v>45376</v>
      </c>
      <c r="X202" s="11" t="str">
        <v>Susenas Maret 2024</v>
      </c>
      <c r="Y202" s="11" t="str">
        <v>SUNGAI PINYUH</v>
      </c>
      <c r="Z202" s="11" t="str">
        <v>SUNGAI BAKAU BESAR LAUT</v>
      </c>
      <c r="AA202" s="67">
        <v>45351</v>
      </c>
      <c r="AB202" s="67">
        <v>45352</v>
      </c>
      <c r="AC202" s="67">
        <v>45382</v>
      </c>
      <c r="AD202" s="67">
        <v>45381</v>
      </c>
      <c r="AE202" s="67">
        <v>45382</v>
      </c>
    </row>
    <row r="203" spans="1:31" ht="12.5">
      <c r="A203" s="10">
        <v>610422040034</v>
      </c>
      <c r="B203" s="10" t="str">
        <v>SUSENAS24-LAPANGAN-SEMESTER1</v>
      </c>
      <c r="C203" s="10">
        <v>0</v>
      </c>
      <c r="D203" s="10">
        <f ca="1"/>
        <v>1</v>
      </c>
      <c r="E203" s="10" t="str">
        <v>Nelly Nalita</v>
      </c>
      <c r="F203" s="10" t="str">
        <v>PPL</v>
      </c>
      <c r="G203" s="10" t="str">
        <v>6102014712890004</v>
      </c>
      <c r="H203" s="10" t="str">
        <v>PENDATAAN</v>
      </c>
      <c r="I203" s="10" t="str">
        <v>SUSENAS24-LAPANGAN-SEMESTER1-PPL-PENDATAAN</v>
      </c>
      <c r="J203" s="10" t="str">
        <v>Rumah Tangga</v>
      </c>
      <c r="K203" s="66">
        <v>119000</v>
      </c>
      <c r="L203" s="10">
        <v>20</v>
      </c>
      <c r="M203" s="10">
        <v>2380000</v>
      </c>
      <c r="N203" s="70">
        <v>0</v>
      </c>
      <c r="O203" s="67">
        <v>45367</v>
      </c>
      <c r="P203" s="10">
        <v>2024</v>
      </c>
      <c r="Q203" s="10">
        <v>3</v>
      </c>
      <c r="R203" s="10" t="str">
        <v>SURVEI-PPL</v>
      </c>
      <c r="S203" s="10" t="str">
        <v>610422040034-2024-3</v>
      </c>
      <c r="T203" s="10" t="str">
        <v>610422040034-2024-3-SURVEI-PPL</v>
      </c>
      <c r="U203" s="10">
        <v>1</v>
      </c>
      <c r="V203" s="10" t="e">
        <f ca="1"/>
        <v>#NAME?</v>
      </c>
      <c r="W203" s="67">
        <v>45376</v>
      </c>
      <c r="X203" s="11" t="str">
        <v>Susenas Maret 2024</v>
      </c>
      <c r="Y203" s="11" t="str">
        <v>MEMPAWAH HILIR</v>
      </c>
      <c r="Z203" s="11" t="str">
        <v>SENGKUBANG</v>
      </c>
      <c r="AA203" s="67">
        <v>45351</v>
      </c>
      <c r="AB203" s="67">
        <v>45352</v>
      </c>
      <c r="AC203" s="67">
        <v>45382</v>
      </c>
      <c r="AD203" s="67">
        <v>45381</v>
      </c>
      <c r="AE203" s="67">
        <v>45382</v>
      </c>
    </row>
    <row r="204" spans="1:31" ht="12.5">
      <c r="A204" s="10">
        <v>610422040058</v>
      </c>
      <c r="B204" s="10" t="str">
        <v>SUSENAS24-LAPANGAN-SEMESTER1</v>
      </c>
      <c r="C204" s="10">
        <v>0</v>
      </c>
      <c r="D204" s="10">
        <f ca="1"/>
        <v>1</v>
      </c>
      <c r="E204" s="10" t="str">
        <v>Jamaluddin, Sp</v>
      </c>
      <c r="F204" s="10" t="str">
        <v>PPL</v>
      </c>
      <c r="G204" s="10" t="str">
        <v>6102152607940002</v>
      </c>
      <c r="H204" s="10" t="str">
        <v>PENDATAAN</v>
      </c>
      <c r="I204" s="10" t="str">
        <v>SUSENAS24-LAPANGAN-SEMESTER1-PPL-PENDATAAN</v>
      </c>
      <c r="J204" s="10" t="str">
        <v>Rumah Tangga</v>
      </c>
      <c r="K204" s="66">
        <v>119000</v>
      </c>
      <c r="L204" s="10">
        <v>20</v>
      </c>
      <c r="M204" s="10">
        <v>2380000</v>
      </c>
      <c r="N204" s="70">
        <v>0</v>
      </c>
      <c r="O204" s="67">
        <v>45367</v>
      </c>
      <c r="P204" s="10">
        <v>2024</v>
      </c>
      <c r="Q204" s="10">
        <v>3</v>
      </c>
      <c r="R204" s="10" t="str">
        <v>SURVEI-PPL</v>
      </c>
      <c r="S204" s="10" t="str">
        <v>610422040058-2024-3</v>
      </c>
      <c r="T204" s="10" t="str">
        <v>610422040058-2024-3-SURVEI-PPL</v>
      </c>
      <c r="U204" s="10">
        <v>1</v>
      </c>
      <c r="V204" s="10" t="e">
        <f ca="1"/>
        <v>#NAME?</v>
      </c>
      <c r="W204" s="67">
        <v>45376</v>
      </c>
      <c r="X204" s="11" t="str">
        <v>Susenas Maret 2024</v>
      </c>
      <c r="Y204" s="11" t="str">
        <v>SEGEDONG</v>
      </c>
      <c r="Z204" s="11" t="str">
        <v>PENITI DALAM I</v>
      </c>
      <c r="AA204" s="67">
        <v>45351</v>
      </c>
      <c r="AB204" s="67">
        <v>45352</v>
      </c>
      <c r="AC204" s="67">
        <v>45382</v>
      </c>
      <c r="AD204" s="67">
        <v>45381</v>
      </c>
      <c r="AE204" s="67">
        <v>45382</v>
      </c>
    </row>
    <row r="205" spans="1:31" ht="12.5">
      <c r="A205" s="10">
        <v>610422040052</v>
      </c>
      <c r="B205" s="10" t="str">
        <v>SUSENAS24-LAPANGAN-SEMESTER1</v>
      </c>
      <c r="C205" s="10">
        <v>0</v>
      </c>
      <c r="D205" s="10">
        <f ca="1"/>
        <v>1</v>
      </c>
      <c r="E205" s="10" t="str">
        <v>Yusimianto</v>
      </c>
      <c r="F205" s="10" t="str">
        <v>PPL</v>
      </c>
      <c r="G205" s="10" t="str">
        <v>6102160603790001</v>
      </c>
      <c r="H205" s="10" t="str">
        <v>PENDATAAN</v>
      </c>
      <c r="I205" s="10" t="str">
        <v>SUSENAS24-LAPANGAN-SEMESTER1-PPL-PENDATAAN</v>
      </c>
      <c r="J205" s="10" t="str">
        <v>Rumah Tangga</v>
      </c>
      <c r="K205" s="66">
        <v>119000</v>
      </c>
      <c r="L205" s="10">
        <v>10</v>
      </c>
      <c r="M205" s="10">
        <v>1190000</v>
      </c>
      <c r="N205" s="70">
        <v>0</v>
      </c>
      <c r="O205" s="67">
        <v>45367</v>
      </c>
      <c r="P205" s="10">
        <v>2024</v>
      </c>
      <c r="Q205" s="10">
        <v>3</v>
      </c>
      <c r="R205" s="10" t="str">
        <v>SURVEI-PPL</v>
      </c>
      <c r="S205" s="10" t="str">
        <v>610422040052-2024-3</v>
      </c>
      <c r="T205" s="10" t="str">
        <v>610422040052-2024-3-SURVEI-PPL</v>
      </c>
      <c r="U205" s="10">
        <v>1</v>
      </c>
      <c r="V205" s="10" t="e">
        <f ca="1"/>
        <v>#NAME?</v>
      </c>
      <c r="W205" s="67">
        <v>45376</v>
      </c>
      <c r="X205" s="11" t="str">
        <v>Susenas Maret 2024</v>
      </c>
      <c r="Y205" s="11" t="str">
        <v>ANJONGAN</v>
      </c>
      <c r="Z205" s="11" t="str">
        <v>PAK BULU</v>
      </c>
      <c r="AA205" s="67">
        <v>45351</v>
      </c>
      <c r="AB205" s="67">
        <v>45352</v>
      </c>
      <c r="AC205" s="67">
        <v>45382</v>
      </c>
      <c r="AD205" s="67">
        <v>45381</v>
      </c>
      <c r="AE205" s="67">
        <v>45382</v>
      </c>
    </row>
    <row r="206" spans="1:31" ht="12.5">
      <c r="A206" s="10">
        <v>610422040061</v>
      </c>
      <c r="B206" s="10" t="str">
        <v>SUSENAS24-LAPANGAN-SEMESTER1</v>
      </c>
      <c r="C206" s="10">
        <v>0</v>
      </c>
      <c r="D206" s="10">
        <f ca="1"/>
        <v>1</v>
      </c>
      <c r="E206" s="10" t="str">
        <v>Sabani</v>
      </c>
      <c r="F206" s="10" t="str">
        <v>PPL</v>
      </c>
      <c r="G206" s="10" t="str">
        <v>6102153112860003</v>
      </c>
      <c r="H206" s="10" t="str">
        <v>PENDATAAN</v>
      </c>
      <c r="I206" s="10" t="str">
        <v>SUSENAS24-LAPANGAN-SEMESTER1-PPL-PENDATAAN</v>
      </c>
      <c r="J206" s="10" t="str">
        <v>Rumah Tangga</v>
      </c>
      <c r="K206" s="66">
        <v>119000</v>
      </c>
      <c r="L206" s="10">
        <v>10</v>
      </c>
      <c r="M206" s="10">
        <v>1190000</v>
      </c>
      <c r="N206" s="70">
        <v>0</v>
      </c>
      <c r="O206" s="67">
        <v>45367</v>
      </c>
      <c r="P206" s="10">
        <v>2024</v>
      </c>
      <c r="Q206" s="10">
        <v>3</v>
      </c>
      <c r="R206" s="10" t="str">
        <v>SURVEI-PPL</v>
      </c>
      <c r="S206" s="10" t="str">
        <v>610422040061-2024-3</v>
      </c>
      <c r="T206" s="10" t="str">
        <v>610422040061-2024-3-SURVEI-PPL</v>
      </c>
      <c r="U206" s="10">
        <v>1</v>
      </c>
      <c r="V206" s="10" t="e">
        <f ca="1"/>
        <v>#NAME?</v>
      </c>
      <c r="W206" s="67">
        <v>45376</v>
      </c>
      <c r="X206" s="11" t="str">
        <v>Susenas Maret 2024</v>
      </c>
      <c r="Y206" s="11" t="str">
        <v>SEGEDONG</v>
      </c>
      <c r="Z206" s="11" t="str">
        <v>PENITI BESAR</v>
      </c>
      <c r="AA206" s="67">
        <v>45351</v>
      </c>
      <c r="AB206" s="67">
        <v>45352</v>
      </c>
      <c r="AC206" s="67">
        <v>45382</v>
      </c>
      <c r="AD206" s="67">
        <v>45381</v>
      </c>
      <c r="AE206" s="67">
        <v>45382</v>
      </c>
    </row>
    <row r="207" spans="1:31" ht="12.5">
      <c r="A207" s="10">
        <v>610422040006</v>
      </c>
      <c r="B207" s="10" t="str">
        <v>SUSENAS24-LAPANGAN-SEMESTER1</v>
      </c>
      <c r="C207" s="10">
        <v>0</v>
      </c>
      <c r="D207" s="10">
        <f ca="1"/>
        <v>1</v>
      </c>
      <c r="E207" s="10" t="str">
        <v>Ridha Nur Mitha</v>
      </c>
      <c r="F207" s="10" t="str">
        <v>PPL</v>
      </c>
      <c r="G207" s="10" t="str">
        <v>6102186803020002</v>
      </c>
      <c r="H207" s="10" t="str">
        <v>PENDATAAN</v>
      </c>
      <c r="I207" s="10" t="str">
        <v>SUSENAS24-LAPANGAN-SEMESTER1-PPL-PENDATAAN</v>
      </c>
      <c r="J207" s="10" t="str">
        <v>Rumah Tangga</v>
      </c>
      <c r="K207" s="66">
        <v>119000</v>
      </c>
      <c r="L207" s="10">
        <v>20</v>
      </c>
      <c r="M207" s="10">
        <v>2380000</v>
      </c>
      <c r="N207" s="70">
        <v>0</v>
      </c>
      <c r="O207" s="67">
        <v>45367</v>
      </c>
      <c r="P207" s="10">
        <v>2024</v>
      </c>
      <c r="Q207" s="10">
        <v>3</v>
      </c>
      <c r="R207" s="10" t="str">
        <v>SURVEI-PPL</v>
      </c>
      <c r="S207" s="10" t="str">
        <v>610422040006-2024-3</v>
      </c>
      <c r="T207" s="10" t="str">
        <v>610422040006-2024-3-SURVEI-PPL</v>
      </c>
      <c r="U207" s="10">
        <v>1</v>
      </c>
      <c r="V207" s="10" t="e">
        <f ca="1"/>
        <v>#NAME?</v>
      </c>
      <c r="W207" s="67">
        <v>45376</v>
      </c>
      <c r="X207" s="11" t="str">
        <v>Susenas Maret 2024</v>
      </c>
      <c r="Y207" s="11" t="str">
        <v>MEMPAWAH TIMUR</v>
      </c>
      <c r="Z207" s="11" t="str">
        <v>ANTIBAR</v>
      </c>
      <c r="AA207" s="67">
        <v>45351</v>
      </c>
      <c r="AB207" s="67">
        <v>45352</v>
      </c>
      <c r="AC207" s="67">
        <v>45382</v>
      </c>
      <c r="AD207" s="67">
        <v>45381</v>
      </c>
      <c r="AE207" s="67">
        <v>45382</v>
      </c>
    </row>
    <row r="208" spans="1:31" ht="12.5">
      <c r="A208" s="10">
        <v>610422040028</v>
      </c>
      <c r="B208" s="10" t="str">
        <v>SUSENAS24-LAPANGAN-SEMESTER1</v>
      </c>
      <c r="C208" s="10">
        <v>0</v>
      </c>
      <c r="D208" s="10">
        <f ca="1"/>
        <v>1</v>
      </c>
      <c r="E208" s="10" t="str">
        <v>Hafizh</v>
      </c>
      <c r="F208" s="10" t="str">
        <v>PPL</v>
      </c>
      <c r="G208" s="10" t="str">
        <v>6102184304950003</v>
      </c>
      <c r="H208" s="10" t="str">
        <v>PENDATAAN</v>
      </c>
      <c r="I208" s="10" t="str">
        <v>SUSENAS24-LAPANGAN-SEMESTER1-PPL-PENDATAAN</v>
      </c>
      <c r="J208" s="10" t="str">
        <v>Rumah Tangga</v>
      </c>
      <c r="K208" s="66">
        <v>119000</v>
      </c>
      <c r="L208" s="10">
        <v>20</v>
      </c>
      <c r="M208" s="10">
        <v>2380000</v>
      </c>
      <c r="N208" s="70">
        <v>0</v>
      </c>
      <c r="O208" s="67">
        <v>45367</v>
      </c>
      <c r="P208" s="10">
        <v>2024</v>
      </c>
      <c r="Q208" s="10">
        <v>3</v>
      </c>
      <c r="R208" s="10" t="str">
        <v>SURVEI-PPL</v>
      </c>
      <c r="S208" s="10" t="str">
        <v>610422040028-2024-3</v>
      </c>
      <c r="T208" s="10" t="str">
        <v>610422040028-2024-3-SURVEI-PPL</v>
      </c>
      <c r="U208" s="10">
        <v>1</v>
      </c>
      <c r="V208" s="10" t="e">
        <f ca="1"/>
        <v>#NAME?</v>
      </c>
      <c r="W208" s="67">
        <v>45376</v>
      </c>
      <c r="X208" s="11" t="str">
        <v>Susenas Maret 2024</v>
      </c>
      <c r="Y208" s="11" t="str">
        <v>MEMPAWAH TIMUR</v>
      </c>
      <c r="Z208" s="11" t="str">
        <v>PASIR PANJANG</v>
      </c>
      <c r="AA208" s="67">
        <v>45351</v>
      </c>
      <c r="AB208" s="67">
        <v>45352</v>
      </c>
      <c r="AC208" s="67">
        <v>45382</v>
      </c>
      <c r="AD208" s="67">
        <v>45381</v>
      </c>
      <c r="AE208" s="67">
        <v>45382</v>
      </c>
    </row>
    <row r="209" spans="1:31" ht="12.5">
      <c r="A209" s="10">
        <v>610422040035</v>
      </c>
      <c r="B209" s="10" t="str">
        <v>SUSENAS24-LAPANGAN-SEMESTER1</v>
      </c>
      <c r="C209" s="10">
        <v>0</v>
      </c>
      <c r="D209" s="10">
        <f ca="1"/>
        <v>1</v>
      </c>
      <c r="E209" s="10" t="str">
        <v>Rahmayani</v>
      </c>
      <c r="F209" s="10" t="str">
        <v>PPL</v>
      </c>
      <c r="G209" s="10" t="str">
        <v>6102186404970003</v>
      </c>
      <c r="H209" s="10" t="str">
        <v>PENDATAAN</v>
      </c>
      <c r="I209" s="10" t="str">
        <v>SUSENAS24-LAPANGAN-SEMESTER1-PPL-PENDATAAN</v>
      </c>
      <c r="J209" s="10" t="str">
        <v>Rumah Tangga</v>
      </c>
      <c r="K209" s="66">
        <v>119000</v>
      </c>
      <c r="L209" s="10">
        <v>10</v>
      </c>
      <c r="M209" s="10">
        <v>1190000</v>
      </c>
      <c r="N209" s="70">
        <v>0</v>
      </c>
      <c r="O209" s="67">
        <v>45367</v>
      </c>
      <c r="P209" s="10">
        <v>2024</v>
      </c>
      <c r="Q209" s="10">
        <v>3</v>
      </c>
      <c r="R209" s="10" t="str">
        <v>SURVEI-PPL</v>
      </c>
      <c r="S209" s="10" t="str">
        <v>610422040035-2024-3</v>
      </c>
      <c r="T209" s="10" t="str">
        <v>610422040035-2024-3-SURVEI-PPL</v>
      </c>
      <c r="U209" s="10">
        <v>1</v>
      </c>
      <c r="V209" s="10" t="e">
        <f ca="1"/>
        <v>#NAME?</v>
      </c>
      <c r="W209" s="67">
        <v>45376</v>
      </c>
      <c r="X209" s="11" t="str">
        <v>Susenas Maret 2024</v>
      </c>
      <c r="Y209" s="11" t="str">
        <v>MEMPAWAH TIMUR</v>
      </c>
      <c r="Z209" s="11" t="str">
        <v>SEJEGI</v>
      </c>
      <c r="AA209" s="67">
        <v>45351</v>
      </c>
      <c r="AB209" s="67">
        <v>45352</v>
      </c>
      <c r="AC209" s="67">
        <v>45382</v>
      </c>
      <c r="AD209" s="67">
        <v>45381</v>
      </c>
      <c r="AE209" s="67">
        <v>45382</v>
      </c>
    </row>
    <row r="210" spans="1:31" ht="12.5">
      <c r="A210" s="10">
        <v>610422040049</v>
      </c>
      <c r="B210" s="10" t="str">
        <v>SUSENAS24-LAPANGAN-SEMESTER1</v>
      </c>
      <c r="C210" s="10">
        <v>0</v>
      </c>
      <c r="D210" s="10">
        <f ca="1"/>
        <v>1</v>
      </c>
      <c r="E210" s="10" t="str">
        <v>Sulis Tri Handayani</v>
      </c>
      <c r="F210" s="10" t="str">
        <v>PPL</v>
      </c>
      <c r="G210" s="10" t="str">
        <v>6102074307840004</v>
      </c>
      <c r="H210" s="10" t="str">
        <v>PENDATAAN</v>
      </c>
      <c r="I210" s="10" t="str">
        <v>SUSENAS24-LAPANGAN-SEMESTER1-PPL-PENDATAAN</v>
      </c>
      <c r="J210" s="10" t="str">
        <v>Rumah Tangga</v>
      </c>
      <c r="K210" s="66">
        <v>119000</v>
      </c>
      <c r="L210" s="10">
        <v>20</v>
      </c>
      <c r="M210" s="10">
        <v>2380000</v>
      </c>
      <c r="N210" s="70">
        <v>0</v>
      </c>
      <c r="O210" s="67">
        <v>45367</v>
      </c>
      <c r="P210" s="10">
        <v>2024</v>
      </c>
      <c r="Q210" s="10">
        <v>3</v>
      </c>
      <c r="R210" s="10" t="str">
        <v>SURVEI-PPL</v>
      </c>
      <c r="S210" s="10" t="str">
        <v>610422040049-2024-3</v>
      </c>
      <c r="T210" s="10" t="str">
        <v>610422040049-2024-3-SURVEI-PPL</v>
      </c>
      <c r="U210" s="10">
        <v>1</v>
      </c>
      <c r="V210" s="10" t="e">
        <f ca="1"/>
        <v>#NAME?</v>
      </c>
      <c r="W210" s="67">
        <v>45376</v>
      </c>
      <c r="X210" s="11" t="str">
        <v>Susenas Maret 2024</v>
      </c>
      <c r="Y210" s="11" t="str">
        <v>SUNGAI PINYUH</v>
      </c>
      <c r="Z210" s="11" t="str">
        <v>SUNGAI PINYUH</v>
      </c>
      <c r="AA210" s="67">
        <v>45351</v>
      </c>
      <c r="AB210" s="67">
        <v>45352</v>
      </c>
      <c r="AC210" s="67">
        <v>45382</v>
      </c>
      <c r="AD210" s="67">
        <v>45381</v>
      </c>
      <c r="AE210" s="67">
        <v>45382</v>
      </c>
    </row>
    <row r="211" spans="1:31" ht="12.5">
      <c r="A211" s="10">
        <v>610422040033</v>
      </c>
      <c r="B211" s="10" t="str">
        <v>SUSENAS24-LAPANGAN-SEMESTER1</v>
      </c>
      <c r="C211" s="10">
        <v>0</v>
      </c>
      <c r="D211" s="10">
        <f ca="1"/>
        <v>1</v>
      </c>
      <c r="E211" s="10" t="str">
        <v>Nurlian</v>
      </c>
      <c r="F211" s="10" t="str">
        <v>PPL</v>
      </c>
      <c r="G211" s="10" t="str">
        <v>6102085104960002</v>
      </c>
      <c r="H211" s="10" t="str">
        <v>PENDATAAN</v>
      </c>
      <c r="I211" s="10" t="str">
        <v>SUSENAS24-LAPANGAN-SEMESTER1-PPL-PENDATAAN</v>
      </c>
      <c r="J211" s="10" t="str">
        <v>Rumah Tangga</v>
      </c>
      <c r="K211" s="66">
        <v>119000</v>
      </c>
      <c r="L211" s="10">
        <v>20</v>
      </c>
      <c r="M211" s="10">
        <v>2380000</v>
      </c>
      <c r="N211" s="70">
        <v>0</v>
      </c>
      <c r="O211" s="67">
        <v>45367</v>
      </c>
      <c r="P211" s="10">
        <v>2024</v>
      </c>
      <c r="Q211" s="10">
        <v>3</v>
      </c>
      <c r="R211" s="10" t="str">
        <v>SURVEI-PPL</v>
      </c>
      <c r="S211" s="10" t="str">
        <v>610422040033-2024-3</v>
      </c>
      <c r="T211" s="10" t="str">
        <v>610422040033-2024-3-SURVEI-PPL</v>
      </c>
      <c r="U211" s="10">
        <v>1</v>
      </c>
      <c r="V211" s="10" t="e">
        <f ca="1"/>
        <v>#NAME?</v>
      </c>
      <c r="W211" s="67">
        <v>45376</v>
      </c>
      <c r="X211" s="11" t="str">
        <v>Susenas Maret 2024</v>
      </c>
      <c r="Y211" s="11" t="str">
        <v>JONGKAT</v>
      </c>
      <c r="Z211" s="11" t="str">
        <v>JUNGKAT</v>
      </c>
      <c r="AA211" s="67">
        <v>45351</v>
      </c>
      <c r="AB211" s="67">
        <v>45352</v>
      </c>
      <c r="AC211" s="67">
        <v>45382</v>
      </c>
      <c r="AD211" s="67">
        <v>45381</v>
      </c>
      <c r="AE211" s="67">
        <v>45382</v>
      </c>
    </row>
    <row r="212" spans="1:31" ht="12.5">
      <c r="A212" s="10">
        <v>610422040050</v>
      </c>
      <c r="B212" s="10" t="str">
        <v>SUSENAS24-LAPANGAN-SEMESTER1</v>
      </c>
      <c r="C212" s="10">
        <v>0</v>
      </c>
      <c r="D212" s="10">
        <f ca="1"/>
        <v>1</v>
      </c>
      <c r="E212" s="10" t="str">
        <v>Novita Sari</v>
      </c>
      <c r="F212" s="10" t="str">
        <v>PPL</v>
      </c>
      <c r="G212" s="10" t="str">
        <v>6102085906990001</v>
      </c>
      <c r="H212" s="10" t="str">
        <v>PENDATAAN</v>
      </c>
      <c r="I212" s="10" t="str">
        <v>SUSENAS24-LAPANGAN-SEMESTER1-PPL-PENDATAAN</v>
      </c>
      <c r="J212" s="10" t="str">
        <v>Rumah Tangga</v>
      </c>
      <c r="K212" s="66">
        <v>119000</v>
      </c>
      <c r="L212" s="10">
        <v>10</v>
      </c>
      <c r="M212" s="10">
        <v>1190000</v>
      </c>
      <c r="N212" s="70">
        <v>0</v>
      </c>
      <c r="O212" s="67">
        <v>45367</v>
      </c>
      <c r="P212" s="10">
        <v>2024</v>
      </c>
      <c r="Q212" s="10">
        <v>3</v>
      </c>
      <c r="R212" s="10" t="str">
        <v>SURVEI-PPL</v>
      </c>
      <c r="S212" s="10" t="str">
        <v>610422040050-2024-3</v>
      </c>
      <c r="T212" s="10" t="str">
        <v>610422040050-2024-3-SURVEI-PPL</v>
      </c>
      <c r="U212" s="10">
        <v>1</v>
      </c>
      <c r="V212" s="10" t="e">
        <f ca="1"/>
        <v>#NAME?</v>
      </c>
      <c r="W212" s="67">
        <v>45376</v>
      </c>
      <c r="X212" s="11" t="str">
        <v>Susenas Maret 2024</v>
      </c>
      <c r="Y212" s="11" t="str">
        <v>JONGKAT</v>
      </c>
      <c r="Z212" s="11" t="str">
        <v>JUNGKAT</v>
      </c>
      <c r="AA212" s="67">
        <v>45351</v>
      </c>
      <c r="AB212" s="67">
        <v>45352</v>
      </c>
      <c r="AC212" s="67">
        <v>45382</v>
      </c>
      <c r="AD212" s="67">
        <v>45381</v>
      </c>
      <c r="AE212" s="67">
        <v>45382</v>
      </c>
    </row>
    <row r="213" spans="1:31" ht="12.5">
      <c r="A213" s="10">
        <v>610422030002</v>
      </c>
      <c r="B213" s="10" t="str">
        <v>SUSENAS24-LAPANGAN-SEMESTER1</v>
      </c>
      <c r="C213" s="10">
        <v>0</v>
      </c>
      <c r="D213" s="10">
        <f ca="1"/>
        <v>1</v>
      </c>
      <c r="E213" s="10" t="str">
        <v>Deti Erni Widiastuti</v>
      </c>
      <c r="F213" s="10" t="str">
        <v>PPL</v>
      </c>
      <c r="G213" s="10" t="str">
        <v>6102016712860001</v>
      </c>
      <c r="H213" s="10" t="str">
        <v>PENDATAAN</v>
      </c>
      <c r="I213" s="10" t="str">
        <v>SUSENAS24-LAPANGAN-SEMESTER1-PPL-PENDATAAN</v>
      </c>
      <c r="J213" s="10" t="str">
        <v>Rumah Tangga</v>
      </c>
      <c r="K213" s="66">
        <v>119000</v>
      </c>
      <c r="L213" s="10">
        <v>20</v>
      </c>
      <c r="M213" s="10">
        <v>2380000</v>
      </c>
      <c r="N213" s="70">
        <v>0</v>
      </c>
      <c r="O213" s="67">
        <v>45367</v>
      </c>
      <c r="P213" s="10">
        <v>2024</v>
      </c>
      <c r="Q213" s="10">
        <v>3</v>
      </c>
      <c r="R213" s="10" t="str">
        <v>SURVEI-PPL</v>
      </c>
      <c r="S213" s="10" t="str">
        <v>610422030002-2024-3</v>
      </c>
      <c r="T213" s="10" t="str">
        <v>610422030002-2024-3-SURVEI-PPL</v>
      </c>
      <c r="U213" s="10">
        <v>1</v>
      </c>
      <c r="V213" s="10" t="e">
        <f ca="1"/>
        <v>#NAME?</v>
      </c>
      <c r="W213" s="67">
        <v>45376</v>
      </c>
      <c r="X213" s="11" t="str">
        <v>Susenas Maret 2024</v>
      </c>
      <c r="Y213" s="11" t="str">
        <v>SEGEDONG</v>
      </c>
      <c r="Z213" s="11" t="str">
        <v>PENITI DALAM I</v>
      </c>
      <c r="AA213" s="67">
        <v>45351</v>
      </c>
      <c r="AB213" s="67">
        <v>45352</v>
      </c>
      <c r="AC213" s="67">
        <v>45382</v>
      </c>
      <c r="AD213" s="67">
        <v>45381</v>
      </c>
      <c r="AE213" s="67">
        <v>45382</v>
      </c>
    </row>
    <row r="214" spans="1:31" ht="12.5">
      <c r="A214" s="10">
        <v>610422040029</v>
      </c>
      <c r="B214" s="10" t="str">
        <v>SUSENAS24-LAPANGAN-SEMESTER1</v>
      </c>
      <c r="C214" s="10">
        <v>0</v>
      </c>
      <c r="D214" s="10">
        <f ca="1"/>
        <v>1</v>
      </c>
      <c r="E214" s="10" t="str">
        <v>Zaini</v>
      </c>
      <c r="F214" s="10" t="str">
        <v>PPL</v>
      </c>
      <c r="G214" s="10" t="str">
        <v>6102010607870002</v>
      </c>
      <c r="H214" s="10" t="str">
        <v>PENDATAAN</v>
      </c>
      <c r="I214" s="10" t="str">
        <v>SUSENAS24-LAPANGAN-SEMESTER1-PPL-PENDATAAN</v>
      </c>
      <c r="J214" s="10" t="str">
        <v>Rumah Tangga</v>
      </c>
      <c r="K214" s="66">
        <v>119000</v>
      </c>
      <c r="L214" s="10">
        <v>20</v>
      </c>
      <c r="M214" s="10">
        <v>2380000</v>
      </c>
      <c r="N214" s="70">
        <v>0</v>
      </c>
      <c r="O214" s="67">
        <v>45367</v>
      </c>
      <c r="P214" s="10">
        <v>2024</v>
      </c>
      <c r="Q214" s="10">
        <v>3</v>
      </c>
      <c r="R214" s="10" t="str">
        <v>SURVEI-PPL</v>
      </c>
      <c r="S214" s="10" t="str">
        <v>610422040029-2024-3</v>
      </c>
      <c r="T214" s="10" t="str">
        <v>610422040029-2024-3-SURVEI-PPL</v>
      </c>
      <c r="U214" s="10">
        <v>1</v>
      </c>
      <c r="V214" s="10" t="e">
        <f ca="1"/>
        <v>#NAME?</v>
      </c>
      <c r="W214" s="67">
        <v>45376</v>
      </c>
      <c r="X214" s="11" t="str">
        <v>Susenas Maret 2024</v>
      </c>
      <c r="Y214" s="11" t="str">
        <v>MEMPAWAH HILIR</v>
      </c>
      <c r="Z214" s="11" t="str">
        <v>TENGAH</v>
      </c>
      <c r="AA214" s="67">
        <v>45351</v>
      </c>
      <c r="AB214" s="67">
        <v>45352</v>
      </c>
      <c r="AC214" s="67">
        <v>45382</v>
      </c>
      <c r="AD214" s="67">
        <v>45381</v>
      </c>
      <c r="AE214" s="67">
        <v>45382</v>
      </c>
    </row>
    <row r="215" spans="1:31" ht="12.5">
      <c r="A215" s="10">
        <v>610422040053</v>
      </c>
      <c r="B215" s="10" t="str">
        <v>SUSENAS24-LAPANGAN-SEMESTER1</v>
      </c>
      <c r="C215" s="10">
        <v>0</v>
      </c>
      <c r="D215" s="10">
        <f ca="1"/>
        <v>1</v>
      </c>
      <c r="E215" s="10" t="str">
        <v>Veti Ningsi</v>
      </c>
      <c r="F215" s="10" t="str">
        <v>PPL</v>
      </c>
      <c r="G215" s="10" t="str">
        <v>6102125604010002</v>
      </c>
      <c r="H215" s="10" t="str">
        <v>PENDATAAN</v>
      </c>
      <c r="I215" s="10" t="str">
        <v>SUSENAS24-LAPANGAN-SEMESTER1-PPL-PENDATAAN</v>
      </c>
      <c r="J215" s="10" t="str">
        <v>Rumah Tangga</v>
      </c>
      <c r="K215" s="66">
        <v>119000</v>
      </c>
      <c r="L215" s="10">
        <v>10</v>
      </c>
      <c r="M215" s="10">
        <v>1190000</v>
      </c>
      <c r="N215" s="70">
        <v>0</v>
      </c>
      <c r="O215" s="67">
        <v>45367</v>
      </c>
      <c r="P215" s="10">
        <v>2024</v>
      </c>
      <c r="Q215" s="10">
        <v>3</v>
      </c>
      <c r="R215" s="10" t="str">
        <v>SURVEI-PPL</v>
      </c>
      <c r="S215" s="10" t="str">
        <v>610422040053-2024-3</v>
      </c>
      <c r="T215" s="10" t="str">
        <v>610422040053-2024-3-SURVEI-PPL</v>
      </c>
      <c r="U215" s="10">
        <v>1</v>
      </c>
      <c r="V215" s="10" t="e">
        <f ca="1"/>
        <v>#NAME?</v>
      </c>
      <c r="W215" s="67">
        <v>45376</v>
      </c>
      <c r="X215" s="11" t="str">
        <v>Susenas Maret 2024</v>
      </c>
      <c r="Y215" s="11" t="str">
        <v>SUNGAI KUNYIT</v>
      </c>
      <c r="Z215" s="11" t="str">
        <v>SUNGAI BUNDUNG LAUT</v>
      </c>
      <c r="AA215" s="67">
        <v>45351</v>
      </c>
      <c r="AB215" s="67">
        <v>45352</v>
      </c>
      <c r="AC215" s="67">
        <v>45382</v>
      </c>
      <c r="AD215" s="67">
        <v>45381</v>
      </c>
      <c r="AE215" s="67">
        <v>45382</v>
      </c>
    </row>
    <row r="216" spans="1:31" ht="12.5">
      <c r="A216" s="10">
        <v>610422040013</v>
      </c>
      <c r="B216" s="10" t="str">
        <v>SUSENAS24-LAPANGAN-SEMESTER1</v>
      </c>
      <c r="C216" s="10">
        <v>0</v>
      </c>
      <c r="D216" s="10">
        <f ca="1"/>
        <v>1</v>
      </c>
      <c r="E216" s="10" t="str">
        <v>Yusra, Se</v>
      </c>
      <c r="F216" s="10" t="str">
        <v>PPL</v>
      </c>
      <c r="G216" s="10" t="str">
        <v>6102152011890001</v>
      </c>
      <c r="H216" s="10" t="str">
        <v>PENDATAAN</v>
      </c>
      <c r="I216" s="10" t="str">
        <v>SUSENAS24-LAPANGAN-SEMESTER1-PPL-PENDATAAN</v>
      </c>
      <c r="J216" s="10" t="str">
        <v>Rumah Tangga</v>
      </c>
      <c r="K216" s="66">
        <v>119000</v>
      </c>
      <c r="L216" s="10">
        <v>20</v>
      </c>
      <c r="M216" s="10">
        <v>2380000</v>
      </c>
      <c r="N216" s="70">
        <v>0</v>
      </c>
      <c r="O216" s="67">
        <v>45367</v>
      </c>
      <c r="P216" s="10">
        <v>2024</v>
      </c>
      <c r="Q216" s="10">
        <v>3</v>
      </c>
      <c r="R216" s="10" t="str">
        <v>SURVEI-PPL</v>
      </c>
      <c r="S216" s="10" t="str">
        <v>610422040013-2024-3</v>
      </c>
      <c r="T216" s="10" t="str">
        <v>610422040013-2024-3-SURVEI-PPL</v>
      </c>
      <c r="U216" s="10">
        <v>1</v>
      </c>
      <c r="V216" s="10" t="e">
        <f ca="1"/>
        <v>#NAME?</v>
      </c>
      <c r="W216" s="67">
        <v>45376</v>
      </c>
      <c r="X216" s="11" t="str">
        <v>Susenas Maret 2024</v>
      </c>
      <c r="Y216" s="11" t="str">
        <v>SEGEDONG</v>
      </c>
      <c r="Z216" s="11" t="str">
        <v>PENITI DALAM II</v>
      </c>
      <c r="AA216" s="67">
        <v>45351</v>
      </c>
      <c r="AB216" s="67">
        <v>45352</v>
      </c>
      <c r="AC216" s="67">
        <v>45382</v>
      </c>
      <c r="AD216" s="67">
        <v>45381</v>
      </c>
      <c r="AE216" s="67">
        <v>45382</v>
      </c>
    </row>
    <row r="217" spans="1:31" ht="12.5">
      <c r="A217" s="10">
        <v>610422020032</v>
      </c>
      <c r="B217" s="10" t="str">
        <v>SUSENAS24-LAPANGAN-SEMESTER1</v>
      </c>
      <c r="C217" s="10">
        <v>0</v>
      </c>
      <c r="D217" s="10">
        <f ca="1"/>
        <v>1</v>
      </c>
      <c r="E217" s="10" t="str">
        <v>Lilis Suryani</v>
      </c>
      <c r="F217" s="10" t="str">
        <v>PPL</v>
      </c>
      <c r="G217" s="10" t="str">
        <v>6102185102880001</v>
      </c>
      <c r="H217" s="10" t="str">
        <v>PENDATAAN</v>
      </c>
      <c r="I217" s="10" t="str">
        <v>SUSENAS24-LAPANGAN-SEMESTER1-PPL-PENDATAAN</v>
      </c>
      <c r="J217" s="10" t="str">
        <v>Rumah Tangga</v>
      </c>
      <c r="K217" s="66">
        <v>119000</v>
      </c>
      <c r="L217" s="10">
        <v>10</v>
      </c>
      <c r="M217" s="10">
        <v>1190000</v>
      </c>
      <c r="N217" s="70">
        <v>0</v>
      </c>
      <c r="O217" s="67">
        <v>45367</v>
      </c>
      <c r="P217" s="10">
        <v>2024</v>
      </c>
      <c r="Q217" s="10">
        <v>3</v>
      </c>
      <c r="R217" s="10" t="str">
        <v>SURVEI-PPL</v>
      </c>
      <c r="S217" s="10" t="str">
        <v>610422020032-2024-3</v>
      </c>
      <c r="T217" s="10" t="str">
        <v>610422020032-2024-3-SURVEI-PPL</v>
      </c>
      <c r="U217" s="10">
        <v>1</v>
      </c>
      <c r="V217" s="10" t="e">
        <f ca="1"/>
        <v>#NAME?</v>
      </c>
      <c r="W217" s="67">
        <v>45376</v>
      </c>
      <c r="X217" s="11" t="str">
        <v>Susenas Maret 2024</v>
      </c>
      <c r="Y217" s="11" t="str">
        <v>MEMPAWAH TIMUR</v>
      </c>
      <c r="Z217" s="11" t="str">
        <v>PARIT BANJAR</v>
      </c>
      <c r="AA217" s="67">
        <v>45351</v>
      </c>
      <c r="AB217" s="67">
        <v>45352</v>
      </c>
      <c r="AC217" s="67">
        <v>45382</v>
      </c>
      <c r="AD217" s="67">
        <v>45381</v>
      </c>
      <c r="AE217" s="67">
        <v>45382</v>
      </c>
    </row>
    <row r="218" spans="1:31" ht="12.5">
      <c r="A218" s="10">
        <v>610422020045</v>
      </c>
      <c r="B218" s="10" t="str">
        <v>SUSENAS24-LAPANGAN-SEMESTER1</v>
      </c>
      <c r="C218" s="10">
        <v>0</v>
      </c>
      <c r="D218" s="10">
        <f ca="1"/>
        <v>1</v>
      </c>
      <c r="E218" s="10" t="str">
        <v>Herdinatara Febria</v>
      </c>
      <c r="F218" s="10" t="str">
        <v>PPL</v>
      </c>
      <c r="G218" s="10" t="str">
        <v>6107086009930002</v>
      </c>
      <c r="H218" s="10" t="str">
        <v>PENDATAAN</v>
      </c>
      <c r="I218" s="10" t="str">
        <v>SUSENAS24-LAPANGAN-SEMESTER1-PPL-PENDATAAN</v>
      </c>
      <c r="J218" s="10" t="str">
        <v>Rumah Tangga</v>
      </c>
      <c r="K218" s="66">
        <v>119000</v>
      </c>
      <c r="L218" s="10">
        <v>20</v>
      </c>
      <c r="M218" s="10">
        <v>2380000</v>
      </c>
      <c r="N218" s="70">
        <v>0</v>
      </c>
      <c r="O218" s="67">
        <v>45367</v>
      </c>
      <c r="P218" s="10">
        <v>2024</v>
      </c>
      <c r="Q218" s="10">
        <v>3</v>
      </c>
      <c r="R218" s="10" t="str">
        <v>SURVEI-PPL</v>
      </c>
      <c r="S218" s="10" t="str">
        <v>610422020045-2024-3</v>
      </c>
      <c r="T218" s="10" t="str">
        <v>610422020045-2024-3-SURVEI-PPL</v>
      </c>
      <c r="U218" s="10">
        <v>1</v>
      </c>
      <c r="V218" s="10" t="e">
        <f ca="1"/>
        <v>#NAME?</v>
      </c>
      <c r="W218" s="67">
        <v>45376</v>
      </c>
      <c r="X218" s="11" t="str">
        <v>Susenas Maret 2024</v>
      </c>
      <c r="Y218" s="11" t="str">
        <v>JONGKAT</v>
      </c>
      <c r="Z218" s="11" t="str">
        <v>WAJOK HILIR</v>
      </c>
      <c r="AA218" s="67">
        <v>45351</v>
      </c>
      <c r="AB218" s="67">
        <v>45352</v>
      </c>
      <c r="AC218" s="67">
        <v>45382</v>
      </c>
      <c r="AD218" s="67">
        <v>45381</v>
      </c>
      <c r="AE218" s="67">
        <v>45382</v>
      </c>
    </row>
    <row r="219" spans="1:31" ht="12.5">
      <c r="A219" s="10">
        <v>610422030002</v>
      </c>
      <c r="B219" s="10" t="str">
        <v>SHPB24-LAPANGAN-MARET</v>
      </c>
      <c r="C219" s="10">
        <v>0</v>
      </c>
      <c r="D219" s="10">
        <f ca="1"/>
        <v>1</v>
      </c>
      <c r="E219" s="10" t="str">
        <v>Deti Erni Widiastuti</v>
      </c>
      <c r="F219" s="10" t="str">
        <v>PPL</v>
      </c>
      <c r="G219" s="10" t="str">
        <v>6102016712860001</v>
      </c>
      <c r="H219" s="10" t="str">
        <v>PENDATAAN</v>
      </c>
      <c r="I219" s="10" t="str">
        <v>SHPB24-LAPANGAN-MARET-PPL-PENDATAAN</v>
      </c>
      <c r="J219" s="10" t="str">
        <v>Dokumen</v>
      </c>
      <c r="K219" s="66">
        <v>50000</v>
      </c>
      <c r="L219" s="10">
        <v>15</v>
      </c>
      <c r="M219" s="10">
        <v>750000</v>
      </c>
      <c r="N219" s="10">
        <v>0</v>
      </c>
      <c r="O219" s="67">
        <v>45371</v>
      </c>
      <c r="P219" s="10">
        <v>2024</v>
      </c>
      <c r="Q219" s="10">
        <v>3</v>
      </c>
      <c r="R219" s="10" t="str">
        <v>SURVEI-PPL</v>
      </c>
      <c r="S219" s="10" t="str">
        <v>610422030002-2024-3</v>
      </c>
      <c r="T219" s="10" t="str">
        <v>610422030002-2024-3-SURVEI-PPL</v>
      </c>
      <c r="U219" s="10">
        <v>1</v>
      </c>
      <c r="V219" s="10" t="e">
        <f ca="1"/>
        <v>#NAME?</v>
      </c>
      <c r="W219" s="67">
        <v>45426</v>
      </c>
      <c r="X219" s="11" t="str">
        <v>Survei Harga Perdagangan Besar (SHPB24) Maret</v>
      </c>
      <c r="Y219" s="11" t="str">
        <v>SEGEDONG</v>
      </c>
      <c r="Z219" s="11" t="str">
        <v>PENITI DALAM I</v>
      </c>
      <c r="AA219" s="67">
        <v>45351</v>
      </c>
      <c r="AB219" s="67">
        <v>45352</v>
      </c>
      <c r="AC219" s="67">
        <v>45382</v>
      </c>
      <c r="AD219" s="67">
        <v>45381</v>
      </c>
      <c r="AE219" s="67">
        <v>45382</v>
      </c>
    </row>
    <row r="220" spans="1:31" ht="12.5">
      <c r="A220" s="10">
        <v>610422100244</v>
      </c>
      <c r="B220" s="10" t="str">
        <v>HPG24-LAPANGAN-MARET</v>
      </c>
      <c r="C220" s="10">
        <v>0</v>
      </c>
      <c r="D220" s="10">
        <f ca="1"/>
        <v>1</v>
      </c>
      <c r="E220" s="10" t="str">
        <v>Sugianto</v>
      </c>
      <c r="F220" s="10" t="str">
        <v>PPL</v>
      </c>
      <c r="G220" s="10" t="str">
        <v>6102171003900002</v>
      </c>
      <c r="H220" s="10" t="str">
        <v>PENDATAAN</v>
      </c>
      <c r="I220" s="10" t="str">
        <v>HPG24-LAPANGAN-MARET-PPL-PENDATAAN</v>
      </c>
      <c r="J220" s="10" t="str">
        <v>Dokumen</v>
      </c>
      <c r="K220" s="66">
        <v>50000</v>
      </c>
      <c r="L220" s="10">
        <v>1</v>
      </c>
      <c r="M220" s="10">
        <v>50000</v>
      </c>
      <c r="N220" s="10">
        <v>0</v>
      </c>
      <c r="O220" s="67">
        <v>45371</v>
      </c>
      <c r="P220" s="10">
        <v>2024</v>
      </c>
      <c r="Q220" s="10">
        <v>3</v>
      </c>
      <c r="R220" s="10" t="str">
        <v>SURVEI-PPL</v>
      </c>
      <c r="S220" s="10" t="str">
        <v>610422100244-2024-3</v>
      </c>
      <c r="T220" s="10" t="str">
        <v>610422100244-2024-3-SURVEI-PPL</v>
      </c>
      <c r="U220" s="10">
        <v>1</v>
      </c>
      <c r="V220" s="10" t="e">
        <f ca="1"/>
        <v>#NAME?</v>
      </c>
      <c r="W220" s="67">
        <v>45426</v>
      </c>
      <c r="X220" s="11" t="str">
        <v>Survei Harga Produsen Gabah (HPG24) Maret</v>
      </c>
      <c r="Y220" s="11" t="str">
        <v>SADANIANG</v>
      </c>
      <c r="Z220" s="11" t="str">
        <v>BUMBUN</v>
      </c>
      <c r="AA220" s="67">
        <v>45351</v>
      </c>
      <c r="AB220" s="67">
        <v>45352</v>
      </c>
      <c r="AC220" s="67">
        <v>45382</v>
      </c>
      <c r="AD220" s="67">
        <v>45381</v>
      </c>
      <c r="AE220" s="67">
        <v>45382</v>
      </c>
    </row>
    <row r="221" spans="1:31" ht="12.5">
      <c r="A221" s="10">
        <v>610422100124</v>
      </c>
      <c r="B221" s="10" t="str">
        <v>HPG24-LAPANGAN-MARET</v>
      </c>
      <c r="C221" s="10">
        <v>0</v>
      </c>
      <c r="D221" s="10">
        <f ca="1"/>
        <v>1</v>
      </c>
      <c r="E221" s="10" t="str">
        <v>Prabowo</v>
      </c>
      <c r="F221" s="10" t="str">
        <v>PPL</v>
      </c>
      <c r="G221" s="10" t="str">
        <v>6171010108790015</v>
      </c>
      <c r="H221" s="10" t="str">
        <v>PENDATAAN</v>
      </c>
      <c r="I221" s="10" t="str">
        <v>HPG24-LAPANGAN-MARET-PPL-PENDATAAN</v>
      </c>
      <c r="J221" s="10" t="str">
        <v>Dokumen</v>
      </c>
      <c r="K221" s="66">
        <v>50000</v>
      </c>
      <c r="L221" s="10">
        <v>1</v>
      </c>
      <c r="M221" s="10">
        <v>50000</v>
      </c>
      <c r="N221" s="10">
        <v>0</v>
      </c>
      <c r="O221" s="67">
        <v>45371</v>
      </c>
      <c r="P221" s="10">
        <v>2024</v>
      </c>
      <c r="Q221" s="10">
        <v>3</v>
      </c>
      <c r="R221" s="10" t="str">
        <v>SURVEI-PPL</v>
      </c>
      <c r="S221" s="10" t="str">
        <v>610422100124-2024-3</v>
      </c>
      <c r="T221" s="10" t="str">
        <v>610422100124-2024-3-SURVEI-PPL</v>
      </c>
      <c r="U221" s="10">
        <v>1</v>
      </c>
      <c r="V221" s="10" t="e">
        <f ca="1"/>
        <v>#NAME?</v>
      </c>
      <c r="W221" s="67">
        <v>45426</v>
      </c>
      <c r="X221" s="11" t="str">
        <v>Survei Harga Produsen Gabah (HPG24) Maret</v>
      </c>
      <c r="Y221" s="11" t="str">
        <v>PONTIANAK KOTA</v>
      </c>
      <c r="Z221" s="11" t="str">
        <v>SUNGAI BANGKONG</v>
      </c>
      <c r="AA221" s="67">
        <v>45351</v>
      </c>
      <c r="AB221" s="67">
        <v>45352</v>
      </c>
      <c r="AC221" s="67">
        <v>45382</v>
      </c>
      <c r="AD221" s="67">
        <v>45381</v>
      </c>
      <c r="AE221" s="67">
        <v>45382</v>
      </c>
    </row>
    <row r="222" spans="1:31" ht="12.5">
      <c r="A222" s="10">
        <v>610422100016</v>
      </c>
      <c r="B222" s="10" t="str">
        <v>SHPED24-LAPANGAN-MARET</v>
      </c>
      <c r="C222" s="10">
        <v>0</v>
      </c>
      <c r="D222" s="10">
        <f ca="1"/>
        <v>1</v>
      </c>
      <c r="E222" s="10" t="str">
        <v>Amalia Faisya</v>
      </c>
      <c r="F222" s="10" t="str">
        <v>PPL</v>
      </c>
      <c r="G222" s="10" t="str">
        <v>6102124210010005</v>
      </c>
      <c r="H222" s="10" t="str">
        <v>PENDATAAN KONSUMEN</v>
      </c>
      <c r="I222" s="10" t="str">
        <v>SHPED24-LAPANGAN-MARET-PPL-PENDATAAN KONSUMEN</v>
      </c>
      <c r="J222" s="10" t="str">
        <v>Dokumen</v>
      </c>
      <c r="K222" s="66">
        <v>65000</v>
      </c>
      <c r="L222" s="10">
        <v>3</v>
      </c>
      <c r="M222" s="10">
        <v>195000</v>
      </c>
      <c r="N222" s="10">
        <v>0</v>
      </c>
      <c r="O222" s="67">
        <v>45371</v>
      </c>
      <c r="P222" s="10">
        <v>2024</v>
      </c>
      <c r="Q222" s="10">
        <v>3</v>
      </c>
      <c r="R222" s="10" t="str">
        <v>SURVEI-PPL</v>
      </c>
      <c r="S222" s="10" t="str">
        <v>610422100016-2024-3</v>
      </c>
      <c r="T222" s="10" t="str">
        <v>610422100016-2024-3-SURVEI-PPL</v>
      </c>
      <c r="U222" s="10">
        <v>1</v>
      </c>
      <c r="V222" s="10" t="e">
        <f ca="1"/>
        <v>#NAME?</v>
      </c>
      <c r="W222" s="67">
        <v>45426</v>
      </c>
      <c r="X222" s="11" t="str">
        <v>Survei Harga Perdesaan (SHPED24) Maret</v>
      </c>
      <c r="Y222" s="11" t="str">
        <v>SUNGAI KUNYIT</v>
      </c>
      <c r="Z222" s="11" t="str">
        <v>SUNGAI KUNYIT LAUT</v>
      </c>
      <c r="AA222" s="67">
        <v>45351</v>
      </c>
      <c r="AB222" s="67">
        <v>45352</v>
      </c>
      <c r="AC222" s="67">
        <v>45382</v>
      </c>
      <c r="AD222" s="67">
        <v>45381</v>
      </c>
      <c r="AE222" s="67">
        <v>45382</v>
      </c>
    </row>
    <row r="223" spans="1:31" ht="12.5">
      <c r="A223" s="10">
        <v>610422050001</v>
      </c>
      <c r="B223" s="10" t="str">
        <v>SHPED24-LAPANGAN-MARET</v>
      </c>
      <c r="C223" s="10">
        <v>0</v>
      </c>
      <c r="D223" s="10">
        <f ca="1"/>
        <v>1</v>
      </c>
      <c r="E223" s="10" t="str">
        <v>Evi Juniarty</v>
      </c>
      <c r="F223" s="10" t="str">
        <v>PPL</v>
      </c>
      <c r="G223" s="10" t="str">
        <v>6102165101840001</v>
      </c>
      <c r="H223" s="10" t="str">
        <v>PENDATAAN KONSUMEN</v>
      </c>
      <c r="I223" s="10" t="str">
        <v>SHPED24-LAPANGAN-MARET-PPL-PENDATAAN KONSUMEN</v>
      </c>
      <c r="J223" s="10" t="str">
        <v>Dokumen</v>
      </c>
      <c r="K223" s="66">
        <v>65000</v>
      </c>
      <c r="L223" s="10">
        <v>3</v>
      </c>
      <c r="M223" s="10">
        <v>195000</v>
      </c>
      <c r="N223" s="10">
        <v>0</v>
      </c>
      <c r="O223" s="67">
        <v>45371</v>
      </c>
      <c r="P223" s="10">
        <v>2024</v>
      </c>
      <c r="Q223" s="10">
        <v>3</v>
      </c>
      <c r="R223" s="10" t="str">
        <v>SURVEI-PPL</v>
      </c>
      <c r="S223" s="10" t="str">
        <v>610422050001-2024-3</v>
      </c>
      <c r="T223" s="10" t="str">
        <v>610422050001-2024-3-SURVEI-PPL</v>
      </c>
      <c r="U223" s="10">
        <v>1</v>
      </c>
      <c r="V223" s="10" t="e">
        <f ca="1"/>
        <v>#NAME?</v>
      </c>
      <c r="W223" s="67">
        <v>45426</v>
      </c>
      <c r="X223" s="11" t="str">
        <v>Survei Harga Perdesaan (SHPED24) Maret</v>
      </c>
      <c r="Y223" s="11" t="str">
        <v>ANJONGAN</v>
      </c>
      <c r="Z223" s="11" t="str">
        <v>ANJUNGAN MELANCAR</v>
      </c>
      <c r="AA223" s="67">
        <v>45351</v>
      </c>
      <c r="AB223" s="67">
        <v>45352</v>
      </c>
      <c r="AC223" s="67">
        <v>45382</v>
      </c>
      <c r="AD223" s="67">
        <v>45381</v>
      </c>
      <c r="AE223" s="67">
        <v>45382</v>
      </c>
    </row>
    <row r="224" spans="1:31" ht="12.5">
      <c r="A224" s="10">
        <v>610422040030</v>
      </c>
      <c r="B224" s="10" t="str">
        <v>SHPED24-LAPANGAN-MARET</v>
      </c>
      <c r="C224" s="10">
        <v>0</v>
      </c>
      <c r="D224" s="10">
        <f ca="1"/>
        <v>1</v>
      </c>
      <c r="E224" s="10" t="str">
        <v>Syarifah Desti Pratiwi</v>
      </c>
      <c r="F224" s="10" t="str">
        <v>PPL</v>
      </c>
      <c r="G224" s="10" t="str">
        <v>6102084512950002</v>
      </c>
      <c r="H224" s="10" t="str">
        <v>PENDATAAN PRODUSEN</v>
      </c>
      <c r="I224" s="10" t="str">
        <v>SHPED24-LAPANGAN-MARET-PPL-PENDATAAN PRODUSEN</v>
      </c>
      <c r="J224" s="10" t="str">
        <v>Dokumen</v>
      </c>
      <c r="K224" s="66">
        <v>55000</v>
      </c>
      <c r="L224" s="10">
        <v>1</v>
      </c>
      <c r="M224" s="10">
        <v>55000</v>
      </c>
      <c r="N224" s="10">
        <v>0</v>
      </c>
      <c r="O224" s="67">
        <v>45371</v>
      </c>
      <c r="P224" s="10">
        <v>2024</v>
      </c>
      <c r="Q224" s="10">
        <v>3</v>
      </c>
      <c r="R224" s="10" t="str">
        <v>SURVEI-PPL</v>
      </c>
      <c r="S224" s="10" t="str">
        <v>610422040030-2024-3</v>
      </c>
      <c r="T224" s="10" t="str">
        <v>610422040030-2024-3-SURVEI-PPL</v>
      </c>
      <c r="U224" s="10">
        <v>1</v>
      </c>
      <c r="V224" s="10" t="e">
        <f ca="1"/>
        <v>#NAME?</v>
      </c>
      <c r="W224" s="67">
        <v>45426</v>
      </c>
      <c r="X224" s="11" t="str">
        <v>Survei Harga Perdesaan (SHPED24) Maret</v>
      </c>
      <c r="Y224" s="11" t="str">
        <v>JONGKAT</v>
      </c>
      <c r="Z224" s="11" t="str">
        <v>JUNGKAT</v>
      </c>
      <c r="AA224" s="67">
        <v>45351</v>
      </c>
      <c r="AB224" s="67">
        <v>45352</v>
      </c>
      <c r="AC224" s="67">
        <v>45382</v>
      </c>
      <c r="AD224" s="67">
        <v>45381</v>
      </c>
      <c r="AE224" s="67">
        <v>45382</v>
      </c>
    </row>
    <row r="225" spans="1:31" ht="12.5">
      <c r="A225" s="10">
        <v>610422100124</v>
      </c>
      <c r="B225" s="10" t="str">
        <v>SHPED24-LAPANGAN-MARET</v>
      </c>
      <c r="C225" s="10">
        <v>0</v>
      </c>
      <c r="D225" s="10">
        <f ca="1"/>
        <v>1</v>
      </c>
      <c r="E225" s="10" t="str">
        <v>Prabowo</v>
      </c>
      <c r="F225" s="10" t="str">
        <v>PPL</v>
      </c>
      <c r="G225" s="10" t="str">
        <v>6171010108790015</v>
      </c>
      <c r="H225" s="10" t="str">
        <v>PENDATAAN PRODUSEN</v>
      </c>
      <c r="I225" s="10" t="str">
        <v>SHPED24-LAPANGAN-MARET-PPL-PENDATAAN PRODUSEN</v>
      </c>
      <c r="J225" s="10" t="str">
        <v>Dokumen</v>
      </c>
      <c r="K225" s="66">
        <v>55000</v>
      </c>
      <c r="L225" s="10">
        <v>3</v>
      </c>
      <c r="M225" s="10">
        <v>165000</v>
      </c>
      <c r="N225" s="10">
        <v>0</v>
      </c>
      <c r="O225" s="67">
        <v>45371</v>
      </c>
      <c r="P225" s="10">
        <v>2024</v>
      </c>
      <c r="Q225" s="10">
        <v>3</v>
      </c>
      <c r="R225" s="10" t="str">
        <v>SURVEI-PPL</v>
      </c>
      <c r="S225" s="10" t="str">
        <v>610422100124-2024-3</v>
      </c>
      <c r="T225" s="10" t="str">
        <v>610422100124-2024-3-SURVEI-PPL</v>
      </c>
      <c r="U225" s="10">
        <v>1</v>
      </c>
      <c r="V225" s="10" t="e">
        <f ca="1"/>
        <v>#NAME?</v>
      </c>
      <c r="W225" s="67">
        <v>45426</v>
      </c>
      <c r="X225" s="11" t="str">
        <v>Survei Harga Perdesaan (SHPED24) Maret</v>
      </c>
      <c r="Y225" s="11" t="str">
        <v>PONTIANAK KOTA</v>
      </c>
      <c r="Z225" s="11" t="str">
        <v>SUNGAI BANGKONG</v>
      </c>
      <c r="AA225" s="67">
        <v>45351</v>
      </c>
      <c r="AB225" s="67">
        <v>45352</v>
      </c>
      <c r="AC225" s="67">
        <v>45382</v>
      </c>
      <c r="AD225" s="67">
        <v>45381</v>
      </c>
      <c r="AE225" s="67">
        <v>45382</v>
      </c>
    </row>
    <row r="226" spans="1:31" ht="12.5">
      <c r="A226" s="10">
        <v>610422100244</v>
      </c>
      <c r="B226" s="10" t="str">
        <v>SHPED24-LAPANGAN-MARET</v>
      </c>
      <c r="C226" s="10">
        <v>0</v>
      </c>
      <c r="D226" s="10">
        <f ca="1"/>
        <v>1</v>
      </c>
      <c r="E226" s="10" t="str">
        <v>Sugianto</v>
      </c>
      <c r="F226" s="10" t="str">
        <v>PPL</v>
      </c>
      <c r="G226" s="10" t="str">
        <v>6102171003900002</v>
      </c>
      <c r="H226" s="10" t="str">
        <v>PENDATAAN PRODUSEN</v>
      </c>
      <c r="I226" s="10" t="str">
        <v>SHPED24-LAPANGAN-MARET-PPL-PENDATAAN PRODUSEN</v>
      </c>
      <c r="J226" s="10" t="str">
        <v>Dokumen</v>
      </c>
      <c r="K226" s="66">
        <v>55000</v>
      </c>
      <c r="L226" s="10">
        <v>2</v>
      </c>
      <c r="M226" s="10">
        <v>110000</v>
      </c>
      <c r="N226" s="10">
        <v>0</v>
      </c>
      <c r="O226" s="67">
        <v>45371</v>
      </c>
      <c r="P226" s="10">
        <v>2024</v>
      </c>
      <c r="Q226" s="10">
        <v>3</v>
      </c>
      <c r="R226" s="10" t="str">
        <v>SURVEI-PPL</v>
      </c>
      <c r="S226" s="10" t="str">
        <v>610422100244-2024-3</v>
      </c>
      <c r="T226" s="10" t="str">
        <v>610422100244-2024-3-SURVEI-PPL</v>
      </c>
      <c r="U226" s="10">
        <v>1</v>
      </c>
      <c r="V226" s="10" t="e">
        <f ca="1"/>
        <v>#NAME?</v>
      </c>
      <c r="W226" s="67">
        <v>45426</v>
      </c>
      <c r="X226" s="11" t="str">
        <v>Survei Harga Perdesaan (SHPED24) Maret</v>
      </c>
      <c r="Y226" s="11" t="str">
        <v>SADANIANG</v>
      </c>
      <c r="Z226" s="11" t="str">
        <v>BUMBUN</v>
      </c>
      <c r="AA226" s="67">
        <v>45351</v>
      </c>
      <c r="AB226" s="67">
        <v>45352</v>
      </c>
      <c r="AC226" s="67">
        <v>45382</v>
      </c>
      <c r="AD226" s="67">
        <v>45381</v>
      </c>
      <c r="AE226" s="67">
        <v>45382</v>
      </c>
    </row>
    <row r="227" spans="1:31" ht="12.5">
      <c r="A227" s="10">
        <v>610422020016</v>
      </c>
      <c r="B227" s="10" t="str">
        <v>SHPED24-LAPANGAN-MARET</v>
      </c>
      <c r="C227" s="10">
        <v>0</v>
      </c>
      <c r="D227" s="10">
        <f ca="1"/>
        <v>1</v>
      </c>
      <c r="E227" s="10" t="str">
        <v>Abdul Aziz</v>
      </c>
      <c r="F227" s="10" t="str">
        <v>PPL</v>
      </c>
      <c r="G227" s="10" t="str">
        <v>6102061507950006</v>
      </c>
      <c r="H227" s="10" t="str">
        <v>PENDATAAN PRODUSEN</v>
      </c>
      <c r="I227" s="10" t="str">
        <v>SHPED24-LAPANGAN-MARET-PPL-PENDATAAN PRODUSEN</v>
      </c>
      <c r="J227" s="10" t="str">
        <v>Dokumen</v>
      </c>
      <c r="K227" s="66">
        <v>55000</v>
      </c>
      <c r="L227" s="10">
        <v>3</v>
      </c>
      <c r="M227" s="10">
        <v>165000</v>
      </c>
      <c r="N227" s="10">
        <v>0</v>
      </c>
      <c r="O227" s="67">
        <v>45371</v>
      </c>
      <c r="P227" s="10">
        <v>2024</v>
      </c>
      <c r="Q227" s="10">
        <v>3</v>
      </c>
      <c r="R227" s="10" t="str">
        <v>SURVEI-PPL</v>
      </c>
      <c r="S227" s="10" t="str">
        <v>610422020016-2024-3</v>
      </c>
      <c r="T227" s="10" t="str">
        <v>610422020016-2024-3-SURVEI-PPL</v>
      </c>
      <c r="U227" s="10">
        <v>1</v>
      </c>
      <c r="V227" s="10" t="e">
        <f ca="1"/>
        <v>#NAME?</v>
      </c>
      <c r="W227" s="67">
        <v>45426</v>
      </c>
      <c r="X227" s="11" t="str">
        <v>Survei Harga Perdesaan (SHPED24) Maret</v>
      </c>
      <c r="Y227" s="11" t="str">
        <v>TOHO</v>
      </c>
      <c r="Z227" s="11" t="str">
        <v>SAMBORA</v>
      </c>
      <c r="AA227" s="67">
        <v>45351</v>
      </c>
      <c r="AB227" s="67">
        <v>45352</v>
      </c>
      <c r="AC227" s="67">
        <v>45382</v>
      </c>
      <c r="AD227" s="67">
        <v>45381</v>
      </c>
      <c r="AE227" s="67">
        <v>45382</v>
      </c>
    </row>
    <row r="228" spans="1:31" ht="12.5">
      <c r="A228" s="10">
        <v>610422100016</v>
      </c>
      <c r="B228" s="10" t="str">
        <v>SHPED24-LAPANGAN-MARET</v>
      </c>
      <c r="C228" s="10">
        <v>0</v>
      </c>
      <c r="D228" s="10">
        <f ca="1"/>
        <v>1</v>
      </c>
      <c r="E228" s="10" t="str">
        <v>Amalia Faisya</v>
      </c>
      <c r="F228" s="10" t="str">
        <v>PPL</v>
      </c>
      <c r="G228" s="10" t="str">
        <v>6102124210010005</v>
      </c>
      <c r="H228" s="10" t="str">
        <v>PENDATAAN PRODUSEN</v>
      </c>
      <c r="I228" s="10" t="str">
        <v>SHPED24-LAPANGAN-MARET-PPL-PENDATAAN PRODUSEN</v>
      </c>
      <c r="J228" s="10" t="str">
        <v>Dokumen</v>
      </c>
      <c r="K228" s="66">
        <v>55000</v>
      </c>
      <c r="L228" s="10">
        <v>1</v>
      </c>
      <c r="M228" s="10">
        <v>55000</v>
      </c>
      <c r="N228" s="10">
        <v>0</v>
      </c>
      <c r="O228" s="67">
        <v>45371</v>
      </c>
      <c r="P228" s="10">
        <v>2024</v>
      </c>
      <c r="Q228" s="10">
        <v>3</v>
      </c>
      <c r="R228" s="10" t="str">
        <v>SURVEI-PPL</v>
      </c>
      <c r="S228" s="10" t="str">
        <v>610422100016-2024-3</v>
      </c>
      <c r="T228" s="10" t="str">
        <v>610422100016-2024-3-SURVEI-PPL</v>
      </c>
      <c r="U228" s="10">
        <v>1</v>
      </c>
      <c r="V228" s="10" t="e">
        <f ca="1"/>
        <v>#NAME?</v>
      </c>
      <c r="W228" s="67">
        <v>45426</v>
      </c>
      <c r="X228" s="11" t="str">
        <v>Survei Harga Perdesaan (SHPED24) Maret</v>
      </c>
      <c r="Y228" s="11" t="str">
        <v>SUNGAI KUNYIT</v>
      </c>
      <c r="Z228" s="11" t="str">
        <v>SUNGAI KUNYIT LAUT</v>
      </c>
      <c r="AA228" s="67">
        <v>45351</v>
      </c>
      <c r="AB228" s="67">
        <v>45352</v>
      </c>
      <c r="AC228" s="67">
        <v>45382</v>
      </c>
      <c r="AD228" s="67">
        <v>45381</v>
      </c>
      <c r="AE228" s="67">
        <v>45382</v>
      </c>
    </row>
    <row r="229" spans="1:31" ht="12.5">
      <c r="A229" s="10">
        <v>610422020048</v>
      </c>
      <c r="B229" s="10" t="str">
        <v>SHPED24-LAPANGAN-MARET</v>
      </c>
      <c r="C229" s="10">
        <v>0</v>
      </c>
      <c r="D229" s="10">
        <f ca="1"/>
        <v>1</v>
      </c>
      <c r="E229" s="10" t="str">
        <v>Herri Gustaman</v>
      </c>
      <c r="F229" s="10" t="str">
        <v>PPL</v>
      </c>
      <c r="G229" s="10" t="str">
        <v>6102072503800001</v>
      </c>
      <c r="H229" s="10" t="str">
        <v>PENDATAAN PRODUSEN</v>
      </c>
      <c r="I229" s="10" t="str">
        <v>SHPED24-LAPANGAN-MARET-PPL-PENDATAAN PRODUSEN</v>
      </c>
      <c r="J229" s="10" t="str">
        <v>Dokumen</v>
      </c>
      <c r="K229" s="66">
        <v>55000</v>
      </c>
      <c r="L229" s="10">
        <v>3</v>
      </c>
      <c r="M229" s="10">
        <v>165000</v>
      </c>
      <c r="N229" s="10">
        <v>0</v>
      </c>
      <c r="O229" s="67">
        <v>45371</v>
      </c>
      <c r="P229" s="10">
        <v>2024</v>
      </c>
      <c r="Q229" s="10">
        <v>3</v>
      </c>
      <c r="R229" s="10" t="str">
        <v>SURVEI-PPL</v>
      </c>
      <c r="S229" s="10" t="str">
        <v>610422020048-2024-3</v>
      </c>
      <c r="T229" s="10" t="str">
        <v>610422020048-2024-3-SURVEI-PPL</v>
      </c>
      <c r="U229" s="10">
        <v>1</v>
      </c>
      <c r="V229" s="10" t="e">
        <f ca="1"/>
        <v>#NAME?</v>
      </c>
      <c r="W229" s="67">
        <v>45426</v>
      </c>
      <c r="X229" s="11" t="str">
        <v>Survei Harga Perdesaan (SHPED24) Maret</v>
      </c>
      <c r="Y229" s="11" t="str">
        <v>MEMPAWAH TIMUR</v>
      </c>
      <c r="Z229" s="11" t="str">
        <v>SEJEGI</v>
      </c>
      <c r="AA229" s="67">
        <v>45351</v>
      </c>
      <c r="AB229" s="67">
        <v>45352</v>
      </c>
      <c r="AC229" s="67">
        <v>45382</v>
      </c>
      <c r="AD229" s="67">
        <v>45381</v>
      </c>
      <c r="AE229" s="67">
        <v>45382</v>
      </c>
    </row>
    <row r="230" spans="1:31" ht="12.5">
      <c r="A230" s="10">
        <v>610422040029</v>
      </c>
      <c r="B230" s="10" t="str">
        <v>SHPED24-LAPANGAN-MARET</v>
      </c>
      <c r="C230" s="10">
        <v>0</v>
      </c>
      <c r="D230" s="10">
        <f ca="1"/>
        <v>1</v>
      </c>
      <c r="E230" s="10" t="str">
        <v>Zaini</v>
      </c>
      <c r="F230" s="10" t="str">
        <v>PPL</v>
      </c>
      <c r="G230" s="10" t="str">
        <v>6102010607870002</v>
      </c>
      <c r="H230" s="10" t="str">
        <v>PENDATAAN PRODUSEN</v>
      </c>
      <c r="I230" s="10" t="str">
        <v>SHPED24-LAPANGAN-MARET-PPL-PENDATAAN PRODUSEN</v>
      </c>
      <c r="J230" s="10" t="str">
        <v>Dokumen</v>
      </c>
      <c r="K230" s="66">
        <v>55000</v>
      </c>
      <c r="L230" s="10">
        <v>4</v>
      </c>
      <c r="M230" s="10">
        <v>220000</v>
      </c>
      <c r="N230" s="10">
        <v>0</v>
      </c>
      <c r="O230" s="67">
        <v>45371</v>
      </c>
      <c r="P230" s="10">
        <v>2024</v>
      </c>
      <c r="Q230" s="10">
        <v>3</v>
      </c>
      <c r="R230" s="10" t="str">
        <v>SURVEI-PPL</v>
      </c>
      <c r="S230" s="10" t="str">
        <v>610422040029-2024-3</v>
      </c>
      <c r="T230" s="10" t="str">
        <v>610422040029-2024-3-SURVEI-PPL</v>
      </c>
      <c r="U230" s="10">
        <v>1</v>
      </c>
      <c r="V230" s="10" t="e">
        <f ca="1"/>
        <v>#NAME?</v>
      </c>
      <c r="W230" s="67">
        <v>45426</v>
      </c>
      <c r="X230" s="11" t="str">
        <v>Survei Harga Perdesaan (SHPED24) Maret</v>
      </c>
      <c r="Y230" s="11" t="str">
        <v>MEMPAWAH HILIR</v>
      </c>
      <c r="Z230" s="11" t="str">
        <v>TENGAH</v>
      </c>
      <c r="AA230" s="67">
        <v>45351</v>
      </c>
      <c r="AB230" s="67">
        <v>45352</v>
      </c>
      <c r="AC230" s="67">
        <v>45382</v>
      </c>
      <c r="AD230" s="67">
        <v>45381</v>
      </c>
      <c r="AE230" s="67">
        <v>45382</v>
      </c>
    </row>
    <row r="231" spans="1:31" ht="12.5">
      <c r="A231" s="10">
        <v>610422050001</v>
      </c>
      <c r="B231" s="10" t="str">
        <v>SHPED24-LAPANGAN-MARET</v>
      </c>
      <c r="C231" s="10">
        <v>0</v>
      </c>
      <c r="D231" s="10">
        <f ca="1"/>
        <v>1</v>
      </c>
      <c r="E231" s="10" t="str">
        <v>Evi Juniarty</v>
      </c>
      <c r="F231" s="10" t="str">
        <v>PPL</v>
      </c>
      <c r="G231" s="10" t="str">
        <v>6102165101840001</v>
      </c>
      <c r="H231" s="10" t="str">
        <v>PENDATAAN PRODUSEN</v>
      </c>
      <c r="I231" s="10" t="str">
        <v>SHPED24-LAPANGAN-MARET-PPL-PENDATAAN PRODUSEN</v>
      </c>
      <c r="J231" s="10" t="str">
        <v>Dokumen</v>
      </c>
      <c r="K231" s="66">
        <v>55000</v>
      </c>
      <c r="L231" s="10">
        <v>1</v>
      </c>
      <c r="M231" s="10">
        <v>55000</v>
      </c>
      <c r="N231" s="10">
        <v>0</v>
      </c>
      <c r="O231" s="67">
        <v>45371</v>
      </c>
      <c r="P231" s="10">
        <v>2024</v>
      </c>
      <c r="Q231" s="10">
        <v>3</v>
      </c>
      <c r="R231" s="10" t="str">
        <v>SURVEI-PPL</v>
      </c>
      <c r="S231" s="10" t="str">
        <v>610422050001-2024-3</v>
      </c>
      <c r="T231" s="10" t="str">
        <v>610422050001-2024-3-SURVEI-PPL</v>
      </c>
      <c r="U231" s="10">
        <v>1</v>
      </c>
      <c r="V231" s="10" t="e">
        <f ca="1"/>
        <v>#NAME?</v>
      </c>
      <c r="W231" s="67">
        <v>45426</v>
      </c>
      <c r="X231" s="11" t="str">
        <v>Survei Harga Perdesaan (SHPED24) Maret</v>
      </c>
      <c r="Y231" s="11" t="str">
        <v>ANJONGAN</v>
      </c>
      <c r="Z231" s="11" t="str">
        <v>ANJUNGAN MELANCAR</v>
      </c>
      <c r="AA231" s="67">
        <v>45351</v>
      </c>
      <c r="AB231" s="67">
        <v>45352</v>
      </c>
      <c r="AC231" s="67">
        <v>45382</v>
      </c>
      <c r="AD231" s="67">
        <v>45381</v>
      </c>
      <c r="AE231" s="67">
        <v>45382</v>
      </c>
    </row>
    <row r="232" spans="1:31" ht="12.5">
      <c r="A232" s="10">
        <v>610422100124</v>
      </c>
      <c r="B232" s="10" t="str">
        <v>HPBG24-LAPANGAN-MARET</v>
      </c>
      <c r="C232" s="10">
        <v>0</v>
      </c>
      <c r="D232" s="10">
        <f ca="1"/>
        <v>1</v>
      </c>
      <c r="E232" s="10" t="str">
        <v>Prabowo</v>
      </c>
      <c r="F232" s="10" t="str">
        <v>PPL</v>
      </c>
      <c r="G232" s="10" t="str">
        <v>6171010108790015</v>
      </c>
      <c r="H232" s="10" t="str">
        <v>PENDATAAN</v>
      </c>
      <c r="I232" s="10" t="str">
        <v>HPBG24-LAPANGAN-MARET-PPL-PENDATAAN</v>
      </c>
      <c r="J232" s="10" t="str">
        <v>Dokumen</v>
      </c>
      <c r="K232" s="66">
        <v>55000</v>
      </c>
      <c r="L232" s="10">
        <v>2</v>
      </c>
      <c r="M232" s="10">
        <v>110000</v>
      </c>
      <c r="N232" s="10">
        <v>0</v>
      </c>
      <c r="O232" s="67">
        <v>45371</v>
      </c>
      <c r="P232" s="10">
        <v>2024</v>
      </c>
      <c r="Q232" s="10">
        <v>3</v>
      </c>
      <c r="R232" s="10" t="str">
        <v>SURVEI-PPL</v>
      </c>
      <c r="S232" s="10" t="str">
        <v>610422100124-2024-3</v>
      </c>
      <c r="T232" s="10" t="str">
        <v>610422100124-2024-3-SURVEI-PPL</v>
      </c>
      <c r="U232" s="10">
        <v>1</v>
      </c>
      <c r="V232" s="10" t="e">
        <f ca="1"/>
        <v>#NAME?</v>
      </c>
      <c r="W232" s="67">
        <v>45426</v>
      </c>
      <c r="X232" s="11" t="str">
        <v>Survei Harga Produsen Beras di Penggilingan 2024 (HPBG24) Maret</v>
      </c>
      <c r="Y232" s="11" t="str">
        <v>PONTIANAK KOTA</v>
      </c>
      <c r="Z232" s="11" t="str">
        <v>SUNGAI BANGKONG</v>
      </c>
      <c r="AA232" s="67">
        <v>45351</v>
      </c>
      <c r="AB232" s="67">
        <v>45352</v>
      </c>
      <c r="AC232" s="67">
        <v>45382</v>
      </c>
      <c r="AD232" s="67">
        <v>45381</v>
      </c>
      <c r="AE232" s="67">
        <v>45382</v>
      </c>
    </row>
    <row r="233" spans="1:31" ht="12.5">
      <c r="A233" s="10">
        <v>610422100244</v>
      </c>
      <c r="B233" s="10" t="str">
        <v>HPBG24-LAPANGAN-MARET</v>
      </c>
      <c r="C233" s="10">
        <v>0</v>
      </c>
      <c r="D233" s="10">
        <f ca="1"/>
        <v>1</v>
      </c>
      <c r="E233" s="10" t="str">
        <v>Sugianto</v>
      </c>
      <c r="F233" s="10" t="str">
        <v>PPL</v>
      </c>
      <c r="G233" s="10" t="str">
        <v>6102171003900002</v>
      </c>
      <c r="H233" s="10" t="str">
        <v>PENDATAAN</v>
      </c>
      <c r="I233" s="10" t="str">
        <v>HPBG24-LAPANGAN-MARET-PPL-PENDATAAN</v>
      </c>
      <c r="J233" s="10" t="str">
        <v>Dokumen</v>
      </c>
      <c r="K233" s="66">
        <v>55000</v>
      </c>
      <c r="L233" s="10">
        <v>2</v>
      </c>
      <c r="M233" s="10">
        <v>110000</v>
      </c>
      <c r="N233" s="10">
        <v>0</v>
      </c>
      <c r="O233" s="67">
        <v>45371</v>
      </c>
      <c r="P233" s="10">
        <v>2024</v>
      </c>
      <c r="Q233" s="10">
        <v>3</v>
      </c>
      <c r="R233" s="10" t="str">
        <v>SURVEI-PPL</v>
      </c>
      <c r="S233" s="10" t="str">
        <v>610422100244-2024-3</v>
      </c>
      <c r="T233" s="10" t="str">
        <v>610422100244-2024-3-SURVEI-PPL</v>
      </c>
      <c r="U233" s="10">
        <v>1</v>
      </c>
      <c r="V233" s="10" t="e">
        <f ca="1"/>
        <v>#NAME?</v>
      </c>
      <c r="W233" s="67">
        <v>45426</v>
      </c>
      <c r="X233" s="11" t="str">
        <v>Survei Harga Produsen Beras di Penggilingan 2024 (HPBG24) Maret</v>
      </c>
      <c r="Y233" s="11" t="str">
        <v>SADANIANG</v>
      </c>
      <c r="Z233" s="11" t="str">
        <v>BUMBUN</v>
      </c>
      <c r="AA233" s="67">
        <v>45351</v>
      </c>
      <c r="AB233" s="67">
        <v>45352</v>
      </c>
      <c r="AC233" s="67">
        <v>45382</v>
      </c>
      <c r="AD233" s="67">
        <v>45381</v>
      </c>
      <c r="AE233" s="67">
        <v>45382</v>
      </c>
    </row>
    <row r="234" spans="1:31" ht="12.5">
      <c r="A234" s="10">
        <v>610422100165</v>
      </c>
      <c r="B234" s="10" t="str">
        <v>HPBG24-LAPANGAN-MARET</v>
      </c>
      <c r="C234" s="10">
        <v>0</v>
      </c>
      <c r="D234" s="10">
        <f ca="1"/>
        <v>1</v>
      </c>
      <c r="E234" s="10" t="str">
        <v>Yanti</v>
      </c>
      <c r="F234" s="10" t="str">
        <v>PPL</v>
      </c>
      <c r="G234" s="10" t="str">
        <v>6102074803980002</v>
      </c>
      <c r="H234" s="10" t="str">
        <v>PENDATAAN</v>
      </c>
      <c r="I234" s="10" t="str">
        <v>HPBG24-LAPANGAN-MARET-PPL-PENDATAAN</v>
      </c>
      <c r="J234" s="10" t="str">
        <v>Dokumen</v>
      </c>
      <c r="K234" s="66">
        <v>55000</v>
      </c>
      <c r="L234" s="10">
        <v>2</v>
      </c>
      <c r="M234" s="10">
        <v>110000</v>
      </c>
      <c r="N234" s="10">
        <v>0</v>
      </c>
      <c r="O234" s="67">
        <v>45371</v>
      </c>
      <c r="P234" s="10">
        <v>2024</v>
      </c>
      <c r="Q234" s="10">
        <v>3</v>
      </c>
      <c r="R234" s="10" t="str">
        <v>SURVEI-PPL</v>
      </c>
      <c r="S234" s="10" t="str">
        <v>610422100165-2024-3</v>
      </c>
      <c r="T234" s="10" t="str">
        <v>610422100165-2024-3-SURVEI-PPL</v>
      </c>
      <c r="U234" s="10">
        <v>1</v>
      </c>
      <c r="V234" s="10" t="e">
        <f ca="1"/>
        <v>#NAME?</v>
      </c>
      <c r="W234" s="67">
        <v>45426</v>
      </c>
      <c r="X234" s="11" t="str">
        <v>Survei Harga Produsen Beras di Penggilingan 2024 (HPBG24) Maret</v>
      </c>
      <c r="Y234" s="11" t="str">
        <v>SUNGAI PINYUH</v>
      </c>
      <c r="Z234" s="11" t="str">
        <v>SUNGAI BAKAU BESAR LAUT</v>
      </c>
      <c r="AA234" s="67">
        <v>45351</v>
      </c>
      <c r="AB234" s="67">
        <v>45352</v>
      </c>
      <c r="AC234" s="67">
        <v>45382</v>
      </c>
      <c r="AD234" s="67">
        <v>45381</v>
      </c>
      <c r="AE234" s="67">
        <v>45382</v>
      </c>
    </row>
    <row r="235" spans="1:31" ht="12.5">
      <c r="A235" s="10">
        <v>610422100165</v>
      </c>
      <c r="B235" s="10" t="str">
        <v>HPJ24-LAPANGAN-MARET</v>
      </c>
      <c r="C235" s="10">
        <v>0</v>
      </c>
      <c r="D235" s="10">
        <f ca="1"/>
        <v>1</v>
      </c>
      <c r="E235" s="10" t="str">
        <v>Yanti</v>
      </c>
      <c r="F235" s="10" t="str">
        <v>PPL</v>
      </c>
      <c r="G235" s="10" t="str">
        <v>6102074803980002</v>
      </c>
      <c r="H235" s="10" t="str">
        <v>PENDATAAN</v>
      </c>
      <c r="I235" s="10" t="str">
        <v>HPJ24-LAPANGAN-MARET-PPL-PENDATAAN</v>
      </c>
      <c r="J235" s="10" t="str">
        <v>Dokumen</v>
      </c>
      <c r="K235" s="66">
        <v>50000</v>
      </c>
      <c r="L235" s="10">
        <v>1</v>
      </c>
      <c r="M235" s="10">
        <v>50000</v>
      </c>
      <c r="N235" s="10">
        <v>0</v>
      </c>
      <c r="O235" s="67">
        <v>45371</v>
      </c>
      <c r="P235" s="10">
        <v>2024</v>
      </c>
      <c r="Q235" s="10">
        <v>3</v>
      </c>
      <c r="R235" s="10" t="str">
        <v>SURVEI-PPL</v>
      </c>
      <c r="S235" s="10" t="str">
        <v>610422100165-2024-3</v>
      </c>
      <c r="T235" s="10" t="str">
        <v>610422100165-2024-3-SURVEI-PPL</v>
      </c>
      <c r="U235" s="10">
        <v>1</v>
      </c>
      <c r="V235" s="10" t="e">
        <f ca="1"/>
        <v>#NAME?</v>
      </c>
      <c r="W235" s="67">
        <v>45426</v>
      </c>
      <c r="X235" s="11" t="str">
        <v>Survei Harga Produsen Jasa (HPJ24) Maret</v>
      </c>
      <c r="Y235" s="11" t="str">
        <v>SUNGAI PINYUH</v>
      </c>
      <c r="Z235" s="11" t="str">
        <v>SUNGAI BAKAU BESAR LAUT</v>
      </c>
      <c r="AA235" s="67">
        <v>45351</v>
      </c>
      <c r="AB235" s="67">
        <v>45352</v>
      </c>
      <c r="AC235" s="67">
        <v>45382</v>
      </c>
      <c r="AD235" s="67">
        <v>45381</v>
      </c>
      <c r="AE235" s="67">
        <v>45382</v>
      </c>
    </row>
    <row r="236" spans="1:31" ht="12.5">
      <c r="A236" s="10">
        <v>610422040029</v>
      </c>
      <c r="B236" s="10" t="str">
        <v>VHTS24-LAPANGAN-MARET</v>
      </c>
      <c r="C236" s="10">
        <v>0</v>
      </c>
      <c r="D236" s="10">
        <f ca="1"/>
        <v>1</v>
      </c>
      <c r="E236" s="10" t="str">
        <v>Zaini</v>
      </c>
      <c r="F236" s="10" t="str">
        <v>PPL</v>
      </c>
      <c r="G236" s="10" t="str">
        <v>6102010607870002</v>
      </c>
      <c r="H236" s="10" t="str">
        <v>PENDATAAN</v>
      </c>
      <c r="I236" s="10" t="str">
        <v>VHTS24-LAPANGAN-MARET-PPL-PENDATAAN</v>
      </c>
      <c r="J236" s="10" t="str">
        <v>Dokumen</v>
      </c>
      <c r="K236" s="66">
        <v>55000</v>
      </c>
      <c r="L236" s="10">
        <v>3</v>
      </c>
      <c r="M236" s="10">
        <v>165000</v>
      </c>
      <c r="N236" s="10">
        <v>0</v>
      </c>
      <c r="O236" s="67">
        <v>45371</v>
      </c>
      <c r="P236" s="10">
        <v>2024</v>
      </c>
      <c r="Q236" s="10">
        <v>3</v>
      </c>
      <c r="R236" s="10" t="str">
        <v>SURVEI-PPL</v>
      </c>
      <c r="S236" s="10" t="str">
        <v>610422040029-2024-3</v>
      </c>
      <c r="T236" s="10" t="str">
        <v>610422040029-2024-3-SURVEI-PPL</v>
      </c>
      <c r="U236" s="10">
        <v>1</v>
      </c>
      <c r="V236" s="10" t="e">
        <f ca="1"/>
        <v>#NAME?</v>
      </c>
      <c r="W236" s="67">
        <v>45426</v>
      </c>
      <c r="X236" s="11" t="str">
        <v>Survei Hotel dan Jasa Akomodasi Bulanan (VHTS) 2024 Maret</v>
      </c>
      <c r="Y236" s="11" t="str">
        <v>MEMPAWAH HILIR</v>
      </c>
      <c r="Z236" s="11" t="str">
        <v>TENGAH</v>
      </c>
      <c r="AA236" s="67">
        <v>45351</v>
      </c>
      <c r="AB236" s="67">
        <v>45352</v>
      </c>
      <c r="AC236" s="67">
        <v>45382</v>
      </c>
      <c r="AD236" s="67">
        <v>45381</v>
      </c>
      <c r="AE236" s="67">
        <v>45382</v>
      </c>
    </row>
    <row r="237" spans="1:31" ht="12.5">
      <c r="A237" s="10">
        <v>610422100165</v>
      </c>
      <c r="B237" s="10" t="str">
        <v>VHTS24-LAPANGAN-MARET</v>
      </c>
      <c r="C237" s="10">
        <v>0</v>
      </c>
      <c r="D237" s="10">
        <f ca="1"/>
        <v>1</v>
      </c>
      <c r="E237" s="10" t="str">
        <v>Yanti</v>
      </c>
      <c r="F237" s="10" t="str">
        <v>PPL</v>
      </c>
      <c r="G237" s="10" t="str">
        <v>6102074803980002</v>
      </c>
      <c r="H237" s="10" t="str">
        <v>PENDATAAN</v>
      </c>
      <c r="I237" s="10" t="str">
        <v>VHTS24-LAPANGAN-MARET-PPL-PENDATAAN</v>
      </c>
      <c r="J237" s="10" t="str">
        <v>Dokumen</v>
      </c>
      <c r="K237" s="66">
        <v>55000</v>
      </c>
      <c r="L237" s="10">
        <v>3</v>
      </c>
      <c r="M237" s="10">
        <v>165000</v>
      </c>
      <c r="N237" s="10">
        <v>0</v>
      </c>
      <c r="O237" s="67">
        <v>45371</v>
      </c>
      <c r="P237" s="10">
        <v>2024</v>
      </c>
      <c r="Q237" s="10">
        <v>3</v>
      </c>
      <c r="R237" s="10" t="str">
        <v>SURVEI-PPL</v>
      </c>
      <c r="S237" s="10" t="str">
        <v>610422100165-2024-3</v>
      </c>
      <c r="T237" s="10" t="str">
        <v>610422100165-2024-3-SURVEI-PPL</v>
      </c>
      <c r="U237" s="10">
        <v>1</v>
      </c>
      <c r="V237" s="10" t="e">
        <f ca="1"/>
        <v>#NAME?</v>
      </c>
      <c r="W237" s="67">
        <v>45426</v>
      </c>
      <c r="X237" s="11" t="str">
        <v>Survei Hotel dan Jasa Akomodasi Bulanan (VHTS) 2024 Maret</v>
      </c>
      <c r="Y237" s="11" t="str">
        <v>SUNGAI PINYUH</v>
      </c>
      <c r="Z237" s="11" t="str">
        <v>SUNGAI BAKAU BESAR LAUT</v>
      </c>
      <c r="AA237" s="67">
        <v>45351</v>
      </c>
      <c r="AB237" s="67">
        <v>45352</v>
      </c>
      <c r="AC237" s="67">
        <v>45382</v>
      </c>
      <c r="AD237" s="67">
        <v>45381</v>
      </c>
      <c r="AE237" s="67">
        <v>45382</v>
      </c>
    </row>
    <row r="238" spans="1:31" ht="12.5">
      <c r="A238" s="10">
        <v>610422050001</v>
      </c>
      <c r="B238" s="10" t="str">
        <v>VHTS24-LAPANGAN-MARET</v>
      </c>
      <c r="C238" s="10">
        <v>0</v>
      </c>
      <c r="D238" s="10">
        <f ca="1"/>
        <v>1</v>
      </c>
      <c r="E238" s="10" t="str">
        <v>Evi Juniarty</v>
      </c>
      <c r="F238" s="10" t="str">
        <v>PPL</v>
      </c>
      <c r="G238" s="10" t="str">
        <v>6102165101840001</v>
      </c>
      <c r="H238" s="10" t="str">
        <v>PENDATAAN</v>
      </c>
      <c r="I238" s="10" t="str">
        <v>VHTS24-LAPANGAN-MARET-PPL-PENDATAAN</v>
      </c>
      <c r="J238" s="10" t="str">
        <v>Dokumen</v>
      </c>
      <c r="K238" s="66">
        <v>55000</v>
      </c>
      <c r="L238" s="10">
        <v>3</v>
      </c>
      <c r="M238" s="10">
        <v>165000</v>
      </c>
      <c r="N238" s="10">
        <v>0</v>
      </c>
      <c r="O238" s="67">
        <v>45371</v>
      </c>
      <c r="P238" s="10">
        <v>2024</v>
      </c>
      <c r="Q238" s="10">
        <v>3</v>
      </c>
      <c r="R238" s="10" t="str">
        <v>SURVEI-PPL</v>
      </c>
      <c r="S238" s="10" t="str">
        <v>610422050001-2024-3</v>
      </c>
      <c r="T238" s="10" t="str">
        <v>610422050001-2024-3-SURVEI-PPL</v>
      </c>
      <c r="U238" s="10">
        <v>1</v>
      </c>
      <c r="V238" s="10" t="e">
        <f ca="1"/>
        <v>#NAME?</v>
      </c>
      <c r="W238" s="67">
        <v>45426</v>
      </c>
      <c r="X238" s="11" t="str">
        <v>Survei Hotel dan Jasa Akomodasi Bulanan (VHTS) 2024 Maret</v>
      </c>
      <c r="Y238" s="11" t="str">
        <v>ANJONGAN</v>
      </c>
      <c r="Z238" s="11" t="str">
        <v>ANJUNGAN MELANCAR</v>
      </c>
      <c r="AA238" s="67">
        <v>45351</v>
      </c>
      <c r="AB238" s="67">
        <v>45352</v>
      </c>
      <c r="AC238" s="67">
        <v>45382</v>
      </c>
      <c r="AD238" s="67">
        <v>45381</v>
      </c>
      <c r="AE238" s="67">
        <v>45382</v>
      </c>
    </row>
    <row r="239" spans="1:31" ht="12.5">
      <c r="A239" s="10">
        <v>610422040056</v>
      </c>
      <c r="B239" s="10" t="str">
        <v>VHTS24-LAPANGAN-MARET</v>
      </c>
      <c r="C239" s="10">
        <v>0</v>
      </c>
      <c r="D239" s="10">
        <f ca="1"/>
        <v>1</v>
      </c>
      <c r="E239" s="10" t="str">
        <v>Wandi Syafari</v>
      </c>
      <c r="F239" s="10" t="str">
        <v>PPL</v>
      </c>
      <c r="G239" s="10" t="str">
        <v>6102010802760001</v>
      </c>
      <c r="H239" s="10" t="str">
        <v>PENDATAAN</v>
      </c>
      <c r="I239" s="10" t="str">
        <v>VHTS24-LAPANGAN-MARET-PPL-PENDATAAN</v>
      </c>
      <c r="J239" s="10" t="str">
        <v>Dokumen</v>
      </c>
      <c r="K239" s="66">
        <v>55000</v>
      </c>
      <c r="L239" s="10">
        <v>2</v>
      </c>
      <c r="M239" s="10">
        <v>110000</v>
      </c>
      <c r="N239" s="10">
        <v>0</v>
      </c>
      <c r="O239" s="67">
        <v>45371</v>
      </c>
      <c r="P239" s="10">
        <v>2024</v>
      </c>
      <c r="Q239" s="10">
        <v>3</v>
      </c>
      <c r="R239" s="10" t="str">
        <v>SURVEI-PPL</v>
      </c>
      <c r="S239" s="10" t="str">
        <v>610422040056-2024-3</v>
      </c>
      <c r="T239" s="10" t="str">
        <v>610422040056-2024-3-SURVEI-PPL</v>
      </c>
      <c r="U239" s="10">
        <v>1</v>
      </c>
      <c r="V239" s="10" t="e">
        <f ca="1"/>
        <v>#NAME?</v>
      </c>
      <c r="W239" s="67">
        <v>45426</v>
      </c>
      <c r="X239" s="11" t="str">
        <v>Survei Hotel dan Jasa Akomodasi Bulanan (VHTS) 2024 Maret</v>
      </c>
      <c r="Y239" s="11" t="str">
        <v>MEMPAWAH HILIR</v>
      </c>
      <c r="Z239" s="11" t="str">
        <v>TERUSAN</v>
      </c>
      <c r="AA239" s="67">
        <v>45351</v>
      </c>
      <c r="AB239" s="67">
        <v>45352</v>
      </c>
      <c r="AC239" s="67">
        <v>45382</v>
      </c>
      <c r="AD239" s="67">
        <v>45381</v>
      </c>
      <c r="AE239" s="67">
        <v>45382</v>
      </c>
    </row>
    <row r="240" spans="1:31" ht="12.5">
      <c r="A240" s="10">
        <v>610422100129</v>
      </c>
      <c r="B240" s="10" t="str">
        <v>SKTH24-LAPANGAN-TAHUNAN</v>
      </c>
      <c r="C240" s="10">
        <v>0</v>
      </c>
      <c r="D240" s="10">
        <f ca="1"/>
        <v>1</v>
      </c>
      <c r="E240" s="10" t="str">
        <v>Andre</v>
      </c>
      <c r="F240" s="10" t="str">
        <v>PPL</v>
      </c>
      <c r="G240" s="10" t="str">
        <v>6102121606980001</v>
      </c>
      <c r="H240" s="10" t="str">
        <v>PENDATAAN</v>
      </c>
      <c r="I240" s="10" t="str">
        <v>SKTH24-LAPANGAN-TAHUNAN-PPL-PENDATAAN</v>
      </c>
      <c r="J240" s="10" t="str">
        <v>Dokumen</v>
      </c>
      <c r="K240" s="66">
        <v>73000</v>
      </c>
      <c r="L240" s="10">
        <v>15</v>
      </c>
      <c r="M240" s="10">
        <v>1095000</v>
      </c>
      <c r="N240" s="70">
        <v>0</v>
      </c>
      <c r="O240" s="67">
        <v>45371</v>
      </c>
      <c r="P240" s="10">
        <v>2024</v>
      </c>
      <c r="Q240" s="10">
        <v>3</v>
      </c>
      <c r="R240" s="10" t="str">
        <v>SURVEI-PPL</v>
      </c>
      <c r="S240" s="10" t="str">
        <v>610422100129-2024-3</v>
      </c>
      <c r="T240" s="10" t="str">
        <v>610422100129-2024-3-SURVEI-PPL</v>
      </c>
      <c r="U240" s="10">
        <v>1</v>
      </c>
      <c r="V240" s="10" t="e">
        <f ca="1"/>
        <v>#NAME?</v>
      </c>
      <c r="W240" s="67">
        <v>0</v>
      </c>
      <c r="X240" s="11" t="str">
        <v>(SKTH24) Survei Perusahaan Konstruksi Tahunan 2024</v>
      </c>
      <c r="Y240" s="11" t="str">
        <v>SUNGAI KUNYIT</v>
      </c>
      <c r="Z240" s="11" t="str">
        <v>MENDALOK</v>
      </c>
      <c r="AA240" s="67">
        <v>45351</v>
      </c>
      <c r="AB240" s="67">
        <v>45352</v>
      </c>
      <c r="AC240" s="67">
        <v>45382</v>
      </c>
      <c r="AD240" s="67">
        <v>45381</v>
      </c>
      <c r="AE240" s="67">
        <v>45382</v>
      </c>
    </row>
    <row r="241" spans="1:31" ht="12.5">
      <c r="A241" s="10">
        <v>610422020006</v>
      </c>
      <c r="B241" s="10" t="str">
        <v>SUSENAS24-LAPANGAN-SEMESTER1</v>
      </c>
      <c r="C241" s="10">
        <v>0</v>
      </c>
      <c r="D241" s="10">
        <f ca="1"/>
        <v>1</v>
      </c>
      <c r="E241" s="10" t="str">
        <v>Nasrullah</v>
      </c>
      <c r="F241" s="10" t="str">
        <v>PETUGAS ENTRI</v>
      </c>
      <c r="G241" s="10" t="str">
        <v>6102011011970003</v>
      </c>
      <c r="H241" s="10" t="str">
        <v>PENGOLAHAN PENDATAAN</v>
      </c>
      <c r="I241" s="10" t="str">
        <v>SUSENAS24-LAPANGAN-SEMESTER1-PETUGAS ENTRI-PENGOLAHAN PENDATAAN</v>
      </c>
      <c r="J241" s="10" t="str">
        <v>Rumah Tangga</v>
      </c>
      <c r="K241" s="66">
        <v>27500</v>
      </c>
      <c r="L241" s="10">
        <v>63</v>
      </c>
      <c r="M241" s="10">
        <v>1732500</v>
      </c>
      <c r="N241" s="70">
        <v>0</v>
      </c>
      <c r="O241" s="67">
        <v>45373</v>
      </c>
      <c r="P241" s="10">
        <v>2024</v>
      </c>
      <c r="Q241" s="10">
        <v>3</v>
      </c>
      <c r="R241" s="10" t="str">
        <v>SURVEI-PETUGAS ENTRI</v>
      </c>
      <c r="S241" s="10" t="str">
        <v>610422020006-2024-3</v>
      </c>
      <c r="T241" s="10" t="str">
        <v>610422020006-2024-3-SURVEI-PETUGAS ENTRI</v>
      </c>
      <c r="U241" s="10">
        <v>1</v>
      </c>
      <c r="V241" s="10" t="e">
        <f ca="1"/>
        <v>#NAME?</v>
      </c>
      <c r="W241" s="67">
        <v>45384</v>
      </c>
      <c r="X241" s="11" t="str">
        <v>Susenas Maret 2024</v>
      </c>
      <c r="Y241" s="11" t="str">
        <v>MEMPAWAH HILIR</v>
      </c>
      <c r="Z241" s="11" t="str">
        <v>MALIKIAN</v>
      </c>
      <c r="AA241" s="67">
        <v>45351</v>
      </c>
      <c r="AB241" s="67">
        <v>45352</v>
      </c>
      <c r="AC241" s="67">
        <v>45382</v>
      </c>
      <c r="AD241" s="67">
        <v>45381</v>
      </c>
      <c r="AE241" s="67">
        <v>45382</v>
      </c>
    </row>
    <row r="242" spans="1:31" ht="12.5">
      <c r="A242" s="10">
        <v>617122110049</v>
      </c>
      <c r="B242" s="10" t="str">
        <v>SUSENAS24-LAPANGAN-SEMESTER1</v>
      </c>
      <c r="C242" s="10">
        <v>0</v>
      </c>
      <c r="D242" s="10">
        <f ca="1"/>
        <v>1</v>
      </c>
      <c r="E242" s="10" t="str">
        <v>Muhammad Deny Hafizzul Muttaqin</v>
      </c>
      <c r="F242" s="10" t="str">
        <v>PETUGAS ENTRI</v>
      </c>
      <c r="G242" s="10" t="str">
        <v>6102181908990001</v>
      </c>
      <c r="H242" s="10" t="str">
        <v>PENGOLAHAN PENDATAAN</v>
      </c>
      <c r="I242" s="10" t="str">
        <v>SUSENAS24-LAPANGAN-SEMESTER1-PETUGAS ENTRI-PENGOLAHAN PENDATAAN</v>
      </c>
      <c r="J242" s="10" t="str">
        <v>Rumah Tangga</v>
      </c>
      <c r="K242" s="66">
        <v>27500</v>
      </c>
      <c r="L242" s="10">
        <v>64</v>
      </c>
      <c r="M242" s="10">
        <v>1760000</v>
      </c>
      <c r="N242" s="70">
        <v>0</v>
      </c>
      <c r="O242" s="67">
        <v>45373</v>
      </c>
      <c r="P242" s="10">
        <v>2024</v>
      </c>
      <c r="Q242" s="10">
        <v>3</v>
      </c>
      <c r="R242" s="10" t="str">
        <v>SURVEI-PETUGAS ENTRI</v>
      </c>
      <c r="S242" s="10" t="str">
        <v>617122110049-2024-3</v>
      </c>
      <c r="T242" s="10" t="str">
        <v>617122110049-2024-3-SURVEI-PETUGAS ENTRI</v>
      </c>
      <c r="U242" s="10">
        <v>1</v>
      </c>
      <c r="V242" s="10" t="e">
        <f ca="1"/>
        <v>#NAME?</v>
      </c>
      <c r="W242" s="67">
        <v>45384</v>
      </c>
      <c r="X242" s="11" t="str">
        <v>Susenas Maret 2024</v>
      </c>
      <c r="Y242" s="11" t="str">
        <v>MEMPAWAH TIMUR</v>
      </c>
      <c r="Z242" s="11" t="str">
        <v>SUNGAI BAKAU KECIL</v>
      </c>
      <c r="AA242" s="67">
        <v>45351</v>
      </c>
      <c r="AB242" s="67">
        <v>45352</v>
      </c>
      <c r="AC242" s="67">
        <v>45382</v>
      </c>
      <c r="AD242" s="67">
        <v>45381</v>
      </c>
      <c r="AE242" s="67">
        <v>45382</v>
      </c>
    </row>
    <row r="243" spans="1:31" ht="12.5">
      <c r="A243" s="10">
        <v>610422100010</v>
      </c>
      <c r="B243" s="10" t="str">
        <v>SUSENAS24-LAPANGAN-SEMESTER1</v>
      </c>
      <c r="C243" s="10">
        <v>0</v>
      </c>
      <c r="D243" s="10">
        <f ca="1"/>
        <v>1</v>
      </c>
      <c r="E243" s="10" t="str">
        <v>Muhammad Rendi Fakhrian</v>
      </c>
      <c r="F243" s="10" t="str">
        <v>PETUGAS ENTRI</v>
      </c>
      <c r="G243" s="10" t="str">
        <v>6102012210990001</v>
      </c>
      <c r="H243" s="10" t="str">
        <v>PENGOLAHAN PENDATAAN</v>
      </c>
      <c r="I243" s="10" t="str">
        <v>SUSENAS24-LAPANGAN-SEMESTER1-PETUGAS ENTRI-PENGOLAHAN PENDATAAN</v>
      </c>
      <c r="J243" s="10" t="str">
        <v>Rumah Tangga</v>
      </c>
      <c r="K243" s="66">
        <v>27500</v>
      </c>
      <c r="L243" s="10">
        <v>58</v>
      </c>
      <c r="M243" s="10">
        <v>1595000</v>
      </c>
      <c r="N243" s="70">
        <v>0</v>
      </c>
      <c r="O243" s="67">
        <v>45373</v>
      </c>
      <c r="P243" s="10">
        <v>2024</v>
      </c>
      <c r="Q243" s="10">
        <v>3</v>
      </c>
      <c r="R243" s="10" t="str">
        <v>SURVEI-PETUGAS ENTRI</v>
      </c>
      <c r="S243" s="10" t="str">
        <v>610422100010-2024-3</v>
      </c>
      <c r="T243" s="10" t="str">
        <v>610422100010-2024-3-SURVEI-PETUGAS ENTRI</v>
      </c>
      <c r="U243" s="10">
        <v>1</v>
      </c>
      <c r="V243" s="10" t="e">
        <f ca="1"/>
        <v>#NAME?</v>
      </c>
      <c r="W243" s="67">
        <v>45384</v>
      </c>
      <c r="X243" s="11" t="str">
        <v>Susenas Maret 2024</v>
      </c>
      <c r="Y243" s="11" t="str">
        <v>MEMPAWAH HILIR</v>
      </c>
      <c r="Z243" s="11" t="str">
        <v>TENGAH</v>
      </c>
      <c r="AA243" s="67">
        <v>45351</v>
      </c>
      <c r="AB243" s="67">
        <v>45352</v>
      </c>
      <c r="AC243" s="67">
        <v>45382</v>
      </c>
      <c r="AD243" s="67">
        <v>45381</v>
      </c>
      <c r="AE243" s="67">
        <v>45382</v>
      </c>
    </row>
    <row r="244" spans="1:31" ht="12.5">
      <c r="A244" s="10">
        <v>610422100177</v>
      </c>
      <c r="B244" s="10" t="str">
        <v>SUSENAS24-LAPANGAN-SEMESTER1</v>
      </c>
      <c r="C244" s="10">
        <v>0</v>
      </c>
      <c r="D244" s="10">
        <f ca="1"/>
        <v>1</v>
      </c>
      <c r="E244" s="10" t="str">
        <v>Amirah</v>
      </c>
      <c r="F244" s="10" t="str">
        <v>PETUGAS ENTRI</v>
      </c>
      <c r="G244" s="10" t="str">
        <v>6102015302980003</v>
      </c>
      <c r="H244" s="10" t="str">
        <v>PENGOLAHAN PENDATAAN</v>
      </c>
      <c r="I244" s="10" t="str">
        <v>SUSENAS24-LAPANGAN-SEMESTER1-PETUGAS ENTRI-PENGOLAHAN PENDATAAN</v>
      </c>
      <c r="J244" s="10" t="str">
        <v>Rumah Tangga</v>
      </c>
      <c r="K244" s="66">
        <v>27500</v>
      </c>
      <c r="L244" s="10">
        <v>64</v>
      </c>
      <c r="M244" s="10">
        <v>1760000</v>
      </c>
      <c r="N244" s="70">
        <v>0</v>
      </c>
      <c r="O244" s="67">
        <v>45373</v>
      </c>
      <c r="P244" s="10">
        <v>2024</v>
      </c>
      <c r="Q244" s="10">
        <v>3</v>
      </c>
      <c r="R244" s="10" t="str">
        <v>SURVEI-PETUGAS ENTRI</v>
      </c>
      <c r="S244" s="10" t="str">
        <v>610422100177-2024-3</v>
      </c>
      <c r="T244" s="10" t="str">
        <v>610422100177-2024-3-SURVEI-PETUGAS ENTRI</v>
      </c>
      <c r="U244" s="10">
        <v>1</v>
      </c>
      <c r="V244" s="10" t="e">
        <f ca="1"/>
        <v>#NAME?</v>
      </c>
      <c r="W244" s="67">
        <v>45384</v>
      </c>
      <c r="X244" s="11" t="str">
        <v>Susenas Maret 2024</v>
      </c>
      <c r="Y244" s="11" t="str">
        <v>MEMPAWAH HILIR</v>
      </c>
      <c r="Z244" s="11" t="str">
        <v>TERUSAN</v>
      </c>
      <c r="AA244" s="67">
        <v>45351</v>
      </c>
      <c r="AB244" s="67">
        <v>45352</v>
      </c>
      <c r="AC244" s="67">
        <v>45382</v>
      </c>
      <c r="AD244" s="67">
        <v>45381</v>
      </c>
      <c r="AE244" s="67">
        <v>45382</v>
      </c>
    </row>
    <row r="245" spans="1:31" ht="12.5">
      <c r="A245" s="10">
        <v>610422100083</v>
      </c>
      <c r="B245" s="10" t="str">
        <v>SUSENAS24-LAPANGAN-SEMESTER1</v>
      </c>
      <c r="C245" s="10">
        <v>0</v>
      </c>
      <c r="D245" s="10">
        <f ca="1"/>
        <v>1</v>
      </c>
      <c r="E245" s="10" t="str">
        <v>Ilham Subagio</v>
      </c>
      <c r="F245" s="10" t="str">
        <v>PETUGAS ENTRI</v>
      </c>
      <c r="G245" s="10" t="str">
        <v>6102012006970002</v>
      </c>
      <c r="H245" s="10" t="str">
        <v>PENGOLAHAN PENDATAAN</v>
      </c>
      <c r="I245" s="10" t="str">
        <v>SUSENAS24-LAPANGAN-SEMESTER1-PETUGAS ENTRI-PENGOLAHAN PENDATAAN</v>
      </c>
      <c r="J245" s="10" t="str">
        <v>Rumah Tangga</v>
      </c>
      <c r="K245" s="66">
        <v>27500</v>
      </c>
      <c r="L245" s="10">
        <v>62</v>
      </c>
      <c r="M245" s="10">
        <v>1705000</v>
      </c>
      <c r="N245" s="70">
        <v>0</v>
      </c>
      <c r="O245" s="67">
        <v>45373</v>
      </c>
      <c r="P245" s="10">
        <v>2024</v>
      </c>
      <c r="Q245" s="10">
        <v>3</v>
      </c>
      <c r="R245" s="10" t="str">
        <v>SURVEI-PETUGAS ENTRI</v>
      </c>
      <c r="S245" s="10" t="str">
        <v>610422100083-2024-3</v>
      </c>
      <c r="T245" s="10" t="str">
        <v>610422100083-2024-3-SURVEI-PETUGAS ENTRI</v>
      </c>
      <c r="U245" s="10">
        <v>1</v>
      </c>
      <c r="V245" s="10" t="e">
        <f ca="1"/>
        <v>#NAME?</v>
      </c>
      <c r="W245" s="67">
        <v>45384</v>
      </c>
      <c r="X245" s="11" t="str">
        <v>Susenas Maret 2024</v>
      </c>
      <c r="Y245" s="11" t="str">
        <v>MEMPAWAH HILIR</v>
      </c>
      <c r="Z245" s="11" t="str">
        <v>TENGAH</v>
      </c>
      <c r="AA245" s="67">
        <v>45351</v>
      </c>
      <c r="AB245" s="67">
        <v>45352</v>
      </c>
      <c r="AC245" s="67">
        <v>45382</v>
      </c>
      <c r="AD245" s="67">
        <v>45381</v>
      </c>
      <c r="AE245" s="67">
        <v>45382</v>
      </c>
    </row>
    <row r="246" spans="1:31" ht="12.5">
      <c r="A246" s="10">
        <v>610422110006</v>
      </c>
      <c r="B246" s="10" t="str">
        <v>SUSENAS24-LAPANGAN-SEMESTER1</v>
      </c>
      <c r="C246" s="10">
        <v>0</v>
      </c>
      <c r="D246" s="10">
        <f ca="1"/>
        <v>1</v>
      </c>
      <c r="E246" s="10" t="str">
        <v>Muhammad Habibie</v>
      </c>
      <c r="F246" s="10" t="str">
        <v>PETUGAS ENTRI</v>
      </c>
      <c r="G246" s="10" t="str">
        <v>6102161209040001</v>
      </c>
      <c r="H246" s="10" t="str">
        <v>PENGOLAHAN PENDATAAN</v>
      </c>
      <c r="I246" s="10" t="str">
        <v>SUSENAS24-LAPANGAN-SEMESTER1-PETUGAS ENTRI-PENGOLAHAN PENDATAAN</v>
      </c>
      <c r="J246" s="10" t="str">
        <v>Rumah Tangga</v>
      </c>
      <c r="K246" s="66">
        <v>27500</v>
      </c>
      <c r="L246" s="10">
        <v>60</v>
      </c>
      <c r="M246" s="10">
        <v>1650000</v>
      </c>
      <c r="N246" s="70">
        <v>0</v>
      </c>
      <c r="O246" s="67">
        <v>45373</v>
      </c>
      <c r="P246" s="10">
        <v>2024</v>
      </c>
      <c r="Q246" s="10">
        <v>3</v>
      </c>
      <c r="R246" s="10" t="str">
        <v>SURVEI-PETUGAS ENTRI</v>
      </c>
      <c r="S246" s="10" t="str">
        <v>610422110006-2024-3</v>
      </c>
      <c r="T246" s="10" t="str">
        <v>610422110006-2024-3-SURVEI-PETUGAS ENTRI</v>
      </c>
      <c r="U246" s="10">
        <v>1</v>
      </c>
      <c r="V246" s="10" t="e">
        <f ca="1"/>
        <v>#NAME?</v>
      </c>
      <c r="W246" s="67">
        <v>45384</v>
      </c>
      <c r="X246" s="11" t="str">
        <v>Susenas Maret 2024</v>
      </c>
      <c r="Y246" s="11" t="str">
        <v>MEMPAWAH HILIR</v>
      </c>
      <c r="Z246" s="11" t="str">
        <v>TERUSAN</v>
      </c>
      <c r="AA246" s="67">
        <v>45351</v>
      </c>
      <c r="AB246" s="67">
        <v>45352</v>
      </c>
      <c r="AC246" s="67">
        <v>45382</v>
      </c>
      <c r="AD246" s="67">
        <v>45381</v>
      </c>
      <c r="AE246" s="67">
        <v>45382</v>
      </c>
    </row>
    <row r="247" spans="1:31" ht="12.5">
      <c r="A247" s="10">
        <v>610422110005</v>
      </c>
      <c r="B247" s="10" t="str">
        <v>SUSENAS24-LAPANGAN-SEMESTER1</v>
      </c>
      <c r="C247" s="10">
        <v>0</v>
      </c>
      <c r="D247" s="10">
        <f ca="1"/>
        <v>1</v>
      </c>
      <c r="E247" s="10" t="str">
        <v>Indra</v>
      </c>
      <c r="F247" s="10" t="str">
        <v>PETUGAS ENTRI</v>
      </c>
      <c r="G247" s="10" t="str">
        <v>6102010506950003</v>
      </c>
      <c r="H247" s="10" t="str">
        <v>PENGOLAHAN PENDATAAN</v>
      </c>
      <c r="I247" s="10" t="str">
        <v>SUSENAS24-LAPANGAN-SEMESTER1-PETUGAS ENTRI-PENGOLAHAN PENDATAAN</v>
      </c>
      <c r="J247" s="10" t="str">
        <v>Rumah Tangga</v>
      </c>
      <c r="K247" s="66">
        <v>27500</v>
      </c>
      <c r="L247" s="10">
        <v>71</v>
      </c>
      <c r="M247" s="10">
        <v>1952500</v>
      </c>
      <c r="N247" s="70">
        <v>0</v>
      </c>
      <c r="O247" s="67">
        <v>45373</v>
      </c>
      <c r="P247" s="10">
        <v>2024</v>
      </c>
      <c r="Q247" s="10">
        <v>3</v>
      </c>
      <c r="R247" s="10" t="str">
        <v>SURVEI-PETUGAS ENTRI</v>
      </c>
      <c r="S247" s="10" t="str">
        <v>610422110005-2024-3</v>
      </c>
      <c r="T247" s="10" t="str">
        <v>610422110005-2024-3-SURVEI-PETUGAS ENTRI</v>
      </c>
      <c r="U247" s="10">
        <v>1</v>
      </c>
      <c r="V247" s="10" t="e">
        <f ca="1"/>
        <v>#NAME?</v>
      </c>
      <c r="W247" s="67">
        <v>45384</v>
      </c>
      <c r="X247" s="11" t="str">
        <v>Susenas Maret 2024</v>
      </c>
      <c r="Y247" s="11" t="str">
        <v>MEMPAWAH HILIR</v>
      </c>
      <c r="Z247" s="11" t="str">
        <v>MALIKIAN</v>
      </c>
      <c r="AA247" s="67">
        <v>45351</v>
      </c>
      <c r="AB247" s="67">
        <v>45352</v>
      </c>
      <c r="AC247" s="67">
        <v>45382</v>
      </c>
      <c r="AD247" s="67">
        <v>45381</v>
      </c>
      <c r="AE247" s="67">
        <v>45382</v>
      </c>
    </row>
    <row r="248" spans="1:31" ht="12.5">
      <c r="A248" s="10">
        <v>610423090021</v>
      </c>
      <c r="B248" s="10" t="str">
        <v>SUSENAS24-LAPANGAN-SEMESTER1</v>
      </c>
      <c r="C248" s="10">
        <v>0</v>
      </c>
      <c r="D248" s="10">
        <f ca="1"/>
        <v>1</v>
      </c>
      <c r="E248" s="10" t="str">
        <v>Thama Riewanty Oesman</v>
      </c>
      <c r="F248" s="10" t="str">
        <v>PETUGAS ENTRI</v>
      </c>
      <c r="G248" s="10" t="str">
        <v>6102016603990004</v>
      </c>
      <c r="H248" s="10" t="str">
        <v>PENGOLAHAN PENDATAAN</v>
      </c>
      <c r="I248" s="10" t="str">
        <v>SUSENAS24-LAPANGAN-SEMESTER1-PETUGAS ENTRI-PENGOLAHAN PENDATAAN</v>
      </c>
      <c r="J248" s="10" t="str">
        <v>Rumah Tangga</v>
      </c>
      <c r="K248" s="66">
        <v>27500</v>
      </c>
      <c r="L248" s="10">
        <v>58</v>
      </c>
      <c r="M248" s="10">
        <v>1595000</v>
      </c>
      <c r="N248" s="70">
        <v>0</v>
      </c>
      <c r="O248" s="67">
        <v>45373</v>
      </c>
      <c r="P248" s="10">
        <v>2024</v>
      </c>
      <c r="Q248" s="10">
        <v>3</v>
      </c>
      <c r="R248" s="10" t="str">
        <v>SURVEI-PETUGAS ENTRI</v>
      </c>
      <c r="S248" s="10" t="str">
        <v>610423090021-2024-3</v>
      </c>
      <c r="T248" s="10" t="str">
        <v>610423090021-2024-3-SURVEI-PETUGAS ENTRI</v>
      </c>
      <c r="U248" s="10">
        <v>1</v>
      </c>
      <c r="V248" s="10" t="e">
        <f ca="1"/>
        <v>#NAME?</v>
      </c>
      <c r="W248" s="67">
        <v>45384</v>
      </c>
      <c r="X248" s="11" t="str">
        <v>Susenas Maret 2024</v>
      </c>
      <c r="Y248" s="11" t="str">
        <v>MEMPAWAH HILIR</v>
      </c>
      <c r="Z248" s="11" t="str">
        <v>TERUSAN</v>
      </c>
      <c r="AA248" s="67">
        <v>45351</v>
      </c>
      <c r="AB248" s="67">
        <v>45352</v>
      </c>
      <c r="AC248" s="67">
        <v>45382</v>
      </c>
      <c r="AD248" s="67">
        <v>45381</v>
      </c>
      <c r="AE248" s="67">
        <v>45382</v>
      </c>
    </row>
    <row r="249" spans="1:31" ht="12.5">
      <c r="A249" s="10">
        <v>610423110150</v>
      </c>
      <c r="B249" s="10" t="str">
        <v>SUSENAS24-LAPANGAN-SEMESTER1</v>
      </c>
      <c r="C249" s="10">
        <v>0</v>
      </c>
      <c r="D249" s="10">
        <f ca="1"/>
        <v>1</v>
      </c>
      <c r="E249" s="10" t="str">
        <v>Risa Yolani</v>
      </c>
      <c r="F249" s="10" t="str">
        <v>PETUGAS ENTRI</v>
      </c>
      <c r="G249" s="10" t="str">
        <v>6102015802940002</v>
      </c>
      <c r="H249" s="10" t="str">
        <v>PENGOLAHAN PENDATAAN</v>
      </c>
      <c r="I249" s="10" t="str">
        <v>SUSENAS24-LAPANGAN-SEMESTER1-PETUGAS ENTRI-PENGOLAHAN PENDATAAN</v>
      </c>
      <c r="J249" s="10" t="str">
        <v>Rumah Tangga</v>
      </c>
      <c r="K249" s="66">
        <v>27500</v>
      </c>
      <c r="L249" s="10">
        <v>58</v>
      </c>
      <c r="M249" s="10">
        <v>1595000</v>
      </c>
      <c r="N249" s="70">
        <v>0</v>
      </c>
      <c r="O249" s="67">
        <v>45373</v>
      </c>
      <c r="P249" s="10">
        <v>2024</v>
      </c>
      <c r="Q249" s="10">
        <v>3</v>
      </c>
      <c r="R249" s="10" t="str">
        <v>SURVEI-PETUGAS ENTRI</v>
      </c>
      <c r="S249" s="10" t="str">
        <v>610423110150-2024-3</v>
      </c>
      <c r="T249" s="10" t="str">
        <v>610423110150-2024-3-SURVEI-PETUGAS ENTRI</v>
      </c>
      <c r="U249" s="10">
        <v>1</v>
      </c>
      <c r="V249" s="10" t="e">
        <f ca="1"/>
        <v>#NAME?</v>
      </c>
      <c r="W249" s="67">
        <v>45384</v>
      </c>
      <c r="X249" s="11" t="str">
        <v>Susenas Maret 2024</v>
      </c>
      <c r="Y249" s="11" t="str">
        <v>MEMPAWAH HILIR</v>
      </c>
      <c r="Z249" s="11" t="str">
        <v>TENGAH</v>
      </c>
      <c r="AA249" s="67">
        <v>45351</v>
      </c>
      <c r="AB249" s="67">
        <v>45352</v>
      </c>
      <c r="AC249" s="67">
        <v>45382</v>
      </c>
      <c r="AD249" s="67">
        <v>45381</v>
      </c>
      <c r="AE249" s="67">
        <v>45382</v>
      </c>
    </row>
    <row r="250" spans="1:31" ht="12.5">
      <c r="A250" s="10">
        <v>610423110129</v>
      </c>
      <c r="B250" s="10" t="str">
        <v>SUSENAS24-LAPANGAN-SEMESTER1</v>
      </c>
      <c r="C250" s="10">
        <v>0</v>
      </c>
      <c r="D250" s="10">
        <f ca="1"/>
        <v>1</v>
      </c>
      <c r="E250" s="10" t="str">
        <v>Athalia Meifira</v>
      </c>
      <c r="F250" s="10" t="str">
        <v>PETUGAS ENTRI</v>
      </c>
      <c r="G250" s="10" t="str">
        <v>6102015905000001</v>
      </c>
      <c r="H250" s="10" t="str">
        <v>PENGOLAHAN PENDATAAN</v>
      </c>
      <c r="I250" s="10" t="str">
        <v>SUSENAS24-LAPANGAN-SEMESTER1-PETUGAS ENTRI-PENGOLAHAN PENDATAAN</v>
      </c>
      <c r="J250" s="10" t="str">
        <v>Rumah Tangga</v>
      </c>
      <c r="K250" s="66">
        <v>27500</v>
      </c>
      <c r="L250" s="10">
        <v>62</v>
      </c>
      <c r="M250" s="10">
        <v>1705000</v>
      </c>
      <c r="N250" s="70">
        <v>0</v>
      </c>
      <c r="O250" s="67">
        <v>45373</v>
      </c>
      <c r="P250" s="10">
        <v>2024</v>
      </c>
      <c r="Q250" s="10">
        <v>3</v>
      </c>
      <c r="R250" s="10" t="str">
        <v>SURVEI-PETUGAS ENTRI</v>
      </c>
      <c r="S250" s="10" t="str">
        <v>610423110129-2024-3</v>
      </c>
      <c r="T250" s="10" t="str">
        <v>610423110129-2024-3-SURVEI-PETUGAS ENTRI</v>
      </c>
      <c r="U250" s="10">
        <v>1</v>
      </c>
      <c r="V250" s="10" t="e">
        <f ca="1"/>
        <v>#NAME?</v>
      </c>
      <c r="W250" s="67">
        <v>45384</v>
      </c>
      <c r="X250" s="11" t="str">
        <v>Susenas Maret 2024</v>
      </c>
      <c r="Y250" s="11" t="str">
        <v>MEMPAWAH HILIR</v>
      </c>
      <c r="Z250" s="11" t="str">
        <v>TERUSAN</v>
      </c>
      <c r="AA250" s="67">
        <v>45351</v>
      </c>
      <c r="AB250" s="67">
        <v>45352</v>
      </c>
      <c r="AC250" s="67">
        <v>45382</v>
      </c>
      <c r="AD250" s="67">
        <v>45381</v>
      </c>
      <c r="AE250" s="67">
        <v>45382</v>
      </c>
    </row>
    <row r="251" spans="1:31" ht="12.5">
      <c r="A251" s="10">
        <v>610422020016</v>
      </c>
      <c r="B251" s="10" t="str">
        <v>KSA24-LAPANGAN-MARET</v>
      </c>
      <c r="C251" s="10">
        <v>0</v>
      </c>
      <c r="D251" s="10">
        <f ca="1"/>
        <v>1</v>
      </c>
      <c r="E251" s="10" t="str">
        <v>Abdul Aziz</v>
      </c>
      <c r="F251" s="10" t="str">
        <v>PPL</v>
      </c>
      <c r="G251" s="10" t="str">
        <v>6102061507950006</v>
      </c>
      <c r="H251" s="10" t="str">
        <v>KSA PADI</v>
      </c>
      <c r="I251" s="10" t="str">
        <v>KSA24-LAPANGAN-MARET-PPL-KSA PADI</v>
      </c>
      <c r="J251" s="10" t="str">
        <v>Segmen</v>
      </c>
      <c r="K251" s="66">
        <v>116000</v>
      </c>
      <c r="L251" s="10">
        <v>3</v>
      </c>
      <c r="M251" s="10">
        <v>348000</v>
      </c>
      <c r="N251" s="10">
        <v>0</v>
      </c>
      <c r="O251" s="67">
        <v>45382</v>
      </c>
      <c r="P251" s="10">
        <v>2024</v>
      </c>
      <c r="Q251" s="10">
        <v>3</v>
      </c>
      <c r="R251" s="10" t="str">
        <v>SURVEI-PPL</v>
      </c>
      <c r="S251" s="10" t="str">
        <v>610422020016-2024-3</v>
      </c>
      <c r="T251" s="10" t="str">
        <v>610422020016-2024-3-SURVEI-PPL</v>
      </c>
      <c r="U251" s="10">
        <v>1</v>
      </c>
      <c r="V251" s="10" t="e">
        <f ca="1"/>
        <v>#NAME?</v>
      </c>
      <c r="W251" s="67">
        <v>45419</v>
      </c>
      <c r="X251" s="11" t="str">
        <v>Kerangka Sampel Area (KSA) 2024 Maret</v>
      </c>
      <c r="Y251" s="11" t="str">
        <v>TOHO</v>
      </c>
      <c r="Z251" s="11" t="str">
        <v>SAMBORA</v>
      </c>
      <c r="AA251" s="67">
        <v>45351</v>
      </c>
      <c r="AB251" s="67">
        <v>45352</v>
      </c>
      <c r="AC251" s="67">
        <v>45382</v>
      </c>
      <c r="AD251" s="67">
        <v>45381</v>
      </c>
      <c r="AE251" s="67">
        <v>45382</v>
      </c>
    </row>
    <row r="252" spans="1:31" ht="12.5">
      <c r="A252" s="10">
        <v>610422040012</v>
      </c>
      <c r="B252" s="10" t="str">
        <v>KSA24-LAPANGAN-MARET</v>
      </c>
      <c r="C252" s="10">
        <v>0</v>
      </c>
      <c r="D252" s="10">
        <f ca="1"/>
        <v>1</v>
      </c>
      <c r="E252" s="10" t="str">
        <v>Misdi</v>
      </c>
      <c r="F252" s="10" t="str">
        <v>PPL</v>
      </c>
      <c r="G252" s="10" t="str">
        <v>6102070706940001</v>
      </c>
      <c r="H252" s="10" t="str">
        <v>KSA PADI</v>
      </c>
      <c r="I252" s="10" t="str">
        <v>KSA24-LAPANGAN-MARET-PPL-KSA PADI</v>
      </c>
      <c r="J252" s="10" t="str">
        <v>Segmen</v>
      </c>
      <c r="K252" s="66">
        <v>116000</v>
      </c>
      <c r="L252" s="10">
        <v>3</v>
      </c>
      <c r="M252" s="10">
        <v>348000</v>
      </c>
      <c r="N252" s="10">
        <v>0</v>
      </c>
      <c r="O252" s="67">
        <v>45382</v>
      </c>
      <c r="P252" s="10">
        <v>2024</v>
      </c>
      <c r="Q252" s="10">
        <v>3</v>
      </c>
      <c r="R252" s="10" t="str">
        <v>SURVEI-PPL</v>
      </c>
      <c r="S252" s="10" t="str">
        <v>610422040012-2024-3</v>
      </c>
      <c r="T252" s="10" t="str">
        <v>610422040012-2024-3-SURVEI-PPL</v>
      </c>
      <c r="U252" s="10">
        <v>1</v>
      </c>
      <c r="V252" s="10" t="e">
        <f ca="1"/>
        <v>#NAME?</v>
      </c>
      <c r="W252" s="67">
        <v>45419</v>
      </c>
      <c r="X252" s="11" t="str">
        <v>Kerangka Sampel Area (KSA) 2024 Maret</v>
      </c>
      <c r="Y252" s="11" t="str">
        <v>SUNGAI PINYUH</v>
      </c>
      <c r="Z252" s="11" t="str">
        <v>SUNGAI BAKAU BESAR DARAT</v>
      </c>
      <c r="AA252" s="67">
        <v>45351</v>
      </c>
      <c r="AB252" s="67">
        <v>45352</v>
      </c>
      <c r="AC252" s="67">
        <v>45382</v>
      </c>
      <c r="AD252" s="67">
        <v>45381</v>
      </c>
      <c r="AE252" s="67">
        <v>45382</v>
      </c>
    </row>
    <row r="253" spans="1:31" ht="12.5">
      <c r="A253" s="10">
        <v>610422040059</v>
      </c>
      <c r="B253" s="10" t="str">
        <v>KSA24-LAPANGAN-MARET</v>
      </c>
      <c r="C253" s="10">
        <v>0</v>
      </c>
      <c r="D253" s="10">
        <f ca="1"/>
        <v>1</v>
      </c>
      <c r="E253" s="10" t="str">
        <v>Abang Handri</v>
      </c>
      <c r="F253" s="10" t="str">
        <v>PPL</v>
      </c>
      <c r="G253" s="10" t="str">
        <v>6102072211780002</v>
      </c>
      <c r="H253" s="10" t="str">
        <v>KSA PADI</v>
      </c>
      <c r="I253" s="10" t="str">
        <v>KSA24-LAPANGAN-MARET-PPL-KSA PADI</v>
      </c>
      <c r="J253" s="10" t="str">
        <v>Segmen</v>
      </c>
      <c r="K253" s="66">
        <v>116000</v>
      </c>
      <c r="L253" s="10">
        <v>4</v>
      </c>
      <c r="M253" s="10">
        <v>464000</v>
      </c>
      <c r="N253" s="10">
        <v>0</v>
      </c>
      <c r="O253" s="67">
        <v>45382</v>
      </c>
      <c r="P253" s="10">
        <v>2024</v>
      </c>
      <c r="Q253" s="10">
        <v>3</v>
      </c>
      <c r="R253" s="10" t="str">
        <v>SURVEI-PPL</v>
      </c>
      <c r="S253" s="10" t="str">
        <v>610422040059-2024-3</v>
      </c>
      <c r="T253" s="10" t="str">
        <v>610422040059-2024-3-SURVEI-PPL</v>
      </c>
      <c r="U253" s="10">
        <v>1</v>
      </c>
      <c r="V253" s="10" t="e">
        <f ca="1"/>
        <v>#NAME?</v>
      </c>
      <c r="W253" s="67">
        <v>45419</v>
      </c>
      <c r="X253" s="11" t="str">
        <v>Kerangka Sampel Area (KSA) 2024 Maret</v>
      </c>
      <c r="Y253" s="11" t="str">
        <v>MEMPAWAH HILIR</v>
      </c>
      <c r="Z253" s="11" t="str">
        <v>TERUSAN</v>
      </c>
      <c r="AA253" s="67">
        <v>45351</v>
      </c>
      <c r="AB253" s="67">
        <v>45352</v>
      </c>
      <c r="AC253" s="67">
        <v>45382</v>
      </c>
      <c r="AD253" s="67">
        <v>45381</v>
      </c>
      <c r="AE253" s="67">
        <v>45382</v>
      </c>
    </row>
    <row r="254" spans="1:31" ht="12.5">
      <c r="A254" s="10">
        <v>610422040061</v>
      </c>
      <c r="B254" s="10" t="str">
        <v>KSA24-LAPANGAN-MARET</v>
      </c>
      <c r="C254" s="10">
        <v>0</v>
      </c>
      <c r="D254" s="10">
        <f ca="1"/>
        <v>1</v>
      </c>
      <c r="E254" s="10" t="str">
        <v>Sabani</v>
      </c>
      <c r="F254" s="10" t="str">
        <v>PPL</v>
      </c>
      <c r="G254" s="10" t="str">
        <v>6102153112860003</v>
      </c>
      <c r="H254" s="10" t="str">
        <v>KSA PADI</v>
      </c>
      <c r="I254" s="10" t="str">
        <v>KSA24-LAPANGAN-MARET-PPL-KSA PADI</v>
      </c>
      <c r="J254" s="10" t="str">
        <v>Segmen</v>
      </c>
      <c r="K254" s="66">
        <v>116000</v>
      </c>
      <c r="L254" s="10">
        <v>3</v>
      </c>
      <c r="M254" s="10">
        <v>348000</v>
      </c>
      <c r="N254" s="10">
        <v>0</v>
      </c>
      <c r="O254" s="67">
        <v>45382</v>
      </c>
      <c r="P254" s="10">
        <v>2024</v>
      </c>
      <c r="Q254" s="10">
        <v>3</v>
      </c>
      <c r="R254" s="10" t="str">
        <v>SURVEI-PPL</v>
      </c>
      <c r="S254" s="10" t="str">
        <v>610422040061-2024-3</v>
      </c>
      <c r="T254" s="10" t="str">
        <v>610422040061-2024-3-SURVEI-PPL</v>
      </c>
      <c r="U254" s="10">
        <v>1</v>
      </c>
      <c r="V254" s="10" t="e">
        <f ca="1"/>
        <v>#NAME?</v>
      </c>
      <c r="W254" s="67">
        <v>45419</v>
      </c>
      <c r="X254" s="11" t="str">
        <v>Kerangka Sampel Area (KSA) 2024 Maret</v>
      </c>
      <c r="Y254" s="11" t="str">
        <v>SEGEDONG</v>
      </c>
      <c r="Z254" s="11" t="str">
        <v>PENITI BESAR</v>
      </c>
      <c r="AA254" s="67">
        <v>45351</v>
      </c>
      <c r="AB254" s="67">
        <v>45352</v>
      </c>
      <c r="AC254" s="67">
        <v>45382</v>
      </c>
      <c r="AD254" s="67">
        <v>45381</v>
      </c>
      <c r="AE254" s="67">
        <v>45382</v>
      </c>
    </row>
    <row r="255" spans="1:31" ht="12.5">
      <c r="A255" s="10">
        <v>610422100131</v>
      </c>
      <c r="B255" s="10" t="str">
        <v>KSA24-LAPANGAN-MARET</v>
      </c>
      <c r="C255" s="10">
        <v>0</v>
      </c>
      <c r="D255" s="10">
        <f ca="1"/>
        <v>1</v>
      </c>
      <c r="E255" s="10" t="str">
        <v>Syamsul</v>
      </c>
      <c r="F255" s="10" t="str">
        <v>PPL</v>
      </c>
      <c r="G255" s="10" t="str">
        <v>6102150907860003</v>
      </c>
      <c r="H255" s="10" t="str">
        <v>KSA PADI</v>
      </c>
      <c r="I255" s="10" t="str">
        <v>KSA24-LAPANGAN-MARET-PPL-KSA PADI</v>
      </c>
      <c r="J255" s="10" t="str">
        <v>Segmen</v>
      </c>
      <c r="K255" s="66">
        <v>116000</v>
      </c>
      <c r="L255" s="10">
        <v>3</v>
      </c>
      <c r="M255" s="10">
        <v>348000</v>
      </c>
      <c r="N255" s="10">
        <v>0</v>
      </c>
      <c r="O255" s="67">
        <v>45382</v>
      </c>
      <c r="P255" s="10">
        <v>2024</v>
      </c>
      <c r="Q255" s="10">
        <v>3</v>
      </c>
      <c r="R255" s="10" t="str">
        <v>SURVEI-PPL</v>
      </c>
      <c r="S255" s="10" t="str">
        <v>610422100131-2024-3</v>
      </c>
      <c r="T255" s="10" t="str">
        <v>610422100131-2024-3-SURVEI-PPL</v>
      </c>
      <c r="U255" s="10">
        <v>1</v>
      </c>
      <c r="V255" s="10" t="e">
        <f ca="1"/>
        <v>#NAME?</v>
      </c>
      <c r="W255" s="67">
        <v>45419</v>
      </c>
      <c r="X255" s="11" t="str">
        <v>Kerangka Sampel Area (KSA) 2024 Maret</v>
      </c>
      <c r="Y255" s="11" t="str">
        <v>SUNGAI KUNYIT</v>
      </c>
      <c r="Z255" s="11" t="str">
        <v>SUNGAI KUNYIT LAUT</v>
      </c>
      <c r="AA255" s="67">
        <v>45351</v>
      </c>
      <c r="AB255" s="67">
        <v>45352</v>
      </c>
      <c r="AC255" s="67">
        <v>45382</v>
      </c>
      <c r="AD255" s="67">
        <v>45381</v>
      </c>
      <c r="AE255" s="67">
        <v>45382</v>
      </c>
    </row>
    <row r="256" spans="1:31" ht="12.5">
      <c r="A256" s="10">
        <v>610422100244</v>
      </c>
      <c r="B256" s="10" t="str">
        <v>KSA24-LAPANGAN-MARET</v>
      </c>
      <c r="C256" s="10">
        <v>0</v>
      </c>
      <c r="D256" s="10">
        <f ca="1"/>
        <v>1</v>
      </c>
      <c r="E256" s="10" t="str">
        <v>Sugianto</v>
      </c>
      <c r="F256" s="10" t="str">
        <v>PPL</v>
      </c>
      <c r="G256" s="10" t="str">
        <v>6102171003900002</v>
      </c>
      <c r="H256" s="10" t="str">
        <v>KSA PADI</v>
      </c>
      <c r="I256" s="10" t="str">
        <v>KSA24-LAPANGAN-MARET-PPL-KSA PADI</v>
      </c>
      <c r="J256" s="10" t="str">
        <v>Segmen</v>
      </c>
      <c r="K256" s="66">
        <v>116000</v>
      </c>
      <c r="L256" s="10">
        <v>3</v>
      </c>
      <c r="M256" s="10">
        <v>348000</v>
      </c>
      <c r="N256" s="10">
        <v>0</v>
      </c>
      <c r="O256" s="67">
        <v>45382</v>
      </c>
      <c r="P256" s="10">
        <v>2024</v>
      </c>
      <c r="Q256" s="10">
        <v>3</v>
      </c>
      <c r="R256" s="10" t="str">
        <v>SURVEI-PPL</v>
      </c>
      <c r="S256" s="10" t="str">
        <v>610422100244-2024-3</v>
      </c>
      <c r="T256" s="10" t="str">
        <v>610422100244-2024-3-SURVEI-PPL</v>
      </c>
      <c r="U256" s="10">
        <v>1</v>
      </c>
      <c r="V256" s="10" t="e">
        <f ca="1"/>
        <v>#NAME?</v>
      </c>
      <c r="W256" s="67">
        <v>45419</v>
      </c>
      <c r="X256" s="11" t="str">
        <v>Kerangka Sampel Area (KSA) 2024 Maret</v>
      </c>
      <c r="Y256" s="11" t="str">
        <v>SADANIANG</v>
      </c>
      <c r="Z256" s="11" t="str">
        <v>BUMBUN</v>
      </c>
      <c r="AA256" s="67">
        <v>45351</v>
      </c>
      <c r="AB256" s="67">
        <v>45352</v>
      </c>
      <c r="AC256" s="67">
        <v>45382</v>
      </c>
      <c r="AD256" s="67">
        <v>45381</v>
      </c>
      <c r="AE256" s="67">
        <v>45382</v>
      </c>
    </row>
    <row r="257" spans="1:31" ht="12.5">
      <c r="A257" s="10">
        <v>610422100176</v>
      </c>
      <c r="B257" s="10" t="str">
        <v>KSA24-LAPANGAN-MARET</v>
      </c>
      <c r="C257" s="10">
        <v>0</v>
      </c>
      <c r="D257" s="10">
        <f ca="1"/>
        <v>1</v>
      </c>
      <c r="E257" s="10" t="str">
        <v>Feri Firdaus</v>
      </c>
      <c r="F257" s="10" t="str">
        <v>PPL</v>
      </c>
      <c r="G257" s="10" t="str">
        <v>6102150412880001</v>
      </c>
      <c r="H257" s="10" t="str">
        <v>KSA PADI</v>
      </c>
      <c r="I257" s="10" t="str">
        <v>KSA24-LAPANGAN-MARET-PPL-KSA PADI</v>
      </c>
      <c r="J257" s="10" t="str">
        <v>Segmen</v>
      </c>
      <c r="K257" s="66">
        <v>116000</v>
      </c>
      <c r="L257" s="10">
        <v>3</v>
      </c>
      <c r="M257" s="10">
        <v>348000</v>
      </c>
      <c r="N257" s="10">
        <v>0</v>
      </c>
      <c r="O257" s="67">
        <v>45382</v>
      </c>
      <c r="P257" s="10">
        <v>2024</v>
      </c>
      <c r="Q257" s="10">
        <v>3</v>
      </c>
      <c r="R257" s="10" t="str">
        <v>SURVEI-PPL</v>
      </c>
      <c r="S257" s="10" t="str">
        <v>610422100176-2024-3</v>
      </c>
      <c r="T257" s="10" t="str">
        <v>610422100176-2024-3-SURVEI-PPL</v>
      </c>
      <c r="U257" s="10">
        <v>1</v>
      </c>
      <c r="V257" s="10" t="e">
        <f ca="1"/>
        <v>#NAME?</v>
      </c>
      <c r="W257" s="67">
        <v>45419</v>
      </c>
      <c r="X257" s="11" t="str">
        <v>Kerangka Sampel Area (KSA) 2024 Maret</v>
      </c>
      <c r="Y257" s="11" t="str">
        <v>SEGEDONG</v>
      </c>
      <c r="Z257" s="11" t="str">
        <v>SUNGAI BURUNG</v>
      </c>
      <c r="AA257" s="67">
        <v>45351</v>
      </c>
      <c r="AB257" s="67">
        <v>45352</v>
      </c>
      <c r="AC257" s="67">
        <v>45382</v>
      </c>
      <c r="AD257" s="67">
        <v>45381</v>
      </c>
      <c r="AE257" s="67">
        <v>45382</v>
      </c>
    </row>
    <row r="258" spans="1:31" ht="12.5">
      <c r="A258" s="10">
        <v>610423110183</v>
      </c>
      <c r="B258" s="10" t="str">
        <v>KSA24-LAPANGAN-MARET</v>
      </c>
      <c r="C258" s="10">
        <v>0</v>
      </c>
      <c r="D258" s="10">
        <f ca="1"/>
        <v>1</v>
      </c>
      <c r="E258" s="10" t="str">
        <v>Azhar</v>
      </c>
      <c r="F258" s="10" t="str">
        <v>PPL</v>
      </c>
      <c r="G258" s="10" t="str">
        <v>6102081211790004</v>
      </c>
      <c r="H258" s="10" t="str">
        <v>KSA PADI</v>
      </c>
      <c r="I258" s="10" t="str">
        <v>KSA24-LAPANGAN-MARET-PPL-KSA PADI</v>
      </c>
      <c r="J258" s="10" t="str">
        <v>Segmen</v>
      </c>
      <c r="K258" s="66">
        <v>116000</v>
      </c>
      <c r="L258" s="10">
        <v>6</v>
      </c>
      <c r="M258" s="10">
        <v>696000</v>
      </c>
      <c r="N258" s="10">
        <v>0</v>
      </c>
      <c r="O258" s="67">
        <v>45382</v>
      </c>
      <c r="P258" s="10">
        <v>2024</v>
      </c>
      <c r="Q258" s="10">
        <v>3</v>
      </c>
      <c r="R258" s="10" t="str">
        <v>SURVEI-PPL</v>
      </c>
      <c r="S258" s="10" t="str">
        <v>610423110183-2024-3</v>
      </c>
      <c r="T258" s="10" t="str">
        <v>610423110183-2024-3-SURVEI-PPL</v>
      </c>
      <c r="U258" s="10">
        <v>1</v>
      </c>
      <c r="V258" s="10" t="e">
        <f ca="1"/>
        <v>#NAME?</v>
      </c>
      <c r="W258" s="67">
        <v>45419</v>
      </c>
      <c r="X258" s="11" t="str">
        <v>Kerangka Sampel Area (KSA) 2024 Maret</v>
      </c>
      <c r="Y258" s="11" t="str">
        <v>JONGKAT</v>
      </c>
      <c r="Z258" s="11" t="str">
        <v>SUNGAI NIPAH</v>
      </c>
      <c r="AA258" s="67">
        <v>45351</v>
      </c>
      <c r="AB258" s="67">
        <v>45352</v>
      </c>
      <c r="AC258" s="67">
        <v>45382</v>
      </c>
      <c r="AD258" s="67">
        <v>45381</v>
      </c>
      <c r="AE258" s="67">
        <v>45382</v>
      </c>
    </row>
    <row r="259" spans="1:31" ht="12.5">
      <c r="A259" s="10">
        <v>610423040018</v>
      </c>
      <c r="B259" s="10" t="str">
        <v>KSA24-LAPANGAN-MARET</v>
      </c>
      <c r="C259" s="10">
        <v>0</v>
      </c>
      <c r="D259" s="10">
        <f ca="1"/>
        <v>1</v>
      </c>
      <c r="E259" s="10" t="str">
        <v>Handoko Tuah Sabarman Sipayung</v>
      </c>
      <c r="F259" s="10" t="str">
        <v>PPL</v>
      </c>
      <c r="G259" s="10" t="str">
        <v>1212092309880001</v>
      </c>
      <c r="H259" s="10" t="str">
        <v>KSA PADI</v>
      </c>
      <c r="I259" s="10" t="str">
        <v>KSA24-LAPANGAN-MARET-PPL-KSA PADI</v>
      </c>
      <c r="J259" s="10" t="str">
        <v>Segmen</v>
      </c>
      <c r="K259" s="66">
        <v>116000</v>
      </c>
      <c r="L259" s="10">
        <v>4</v>
      </c>
      <c r="M259" s="10">
        <v>464000</v>
      </c>
      <c r="N259" s="10">
        <v>0</v>
      </c>
      <c r="O259" s="67">
        <v>45382</v>
      </c>
      <c r="P259" s="10">
        <v>2024</v>
      </c>
      <c r="Q259" s="10">
        <v>3</v>
      </c>
      <c r="R259" s="10" t="str">
        <v>SURVEI-PPL</v>
      </c>
      <c r="S259" s="10" t="str">
        <v>610423040018-2024-3</v>
      </c>
      <c r="T259" s="10" t="str">
        <v>610423040018-2024-3-SURVEI-PPL</v>
      </c>
      <c r="U259" s="10">
        <v>1</v>
      </c>
      <c r="V259" s="10" t="e">
        <f ca="1"/>
        <v>#NAME?</v>
      </c>
      <c r="W259" s="67">
        <v>45419</v>
      </c>
      <c r="X259" s="11" t="str">
        <v>Kerangka Sampel Area (KSA) 2024 Maret</v>
      </c>
      <c r="Y259" s="11" t="str">
        <v>TOHO</v>
      </c>
      <c r="Z259" s="11" t="str">
        <v>PAK LAHENG</v>
      </c>
      <c r="AA259" s="67">
        <v>45351</v>
      </c>
      <c r="AB259" s="67">
        <v>45352</v>
      </c>
      <c r="AC259" s="67">
        <v>45382</v>
      </c>
      <c r="AD259" s="67">
        <v>45381</v>
      </c>
      <c r="AE259" s="67">
        <v>45382</v>
      </c>
    </row>
    <row r="260" spans="1:31" ht="12.5">
      <c r="A260" s="10">
        <v>610422040059</v>
      </c>
      <c r="B260" s="10" t="str">
        <v>KSA24-LAPANGAN-MARET</v>
      </c>
      <c r="C260" s="10">
        <v>0</v>
      </c>
      <c r="D260" s="10">
        <f ca="1"/>
        <v>1</v>
      </c>
      <c r="E260" s="10" t="str">
        <v>Abang Handri</v>
      </c>
      <c r="F260" s="10" t="str">
        <v>PPL</v>
      </c>
      <c r="G260" s="10" t="str">
        <v>6102072211780002</v>
      </c>
      <c r="H260" s="10" t="str">
        <v>KSA JAGUNG</v>
      </c>
      <c r="I260" s="10" t="str">
        <v>KSA24-LAPANGAN-MARET-PPL-KSA JAGUNG</v>
      </c>
      <c r="J260" s="10" t="str">
        <v>Segmen</v>
      </c>
      <c r="K260" s="66">
        <v>59000</v>
      </c>
      <c r="L260" s="10">
        <v>6</v>
      </c>
      <c r="M260" s="10">
        <v>354000</v>
      </c>
      <c r="N260" s="10">
        <v>0</v>
      </c>
      <c r="O260" s="67">
        <v>45382</v>
      </c>
      <c r="P260" s="10">
        <v>2024</v>
      </c>
      <c r="Q260" s="10">
        <v>3</v>
      </c>
      <c r="R260" s="10" t="str">
        <v>SURVEI-PPL</v>
      </c>
      <c r="S260" s="10" t="str">
        <v>610422040059-2024-3</v>
      </c>
      <c r="T260" s="10" t="str">
        <v>610422040059-2024-3-SURVEI-PPL</v>
      </c>
      <c r="U260" s="10">
        <v>1</v>
      </c>
      <c r="V260" s="10" t="e">
        <f ca="1"/>
        <v>#NAME?</v>
      </c>
      <c r="W260" s="67">
        <v>45419</v>
      </c>
      <c r="X260" s="11" t="str">
        <v>Kerangka Sampel Area (KSA) 2024 Maret</v>
      </c>
      <c r="Y260" s="11" t="str">
        <v>MEMPAWAH HILIR</v>
      </c>
      <c r="Z260" s="11" t="str">
        <v>TERUSAN</v>
      </c>
      <c r="AA260" s="67">
        <v>45351</v>
      </c>
      <c r="AB260" s="67">
        <v>45352</v>
      </c>
      <c r="AC260" s="67">
        <v>45382</v>
      </c>
      <c r="AD260" s="67">
        <v>45381</v>
      </c>
      <c r="AE260" s="67">
        <v>45382</v>
      </c>
    </row>
    <row r="261" spans="1:31" ht="12.5">
      <c r="A261" s="10">
        <v>610422020048</v>
      </c>
      <c r="B261" s="10" t="str">
        <v>KSA24-LAPANGAN-MARET</v>
      </c>
      <c r="C261" s="10">
        <v>0</v>
      </c>
      <c r="D261" s="10">
        <f ca="1"/>
        <v>1</v>
      </c>
      <c r="E261" s="10" t="str">
        <v>Herri Gustaman</v>
      </c>
      <c r="F261" s="10" t="str">
        <v>PPL</v>
      </c>
      <c r="G261" s="10" t="str">
        <v>6102072503800001</v>
      </c>
      <c r="H261" s="10" t="str">
        <v>KSA JAGUNG</v>
      </c>
      <c r="I261" s="10" t="str">
        <v>KSA24-LAPANGAN-MARET-PPL-KSA JAGUNG</v>
      </c>
      <c r="J261" s="10" t="str">
        <v>Segmen</v>
      </c>
      <c r="K261" s="66">
        <v>59000</v>
      </c>
      <c r="L261" s="10">
        <v>6</v>
      </c>
      <c r="M261" s="10">
        <v>354000</v>
      </c>
      <c r="N261" s="10">
        <v>0</v>
      </c>
      <c r="O261" s="67">
        <v>45382</v>
      </c>
      <c r="P261" s="10">
        <v>2024</v>
      </c>
      <c r="Q261" s="10">
        <v>3</v>
      </c>
      <c r="R261" s="10" t="str">
        <v>SURVEI-PPL</v>
      </c>
      <c r="S261" s="10" t="str">
        <v>610422020048-2024-3</v>
      </c>
      <c r="T261" s="10" t="str">
        <v>610422020048-2024-3-SURVEI-PPL</v>
      </c>
      <c r="U261" s="10">
        <v>1</v>
      </c>
      <c r="V261" s="10" t="e">
        <f ca="1"/>
        <v>#NAME?</v>
      </c>
      <c r="W261" s="67">
        <v>45419</v>
      </c>
      <c r="X261" s="11" t="str">
        <v>Kerangka Sampel Area (KSA) 2024 Maret</v>
      </c>
      <c r="Y261" s="11" t="str">
        <v>MEMPAWAH TIMUR</v>
      </c>
      <c r="Z261" s="11" t="str">
        <v>SEJEGI</v>
      </c>
      <c r="AA261" s="67">
        <v>45351</v>
      </c>
      <c r="AB261" s="67">
        <v>45352</v>
      </c>
      <c r="AC261" s="67">
        <v>45382</v>
      </c>
      <c r="AD261" s="67">
        <v>45381</v>
      </c>
      <c r="AE261" s="67">
        <v>45382</v>
      </c>
    </row>
    <row r="262" spans="1:31" ht="12.5">
      <c r="A262" s="10">
        <v>610422040058</v>
      </c>
      <c r="B262" s="10" t="str">
        <v>KSA24-LAPANGAN-MARET</v>
      </c>
      <c r="C262" s="10">
        <v>0</v>
      </c>
      <c r="D262" s="10">
        <f ca="1"/>
        <v>1</v>
      </c>
      <c r="E262" s="10" t="str">
        <v>Jamaluddin, Sp</v>
      </c>
      <c r="F262" s="10" t="str">
        <v>PPL</v>
      </c>
      <c r="G262" s="10" t="str">
        <v>6102152607940002</v>
      </c>
      <c r="H262" s="10" t="str">
        <v>KSA JAGUNG</v>
      </c>
      <c r="I262" s="10" t="str">
        <v>KSA24-LAPANGAN-MARET-PPL-KSA JAGUNG</v>
      </c>
      <c r="J262" s="10" t="str">
        <v>Segmen</v>
      </c>
      <c r="K262" s="66">
        <v>59000</v>
      </c>
      <c r="L262" s="10">
        <v>10</v>
      </c>
      <c r="M262" s="10">
        <v>590000</v>
      </c>
      <c r="N262" s="10">
        <v>0</v>
      </c>
      <c r="O262" s="67">
        <v>45382</v>
      </c>
      <c r="P262" s="10">
        <v>2024</v>
      </c>
      <c r="Q262" s="10">
        <v>3</v>
      </c>
      <c r="R262" s="10" t="str">
        <v>SURVEI-PPL</v>
      </c>
      <c r="S262" s="10" t="str">
        <v>610422040058-2024-3</v>
      </c>
      <c r="T262" s="10" t="str">
        <v>610422040058-2024-3-SURVEI-PPL</v>
      </c>
      <c r="U262" s="10">
        <v>1</v>
      </c>
      <c r="V262" s="10" t="e">
        <f ca="1"/>
        <v>#NAME?</v>
      </c>
      <c r="W262" s="67">
        <v>45419</v>
      </c>
      <c r="X262" s="11" t="str">
        <v>Kerangka Sampel Area (KSA) 2024 Maret</v>
      </c>
      <c r="Y262" s="11" t="str">
        <v>SEGEDONG</v>
      </c>
      <c r="Z262" s="11" t="str">
        <v>PENITI DALAM I</v>
      </c>
      <c r="AA262" s="67">
        <v>45351</v>
      </c>
      <c r="AB262" s="67">
        <v>45352</v>
      </c>
      <c r="AC262" s="67">
        <v>45382</v>
      </c>
      <c r="AD262" s="67">
        <v>45381</v>
      </c>
      <c r="AE262" s="67">
        <v>45382</v>
      </c>
    </row>
    <row r="263" spans="1:31" ht="12.5">
      <c r="A263" s="10">
        <v>610423110183</v>
      </c>
      <c r="B263" s="10" t="str">
        <v>KSA24-LAPANGAN-MARET</v>
      </c>
      <c r="C263" s="10">
        <v>0</v>
      </c>
      <c r="D263" s="10">
        <f ca="1"/>
        <v>1</v>
      </c>
      <c r="E263" s="10" t="str">
        <v>Azhar</v>
      </c>
      <c r="F263" s="10" t="str">
        <v>PPL</v>
      </c>
      <c r="G263" s="10" t="str">
        <v>6102081211790004</v>
      </c>
      <c r="H263" s="10" t="str">
        <v>KSA JAGUNG</v>
      </c>
      <c r="I263" s="10" t="str">
        <v>KSA24-LAPANGAN-MARET-PPL-KSA JAGUNG</v>
      </c>
      <c r="J263" s="10" t="str">
        <v>Segmen</v>
      </c>
      <c r="K263" s="66">
        <v>59000</v>
      </c>
      <c r="L263" s="10">
        <v>6</v>
      </c>
      <c r="M263" s="10">
        <v>354000</v>
      </c>
      <c r="N263" s="10">
        <v>0</v>
      </c>
      <c r="O263" s="67">
        <v>45382</v>
      </c>
      <c r="P263" s="10">
        <v>2024</v>
      </c>
      <c r="Q263" s="10">
        <v>3</v>
      </c>
      <c r="R263" s="10" t="str">
        <v>SURVEI-PPL</v>
      </c>
      <c r="S263" s="10" t="str">
        <v>610423110183-2024-3</v>
      </c>
      <c r="T263" s="10" t="str">
        <v>610423110183-2024-3-SURVEI-PPL</v>
      </c>
      <c r="U263" s="10">
        <v>1</v>
      </c>
      <c r="V263" s="10" t="e">
        <f ca="1"/>
        <v>#NAME?</v>
      </c>
      <c r="W263" s="67">
        <v>45419</v>
      </c>
      <c r="X263" s="11" t="str">
        <v>Kerangka Sampel Area (KSA) 2024 Maret</v>
      </c>
      <c r="Y263" s="11" t="str">
        <v>JONGKAT</v>
      </c>
      <c r="Z263" s="11" t="str">
        <v>SUNGAI NIPAH</v>
      </c>
      <c r="AA263" s="67">
        <v>45351</v>
      </c>
      <c r="AB263" s="67">
        <v>45352</v>
      </c>
      <c r="AC263" s="67">
        <v>45382</v>
      </c>
      <c r="AD263" s="67">
        <v>45381</v>
      </c>
      <c r="AE263" s="67">
        <v>45382</v>
      </c>
    </row>
    <row r="264" spans="1:31" ht="12.5">
      <c r="A264" s="10">
        <v>610422100244</v>
      </c>
      <c r="B264" s="10" t="str">
        <v>KSA24-LAPANGAN-MARET</v>
      </c>
      <c r="C264" s="10">
        <v>0</v>
      </c>
      <c r="D264" s="10">
        <f ca="1"/>
        <v>1</v>
      </c>
      <c r="E264" s="10" t="str">
        <v>Sugianto</v>
      </c>
      <c r="F264" s="10" t="str">
        <v>PPL</v>
      </c>
      <c r="G264" s="10" t="str">
        <v>6102171003900002</v>
      </c>
      <c r="H264" s="10" t="str">
        <v>KSA JAGUNG</v>
      </c>
      <c r="I264" s="10" t="str">
        <v>KSA24-LAPANGAN-MARET-PPL-KSA JAGUNG</v>
      </c>
      <c r="J264" s="10" t="str">
        <v>Segmen</v>
      </c>
      <c r="K264" s="66">
        <v>59000</v>
      </c>
      <c r="L264" s="10">
        <v>8</v>
      </c>
      <c r="M264" s="10">
        <v>472000</v>
      </c>
      <c r="N264" s="10">
        <v>0</v>
      </c>
      <c r="O264" s="67">
        <v>45382</v>
      </c>
      <c r="P264" s="10">
        <v>2024</v>
      </c>
      <c r="Q264" s="10">
        <v>3</v>
      </c>
      <c r="R264" s="10" t="str">
        <v>SURVEI-PPL</v>
      </c>
      <c r="S264" s="10" t="str">
        <v>610422100244-2024-3</v>
      </c>
      <c r="T264" s="10" t="str">
        <v>610422100244-2024-3-SURVEI-PPL</v>
      </c>
      <c r="U264" s="10">
        <v>1</v>
      </c>
      <c r="V264" s="10" t="e">
        <f ca="1"/>
        <v>#NAME?</v>
      </c>
      <c r="W264" s="67">
        <v>45419</v>
      </c>
      <c r="X264" s="11" t="str">
        <v>Kerangka Sampel Area (KSA) 2024 Maret</v>
      </c>
      <c r="Y264" s="11" t="str">
        <v>SADANIANG</v>
      </c>
      <c r="Z264" s="11" t="str">
        <v>BUMBUN</v>
      </c>
      <c r="AA264" s="67">
        <v>45351</v>
      </c>
      <c r="AB264" s="67">
        <v>45352</v>
      </c>
      <c r="AC264" s="67">
        <v>45382</v>
      </c>
      <c r="AD264" s="67">
        <v>45381</v>
      </c>
      <c r="AE264" s="67">
        <v>45382</v>
      </c>
    </row>
    <row r="265" spans="1:31" ht="12.5">
      <c r="A265" s="10">
        <v>610422100129</v>
      </c>
      <c r="B265" s="10" t="str">
        <v>SKTR24-LAPANGAN-TRI1</v>
      </c>
      <c r="C265" s="10">
        <v>0</v>
      </c>
      <c r="D265" s="10">
        <f ca="1"/>
        <v>1</v>
      </c>
      <c r="E265" s="10" t="str">
        <v>Andre</v>
      </c>
      <c r="F265" s="10" t="str">
        <v>PPL</v>
      </c>
      <c r="G265" s="10" t="str">
        <v>6102121606980001</v>
      </c>
      <c r="H265" s="10" t="str">
        <v>PENDATAAN</v>
      </c>
      <c r="I265" s="10" t="str">
        <v>SKTR24-LAPANGAN-TRI1-PPL-PENDATAAN</v>
      </c>
      <c r="J265" s="10" t="str">
        <v>Dokumen</v>
      </c>
      <c r="K265" s="66">
        <v>60000</v>
      </c>
      <c r="L265" s="10">
        <v>3</v>
      </c>
      <c r="M265" s="10">
        <v>180000</v>
      </c>
      <c r="N265" s="70">
        <v>0</v>
      </c>
      <c r="O265" s="67">
        <v>45383</v>
      </c>
      <c r="P265" s="10">
        <v>2024</v>
      </c>
      <c r="Q265" s="10">
        <v>4</v>
      </c>
      <c r="R265" s="10" t="str">
        <v>SURVEI-PPL</v>
      </c>
      <c r="S265" s="10" t="str">
        <v>610422100129-2024-4</v>
      </c>
      <c r="T265" s="10" t="str">
        <v>610422100129-2024-4-SURVEI-PPL</v>
      </c>
      <c r="U265" s="10">
        <v>1</v>
      </c>
      <c r="V265" s="10" t="e">
        <f ca="1"/>
        <v>#NAME?</v>
      </c>
      <c r="W265" s="67">
        <v>0</v>
      </c>
      <c r="X265" s="11" t="str">
        <v>Survei Perusahaan Konstruksi Triwulan (SKTR) 2024</v>
      </c>
      <c r="Y265" s="11" t="str">
        <v>SUNGAI KUNYIT</v>
      </c>
      <c r="Z265" s="11" t="str">
        <v>MENDALOK</v>
      </c>
      <c r="AA265" s="67">
        <v>45382</v>
      </c>
      <c r="AB265" s="67">
        <v>45383</v>
      </c>
      <c r="AC265" s="67">
        <v>45412</v>
      </c>
      <c r="AD265" s="67">
        <v>45411</v>
      </c>
      <c r="AE265" s="67">
        <v>45412</v>
      </c>
    </row>
    <row r="266" spans="1:31" ht="12.5">
      <c r="A266" s="10">
        <v>610422030002</v>
      </c>
      <c r="B266" s="10" t="str">
        <v>SHPB24-LAPANGAN-APRIL</v>
      </c>
      <c r="C266" s="10">
        <v>0</v>
      </c>
      <c r="D266" s="10">
        <f ca="1"/>
        <v>1</v>
      </c>
      <c r="E266" s="10" t="str">
        <v>Deti Erni Widiastuti</v>
      </c>
      <c r="F266" s="10" t="str">
        <v>PPL</v>
      </c>
      <c r="G266" s="10" t="str">
        <v>6102016712860001</v>
      </c>
      <c r="H266" s="10" t="str">
        <v>PENDATAAN</v>
      </c>
      <c r="I266" s="10" t="str">
        <v>SHPB24-LAPANGAN-APRIL-PPL-PENDATAAN</v>
      </c>
      <c r="J266" s="10" t="str">
        <v>Dokumen</v>
      </c>
      <c r="K266" s="66">
        <v>50000</v>
      </c>
      <c r="L266" s="10">
        <v>15</v>
      </c>
      <c r="M266" s="10">
        <v>750000</v>
      </c>
      <c r="N266" s="10">
        <v>0</v>
      </c>
      <c r="O266" s="67">
        <v>45402</v>
      </c>
      <c r="P266" s="10">
        <v>2024</v>
      </c>
      <c r="Q266" s="10">
        <v>4</v>
      </c>
      <c r="R266" s="10" t="str">
        <v>SURVEI-PPL</v>
      </c>
      <c r="S266" s="10" t="str">
        <v>610422030002-2024-4</v>
      </c>
      <c r="T266" s="10" t="str">
        <v>610422030002-2024-4-SURVEI-PPL</v>
      </c>
      <c r="U266" s="10">
        <v>1</v>
      </c>
      <c r="V266" s="10" t="e">
        <f ca="1"/>
        <v>#NAME?</v>
      </c>
      <c r="W266" s="67">
        <v>0</v>
      </c>
      <c r="X266" s="11" t="str">
        <v>Survei Harga Perdagangan Besar (SHPB24) April</v>
      </c>
      <c r="Y266" s="11" t="str">
        <v>SEGEDONG</v>
      </c>
      <c r="Z266" s="11" t="str">
        <v>PENITI DALAM I</v>
      </c>
      <c r="AA266" s="67">
        <v>45382</v>
      </c>
      <c r="AB266" s="67">
        <v>45383</v>
      </c>
      <c r="AC266" s="67">
        <v>45412</v>
      </c>
      <c r="AD266" s="67">
        <v>45411</v>
      </c>
      <c r="AE266" s="67">
        <v>45412</v>
      </c>
    </row>
    <row r="267" spans="1:31" ht="12.5">
      <c r="A267" s="10">
        <v>610422100244</v>
      </c>
      <c r="B267" s="10" t="str">
        <v>HPG24-LAPANGAN-APRIL</v>
      </c>
      <c r="C267" s="10">
        <v>0</v>
      </c>
      <c r="D267" s="10">
        <f ca="1"/>
        <v>1</v>
      </c>
      <c r="E267" s="10" t="str">
        <v>Sugianto</v>
      </c>
      <c r="F267" s="10" t="str">
        <v>PPL</v>
      </c>
      <c r="G267" s="10" t="str">
        <v>6102171003900002</v>
      </c>
      <c r="H267" s="10" t="str">
        <v>PENDATAAN</v>
      </c>
      <c r="I267" s="10" t="str">
        <v>HPG24-LAPANGAN-APRIL-PPL-PENDATAAN</v>
      </c>
      <c r="J267" s="10" t="str">
        <v>Dokumen</v>
      </c>
      <c r="K267" s="66">
        <v>50000</v>
      </c>
      <c r="L267" s="10">
        <v>1</v>
      </c>
      <c r="M267" s="10">
        <v>50000</v>
      </c>
      <c r="N267" s="10">
        <v>0</v>
      </c>
      <c r="O267" s="67">
        <v>45402</v>
      </c>
      <c r="P267" s="10">
        <v>2024</v>
      </c>
      <c r="Q267" s="10">
        <v>4</v>
      </c>
      <c r="R267" s="10" t="str">
        <v>SURVEI-PPL</v>
      </c>
      <c r="S267" s="10" t="str">
        <v>610422100244-2024-4</v>
      </c>
      <c r="T267" s="10" t="str">
        <v>610422100244-2024-4-SURVEI-PPL</v>
      </c>
      <c r="U267" s="10">
        <v>1</v>
      </c>
      <c r="V267" s="10" t="e">
        <f ca="1"/>
        <v>#NAME?</v>
      </c>
      <c r="W267" s="67">
        <v>0</v>
      </c>
      <c r="X267" s="11" t="str">
        <v>Survei Harga Produsen Gabah (HPG24) April</v>
      </c>
      <c r="Y267" s="11" t="str">
        <v>SADANIANG</v>
      </c>
      <c r="Z267" s="11" t="str">
        <v>BUMBUN</v>
      </c>
      <c r="AA267" s="67">
        <v>45382</v>
      </c>
      <c r="AB267" s="67">
        <v>45383</v>
      </c>
      <c r="AC267" s="67">
        <v>45412</v>
      </c>
      <c r="AD267" s="67">
        <v>45411</v>
      </c>
      <c r="AE267" s="67">
        <v>45412</v>
      </c>
    </row>
    <row r="268" spans="1:31" ht="12.5">
      <c r="A268" s="10">
        <v>610422100124</v>
      </c>
      <c r="B268" s="10" t="str">
        <v>HPG24-LAPANGAN-APRIL</v>
      </c>
      <c r="C268" s="10">
        <v>0</v>
      </c>
      <c r="D268" s="10">
        <f ca="1"/>
        <v>1</v>
      </c>
      <c r="E268" s="10" t="str">
        <v>Prabowo</v>
      </c>
      <c r="F268" s="10" t="str">
        <v>PPL</v>
      </c>
      <c r="G268" s="10" t="str">
        <v>6171010108790015</v>
      </c>
      <c r="H268" s="10" t="str">
        <v>PENDATAAN</v>
      </c>
      <c r="I268" s="10" t="str">
        <v>HPG24-LAPANGAN-APRIL-PPL-PENDATAAN</v>
      </c>
      <c r="J268" s="10" t="str">
        <v>Dokumen</v>
      </c>
      <c r="K268" s="66">
        <v>50000</v>
      </c>
      <c r="L268" s="10">
        <v>1</v>
      </c>
      <c r="M268" s="10">
        <v>50000</v>
      </c>
      <c r="N268" s="10">
        <v>0</v>
      </c>
      <c r="O268" s="67">
        <v>45402</v>
      </c>
      <c r="P268" s="10">
        <v>2024</v>
      </c>
      <c r="Q268" s="10">
        <v>4</v>
      </c>
      <c r="R268" s="10" t="str">
        <v>SURVEI-PPL</v>
      </c>
      <c r="S268" s="10" t="str">
        <v>610422100124-2024-4</v>
      </c>
      <c r="T268" s="10" t="str">
        <v>610422100124-2024-4-SURVEI-PPL</v>
      </c>
      <c r="U268" s="10">
        <v>1</v>
      </c>
      <c r="V268" s="10" t="e">
        <f ca="1"/>
        <v>#NAME?</v>
      </c>
      <c r="W268" s="67">
        <v>0</v>
      </c>
      <c r="X268" s="11" t="str">
        <v>Survei Harga Produsen Gabah (HPG24) April</v>
      </c>
      <c r="Y268" s="11" t="str">
        <v>PONTIANAK KOTA</v>
      </c>
      <c r="Z268" s="11" t="str">
        <v>SUNGAI BANGKONG</v>
      </c>
      <c r="AA268" s="67">
        <v>45382</v>
      </c>
      <c r="AB268" s="67">
        <v>45383</v>
      </c>
      <c r="AC268" s="67">
        <v>45412</v>
      </c>
      <c r="AD268" s="67">
        <v>45411</v>
      </c>
      <c r="AE268" s="67">
        <v>45412</v>
      </c>
    </row>
    <row r="269" spans="1:31" ht="12.5">
      <c r="A269" s="10">
        <v>610422040029</v>
      </c>
      <c r="B269" s="10" t="str">
        <v>SHKK24-LAPANGAN-APRIL</v>
      </c>
      <c r="C269" s="10">
        <v>0</v>
      </c>
      <c r="D269" s="10">
        <f ca="1"/>
        <v>1</v>
      </c>
      <c r="E269" s="10" t="str">
        <v>Zaini</v>
      </c>
      <c r="F269" s="10" t="str">
        <v>PPL</v>
      </c>
      <c r="G269" s="10" t="str">
        <v>6102010607870002</v>
      </c>
      <c r="H269" s="10" t="str">
        <v>PENDATAAN</v>
      </c>
      <c r="I269" s="10" t="str">
        <v>SHKK24-LAPANGAN-APRIL-PPL-PENDATAAN</v>
      </c>
      <c r="J269" s="10" t="str">
        <v>Dokumen</v>
      </c>
      <c r="K269" s="66">
        <v>60000</v>
      </c>
      <c r="L269" s="10">
        <v>16</v>
      </c>
      <c r="M269" s="10">
        <v>960000</v>
      </c>
      <c r="N269" s="10">
        <v>0</v>
      </c>
      <c r="O269" s="67">
        <v>45402</v>
      </c>
      <c r="P269" s="10">
        <v>2024</v>
      </c>
      <c r="Q269" s="10">
        <v>4</v>
      </c>
      <c r="R269" s="10" t="str">
        <v>SURVEI-PPL</v>
      </c>
      <c r="S269" s="10" t="str">
        <v>610422040029-2024-4</v>
      </c>
      <c r="T269" s="10" t="str">
        <v>610422040029-2024-4-SURVEI-PPL</v>
      </c>
      <c r="U269" s="10">
        <v>1</v>
      </c>
      <c r="V269" s="10" t="e">
        <f ca="1"/>
        <v>#NAME?</v>
      </c>
      <c r="W269" s="67">
        <v>0</v>
      </c>
      <c r="X269" s="11" t="str">
        <v>Survei Harga Kemahalan Konstruksi (SHKK24) April</v>
      </c>
      <c r="Y269" s="11" t="str">
        <v>MEMPAWAH HILIR</v>
      </c>
      <c r="Z269" s="11" t="str">
        <v>TENGAH</v>
      </c>
      <c r="AA269" s="67">
        <v>45382</v>
      </c>
      <c r="AB269" s="67">
        <v>45383</v>
      </c>
      <c r="AC269" s="67">
        <v>45412</v>
      </c>
      <c r="AD269" s="67">
        <v>45411</v>
      </c>
      <c r="AE269" s="67">
        <v>45412</v>
      </c>
    </row>
    <row r="270" spans="1:31" ht="12.5">
      <c r="A270" s="10">
        <v>610422020048</v>
      </c>
      <c r="B270" s="10" t="str">
        <v>SHKK24-LAPANGAN-APRIL</v>
      </c>
      <c r="C270" s="10">
        <v>0</v>
      </c>
      <c r="D270" s="10">
        <f ca="1"/>
        <v>1</v>
      </c>
      <c r="E270" s="10" t="str">
        <v>Herri Gustaman</v>
      </c>
      <c r="F270" s="10" t="str">
        <v>PPL</v>
      </c>
      <c r="G270" s="10" t="str">
        <v>6102072503800001</v>
      </c>
      <c r="H270" s="10" t="str">
        <v>PENDATAAN</v>
      </c>
      <c r="I270" s="10" t="str">
        <v>SHKK24-LAPANGAN-APRIL-PPL-PENDATAAN</v>
      </c>
      <c r="J270" s="10" t="str">
        <v>Dokumen</v>
      </c>
      <c r="K270" s="66">
        <v>60000</v>
      </c>
      <c r="L270" s="10">
        <v>10</v>
      </c>
      <c r="M270" s="10">
        <v>600000</v>
      </c>
      <c r="N270" s="10">
        <v>0</v>
      </c>
      <c r="O270" s="67">
        <v>45402</v>
      </c>
      <c r="P270" s="10">
        <v>2024</v>
      </c>
      <c r="Q270" s="10">
        <v>4</v>
      </c>
      <c r="R270" s="10" t="str">
        <v>SURVEI-PPL</v>
      </c>
      <c r="S270" s="10" t="str">
        <v>610422020048-2024-4</v>
      </c>
      <c r="T270" s="10" t="str">
        <v>610422020048-2024-4-SURVEI-PPL</v>
      </c>
      <c r="U270" s="10">
        <v>1</v>
      </c>
      <c r="V270" s="10" t="e">
        <f ca="1"/>
        <v>#NAME?</v>
      </c>
      <c r="W270" s="67">
        <v>0</v>
      </c>
      <c r="X270" s="11" t="str">
        <v>Survei Harga Kemahalan Konstruksi (SHKK24) April</v>
      </c>
      <c r="Y270" s="11" t="str">
        <v>MEMPAWAH TIMUR</v>
      </c>
      <c r="Z270" s="11" t="str">
        <v>SEJEGI</v>
      </c>
      <c r="AA270" s="67">
        <v>45382</v>
      </c>
      <c r="AB270" s="67">
        <v>45383</v>
      </c>
      <c r="AC270" s="67">
        <v>45412</v>
      </c>
      <c r="AD270" s="67">
        <v>45411</v>
      </c>
      <c r="AE270" s="67">
        <v>45412</v>
      </c>
    </row>
    <row r="271" spans="1:31" ht="12.5">
      <c r="A271" s="10">
        <v>610422100165</v>
      </c>
      <c r="B271" s="10" t="str">
        <v>SHKK24-LAPANGAN-APRIL</v>
      </c>
      <c r="C271" s="10">
        <v>0</v>
      </c>
      <c r="D271" s="10">
        <f ca="1"/>
        <v>1</v>
      </c>
      <c r="E271" s="10" t="str">
        <v>Yanti</v>
      </c>
      <c r="F271" s="10" t="str">
        <v>PPL</v>
      </c>
      <c r="G271" s="10" t="str">
        <v>6102074803980002</v>
      </c>
      <c r="H271" s="10" t="str">
        <v>PENDATAAN</v>
      </c>
      <c r="I271" s="10" t="str">
        <v>SHKK24-LAPANGAN-APRIL-PPL-PENDATAAN</v>
      </c>
      <c r="J271" s="10" t="str">
        <v>Dokumen</v>
      </c>
      <c r="K271" s="66">
        <v>60000</v>
      </c>
      <c r="L271" s="10">
        <v>6</v>
      </c>
      <c r="M271" s="10">
        <v>360000</v>
      </c>
      <c r="N271" s="10">
        <v>0</v>
      </c>
      <c r="O271" s="67">
        <v>45402</v>
      </c>
      <c r="P271" s="10">
        <v>2024</v>
      </c>
      <c r="Q271" s="10">
        <v>4</v>
      </c>
      <c r="R271" s="10" t="str">
        <v>SURVEI-PPL</v>
      </c>
      <c r="S271" s="10" t="str">
        <v>610422100165-2024-4</v>
      </c>
      <c r="T271" s="10" t="str">
        <v>610422100165-2024-4-SURVEI-PPL</v>
      </c>
      <c r="U271" s="10">
        <v>1</v>
      </c>
      <c r="V271" s="10" t="e">
        <f ca="1"/>
        <v>#NAME?</v>
      </c>
      <c r="W271" s="67">
        <v>0</v>
      </c>
      <c r="X271" s="11" t="str">
        <v>Survei Harga Kemahalan Konstruksi (SHKK24) April</v>
      </c>
      <c r="Y271" s="11" t="str">
        <v>SUNGAI PINYUH</v>
      </c>
      <c r="Z271" s="11" t="str">
        <v>SUNGAI BAKAU BESAR LAUT</v>
      </c>
      <c r="AA271" s="67">
        <v>45382</v>
      </c>
      <c r="AB271" s="67">
        <v>45383</v>
      </c>
      <c r="AC271" s="67">
        <v>45412</v>
      </c>
      <c r="AD271" s="67">
        <v>45411</v>
      </c>
      <c r="AE271" s="67">
        <v>45412</v>
      </c>
    </row>
    <row r="272" spans="1:31" ht="12.5">
      <c r="A272" s="10">
        <v>610422020052</v>
      </c>
      <c r="B272" s="10" t="str">
        <v>SHKK24-LAPANGAN-APRIL</v>
      </c>
      <c r="C272" s="10">
        <v>0</v>
      </c>
      <c r="D272" s="10">
        <f ca="1"/>
        <v>1</v>
      </c>
      <c r="E272" s="10" t="str">
        <v>Agus Supriyanto</v>
      </c>
      <c r="F272" s="10" t="str">
        <v>PPL</v>
      </c>
      <c r="G272" s="10" t="str">
        <v>6102071811790001</v>
      </c>
      <c r="H272" s="10" t="str">
        <v>PENDATAAN</v>
      </c>
      <c r="I272" s="10" t="str">
        <v>SHKK24-LAPANGAN-APRIL-PPL-PENDATAAN</v>
      </c>
      <c r="J272" s="10" t="str">
        <v>Dokumen</v>
      </c>
      <c r="K272" s="66">
        <v>60000</v>
      </c>
      <c r="L272" s="10">
        <v>7</v>
      </c>
      <c r="M272" s="10">
        <v>420000</v>
      </c>
      <c r="N272" s="10">
        <v>0</v>
      </c>
      <c r="O272" s="67">
        <v>45402</v>
      </c>
      <c r="P272" s="10">
        <v>2024</v>
      </c>
      <c r="Q272" s="10">
        <v>4</v>
      </c>
      <c r="R272" s="10" t="str">
        <v>SURVEI-PPL</v>
      </c>
      <c r="S272" s="10" t="str">
        <v>610422020052-2024-4</v>
      </c>
      <c r="T272" s="10" t="str">
        <v>610422020052-2024-4-SURVEI-PPL</v>
      </c>
      <c r="U272" s="10">
        <v>1</v>
      </c>
      <c r="V272" s="10" t="e">
        <f ca="1"/>
        <v>#NAME?</v>
      </c>
      <c r="W272" s="67">
        <v>0</v>
      </c>
      <c r="X272" s="11" t="str">
        <v>Survei Harga Kemahalan Konstruksi (SHKK24) April</v>
      </c>
      <c r="Y272" s="11" t="str">
        <v>SUNGAI PINYUH</v>
      </c>
      <c r="Z272" s="11" t="str">
        <v>NUSAPATI</v>
      </c>
      <c r="AA272" s="67">
        <v>45382</v>
      </c>
      <c r="AB272" s="67">
        <v>45383</v>
      </c>
      <c r="AC272" s="67">
        <v>45412</v>
      </c>
      <c r="AD272" s="67">
        <v>45411</v>
      </c>
      <c r="AE272" s="67">
        <v>45412</v>
      </c>
    </row>
    <row r="273" spans="1:31" ht="12.5">
      <c r="A273" s="10">
        <v>610422100016</v>
      </c>
      <c r="B273" s="10" t="str">
        <v>SHPED24-LAPANGAN-APRIL</v>
      </c>
      <c r="C273" s="10">
        <v>0</v>
      </c>
      <c r="D273" s="10">
        <f ca="1"/>
        <v>1</v>
      </c>
      <c r="E273" s="10" t="str">
        <v>Amalia Faisya</v>
      </c>
      <c r="F273" s="10" t="str">
        <v>PPL</v>
      </c>
      <c r="G273" s="10" t="str">
        <v>6102124210010005</v>
      </c>
      <c r="H273" s="10" t="str">
        <v>PENDATAAN KONSUMEN</v>
      </c>
      <c r="I273" s="10" t="str">
        <v>SHPED24-LAPANGAN-APRIL-PPL-PENDATAAN KONSUMEN</v>
      </c>
      <c r="J273" s="10" t="str">
        <v>Dokumen</v>
      </c>
      <c r="K273" s="66">
        <v>65000</v>
      </c>
      <c r="L273" s="10">
        <v>3</v>
      </c>
      <c r="M273" s="10">
        <v>195000</v>
      </c>
      <c r="N273" s="10">
        <v>0</v>
      </c>
      <c r="O273" s="67">
        <v>45402</v>
      </c>
      <c r="P273" s="10">
        <v>2024</v>
      </c>
      <c r="Q273" s="10">
        <v>4</v>
      </c>
      <c r="R273" s="10" t="str">
        <v>SURVEI-PPL</v>
      </c>
      <c r="S273" s="10" t="str">
        <v>610422100016-2024-4</v>
      </c>
      <c r="T273" s="10" t="str">
        <v>610422100016-2024-4-SURVEI-PPL</v>
      </c>
      <c r="U273" s="10">
        <v>1</v>
      </c>
      <c r="V273" s="10" t="e">
        <f ca="1"/>
        <v>#NAME?</v>
      </c>
      <c r="W273" s="67">
        <v>0</v>
      </c>
      <c r="X273" s="11" t="str">
        <v>Survei Harga Perdesaan (SHPED24) April</v>
      </c>
      <c r="Y273" s="11" t="str">
        <v>SUNGAI KUNYIT</v>
      </c>
      <c r="Z273" s="11" t="str">
        <v>SUNGAI KUNYIT LAUT</v>
      </c>
      <c r="AA273" s="67">
        <v>45382</v>
      </c>
      <c r="AB273" s="67">
        <v>45383</v>
      </c>
      <c r="AC273" s="67">
        <v>45412</v>
      </c>
      <c r="AD273" s="67">
        <v>45411</v>
      </c>
      <c r="AE273" s="67">
        <v>45412</v>
      </c>
    </row>
    <row r="274" spans="1:31" ht="12.5">
      <c r="A274" s="10">
        <v>610422050001</v>
      </c>
      <c r="B274" s="10" t="str">
        <v>SHPED24-LAPANGAN-APRIL</v>
      </c>
      <c r="C274" s="10">
        <v>0</v>
      </c>
      <c r="D274" s="10">
        <f ca="1"/>
        <v>1</v>
      </c>
      <c r="E274" s="10" t="str">
        <v>Evi Juniarty</v>
      </c>
      <c r="F274" s="10" t="str">
        <v>PPL</v>
      </c>
      <c r="G274" s="10" t="str">
        <v>6102165101840001</v>
      </c>
      <c r="H274" s="10" t="str">
        <v>PENDATAAN KONSUMEN</v>
      </c>
      <c r="I274" s="10" t="str">
        <v>SHPED24-LAPANGAN-APRIL-PPL-PENDATAAN KONSUMEN</v>
      </c>
      <c r="J274" s="10" t="str">
        <v>Dokumen</v>
      </c>
      <c r="K274" s="66">
        <v>65000</v>
      </c>
      <c r="L274" s="10">
        <v>3</v>
      </c>
      <c r="M274" s="10">
        <v>195000</v>
      </c>
      <c r="N274" s="10">
        <v>0</v>
      </c>
      <c r="O274" s="67">
        <v>45402</v>
      </c>
      <c r="P274" s="10">
        <v>2024</v>
      </c>
      <c r="Q274" s="10">
        <v>4</v>
      </c>
      <c r="R274" s="10" t="str">
        <v>SURVEI-PPL</v>
      </c>
      <c r="S274" s="10" t="str">
        <v>610422050001-2024-4</v>
      </c>
      <c r="T274" s="10" t="str">
        <v>610422050001-2024-4-SURVEI-PPL</v>
      </c>
      <c r="U274" s="10">
        <v>1</v>
      </c>
      <c r="V274" s="10" t="e">
        <f ca="1"/>
        <v>#NAME?</v>
      </c>
      <c r="W274" s="67">
        <v>0</v>
      </c>
      <c r="X274" s="11" t="str">
        <v>Survei Harga Perdesaan (SHPED24) April</v>
      </c>
      <c r="Y274" s="11" t="str">
        <v>ANJONGAN</v>
      </c>
      <c r="Z274" s="11" t="str">
        <v>ANJUNGAN MELANCAR</v>
      </c>
      <c r="AA274" s="67">
        <v>45382</v>
      </c>
      <c r="AB274" s="67">
        <v>45383</v>
      </c>
      <c r="AC274" s="67">
        <v>45412</v>
      </c>
      <c r="AD274" s="67">
        <v>45411</v>
      </c>
      <c r="AE274" s="67">
        <v>45412</v>
      </c>
    </row>
    <row r="275" spans="1:31" ht="12.5">
      <c r="A275" s="10">
        <v>610422040030</v>
      </c>
      <c r="B275" s="10" t="str">
        <v>SHPED24-LAPANGAN-APRIL</v>
      </c>
      <c r="C275" s="10">
        <v>0</v>
      </c>
      <c r="D275" s="10">
        <f ca="1"/>
        <v>1</v>
      </c>
      <c r="E275" s="10" t="str">
        <v>Syarifah Desti Pratiwi</v>
      </c>
      <c r="F275" s="10" t="str">
        <v>PPL</v>
      </c>
      <c r="G275" s="10" t="str">
        <v>6102084512950002</v>
      </c>
      <c r="H275" s="10" t="str">
        <v>PENDATAAN PRODUSEN</v>
      </c>
      <c r="I275" s="10" t="str">
        <v>SHPED24-LAPANGAN-APRIL-PPL-PENDATAAN PRODUSEN</v>
      </c>
      <c r="J275" s="10" t="str">
        <v>Dokumen</v>
      </c>
      <c r="K275" s="66">
        <v>55000</v>
      </c>
      <c r="L275" s="10">
        <v>1</v>
      </c>
      <c r="M275" s="10">
        <v>55000</v>
      </c>
      <c r="N275" s="10">
        <v>0</v>
      </c>
      <c r="O275" s="67">
        <v>45402</v>
      </c>
      <c r="P275" s="10">
        <v>2024</v>
      </c>
      <c r="Q275" s="10">
        <v>4</v>
      </c>
      <c r="R275" s="10" t="str">
        <v>SURVEI-PPL</v>
      </c>
      <c r="S275" s="10" t="str">
        <v>610422040030-2024-4</v>
      </c>
      <c r="T275" s="10" t="str">
        <v>610422040030-2024-4-SURVEI-PPL</v>
      </c>
      <c r="U275" s="10">
        <v>1</v>
      </c>
      <c r="V275" s="10" t="e">
        <f ca="1"/>
        <v>#NAME?</v>
      </c>
      <c r="W275" s="67">
        <v>0</v>
      </c>
      <c r="X275" s="11" t="str">
        <v>Survei Harga Perdesaan (SHPED24) April</v>
      </c>
      <c r="Y275" s="11" t="str">
        <v>JONGKAT</v>
      </c>
      <c r="Z275" s="11" t="str">
        <v>JUNGKAT</v>
      </c>
      <c r="AA275" s="67">
        <v>45382</v>
      </c>
      <c r="AB275" s="67">
        <v>45383</v>
      </c>
      <c r="AC275" s="67">
        <v>45412</v>
      </c>
      <c r="AD275" s="67">
        <v>45411</v>
      </c>
      <c r="AE275" s="67">
        <v>45412</v>
      </c>
    </row>
    <row r="276" spans="1:31" ht="12.5">
      <c r="A276" s="10">
        <v>610422100124</v>
      </c>
      <c r="B276" s="10" t="str">
        <v>SHPED24-LAPANGAN-APRIL</v>
      </c>
      <c r="C276" s="10">
        <v>0</v>
      </c>
      <c r="D276" s="10">
        <f ca="1"/>
        <v>1</v>
      </c>
      <c r="E276" s="10" t="str">
        <v>Prabowo</v>
      </c>
      <c r="F276" s="10" t="str">
        <v>PPL</v>
      </c>
      <c r="G276" s="10" t="str">
        <v>6171010108790015</v>
      </c>
      <c r="H276" s="10" t="str">
        <v>PENDATAAN PRODUSEN</v>
      </c>
      <c r="I276" s="10" t="str">
        <v>SHPED24-LAPANGAN-APRIL-PPL-PENDATAAN PRODUSEN</v>
      </c>
      <c r="J276" s="10" t="str">
        <v>Dokumen</v>
      </c>
      <c r="K276" s="66">
        <v>55000</v>
      </c>
      <c r="L276" s="10">
        <v>3</v>
      </c>
      <c r="M276" s="10">
        <v>165000</v>
      </c>
      <c r="N276" s="10">
        <v>0</v>
      </c>
      <c r="O276" s="67">
        <v>45402</v>
      </c>
      <c r="P276" s="10">
        <v>2024</v>
      </c>
      <c r="Q276" s="10">
        <v>4</v>
      </c>
      <c r="R276" s="10" t="str">
        <v>SURVEI-PPL</v>
      </c>
      <c r="S276" s="10" t="str">
        <v>610422100124-2024-4</v>
      </c>
      <c r="T276" s="10" t="str">
        <v>610422100124-2024-4-SURVEI-PPL</v>
      </c>
      <c r="U276" s="10">
        <v>1</v>
      </c>
      <c r="V276" s="10" t="e">
        <f ca="1"/>
        <v>#NAME?</v>
      </c>
      <c r="W276" s="67">
        <v>0</v>
      </c>
      <c r="X276" s="11" t="str">
        <v>Survei Harga Perdesaan (SHPED24) April</v>
      </c>
      <c r="Y276" s="11" t="str">
        <v>PONTIANAK KOTA</v>
      </c>
      <c r="Z276" s="11" t="str">
        <v>SUNGAI BANGKONG</v>
      </c>
      <c r="AA276" s="67">
        <v>45382</v>
      </c>
      <c r="AB276" s="67">
        <v>45383</v>
      </c>
      <c r="AC276" s="67">
        <v>45412</v>
      </c>
      <c r="AD276" s="67">
        <v>45411</v>
      </c>
      <c r="AE276" s="67">
        <v>45412</v>
      </c>
    </row>
    <row r="277" spans="1:31" ht="12.5">
      <c r="A277" s="10">
        <v>610422100244</v>
      </c>
      <c r="B277" s="10" t="str">
        <v>SHPED24-LAPANGAN-APRIL</v>
      </c>
      <c r="C277" s="10">
        <v>0</v>
      </c>
      <c r="D277" s="10">
        <f ca="1"/>
        <v>1</v>
      </c>
      <c r="E277" s="10" t="str">
        <v>Sugianto</v>
      </c>
      <c r="F277" s="10" t="str">
        <v>PPL</v>
      </c>
      <c r="G277" s="10" t="str">
        <v>6102171003900002</v>
      </c>
      <c r="H277" s="10" t="str">
        <v>PENDATAAN PRODUSEN</v>
      </c>
      <c r="I277" s="10" t="str">
        <v>SHPED24-LAPANGAN-APRIL-PPL-PENDATAAN PRODUSEN</v>
      </c>
      <c r="J277" s="10" t="str">
        <v>Dokumen</v>
      </c>
      <c r="K277" s="66">
        <v>55000</v>
      </c>
      <c r="L277" s="10">
        <v>2</v>
      </c>
      <c r="M277" s="10">
        <v>110000</v>
      </c>
      <c r="N277" s="10">
        <v>0</v>
      </c>
      <c r="O277" s="67">
        <v>45402</v>
      </c>
      <c r="P277" s="10">
        <v>2024</v>
      </c>
      <c r="Q277" s="10">
        <v>4</v>
      </c>
      <c r="R277" s="10" t="str">
        <v>SURVEI-PPL</v>
      </c>
      <c r="S277" s="10" t="str">
        <v>610422100244-2024-4</v>
      </c>
      <c r="T277" s="10" t="str">
        <v>610422100244-2024-4-SURVEI-PPL</v>
      </c>
      <c r="U277" s="10">
        <v>1</v>
      </c>
      <c r="V277" s="10" t="e">
        <f ca="1"/>
        <v>#NAME?</v>
      </c>
      <c r="W277" s="67">
        <v>0</v>
      </c>
      <c r="X277" s="11" t="str">
        <v>Survei Harga Perdesaan (SHPED24) April</v>
      </c>
      <c r="Y277" s="11" t="str">
        <v>SADANIANG</v>
      </c>
      <c r="Z277" s="11" t="str">
        <v>BUMBUN</v>
      </c>
      <c r="AA277" s="67">
        <v>45382</v>
      </c>
      <c r="AB277" s="67">
        <v>45383</v>
      </c>
      <c r="AC277" s="67">
        <v>45412</v>
      </c>
      <c r="AD277" s="67">
        <v>45411</v>
      </c>
      <c r="AE277" s="67">
        <v>45412</v>
      </c>
    </row>
    <row r="278" spans="1:31" ht="12.5">
      <c r="A278" s="10">
        <v>610422020016</v>
      </c>
      <c r="B278" s="10" t="str">
        <v>SHPED24-LAPANGAN-APRIL</v>
      </c>
      <c r="C278" s="10">
        <v>0</v>
      </c>
      <c r="D278" s="10">
        <f ca="1"/>
        <v>1</v>
      </c>
      <c r="E278" s="10" t="str">
        <v>Abdul Aziz</v>
      </c>
      <c r="F278" s="10" t="str">
        <v>PPL</v>
      </c>
      <c r="G278" s="10" t="str">
        <v>6102061507950006</v>
      </c>
      <c r="H278" s="10" t="str">
        <v>PENDATAAN PRODUSEN</v>
      </c>
      <c r="I278" s="10" t="str">
        <v>SHPED24-LAPANGAN-APRIL-PPL-PENDATAAN PRODUSEN</v>
      </c>
      <c r="J278" s="10" t="str">
        <v>Dokumen</v>
      </c>
      <c r="K278" s="66">
        <v>55000</v>
      </c>
      <c r="L278" s="10">
        <v>3</v>
      </c>
      <c r="M278" s="10">
        <v>165000</v>
      </c>
      <c r="N278" s="10">
        <v>0</v>
      </c>
      <c r="O278" s="67">
        <v>45402</v>
      </c>
      <c r="P278" s="10">
        <v>2024</v>
      </c>
      <c r="Q278" s="10">
        <v>4</v>
      </c>
      <c r="R278" s="10" t="str">
        <v>SURVEI-PPL</v>
      </c>
      <c r="S278" s="10" t="str">
        <v>610422020016-2024-4</v>
      </c>
      <c r="T278" s="10" t="str">
        <v>610422020016-2024-4-SURVEI-PPL</v>
      </c>
      <c r="U278" s="10">
        <v>1</v>
      </c>
      <c r="V278" s="10" t="e">
        <f ca="1"/>
        <v>#NAME?</v>
      </c>
      <c r="W278" s="67">
        <v>0</v>
      </c>
      <c r="X278" s="11" t="str">
        <v>Survei Harga Perdesaan (SHPED24) April</v>
      </c>
      <c r="Y278" s="11" t="str">
        <v>TOHO</v>
      </c>
      <c r="Z278" s="11" t="str">
        <v>SAMBORA</v>
      </c>
      <c r="AA278" s="67">
        <v>45382</v>
      </c>
      <c r="AB278" s="67">
        <v>45383</v>
      </c>
      <c r="AC278" s="67">
        <v>45412</v>
      </c>
      <c r="AD278" s="67">
        <v>45411</v>
      </c>
      <c r="AE278" s="67">
        <v>45412</v>
      </c>
    </row>
    <row r="279" spans="1:31" ht="12.5">
      <c r="A279" s="10">
        <v>610422100016</v>
      </c>
      <c r="B279" s="10" t="str">
        <v>SHPED24-LAPANGAN-APRIL</v>
      </c>
      <c r="C279" s="10">
        <v>0</v>
      </c>
      <c r="D279" s="10">
        <f ca="1"/>
        <v>1</v>
      </c>
      <c r="E279" s="10" t="str">
        <v>Amalia Faisya</v>
      </c>
      <c r="F279" s="10" t="str">
        <v>PPL</v>
      </c>
      <c r="G279" s="10" t="str">
        <v>6102124210010005</v>
      </c>
      <c r="H279" s="10" t="str">
        <v>PENDATAAN PRODUSEN</v>
      </c>
      <c r="I279" s="10" t="str">
        <v>SHPED24-LAPANGAN-APRIL-PPL-PENDATAAN PRODUSEN</v>
      </c>
      <c r="J279" s="10" t="str">
        <v>Dokumen</v>
      </c>
      <c r="K279" s="66">
        <v>55000</v>
      </c>
      <c r="L279" s="10">
        <v>1</v>
      </c>
      <c r="M279" s="10">
        <v>55000</v>
      </c>
      <c r="N279" s="10">
        <v>0</v>
      </c>
      <c r="O279" s="67">
        <v>45402</v>
      </c>
      <c r="P279" s="10">
        <v>2024</v>
      </c>
      <c r="Q279" s="10">
        <v>4</v>
      </c>
      <c r="R279" s="10" t="str">
        <v>SURVEI-PPL</v>
      </c>
      <c r="S279" s="10" t="str">
        <v>610422100016-2024-4</v>
      </c>
      <c r="T279" s="10" t="str">
        <v>610422100016-2024-4-SURVEI-PPL</v>
      </c>
      <c r="U279" s="10">
        <v>1</v>
      </c>
      <c r="V279" s="10" t="e">
        <f ca="1"/>
        <v>#NAME?</v>
      </c>
      <c r="W279" s="67">
        <v>0</v>
      </c>
      <c r="X279" s="11" t="str">
        <v>Survei Harga Perdesaan (SHPED24) April</v>
      </c>
      <c r="Y279" s="11" t="str">
        <v>SUNGAI KUNYIT</v>
      </c>
      <c r="Z279" s="11" t="str">
        <v>SUNGAI KUNYIT LAUT</v>
      </c>
      <c r="AA279" s="67">
        <v>45382</v>
      </c>
      <c r="AB279" s="67">
        <v>45383</v>
      </c>
      <c r="AC279" s="67">
        <v>45412</v>
      </c>
      <c r="AD279" s="67">
        <v>45411</v>
      </c>
      <c r="AE279" s="67">
        <v>45412</v>
      </c>
    </row>
    <row r="280" spans="1:31" ht="12.5">
      <c r="A280" s="10">
        <v>610422020048</v>
      </c>
      <c r="B280" s="10" t="str">
        <v>SHPED24-LAPANGAN-APRIL</v>
      </c>
      <c r="C280" s="10">
        <v>0</v>
      </c>
      <c r="D280" s="10">
        <f ca="1"/>
        <v>1</v>
      </c>
      <c r="E280" s="10" t="str">
        <v>Herri Gustaman</v>
      </c>
      <c r="F280" s="10" t="str">
        <v>PPL</v>
      </c>
      <c r="G280" s="10" t="str">
        <v>6102072503800001</v>
      </c>
      <c r="H280" s="10" t="str">
        <v>PENDATAAN PRODUSEN</v>
      </c>
      <c r="I280" s="10" t="str">
        <v>SHPED24-LAPANGAN-APRIL-PPL-PENDATAAN PRODUSEN</v>
      </c>
      <c r="J280" s="10" t="str">
        <v>Dokumen</v>
      </c>
      <c r="K280" s="66">
        <v>55000</v>
      </c>
      <c r="L280" s="10">
        <v>3</v>
      </c>
      <c r="M280" s="10">
        <v>165000</v>
      </c>
      <c r="N280" s="10">
        <v>0</v>
      </c>
      <c r="O280" s="67">
        <v>45402</v>
      </c>
      <c r="P280" s="10">
        <v>2024</v>
      </c>
      <c r="Q280" s="10">
        <v>4</v>
      </c>
      <c r="R280" s="10" t="str">
        <v>SURVEI-PPL</v>
      </c>
      <c r="S280" s="10" t="str">
        <v>610422020048-2024-4</v>
      </c>
      <c r="T280" s="10" t="str">
        <v>610422020048-2024-4-SURVEI-PPL</v>
      </c>
      <c r="U280" s="10">
        <v>1</v>
      </c>
      <c r="V280" s="10" t="e">
        <f ca="1"/>
        <v>#NAME?</v>
      </c>
      <c r="W280" s="67">
        <v>0</v>
      </c>
      <c r="X280" s="11" t="str">
        <v>Survei Harga Perdesaan (SHPED24) April</v>
      </c>
      <c r="Y280" s="11" t="str">
        <v>MEMPAWAH TIMUR</v>
      </c>
      <c r="Z280" s="11" t="str">
        <v>SEJEGI</v>
      </c>
      <c r="AA280" s="67">
        <v>45382</v>
      </c>
      <c r="AB280" s="67">
        <v>45383</v>
      </c>
      <c r="AC280" s="67">
        <v>45412</v>
      </c>
      <c r="AD280" s="67">
        <v>45411</v>
      </c>
      <c r="AE280" s="67">
        <v>45412</v>
      </c>
    </row>
    <row r="281" spans="1:31" ht="12.5">
      <c r="A281" s="10">
        <v>610422040029</v>
      </c>
      <c r="B281" s="10" t="str">
        <v>SHPED24-LAPANGAN-APRIL</v>
      </c>
      <c r="C281" s="10">
        <v>0</v>
      </c>
      <c r="D281" s="10">
        <f ca="1"/>
        <v>1</v>
      </c>
      <c r="E281" s="10" t="str">
        <v>Zaini</v>
      </c>
      <c r="F281" s="10" t="str">
        <v>PPL</v>
      </c>
      <c r="G281" s="10" t="str">
        <v>6102010607870002</v>
      </c>
      <c r="H281" s="10" t="str">
        <v>PENDATAAN PRODUSEN</v>
      </c>
      <c r="I281" s="10" t="str">
        <v>SHPED24-LAPANGAN-APRIL-PPL-PENDATAAN PRODUSEN</v>
      </c>
      <c r="J281" s="10" t="str">
        <v>Dokumen</v>
      </c>
      <c r="K281" s="66">
        <v>55000</v>
      </c>
      <c r="L281" s="10">
        <v>4</v>
      </c>
      <c r="M281" s="10">
        <v>220000</v>
      </c>
      <c r="N281" s="10">
        <v>0</v>
      </c>
      <c r="O281" s="67">
        <v>45402</v>
      </c>
      <c r="P281" s="10">
        <v>2024</v>
      </c>
      <c r="Q281" s="10">
        <v>4</v>
      </c>
      <c r="R281" s="10" t="str">
        <v>SURVEI-PPL</v>
      </c>
      <c r="S281" s="10" t="str">
        <v>610422040029-2024-4</v>
      </c>
      <c r="T281" s="10" t="str">
        <v>610422040029-2024-4-SURVEI-PPL</v>
      </c>
      <c r="U281" s="10">
        <v>1</v>
      </c>
      <c r="V281" s="10" t="e">
        <f ca="1"/>
        <v>#NAME?</v>
      </c>
      <c r="W281" s="67">
        <v>0</v>
      </c>
      <c r="X281" s="11" t="str">
        <v>Survei Harga Perdesaan (SHPED24) April</v>
      </c>
      <c r="Y281" s="11" t="str">
        <v>MEMPAWAH HILIR</v>
      </c>
      <c r="Z281" s="11" t="str">
        <v>TENGAH</v>
      </c>
      <c r="AA281" s="67">
        <v>45382</v>
      </c>
      <c r="AB281" s="67">
        <v>45383</v>
      </c>
      <c r="AC281" s="67">
        <v>45412</v>
      </c>
      <c r="AD281" s="67">
        <v>45411</v>
      </c>
      <c r="AE281" s="67">
        <v>45412</v>
      </c>
    </row>
    <row r="282" spans="1:31" ht="12.5">
      <c r="A282" s="10">
        <v>610422050001</v>
      </c>
      <c r="B282" s="10" t="str">
        <v>SHPED24-LAPANGAN-APRIL</v>
      </c>
      <c r="C282" s="10">
        <v>0</v>
      </c>
      <c r="D282" s="10">
        <f ca="1"/>
        <v>1</v>
      </c>
      <c r="E282" s="10" t="str">
        <v>Evi Juniarty</v>
      </c>
      <c r="F282" s="10" t="str">
        <v>PPL</v>
      </c>
      <c r="G282" s="10" t="str">
        <v>6102165101840001</v>
      </c>
      <c r="H282" s="10" t="str">
        <v>PENDATAAN PRODUSEN</v>
      </c>
      <c r="I282" s="10" t="str">
        <v>SHPED24-LAPANGAN-APRIL-PPL-PENDATAAN PRODUSEN</v>
      </c>
      <c r="J282" s="10" t="str">
        <v>Dokumen</v>
      </c>
      <c r="K282" s="66">
        <v>55000</v>
      </c>
      <c r="L282" s="10">
        <v>1</v>
      </c>
      <c r="M282" s="10">
        <v>55000</v>
      </c>
      <c r="N282" s="10">
        <v>0</v>
      </c>
      <c r="O282" s="67">
        <v>45402</v>
      </c>
      <c r="P282" s="10">
        <v>2024</v>
      </c>
      <c r="Q282" s="10">
        <v>4</v>
      </c>
      <c r="R282" s="10" t="str">
        <v>SURVEI-PPL</v>
      </c>
      <c r="S282" s="10" t="str">
        <v>610422050001-2024-4</v>
      </c>
      <c r="T282" s="10" t="str">
        <v>610422050001-2024-4-SURVEI-PPL</v>
      </c>
      <c r="U282" s="10">
        <v>1</v>
      </c>
      <c r="V282" s="10" t="e">
        <f ca="1"/>
        <v>#NAME?</v>
      </c>
      <c r="W282" s="67">
        <v>0</v>
      </c>
      <c r="X282" s="11" t="str">
        <v>Survei Harga Perdesaan (SHPED24) April</v>
      </c>
      <c r="Y282" s="11" t="str">
        <v>ANJONGAN</v>
      </c>
      <c r="Z282" s="11" t="str">
        <v>ANJUNGAN MELANCAR</v>
      </c>
      <c r="AA282" s="67">
        <v>45382</v>
      </c>
      <c r="AB282" s="67">
        <v>45383</v>
      </c>
      <c r="AC282" s="67">
        <v>45412</v>
      </c>
      <c r="AD282" s="67">
        <v>45411</v>
      </c>
      <c r="AE282" s="67">
        <v>45412</v>
      </c>
    </row>
    <row r="283" spans="1:31" ht="12.5">
      <c r="A283" s="10">
        <v>610422100124</v>
      </c>
      <c r="B283" s="10" t="str">
        <v>HPBG24-LAPANGAN-APRIL</v>
      </c>
      <c r="C283" s="10">
        <v>0</v>
      </c>
      <c r="D283" s="10">
        <f ca="1"/>
        <v>1</v>
      </c>
      <c r="E283" s="10" t="str">
        <v>Prabowo</v>
      </c>
      <c r="F283" s="10" t="str">
        <v>PPL</v>
      </c>
      <c r="G283" s="10" t="str">
        <v>6171010108790015</v>
      </c>
      <c r="H283" s="10" t="str">
        <v>PENDATAAN</v>
      </c>
      <c r="I283" s="10" t="str">
        <v>HPBG24-LAPANGAN-APRIL-PPL-PENDATAAN</v>
      </c>
      <c r="J283" s="10" t="str">
        <v>Dokumen</v>
      </c>
      <c r="K283" s="66">
        <v>55000</v>
      </c>
      <c r="L283" s="10">
        <v>2</v>
      </c>
      <c r="M283" s="10">
        <v>110000</v>
      </c>
      <c r="N283" s="10">
        <v>0</v>
      </c>
      <c r="O283" s="67">
        <v>45402</v>
      </c>
      <c r="P283" s="10">
        <v>2024</v>
      </c>
      <c r="Q283" s="10">
        <v>4</v>
      </c>
      <c r="R283" s="10" t="str">
        <v>SURVEI-PPL</v>
      </c>
      <c r="S283" s="10" t="str">
        <v>610422100124-2024-4</v>
      </c>
      <c r="T283" s="10" t="str">
        <v>610422100124-2024-4-SURVEI-PPL</v>
      </c>
      <c r="U283" s="10">
        <v>1</v>
      </c>
      <c r="V283" s="10" t="e">
        <f ca="1"/>
        <v>#NAME?</v>
      </c>
      <c r="W283" s="67">
        <v>0</v>
      </c>
      <c r="X283" s="11" t="str">
        <v>Survei Harga Produsen Beras di Penggilingan 2024 (HPBG24) April</v>
      </c>
      <c r="Y283" s="11" t="str">
        <v>PONTIANAK KOTA</v>
      </c>
      <c r="Z283" s="11" t="str">
        <v>SUNGAI BANGKONG</v>
      </c>
      <c r="AA283" s="67">
        <v>45382</v>
      </c>
      <c r="AB283" s="67">
        <v>45383</v>
      </c>
      <c r="AC283" s="67">
        <v>45412</v>
      </c>
      <c r="AD283" s="67">
        <v>45411</v>
      </c>
      <c r="AE283" s="67">
        <v>45412</v>
      </c>
    </row>
    <row r="284" spans="1:31" ht="12.5">
      <c r="A284" s="10">
        <v>610422100244</v>
      </c>
      <c r="B284" s="10" t="str">
        <v>HPBG24-LAPANGAN-APRIL</v>
      </c>
      <c r="C284" s="10">
        <v>0</v>
      </c>
      <c r="D284" s="10">
        <f ca="1"/>
        <v>1</v>
      </c>
      <c r="E284" s="10" t="str">
        <v>Sugianto</v>
      </c>
      <c r="F284" s="10" t="str">
        <v>PPL</v>
      </c>
      <c r="G284" s="10" t="str">
        <v>6102171003900002</v>
      </c>
      <c r="H284" s="10" t="str">
        <v>PENDATAAN</v>
      </c>
      <c r="I284" s="10" t="str">
        <v>HPBG24-LAPANGAN-APRIL-PPL-PENDATAAN</v>
      </c>
      <c r="J284" s="10" t="str">
        <v>Dokumen</v>
      </c>
      <c r="K284" s="66">
        <v>55000</v>
      </c>
      <c r="L284" s="10">
        <v>2</v>
      </c>
      <c r="M284" s="10">
        <v>110000</v>
      </c>
      <c r="N284" s="10">
        <v>0</v>
      </c>
      <c r="O284" s="67">
        <v>45402</v>
      </c>
      <c r="P284" s="10">
        <v>2024</v>
      </c>
      <c r="Q284" s="10">
        <v>4</v>
      </c>
      <c r="R284" s="10" t="str">
        <v>SURVEI-PPL</v>
      </c>
      <c r="S284" s="10" t="str">
        <v>610422100244-2024-4</v>
      </c>
      <c r="T284" s="10" t="str">
        <v>610422100244-2024-4-SURVEI-PPL</v>
      </c>
      <c r="U284" s="10">
        <v>1</v>
      </c>
      <c r="V284" s="10" t="e">
        <f ca="1"/>
        <v>#NAME?</v>
      </c>
      <c r="W284" s="67">
        <v>0</v>
      </c>
      <c r="X284" s="11" t="str">
        <v>Survei Harga Produsen Beras di Penggilingan 2024 (HPBG24) April</v>
      </c>
      <c r="Y284" s="11" t="str">
        <v>SADANIANG</v>
      </c>
      <c r="Z284" s="11" t="str">
        <v>BUMBUN</v>
      </c>
      <c r="AA284" s="67">
        <v>45382</v>
      </c>
      <c r="AB284" s="67">
        <v>45383</v>
      </c>
      <c r="AC284" s="67">
        <v>45412</v>
      </c>
      <c r="AD284" s="67">
        <v>45411</v>
      </c>
      <c r="AE284" s="67">
        <v>45412</v>
      </c>
    </row>
    <row r="285" spans="1:31" ht="12.5">
      <c r="A285" s="10">
        <v>610422100165</v>
      </c>
      <c r="B285" s="10" t="str">
        <v>HPBG24-LAPANGAN-APRIL</v>
      </c>
      <c r="C285" s="10">
        <v>0</v>
      </c>
      <c r="D285" s="10">
        <f ca="1"/>
        <v>1</v>
      </c>
      <c r="E285" s="10" t="str">
        <v>Yanti</v>
      </c>
      <c r="F285" s="10" t="str">
        <v>PPL</v>
      </c>
      <c r="G285" s="10" t="str">
        <v>6102074803980002</v>
      </c>
      <c r="H285" s="10" t="str">
        <v>PENDATAAN</v>
      </c>
      <c r="I285" s="10" t="str">
        <v>HPBG24-LAPANGAN-APRIL-PPL-PENDATAAN</v>
      </c>
      <c r="J285" s="10" t="str">
        <v>Dokumen</v>
      </c>
      <c r="K285" s="66">
        <v>55000</v>
      </c>
      <c r="L285" s="10">
        <v>2</v>
      </c>
      <c r="M285" s="10">
        <v>110000</v>
      </c>
      <c r="N285" s="10">
        <v>0</v>
      </c>
      <c r="O285" s="67">
        <v>45402</v>
      </c>
      <c r="P285" s="10">
        <v>2024</v>
      </c>
      <c r="Q285" s="10">
        <v>4</v>
      </c>
      <c r="R285" s="10" t="str">
        <v>SURVEI-PPL</v>
      </c>
      <c r="S285" s="10" t="str">
        <v>610422100165-2024-4</v>
      </c>
      <c r="T285" s="10" t="str">
        <v>610422100165-2024-4-SURVEI-PPL</v>
      </c>
      <c r="U285" s="10">
        <v>1</v>
      </c>
      <c r="V285" s="10" t="e">
        <f ca="1"/>
        <v>#NAME?</v>
      </c>
      <c r="W285" s="67">
        <v>0</v>
      </c>
      <c r="X285" s="11" t="str">
        <v>Survei Harga Produsen Beras di Penggilingan 2024 (HPBG24) April</v>
      </c>
      <c r="Y285" s="11" t="str">
        <v>SUNGAI PINYUH</v>
      </c>
      <c r="Z285" s="11" t="str">
        <v>SUNGAI BAKAU BESAR LAUT</v>
      </c>
      <c r="AA285" s="67">
        <v>45382</v>
      </c>
      <c r="AB285" s="67">
        <v>45383</v>
      </c>
      <c r="AC285" s="67">
        <v>45412</v>
      </c>
      <c r="AD285" s="67">
        <v>45411</v>
      </c>
      <c r="AE285" s="67">
        <v>45412</v>
      </c>
    </row>
    <row r="286" spans="1:31" ht="12.5">
      <c r="A286" s="10">
        <v>610422100165</v>
      </c>
      <c r="B286" s="10" t="str">
        <v>HPJ24-LAPANGAN-APRIL</v>
      </c>
      <c r="C286" s="10">
        <v>0</v>
      </c>
      <c r="D286" s="10">
        <f ca="1"/>
        <v>1</v>
      </c>
      <c r="E286" s="10" t="str">
        <v>Yanti</v>
      </c>
      <c r="F286" s="10" t="str">
        <v>PPL</v>
      </c>
      <c r="G286" s="10" t="str">
        <v>6102074803980002</v>
      </c>
      <c r="H286" s="10" t="str">
        <v>PENDATAAN</v>
      </c>
      <c r="I286" s="10" t="str">
        <v>HPJ24-LAPANGAN-APRIL-PPL-PENDATAAN</v>
      </c>
      <c r="J286" s="10" t="str">
        <v>Dokumen</v>
      </c>
      <c r="K286" s="66">
        <v>50000</v>
      </c>
      <c r="L286" s="10">
        <v>1</v>
      </c>
      <c r="M286" s="10">
        <v>50000</v>
      </c>
      <c r="N286" s="10">
        <v>0</v>
      </c>
      <c r="O286" s="67">
        <v>45402</v>
      </c>
      <c r="P286" s="10">
        <v>2024</v>
      </c>
      <c r="Q286" s="10">
        <v>4</v>
      </c>
      <c r="R286" s="10" t="str">
        <v>SURVEI-PPL</v>
      </c>
      <c r="S286" s="10" t="str">
        <v>610422100165-2024-4</v>
      </c>
      <c r="T286" s="10" t="str">
        <v>610422100165-2024-4-SURVEI-PPL</v>
      </c>
      <c r="U286" s="10">
        <v>1</v>
      </c>
      <c r="V286" s="10" t="e">
        <f ca="1"/>
        <v>#NAME?</v>
      </c>
      <c r="W286" s="67">
        <v>0</v>
      </c>
      <c r="X286" s="11" t="str">
        <v>Survei Harga Produsen Jasa (HPJ24) April</v>
      </c>
      <c r="Y286" s="11" t="str">
        <v>SUNGAI PINYUH</v>
      </c>
      <c r="Z286" s="11" t="str">
        <v>SUNGAI BAKAU BESAR LAUT</v>
      </c>
      <c r="AA286" s="67">
        <v>45382</v>
      </c>
      <c r="AB286" s="67">
        <v>45383</v>
      </c>
      <c r="AC286" s="67">
        <v>45412</v>
      </c>
      <c r="AD286" s="67">
        <v>45411</v>
      </c>
      <c r="AE286" s="67">
        <v>45412</v>
      </c>
    </row>
    <row r="287" spans="1:31" ht="12.5">
      <c r="A287" s="10">
        <v>610422040029</v>
      </c>
      <c r="B287" s="10" t="str">
        <v>VHTS24-LAPANGAN-APRIL</v>
      </c>
      <c r="C287" s="10">
        <v>0</v>
      </c>
      <c r="D287" s="10">
        <f ca="1"/>
        <v>1</v>
      </c>
      <c r="E287" s="10" t="str">
        <v>Zaini</v>
      </c>
      <c r="F287" s="10" t="str">
        <v>PPL</v>
      </c>
      <c r="G287" s="10" t="str">
        <v>6102010607870002</v>
      </c>
      <c r="H287" s="10" t="str">
        <v>PENDATAAN</v>
      </c>
      <c r="I287" s="10" t="str">
        <v>VHTS24-LAPANGAN-APRIL-PPL-PENDATAAN</v>
      </c>
      <c r="J287" s="10" t="str">
        <v>Dokumen</v>
      </c>
      <c r="K287" s="66">
        <v>55000</v>
      </c>
      <c r="L287" s="10">
        <v>3</v>
      </c>
      <c r="M287" s="10">
        <v>165000</v>
      </c>
      <c r="N287" s="10">
        <v>0</v>
      </c>
      <c r="O287" s="67">
        <v>45402</v>
      </c>
      <c r="P287" s="10">
        <v>2024</v>
      </c>
      <c r="Q287" s="10">
        <v>4</v>
      </c>
      <c r="R287" s="10" t="str">
        <v>SURVEI-PPL</v>
      </c>
      <c r="S287" s="10" t="str">
        <v>610422040029-2024-4</v>
      </c>
      <c r="T287" s="10" t="str">
        <v>610422040029-2024-4-SURVEI-PPL</v>
      </c>
      <c r="U287" s="10">
        <v>1</v>
      </c>
      <c r="V287" s="10" t="e">
        <f ca="1"/>
        <v>#NAME?</v>
      </c>
      <c r="W287" s="67">
        <v>0</v>
      </c>
      <c r="X287" s="11" t="str">
        <v>Survei Hotel dan Jasa Akomodasi Bulanan (VHTS) 2024 April</v>
      </c>
      <c r="Y287" s="11" t="str">
        <v>MEMPAWAH HILIR</v>
      </c>
      <c r="Z287" s="11" t="str">
        <v>TENGAH</v>
      </c>
      <c r="AA287" s="67">
        <v>45382</v>
      </c>
      <c r="AB287" s="67">
        <v>45383</v>
      </c>
      <c r="AC287" s="67">
        <v>45412</v>
      </c>
      <c r="AD287" s="67">
        <v>45411</v>
      </c>
      <c r="AE287" s="67">
        <v>45412</v>
      </c>
    </row>
    <row r="288" spans="1:31" ht="12.5">
      <c r="A288" s="10">
        <v>610422100165</v>
      </c>
      <c r="B288" s="10" t="str">
        <v>VHTS24-LAPANGAN-APRIL</v>
      </c>
      <c r="C288" s="10">
        <v>0</v>
      </c>
      <c r="D288" s="10">
        <f ca="1"/>
        <v>1</v>
      </c>
      <c r="E288" s="10" t="str">
        <v>Yanti</v>
      </c>
      <c r="F288" s="10" t="str">
        <v>PPL</v>
      </c>
      <c r="G288" s="10" t="str">
        <v>6102074803980002</v>
      </c>
      <c r="H288" s="10" t="str">
        <v>PENDATAAN</v>
      </c>
      <c r="I288" s="10" t="str">
        <v>VHTS24-LAPANGAN-APRIL-PPL-PENDATAAN</v>
      </c>
      <c r="J288" s="10" t="str">
        <v>Dokumen</v>
      </c>
      <c r="K288" s="66">
        <v>55000</v>
      </c>
      <c r="L288" s="10">
        <v>3</v>
      </c>
      <c r="M288" s="10">
        <v>165000</v>
      </c>
      <c r="N288" s="10">
        <v>0</v>
      </c>
      <c r="O288" s="67">
        <v>45402</v>
      </c>
      <c r="P288" s="10">
        <v>2024</v>
      </c>
      <c r="Q288" s="10">
        <v>4</v>
      </c>
      <c r="R288" s="10" t="str">
        <v>SURVEI-PPL</v>
      </c>
      <c r="S288" s="10" t="str">
        <v>610422100165-2024-4</v>
      </c>
      <c r="T288" s="10" t="str">
        <v>610422100165-2024-4-SURVEI-PPL</v>
      </c>
      <c r="U288" s="10">
        <v>1</v>
      </c>
      <c r="V288" s="10" t="e">
        <f ca="1"/>
        <v>#NAME?</v>
      </c>
      <c r="W288" s="67">
        <v>0</v>
      </c>
      <c r="X288" s="11" t="str">
        <v>Survei Hotel dan Jasa Akomodasi Bulanan (VHTS) 2024 April</v>
      </c>
      <c r="Y288" s="11" t="str">
        <v>SUNGAI PINYUH</v>
      </c>
      <c r="Z288" s="11" t="str">
        <v>SUNGAI BAKAU BESAR LAUT</v>
      </c>
      <c r="AA288" s="67">
        <v>45382</v>
      </c>
      <c r="AB288" s="67">
        <v>45383</v>
      </c>
      <c r="AC288" s="67">
        <v>45412</v>
      </c>
      <c r="AD288" s="67">
        <v>45411</v>
      </c>
      <c r="AE288" s="67">
        <v>45412</v>
      </c>
    </row>
    <row r="289" spans="1:31" ht="12.5">
      <c r="A289" s="10">
        <v>610422050001</v>
      </c>
      <c r="B289" s="10" t="str">
        <v>VHTS24-LAPANGAN-APRIL</v>
      </c>
      <c r="C289" s="10">
        <v>0</v>
      </c>
      <c r="D289" s="10">
        <f ca="1"/>
        <v>1</v>
      </c>
      <c r="E289" s="10" t="str">
        <v>Evi Juniarty</v>
      </c>
      <c r="F289" s="10" t="str">
        <v>PPL</v>
      </c>
      <c r="G289" s="10" t="str">
        <v>6102165101840001</v>
      </c>
      <c r="H289" s="10" t="str">
        <v>PENDATAAN</v>
      </c>
      <c r="I289" s="10" t="str">
        <v>VHTS24-LAPANGAN-APRIL-PPL-PENDATAAN</v>
      </c>
      <c r="J289" s="10" t="str">
        <v>Dokumen</v>
      </c>
      <c r="K289" s="66">
        <v>55000</v>
      </c>
      <c r="L289" s="10">
        <v>3</v>
      </c>
      <c r="M289" s="10">
        <v>165000</v>
      </c>
      <c r="N289" s="10">
        <v>0</v>
      </c>
      <c r="O289" s="67">
        <v>45402</v>
      </c>
      <c r="P289" s="10">
        <v>2024</v>
      </c>
      <c r="Q289" s="10">
        <v>4</v>
      </c>
      <c r="R289" s="10" t="str">
        <v>SURVEI-PPL</v>
      </c>
      <c r="S289" s="10" t="str">
        <v>610422050001-2024-4</v>
      </c>
      <c r="T289" s="10" t="str">
        <v>610422050001-2024-4-SURVEI-PPL</v>
      </c>
      <c r="U289" s="10">
        <v>1</v>
      </c>
      <c r="V289" s="10" t="e">
        <f ca="1"/>
        <v>#NAME?</v>
      </c>
      <c r="W289" s="67">
        <v>0</v>
      </c>
      <c r="X289" s="11" t="str">
        <v>Survei Hotel dan Jasa Akomodasi Bulanan (VHTS) 2024 April</v>
      </c>
      <c r="Y289" s="11" t="str">
        <v>ANJONGAN</v>
      </c>
      <c r="Z289" s="11" t="str">
        <v>ANJUNGAN MELANCAR</v>
      </c>
      <c r="AA289" s="67">
        <v>45382</v>
      </c>
      <c r="AB289" s="67">
        <v>45383</v>
      </c>
      <c r="AC289" s="67">
        <v>45412</v>
      </c>
      <c r="AD289" s="67">
        <v>45411</v>
      </c>
      <c r="AE289" s="67">
        <v>45412</v>
      </c>
    </row>
    <row r="290" spans="1:31" ht="12.5">
      <c r="A290" s="10">
        <v>610422040056</v>
      </c>
      <c r="B290" s="10" t="str">
        <v>VHTS24-LAPANGAN-APRIL</v>
      </c>
      <c r="C290" s="10">
        <v>0</v>
      </c>
      <c r="D290" s="10">
        <f ca="1"/>
        <v>1</v>
      </c>
      <c r="E290" s="10" t="str">
        <v>Wandi Syafari</v>
      </c>
      <c r="F290" s="10" t="str">
        <v>PPL</v>
      </c>
      <c r="G290" s="10" t="str">
        <v>6102010802760001</v>
      </c>
      <c r="H290" s="10" t="str">
        <v>PENDATAAN</v>
      </c>
      <c r="I290" s="10" t="str">
        <v>VHTS24-LAPANGAN-APRIL-PPL-PENDATAAN</v>
      </c>
      <c r="J290" s="10" t="str">
        <v>Dokumen</v>
      </c>
      <c r="K290" s="66">
        <v>55000</v>
      </c>
      <c r="L290" s="10">
        <v>2</v>
      </c>
      <c r="M290" s="10">
        <v>110000</v>
      </c>
      <c r="N290" s="10">
        <v>0</v>
      </c>
      <c r="O290" s="67">
        <v>45402</v>
      </c>
      <c r="P290" s="10">
        <v>2024</v>
      </c>
      <c r="Q290" s="10">
        <v>4</v>
      </c>
      <c r="R290" s="10" t="str">
        <v>SURVEI-PPL</v>
      </c>
      <c r="S290" s="10" t="str">
        <v>610422040056-2024-4</v>
      </c>
      <c r="T290" s="10" t="str">
        <v>610422040056-2024-4-SURVEI-PPL</v>
      </c>
      <c r="U290" s="10">
        <v>1</v>
      </c>
      <c r="V290" s="10" t="e">
        <f ca="1"/>
        <v>#NAME?</v>
      </c>
      <c r="W290" s="67">
        <v>0</v>
      </c>
      <c r="X290" s="11" t="str">
        <v>Survei Hotel dan Jasa Akomodasi Bulanan (VHTS) 2024 April</v>
      </c>
      <c r="Y290" s="11" t="str">
        <v>MEMPAWAH HILIR</v>
      </c>
      <c r="Z290" s="11" t="str">
        <v>TERUSAN</v>
      </c>
      <c r="AA290" s="67">
        <v>45382</v>
      </c>
      <c r="AB290" s="67">
        <v>45383</v>
      </c>
      <c r="AC290" s="67">
        <v>45412</v>
      </c>
      <c r="AD290" s="67">
        <v>45411</v>
      </c>
      <c r="AE290" s="67">
        <v>45412</v>
      </c>
    </row>
    <row r="291" spans="1:31" ht="12.5">
      <c r="A291" s="10">
        <v>610422040029</v>
      </c>
      <c r="B291" s="10" t="str">
        <v>SPAK24-LAPANGAN</v>
      </c>
      <c r="C291" s="10">
        <v>0</v>
      </c>
      <c r="D291" s="10">
        <f ca="1"/>
        <v>1</v>
      </c>
      <c r="E291" s="10" t="str">
        <v>Zaini</v>
      </c>
      <c r="F291" s="10" t="str">
        <v>PPL</v>
      </c>
      <c r="G291" s="10" t="str">
        <v>6102010607870002</v>
      </c>
      <c r="H291" s="10" t="str">
        <v>PENDATAAN</v>
      </c>
      <c r="I291" s="10" t="str">
        <v>SPAK24-LAPANGAN-PPL-PENDATAAN</v>
      </c>
      <c r="J291" s="10" t="str">
        <v>Dokumen</v>
      </c>
      <c r="K291" s="66">
        <v>55000</v>
      </c>
      <c r="L291" s="10">
        <v>20</v>
      </c>
      <c r="M291" s="10">
        <v>1100000</v>
      </c>
      <c r="N291" s="70">
        <v>0</v>
      </c>
      <c r="O291" s="67">
        <v>45404</v>
      </c>
      <c r="P291" s="10">
        <v>2024</v>
      </c>
      <c r="Q291" s="10">
        <v>4</v>
      </c>
      <c r="R291" s="10" t="str">
        <v>SURVEI-PPL</v>
      </c>
      <c r="S291" s="10" t="str">
        <v>610422040029-2024-4</v>
      </c>
      <c r="T291" s="10" t="str">
        <v>610422040029-2024-4-SURVEI-PPL</v>
      </c>
      <c r="U291" s="10">
        <v>1</v>
      </c>
      <c r="V291" s="10" t="e">
        <f ca="1"/>
        <v>#NAME?</v>
      </c>
      <c r="W291" s="67">
        <v>0</v>
      </c>
      <c r="X291" s="11" t="str">
        <v>(SPAK24) Survei Perilaku Anti Korupsi 2024</v>
      </c>
      <c r="Y291" s="11" t="str">
        <v>MEMPAWAH HILIR</v>
      </c>
      <c r="Z291" s="11" t="str">
        <v>TENGAH</v>
      </c>
      <c r="AA291" s="67">
        <v>45382</v>
      </c>
      <c r="AB291" s="67">
        <v>45383</v>
      </c>
      <c r="AC291" s="67">
        <v>45412</v>
      </c>
      <c r="AD291" s="67">
        <v>45411</v>
      </c>
      <c r="AE291" s="67">
        <v>45412</v>
      </c>
    </row>
    <row r="292" spans="1:31" ht="12.5">
      <c r="A292" s="10">
        <v>610422020016</v>
      </c>
      <c r="B292" s="10" t="str">
        <v>KSA24-LAPANGAN-APRIL</v>
      </c>
      <c r="C292" s="10">
        <v>0</v>
      </c>
      <c r="D292" s="10">
        <f ca="1"/>
        <v>1</v>
      </c>
      <c r="E292" s="10" t="str">
        <v>Abdul Aziz</v>
      </c>
      <c r="F292" s="10" t="str">
        <v>PPL</v>
      </c>
      <c r="G292" s="10" t="str">
        <v>6102061507950006</v>
      </c>
      <c r="H292" s="10" t="str">
        <v>KSA PADI</v>
      </c>
      <c r="I292" s="10" t="str">
        <v>KSA24-LAPANGAN-APRIL-PPL-KSA PADI</v>
      </c>
      <c r="J292" s="10" t="str">
        <v>Segmen</v>
      </c>
      <c r="K292" s="66">
        <v>116000</v>
      </c>
      <c r="L292" s="10">
        <v>3</v>
      </c>
      <c r="M292" s="10">
        <v>348000</v>
      </c>
      <c r="N292" s="10">
        <v>0</v>
      </c>
      <c r="O292" s="67">
        <v>45412</v>
      </c>
      <c r="P292" s="10">
        <v>2024</v>
      </c>
      <c r="Q292" s="10">
        <v>4</v>
      </c>
      <c r="R292" s="10" t="str">
        <v>SURVEI-PPL</v>
      </c>
      <c r="S292" s="10" t="str">
        <v>610422020016-2024-4</v>
      </c>
      <c r="T292" s="10" t="str">
        <v>610422020016-2024-4-SURVEI-PPL</v>
      </c>
      <c r="U292" s="10">
        <v>1</v>
      </c>
      <c r="V292" s="10" t="e">
        <f ca="1"/>
        <v>#NAME?</v>
      </c>
      <c r="W292" s="67">
        <v>45419</v>
      </c>
      <c r="X292" s="11" t="str">
        <v>Kerangka Sampel Area (KSA) 2024 April</v>
      </c>
      <c r="Y292" s="11" t="str">
        <v>TOHO</v>
      </c>
      <c r="Z292" s="11" t="str">
        <v>SAMBORA</v>
      </c>
      <c r="AA292" s="67">
        <v>45382</v>
      </c>
      <c r="AB292" s="67">
        <v>45383</v>
      </c>
      <c r="AC292" s="67">
        <v>45412</v>
      </c>
      <c r="AD292" s="67">
        <v>45411</v>
      </c>
      <c r="AE292" s="67">
        <v>45412</v>
      </c>
    </row>
    <row r="293" spans="1:31" ht="12.5">
      <c r="A293" s="10">
        <v>610422040012</v>
      </c>
      <c r="B293" s="10" t="str">
        <v>KSA24-LAPANGAN-APRIL</v>
      </c>
      <c r="C293" s="10">
        <v>0</v>
      </c>
      <c r="D293" s="10">
        <f ca="1"/>
        <v>1</v>
      </c>
      <c r="E293" s="10" t="str">
        <v>Misdi</v>
      </c>
      <c r="F293" s="10" t="str">
        <v>PPL</v>
      </c>
      <c r="G293" s="10" t="str">
        <v>6102070706940001</v>
      </c>
      <c r="H293" s="10" t="str">
        <v>KSA PADI</v>
      </c>
      <c r="I293" s="10" t="str">
        <v>KSA24-LAPANGAN-APRIL-PPL-KSA PADI</v>
      </c>
      <c r="J293" s="10" t="str">
        <v>Segmen</v>
      </c>
      <c r="K293" s="66">
        <v>116000</v>
      </c>
      <c r="L293" s="10">
        <v>3</v>
      </c>
      <c r="M293" s="10">
        <v>348000</v>
      </c>
      <c r="N293" s="10">
        <v>0</v>
      </c>
      <c r="O293" s="67">
        <v>45412</v>
      </c>
      <c r="P293" s="10">
        <v>2024</v>
      </c>
      <c r="Q293" s="10">
        <v>4</v>
      </c>
      <c r="R293" s="10" t="str">
        <v>SURVEI-PPL</v>
      </c>
      <c r="S293" s="10" t="str">
        <v>610422040012-2024-4</v>
      </c>
      <c r="T293" s="10" t="str">
        <v>610422040012-2024-4-SURVEI-PPL</v>
      </c>
      <c r="U293" s="10">
        <v>1</v>
      </c>
      <c r="V293" s="10" t="e">
        <f ca="1"/>
        <v>#NAME?</v>
      </c>
      <c r="W293" s="67">
        <v>45419</v>
      </c>
      <c r="X293" s="11" t="str">
        <v>Kerangka Sampel Area (KSA) 2024 April</v>
      </c>
      <c r="Y293" s="11" t="str">
        <v>SUNGAI PINYUH</v>
      </c>
      <c r="Z293" s="11" t="str">
        <v>SUNGAI BAKAU BESAR DARAT</v>
      </c>
      <c r="AA293" s="67">
        <v>45382</v>
      </c>
      <c r="AB293" s="67">
        <v>45383</v>
      </c>
      <c r="AC293" s="67">
        <v>45412</v>
      </c>
      <c r="AD293" s="67">
        <v>45411</v>
      </c>
      <c r="AE293" s="67">
        <v>45412</v>
      </c>
    </row>
    <row r="294" spans="1:31" ht="12.5">
      <c r="A294" s="10">
        <v>610422040059</v>
      </c>
      <c r="B294" s="10" t="str">
        <v>KSA24-LAPANGAN-APRIL</v>
      </c>
      <c r="C294" s="10">
        <v>0</v>
      </c>
      <c r="D294" s="10">
        <f ca="1"/>
        <v>1</v>
      </c>
      <c r="E294" s="10" t="str">
        <v>Abang Handri</v>
      </c>
      <c r="F294" s="10" t="str">
        <v>PPL</v>
      </c>
      <c r="G294" s="10" t="str">
        <v>6102072211780002</v>
      </c>
      <c r="H294" s="10" t="str">
        <v>KSA PADI</v>
      </c>
      <c r="I294" s="10" t="str">
        <v>KSA24-LAPANGAN-APRIL-PPL-KSA PADI</v>
      </c>
      <c r="J294" s="10" t="str">
        <v>Segmen</v>
      </c>
      <c r="K294" s="66">
        <v>116000</v>
      </c>
      <c r="L294" s="10">
        <v>4</v>
      </c>
      <c r="M294" s="10">
        <v>464000</v>
      </c>
      <c r="N294" s="10">
        <v>0</v>
      </c>
      <c r="O294" s="67">
        <v>45412</v>
      </c>
      <c r="P294" s="10">
        <v>2024</v>
      </c>
      <c r="Q294" s="10">
        <v>4</v>
      </c>
      <c r="R294" s="10" t="str">
        <v>SURVEI-PPL</v>
      </c>
      <c r="S294" s="10" t="str">
        <v>610422040059-2024-4</v>
      </c>
      <c r="T294" s="10" t="str">
        <v>610422040059-2024-4-SURVEI-PPL</v>
      </c>
      <c r="U294" s="10">
        <v>1</v>
      </c>
      <c r="V294" s="10" t="e">
        <f ca="1"/>
        <v>#NAME?</v>
      </c>
      <c r="W294" s="67">
        <v>45419</v>
      </c>
      <c r="X294" s="11" t="str">
        <v>Kerangka Sampel Area (KSA) 2024 April</v>
      </c>
      <c r="Y294" s="11" t="str">
        <v>MEMPAWAH HILIR</v>
      </c>
      <c r="Z294" s="11" t="str">
        <v>TERUSAN</v>
      </c>
      <c r="AA294" s="67">
        <v>45382</v>
      </c>
      <c r="AB294" s="67">
        <v>45383</v>
      </c>
      <c r="AC294" s="67">
        <v>45412</v>
      </c>
      <c r="AD294" s="67">
        <v>45411</v>
      </c>
      <c r="AE294" s="67">
        <v>45412</v>
      </c>
    </row>
    <row r="295" spans="1:31" ht="12.5">
      <c r="A295" s="10">
        <v>610422040061</v>
      </c>
      <c r="B295" s="10" t="str">
        <v>KSA24-LAPANGAN-APRIL</v>
      </c>
      <c r="C295" s="10">
        <v>0</v>
      </c>
      <c r="D295" s="10">
        <f ca="1"/>
        <v>1</v>
      </c>
      <c r="E295" s="10" t="str">
        <v>Sabani</v>
      </c>
      <c r="F295" s="10" t="str">
        <v>PPL</v>
      </c>
      <c r="G295" s="10" t="str">
        <v>6102153112860003</v>
      </c>
      <c r="H295" s="10" t="str">
        <v>KSA PADI</v>
      </c>
      <c r="I295" s="10" t="str">
        <v>KSA24-LAPANGAN-APRIL-PPL-KSA PADI</v>
      </c>
      <c r="J295" s="10" t="str">
        <v>Segmen</v>
      </c>
      <c r="K295" s="66">
        <v>116000</v>
      </c>
      <c r="L295" s="10">
        <v>3</v>
      </c>
      <c r="M295" s="10">
        <v>348000</v>
      </c>
      <c r="N295" s="10">
        <v>0</v>
      </c>
      <c r="O295" s="67">
        <v>45412</v>
      </c>
      <c r="P295" s="10">
        <v>2024</v>
      </c>
      <c r="Q295" s="10">
        <v>4</v>
      </c>
      <c r="R295" s="10" t="str">
        <v>SURVEI-PPL</v>
      </c>
      <c r="S295" s="10" t="str">
        <v>610422040061-2024-4</v>
      </c>
      <c r="T295" s="10" t="str">
        <v>610422040061-2024-4-SURVEI-PPL</v>
      </c>
      <c r="U295" s="10">
        <v>1</v>
      </c>
      <c r="V295" s="10" t="e">
        <f ca="1"/>
        <v>#NAME?</v>
      </c>
      <c r="W295" s="67">
        <v>45419</v>
      </c>
      <c r="X295" s="11" t="str">
        <v>Kerangka Sampel Area (KSA) 2024 April</v>
      </c>
      <c r="Y295" s="11" t="str">
        <v>SEGEDONG</v>
      </c>
      <c r="Z295" s="11" t="str">
        <v>PENITI BESAR</v>
      </c>
      <c r="AA295" s="67">
        <v>45382</v>
      </c>
      <c r="AB295" s="67">
        <v>45383</v>
      </c>
      <c r="AC295" s="67">
        <v>45412</v>
      </c>
      <c r="AD295" s="67">
        <v>45411</v>
      </c>
      <c r="AE295" s="67">
        <v>45412</v>
      </c>
    </row>
    <row r="296" spans="1:31" ht="12.5">
      <c r="A296" s="10">
        <v>610422100131</v>
      </c>
      <c r="B296" s="10" t="str">
        <v>KSA24-LAPANGAN-APRIL</v>
      </c>
      <c r="C296" s="10">
        <v>0</v>
      </c>
      <c r="D296" s="10">
        <f ca="1"/>
        <v>1</v>
      </c>
      <c r="E296" s="10" t="str">
        <v>Syamsul</v>
      </c>
      <c r="F296" s="10" t="str">
        <v>PPL</v>
      </c>
      <c r="G296" s="10" t="str">
        <v>6102150907860003</v>
      </c>
      <c r="H296" s="10" t="str">
        <v>KSA PADI</v>
      </c>
      <c r="I296" s="10" t="str">
        <v>KSA24-LAPANGAN-APRIL-PPL-KSA PADI</v>
      </c>
      <c r="J296" s="10" t="str">
        <v>Segmen</v>
      </c>
      <c r="K296" s="66">
        <v>116000</v>
      </c>
      <c r="L296" s="10">
        <v>3</v>
      </c>
      <c r="M296" s="10">
        <v>348000</v>
      </c>
      <c r="N296" s="10">
        <v>0</v>
      </c>
      <c r="O296" s="67">
        <v>45412</v>
      </c>
      <c r="P296" s="10">
        <v>2024</v>
      </c>
      <c r="Q296" s="10">
        <v>4</v>
      </c>
      <c r="R296" s="10" t="str">
        <v>SURVEI-PPL</v>
      </c>
      <c r="S296" s="10" t="str">
        <v>610422100131-2024-4</v>
      </c>
      <c r="T296" s="10" t="str">
        <v>610422100131-2024-4-SURVEI-PPL</v>
      </c>
      <c r="U296" s="10">
        <v>1</v>
      </c>
      <c r="V296" s="10" t="e">
        <f ca="1"/>
        <v>#NAME?</v>
      </c>
      <c r="W296" s="67">
        <v>45419</v>
      </c>
      <c r="X296" s="11" t="str">
        <v>Kerangka Sampel Area (KSA) 2024 April</v>
      </c>
      <c r="Y296" s="11" t="str">
        <v>SUNGAI KUNYIT</v>
      </c>
      <c r="Z296" s="11" t="str">
        <v>SUNGAI KUNYIT LAUT</v>
      </c>
      <c r="AA296" s="67">
        <v>45382</v>
      </c>
      <c r="AB296" s="67">
        <v>45383</v>
      </c>
      <c r="AC296" s="67">
        <v>45412</v>
      </c>
      <c r="AD296" s="67">
        <v>45411</v>
      </c>
      <c r="AE296" s="67">
        <v>45412</v>
      </c>
    </row>
    <row r="297" spans="1:31" ht="12.5">
      <c r="A297" s="10">
        <v>610422100244</v>
      </c>
      <c r="B297" s="10" t="str">
        <v>KSA24-LAPANGAN-APRIL</v>
      </c>
      <c r="C297" s="10">
        <v>0</v>
      </c>
      <c r="D297" s="10">
        <f ca="1"/>
        <v>1</v>
      </c>
      <c r="E297" s="10" t="str">
        <v>Sugianto</v>
      </c>
      <c r="F297" s="10" t="str">
        <v>PPL</v>
      </c>
      <c r="G297" s="10" t="str">
        <v>6102171003900002</v>
      </c>
      <c r="H297" s="10" t="str">
        <v>KSA PADI</v>
      </c>
      <c r="I297" s="10" t="str">
        <v>KSA24-LAPANGAN-APRIL-PPL-KSA PADI</v>
      </c>
      <c r="J297" s="10" t="str">
        <v>Segmen</v>
      </c>
      <c r="K297" s="66">
        <v>116000</v>
      </c>
      <c r="L297" s="10">
        <v>3</v>
      </c>
      <c r="M297" s="10">
        <v>348000</v>
      </c>
      <c r="N297" s="10">
        <v>0</v>
      </c>
      <c r="O297" s="67">
        <v>45412</v>
      </c>
      <c r="P297" s="10">
        <v>2024</v>
      </c>
      <c r="Q297" s="10">
        <v>4</v>
      </c>
      <c r="R297" s="10" t="str">
        <v>SURVEI-PPL</v>
      </c>
      <c r="S297" s="10" t="str">
        <v>610422100244-2024-4</v>
      </c>
      <c r="T297" s="10" t="str">
        <v>610422100244-2024-4-SURVEI-PPL</v>
      </c>
      <c r="U297" s="10">
        <v>1</v>
      </c>
      <c r="V297" s="10" t="e">
        <f ca="1"/>
        <v>#NAME?</v>
      </c>
      <c r="W297" s="67">
        <v>45419</v>
      </c>
      <c r="X297" s="11" t="str">
        <v>Kerangka Sampel Area (KSA) 2024 April</v>
      </c>
      <c r="Y297" s="11" t="str">
        <v>SADANIANG</v>
      </c>
      <c r="Z297" s="11" t="str">
        <v>BUMBUN</v>
      </c>
      <c r="AA297" s="67">
        <v>45382</v>
      </c>
      <c r="AB297" s="67">
        <v>45383</v>
      </c>
      <c r="AC297" s="67">
        <v>45412</v>
      </c>
      <c r="AD297" s="67">
        <v>45411</v>
      </c>
      <c r="AE297" s="67">
        <v>45412</v>
      </c>
    </row>
    <row r="298" spans="1:31" ht="12.5">
      <c r="A298" s="10">
        <v>610422100176</v>
      </c>
      <c r="B298" s="10" t="str">
        <v>KSA24-LAPANGAN-APRIL</v>
      </c>
      <c r="C298" s="10">
        <v>0</v>
      </c>
      <c r="D298" s="10">
        <f ca="1"/>
        <v>1</v>
      </c>
      <c r="E298" s="10" t="str">
        <v>Feri Firdaus</v>
      </c>
      <c r="F298" s="10" t="str">
        <v>PPL</v>
      </c>
      <c r="G298" s="10" t="str">
        <v>6102150412880001</v>
      </c>
      <c r="H298" s="10" t="str">
        <v>KSA PADI</v>
      </c>
      <c r="I298" s="10" t="str">
        <v>KSA24-LAPANGAN-APRIL-PPL-KSA PADI</v>
      </c>
      <c r="J298" s="10" t="str">
        <v>Segmen</v>
      </c>
      <c r="K298" s="66">
        <v>116000</v>
      </c>
      <c r="L298" s="10">
        <v>3</v>
      </c>
      <c r="M298" s="10">
        <v>348000</v>
      </c>
      <c r="N298" s="10">
        <v>0</v>
      </c>
      <c r="O298" s="67">
        <v>45412</v>
      </c>
      <c r="P298" s="10">
        <v>2024</v>
      </c>
      <c r="Q298" s="10">
        <v>4</v>
      </c>
      <c r="R298" s="10" t="str">
        <v>SURVEI-PPL</v>
      </c>
      <c r="S298" s="10" t="str">
        <v>610422100176-2024-4</v>
      </c>
      <c r="T298" s="10" t="str">
        <v>610422100176-2024-4-SURVEI-PPL</v>
      </c>
      <c r="U298" s="10">
        <v>1</v>
      </c>
      <c r="V298" s="10" t="e">
        <f ca="1"/>
        <v>#NAME?</v>
      </c>
      <c r="W298" s="67">
        <v>45419</v>
      </c>
      <c r="X298" s="11" t="str">
        <v>Kerangka Sampel Area (KSA) 2024 April</v>
      </c>
      <c r="Y298" s="11" t="str">
        <v>SEGEDONG</v>
      </c>
      <c r="Z298" s="11" t="str">
        <v>SUNGAI BURUNG</v>
      </c>
      <c r="AA298" s="67">
        <v>45382</v>
      </c>
      <c r="AB298" s="67">
        <v>45383</v>
      </c>
      <c r="AC298" s="67">
        <v>45412</v>
      </c>
      <c r="AD298" s="67">
        <v>45411</v>
      </c>
      <c r="AE298" s="67">
        <v>45412</v>
      </c>
    </row>
    <row r="299" spans="1:31" ht="12.5">
      <c r="A299" s="10">
        <v>610423110183</v>
      </c>
      <c r="B299" s="10" t="str">
        <v>KSA24-LAPANGAN-APRIL</v>
      </c>
      <c r="C299" s="10">
        <v>0</v>
      </c>
      <c r="D299" s="10">
        <f ca="1"/>
        <v>1</v>
      </c>
      <c r="E299" s="10" t="str">
        <v>Azhar</v>
      </c>
      <c r="F299" s="10" t="str">
        <v>PPL</v>
      </c>
      <c r="G299" s="10" t="str">
        <v>6102081211790004</v>
      </c>
      <c r="H299" s="10" t="str">
        <v>KSA PADI</v>
      </c>
      <c r="I299" s="10" t="str">
        <v>KSA24-LAPANGAN-APRIL-PPL-KSA PADI</v>
      </c>
      <c r="J299" s="10" t="str">
        <v>Segmen</v>
      </c>
      <c r="K299" s="66">
        <v>116000</v>
      </c>
      <c r="L299" s="10">
        <v>6</v>
      </c>
      <c r="M299" s="10">
        <v>696000</v>
      </c>
      <c r="N299" s="10">
        <v>0</v>
      </c>
      <c r="O299" s="67">
        <v>45412</v>
      </c>
      <c r="P299" s="10">
        <v>2024</v>
      </c>
      <c r="Q299" s="10">
        <v>4</v>
      </c>
      <c r="R299" s="10" t="str">
        <v>SURVEI-PPL</v>
      </c>
      <c r="S299" s="10" t="str">
        <v>610423110183-2024-4</v>
      </c>
      <c r="T299" s="10" t="str">
        <v>610423110183-2024-4-SURVEI-PPL</v>
      </c>
      <c r="U299" s="10">
        <v>1</v>
      </c>
      <c r="V299" s="10" t="e">
        <f ca="1"/>
        <v>#NAME?</v>
      </c>
      <c r="W299" s="67">
        <v>45419</v>
      </c>
      <c r="X299" s="11" t="str">
        <v>Kerangka Sampel Area (KSA) 2024 April</v>
      </c>
      <c r="Y299" s="11" t="str">
        <v>JONGKAT</v>
      </c>
      <c r="Z299" s="11" t="str">
        <v>SUNGAI NIPAH</v>
      </c>
      <c r="AA299" s="67">
        <v>45382</v>
      </c>
      <c r="AB299" s="67">
        <v>45383</v>
      </c>
      <c r="AC299" s="67">
        <v>45412</v>
      </c>
      <c r="AD299" s="67">
        <v>45411</v>
      </c>
      <c r="AE299" s="67">
        <v>45412</v>
      </c>
    </row>
    <row r="300" spans="1:31" ht="12.5">
      <c r="A300" s="10">
        <v>610423040018</v>
      </c>
      <c r="B300" s="10" t="str">
        <v>KSA24-LAPANGAN-APRIL</v>
      </c>
      <c r="C300" s="10">
        <v>0</v>
      </c>
      <c r="D300" s="10">
        <f ca="1"/>
        <v>1</v>
      </c>
      <c r="E300" s="10" t="str">
        <v>Handoko Tuah Sabarman Sipayung</v>
      </c>
      <c r="F300" s="10" t="str">
        <v>PPL</v>
      </c>
      <c r="G300" s="10" t="str">
        <v>1212092309880001</v>
      </c>
      <c r="H300" s="10" t="str">
        <v>KSA PADI</v>
      </c>
      <c r="I300" s="10" t="str">
        <v>KSA24-LAPANGAN-APRIL-PPL-KSA PADI</v>
      </c>
      <c r="J300" s="10" t="str">
        <v>Segmen</v>
      </c>
      <c r="K300" s="66">
        <v>116000</v>
      </c>
      <c r="L300" s="10">
        <v>4</v>
      </c>
      <c r="M300" s="10">
        <v>464000</v>
      </c>
      <c r="N300" s="10">
        <v>0</v>
      </c>
      <c r="O300" s="67">
        <v>45412</v>
      </c>
      <c r="P300" s="10">
        <v>2024</v>
      </c>
      <c r="Q300" s="10">
        <v>4</v>
      </c>
      <c r="R300" s="10" t="str">
        <v>SURVEI-PPL</v>
      </c>
      <c r="S300" s="10" t="str">
        <v>610423040018-2024-4</v>
      </c>
      <c r="T300" s="10" t="str">
        <v>610423040018-2024-4-SURVEI-PPL</v>
      </c>
      <c r="U300" s="10">
        <v>1</v>
      </c>
      <c r="V300" s="10" t="e">
        <f ca="1"/>
        <v>#NAME?</v>
      </c>
      <c r="W300" s="67">
        <v>45419</v>
      </c>
      <c r="X300" s="11" t="str">
        <v>Kerangka Sampel Area (KSA) 2024 April</v>
      </c>
      <c r="Y300" s="11" t="str">
        <v>TOHO</v>
      </c>
      <c r="Z300" s="11" t="str">
        <v>PAK LAHENG</v>
      </c>
      <c r="AA300" s="67">
        <v>45382</v>
      </c>
      <c r="AB300" s="67">
        <v>45383</v>
      </c>
      <c r="AC300" s="67">
        <v>45412</v>
      </c>
      <c r="AD300" s="67">
        <v>45411</v>
      </c>
      <c r="AE300" s="67">
        <v>45412</v>
      </c>
    </row>
    <row r="301" spans="1:31" ht="12.5">
      <c r="A301" s="10">
        <v>610422040059</v>
      </c>
      <c r="B301" s="10" t="str">
        <v>KSA24-LAPANGAN-APRIL</v>
      </c>
      <c r="C301" s="10">
        <v>0</v>
      </c>
      <c r="D301" s="10">
        <f ca="1"/>
        <v>1</v>
      </c>
      <c r="E301" s="10" t="str">
        <v>Abang Handri</v>
      </c>
      <c r="F301" s="10" t="str">
        <v>PPL</v>
      </c>
      <c r="G301" s="10" t="str">
        <v>6102072211780002</v>
      </c>
      <c r="H301" s="10" t="str">
        <v>KSA JAGUNG</v>
      </c>
      <c r="I301" s="10" t="str">
        <v>KSA24-LAPANGAN-APRIL-PPL-KSA JAGUNG</v>
      </c>
      <c r="J301" s="10" t="str">
        <v>Segmen</v>
      </c>
      <c r="K301" s="66">
        <v>59000</v>
      </c>
      <c r="L301" s="10">
        <v>6</v>
      </c>
      <c r="M301" s="10">
        <v>354000</v>
      </c>
      <c r="N301" s="10">
        <v>0</v>
      </c>
      <c r="O301" s="67">
        <v>45412</v>
      </c>
      <c r="P301" s="10">
        <v>2024</v>
      </c>
      <c r="Q301" s="10">
        <v>4</v>
      </c>
      <c r="R301" s="10" t="str">
        <v>SURVEI-PPL</v>
      </c>
      <c r="S301" s="10" t="str">
        <v>610422040059-2024-4</v>
      </c>
      <c r="T301" s="10" t="str">
        <v>610422040059-2024-4-SURVEI-PPL</v>
      </c>
      <c r="U301" s="10">
        <v>1</v>
      </c>
      <c r="V301" s="10" t="e">
        <f ca="1"/>
        <v>#NAME?</v>
      </c>
      <c r="W301" s="67">
        <v>45419</v>
      </c>
      <c r="X301" s="11" t="str">
        <v>Kerangka Sampel Area (KSA) 2024 April</v>
      </c>
      <c r="Y301" s="11" t="str">
        <v>MEMPAWAH HILIR</v>
      </c>
      <c r="Z301" s="11" t="str">
        <v>TERUSAN</v>
      </c>
      <c r="AA301" s="67">
        <v>45382</v>
      </c>
      <c r="AB301" s="67">
        <v>45383</v>
      </c>
      <c r="AC301" s="67">
        <v>45412</v>
      </c>
      <c r="AD301" s="67">
        <v>45411</v>
      </c>
      <c r="AE301" s="67">
        <v>45412</v>
      </c>
    </row>
    <row r="302" spans="1:31" ht="12.5">
      <c r="A302" s="10">
        <v>610422020048</v>
      </c>
      <c r="B302" s="10" t="str">
        <v>KSA24-LAPANGAN-APRIL</v>
      </c>
      <c r="C302" s="10">
        <v>0</v>
      </c>
      <c r="D302" s="10">
        <f ca="1"/>
        <v>1</v>
      </c>
      <c r="E302" s="10" t="str">
        <v>Herri Gustaman</v>
      </c>
      <c r="F302" s="10" t="str">
        <v>PPL</v>
      </c>
      <c r="G302" s="10" t="str">
        <v>6102072503800001</v>
      </c>
      <c r="H302" s="10" t="str">
        <v>KSA JAGUNG</v>
      </c>
      <c r="I302" s="10" t="str">
        <v>KSA24-LAPANGAN-APRIL-PPL-KSA JAGUNG</v>
      </c>
      <c r="J302" s="10" t="str">
        <v>Segmen</v>
      </c>
      <c r="K302" s="66">
        <v>59000</v>
      </c>
      <c r="L302" s="10">
        <v>6</v>
      </c>
      <c r="M302" s="10">
        <v>354000</v>
      </c>
      <c r="N302" s="10">
        <v>0</v>
      </c>
      <c r="O302" s="67">
        <v>45412</v>
      </c>
      <c r="P302" s="10">
        <v>2024</v>
      </c>
      <c r="Q302" s="10">
        <v>4</v>
      </c>
      <c r="R302" s="10" t="str">
        <v>SURVEI-PPL</v>
      </c>
      <c r="S302" s="10" t="str">
        <v>610422020048-2024-4</v>
      </c>
      <c r="T302" s="10" t="str">
        <v>610422020048-2024-4-SURVEI-PPL</v>
      </c>
      <c r="U302" s="10">
        <v>1</v>
      </c>
      <c r="V302" s="10" t="e">
        <f ca="1"/>
        <v>#NAME?</v>
      </c>
      <c r="W302" s="67">
        <v>45419</v>
      </c>
      <c r="X302" s="11" t="str">
        <v>Kerangka Sampel Area (KSA) 2024 April</v>
      </c>
      <c r="Y302" s="11" t="str">
        <v>MEMPAWAH TIMUR</v>
      </c>
      <c r="Z302" s="11" t="str">
        <v>SEJEGI</v>
      </c>
      <c r="AA302" s="67">
        <v>45382</v>
      </c>
      <c r="AB302" s="67">
        <v>45383</v>
      </c>
      <c r="AC302" s="67">
        <v>45412</v>
      </c>
      <c r="AD302" s="67">
        <v>45411</v>
      </c>
      <c r="AE302" s="67">
        <v>45412</v>
      </c>
    </row>
    <row r="303" spans="1:31" ht="12.5">
      <c r="A303" s="10">
        <v>610422040058</v>
      </c>
      <c r="B303" s="10" t="str">
        <v>KSA24-LAPANGAN-APRIL</v>
      </c>
      <c r="C303" s="10">
        <v>0</v>
      </c>
      <c r="D303" s="10">
        <f ca="1"/>
        <v>1</v>
      </c>
      <c r="E303" s="10" t="str">
        <v>Jamaluddin, Sp</v>
      </c>
      <c r="F303" s="10" t="str">
        <v>PPL</v>
      </c>
      <c r="G303" s="10" t="str">
        <v>6102152607940002</v>
      </c>
      <c r="H303" s="10" t="str">
        <v>KSA JAGUNG</v>
      </c>
      <c r="I303" s="10" t="str">
        <v>KSA24-LAPANGAN-APRIL-PPL-KSA JAGUNG</v>
      </c>
      <c r="J303" s="10" t="str">
        <v>Segmen</v>
      </c>
      <c r="K303" s="66">
        <v>59000</v>
      </c>
      <c r="L303" s="10">
        <v>10</v>
      </c>
      <c r="M303" s="10">
        <v>590000</v>
      </c>
      <c r="N303" s="10">
        <v>0</v>
      </c>
      <c r="O303" s="67">
        <v>45412</v>
      </c>
      <c r="P303" s="10">
        <v>2024</v>
      </c>
      <c r="Q303" s="10">
        <v>4</v>
      </c>
      <c r="R303" s="10" t="str">
        <v>SURVEI-PPL</v>
      </c>
      <c r="S303" s="10" t="str">
        <v>610422040058-2024-4</v>
      </c>
      <c r="T303" s="10" t="str">
        <v>610422040058-2024-4-SURVEI-PPL</v>
      </c>
      <c r="U303" s="10">
        <v>1</v>
      </c>
      <c r="V303" s="10" t="e">
        <f ca="1"/>
        <v>#NAME?</v>
      </c>
      <c r="W303" s="67">
        <v>45419</v>
      </c>
      <c r="X303" s="11" t="str">
        <v>Kerangka Sampel Area (KSA) 2024 April</v>
      </c>
      <c r="Y303" s="11" t="str">
        <v>SEGEDONG</v>
      </c>
      <c r="Z303" s="11" t="str">
        <v>PENITI DALAM I</v>
      </c>
      <c r="AA303" s="67">
        <v>45382</v>
      </c>
      <c r="AB303" s="67">
        <v>45383</v>
      </c>
      <c r="AC303" s="67">
        <v>45412</v>
      </c>
      <c r="AD303" s="67">
        <v>45411</v>
      </c>
      <c r="AE303" s="67">
        <v>45412</v>
      </c>
    </row>
    <row r="304" spans="1:31" ht="12.5">
      <c r="A304" s="10">
        <v>610423110183</v>
      </c>
      <c r="B304" s="10" t="str">
        <v>KSA24-LAPANGAN-APRIL</v>
      </c>
      <c r="C304" s="10">
        <v>0</v>
      </c>
      <c r="D304" s="10">
        <f ca="1"/>
        <v>1</v>
      </c>
      <c r="E304" s="10" t="str">
        <v>Azhar</v>
      </c>
      <c r="F304" s="10" t="str">
        <v>PPL</v>
      </c>
      <c r="G304" s="10" t="str">
        <v>6102081211790004</v>
      </c>
      <c r="H304" s="10" t="str">
        <v>KSA JAGUNG</v>
      </c>
      <c r="I304" s="10" t="str">
        <v>KSA24-LAPANGAN-APRIL-PPL-KSA JAGUNG</v>
      </c>
      <c r="J304" s="10" t="str">
        <v>Segmen</v>
      </c>
      <c r="K304" s="66">
        <v>59000</v>
      </c>
      <c r="L304" s="10">
        <v>6</v>
      </c>
      <c r="M304" s="10">
        <v>354000</v>
      </c>
      <c r="N304" s="10">
        <v>0</v>
      </c>
      <c r="O304" s="67">
        <v>45412</v>
      </c>
      <c r="P304" s="10">
        <v>2024</v>
      </c>
      <c r="Q304" s="10">
        <v>4</v>
      </c>
      <c r="R304" s="10" t="str">
        <v>SURVEI-PPL</v>
      </c>
      <c r="S304" s="10" t="str">
        <v>610423110183-2024-4</v>
      </c>
      <c r="T304" s="10" t="str">
        <v>610423110183-2024-4-SURVEI-PPL</v>
      </c>
      <c r="U304" s="10">
        <v>1</v>
      </c>
      <c r="V304" s="10" t="e">
        <f ca="1"/>
        <v>#NAME?</v>
      </c>
      <c r="W304" s="67">
        <v>45419</v>
      </c>
      <c r="X304" s="11" t="str">
        <v>Kerangka Sampel Area (KSA) 2024 April</v>
      </c>
      <c r="Y304" s="11" t="str">
        <v>JONGKAT</v>
      </c>
      <c r="Z304" s="11" t="str">
        <v>SUNGAI NIPAH</v>
      </c>
      <c r="AA304" s="67">
        <v>45382</v>
      </c>
      <c r="AB304" s="67">
        <v>45383</v>
      </c>
      <c r="AC304" s="67">
        <v>45412</v>
      </c>
      <c r="AD304" s="67">
        <v>45411</v>
      </c>
      <c r="AE304" s="67">
        <v>45412</v>
      </c>
    </row>
    <row r="305" spans="1:31" ht="12.5">
      <c r="A305" s="10">
        <v>610422100244</v>
      </c>
      <c r="B305" s="10" t="str">
        <v>KSA24-LAPANGAN-APRIL</v>
      </c>
      <c r="C305" s="10">
        <v>0</v>
      </c>
      <c r="D305" s="10">
        <f ca="1"/>
        <v>1</v>
      </c>
      <c r="E305" s="10" t="str">
        <v>Sugianto</v>
      </c>
      <c r="F305" s="10" t="str">
        <v>PPL</v>
      </c>
      <c r="G305" s="10" t="str">
        <v>6102171003900002</v>
      </c>
      <c r="H305" s="10" t="str">
        <v>KSA JAGUNG</v>
      </c>
      <c r="I305" s="10" t="str">
        <v>KSA24-LAPANGAN-APRIL-PPL-KSA JAGUNG</v>
      </c>
      <c r="J305" s="10" t="str">
        <v>Segmen</v>
      </c>
      <c r="K305" s="66">
        <v>59000</v>
      </c>
      <c r="L305" s="10">
        <v>8</v>
      </c>
      <c r="M305" s="10">
        <v>472000</v>
      </c>
      <c r="N305" s="10">
        <v>0</v>
      </c>
      <c r="O305" s="67">
        <v>45412</v>
      </c>
      <c r="P305" s="10">
        <v>2024</v>
      </c>
      <c r="Q305" s="10">
        <v>4</v>
      </c>
      <c r="R305" s="10" t="str">
        <v>SURVEI-PPL</v>
      </c>
      <c r="S305" s="10" t="str">
        <v>610422100244-2024-4</v>
      </c>
      <c r="T305" s="10" t="str">
        <v>610422100244-2024-4-SURVEI-PPL</v>
      </c>
      <c r="U305" s="10">
        <v>1</v>
      </c>
      <c r="V305" s="10" t="e">
        <f ca="1"/>
        <v>#NAME?</v>
      </c>
      <c r="W305" s="67">
        <v>45419</v>
      </c>
      <c r="X305" s="11" t="str">
        <v>Kerangka Sampel Area (KSA) 2024 April</v>
      </c>
      <c r="Y305" s="11" t="str">
        <v>SADANIANG</v>
      </c>
      <c r="Z305" s="11" t="str">
        <v>BUMBUN</v>
      </c>
      <c r="AA305" s="67">
        <v>45382</v>
      </c>
      <c r="AB305" s="67">
        <v>45383</v>
      </c>
      <c r="AC305" s="67">
        <v>45412</v>
      </c>
      <c r="AD305" s="67">
        <v>45411</v>
      </c>
      <c r="AE305" s="67">
        <v>45412</v>
      </c>
    </row>
    <row r="306" spans="1:31" ht="12.5">
      <c r="A306" s="10">
        <v>610422040056</v>
      </c>
      <c r="B306" s="10" t="str">
        <v>SKLNPT24-LAPANGAN-TRI1</v>
      </c>
      <c r="C306" s="10">
        <v>0</v>
      </c>
      <c r="D306" s="10">
        <f ca="1"/>
        <v>1</v>
      </c>
      <c r="E306" s="10" t="str">
        <v>Wandi Syafari</v>
      </c>
      <c r="F306" s="10" t="str">
        <v>PPL</v>
      </c>
      <c r="G306" s="10" t="str">
        <v>6102010802760001</v>
      </c>
      <c r="H306" s="10" t="str">
        <v>PENDATAAN</v>
      </c>
      <c r="I306" s="10" t="str">
        <v>SKLNPT24-LAPANGAN-TRI1-PPL-PENDATAAN</v>
      </c>
      <c r="J306" s="10" t="str">
        <v>Dokumen</v>
      </c>
      <c r="K306" s="66">
        <v>65000</v>
      </c>
      <c r="L306" s="10">
        <v>10</v>
      </c>
      <c r="M306" s="10">
        <v>650000</v>
      </c>
      <c r="N306" s="10">
        <v>0</v>
      </c>
      <c r="O306" s="67">
        <v>45412</v>
      </c>
      <c r="P306" s="10">
        <v>2024</v>
      </c>
      <c r="Q306" s="10">
        <v>4</v>
      </c>
      <c r="R306" s="10" t="str">
        <v>SURVEI-PPL</v>
      </c>
      <c r="S306" s="10" t="str">
        <v>610422040056-2024-4</v>
      </c>
      <c r="T306" s="10" t="str">
        <v>610422040056-2024-4-SURVEI-PPL</v>
      </c>
      <c r="U306" s="10">
        <v>1</v>
      </c>
      <c r="V306" s="10" t="e">
        <f ca="1"/>
        <v>#NAME?</v>
      </c>
      <c r="W306" s="67">
        <v>0</v>
      </c>
      <c r="X306" s="11" t="str">
        <v>Survei Khusus Lembaga Nonprofit yang Melayani Rumah Tangga 2024 (SKLNPT24) Triwulan I</v>
      </c>
      <c r="Y306" s="11" t="str">
        <v>MEMPAWAH HILIR</v>
      </c>
      <c r="Z306" s="11" t="str">
        <v>TERUSAN</v>
      </c>
      <c r="AA306" s="67">
        <v>45382</v>
      </c>
      <c r="AB306" s="67">
        <v>45383</v>
      </c>
      <c r="AC306" s="67">
        <v>45412</v>
      </c>
      <c r="AD306" s="67">
        <v>45411</v>
      </c>
      <c r="AE306" s="67">
        <v>45412</v>
      </c>
    </row>
    <row r="307" spans="1:31" ht="12.5">
      <c r="A307" s="10">
        <v>610422040029</v>
      </c>
      <c r="B307" s="10" t="str">
        <v>SKTNP24-LAPANGAN-TRI1</v>
      </c>
      <c r="C307" s="10">
        <v>0</v>
      </c>
      <c r="D307" s="10">
        <f ca="1"/>
        <v>1</v>
      </c>
      <c r="E307" s="10" t="str">
        <v>Zaini</v>
      </c>
      <c r="F307" s="10" t="str">
        <v>PPL</v>
      </c>
      <c r="G307" s="10" t="str">
        <v>6102010607870002</v>
      </c>
      <c r="H307" s="10" t="str">
        <v>PENDATAAN</v>
      </c>
      <c r="I307" s="10" t="str">
        <v>SKTNP24-LAPANGAN-TRI1-PPL-PENDATAAN BARANG</v>
      </c>
      <c r="J307" s="10" t="str">
        <v>Dokumen</v>
      </c>
      <c r="K307" s="66">
        <v>55000</v>
      </c>
      <c r="L307" s="10">
        <v>1</v>
      </c>
      <c r="M307" s="10">
        <v>55000</v>
      </c>
      <c r="N307" s="10">
        <v>0</v>
      </c>
      <c r="O307" s="67">
        <v>45412</v>
      </c>
      <c r="P307" s="10">
        <v>2024</v>
      </c>
      <c r="Q307" s="10">
        <v>4</v>
      </c>
      <c r="R307" s="10" t="str">
        <v>SURVEI-PPL</v>
      </c>
      <c r="S307" s="10" t="str">
        <v>610422040029-2024-4</v>
      </c>
      <c r="T307" s="10" t="str">
        <v>610422040029-2024-4-SURVEI-PPL</v>
      </c>
      <c r="U307" s="10">
        <v>1</v>
      </c>
      <c r="V307" s="10" t="e">
        <f ca="1"/>
        <v>#NAME?</v>
      </c>
      <c r="W307" s="67">
        <v>0</v>
      </c>
      <c r="X307" s="11" t="str">
        <v>Survei Khusus Triwulan Neraca Produksi Barang Jasa (SKTNP) 2024 Triwulan I</v>
      </c>
      <c r="Y307" s="11" t="str">
        <v>MEMPAWAH HILIR</v>
      </c>
      <c r="Z307" s="11" t="str">
        <v>TENGAH</v>
      </c>
      <c r="AA307" s="67">
        <v>45382</v>
      </c>
      <c r="AB307" s="67">
        <v>45383</v>
      </c>
      <c r="AC307" s="67">
        <v>45412</v>
      </c>
      <c r="AD307" s="67">
        <v>45411</v>
      </c>
      <c r="AE307" s="67">
        <v>45412</v>
      </c>
    </row>
    <row r="308" spans="1:31" ht="12.5">
      <c r="A308" s="10">
        <v>610422040029</v>
      </c>
      <c r="B308" s="10" t="str">
        <v>SKTNP24-LAPANGAN-TRI1</v>
      </c>
      <c r="C308" s="10">
        <v>0</v>
      </c>
      <c r="D308" s="10">
        <f ca="1"/>
        <v>1</v>
      </c>
      <c r="E308" s="10" t="str">
        <v>Zaini</v>
      </c>
      <c r="F308" s="10" t="str">
        <v>PPL</v>
      </c>
      <c r="G308" s="10" t="str">
        <v>6102010607870002</v>
      </c>
      <c r="H308" s="10" t="str">
        <v>PENDATAAN</v>
      </c>
      <c r="I308" s="10" t="str">
        <v>SKTNP24-LAPANGAN-TRI1-PPL-PENDATAAN JASA</v>
      </c>
      <c r="J308" s="10" t="str">
        <v>Dokumen</v>
      </c>
      <c r="K308" s="66">
        <v>55000</v>
      </c>
      <c r="L308" s="10">
        <v>2</v>
      </c>
      <c r="M308" s="10">
        <v>110000</v>
      </c>
      <c r="N308" s="10">
        <v>0</v>
      </c>
      <c r="O308" s="67">
        <v>45412</v>
      </c>
      <c r="P308" s="10">
        <v>2024</v>
      </c>
      <c r="Q308" s="10">
        <v>4</v>
      </c>
      <c r="R308" s="10" t="str">
        <v>SURVEI-PPL</v>
      </c>
      <c r="S308" s="10" t="str">
        <v>610422040029-2024-4</v>
      </c>
      <c r="T308" s="10" t="str">
        <v>610422040029-2024-4-SURVEI-PPL</v>
      </c>
      <c r="U308" s="10">
        <v>1</v>
      </c>
      <c r="V308" s="10" t="e">
        <f ca="1"/>
        <v>#NAME?</v>
      </c>
      <c r="W308" s="67">
        <v>0</v>
      </c>
      <c r="X308" s="11" t="str">
        <v>Survei Khusus Triwulan Neraca Produksi Barang Jasa (SKTNP) 2024 Triwulan I</v>
      </c>
      <c r="Y308" s="11" t="str">
        <v>MEMPAWAH HILIR</v>
      </c>
      <c r="Z308" s="11" t="str">
        <v>TENGAH</v>
      </c>
      <c r="AA308" s="67">
        <v>45382</v>
      </c>
      <c r="AB308" s="67">
        <v>45383</v>
      </c>
      <c r="AC308" s="67">
        <v>45412</v>
      </c>
      <c r="AD308" s="67">
        <v>45411</v>
      </c>
      <c r="AE308" s="67">
        <v>45412</v>
      </c>
    </row>
    <row r="309" spans="1:31" ht="12.5">
      <c r="A309" s="10">
        <v>610422030002</v>
      </c>
      <c r="B309" s="10" t="str">
        <v>SHPB24-LAPANGAN-MEI</v>
      </c>
      <c r="C309" s="10">
        <v>0</v>
      </c>
      <c r="D309" s="10">
        <f ca="1"/>
        <v>1</v>
      </c>
      <c r="E309" s="10" t="str">
        <v>Deti Erni Widiastuti</v>
      </c>
      <c r="F309" s="10" t="str">
        <v>PPL</v>
      </c>
      <c r="G309" s="10" t="str">
        <v>6102016712860001</v>
      </c>
      <c r="H309" s="10" t="str">
        <v>PENDATAAN</v>
      </c>
      <c r="I309" s="10" t="str">
        <v>SHPB24-LAPANGAN-MEI-PPL-PENDATAAN</v>
      </c>
      <c r="J309" s="10" t="str">
        <v>Dokumen</v>
      </c>
      <c r="K309" s="66">
        <v>50000</v>
      </c>
      <c r="L309" s="10">
        <v>15</v>
      </c>
      <c r="M309" s="10">
        <v>750000</v>
      </c>
      <c r="N309" s="10">
        <v>0</v>
      </c>
      <c r="O309" s="67">
        <v>45432</v>
      </c>
      <c r="P309" s="10">
        <v>2024</v>
      </c>
      <c r="Q309" s="10">
        <v>5</v>
      </c>
      <c r="R309" s="10" t="str">
        <v>SURVEI-PPL</v>
      </c>
      <c r="S309" s="10" t="str">
        <v>610422030002-2024-5</v>
      </c>
      <c r="T309" s="10" t="str">
        <v>610422030002-2024-5-SURVEI-PPL</v>
      </c>
      <c r="U309" s="10">
        <v>1</v>
      </c>
      <c r="V309" s="10" t="e">
        <f ca="1"/>
        <v>#NAME?</v>
      </c>
      <c r="W309" s="67">
        <v>0</v>
      </c>
      <c r="X309" s="11" t="str">
        <v>Survei Harga Perdagangan Besar (SHPB24) Mei</v>
      </c>
      <c r="Y309" s="11" t="str">
        <v>SEGEDONG</v>
      </c>
      <c r="Z309" s="11" t="str">
        <v>PENITI DALAM I</v>
      </c>
      <c r="AA309" s="67">
        <v>45412</v>
      </c>
      <c r="AB309" s="67">
        <v>45413</v>
      </c>
      <c r="AC309" s="67">
        <v>45443</v>
      </c>
      <c r="AD309" s="67">
        <v>45442</v>
      </c>
      <c r="AE309" s="67">
        <v>45443</v>
      </c>
    </row>
    <row r="310" spans="1:31" ht="12.5">
      <c r="A310" s="10">
        <v>610422100244</v>
      </c>
      <c r="B310" s="10" t="str">
        <v>HPG24-LAPANGAN-MEI</v>
      </c>
      <c r="C310" s="10">
        <v>0</v>
      </c>
      <c r="D310" s="10">
        <f ca="1"/>
        <v>1</v>
      </c>
      <c r="E310" s="10" t="str">
        <v>Sugianto</v>
      </c>
      <c r="F310" s="10" t="str">
        <v>PPL</v>
      </c>
      <c r="G310" s="10" t="str">
        <v>6102171003900002</v>
      </c>
      <c r="H310" s="10" t="str">
        <v>PENDATAAN</v>
      </c>
      <c r="I310" s="10" t="str">
        <v>HPG24-LAPANGAN-MEI-PPL-PENDATAAN</v>
      </c>
      <c r="J310" s="10" t="str">
        <v>Dokumen</v>
      </c>
      <c r="K310" s="66">
        <v>50000</v>
      </c>
      <c r="L310" s="10">
        <v>1</v>
      </c>
      <c r="M310" s="10">
        <v>50000</v>
      </c>
      <c r="N310" s="10">
        <v>0</v>
      </c>
      <c r="O310" s="67">
        <v>45432</v>
      </c>
      <c r="P310" s="10">
        <v>2024</v>
      </c>
      <c r="Q310" s="10">
        <v>5</v>
      </c>
      <c r="R310" s="10" t="str">
        <v>SURVEI-PPL</v>
      </c>
      <c r="S310" s="10" t="str">
        <v>610422100244-2024-5</v>
      </c>
      <c r="T310" s="10" t="str">
        <v>610422100244-2024-5-SURVEI-PPL</v>
      </c>
      <c r="U310" s="10">
        <v>1</v>
      </c>
      <c r="V310" s="10" t="e">
        <f ca="1"/>
        <v>#NAME?</v>
      </c>
      <c r="W310" s="67">
        <v>0</v>
      </c>
      <c r="X310" s="11" t="str">
        <v>Survei Harga Produsen Gabah (HPG24) Mei</v>
      </c>
      <c r="Y310" s="11" t="str">
        <v>SADANIANG</v>
      </c>
      <c r="Z310" s="11" t="str">
        <v>BUMBUN</v>
      </c>
      <c r="AA310" s="67">
        <v>45412</v>
      </c>
      <c r="AB310" s="67">
        <v>45413</v>
      </c>
      <c r="AC310" s="67">
        <v>45443</v>
      </c>
      <c r="AD310" s="67">
        <v>45442</v>
      </c>
      <c r="AE310" s="67">
        <v>45443</v>
      </c>
    </row>
    <row r="311" spans="1:31" ht="12.5">
      <c r="A311" s="10">
        <v>610422100124</v>
      </c>
      <c r="B311" s="10" t="str">
        <v>HPG24-LAPANGAN-MEI</v>
      </c>
      <c r="C311" s="10">
        <v>0</v>
      </c>
      <c r="D311" s="10">
        <f ca="1"/>
        <v>1</v>
      </c>
      <c r="E311" s="10" t="str">
        <v>Prabowo</v>
      </c>
      <c r="F311" s="10" t="str">
        <v>PPL</v>
      </c>
      <c r="G311" s="10" t="str">
        <v>6171010108790015</v>
      </c>
      <c r="H311" s="10" t="str">
        <v>PENDATAAN</v>
      </c>
      <c r="I311" s="10" t="str">
        <v>HPG24-LAPANGAN-MEI-PPL-PENDATAAN</v>
      </c>
      <c r="J311" s="10" t="str">
        <v>Dokumen</v>
      </c>
      <c r="K311" s="66">
        <v>50000</v>
      </c>
      <c r="L311" s="10">
        <v>1</v>
      </c>
      <c r="M311" s="10">
        <v>50000</v>
      </c>
      <c r="N311" s="10">
        <v>0</v>
      </c>
      <c r="O311" s="67">
        <v>45432</v>
      </c>
      <c r="P311" s="10">
        <v>2024</v>
      </c>
      <c r="Q311" s="10">
        <v>5</v>
      </c>
      <c r="R311" s="10" t="str">
        <v>SURVEI-PPL</v>
      </c>
      <c r="S311" s="10" t="str">
        <v>610422100124-2024-5</v>
      </c>
      <c r="T311" s="10" t="str">
        <v>610422100124-2024-5-SURVEI-PPL</v>
      </c>
      <c r="U311" s="10">
        <v>1</v>
      </c>
      <c r="V311" s="10" t="e">
        <f ca="1"/>
        <v>#NAME?</v>
      </c>
      <c r="W311" s="67">
        <v>0</v>
      </c>
      <c r="X311" s="11" t="str">
        <v>Survei Harga Produsen Gabah (HPG24) Mei</v>
      </c>
      <c r="Y311" s="11" t="str">
        <v>PONTIANAK KOTA</v>
      </c>
      <c r="Z311" s="11" t="str">
        <v>SUNGAI BANGKONG</v>
      </c>
      <c r="AA311" s="67">
        <v>45412</v>
      </c>
      <c r="AB311" s="67">
        <v>45413</v>
      </c>
      <c r="AC311" s="67">
        <v>45443</v>
      </c>
      <c r="AD311" s="67">
        <v>45442</v>
      </c>
      <c r="AE311" s="67">
        <v>45443</v>
      </c>
    </row>
    <row r="312" spans="1:31" ht="12.5">
      <c r="A312" s="10">
        <v>610422100016</v>
      </c>
      <c r="B312" s="10" t="str">
        <v>SHPED24-LAPANGAN-MEI</v>
      </c>
      <c r="C312" s="10">
        <v>0</v>
      </c>
      <c r="D312" s="10">
        <f ca="1"/>
        <v>1</v>
      </c>
      <c r="E312" s="10" t="str">
        <v>Amalia Faisya</v>
      </c>
      <c r="F312" s="10" t="str">
        <v>PPL</v>
      </c>
      <c r="G312" s="10" t="str">
        <v>6102124210010005</v>
      </c>
      <c r="H312" s="10" t="str">
        <v>PENDATAAN KONSUMEN</v>
      </c>
      <c r="I312" s="10" t="str">
        <v>SHPED24-LAPANGAN-MEI-PPL-PENDATAAN KONSUMEN</v>
      </c>
      <c r="J312" s="10" t="str">
        <v>Dokumen</v>
      </c>
      <c r="K312" s="66">
        <v>65000</v>
      </c>
      <c r="L312" s="10">
        <v>3</v>
      </c>
      <c r="M312" s="10">
        <v>195000</v>
      </c>
      <c r="N312" s="10">
        <v>0</v>
      </c>
      <c r="O312" s="67">
        <v>45432</v>
      </c>
      <c r="P312" s="10">
        <v>2024</v>
      </c>
      <c r="Q312" s="10">
        <v>5</v>
      </c>
      <c r="R312" s="10" t="str">
        <v>SURVEI-PPL</v>
      </c>
      <c r="S312" s="10" t="str">
        <v>610422100016-2024-5</v>
      </c>
      <c r="T312" s="10" t="str">
        <v>610422100016-2024-5-SURVEI-PPL</v>
      </c>
      <c r="U312" s="10">
        <v>1</v>
      </c>
      <c r="V312" s="10" t="e">
        <f ca="1"/>
        <v>#NAME?</v>
      </c>
      <c r="W312" s="67">
        <v>0</v>
      </c>
      <c r="X312" s="11" t="str">
        <v>Survei Harga Perdesaan (SHPED24) Mei</v>
      </c>
      <c r="Y312" s="11" t="str">
        <v>SUNGAI KUNYIT</v>
      </c>
      <c r="Z312" s="11" t="str">
        <v>SUNGAI KUNYIT LAUT</v>
      </c>
      <c r="AA312" s="67">
        <v>45412</v>
      </c>
      <c r="AB312" s="67">
        <v>45413</v>
      </c>
      <c r="AC312" s="67">
        <v>45443</v>
      </c>
      <c r="AD312" s="67">
        <v>45442</v>
      </c>
      <c r="AE312" s="67">
        <v>45443</v>
      </c>
    </row>
    <row r="313" spans="1:31" ht="12.5">
      <c r="A313" s="10">
        <v>610422050001</v>
      </c>
      <c r="B313" s="10" t="str">
        <v>SHPED24-LAPANGAN-MEI</v>
      </c>
      <c r="C313" s="10">
        <v>0</v>
      </c>
      <c r="D313" s="10">
        <f ca="1"/>
        <v>1</v>
      </c>
      <c r="E313" s="10" t="str">
        <v>Evi Juniarty</v>
      </c>
      <c r="F313" s="10" t="str">
        <v>PPL</v>
      </c>
      <c r="G313" s="10" t="str">
        <v>6102165101840001</v>
      </c>
      <c r="H313" s="10" t="str">
        <v>PENDATAAN KONSUMEN</v>
      </c>
      <c r="I313" s="10" t="str">
        <v>SHPED24-LAPANGAN-MEI-PPL-PENDATAAN KONSUMEN</v>
      </c>
      <c r="J313" s="10" t="str">
        <v>Dokumen</v>
      </c>
      <c r="K313" s="66">
        <v>65000</v>
      </c>
      <c r="L313" s="10">
        <v>3</v>
      </c>
      <c r="M313" s="10">
        <v>195000</v>
      </c>
      <c r="N313" s="10">
        <v>0</v>
      </c>
      <c r="O313" s="67">
        <v>45432</v>
      </c>
      <c r="P313" s="10">
        <v>2024</v>
      </c>
      <c r="Q313" s="10">
        <v>5</v>
      </c>
      <c r="R313" s="10" t="str">
        <v>SURVEI-PPL</v>
      </c>
      <c r="S313" s="10" t="str">
        <v>610422050001-2024-5</v>
      </c>
      <c r="T313" s="10" t="str">
        <v>610422050001-2024-5-SURVEI-PPL</v>
      </c>
      <c r="U313" s="10">
        <v>1</v>
      </c>
      <c r="V313" s="10" t="e">
        <f ca="1"/>
        <v>#NAME?</v>
      </c>
      <c r="W313" s="67">
        <v>0</v>
      </c>
      <c r="X313" s="11" t="str">
        <v>Survei Harga Perdesaan (SHPED24) Mei</v>
      </c>
      <c r="Y313" s="11" t="str">
        <v>ANJONGAN</v>
      </c>
      <c r="Z313" s="11" t="str">
        <v>ANJUNGAN MELANCAR</v>
      </c>
      <c r="AA313" s="67">
        <v>45412</v>
      </c>
      <c r="AB313" s="67">
        <v>45413</v>
      </c>
      <c r="AC313" s="67">
        <v>45443</v>
      </c>
      <c r="AD313" s="67">
        <v>45442</v>
      </c>
      <c r="AE313" s="67">
        <v>45443</v>
      </c>
    </row>
    <row r="314" spans="1:31" ht="12.5">
      <c r="A314" s="10">
        <v>610422040030</v>
      </c>
      <c r="B314" s="10" t="str">
        <v>SHPED24-LAPANGAN-MEI</v>
      </c>
      <c r="C314" s="10">
        <v>0</v>
      </c>
      <c r="D314" s="10">
        <f ca="1"/>
        <v>1</v>
      </c>
      <c r="E314" s="10" t="str">
        <v>Syarifah Desti Pratiwi</v>
      </c>
      <c r="F314" s="10" t="str">
        <v>PPL</v>
      </c>
      <c r="G314" s="10" t="str">
        <v>6102084512950002</v>
      </c>
      <c r="H314" s="10" t="str">
        <v>PENDATAAN PRODUSEN</v>
      </c>
      <c r="I314" s="10" t="str">
        <v>SHPED24-LAPANGAN-MEI-PPL-PENDATAAN PRODUSEN</v>
      </c>
      <c r="J314" s="10" t="str">
        <v>Dokumen</v>
      </c>
      <c r="K314" s="66">
        <v>55000</v>
      </c>
      <c r="L314" s="10">
        <v>1</v>
      </c>
      <c r="M314" s="10">
        <v>55000</v>
      </c>
      <c r="N314" s="10">
        <v>0</v>
      </c>
      <c r="O314" s="67">
        <v>45432</v>
      </c>
      <c r="P314" s="10">
        <v>2024</v>
      </c>
      <c r="Q314" s="10">
        <v>5</v>
      </c>
      <c r="R314" s="10" t="str">
        <v>SURVEI-PPL</v>
      </c>
      <c r="S314" s="10" t="str">
        <v>610422040030-2024-5</v>
      </c>
      <c r="T314" s="10" t="str">
        <v>610422040030-2024-5-SURVEI-PPL</v>
      </c>
      <c r="U314" s="10">
        <v>1</v>
      </c>
      <c r="V314" s="10" t="e">
        <f ca="1"/>
        <v>#NAME?</v>
      </c>
      <c r="W314" s="67">
        <v>0</v>
      </c>
      <c r="X314" s="11" t="str">
        <v>Survei Harga Perdesaan (SHPED24) Mei</v>
      </c>
      <c r="Y314" s="11" t="str">
        <v>JONGKAT</v>
      </c>
      <c r="Z314" s="11" t="str">
        <v>JUNGKAT</v>
      </c>
      <c r="AA314" s="67">
        <v>45412</v>
      </c>
      <c r="AB314" s="67">
        <v>45413</v>
      </c>
      <c r="AC314" s="67">
        <v>45443</v>
      </c>
      <c r="AD314" s="67">
        <v>45442</v>
      </c>
      <c r="AE314" s="67">
        <v>45443</v>
      </c>
    </row>
    <row r="315" spans="1:31" ht="12.5">
      <c r="A315" s="10">
        <v>610422100124</v>
      </c>
      <c r="B315" s="10" t="str">
        <v>SHPED24-LAPANGAN-MEI</v>
      </c>
      <c r="C315" s="10">
        <v>0</v>
      </c>
      <c r="D315" s="10">
        <f ca="1"/>
        <v>1</v>
      </c>
      <c r="E315" s="10" t="str">
        <v>Prabowo</v>
      </c>
      <c r="F315" s="10" t="str">
        <v>PPL</v>
      </c>
      <c r="G315" s="10" t="str">
        <v>6171010108790015</v>
      </c>
      <c r="H315" s="10" t="str">
        <v>PENDATAAN PRODUSEN</v>
      </c>
      <c r="I315" s="10" t="str">
        <v>SHPED24-LAPANGAN-MEI-PPL-PENDATAAN PRODUSEN</v>
      </c>
      <c r="J315" s="10" t="str">
        <v>Dokumen</v>
      </c>
      <c r="K315" s="66">
        <v>55000</v>
      </c>
      <c r="L315" s="10">
        <v>3</v>
      </c>
      <c r="M315" s="10">
        <v>165000</v>
      </c>
      <c r="N315" s="10">
        <v>0</v>
      </c>
      <c r="O315" s="67">
        <v>45432</v>
      </c>
      <c r="P315" s="10">
        <v>2024</v>
      </c>
      <c r="Q315" s="10">
        <v>5</v>
      </c>
      <c r="R315" s="10" t="str">
        <v>SURVEI-PPL</v>
      </c>
      <c r="S315" s="10" t="str">
        <v>610422100124-2024-5</v>
      </c>
      <c r="T315" s="10" t="str">
        <v>610422100124-2024-5-SURVEI-PPL</v>
      </c>
      <c r="U315" s="10">
        <v>1</v>
      </c>
      <c r="V315" s="10" t="e">
        <f ca="1"/>
        <v>#NAME?</v>
      </c>
      <c r="W315" s="67">
        <v>0</v>
      </c>
      <c r="X315" s="11" t="str">
        <v>Survei Harga Perdesaan (SHPED24) Mei</v>
      </c>
      <c r="Y315" s="11" t="str">
        <v>PONTIANAK KOTA</v>
      </c>
      <c r="Z315" s="11" t="str">
        <v>SUNGAI BANGKONG</v>
      </c>
      <c r="AA315" s="67">
        <v>45412</v>
      </c>
      <c r="AB315" s="67">
        <v>45413</v>
      </c>
      <c r="AC315" s="67">
        <v>45443</v>
      </c>
      <c r="AD315" s="67">
        <v>45442</v>
      </c>
      <c r="AE315" s="67">
        <v>45443</v>
      </c>
    </row>
    <row r="316" spans="1:31" ht="12.5">
      <c r="A316" s="10">
        <v>610422100244</v>
      </c>
      <c r="B316" s="10" t="str">
        <v>SHPED24-LAPANGAN-MEI</v>
      </c>
      <c r="C316" s="10">
        <v>0</v>
      </c>
      <c r="D316" s="10">
        <f ca="1"/>
        <v>1</v>
      </c>
      <c r="E316" s="10" t="str">
        <v>Sugianto</v>
      </c>
      <c r="F316" s="10" t="str">
        <v>PPL</v>
      </c>
      <c r="G316" s="10" t="str">
        <v>6102171003900002</v>
      </c>
      <c r="H316" s="10" t="str">
        <v>PENDATAAN PRODUSEN</v>
      </c>
      <c r="I316" s="10" t="str">
        <v>SHPED24-LAPANGAN-MEI-PPL-PENDATAAN PRODUSEN</v>
      </c>
      <c r="J316" s="10" t="str">
        <v>Dokumen</v>
      </c>
      <c r="K316" s="66">
        <v>55000</v>
      </c>
      <c r="L316" s="10">
        <v>2</v>
      </c>
      <c r="M316" s="10">
        <v>110000</v>
      </c>
      <c r="N316" s="10">
        <v>0</v>
      </c>
      <c r="O316" s="67">
        <v>45432</v>
      </c>
      <c r="P316" s="10">
        <v>2024</v>
      </c>
      <c r="Q316" s="10">
        <v>5</v>
      </c>
      <c r="R316" s="10" t="str">
        <v>SURVEI-PPL</v>
      </c>
      <c r="S316" s="10" t="str">
        <v>610422100244-2024-5</v>
      </c>
      <c r="T316" s="10" t="str">
        <v>610422100244-2024-5-SURVEI-PPL</v>
      </c>
      <c r="U316" s="10">
        <v>1</v>
      </c>
      <c r="V316" s="10" t="e">
        <f ca="1"/>
        <v>#NAME?</v>
      </c>
      <c r="W316" s="67">
        <v>0</v>
      </c>
      <c r="X316" s="11" t="str">
        <v>Survei Harga Perdesaan (SHPED24) Mei</v>
      </c>
      <c r="Y316" s="11" t="str">
        <v>SADANIANG</v>
      </c>
      <c r="Z316" s="11" t="str">
        <v>BUMBUN</v>
      </c>
      <c r="AA316" s="67">
        <v>45412</v>
      </c>
      <c r="AB316" s="67">
        <v>45413</v>
      </c>
      <c r="AC316" s="67">
        <v>45443</v>
      </c>
      <c r="AD316" s="67">
        <v>45442</v>
      </c>
      <c r="AE316" s="67">
        <v>45443</v>
      </c>
    </row>
    <row r="317" spans="1:31" ht="12.5">
      <c r="A317" s="10">
        <v>610422020016</v>
      </c>
      <c r="B317" s="10" t="str">
        <v>SHPED24-LAPANGAN-MEI</v>
      </c>
      <c r="C317" s="10">
        <v>0</v>
      </c>
      <c r="D317" s="10">
        <f ca="1"/>
        <v>1</v>
      </c>
      <c r="E317" s="10" t="str">
        <v>Abdul Aziz</v>
      </c>
      <c r="F317" s="10" t="str">
        <v>PPL</v>
      </c>
      <c r="G317" s="10" t="str">
        <v>6102061507950006</v>
      </c>
      <c r="H317" s="10" t="str">
        <v>PENDATAAN PRODUSEN</v>
      </c>
      <c r="I317" s="10" t="str">
        <v>SHPED24-LAPANGAN-MEI-PPL-PENDATAAN PRODUSEN</v>
      </c>
      <c r="J317" s="10" t="str">
        <v>Dokumen</v>
      </c>
      <c r="K317" s="66">
        <v>55000</v>
      </c>
      <c r="L317" s="10">
        <v>3</v>
      </c>
      <c r="M317" s="10">
        <v>165000</v>
      </c>
      <c r="N317" s="10">
        <v>0</v>
      </c>
      <c r="O317" s="67">
        <v>45432</v>
      </c>
      <c r="P317" s="10">
        <v>2024</v>
      </c>
      <c r="Q317" s="10">
        <v>5</v>
      </c>
      <c r="R317" s="10" t="str">
        <v>SURVEI-PPL</v>
      </c>
      <c r="S317" s="10" t="str">
        <v>610422020016-2024-5</v>
      </c>
      <c r="T317" s="10" t="str">
        <v>610422020016-2024-5-SURVEI-PPL</v>
      </c>
      <c r="U317" s="10">
        <v>1</v>
      </c>
      <c r="V317" s="10" t="e">
        <f ca="1"/>
        <v>#NAME?</v>
      </c>
      <c r="W317" s="67">
        <v>0</v>
      </c>
      <c r="X317" s="11" t="str">
        <v>Survei Harga Perdesaan (SHPED24) Mei</v>
      </c>
      <c r="Y317" s="11" t="str">
        <v>TOHO</v>
      </c>
      <c r="Z317" s="11" t="str">
        <v>SAMBORA</v>
      </c>
      <c r="AA317" s="67">
        <v>45412</v>
      </c>
      <c r="AB317" s="67">
        <v>45413</v>
      </c>
      <c r="AC317" s="67">
        <v>45443</v>
      </c>
      <c r="AD317" s="67">
        <v>45442</v>
      </c>
      <c r="AE317" s="67">
        <v>45443</v>
      </c>
    </row>
    <row r="318" spans="1:31" ht="12.5">
      <c r="A318" s="10">
        <v>610422100016</v>
      </c>
      <c r="B318" s="10" t="str">
        <v>SHPED24-LAPANGAN-MEI</v>
      </c>
      <c r="C318" s="10">
        <v>0</v>
      </c>
      <c r="D318" s="10">
        <f ca="1"/>
        <v>1</v>
      </c>
      <c r="E318" s="10" t="str">
        <v>Amalia Faisya</v>
      </c>
      <c r="F318" s="10" t="str">
        <v>PPL</v>
      </c>
      <c r="G318" s="10" t="str">
        <v>6102124210010005</v>
      </c>
      <c r="H318" s="10" t="str">
        <v>PENDATAAN PRODUSEN</v>
      </c>
      <c r="I318" s="10" t="str">
        <v>SHPED24-LAPANGAN-MEI-PPL-PENDATAAN PRODUSEN</v>
      </c>
      <c r="J318" s="10" t="str">
        <v>Dokumen</v>
      </c>
      <c r="K318" s="66">
        <v>55000</v>
      </c>
      <c r="L318" s="10">
        <v>1</v>
      </c>
      <c r="M318" s="10">
        <v>55000</v>
      </c>
      <c r="N318" s="10">
        <v>0</v>
      </c>
      <c r="O318" s="67">
        <v>45432</v>
      </c>
      <c r="P318" s="10">
        <v>2024</v>
      </c>
      <c r="Q318" s="10">
        <v>5</v>
      </c>
      <c r="R318" s="10" t="str">
        <v>SURVEI-PPL</v>
      </c>
      <c r="S318" s="10" t="str">
        <v>610422100016-2024-5</v>
      </c>
      <c r="T318" s="10" t="str">
        <v>610422100016-2024-5-SURVEI-PPL</v>
      </c>
      <c r="U318" s="10">
        <v>1</v>
      </c>
      <c r="V318" s="10" t="e">
        <f ca="1"/>
        <v>#NAME?</v>
      </c>
      <c r="W318" s="67">
        <v>0</v>
      </c>
      <c r="X318" s="11" t="str">
        <v>Survei Harga Perdesaan (SHPED24) Mei</v>
      </c>
      <c r="Y318" s="11" t="str">
        <v>SUNGAI KUNYIT</v>
      </c>
      <c r="Z318" s="11" t="str">
        <v>SUNGAI KUNYIT LAUT</v>
      </c>
      <c r="AA318" s="67">
        <v>45412</v>
      </c>
      <c r="AB318" s="67">
        <v>45413</v>
      </c>
      <c r="AC318" s="67">
        <v>45443</v>
      </c>
      <c r="AD318" s="67">
        <v>45442</v>
      </c>
      <c r="AE318" s="67">
        <v>45443</v>
      </c>
    </row>
    <row r="319" spans="1:31" ht="12.5">
      <c r="A319" s="10">
        <v>610422020048</v>
      </c>
      <c r="B319" s="10" t="str">
        <v>SHPED24-LAPANGAN-MEI</v>
      </c>
      <c r="C319" s="10">
        <v>0</v>
      </c>
      <c r="D319" s="10">
        <f ca="1"/>
        <v>1</v>
      </c>
      <c r="E319" s="10" t="str">
        <v>Herri Gustaman</v>
      </c>
      <c r="F319" s="10" t="str">
        <v>PPL</v>
      </c>
      <c r="G319" s="10" t="str">
        <v>6102072503800001</v>
      </c>
      <c r="H319" s="10" t="str">
        <v>PENDATAAN PRODUSEN</v>
      </c>
      <c r="I319" s="10" t="str">
        <v>SHPED24-LAPANGAN-MEI-PPL-PENDATAAN PRODUSEN</v>
      </c>
      <c r="J319" s="10" t="str">
        <v>Dokumen</v>
      </c>
      <c r="K319" s="66">
        <v>55000</v>
      </c>
      <c r="L319" s="10">
        <v>3</v>
      </c>
      <c r="M319" s="10">
        <v>165000</v>
      </c>
      <c r="N319" s="10">
        <v>0</v>
      </c>
      <c r="O319" s="67">
        <v>45432</v>
      </c>
      <c r="P319" s="10">
        <v>2024</v>
      </c>
      <c r="Q319" s="10">
        <v>5</v>
      </c>
      <c r="R319" s="10" t="str">
        <v>SURVEI-PPL</v>
      </c>
      <c r="S319" s="10" t="str">
        <v>610422020048-2024-5</v>
      </c>
      <c r="T319" s="10" t="str">
        <v>610422020048-2024-5-SURVEI-PPL</v>
      </c>
      <c r="U319" s="10">
        <v>1</v>
      </c>
      <c r="V319" s="10" t="e">
        <f ca="1"/>
        <v>#NAME?</v>
      </c>
      <c r="W319" s="67">
        <v>0</v>
      </c>
      <c r="X319" s="11" t="str">
        <v>Survei Harga Perdesaan (SHPED24) Mei</v>
      </c>
      <c r="Y319" s="11" t="str">
        <v>MEMPAWAH TIMUR</v>
      </c>
      <c r="Z319" s="11" t="str">
        <v>SEJEGI</v>
      </c>
      <c r="AA319" s="67">
        <v>45412</v>
      </c>
      <c r="AB319" s="67">
        <v>45413</v>
      </c>
      <c r="AC319" s="67">
        <v>45443</v>
      </c>
      <c r="AD319" s="67">
        <v>45442</v>
      </c>
      <c r="AE319" s="67">
        <v>45443</v>
      </c>
    </row>
    <row r="320" spans="1:31" ht="12.5">
      <c r="A320" s="10">
        <v>610422040029</v>
      </c>
      <c r="B320" s="10" t="str">
        <v>SHPED24-LAPANGAN-MEI</v>
      </c>
      <c r="C320" s="10">
        <v>0</v>
      </c>
      <c r="D320" s="10">
        <f ca="1"/>
        <v>1</v>
      </c>
      <c r="E320" s="10" t="str">
        <v>Zaini</v>
      </c>
      <c r="F320" s="10" t="str">
        <v>PPL</v>
      </c>
      <c r="G320" s="10" t="str">
        <v>6102010607870002</v>
      </c>
      <c r="H320" s="10" t="str">
        <v>PENDATAAN PRODUSEN</v>
      </c>
      <c r="I320" s="10" t="str">
        <v>SHPED24-LAPANGAN-MEI-PPL-PENDATAAN PRODUSEN</v>
      </c>
      <c r="J320" s="10" t="str">
        <v>Dokumen</v>
      </c>
      <c r="K320" s="66">
        <v>55000</v>
      </c>
      <c r="L320" s="10">
        <v>4</v>
      </c>
      <c r="M320" s="10">
        <v>220000</v>
      </c>
      <c r="N320" s="10">
        <v>0</v>
      </c>
      <c r="O320" s="67">
        <v>45432</v>
      </c>
      <c r="P320" s="10">
        <v>2024</v>
      </c>
      <c r="Q320" s="10">
        <v>5</v>
      </c>
      <c r="R320" s="10" t="str">
        <v>SURVEI-PPL</v>
      </c>
      <c r="S320" s="10" t="str">
        <v>610422040029-2024-5</v>
      </c>
      <c r="T320" s="10" t="str">
        <v>610422040029-2024-5-SURVEI-PPL</v>
      </c>
      <c r="U320" s="10">
        <v>1</v>
      </c>
      <c r="V320" s="10" t="e">
        <f ca="1"/>
        <v>#NAME?</v>
      </c>
      <c r="W320" s="67">
        <v>0</v>
      </c>
      <c r="X320" s="11" t="str">
        <v>Survei Harga Perdesaan (SHPED24) Mei</v>
      </c>
      <c r="Y320" s="11" t="str">
        <v>MEMPAWAH HILIR</v>
      </c>
      <c r="Z320" s="11" t="str">
        <v>TENGAH</v>
      </c>
      <c r="AA320" s="67">
        <v>45412</v>
      </c>
      <c r="AB320" s="67">
        <v>45413</v>
      </c>
      <c r="AC320" s="67">
        <v>45443</v>
      </c>
      <c r="AD320" s="67">
        <v>45442</v>
      </c>
      <c r="AE320" s="67">
        <v>45443</v>
      </c>
    </row>
    <row r="321" spans="1:31" ht="12.5">
      <c r="A321" s="10">
        <v>610422050001</v>
      </c>
      <c r="B321" s="10" t="str">
        <v>SHPED24-LAPANGAN-MEI</v>
      </c>
      <c r="C321" s="10">
        <v>0</v>
      </c>
      <c r="D321" s="10">
        <f ca="1"/>
        <v>1</v>
      </c>
      <c r="E321" s="10" t="str">
        <v>Evi Juniarty</v>
      </c>
      <c r="F321" s="10" t="str">
        <v>PPL</v>
      </c>
      <c r="G321" s="10" t="str">
        <v>6102165101840001</v>
      </c>
      <c r="H321" s="10" t="str">
        <v>PENDATAAN PRODUSEN</v>
      </c>
      <c r="I321" s="10" t="str">
        <v>SHPED24-LAPANGAN-MEI-PPL-PENDATAAN PRODUSEN</v>
      </c>
      <c r="J321" s="10" t="str">
        <v>Dokumen</v>
      </c>
      <c r="K321" s="66">
        <v>55000</v>
      </c>
      <c r="L321" s="10">
        <v>1</v>
      </c>
      <c r="M321" s="10">
        <v>55000</v>
      </c>
      <c r="N321" s="10">
        <v>0</v>
      </c>
      <c r="O321" s="67">
        <v>45432</v>
      </c>
      <c r="P321" s="10">
        <v>2024</v>
      </c>
      <c r="Q321" s="10">
        <v>5</v>
      </c>
      <c r="R321" s="10" t="str">
        <v>SURVEI-PPL</v>
      </c>
      <c r="S321" s="10" t="str">
        <v>610422050001-2024-5</v>
      </c>
      <c r="T321" s="10" t="str">
        <v>610422050001-2024-5-SURVEI-PPL</v>
      </c>
      <c r="U321" s="10">
        <v>1</v>
      </c>
      <c r="V321" s="10" t="e">
        <f ca="1"/>
        <v>#NAME?</v>
      </c>
      <c r="W321" s="67">
        <v>0</v>
      </c>
      <c r="X321" s="11" t="str">
        <v>Survei Harga Perdesaan (SHPED24) Mei</v>
      </c>
      <c r="Y321" s="11" t="str">
        <v>ANJONGAN</v>
      </c>
      <c r="Z321" s="11" t="str">
        <v>ANJUNGAN MELANCAR</v>
      </c>
      <c r="AA321" s="67">
        <v>45412</v>
      </c>
      <c r="AB321" s="67">
        <v>45413</v>
      </c>
      <c r="AC321" s="67">
        <v>45443</v>
      </c>
      <c r="AD321" s="67">
        <v>45442</v>
      </c>
      <c r="AE321" s="67">
        <v>45443</v>
      </c>
    </row>
    <row r="322" spans="1:31" ht="12.5">
      <c r="A322" s="10">
        <v>610422100124</v>
      </c>
      <c r="B322" s="10" t="str">
        <v>HPBG24-LAPANGAN-MEI</v>
      </c>
      <c r="C322" s="10">
        <v>0</v>
      </c>
      <c r="D322" s="10">
        <f ca="1"/>
        <v>1</v>
      </c>
      <c r="E322" s="10" t="str">
        <v>Prabowo</v>
      </c>
      <c r="F322" s="10" t="str">
        <v>PPL</v>
      </c>
      <c r="G322" s="10" t="str">
        <v>6171010108790015</v>
      </c>
      <c r="H322" s="10" t="str">
        <v>PENDATAAN</v>
      </c>
      <c r="I322" s="10" t="str">
        <v>HPBG24-LAPANGAN-MEI-PPL-PENDATAAN</v>
      </c>
      <c r="J322" s="10" t="str">
        <v>Dokumen</v>
      </c>
      <c r="K322" s="66">
        <v>55000</v>
      </c>
      <c r="L322" s="10">
        <v>2</v>
      </c>
      <c r="M322" s="10">
        <v>110000</v>
      </c>
      <c r="N322" s="10">
        <v>0</v>
      </c>
      <c r="O322" s="67">
        <v>45432</v>
      </c>
      <c r="P322" s="10">
        <v>2024</v>
      </c>
      <c r="Q322" s="10">
        <v>5</v>
      </c>
      <c r="R322" s="10" t="str">
        <v>SURVEI-PPL</v>
      </c>
      <c r="S322" s="10" t="str">
        <v>610422100124-2024-5</v>
      </c>
      <c r="T322" s="10" t="str">
        <v>610422100124-2024-5-SURVEI-PPL</v>
      </c>
      <c r="U322" s="10">
        <v>1</v>
      </c>
      <c r="V322" s="10" t="e">
        <f ca="1"/>
        <v>#NAME?</v>
      </c>
      <c r="W322" s="67">
        <v>0</v>
      </c>
      <c r="X322" s="11" t="str">
        <v>Survei Harga Produsen Beras di Penggilingan 2024 (HPBG24) Mei</v>
      </c>
      <c r="Y322" s="11" t="str">
        <v>PONTIANAK KOTA</v>
      </c>
      <c r="Z322" s="11" t="str">
        <v>SUNGAI BANGKONG</v>
      </c>
      <c r="AA322" s="67">
        <v>45412</v>
      </c>
      <c r="AB322" s="67">
        <v>45413</v>
      </c>
      <c r="AC322" s="67">
        <v>45443</v>
      </c>
      <c r="AD322" s="67">
        <v>45442</v>
      </c>
      <c r="AE322" s="67">
        <v>45443</v>
      </c>
    </row>
    <row r="323" spans="1:31" ht="12.5">
      <c r="A323" s="10">
        <v>610422100244</v>
      </c>
      <c r="B323" s="10" t="str">
        <v>HPBG24-LAPANGAN-MEI</v>
      </c>
      <c r="C323" s="10">
        <v>0</v>
      </c>
      <c r="D323" s="10">
        <f ca="1"/>
        <v>1</v>
      </c>
      <c r="E323" s="10" t="str">
        <v>Sugianto</v>
      </c>
      <c r="F323" s="10" t="str">
        <v>PPL</v>
      </c>
      <c r="G323" s="10" t="str">
        <v>6102171003900002</v>
      </c>
      <c r="H323" s="10" t="str">
        <v>PENDATAAN</v>
      </c>
      <c r="I323" s="10" t="str">
        <v>HPBG24-LAPANGAN-MEI-PPL-PENDATAAN</v>
      </c>
      <c r="J323" s="10" t="str">
        <v>Dokumen</v>
      </c>
      <c r="K323" s="66">
        <v>55000</v>
      </c>
      <c r="L323" s="10">
        <v>2</v>
      </c>
      <c r="M323" s="10">
        <v>110000</v>
      </c>
      <c r="N323" s="10">
        <v>0</v>
      </c>
      <c r="O323" s="67">
        <v>45432</v>
      </c>
      <c r="P323" s="10">
        <v>2024</v>
      </c>
      <c r="Q323" s="10">
        <v>5</v>
      </c>
      <c r="R323" s="10" t="str">
        <v>SURVEI-PPL</v>
      </c>
      <c r="S323" s="10" t="str">
        <v>610422100244-2024-5</v>
      </c>
      <c r="T323" s="10" t="str">
        <v>610422100244-2024-5-SURVEI-PPL</v>
      </c>
      <c r="U323" s="10">
        <v>1</v>
      </c>
      <c r="V323" s="10" t="e">
        <f ca="1"/>
        <v>#NAME?</v>
      </c>
      <c r="W323" s="67">
        <v>0</v>
      </c>
      <c r="X323" s="11" t="str">
        <v>Survei Harga Produsen Beras di Penggilingan 2024 (HPBG24) Mei</v>
      </c>
      <c r="Y323" s="11" t="str">
        <v>SADANIANG</v>
      </c>
      <c r="Z323" s="11" t="str">
        <v>BUMBUN</v>
      </c>
      <c r="AA323" s="67">
        <v>45412</v>
      </c>
      <c r="AB323" s="67">
        <v>45413</v>
      </c>
      <c r="AC323" s="67">
        <v>45443</v>
      </c>
      <c r="AD323" s="67">
        <v>45442</v>
      </c>
      <c r="AE323" s="67">
        <v>45443</v>
      </c>
    </row>
    <row r="324" spans="1:31" ht="12.5">
      <c r="A324" s="10">
        <v>610422100165</v>
      </c>
      <c r="B324" s="10" t="str">
        <v>HPBG24-LAPANGAN-MEI</v>
      </c>
      <c r="C324" s="10">
        <v>0</v>
      </c>
      <c r="D324" s="10">
        <f ca="1"/>
        <v>1</v>
      </c>
      <c r="E324" s="10" t="str">
        <v>Yanti</v>
      </c>
      <c r="F324" s="10" t="str">
        <v>PPL</v>
      </c>
      <c r="G324" s="10" t="str">
        <v>6102074803980002</v>
      </c>
      <c r="H324" s="10" t="str">
        <v>PENDATAAN</v>
      </c>
      <c r="I324" s="10" t="str">
        <v>HPBG24-LAPANGAN-MEI-PPL-PENDATAAN</v>
      </c>
      <c r="J324" s="10" t="str">
        <v>Dokumen</v>
      </c>
      <c r="K324" s="66">
        <v>55000</v>
      </c>
      <c r="L324" s="10">
        <v>2</v>
      </c>
      <c r="M324" s="10">
        <v>110000</v>
      </c>
      <c r="N324" s="10">
        <v>0</v>
      </c>
      <c r="O324" s="67">
        <v>45432</v>
      </c>
      <c r="P324" s="10">
        <v>2024</v>
      </c>
      <c r="Q324" s="10">
        <v>5</v>
      </c>
      <c r="R324" s="10" t="str">
        <v>SURVEI-PPL</v>
      </c>
      <c r="S324" s="10" t="str">
        <v>610422100165-2024-5</v>
      </c>
      <c r="T324" s="10" t="str">
        <v>610422100165-2024-5-SURVEI-PPL</v>
      </c>
      <c r="U324" s="10">
        <v>1</v>
      </c>
      <c r="V324" s="10" t="e">
        <f ca="1"/>
        <v>#NAME?</v>
      </c>
      <c r="W324" s="67">
        <v>0</v>
      </c>
      <c r="X324" s="11" t="str">
        <v>Survei Harga Produsen Beras di Penggilingan 2024 (HPBG24) Mei</v>
      </c>
      <c r="Y324" s="11" t="str">
        <v>SUNGAI PINYUH</v>
      </c>
      <c r="Z324" s="11" t="str">
        <v>SUNGAI BAKAU BESAR LAUT</v>
      </c>
      <c r="AA324" s="67">
        <v>45412</v>
      </c>
      <c r="AB324" s="67">
        <v>45413</v>
      </c>
      <c r="AC324" s="67">
        <v>45443</v>
      </c>
      <c r="AD324" s="67">
        <v>45442</v>
      </c>
      <c r="AE324" s="67">
        <v>45443</v>
      </c>
    </row>
    <row r="325" spans="1:31" ht="12.5">
      <c r="A325" s="10">
        <v>610422100165</v>
      </c>
      <c r="B325" s="10" t="str">
        <v>HPJ24-LAPANGAN-MEI</v>
      </c>
      <c r="C325" s="10">
        <v>0</v>
      </c>
      <c r="D325" s="10">
        <f ca="1"/>
        <v>1</v>
      </c>
      <c r="E325" s="10" t="str">
        <v>Yanti</v>
      </c>
      <c r="F325" s="10" t="str">
        <v>PPL</v>
      </c>
      <c r="G325" s="10" t="str">
        <v>6102074803980002</v>
      </c>
      <c r="H325" s="10" t="str">
        <v>PENDATAAN</v>
      </c>
      <c r="I325" s="10" t="str">
        <v>HPJ24-LAPANGAN-MEI-PPL-PENDATAAN</v>
      </c>
      <c r="J325" s="10" t="str">
        <v>Dokumen</v>
      </c>
      <c r="K325" s="66">
        <v>50000</v>
      </c>
      <c r="L325" s="10">
        <v>1</v>
      </c>
      <c r="M325" s="10">
        <v>50000</v>
      </c>
      <c r="N325" s="10">
        <v>0</v>
      </c>
      <c r="O325" s="67">
        <v>45432</v>
      </c>
      <c r="P325" s="10">
        <v>2024</v>
      </c>
      <c r="Q325" s="10">
        <v>5</v>
      </c>
      <c r="R325" s="10" t="str">
        <v>SURVEI-PPL</v>
      </c>
      <c r="S325" s="10" t="str">
        <v>610422100165-2024-5</v>
      </c>
      <c r="T325" s="10" t="str">
        <v>610422100165-2024-5-SURVEI-PPL</v>
      </c>
      <c r="U325" s="10">
        <v>1</v>
      </c>
      <c r="V325" s="10" t="e">
        <f ca="1"/>
        <v>#NAME?</v>
      </c>
      <c r="W325" s="67">
        <v>0</v>
      </c>
      <c r="X325" s="11" t="str">
        <v>Survei Harga Produsen Jasa (HPJ24) Mei</v>
      </c>
      <c r="Y325" s="11" t="str">
        <v>SUNGAI PINYUH</v>
      </c>
      <c r="Z325" s="11" t="str">
        <v>SUNGAI BAKAU BESAR LAUT</v>
      </c>
      <c r="AA325" s="67">
        <v>45412</v>
      </c>
      <c r="AB325" s="67">
        <v>45413</v>
      </c>
      <c r="AC325" s="67">
        <v>45443</v>
      </c>
      <c r="AD325" s="67">
        <v>45442</v>
      </c>
      <c r="AE325" s="67">
        <v>45443</v>
      </c>
    </row>
    <row r="326" spans="1:31" ht="12.5">
      <c r="A326" s="10">
        <v>610422040029</v>
      </c>
      <c r="B326" s="10" t="str">
        <v>VHTS24-LAPANGAN-MEI</v>
      </c>
      <c r="C326" s="10">
        <v>0</v>
      </c>
      <c r="D326" s="10">
        <f ca="1"/>
        <v>1</v>
      </c>
      <c r="E326" s="10" t="str">
        <v>Zaini</v>
      </c>
      <c r="F326" s="10" t="str">
        <v>PPL</v>
      </c>
      <c r="G326" s="10" t="str">
        <v>6102010607870002</v>
      </c>
      <c r="H326" s="10" t="str">
        <v>PENDATAAN</v>
      </c>
      <c r="I326" s="10" t="str">
        <v>VHTS24-LAPANGAN-MEI-PPL-PENDATAAN</v>
      </c>
      <c r="J326" s="10" t="str">
        <v>Dokumen</v>
      </c>
      <c r="K326" s="66">
        <v>55000</v>
      </c>
      <c r="L326" s="10">
        <v>3</v>
      </c>
      <c r="M326" s="10">
        <v>165000</v>
      </c>
      <c r="N326" s="10">
        <v>0</v>
      </c>
      <c r="O326" s="67">
        <v>45432</v>
      </c>
      <c r="P326" s="10">
        <v>2024</v>
      </c>
      <c r="Q326" s="10">
        <v>5</v>
      </c>
      <c r="R326" s="10" t="str">
        <v>SURVEI-PPL</v>
      </c>
      <c r="S326" s="10" t="str">
        <v>610422040029-2024-5</v>
      </c>
      <c r="T326" s="10" t="str">
        <v>610422040029-2024-5-SURVEI-PPL</v>
      </c>
      <c r="U326" s="10">
        <v>1</v>
      </c>
      <c r="V326" s="10" t="e">
        <f ca="1"/>
        <v>#NAME?</v>
      </c>
      <c r="W326" s="67">
        <v>0</v>
      </c>
      <c r="X326" s="11" t="str">
        <v>Survei Hotel dan Jasa Akomodasi Bulanan (VHTS) 2024 Mei</v>
      </c>
      <c r="Y326" s="11" t="str">
        <v>MEMPAWAH HILIR</v>
      </c>
      <c r="Z326" s="11" t="str">
        <v>TENGAH</v>
      </c>
      <c r="AA326" s="67">
        <v>45412</v>
      </c>
      <c r="AB326" s="67">
        <v>45413</v>
      </c>
      <c r="AC326" s="67">
        <v>45443</v>
      </c>
      <c r="AD326" s="67">
        <v>45442</v>
      </c>
      <c r="AE326" s="67">
        <v>45443</v>
      </c>
    </row>
    <row r="327" spans="1:31" ht="12.5">
      <c r="A327" s="10">
        <v>610422100165</v>
      </c>
      <c r="B327" s="10" t="str">
        <v>VHTS24-LAPANGAN-MEI</v>
      </c>
      <c r="C327" s="10">
        <v>0</v>
      </c>
      <c r="D327" s="10">
        <f ca="1"/>
        <v>1</v>
      </c>
      <c r="E327" s="10" t="str">
        <v>Yanti</v>
      </c>
      <c r="F327" s="10" t="str">
        <v>PPL</v>
      </c>
      <c r="G327" s="10" t="str">
        <v>6102074803980002</v>
      </c>
      <c r="H327" s="10" t="str">
        <v>PENDATAAN</v>
      </c>
      <c r="I327" s="10" t="str">
        <v>VHTS24-LAPANGAN-MEI-PPL-PENDATAAN</v>
      </c>
      <c r="J327" s="10" t="str">
        <v>Dokumen</v>
      </c>
      <c r="K327" s="66">
        <v>55000</v>
      </c>
      <c r="L327" s="10">
        <v>3</v>
      </c>
      <c r="M327" s="10">
        <v>165000</v>
      </c>
      <c r="N327" s="10">
        <v>0</v>
      </c>
      <c r="O327" s="67">
        <v>45432</v>
      </c>
      <c r="P327" s="10">
        <v>2024</v>
      </c>
      <c r="Q327" s="10">
        <v>5</v>
      </c>
      <c r="R327" s="10" t="str">
        <v>SURVEI-PPL</v>
      </c>
      <c r="S327" s="10" t="str">
        <v>610422100165-2024-5</v>
      </c>
      <c r="T327" s="10" t="str">
        <v>610422100165-2024-5-SURVEI-PPL</v>
      </c>
      <c r="U327" s="10">
        <v>1</v>
      </c>
      <c r="V327" s="10" t="e">
        <f ca="1"/>
        <v>#NAME?</v>
      </c>
      <c r="W327" s="67">
        <v>0</v>
      </c>
      <c r="X327" s="11" t="str">
        <v>Survei Hotel dan Jasa Akomodasi Bulanan (VHTS) 2024 Mei</v>
      </c>
      <c r="Y327" s="11" t="str">
        <v>SUNGAI PINYUH</v>
      </c>
      <c r="Z327" s="11" t="str">
        <v>SUNGAI BAKAU BESAR LAUT</v>
      </c>
      <c r="AA327" s="67">
        <v>45412</v>
      </c>
      <c r="AB327" s="67">
        <v>45413</v>
      </c>
      <c r="AC327" s="67">
        <v>45443</v>
      </c>
      <c r="AD327" s="67">
        <v>45442</v>
      </c>
      <c r="AE327" s="67">
        <v>45443</v>
      </c>
    </row>
    <row r="328" spans="1:31" ht="12.5">
      <c r="A328" s="10">
        <v>610422050001</v>
      </c>
      <c r="B328" s="10" t="str">
        <v>VHTS24-LAPANGAN-MEI</v>
      </c>
      <c r="C328" s="10">
        <v>0</v>
      </c>
      <c r="D328" s="10">
        <f ca="1"/>
        <v>1</v>
      </c>
      <c r="E328" s="10" t="str">
        <v>Evi Juniarty</v>
      </c>
      <c r="F328" s="10" t="str">
        <v>PPL</v>
      </c>
      <c r="G328" s="10" t="str">
        <v>6102165101840001</v>
      </c>
      <c r="H328" s="10" t="str">
        <v>PENDATAAN</v>
      </c>
      <c r="I328" s="10" t="str">
        <v>VHTS24-LAPANGAN-MEI-PPL-PENDATAAN</v>
      </c>
      <c r="J328" s="10" t="str">
        <v>Dokumen</v>
      </c>
      <c r="K328" s="66">
        <v>55000</v>
      </c>
      <c r="L328" s="10">
        <v>3</v>
      </c>
      <c r="M328" s="10">
        <v>165000</v>
      </c>
      <c r="N328" s="10">
        <v>0</v>
      </c>
      <c r="O328" s="67">
        <v>45432</v>
      </c>
      <c r="P328" s="10">
        <v>2024</v>
      </c>
      <c r="Q328" s="10">
        <v>5</v>
      </c>
      <c r="R328" s="10" t="str">
        <v>SURVEI-PPL</v>
      </c>
      <c r="S328" s="10" t="str">
        <v>610422050001-2024-5</v>
      </c>
      <c r="T328" s="10" t="str">
        <v>610422050001-2024-5-SURVEI-PPL</v>
      </c>
      <c r="U328" s="10">
        <v>1</v>
      </c>
      <c r="V328" s="10" t="e">
        <f ca="1"/>
        <v>#NAME?</v>
      </c>
      <c r="W328" s="67">
        <v>0</v>
      </c>
      <c r="X328" s="11" t="str">
        <v>Survei Hotel dan Jasa Akomodasi Bulanan (VHTS) 2024 Mei</v>
      </c>
      <c r="Y328" s="11" t="str">
        <v>ANJONGAN</v>
      </c>
      <c r="Z328" s="11" t="str">
        <v>ANJUNGAN MELANCAR</v>
      </c>
      <c r="AA328" s="67">
        <v>45412</v>
      </c>
      <c r="AB328" s="67">
        <v>45413</v>
      </c>
      <c r="AC328" s="67">
        <v>45443</v>
      </c>
      <c r="AD328" s="67">
        <v>45442</v>
      </c>
      <c r="AE328" s="67">
        <v>45443</v>
      </c>
    </row>
    <row r="329" spans="1:31" ht="12.5">
      <c r="A329" s="10">
        <v>610422040056</v>
      </c>
      <c r="B329" s="10" t="str">
        <v>VHTS24-LAPANGAN-MEI</v>
      </c>
      <c r="C329" s="10">
        <v>0</v>
      </c>
      <c r="D329" s="10">
        <f ca="1"/>
        <v>1</v>
      </c>
      <c r="E329" s="10" t="str">
        <v>Wandi Syafari</v>
      </c>
      <c r="F329" s="10" t="str">
        <v>PPL</v>
      </c>
      <c r="G329" s="10" t="str">
        <v>6102010802760001</v>
      </c>
      <c r="H329" s="10" t="str">
        <v>PENDATAAN</v>
      </c>
      <c r="I329" s="10" t="str">
        <v>VHTS24-LAPANGAN-MEI-PPL-PENDATAAN</v>
      </c>
      <c r="J329" s="10" t="str">
        <v>Dokumen</v>
      </c>
      <c r="K329" s="66">
        <v>55000</v>
      </c>
      <c r="L329" s="10">
        <v>2</v>
      </c>
      <c r="M329" s="10">
        <v>110000</v>
      </c>
      <c r="N329" s="10">
        <v>0</v>
      </c>
      <c r="O329" s="67">
        <v>45432</v>
      </c>
      <c r="P329" s="10">
        <v>2024</v>
      </c>
      <c r="Q329" s="10">
        <v>5</v>
      </c>
      <c r="R329" s="10" t="str">
        <v>SURVEI-PPL</v>
      </c>
      <c r="S329" s="10" t="str">
        <v>610422040056-2024-5</v>
      </c>
      <c r="T329" s="10" t="str">
        <v>610422040056-2024-5-SURVEI-PPL</v>
      </c>
      <c r="U329" s="10">
        <v>1</v>
      </c>
      <c r="V329" s="10" t="e">
        <f ca="1"/>
        <v>#NAME?</v>
      </c>
      <c r="W329" s="67">
        <v>0</v>
      </c>
      <c r="X329" s="11" t="str">
        <v>Survei Hotel dan Jasa Akomodasi Bulanan (VHTS) 2024 Mei</v>
      </c>
      <c r="Y329" s="11" t="str">
        <v>MEMPAWAH HILIR</v>
      </c>
      <c r="Z329" s="11" t="str">
        <v>TERUSAN</v>
      </c>
      <c r="AA329" s="67">
        <v>45412</v>
      </c>
      <c r="AB329" s="67">
        <v>45413</v>
      </c>
      <c r="AC329" s="67">
        <v>45443</v>
      </c>
      <c r="AD329" s="67">
        <v>45442</v>
      </c>
      <c r="AE329" s="67">
        <v>45443</v>
      </c>
    </row>
    <row r="330" spans="1:31" ht="12.5">
      <c r="A330" s="10">
        <v>610422020016</v>
      </c>
      <c r="B330" s="10" t="str">
        <v>KSA24-LAPANGAN-MEI</v>
      </c>
      <c r="C330" s="10">
        <v>0</v>
      </c>
      <c r="D330" s="10">
        <f ca="1"/>
        <v>1</v>
      </c>
      <c r="E330" s="10" t="str">
        <v>Abdul Aziz</v>
      </c>
      <c r="F330" s="10" t="str">
        <v>PPL</v>
      </c>
      <c r="G330" s="10" t="str">
        <v>6102061507950006</v>
      </c>
      <c r="H330" s="10" t="str">
        <v>KSA PADI</v>
      </c>
      <c r="I330" s="10" t="str">
        <v>KSA24-LAPANGAN-MEI-PPL-KSA PADI</v>
      </c>
      <c r="J330" s="10" t="str">
        <v>Segmen</v>
      </c>
      <c r="K330" s="66">
        <v>116000</v>
      </c>
      <c r="L330" s="10">
        <v>3</v>
      </c>
      <c r="M330" s="10">
        <v>348000</v>
      </c>
      <c r="N330" s="10">
        <v>0</v>
      </c>
      <c r="O330" s="67">
        <v>45443</v>
      </c>
      <c r="P330" s="10">
        <v>2024</v>
      </c>
      <c r="Q330" s="10">
        <v>5</v>
      </c>
      <c r="R330" s="10" t="str">
        <v>SURVEI-PPL</v>
      </c>
      <c r="S330" s="10" t="str">
        <v>610422020016-2024-5</v>
      </c>
      <c r="T330" s="10" t="str">
        <v>610422020016-2024-5-SURVEI-PPL</v>
      </c>
      <c r="U330" s="10">
        <v>1</v>
      </c>
      <c r="V330" s="10" t="e">
        <f ca="1"/>
        <v>#NAME?</v>
      </c>
      <c r="W330" s="67">
        <v>0</v>
      </c>
      <c r="X330" s="11" t="str">
        <v>Kerangka Sampel Area (KSA) 2024 Mei</v>
      </c>
      <c r="Y330" s="11" t="str">
        <v>TOHO</v>
      </c>
      <c r="Z330" s="11" t="str">
        <v>SAMBORA</v>
      </c>
      <c r="AA330" s="67">
        <v>45412</v>
      </c>
      <c r="AB330" s="67">
        <v>45413</v>
      </c>
      <c r="AC330" s="67">
        <v>45443</v>
      </c>
      <c r="AD330" s="67">
        <v>45442</v>
      </c>
      <c r="AE330" s="67">
        <v>45443</v>
      </c>
    </row>
    <row r="331" spans="1:31" ht="12.5">
      <c r="A331" s="10">
        <v>610422040012</v>
      </c>
      <c r="B331" s="10" t="str">
        <v>KSA24-LAPANGAN-MEI</v>
      </c>
      <c r="C331" s="10">
        <v>0</v>
      </c>
      <c r="D331" s="10">
        <f ca="1"/>
        <v>1</v>
      </c>
      <c r="E331" s="10" t="str">
        <v>Misdi</v>
      </c>
      <c r="F331" s="10" t="str">
        <v>PPL</v>
      </c>
      <c r="G331" s="10" t="str">
        <v>6102070706940001</v>
      </c>
      <c r="H331" s="10" t="str">
        <v>KSA PADI</v>
      </c>
      <c r="I331" s="10" t="str">
        <v>KSA24-LAPANGAN-MEI-PPL-KSA PADI</v>
      </c>
      <c r="J331" s="10" t="str">
        <v>Segmen</v>
      </c>
      <c r="K331" s="66">
        <v>116000</v>
      </c>
      <c r="L331" s="10">
        <v>3</v>
      </c>
      <c r="M331" s="10">
        <v>348000</v>
      </c>
      <c r="N331" s="10">
        <v>0</v>
      </c>
      <c r="O331" s="67">
        <v>45443</v>
      </c>
      <c r="P331" s="10">
        <v>2024</v>
      </c>
      <c r="Q331" s="10">
        <v>5</v>
      </c>
      <c r="R331" s="10" t="str">
        <v>SURVEI-PPL</v>
      </c>
      <c r="S331" s="10" t="str">
        <v>610422040012-2024-5</v>
      </c>
      <c r="T331" s="10" t="str">
        <v>610422040012-2024-5-SURVEI-PPL</v>
      </c>
      <c r="U331" s="10">
        <v>1</v>
      </c>
      <c r="V331" s="10" t="e">
        <f ca="1"/>
        <v>#NAME?</v>
      </c>
      <c r="W331" s="67">
        <v>0</v>
      </c>
      <c r="X331" s="11" t="str">
        <v>Kerangka Sampel Area (KSA) 2024 Mei</v>
      </c>
      <c r="Y331" s="11" t="str">
        <v>SUNGAI PINYUH</v>
      </c>
      <c r="Z331" s="11" t="str">
        <v>SUNGAI BAKAU BESAR DARAT</v>
      </c>
      <c r="AA331" s="67">
        <v>45412</v>
      </c>
      <c r="AB331" s="67">
        <v>45413</v>
      </c>
      <c r="AC331" s="67">
        <v>45443</v>
      </c>
      <c r="AD331" s="67">
        <v>45442</v>
      </c>
      <c r="AE331" s="67">
        <v>45443</v>
      </c>
    </row>
    <row r="332" spans="1:31" ht="12.5">
      <c r="A332" s="10">
        <v>610422040059</v>
      </c>
      <c r="B332" s="10" t="str">
        <v>KSA24-LAPANGAN-MEI</v>
      </c>
      <c r="C332" s="10">
        <v>0</v>
      </c>
      <c r="D332" s="10">
        <f ca="1"/>
        <v>1</v>
      </c>
      <c r="E332" s="10" t="str">
        <v>Abang Handri</v>
      </c>
      <c r="F332" s="10" t="str">
        <v>PPL</v>
      </c>
      <c r="G332" s="10" t="str">
        <v>6102072211780002</v>
      </c>
      <c r="H332" s="10" t="str">
        <v>KSA PADI</v>
      </c>
      <c r="I332" s="10" t="str">
        <v>KSA24-LAPANGAN-MEI-PPL-KSA PADI</v>
      </c>
      <c r="J332" s="10" t="str">
        <v>Segmen</v>
      </c>
      <c r="K332" s="66">
        <v>116000</v>
      </c>
      <c r="L332" s="10">
        <v>4</v>
      </c>
      <c r="M332" s="10">
        <v>464000</v>
      </c>
      <c r="N332" s="10">
        <v>0</v>
      </c>
      <c r="O332" s="67">
        <v>45443</v>
      </c>
      <c r="P332" s="10">
        <v>2024</v>
      </c>
      <c r="Q332" s="10">
        <v>5</v>
      </c>
      <c r="R332" s="10" t="str">
        <v>SURVEI-PPL</v>
      </c>
      <c r="S332" s="10" t="str">
        <v>610422040059-2024-5</v>
      </c>
      <c r="T332" s="10" t="str">
        <v>610422040059-2024-5-SURVEI-PPL</v>
      </c>
      <c r="U332" s="10">
        <v>1</v>
      </c>
      <c r="V332" s="10" t="e">
        <f ca="1"/>
        <v>#NAME?</v>
      </c>
      <c r="W332" s="67">
        <v>0</v>
      </c>
      <c r="X332" s="11" t="str">
        <v>Kerangka Sampel Area (KSA) 2024 Mei</v>
      </c>
      <c r="Y332" s="11" t="str">
        <v>MEMPAWAH HILIR</v>
      </c>
      <c r="Z332" s="11" t="str">
        <v>TERUSAN</v>
      </c>
      <c r="AA332" s="67">
        <v>45412</v>
      </c>
      <c r="AB332" s="67">
        <v>45413</v>
      </c>
      <c r="AC332" s="67">
        <v>45443</v>
      </c>
      <c r="AD332" s="67">
        <v>45442</v>
      </c>
      <c r="AE332" s="67">
        <v>45443</v>
      </c>
    </row>
    <row r="333" spans="1:31" ht="12.5">
      <c r="A333" s="10">
        <v>610422040061</v>
      </c>
      <c r="B333" s="10" t="str">
        <v>KSA24-LAPANGAN-MEI</v>
      </c>
      <c r="C333" s="10">
        <v>0</v>
      </c>
      <c r="D333" s="10">
        <f ca="1"/>
        <v>1</v>
      </c>
      <c r="E333" s="10" t="str">
        <v>Sabani</v>
      </c>
      <c r="F333" s="10" t="str">
        <v>PPL</v>
      </c>
      <c r="G333" s="10" t="str">
        <v>6102153112860003</v>
      </c>
      <c r="H333" s="10" t="str">
        <v>KSA PADI</v>
      </c>
      <c r="I333" s="10" t="str">
        <v>KSA24-LAPANGAN-MEI-PPL-KSA PADI</v>
      </c>
      <c r="J333" s="10" t="str">
        <v>Segmen</v>
      </c>
      <c r="K333" s="66">
        <v>116000</v>
      </c>
      <c r="L333" s="10">
        <v>3</v>
      </c>
      <c r="M333" s="10">
        <v>348000</v>
      </c>
      <c r="N333" s="10">
        <v>0</v>
      </c>
      <c r="O333" s="67">
        <v>45443</v>
      </c>
      <c r="P333" s="10">
        <v>2024</v>
      </c>
      <c r="Q333" s="10">
        <v>5</v>
      </c>
      <c r="R333" s="10" t="str">
        <v>SURVEI-PPL</v>
      </c>
      <c r="S333" s="10" t="str">
        <v>610422040061-2024-5</v>
      </c>
      <c r="T333" s="10" t="str">
        <v>610422040061-2024-5-SURVEI-PPL</v>
      </c>
      <c r="U333" s="10">
        <v>1</v>
      </c>
      <c r="V333" s="10" t="e">
        <f ca="1"/>
        <v>#NAME?</v>
      </c>
      <c r="W333" s="67">
        <v>0</v>
      </c>
      <c r="X333" s="11" t="str">
        <v>Kerangka Sampel Area (KSA) 2024 Mei</v>
      </c>
      <c r="Y333" s="11" t="str">
        <v>SEGEDONG</v>
      </c>
      <c r="Z333" s="11" t="str">
        <v>PENITI BESAR</v>
      </c>
      <c r="AA333" s="67">
        <v>45412</v>
      </c>
      <c r="AB333" s="67">
        <v>45413</v>
      </c>
      <c r="AC333" s="67">
        <v>45443</v>
      </c>
      <c r="AD333" s="67">
        <v>45442</v>
      </c>
      <c r="AE333" s="67">
        <v>45443</v>
      </c>
    </row>
    <row r="334" spans="1:31" ht="12.5">
      <c r="A334" s="10">
        <v>610422100131</v>
      </c>
      <c r="B334" s="10" t="str">
        <v>KSA24-LAPANGAN-MEI</v>
      </c>
      <c r="C334" s="10">
        <v>0</v>
      </c>
      <c r="D334" s="10">
        <f ca="1"/>
        <v>1</v>
      </c>
      <c r="E334" s="10" t="str">
        <v>Syamsul</v>
      </c>
      <c r="F334" s="10" t="str">
        <v>PPL</v>
      </c>
      <c r="G334" s="10" t="str">
        <v>6102150907860003</v>
      </c>
      <c r="H334" s="10" t="str">
        <v>KSA PADI</v>
      </c>
      <c r="I334" s="10" t="str">
        <v>KSA24-LAPANGAN-MEI-PPL-KSA PADI</v>
      </c>
      <c r="J334" s="10" t="str">
        <v>Segmen</v>
      </c>
      <c r="K334" s="66">
        <v>116000</v>
      </c>
      <c r="L334" s="10">
        <v>3</v>
      </c>
      <c r="M334" s="10">
        <v>348000</v>
      </c>
      <c r="N334" s="10">
        <v>0</v>
      </c>
      <c r="O334" s="67">
        <v>45443</v>
      </c>
      <c r="P334" s="10">
        <v>2024</v>
      </c>
      <c r="Q334" s="10">
        <v>5</v>
      </c>
      <c r="R334" s="10" t="str">
        <v>SURVEI-PPL</v>
      </c>
      <c r="S334" s="10" t="str">
        <v>610422100131-2024-5</v>
      </c>
      <c r="T334" s="10" t="str">
        <v>610422100131-2024-5-SURVEI-PPL</v>
      </c>
      <c r="U334" s="10">
        <v>1</v>
      </c>
      <c r="V334" s="10" t="e">
        <f ca="1"/>
        <v>#NAME?</v>
      </c>
      <c r="W334" s="67">
        <v>0</v>
      </c>
      <c r="X334" s="11" t="str">
        <v>Kerangka Sampel Area (KSA) 2024 Mei</v>
      </c>
      <c r="Y334" s="11" t="str">
        <v>SUNGAI KUNYIT</v>
      </c>
      <c r="Z334" s="11" t="str">
        <v>SUNGAI KUNYIT LAUT</v>
      </c>
      <c r="AA334" s="67">
        <v>45412</v>
      </c>
      <c r="AB334" s="67">
        <v>45413</v>
      </c>
      <c r="AC334" s="67">
        <v>45443</v>
      </c>
      <c r="AD334" s="67">
        <v>45442</v>
      </c>
      <c r="AE334" s="67">
        <v>45443</v>
      </c>
    </row>
    <row r="335" spans="1:31" ht="12.5">
      <c r="A335" s="10">
        <v>610422100244</v>
      </c>
      <c r="B335" s="10" t="str">
        <v>KSA24-LAPANGAN-MEI</v>
      </c>
      <c r="C335" s="10">
        <v>0</v>
      </c>
      <c r="D335" s="10">
        <f ca="1"/>
        <v>1</v>
      </c>
      <c r="E335" s="10" t="str">
        <v>Sugianto</v>
      </c>
      <c r="F335" s="10" t="str">
        <v>PPL</v>
      </c>
      <c r="G335" s="10" t="str">
        <v>6102171003900002</v>
      </c>
      <c r="H335" s="10" t="str">
        <v>KSA PADI</v>
      </c>
      <c r="I335" s="10" t="str">
        <v>KSA24-LAPANGAN-MEI-PPL-KSA PADI</v>
      </c>
      <c r="J335" s="10" t="str">
        <v>Segmen</v>
      </c>
      <c r="K335" s="66">
        <v>116000</v>
      </c>
      <c r="L335" s="10">
        <v>3</v>
      </c>
      <c r="M335" s="10">
        <v>348000</v>
      </c>
      <c r="N335" s="10">
        <v>0</v>
      </c>
      <c r="O335" s="67">
        <v>45443</v>
      </c>
      <c r="P335" s="10">
        <v>2024</v>
      </c>
      <c r="Q335" s="10">
        <v>5</v>
      </c>
      <c r="R335" s="10" t="str">
        <v>SURVEI-PPL</v>
      </c>
      <c r="S335" s="10" t="str">
        <v>610422100244-2024-5</v>
      </c>
      <c r="T335" s="10" t="str">
        <v>610422100244-2024-5-SURVEI-PPL</v>
      </c>
      <c r="U335" s="10">
        <v>1</v>
      </c>
      <c r="V335" s="10" t="e">
        <f ca="1"/>
        <v>#NAME?</v>
      </c>
      <c r="W335" s="67">
        <v>0</v>
      </c>
      <c r="X335" s="11" t="str">
        <v>Kerangka Sampel Area (KSA) 2024 Mei</v>
      </c>
      <c r="Y335" s="11" t="str">
        <v>SADANIANG</v>
      </c>
      <c r="Z335" s="11" t="str">
        <v>BUMBUN</v>
      </c>
      <c r="AA335" s="67">
        <v>45412</v>
      </c>
      <c r="AB335" s="67">
        <v>45413</v>
      </c>
      <c r="AC335" s="67">
        <v>45443</v>
      </c>
      <c r="AD335" s="67">
        <v>45442</v>
      </c>
      <c r="AE335" s="67">
        <v>45443</v>
      </c>
    </row>
    <row r="336" spans="1:31" ht="12.5">
      <c r="A336" s="10">
        <v>610422100176</v>
      </c>
      <c r="B336" s="10" t="str">
        <v>KSA24-LAPANGAN-MEI</v>
      </c>
      <c r="C336" s="10">
        <v>0</v>
      </c>
      <c r="D336" s="10">
        <f ca="1"/>
        <v>1</v>
      </c>
      <c r="E336" s="10" t="str">
        <v>Feri Firdaus</v>
      </c>
      <c r="F336" s="10" t="str">
        <v>PPL</v>
      </c>
      <c r="G336" s="10" t="str">
        <v>6102150412880001</v>
      </c>
      <c r="H336" s="10" t="str">
        <v>KSA PADI</v>
      </c>
      <c r="I336" s="10" t="str">
        <v>KSA24-LAPANGAN-MEI-PPL-KSA PADI</v>
      </c>
      <c r="J336" s="10" t="str">
        <v>Segmen</v>
      </c>
      <c r="K336" s="66">
        <v>116000</v>
      </c>
      <c r="L336" s="10">
        <v>3</v>
      </c>
      <c r="M336" s="10">
        <v>348000</v>
      </c>
      <c r="N336" s="10">
        <v>0</v>
      </c>
      <c r="O336" s="67">
        <v>45443</v>
      </c>
      <c r="P336" s="10">
        <v>2024</v>
      </c>
      <c r="Q336" s="10">
        <v>5</v>
      </c>
      <c r="R336" s="10" t="str">
        <v>SURVEI-PPL</v>
      </c>
      <c r="S336" s="10" t="str">
        <v>610422100176-2024-5</v>
      </c>
      <c r="T336" s="10" t="str">
        <v>610422100176-2024-5-SURVEI-PPL</v>
      </c>
      <c r="U336" s="10">
        <v>1</v>
      </c>
      <c r="V336" s="10" t="e">
        <f ca="1"/>
        <v>#NAME?</v>
      </c>
      <c r="W336" s="67">
        <v>0</v>
      </c>
      <c r="X336" s="11" t="str">
        <v>Kerangka Sampel Area (KSA) 2024 Mei</v>
      </c>
      <c r="Y336" s="11" t="str">
        <v>SEGEDONG</v>
      </c>
      <c r="Z336" s="11" t="str">
        <v>SUNGAI BURUNG</v>
      </c>
      <c r="AA336" s="67">
        <v>45412</v>
      </c>
      <c r="AB336" s="67">
        <v>45413</v>
      </c>
      <c r="AC336" s="67">
        <v>45443</v>
      </c>
      <c r="AD336" s="67">
        <v>45442</v>
      </c>
      <c r="AE336" s="67">
        <v>45443</v>
      </c>
    </row>
    <row r="337" spans="1:31" ht="12.5">
      <c r="A337" s="10">
        <v>610423110183</v>
      </c>
      <c r="B337" s="10" t="str">
        <v>KSA24-LAPANGAN-MEI</v>
      </c>
      <c r="C337" s="10">
        <v>0</v>
      </c>
      <c r="D337" s="10">
        <f ca="1"/>
        <v>1</v>
      </c>
      <c r="E337" s="10" t="str">
        <v>Azhar</v>
      </c>
      <c r="F337" s="10" t="str">
        <v>PPL</v>
      </c>
      <c r="G337" s="10" t="str">
        <v>6102081211790004</v>
      </c>
      <c r="H337" s="10" t="str">
        <v>KSA PADI</v>
      </c>
      <c r="I337" s="10" t="str">
        <v>KSA24-LAPANGAN-MEI-PPL-KSA PADI</v>
      </c>
      <c r="J337" s="10" t="str">
        <v>Segmen</v>
      </c>
      <c r="K337" s="66">
        <v>116000</v>
      </c>
      <c r="L337" s="10">
        <v>6</v>
      </c>
      <c r="M337" s="10">
        <v>696000</v>
      </c>
      <c r="N337" s="10">
        <v>0</v>
      </c>
      <c r="O337" s="67">
        <v>45443</v>
      </c>
      <c r="P337" s="10">
        <v>2024</v>
      </c>
      <c r="Q337" s="10">
        <v>5</v>
      </c>
      <c r="R337" s="10" t="str">
        <v>SURVEI-PPL</v>
      </c>
      <c r="S337" s="10" t="str">
        <v>610423110183-2024-5</v>
      </c>
      <c r="T337" s="10" t="str">
        <v>610423110183-2024-5-SURVEI-PPL</v>
      </c>
      <c r="U337" s="10">
        <v>1</v>
      </c>
      <c r="V337" s="10" t="e">
        <f ca="1"/>
        <v>#NAME?</v>
      </c>
      <c r="W337" s="67">
        <v>0</v>
      </c>
      <c r="X337" s="11" t="str">
        <v>Kerangka Sampel Area (KSA) 2024 Mei</v>
      </c>
      <c r="Y337" s="11" t="str">
        <v>JONGKAT</v>
      </c>
      <c r="Z337" s="11" t="str">
        <v>SUNGAI NIPAH</v>
      </c>
      <c r="AA337" s="67">
        <v>45412</v>
      </c>
      <c r="AB337" s="67">
        <v>45413</v>
      </c>
      <c r="AC337" s="67">
        <v>45443</v>
      </c>
      <c r="AD337" s="67">
        <v>45442</v>
      </c>
      <c r="AE337" s="67">
        <v>45443</v>
      </c>
    </row>
    <row r="338" spans="1:31" ht="12.5">
      <c r="A338" s="10">
        <v>610423040018</v>
      </c>
      <c r="B338" s="10" t="str">
        <v>KSA24-LAPANGAN-MEI</v>
      </c>
      <c r="C338" s="10">
        <v>0</v>
      </c>
      <c r="D338" s="10">
        <f ca="1"/>
        <v>1</v>
      </c>
      <c r="E338" s="10" t="str">
        <v>Handoko Tuah Sabarman Sipayung</v>
      </c>
      <c r="F338" s="10" t="str">
        <v>PPL</v>
      </c>
      <c r="G338" s="10" t="str">
        <v>1212092309880001</v>
      </c>
      <c r="H338" s="10" t="str">
        <v>KSA PADI</v>
      </c>
      <c r="I338" s="10" t="str">
        <v>KSA24-LAPANGAN-MEI-PPL-KSA PADI</v>
      </c>
      <c r="J338" s="10" t="str">
        <v>Segmen</v>
      </c>
      <c r="K338" s="66">
        <v>116000</v>
      </c>
      <c r="L338" s="10">
        <v>4</v>
      </c>
      <c r="M338" s="10">
        <v>464000</v>
      </c>
      <c r="N338" s="10">
        <v>0</v>
      </c>
      <c r="O338" s="67">
        <v>45443</v>
      </c>
      <c r="P338" s="10">
        <v>2024</v>
      </c>
      <c r="Q338" s="10">
        <v>5</v>
      </c>
      <c r="R338" s="10" t="str">
        <v>SURVEI-PPL</v>
      </c>
      <c r="S338" s="10" t="str">
        <v>610423040018-2024-5</v>
      </c>
      <c r="T338" s="10" t="str">
        <v>610423040018-2024-5-SURVEI-PPL</v>
      </c>
      <c r="U338" s="10">
        <v>1</v>
      </c>
      <c r="V338" s="10" t="e">
        <f ca="1"/>
        <v>#NAME?</v>
      </c>
      <c r="W338" s="67">
        <v>0</v>
      </c>
      <c r="X338" s="11" t="str">
        <v>Kerangka Sampel Area (KSA) 2024 Mei</v>
      </c>
      <c r="Y338" s="11" t="str">
        <v>TOHO</v>
      </c>
      <c r="Z338" s="11" t="str">
        <v>PAK LAHENG</v>
      </c>
      <c r="AA338" s="67">
        <v>45412</v>
      </c>
      <c r="AB338" s="67">
        <v>45413</v>
      </c>
      <c r="AC338" s="67">
        <v>45443</v>
      </c>
      <c r="AD338" s="67">
        <v>45442</v>
      </c>
      <c r="AE338" s="67">
        <v>45443</v>
      </c>
    </row>
    <row r="339" spans="1:31" ht="12.5">
      <c r="A339" s="10">
        <v>610422040059</v>
      </c>
      <c r="B339" s="10" t="str">
        <v>KSA24-LAPANGAN-MEI</v>
      </c>
      <c r="C339" s="10">
        <v>0</v>
      </c>
      <c r="D339" s="10">
        <f ca="1"/>
        <v>1</v>
      </c>
      <c r="E339" s="10" t="str">
        <v>Abang Handri</v>
      </c>
      <c r="F339" s="10" t="str">
        <v>PPL</v>
      </c>
      <c r="G339" s="10" t="str">
        <v>6102072211780002</v>
      </c>
      <c r="H339" s="10" t="str">
        <v>KSA JAGUNG</v>
      </c>
      <c r="I339" s="10" t="str">
        <v>KSA24-LAPANGAN-MEI-PPL-KSA JAGUNG</v>
      </c>
      <c r="J339" s="10" t="str">
        <v>Segmen</v>
      </c>
      <c r="K339" s="66">
        <v>59000</v>
      </c>
      <c r="L339" s="10">
        <v>6</v>
      </c>
      <c r="M339" s="10">
        <v>354000</v>
      </c>
      <c r="N339" s="10">
        <v>0</v>
      </c>
      <c r="O339" s="67">
        <v>45443</v>
      </c>
      <c r="P339" s="10">
        <v>2024</v>
      </c>
      <c r="Q339" s="10">
        <v>5</v>
      </c>
      <c r="R339" s="10" t="str">
        <v>SURVEI-PPL</v>
      </c>
      <c r="S339" s="10" t="str">
        <v>610422040059-2024-5</v>
      </c>
      <c r="T339" s="10" t="str">
        <v>610422040059-2024-5-SURVEI-PPL</v>
      </c>
      <c r="U339" s="10">
        <v>1</v>
      </c>
      <c r="V339" s="10" t="e">
        <f ca="1"/>
        <v>#NAME?</v>
      </c>
      <c r="W339" s="67">
        <v>0</v>
      </c>
      <c r="X339" s="11" t="str">
        <v>Kerangka Sampel Area (KSA) 2024 Mei</v>
      </c>
      <c r="Y339" s="11" t="str">
        <v>MEMPAWAH HILIR</v>
      </c>
      <c r="Z339" s="11" t="str">
        <v>TERUSAN</v>
      </c>
      <c r="AA339" s="67">
        <v>45412</v>
      </c>
      <c r="AB339" s="67">
        <v>45413</v>
      </c>
      <c r="AC339" s="67">
        <v>45443</v>
      </c>
      <c r="AD339" s="67">
        <v>45442</v>
      </c>
      <c r="AE339" s="67">
        <v>45443</v>
      </c>
    </row>
    <row r="340" spans="1:31" ht="12.5">
      <c r="A340" s="10">
        <v>610422020048</v>
      </c>
      <c r="B340" s="10" t="str">
        <v>KSA24-LAPANGAN-MEI</v>
      </c>
      <c r="C340" s="10">
        <v>0</v>
      </c>
      <c r="D340" s="10">
        <f ca="1"/>
        <v>1</v>
      </c>
      <c r="E340" s="10" t="str">
        <v>Herri Gustaman</v>
      </c>
      <c r="F340" s="10" t="str">
        <v>PPL</v>
      </c>
      <c r="G340" s="10" t="str">
        <v>6102072503800001</v>
      </c>
      <c r="H340" s="10" t="str">
        <v>KSA JAGUNG</v>
      </c>
      <c r="I340" s="10" t="str">
        <v>KSA24-LAPANGAN-MEI-PPL-KSA JAGUNG</v>
      </c>
      <c r="J340" s="10" t="str">
        <v>Segmen</v>
      </c>
      <c r="K340" s="66">
        <v>59000</v>
      </c>
      <c r="L340" s="10">
        <v>6</v>
      </c>
      <c r="M340" s="10">
        <v>354000</v>
      </c>
      <c r="N340" s="10">
        <v>0</v>
      </c>
      <c r="O340" s="67">
        <v>45443</v>
      </c>
      <c r="P340" s="10">
        <v>2024</v>
      </c>
      <c r="Q340" s="10">
        <v>5</v>
      </c>
      <c r="R340" s="10" t="str">
        <v>SURVEI-PPL</v>
      </c>
      <c r="S340" s="10" t="str">
        <v>610422020048-2024-5</v>
      </c>
      <c r="T340" s="10" t="str">
        <v>610422020048-2024-5-SURVEI-PPL</v>
      </c>
      <c r="U340" s="10">
        <v>1</v>
      </c>
      <c r="V340" s="10" t="e">
        <f ca="1"/>
        <v>#NAME?</v>
      </c>
      <c r="W340" s="67">
        <v>0</v>
      </c>
      <c r="X340" s="11" t="str">
        <v>Kerangka Sampel Area (KSA) 2024 Mei</v>
      </c>
      <c r="Y340" s="11" t="str">
        <v>MEMPAWAH TIMUR</v>
      </c>
      <c r="Z340" s="11" t="str">
        <v>SEJEGI</v>
      </c>
      <c r="AA340" s="67">
        <v>45412</v>
      </c>
      <c r="AB340" s="67">
        <v>45413</v>
      </c>
      <c r="AC340" s="67">
        <v>45443</v>
      </c>
      <c r="AD340" s="67">
        <v>45442</v>
      </c>
      <c r="AE340" s="67">
        <v>45443</v>
      </c>
    </row>
    <row r="341" spans="1:31" ht="12.5">
      <c r="A341" s="10">
        <v>610422040058</v>
      </c>
      <c r="B341" s="10" t="str">
        <v>KSA24-LAPANGAN-MEI</v>
      </c>
      <c r="C341" s="10">
        <v>0</v>
      </c>
      <c r="D341" s="10">
        <f ca="1"/>
        <v>1</v>
      </c>
      <c r="E341" s="10" t="str">
        <v>Jamaluddin, Sp</v>
      </c>
      <c r="F341" s="10" t="str">
        <v>PPL</v>
      </c>
      <c r="G341" s="10" t="str">
        <v>6102152607940002</v>
      </c>
      <c r="H341" s="10" t="str">
        <v>KSA JAGUNG</v>
      </c>
      <c r="I341" s="10" t="str">
        <v>KSA24-LAPANGAN-MEI-PPL-KSA JAGUNG</v>
      </c>
      <c r="J341" s="10" t="str">
        <v>Segmen</v>
      </c>
      <c r="K341" s="66">
        <v>59000</v>
      </c>
      <c r="L341" s="10">
        <v>10</v>
      </c>
      <c r="M341" s="10">
        <v>590000</v>
      </c>
      <c r="N341" s="10">
        <v>0</v>
      </c>
      <c r="O341" s="67">
        <v>45443</v>
      </c>
      <c r="P341" s="10">
        <v>2024</v>
      </c>
      <c r="Q341" s="10">
        <v>5</v>
      </c>
      <c r="R341" s="10" t="str">
        <v>SURVEI-PPL</v>
      </c>
      <c r="S341" s="10" t="str">
        <v>610422040058-2024-5</v>
      </c>
      <c r="T341" s="10" t="str">
        <v>610422040058-2024-5-SURVEI-PPL</v>
      </c>
      <c r="U341" s="10">
        <v>1</v>
      </c>
      <c r="V341" s="10" t="e">
        <f ca="1"/>
        <v>#NAME?</v>
      </c>
      <c r="W341" s="67">
        <v>0</v>
      </c>
      <c r="X341" s="11" t="str">
        <v>Kerangka Sampel Area (KSA) 2024 Mei</v>
      </c>
      <c r="Y341" s="11" t="str">
        <v>SEGEDONG</v>
      </c>
      <c r="Z341" s="11" t="str">
        <v>PENITI DALAM I</v>
      </c>
      <c r="AA341" s="67">
        <v>45412</v>
      </c>
      <c r="AB341" s="67">
        <v>45413</v>
      </c>
      <c r="AC341" s="67">
        <v>45443</v>
      </c>
      <c r="AD341" s="67">
        <v>45442</v>
      </c>
      <c r="AE341" s="67">
        <v>45443</v>
      </c>
    </row>
    <row r="342" spans="1:31" ht="12.5">
      <c r="A342" s="10">
        <v>610423110183</v>
      </c>
      <c r="B342" s="10" t="str">
        <v>KSA24-LAPANGAN-MEI</v>
      </c>
      <c r="C342" s="10">
        <v>0</v>
      </c>
      <c r="D342" s="10">
        <f ca="1"/>
        <v>1</v>
      </c>
      <c r="E342" s="10" t="str">
        <v>Azhar</v>
      </c>
      <c r="F342" s="10" t="str">
        <v>PPL</v>
      </c>
      <c r="G342" s="10" t="str">
        <v>6102081211790004</v>
      </c>
      <c r="H342" s="10" t="str">
        <v>KSA JAGUNG</v>
      </c>
      <c r="I342" s="10" t="str">
        <v>KSA24-LAPANGAN-MEI-PPL-KSA JAGUNG</v>
      </c>
      <c r="J342" s="10" t="str">
        <v>Segmen</v>
      </c>
      <c r="K342" s="66">
        <v>59000</v>
      </c>
      <c r="L342" s="10">
        <v>6</v>
      </c>
      <c r="M342" s="10">
        <v>354000</v>
      </c>
      <c r="N342" s="10">
        <v>0</v>
      </c>
      <c r="O342" s="67">
        <v>45443</v>
      </c>
      <c r="P342" s="10">
        <v>2024</v>
      </c>
      <c r="Q342" s="10">
        <v>5</v>
      </c>
      <c r="R342" s="10" t="str">
        <v>SURVEI-PPL</v>
      </c>
      <c r="S342" s="10" t="str">
        <v>610423110183-2024-5</v>
      </c>
      <c r="T342" s="10" t="str">
        <v>610423110183-2024-5-SURVEI-PPL</v>
      </c>
      <c r="U342" s="10">
        <v>1</v>
      </c>
      <c r="V342" s="10" t="e">
        <f ca="1"/>
        <v>#NAME?</v>
      </c>
      <c r="W342" s="67">
        <v>0</v>
      </c>
      <c r="X342" s="11" t="str">
        <v>Kerangka Sampel Area (KSA) 2024 Mei</v>
      </c>
      <c r="Y342" s="11" t="str">
        <v>JONGKAT</v>
      </c>
      <c r="Z342" s="11" t="str">
        <v>SUNGAI NIPAH</v>
      </c>
      <c r="AA342" s="67">
        <v>45412</v>
      </c>
      <c r="AB342" s="67">
        <v>45413</v>
      </c>
      <c r="AC342" s="67">
        <v>45443</v>
      </c>
      <c r="AD342" s="67">
        <v>45442</v>
      </c>
      <c r="AE342" s="67">
        <v>45443</v>
      </c>
    </row>
    <row r="343" spans="1:31" ht="12.5">
      <c r="A343" s="10">
        <v>610422100244</v>
      </c>
      <c r="B343" s="10" t="str">
        <v>KSA24-LAPANGAN-MEI</v>
      </c>
      <c r="C343" s="10">
        <v>0</v>
      </c>
      <c r="D343" s="10">
        <f ca="1"/>
        <v>1</v>
      </c>
      <c r="E343" s="10" t="str">
        <v>Sugianto</v>
      </c>
      <c r="F343" s="10" t="str">
        <v>PPL</v>
      </c>
      <c r="G343" s="10" t="str">
        <v>6102171003900002</v>
      </c>
      <c r="H343" s="10" t="str">
        <v>KSA JAGUNG</v>
      </c>
      <c r="I343" s="10" t="str">
        <v>KSA24-LAPANGAN-MEI-PPL-KSA JAGUNG</v>
      </c>
      <c r="J343" s="10" t="str">
        <v>Segmen</v>
      </c>
      <c r="K343" s="66">
        <v>59000</v>
      </c>
      <c r="L343" s="10">
        <v>8</v>
      </c>
      <c r="M343" s="10">
        <v>472000</v>
      </c>
      <c r="N343" s="10">
        <v>0</v>
      </c>
      <c r="O343" s="67">
        <v>45443</v>
      </c>
      <c r="P343" s="10">
        <v>2024</v>
      </c>
      <c r="Q343" s="10">
        <v>5</v>
      </c>
      <c r="R343" s="10" t="str">
        <v>SURVEI-PPL</v>
      </c>
      <c r="S343" s="10" t="str">
        <v>610422100244-2024-5</v>
      </c>
      <c r="T343" s="10" t="str">
        <v>610422100244-2024-5-SURVEI-PPL</v>
      </c>
      <c r="U343" s="10">
        <v>1</v>
      </c>
      <c r="V343" s="10" t="e">
        <f ca="1"/>
        <v>#NAME?</v>
      </c>
      <c r="W343" s="67">
        <v>0</v>
      </c>
      <c r="X343" s="11" t="str">
        <v>Kerangka Sampel Area (KSA) 2024 Mei</v>
      </c>
      <c r="Y343" s="11" t="str">
        <v>SADANIANG</v>
      </c>
      <c r="Z343" s="11" t="str">
        <v>BUMBUN</v>
      </c>
      <c r="AA343" s="67">
        <v>45412</v>
      </c>
      <c r="AB343" s="67">
        <v>45413</v>
      </c>
      <c r="AC343" s="67">
        <v>45443</v>
      </c>
      <c r="AD343" s="67">
        <v>45442</v>
      </c>
      <c r="AE343" s="67">
        <v>45443</v>
      </c>
    </row>
    <row r="344" spans="1:31" ht="12.5">
      <c r="A344" s="10">
        <v>610422040012</v>
      </c>
      <c r="B344" s="10" t="str">
        <v>UBINAN24-LAPANGAN-SR1-2</v>
      </c>
      <c r="C344" s="10">
        <v>0</v>
      </c>
      <c r="D344" s="10">
        <f ca="1"/>
        <v>1</v>
      </c>
      <c r="E344" s="10" t="str">
        <v>Misdi</v>
      </c>
      <c r="F344" s="10" t="str">
        <v>PPL</v>
      </c>
      <c r="G344" s="10" t="str">
        <v>6102070706940001</v>
      </c>
      <c r="H344" s="10" t="str">
        <v>Dokumen</v>
      </c>
      <c r="I344" s="10" t="str">
        <v>UBINAN24-LAPANGAN-SR1-2-PPL-PALAWIJA</v>
      </c>
      <c r="J344" s="10" t="str">
        <v>Dokumen</v>
      </c>
      <c r="K344" s="66">
        <v>78000</v>
      </c>
      <c r="L344" s="10">
        <v>25</v>
      </c>
      <c r="M344" s="10">
        <v>1950000</v>
      </c>
      <c r="N344" s="10">
        <v>0</v>
      </c>
      <c r="O344" s="67">
        <v>45443</v>
      </c>
      <c r="P344" s="10">
        <v>2024</v>
      </c>
      <c r="Q344" s="10">
        <v>5</v>
      </c>
      <c r="R344" s="10" t="str">
        <v>SURVEI-PPL</v>
      </c>
      <c r="S344" s="10" t="str">
        <v>610422040012-2024-5</v>
      </c>
      <c r="T344" s="10" t="str">
        <v>610422040012-2024-5-SURVEI-PPL</v>
      </c>
      <c r="U344" s="10">
        <v>1</v>
      </c>
      <c r="V344" s="10" t="e">
        <f ca="1"/>
        <v>#NAME?</v>
      </c>
      <c r="W344" s="67">
        <v>0</v>
      </c>
      <c r="X344" s="11" t="str">
        <v>Survei Ubinan 2024 Subround 1 dan 2</v>
      </c>
      <c r="Y344" s="11" t="str">
        <v>SUNGAI PINYUH</v>
      </c>
      <c r="Z344" s="11" t="str">
        <v>SUNGAI BAKAU BESAR DARAT</v>
      </c>
      <c r="AA344" s="67">
        <v>45412</v>
      </c>
      <c r="AB344" s="67">
        <v>45413</v>
      </c>
      <c r="AC344" s="67">
        <v>45443</v>
      </c>
      <c r="AD344" s="67">
        <v>45442</v>
      </c>
      <c r="AE344" s="67">
        <v>45443</v>
      </c>
    </row>
    <row r="345" spans="1:31" ht="12.5">
      <c r="A345" s="10">
        <v>610422040012</v>
      </c>
      <c r="B345" s="10" t="str">
        <v>UBINAN24-LAPANGAN-SR1-2</v>
      </c>
      <c r="C345" s="10">
        <v>0</v>
      </c>
      <c r="D345" s="10">
        <f ca="1"/>
        <v>1</v>
      </c>
      <c r="E345" s="10" t="str">
        <v>Misdi</v>
      </c>
      <c r="F345" s="10" t="str">
        <v>PPL</v>
      </c>
      <c r="G345" s="10" t="str">
        <v>6102070706940001</v>
      </c>
      <c r="H345" s="10" t="str">
        <v>Dokumen</v>
      </c>
      <c r="I345" s="10" t="str">
        <v>UBINAN24-LAPANGAN-SR1-2-PPL-PADI</v>
      </c>
      <c r="J345" s="10" t="str">
        <v>Dokumen</v>
      </c>
      <c r="K345" s="66">
        <v>78000</v>
      </c>
      <c r="L345" s="10">
        <v>11</v>
      </c>
      <c r="M345" s="10">
        <v>858000</v>
      </c>
      <c r="N345" s="10">
        <v>0</v>
      </c>
      <c r="O345" s="67">
        <v>45443</v>
      </c>
      <c r="P345" s="10">
        <v>2024</v>
      </c>
      <c r="Q345" s="10">
        <v>5</v>
      </c>
      <c r="R345" s="10" t="str">
        <v>SURVEI-PPL</v>
      </c>
      <c r="S345" s="10" t="str">
        <v>610422040012-2024-5</v>
      </c>
      <c r="T345" s="10" t="str">
        <v>610422040012-2024-5-SURVEI-PPL</v>
      </c>
      <c r="U345" s="10">
        <v>1</v>
      </c>
      <c r="V345" s="10" t="e">
        <f ca="1"/>
        <v>#NAME?</v>
      </c>
      <c r="W345" s="67">
        <v>0</v>
      </c>
      <c r="X345" s="11" t="str">
        <v>Survei Ubinan 2024 Subround 1 dan 2</v>
      </c>
      <c r="Y345" s="11" t="str">
        <v>SUNGAI PINYUH</v>
      </c>
      <c r="Z345" s="11" t="str">
        <v>SUNGAI BAKAU BESAR DARAT</v>
      </c>
      <c r="AA345" s="67">
        <v>45412</v>
      </c>
      <c r="AB345" s="67">
        <v>45413</v>
      </c>
      <c r="AC345" s="67">
        <v>45443</v>
      </c>
      <c r="AD345" s="67">
        <v>45442</v>
      </c>
      <c r="AE345" s="67">
        <v>45443</v>
      </c>
    </row>
    <row r="346" spans="1:31" ht="12.5">
      <c r="A346" s="10">
        <v>610423040018</v>
      </c>
      <c r="B346" s="10" t="str">
        <v>UBINAN24-LAPANGAN-SR1-2</v>
      </c>
      <c r="C346" s="10">
        <v>0</v>
      </c>
      <c r="D346" s="10">
        <f ca="1"/>
        <v>1</v>
      </c>
      <c r="E346" s="10" t="str">
        <v>Handoko Tuah Sabarman Sipayung</v>
      </c>
      <c r="F346" s="10" t="str">
        <v>PPL</v>
      </c>
      <c r="G346" s="10" t="str">
        <v>1212092309880001</v>
      </c>
      <c r="H346" s="10" t="str">
        <v>Dokumen</v>
      </c>
      <c r="I346" s="10" t="str">
        <v>UBINAN24-LAPANGAN-SR1-2-PPL-PADI</v>
      </c>
      <c r="J346" s="10" t="str">
        <v>Dokumen</v>
      </c>
      <c r="K346" s="66">
        <v>78000</v>
      </c>
      <c r="L346" s="10">
        <v>4</v>
      </c>
      <c r="M346" s="10">
        <v>312000</v>
      </c>
      <c r="N346" s="70">
        <v>0</v>
      </c>
      <c r="O346" s="67">
        <v>45443</v>
      </c>
      <c r="P346" s="10">
        <v>2024</v>
      </c>
      <c r="Q346" s="10">
        <v>5</v>
      </c>
      <c r="R346" s="10" t="str">
        <v>SURVEI-PPL</v>
      </c>
      <c r="S346" s="10" t="str">
        <v>610423040018-2024-5</v>
      </c>
      <c r="T346" s="10" t="str">
        <v>610423040018-2024-5-SURVEI-PPL</v>
      </c>
      <c r="U346" s="10">
        <v>1</v>
      </c>
      <c r="V346" s="10" t="e">
        <f ca="1"/>
        <v>#NAME?</v>
      </c>
      <c r="W346" s="67">
        <v>0</v>
      </c>
      <c r="X346" s="11" t="str">
        <v>Survei Ubinan 2024 Subround 1 dan 2</v>
      </c>
      <c r="Y346" s="11" t="str">
        <v>TOHO</v>
      </c>
      <c r="Z346" s="11" t="str">
        <v>PAK LAHENG</v>
      </c>
      <c r="AA346" s="67">
        <v>45412</v>
      </c>
      <c r="AB346" s="67">
        <v>45413</v>
      </c>
      <c r="AC346" s="67">
        <v>45443</v>
      </c>
      <c r="AD346" s="67">
        <v>45442</v>
      </c>
      <c r="AE346" s="67">
        <v>45443</v>
      </c>
    </row>
    <row r="347" spans="1:31" ht="12.5">
      <c r="A347" s="10">
        <v>610422020016</v>
      </c>
      <c r="B347" s="10" t="str">
        <v>UBINAN24-LAPANGAN-SR1-2</v>
      </c>
      <c r="C347" s="10">
        <v>0</v>
      </c>
      <c r="D347" s="10">
        <f ca="1"/>
        <v>1</v>
      </c>
      <c r="E347" s="10" t="str">
        <v>Abdul Aziz</v>
      </c>
      <c r="F347" s="10" t="str">
        <v>PPL</v>
      </c>
      <c r="G347" s="10" t="str">
        <v>6102061507950006</v>
      </c>
      <c r="H347" s="10" t="str">
        <v>Dokumen</v>
      </c>
      <c r="I347" s="10" t="str">
        <v>UBINAN24-LAPANGAN-SR1-2-PPL-PADI</v>
      </c>
      <c r="J347" s="10" t="str">
        <v>Dokumen</v>
      </c>
      <c r="K347" s="66">
        <v>78000</v>
      </c>
      <c r="L347" s="10">
        <v>3</v>
      </c>
      <c r="M347" s="10">
        <v>234000</v>
      </c>
      <c r="N347" s="70">
        <v>0</v>
      </c>
      <c r="O347" s="67">
        <v>45443</v>
      </c>
      <c r="P347" s="10">
        <v>2024</v>
      </c>
      <c r="Q347" s="10">
        <v>5</v>
      </c>
      <c r="R347" s="10" t="str">
        <v>SURVEI-PPL</v>
      </c>
      <c r="S347" s="10" t="str">
        <v>610422020016-2024-5</v>
      </c>
      <c r="T347" s="10" t="str">
        <v>610422020016-2024-5-SURVEI-PPL</v>
      </c>
      <c r="U347" s="10">
        <v>1</v>
      </c>
      <c r="V347" s="10" t="e">
        <f ca="1"/>
        <v>#NAME?</v>
      </c>
      <c r="W347" s="67">
        <v>0</v>
      </c>
      <c r="X347" s="11" t="str">
        <v>Survei Ubinan 2024 Subround 1 dan 2</v>
      </c>
      <c r="Y347" s="11" t="str">
        <v>TOHO</v>
      </c>
      <c r="Z347" s="11" t="str">
        <v>SAMBORA</v>
      </c>
      <c r="AA347" s="67">
        <v>45412</v>
      </c>
      <c r="AB347" s="67">
        <v>45413</v>
      </c>
      <c r="AC347" s="67">
        <v>45443</v>
      </c>
      <c r="AD347" s="67">
        <v>45442</v>
      </c>
      <c r="AE347" s="67">
        <v>45443</v>
      </c>
    </row>
    <row r="348" spans="1:31" ht="12.5">
      <c r="A348" s="10">
        <v>610422040059</v>
      </c>
      <c r="B348" s="10" t="str">
        <v>UBINAN24-LAPANGAN-SR1-2</v>
      </c>
      <c r="C348" s="10">
        <v>0</v>
      </c>
      <c r="D348" s="10">
        <f ca="1"/>
        <v>1</v>
      </c>
      <c r="E348" s="10" t="str">
        <v>Abang Handri</v>
      </c>
      <c r="F348" s="10" t="str">
        <v>PPL</v>
      </c>
      <c r="G348" s="10" t="str">
        <v>6102072211780002</v>
      </c>
      <c r="H348" s="10" t="str">
        <v>Dokumen</v>
      </c>
      <c r="I348" s="10" t="str">
        <v>UBINAN24-LAPANGAN-SR1-2-PPL-PADI</v>
      </c>
      <c r="J348" s="10" t="str">
        <v>Dokumen</v>
      </c>
      <c r="K348" s="66">
        <v>78000</v>
      </c>
      <c r="L348" s="10">
        <v>1</v>
      </c>
      <c r="M348" s="10">
        <v>78000</v>
      </c>
      <c r="N348" s="70">
        <v>0</v>
      </c>
      <c r="O348" s="67">
        <v>45443</v>
      </c>
      <c r="P348" s="10">
        <v>2024</v>
      </c>
      <c r="Q348" s="10">
        <v>5</v>
      </c>
      <c r="R348" s="10" t="str">
        <v>SURVEI-PPL</v>
      </c>
      <c r="S348" s="10" t="str">
        <v>610422040059-2024-5</v>
      </c>
      <c r="T348" s="10" t="str">
        <v>610422040059-2024-5-SURVEI-PPL</v>
      </c>
      <c r="U348" s="10">
        <v>1</v>
      </c>
      <c r="V348" s="10" t="e">
        <f ca="1"/>
        <v>#NAME?</v>
      </c>
      <c r="W348" s="67">
        <v>0</v>
      </c>
      <c r="X348" s="11" t="str">
        <v>Survei Ubinan 2024 Subround 1 dan 2</v>
      </c>
      <c r="Y348" s="11" t="str">
        <v>MEMPAWAH HILIR</v>
      </c>
      <c r="Z348" s="11" t="str">
        <v>TERUSAN</v>
      </c>
      <c r="AA348" s="67">
        <v>45412</v>
      </c>
      <c r="AB348" s="67">
        <v>45413</v>
      </c>
      <c r="AC348" s="67">
        <v>45443</v>
      </c>
      <c r="AD348" s="67">
        <v>45442</v>
      </c>
      <c r="AE348" s="67">
        <v>45443</v>
      </c>
    </row>
    <row r="349" spans="1:31" ht="12.5">
      <c r="A349" s="10">
        <v>610422100176</v>
      </c>
      <c r="B349" s="10" t="str">
        <v>UBINAN24-LAPANGAN-SR1-2</v>
      </c>
      <c r="C349" s="10">
        <v>0</v>
      </c>
      <c r="D349" s="10">
        <f ca="1"/>
        <v>1</v>
      </c>
      <c r="E349" s="10" t="str">
        <v>Feri Firdaus</v>
      </c>
      <c r="F349" s="10" t="str">
        <v>PPL</v>
      </c>
      <c r="G349" s="10" t="str">
        <v>6102150412880001</v>
      </c>
      <c r="H349" s="10" t="str">
        <v>Dokumen</v>
      </c>
      <c r="I349" s="10" t="str">
        <v>UBINAN24-LAPANGAN-SR1-2-PPL-PADI</v>
      </c>
      <c r="J349" s="10" t="str">
        <v>Dokumen</v>
      </c>
      <c r="K349" s="66">
        <v>78000</v>
      </c>
      <c r="L349" s="10">
        <v>1</v>
      </c>
      <c r="M349" s="10">
        <v>78000</v>
      </c>
      <c r="N349" s="70">
        <v>0</v>
      </c>
      <c r="O349" s="67">
        <v>45443</v>
      </c>
      <c r="P349" s="10">
        <v>2024</v>
      </c>
      <c r="Q349" s="10">
        <v>5</v>
      </c>
      <c r="R349" s="10" t="str">
        <v>SURVEI-PPL</v>
      </c>
      <c r="S349" s="10" t="str">
        <v>610422100176-2024-5</v>
      </c>
      <c r="T349" s="10" t="str">
        <v>610422100176-2024-5-SURVEI-PPL</v>
      </c>
      <c r="U349" s="10">
        <v>1</v>
      </c>
      <c r="V349" s="10" t="e">
        <f ca="1"/>
        <v>#NAME?</v>
      </c>
      <c r="W349" s="67">
        <v>0</v>
      </c>
      <c r="X349" s="11" t="str">
        <v>Survei Ubinan 2024 Subround 1 dan 2</v>
      </c>
      <c r="Y349" s="11" t="str">
        <v>SEGEDONG</v>
      </c>
      <c r="Z349" s="11" t="str">
        <v>SUNGAI BURUNG</v>
      </c>
      <c r="AA349" s="67">
        <v>45412</v>
      </c>
      <c r="AB349" s="67">
        <v>45413</v>
      </c>
      <c r="AC349" s="67">
        <v>45443</v>
      </c>
      <c r="AD349" s="67">
        <v>45442</v>
      </c>
      <c r="AE349" s="67">
        <v>45443</v>
      </c>
    </row>
    <row r="350" spans="1:31" ht="12.5">
      <c r="A350" s="10">
        <v>610422100006</v>
      </c>
      <c r="B350" s="10" t="str">
        <v>UBINAN24-LAPANGAN-SR1-2</v>
      </c>
      <c r="C350" s="10">
        <v>0</v>
      </c>
      <c r="D350" s="10">
        <f ca="1"/>
        <v>1</v>
      </c>
      <c r="E350" s="10" t="str">
        <v>Dandy</v>
      </c>
      <c r="F350" s="10" t="str">
        <v>PPL</v>
      </c>
      <c r="G350" s="10" t="str">
        <v>6102082010980003</v>
      </c>
      <c r="H350" s="10" t="str">
        <v>Dokumen</v>
      </c>
      <c r="I350" s="10" t="str">
        <v>UBINAN24-LAPANGAN-SR1-2-PPL-PADI</v>
      </c>
      <c r="J350" s="10" t="str">
        <v>Dokumen</v>
      </c>
      <c r="K350" s="66">
        <v>78000</v>
      </c>
      <c r="L350" s="10">
        <v>4</v>
      </c>
      <c r="M350" s="10">
        <v>312000</v>
      </c>
      <c r="N350" s="70">
        <v>0</v>
      </c>
      <c r="O350" s="67">
        <v>45443</v>
      </c>
      <c r="P350" s="10">
        <v>2024</v>
      </c>
      <c r="Q350" s="10">
        <v>5</v>
      </c>
      <c r="R350" s="10" t="str">
        <v>SURVEI-PPL</v>
      </c>
      <c r="S350" s="10" t="str">
        <v>610422100006-2024-5</v>
      </c>
      <c r="T350" s="10" t="str">
        <v>610422100006-2024-5-SURVEI-PPL</v>
      </c>
      <c r="U350" s="10">
        <v>1</v>
      </c>
      <c r="V350" s="10" t="e">
        <f ca="1"/>
        <v>#NAME?</v>
      </c>
      <c r="W350" s="67">
        <v>0</v>
      </c>
      <c r="X350" s="11" t="str">
        <v>Survei Ubinan 2024 Subround 1 dan 2</v>
      </c>
      <c r="Y350" s="11" t="str">
        <v>JONGKAT</v>
      </c>
      <c r="Z350" s="11" t="str">
        <v>PENITI LUAR</v>
      </c>
      <c r="AA350" s="67">
        <v>45412</v>
      </c>
      <c r="AB350" s="67">
        <v>45413</v>
      </c>
      <c r="AC350" s="67">
        <v>45443</v>
      </c>
      <c r="AD350" s="67">
        <v>45442</v>
      </c>
      <c r="AE350" s="67">
        <v>45443</v>
      </c>
    </row>
    <row r="351" spans="1:31" ht="12.5">
      <c r="A351" s="10">
        <v>610423040021</v>
      </c>
      <c r="B351" s="10" t="str">
        <v>UBINAN24-LAPANGAN-SR1-2</v>
      </c>
      <c r="C351" s="10">
        <v>0</v>
      </c>
      <c r="D351" s="10">
        <f ca="1"/>
        <v>1</v>
      </c>
      <c r="E351" s="10" t="str">
        <v>Seliana</v>
      </c>
      <c r="F351" s="10" t="str">
        <v>PPL</v>
      </c>
      <c r="G351" s="10" t="str">
        <v>6102176606880001</v>
      </c>
      <c r="H351" s="10" t="str">
        <v>Dokumen</v>
      </c>
      <c r="I351" s="10" t="str">
        <v>UBINAN24-LAPANGAN-SR1-2-PPL-PADI</v>
      </c>
      <c r="J351" s="10" t="str">
        <v>Dokumen</v>
      </c>
      <c r="K351" s="66">
        <v>78000</v>
      </c>
      <c r="L351" s="10">
        <v>4</v>
      </c>
      <c r="M351" s="10">
        <v>312000</v>
      </c>
      <c r="N351" s="70">
        <v>0</v>
      </c>
      <c r="O351" s="67">
        <v>45443</v>
      </c>
      <c r="P351" s="10">
        <v>2024</v>
      </c>
      <c r="Q351" s="10">
        <v>5</v>
      </c>
      <c r="R351" s="10" t="str">
        <v>SURVEI-PPL</v>
      </c>
      <c r="S351" s="10" t="str">
        <v>610423040021-2024-5</v>
      </c>
      <c r="T351" s="10" t="str">
        <v>610423040021-2024-5-SURVEI-PPL</v>
      </c>
      <c r="U351" s="10">
        <v>1</v>
      </c>
      <c r="V351" s="10" t="e">
        <f ca="1"/>
        <v>#NAME?</v>
      </c>
      <c r="W351" s="67">
        <v>0</v>
      </c>
      <c r="X351" s="11" t="str">
        <v>Survei Ubinan 2024 Subround 1 dan 2</v>
      </c>
      <c r="Y351" s="11" t="str">
        <v>SADANIANG</v>
      </c>
      <c r="Z351" s="11" t="str">
        <v>ANSIAP</v>
      </c>
      <c r="AA351" s="67">
        <v>45412</v>
      </c>
      <c r="AB351" s="67">
        <v>45413</v>
      </c>
      <c r="AC351" s="67">
        <v>45443</v>
      </c>
      <c r="AD351" s="67">
        <v>45442</v>
      </c>
      <c r="AE351" s="67">
        <v>45443</v>
      </c>
    </row>
    <row r="352" spans="1:31" ht="12.5">
      <c r="A352" s="10">
        <v>610422030002</v>
      </c>
      <c r="B352" s="10" t="str">
        <v>SHPB24-LAPANGAN-JUNI</v>
      </c>
      <c r="C352" s="10">
        <v>0</v>
      </c>
      <c r="D352" s="10">
        <f ca="1"/>
        <v>1</v>
      </c>
      <c r="E352" s="10" t="str">
        <v>Deti Erni Widiastuti</v>
      </c>
      <c r="F352" s="10" t="str">
        <v>PPL</v>
      </c>
      <c r="G352" s="10" t="str">
        <v>6102016712860001</v>
      </c>
      <c r="H352" s="10" t="str">
        <v>PENDATAAN</v>
      </c>
      <c r="I352" s="10" t="str">
        <v>SHPB24-LAPANGAN-JUNI-PPL-PENDATAAN</v>
      </c>
      <c r="J352" s="10" t="str">
        <v>Dokumen</v>
      </c>
      <c r="K352" s="66">
        <v>50000</v>
      </c>
      <c r="L352" s="10">
        <v>15</v>
      </c>
      <c r="M352" s="10">
        <v>750000</v>
      </c>
      <c r="N352" s="10">
        <v>0</v>
      </c>
      <c r="O352" s="67">
        <v>45463</v>
      </c>
      <c r="P352" s="10">
        <v>2024</v>
      </c>
      <c r="Q352" s="10">
        <v>6</v>
      </c>
      <c r="R352" s="10" t="str">
        <v>SURVEI-PPL</v>
      </c>
      <c r="S352" s="10" t="str">
        <v>610422030002-2024-6</v>
      </c>
      <c r="T352" s="10" t="str">
        <v>610422030002-2024-6-SURVEI-PPL</v>
      </c>
      <c r="U352" s="10">
        <v>1</v>
      </c>
      <c r="V352" s="10" t="e">
        <f ca="1"/>
        <v>#NAME?</v>
      </c>
      <c r="W352" s="67">
        <v>0</v>
      </c>
      <c r="X352" s="11" t="str">
        <v>Survei Harga Perdagangan Besar (SHPB24) Juni</v>
      </c>
      <c r="Y352" s="11" t="str">
        <v>SEGEDONG</v>
      </c>
      <c r="Z352" s="11" t="str">
        <v>PENITI DALAM I</v>
      </c>
      <c r="AA352" s="67">
        <v>45443</v>
      </c>
      <c r="AB352" s="67">
        <v>45444</v>
      </c>
      <c r="AC352" s="67">
        <v>45473</v>
      </c>
      <c r="AD352" s="67">
        <v>45472</v>
      </c>
      <c r="AE352" s="67">
        <v>45473</v>
      </c>
    </row>
    <row r="353" spans="1:31" ht="12.5">
      <c r="A353" s="10">
        <v>610422100244</v>
      </c>
      <c r="B353" s="10" t="str">
        <v>HPG24-LAPANGAN-JUNI</v>
      </c>
      <c r="C353" s="10">
        <v>0</v>
      </c>
      <c r="D353" s="10">
        <f ca="1"/>
        <v>1</v>
      </c>
      <c r="E353" s="10" t="str">
        <v>Sugianto</v>
      </c>
      <c r="F353" s="10" t="str">
        <v>PPL</v>
      </c>
      <c r="G353" s="10" t="str">
        <v>6102171003900002</v>
      </c>
      <c r="H353" s="10" t="str">
        <v>PENDATAAN</v>
      </c>
      <c r="I353" s="10" t="str">
        <v>HPG24-LAPANGAN-JUNI-PPL-PENDATAAN</v>
      </c>
      <c r="J353" s="10" t="str">
        <v>Dokumen</v>
      </c>
      <c r="K353" s="66">
        <v>50000</v>
      </c>
      <c r="L353" s="10">
        <v>1</v>
      </c>
      <c r="M353" s="10">
        <v>50000</v>
      </c>
      <c r="N353" s="10">
        <v>0</v>
      </c>
      <c r="O353" s="67">
        <v>45463</v>
      </c>
      <c r="P353" s="10">
        <v>2024</v>
      </c>
      <c r="Q353" s="10">
        <v>6</v>
      </c>
      <c r="R353" s="10" t="str">
        <v>SURVEI-PPL</v>
      </c>
      <c r="S353" s="10" t="str">
        <v>610422100244-2024-6</v>
      </c>
      <c r="T353" s="10" t="str">
        <v>610422100244-2024-6-SURVEI-PPL</v>
      </c>
      <c r="U353" s="10">
        <v>1</v>
      </c>
      <c r="V353" s="10" t="e">
        <f ca="1"/>
        <v>#NAME?</v>
      </c>
      <c r="W353" s="67">
        <v>0</v>
      </c>
      <c r="X353" s="11" t="str">
        <v>Survei Harga Produsen Gabah (HPG24) Juni</v>
      </c>
      <c r="Y353" s="11" t="str">
        <v>SADANIANG</v>
      </c>
      <c r="Z353" s="11" t="str">
        <v>BUMBUN</v>
      </c>
      <c r="AA353" s="67">
        <v>45443</v>
      </c>
      <c r="AB353" s="67">
        <v>45444</v>
      </c>
      <c r="AC353" s="67">
        <v>45473</v>
      </c>
      <c r="AD353" s="67">
        <v>45472</v>
      </c>
      <c r="AE353" s="67">
        <v>45473</v>
      </c>
    </row>
    <row r="354" spans="1:31" ht="12.5">
      <c r="A354" s="10">
        <v>610422100124</v>
      </c>
      <c r="B354" s="10" t="str">
        <v>HPG24-LAPANGAN-JUNI</v>
      </c>
      <c r="C354" s="10">
        <v>0</v>
      </c>
      <c r="D354" s="10">
        <f ca="1"/>
        <v>1</v>
      </c>
      <c r="E354" s="10" t="str">
        <v>Prabowo</v>
      </c>
      <c r="F354" s="10" t="str">
        <v>PPL</v>
      </c>
      <c r="G354" s="10" t="str">
        <v>6171010108790015</v>
      </c>
      <c r="H354" s="10" t="str">
        <v>PENDATAAN</v>
      </c>
      <c r="I354" s="10" t="str">
        <v>HPG24-LAPANGAN-JUNI-PPL-PENDATAAN</v>
      </c>
      <c r="J354" s="10" t="str">
        <v>Dokumen</v>
      </c>
      <c r="K354" s="66">
        <v>50000</v>
      </c>
      <c r="L354" s="10">
        <v>1</v>
      </c>
      <c r="M354" s="10">
        <v>50000</v>
      </c>
      <c r="N354" s="10">
        <v>0</v>
      </c>
      <c r="O354" s="67">
        <v>45463</v>
      </c>
      <c r="P354" s="10">
        <v>2024</v>
      </c>
      <c r="Q354" s="10">
        <v>6</v>
      </c>
      <c r="R354" s="10" t="str">
        <v>SURVEI-PPL</v>
      </c>
      <c r="S354" s="10" t="str">
        <v>610422100124-2024-6</v>
      </c>
      <c r="T354" s="10" t="str">
        <v>610422100124-2024-6-SURVEI-PPL</v>
      </c>
      <c r="U354" s="10">
        <v>1</v>
      </c>
      <c r="V354" s="10" t="e">
        <f ca="1"/>
        <v>#NAME?</v>
      </c>
      <c r="W354" s="67">
        <v>0</v>
      </c>
      <c r="X354" s="11" t="str">
        <v>Survei Harga Produsen Gabah (HPG24) Juni</v>
      </c>
      <c r="Y354" s="11" t="str">
        <v>PONTIANAK KOTA</v>
      </c>
      <c r="Z354" s="11" t="str">
        <v>SUNGAI BANGKONG</v>
      </c>
      <c r="AA354" s="67">
        <v>45443</v>
      </c>
      <c r="AB354" s="67">
        <v>45444</v>
      </c>
      <c r="AC354" s="67">
        <v>45473</v>
      </c>
      <c r="AD354" s="67">
        <v>45472</v>
      </c>
      <c r="AE354" s="67">
        <v>45473</v>
      </c>
    </row>
    <row r="355" spans="1:31" ht="12.5">
      <c r="A355" s="10">
        <v>610422050001</v>
      </c>
      <c r="B355" s="10" t="str">
        <v>SHPED24-LAPANGAN-JUNI</v>
      </c>
      <c r="C355" s="10">
        <v>0</v>
      </c>
      <c r="D355" s="10">
        <v>1</v>
      </c>
      <c r="E355" s="10" t="str">
        <v>Evi Juniarty</v>
      </c>
      <c r="F355" s="10" t="str">
        <v>PPL</v>
      </c>
      <c r="G355" s="10" t="str">
        <v>6102165101840001</v>
      </c>
      <c r="H355" s="10" t="str">
        <v>PENDATAAN KONSUMEN</v>
      </c>
      <c r="I355" s="10" t="str">
        <v>SHPED24-LAPANGAN-JUNI-PPL-PENDATAAN KONSUMEN</v>
      </c>
      <c r="J355" s="10" t="str">
        <v>Dokumen</v>
      </c>
      <c r="K355" s="66">
        <v>65000</v>
      </c>
      <c r="L355" s="10">
        <v>3</v>
      </c>
      <c r="M355" s="10">
        <v>195000</v>
      </c>
      <c r="N355" s="10">
        <v>0</v>
      </c>
      <c r="O355" s="67">
        <v>45463</v>
      </c>
      <c r="P355" s="10">
        <v>2024</v>
      </c>
      <c r="Q355" s="10">
        <v>6</v>
      </c>
      <c r="R355" s="10" t="str">
        <v>SURVEI-PPL</v>
      </c>
      <c r="S355" s="10" t="str">
        <v>610422050001-2024-6</v>
      </c>
      <c r="T355" s="10" t="str">
        <v>610422050001-2024-6-SURVEI-PPL</v>
      </c>
      <c r="U355" s="10">
        <v>1</v>
      </c>
      <c r="V355" s="10" t="e">
        <f ca="1"/>
        <v>#NAME?</v>
      </c>
      <c r="W355" s="67">
        <v>0</v>
      </c>
      <c r="X355" s="11" t="str">
        <v>Survei Harga Perdesaan (SHPED24) Juni</v>
      </c>
      <c r="Y355" s="11" t="str">
        <v>ANJONGAN</v>
      </c>
      <c r="Z355" s="11" t="str">
        <v>ANJUNGAN MELANCAR</v>
      </c>
      <c r="AA355" s="67">
        <v>45443</v>
      </c>
      <c r="AB355" s="67">
        <v>45444</v>
      </c>
      <c r="AC355" s="67">
        <v>45473</v>
      </c>
      <c r="AD355" s="67">
        <v>45472</v>
      </c>
      <c r="AE355" s="67">
        <v>45473</v>
      </c>
    </row>
    <row r="356" spans="1:31" ht="12.5">
      <c r="A356" s="10">
        <v>610422020016</v>
      </c>
      <c r="B356" s="10" t="str">
        <v>SHPED24-LAPANGAN-JUNI</v>
      </c>
      <c r="C356" s="10">
        <v>0</v>
      </c>
      <c r="D356" s="10">
        <f ca="1"/>
        <v>1</v>
      </c>
      <c r="E356" s="10" t="str">
        <v>Abdul Aziz</v>
      </c>
      <c r="F356" s="10" t="str">
        <v>PPL</v>
      </c>
      <c r="G356" s="10" t="str">
        <v>6102061507950006</v>
      </c>
      <c r="H356" s="10" t="str">
        <v>PENDATAAN KONSUMEN</v>
      </c>
      <c r="I356" s="10" t="str">
        <v>SHPED24-LAPANGAN-JUNI-PPL-PENDATAAN KONSUMEN</v>
      </c>
      <c r="J356" s="10" t="str">
        <v>Dokumen</v>
      </c>
      <c r="K356" s="66">
        <v>65000</v>
      </c>
      <c r="L356" s="10">
        <v>3</v>
      </c>
      <c r="M356" s="10">
        <v>195000</v>
      </c>
      <c r="N356" s="10">
        <v>0</v>
      </c>
      <c r="O356" s="67">
        <v>45463</v>
      </c>
      <c r="P356" s="10">
        <v>2024</v>
      </c>
      <c r="Q356" s="10">
        <v>6</v>
      </c>
      <c r="R356" s="10" t="str">
        <v>SURVEI-PPL</v>
      </c>
      <c r="S356" s="10" t="str">
        <v>610422020016-2024-6</v>
      </c>
      <c r="T356" s="10" t="str">
        <v>610422020016-2024-6-SURVEI-PPL</v>
      </c>
      <c r="U356" s="10">
        <v>1</v>
      </c>
      <c r="V356" s="10" t="e">
        <f ca="1"/>
        <v>#NAME?</v>
      </c>
      <c r="W356" s="67">
        <v>0</v>
      </c>
      <c r="X356" s="11" t="str">
        <v>Survei Harga Perdesaan (SHPED24) Juni</v>
      </c>
      <c r="Y356" s="11" t="str">
        <v>TOHO</v>
      </c>
      <c r="Z356" s="11" t="str">
        <v>SAMBORA</v>
      </c>
      <c r="AA356" s="67">
        <v>45443</v>
      </c>
      <c r="AB356" s="67">
        <v>45444</v>
      </c>
      <c r="AC356" s="67">
        <v>45473</v>
      </c>
      <c r="AD356" s="67">
        <v>45472</v>
      </c>
      <c r="AE356" s="67">
        <v>45473</v>
      </c>
    </row>
    <row r="357" spans="1:31" ht="12.5">
      <c r="A357" s="10">
        <v>610422040030</v>
      </c>
      <c r="B357" s="10" t="str">
        <v>SHPED24-LAPANGAN-JUNI</v>
      </c>
      <c r="C357" s="10">
        <v>0</v>
      </c>
      <c r="D357" s="10">
        <f ca="1"/>
        <v>1</v>
      </c>
      <c r="E357" s="10" t="str">
        <v>Syarifah Desti Pratiwi</v>
      </c>
      <c r="F357" s="10" t="str">
        <v>PPL</v>
      </c>
      <c r="G357" s="10" t="str">
        <v>6102084512950002</v>
      </c>
      <c r="H357" s="10" t="str">
        <v>PENDATAAN PRODUSEN</v>
      </c>
      <c r="I357" s="10" t="str">
        <v>SHPED24-LAPANGAN-JUNI-PPL-PENDATAAN PRODUSEN</v>
      </c>
      <c r="J357" s="10" t="str">
        <v>Dokumen</v>
      </c>
      <c r="K357" s="66">
        <v>55000</v>
      </c>
      <c r="L357" s="10">
        <v>1</v>
      </c>
      <c r="M357" s="10">
        <v>55000</v>
      </c>
      <c r="N357" s="10">
        <v>0</v>
      </c>
      <c r="O357" s="67">
        <v>45463</v>
      </c>
      <c r="P357" s="10">
        <v>2024</v>
      </c>
      <c r="Q357" s="10">
        <v>6</v>
      </c>
      <c r="R357" s="10" t="str">
        <v>SURVEI-PPL</v>
      </c>
      <c r="S357" s="10" t="str">
        <v>610422040030-2024-6</v>
      </c>
      <c r="T357" s="10" t="str">
        <v>610422040030-2024-6-SURVEI-PPL</v>
      </c>
      <c r="U357" s="10">
        <v>1</v>
      </c>
      <c r="V357" s="10" t="e">
        <f ca="1"/>
        <v>#NAME?</v>
      </c>
      <c r="W357" s="67">
        <v>0</v>
      </c>
      <c r="X357" s="11" t="str">
        <v>Survei Harga Perdesaan (SHPED24) Juni</v>
      </c>
      <c r="Y357" s="11" t="str">
        <v>JONGKAT</v>
      </c>
      <c r="Z357" s="11" t="str">
        <v>JUNGKAT</v>
      </c>
      <c r="AA357" s="67">
        <v>45443</v>
      </c>
      <c r="AB357" s="67">
        <v>45444</v>
      </c>
      <c r="AC357" s="67">
        <v>45473</v>
      </c>
      <c r="AD357" s="67">
        <v>45472</v>
      </c>
      <c r="AE357" s="67">
        <v>45473</v>
      </c>
    </row>
    <row r="358" spans="1:31" ht="12.5">
      <c r="A358" s="10">
        <v>610422100124</v>
      </c>
      <c r="B358" s="10" t="str">
        <v>SHPED24-LAPANGAN-JUNI</v>
      </c>
      <c r="C358" s="10">
        <v>0</v>
      </c>
      <c r="D358" s="10">
        <f ca="1"/>
        <v>1</v>
      </c>
      <c r="E358" s="10" t="str">
        <v>Prabowo</v>
      </c>
      <c r="F358" s="10" t="str">
        <v>PPL</v>
      </c>
      <c r="G358" s="10" t="str">
        <v>6171010108790015</v>
      </c>
      <c r="H358" s="10" t="str">
        <v>PENDATAAN PRODUSEN</v>
      </c>
      <c r="I358" s="10" t="str">
        <v>SHPED24-LAPANGAN-JUNI-PPL-PENDATAAN PRODUSEN</v>
      </c>
      <c r="J358" s="10" t="str">
        <v>Dokumen</v>
      </c>
      <c r="K358" s="66">
        <v>55000</v>
      </c>
      <c r="L358" s="10">
        <v>3</v>
      </c>
      <c r="M358" s="10">
        <v>165000</v>
      </c>
      <c r="N358" s="10">
        <v>0</v>
      </c>
      <c r="O358" s="67">
        <v>45463</v>
      </c>
      <c r="P358" s="10">
        <v>2024</v>
      </c>
      <c r="Q358" s="10">
        <v>6</v>
      </c>
      <c r="R358" s="10" t="str">
        <v>SURVEI-PPL</v>
      </c>
      <c r="S358" s="10" t="str">
        <v>610422100124-2024-6</v>
      </c>
      <c r="T358" s="10" t="str">
        <v>610422100124-2024-6-SURVEI-PPL</v>
      </c>
      <c r="U358" s="10">
        <v>1</v>
      </c>
      <c r="V358" s="10" t="e">
        <f ca="1"/>
        <v>#NAME?</v>
      </c>
      <c r="W358" s="67">
        <v>0</v>
      </c>
      <c r="X358" s="11" t="str">
        <v>Survei Harga Perdesaan (SHPED24) Juni</v>
      </c>
      <c r="Y358" s="11" t="str">
        <v>PONTIANAK KOTA</v>
      </c>
      <c r="Z358" s="11" t="str">
        <v>SUNGAI BANGKONG</v>
      </c>
      <c r="AA358" s="67">
        <v>45443</v>
      </c>
      <c r="AB358" s="67">
        <v>45444</v>
      </c>
      <c r="AC358" s="67">
        <v>45473</v>
      </c>
      <c r="AD358" s="67">
        <v>45472</v>
      </c>
      <c r="AE358" s="67">
        <v>45473</v>
      </c>
    </row>
    <row r="359" spans="1:31" ht="12.5">
      <c r="A359" s="10">
        <v>610422100244</v>
      </c>
      <c r="B359" s="10" t="str">
        <v>SHPED24-LAPANGAN-JUNI</v>
      </c>
      <c r="C359" s="10">
        <v>0</v>
      </c>
      <c r="D359" s="10">
        <f ca="1"/>
        <v>1</v>
      </c>
      <c r="E359" s="10" t="str">
        <v>Sugianto</v>
      </c>
      <c r="F359" s="10" t="str">
        <v>PPL</v>
      </c>
      <c r="G359" s="10" t="str">
        <v>6102171003900002</v>
      </c>
      <c r="H359" s="10" t="str">
        <v>PENDATAAN PRODUSEN</v>
      </c>
      <c r="I359" s="10" t="str">
        <v>SHPED24-LAPANGAN-JUNI-PPL-PENDATAAN PRODUSEN</v>
      </c>
      <c r="J359" s="10" t="str">
        <v>Dokumen</v>
      </c>
      <c r="K359" s="66">
        <v>55000</v>
      </c>
      <c r="L359" s="10">
        <v>2</v>
      </c>
      <c r="M359" s="10">
        <v>110000</v>
      </c>
      <c r="N359" s="10">
        <v>0</v>
      </c>
      <c r="O359" s="67">
        <v>45463</v>
      </c>
      <c r="P359" s="10">
        <v>2024</v>
      </c>
      <c r="Q359" s="10">
        <v>6</v>
      </c>
      <c r="R359" s="10" t="str">
        <v>SURVEI-PPL</v>
      </c>
      <c r="S359" s="10" t="str">
        <v>610422100244-2024-6</v>
      </c>
      <c r="T359" s="10" t="str">
        <v>610422100244-2024-6-SURVEI-PPL</v>
      </c>
      <c r="U359" s="10">
        <v>1</v>
      </c>
      <c r="V359" s="10" t="e">
        <f ca="1"/>
        <v>#NAME?</v>
      </c>
      <c r="W359" s="67">
        <v>0</v>
      </c>
      <c r="X359" s="11" t="str">
        <v>Survei Harga Perdesaan (SHPED24) Juni</v>
      </c>
      <c r="Y359" s="11" t="str">
        <v>SADANIANG</v>
      </c>
      <c r="Z359" s="11" t="str">
        <v>BUMBUN</v>
      </c>
      <c r="AA359" s="67">
        <v>45443</v>
      </c>
      <c r="AB359" s="67">
        <v>45444</v>
      </c>
      <c r="AC359" s="67">
        <v>45473</v>
      </c>
      <c r="AD359" s="67">
        <v>45472</v>
      </c>
      <c r="AE359" s="67">
        <v>45473</v>
      </c>
    </row>
    <row r="360" spans="1:31" ht="12.5">
      <c r="A360" s="10">
        <v>610422020016</v>
      </c>
      <c r="B360" s="10" t="str">
        <v>SHPED24-LAPANGAN-JUNI</v>
      </c>
      <c r="C360" s="10">
        <v>0</v>
      </c>
      <c r="D360" s="10">
        <f ca="1"/>
        <v>1</v>
      </c>
      <c r="E360" s="10" t="str">
        <v>Abdul Aziz</v>
      </c>
      <c r="F360" s="10" t="str">
        <v>PPL</v>
      </c>
      <c r="G360" s="10" t="str">
        <v>6102061507950006</v>
      </c>
      <c r="H360" s="10" t="str">
        <v>PENDATAAN PRODUSEN</v>
      </c>
      <c r="I360" s="10" t="str">
        <v>SHPED24-LAPANGAN-JUNI-PPL-PENDATAAN PRODUSEN</v>
      </c>
      <c r="J360" s="10" t="str">
        <v>Dokumen</v>
      </c>
      <c r="K360" s="66">
        <v>55000</v>
      </c>
      <c r="L360" s="10">
        <v>3</v>
      </c>
      <c r="M360" s="10">
        <v>165000</v>
      </c>
      <c r="N360" s="10">
        <v>0</v>
      </c>
      <c r="O360" s="67">
        <v>45463</v>
      </c>
      <c r="P360" s="10">
        <v>2024</v>
      </c>
      <c r="Q360" s="10">
        <v>6</v>
      </c>
      <c r="R360" s="10" t="str">
        <v>SURVEI-PPL</v>
      </c>
      <c r="S360" s="10" t="str">
        <v>610422020016-2024-6</v>
      </c>
      <c r="T360" s="10" t="str">
        <v>610422020016-2024-6-SURVEI-PPL</v>
      </c>
      <c r="U360" s="10">
        <v>1</v>
      </c>
      <c r="V360" s="10" t="e">
        <f ca="1"/>
        <v>#NAME?</v>
      </c>
      <c r="W360" s="67">
        <v>0</v>
      </c>
      <c r="X360" s="11" t="str">
        <v>Survei Harga Perdesaan (SHPED24) Juni</v>
      </c>
      <c r="Y360" s="11" t="str">
        <v>TOHO</v>
      </c>
      <c r="Z360" s="11" t="str">
        <v>SAMBORA</v>
      </c>
      <c r="AA360" s="67">
        <v>45443</v>
      </c>
      <c r="AB360" s="67">
        <v>45444</v>
      </c>
      <c r="AC360" s="67">
        <v>45473</v>
      </c>
      <c r="AD360" s="67">
        <v>45472</v>
      </c>
      <c r="AE360" s="67">
        <v>45473</v>
      </c>
    </row>
    <row r="361" spans="1:31" ht="12.5">
      <c r="A361" s="10">
        <v>610422050001</v>
      </c>
      <c r="B361" s="10" t="str">
        <v>SHPED24-LAPANGAN-JUNI</v>
      </c>
      <c r="C361" s="10">
        <v>0</v>
      </c>
      <c r="D361" s="10">
        <v>1</v>
      </c>
      <c r="E361" s="10" t="str">
        <v>Evi Juniarty</v>
      </c>
      <c r="F361" s="10" t="str">
        <v>PPL</v>
      </c>
      <c r="G361" s="10" t="str">
        <v>6102165101840001</v>
      </c>
      <c r="H361" s="10" t="str">
        <v>PENDATAAN PRODUSEN</v>
      </c>
      <c r="I361" s="10" t="str">
        <v>SHPED24-LAPANGAN-JUNI-PPL-PENDATAAN PRODUSEN</v>
      </c>
      <c r="J361" s="10" t="str">
        <v>Dokumen</v>
      </c>
      <c r="K361" s="66">
        <v>55000</v>
      </c>
      <c r="L361" s="10">
        <v>1</v>
      </c>
      <c r="M361" s="10">
        <v>55000</v>
      </c>
      <c r="N361" s="10">
        <v>0</v>
      </c>
      <c r="O361" s="67">
        <v>45463</v>
      </c>
      <c r="P361" s="10">
        <v>2024</v>
      </c>
      <c r="Q361" s="10">
        <v>6</v>
      </c>
      <c r="R361" s="10" t="str">
        <v>SURVEI-PPL</v>
      </c>
      <c r="S361" s="10" t="str">
        <v>610422050001-2024-6</v>
      </c>
      <c r="T361" s="10" t="str">
        <v>610422050001-2024-6-SURVEI-PPL</v>
      </c>
      <c r="U361" s="10">
        <v>1</v>
      </c>
      <c r="V361" s="10" t="e">
        <f ca="1"/>
        <v>#NAME?</v>
      </c>
      <c r="W361" s="67">
        <v>0</v>
      </c>
      <c r="X361" s="11" t="str">
        <v>Survei Harga Perdesaan (SHPED24) Juni</v>
      </c>
      <c r="Y361" s="11" t="str">
        <v>ANJONGAN</v>
      </c>
      <c r="Z361" s="11" t="str">
        <v>ANJUNGAN MELANCAR</v>
      </c>
      <c r="AA361" s="67">
        <v>45443</v>
      </c>
      <c r="AB361" s="67">
        <v>45444</v>
      </c>
      <c r="AC361" s="67">
        <v>45473</v>
      </c>
      <c r="AD361" s="67">
        <v>45472</v>
      </c>
      <c r="AE361" s="67">
        <v>45473</v>
      </c>
    </row>
    <row r="362" spans="1:31" ht="12.5">
      <c r="A362" s="10">
        <v>610422020048</v>
      </c>
      <c r="B362" s="10" t="str">
        <v>SHPED24-LAPANGAN-JUNI</v>
      </c>
      <c r="C362" s="10">
        <v>0</v>
      </c>
      <c r="D362" s="10">
        <f ca="1"/>
        <v>1</v>
      </c>
      <c r="E362" s="10" t="str">
        <v>Herri Gustaman</v>
      </c>
      <c r="F362" s="10" t="str">
        <v>PPL</v>
      </c>
      <c r="G362" s="10" t="str">
        <v>6102072503800001</v>
      </c>
      <c r="H362" s="10" t="str">
        <v>PENDATAAN PRODUSEN</v>
      </c>
      <c r="I362" s="10" t="str">
        <v>SHPED24-LAPANGAN-JUNI-PPL-PENDATAAN PRODUSEN</v>
      </c>
      <c r="J362" s="10" t="str">
        <v>Dokumen</v>
      </c>
      <c r="K362" s="66">
        <v>55000</v>
      </c>
      <c r="L362" s="10">
        <v>3</v>
      </c>
      <c r="M362" s="10">
        <v>165000</v>
      </c>
      <c r="N362" s="10">
        <v>0</v>
      </c>
      <c r="O362" s="67">
        <v>45463</v>
      </c>
      <c r="P362" s="10">
        <v>2024</v>
      </c>
      <c r="Q362" s="10">
        <v>6</v>
      </c>
      <c r="R362" s="10" t="str">
        <v>SURVEI-PPL</v>
      </c>
      <c r="S362" s="10" t="str">
        <v>610422020048-2024-6</v>
      </c>
      <c r="T362" s="10" t="str">
        <v>610422020048-2024-6-SURVEI-PPL</v>
      </c>
      <c r="U362" s="10">
        <v>1</v>
      </c>
      <c r="V362" s="10" t="e">
        <f ca="1"/>
        <v>#NAME?</v>
      </c>
      <c r="W362" s="67">
        <v>0</v>
      </c>
      <c r="X362" s="11" t="str">
        <v>Survei Harga Perdesaan (SHPED24) Juni</v>
      </c>
      <c r="Y362" s="11" t="str">
        <v>MEMPAWAH TIMUR</v>
      </c>
      <c r="Z362" s="11" t="str">
        <v>SEJEGI</v>
      </c>
      <c r="AA362" s="67">
        <v>45443</v>
      </c>
      <c r="AB362" s="67">
        <v>45444</v>
      </c>
      <c r="AC362" s="67">
        <v>45473</v>
      </c>
      <c r="AD362" s="67">
        <v>45472</v>
      </c>
      <c r="AE362" s="67">
        <v>45473</v>
      </c>
    </row>
    <row r="363" spans="1:31" ht="12.5">
      <c r="A363" s="10">
        <v>610422040029</v>
      </c>
      <c r="B363" s="10" t="str">
        <v>SHPED24-LAPANGAN-JUNI</v>
      </c>
      <c r="C363" s="10">
        <v>0</v>
      </c>
      <c r="D363" s="10">
        <f ca="1"/>
        <v>1</v>
      </c>
      <c r="E363" s="10" t="str">
        <v>Zaini</v>
      </c>
      <c r="F363" s="10" t="str">
        <v>PPL</v>
      </c>
      <c r="G363" s="10" t="str">
        <v>6102010607870002</v>
      </c>
      <c r="H363" s="10" t="str">
        <v>PENDATAAN PRODUSEN</v>
      </c>
      <c r="I363" s="10" t="str">
        <v>SHPED24-LAPANGAN-JUNI-PPL-PENDATAAN PRODUSEN</v>
      </c>
      <c r="J363" s="10" t="str">
        <v>Dokumen</v>
      </c>
      <c r="K363" s="66">
        <v>55000</v>
      </c>
      <c r="L363" s="10">
        <v>4</v>
      </c>
      <c r="M363" s="10">
        <v>220000</v>
      </c>
      <c r="N363" s="10">
        <v>0</v>
      </c>
      <c r="O363" s="67">
        <v>45463</v>
      </c>
      <c r="P363" s="10">
        <v>2024</v>
      </c>
      <c r="Q363" s="10">
        <v>6</v>
      </c>
      <c r="R363" s="10" t="str">
        <v>SURVEI-PPL</v>
      </c>
      <c r="S363" s="10" t="str">
        <v>610422040029-2024-6</v>
      </c>
      <c r="T363" s="10" t="str">
        <v>610422040029-2024-6-SURVEI-PPL</v>
      </c>
      <c r="U363" s="10">
        <v>1</v>
      </c>
      <c r="V363" s="10" t="e">
        <f ca="1"/>
        <v>#NAME?</v>
      </c>
      <c r="W363" s="67">
        <v>0</v>
      </c>
      <c r="X363" s="11" t="str">
        <v>Survei Harga Perdesaan (SHPED24) Juni</v>
      </c>
      <c r="Y363" s="11" t="str">
        <v>MEMPAWAH HILIR</v>
      </c>
      <c r="Z363" s="11" t="str">
        <v>TENGAH</v>
      </c>
      <c r="AA363" s="67">
        <v>45443</v>
      </c>
      <c r="AB363" s="67">
        <v>45444</v>
      </c>
      <c r="AC363" s="67">
        <v>45473</v>
      </c>
      <c r="AD363" s="67">
        <v>45472</v>
      </c>
      <c r="AE363" s="67">
        <v>45473</v>
      </c>
    </row>
    <row r="364" spans="1:31" ht="12.5">
      <c r="A364" s="10">
        <v>610422020016</v>
      </c>
      <c r="B364" s="10" t="str">
        <v>SHPED24-LAPANGAN-JUNI</v>
      </c>
      <c r="C364" s="10">
        <v>0</v>
      </c>
      <c r="D364" s="10">
        <f ca="1"/>
        <v>1</v>
      </c>
      <c r="E364" s="10" t="str">
        <v>Abdul Aziz</v>
      </c>
      <c r="F364" s="10" t="str">
        <v>PPL</v>
      </c>
      <c r="G364" s="10" t="str">
        <v>6102061507950006</v>
      </c>
      <c r="H364" s="10" t="str">
        <v>PENDATAAN PRODUSEN</v>
      </c>
      <c r="I364" s="10" t="str">
        <v>SHPED24-LAPANGAN-JUNI-PPL-PENDATAAN PRODUSEN</v>
      </c>
      <c r="J364" s="10" t="str">
        <v>Dokumen</v>
      </c>
      <c r="K364" s="66">
        <v>55000</v>
      </c>
      <c r="L364" s="10">
        <v>1</v>
      </c>
      <c r="M364" s="10">
        <v>55000</v>
      </c>
      <c r="N364" s="10">
        <v>0</v>
      </c>
      <c r="O364" s="67">
        <v>45463</v>
      </c>
      <c r="P364" s="10">
        <v>2024</v>
      </c>
      <c r="Q364" s="10">
        <v>6</v>
      </c>
      <c r="R364" s="10" t="str">
        <v>SURVEI-PPL</v>
      </c>
      <c r="S364" s="10" t="str">
        <v>610422020016-2024-6</v>
      </c>
      <c r="T364" s="10" t="str">
        <v>610422020016-2024-6-SURVEI-PPL</v>
      </c>
      <c r="U364" s="10">
        <v>1</v>
      </c>
      <c r="V364" s="10" t="e">
        <f ca="1"/>
        <v>#NAME?</v>
      </c>
      <c r="W364" s="67">
        <v>0</v>
      </c>
      <c r="X364" s="11" t="str">
        <v>Survei Harga Perdesaan (SHPED24) Juni</v>
      </c>
      <c r="Y364" s="11" t="str">
        <v>TOHO</v>
      </c>
      <c r="Z364" s="11" t="str">
        <v>SAMBORA</v>
      </c>
      <c r="AA364" s="67">
        <v>45443</v>
      </c>
      <c r="AB364" s="67">
        <v>45444</v>
      </c>
      <c r="AC364" s="67">
        <v>45473</v>
      </c>
      <c r="AD364" s="67">
        <v>45472</v>
      </c>
      <c r="AE364" s="67">
        <v>45473</v>
      </c>
    </row>
    <row r="365" spans="1:31" ht="12.5">
      <c r="A365" s="10">
        <v>610422100124</v>
      </c>
      <c r="B365" s="10" t="str">
        <v>HPBG24-LAPANGAN-JUNI</v>
      </c>
      <c r="C365" s="10">
        <v>0</v>
      </c>
      <c r="D365" s="10">
        <f ca="1"/>
        <v>1</v>
      </c>
      <c r="E365" s="10" t="str">
        <v>Prabowo</v>
      </c>
      <c r="F365" s="10" t="str">
        <v>PPL</v>
      </c>
      <c r="G365" s="10" t="str">
        <v>6171010108790015</v>
      </c>
      <c r="H365" s="10" t="str">
        <v>PENDATAAN</v>
      </c>
      <c r="I365" s="10" t="str">
        <v>HPBG24-LAPANGAN-JUNI-PPL-PENDATAAN</v>
      </c>
      <c r="J365" s="10" t="str">
        <v>Dokumen</v>
      </c>
      <c r="K365" s="66">
        <v>55000</v>
      </c>
      <c r="L365" s="10">
        <v>2</v>
      </c>
      <c r="M365" s="10">
        <v>110000</v>
      </c>
      <c r="N365" s="10">
        <v>0</v>
      </c>
      <c r="O365" s="67">
        <v>45463</v>
      </c>
      <c r="P365" s="10">
        <v>2024</v>
      </c>
      <c r="Q365" s="10">
        <v>6</v>
      </c>
      <c r="R365" s="10" t="str">
        <v>SURVEI-PPL</v>
      </c>
      <c r="S365" s="10" t="str">
        <v>610422100124-2024-6</v>
      </c>
      <c r="T365" s="10" t="str">
        <v>610422100124-2024-6-SURVEI-PPL</v>
      </c>
      <c r="U365" s="10">
        <v>1</v>
      </c>
      <c r="V365" s="10" t="e">
        <f ca="1"/>
        <v>#NAME?</v>
      </c>
      <c r="W365" s="67">
        <v>0</v>
      </c>
      <c r="X365" s="11" t="str">
        <v>Survei Harga Produsen Beras di Penggilingan 2024 (HPBG24) Juni</v>
      </c>
      <c r="Y365" s="11" t="str">
        <v>PONTIANAK KOTA</v>
      </c>
      <c r="Z365" s="11" t="str">
        <v>SUNGAI BANGKONG</v>
      </c>
      <c r="AA365" s="67">
        <v>45443</v>
      </c>
      <c r="AB365" s="67">
        <v>45444</v>
      </c>
      <c r="AC365" s="67">
        <v>45473</v>
      </c>
      <c r="AD365" s="67">
        <v>45472</v>
      </c>
      <c r="AE365" s="67">
        <v>45473</v>
      </c>
    </row>
    <row r="366" spans="1:31" ht="12.5">
      <c r="A366" s="10">
        <v>610422100244</v>
      </c>
      <c r="B366" s="10" t="str">
        <v>HPBG24-LAPANGAN-JUNI</v>
      </c>
      <c r="C366" s="10">
        <v>0</v>
      </c>
      <c r="D366" s="10">
        <f ca="1"/>
        <v>1</v>
      </c>
      <c r="E366" s="10" t="str">
        <v>Sugianto</v>
      </c>
      <c r="F366" s="10" t="str">
        <v>PPL</v>
      </c>
      <c r="G366" s="10" t="str">
        <v>6102171003900002</v>
      </c>
      <c r="H366" s="10" t="str">
        <v>PENDATAAN</v>
      </c>
      <c r="I366" s="10" t="str">
        <v>HPBG24-LAPANGAN-JUNI-PPL-PENDATAAN</v>
      </c>
      <c r="J366" s="10" t="str">
        <v>Dokumen</v>
      </c>
      <c r="K366" s="66">
        <v>55000</v>
      </c>
      <c r="L366" s="10">
        <v>2</v>
      </c>
      <c r="M366" s="10">
        <v>110000</v>
      </c>
      <c r="N366" s="10">
        <v>0</v>
      </c>
      <c r="O366" s="67">
        <v>45463</v>
      </c>
      <c r="P366" s="10">
        <v>2024</v>
      </c>
      <c r="Q366" s="10">
        <v>6</v>
      </c>
      <c r="R366" s="10" t="str">
        <v>SURVEI-PPL</v>
      </c>
      <c r="S366" s="10" t="str">
        <v>610422100244-2024-6</v>
      </c>
      <c r="T366" s="10" t="str">
        <v>610422100244-2024-6-SURVEI-PPL</v>
      </c>
      <c r="U366" s="10">
        <v>1</v>
      </c>
      <c r="V366" s="10" t="e">
        <f ca="1"/>
        <v>#NAME?</v>
      </c>
      <c r="W366" s="67">
        <v>0</v>
      </c>
      <c r="X366" s="11" t="str">
        <v>Survei Harga Produsen Beras di Penggilingan 2024 (HPBG24) Juni</v>
      </c>
      <c r="Y366" s="11" t="str">
        <v>SADANIANG</v>
      </c>
      <c r="Z366" s="11" t="str">
        <v>BUMBUN</v>
      </c>
      <c r="AA366" s="67">
        <v>45443</v>
      </c>
      <c r="AB366" s="67">
        <v>45444</v>
      </c>
      <c r="AC366" s="67">
        <v>45473</v>
      </c>
      <c r="AD366" s="67">
        <v>45472</v>
      </c>
      <c r="AE366" s="67">
        <v>45473</v>
      </c>
    </row>
    <row r="367" spans="1:31" ht="12.5">
      <c r="A367" s="10">
        <v>610422100165</v>
      </c>
      <c r="B367" s="10" t="str">
        <v>HPBG24-LAPANGAN-JUNI</v>
      </c>
      <c r="C367" s="10">
        <v>0</v>
      </c>
      <c r="D367" s="10">
        <f ca="1"/>
        <v>1</v>
      </c>
      <c r="E367" s="10" t="str">
        <v>Yanti</v>
      </c>
      <c r="F367" s="10" t="str">
        <v>PPL</v>
      </c>
      <c r="G367" s="10" t="str">
        <v>6102074803980002</v>
      </c>
      <c r="H367" s="10" t="str">
        <v>PENDATAAN</v>
      </c>
      <c r="I367" s="10" t="str">
        <v>HPBG24-LAPANGAN-JUNI-PPL-PENDATAAN</v>
      </c>
      <c r="J367" s="10" t="str">
        <v>Dokumen</v>
      </c>
      <c r="K367" s="66">
        <v>55000</v>
      </c>
      <c r="L367" s="10">
        <v>2</v>
      </c>
      <c r="M367" s="10">
        <v>110000</v>
      </c>
      <c r="N367" s="10">
        <v>0</v>
      </c>
      <c r="O367" s="67">
        <v>45463</v>
      </c>
      <c r="P367" s="10">
        <v>2024</v>
      </c>
      <c r="Q367" s="10">
        <v>6</v>
      </c>
      <c r="R367" s="10" t="str">
        <v>SURVEI-PPL</v>
      </c>
      <c r="S367" s="10" t="str">
        <v>610422100165-2024-6</v>
      </c>
      <c r="T367" s="10" t="str">
        <v>610422100165-2024-6-SURVEI-PPL</v>
      </c>
      <c r="U367" s="10">
        <v>1</v>
      </c>
      <c r="V367" s="10" t="e">
        <f ca="1"/>
        <v>#NAME?</v>
      </c>
      <c r="W367" s="67">
        <v>0</v>
      </c>
      <c r="X367" s="11" t="str">
        <v>Survei Harga Produsen Beras di Penggilingan 2024 (HPBG24) Juni</v>
      </c>
      <c r="Y367" s="11" t="str">
        <v>SUNGAI PINYUH</v>
      </c>
      <c r="Z367" s="11" t="str">
        <v>SUNGAI BAKAU BESAR LAUT</v>
      </c>
      <c r="AA367" s="67">
        <v>45443</v>
      </c>
      <c r="AB367" s="67">
        <v>45444</v>
      </c>
      <c r="AC367" s="67">
        <v>45473</v>
      </c>
      <c r="AD367" s="67">
        <v>45472</v>
      </c>
      <c r="AE367" s="67">
        <v>45473</v>
      </c>
    </row>
    <row r="368" spans="1:31" ht="12.5">
      <c r="A368" s="10">
        <v>610422100165</v>
      </c>
      <c r="B368" s="10" t="str">
        <v>HPJ24-LAPANGAN-JUNI</v>
      </c>
      <c r="C368" s="10">
        <v>0</v>
      </c>
      <c r="D368" s="10">
        <f ca="1"/>
        <v>1</v>
      </c>
      <c r="E368" s="10" t="str">
        <v>Yanti</v>
      </c>
      <c r="F368" s="10" t="str">
        <v>PPL</v>
      </c>
      <c r="G368" s="10" t="str">
        <v>6102074803980002</v>
      </c>
      <c r="H368" s="10" t="str">
        <v>PENDATAAN</v>
      </c>
      <c r="I368" s="10" t="str">
        <v>HPJ24-LAPANGAN-JUNI-PPL-PENDATAAN</v>
      </c>
      <c r="J368" s="10" t="str">
        <v>Dokumen</v>
      </c>
      <c r="K368" s="66">
        <v>50000</v>
      </c>
      <c r="L368" s="10">
        <v>1</v>
      </c>
      <c r="M368" s="10">
        <v>50000</v>
      </c>
      <c r="N368" s="10">
        <v>0</v>
      </c>
      <c r="O368" s="67">
        <v>45463</v>
      </c>
      <c r="P368" s="10">
        <v>2024</v>
      </c>
      <c r="Q368" s="10">
        <v>6</v>
      </c>
      <c r="R368" s="10" t="str">
        <v>SURVEI-PPL</v>
      </c>
      <c r="S368" s="10" t="str">
        <v>610422100165-2024-6</v>
      </c>
      <c r="T368" s="10" t="str">
        <v>610422100165-2024-6-SURVEI-PPL</v>
      </c>
      <c r="U368" s="10">
        <v>1</v>
      </c>
      <c r="V368" s="10" t="e">
        <f ca="1"/>
        <v>#NAME?</v>
      </c>
      <c r="W368" s="67">
        <v>0</v>
      </c>
      <c r="X368" s="11" t="str">
        <v>Survei Harga Produsen Jasa (HPJ24) Juni</v>
      </c>
      <c r="Y368" s="11" t="str">
        <v>SUNGAI PINYUH</v>
      </c>
      <c r="Z368" s="11" t="str">
        <v>SUNGAI BAKAU BESAR LAUT</v>
      </c>
      <c r="AA368" s="67">
        <v>45443</v>
      </c>
      <c r="AB368" s="67">
        <v>45444</v>
      </c>
      <c r="AC368" s="67">
        <v>45473</v>
      </c>
      <c r="AD368" s="67">
        <v>45472</v>
      </c>
      <c r="AE368" s="67">
        <v>45473</v>
      </c>
    </row>
    <row r="369" spans="1:31" ht="12.5">
      <c r="A369" s="10">
        <v>610422040029</v>
      </c>
      <c r="B369" s="10" t="str">
        <v>VHTS24-LAPANGAN-JUNI</v>
      </c>
      <c r="C369" s="10">
        <v>0</v>
      </c>
      <c r="D369" s="10">
        <f ca="1"/>
        <v>1</v>
      </c>
      <c r="E369" s="10" t="str">
        <v>Zaini</v>
      </c>
      <c r="F369" s="10" t="str">
        <v>PPL</v>
      </c>
      <c r="G369" s="10" t="str">
        <v>6102010607870002</v>
      </c>
      <c r="H369" s="10" t="str">
        <v>PENDATAAN</v>
      </c>
      <c r="I369" s="10" t="str">
        <v>VHTS24-LAPANGAN-JUNI-PPL-PENDATAAN</v>
      </c>
      <c r="J369" s="10" t="str">
        <v>Dokumen</v>
      </c>
      <c r="K369" s="66">
        <v>55000</v>
      </c>
      <c r="L369" s="10">
        <v>3</v>
      </c>
      <c r="M369" s="10">
        <v>165000</v>
      </c>
      <c r="N369" s="10">
        <v>0</v>
      </c>
      <c r="O369" s="67">
        <v>45463</v>
      </c>
      <c r="P369" s="10">
        <v>2024</v>
      </c>
      <c r="Q369" s="10">
        <v>6</v>
      </c>
      <c r="R369" s="10" t="str">
        <v>SURVEI-PPL</v>
      </c>
      <c r="S369" s="10" t="str">
        <v>610422040029-2024-6</v>
      </c>
      <c r="T369" s="10" t="str">
        <v>610422040029-2024-6-SURVEI-PPL</v>
      </c>
      <c r="U369" s="10">
        <v>1</v>
      </c>
      <c r="V369" s="10" t="e">
        <f ca="1"/>
        <v>#NAME?</v>
      </c>
      <c r="W369" s="67">
        <v>0</v>
      </c>
      <c r="X369" s="11" t="str">
        <v>Survei Hotel dan Jasa Akomodasi Bulanan (VHTS) 2024 Juni</v>
      </c>
      <c r="Y369" s="11" t="str">
        <v>MEMPAWAH HILIR</v>
      </c>
      <c r="Z369" s="11" t="str">
        <v>TENGAH</v>
      </c>
      <c r="AA369" s="67">
        <v>45443</v>
      </c>
      <c r="AB369" s="67">
        <v>45444</v>
      </c>
      <c r="AC369" s="67">
        <v>45473</v>
      </c>
      <c r="AD369" s="67">
        <v>45472</v>
      </c>
      <c r="AE369" s="67">
        <v>45473</v>
      </c>
    </row>
    <row r="370" spans="1:31" ht="12.5">
      <c r="A370" s="10">
        <v>610422100165</v>
      </c>
      <c r="B370" s="10" t="str">
        <v>VHTS24-LAPANGAN-JUNI</v>
      </c>
      <c r="C370" s="10">
        <v>0</v>
      </c>
      <c r="D370" s="10">
        <f ca="1"/>
        <v>1</v>
      </c>
      <c r="E370" s="10" t="str">
        <v>Yanti</v>
      </c>
      <c r="F370" s="10" t="str">
        <v>PPL</v>
      </c>
      <c r="G370" s="10" t="str">
        <v>6102074803980002</v>
      </c>
      <c r="H370" s="10" t="str">
        <v>PENDATAAN</v>
      </c>
      <c r="I370" s="10" t="str">
        <v>VHTS24-LAPANGAN-JUNI-PPL-PENDATAAN</v>
      </c>
      <c r="J370" s="10" t="str">
        <v>Dokumen</v>
      </c>
      <c r="K370" s="66">
        <v>55000</v>
      </c>
      <c r="L370" s="10">
        <v>3</v>
      </c>
      <c r="M370" s="10">
        <v>165000</v>
      </c>
      <c r="N370" s="10">
        <v>0</v>
      </c>
      <c r="O370" s="67">
        <v>45463</v>
      </c>
      <c r="P370" s="10">
        <v>2024</v>
      </c>
      <c r="Q370" s="10">
        <v>6</v>
      </c>
      <c r="R370" s="10" t="str">
        <v>SURVEI-PPL</v>
      </c>
      <c r="S370" s="10" t="str">
        <v>610422100165-2024-6</v>
      </c>
      <c r="T370" s="10" t="str">
        <v>610422100165-2024-6-SURVEI-PPL</v>
      </c>
      <c r="U370" s="10">
        <v>1</v>
      </c>
      <c r="V370" s="10" t="e">
        <f ca="1"/>
        <v>#NAME?</v>
      </c>
      <c r="W370" s="67">
        <v>0</v>
      </c>
      <c r="X370" s="11" t="str">
        <v>Survei Hotel dan Jasa Akomodasi Bulanan (VHTS) 2024 Juni</v>
      </c>
      <c r="Y370" s="11" t="str">
        <v>SUNGAI PINYUH</v>
      </c>
      <c r="Z370" s="11" t="str">
        <v>SUNGAI BAKAU BESAR LAUT</v>
      </c>
      <c r="AA370" s="67">
        <v>45443</v>
      </c>
      <c r="AB370" s="67">
        <v>45444</v>
      </c>
      <c r="AC370" s="67">
        <v>45473</v>
      </c>
      <c r="AD370" s="67">
        <v>45472</v>
      </c>
      <c r="AE370" s="67">
        <v>45473</v>
      </c>
    </row>
    <row r="371" spans="1:31" ht="12.5">
      <c r="A371" s="10">
        <v>610422040056</v>
      </c>
      <c r="B371" s="10" t="str">
        <v>VHTS24-LAPANGAN-JUNI</v>
      </c>
      <c r="C371" s="10">
        <v>0</v>
      </c>
      <c r="D371" s="10">
        <f ca="1"/>
        <v>1</v>
      </c>
      <c r="E371" s="10" t="str">
        <v>Wandi Syafari</v>
      </c>
      <c r="F371" s="10" t="str">
        <v>PPL</v>
      </c>
      <c r="G371" s="10" t="str">
        <v>6102010802760001</v>
      </c>
      <c r="H371" s="10" t="str">
        <v>PENDATAAN</v>
      </c>
      <c r="I371" s="10" t="str">
        <v>VHTS24-LAPANGAN-JUNI-PPL-PENDATAAN</v>
      </c>
      <c r="J371" s="10" t="str">
        <v>Dokumen</v>
      </c>
      <c r="K371" s="66">
        <v>55000</v>
      </c>
      <c r="L371" s="10">
        <v>3</v>
      </c>
      <c r="M371" s="10">
        <v>165000</v>
      </c>
      <c r="N371" s="10">
        <v>0</v>
      </c>
      <c r="O371" s="67">
        <v>45463</v>
      </c>
      <c r="P371" s="10">
        <v>2024</v>
      </c>
      <c r="Q371" s="10">
        <v>6</v>
      </c>
      <c r="R371" s="10" t="str">
        <v>SURVEI-PPL</v>
      </c>
      <c r="S371" s="10" t="str">
        <v>610422040056-2024-6</v>
      </c>
      <c r="T371" s="10" t="str">
        <v>610422040056-2024-6-SURVEI-PPL</v>
      </c>
      <c r="U371" s="10">
        <v>1</v>
      </c>
      <c r="V371" s="10" t="e">
        <f ca="1"/>
        <v>#NAME?</v>
      </c>
      <c r="W371" s="67">
        <v>0</v>
      </c>
      <c r="X371" s="11" t="str">
        <v>Survei Hotel dan Jasa Akomodasi Bulanan (VHTS) 2024 Juni</v>
      </c>
      <c r="Y371" s="11" t="str">
        <v>MEMPAWAH HILIR</v>
      </c>
      <c r="Z371" s="11" t="str">
        <v>TERUSAN</v>
      </c>
      <c r="AA371" s="67">
        <v>45443</v>
      </c>
      <c r="AB371" s="67">
        <v>45444</v>
      </c>
      <c r="AC371" s="67">
        <v>45473</v>
      </c>
      <c r="AD371" s="67">
        <v>45472</v>
      </c>
      <c r="AE371" s="67">
        <v>45473</v>
      </c>
    </row>
    <row r="372" spans="1:31" ht="12.5">
      <c r="A372" s="10">
        <v>610422040056</v>
      </c>
      <c r="B372" s="10" t="str">
        <v>VHTS24-LAPANGAN-JUNI</v>
      </c>
      <c r="C372" s="10">
        <v>0</v>
      </c>
      <c r="D372" s="10">
        <f ca="1"/>
        <v>1</v>
      </c>
      <c r="E372" s="10" t="str">
        <v>Wandi Syafari</v>
      </c>
      <c r="F372" s="10" t="str">
        <v>PPL</v>
      </c>
      <c r="G372" s="10" t="str">
        <v>6102010802760001</v>
      </c>
      <c r="H372" s="10" t="str">
        <v>PENDATAAN</v>
      </c>
      <c r="I372" s="10" t="str">
        <v>VHTS24-LAPANGAN-JUNI-PPL-PENDATAAN</v>
      </c>
      <c r="J372" s="10" t="str">
        <v>Dokumen</v>
      </c>
      <c r="K372" s="66">
        <v>55000</v>
      </c>
      <c r="L372" s="10">
        <v>2</v>
      </c>
      <c r="M372" s="10">
        <v>110000</v>
      </c>
      <c r="N372" s="10">
        <v>0</v>
      </c>
      <c r="O372" s="67">
        <v>45463</v>
      </c>
      <c r="P372" s="10">
        <v>2024</v>
      </c>
      <c r="Q372" s="10">
        <v>6</v>
      </c>
      <c r="R372" s="10" t="str">
        <v>SURVEI-PPL</v>
      </c>
      <c r="S372" s="10" t="str">
        <v>610422040056-2024-6</v>
      </c>
      <c r="T372" s="10" t="str">
        <v>610422040056-2024-6-SURVEI-PPL</v>
      </c>
      <c r="U372" s="10">
        <v>1</v>
      </c>
      <c r="V372" s="10" t="e">
        <f ca="1"/>
        <v>#NAME?</v>
      </c>
      <c r="W372" s="67">
        <v>0</v>
      </c>
      <c r="X372" s="11" t="str">
        <v>Survei Hotel dan Jasa Akomodasi Bulanan (VHTS) 2024 Juni</v>
      </c>
      <c r="Y372" s="11" t="str">
        <v>MEMPAWAH HILIR</v>
      </c>
      <c r="Z372" s="11" t="str">
        <v>TERUSAN</v>
      </c>
      <c r="AA372" s="67">
        <v>45443</v>
      </c>
      <c r="AB372" s="67">
        <v>45444</v>
      </c>
      <c r="AC372" s="67">
        <v>45473</v>
      </c>
      <c r="AD372" s="67">
        <v>45472</v>
      </c>
      <c r="AE372" s="67">
        <v>45473</v>
      </c>
    </row>
    <row r="373" spans="1:31" ht="12.5">
      <c r="A373" s="10">
        <v>610422020016</v>
      </c>
      <c r="B373" s="10" t="str">
        <v>KSA24-LAPANGAN-JUNI</v>
      </c>
      <c r="C373" s="10">
        <v>0</v>
      </c>
      <c r="D373" s="10">
        <f ca="1"/>
        <v>1</v>
      </c>
      <c r="E373" s="10" t="str">
        <v>Abdul Aziz</v>
      </c>
      <c r="F373" s="10" t="str">
        <v>PPL</v>
      </c>
      <c r="G373" s="10" t="str">
        <v>6102061507950006</v>
      </c>
      <c r="H373" s="10" t="str">
        <v>KSA PADI</v>
      </c>
      <c r="I373" s="10" t="str">
        <v>KSA24-LAPANGAN-JUNI-PPL-KSA PADI</v>
      </c>
      <c r="J373" s="10" t="str">
        <v>Segmen</v>
      </c>
      <c r="K373" s="66">
        <v>116000</v>
      </c>
      <c r="L373" s="10">
        <v>3</v>
      </c>
      <c r="M373" s="10">
        <v>348000</v>
      </c>
      <c r="N373" s="10">
        <v>0</v>
      </c>
      <c r="O373" s="67">
        <v>45473</v>
      </c>
      <c r="P373" s="10">
        <v>2024</v>
      </c>
      <c r="Q373" s="10">
        <v>6</v>
      </c>
      <c r="R373" s="10" t="str">
        <v>SURVEI-PPL</v>
      </c>
      <c r="S373" s="10" t="str">
        <v>610422020016-2024-6</v>
      </c>
      <c r="T373" s="10" t="str">
        <v>610422020016-2024-6-SURVEI-PPL</v>
      </c>
      <c r="U373" s="10">
        <v>1</v>
      </c>
      <c r="V373" s="10" t="e">
        <f ca="1"/>
        <v>#NAME?</v>
      </c>
      <c r="W373" s="67">
        <v>0</v>
      </c>
      <c r="X373" s="11" t="str">
        <v>Kerangka Sampel Area (KSA) 2024 Juni</v>
      </c>
      <c r="Y373" s="11" t="str">
        <v>TOHO</v>
      </c>
      <c r="Z373" s="11" t="str">
        <v>SAMBORA</v>
      </c>
      <c r="AA373" s="67">
        <v>45443</v>
      </c>
      <c r="AB373" s="67">
        <v>45444</v>
      </c>
      <c r="AC373" s="67">
        <v>45473</v>
      </c>
      <c r="AD373" s="67">
        <v>45472</v>
      </c>
      <c r="AE373" s="67">
        <v>45473</v>
      </c>
    </row>
    <row r="374" spans="1:31" ht="12.5">
      <c r="A374" s="10">
        <v>610422040012</v>
      </c>
      <c r="B374" s="10" t="str">
        <v>KSA24-LAPANGAN-JUNI</v>
      </c>
      <c r="C374" s="10">
        <v>0</v>
      </c>
      <c r="D374" s="10">
        <f ca="1"/>
        <v>1</v>
      </c>
      <c r="E374" s="10" t="str">
        <v>Misdi</v>
      </c>
      <c r="F374" s="10" t="str">
        <v>PPL</v>
      </c>
      <c r="G374" s="10" t="str">
        <v>6102070706940001</v>
      </c>
      <c r="H374" s="10" t="str">
        <v>KSA PADI</v>
      </c>
      <c r="I374" s="10" t="str">
        <v>KSA24-LAPANGAN-JUNI-PPL-KSA PADI</v>
      </c>
      <c r="J374" s="10" t="str">
        <v>Segmen</v>
      </c>
      <c r="K374" s="66">
        <v>116000</v>
      </c>
      <c r="L374" s="10">
        <v>3</v>
      </c>
      <c r="M374" s="10">
        <v>348000</v>
      </c>
      <c r="N374" s="10">
        <v>0</v>
      </c>
      <c r="O374" s="67">
        <v>45473</v>
      </c>
      <c r="P374" s="10">
        <v>2024</v>
      </c>
      <c r="Q374" s="10">
        <v>6</v>
      </c>
      <c r="R374" s="10" t="str">
        <v>SURVEI-PPL</v>
      </c>
      <c r="S374" s="10" t="str">
        <v>610422040012-2024-6</v>
      </c>
      <c r="T374" s="10" t="str">
        <v>610422040012-2024-6-SURVEI-PPL</v>
      </c>
      <c r="U374" s="10">
        <v>1</v>
      </c>
      <c r="V374" s="10" t="e">
        <f ca="1"/>
        <v>#NAME?</v>
      </c>
      <c r="W374" s="67">
        <v>0</v>
      </c>
      <c r="X374" s="11" t="str">
        <v>Kerangka Sampel Area (KSA) 2024 Juni</v>
      </c>
      <c r="Y374" s="11" t="str">
        <v>SUNGAI PINYUH</v>
      </c>
      <c r="Z374" s="11" t="str">
        <v>SUNGAI BAKAU BESAR DARAT</v>
      </c>
      <c r="AA374" s="67">
        <v>45443</v>
      </c>
      <c r="AB374" s="67">
        <v>45444</v>
      </c>
      <c r="AC374" s="67">
        <v>45473</v>
      </c>
      <c r="AD374" s="67">
        <v>45472</v>
      </c>
      <c r="AE374" s="67">
        <v>45473</v>
      </c>
    </row>
    <row r="375" spans="1:31" ht="12.5">
      <c r="A375" s="10">
        <v>610422020048</v>
      </c>
      <c r="B375" s="10" t="str">
        <v>KSA24-LAPANGAN-JUNI</v>
      </c>
      <c r="C375" s="10">
        <v>0</v>
      </c>
      <c r="D375" s="10">
        <f ca="1"/>
        <v>1</v>
      </c>
      <c r="E375" s="10" t="str">
        <v>Herri Gustaman</v>
      </c>
      <c r="F375" s="10" t="str">
        <v>PPL</v>
      </c>
      <c r="G375" s="10" t="str">
        <v>6102072503800001</v>
      </c>
      <c r="H375" s="10" t="str">
        <v>KSA PADI</v>
      </c>
      <c r="I375" s="10" t="str">
        <v>KSA24-LAPANGAN-JUNI-PPL-KSA PADI</v>
      </c>
      <c r="J375" s="10" t="str">
        <v>Segmen</v>
      </c>
      <c r="K375" s="66">
        <v>116000</v>
      </c>
      <c r="L375" s="10">
        <v>4</v>
      </c>
      <c r="M375" s="10">
        <v>464000</v>
      </c>
      <c r="N375" s="10">
        <v>0</v>
      </c>
      <c r="O375" s="67">
        <v>45473</v>
      </c>
      <c r="P375" s="10">
        <v>2024</v>
      </c>
      <c r="Q375" s="10">
        <v>6</v>
      </c>
      <c r="R375" s="10" t="str">
        <v>SURVEI-PPL</v>
      </c>
      <c r="S375" s="10" t="str">
        <v>610422020048-2024-6</v>
      </c>
      <c r="T375" s="10" t="str">
        <v>610422020048-2024-6-SURVEI-PPL</v>
      </c>
      <c r="U375" s="10">
        <v>1</v>
      </c>
      <c r="V375" s="10" t="e">
        <f ca="1"/>
        <v>#NAME?</v>
      </c>
      <c r="W375" s="67">
        <v>0</v>
      </c>
      <c r="X375" s="11" t="str">
        <v>Kerangka Sampel Area (KSA) 2024 Juni</v>
      </c>
      <c r="Y375" s="11" t="str">
        <v>MEMPAWAH TIMUR</v>
      </c>
      <c r="Z375" s="11" t="str">
        <v>SEJEGI</v>
      </c>
      <c r="AA375" s="67">
        <v>45443</v>
      </c>
      <c r="AB375" s="67">
        <v>45444</v>
      </c>
      <c r="AC375" s="67">
        <v>45473</v>
      </c>
      <c r="AD375" s="67">
        <v>45472</v>
      </c>
      <c r="AE375" s="67">
        <v>45473</v>
      </c>
    </row>
    <row r="376" spans="1:31" ht="12.5">
      <c r="A376" s="10">
        <v>610422040061</v>
      </c>
      <c r="B376" s="10" t="str">
        <v>KSA24-LAPANGAN-JUNI</v>
      </c>
      <c r="C376" s="10">
        <v>0</v>
      </c>
      <c r="D376" s="10">
        <f ca="1"/>
        <v>1</v>
      </c>
      <c r="E376" s="10" t="str">
        <v>Sabani</v>
      </c>
      <c r="F376" s="10" t="str">
        <v>PPL</v>
      </c>
      <c r="G376" s="10" t="str">
        <v>6102153112860003</v>
      </c>
      <c r="H376" s="10" t="str">
        <v>KSA PADI</v>
      </c>
      <c r="I376" s="10" t="str">
        <v>KSA24-LAPANGAN-JUNI-PPL-KSA PADI</v>
      </c>
      <c r="J376" s="10" t="str">
        <v>Segmen</v>
      </c>
      <c r="K376" s="66">
        <v>116000</v>
      </c>
      <c r="L376" s="10">
        <v>6</v>
      </c>
      <c r="M376" s="10">
        <v>696000</v>
      </c>
      <c r="N376" s="10">
        <v>0</v>
      </c>
      <c r="O376" s="67">
        <v>45473</v>
      </c>
      <c r="P376" s="10">
        <v>2024</v>
      </c>
      <c r="Q376" s="10">
        <v>6</v>
      </c>
      <c r="R376" s="10" t="str">
        <v>SURVEI-PPL</v>
      </c>
      <c r="S376" s="10" t="str">
        <v>610422040061-2024-6</v>
      </c>
      <c r="T376" s="10" t="str">
        <v>610422040061-2024-6-SURVEI-PPL</v>
      </c>
      <c r="U376" s="10">
        <v>1</v>
      </c>
      <c r="V376" s="10" t="e">
        <f ca="1"/>
        <v>#NAME?</v>
      </c>
      <c r="W376" s="67">
        <v>0</v>
      </c>
      <c r="X376" s="11" t="str">
        <v>Kerangka Sampel Area (KSA) 2024 Juni</v>
      </c>
      <c r="Y376" s="11" t="str">
        <v>SEGEDONG</v>
      </c>
      <c r="Z376" s="11" t="str">
        <v>PENITI BESAR</v>
      </c>
      <c r="AA376" s="67">
        <v>45443</v>
      </c>
      <c r="AB376" s="67">
        <v>45444</v>
      </c>
      <c r="AC376" s="67">
        <v>45473</v>
      </c>
      <c r="AD376" s="67">
        <v>45472</v>
      </c>
      <c r="AE376" s="67">
        <v>45473</v>
      </c>
    </row>
    <row r="377" spans="1:31" ht="12.5">
      <c r="A377" s="10">
        <v>610422100244</v>
      </c>
      <c r="B377" s="10" t="str">
        <v>KSA24-LAPANGAN-JUNI</v>
      </c>
      <c r="C377" s="10">
        <v>0</v>
      </c>
      <c r="D377" s="10">
        <f ca="1"/>
        <v>1</v>
      </c>
      <c r="E377" s="10" t="str">
        <v>Sugianto</v>
      </c>
      <c r="F377" s="10" t="str">
        <v>PPL</v>
      </c>
      <c r="G377" s="10" t="str">
        <v>6102171003900002</v>
      </c>
      <c r="H377" s="10" t="str">
        <v>KSA PADI</v>
      </c>
      <c r="I377" s="10" t="str">
        <v>KSA24-LAPANGAN-JUNI-PPL-KSA PADI</v>
      </c>
      <c r="J377" s="10" t="str">
        <v>Segmen</v>
      </c>
      <c r="K377" s="66">
        <v>116000</v>
      </c>
      <c r="L377" s="10">
        <v>7</v>
      </c>
      <c r="M377" s="10">
        <v>812000</v>
      </c>
      <c r="N377" s="10">
        <v>0</v>
      </c>
      <c r="O377" s="67">
        <v>45473</v>
      </c>
      <c r="P377" s="10">
        <v>2024</v>
      </c>
      <c r="Q377" s="10">
        <v>6</v>
      </c>
      <c r="R377" s="10" t="str">
        <v>SURVEI-PPL</v>
      </c>
      <c r="S377" s="10" t="str">
        <v>610422100244-2024-6</v>
      </c>
      <c r="T377" s="10" t="str">
        <v>610422100244-2024-6-SURVEI-PPL</v>
      </c>
      <c r="U377" s="10">
        <v>1</v>
      </c>
      <c r="V377" s="10" t="e">
        <f ca="1"/>
        <v>#NAME?</v>
      </c>
      <c r="W377" s="67">
        <v>0</v>
      </c>
      <c r="X377" s="11" t="str">
        <v>Kerangka Sampel Area (KSA) 2024 Juni</v>
      </c>
      <c r="Y377" s="11" t="str">
        <v>SADANIANG</v>
      </c>
      <c r="Z377" s="11" t="str">
        <v>BUMBUN</v>
      </c>
      <c r="AA377" s="67">
        <v>45443</v>
      </c>
      <c r="AB377" s="67">
        <v>45444</v>
      </c>
      <c r="AC377" s="67">
        <v>45473</v>
      </c>
      <c r="AD377" s="67">
        <v>45472</v>
      </c>
      <c r="AE377" s="67">
        <v>45473</v>
      </c>
    </row>
    <row r="378" spans="1:31" ht="12.5">
      <c r="A378" s="10">
        <v>610422100176</v>
      </c>
      <c r="B378" s="10" t="str">
        <v>KSA24-LAPANGAN-JUNI</v>
      </c>
      <c r="C378" s="10">
        <v>0</v>
      </c>
      <c r="D378" s="10">
        <f ca="1"/>
        <v>1</v>
      </c>
      <c r="E378" s="10" t="str">
        <v>Feri Firdaus</v>
      </c>
      <c r="F378" s="10" t="str">
        <v>PPL</v>
      </c>
      <c r="G378" s="10" t="str">
        <v>6102150412880001</v>
      </c>
      <c r="H378" s="10" t="str">
        <v>KSA PADI</v>
      </c>
      <c r="I378" s="10" t="str">
        <v>KSA24-LAPANGAN-JUNI-PPL-KSA PADI</v>
      </c>
      <c r="J378" s="10" t="str">
        <v>Segmen</v>
      </c>
      <c r="K378" s="66">
        <v>116000</v>
      </c>
      <c r="L378" s="10">
        <v>3</v>
      </c>
      <c r="M378" s="10">
        <v>348000</v>
      </c>
      <c r="N378" s="10">
        <v>0</v>
      </c>
      <c r="O378" s="67">
        <v>45473</v>
      </c>
      <c r="P378" s="10">
        <v>2024</v>
      </c>
      <c r="Q378" s="10">
        <v>6</v>
      </c>
      <c r="R378" s="10" t="str">
        <v>SURVEI-PPL</v>
      </c>
      <c r="S378" s="10" t="str">
        <v>610422100176-2024-6</v>
      </c>
      <c r="T378" s="10" t="str">
        <v>610422100176-2024-6-SURVEI-PPL</v>
      </c>
      <c r="U378" s="10">
        <v>1</v>
      </c>
      <c r="V378" s="10" t="e">
        <f ca="1"/>
        <v>#NAME?</v>
      </c>
      <c r="W378" s="67">
        <v>0</v>
      </c>
      <c r="X378" s="11" t="str">
        <v>Kerangka Sampel Area (KSA) 2024 Juni</v>
      </c>
      <c r="Y378" s="11" t="str">
        <v>SEGEDONG</v>
      </c>
      <c r="Z378" s="11" t="str">
        <v>SUNGAI BURUNG</v>
      </c>
      <c r="AA378" s="67">
        <v>45443</v>
      </c>
      <c r="AB378" s="67">
        <v>45444</v>
      </c>
      <c r="AC378" s="67">
        <v>45473</v>
      </c>
      <c r="AD378" s="67">
        <v>45472</v>
      </c>
      <c r="AE378" s="67">
        <v>45473</v>
      </c>
    </row>
    <row r="379" spans="1:31" ht="12.5">
      <c r="A379" s="10">
        <v>610423110183</v>
      </c>
      <c r="B379" s="10" t="str">
        <v>KSA24-LAPANGAN-JUNI</v>
      </c>
      <c r="C379" s="10">
        <v>0</v>
      </c>
      <c r="D379" s="10">
        <f ca="1"/>
        <v>1</v>
      </c>
      <c r="E379" s="10" t="str">
        <v>Azhar</v>
      </c>
      <c r="F379" s="10" t="str">
        <v>PPL</v>
      </c>
      <c r="G379" s="10" t="str">
        <v>6102081211790004</v>
      </c>
      <c r="H379" s="10" t="str">
        <v>KSA PADI</v>
      </c>
      <c r="I379" s="10" t="str">
        <v>KSA24-LAPANGAN-JUNI-PPL-KSA PADI</v>
      </c>
      <c r="J379" s="10" t="str">
        <v>Segmen</v>
      </c>
      <c r="K379" s="66">
        <v>116000</v>
      </c>
      <c r="L379" s="10">
        <v>6</v>
      </c>
      <c r="M379" s="10">
        <v>696000</v>
      </c>
      <c r="N379" s="10">
        <v>0</v>
      </c>
      <c r="O379" s="67">
        <v>45473</v>
      </c>
      <c r="P379" s="10">
        <v>2024</v>
      </c>
      <c r="Q379" s="10">
        <v>6</v>
      </c>
      <c r="R379" s="10" t="str">
        <v>SURVEI-PPL</v>
      </c>
      <c r="S379" s="10" t="str">
        <v>610423110183-2024-6</v>
      </c>
      <c r="T379" s="10" t="str">
        <v>610423110183-2024-6-SURVEI-PPL</v>
      </c>
      <c r="U379" s="10">
        <v>1</v>
      </c>
      <c r="V379" s="10" t="e">
        <f ca="1"/>
        <v>#NAME?</v>
      </c>
      <c r="W379" s="67">
        <v>0</v>
      </c>
      <c r="X379" s="11" t="str">
        <v>Kerangka Sampel Area (KSA) 2024 Juni</v>
      </c>
      <c r="Y379" s="11" t="str">
        <v>JONGKAT</v>
      </c>
      <c r="Z379" s="11" t="str">
        <v>SUNGAI NIPAH</v>
      </c>
      <c r="AA379" s="67">
        <v>45443</v>
      </c>
      <c r="AB379" s="67">
        <v>45444</v>
      </c>
      <c r="AC379" s="67">
        <v>45473</v>
      </c>
      <c r="AD379" s="67">
        <v>45472</v>
      </c>
      <c r="AE379" s="67">
        <v>45473</v>
      </c>
    </row>
    <row r="380" spans="1:31" ht="12.5">
      <c r="A380" s="10">
        <v>610422020048</v>
      </c>
      <c r="B380" s="10" t="str">
        <v>KSA24-LAPANGAN-JUNI</v>
      </c>
      <c r="C380" s="10">
        <v>0</v>
      </c>
      <c r="D380" s="10">
        <f ca="1"/>
        <v>1</v>
      </c>
      <c r="E380" s="10" t="str">
        <v>Herri Gustaman</v>
      </c>
      <c r="F380" s="10" t="str">
        <v>PPL</v>
      </c>
      <c r="G380" s="10" t="str">
        <v>6102072503800001</v>
      </c>
      <c r="H380" s="10" t="str">
        <v>KSA JAGUNG</v>
      </c>
      <c r="I380" s="10" t="str">
        <v>KSA24-LAPANGAN-JUNI-PPL-KSA JAGUNG</v>
      </c>
      <c r="J380" s="10" t="str">
        <v>Segmen</v>
      </c>
      <c r="K380" s="66">
        <v>59000</v>
      </c>
      <c r="L380" s="10">
        <v>12</v>
      </c>
      <c r="M380" s="10">
        <v>708000</v>
      </c>
      <c r="N380" s="10">
        <v>0</v>
      </c>
      <c r="O380" s="67">
        <v>45473</v>
      </c>
      <c r="P380" s="10">
        <v>2024</v>
      </c>
      <c r="Q380" s="10">
        <v>6</v>
      </c>
      <c r="R380" s="10" t="str">
        <v>SURVEI-PPL</v>
      </c>
      <c r="S380" s="10" t="str">
        <v>610422020048-2024-6</v>
      </c>
      <c r="T380" s="10" t="str">
        <v>610422020048-2024-6-SURVEI-PPL</v>
      </c>
      <c r="U380" s="10">
        <v>1</v>
      </c>
      <c r="V380" s="10" t="e">
        <f ca="1"/>
        <v>#NAME?</v>
      </c>
      <c r="W380" s="67">
        <v>0</v>
      </c>
      <c r="X380" s="11" t="str">
        <v>Kerangka Sampel Area (KSA) 2024 Juni</v>
      </c>
      <c r="Y380" s="11" t="str">
        <v>MEMPAWAH TIMUR</v>
      </c>
      <c r="Z380" s="11" t="str">
        <v>SEJEGI</v>
      </c>
      <c r="AA380" s="67">
        <v>45443</v>
      </c>
      <c r="AB380" s="67">
        <v>45444</v>
      </c>
      <c r="AC380" s="67">
        <v>45473</v>
      </c>
      <c r="AD380" s="67">
        <v>45472</v>
      </c>
      <c r="AE380" s="67">
        <v>45473</v>
      </c>
    </row>
    <row r="381" spans="1:31" ht="12.5">
      <c r="A381" s="10">
        <v>610422040058</v>
      </c>
      <c r="B381" s="10" t="str">
        <v>KSA24-LAPANGAN-JUNI</v>
      </c>
      <c r="C381" s="10">
        <v>0</v>
      </c>
      <c r="D381" s="10">
        <f ca="1"/>
        <v>1</v>
      </c>
      <c r="E381" s="10" t="str">
        <v>Jamaluddin, Sp</v>
      </c>
      <c r="F381" s="10" t="str">
        <v>PPL</v>
      </c>
      <c r="G381" s="10" t="str">
        <v>6102152607940002</v>
      </c>
      <c r="H381" s="10" t="str">
        <v>KSA JAGUNG</v>
      </c>
      <c r="I381" s="10" t="str">
        <v>KSA24-LAPANGAN-JUNI-PPL-KSA JAGUNG</v>
      </c>
      <c r="J381" s="10" t="str">
        <v>Segmen</v>
      </c>
      <c r="K381" s="66">
        <v>59000</v>
      </c>
      <c r="L381" s="10">
        <v>10</v>
      </c>
      <c r="M381" s="10">
        <v>590000</v>
      </c>
      <c r="N381" s="10">
        <v>0</v>
      </c>
      <c r="O381" s="67">
        <v>45473</v>
      </c>
      <c r="P381" s="10">
        <v>2024</v>
      </c>
      <c r="Q381" s="10">
        <v>6</v>
      </c>
      <c r="R381" s="10" t="str">
        <v>SURVEI-PPL</v>
      </c>
      <c r="S381" s="10" t="str">
        <v>610422040058-2024-6</v>
      </c>
      <c r="T381" s="10" t="str">
        <v>610422040058-2024-6-SURVEI-PPL</v>
      </c>
      <c r="U381" s="10">
        <v>1</v>
      </c>
      <c r="V381" s="10" t="e">
        <f ca="1"/>
        <v>#NAME?</v>
      </c>
      <c r="W381" s="67">
        <v>0</v>
      </c>
      <c r="X381" s="11" t="str">
        <v>Kerangka Sampel Area (KSA) 2024 Juni</v>
      </c>
      <c r="Y381" s="11" t="str">
        <v>SEGEDONG</v>
      </c>
      <c r="Z381" s="11" t="str">
        <v>PENITI DALAM I</v>
      </c>
      <c r="AA381" s="67">
        <v>45443</v>
      </c>
      <c r="AB381" s="67">
        <v>45444</v>
      </c>
      <c r="AC381" s="67">
        <v>45473</v>
      </c>
      <c r="AD381" s="67">
        <v>45472</v>
      </c>
      <c r="AE381" s="67">
        <v>45473</v>
      </c>
    </row>
    <row r="382" spans="1:31" ht="12.5">
      <c r="A382" s="10">
        <v>610423110183</v>
      </c>
      <c r="B382" s="10" t="str">
        <v>KSA24-LAPANGAN-JUNI</v>
      </c>
      <c r="C382" s="10">
        <v>0</v>
      </c>
      <c r="D382" s="10">
        <f ca="1"/>
        <v>1</v>
      </c>
      <c r="E382" s="10" t="str">
        <v>Azhar</v>
      </c>
      <c r="F382" s="10" t="str">
        <v>PPL</v>
      </c>
      <c r="G382" s="10" t="str">
        <v>6102081211790004</v>
      </c>
      <c r="H382" s="10" t="str">
        <v>KSA JAGUNG</v>
      </c>
      <c r="I382" s="10" t="str">
        <v>KSA24-LAPANGAN-JUNI-PPL-KSA JAGUNG</v>
      </c>
      <c r="J382" s="10" t="str">
        <v>Segmen</v>
      </c>
      <c r="K382" s="66">
        <v>59000</v>
      </c>
      <c r="L382" s="10">
        <v>6</v>
      </c>
      <c r="M382" s="10">
        <v>354000</v>
      </c>
      <c r="N382" s="10">
        <v>0</v>
      </c>
      <c r="O382" s="67">
        <v>45473</v>
      </c>
      <c r="P382" s="10">
        <v>2024</v>
      </c>
      <c r="Q382" s="10">
        <v>6</v>
      </c>
      <c r="R382" s="10" t="str">
        <v>SURVEI-PPL</v>
      </c>
      <c r="S382" s="10" t="str">
        <v>610423110183-2024-6</v>
      </c>
      <c r="T382" s="10" t="str">
        <v>610423110183-2024-6-SURVEI-PPL</v>
      </c>
      <c r="U382" s="10">
        <v>1</v>
      </c>
      <c r="V382" s="10" t="e">
        <f ca="1"/>
        <v>#NAME?</v>
      </c>
      <c r="W382" s="67">
        <v>0</v>
      </c>
      <c r="X382" s="11" t="str">
        <v>Kerangka Sampel Area (KSA) 2024 Juni</v>
      </c>
      <c r="Y382" s="11" t="str">
        <v>JONGKAT</v>
      </c>
      <c r="Z382" s="11" t="str">
        <v>SUNGAI NIPAH</v>
      </c>
      <c r="AA382" s="67">
        <v>45443</v>
      </c>
      <c r="AB382" s="67">
        <v>45444</v>
      </c>
      <c r="AC382" s="67">
        <v>45473</v>
      </c>
      <c r="AD382" s="67">
        <v>45472</v>
      </c>
      <c r="AE382" s="67">
        <v>45473</v>
      </c>
    </row>
    <row r="383" spans="1:31" ht="12.5">
      <c r="A383" s="10">
        <v>610422100244</v>
      </c>
      <c r="B383" s="10" t="str">
        <v>KSA24-LAPANGAN-JUNI</v>
      </c>
      <c r="C383" s="10">
        <v>0</v>
      </c>
      <c r="D383" s="10">
        <f ca="1"/>
        <v>1</v>
      </c>
      <c r="E383" s="10" t="str">
        <v>Sugianto</v>
      </c>
      <c r="F383" s="10" t="str">
        <v>PPL</v>
      </c>
      <c r="G383" s="10" t="str">
        <v>6102171003900002</v>
      </c>
      <c r="H383" s="10" t="str">
        <v>KSA JAGUNG</v>
      </c>
      <c r="I383" s="10" t="str">
        <v>KSA24-LAPANGAN-JUNI-PPL-KSA JAGUNG</v>
      </c>
      <c r="J383" s="10" t="str">
        <v>Segmen</v>
      </c>
      <c r="K383" s="66">
        <v>59000</v>
      </c>
      <c r="L383" s="10">
        <v>8</v>
      </c>
      <c r="M383" s="10">
        <v>472000</v>
      </c>
      <c r="N383" s="10">
        <v>0</v>
      </c>
      <c r="O383" s="67">
        <v>45473</v>
      </c>
      <c r="P383" s="10">
        <v>2024</v>
      </c>
      <c r="Q383" s="10">
        <v>6</v>
      </c>
      <c r="R383" s="10" t="str">
        <v>SURVEI-PPL</v>
      </c>
      <c r="S383" s="10" t="str">
        <v>610422100244-2024-6</v>
      </c>
      <c r="T383" s="10" t="str">
        <v>610422100244-2024-6-SURVEI-PPL</v>
      </c>
      <c r="U383" s="10">
        <v>1</v>
      </c>
      <c r="V383" s="10" t="e">
        <f ca="1"/>
        <v>#NAME?</v>
      </c>
      <c r="W383" s="67">
        <v>0</v>
      </c>
      <c r="X383" s="11" t="str">
        <v>Kerangka Sampel Area (KSA) 2024 Juni</v>
      </c>
      <c r="Y383" s="11" t="str">
        <v>SADANIANG</v>
      </c>
      <c r="Z383" s="11" t="str">
        <v>BUMBUN</v>
      </c>
      <c r="AA383" s="67">
        <v>45443</v>
      </c>
      <c r="AB383" s="67">
        <v>45444</v>
      </c>
      <c r="AC383" s="67">
        <v>45473</v>
      </c>
      <c r="AD383" s="67">
        <v>45472</v>
      </c>
      <c r="AE383" s="67">
        <v>45473</v>
      </c>
    </row>
    <row r="384" spans="1:31" ht="12.5">
      <c r="A384" s="10">
        <v>610422020045</v>
      </c>
      <c r="B384" s="10" t="str">
        <v>SEP24-LAPANGAN</v>
      </c>
      <c r="C384" s="10">
        <v>0</v>
      </c>
      <c r="D384" s="10">
        <f ca="1"/>
        <v>1</v>
      </c>
      <c r="E384" s="10" t="str">
        <v>Herdinatara Febria</v>
      </c>
      <c r="F384" s="10" t="str">
        <v>PPL</v>
      </c>
      <c r="G384" s="10" t="str">
        <v>6107086009930002</v>
      </c>
      <c r="H384" s="10" t="str">
        <v>OB</v>
      </c>
      <c r="I384" s="10" t="str">
        <v>SEP24-LAPANGAN-PPL-PENDATAAN</v>
      </c>
      <c r="J384" s="10" t="str">
        <v>OB</v>
      </c>
      <c r="K384" s="66">
        <v>4694000</v>
      </c>
      <c r="L384" s="10">
        <v>1</v>
      </c>
      <c r="M384" s="10">
        <v>4694000</v>
      </c>
      <c r="N384" s="10">
        <v>0</v>
      </c>
      <c r="O384" s="67">
        <v>45473</v>
      </c>
      <c r="P384" s="10">
        <v>2024</v>
      </c>
      <c r="Q384" s="10">
        <v>6</v>
      </c>
      <c r="R384" s="10" t="str">
        <v>SENSUS-PPL</v>
      </c>
      <c r="S384" s="10" t="str">
        <v>610422020045-2024-6</v>
      </c>
      <c r="T384" s="10" t="str">
        <v>610422020045-2024-6-SENSUS-PPL</v>
      </c>
      <c r="U384" s="10">
        <v>1</v>
      </c>
      <c r="V384" s="10" t="e">
        <f ca="1"/>
        <v>#NAME?</v>
      </c>
      <c r="W384" s="67">
        <v>0</v>
      </c>
      <c r="X384" s="11" t="str">
        <v>Survei Ekonomi Pertanian 2024</v>
      </c>
      <c r="Y384" s="11" t="str">
        <v>JONGKAT</v>
      </c>
      <c r="Z384" s="11" t="str">
        <v>WAJOK HILIR</v>
      </c>
      <c r="AA384" s="67">
        <v>45443</v>
      </c>
      <c r="AB384" s="67">
        <v>45444</v>
      </c>
      <c r="AC384" s="67">
        <v>45473</v>
      </c>
      <c r="AD384" s="67">
        <v>45472</v>
      </c>
      <c r="AE384" s="67">
        <v>45473</v>
      </c>
    </row>
    <row r="385" spans="1:31" ht="12.5">
      <c r="A385" s="10">
        <v>610422020012</v>
      </c>
      <c r="B385" s="10" t="str">
        <v>SEP24-LAPANGAN</v>
      </c>
      <c r="C385" s="10">
        <v>0</v>
      </c>
      <c r="D385" s="10">
        <f ca="1"/>
        <v>1</v>
      </c>
      <c r="E385" s="10" t="str">
        <v>Isul</v>
      </c>
      <c r="F385" s="10" t="str">
        <v>PPL</v>
      </c>
      <c r="G385" s="10" t="str">
        <v>6102176206860001</v>
      </c>
      <c r="H385" s="10" t="str">
        <v>OB</v>
      </c>
      <c r="I385" s="10" t="str">
        <v>SEP24-LAPANGAN-PPL-PENDATAAN</v>
      </c>
      <c r="J385" s="10" t="str">
        <v>OB</v>
      </c>
      <c r="K385" s="66">
        <v>4694000</v>
      </c>
      <c r="L385" s="10">
        <v>1</v>
      </c>
      <c r="M385" s="10">
        <v>4694000</v>
      </c>
      <c r="N385" s="10">
        <v>0</v>
      </c>
      <c r="O385" s="67">
        <v>45473</v>
      </c>
      <c r="P385" s="10">
        <v>2024</v>
      </c>
      <c r="Q385" s="10">
        <v>6</v>
      </c>
      <c r="R385" s="10" t="str">
        <v>SENSUS-PPL</v>
      </c>
      <c r="S385" s="10" t="str">
        <v>610422020012-2024-6</v>
      </c>
      <c r="T385" s="10" t="str">
        <v>610422020012-2024-6-SENSUS-PPL</v>
      </c>
      <c r="U385" s="10">
        <v>1</v>
      </c>
      <c r="V385" s="10" t="e">
        <f ca="1"/>
        <v>#NAME?</v>
      </c>
      <c r="W385" s="67">
        <v>0</v>
      </c>
      <c r="X385" s="11" t="str">
        <v>Survei Ekonomi Pertanian 2024</v>
      </c>
      <c r="Y385" s="11" t="str">
        <v>SADANIANG</v>
      </c>
      <c r="Z385" s="11" t="str">
        <v>BUMBUN</v>
      </c>
      <c r="AA385" s="67">
        <v>45443</v>
      </c>
      <c r="AB385" s="67">
        <v>45444</v>
      </c>
      <c r="AC385" s="67">
        <v>45473</v>
      </c>
      <c r="AD385" s="67">
        <v>45472</v>
      </c>
      <c r="AE385" s="67">
        <v>45473</v>
      </c>
    </row>
    <row r="386" spans="1:31" ht="12.5">
      <c r="A386" s="10">
        <v>610422020032</v>
      </c>
      <c r="B386" s="10" t="str">
        <v>SEP24-LAPANGAN</v>
      </c>
      <c r="C386" s="10">
        <v>0</v>
      </c>
      <c r="D386" s="10">
        <f ca="1"/>
        <v>1</v>
      </c>
      <c r="E386" s="10" t="str">
        <v>Lilis Suryani</v>
      </c>
      <c r="F386" s="10" t="str">
        <v>PPL</v>
      </c>
      <c r="G386" s="10" t="str">
        <v>6102185102880001</v>
      </c>
      <c r="H386" s="10" t="str">
        <v>OB</v>
      </c>
      <c r="I386" s="10" t="str">
        <v>SEP24-LAPANGAN-PPL-PENDATAAN</v>
      </c>
      <c r="J386" s="10" t="str">
        <v>OB</v>
      </c>
      <c r="K386" s="66">
        <v>4694000</v>
      </c>
      <c r="L386" s="10">
        <v>1</v>
      </c>
      <c r="M386" s="10">
        <v>4694000</v>
      </c>
      <c r="N386" s="10">
        <v>0</v>
      </c>
      <c r="O386" s="67">
        <v>45473</v>
      </c>
      <c r="P386" s="10">
        <v>2024</v>
      </c>
      <c r="Q386" s="10">
        <v>6</v>
      </c>
      <c r="R386" s="10" t="str">
        <v>SENSUS-PPL</v>
      </c>
      <c r="S386" s="10" t="str">
        <v>610422020032-2024-6</v>
      </c>
      <c r="T386" s="10" t="str">
        <v>610422020032-2024-6-SENSUS-PPL</v>
      </c>
      <c r="U386" s="10">
        <v>1</v>
      </c>
      <c r="V386" s="10" t="e">
        <f ca="1"/>
        <v>#NAME?</v>
      </c>
      <c r="W386" s="67">
        <v>0</v>
      </c>
      <c r="X386" s="11" t="str">
        <v>Survei Ekonomi Pertanian 2024</v>
      </c>
      <c r="Y386" s="11" t="str">
        <v>MEMPAWAH TIMUR</v>
      </c>
      <c r="Z386" s="11" t="str">
        <v>PARIT BANJAR</v>
      </c>
      <c r="AA386" s="67">
        <v>45443</v>
      </c>
      <c r="AB386" s="67">
        <v>45444</v>
      </c>
      <c r="AC386" s="67">
        <v>45473</v>
      </c>
      <c r="AD386" s="67">
        <v>45472</v>
      </c>
      <c r="AE386" s="67">
        <v>45473</v>
      </c>
    </row>
    <row r="387" spans="1:31" ht="12.5">
      <c r="A387" s="10">
        <v>610422030001</v>
      </c>
      <c r="B387" s="10" t="str">
        <v>SEP24-LAPANGAN</v>
      </c>
      <c r="C387" s="10">
        <v>0</v>
      </c>
      <c r="D387" s="10">
        <f ca="1"/>
        <v>1</v>
      </c>
      <c r="E387" s="10" t="str">
        <v>Pitra,Sp</v>
      </c>
      <c r="F387" s="10" t="str">
        <v>PPL</v>
      </c>
      <c r="G387" s="10" t="str">
        <v>6102010808800006</v>
      </c>
      <c r="H387" s="10" t="str">
        <v>OB</v>
      </c>
      <c r="I387" s="10" t="str">
        <v>SEP24-LAPANGAN-PPL-PENDATAAN</v>
      </c>
      <c r="J387" s="10" t="str">
        <v>OB</v>
      </c>
      <c r="K387" s="66">
        <v>4694000</v>
      </c>
      <c r="L387" s="10">
        <v>1</v>
      </c>
      <c r="M387" s="10">
        <v>4694000</v>
      </c>
      <c r="N387" s="10">
        <v>0</v>
      </c>
      <c r="O387" s="67">
        <v>45473</v>
      </c>
      <c r="P387" s="10">
        <v>2024</v>
      </c>
      <c r="Q387" s="10">
        <v>6</v>
      </c>
      <c r="R387" s="10" t="str">
        <v>SENSUS-PPL</v>
      </c>
      <c r="S387" s="10" t="str">
        <v>610422030001-2024-6</v>
      </c>
      <c r="T387" s="10" t="str">
        <v>610422030001-2024-6-SENSUS-PPL</v>
      </c>
      <c r="U387" s="10">
        <v>1</v>
      </c>
      <c r="V387" s="10" t="e">
        <f ca="1"/>
        <v>#NAME?</v>
      </c>
      <c r="W387" s="67">
        <v>0</v>
      </c>
      <c r="X387" s="11" t="str">
        <v>Survei Ekonomi Pertanian 2024</v>
      </c>
      <c r="Y387" s="11" t="str">
        <v>SEGEDONG</v>
      </c>
      <c r="Z387" s="11" t="str">
        <v>PENITI DALAM I</v>
      </c>
      <c r="AA387" s="67">
        <v>45443</v>
      </c>
      <c r="AB387" s="67">
        <v>45444</v>
      </c>
      <c r="AC387" s="67">
        <v>45473</v>
      </c>
      <c r="AD387" s="67">
        <v>45472</v>
      </c>
      <c r="AE387" s="67">
        <v>45473</v>
      </c>
    </row>
    <row r="388" spans="1:31" ht="12.5">
      <c r="A388" s="10">
        <v>610422040053</v>
      </c>
      <c r="B388" s="10" t="str">
        <v>SEP24-LAPANGAN</v>
      </c>
      <c r="C388" s="10">
        <v>0</v>
      </c>
      <c r="D388" s="10">
        <f ca="1"/>
        <v>1</v>
      </c>
      <c r="E388" s="10" t="str">
        <v>Veti Ningsi</v>
      </c>
      <c r="F388" s="10" t="str">
        <v>PPL</v>
      </c>
      <c r="G388" s="10" t="str">
        <v>6102125604010002</v>
      </c>
      <c r="H388" s="10" t="str">
        <v>OB</v>
      </c>
      <c r="I388" s="10" t="str">
        <v>SEP24-LAPANGAN-PPL-PENDATAAN</v>
      </c>
      <c r="J388" s="10" t="str">
        <v>OB</v>
      </c>
      <c r="K388" s="66">
        <v>4694000</v>
      </c>
      <c r="L388" s="10">
        <v>1</v>
      </c>
      <c r="M388" s="10">
        <v>4694000</v>
      </c>
      <c r="N388" s="10">
        <v>0</v>
      </c>
      <c r="O388" s="67">
        <v>45473</v>
      </c>
      <c r="P388" s="10">
        <v>2024</v>
      </c>
      <c r="Q388" s="10">
        <v>6</v>
      </c>
      <c r="R388" s="10" t="str">
        <v>SENSUS-PPL</v>
      </c>
      <c r="S388" s="10" t="str">
        <v>610422040053-2024-6</v>
      </c>
      <c r="T388" s="10" t="str">
        <v>610422040053-2024-6-SENSUS-PPL</v>
      </c>
      <c r="U388" s="10">
        <v>1</v>
      </c>
      <c r="V388" s="10" t="e">
        <f ca="1"/>
        <v>#NAME?</v>
      </c>
      <c r="W388" s="67">
        <v>0</v>
      </c>
      <c r="X388" s="11" t="str">
        <v>Survei Ekonomi Pertanian 2024</v>
      </c>
      <c r="Y388" s="11" t="str">
        <v>SUNGAI KUNYIT</v>
      </c>
      <c r="Z388" s="11" t="str">
        <v>SUNGAI BUNDUNG LAUT</v>
      </c>
      <c r="AA388" s="67">
        <v>45443</v>
      </c>
      <c r="AB388" s="67">
        <v>45444</v>
      </c>
      <c r="AC388" s="67">
        <v>45473</v>
      </c>
      <c r="AD388" s="67">
        <v>45472</v>
      </c>
      <c r="AE388" s="67">
        <v>45473</v>
      </c>
    </row>
    <row r="389" spans="1:31" ht="12.5">
      <c r="A389" s="10">
        <v>610422040034</v>
      </c>
      <c r="B389" s="10" t="str">
        <v>SEP24-LAPANGAN</v>
      </c>
      <c r="C389" s="10">
        <v>0</v>
      </c>
      <c r="D389" s="10">
        <f ca="1"/>
        <v>1</v>
      </c>
      <c r="E389" s="10" t="str">
        <v>Nelly Nalita</v>
      </c>
      <c r="F389" s="10" t="str">
        <v>PPL</v>
      </c>
      <c r="G389" s="10" t="str">
        <v>6102014712890004</v>
      </c>
      <c r="H389" s="10" t="str">
        <v>OB</v>
      </c>
      <c r="I389" s="10" t="str">
        <v>SEP24-LAPANGAN-PPL-PENDATAAN</v>
      </c>
      <c r="J389" s="10" t="str">
        <v>OB</v>
      </c>
      <c r="K389" s="66">
        <v>4694000</v>
      </c>
      <c r="L389" s="10">
        <v>1</v>
      </c>
      <c r="M389" s="10">
        <v>4694000</v>
      </c>
      <c r="N389" s="10">
        <v>0</v>
      </c>
      <c r="O389" s="67">
        <v>45473</v>
      </c>
      <c r="P389" s="10">
        <v>2024</v>
      </c>
      <c r="Q389" s="10">
        <v>6</v>
      </c>
      <c r="R389" s="10" t="str">
        <v>SENSUS-PPL</v>
      </c>
      <c r="S389" s="10" t="str">
        <v>610422040034-2024-6</v>
      </c>
      <c r="T389" s="10" t="str">
        <v>610422040034-2024-6-SENSUS-PPL</v>
      </c>
      <c r="U389" s="10">
        <v>1</v>
      </c>
      <c r="V389" s="10" t="e">
        <f ca="1"/>
        <v>#NAME?</v>
      </c>
      <c r="W389" s="67">
        <v>0</v>
      </c>
      <c r="X389" s="11" t="str">
        <v>Survei Ekonomi Pertanian 2024</v>
      </c>
      <c r="Y389" s="11" t="str">
        <v>MEMPAWAH HILIR</v>
      </c>
      <c r="Z389" s="11" t="str">
        <v>SENGKUBANG</v>
      </c>
      <c r="AA389" s="67">
        <v>45443</v>
      </c>
      <c r="AB389" s="67">
        <v>45444</v>
      </c>
      <c r="AC389" s="67">
        <v>45473</v>
      </c>
      <c r="AD389" s="67">
        <v>45472</v>
      </c>
      <c r="AE389" s="67">
        <v>45473</v>
      </c>
    </row>
    <row r="390" spans="1:31" ht="12.5">
      <c r="A390" s="10">
        <v>610422040051</v>
      </c>
      <c r="B390" s="10" t="str">
        <v>SEP24-LAPANGAN</v>
      </c>
      <c r="C390" s="10">
        <v>0</v>
      </c>
      <c r="D390" s="10">
        <f ca="1"/>
        <v>1</v>
      </c>
      <c r="E390" s="10" t="str">
        <v>Dede Sri Delvey</v>
      </c>
      <c r="F390" s="10" t="str">
        <v>PPL</v>
      </c>
      <c r="G390" s="10" t="str">
        <v>6102156611010002</v>
      </c>
      <c r="H390" s="10" t="str">
        <v>OB</v>
      </c>
      <c r="I390" s="10" t="str">
        <v>SEP24-LAPANGAN-PPL-PENDATAAN</v>
      </c>
      <c r="J390" s="10" t="str">
        <v>OB</v>
      </c>
      <c r="K390" s="66">
        <v>4694000</v>
      </c>
      <c r="L390" s="10">
        <v>1</v>
      </c>
      <c r="M390" s="10">
        <v>4694000</v>
      </c>
      <c r="N390" s="10">
        <v>0</v>
      </c>
      <c r="O390" s="67">
        <v>45473</v>
      </c>
      <c r="P390" s="10">
        <v>2024</v>
      </c>
      <c r="Q390" s="10">
        <v>6</v>
      </c>
      <c r="R390" s="10" t="str">
        <v>SENSUS-PPL</v>
      </c>
      <c r="S390" s="10" t="str">
        <v>610422040051-2024-6</v>
      </c>
      <c r="T390" s="10" t="str">
        <v>610422040051-2024-6-SENSUS-PPL</v>
      </c>
      <c r="U390" s="10">
        <v>1</v>
      </c>
      <c r="V390" s="10" t="e">
        <f ca="1"/>
        <v>#NAME?</v>
      </c>
      <c r="W390" s="67">
        <v>0</v>
      </c>
      <c r="X390" s="11" t="str">
        <v>Survei Ekonomi Pertanian 2024</v>
      </c>
      <c r="Y390" s="11" t="str">
        <v>SEGEDONG</v>
      </c>
      <c r="Z390" s="11" t="str">
        <v>SUNGAI PURUN BESAR</v>
      </c>
      <c r="AA390" s="67">
        <v>45443</v>
      </c>
      <c r="AB390" s="67">
        <v>45444</v>
      </c>
      <c r="AC390" s="67">
        <v>45473</v>
      </c>
      <c r="AD390" s="67">
        <v>45472</v>
      </c>
      <c r="AE390" s="67">
        <v>45473</v>
      </c>
    </row>
    <row r="391" spans="1:31" ht="12.5">
      <c r="A391" s="10">
        <v>610422040052</v>
      </c>
      <c r="B391" s="10" t="str">
        <v>SEP24-LAPANGAN</v>
      </c>
      <c r="C391" s="10">
        <v>0</v>
      </c>
      <c r="D391" s="10">
        <f ca="1"/>
        <v>1</v>
      </c>
      <c r="E391" s="10" t="str">
        <v>Yusimianto</v>
      </c>
      <c r="F391" s="10" t="str">
        <v>PPL</v>
      </c>
      <c r="G391" s="10" t="str">
        <v>6102160603790001</v>
      </c>
      <c r="H391" s="10" t="str">
        <v>OB</v>
      </c>
      <c r="I391" s="10" t="str">
        <v>SEP24-LAPANGAN-PPL-PENDATAAN</v>
      </c>
      <c r="J391" s="10" t="str">
        <v>OB</v>
      </c>
      <c r="K391" s="66">
        <v>4694000</v>
      </c>
      <c r="L391" s="10">
        <v>1</v>
      </c>
      <c r="M391" s="10">
        <v>4694000</v>
      </c>
      <c r="N391" s="10">
        <v>0</v>
      </c>
      <c r="O391" s="67">
        <v>45473</v>
      </c>
      <c r="P391" s="10">
        <v>2024</v>
      </c>
      <c r="Q391" s="10">
        <v>6</v>
      </c>
      <c r="R391" s="10" t="str">
        <v>SENSUS-PPL</v>
      </c>
      <c r="S391" s="10" t="str">
        <v>610422040052-2024-6</v>
      </c>
      <c r="T391" s="10" t="str">
        <v>610422040052-2024-6-SENSUS-PPL</v>
      </c>
      <c r="U391" s="10">
        <v>1</v>
      </c>
      <c r="V391" s="10" t="e">
        <f ca="1"/>
        <v>#NAME?</v>
      </c>
      <c r="W391" s="67">
        <v>0</v>
      </c>
      <c r="X391" s="11" t="str">
        <v>Survei Ekonomi Pertanian 2024</v>
      </c>
      <c r="Y391" s="11" t="str">
        <v>ANJONGAN</v>
      </c>
      <c r="Z391" s="11" t="str">
        <v>PAK BULU</v>
      </c>
      <c r="AA391" s="67">
        <v>45443</v>
      </c>
      <c r="AB391" s="67">
        <v>45444</v>
      </c>
      <c r="AC391" s="67">
        <v>45473</v>
      </c>
      <c r="AD391" s="67">
        <v>45472</v>
      </c>
      <c r="AE391" s="67">
        <v>45473</v>
      </c>
    </row>
    <row r="392" spans="1:31" ht="12.5">
      <c r="A392" s="10">
        <v>610422040059</v>
      </c>
      <c r="B392" s="10" t="str">
        <v>SEP24-LAPANGAN</v>
      </c>
      <c r="C392" s="10">
        <v>0</v>
      </c>
      <c r="D392" s="10">
        <f ca="1"/>
        <v>1</v>
      </c>
      <c r="E392" s="10" t="str">
        <v>Abang Handri</v>
      </c>
      <c r="F392" s="10" t="str">
        <v>PPL</v>
      </c>
      <c r="G392" s="10" t="str">
        <v>6102072211780002</v>
      </c>
      <c r="H392" s="10" t="str">
        <v>OB</v>
      </c>
      <c r="I392" s="10" t="str">
        <v>SEP24-LAPANGAN-PPL-PENDATAAN</v>
      </c>
      <c r="J392" s="10" t="str">
        <v>OB</v>
      </c>
      <c r="K392" s="66">
        <v>4694000</v>
      </c>
      <c r="L392" s="10">
        <v>1</v>
      </c>
      <c r="M392" s="10">
        <v>4694000</v>
      </c>
      <c r="N392" s="10">
        <v>0</v>
      </c>
      <c r="O392" s="67">
        <v>45473</v>
      </c>
      <c r="P392" s="10">
        <v>2024</v>
      </c>
      <c r="Q392" s="10">
        <v>6</v>
      </c>
      <c r="R392" s="10" t="str">
        <v>SENSUS-PPL</v>
      </c>
      <c r="S392" s="10" t="str">
        <v>610422040059-2024-6</v>
      </c>
      <c r="T392" s="10" t="str">
        <v>610422040059-2024-6-SENSUS-PPL</v>
      </c>
      <c r="U392" s="10">
        <v>1</v>
      </c>
      <c r="V392" s="10" t="e">
        <f ca="1"/>
        <v>#NAME?</v>
      </c>
      <c r="W392" s="67">
        <v>0</v>
      </c>
      <c r="X392" s="11" t="str">
        <v>Survei Ekonomi Pertanian 2024</v>
      </c>
      <c r="Y392" s="11" t="str">
        <v>MEMPAWAH HILIR</v>
      </c>
      <c r="Z392" s="11" t="str">
        <v>TERUSAN</v>
      </c>
      <c r="AA392" s="67">
        <v>45443</v>
      </c>
      <c r="AB392" s="67">
        <v>45444</v>
      </c>
      <c r="AC392" s="67">
        <v>45473</v>
      </c>
      <c r="AD392" s="67">
        <v>45472</v>
      </c>
      <c r="AE392" s="67">
        <v>45473</v>
      </c>
    </row>
    <row r="393" spans="1:31" ht="12.5">
      <c r="A393" s="10">
        <v>610422050001</v>
      </c>
      <c r="B393" s="10" t="str">
        <v>SEP24-LAPANGAN</v>
      </c>
      <c r="C393" s="10">
        <v>0</v>
      </c>
      <c r="D393" s="10">
        <v>1</v>
      </c>
      <c r="E393" s="10" t="str">
        <v>Evi Juniarty</v>
      </c>
      <c r="F393" s="10" t="str">
        <v>PPL</v>
      </c>
      <c r="G393" s="10" t="str">
        <v>6102165101840001</v>
      </c>
      <c r="H393" s="10" t="str">
        <v>OB</v>
      </c>
      <c r="I393" s="10" t="str">
        <v>SEP24-LAPANGAN-PPL-PENDATAAN</v>
      </c>
      <c r="J393" s="10" t="str">
        <v>OB</v>
      </c>
      <c r="K393" s="66">
        <v>4694000</v>
      </c>
      <c r="L393" s="10">
        <v>1</v>
      </c>
      <c r="M393" s="10">
        <v>4694000</v>
      </c>
      <c r="N393" s="10">
        <v>0</v>
      </c>
      <c r="O393" s="67">
        <v>45473</v>
      </c>
      <c r="P393" s="10">
        <v>2024</v>
      </c>
      <c r="Q393" s="10">
        <v>6</v>
      </c>
      <c r="R393" s="10" t="str">
        <v>SENSUS-PPL</v>
      </c>
      <c r="S393" s="10" t="str">
        <v>610422050001-2024-6</v>
      </c>
      <c r="T393" s="10" t="str">
        <v>610422050001-2024-6-SENSUS-PPL</v>
      </c>
      <c r="U393" s="10">
        <v>1</v>
      </c>
      <c r="V393" s="10" t="e">
        <f ca="1"/>
        <v>#NAME?</v>
      </c>
      <c r="W393" s="67">
        <v>0</v>
      </c>
      <c r="X393" s="11" t="str">
        <v>Survei Ekonomi Pertanian 2024</v>
      </c>
      <c r="Y393" s="11" t="str">
        <v>ANJONGAN</v>
      </c>
      <c r="Z393" s="11" t="str">
        <v>ANJUNGAN MELANCAR</v>
      </c>
      <c r="AA393" s="67">
        <v>45443</v>
      </c>
      <c r="AB393" s="67">
        <v>45444</v>
      </c>
      <c r="AC393" s="67">
        <v>45473</v>
      </c>
      <c r="AD393" s="67">
        <v>45472</v>
      </c>
      <c r="AE393" s="67">
        <v>45473</v>
      </c>
    </row>
    <row r="394" spans="1:31" ht="12.5">
      <c r="A394" s="10">
        <v>610422100006</v>
      </c>
      <c r="B394" s="10" t="str">
        <v>SEP24-LAPANGAN</v>
      </c>
      <c r="C394" s="10">
        <v>0</v>
      </c>
      <c r="D394" s="10">
        <f ca="1"/>
        <v>1</v>
      </c>
      <c r="E394" s="10" t="str">
        <v>Dandy</v>
      </c>
      <c r="F394" s="10" t="str">
        <v>PPL</v>
      </c>
      <c r="G394" s="10" t="str">
        <v>6102082010980003</v>
      </c>
      <c r="H394" s="10" t="str">
        <v>OB</v>
      </c>
      <c r="I394" s="10" t="str">
        <v>SEP24-LAPANGAN-PPL-PENDATAAN</v>
      </c>
      <c r="J394" s="10" t="str">
        <v>OB</v>
      </c>
      <c r="K394" s="66">
        <v>4694000</v>
      </c>
      <c r="L394" s="10">
        <v>1</v>
      </c>
      <c r="M394" s="10">
        <v>4694000</v>
      </c>
      <c r="N394" s="10">
        <v>0</v>
      </c>
      <c r="O394" s="67">
        <v>45473</v>
      </c>
      <c r="P394" s="10">
        <v>2024</v>
      </c>
      <c r="Q394" s="10">
        <v>6</v>
      </c>
      <c r="R394" s="10" t="str">
        <v>SENSUS-PPL</v>
      </c>
      <c r="S394" s="10" t="str">
        <v>610422100006-2024-6</v>
      </c>
      <c r="T394" s="10" t="str">
        <v>610422100006-2024-6-SENSUS-PPL</v>
      </c>
      <c r="U394" s="10">
        <v>1</v>
      </c>
      <c r="V394" s="10" t="e">
        <f ca="1"/>
        <v>#NAME?</v>
      </c>
      <c r="W394" s="67">
        <v>0</v>
      </c>
      <c r="X394" s="11" t="str">
        <v>Survei Ekonomi Pertanian 2024</v>
      </c>
      <c r="Y394" s="11" t="str">
        <v>JONGKAT</v>
      </c>
      <c r="Z394" s="11" t="str">
        <v>PENITI LUAR</v>
      </c>
      <c r="AA394" s="67">
        <v>45443</v>
      </c>
      <c r="AB394" s="67">
        <v>45444</v>
      </c>
      <c r="AC394" s="67">
        <v>45473</v>
      </c>
      <c r="AD394" s="67">
        <v>45472</v>
      </c>
      <c r="AE394" s="67">
        <v>45473</v>
      </c>
    </row>
    <row r="395" spans="1:31" ht="12.5">
      <c r="A395" s="10">
        <v>610422100101</v>
      </c>
      <c r="B395" s="10" t="str">
        <v>SEP24-LAPANGAN</v>
      </c>
      <c r="C395" s="10">
        <v>0</v>
      </c>
      <c r="D395" s="10">
        <f ca="1"/>
        <v>1</v>
      </c>
      <c r="E395" s="10" t="str">
        <v>Sukmawati,S.Si</v>
      </c>
      <c r="F395" s="10" t="str">
        <v>PPL</v>
      </c>
      <c r="G395" s="10" t="str">
        <v>3402135601880001</v>
      </c>
      <c r="H395" s="10" t="str">
        <v>OB</v>
      </c>
      <c r="I395" s="10" t="str">
        <v>SEP24-LAPANGAN-PPL-PENDATAAN</v>
      </c>
      <c r="J395" s="10" t="str">
        <v>OB</v>
      </c>
      <c r="K395" s="66">
        <v>4694000</v>
      </c>
      <c r="L395" s="10">
        <v>1</v>
      </c>
      <c r="M395" s="10">
        <v>4694000</v>
      </c>
      <c r="N395" s="10">
        <v>0</v>
      </c>
      <c r="O395" s="67">
        <v>45473</v>
      </c>
      <c r="P395" s="10">
        <v>2024</v>
      </c>
      <c r="Q395" s="10">
        <v>6</v>
      </c>
      <c r="R395" s="10" t="str">
        <v>SENSUS-PPL</v>
      </c>
      <c r="S395" s="10" t="str">
        <v>610422100101-2024-6</v>
      </c>
      <c r="T395" s="10" t="str">
        <v>610422100101-2024-6-SENSUS-PPL</v>
      </c>
      <c r="U395" s="10">
        <v>1</v>
      </c>
      <c r="V395" s="10" t="e">
        <f ca="1"/>
        <v>#NAME?</v>
      </c>
      <c r="W395" s="67">
        <v>0</v>
      </c>
      <c r="X395" s="11" t="str">
        <v>Survei Ekonomi Pertanian 2024</v>
      </c>
      <c r="Y395" s="11" t="str">
        <v>ANJONGAN</v>
      </c>
      <c r="Z395" s="11" t="str">
        <v>ANJUNGAN MELANCAR</v>
      </c>
      <c r="AA395" s="67">
        <v>45443</v>
      </c>
      <c r="AB395" s="67">
        <v>45444</v>
      </c>
      <c r="AC395" s="67">
        <v>45473</v>
      </c>
      <c r="AD395" s="67">
        <v>45472</v>
      </c>
      <c r="AE395" s="67">
        <v>45473</v>
      </c>
    </row>
    <row r="396" spans="1:31" ht="12.5">
      <c r="A396" s="10">
        <v>610422100131</v>
      </c>
      <c r="B396" s="10" t="str">
        <v>SEP24-LAPANGAN</v>
      </c>
      <c r="C396" s="10">
        <v>0</v>
      </c>
      <c r="D396" s="10">
        <f ca="1"/>
        <v>1</v>
      </c>
      <c r="E396" s="10" t="str">
        <v>Syamsul</v>
      </c>
      <c r="F396" s="10" t="str">
        <v>PPL</v>
      </c>
      <c r="G396" s="10" t="str">
        <v>6102150907860003</v>
      </c>
      <c r="H396" s="10" t="str">
        <v>OB</v>
      </c>
      <c r="I396" s="10" t="str">
        <v>SEP24-LAPANGAN-PPL-PENDATAAN</v>
      </c>
      <c r="J396" s="10" t="str">
        <v>OB</v>
      </c>
      <c r="K396" s="66">
        <v>4694000</v>
      </c>
      <c r="L396" s="10">
        <v>1</v>
      </c>
      <c r="M396" s="10">
        <v>4694000</v>
      </c>
      <c r="N396" s="10">
        <v>0</v>
      </c>
      <c r="O396" s="67">
        <v>45473</v>
      </c>
      <c r="P396" s="10">
        <v>2024</v>
      </c>
      <c r="Q396" s="10">
        <v>6</v>
      </c>
      <c r="R396" s="10" t="str">
        <v>SENSUS-PPL</v>
      </c>
      <c r="S396" s="10" t="str">
        <v>610422100131-2024-6</v>
      </c>
      <c r="T396" s="10" t="str">
        <v>610422100131-2024-6-SENSUS-PPL</v>
      </c>
      <c r="U396" s="10">
        <v>1</v>
      </c>
      <c r="V396" s="10" t="e">
        <f ca="1"/>
        <v>#NAME?</v>
      </c>
      <c r="W396" s="67">
        <v>0</v>
      </c>
      <c r="X396" s="11" t="str">
        <v>Survei Ekonomi Pertanian 2024</v>
      </c>
      <c r="Y396" s="11" t="str">
        <v>SUNGAI KUNYIT</v>
      </c>
      <c r="Z396" s="11" t="str">
        <v>SUNGAI KUNYIT LAUT</v>
      </c>
      <c r="AA396" s="67">
        <v>45443</v>
      </c>
      <c r="AB396" s="67">
        <v>45444</v>
      </c>
      <c r="AC396" s="67">
        <v>45473</v>
      </c>
      <c r="AD396" s="67">
        <v>45472</v>
      </c>
      <c r="AE396" s="67">
        <v>45473</v>
      </c>
    </row>
    <row r="397" spans="1:31" ht="12.5">
      <c r="A397" s="10">
        <v>610423040014</v>
      </c>
      <c r="B397" s="10" t="str">
        <v>SEP24-LAPANGAN</v>
      </c>
      <c r="C397" s="10">
        <v>0</v>
      </c>
      <c r="D397" s="10">
        <f ca="1"/>
        <v>1</v>
      </c>
      <c r="E397" s="10" t="str">
        <v>Fransiska Romana</v>
      </c>
      <c r="F397" s="10" t="str">
        <v>PPL</v>
      </c>
      <c r="G397" s="10" t="str">
        <v>6107036103910001</v>
      </c>
      <c r="H397" s="10" t="str">
        <v>OB</v>
      </c>
      <c r="I397" s="10" t="str">
        <v>SEP24-LAPANGAN-PPL-PENDATAAN</v>
      </c>
      <c r="J397" s="10" t="str">
        <v>OB</v>
      </c>
      <c r="K397" s="66">
        <v>4694000</v>
      </c>
      <c r="L397" s="10">
        <v>1</v>
      </c>
      <c r="M397" s="10">
        <v>4694000</v>
      </c>
      <c r="N397" s="10">
        <v>0</v>
      </c>
      <c r="O397" s="67">
        <v>45473</v>
      </c>
      <c r="P397" s="10">
        <v>2024</v>
      </c>
      <c r="Q397" s="10">
        <v>6</v>
      </c>
      <c r="R397" s="10" t="str">
        <v>SENSUS-PPL</v>
      </c>
      <c r="S397" s="10" t="str">
        <v>610423040014-2024-6</v>
      </c>
      <c r="T397" s="10" t="str">
        <v>610423040014-2024-6-SENSUS-PPL</v>
      </c>
      <c r="U397" s="10">
        <v>1</v>
      </c>
      <c r="V397" s="10" t="e">
        <f ca="1"/>
        <v>#NAME?</v>
      </c>
      <c r="W397" s="67">
        <v>0</v>
      </c>
      <c r="X397" s="11" t="str">
        <v>Survei Ekonomi Pertanian 2024</v>
      </c>
      <c r="Y397" s="11" t="str">
        <v>TOHO</v>
      </c>
      <c r="Z397" s="11" t="str">
        <v>TOHO ILIR</v>
      </c>
      <c r="AA397" s="67">
        <v>45443</v>
      </c>
      <c r="AB397" s="67">
        <v>45444</v>
      </c>
      <c r="AC397" s="67">
        <v>45473</v>
      </c>
      <c r="AD397" s="67">
        <v>45472</v>
      </c>
      <c r="AE397" s="67">
        <v>45473</v>
      </c>
    </row>
    <row r="398" spans="1:31" ht="12.5">
      <c r="A398" s="10">
        <v>610423040013</v>
      </c>
      <c r="B398" s="10" t="str">
        <v>SEP24-LAPANGAN</v>
      </c>
      <c r="C398" s="10">
        <v>0</v>
      </c>
      <c r="D398" s="10">
        <f ca="1"/>
        <v>1</v>
      </c>
      <c r="E398" s="10" t="str">
        <v>Lulu Gesti Gunawati</v>
      </c>
      <c r="F398" s="10" t="str">
        <v>PPL</v>
      </c>
      <c r="G398" s="10" t="str">
        <v>3314066101000001</v>
      </c>
      <c r="H398" s="10" t="str">
        <v>OB</v>
      </c>
      <c r="I398" s="10" t="str">
        <v>SEP24-LAPANGAN-PPL-PENDATAAN</v>
      </c>
      <c r="J398" s="10" t="str">
        <v>OB</v>
      </c>
      <c r="K398" s="66">
        <v>4694000</v>
      </c>
      <c r="L398" s="10">
        <v>1</v>
      </c>
      <c r="M398" s="10">
        <v>4694000</v>
      </c>
      <c r="N398" s="10">
        <v>0</v>
      </c>
      <c r="O398" s="67">
        <v>45473</v>
      </c>
      <c r="P398" s="10">
        <v>2024</v>
      </c>
      <c r="Q398" s="10">
        <v>6</v>
      </c>
      <c r="R398" s="10" t="str">
        <v>SENSUS-PPL</v>
      </c>
      <c r="S398" s="10" t="str">
        <v>610423040013-2024-6</v>
      </c>
      <c r="T398" s="10" t="str">
        <v>610423040013-2024-6-SENSUS-PPL</v>
      </c>
      <c r="U398" s="10">
        <v>1</v>
      </c>
      <c r="V398" s="10" t="e">
        <f ca="1"/>
        <v>#NAME?</v>
      </c>
      <c r="W398" s="67">
        <v>0</v>
      </c>
      <c r="X398" s="11" t="str">
        <v>Survei Ekonomi Pertanian 2024</v>
      </c>
      <c r="Y398" s="11" t="str">
        <v>SUNGAI KUNYIT</v>
      </c>
      <c r="Z398" s="11" t="str">
        <v>MENDALOK</v>
      </c>
      <c r="AA398" s="67">
        <v>45443</v>
      </c>
      <c r="AB398" s="67">
        <v>45444</v>
      </c>
      <c r="AC398" s="67">
        <v>45473</v>
      </c>
      <c r="AD398" s="67">
        <v>45472</v>
      </c>
      <c r="AE398" s="67">
        <v>45473</v>
      </c>
    </row>
    <row r="399" spans="1:31" ht="12.5">
      <c r="A399" s="10">
        <v>610423040018</v>
      </c>
      <c r="B399" s="10" t="str">
        <v>SEP24-LAPANGAN</v>
      </c>
      <c r="C399" s="10">
        <v>0</v>
      </c>
      <c r="D399" s="10">
        <f ca="1"/>
        <v>1</v>
      </c>
      <c r="E399" s="10" t="str">
        <v>Handoko Tuah Sabarman Sipayung</v>
      </c>
      <c r="F399" s="10" t="str">
        <v>PPL</v>
      </c>
      <c r="G399" s="10" t="str">
        <v>1212092309880001</v>
      </c>
      <c r="H399" s="10" t="str">
        <v>OB</v>
      </c>
      <c r="I399" s="10" t="str">
        <v>SEP24-LAPANGAN-PPL-PENDATAAN</v>
      </c>
      <c r="J399" s="10" t="str">
        <v>OB</v>
      </c>
      <c r="K399" s="66">
        <v>4694000</v>
      </c>
      <c r="L399" s="10">
        <v>1</v>
      </c>
      <c r="M399" s="10">
        <v>4694000</v>
      </c>
      <c r="N399" s="10">
        <v>0</v>
      </c>
      <c r="O399" s="67">
        <v>45473</v>
      </c>
      <c r="P399" s="10">
        <v>2024</v>
      </c>
      <c r="Q399" s="10">
        <v>6</v>
      </c>
      <c r="R399" s="10" t="str">
        <v>SENSUS-PPL</v>
      </c>
      <c r="S399" s="10" t="str">
        <v>610423040018-2024-6</v>
      </c>
      <c r="T399" s="10" t="str">
        <v>610423040018-2024-6-SENSUS-PPL</v>
      </c>
      <c r="U399" s="10">
        <v>1</v>
      </c>
      <c r="V399" s="10" t="e">
        <f ca="1"/>
        <v>#NAME?</v>
      </c>
      <c r="W399" s="67">
        <v>0</v>
      </c>
      <c r="X399" s="11" t="str">
        <v>Survei Ekonomi Pertanian 2024</v>
      </c>
      <c r="Y399" s="11" t="str">
        <v>TOHO</v>
      </c>
      <c r="Z399" s="11" t="str">
        <v>PAK LAHENG</v>
      </c>
      <c r="AA399" s="67">
        <v>45443</v>
      </c>
      <c r="AB399" s="67">
        <v>45444</v>
      </c>
      <c r="AC399" s="67">
        <v>45473</v>
      </c>
      <c r="AD399" s="67">
        <v>45472</v>
      </c>
      <c r="AE399" s="67">
        <v>45473</v>
      </c>
    </row>
    <row r="400" spans="1:31" ht="12.5">
      <c r="A400" s="10">
        <v>610422100108</v>
      </c>
      <c r="B400" s="10" t="str">
        <v>SEP24-PENGOLAHAN</v>
      </c>
      <c r="C400" s="10">
        <v>0</v>
      </c>
      <c r="D400" s="10">
        <f ca="1"/>
        <v>1</v>
      </c>
      <c r="E400" s="10" t="str">
        <v>Ermi Tiyarni</v>
      </c>
      <c r="F400" s="10" t="str">
        <v>PETUGAS ENTRI</v>
      </c>
      <c r="G400" s="10" t="str">
        <v>6102016512980004</v>
      </c>
      <c r="H400" s="10" t="str">
        <v>PENGOLAHAN</v>
      </c>
      <c r="I400" s="10" t="str">
        <v>SEP24-PENGOLAHAN-PETUGAS ENTRI-PENDATAAN</v>
      </c>
      <c r="J400" s="10" t="str">
        <v>OB</v>
      </c>
      <c r="K400" s="66">
        <v>3298000</v>
      </c>
      <c r="L400" s="10">
        <v>1</v>
      </c>
      <c r="M400" s="10">
        <v>3298000</v>
      </c>
      <c r="N400" s="10">
        <v>0</v>
      </c>
      <c r="O400" s="67">
        <v>45476</v>
      </c>
      <c r="P400" s="10">
        <v>2024</v>
      </c>
      <c r="Q400" s="10">
        <v>7</v>
      </c>
      <c r="R400" s="10" t="str">
        <v>SENSUS-PETUGAS ENTRI</v>
      </c>
      <c r="S400" s="10" t="str">
        <v>610422100108-2024-7</v>
      </c>
      <c r="T400" s="10" t="str">
        <v>610422100108-2024-7-SENSUS-PETUGAS ENTRI</v>
      </c>
      <c r="U400" s="10">
        <v>1</v>
      </c>
      <c r="V400" s="10" t="e">
        <f ca="1"/>
        <v>#NAME?</v>
      </c>
      <c r="W400" s="67">
        <v>0</v>
      </c>
      <c r="X400" s="11" t="str">
        <v>Survei Ekonomi Pertanian 2024</v>
      </c>
      <c r="Y400" s="11" t="str">
        <v>MEMPAWAH HILIR</v>
      </c>
      <c r="Z400" s="11" t="str">
        <v>TENGAH</v>
      </c>
      <c r="AA400" s="67">
        <v>45473</v>
      </c>
      <c r="AB400" s="67">
        <v>45474</v>
      </c>
      <c r="AC400" s="67">
        <v>45504</v>
      </c>
      <c r="AD400" s="67">
        <v>45503</v>
      </c>
      <c r="AE400" s="67">
        <v>45504</v>
      </c>
    </row>
    <row r="401" spans="1:31" ht="12.5">
      <c r="A401" s="10">
        <v>610422100083</v>
      </c>
      <c r="B401" s="10" t="str">
        <v>SEP24-PENGOLAHAN</v>
      </c>
      <c r="C401" s="10">
        <v>0</v>
      </c>
      <c r="D401" s="10">
        <f ca="1"/>
        <v>1</v>
      </c>
      <c r="E401" s="10" t="str">
        <v>Ilham Subagio</v>
      </c>
      <c r="F401" s="10" t="str">
        <v>PETUGAS ENTRI</v>
      </c>
      <c r="G401" s="10" t="str">
        <v>6102012006970002</v>
      </c>
      <c r="H401" s="10" t="str">
        <v>PENGOLAHAN</v>
      </c>
      <c r="I401" s="10" t="str">
        <v>SEP24-PENGOLAHAN-PETUGAS ENTRI-PENDATAAN</v>
      </c>
      <c r="J401" s="10" t="str">
        <v>OB</v>
      </c>
      <c r="K401" s="66">
        <v>3298000</v>
      </c>
      <c r="L401" s="10">
        <v>1</v>
      </c>
      <c r="M401" s="10">
        <v>3298000</v>
      </c>
      <c r="N401" s="10">
        <v>0</v>
      </c>
      <c r="O401" s="67">
        <v>45476</v>
      </c>
      <c r="P401" s="10">
        <v>2024</v>
      </c>
      <c r="Q401" s="10">
        <v>7</v>
      </c>
      <c r="R401" s="10" t="str">
        <v>SENSUS-PETUGAS ENTRI</v>
      </c>
      <c r="S401" s="10" t="str">
        <v>610422100083-2024-7</v>
      </c>
      <c r="T401" s="10" t="str">
        <v>610422100083-2024-7-SENSUS-PETUGAS ENTRI</v>
      </c>
      <c r="U401" s="10">
        <v>1</v>
      </c>
      <c r="V401" s="10" t="e">
        <f ca="1"/>
        <v>#NAME?</v>
      </c>
      <c r="W401" s="67">
        <v>0</v>
      </c>
      <c r="X401" s="11" t="str">
        <v>Survei Ekonomi Pertanian 2024</v>
      </c>
      <c r="Y401" s="11" t="str">
        <v>MEMPAWAH HILIR</v>
      </c>
      <c r="Z401" s="11" t="str">
        <v>TENGAH</v>
      </c>
      <c r="AA401" s="67">
        <v>45473</v>
      </c>
      <c r="AB401" s="67">
        <v>45474</v>
      </c>
      <c r="AC401" s="67">
        <v>45504</v>
      </c>
      <c r="AD401" s="67">
        <v>45503</v>
      </c>
      <c r="AE401" s="67">
        <v>45504</v>
      </c>
    </row>
    <row r="402" spans="1:31" ht="12.5">
      <c r="A402" s="10">
        <v>610423040016</v>
      </c>
      <c r="B402" s="10" t="str">
        <v>SEP24-PENGOLAHAN</v>
      </c>
      <c r="C402" s="10">
        <v>0</v>
      </c>
      <c r="D402" s="10">
        <f ca="1"/>
        <v>1</v>
      </c>
      <c r="E402" s="10" t="str">
        <v>Fairuztia Atiqah Putri</v>
      </c>
      <c r="F402" s="10" t="str">
        <v>PETUGAS ENTRI</v>
      </c>
      <c r="G402" s="10" t="str">
        <v>6102016709010003</v>
      </c>
      <c r="H402" s="10" t="str">
        <v>PENGOLAHAN</v>
      </c>
      <c r="I402" s="10" t="str">
        <v>SEP24-PENGOLAHAN-PETUGAS ENTRI-PENDATAAN</v>
      </c>
      <c r="J402" s="10" t="str">
        <v>OB</v>
      </c>
      <c r="K402" s="66">
        <v>3298000</v>
      </c>
      <c r="L402" s="10">
        <v>1</v>
      </c>
      <c r="M402" s="10">
        <v>3298000</v>
      </c>
      <c r="N402" s="10">
        <v>0</v>
      </c>
      <c r="O402" s="67">
        <v>45476</v>
      </c>
      <c r="P402" s="10">
        <v>2024</v>
      </c>
      <c r="Q402" s="10">
        <v>7</v>
      </c>
      <c r="R402" s="10" t="str">
        <v>SENSUS-PETUGAS ENTRI</v>
      </c>
      <c r="S402" s="10" t="str">
        <v>610423040016-2024-7</v>
      </c>
      <c r="T402" s="10" t="str">
        <v>610423040016-2024-7-SENSUS-PETUGAS ENTRI</v>
      </c>
      <c r="U402" s="10">
        <v>1</v>
      </c>
      <c r="V402" s="10" t="e">
        <f ca="1"/>
        <v>#NAME?</v>
      </c>
      <c r="W402" s="67">
        <v>0</v>
      </c>
      <c r="X402" s="11" t="str">
        <v>Survei Ekonomi Pertanian 2024</v>
      </c>
      <c r="Y402" s="11" t="str">
        <v>MEMPAWAH HILIR</v>
      </c>
      <c r="Z402" s="11" t="str">
        <v>TENGAH</v>
      </c>
      <c r="AA402" s="67">
        <v>45473</v>
      </c>
      <c r="AB402" s="67">
        <v>45474</v>
      </c>
      <c r="AC402" s="67">
        <v>45504</v>
      </c>
      <c r="AD402" s="67">
        <v>45503</v>
      </c>
      <c r="AE402" s="67">
        <v>45504</v>
      </c>
    </row>
    <row r="403" spans="1:31" ht="12.5">
      <c r="A403" s="10">
        <v>610422100016</v>
      </c>
      <c r="B403" s="10" t="str">
        <v>SEP24-PENGOLAHAN</v>
      </c>
      <c r="C403" s="10">
        <v>0</v>
      </c>
      <c r="D403" s="10">
        <f ca="1"/>
        <v>1</v>
      </c>
      <c r="E403" s="10" t="str">
        <v>Amalia Faisya</v>
      </c>
      <c r="F403" s="10" t="str">
        <v>PETUGAS ENTRI</v>
      </c>
      <c r="G403" s="10" t="str">
        <v>6102124210010005</v>
      </c>
      <c r="H403" s="10" t="str">
        <v>PENGOLAHAN</v>
      </c>
      <c r="I403" s="10" t="str">
        <v>SEP24-PENGOLAHAN-PETUGAS ENTRI-PENDATAAN</v>
      </c>
      <c r="J403" s="10" t="str">
        <v>OB</v>
      </c>
      <c r="K403" s="66">
        <v>3298000</v>
      </c>
      <c r="L403" s="10">
        <v>1</v>
      </c>
      <c r="M403" s="10">
        <v>3298000</v>
      </c>
      <c r="N403" s="10">
        <v>0</v>
      </c>
      <c r="O403" s="67">
        <v>45476</v>
      </c>
      <c r="P403" s="10">
        <v>2024</v>
      </c>
      <c r="Q403" s="10">
        <v>7</v>
      </c>
      <c r="R403" s="10" t="str">
        <v>SENSUS-PETUGAS ENTRI</v>
      </c>
      <c r="S403" s="10" t="str">
        <v>610422100016-2024-7</v>
      </c>
      <c r="T403" s="10" t="str">
        <v>610422100016-2024-7-SENSUS-PETUGAS ENTRI</v>
      </c>
      <c r="U403" s="10">
        <v>1</v>
      </c>
      <c r="V403" s="10" t="e">
        <f ca="1"/>
        <v>#NAME?</v>
      </c>
      <c r="W403" s="67">
        <v>0</v>
      </c>
      <c r="X403" s="11" t="str">
        <v>Survei Ekonomi Pertanian 2024</v>
      </c>
      <c r="Y403" s="11" t="str">
        <v>SUNGAI KUNYIT</v>
      </c>
      <c r="Z403" s="11" t="str">
        <v>SUNGAI KUNYIT LAUT</v>
      </c>
      <c r="AA403" s="67">
        <v>45473</v>
      </c>
      <c r="AB403" s="67">
        <v>45474</v>
      </c>
      <c r="AC403" s="67">
        <v>45504</v>
      </c>
      <c r="AD403" s="67">
        <v>45503</v>
      </c>
      <c r="AE403" s="67">
        <v>45504</v>
      </c>
    </row>
    <row r="404" spans="1:31" ht="12.5">
      <c r="A404" s="10">
        <v>610423040004</v>
      </c>
      <c r="B404" s="10" t="str">
        <v>SERUTI24-LAPANGAN-TRI2</v>
      </c>
      <c r="C404" s="10">
        <v>0</v>
      </c>
      <c r="D404" s="10">
        <f ca="1"/>
        <v>1</v>
      </c>
      <c r="E404" s="10" t="str">
        <v>Ayu Agustin</v>
      </c>
      <c r="F404" s="10" t="str">
        <v>PPL</v>
      </c>
      <c r="G404" s="10" t="str">
        <v>6111025008930002</v>
      </c>
      <c r="H404" s="10" t="str">
        <v>PENDATAAN</v>
      </c>
      <c r="I404" s="10" t="str">
        <v>SERUTI24-LAPANGAN-TRI2-PPL-PENDATAAN</v>
      </c>
      <c r="J404" s="10" t="str">
        <v>Dokumen</v>
      </c>
      <c r="K404" s="66">
        <v>91000</v>
      </c>
      <c r="L404" s="10">
        <v>10</v>
      </c>
      <c r="M404" s="10">
        <v>910000</v>
      </c>
      <c r="N404" s="10">
        <v>0</v>
      </c>
      <c r="O404" s="67">
        <v>45482</v>
      </c>
      <c r="P404" s="10">
        <v>2024</v>
      </c>
      <c r="Q404" s="10">
        <v>7</v>
      </c>
      <c r="R404" s="10" t="str">
        <v>SURVEI-PPL</v>
      </c>
      <c r="S404" s="10" t="str">
        <v>610423040004-2024-7</v>
      </c>
      <c r="T404" s="10" t="str">
        <v>610423040004-2024-7-SURVEI-PPL</v>
      </c>
      <c r="U404" s="10">
        <v>1</v>
      </c>
      <c r="V404" s="10" t="e">
        <f ca="1"/>
        <v>#NAME?</v>
      </c>
      <c r="W404" s="67">
        <v>0</v>
      </c>
      <c r="X404" s="11" t="str">
        <v>Survei Ekonomi Rumah Tangga Triwulanan (SERUTI24) Triwulan II Kegiatan Lapangan</v>
      </c>
      <c r="Y404" s="11" t="str">
        <v>ANJONGAN</v>
      </c>
      <c r="Z404" s="11" t="str">
        <v>KEPAYANG</v>
      </c>
      <c r="AA404" s="67">
        <v>45473</v>
      </c>
      <c r="AB404" s="67">
        <v>45474</v>
      </c>
      <c r="AC404" s="67">
        <v>45504</v>
      </c>
      <c r="AD404" s="67">
        <v>45503</v>
      </c>
      <c r="AE404" s="67">
        <v>45504</v>
      </c>
    </row>
    <row r="405" spans="1:31" ht="12.5">
      <c r="A405" s="10">
        <v>610422100144</v>
      </c>
      <c r="B405" s="10" t="str">
        <v>SERUTI24-LAPANGAN-TRI2</v>
      </c>
      <c r="C405" s="10">
        <v>0</v>
      </c>
      <c r="D405" s="10">
        <f ca="1"/>
        <v>1</v>
      </c>
      <c r="E405" s="10" t="str">
        <v>Irfan Faozi Sunaryo</v>
      </c>
      <c r="F405" s="10" t="str">
        <v>PPL</v>
      </c>
      <c r="G405" s="10" t="str">
        <v>6102122710990001</v>
      </c>
      <c r="H405" s="10" t="str">
        <v>PENDATAAN</v>
      </c>
      <c r="I405" s="10" t="str">
        <v>SERUTI24-LAPANGAN-TRI2-PPL-PENDATAAN</v>
      </c>
      <c r="J405" s="10" t="str">
        <v>Dokumen</v>
      </c>
      <c r="K405" s="66">
        <v>91000</v>
      </c>
      <c r="L405" s="10">
        <v>10</v>
      </c>
      <c r="M405" s="10">
        <v>910000</v>
      </c>
      <c r="N405" s="10">
        <v>0</v>
      </c>
      <c r="O405" s="67">
        <v>45482</v>
      </c>
      <c r="P405" s="10">
        <v>2024</v>
      </c>
      <c r="Q405" s="10">
        <v>7</v>
      </c>
      <c r="R405" s="10" t="str">
        <v>SURVEI-PPL</v>
      </c>
      <c r="S405" s="10" t="str">
        <v>610422100144-2024-7</v>
      </c>
      <c r="T405" s="10" t="str">
        <v>610422100144-2024-7-SURVEI-PPL</v>
      </c>
      <c r="U405" s="10">
        <v>1</v>
      </c>
      <c r="V405" s="10" t="e">
        <f ca="1"/>
        <v>#NAME?</v>
      </c>
      <c r="W405" s="67">
        <v>0</v>
      </c>
      <c r="X405" s="11" t="str">
        <v>Survei Ekonomi Rumah Tangga Triwulanan (SERUTI24) Triwulan II Kegiatan Lapangan</v>
      </c>
      <c r="Y405" s="11" t="str">
        <v>SUNGAI KUNYIT</v>
      </c>
      <c r="Z405" s="11" t="str">
        <v>SUNGAI DURI I</v>
      </c>
      <c r="AA405" s="67">
        <v>45473</v>
      </c>
      <c r="AB405" s="67">
        <v>45474</v>
      </c>
      <c r="AC405" s="67">
        <v>45504</v>
      </c>
      <c r="AD405" s="67">
        <v>45503</v>
      </c>
      <c r="AE405" s="67">
        <v>45504</v>
      </c>
    </row>
    <row r="406" spans="1:31" ht="12.5">
      <c r="A406" s="10">
        <v>610422020032</v>
      </c>
      <c r="B406" s="10" t="str">
        <v>SERUTI24-LAPANGAN-TRI2</v>
      </c>
      <c r="C406" s="10">
        <v>0</v>
      </c>
      <c r="D406" s="10">
        <f ca="1"/>
        <v>1</v>
      </c>
      <c r="E406" s="10" t="str">
        <v>Lilis Suryani</v>
      </c>
      <c r="F406" s="10" t="str">
        <v>PPL</v>
      </c>
      <c r="G406" s="10" t="str">
        <v>6102185102880001</v>
      </c>
      <c r="H406" s="10" t="str">
        <v>PENDATAAN</v>
      </c>
      <c r="I406" s="10" t="str">
        <v>SERUTI24-LAPANGAN-TRI2-PPL-PENDATAAN</v>
      </c>
      <c r="J406" s="10" t="str">
        <v>Dokumen</v>
      </c>
      <c r="K406" s="66">
        <v>91000</v>
      </c>
      <c r="L406" s="10">
        <v>10</v>
      </c>
      <c r="M406" s="10">
        <v>910000</v>
      </c>
      <c r="N406" s="10">
        <v>0</v>
      </c>
      <c r="O406" s="67">
        <v>45482</v>
      </c>
      <c r="P406" s="10">
        <v>2024</v>
      </c>
      <c r="Q406" s="10">
        <v>7</v>
      </c>
      <c r="R406" s="10" t="str">
        <v>SURVEI-PPL</v>
      </c>
      <c r="S406" s="10" t="str">
        <v>610422020032-2024-7</v>
      </c>
      <c r="T406" s="10" t="str">
        <v>610422020032-2024-7-SURVEI-PPL</v>
      </c>
      <c r="U406" s="10">
        <v>1</v>
      </c>
      <c r="V406" s="10" t="e">
        <f ca="1"/>
        <v>#NAME?</v>
      </c>
      <c r="W406" s="67">
        <v>0</v>
      </c>
      <c r="X406" s="11" t="str">
        <v>Survei Ekonomi Rumah Tangga Triwulanan (SERUTI24) Triwulan II Kegiatan Lapangan</v>
      </c>
      <c r="Y406" s="11" t="str">
        <v>MEMPAWAH TIMUR</v>
      </c>
      <c r="Z406" s="11" t="str">
        <v>PARIT BANJAR</v>
      </c>
      <c r="AA406" s="67">
        <v>45473</v>
      </c>
      <c r="AB406" s="67">
        <v>45474</v>
      </c>
      <c r="AC406" s="67">
        <v>45504</v>
      </c>
      <c r="AD406" s="67">
        <v>45503</v>
      </c>
      <c r="AE406" s="67">
        <v>45504</v>
      </c>
    </row>
    <row r="407" spans="1:31" ht="12.5">
      <c r="A407" s="10">
        <v>610422100085</v>
      </c>
      <c r="B407" s="10" t="str">
        <v>SERUTI24-LAPANGAN-TRI2</v>
      </c>
      <c r="C407" s="10">
        <v>0</v>
      </c>
      <c r="D407" s="10">
        <f ca="1"/>
        <v>1</v>
      </c>
      <c r="E407" s="10" t="str">
        <v>Lina Agustin Widya Siwi</v>
      </c>
      <c r="F407" s="10" t="str">
        <v>PPL</v>
      </c>
      <c r="G407" s="10" t="str">
        <v>3301225608850001</v>
      </c>
      <c r="H407" s="10" t="str">
        <v>PENDATAAN</v>
      </c>
      <c r="I407" s="10" t="str">
        <v>SERUTI24-LAPANGAN-TRI2-PPL-PENDATAAN</v>
      </c>
      <c r="J407" s="10" t="str">
        <v>Dokumen</v>
      </c>
      <c r="K407" s="66">
        <v>91000</v>
      </c>
      <c r="L407" s="10">
        <v>10</v>
      </c>
      <c r="M407" s="10">
        <v>910000</v>
      </c>
      <c r="N407" s="10">
        <v>0</v>
      </c>
      <c r="O407" s="67">
        <v>45482</v>
      </c>
      <c r="P407" s="10">
        <v>2024</v>
      </c>
      <c r="Q407" s="10">
        <v>7</v>
      </c>
      <c r="R407" s="10" t="str">
        <v>SURVEI-PPL</v>
      </c>
      <c r="S407" s="10" t="str">
        <v>610422100085-2024-7</v>
      </c>
      <c r="T407" s="10" t="str">
        <v>610422100085-2024-7-SURVEI-PPL</v>
      </c>
      <c r="U407" s="10">
        <v>1</v>
      </c>
      <c r="V407" s="10" t="e">
        <f ca="1"/>
        <v>#NAME?</v>
      </c>
      <c r="W407" s="67">
        <v>0</v>
      </c>
      <c r="X407" s="11" t="str">
        <v>Survei Ekonomi Rumah Tangga Triwulanan (SERUTI24) Triwulan II Kegiatan Lapangan</v>
      </c>
      <c r="Y407" s="11" t="str">
        <v>SUNGAI PINYUH</v>
      </c>
      <c r="Z407" s="11" t="str">
        <v>NUSAPATI</v>
      </c>
      <c r="AA407" s="67">
        <v>45473</v>
      </c>
      <c r="AB407" s="67">
        <v>45474</v>
      </c>
      <c r="AC407" s="67">
        <v>45504</v>
      </c>
      <c r="AD407" s="67">
        <v>45503</v>
      </c>
      <c r="AE407" s="67">
        <v>45504</v>
      </c>
    </row>
    <row r="408" spans="1:31" ht="12.5">
      <c r="A408" s="10">
        <v>610423040013</v>
      </c>
      <c r="B408" s="10" t="str">
        <v>SERUTI24-LAPANGAN-TRI2</v>
      </c>
      <c r="C408" s="10">
        <v>0</v>
      </c>
      <c r="D408" s="10">
        <f ca="1"/>
        <v>1</v>
      </c>
      <c r="E408" s="10" t="str">
        <v>Lulu Gesti Gunawati</v>
      </c>
      <c r="F408" s="10" t="str">
        <v>PPL</v>
      </c>
      <c r="G408" s="10" t="str">
        <v>3314066101000001</v>
      </c>
      <c r="H408" s="10" t="str">
        <v>PENDATAAN</v>
      </c>
      <c r="I408" s="10" t="str">
        <v>SERUTI24-LAPANGAN-TRI2-PPL-PENDATAAN</v>
      </c>
      <c r="J408" s="10" t="str">
        <v>Dokumen</v>
      </c>
      <c r="K408" s="66">
        <v>91000</v>
      </c>
      <c r="L408" s="10">
        <v>10</v>
      </c>
      <c r="M408" s="10">
        <v>910000</v>
      </c>
      <c r="N408" s="10">
        <v>0</v>
      </c>
      <c r="O408" s="67">
        <v>45482</v>
      </c>
      <c r="P408" s="10">
        <v>2024</v>
      </c>
      <c r="Q408" s="10">
        <v>7</v>
      </c>
      <c r="R408" s="10" t="str">
        <v>SURVEI-PPL</v>
      </c>
      <c r="S408" s="10" t="str">
        <v>610423040013-2024-7</v>
      </c>
      <c r="T408" s="10" t="str">
        <v>610423040013-2024-7-SURVEI-PPL</v>
      </c>
      <c r="U408" s="10">
        <v>1</v>
      </c>
      <c r="V408" s="10" t="e">
        <f ca="1"/>
        <v>#NAME?</v>
      </c>
      <c r="W408" s="67">
        <v>0</v>
      </c>
      <c r="X408" s="11" t="str">
        <v>Survei Ekonomi Rumah Tangga Triwulanan (SERUTI24) Triwulan II Kegiatan Lapangan</v>
      </c>
      <c r="Y408" s="11" t="str">
        <v>SUNGAI KUNYIT</v>
      </c>
      <c r="Z408" s="11" t="str">
        <v>MENDALOK</v>
      </c>
      <c r="AA408" s="67">
        <v>45473</v>
      </c>
      <c r="AB408" s="67">
        <v>45474</v>
      </c>
      <c r="AC408" s="67">
        <v>45504</v>
      </c>
      <c r="AD408" s="67">
        <v>45503</v>
      </c>
      <c r="AE408" s="67">
        <v>45504</v>
      </c>
    </row>
    <row r="409" spans="1:31" ht="12.5">
      <c r="A409" s="10">
        <v>610422100137</v>
      </c>
      <c r="B409" s="10" t="str">
        <v>SERUTI24-LAPANGAN-TRI2</v>
      </c>
      <c r="C409" s="10">
        <v>0</v>
      </c>
      <c r="D409" s="10">
        <f ca="1"/>
        <v>1</v>
      </c>
      <c r="E409" s="10" t="str">
        <v>Masturi</v>
      </c>
      <c r="F409" s="10" t="str">
        <v>PPL</v>
      </c>
      <c r="G409" s="10" t="str">
        <v>6102060709870002</v>
      </c>
      <c r="H409" s="10" t="str">
        <v>PENDATAAN</v>
      </c>
      <c r="I409" s="10" t="str">
        <v>SERUTI24-LAPANGAN-TRI2-PPL-PENDATAAN</v>
      </c>
      <c r="J409" s="10" t="str">
        <v>Dokumen</v>
      </c>
      <c r="K409" s="66">
        <v>91000</v>
      </c>
      <c r="L409" s="10">
        <v>10</v>
      </c>
      <c r="M409" s="10">
        <v>910000</v>
      </c>
      <c r="N409" s="10">
        <v>0</v>
      </c>
      <c r="O409" s="67">
        <v>45482</v>
      </c>
      <c r="P409" s="10">
        <v>2024</v>
      </c>
      <c r="Q409" s="10">
        <v>7</v>
      </c>
      <c r="R409" s="10" t="str">
        <v>SURVEI-PPL</v>
      </c>
      <c r="S409" s="10" t="str">
        <v>610422100137-2024-7</v>
      </c>
      <c r="T409" s="10" t="str">
        <v>610422100137-2024-7-SURVEI-PPL</v>
      </c>
      <c r="U409" s="10">
        <v>1</v>
      </c>
      <c r="V409" s="10" t="e">
        <f ca="1"/>
        <v>#NAME?</v>
      </c>
      <c r="W409" s="67">
        <v>0</v>
      </c>
      <c r="X409" s="11" t="str">
        <v>Survei Ekonomi Rumah Tangga Triwulanan (SERUTI24) Triwulan II Kegiatan Lapangan</v>
      </c>
      <c r="Y409" s="11" t="str">
        <v>TOHO</v>
      </c>
      <c r="Z409" s="11" t="str">
        <v>SAMBORA</v>
      </c>
      <c r="AA409" s="67">
        <v>45473</v>
      </c>
      <c r="AB409" s="67">
        <v>45474</v>
      </c>
      <c r="AC409" s="67">
        <v>45504</v>
      </c>
      <c r="AD409" s="67">
        <v>45503</v>
      </c>
      <c r="AE409" s="67">
        <v>45504</v>
      </c>
    </row>
    <row r="410" spans="1:31" ht="12.5">
      <c r="A410" s="10">
        <v>610422100256</v>
      </c>
      <c r="B410" s="10" t="str">
        <v>SERUTI24-LAPANGAN-TRI2</v>
      </c>
      <c r="C410" s="10">
        <v>0</v>
      </c>
      <c r="D410" s="10">
        <f ca="1"/>
        <v>1</v>
      </c>
      <c r="E410" s="10" t="str">
        <v>Meta</v>
      </c>
      <c r="F410" s="10" t="str">
        <v>PPL</v>
      </c>
      <c r="G410" s="10" t="str">
        <v>6102174505970001</v>
      </c>
      <c r="H410" s="10" t="str">
        <v>PENDATAAN</v>
      </c>
      <c r="I410" s="10" t="str">
        <v>SERUTI24-LAPANGAN-TRI2-PPL-PENDATAAN</v>
      </c>
      <c r="J410" s="10" t="str">
        <v>Dokumen</v>
      </c>
      <c r="K410" s="66">
        <v>91000</v>
      </c>
      <c r="L410" s="10">
        <v>10</v>
      </c>
      <c r="M410" s="10">
        <v>910000</v>
      </c>
      <c r="N410" s="10">
        <v>0</v>
      </c>
      <c r="O410" s="67">
        <v>45482</v>
      </c>
      <c r="P410" s="10">
        <v>2024</v>
      </c>
      <c r="Q410" s="10">
        <v>7</v>
      </c>
      <c r="R410" s="10" t="str">
        <v>SURVEI-PPL</v>
      </c>
      <c r="S410" s="10" t="str">
        <v>610422100256-2024-7</v>
      </c>
      <c r="T410" s="10" t="str">
        <v>610422100256-2024-7-SURVEI-PPL</v>
      </c>
      <c r="U410" s="10">
        <v>1</v>
      </c>
      <c r="V410" s="10" t="e">
        <f ca="1"/>
        <v>#NAME?</v>
      </c>
      <c r="W410" s="67">
        <v>0</v>
      </c>
      <c r="X410" s="11" t="str">
        <v>Survei Ekonomi Rumah Tangga Triwulanan (SERUTI24) Triwulan II Kegiatan Lapangan</v>
      </c>
      <c r="Y410" s="11" t="str">
        <v>SADANIANG</v>
      </c>
      <c r="Z410" s="11" t="str">
        <v>PENTEK</v>
      </c>
      <c r="AA410" s="67">
        <v>45473</v>
      </c>
      <c r="AB410" s="67">
        <v>45474</v>
      </c>
      <c r="AC410" s="67">
        <v>45504</v>
      </c>
      <c r="AD410" s="67">
        <v>45503</v>
      </c>
      <c r="AE410" s="67">
        <v>45504</v>
      </c>
    </row>
    <row r="411" spans="1:31" ht="12.5">
      <c r="A411" s="10">
        <v>610422040050</v>
      </c>
      <c r="B411" s="10" t="str">
        <v>SERUTI24-LAPANGAN-TRI2</v>
      </c>
      <c r="C411" s="10">
        <v>0</v>
      </c>
      <c r="D411" s="10">
        <f ca="1"/>
        <v>1</v>
      </c>
      <c r="E411" s="10" t="str">
        <v>Novita Sari</v>
      </c>
      <c r="F411" s="10" t="str">
        <v>PPL</v>
      </c>
      <c r="G411" s="10" t="str">
        <v>6102085906990001</v>
      </c>
      <c r="H411" s="10" t="str">
        <v>PENDATAAN</v>
      </c>
      <c r="I411" s="10" t="str">
        <v>SERUTI24-LAPANGAN-TRI2-PPL-PENDATAAN</v>
      </c>
      <c r="J411" s="10" t="str">
        <v>Dokumen</v>
      </c>
      <c r="K411" s="66">
        <v>91000</v>
      </c>
      <c r="L411" s="10">
        <v>10</v>
      </c>
      <c r="M411" s="10">
        <v>910000</v>
      </c>
      <c r="N411" s="10">
        <v>0</v>
      </c>
      <c r="O411" s="67">
        <v>45482</v>
      </c>
      <c r="P411" s="10">
        <v>2024</v>
      </c>
      <c r="Q411" s="10">
        <v>7</v>
      </c>
      <c r="R411" s="10" t="str">
        <v>SURVEI-PPL</v>
      </c>
      <c r="S411" s="10" t="str">
        <v>610422040050-2024-7</v>
      </c>
      <c r="T411" s="10" t="str">
        <v>610422040050-2024-7-SURVEI-PPL</v>
      </c>
      <c r="U411" s="10">
        <v>1</v>
      </c>
      <c r="V411" s="10" t="e">
        <f ca="1"/>
        <v>#NAME?</v>
      </c>
      <c r="W411" s="67">
        <v>0</v>
      </c>
      <c r="X411" s="11" t="str">
        <v>Survei Ekonomi Rumah Tangga Triwulanan (SERUTI24) Triwulan II Kegiatan Lapangan</v>
      </c>
      <c r="Y411" s="11" t="str">
        <v>JONGKAT</v>
      </c>
      <c r="Z411" s="11" t="str">
        <v>JUNGKAT</v>
      </c>
      <c r="AA411" s="67">
        <v>45473</v>
      </c>
      <c r="AB411" s="67">
        <v>45474</v>
      </c>
      <c r="AC411" s="67">
        <v>45504</v>
      </c>
      <c r="AD411" s="67">
        <v>45503</v>
      </c>
      <c r="AE411" s="67">
        <v>45504</v>
      </c>
    </row>
    <row r="412" spans="1:31" ht="12.5">
      <c r="A412" s="10">
        <v>610422040035</v>
      </c>
      <c r="B412" s="10" t="str">
        <v>SERUTI24-LAPANGAN-TRI2</v>
      </c>
      <c r="C412" s="10">
        <v>0</v>
      </c>
      <c r="D412" s="10">
        <f ca="1"/>
        <v>1</v>
      </c>
      <c r="E412" s="10" t="str">
        <v>Rahmayani</v>
      </c>
      <c r="F412" s="10" t="str">
        <v>PPL</v>
      </c>
      <c r="G412" s="10" t="str">
        <v>6102186404970003</v>
      </c>
      <c r="H412" s="10" t="str">
        <v>PENDATAAN</v>
      </c>
      <c r="I412" s="10" t="str">
        <v>SERUTI24-LAPANGAN-TRI2-PPL-PENDATAAN</v>
      </c>
      <c r="J412" s="10" t="str">
        <v>Dokumen</v>
      </c>
      <c r="K412" s="66">
        <v>91000</v>
      </c>
      <c r="L412" s="10">
        <v>10</v>
      </c>
      <c r="M412" s="10">
        <v>910000</v>
      </c>
      <c r="N412" s="10">
        <v>0</v>
      </c>
      <c r="O412" s="67">
        <v>45482</v>
      </c>
      <c r="P412" s="10">
        <v>2024</v>
      </c>
      <c r="Q412" s="10">
        <v>7</v>
      </c>
      <c r="R412" s="10" t="str">
        <v>SURVEI-PPL</v>
      </c>
      <c r="S412" s="10" t="str">
        <v>610422040035-2024-7</v>
      </c>
      <c r="T412" s="10" t="str">
        <v>610422040035-2024-7-SURVEI-PPL</v>
      </c>
      <c r="U412" s="10">
        <v>1</v>
      </c>
      <c r="V412" s="10" t="e">
        <f ca="1"/>
        <v>#NAME?</v>
      </c>
      <c r="W412" s="67">
        <v>0</v>
      </c>
      <c r="X412" s="11" t="str">
        <v>Survei Ekonomi Rumah Tangga Triwulanan (SERUTI24) Triwulan II Kegiatan Lapangan</v>
      </c>
      <c r="Y412" s="11" t="str">
        <v>MEMPAWAH TIMUR</v>
      </c>
      <c r="Z412" s="11" t="str">
        <v>SEJEGI</v>
      </c>
      <c r="AA412" s="67">
        <v>45473</v>
      </c>
      <c r="AB412" s="67">
        <v>45474</v>
      </c>
      <c r="AC412" s="67">
        <v>45504</v>
      </c>
      <c r="AD412" s="67">
        <v>45503</v>
      </c>
      <c r="AE412" s="67">
        <v>45504</v>
      </c>
    </row>
    <row r="413" spans="1:31" ht="12.5">
      <c r="A413" s="10">
        <v>610422040061</v>
      </c>
      <c r="B413" s="10" t="str">
        <v>SERUTI24-LAPANGAN-TRI2</v>
      </c>
      <c r="C413" s="10">
        <v>0</v>
      </c>
      <c r="D413" s="10">
        <f ca="1"/>
        <v>1</v>
      </c>
      <c r="E413" s="10" t="str">
        <v>Sabani</v>
      </c>
      <c r="F413" s="10" t="str">
        <v>PPL</v>
      </c>
      <c r="G413" s="10" t="str">
        <v>6102153112860003</v>
      </c>
      <c r="H413" s="10" t="str">
        <v>PENDATAAN</v>
      </c>
      <c r="I413" s="10" t="str">
        <v>SERUTI24-LAPANGAN-TRI2-PPL-PENDATAAN</v>
      </c>
      <c r="J413" s="10" t="str">
        <v>Dokumen</v>
      </c>
      <c r="K413" s="66">
        <v>91000</v>
      </c>
      <c r="L413" s="10">
        <v>10</v>
      </c>
      <c r="M413" s="10">
        <v>910000</v>
      </c>
      <c r="N413" s="10">
        <v>0</v>
      </c>
      <c r="O413" s="67">
        <v>45482</v>
      </c>
      <c r="P413" s="10">
        <v>2024</v>
      </c>
      <c r="Q413" s="10">
        <v>7</v>
      </c>
      <c r="R413" s="10" t="str">
        <v>SURVEI-PPL</v>
      </c>
      <c r="S413" s="10" t="str">
        <v>610422040061-2024-7</v>
      </c>
      <c r="T413" s="10" t="str">
        <v>610422040061-2024-7-SURVEI-PPL</v>
      </c>
      <c r="U413" s="10">
        <v>1</v>
      </c>
      <c r="V413" s="10" t="e">
        <f ca="1"/>
        <v>#NAME?</v>
      </c>
      <c r="W413" s="67">
        <v>0</v>
      </c>
      <c r="X413" s="11" t="str">
        <v>Survei Ekonomi Rumah Tangga Triwulanan (SERUTI24) Triwulan II Kegiatan Lapangan</v>
      </c>
      <c r="Y413" s="11" t="str">
        <v>SEGEDONG</v>
      </c>
      <c r="Z413" s="11" t="str">
        <v>PENITI BESAR</v>
      </c>
      <c r="AA413" s="67">
        <v>45473</v>
      </c>
      <c r="AB413" s="67">
        <v>45474</v>
      </c>
      <c r="AC413" s="67">
        <v>45504</v>
      </c>
      <c r="AD413" s="67">
        <v>45503</v>
      </c>
      <c r="AE413" s="67">
        <v>45504</v>
      </c>
    </row>
    <row r="414" spans="1:31" ht="12.5">
      <c r="A414" s="10">
        <v>610422040053</v>
      </c>
      <c r="B414" s="10" t="str">
        <v>SERUTI24-LAPANGAN-TRI2</v>
      </c>
      <c r="C414" s="10">
        <v>0</v>
      </c>
      <c r="D414" s="10">
        <f ca="1"/>
        <v>1</v>
      </c>
      <c r="E414" s="10" t="str">
        <v>Veti Ningsi</v>
      </c>
      <c r="F414" s="10" t="str">
        <v>PPL</v>
      </c>
      <c r="G414" s="10" t="str">
        <v>6102125604010002</v>
      </c>
      <c r="H414" s="10" t="str">
        <v>PENDATAAN</v>
      </c>
      <c r="I414" s="10" t="str">
        <v>SERUTI24-LAPANGAN-TRI2-PPL-PENDATAAN</v>
      </c>
      <c r="J414" s="10" t="str">
        <v>Dokumen</v>
      </c>
      <c r="K414" s="66">
        <v>91000</v>
      </c>
      <c r="L414" s="10">
        <v>10</v>
      </c>
      <c r="M414" s="10">
        <v>910000</v>
      </c>
      <c r="N414" s="10">
        <v>0</v>
      </c>
      <c r="O414" s="67">
        <v>45482</v>
      </c>
      <c r="P414" s="10">
        <v>2024</v>
      </c>
      <c r="Q414" s="10">
        <v>7</v>
      </c>
      <c r="R414" s="10" t="str">
        <v>SURVEI-PPL</v>
      </c>
      <c r="S414" s="10" t="str">
        <v>610422040053-2024-7</v>
      </c>
      <c r="T414" s="10" t="str">
        <v>610422040053-2024-7-SURVEI-PPL</v>
      </c>
      <c r="U414" s="10">
        <v>1</v>
      </c>
      <c r="V414" s="10" t="e">
        <f ca="1"/>
        <v>#NAME?</v>
      </c>
      <c r="W414" s="67">
        <v>0</v>
      </c>
      <c r="X414" s="11" t="str">
        <v>Survei Ekonomi Rumah Tangga Triwulanan (SERUTI24) Triwulan II Kegiatan Lapangan</v>
      </c>
      <c r="Y414" s="11" t="str">
        <v>SUNGAI KUNYIT</v>
      </c>
      <c r="Z414" s="11" t="str">
        <v>SUNGAI BUNDUNG LAUT</v>
      </c>
      <c r="AA414" s="67">
        <v>45473</v>
      </c>
      <c r="AB414" s="67">
        <v>45474</v>
      </c>
      <c r="AC414" s="67">
        <v>45504</v>
      </c>
      <c r="AD414" s="67">
        <v>45503</v>
      </c>
      <c r="AE414" s="67">
        <v>45504</v>
      </c>
    </row>
    <row r="415" spans="1:31" ht="12.5">
      <c r="A415" s="10">
        <v>610422100055</v>
      </c>
      <c r="B415" s="10" t="str">
        <v>SERUTI24-LAPANGAN-TRI2</v>
      </c>
      <c r="C415" s="10">
        <v>0</v>
      </c>
      <c r="D415" s="10">
        <f ca="1"/>
        <v>1</v>
      </c>
      <c r="E415" s="10" t="str">
        <v>Vika Rizkiani</v>
      </c>
      <c r="F415" s="10" t="str">
        <v>PPL</v>
      </c>
      <c r="G415" s="10" t="str">
        <v>6102084207980006</v>
      </c>
      <c r="H415" s="10" t="str">
        <v>PENDATAAN</v>
      </c>
      <c r="I415" s="10" t="str">
        <v>SERUTI24-LAPANGAN-TRI2-PPL-PENDATAAN</v>
      </c>
      <c r="J415" s="10" t="str">
        <v>Dokumen</v>
      </c>
      <c r="K415" s="66">
        <v>91000</v>
      </c>
      <c r="L415" s="10">
        <v>10</v>
      </c>
      <c r="M415" s="10">
        <v>910000</v>
      </c>
      <c r="N415" s="10">
        <v>0</v>
      </c>
      <c r="O415" s="67">
        <v>45482</v>
      </c>
      <c r="P415" s="10">
        <v>2024</v>
      </c>
      <c r="Q415" s="10">
        <v>7</v>
      </c>
      <c r="R415" s="10" t="str">
        <v>SURVEI-PPL</v>
      </c>
      <c r="S415" s="10" t="str">
        <v>610422100055-2024-7</v>
      </c>
      <c r="T415" s="10" t="str">
        <v>610422100055-2024-7-SURVEI-PPL</v>
      </c>
      <c r="U415" s="10">
        <v>1</v>
      </c>
      <c r="V415" s="10" t="e">
        <f ca="1"/>
        <v>#NAME?</v>
      </c>
      <c r="W415" s="67">
        <v>0</v>
      </c>
      <c r="X415" s="11" t="str">
        <v>Survei Ekonomi Rumah Tangga Triwulanan (SERUTI24) Triwulan II Kegiatan Lapangan</v>
      </c>
      <c r="Y415" s="11" t="str">
        <v>JONGKAT</v>
      </c>
      <c r="Z415" s="11" t="str">
        <v>JUNGKAT</v>
      </c>
      <c r="AA415" s="67">
        <v>45473</v>
      </c>
      <c r="AB415" s="67">
        <v>45474</v>
      </c>
      <c r="AC415" s="67">
        <v>45504</v>
      </c>
      <c r="AD415" s="67">
        <v>45503</v>
      </c>
      <c r="AE415" s="67">
        <v>45504</v>
      </c>
    </row>
    <row r="416" spans="1:31" ht="12.5">
      <c r="A416" s="10">
        <v>610422100139</v>
      </c>
      <c r="B416" s="10" t="str">
        <v>SERUTI24-LAPANGAN-TRI2</v>
      </c>
      <c r="C416" s="10">
        <v>0</v>
      </c>
      <c r="D416" s="10">
        <f ca="1"/>
        <v>1</v>
      </c>
      <c r="E416" s="10" t="str">
        <v>Winda Dwi Ananda</v>
      </c>
      <c r="F416" s="10" t="str">
        <v>PPL</v>
      </c>
      <c r="G416" s="10" t="str">
        <v>6102016812990001</v>
      </c>
      <c r="H416" s="10" t="str">
        <v>PENDATAAN</v>
      </c>
      <c r="I416" s="10" t="str">
        <v>SERUTI24-LAPANGAN-TRI2-PPL-PENDATAAN</v>
      </c>
      <c r="J416" s="10" t="str">
        <v>Dokumen</v>
      </c>
      <c r="K416" s="66">
        <v>91000</v>
      </c>
      <c r="L416" s="10">
        <v>10</v>
      </c>
      <c r="M416" s="10">
        <v>910000</v>
      </c>
      <c r="N416" s="10">
        <v>0</v>
      </c>
      <c r="O416" s="67">
        <v>45482</v>
      </c>
      <c r="P416" s="10">
        <v>2024</v>
      </c>
      <c r="Q416" s="10">
        <v>7</v>
      </c>
      <c r="R416" s="10" t="str">
        <v>SURVEI-PPL</v>
      </c>
      <c r="S416" s="10" t="str">
        <v>610422100139-2024-7</v>
      </c>
      <c r="T416" s="10" t="str">
        <v>610422100139-2024-7-SURVEI-PPL</v>
      </c>
      <c r="U416" s="10">
        <v>1</v>
      </c>
      <c r="V416" s="10" t="e">
        <f ca="1"/>
        <v>#NAME?</v>
      </c>
      <c r="W416" s="67">
        <v>0</v>
      </c>
      <c r="X416" s="11" t="str">
        <v>Survei Ekonomi Rumah Tangga Triwulanan (SERUTI24) Triwulan II Kegiatan Lapangan</v>
      </c>
      <c r="Y416" s="11" t="str">
        <v>MEMPAWAH HILIR</v>
      </c>
      <c r="Z416" s="11" t="str">
        <v>PENIBUNG</v>
      </c>
      <c r="AA416" s="67">
        <v>45473</v>
      </c>
      <c r="AB416" s="67">
        <v>45474</v>
      </c>
      <c r="AC416" s="67">
        <v>45504</v>
      </c>
      <c r="AD416" s="67">
        <v>45503</v>
      </c>
      <c r="AE416" s="67">
        <v>45504</v>
      </c>
    </row>
    <row r="417" spans="1:31" ht="12.5">
      <c r="A417" s="10">
        <v>610422040052</v>
      </c>
      <c r="B417" s="10" t="str">
        <v>SERUTI24-LAPANGAN-TRI2</v>
      </c>
      <c r="C417" s="10">
        <v>0</v>
      </c>
      <c r="D417" s="10">
        <f ca="1"/>
        <v>1</v>
      </c>
      <c r="E417" s="10" t="str">
        <v>Yusimianto</v>
      </c>
      <c r="F417" s="10" t="str">
        <v>PPL</v>
      </c>
      <c r="G417" s="10" t="str">
        <v>6102160603790001</v>
      </c>
      <c r="H417" s="10" t="str">
        <v>PENDATAAN</v>
      </c>
      <c r="I417" s="10" t="str">
        <v>SERUTI24-LAPANGAN-TRI2-PPL-PENDATAAN</v>
      </c>
      <c r="J417" s="10" t="str">
        <v>Dokumen</v>
      </c>
      <c r="K417" s="66">
        <v>91000</v>
      </c>
      <c r="L417" s="10">
        <v>10</v>
      </c>
      <c r="M417" s="10">
        <v>910000</v>
      </c>
      <c r="N417" s="10">
        <v>0</v>
      </c>
      <c r="O417" s="67">
        <v>45482</v>
      </c>
      <c r="P417" s="10">
        <v>2024</v>
      </c>
      <c r="Q417" s="10">
        <v>7</v>
      </c>
      <c r="R417" s="10" t="str">
        <v>SURVEI-PPL</v>
      </c>
      <c r="S417" s="10" t="str">
        <v>610422040052-2024-7</v>
      </c>
      <c r="T417" s="10" t="str">
        <v>610422040052-2024-7-SURVEI-PPL</v>
      </c>
      <c r="U417" s="10">
        <v>1</v>
      </c>
      <c r="V417" s="10" t="e">
        <f ca="1"/>
        <v>#NAME?</v>
      </c>
      <c r="W417" s="67">
        <v>0</v>
      </c>
      <c r="X417" s="11" t="str">
        <v>Survei Ekonomi Rumah Tangga Triwulanan (SERUTI24) Triwulan II Kegiatan Lapangan</v>
      </c>
      <c r="Y417" s="11" t="str">
        <v>ANJONGAN</v>
      </c>
      <c r="Z417" s="11" t="str">
        <v>PAK BULU</v>
      </c>
      <c r="AA417" s="67">
        <v>45473</v>
      </c>
      <c r="AB417" s="67">
        <v>45474</v>
      </c>
      <c r="AC417" s="67">
        <v>45504</v>
      </c>
      <c r="AD417" s="67">
        <v>45503</v>
      </c>
      <c r="AE417" s="67">
        <v>45504</v>
      </c>
    </row>
    <row r="418" spans="1:31" ht="12.5">
      <c r="A418" s="10">
        <v>610422020029</v>
      </c>
      <c r="B418" s="10" t="str">
        <v>SERUTI24-PENGOLAHAN-TRI2</v>
      </c>
      <c r="C418" s="10">
        <v>0</v>
      </c>
      <c r="D418" s="10">
        <f ca="1"/>
        <v>1</v>
      </c>
      <c r="E418" s="10" t="str">
        <v>Kurniadi</v>
      </c>
      <c r="F418" s="10" t="str">
        <v>PETUGAS ENTRI</v>
      </c>
      <c r="G418" s="10" t="str">
        <v>6102011110970002</v>
      </c>
      <c r="H418" s="10" t="str">
        <v>PENGOLAHAN</v>
      </c>
      <c r="I418" s="10" t="str">
        <v>SERUTI24-PENGOLAHAN-TRI2-PETUGAS ENTRI-PENGOLAHAN</v>
      </c>
      <c r="J418" s="10" t="str">
        <v>Dokumen</v>
      </c>
      <c r="K418" s="66">
        <v>12000</v>
      </c>
      <c r="L418" s="10">
        <v>20</v>
      </c>
      <c r="M418" s="10">
        <v>240000</v>
      </c>
      <c r="N418" s="10">
        <v>0</v>
      </c>
      <c r="O418" s="67">
        <v>45482</v>
      </c>
      <c r="P418" s="10">
        <v>2024</v>
      </c>
      <c r="Q418" s="10">
        <v>7</v>
      </c>
      <c r="R418" s="10" t="str">
        <v>SURVEI-PETUGAS ENTRI</v>
      </c>
      <c r="S418" s="10" t="str">
        <v>610422020029-2024-7</v>
      </c>
      <c r="T418" s="10" t="str">
        <v>610422020029-2024-7-SURVEI-PETUGAS ENTRI</v>
      </c>
      <c r="U418" s="10">
        <v>1</v>
      </c>
      <c r="V418" s="10" t="e">
        <f ca="1"/>
        <v>#NAME?</v>
      </c>
      <c r="W418" s="67">
        <v>0</v>
      </c>
      <c r="X418" s="11" t="str">
        <v>Survei Ekonomi Rumah Tangga Triwulanan (SERUTI24) Triwulan II Kegiatan Pengolahan</v>
      </c>
      <c r="Y418" s="11" t="str">
        <v>MEMPAWAH HILIR</v>
      </c>
      <c r="Z418" s="11" t="str">
        <v>TERUSAN</v>
      </c>
      <c r="AA418" s="67">
        <v>45473</v>
      </c>
      <c r="AB418" s="67">
        <v>45474</v>
      </c>
      <c r="AC418" s="67">
        <v>45504</v>
      </c>
      <c r="AD418" s="67">
        <v>45503</v>
      </c>
      <c r="AE418" s="67">
        <v>45504</v>
      </c>
    </row>
    <row r="419" spans="1:31" ht="12.5">
      <c r="A419" s="10">
        <v>610422030002</v>
      </c>
      <c r="B419" s="10" t="str">
        <v>SHPB24-LAPANGAN-JULI</v>
      </c>
      <c r="C419" s="10">
        <v>0</v>
      </c>
      <c r="D419" s="10">
        <f ca="1"/>
        <v>1</v>
      </c>
      <c r="E419" s="10" t="str">
        <v>Deti Erni Widiastuti</v>
      </c>
      <c r="F419" s="10" t="str">
        <v>PPL</v>
      </c>
      <c r="G419" s="10" t="str">
        <v>6102016712860001</v>
      </c>
      <c r="H419" s="10" t="str">
        <v>PENDATAAN</v>
      </c>
      <c r="I419" s="10" t="str">
        <v>SHPB24-LAPANGAN-JULI-PPL-PENDATAAN</v>
      </c>
      <c r="J419" s="10" t="str">
        <v>Dokumen</v>
      </c>
      <c r="K419" s="66">
        <v>50000</v>
      </c>
      <c r="L419" s="10">
        <v>15</v>
      </c>
      <c r="M419" s="10">
        <v>750000</v>
      </c>
      <c r="N419" s="10">
        <v>0</v>
      </c>
      <c r="O419" s="67">
        <v>45493</v>
      </c>
      <c r="P419" s="10">
        <v>2024</v>
      </c>
      <c r="Q419" s="10">
        <v>7</v>
      </c>
      <c r="R419" s="10" t="str">
        <v>SURVEI-PPL</v>
      </c>
      <c r="S419" s="10" t="str">
        <v>610422030002-2024-7</v>
      </c>
      <c r="T419" s="10" t="str">
        <v>610422030002-2024-7-SURVEI-PPL</v>
      </c>
      <c r="U419" s="10">
        <v>1</v>
      </c>
      <c r="V419" s="10" t="e">
        <f ca="1"/>
        <v>#NAME?</v>
      </c>
      <c r="W419" s="67">
        <v>0</v>
      </c>
      <c r="X419" s="11" t="str">
        <v>Survei Harga Perdagangan Besar (SHPB24) Juli</v>
      </c>
      <c r="Y419" s="11" t="str">
        <v>SEGEDONG</v>
      </c>
      <c r="Z419" s="11" t="str">
        <v>PENITI DALAM I</v>
      </c>
      <c r="AA419" s="67">
        <v>45473</v>
      </c>
      <c r="AB419" s="67">
        <v>45474</v>
      </c>
      <c r="AC419" s="67">
        <v>45504</v>
      </c>
      <c r="AD419" s="67">
        <v>45503</v>
      </c>
      <c r="AE419" s="67">
        <v>45504</v>
      </c>
    </row>
    <row r="420" spans="1:31" ht="12.5">
      <c r="A420" s="10">
        <v>610422100244</v>
      </c>
      <c r="B420" s="10" t="str">
        <v>HPG24-LAPANGAN-JULI</v>
      </c>
      <c r="C420" s="10">
        <v>0</v>
      </c>
      <c r="D420" s="10">
        <f ca="1"/>
        <v>1</v>
      </c>
      <c r="E420" s="10" t="str">
        <v>Sugianto</v>
      </c>
      <c r="F420" s="10" t="str">
        <v>PPL</v>
      </c>
      <c r="G420" s="10" t="str">
        <v>6102171003900002</v>
      </c>
      <c r="H420" s="10" t="str">
        <v>PENDATAAN</v>
      </c>
      <c r="I420" s="10" t="str">
        <v>HPG24-LAPANGAN-JULI-PPL-PENDATAAN</v>
      </c>
      <c r="J420" s="10" t="str">
        <v>Dokumen</v>
      </c>
      <c r="K420" s="66">
        <v>50000</v>
      </c>
      <c r="L420" s="10">
        <v>1</v>
      </c>
      <c r="M420" s="10">
        <v>50000</v>
      </c>
      <c r="N420" s="10">
        <v>0</v>
      </c>
      <c r="O420" s="67">
        <v>45493</v>
      </c>
      <c r="P420" s="10">
        <v>2024</v>
      </c>
      <c r="Q420" s="10">
        <v>7</v>
      </c>
      <c r="R420" s="10" t="str">
        <v>SURVEI-PPL</v>
      </c>
      <c r="S420" s="10" t="str">
        <v>610422100244-2024-7</v>
      </c>
      <c r="T420" s="10" t="str">
        <v>610422100244-2024-7-SURVEI-PPL</v>
      </c>
      <c r="U420" s="10">
        <v>1</v>
      </c>
      <c r="V420" s="10" t="e">
        <f ca="1"/>
        <v>#NAME?</v>
      </c>
      <c r="W420" s="67">
        <v>0</v>
      </c>
      <c r="X420" s="11" t="str">
        <v>Survei Harga Produsen Gabah (HPG24) Juli</v>
      </c>
      <c r="Y420" s="11" t="str">
        <v>SADANIANG</v>
      </c>
      <c r="Z420" s="11" t="str">
        <v>BUMBUN</v>
      </c>
      <c r="AA420" s="67">
        <v>45473</v>
      </c>
      <c r="AB420" s="67">
        <v>45474</v>
      </c>
      <c r="AC420" s="67">
        <v>45504</v>
      </c>
      <c r="AD420" s="67">
        <v>45503</v>
      </c>
      <c r="AE420" s="67">
        <v>45504</v>
      </c>
    </row>
    <row r="421" spans="1:31" ht="12.5">
      <c r="A421" s="10">
        <v>610422100124</v>
      </c>
      <c r="B421" s="10" t="str">
        <v>HPG24-LAPANGAN-JULI</v>
      </c>
      <c r="C421" s="10">
        <v>0</v>
      </c>
      <c r="D421" s="10">
        <f ca="1"/>
        <v>1</v>
      </c>
      <c r="E421" s="10" t="str">
        <v>Prabowo</v>
      </c>
      <c r="F421" s="10" t="str">
        <v>PPL</v>
      </c>
      <c r="G421" s="10" t="str">
        <v>6171010108790015</v>
      </c>
      <c r="H421" s="10" t="str">
        <v>PENDATAAN</v>
      </c>
      <c r="I421" s="10" t="str">
        <v>HPG24-LAPANGAN-JULI-PPL-PENDATAAN</v>
      </c>
      <c r="J421" s="10" t="str">
        <v>Dokumen</v>
      </c>
      <c r="K421" s="66">
        <v>50000</v>
      </c>
      <c r="L421" s="10">
        <v>1</v>
      </c>
      <c r="M421" s="10">
        <v>50000</v>
      </c>
      <c r="N421" s="10">
        <v>0</v>
      </c>
      <c r="O421" s="67">
        <v>45493</v>
      </c>
      <c r="P421" s="10">
        <v>2024</v>
      </c>
      <c r="Q421" s="10">
        <v>7</v>
      </c>
      <c r="R421" s="10" t="str">
        <v>SURVEI-PPL</v>
      </c>
      <c r="S421" s="10" t="str">
        <v>610422100124-2024-7</v>
      </c>
      <c r="T421" s="10" t="str">
        <v>610422100124-2024-7-SURVEI-PPL</v>
      </c>
      <c r="U421" s="10">
        <v>1</v>
      </c>
      <c r="V421" s="10" t="e">
        <f ca="1"/>
        <v>#NAME?</v>
      </c>
      <c r="W421" s="67">
        <v>0</v>
      </c>
      <c r="X421" s="11" t="str">
        <v>Survei Harga Produsen Gabah (HPG24) Juli</v>
      </c>
      <c r="Y421" s="11" t="str">
        <v>PONTIANAK KOTA</v>
      </c>
      <c r="Z421" s="11" t="str">
        <v>SUNGAI BANGKONG</v>
      </c>
      <c r="AA421" s="67">
        <v>45473</v>
      </c>
      <c r="AB421" s="67">
        <v>45474</v>
      </c>
      <c r="AC421" s="67">
        <v>45504</v>
      </c>
      <c r="AD421" s="67">
        <v>45503</v>
      </c>
      <c r="AE421" s="67">
        <v>45504</v>
      </c>
    </row>
    <row r="422" spans="1:31" ht="12.5">
      <c r="A422" s="10">
        <v>610422040029</v>
      </c>
      <c r="B422" s="10" t="str">
        <v>SHKK24-LAPANGAN-JULI</v>
      </c>
      <c r="C422" s="10">
        <v>0</v>
      </c>
      <c r="D422" s="10">
        <f ca="1"/>
        <v>1</v>
      </c>
      <c r="E422" s="10" t="str">
        <v>Zaini</v>
      </c>
      <c r="F422" s="10" t="str">
        <v>PPL</v>
      </c>
      <c r="G422" s="10" t="str">
        <v>6102010607870002</v>
      </c>
      <c r="H422" s="10" t="str">
        <v>PENDATAAN</v>
      </c>
      <c r="I422" s="10" t="str">
        <v>SHKK24-LAPANGAN-JULI-PPL-PENDATAAN</v>
      </c>
      <c r="J422" s="10" t="str">
        <v>Dokumen</v>
      </c>
      <c r="K422" s="66">
        <v>60000</v>
      </c>
      <c r="L422" s="10">
        <v>16</v>
      </c>
      <c r="M422" s="10">
        <v>960000</v>
      </c>
      <c r="N422" s="10">
        <v>0</v>
      </c>
      <c r="O422" s="67">
        <v>45493</v>
      </c>
      <c r="P422" s="10">
        <v>2024</v>
      </c>
      <c r="Q422" s="10">
        <v>7</v>
      </c>
      <c r="R422" s="10" t="str">
        <v>SURVEI-PPL</v>
      </c>
      <c r="S422" s="10" t="str">
        <v>610422040029-2024-7</v>
      </c>
      <c r="T422" s="10" t="str">
        <v>610422040029-2024-7-SURVEI-PPL</v>
      </c>
      <c r="U422" s="10">
        <v>1</v>
      </c>
      <c r="V422" s="10" t="e">
        <f ca="1"/>
        <v>#NAME?</v>
      </c>
      <c r="W422" s="67">
        <v>0</v>
      </c>
      <c r="X422" s="11" t="str">
        <v>Survei Harga Kemahalan Konstruksi (SHKK24) Juli</v>
      </c>
      <c r="Y422" s="11" t="str">
        <v>MEMPAWAH HILIR</v>
      </c>
      <c r="Z422" s="11" t="str">
        <v>TENGAH</v>
      </c>
      <c r="AA422" s="67">
        <v>45473</v>
      </c>
      <c r="AB422" s="67">
        <v>45474</v>
      </c>
      <c r="AC422" s="67">
        <v>45504</v>
      </c>
      <c r="AD422" s="67">
        <v>45503</v>
      </c>
      <c r="AE422" s="67">
        <v>45504</v>
      </c>
    </row>
    <row r="423" spans="1:31" ht="12.5">
      <c r="A423" s="10">
        <v>610422020048</v>
      </c>
      <c r="B423" s="10" t="str">
        <v>SHKK24-LAPANGAN-JULI</v>
      </c>
      <c r="C423" s="10">
        <v>0</v>
      </c>
      <c r="D423" s="10">
        <f ca="1"/>
        <v>1</v>
      </c>
      <c r="E423" s="10" t="str">
        <v>Herri Gustaman</v>
      </c>
      <c r="F423" s="10" t="str">
        <v>PPL</v>
      </c>
      <c r="G423" s="10" t="str">
        <v>6102072503800001</v>
      </c>
      <c r="H423" s="10" t="str">
        <v>PENDATAAN</v>
      </c>
      <c r="I423" s="10" t="str">
        <v>SHKK24-LAPANGAN-JULI-PPL-PENDATAAN</v>
      </c>
      <c r="J423" s="10" t="str">
        <v>Dokumen</v>
      </c>
      <c r="K423" s="66">
        <v>60000</v>
      </c>
      <c r="L423" s="10">
        <v>10</v>
      </c>
      <c r="M423" s="10">
        <v>600000</v>
      </c>
      <c r="N423" s="10">
        <v>0</v>
      </c>
      <c r="O423" s="67">
        <v>45493</v>
      </c>
      <c r="P423" s="10">
        <v>2024</v>
      </c>
      <c r="Q423" s="10">
        <v>7</v>
      </c>
      <c r="R423" s="10" t="str">
        <v>SURVEI-PPL</v>
      </c>
      <c r="S423" s="10" t="str">
        <v>610422020048-2024-7</v>
      </c>
      <c r="T423" s="10" t="str">
        <v>610422020048-2024-7-SURVEI-PPL</v>
      </c>
      <c r="U423" s="10">
        <v>1</v>
      </c>
      <c r="V423" s="10" t="e">
        <f ca="1"/>
        <v>#NAME?</v>
      </c>
      <c r="W423" s="67">
        <v>0</v>
      </c>
      <c r="X423" s="11" t="str">
        <v>Survei Harga Kemahalan Konstruksi (SHKK24) Juli</v>
      </c>
      <c r="Y423" s="11" t="str">
        <v>MEMPAWAH TIMUR</v>
      </c>
      <c r="Z423" s="11" t="str">
        <v>SEJEGI</v>
      </c>
      <c r="AA423" s="67">
        <v>45473</v>
      </c>
      <c r="AB423" s="67">
        <v>45474</v>
      </c>
      <c r="AC423" s="67">
        <v>45504</v>
      </c>
      <c r="AD423" s="67">
        <v>45503</v>
      </c>
      <c r="AE423" s="67">
        <v>45504</v>
      </c>
    </row>
    <row r="424" spans="1:31" ht="12.5">
      <c r="A424" s="10">
        <v>610422100165</v>
      </c>
      <c r="B424" s="10" t="str">
        <v>SHKK24-LAPANGAN-JULI</v>
      </c>
      <c r="C424" s="10">
        <v>0</v>
      </c>
      <c r="D424" s="10">
        <f ca="1"/>
        <v>1</v>
      </c>
      <c r="E424" s="10" t="str">
        <v>Yanti</v>
      </c>
      <c r="F424" s="10" t="str">
        <v>PPL</v>
      </c>
      <c r="G424" s="10" t="str">
        <v>6102074803980002</v>
      </c>
      <c r="H424" s="10" t="str">
        <v>PENDATAAN</v>
      </c>
      <c r="I424" s="10" t="str">
        <v>SHKK24-LAPANGAN-JULI-PPL-PENDATAAN</v>
      </c>
      <c r="J424" s="10" t="str">
        <v>Dokumen</v>
      </c>
      <c r="K424" s="66">
        <v>60000</v>
      </c>
      <c r="L424" s="10">
        <v>6</v>
      </c>
      <c r="M424" s="10">
        <v>360000</v>
      </c>
      <c r="N424" s="10">
        <v>0</v>
      </c>
      <c r="O424" s="67">
        <v>45493</v>
      </c>
      <c r="P424" s="10">
        <v>2024</v>
      </c>
      <c r="Q424" s="10">
        <v>7</v>
      </c>
      <c r="R424" s="10" t="str">
        <v>SURVEI-PPL</v>
      </c>
      <c r="S424" s="10" t="str">
        <v>610422100165-2024-7</v>
      </c>
      <c r="T424" s="10" t="str">
        <v>610422100165-2024-7-SURVEI-PPL</v>
      </c>
      <c r="U424" s="10">
        <v>1</v>
      </c>
      <c r="V424" s="10" t="e">
        <f ca="1"/>
        <v>#NAME?</v>
      </c>
      <c r="W424" s="67">
        <v>0</v>
      </c>
      <c r="X424" s="11" t="str">
        <v>Survei Harga Kemahalan Konstruksi (SHKK24) Juli</v>
      </c>
      <c r="Y424" s="11" t="str">
        <v>SUNGAI PINYUH</v>
      </c>
      <c r="Z424" s="11" t="str">
        <v>SUNGAI BAKAU BESAR LAUT</v>
      </c>
      <c r="AA424" s="67">
        <v>45473</v>
      </c>
      <c r="AB424" s="67">
        <v>45474</v>
      </c>
      <c r="AC424" s="67">
        <v>45504</v>
      </c>
      <c r="AD424" s="67">
        <v>45503</v>
      </c>
      <c r="AE424" s="67">
        <v>45504</v>
      </c>
    </row>
    <row r="425" spans="1:31" ht="12.5">
      <c r="A425" s="10">
        <v>610422020052</v>
      </c>
      <c r="B425" s="10" t="str">
        <v>SHKK24-LAPANGAN-JULI</v>
      </c>
      <c r="C425" s="10">
        <v>0</v>
      </c>
      <c r="D425" s="10">
        <f ca="1"/>
        <v>1</v>
      </c>
      <c r="E425" s="10" t="str">
        <v>Agus Supriyanto</v>
      </c>
      <c r="F425" s="10" t="str">
        <v>PPL</v>
      </c>
      <c r="G425" s="10" t="str">
        <v>6102071811790001</v>
      </c>
      <c r="H425" s="10" t="str">
        <v>PENDATAAN</v>
      </c>
      <c r="I425" s="10" t="str">
        <v>SHKK24-LAPANGAN-JULI-PPL-PENDATAAN</v>
      </c>
      <c r="J425" s="10" t="str">
        <v>Dokumen</v>
      </c>
      <c r="K425" s="66">
        <v>60000</v>
      </c>
      <c r="L425" s="10">
        <v>7</v>
      </c>
      <c r="M425" s="10">
        <v>420000</v>
      </c>
      <c r="N425" s="10">
        <v>0</v>
      </c>
      <c r="O425" s="67">
        <v>45493</v>
      </c>
      <c r="P425" s="10">
        <v>2024</v>
      </c>
      <c r="Q425" s="10">
        <v>7</v>
      </c>
      <c r="R425" s="10" t="str">
        <v>SURVEI-PPL</v>
      </c>
      <c r="S425" s="10" t="str">
        <v>610422020052-2024-7</v>
      </c>
      <c r="T425" s="10" t="str">
        <v>610422020052-2024-7-SURVEI-PPL</v>
      </c>
      <c r="U425" s="10">
        <v>1</v>
      </c>
      <c r="V425" s="10" t="e">
        <f ca="1"/>
        <v>#NAME?</v>
      </c>
      <c r="W425" s="67">
        <v>0</v>
      </c>
      <c r="X425" s="11" t="str">
        <v>Survei Harga Kemahalan Konstruksi (SHKK24) Juli</v>
      </c>
      <c r="Y425" s="11" t="str">
        <v>SUNGAI PINYUH</v>
      </c>
      <c r="Z425" s="11" t="str">
        <v>NUSAPATI</v>
      </c>
      <c r="AA425" s="67">
        <v>45473</v>
      </c>
      <c r="AB425" s="67">
        <v>45474</v>
      </c>
      <c r="AC425" s="67">
        <v>45504</v>
      </c>
      <c r="AD425" s="67">
        <v>45503</v>
      </c>
      <c r="AE425" s="67">
        <v>45504</v>
      </c>
    </row>
    <row r="426" spans="1:31" ht="12.5">
      <c r="A426" s="10">
        <v>610422100016</v>
      </c>
      <c r="B426" s="10" t="str">
        <v>SHPED24-LAPANGAN-JULI</v>
      </c>
      <c r="C426" s="10">
        <v>0</v>
      </c>
      <c r="D426" s="10">
        <f ca="1"/>
        <v>1</v>
      </c>
      <c r="E426" s="10" t="str">
        <v>Amalia Faisya</v>
      </c>
      <c r="F426" s="10" t="str">
        <v>PPL</v>
      </c>
      <c r="G426" s="10" t="str">
        <v>6102124210010005</v>
      </c>
      <c r="H426" s="10" t="str">
        <v>PENDATAAN KONSUMEN</v>
      </c>
      <c r="I426" s="10" t="str">
        <v>SHPED24-LAPANGAN-JULI-PPL-PENDATAAN KONSUMEN</v>
      </c>
      <c r="J426" s="10" t="str">
        <v>Dokumen</v>
      </c>
      <c r="K426" s="66">
        <v>65000</v>
      </c>
      <c r="L426" s="10">
        <v>3</v>
      </c>
      <c r="M426" s="10">
        <v>195000</v>
      </c>
      <c r="N426" s="10">
        <v>0</v>
      </c>
      <c r="O426" s="67">
        <v>45493</v>
      </c>
      <c r="P426" s="10">
        <v>2024</v>
      </c>
      <c r="Q426" s="10">
        <v>7</v>
      </c>
      <c r="R426" s="10" t="str">
        <v>SURVEI-PPL</v>
      </c>
      <c r="S426" s="10" t="str">
        <v>610422100016-2024-7</v>
      </c>
      <c r="T426" s="10" t="str">
        <v>610422100016-2024-7-SURVEI-PPL</v>
      </c>
      <c r="U426" s="10">
        <v>1</v>
      </c>
      <c r="V426" s="10" t="e">
        <f ca="1"/>
        <v>#NAME?</v>
      </c>
      <c r="W426" s="67">
        <v>0</v>
      </c>
      <c r="X426" s="11" t="str">
        <v>Survei Harga Perdesaan (SHPED24) Juli</v>
      </c>
      <c r="Y426" s="11" t="str">
        <v>SUNGAI KUNYIT</v>
      </c>
      <c r="Z426" s="11" t="str">
        <v>SUNGAI KUNYIT LAUT</v>
      </c>
      <c r="AA426" s="67">
        <v>45473</v>
      </c>
      <c r="AB426" s="67">
        <v>45474</v>
      </c>
      <c r="AC426" s="67">
        <v>45504</v>
      </c>
      <c r="AD426" s="67">
        <v>45503</v>
      </c>
      <c r="AE426" s="67">
        <v>45504</v>
      </c>
    </row>
    <row r="427" spans="1:31" ht="12.5">
      <c r="A427" s="10">
        <v>610422050001</v>
      </c>
      <c r="B427" s="10" t="str">
        <v>SHPED24-LAPANGAN-JULI</v>
      </c>
      <c r="C427" s="10">
        <v>0</v>
      </c>
      <c r="D427" s="10">
        <f ca="1"/>
        <v>1</v>
      </c>
      <c r="E427" s="10" t="str">
        <v>Evi Juniarty</v>
      </c>
      <c r="F427" s="10" t="str">
        <v>PPL</v>
      </c>
      <c r="G427" s="10" t="str">
        <v>6102165101840001</v>
      </c>
      <c r="H427" s="10" t="str">
        <v>PENDATAAN KONSUMEN</v>
      </c>
      <c r="I427" s="10" t="str">
        <v>SHPED24-LAPANGAN-JULI-PPL-PENDATAAN KONSUMEN</v>
      </c>
      <c r="J427" s="10" t="str">
        <v>Dokumen</v>
      </c>
      <c r="K427" s="66">
        <v>65000</v>
      </c>
      <c r="L427" s="10">
        <v>3</v>
      </c>
      <c r="M427" s="10">
        <v>195000</v>
      </c>
      <c r="N427" s="10">
        <v>0</v>
      </c>
      <c r="O427" s="67">
        <v>45493</v>
      </c>
      <c r="P427" s="10">
        <v>2024</v>
      </c>
      <c r="Q427" s="10">
        <v>7</v>
      </c>
      <c r="R427" s="10" t="str">
        <v>SURVEI-PPL</v>
      </c>
      <c r="S427" s="10" t="str">
        <v>610422050001-2024-7</v>
      </c>
      <c r="T427" s="10" t="str">
        <v>610422050001-2024-7-SURVEI-PPL</v>
      </c>
      <c r="U427" s="10">
        <v>1</v>
      </c>
      <c r="V427" s="10" t="e">
        <f ca="1"/>
        <v>#NAME?</v>
      </c>
      <c r="W427" s="67">
        <v>0</v>
      </c>
      <c r="X427" s="11" t="str">
        <v>Survei Harga Perdesaan (SHPED24) Juli</v>
      </c>
      <c r="Y427" s="11" t="str">
        <v>ANJONGAN</v>
      </c>
      <c r="Z427" s="11" t="str">
        <v>ANJUNGAN MELANCAR</v>
      </c>
      <c r="AA427" s="67">
        <v>45473</v>
      </c>
      <c r="AB427" s="67">
        <v>45474</v>
      </c>
      <c r="AC427" s="67">
        <v>45504</v>
      </c>
      <c r="AD427" s="67">
        <v>45503</v>
      </c>
      <c r="AE427" s="67">
        <v>45504</v>
      </c>
    </row>
    <row r="428" spans="1:31" ht="12.5">
      <c r="A428" s="10">
        <v>610422040030</v>
      </c>
      <c r="B428" s="10" t="str">
        <v>SHPED24-LAPANGAN-JULI</v>
      </c>
      <c r="C428" s="10">
        <v>0</v>
      </c>
      <c r="D428" s="10">
        <f ca="1"/>
        <v>1</v>
      </c>
      <c r="E428" s="10" t="str">
        <v>Syarifah Desti Pratiwi</v>
      </c>
      <c r="F428" s="10" t="str">
        <v>PPL</v>
      </c>
      <c r="G428" s="10" t="str">
        <v>6102084512950002</v>
      </c>
      <c r="H428" s="10" t="str">
        <v>PENDATAAN PRODUSEN</v>
      </c>
      <c r="I428" s="10" t="str">
        <v>SHPED24-LAPANGAN-JULI-PPL-PENDATAAN PRODUSEN</v>
      </c>
      <c r="J428" s="10" t="str">
        <v>Dokumen</v>
      </c>
      <c r="K428" s="66">
        <v>55000</v>
      </c>
      <c r="L428" s="10">
        <v>1</v>
      </c>
      <c r="M428" s="10">
        <v>55000</v>
      </c>
      <c r="N428" s="10">
        <v>0</v>
      </c>
      <c r="O428" s="67">
        <v>45493</v>
      </c>
      <c r="P428" s="10">
        <v>2024</v>
      </c>
      <c r="Q428" s="10">
        <v>7</v>
      </c>
      <c r="R428" s="10" t="str">
        <v>SURVEI-PPL</v>
      </c>
      <c r="S428" s="10" t="str">
        <v>610422040030-2024-7</v>
      </c>
      <c r="T428" s="10" t="str">
        <v>610422040030-2024-7-SURVEI-PPL</v>
      </c>
      <c r="U428" s="10">
        <v>1</v>
      </c>
      <c r="V428" s="10" t="e">
        <f ca="1"/>
        <v>#NAME?</v>
      </c>
      <c r="W428" s="67">
        <v>0</v>
      </c>
      <c r="X428" s="11" t="str">
        <v>Survei Harga Perdesaan (SHPED24) Juli</v>
      </c>
      <c r="Y428" s="11" t="str">
        <v>JONGKAT</v>
      </c>
      <c r="Z428" s="11" t="str">
        <v>JUNGKAT</v>
      </c>
      <c r="AA428" s="67">
        <v>45473</v>
      </c>
      <c r="AB428" s="67">
        <v>45474</v>
      </c>
      <c r="AC428" s="67">
        <v>45504</v>
      </c>
      <c r="AD428" s="67">
        <v>45503</v>
      </c>
      <c r="AE428" s="67">
        <v>45504</v>
      </c>
    </row>
    <row r="429" spans="1:31" ht="12.5">
      <c r="A429" s="10">
        <v>610422100124</v>
      </c>
      <c r="B429" s="10" t="str">
        <v>SHPED24-LAPANGAN-JULI</v>
      </c>
      <c r="C429" s="10">
        <v>0</v>
      </c>
      <c r="D429" s="10">
        <f ca="1"/>
        <v>1</v>
      </c>
      <c r="E429" s="10" t="str">
        <v>Prabowo</v>
      </c>
      <c r="F429" s="10" t="str">
        <v>PPL</v>
      </c>
      <c r="G429" s="10" t="str">
        <v>6171010108790015</v>
      </c>
      <c r="H429" s="10" t="str">
        <v>PENDATAAN PRODUSEN</v>
      </c>
      <c r="I429" s="10" t="str">
        <v>SHPED24-LAPANGAN-JULI-PPL-PENDATAAN PRODUSEN</v>
      </c>
      <c r="J429" s="10" t="str">
        <v>Dokumen</v>
      </c>
      <c r="K429" s="66">
        <v>55000</v>
      </c>
      <c r="L429" s="10">
        <v>3</v>
      </c>
      <c r="M429" s="10">
        <v>165000</v>
      </c>
      <c r="N429" s="10">
        <v>0</v>
      </c>
      <c r="O429" s="67">
        <v>45493</v>
      </c>
      <c r="P429" s="10">
        <v>2024</v>
      </c>
      <c r="Q429" s="10">
        <v>7</v>
      </c>
      <c r="R429" s="10" t="str">
        <v>SURVEI-PPL</v>
      </c>
      <c r="S429" s="10" t="str">
        <v>610422100124-2024-7</v>
      </c>
      <c r="T429" s="10" t="str">
        <v>610422100124-2024-7-SURVEI-PPL</v>
      </c>
      <c r="U429" s="10">
        <v>1</v>
      </c>
      <c r="V429" s="10" t="e">
        <f ca="1"/>
        <v>#NAME?</v>
      </c>
      <c r="W429" s="67">
        <v>0</v>
      </c>
      <c r="X429" s="11" t="str">
        <v>Survei Harga Perdesaan (SHPED24) Juli</v>
      </c>
      <c r="Y429" s="11" t="str">
        <v>PONTIANAK KOTA</v>
      </c>
      <c r="Z429" s="11" t="str">
        <v>SUNGAI BANGKONG</v>
      </c>
      <c r="AA429" s="67">
        <v>45473</v>
      </c>
      <c r="AB429" s="67">
        <v>45474</v>
      </c>
      <c r="AC429" s="67">
        <v>45504</v>
      </c>
      <c r="AD429" s="67">
        <v>45503</v>
      </c>
      <c r="AE429" s="67">
        <v>45504</v>
      </c>
    </row>
    <row r="430" spans="1:31" ht="12.5">
      <c r="A430" s="10">
        <v>610422100244</v>
      </c>
      <c r="B430" s="10" t="str">
        <v>SHPED24-LAPANGAN-JULI</v>
      </c>
      <c r="C430" s="10">
        <v>0</v>
      </c>
      <c r="D430" s="10">
        <f ca="1"/>
        <v>1</v>
      </c>
      <c r="E430" s="10" t="str">
        <v>Sugianto</v>
      </c>
      <c r="F430" s="10" t="str">
        <v>PPL</v>
      </c>
      <c r="G430" s="10" t="str">
        <v>6102171003900002</v>
      </c>
      <c r="H430" s="10" t="str">
        <v>PENDATAAN PRODUSEN</v>
      </c>
      <c r="I430" s="10" t="str">
        <v>SHPED24-LAPANGAN-JULI-PPL-PENDATAAN PRODUSEN</v>
      </c>
      <c r="J430" s="10" t="str">
        <v>Dokumen</v>
      </c>
      <c r="K430" s="66">
        <v>55000</v>
      </c>
      <c r="L430" s="10">
        <v>2</v>
      </c>
      <c r="M430" s="10">
        <v>110000</v>
      </c>
      <c r="N430" s="10">
        <v>0</v>
      </c>
      <c r="O430" s="67">
        <v>45493</v>
      </c>
      <c r="P430" s="10">
        <v>2024</v>
      </c>
      <c r="Q430" s="10">
        <v>7</v>
      </c>
      <c r="R430" s="10" t="str">
        <v>SURVEI-PPL</v>
      </c>
      <c r="S430" s="10" t="str">
        <v>610422100244-2024-7</v>
      </c>
      <c r="T430" s="10" t="str">
        <v>610422100244-2024-7-SURVEI-PPL</v>
      </c>
      <c r="U430" s="10">
        <v>1</v>
      </c>
      <c r="V430" s="10" t="e">
        <f ca="1"/>
        <v>#NAME?</v>
      </c>
      <c r="W430" s="67">
        <v>0</v>
      </c>
      <c r="X430" s="11" t="str">
        <v>Survei Harga Perdesaan (SHPED24) Juli</v>
      </c>
      <c r="Y430" s="11" t="str">
        <v>SADANIANG</v>
      </c>
      <c r="Z430" s="11" t="str">
        <v>BUMBUN</v>
      </c>
      <c r="AA430" s="67">
        <v>45473</v>
      </c>
      <c r="AB430" s="67">
        <v>45474</v>
      </c>
      <c r="AC430" s="67">
        <v>45504</v>
      </c>
      <c r="AD430" s="67">
        <v>45503</v>
      </c>
      <c r="AE430" s="67">
        <v>45504</v>
      </c>
    </row>
    <row r="431" spans="1:31" ht="12.5">
      <c r="A431" s="10">
        <v>610422020016</v>
      </c>
      <c r="B431" s="10" t="str">
        <v>SHPED24-LAPANGAN-JULI</v>
      </c>
      <c r="C431" s="10">
        <v>0</v>
      </c>
      <c r="D431" s="10">
        <f ca="1"/>
        <v>1</v>
      </c>
      <c r="E431" s="10" t="str">
        <v>Abdul Aziz</v>
      </c>
      <c r="F431" s="10" t="str">
        <v>PPL</v>
      </c>
      <c r="G431" s="10" t="str">
        <v>6102061507950006</v>
      </c>
      <c r="H431" s="10" t="str">
        <v>PENDATAAN PRODUSEN</v>
      </c>
      <c r="I431" s="10" t="str">
        <v>SHPED24-LAPANGAN-JULI-PPL-PENDATAAN PRODUSEN</v>
      </c>
      <c r="J431" s="10" t="str">
        <v>Dokumen</v>
      </c>
      <c r="K431" s="66">
        <v>55000</v>
      </c>
      <c r="L431" s="10">
        <v>3</v>
      </c>
      <c r="M431" s="10">
        <v>165000</v>
      </c>
      <c r="N431" s="10">
        <v>0</v>
      </c>
      <c r="O431" s="67">
        <v>45493</v>
      </c>
      <c r="P431" s="10">
        <v>2024</v>
      </c>
      <c r="Q431" s="10">
        <v>7</v>
      </c>
      <c r="R431" s="10" t="str">
        <v>SURVEI-PPL</v>
      </c>
      <c r="S431" s="10" t="str">
        <v>610422020016-2024-7</v>
      </c>
      <c r="T431" s="10" t="str">
        <v>610422020016-2024-7-SURVEI-PPL</v>
      </c>
      <c r="U431" s="10">
        <v>1</v>
      </c>
      <c r="V431" s="10" t="e">
        <f ca="1"/>
        <v>#NAME?</v>
      </c>
      <c r="W431" s="67">
        <v>0</v>
      </c>
      <c r="X431" s="11" t="str">
        <v>Survei Harga Perdesaan (SHPED24) Juli</v>
      </c>
      <c r="Y431" s="11" t="str">
        <v>TOHO</v>
      </c>
      <c r="Z431" s="11" t="str">
        <v>SAMBORA</v>
      </c>
      <c r="AA431" s="67">
        <v>45473</v>
      </c>
      <c r="AB431" s="67">
        <v>45474</v>
      </c>
      <c r="AC431" s="67">
        <v>45504</v>
      </c>
      <c r="AD431" s="67">
        <v>45503</v>
      </c>
      <c r="AE431" s="67">
        <v>45504</v>
      </c>
    </row>
    <row r="432" spans="1:31" ht="12.5">
      <c r="A432" s="10">
        <v>610422100016</v>
      </c>
      <c r="B432" s="10" t="str">
        <v>SHPED24-LAPANGAN-JULI</v>
      </c>
      <c r="C432" s="10">
        <v>0</v>
      </c>
      <c r="D432" s="10">
        <f ca="1"/>
        <v>1</v>
      </c>
      <c r="E432" s="10" t="str">
        <v>Amalia Faisya</v>
      </c>
      <c r="F432" s="10" t="str">
        <v>PPL</v>
      </c>
      <c r="G432" s="10" t="str">
        <v>6102124210010005</v>
      </c>
      <c r="H432" s="10" t="str">
        <v>PENDATAAN PRODUSEN</v>
      </c>
      <c r="I432" s="10" t="str">
        <v>SHPED24-LAPANGAN-JULI-PPL-PENDATAAN PRODUSEN</v>
      </c>
      <c r="J432" s="10" t="str">
        <v>Dokumen</v>
      </c>
      <c r="K432" s="66">
        <v>55000</v>
      </c>
      <c r="L432" s="10">
        <v>1</v>
      </c>
      <c r="M432" s="10">
        <v>55000</v>
      </c>
      <c r="N432" s="10">
        <v>0</v>
      </c>
      <c r="O432" s="67">
        <v>45493</v>
      </c>
      <c r="P432" s="10">
        <v>2024</v>
      </c>
      <c r="Q432" s="10">
        <v>7</v>
      </c>
      <c r="R432" s="10" t="str">
        <v>SURVEI-PPL</v>
      </c>
      <c r="S432" s="10" t="str">
        <v>610422100016-2024-7</v>
      </c>
      <c r="T432" s="10" t="str">
        <v>610422100016-2024-7-SURVEI-PPL</v>
      </c>
      <c r="U432" s="10">
        <v>1</v>
      </c>
      <c r="V432" s="10" t="e">
        <f ca="1"/>
        <v>#NAME?</v>
      </c>
      <c r="W432" s="67">
        <v>0</v>
      </c>
      <c r="X432" s="11" t="str">
        <v>Survei Harga Perdesaan (SHPED24) Juli</v>
      </c>
      <c r="Y432" s="11" t="str">
        <v>SUNGAI KUNYIT</v>
      </c>
      <c r="Z432" s="11" t="str">
        <v>SUNGAI KUNYIT LAUT</v>
      </c>
      <c r="AA432" s="67">
        <v>45473</v>
      </c>
      <c r="AB432" s="67">
        <v>45474</v>
      </c>
      <c r="AC432" s="67">
        <v>45504</v>
      </c>
      <c r="AD432" s="67">
        <v>45503</v>
      </c>
      <c r="AE432" s="67">
        <v>45504</v>
      </c>
    </row>
    <row r="433" spans="1:31" ht="12.5">
      <c r="A433" s="10">
        <v>610422020048</v>
      </c>
      <c r="B433" s="10" t="str">
        <v>SHPED24-LAPANGAN-JULI</v>
      </c>
      <c r="C433" s="10">
        <v>0</v>
      </c>
      <c r="D433" s="10">
        <f ca="1"/>
        <v>1</v>
      </c>
      <c r="E433" s="10" t="str">
        <v>Herri Gustaman</v>
      </c>
      <c r="F433" s="10" t="str">
        <v>PPL</v>
      </c>
      <c r="G433" s="10" t="str">
        <v>6102072503800001</v>
      </c>
      <c r="H433" s="10" t="str">
        <v>PENDATAAN PRODUSEN</v>
      </c>
      <c r="I433" s="10" t="str">
        <v>SHPED24-LAPANGAN-JULI-PPL-PENDATAAN PRODUSEN</v>
      </c>
      <c r="J433" s="10" t="str">
        <v>Dokumen</v>
      </c>
      <c r="K433" s="66">
        <v>55000</v>
      </c>
      <c r="L433" s="10">
        <v>3</v>
      </c>
      <c r="M433" s="10">
        <v>165000</v>
      </c>
      <c r="N433" s="10">
        <v>0</v>
      </c>
      <c r="O433" s="67">
        <v>45493</v>
      </c>
      <c r="P433" s="10">
        <v>2024</v>
      </c>
      <c r="Q433" s="10">
        <v>7</v>
      </c>
      <c r="R433" s="10" t="str">
        <v>SURVEI-PPL</v>
      </c>
      <c r="S433" s="10" t="str">
        <v>610422020048-2024-7</v>
      </c>
      <c r="T433" s="10" t="str">
        <v>610422020048-2024-7-SURVEI-PPL</v>
      </c>
      <c r="U433" s="10">
        <v>1</v>
      </c>
      <c r="V433" s="10" t="e">
        <f ca="1"/>
        <v>#NAME?</v>
      </c>
      <c r="W433" s="67">
        <v>0</v>
      </c>
      <c r="X433" s="11" t="str">
        <v>Survei Harga Perdesaan (SHPED24) Juli</v>
      </c>
      <c r="Y433" s="11" t="str">
        <v>MEMPAWAH TIMUR</v>
      </c>
      <c r="Z433" s="11" t="str">
        <v>SEJEGI</v>
      </c>
      <c r="AA433" s="67">
        <v>45473</v>
      </c>
      <c r="AB433" s="67">
        <v>45474</v>
      </c>
      <c r="AC433" s="67">
        <v>45504</v>
      </c>
      <c r="AD433" s="67">
        <v>45503</v>
      </c>
      <c r="AE433" s="67">
        <v>45504</v>
      </c>
    </row>
    <row r="434" spans="1:31" ht="12.5">
      <c r="A434" s="10">
        <v>610422040029</v>
      </c>
      <c r="B434" s="10" t="str">
        <v>SHPED24-LAPANGAN-JULI</v>
      </c>
      <c r="C434" s="10">
        <v>0</v>
      </c>
      <c r="D434" s="10">
        <f ca="1"/>
        <v>1</v>
      </c>
      <c r="E434" s="10" t="str">
        <v>Zaini</v>
      </c>
      <c r="F434" s="10" t="str">
        <v>PPL</v>
      </c>
      <c r="G434" s="10" t="str">
        <v>6102010607870002</v>
      </c>
      <c r="H434" s="10" t="str">
        <v>PENDATAAN PRODUSEN</v>
      </c>
      <c r="I434" s="10" t="str">
        <v>SHPED24-LAPANGAN-JULI-PPL-PENDATAAN PRODUSEN</v>
      </c>
      <c r="J434" s="10" t="str">
        <v>Dokumen</v>
      </c>
      <c r="K434" s="66">
        <v>55000</v>
      </c>
      <c r="L434" s="10">
        <v>4</v>
      </c>
      <c r="M434" s="10">
        <v>220000</v>
      </c>
      <c r="N434" s="10">
        <v>0</v>
      </c>
      <c r="O434" s="67">
        <v>45493</v>
      </c>
      <c r="P434" s="10">
        <v>2024</v>
      </c>
      <c r="Q434" s="10">
        <v>7</v>
      </c>
      <c r="R434" s="10" t="str">
        <v>SURVEI-PPL</v>
      </c>
      <c r="S434" s="10" t="str">
        <v>610422040029-2024-7</v>
      </c>
      <c r="T434" s="10" t="str">
        <v>610422040029-2024-7-SURVEI-PPL</v>
      </c>
      <c r="U434" s="10">
        <v>1</v>
      </c>
      <c r="V434" s="10" t="e">
        <f ca="1"/>
        <v>#NAME?</v>
      </c>
      <c r="W434" s="67">
        <v>0</v>
      </c>
      <c r="X434" s="11" t="str">
        <v>Survei Harga Perdesaan (SHPED24) Juli</v>
      </c>
      <c r="Y434" s="11" t="str">
        <v>MEMPAWAH HILIR</v>
      </c>
      <c r="Z434" s="11" t="str">
        <v>TENGAH</v>
      </c>
      <c r="AA434" s="67">
        <v>45473</v>
      </c>
      <c r="AB434" s="67">
        <v>45474</v>
      </c>
      <c r="AC434" s="67">
        <v>45504</v>
      </c>
      <c r="AD434" s="67">
        <v>45503</v>
      </c>
      <c r="AE434" s="67">
        <v>45504</v>
      </c>
    </row>
    <row r="435" spans="1:31" ht="12.5">
      <c r="A435" s="10">
        <v>610422050001</v>
      </c>
      <c r="B435" s="10" t="str">
        <v>SHPED24-LAPANGAN-JULI</v>
      </c>
      <c r="C435" s="10">
        <v>0</v>
      </c>
      <c r="D435" s="10">
        <f ca="1"/>
        <v>1</v>
      </c>
      <c r="E435" s="10" t="str">
        <v>Evi Juniarty</v>
      </c>
      <c r="F435" s="10" t="str">
        <v>PPL</v>
      </c>
      <c r="G435" s="10" t="str">
        <v>6102165101840001</v>
      </c>
      <c r="H435" s="10" t="str">
        <v>PENDATAAN PRODUSEN</v>
      </c>
      <c r="I435" s="10" t="str">
        <v>SHPED24-LAPANGAN-JULI-PPL-PENDATAAN PRODUSEN</v>
      </c>
      <c r="J435" s="10" t="str">
        <v>Dokumen</v>
      </c>
      <c r="K435" s="66">
        <v>55000</v>
      </c>
      <c r="L435" s="10">
        <v>1</v>
      </c>
      <c r="M435" s="10">
        <v>55000</v>
      </c>
      <c r="N435" s="10">
        <v>0</v>
      </c>
      <c r="O435" s="67">
        <v>45493</v>
      </c>
      <c r="P435" s="10">
        <v>2024</v>
      </c>
      <c r="Q435" s="10">
        <v>7</v>
      </c>
      <c r="R435" s="10" t="str">
        <v>SURVEI-PPL</v>
      </c>
      <c r="S435" s="10" t="str">
        <v>610422050001-2024-7</v>
      </c>
      <c r="T435" s="10" t="str">
        <v>610422050001-2024-7-SURVEI-PPL</v>
      </c>
      <c r="U435" s="10">
        <v>1</v>
      </c>
      <c r="V435" s="10" t="e">
        <f ca="1"/>
        <v>#NAME?</v>
      </c>
      <c r="W435" s="67">
        <v>0</v>
      </c>
      <c r="X435" s="11" t="str">
        <v>Survei Harga Perdesaan (SHPED24) Juli</v>
      </c>
      <c r="Y435" s="11" t="str">
        <v>ANJONGAN</v>
      </c>
      <c r="Z435" s="11" t="str">
        <v>ANJUNGAN MELANCAR</v>
      </c>
      <c r="AA435" s="67">
        <v>45473</v>
      </c>
      <c r="AB435" s="67">
        <v>45474</v>
      </c>
      <c r="AC435" s="67">
        <v>45504</v>
      </c>
      <c r="AD435" s="67">
        <v>45503</v>
      </c>
      <c r="AE435" s="67">
        <v>45504</v>
      </c>
    </row>
    <row r="436" spans="1:31" ht="12.5">
      <c r="A436" s="10">
        <v>610422100124</v>
      </c>
      <c r="B436" s="10" t="str">
        <v>HPBG24-LAPANGAN-JULI</v>
      </c>
      <c r="C436" s="10">
        <v>0</v>
      </c>
      <c r="D436" s="10">
        <f ca="1"/>
        <v>1</v>
      </c>
      <c r="E436" s="10" t="str">
        <v>Prabowo</v>
      </c>
      <c r="F436" s="10" t="str">
        <v>PPL</v>
      </c>
      <c r="G436" s="10" t="str">
        <v>6171010108790015</v>
      </c>
      <c r="H436" s="10" t="str">
        <v>PENDATAAN</v>
      </c>
      <c r="I436" s="10" t="str">
        <v>HPBG24-LAPANGAN-JULI-PPL-PENDATAAN</v>
      </c>
      <c r="J436" s="10" t="str">
        <v>Dokumen</v>
      </c>
      <c r="K436" s="66">
        <v>55000</v>
      </c>
      <c r="L436" s="10">
        <v>2</v>
      </c>
      <c r="M436" s="10">
        <v>110000</v>
      </c>
      <c r="N436" s="10">
        <v>0</v>
      </c>
      <c r="O436" s="67">
        <v>45493</v>
      </c>
      <c r="P436" s="10">
        <v>2024</v>
      </c>
      <c r="Q436" s="10">
        <v>7</v>
      </c>
      <c r="R436" s="10" t="str">
        <v>SURVEI-PPL</v>
      </c>
      <c r="S436" s="10" t="str">
        <v>610422100124-2024-7</v>
      </c>
      <c r="T436" s="10" t="str">
        <v>610422100124-2024-7-SURVEI-PPL</v>
      </c>
      <c r="U436" s="10">
        <v>1</v>
      </c>
      <c r="V436" s="10" t="e">
        <f ca="1"/>
        <v>#NAME?</v>
      </c>
      <c r="W436" s="67">
        <v>0</v>
      </c>
      <c r="X436" s="11" t="str">
        <v>Survei Harga Produsen Beras di Penggilingan 2024 (HPBG24) Juli</v>
      </c>
      <c r="Y436" s="11" t="str">
        <v>PONTIANAK KOTA</v>
      </c>
      <c r="Z436" s="11" t="str">
        <v>SUNGAI BANGKONG</v>
      </c>
      <c r="AA436" s="67">
        <v>45473</v>
      </c>
      <c r="AB436" s="67">
        <v>45474</v>
      </c>
      <c r="AC436" s="67">
        <v>45504</v>
      </c>
      <c r="AD436" s="67">
        <v>45503</v>
      </c>
      <c r="AE436" s="67">
        <v>45504</v>
      </c>
    </row>
    <row r="437" spans="1:31" ht="12.5">
      <c r="A437" s="10">
        <v>610422100244</v>
      </c>
      <c r="B437" s="10" t="str">
        <v>HPBG24-LAPANGAN-JULI</v>
      </c>
      <c r="C437" s="10">
        <v>0</v>
      </c>
      <c r="D437" s="10">
        <f ca="1"/>
        <v>1</v>
      </c>
      <c r="E437" s="10" t="str">
        <v>Sugianto</v>
      </c>
      <c r="F437" s="10" t="str">
        <v>PPL</v>
      </c>
      <c r="G437" s="10" t="str">
        <v>6102171003900002</v>
      </c>
      <c r="H437" s="10" t="str">
        <v>PENDATAAN</v>
      </c>
      <c r="I437" s="10" t="str">
        <v>HPBG24-LAPANGAN-JULI-PPL-PENDATAAN</v>
      </c>
      <c r="J437" s="10" t="str">
        <v>Dokumen</v>
      </c>
      <c r="K437" s="66">
        <v>55000</v>
      </c>
      <c r="L437" s="10">
        <v>2</v>
      </c>
      <c r="M437" s="10">
        <v>110000</v>
      </c>
      <c r="N437" s="10">
        <v>0</v>
      </c>
      <c r="O437" s="67">
        <v>45493</v>
      </c>
      <c r="P437" s="10">
        <v>2024</v>
      </c>
      <c r="Q437" s="10">
        <v>7</v>
      </c>
      <c r="R437" s="10" t="str">
        <v>SURVEI-PPL</v>
      </c>
      <c r="S437" s="10" t="str">
        <v>610422100244-2024-7</v>
      </c>
      <c r="T437" s="10" t="str">
        <v>610422100244-2024-7-SURVEI-PPL</v>
      </c>
      <c r="U437" s="10">
        <v>1</v>
      </c>
      <c r="V437" s="10" t="e">
        <f ca="1"/>
        <v>#NAME?</v>
      </c>
      <c r="W437" s="67">
        <v>0</v>
      </c>
      <c r="X437" s="11" t="str">
        <v>Survei Harga Produsen Beras di Penggilingan 2024 (HPBG24) Juli</v>
      </c>
      <c r="Y437" s="11" t="str">
        <v>SADANIANG</v>
      </c>
      <c r="Z437" s="11" t="str">
        <v>BUMBUN</v>
      </c>
      <c r="AA437" s="67">
        <v>45473</v>
      </c>
      <c r="AB437" s="67">
        <v>45474</v>
      </c>
      <c r="AC437" s="67">
        <v>45504</v>
      </c>
      <c r="AD437" s="67">
        <v>45503</v>
      </c>
      <c r="AE437" s="67">
        <v>45504</v>
      </c>
    </row>
    <row r="438" spans="1:31" ht="12.5">
      <c r="A438" s="10">
        <v>610422100165</v>
      </c>
      <c r="B438" s="10" t="str">
        <v>HPBG24-LAPANGAN-JULI</v>
      </c>
      <c r="C438" s="10">
        <v>0</v>
      </c>
      <c r="D438" s="10">
        <f ca="1"/>
        <v>1</v>
      </c>
      <c r="E438" s="10" t="str">
        <v>Yanti</v>
      </c>
      <c r="F438" s="10" t="str">
        <v>PPL</v>
      </c>
      <c r="G438" s="10" t="str">
        <v>6102074803980002</v>
      </c>
      <c r="H438" s="10" t="str">
        <v>PENDATAAN</v>
      </c>
      <c r="I438" s="10" t="str">
        <v>HPBG24-LAPANGAN-JULI-PPL-PENDATAAN</v>
      </c>
      <c r="J438" s="10" t="str">
        <v>Dokumen</v>
      </c>
      <c r="K438" s="66">
        <v>55000</v>
      </c>
      <c r="L438" s="10">
        <v>2</v>
      </c>
      <c r="M438" s="10">
        <v>110000</v>
      </c>
      <c r="N438" s="10">
        <v>0</v>
      </c>
      <c r="O438" s="67">
        <v>45493</v>
      </c>
      <c r="P438" s="10">
        <v>2024</v>
      </c>
      <c r="Q438" s="10">
        <v>7</v>
      </c>
      <c r="R438" s="10" t="str">
        <v>SURVEI-PPL</v>
      </c>
      <c r="S438" s="10" t="str">
        <v>610422100165-2024-7</v>
      </c>
      <c r="T438" s="10" t="str">
        <v>610422100165-2024-7-SURVEI-PPL</v>
      </c>
      <c r="U438" s="10">
        <v>1</v>
      </c>
      <c r="V438" s="10" t="e">
        <f ca="1"/>
        <v>#NAME?</v>
      </c>
      <c r="W438" s="67">
        <v>0</v>
      </c>
      <c r="X438" s="11" t="str">
        <v>Survei Harga Produsen Beras di Penggilingan 2024 (HPBG24) Juli</v>
      </c>
      <c r="Y438" s="11" t="str">
        <v>SUNGAI PINYUH</v>
      </c>
      <c r="Z438" s="11" t="str">
        <v>SUNGAI BAKAU BESAR LAUT</v>
      </c>
      <c r="AA438" s="67">
        <v>45473</v>
      </c>
      <c r="AB438" s="67">
        <v>45474</v>
      </c>
      <c r="AC438" s="67">
        <v>45504</v>
      </c>
      <c r="AD438" s="67">
        <v>45503</v>
      </c>
      <c r="AE438" s="67">
        <v>45504</v>
      </c>
    </row>
    <row r="439" spans="1:31" ht="12.5">
      <c r="A439" s="10">
        <v>610422100165</v>
      </c>
      <c r="B439" s="10" t="str">
        <v>HPJ24-LAPANGAN-JULI</v>
      </c>
      <c r="C439" s="10">
        <v>0</v>
      </c>
      <c r="D439" s="10">
        <f ca="1"/>
        <v>1</v>
      </c>
      <c r="E439" s="10" t="str">
        <v>Yanti</v>
      </c>
      <c r="F439" s="10" t="str">
        <v>PPL</v>
      </c>
      <c r="G439" s="10" t="str">
        <v>6102074803980002</v>
      </c>
      <c r="H439" s="10" t="str">
        <v>PENDATAAN</v>
      </c>
      <c r="I439" s="10" t="str">
        <v>HPJ24-LAPANGAN-JULI-PPL-PENDATAAN</v>
      </c>
      <c r="J439" s="10" t="str">
        <v>Dokumen</v>
      </c>
      <c r="K439" s="66">
        <v>50000</v>
      </c>
      <c r="L439" s="10">
        <v>1</v>
      </c>
      <c r="M439" s="10">
        <v>50000</v>
      </c>
      <c r="N439" s="10">
        <v>0</v>
      </c>
      <c r="O439" s="67">
        <v>45493</v>
      </c>
      <c r="P439" s="10">
        <v>2024</v>
      </c>
      <c r="Q439" s="10">
        <v>7</v>
      </c>
      <c r="R439" s="10" t="str">
        <v>SURVEI-PPL</v>
      </c>
      <c r="S439" s="10" t="str">
        <v>610422100165-2024-7</v>
      </c>
      <c r="T439" s="10" t="str">
        <v>610422100165-2024-7-SURVEI-PPL</v>
      </c>
      <c r="U439" s="10">
        <v>1</v>
      </c>
      <c r="V439" s="10" t="e">
        <f ca="1"/>
        <v>#NAME?</v>
      </c>
      <c r="W439" s="67">
        <v>0</v>
      </c>
      <c r="X439" s="11" t="str">
        <v>Survei Harga Produsen Jasa (HPJ24) Juli</v>
      </c>
      <c r="Y439" s="11" t="str">
        <v>SUNGAI PINYUH</v>
      </c>
      <c r="Z439" s="11" t="str">
        <v>SUNGAI BAKAU BESAR LAUT</v>
      </c>
      <c r="AA439" s="67">
        <v>45473</v>
      </c>
      <c r="AB439" s="67">
        <v>45474</v>
      </c>
      <c r="AC439" s="67">
        <v>45504</v>
      </c>
      <c r="AD439" s="67">
        <v>45503</v>
      </c>
      <c r="AE439" s="67">
        <v>45504</v>
      </c>
    </row>
    <row r="440" spans="1:31" ht="12.5">
      <c r="A440" s="10">
        <v>610422040029</v>
      </c>
      <c r="B440" s="10" t="str">
        <v>VHTS24-LAPANGAN-JULI</v>
      </c>
      <c r="C440" s="10">
        <v>0</v>
      </c>
      <c r="D440" s="10">
        <f ca="1"/>
        <v>1</v>
      </c>
      <c r="E440" s="10" t="str">
        <v>Zaini</v>
      </c>
      <c r="F440" s="10" t="str">
        <v>PPL</v>
      </c>
      <c r="G440" s="10" t="str">
        <v>6102010607870002</v>
      </c>
      <c r="H440" s="10" t="str">
        <v>PENDATAAN</v>
      </c>
      <c r="I440" s="10" t="str">
        <v>VHTS24-LAPANGAN-JULI-PPL-PENDATAAN</v>
      </c>
      <c r="J440" s="10" t="str">
        <v>Dokumen</v>
      </c>
      <c r="K440" s="66">
        <v>55000</v>
      </c>
      <c r="L440" s="10">
        <v>3</v>
      </c>
      <c r="M440" s="10">
        <v>165000</v>
      </c>
      <c r="N440" s="10">
        <v>0</v>
      </c>
      <c r="O440" s="67">
        <v>45493</v>
      </c>
      <c r="P440" s="10">
        <v>2024</v>
      </c>
      <c r="Q440" s="10">
        <v>7</v>
      </c>
      <c r="R440" s="10" t="str">
        <v>SURVEI-PPL</v>
      </c>
      <c r="S440" s="10" t="str">
        <v>610422040029-2024-7</v>
      </c>
      <c r="T440" s="10" t="str">
        <v>610422040029-2024-7-SURVEI-PPL</v>
      </c>
      <c r="U440" s="10">
        <v>1</v>
      </c>
      <c r="V440" s="10" t="e">
        <f ca="1"/>
        <v>#NAME?</v>
      </c>
      <c r="W440" s="67">
        <v>0</v>
      </c>
      <c r="X440" s="11" t="str">
        <v>Survei Hotel dan Jasa Akomodasi Bulanan (VHTS) 2024 Juli</v>
      </c>
      <c r="Y440" s="11" t="str">
        <v>MEMPAWAH HILIR</v>
      </c>
      <c r="Z440" s="11" t="str">
        <v>TENGAH</v>
      </c>
      <c r="AA440" s="67">
        <v>45473</v>
      </c>
      <c r="AB440" s="67">
        <v>45474</v>
      </c>
      <c r="AC440" s="67">
        <v>45504</v>
      </c>
      <c r="AD440" s="67">
        <v>45503</v>
      </c>
      <c r="AE440" s="67">
        <v>45504</v>
      </c>
    </row>
    <row r="441" spans="1:31" ht="12.5">
      <c r="A441" s="10">
        <v>610422100165</v>
      </c>
      <c r="B441" s="10" t="str">
        <v>VHTS24-LAPANGAN-JULI</v>
      </c>
      <c r="C441" s="10">
        <v>0</v>
      </c>
      <c r="D441" s="10">
        <f ca="1"/>
        <v>1</v>
      </c>
      <c r="E441" s="10" t="str">
        <v>Yanti</v>
      </c>
      <c r="F441" s="10" t="str">
        <v>PPL</v>
      </c>
      <c r="G441" s="10" t="str">
        <v>6102074803980002</v>
      </c>
      <c r="H441" s="10" t="str">
        <v>PENDATAAN</v>
      </c>
      <c r="I441" s="10" t="str">
        <v>VHTS24-LAPANGAN-JULI-PPL-PENDATAAN</v>
      </c>
      <c r="J441" s="10" t="str">
        <v>Dokumen</v>
      </c>
      <c r="K441" s="66">
        <v>55000</v>
      </c>
      <c r="L441" s="10">
        <v>3</v>
      </c>
      <c r="M441" s="10">
        <v>165000</v>
      </c>
      <c r="N441" s="10">
        <v>0</v>
      </c>
      <c r="O441" s="67">
        <v>45493</v>
      </c>
      <c r="P441" s="10">
        <v>2024</v>
      </c>
      <c r="Q441" s="10">
        <v>7</v>
      </c>
      <c r="R441" s="10" t="str">
        <v>SURVEI-PPL</v>
      </c>
      <c r="S441" s="10" t="str">
        <v>610422100165-2024-7</v>
      </c>
      <c r="T441" s="10" t="str">
        <v>610422100165-2024-7-SURVEI-PPL</v>
      </c>
      <c r="U441" s="10">
        <v>1</v>
      </c>
      <c r="V441" s="10" t="e">
        <f ca="1"/>
        <v>#NAME?</v>
      </c>
      <c r="W441" s="67">
        <v>0</v>
      </c>
      <c r="X441" s="11" t="str">
        <v>Survei Hotel dan Jasa Akomodasi Bulanan (VHTS) 2024 Juli</v>
      </c>
      <c r="Y441" s="11" t="str">
        <v>SUNGAI PINYUH</v>
      </c>
      <c r="Z441" s="11" t="str">
        <v>SUNGAI BAKAU BESAR LAUT</v>
      </c>
      <c r="AA441" s="67">
        <v>45473</v>
      </c>
      <c r="AB441" s="67">
        <v>45474</v>
      </c>
      <c r="AC441" s="67">
        <v>45504</v>
      </c>
      <c r="AD441" s="67">
        <v>45503</v>
      </c>
      <c r="AE441" s="67">
        <v>45504</v>
      </c>
    </row>
    <row r="442" spans="1:31" ht="12.5">
      <c r="A442" s="10">
        <v>610422050001</v>
      </c>
      <c r="B442" s="10" t="str">
        <v>VHTS24-LAPANGAN-JULI</v>
      </c>
      <c r="C442" s="10">
        <v>0</v>
      </c>
      <c r="D442" s="10">
        <f ca="1"/>
        <v>1</v>
      </c>
      <c r="E442" s="10" t="str">
        <v>Evi Juniarty</v>
      </c>
      <c r="F442" s="10" t="str">
        <v>PPL</v>
      </c>
      <c r="G442" s="10" t="str">
        <v>6102165101840001</v>
      </c>
      <c r="H442" s="10" t="str">
        <v>PENDATAAN</v>
      </c>
      <c r="I442" s="10" t="str">
        <v>VHTS24-LAPANGAN-JULI-PPL-PENDATAAN</v>
      </c>
      <c r="J442" s="10" t="str">
        <v>Dokumen</v>
      </c>
      <c r="K442" s="66">
        <v>55000</v>
      </c>
      <c r="L442" s="10">
        <v>3</v>
      </c>
      <c r="M442" s="10">
        <v>165000</v>
      </c>
      <c r="N442" s="10">
        <v>0</v>
      </c>
      <c r="O442" s="67">
        <v>45493</v>
      </c>
      <c r="P442" s="10">
        <v>2024</v>
      </c>
      <c r="Q442" s="10">
        <v>7</v>
      </c>
      <c r="R442" s="10" t="str">
        <v>SURVEI-PPL</v>
      </c>
      <c r="S442" s="10" t="str">
        <v>610422050001-2024-7</v>
      </c>
      <c r="T442" s="10" t="str">
        <v>610422050001-2024-7-SURVEI-PPL</v>
      </c>
      <c r="U442" s="10">
        <v>1</v>
      </c>
      <c r="V442" s="10" t="e">
        <f ca="1"/>
        <v>#NAME?</v>
      </c>
      <c r="W442" s="67">
        <v>0</v>
      </c>
      <c r="X442" s="11" t="str">
        <v>Survei Hotel dan Jasa Akomodasi Bulanan (VHTS) 2024 Juli</v>
      </c>
      <c r="Y442" s="11" t="str">
        <v>ANJONGAN</v>
      </c>
      <c r="Z442" s="11" t="str">
        <v>ANJUNGAN MELANCAR</v>
      </c>
      <c r="AA442" s="67">
        <v>45473</v>
      </c>
      <c r="AB442" s="67">
        <v>45474</v>
      </c>
      <c r="AC442" s="67">
        <v>45504</v>
      </c>
      <c r="AD442" s="67">
        <v>45503</v>
      </c>
      <c r="AE442" s="67">
        <v>45504</v>
      </c>
    </row>
    <row r="443" spans="1:31" ht="12.5">
      <c r="A443" s="10">
        <v>610422040056</v>
      </c>
      <c r="B443" s="10" t="str">
        <v>VHTS24-LAPANGAN-JULI</v>
      </c>
      <c r="C443" s="10">
        <v>0</v>
      </c>
      <c r="D443" s="10">
        <f ca="1"/>
        <v>1</v>
      </c>
      <c r="E443" s="10" t="str">
        <v>Wandi Syafari</v>
      </c>
      <c r="F443" s="10" t="str">
        <v>PPL</v>
      </c>
      <c r="G443" s="10" t="str">
        <v>6102010802760001</v>
      </c>
      <c r="H443" s="10" t="str">
        <v>PENDATAAN</v>
      </c>
      <c r="I443" s="10" t="str">
        <v>VHTS24-LAPANGAN-JULI-PPL-PENDATAAN</v>
      </c>
      <c r="J443" s="10" t="str">
        <v>Dokumen</v>
      </c>
      <c r="K443" s="66">
        <v>55000</v>
      </c>
      <c r="L443" s="10">
        <v>2</v>
      </c>
      <c r="M443" s="10">
        <v>110000</v>
      </c>
      <c r="N443" s="10">
        <v>0</v>
      </c>
      <c r="O443" s="67">
        <v>45493</v>
      </c>
      <c r="P443" s="10">
        <v>2024</v>
      </c>
      <c r="Q443" s="10">
        <v>7</v>
      </c>
      <c r="R443" s="10" t="str">
        <v>SURVEI-PPL</v>
      </c>
      <c r="S443" s="10" t="str">
        <v>610422040056-2024-7</v>
      </c>
      <c r="T443" s="10" t="str">
        <v>610422040056-2024-7-SURVEI-PPL</v>
      </c>
      <c r="U443" s="10">
        <v>1</v>
      </c>
      <c r="V443" s="10" t="e">
        <f ca="1"/>
        <v>#NAME?</v>
      </c>
      <c r="W443" s="67">
        <v>0</v>
      </c>
      <c r="X443" s="11" t="str">
        <v>Survei Hotel dan Jasa Akomodasi Bulanan (VHTS) 2024 Juli</v>
      </c>
      <c r="Y443" s="11" t="str">
        <v>MEMPAWAH HILIR</v>
      </c>
      <c r="Z443" s="11" t="str">
        <v>TERUSAN</v>
      </c>
      <c r="AA443" s="67">
        <v>45473</v>
      </c>
      <c r="AB443" s="67">
        <v>45474</v>
      </c>
      <c r="AC443" s="67">
        <v>45504</v>
      </c>
      <c r="AD443" s="67">
        <v>45503</v>
      </c>
      <c r="AE443" s="67">
        <v>45504</v>
      </c>
    </row>
    <row r="444" spans="1:31" ht="12.5">
      <c r="A444" s="10">
        <v>610422020016</v>
      </c>
      <c r="B444" s="10" t="str">
        <v>KSA24-LAPANGAN-JULI</v>
      </c>
      <c r="C444" s="10">
        <v>0</v>
      </c>
      <c r="D444" s="10">
        <f ca="1"/>
        <v>1</v>
      </c>
      <c r="E444" s="10" t="str">
        <v>Abdul Aziz</v>
      </c>
      <c r="F444" s="10" t="str">
        <v>PPL</v>
      </c>
      <c r="G444" s="10" t="str">
        <v>6102061507950006</v>
      </c>
      <c r="H444" s="10" t="str">
        <v>KSA PADI</v>
      </c>
      <c r="I444" s="10" t="str">
        <v>KSA24-LAPANGAN-JULI-PPL-KSA PADI</v>
      </c>
      <c r="J444" s="10" t="str">
        <v>Segmen</v>
      </c>
      <c r="K444" s="66">
        <v>116000</v>
      </c>
      <c r="L444" s="10">
        <v>3</v>
      </c>
      <c r="M444" s="10">
        <v>348000</v>
      </c>
      <c r="N444" s="10">
        <v>0</v>
      </c>
      <c r="O444" s="67">
        <v>45504</v>
      </c>
      <c r="P444" s="10">
        <v>2024</v>
      </c>
      <c r="Q444" s="10">
        <v>7</v>
      </c>
      <c r="R444" s="10" t="str">
        <v>SURVEI-PPL</v>
      </c>
      <c r="S444" s="10" t="str">
        <v>610422020016-2024-7</v>
      </c>
      <c r="T444" s="10" t="str">
        <v>610422020016-2024-7-SURVEI-PPL</v>
      </c>
      <c r="U444" s="10">
        <v>1</v>
      </c>
      <c r="V444" s="10" t="e">
        <f ca="1"/>
        <v>#NAME?</v>
      </c>
      <c r="W444" s="67">
        <v>0</v>
      </c>
      <c r="X444" s="11" t="str">
        <v>Kerangka Sampel Area (KSA) 2024 Juli</v>
      </c>
      <c r="Y444" s="11" t="str">
        <v>TOHO</v>
      </c>
      <c r="Z444" s="11" t="str">
        <v>SAMBORA</v>
      </c>
      <c r="AA444" s="67">
        <v>45473</v>
      </c>
      <c r="AB444" s="67">
        <v>45474</v>
      </c>
      <c r="AC444" s="67">
        <v>45504</v>
      </c>
      <c r="AD444" s="67">
        <v>45503</v>
      </c>
      <c r="AE444" s="67">
        <v>45504</v>
      </c>
    </row>
    <row r="445" spans="1:31" ht="12.5">
      <c r="A445" s="10">
        <v>610422040012</v>
      </c>
      <c r="B445" s="10" t="str">
        <v>KSA24-LAPANGAN-JULI</v>
      </c>
      <c r="C445" s="10">
        <v>0</v>
      </c>
      <c r="D445" s="10">
        <f ca="1"/>
        <v>1</v>
      </c>
      <c r="E445" s="10" t="str">
        <v>Misdi</v>
      </c>
      <c r="F445" s="10" t="str">
        <v>PPL</v>
      </c>
      <c r="G445" s="10" t="str">
        <v>6102070706940001</v>
      </c>
      <c r="H445" s="10" t="str">
        <v>KSA PADI</v>
      </c>
      <c r="I445" s="10" t="str">
        <v>KSA24-LAPANGAN-JULI-PPL-KSA PADI</v>
      </c>
      <c r="J445" s="10" t="str">
        <v>Segmen</v>
      </c>
      <c r="K445" s="66">
        <v>116000</v>
      </c>
      <c r="L445" s="10">
        <v>3</v>
      </c>
      <c r="M445" s="10">
        <v>348000</v>
      </c>
      <c r="N445" s="10">
        <v>0</v>
      </c>
      <c r="O445" s="67">
        <v>45504</v>
      </c>
      <c r="P445" s="10">
        <v>2024</v>
      </c>
      <c r="Q445" s="10">
        <v>7</v>
      </c>
      <c r="R445" s="10" t="str">
        <v>SURVEI-PPL</v>
      </c>
      <c r="S445" s="10" t="str">
        <v>610422040012-2024-7</v>
      </c>
      <c r="T445" s="10" t="str">
        <v>610422040012-2024-7-SURVEI-PPL</v>
      </c>
      <c r="U445" s="10">
        <v>1</v>
      </c>
      <c r="V445" s="10" t="e">
        <f ca="1"/>
        <v>#NAME?</v>
      </c>
      <c r="W445" s="67">
        <v>0</v>
      </c>
      <c r="X445" s="11" t="str">
        <v>Kerangka Sampel Area (KSA) 2024 Juli</v>
      </c>
      <c r="Y445" s="11" t="str">
        <v>SUNGAI PINYUH</v>
      </c>
      <c r="Z445" s="11" t="str">
        <v>SUNGAI BAKAU BESAR DARAT</v>
      </c>
      <c r="AA445" s="67">
        <v>45473</v>
      </c>
      <c r="AB445" s="67">
        <v>45474</v>
      </c>
      <c r="AC445" s="67">
        <v>45504</v>
      </c>
      <c r="AD445" s="67">
        <v>45503</v>
      </c>
      <c r="AE445" s="67">
        <v>45504</v>
      </c>
    </row>
    <row r="446" spans="1:31" ht="12.5">
      <c r="A446" s="10">
        <v>610422040061</v>
      </c>
      <c r="B446" s="10" t="str">
        <v>KSA24-LAPANGAN-JULI</v>
      </c>
      <c r="C446" s="10">
        <v>0</v>
      </c>
      <c r="D446" s="10">
        <f ca="1"/>
        <v>1</v>
      </c>
      <c r="E446" s="10" t="str">
        <v>Sabani</v>
      </c>
      <c r="F446" s="10" t="str">
        <v>PPL</v>
      </c>
      <c r="G446" s="10" t="str">
        <v>6102153112860003</v>
      </c>
      <c r="H446" s="10" t="str">
        <v>KSA PADI</v>
      </c>
      <c r="I446" s="10" t="str">
        <v>KSA24-LAPANGAN-JULI-PPL-KSA PADI</v>
      </c>
      <c r="J446" s="10" t="str">
        <v>Segmen</v>
      </c>
      <c r="K446" s="66">
        <v>116000</v>
      </c>
      <c r="L446" s="10">
        <v>3</v>
      </c>
      <c r="M446" s="10">
        <v>348000</v>
      </c>
      <c r="N446" s="10">
        <v>0</v>
      </c>
      <c r="O446" s="67">
        <v>45504</v>
      </c>
      <c r="P446" s="10">
        <v>2024</v>
      </c>
      <c r="Q446" s="10">
        <v>7</v>
      </c>
      <c r="R446" s="10" t="str">
        <v>SURVEI-PPL</v>
      </c>
      <c r="S446" s="10" t="str">
        <v>610422040061-2024-7</v>
      </c>
      <c r="T446" s="10" t="str">
        <v>610422040061-2024-7-SURVEI-PPL</v>
      </c>
      <c r="U446" s="10">
        <v>1</v>
      </c>
      <c r="V446" s="10" t="e">
        <f ca="1"/>
        <v>#NAME?</v>
      </c>
      <c r="W446" s="67">
        <v>0</v>
      </c>
      <c r="X446" s="11" t="str">
        <v>Kerangka Sampel Area (KSA) 2024 Juli</v>
      </c>
      <c r="Y446" s="11" t="str">
        <v>SEGEDONG</v>
      </c>
      <c r="Z446" s="11" t="str">
        <v>PENITI BESAR</v>
      </c>
      <c r="AA446" s="67">
        <v>45473</v>
      </c>
      <c r="AB446" s="67">
        <v>45474</v>
      </c>
      <c r="AC446" s="67">
        <v>45504</v>
      </c>
      <c r="AD446" s="67">
        <v>45503</v>
      </c>
      <c r="AE446" s="67">
        <v>45504</v>
      </c>
    </row>
    <row r="447" spans="1:31" ht="12.5">
      <c r="A447" s="10">
        <v>610422100131</v>
      </c>
      <c r="B447" s="10" t="str">
        <v>KSA24-LAPANGAN-JULI</v>
      </c>
      <c r="C447" s="10">
        <v>0</v>
      </c>
      <c r="D447" s="10">
        <f ca="1"/>
        <v>1</v>
      </c>
      <c r="E447" s="10" t="str">
        <v>Syamsul</v>
      </c>
      <c r="F447" s="10" t="str">
        <v>PPL</v>
      </c>
      <c r="G447" s="10" t="str">
        <v>6102150907860003</v>
      </c>
      <c r="H447" s="10" t="str">
        <v>KSA PADI</v>
      </c>
      <c r="I447" s="10" t="str">
        <v>KSA24-LAPANGAN-JULI-PPL-KSA PADI</v>
      </c>
      <c r="J447" s="10" t="str">
        <v>Segmen</v>
      </c>
      <c r="K447" s="66">
        <v>116000</v>
      </c>
      <c r="L447" s="10">
        <v>7</v>
      </c>
      <c r="M447" s="10">
        <v>812000</v>
      </c>
      <c r="N447" s="10">
        <v>0</v>
      </c>
      <c r="O447" s="67">
        <v>45504</v>
      </c>
      <c r="P447" s="10">
        <v>2024</v>
      </c>
      <c r="Q447" s="10">
        <v>7</v>
      </c>
      <c r="R447" s="10" t="str">
        <v>SURVEI-PPL</v>
      </c>
      <c r="S447" s="10" t="str">
        <v>610422100131-2024-7</v>
      </c>
      <c r="T447" s="10" t="str">
        <v>610422100131-2024-7-SURVEI-PPL</v>
      </c>
      <c r="U447" s="10">
        <v>1</v>
      </c>
      <c r="V447" s="10" t="e">
        <f ca="1"/>
        <v>#NAME?</v>
      </c>
      <c r="W447" s="67">
        <v>0</v>
      </c>
      <c r="X447" s="11" t="str">
        <v>Kerangka Sampel Area (KSA) 2024 Juli</v>
      </c>
      <c r="Y447" s="11" t="str">
        <v>SUNGAI KUNYIT</v>
      </c>
      <c r="Z447" s="11" t="str">
        <v>SUNGAI KUNYIT LAUT</v>
      </c>
      <c r="AA447" s="67">
        <v>45473</v>
      </c>
      <c r="AB447" s="67">
        <v>45474</v>
      </c>
      <c r="AC447" s="67">
        <v>45504</v>
      </c>
      <c r="AD447" s="67">
        <v>45503</v>
      </c>
      <c r="AE447" s="67">
        <v>45504</v>
      </c>
    </row>
    <row r="448" spans="1:31" ht="12.5">
      <c r="A448" s="10">
        <v>610422100244</v>
      </c>
      <c r="B448" s="10" t="str">
        <v>KSA24-LAPANGAN-JULI</v>
      </c>
      <c r="C448" s="10">
        <v>0</v>
      </c>
      <c r="D448" s="10">
        <f ca="1"/>
        <v>1</v>
      </c>
      <c r="E448" s="10" t="str">
        <v>Sugianto</v>
      </c>
      <c r="F448" s="10" t="str">
        <v>PPL</v>
      </c>
      <c r="G448" s="10" t="str">
        <v>6102171003900002</v>
      </c>
      <c r="H448" s="10" t="str">
        <v>KSA PADI</v>
      </c>
      <c r="I448" s="10" t="str">
        <v>KSA24-LAPANGAN-JULI-PPL-KSA PADI</v>
      </c>
      <c r="J448" s="10" t="str">
        <v>Segmen</v>
      </c>
      <c r="K448" s="66">
        <v>116000</v>
      </c>
      <c r="L448" s="10">
        <v>3</v>
      </c>
      <c r="M448" s="10">
        <v>348000</v>
      </c>
      <c r="N448" s="10">
        <v>0</v>
      </c>
      <c r="O448" s="67">
        <v>45504</v>
      </c>
      <c r="P448" s="10">
        <v>2024</v>
      </c>
      <c r="Q448" s="10">
        <v>7</v>
      </c>
      <c r="R448" s="10" t="str">
        <v>SURVEI-PPL</v>
      </c>
      <c r="S448" s="10" t="str">
        <v>610422100244-2024-7</v>
      </c>
      <c r="T448" s="10" t="str">
        <v>610422100244-2024-7-SURVEI-PPL</v>
      </c>
      <c r="U448" s="10">
        <v>1</v>
      </c>
      <c r="V448" s="10" t="e">
        <f ca="1"/>
        <v>#NAME?</v>
      </c>
      <c r="W448" s="67">
        <v>0</v>
      </c>
      <c r="X448" s="11" t="str">
        <v>Kerangka Sampel Area (KSA) 2024 Juli</v>
      </c>
      <c r="Y448" s="11" t="str">
        <v>SADANIANG</v>
      </c>
      <c r="Z448" s="11" t="str">
        <v>BUMBUN</v>
      </c>
      <c r="AA448" s="67">
        <v>45473</v>
      </c>
      <c r="AB448" s="67">
        <v>45474</v>
      </c>
      <c r="AC448" s="67">
        <v>45504</v>
      </c>
      <c r="AD448" s="67">
        <v>45503</v>
      </c>
      <c r="AE448" s="67">
        <v>45504</v>
      </c>
    </row>
    <row r="449" spans="1:31" ht="12.5">
      <c r="A449" s="10">
        <v>610422100176</v>
      </c>
      <c r="B449" s="10" t="str">
        <v>KSA24-LAPANGAN-JULI</v>
      </c>
      <c r="C449" s="10">
        <v>0</v>
      </c>
      <c r="D449" s="10">
        <f ca="1"/>
        <v>1</v>
      </c>
      <c r="E449" s="10" t="str">
        <v>Feri Firdaus</v>
      </c>
      <c r="F449" s="10" t="str">
        <v>PPL</v>
      </c>
      <c r="G449" s="10" t="str">
        <v>6102150412880001</v>
      </c>
      <c r="H449" s="10" t="str">
        <v>KSA PADI</v>
      </c>
      <c r="I449" s="10" t="str">
        <v>KSA24-LAPANGAN-JULI-PPL-KSA PADI</v>
      </c>
      <c r="J449" s="10" t="str">
        <v>Segmen</v>
      </c>
      <c r="K449" s="66">
        <v>116000</v>
      </c>
      <c r="L449" s="10">
        <v>3</v>
      </c>
      <c r="M449" s="10">
        <v>348000</v>
      </c>
      <c r="N449" s="10">
        <v>0</v>
      </c>
      <c r="O449" s="67">
        <v>45504</v>
      </c>
      <c r="P449" s="10">
        <v>2024</v>
      </c>
      <c r="Q449" s="10">
        <v>7</v>
      </c>
      <c r="R449" s="10" t="str">
        <v>SURVEI-PPL</v>
      </c>
      <c r="S449" s="10" t="str">
        <v>610422100176-2024-7</v>
      </c>
      <c r="T449" s="10" t="str">
        <v>610422100176-2024-7-SURVEI-PPL</v>
      </c>
      <c r="U449" s="10">
        <v>1</v>
      </c>
      <c r="V449" s="10" t="e">
        <f ca="1"/>
        <v>#NAME?</v>
      </c>
      <c r="W449" s="67">
        <v>0</v>
      </c>
      <c r="X449" s="11" t="str">
        <v>Kerangka Sampel Area (KSA) 2024 Juli</v>
      </c>
      <c r="Y449" s="11" t="str">
        <v>SEGEDONG</v>
      </c>
      <c r="Z449" s="11" t="str">
        <v>SUNGAI BURUNG</v>
      </c>
      <c r="AA449" s="67">
        <v>45473</v>
      </c>
      <c r="AB449" s="67">
        <v>45474</v>
      </c>
      <c r="AC449" s="67">
        <v>45504</v>
      </c>
      <c r="AD449" s="67">
        <v>45503</v>
      </c>
      <c r="AE449" s="67">
        <v>45504</v>
      </c>
    </row>
    <row r="450" spans="1:31" ht="12.5">
      <c r="A450" s="10">
        <v>610423110183</v>
      </c>
      <c r="B450" s="10" t="str">
        <v>KSA24-LAPANGAN-JULI</v>
      </c>
      <c r="C450" s="10">
        <v>0</v>
      </c>
      <c r="D450" s="10">
        <f ca="1"/>
        <v>1</v>
      </c>
      <c r="E450" s="10" t="str">
        <v>Azhar</v>
      </c>
      <c r="F450" s="10" t="str">
        <v>PPL</v>
      </c>
      <c r="G450" s="10" t="str">
        <v>6102081211790004</v>
      </c>
      <c r="H450" s="10" t="str">
        <v>KSA PADI</v>
      </c>
      <c r="I450" s="10" t="str">
        <v>KSA24-LAPANGAN-JULI-PPL-KSA PADI</v>
      </c>
      <c r="J450" s="10" t="str">
        <v>Segmen</v>
      </c>
      <c r="K450" s="66">
        <v>116000</v>
      </c>
      <c r="L450" s="10">
        <v>6</v>
      </c>
      <c r="M450" s="10">
        <v>696000</v>
      </c>
      <c r="N450" s="10">
        <v>0</v>
      </c>
      <c r="O450" s="67">
        <v>45504</v>
      </c>
      <c r="P450" s="10">
        <v>2024</v>
      </c>
      <c r="Q450" s="10">
        <v>7</v>
      </c>
      <c r="R450" s="10" t="str">
        <v>SURVEI-PPL</v>
      </c>
      <c r="S450" s="10" t="str">
        <v>610423110183-2024-7</v>
      </c>
      <c r="T450" s="10" t="str">
        <v>610423110183-2024-7-SURVEI-PPL</v>
      </c>
      <c r="U450" s="10">
        <v>1</v>
      </c>
      <c r="V450" s="10" t="e">
        <f ca="1"/>
        <v>#NAME?</v>
      </c>
      <c r="W450" s="67">
        <v>0</v>
      </c>
      <c r="X450" s="11" t="str">
        <v>Kerangka Sampel Area (KSA) 2024 Juli</v>
      </c>
      <c r="Y450" s="11" t="str">
        <v>JONGKAT</v>
      </c>
      <c r="Z450" s="11" t="str">
        <v>SUNGAI NIPAH</v>
      </c>
      <c r="AA450" s="67">
        <v>45473</v>
      </c>
      <c r="AB450" s="67">
        <v>45474</v>
      </c>
      <c r="AC450" s="67">
        <v>45504</v>
      </c>
      <c r="AD450" s="67">
        <v>45503</v>
      </c>
      <c r="AE450" s="67">
        <v>45504</v>
      </c>
    </row>
    <row r="451" spans="1:31" ht="12.5">
      <c r="A451" s="10">
        <v>610423040018</v>
      </c>
      <c r="B451" s="10" t="str">
        <v>KSA24-LAPANGAN-JULI</v>
      </c>
      <c r="C451" s="10">
        <v>0</v>
      </c>
      <c r="D451" s="10">
        <f ca="1"/>
        <v>1</v>
      </c>
      <c r="E451" s="10" t="str">
        <v>Handoko Tuah Sabarman Sipayung</v>
      </c>
      <c r="F451" s="10" t="str">
        <v>PPL</v>
      </c>
      <c r="G451" s="10" t="str">
        <v>1212092309880001</v>
      </c>
      <c r="H451" s="10" t="str">
        <v>KSA PADI</v>
      </c>
      <c r="I451" s="10" t="str">
        <v>KSA24-LAPANGAN-JULI-PPL-KSA PADI</v>
      </c>
      <c r="J451" s="10" t="str">
        <v>Segmen</v>
      </c>
      <c r="K451" s="66">
        <v>116000</v>
      </c>
      <c r="L451" s="10">
        <v>4</v>
      </c>
      <c r="M451" s="10">
        <v>464000</v>
      </c>
      <c r="N451" s="10">
        <v>0</v>
      </c>
      <c r="O451" s="67">
        <v>45504</v>
      </c>
      <c r="P451" s="10">
        <v>2024</v>
      </c>
      <c r="Q451" s="10">
        <v>7</v>
      </c>
      <c r="R451" s="10" t="str">
        <v>SURVEI-PPL</v>
      </c>
      <c r="S451" s="10" t="str">
        <v>610423040018-2024-7</v>
      </c>
      <c r="T451" s="10" t="str">
        <v>610423040018-2024-7-SURVEI-PPL</v>
      </c>
      <c r="U451" s="10">
        <v>1</v>
      </c>
      <c r="V451" s="10" t="e">
        <f ca="1"/>
        <v>#NAME?</v>
      </c>
      <c r="W451" s="67">
        <v>0</v>
      </c>
      <c r="X451" s="11" t="str">
        <v>Kerangka Sampel Area (KSA) 2024 Juli</v>
      </c>
      <c r="Y451" s="11" t="str">
        <v>TOHO</v>
      </c>
      <c r="Z451" s="11" t="str">
        <v>PAK LAHENG</v>
      </c>
      <c r="AA451" s="67">
        <v>45473</v>
      </c>
      <c r="AB451" s="67">
        <v>45474</v>
      </c>
      <c r="AC451" s="67">
        <v>45504</v>
      </c>
      <c r="AD451" s="67">
        <v>45503</v>
      </c>
      <c r="AE451" s="67">
        <v>45504</v>
      </c>
    </row>
    <row r="452" spans="1:31" ht="12.5">
      <c r="A452" s="10">
        <v>610422040059</v>
      </c>
      <c r="B452" s="10" t="str">
        <v>KSA24-LAPANGAN-JULI</v>
      </c>
      <c r="C452" s="10">
        <v>0</v>
      </c>
      <c r="D452" s="10">
        <f ca="1"/>
        <v>1</v>
      </c>
      <c r="E452" s="10" t="str">
        <v>Abang Handri</v>
      </c>
      <c r="F452" s="10" t="str">
        <v>PPL</v>
      </c>
      <c r="G452" s="10" t="str">
        <v>6102072211780002</v>
      </c>
      <c r="H452" s="10" t="str">
        <v>KSA JAGUNG</v>
      </c>
      <c r="I452" s="10" t="str">
        <v>KSA24-LAPANGAN-JULI-PPL-KSA JAGUNG</v>
      </c>
      <c r="J452" s="10" t="str">
        <v>Segmen</v>
      </c>
      <c r="K452" s="66">
        <v>59000</v>
      </c>
      <c r="L452" s="10">
        <v>6</v>
      </c>
      <c r="M452" s="10">
        <v>354000</v>
      </c>
      <c r="N452" s="10">
        <v>0</v>
      </c>
      <c r="O452" s="67">
        <v>45504</v>
      </c>
      <c r="P452" s="10">
        <v>2024</v>
      </c>
      <c r="Q452" s="10">
        <v>7</v>
      </c>
      <c r="R452" s="10" t="str">
        <v>SURVEI-PPL</v>
      </c>
      <c r="S452" s="10" t="str">
        <v>610422040059-2024-7</v>
      </c>
      <c r="T452" s="10" t="str">
        <v>610422040059-2024-7-SURVEI-PPL</v>
      </c>
      <c r="U452" s="10">
        <v>1</v>
      </c>
      <c r="V452" s="10" t="e">
        <f ca="1"/>
        <v>#NAME?</v>
      </c>
      <c r="W452" s="67">
        <v>0</v>
      </c>
      <c r="X452" s="11" t="str">
        <v>Kerangka Sampel Area (KSA) 2024 Juli</v>
      </c>
      <c r="Y452" s="11" t="str">
        <v>MEMPAWAH HILIR</v>
      </c>
      <c r="Z452" s="11" t="str">
        <v>TERUSAN</v>
      </c>
      <c r="AA452" s="67">
        <v>45473</v>
      </c>
      <c r="AB452" s="67">
        <v>45474</v>
      </c>
      <c r="AC452" s="67">
        <v>45504</v>
      </c>
      <c r="AD452" s="67">
        <v>45503</v>
      </c>
      <c r="AE452" s="67">
        <v>45504</v>
      </c>
    </row>
    <row r="453" spans="1:31" ht="12.5">
      <c r="A453" s="10">
        <v>610422020048</v>
      </c>
      <c r="B453" s="10" t="str">
        <v>KSA24-LAPANGAN-JULI</v>
      </c>
      <c r="C453" s="10">
        <v>0</v>
      </c>
      <c r="D453" s="10">
        <f ca="1"/>
        <v>1</v>
      </c>
      <c r="E453" s="10" t="str">
        <v>Herri Gustaman</v>
      </c>
      <c r="F453" s="10" t="str">
        <v>PPL</v>
      </c>
      <c r="G453" s="10" t="str">
        <v>6102072503800001</v>
      </c>
      <c r="H453" s="10" t="str">
        <v>KSA JAGUNG</v>
      </c>
      <c r="I453" s="10" t="str">
        <v>KSA24-LAPANGAN-JULI-PPL-KSA JAGUNG</v>
      </c>
      <c r="J453" s="10" t="str">
        <v>Segmen</v>
      </c>
      <c r="K453" s="66">
        <v>59000</v>
      </c>
      <c r="L453" s="10">
        <v>12</v>
      </c>
      <c r="M453" s="10">
        <v>708000</v>
      </c>
      <c r="N453" s="10">
        <v>0</v>
      </c>
      <c r="O453" s="67">
        <v>45504</v>
      </c>
      <c r="P453" s="10">
        <v>2024</v>
      </c>
      <c r="Q453" s="10">
        <v>7</v>
      </c>
      <c r="R453" s="10" t="str">
        <v>SURVEI-PPL</v>
      </c>
      <c r="S453" s="10" t="str">
        <v>610422020048-2024-7</v>
      </c>
      <c r="T453" s="10" t="str">
        <v>610422020048-2024-7-SURVEI-PPL</v>
      </c>
      <c r="U453" s="10">
        <v>1</v>
      </c>
      <c r="V453" s="10" t="e">
        <f ca="1"/>
        <v>#NAME?</v>
      </c>
      <c r="W453" s="67">
        <v>0</v>
      </c>
      <c r="X453" s="11" t="str">
        <v>Kerangka Sampel Area (KSA) 2024 Juli</v>
      </c>
      <c r="Y453" s="11" t="str">
        <v>MEMPAWAH TIMUR</v>
      </c>
      <c r="Z453" s="11" t="str">
        <v>SEJEGI</v>
      </c>
      <c r="AA453" s="67">
        <v>45473</v>
      </c>
      <c r="AB453" s="67">
        <v>45474</v>
      </c>
      <c r="AC453" s="67">
        <v>45504</v>
      </c>
      <c r="AD453" s="67">
        <v>45503</v>
      </c>
      <c r="AE453" s="67">
        <v>45504</v>
      </c>
    </row>
    <row r="454" spans="1:31" ht="12.5">
      <c r="A454" s="10">
        <v>610422040058</v>
      </c>
      <c r="B454" s="10" t="str">
        <v>KSA24-LAPANGAN-JULI</v>
      </c>
      <c r="C454" s="10">
        <v>0</v>
      </c>
      <c r="D454" s="10">
        <f ca="1"/>
        <v>1</v>
      </c>
      <c r="E454" s="10" t="str">
        <v>Jamaluddin, Sp</v>
      </c>
      <c r="F454" s="10" t="str">
        <v>PPL</v>
      </c>
      <c r="G454" s="10" t="str">
        <v>6102152607940002</v>
      </c>
      <c r="H454" s="10" t="str">
        <v>KSA JAGUNG</v>
      </c>
      <c r="I454" s="10" t="str">
        <v>KSA24-LAPANGAN-JULI-PPL-KSA JAGUNG</v>
      </c>
      <c r="J454" s="10" t="str">
        <v>Segmen</v>
      </c>
      <c r="K454" s="66">
        <v>59000</v>
      </c>
      <c r="L454" s="10">
        <v>10</v>
      </c>
      <c r="M454" s="10">
        <v>590000</v>
      </c>
      <c r="N454" s="10">
        <v>0</v>
      </c>
      <c r="O454" s="67">
        <v>45504</v>
      </c>
      <c r="P454" s="10">
        <v>2024</v>
      </c>
      <c r="Q454" s="10">
        <v>7</v>
      </c>
      <c r="R454" s="10" t="str">
        <v>SURVEI-PPL</v>
      </c>
      <c r="S454" s="10" t="str">
        <v>610422040058-2024-7</v>
      </c>
      <c r="T454" s="10" t="str">
        <v>610422040058-2024-7-SURVEI-PPL</v>
      </c>
      <c r="U454" s="10">
        <v>1</v>
      </c>
      <c r="V454" s="10" t="e">
        <f ca="1"/>
        <v>#NAME?</v>
      </c>
      <c r="W454" s="67">
        <v>0</v>
      </c>
      <c r="X454" s="11" t="str">
        <v>Kerangka Sampel Area (KSA) 2024 Juli</v>
      </c>
      <c r="Y454" s="11" t="str">
        <v>SEGEDONG</v>
      </c>
      <c r="Z454" s="11" t="str">
        <v>PENITI DALAM I</v>
      </c>
      <c r="AA454" s="67">
        <v>45473</v>
      </c>
      <c r="AB454" s="67">
        <v>45474</v>
      </c>
      <c r="AC454" s="67">
        <v>45504</v>
      </c>
      <c r="AD454" s="67">
        <v>45503</v>
      </c>
      <c r="AE454" s="67">
        <v>45504</v>
      </c>
    </row>
    <row r="455" spans="1:31" ht="12.5">
      <c r="A455" s="10">
        <v>610423110183</v>
      </c>
      <c r="B455" s="10" t="str">
        <v>KSA24-LAPANGAN-JULI</v>
      </c>
      <c r="C455" s="10">
        <v>0</v>
      </c>
      <c r="D455" s="10">
        <f ca="1"/>
        <v>1</v>
      </c>
      <c r="E455" s="10" t="str">
        <v>Azhar</v>
      </c>
      <c r="F455" s="10" t="str">
        <v>PPL</v>
      </c>
      <c r="G455" s="10" t="str">
        <v>6102081211790004</v>
      </c>
      <c r="H455" s="10" t="str">
        <v>KSA JAGUNG</v>
      </c>
      <c r="I455" s="10" t="str">
        <v>KSA24-LAPANGAN-JULI-PPL-KSA JAGUNG</v>
      </c>
      <c r="J455" s="10" t="str">
        <v>Segmen</v>
      </c>
      <c r="K455" s="66">
        <v>59000</v>
      </c>
      <c r="L455" s="10">
        <v>6</v>
      </c>
      <c r="M455" s="10">
        <v>354000</v>
      </c>
      <c r="N455" s="10">
        <v>0</v>
      </c>
      <c r="O455" s="67">
        <v>45504</v>
      </c>
      <c r="P455" s="10">
        <v>2024</v>
      </c>
      <c r="Q455" s="10">
        <v>7</v>
      </c>
      <c r="R455" s="10" t="str">
        <v>SURVEI-PPL</v>
      </c>
      <c r="S455" s="10" t="str">
        <v>610423110183-2024-7</v>
      </c>
      <c r="T455" s="10" t="str">
        <v>610423110183-2024-7-SURVEI-PPL</v>
      </c>
      <c r="U455" s="10">
        <v>1</v>
      </c>
      <c r="V455" s="10" t="e">
        <f ca="1"/>
        <v>#NAME?</v>
      </c>
      <c r="W455" s="67">
        <v>0</v>
      </c>
      <c r="X455" s="11" t="str">
        <v>Kerangka Sampel Area (KSA) 2024 Juli</v>
      </c>
      <c r="Y455" s="11" t="str">
        <v>JONGKAT</v>
      </c>
      <c r="Z455" s="11" t="str">
        <v>SUNGAI NIPAH</v>
      </c>
      <c r="AA455" s="67">
        <v>45473</v>
      </c>
      <c r="AB455" s="67">
        <v>45474</v>
      </c>
      <c r="AC455" s="67">
        <v>45504</v>
      </c>
      <c r="AD455" s="67">
        <v>45503</v>
      </c>
      <c r="AE455" s="67">
        <v>45504</v>
      </c>
    </row>
    <row r="456" spans="1:31" ht="12.5">
      <c r="A456" s="10">
        <v>610422100244</v>
      </c>
      <c r="B456" s="10" t="str">
        <v>KSA24-LAPANGAN-JULI</v>
      </c>
      <c r="C456" s="10">
        <v>0</v>
      </c>
      <c r="D456" s="10">
        <f ca="1"/>
        <v>1</v>
      </c>
      <c r="E456" s="10" t="str">
        <v>Sugianto</v>
      </c>
      <c r="F456" s="10" t="str">
        <v>PPL</v>
      </c>
      <c r="G456" s="10" t="str">
        <v>6102171003900002</v>
      </c>
      <c r="H456" s="10" t="str">
        <v>KSA JAGUNG</v>
      </c>
      <c r="I456" s="10" t="str">
        <v>KSA24-LAPANGAN-JULI-PPL-KSA JAGUNG</v>
      </c>
      <c r="J456" s="10" t="str">
        <v>Segmen</v>
      </c>
      <c r="K456" s="66">
        <v>59000</v>
      </c>
      <c r="L456" s="10">
        <v>8</v>
      </c>
      <c r="M456" s="10">
        <v>472000</v>
      </c>
      <c r="N456" s="10">
        <v>0</v>
      </c>
      <c r="O456" s="67">
        <v>45504</v>
      </c>
      <c r="P456" s="10">
        <v>2024</v>
      </c>
      <c r="Q456" s="10">
        <v>7</v>
      </c>
      <c r="R456" s="10" t="str">
        <v>SURVEI-PPL</v>
      </c>
      <c r="S456" s="10" t="str">
        <v>610422100244-2024-7</v>
      </c>
      <c r="T456" s="10" t="str">
        <v>610422100244-2024-7-SURVEI-PPL</v>
      </c>
      <c r="U456" s="10">
        <v>1</v>
      </c>
      <c r="V456" s="10" t="e">
        <f ca="1"/>
        <v>#NAME?</v>
      </c>
      <c r="W456" s="67">
        <v>0</v>
      </c>
      <c r="X456" s="11" t="str">
        <v>Kerangka Sampel Area (KSA) 2024 Juli</v>
      </c>
      <c r="Y456" s="11" t="str">
        <v>SADANIANG</v>
      </c>
      <c r="Z456" s="11" t="str">
        <v>BUMBUN</v>
      </c>
      <c r="AA456" s="67">
        <v>45473</v>
      </c>
      <c r="AB456" s="67">
        <v>45474</v>
      </c>
      <c r="AC456" s="67">
        <v>45504</v>
      </c>
      <c r="AD456" s="67">
        <v>45503</v>
      </c>
      <c r="AE456" s="67">
        <v>45504</v>
      </c>
    </row>
    <row r="457" spans="1:31" ht="12.5">
      <c r="A457" s="10">
        <v>610422040056</v>
      </c>
      <c r="B457" s="10" t="str">
        <v>SKLNPT24-LAPANGAN-TRI2</v>
      </c>
      <c r="C457" s="10">
        <v>0</v>
      </c>
      <c r="D457" s="10">
        <f ca="1"/>
        <v>1</v>
      </c>
      <c r="E457" s="10" t="str">
        <v>Wandi Syafari</v>
      </c>
      <c r="F457" s="10" t="str">
        <v>PPL</v>
      </c>
      <c r="G457" s="10" t="str">
        <v>6102010802760001</v>
      </c>
      <c r="H457" s="10" t="str">
        <v>PENDATAAN</v>
      </c>
      <c r="I457" s="10" t="str">
        <v>SKLNPT24-LAPANGAN-TRI2-PPL-PENDATAAN</v>
      </c>
      <c r="J457" s="10" t="str">
        <v>Dokumen</v>
      </c>
      <c r="K457" s="66">
        <v>65000</v>
      </c>
      <c r="L457" s="10">
        <v>10</v>
      </c>
      <c r="M457" s="10">
        <v>650000</v>
      </c>
      <c r="N457" s="10">
        <v>0</v>
      </c>
      <c r="O457" s="67">
        <v>45504</v>
      </c>
      <c r="P457" s="10">
        <v>2024</v>
      </c>
      <c r="Q457" s="10">
        <v>7</v>
      </c>
      <c r="R457" s="10" t="str">
        <v>SURVEI-PPL</v>
      </c>
      <c r="S457" s="10" t="str">
        <v>610422040056-2024-7</v>
      </c>
      <c r="T457" s="10" t="str">
        <v>610422040056-2024-7-SURVEI-PPL</v>
      </c>
      <c r="U457" s="10">
        <v>1</v>
      </c>
      <c r="V457" s="10" t="e">
        <f ca="1"/>
        <v>#NAME?</v>
      </c>
      <c r="W457" s="67">
        <v>0</v>
      </c>
      <c r="X457" s="11" t="str">
        <v>Survei Khusus Lembaga Nonprofit yang Melayani Rumah Tangga 2024 (SKLNPT24) Triwulan II</v>
      </c>
      <c r="Y457" s="11" t="str">
        <v>MEMPAWAH HILIR</v>
      </c>
      <c r="Z457" s="11" t="str">
        <v>TERUSAN</v>
      </c>
      <c r="AA457" s="67">
        <v>45473</v>
      </c>
      <c r="AB457" s="67">
        <v>45474</v>
      </c>
      <c r="AC457" s="67">
        <v>45504</v>
      </c>
      <c r="AD457" s="67">
        <v>45503</v>
      </c>
      <c r="AE457" s="67">
        <v>45504</v>
      </c>
    </row>
    <row r="458" spans="1:31" ht="12.5">
      <c r="A458" s="10">
        <v>610422040029</v>
      </c>
      <c r="B458" s="10" t="str">
        <v>SKTNP24-LAPANGAN-TRI2</v>
      </c>
      <c r="C458" s="10">
        <v>0</v>
      </c>
      <c r="D458" s="10">
        <f ca="1"/>
        <v>1</v>
      </c>
      <c r="E458" s="10" t="str">
        <v>Zaini</v>
      </c>
      <c r="F458" s="10" t="str">
        <v>PPL</v>
      </c>
      <c r="G458" s="10" t="str">
        <v>6102010607870002</v>
      </c>
      <c r="H458" s="10" t="str">
        <v>PENDATAAN</v>
      </c>
      <c r="I458" s="10" t="str">
        <v>SKTNP24-LAPANGAN-TRI2-PPL-PENDATAAN BARANG</v>
      </c>
      <c r="J458" s="10" t="str">
        <v>Dokumen</v>
      </c>
      <c r="K458" s="66">
        <v>55000</v>
      </c>
      <c r="L458" s="10">
        <v>1</v>
      </c>
      <c r="M458" s="10">
        <v>55000</v>
      </c>
      <c r="N458" s="10">
        <v>0</v>
      </c>
      <c r="O458" s="67">
        <v>45504</v>
      </c>
      <c r="P458" s="10">
        <v>2024</v>
      </c>
      <c r="Q458" s="10">
        <v>7</v>
      </c>
      <c r="R458" s="10" t="str">
        <v>SURVEI-PPL</v>
      </c>
      <c r="S458" s="10" t="str">
        <v>610422040029-2024-7</v>
      </c>
      <c r="T458" s="10" t="str">
        <v>610422040029-2024-7-SURVEI-PPL</v>
      </c>
      <c r="U458" s="10">
        <v>0</v>
      </c>
      <c r="V458" s="10" t="e">
        <f ca="1"/>
        <v>#NAME?</v>
      </c>
      <c r="W458" s="67">
        <v>0</v>
      </c>
      <c r="X458" s="11" t="str">
        <v>Survei Khusus Triwulan Neraca Produksi Barang Jasa (SKTNP) 2024 Triwulan II</v>
      </c>
      <c r="Y458" s="11" t="str">
        <v>MEMPAWAH HILIR</v>
      </c>
      <c r="Z458" s="11" t="str">
        <v>TENGAH</v>
      </c>
      <c r="AA458" s="67">
        <v>45473</v>
      </c>
      <c r="AB458" s="67">
        <v>45474</v>
      </c>
      <c r="AC458" s="67">
        <v>45504</v>
      </c>
      <c r="AD458" s="67">
        <v>45503</v>
      </c>
      <c r="AE458" s="67">
        <v>45504</v>
      </c>
    </row>
    <row r="459" spans="1:31" ht="12.5">
      <c r="A459" s="10">
        <v>610422040029</v>
      </c>
      <c r="B459" s="10" t="str">
        <v>SKTNP24-LAPANGAN-TRI2</v>
      </c>
      <c r="C459" s="10">
        <v>0</v>
      </c>
      <c r="D459" s="10">
        <f ca="1"/>
        <v>1</v>
      </c>
      <c r="E459" s="10" t="str">
        <v>Zaini</v>
      </c>
      <c r="F459" s="10" t="str">
        <v>PPL</v>
      </c>
      <c r="G459" s="10" t="str">
        <v>6102010607870002</v>
      </c>
      <c r="H459" s="10" t="str">
        <v>PENDATAAN</v>
      </c>
      <c r="I459" s="10" t="str">
        <v>SKTNP24-LAPANGAN-TRI2-PPL-PENDATAAN JASA</v>
      </c>
      <c r="J459" s="10" t="str">
        <v>Dokumen</v>
      </c>
      <c r="K459" s="66">
        <v>55000</v>
      </c>
      <c r="L459" s="10">
        <v>2</v>
      </c>
      <c r="M459" s="10">
        <v>110000</v>
      </c>
      <c r="N459" s="10">
        <v>0</v>
      </c>
      <c r="O459" s="67">
        <v>45504</v>
      </c>
      <c r="P459" s="10">
        <v>2024</v>
      </c>
      <c r="Q459" s="10">
        <v>7</v>
      </c>
      <c r="R459" s="10" t="str">
        <v>SURVEI-PPL</v>
      </c>
      <c r="S459" s="10" t="str">
        <v>610422040029-2024-7</v>
      </c>
      <c r="T459" s="10" t="str">
        <v>610422040029-2024-7-SURVEI-PPL</v>
      </c>
      <c r="U459" s="10">
        <v>0</v>
      </c>
      <c r="V459" s="10" t="e">
        <f ca="1"/>
        <v>#NAME?</v>
      </c>
      <c r="W459" s="67">
        <v>0</v>
      </c>
      <c r="X459" s="11" t="str">
        <v>Survei Khusus Triwulan Neraca Produksi Barang Jasa (SKTNP) 2024 Triwulan II</v>
      </c>
      <c r="Y459" s="11" t="str">
        <v>MEMPAWAH HILIR</v>
      </c>
      <c r="Z459" s="11" t="str">
        <v>TENGAH</v>
      </c>
      <c r="AA459" s="67">
        <v>45473</v>
      </c>
      <c r="AB459" s="67">
        <v>45474</v>
      </c>
      <c r="AC459" s="67">
        <v>45504</v>
      </c>
      <c r="AD459" s="67">
        <v>45503</v>
      </c>
      <c r="AE459" s="67">
        <v>45504</v>
      </c>
    </row>
    <row r="460" spans="1:31" ht="12.5">
      <c r="A460" s="10">
        <v>610422100153</v>
      </c>
      <c r="B460" s="10" t="str">
        <v>GALIANBH24-LAPANGAN-TRI2</v>
      </c>
      <c r="C460" s="10">
        <v>0</v>
      </c>
      <c r="D460" s="10">
        <f ca="1"/>
        <v>1</v>
      </c>
      <c r="E460" s="10" t="str">
        <v>Kharim Marufah</v>
      </c>
      <c r="F460" s="10">
        <v>0</v>
      </c>
      <c r="G460" s="10">
        <v>0</v>
      </c>
      <c r="H460" s="10" t="str">
        <v>PENDATAAN</v>
      </c>
      <c r="I460" s="10" t="str">
        <v>GALIANBH24-LAPANGAN-TRI2-PPL-PENDATAAN</v>
      </c>
      <c r="J460" s="10" t="str">
        <v>Dokumen</v>
      </c>
      <c r="K460" s="66">
        <v>50000</v>
      </c>
      <c r="L460" s="10">
        <v>5</v>
      </c>
      <c r="M460" s="10">
        <v>250000</v>
      </c>
      <c r="N460" s="10">
        <v>0</v>
      </c>
      <c r="O460" s="67">
        <v>45504</v>
      </c>
      <c r="P460" s="10">
        <v>2024</v>
      </c>
      <c r="Q460" s="10">
        <v>7</v>
      </c>
      <c r="R460" s="10" t="str">
        <v>SURVEI-PPL</v>
      </c>
      <c r="S460" s="10" t="str">
        <v>610422100153-2024-7</v>
      </c>
      <c r="T460" s="10" t="str">
        <v>610422100153-2024-7-SURVEI-PPL</v>
      </c>
      <c r="U460" s="10">
        <v>0</v>
      </c>
      <c r="V460" s="10">
        <v>-19</v>
      </c>
      <c r="W460" s="67">
        <v>0</v>
      </c>
      <c r="X460" s="11" t="str">
        <v>(GALIAN-BH24-TW) SURVEI PENGGALIAN BERBADAN HUKUM TRIWULANAN 2024 TRIWULAN 2</v>
      </c>
      <c r="Y460" s="11" t="str">
        <v>SUNGAI PINYUH</v>
      </c>
      <c r="Z460" s="11" t="str">
        <v>SUNGAI PURUN KECIL</v>
      </c>
      <c r="AA460" s="67">
        <v>45473</v>
      </c>
      <c r="AB460" s="67">
        <v>45474</v>
      </c>
      <c r="AC460" s="67">
        <v>45504</v>
      </c>
      <c r="AD460" s="67">
        <v>45503</v>
      </c>
      <c r="AE460" s="67">
        <v>45504</v>
      </c>
    </row>
    <row r="461" spans="1:31" ht="12.5">
      <c r="A461" s="10">
        <v>610422020048</v>
      </c>
      <c r="B461" s="10" t="str">
        <v>LPTB24-LAPANGAN-AGUSTUS</v>
      </c>
      <c r="C461" s="10">
        <v>0</v>
      </c>
      <c r="D461" s="10">
        <f ca="1"/>
        <v>1</v>
      </c>
      <c r="E461" s="10" t="str">
        <v>Herri Gustaman</v>
      </c>
      <c r="F461" s="10" t="str">
        <v>PPL</v>
      </c>
      <c r="G461" s="10" t="str">
        <v>6102072503800001</v>
      </c>
      <c r="H461" s="10" t="str">
        <v>PENDATAAN</v>
      </c>
      <c r="I461" s="10" t="str">
        <v>LPTB24-LAPANGAN-AGUSTUS-PPL-PENDATAAN</v>
      </c>
      <c r="J461" s="10" t="str">
        <v>Dokumen</v>
      </c>
      <c r="K461" s="66">
        <v>60000</v>
      </c>
      <c r="L461" s="10">
        <v>4</v>
      </c>
      <c r="M461" s="10">
        <v>240000</v>
      </c>
      <c r="N461" s="10">
        <v>0</v>
      </c>
      <c r="O461" s="67">
        <v>45505</v>
      </c>
      <c r="P461" s="10">
        <v>2024</v>
      </c>
      <c r="Q461" s="10">
        <v>8</v>
      </c>
      <c r="R461" s="10" t="str">
        <v>SURVEI-PPL</v>
      </c>
      <c r="S461" s="10" t="str">
        <v>610422020048-2024-8</v>
      </c>
      <c r="T461" s="10" t="str">
        <v>610422020048-2024-8-SURVEI-PPL</v>
      </c>
      <c r="U461" s="10">
        <v>1</v>
      </c>
      <c r="V461" s="10" t="e">
        <f ca="1"/>
        <v>#NAME?</v>
      </c>
      <c r="W461" s="67">
        <v>0</v>
      </c>
      <c r="X461" s="11" t="str">
        <v>Laporan Pemotongan Ternak Bulanan 2024 Agustus</v>
      </c>
      <c r="Y461" s="11" t="str">
        <v>MEMPAWAH TIMUR</v>
      </c>
      <c r="Z461" s="11" t="str">
        <v>SEJEGI</v>
      </c>
      <c r="AA461" s="67">
        <v>45504</v>
      </c>
      <c r="AB461" s="67">
        <v>45505</v>
      </c>
      <c r="AC461" s="67">
        <v>45535</v>
      </c>
      <c r="AD461" s="67">
        <v>45534</v>
      </c>
      <c r="AE461" s="67">
        <v>45535</v>
      </c>
    </row>
    <row r="462" spans="1:31" ht="12.5">
      <c r="A462" s="10">
        <v>610422030002</v>
      </c>
      <c r="B462" s="10" t="str">
        <v>SHPB24-LAPANGAN-AGUSTUS</v>
      </c>
      <c r="C462" s="10">
        <v>0</v>
      </c>
      <c r="D462" s="10">
        <f ca="1"/>
        <v>1</v>
      </c>
      <c r="E462" s="10" t="str">
        <v>Deti Erni Widiastuti</v>
      </c>
      <c r="F462" s="10" t="str">
        <v>PPL</v>
      </c>
      <c r="G462" s="10" t="str">
        <v>6102016712860001</v>
      </c>
      <c r="H462" s="10" t="str">
        <v>PENDATAAN</v>
      </c>
      <c r="I462" s="10" t="str">
        <v>SHPB24-LAPANGAN-AGUSTUS-PPL-PENDATAAN</v>
      </c>
      <c r="J462" s="10" t="str">
        <v>Dokumen</v>
      </c>
      <c r="K462" s="66">
        <v>50000</v>
      </c>
      <c r="L462" s="10">
        <v>15</v>
      </c>
      <c r="M462" s="10">
        <v>750000</v>
      </c>
      <c r="N462" s="10">
        <v>0</v>
      </c>
      <c r="O462" s="67">
        <v>45524</v>
      </c>
      <c r="P462" s="10">
        <v>2024</v>
      </c>
      <c r="Q462" s="10">
        <v>8</v>
      </c>
      <c r="R462" s="10" t="str">
        <v>SURVEI-PPL</v>
      </c>
      <c r="S462" s="10" t="str">
        <v>610422030002-2024-8</v>
      </c>
      <c r="T462" s="10" t="str">
        <v>610422030002-2024-8-SURVEI-PPL</v>
      </c>
      <c r="U462" s="10">
        <v>0</v>
      </c>
      <c r="V462" s="10" t="e">
        <f ca="1"/>
        <v>#NAME?</v>
      </c>
      <c r="W462" s="67">
        <v>0</v>
      </c>
      <c r="X462" s="11" t="str">
        <v>Survei Harga Perdagangan Besar (SHPB24) Agustus</v>
      </c>
      <c r="Y462" s="11" t="str">
        <v>SEGEDONG</v>
      </c>
      <c r="Z462" s="11" t="str">
        <v>PENITI DALAM I</v>
      </c>
      <c r="AA462" s="67">
        <v>45504</v>
      </c>
      <c r="AB462" s="67">
        <v>45505</v>
      </c>
      <c r="AC462" s="67">
        <v>45535</v>
      </c>
      <c r="AD462" s="67">
        <v>45534</v>
      </c>
      <c r="AE462" s="67">
        <v>45535</v>
      </c>
    </row>
    <row r="463" spans="1:31" ht="12.5">
      <c r="A463" s="10">
        <v>610422100244</v>
      </c>
      <c r="B463" s="10" t="str">
        <v>HPG24-LAPANGAN-AGUSTUS</v>
      </c>
      <c r="C463" s="10">
        <v>0</v>
      </c>
      <c r="D463" s="10">
        <f ca="1"/>
        <v>1</v>
      </c>
      <c r="E463" s="10" t="str">
        <v>Sugianto</v>
      </c>
      <c r="F463" s="10" t="str">
        <v>PPL</v>
      </c>
      <c r="G463" s="10" t="str">
        <v>6102171003900002</v>
      </c>
      <c r="H463" s="10" t="str">
        <v>PENDATAAN</v>
      </c>
      <c r="I463" s="10" t="str">
        <v>HPG24-LAPANGAN-AGUSTUS-PPL-PENDATAAN</v>
      </c>
      <c r="J463" s="10" t="str">
        <v>Dokumen</v>
      </c>
      <c r="K463" s="66">
        <v>50000</v>
      </c>
      <c r="L463" s="10">
        <v>1</v>
      </c>
      <c r="M463" s="10">
        <v>50000</v>
      </c>
      <c r="N463" s="10">
        <v>0</v>
      </c>
      <c r="O463" s="67">
        <v>45524</v>
      </c>
      <c r="P463" s="10">
        <v>2024</v>
      </c>
      <c r="Q463" s="10">
        <v>8</v>
      </c>
      <c r="R463" s="10" t="str">
        <v>SURVEI-PPL</v>
      </c>
      <c r="S463" s="10" t="str">
        <v>610422100244-2024-8</v>
      </c>
      <c r="T463" s="10" t="str">
        <v>610422100244-2024-8-SURVEI-PPL</v>
      </c>
      <c r="U463" s="10">
        <v>0</v>
      </c>
      <c r="V463" s="10" t="e">
        <f ca="1"/>
        <v>#NAME?</v>
      </c>
      <c r="W463" s="67">
        <v>0</v>
      </c>
      <c r="X463" s="11" t="str">
        <v>Survei Harga Produsen Gabah (HPG24) Agustus</v>
      </c>
      <c r="Y463" s="11" t="str">
        <v>SADANIANG</v>
      </c>
      <c r="Z463" s="11" t="str">
        <v>BUMBUN</v>
      </c>
      <c r="AA463" s="67">
        <v>45504</v>
      </c>
      <c r="AB463" s="67">
        <v>45505</v>
      </c>
      <c r="AC463" s="67">
        <v>45535</v>
      </c>
      <c r="AD463" s="67">
        <v>45534</v>
      </c>
      <c r="AE463" s="67">
        <v>45535</v>
      </c>
    </row>
    <row r="464" spans="1:31" ht="12.5">
      <c r="A464" s="10">
        <v>610422100124</v>
      </c>
      <c r="B464" s="10" t="str">
        <v>HPG24-LAPANGAN-AGUSTUS</v>
      </c>
      <c r="C464" s="10">
        <v>0</v>
      </c>
      <c r="D464" s="10">
        <f ca="1"/>
        <v>1</v>
      </c>
      <c r="E464" s="10" t="str">
        <v>Prabowo</v>
      </c>
      <c r="F464" s="10" t="str">
        <v>PPL</v>
      </c>
      <c r="G464" s="10" t="str">
        <v>6171010108790015</v>
      </c>
      <c r="H464" s="10" t="str">
        <v>PENDATAAN</v>
      </c>
      <c r="I464" s="10" t="str">
        <v>HPG24-LAPANGAN-AGUSTUS-PPL-PENDATAAN</v>
      </c>
      <c r="J464" s="10" t="str">
        <v>Dokumen</v>
      </c>
      <c r="K464" s="66">
        <v>50000</v>
      </c>
      <c r="L464" s="10">
        <v>1</v>
      </c>
      <c r="M464" s="10">
        <v>50000</v>
      </c>
      <c r="N464" s="10">
        <v>0</v>
      </c>
      <c r="O464" s="67">
        <v>45524</v>
      </c>
      <c r="P464" s="10">
        <v>2024</v>
      </c>
      <c r="Q464" s="10">
        <v>8</v>
      </c>
      <c r="R464" s="10" t="str">
        <v>SURVEI-PPL</v>
      </c>
      <c r="S464" s="10" t="str">
        <v>610422100124-2024-8</v>
      </c>
      <c r="T464" s="10" t="str">
        <v>610422100124-2024-8-SURVEI-PPL</v>
      </c>
      <c r="U464" s="10">
        <v>0</v>
      </c>
      <c r="V464" s="10" t="e">
        <f ca="1"/>
        <v>#NAME?</v>
      </c>
      <c r="W464" s="67">
        <v>0</v>
      </c>
      <c r="X464" s="11" t="str">
        <v>Survei Harga Produsen Gabah (HPG24) Agustus</v>
      </c>
      <c r="Y464" s="11" t="str">
        <v>PONTIANAK KOTA</v>
      </c>
      <c r="Z464" s="11" t="str">
        <v>SUNGAI BANGKONG</v>
      </c>
      <c r="AA464" s="67">
        <v>45504</v>
      </c>
      <c r="AB464" s="67">
        <v>45505</v>
      </c>
      <c r="AC464" s="67">
        <v>45535</v>
      </c>
      <c r="AD464" s="67">
        <v>45534</v>
      </c>
      <c r="AE464" s="67">
        <v>45535</v>
      </c>
    </row>
    <row r="465" spans="1:31" ht="12.5">
      <c r="A465" s="10">
        <v>610422100016</v>
      </c>
      <c r="B465" s="10" t="str">
        <v>SHPED24-LAPANGAN-AGUSTUS</v>
      </c>
      <c r="C465" s="10">
        <v>0</v>
      </c>
      <c r="D465" s="10">
        <f ca="1"/>
        <v>1</v>
      </c>
      <c r="E465" s="10" t="str">
        <v>Amalia Faisya</v>
      </c>
      <c r="F465" s="10" t="str">
        <v>PPL</v>
      </c>
      <c r="G465" s="10" t="str">
        <v>6102124210010005</v>
      </c>
      <c r="H465" s="10" t="str">
        <v>PENDATAAN KONSUMEN</v>
      </c>
      <c r="I465" s="10" t="str">
        <v>SHPED24-LAPANGAN-AGUSTUS-PPL-PENDATAAN KONSUMEN</v>
      </c>
      <c r="J465" s="10" t="str">
        <v>Dokumen</v>
      </c>
      <c r="K465" s="66">
        <v>65000</v>
      </c>
      <c r="L465" s="10">
        <v>3</v>
      </c>
      <c r="M465" s="10">
        <v>195000</v>
      </c>
      <c r="N465" s="10">
        <v>0</v>
      </c>
      <c r="O465" s="67">
        <v>45524</v>
      </c>
      <c r="P465" s="10">
        <v>2024</v>
      </c>
      <c r="Q465" s="10">
        <v>8</v>
      </c>
      <c r="R465" s="10" t="str">
        <v>SURVEI-PPL</v>
      </c>
      <c r="S465" s="10" t="str">
        <v>610422100016-2024-8</v>
      </c>
      <c r="T465" s="10" t="str">
        <v>610422100016-2024-8-SURVEI-PPL</v>
      </c>
      <c r="U465" s="10">
        <v>0</v>
      </c>
      <c r="V465" s="10" t="e">
        <f ca="1"/>
        <v>#NAME?</v>
      </c>
      <c r="W465" s="67">
        <v>0</v>
      </c>
      <c r="X465" s="11" t="str">
        <v>Survei Harga Perdesaan (SHPED24) Agustus</v>
      </c>
      <c r="Y465" s="11" t="str">
        <v>SUNGAI KUNYIT</v>
      </c>
      <c r="Z465" s="11" t="str">
        <v>SUNGAI KUNYIT LAUT</v>
      </c>
      <c r="AA465" s="67">
        <v>45504</v>
      </c>
      <c r="AB465" s="67">
        <v>45505</v>
      </c>
      <c r="AC465" s="67">
        <v>45535</v>
      </c>
      <c r="AD465" s="67">
        <v>45534</v>
      </c>
      <c r="AE465" s="67">
        <v>45535</v>
      </c>
    </row>
    <row r="466" spans="1:31" ht="12.5">
      <c r="A466" s="10">
        <v>610422050001</v>
      </c>
      <c r="B466" s="10" t="str">
        <v>SHPED24-LAPANGAN-AGUSTUS</v>
      </c>
      <c r="C466" s="10">
        <v>0</v>
      </c>
      <c r="D466" s="10">
        <f ca="1"/>
        <v>1</v>
      </c>
      <c r="E466" s="10" t="str">
        <v>Evi Juniarty</v>
      </c>
      <c r="F466" s="10" t="str">
        <v>PPL</v>
      </c>
      <c r="G466" s="10" t="str">
        <v>6102165101840001</v>
      </c>
      <c r="H466" s="10" t="str">
        <v>PENDATAAN KONSUMEN</v>
      </c>
      <c r="I466" s="10" t="str">
        <v>SHPED24-LAPANGAN-AGUSTUS-PPL-PENDATAAN KONSUMEN</v>
      </c>
      <c r="J466" s="10" t="str">
        <v>Dokumen</v>
      </c>
      <c r="K466" s="66">
        <v>65000</v>
      </c>
      <c r="L466" s="10">
        <v>3</v>
      </c>
      <c r="M466" s="10">
        <v>195000</v>
      </c>
      <c r="N466" s="10">
        <v>0</v>
      </c>
      <c r="O466" s="67">
        <v>45524</v>
      </c>
      <c r="P466" s="10">
        <v>2024</v>
      </c>
      <c r="Q466" s="10">
        <v>8</v>
      </c>
      <c r="R466" s="10" t="str">
        <v>SURVEI-PPL</v>
      </c>
      <c r="S466" s="10" t="str">
        <v>610422050001-2024-8</v>
      </c>
      <c r="T466" s="10" t="str">
        <v>610422050001-2024-8-SURVEI-PPL</v>
      </c>
      <c r="U466" s="10">
        <v>0</v>
      </c>
      <c r="V466" s="10" t="e">
        <f ca="1"/>
        <v>#NAME?</v>
      </c>
      <c r="W466" s="67">
        <v>0</v>
      </c>
      <c r="X466" s="11" t="str">
        <v>Survei Harga Perdesaan (SHPED24) Agustus</v>
      </c>
      <c r="Y466" s="11" t="str">
        <v>ANJONGAN</v>
      </c>
      <c r="Z466" s="11" t="str">
        <v>ANJUNGAN MELANCAR</v>
      </c>
      <c r="AA466" s="67">
        <v>45504</v>
      </c>
      <c r="AB466" s="67">
        <v>45505</v>
      </c>
      <c r="AC466" s="67">
        <v>45535</v>
      </c>
      <c r="AD466" s="67">
        <v>45534</v>
      </c>
      <c r="AE466" s="67">
        <v>45535</v>
      </c>
    </row>
    <row r="467" spans="1:31" ht="12.5">
      <c r="A467" s="10">
        <v>610422040030</v>
      </c>
      <c r="B467" s="10" t="str">
        <v>SHPED24-LAPANGAN-AGUSTUS</v>
      </c>
      <c r="C467" s="10">
        <v>0</v>
      </c>
      <c r="D467" s="10">
        <f ca="1"/>
        <v>1</v>
      </c>
      <c r="E467" s="10" t="str">
        <v>Syarifah Desti Pratiwi</v>
      </c>
      <c r="F467" s="10" t="str">
        <v>PPL</v>
      </c>
      <c r="G467" s="10" t="str">
        <v>6102084512950002</v>
      </c>
      <c r="H467" s="10" t="str">
        <v>PENDATAAN PRODUSEN</v>
      </c>
      <c r="I467" s="10" t="str">
        <v>SHPED24-LAPANGAN-AGUSTUS-PPL-PENDATAAN PRODUSEN</v>
      </c>
      <c r="J467" s="10" t="str">
        <v>Dokumen</v>
      </c>
      <c r="K467" s="66">
        <v>55000</v>
      </c>
      <c r="L467" s="10">
        <v>1</v>
      </c>
      <c r="M467" s="10">
        <v>55000</v>
      </c>
      <c r="N467" s="10">
        <v>0</v>
      </c>
      <c r="O467" s="67">
        <v>45524</v>
      </c>
      <c r="P467" s="10">
        <v>2024</v>
      </c>
      <c r="Q467" s="10">
        <v>8</v>
      </c>
      <c r="R467" s="10" t="str">
        <v>SURVEI-PPL</v>
      </c>
      <c r="S467" s="10" t="str">
        <v>610422040030-2024-8</v>
      </c>
      <c r="T467" s="10" t="str">
        <v>610422040030-2024-8-SURVEI-PPL</v>
      </c>
      <c r="U467" s="10">
        <v>0</v>
      </c>
      <c r="V467" s="10" t="e">
        <f ca="1"/>
        <v>#NAME?</v>
      </c>
      <c r="W467" s="67">
        <v>0</v>
      </c>
      <c r="X467" s="11" t="str">
        <v>Survei Harga Perdesaan (SHPED24) Agustus</v>
      </c>
      <c r="Y467" s="11" t="str">
        <v>JONGKAT</v>
      </c>
      <c r="Z467" s="11" t="str">
        <v>JUNGKAT</v>
      </c>
      <c r="AA467" s="67">
        <v>45504</v>
      </c>
      <c r="AB467" s="67">
        <v>45505</v>
      </c>
      <c r="AC467" s="67">
        <v>45535</v>
      </c>
      <c r="AD467" s="67">
        <v>45534</v>
      </c>
      <c r="AE467" s="67">
        <v>45535</v>
      </c>
    </row>
    <row r="468" spans="1:31" ht="12.5">
      <c r="A468" s="10">
        <v>610422100124</v>
      </c>
      <c r="B468" s="10" t="str">
        <v>SHPED24-LAPANGAN-AGUSTUS</v>
      </c>
      <c r="C468" s="10">
        <v>0</v>
      </c>
      <c r="D468" s="10">
        <f ca="1"/>
        <v>1</v>
      </c>
      <c r="E468" s="10" t="str">
        <v>Prabowo</v>
      </c>
      <c r="F468" s="10" t="str">
        <v>PPL</v>
      </c>
      <c r="G468" s="10" t="str">
        <v>6171010108790015</v>
      </c>
      <c r="H468" s="10" t="str">
        <v>PENDATAAN PRODUSEN</v>
      </c>
      <c r="I468" s="10" t="str">
        <v>SHPED24-LAPANGAN-AGUSTUS-PPL-PENDATAAN PRODUSEN</v>
      </c>
      <c r="J468" s="10" t="str">
        <v>Dokumen</v>
      </c>
      <c r="K468" s="66">
        <v>55000</v>
      </c>
      <c r="L468" s="10">
        <v>3</v>
      </c>
      <c r="M468" s="10">
        <v>165000</v>
      </c>
      <c r="N468" s="10">
        <v>0</v>
      </c>
      <c r="O468" s="67">
        <v>45524</v>
      </c>
      <c r="P468" s="10">
        <v>2024</v>
      </c>
      <c r="Q468" s="10">
        <v>8</v>
      </c>
      <c r="R468" s="10" t="str">
        <v>SURVEI-PPL</v>
      </c>
      <c r="S468" s="10" t="str">
        <v>610422100124-2024-8</v>
      </c>
      <c r="T468" s="10" t="str">
        <v>610422100124-2024-8-SURVEI-PPL</v>
      </c>
      <c r="U468" s="10">
        <v>0</v>
      </c>
      <c r="V468" s="10" t="e">
        <f ca="1"/>
        <v>#NAME?</v>
      </c>
      <c r="W468" s="67">
        <v>0</v>
      </c>
      <c r="X468" s="11" t="str">
        <v>Survei Harga Perdesaan (SHPED24) Agustus</v>
      </c>
      <c r="Y468" s="11" t="str">
        <v>PONTIANAK KOTA</v>
      </c>
      <c r="Z468" s="11" t="str">
        <v>SUNGAI BANGKONG</v>
      </c>
      <c r="AA468" s="67">
        <v>45504</v>
      </c>
      <c r="AB468" s="67">
        <v>45505</v>
      </c>
      <c r="AC468" s="67">
        <v>45535</v>
      </c>
      <c r="AD468" s="67">
        <v>45534</v>
      </c>
      <c r="AE468" s="67">
        <v>45535</v>
      </c>
    </row>
    <row r="469" spans="1:31" ht="12.5">
      <c r="A469" s="10">
        <v>610422100244</v>
      </c>
      <c r="B469" s="10" t="str">
        <v>SHPED24-LAPANGAN-AGUSTUS</v>
      </c>
      <c r="C469" s="10">
        <v>0</v>
      </c>
      <c r="D469" s="10">
        <f ca="1"/>
        <v>1</v>
      </c>
      <c r="E469" s="10" t="str">
        <v>Sugianto</v>
      </c>
      <c r="F469" s="10" t="str">
        <v>PPL</v>
      </c>
      <c r="G469" s="10" t="str">
        <v>6102171003900002</v>
      </c>
      <c r="H469" s="10" t="str">
        <v>PENDATAAN PRODUSEN</v>
      </c>
      <c r="I469" s="10" t="str">
        <v>SHPED24-LAPANGAN-AGUSTUS-PPL-PENDATAAN PRODUSEN</v>
      </c>
      <c r="J469" s="10" t="str">
        <v>Dokumen</v>
      </c>
      <c r="K469" s="66">
        <v>55000</v>
      </c>
      <c r="L469" s="10">
        <v>2</v>
      </c>
      <c r="M469" s="10">
        <v>110000</v>
      </c>
      <c r="N469" s="10">
        <v>0</v>
      </c>
      <c r="O469" s="67">
        <v>45524</v>
      </c>
      <c r="P469" s="10">
        <v>2024</v>
      </c>
      <c r="Q469" s="10">
        <v>8</v>
      </c>
      <c r="R469" s="10" t="str">
        <v>SURVEI-PPL</v>
      </c>
      <c r="S469" s="10" t="str">
        <v>610422100244-2024-8</v>
      </c>
      <c r="T469" s="10" t="str">
        <v>610422100244-2024-8-SURVEI-PPL</v>
      </c>
      <c r="U469" s="10">
        <v>0</v>
      </c>
      <c r="V469" s="10" t="e">
        <f ca="1"/>
        <v>#NAME?</v>
      </c>
      <c r="W469" s="67">
        <v>0</v>
      </c>
      <c r="X469" s="11" t="str">
        <v>Survei Harga Perdesaan (SHPED24) Agustus</v>
      </c>
      <c r="Y469" s="11" t="str">
        <v>SADANIANG</v>
      </c>
      <c r="Z469" s="11" t="str">
        <v>BUMBUN</v>
      </c>
      <c r="AA469" s="67">
        <v>45504</v>
      </c>
      <c r="AB469" s="67">
        <v>45505</v>
      </c>
      <c r="AC469" s="67">
        <v>45535</v>
      </c>
      <c r="AD469" s="67">
        <v>45534</v>
      </c>
      <c r="AE469" s="67">
        <v>45535</v>
      </c>
    </row>
    <row r="470" spans="1:31" ht="12.5">
      <c r="A470" s="10">
        <v>610422020016</v>
      </c>
      <c r="B470" s="10" t="str">
        <v>SHPED24-LAPANGAN-AGUSTUS</v>
      </c>
      <c r="C470" s="10">
        <v>0</v>
      </c>
      <c r="D470" s="10">
        <f ca="1"/>
        <v>1</v>
      </c>
      <c r="E470" s="10" t="str">
        <v>Abdul Aziz</v>
      </c>
      <c r="F470" s="10" t="str">
        <v>PPL</v>
      </c>
      <c r="G470" s="10" t="str">
        <v>6102061507950006</v>
      </c>
      <c r="H470" s="10" t="str">
        <v>PENDATAAN PRODUSEN</v>
      </c>
      <c r="I470" s="10" t="str">
        <v>SHPED24-LAPANGAN-AGUSTUS-PPL-PENDATAAN PRODUSEN</v>
      </c>
      <c r="J470" s="10" t="str">
        <v>Dokumen</v>
      </c>
      <c r="K470" s="66">
        <v>55000</v>
      </c>
      <c r="L470" s="10">
        <v>3</v>
      </c>
      <c r="M470" s="10">
        <v>165000</v>
      </c>
      <c r="N470" s="10">
        <v>0</v>
      </c>
      <c r="O470" s="67">
        <v>45524</v>
      </c>
      <c r="P470" s="10">
        <v>2024</v>
      </c>
      <c r="Q470" s="10">
        <v>8</v>
      </c>
      <c r="R470" s="10" t="str">
        <v>SURVEI-PPL</v>
      </c>
      <c r="S470" s="10" t="str">
        <v>610422020016-2024-8</v>
      </c>
      <c r="T470" s="10" t="str">
        <v>610422020016-2024-8-SURVEI-PPL</v>
      </c>
      <c r="U470" s="10">
        <v>0</v>
      </c>
      <c r="V470" s="10" t="e">
        <f ca="1"/>
        <v>#NAME?</v>
      </c>
      <c r="W470" s="67">
        <v>0</v>
      </c>
      <c r="X470" s="11" t="str">
        <v>Survei Harga Perdesaan (SHPED24) Agustus</v>
      </c>
      <c r="Y470" s="11" t="str">
        <v>TOHO</v>
      </c>
      <c r="Z470" s="11" t="str">
        <v>SAMBORA</v>
      </c>
      <c r="AA470" s="67">
        <v>45504</v>
      </c>
      <c r="AB470" s="67">
        <v>45505</v>
      </c>
      <c r="AC470" s="67">
        <v>45535</v>
      </c>
      <c r="AD470" s="67">
        <v>45534</v>
      </c>
      <c r="AE470" s="67">
        <v>45535</v>
      </c>
    </row>
    <row r="471" spans="1:31" ht="12.5">
      <c r="A471" s="10">
        <v>610422100016</v>
      </c>
      <c r="B471" s="10" t="str">
        <v>SHPED24-LAPANGAN-AGUSTUS</v>
      </c>
      <c r="C471" s="10">
        <v>0</v>
      </c>
      <c r="D471" s="10">
        <f ca="1"/>
        <v>1</v>
      </c>
      <c r="E471" s="10" t="str">
        <v>Amalia Faisya</v>
      </c>
      <c r="F471" s="10" t="str">
        <v>PPL</v>
      </c>
      <c r="G471" s="10" t="str">
        <v>6102124210010005</v>
      </c>
      <c r="H471" s="10" t="str">
        <v>PENDATAAN PRODUSEN</v>
      </c>
      <c r="I471" s="10" t="str">
        <v>SHPED24-LAPANGAN-AGUSTUS-PPL-PENDATAAN PRODUSEN</v>
      </c>
      <c r="J471" s="10" t="str">
        <v>Dokumen</v>
      </c>
      <c r="K471" s="66">
        <v>55000</v>
      </c>
      <c r="L471" s="10">
        <v>1</v>
      </c>
      <c r="M471" s="10">
        <v>55000</v>
      </c>
      <c r="N471" s="10">
        <v>0</v>
      </c>
      <c r="O471" s="67">
        <v>45524</v>
      </c>
      <c r="P471" s="10">
        <v>2024</v>
      </c>
      <c r="Q471" s="10">
        <v>8</v>
      </c>
      <c r="R471" s="10" t="str">
        <v>SURVEI-PPL</v>
      </c>
      <c r="S471" s="10" t="str">
        <v>610422100016-2024-8</v>
      </c>
      <c r="T471" s="10" t="str">
        <v>610422100016-2024-8-SURVEI-PPL</v>
      </c>
      <c r="U471" s="10">
        <v>0</v>
      </c>
      <c r="V471" s="10" t="e">
        <f ca="1"/>
        <v>#NAME?</v>
      </c>
      <c r="W471" s="67">
        <v>0</v>
      </c>
      <c r="X471" s="11" t="str">
        <v>Survei Harga Perdesaan (SHPED24) Agustus</v>
      </c>
      <c r="Y471" s="11" t="str">
        <v>SUNGAI KUNYIT</v>
      </c>
      <c r="Z471" s="11" t="str">
        <v>SUNGAI KUNYIT LAUT</v>
      </c>
      <c r="AA471" s="67">
        <v>45504</v>
      </c>
      <c r="AB471" s="67">
        <v>45505</v>
      </c>
      <c r="AC471" s="67">
        <v>45535</v>
      </c>
      <c r="AD471" s="67">
        <v>45534</v>
      </c>
      <c r="AE471" s="67">
        <v>45535</v>
      </c>
    </row>
    <row r="472" spans="1:31" ht="12.5">
      <c r="A472" s="10">
        <v>610422020048</v>
      </c>
      <c r="B472" s="10" t="str">
        <v>SHPED24-LAPANGAN-AGUSTUS</v>
      </c>
      <c r="C472" s="10">
        <v>0</v>
      </c>
      <c r="D472" s="10">
        <f ca="1"/>
        <v>1</v>
      </c>
      <c r="E472" s="10" t="str">
        <v>Herri Gustaman</v>
      </c>
      <c r="F472" s="10" t="str">
        <v>PPL</v>
      </c>
      <c r="G472" s="10" t="str">
        <v>6102072503800001</v>
      </c>
      <c r="H472" s="10" t="str">
        <v>PENDATAAN PRODUSEN</v>
      </c>
      <c r="I472" s="10" t="str">
        <v>SHPED24-LAPANGAN-AGUSTUS-PPL-PENDATAAN PRODUSEN</v>
      </c>
      <c r="J472" s="10" t="str">
        <v>Dokumen</v>
      </c>
      <c r="K472" s="66">
        <v>55000</v>
      </c>
      <c r="L472" s="10">
        <v>3</v>
      </c>
      <c r="M472" s="10">
        <v>165000</v>
      </c>
      <c r="N472" s="10">
        <v>0</v>
      </c>
      <c r="O472" s="67">
        <v>45524</v>
      </c>
      <c r="P472" s="10">
        <v>2024</v>
      </c>
      <c r="Q472" s="10">
        <v>8</v>
      </c>
      <c r="R472" s="10" t="str">
        <v>SURVEI-PPL</v>
      </c>
      <c r="S472" s="10" t="str">
        <v>610422020048-2024-8</v>
      </c>
      <c r="T472" s="10" t="str">
        <v>610422020048-2024-8-SURVEI-PPL</v>
      </c>
      <c r="U472" s="10">
        <v>0</v>
      </c>
      <c r="V472" s="10" t="e">
        <f ca="1"/>
        <v>#NAME?</v>
      </c>
      <c r="W472" s="67">
        <v>0</v>
      </c>
      <c r="X472" s="11" t="str">
        <v>Survei Harga Perdesaan (SHPED24) Agustus</v>
      </c>
      <c r="Y472" s="11" t="str">
        <v>MEMPAWAH TIMUR</v>
      </c>
      <c r="Z472" s="11" t="str">
        <v>SEJEGI</v>
      </c>
      <c r="AA472" s="67">
        <v>45504</v>
      </c>
      <c r="AB472" s="67">
        <v>45505</v>
      </c>
      <c r="AC472" s="67">
        <v>45535</v>
      </c>
      <c r="AD472" s="67">
        <v>45534</v>
      </c>
      <c r="AE472" s="67">
        <v>45535</v>
      </c>
    </row>
    <row r="473" spans="1:31" ht="12.5">
      <c r="A473" s="10">
        <v>610422040029</v>
      </c>
      <c r="B473" s="10" t="str">
        <v>SHPED24-LAPANGAN-AGUSTUS</v>
      </c>
      <c r="C473" s="10">
        <v>0</v>
      </c>
      <c r="D473" s="10">
        <f ca="1"/>
        <v>1</v>
      </c>
      <c r="E473" s="10" t="str">
        <v>Zaini</v>
      </c>
      <c r="F473" s="10" t="str">
        <v>PPL</v>
      </c>
      <c r="G473" s="10" t="str">
        <v>6102010607870002</v>
      </c>
      <c r="H473" s="10" t="str">
        <v>PENDATAAN PRODUSEN</v>
      </c>
      <c r="I473" s="10" t="str">
        <v>SHPED24-LAPANGAN-AGUSTUS-PPL-PENDATAAN PRODUSEN</v>
      </c>
      <c r="J473" s="10" t="str">
        <v>Dokumen</v>
      </c>
      <c r="K473" s="66">
        <v>55000</v>
      </c>
      <c r="L473" s="10">
        <v>4</v>
      </c>
      <c r="M473" s="10">
        <v>220000</v>
      </c>
      <c r="N473" s="10">
        <v>0</v>
      </c>
      <c r="O473" s="67">
        <v>45524</v>
      </c>
      <c r="P473" s="10">
        <v>2024</v>
      </c>
      <c r="Q473" s="10">
        <v>8</v>
      </c>
      <c r="R473" s="10" t="str">
        <v>SURVEI-PPL</v>
      </c>
      <c r="S473" s="10" t="str">
        <v>610422040029-2024-8</v>
      </c>
      <c r="T473" s="10" t="str">
        <v>610422040029-2024-8-SURVEI-PPL</v>
      </c>
      <c r="U473" s="10">
        <v>0</v>
      </c>
      <c r="V473" s="10" t="e">
        <f ca="1"/>
        <v>#NAME?</v>
      </c>
      <c r="W473" s="67">
        <v>0</v>
      </c>
      <c r="X473" s="11" t="str">
        <v>Survei Harga Perdesaan (SHPED24) Agustus</v>
      </c>
      <c r="Y473" s="11" t="str">
        <v>MEMPAWAH HILIR</v>
      </c>
      <c r="Z473" s="11" t="str">
        <v>TENGAH</v>
      </c>
      <c r="AA473" s="67">
        <v>45504</v>
      </c>
      <c r="AB473" s="67">
        <v>45505</v>
      </c>
      <c r="AC473" s="67">
        <v>45535</v>
      </c>
      <c r="AD473" s="67">
        <v>45534</v>
      </c>
      <c r="AE473" s="67">
        <v>45535</v>
      </c>
    </row>
    <row r="474" spans="1:31" ht="12.5">
      <c r="A474" s="10">
        <v>610422050001</v>
      </c>
      <c r="B474" s="10" t="str">
        <v>SHPED24-LAPANGAN-AGUSTUS</v>
      </c>
      <c r="C474" s="10">
        <v>0</v>
      </c>
      <c r="D474" s="10">
        <f ca="1"/>
        <v>1</v>
      </c>
      <c r="E474" s="10" t="str">
        <v>Evi Juniarty</v>
      </c>
      <c r="F474" s="10" t="str">
        <v>PPL</v>
      </c>
      <c r="G474" s="10" t="str">
        <v>6102165101840001</v>
      </c>
      <c r="H474" s="10" t="str">
        <v>PENDATAAN PRODUSEN</v>
      </c>
      <c r="I474" s="10" t="str">
        <v>SHPED24-LAPANGAN-AGUSTUS-PPL-PENDATAAN PRODUSEN</v>
      </c>
      <c r="J474" s="10" t="str">
        <v>Dokumen</v>
      </c>
      <c r="K474" s="66">
        <v>55000</v>
      </c>
      <c r="L474" s="10">
        <v>1</v>
      </c>
      <c r="M474" s="10">
        <v>55000</v>
      </c>
      <c r="N474" s="10">
        <v>0</v>
      </c>
      <c r="O474" s="67">
        <v>45524</v>
      </c>
      <c r="P474" s="10">
        <v>2024</v>
      </c>
      <c r="Q474" s="10">
        <v>8</v>
      </c>
      <c r="R474" s="10" t="str">
        <v>SURVEI-PPL</v>
      </c>
      <c r="S474" s="10" t="str">
        <v>610422050001-2024-8</v>
      </c>
      <c r="T474" s="10" t="str">
        <v>610422050001-2024-8-SURVEI-PPL</v>
      </c>
      <c r="U474" s="10">
        <v>0</v>
      </c>
      <c r="V474" s="10" t="e">
        <f ca="1"/>
        <v>#NAME?</v>
      </c>
      <c r="W474" s="67">
        <v>0</v>
      </c>
      <c r="X474" s="11" t="str">
        <v>Survei Harga Perdesaan (SHPED24) Agustus</v>
      </c>
      <c r="Y474" s="11" t="str">
        <v>ANJONGAN</v>
      </c>
      <c r="Z474" s="11" t="str">
        <v>ANJUNGAN MELANCAR</v>
      </c>
      <c r="AA474" s="67">
        <v>45504</v>
      </c>
      <c r="AB474" s="67">
        <v>45505</v>
      </c>
      <c r="AC474" s="67">
        <v>45535</v>
      </c>
      <c r="AD474" s="67">
        <v>45534</v>
      </c>
      <c r="AE474" s="67">
        <v>45535</v>
      </c>
    </row>
    <row r="475" spans="1:31" ht="12.5">
      <c r="A475" s="10">
        <v>610422100124</v>
      </c>
      <c r="B475" s="10" t="str">
        <v>HPBG24-LAPANGAN-AGUSTUS</v>
      </c>
      <c r="C475" s="10">
        <v>0</v>
      </c>
      <c r="D475" s="10">
        <f ca="1"/>
        <v>1</v>
      </c>
      <c r="E475" s="10" t="str">
        <v>Prabowo</v>
      </c>
      <c r="F475" s="10" t="str">
        <v>PPL</v>
      </c>
      <c r="G475" s="10" t="str">
        <v>6171010108790015</v>
      </c>
      <c r="H475" s="10" t="str">
        <v>PENDATAAN</v>
      </c>
      <c r="I475" s="10" t="str">
        <v>HPBG24-LAPANGAN-AGUSTUS-PPL-PENDATAAN</v>
      </c>
      <c r="J475" s="10" t="str">
        <v>Dokumen</v>
      </c>
      <c r="K475" s="66">
        <v>55000</v>
      </c>
      <c r="L475" s="10">
        <v>2</v>
      </c>
      <c r="M475" s="10">
        <v>110000</v>
      </c>
      <c r="N475" s="10">
        <v>0</v>
      </c>
      <c r="O475" s="67">
        <v>45524</v>
      </c>
      <c r="P475" s="10">
        <v>2024</v>
      </c>
      <c r="Q475" s="10">
        <v>8</v>
      </c>
      <c r="R475" s="10" t="str">
        <v>SURVEI-PPL</v>
      </c>
      <c r="S475" s="10" t="str">
        <v>610422100124-2024-8</v>
      </c>
      <c r="T475" s="10" t="str">
        <v>610422100124-2024-8-SURVEI-PPL</v>
      </c>
      <c r="U475" s="10">
        <v>0</v>
      </c>
      <c r="V475" s="10" t="e">
        <f ca="1"/>
        <v>#NAME?</v>
      </c>
      <c r="W475" s="67">
        <v>0</v>
      </c>
      <c r="X475" s="11" t="str">
        <v>Survei Harga Produsen Beras di Penggilingan 2024 (HPBG24) Agustus</v>
      </c>
      <c r="Y475" s="11" t="str">
        <v>PONTIANAK KOTA</v>
      </c>
      <c r="Z475" s="11" t="str">
        <v>SUNGAI BANGKONG</v>
      </c>
      <c r="AA475" s="67">
        <v>45504</v>
      </c>
      <c r="AB475" s="67">
        <v>45505</v>
      </c>
      <c r="AC475" s="67">
        <v>45535</v>
      </c>
      <c r="AD475" s="67">
        <v>45534</v>
      </c>
      <c r="AE475" s="67">
        <v>45535</v>
      </c>
    </row>
    <row r="476" spans="1:31" ht="12.5">
      <c r="A476" s="10">
        <v>610422100244</v>
      </c>
      <c r="B476" s="10" t="str">
        <v>HPBG24-LAPANGAN-AGUSTUS</v>
      </c>
      <c r="C476" s="10">
        <v>0</v>
      </c>
      <c r="D476" s="10">
        <f ca="1"/>
        <v>1</v>
      </c>
      <c r="E476" s="10" t="str">
        <v>Sugianto</v>
      </c>
      <c r="F476" s="10" t="str">
        <v>PPL</v>
      </c>
      <c r="G476" s="10" t="str">
        <v>6102171003900002</v>
      </c>
      <c r="H476" s="10" t="str">
        <v>PENDATAAN</v>
      </c>
      <c r="I476" s="10" t="str">
        <v>HPBG24-LAPANGAN-AGUSTUS-PPL-PENDATAAN</v>
      </c>
      <c r="J476" s="10" t="str">
        <v>Dokumen</v>
      </c>
      <c r="K476" s="66">
        <v>55000</v>
      </c>
      <c r="L476" s="10">
        <v>2</v>
      </c>
      <c r="M476" s="10">
        <v>110000</v>
      </c>
      <c r="N476" s="10">
        <v>0</v>
      </c>
      <c r="O476" s="67">
        <v>45524</v>
      </c>
      <c r="P476" s="10">
        <v>2024</v>
      </c>
      <c r="Q476" s="10">
        <v>8</v>
      </c>
      <c r="R476" s="10" t="str">
        <v>SURVEI-PPL</v>
      </c>
      <c r="S476" s="10" t="str">
        <v>610422100244-2024-8</v>
      </c>
      <c r="T476" s="10" t="str">
        <v>610422100244-2024-8-SURVEI-PPL</v>
      </c>
      <c r="U476" s="10">
        <v>0</v>
      </c>
      <c r="V476" s="10" t="e">
        <f ca="1"/>
        <v>#NAME?</v>
      </c>
      <c r="W476" s="67">
        <v>0</v>
      </c>
      <c r="X476" s="11" t="str">
        <v>Survei Harga Produsen Beras di Penggilingan 2024 (HPBG24) Agustus</v>
      </c>
      <c r="Y476" s="11" t="str">
        <v>SADANIANG</v>
      </c>
      <c r="Z476" s="11" t="str">
        <v>BUMBUN</v>
      </c>
      <c r="AA476" s="67">
        <v>45504</v>
      </c>
      <c r="AB476" s="67">
        <v>45505</v>
      </c>
      <c r="AC476" s="67">
        <v>45535</v>
      </c>
      <c r="AD476" s="67">
        <v>45534</v>
      </c>
      <c r="AE476" s="67">
        <v>45535</v>
      </c>
    </row>
    <row r="477" spans="1:31" ht="12.5">
      <c r="A477" s="10">
        <v>610422100165</v>
      </c>
      <c r="B477" s="10" t="str">
        <v>HPBG24-LAPANGAN-AGUSTUS</v>
      </c>
      <c r="C477" s="10">
        <v>0</v>
      </c>
      <c r="D477" s="10">
        <f ca="1"/>
        <v>1</v>
      </c>
      <c r="E477" s="10" t="str">
        <v>Yanti</v>
      </c>
      <c r="F477" s="10" t="str">
        <v>PPL</v>
      </c>
      <c r="G477" s="10" t="str">
        <v>6102074803980002</v>
      </c>
      <c r="H477" s="10" t="str">
        <v>PENDATAAN</v>
      </c>
      <c r="I477" s="10" t="str">
        <v>HPBG24-LAPANGAN-AGUSTUS-PPL-PENDATAAN</v>
      </c>
      <c r="J477" s="10" t="str">
        <v>Dokumen</v>
      </c>
      <c r="K477" s="66">
        <v>55000</v>
      </c>
      <c r="L477" s="10">
        <v>2</v>
      </c>
      <c r="M477" s="10">
        <v>110000</v>
      </c>
      <c r="N477" s="10">
        <v>0</v>
      </c>
      <c r="O477" s="67">
        <v>45524</v>
      </c>
      <c r="P477" s="10">
        <v>2024</v>
      </c>
      <c r="Q477" s="10">
        <v>8</v>
      </c>
      <c r="R477" s="10" t="str">
        <v>SURVEI-PPL</v>
      </c>
      <c r="S477" s="10" t="str">
        <v>610422100165-2024-8</v>
      </c>
      <c r="T477" s="10" t="str">
        <v>610422100165-2024-8-SURVEI-PPL</v>
      </c>
      <c r="U477" s="10">
        <v>0</v>
      </c>
      <c r="V477" s="10" t="e">
        <f ca="1"/>
        <v>#NAME?</v>
      </c>
      <c r="W477" s="67">
        <v>0</v>
      </c>
      <c r="X477" s="11" t="str">
        <v>Survei Harga Produsen Beras di Penggilingan 2024 (HPBG24) Agustus</v>
      </c>
      <c r="Y477" s="11" t="str">
        <v>SUNGAI PINYUH</v>
      </c>
      <c r="Z477" s="11" t="str">
        <v>SUNGAI BAKAU BESAR LAUT</v>
      </c>
      <c r="AA477" s="67">
        <v>45504</v>
      </c>
      <c r="AB477" s="67">
        <v>45505</v>
      </c>
      <c r="AC477" s="67">
        <v>45535</v>
      </c>
      <c r="AD477" s="67">
        <v>45534</v>
      </c>
      <c r="AE477" s="67">
        <v>45535</v>
      </c>
    </row>
    <row r="478" spans="1:31" ht="12.5">
      <c r="A478" s="10">
        <v>610422100165</v>
      </c>
      <c r="B478" s="10" t="str">
        <v>HPJ24-LAPANGAN-AGUSTUS</v>
      </c>
      <c r="C478" s="10">
        <v>0</v>
      </c>
      <c r="D478" s="10">
        <f ca="1"/>
        <v>1</v>
      </c>
      <c r="E478" s="10" t="str">
        <v>Yanti</v>
      </c>
      <c r="F478" s="10" t="str">
        <v>PPL</v>
      </c>
      <c r="G478" s="10" t="str">
        <v>6102074803980002</v>
      </c>
      <c r="H478" s="10" t="str">
        <v>PENDATAAN</v>
      </c>
      <c r="I478" s="10" t="str">
        <v>HPJ24-LAPANGAN-AGUSTUS-PPL-PENDATAAN</v>
      </c>
      <c r="J478" s="10" t="str">
        <v>Dokumen</v>
      </c>
      <c r="K478" s="66">
        <v>50000</v>
      </c>
      <c r="L478" s="10">
        <v>1</v>
      </c>
      <c r="M478" s="10">
        <v>50000</v>
      </c>
      <c r="N478" s="10">
        <v>0</v>
      </c>
      <c r="O478" s="67">
        <v>45524</v>
      </c>
      <c r="P478" s="10">
        <v>2024</v>
      </c>
      <c r="Q478" s="10">
        <v>8</v>
      </c>
      <c r="R478" s="10" t="str">
        <v>SURVEI-PPL</v>
      </c>
      <c r="S478" s="10" t="str">
        <v>610422100165-2024-8</v>
      </c>
      <c r="T478" s="10" t="str">
        <v>610422100165-2024-8-SURVEI-PPL</v>
      </c>
      <c r="U478" s="10">
        <v>0</v>
      </c>
      <c r="V478" s="10" t="e">
        <f ca="1"/>
        <v>#NAME?</v>
      </c>
      <c r="W478" s="67">
        <v>0</v>
      </c>
      <c r="X478" s="11" t="str">
        <v>Survei Harga Produsen Jasa (HPJ24) Agustus</v>
      </c>
      <c r="Y478" s="11" t="str">
        <v>SUNGAI PINYUH</v>
      </c>
      <c r="Z478" s="11" t="str">
        <v>SUNGAI BAKAU BESAR LAUT</v>
      </c>
      <c r="AA478" s="67">
        <v>45504</v>
      </c>
      <c r="AB478" s="67">
        <v>45505</v>
      </c>
      <c r="AC478" s="67">
        <v>45535</v>
      </c>
      <c r="AD478" s="67">
        <v>45534</v>
      </c>
      <c r="AE478" s="67">
        <v>45535</v>
      </c>
    </row>
    <row r="479" spans="1:31" ht="12.5">
      <c r="A479" s="10">
        <v>610422040029</v>
      </c>
      <c r="B479" s="10" t="str">
        <v>VHTS24-LAPANGAN-AGUSTUS</v>
      </c>
      <c r="C479" s="10">
        <v>0</v>
      </c>
      <c r="D479" s="10">
        <f ca="1"/>
        <v>1</v>
      </c>
      <c r="E479" s="10" t="str">
        <v>Zaini</v>
      </c>
      <c r="F479" s="10" t="str">
        <v>PPL</v>
      </c>
      <c r="G479" s="10" t="str">
        <v>6102010607870002</v>
      </c>
      <c r="H479" s="10" t="str">
        <v>PENDATAAN</v>
      </c>
      <c r="I479" s="10" t="str">
        <v>VHTS24-LAPANGAN-AGUSTUS-PPL-PENDATAAN</v>
      </c>
      <c r="J479" s="10" t="str">
        <v>Dokumen</v>
      </c>
      <c r="K479" s="66">
        <v>55000</v>
      </c>
      <c r="L479" s="10">
        <v>3</v>
      </c>
      <c r="M479" s="10">
        <v>165000</v>
      </c>
      <c r="N479" s="10">
        <v>0</v>
      </c>
      <c r="O479" s="67">
        <v>45524</v>
      </c>
      <c r="P479" s="10">
        <v>2024</v>
      </c>
      <c r="Q479" s="10">
        <v>8</v>
      </c>
      <c r="R479" s="10" t="str">
        <v>SURVEI-PPL</v>
      </c>
      <c r="S479" s="10" t="str">
        <v>610422040029-2024-8</v>
      </c>
      <c r="T479" s="10" t="str">
        <v>610422040029-2024-8-SURVEI-PPL</v>
      </c>
      <c r="U479" s="10">
        <v>0</v>
      </c>
      <c r="V479" s="10" t="e">
        <f ca="1"/>
        <v>#NAME?</v>
      </c>
      <c r="W479" s="67">
        <v>0</v>
      </c>
      <c r="X479" s="11" t="str">
        <v>Survei Hotel dan Jasa Akomodasi Bulanan (VHTS) 2024 Agustus</v>
      </c>
      <c r="Y479" s="11" t="str">
        <v>MEMPAWAH HILIR</v>
      </c>
      <c r="Z479" s="11" t="str">
        <v>TENGAH</v>
      </c>
      <c r="AA479" s="67">
        <v>45504</v>
      </c>
      <c r="AB479" s="67">
        <v>45505</v>
      </c>
      <c r="AC479" s="67">
        <v>45535</v>
      </c>
      <c r="AD479" s="67">
        <v>45534</v>
      </c>
      <c r="AE479" s="67">
        <v>45535</v>
      </c>
    </row>
    <row r="480" spans="1:31" ht="12.5">
      <c r="A480" s="10">
        <v>610422100165</v>
      </c>
      <c r="B480" s="10" t="str">
        <v>VHTS24-LAPANGAN-AGUSTUS</v>
      </c>
      <c r="C480" s="10">
        <v>0</v>
      </c>
      <c r="D480" s="10">
        <f ca="1"/>
        <v>1</v>
      </c>
      <c r="E480" s="10" t="str">
        <v>Yanti</v>
      </c>
      <c r="F480" s="10" t="str">
        <v>PPL</v>
      </c>
      <c r="G480" s="10" t="str">
        <v>6102074803980002</v>
      </c>
      <c r="H480" s="10" t="str">
        <v>PENDATAAN</v>
      </c>
      <c r="I480" s="10" t="str">
        <v>VHTS24-LAPANGAN-AGUSTUS-PPL-PENDATAAN</v>
      </c>
      <c r="J480" s="10" t="str">
        <v>Dokumen</v>
      </c>
      <c r="K480" s="66">
        <v>55000</v>
      </c>
      <c r="L480" s="10">
        <v>3</v>
      </c>
      <c r="M480" s="10">
        <v>165000</v>
      </c>
      <c r="N480" s="10">
        <v>0</v>
      </c>
      <c r="O480" s="67">
        <v>45524</v>
      </c>
      <c r="P480" s="10">
        <v>2024</v>
      </c>
      <c r="Q480" s="10">
        <v>8</v>
      </c>
      <c r="R480" s="10" t="str">
        <v>SURVEI-PPL</v>
      </c>
      <c r="S480" s="10" t="str">
        <v>610422100165-2024-8</v>
      </c>
      <c r="T480" s="10" t="str">
        <v>610422100165-2024-8-SURVEI-PPL</v>
      </c>
      <c r="U480" s="10">
        <v>0</v>
      </c>
      <c r="V480" s="10" t="e">
        <f ca="1"/>
        <v>#NAME?</v>
      </c>
      <c r="W480" s="67">
        <v>0</v>
      </c>
      <c r="X480" s="11" t="str">
        <v>Survei Hotel dan Jasa Akomodasi Bulanan (VHTS) 2024 Agustus</v>
      </c>
      <c r="Y480" s="11" t="str">
        <v>SUNGAI PINYUH</v>
      </c>
      <c r="Z480" s="11" t="str">
        <v>SUNGAI BAKAU BESAR LAUT</v>
      </c>
      <c r="AA480" s="67">
        <v>45504</v>
      </c>
      <c r="AB480" s="67">
        <v>45505</v>
      </c>
      <c r="AC480" s="67">
        <v>45535</v>
      </c>
      <c r="AD480" s="67">
        <v>45534</v>
      </c>
      <c r="AE480" s="67">
        <v>45535</v>
      </c>
    </row>
    <row r="481" spans="1:31" ht="12.5">
      <c r="A481" s="10">
        <v>610422050001</v>
      </c>
      <c r="B481" s="10" t="str">
        <v>VHTS24-LAPANGAN-AGUSTUS</v>
      </c>
      <c r="C481" s="10">
        <v>0</v>
      </c>
      <c r="D481" s="10">
        <f ca="1"/>
        <v>1</v>
      </c>
      <c r="E481" s="10" t="str">
        <v>Evi Juniarty</v>
      </c>
      <c r="F481" s="10" t="str">
        <v>PPL</v>
      </c>
      <c r="G481" s="10" t="str">
        <v>6102165101840001</v>
      </c>
      <c r="H481" s="10" t="str">
        <v>PENDATAAN</v>
      </c>
      <c r="I481" s="10" t="str">
        <v>VHTS24-LAPANGAN-AGUSTUS-PPL-PENDATAAN</v>
      </c>
      <c r="J481" s="10" t="str">
        <v>Dokumen</v>
      </c>
      <c r="K481" s="66">
        <v>55000</v>
      </c>
      <c r="L481" s="10">
        <v>3</v>
      </c>
      <c r="M481" s="10">
        <v>165000</v>
      </c>
      <c r="N481" s="10">
        <v>0</v>
      </c>
      <c r="O481" s="67">
        <v>45524</v>
      </c>
      <c r="P481" s="10">
        <v>2024</v>
      </c>
      <c r="Q481" s="10">
        <v>8</v>
      </c>
      <c r="R481" s="10" t="str">
        <v>SURVEI-PPL</v>
      </c>
      <c r="S481" s="10" t="str">
        <v>610422050001-2024-8</v>
      </c>
      <c r="T481" s="10" t="str">
        <v>610422050001-2024-8-SURVEI-PPL</v>
      </c>
      <c r="U481" s="10">
        <v>0</v>
      </c>
      <c r="V481" s="10" t="e">
        <f ca="1"/>
        <v>#NAME?</v>
      </c>
      <c r="W481" s="67">
        <v>0</v>
      </c>
      <c r="X481" s="11" t="str">
        <v>Survei Hotel dan Jasa Akomodasi Bulanan (VHTS) 2024 Agustus</v>
      </c>
      <c r="Y481" s="11" t="str">
        <v>ANJONGAN</v>
      </c>
      <c r="Z481" s="11" t="str">
        <v>ANJUNGAN MELANCAR</v>
      </c>
      <c r="AA481" s="67">
        <v>45504</v>
      </c>
      <c r="AB481" s="67">
        <v>45505</v>
      </c>
      <c r="AC481" s="67">
        <v>45535</v>
      </c>
      <c r="AD481" s="67">
        <v>45534</v>
      </c>
      <c r="AE481" s="67">
        <v>45535</v>
      </c>
    </row>
    <row r="482" spans="1:31" ht="12.5">
      <c r="A482" s="10">
        <v>610422040056</v>
      </c>
      <c r="B482" s="10" t="str">
        <v>VHTS24-LAPANGAN-AGUSTUS</v>
      </c>
      <c r="C482" s="10">
        <v>0</v>
      </c>
      <c r="D482" s="10">
        <f ca="1"/>
        <v>1</v>
      </c>
      <c r="E482" s="10" t="str">
        <v>Wandi Syafari</v>
      </c>
      <c r="F482" s="10" t="str">
        <v>PPL</v>
      </c>
      <c r="G482" s="10" t="str">
        <v>6102010802760001</v>
      </c>
      <c r="H482" s="10" t="str">
        <v>PENDATAAN</v>
      </c>
      <c r="I482" s="10" t="str">
        <v>VHTS24-LAPANGAN-AGUSTUS-PPL-PENDATAAN</v>
      </c>
      <c r="J482" s="10" t="str">
        <v>Dokumen</v>
      </c>
      <c r="K482" s="66">
        <v>55000</v>
      </c>
      <c r="L482" s="10">
        <v>2</v>
      </c>
      <c r="M482" s="10">
        <v>110000</v>
      </c>
      <c r="N482" s="10">
        <v>0</v>
      </c>
      <c r="O482" s="67">
        <v>45524</v>
      </c>
      <c r="P482" s="10">
        <v>2024</v>
      </c>
      <c r="Q482" s="10">
        <v>8</v>
      </c>
      <c r="R482" s="10" t="str">
        <v>SURVEI-PPL</v>
      </c>
      <c r="S482" s="10" t="str">
        <v>610422040056-2024-8</v>
      </c>
      <c r="T482" s="10" t="str">
        <v>610422040056-2024-8-SURVEI-PPL</v>
      </c>
      <c r="U482" s="10">
        <v>0</v>
      </c>
      <c r="V482" s="10" t="e">
        <f ca="1"/>
        <v>#NAME?</v>
      </c>
      <c r="W482" s="67">
        <v>0</v>
      </c>
      <c r="X482" s="11" t="str">
        <v>Survei Hotel dan Jasa Akomodasi Bulanan (VHTS) 2024 Agustus</v>
      </c>
      <c r="Y482" s="11" t="str">
        <v>MEMPAWAH HILIR</v>
      </c>
      <c r="Z482" s="11" t="str">
        <v>TERUSAN</v>
      </c>
      <c r="AA482" s="67">
        <v>45504</v>
      </c>
      <c r="AB482" s="67">
        <v>45505</v>
      </c>
      <c r="AC482" s="67">
        <v>45535</v>
      </c>
      <c r="AD482" s="67">
        <v>45534</v>
      </c>
      <c r="AE482" s="67">
        <v>45535</v>
      </c>
    </row>
    <row r="483" spans="1:31" ht="12.5">
      <c r="A483" s="10">
        <v>610422040012</v>
      </c>
      <c r="B483" s="10" t="str">
        <v>KSA24-LAPANGAN-AGUSTUS</v>
      </c>
      <c r="C483" s="10">
        <v>0</v>
      </c>
      <c r="D483" s="10">
        <f ca="1"/>
        <v>1</v>
      </c>
      <c r="E483" s="10" t="str">
        <v>Misdi</v>
      </c>
      <c r="F483" s="10" t="str">
        <v>PPL</v>
      </c>
      <c r="G483" s="10" t="str">
        <v>6102070706940001</v>
      </c>
      <c r="H483" s="10" t="str">
        <v>KSA PADI</v>
      </c>
      <c r="I483" s="10" t="str">
        <v>KSA24-LAPANGAN-AGUSTUS-PPL-KSA PADI</v>
      </c>
      <c r="J483" s="10" t="str">
        <v>Segmen</v>
      </c>
      <c r="K483" s="66">
        <v>116000</v>
      </c>
      <c r="L483" s="10">
        <v>3</v>
      </c>
      <c r="M483" s="10">
        <v>348000</v>
      </c>
      <c r="N483" s="10">
        <v>0</v>
      </c>
      <c r="O483" s="67">
        <v>45535</v>
      </c>
      <c r="P483" s="10">
        <v>2024</v>
      </c>
      <c r="Q483" s="10">
        <v>8</v>
      </c>
      <c r="R483" s="10" t="str">
        <v>SURVEI-PPL</v>
      </c>
      <c r="S483" s="10" t="str">
        <v>610422040012-2024-8</v>
      </c>
      <c r="T483" s="10" t="str">
        <v>610422040012-2024-8-SURVEI-PPL</v>
      </c>
      <c r="U483" s="10">
        <v>0</v>
      </c>
      <c r="V483" s="10" t="e">
        <f ca="1"/>
        <v>#NAME?</v>
      </c>
      <c r="W483" s="67">
        <v>0</v>
      </c>
      <c r="X483" s="11" t="str">
        <v>Kerangka Sampel Area (KSA) 2024 Agustus</v>
      </c>
      <c r="Y483" s="11" t="str">
        <v>SUNGAI PINYUH</v>
      </c>
      <c r="Z483" s="11" t="str">
        <v>SUNGAI BAKAU BESAR DARAT</v>
      </c>
      <c r="AA483" s="67">
        <v>45504</v>
      </c>
      <c r="AB483" s="67">
        <v>45505</v>
      </c>
      <c r="AC483" s="67">
        <v>45535</v>
      </c>
      <c r="AD483" s="67">
        <v>45534</v>
      </c>
      <c r="AE483" s="67">
        <v>45535</v>
      </c>
    </row>
    <row r="484" spans="1:31" ht="12.5">
      <c r="A484" s="10">
        <v>610422040059</v>
      </c>
      <c r="B484" s="10" t="str">
        <v>KSA24-LAPANGAN-AGUSTUS</v>
      </c>
      <c r="C484" s="10">
        <v>0</v>
      </c>
      <c r="D484" s="10">
        <f ca="1"/>
        <v>1</v>
      </c>
      <c r="E484" s="10" t="str">
        <v>Abang Handri</v>
      </c>
      <c r="F484" s="10" t="str">
        <v>PPL</v>
      </c>
      <c r="G484" s="10" t="str">
        <v>6102072211780002</v>
      </c>
      <c r="H484" s="10" t="str">
        <v>KSA PADI</v>
      </c>
      <c r="I484" s="10" t="str">
        <v>KSA24-LAPANGAN-AGUSTUS-PPL-KSA PADI</v>
      </c>
      <c r="J484" s="10" t="str">
        <v>Segmen</v>
      </c>
      <c r="K484" s="66">
        <v>116000</v>
      </c>
      <c r="L484" s="10">
        <v>4</v>
      </c>
      <c r="M484" s="10">
        <v>464000</v>
      </c>
      <c r="N484" s="10">
        <v>0</v>
      </c>
      <c r="O484" s="67">
        <v>45535</v>
      </c>
      <c r="P484" s="10">
        <v>2024</v>
      </c>
      <c r="Q484" s="10">
        <v>8</v>
      </c>
      <c r="R484" s="10" t="str">
        <v>SURVEI-PPL</v>
      </c>
      <c r="S484" s="10" t="str">
        <v>610422040059-2024-8</v>
      </c>
      <c r="T484" s="10" t="str">
        <v>610422040059-2024-8-SURVEI-PPL</v>
      </c>
      <c r="U484" s="10">
        <v>0</v>
      </c>
      <c r="V484" s="10" t="e">
        <f ca="1"/>
        <v>#NAME?</v>
      </c>
      <c r="W484" s="67">
        <v>0</v>
      </c>
      <c r="X484" s="11" t="str">
        <v>Kerangka Sampel Area (KSA) 2024 Agustus</v>
      </c>
      <c r="Y484" s="11" t="str">
        <v>MEMPAWAH HILIR</v>
      </c>
      <c r="Z484" s="11" t="str">
        <v>TERUSAN</v>
      </c>
      <c r="AA484" s="67">
        <v>45504</v>
      </c>
      <c r="AB484" s="67">
        <v>45505</v>
      </c>
      <c r="AC484" s="67">
        <v>45535</v>
      </c>
      <c r="AD484" s="67">
        <v>45534</v>
      </c>
      <c r="AE484" s="67">
        <v>45535</v>
      </c>
    </row>
    <row r="485" spans="1:31" ht="12.5">
      <c r="A485" s="10">
        <v>610422040061</v>
      </c>
      <c r="B485" s="10" t="str">
        <v>KSA24-LAPANGAN-AGUSTUS</v>
      </c>
      <c r="C485" s="10">
        <v>0</v>
      </c>
      <c r="D485" s="10">
        <f ca="1"/>
        <v>1</v>
      </c>
      <c r="E485" s="10" t="str">
        <v>Sabani</v>
      </c>
      <c r="F485" s="10" t="str">
        <v>PPL</v>
      </c>
      <c r="G485" s="10" t="str">
        <v>6102153112860003</v>
      </c>
      <c r="H485" s="10" t="str">
        <v>KSA PADI</v>
      </c>
      <c r="I485" s="10" t="str">
        <v>KSA24-LAPANGAN-AGUSTUS-PPL-KSA PADI</v>
      </c>
      <c r="J485" s="10" t="str">
        <v>Segmen</v>
      </c>
      <c r="K485" s="66">
        <v>116000</v>
      </c>
      <c r="L485" s="10">
        <v>3</v>
      </c>
      <c r="M485" s="10">
        <v>348000</v>
      </c>
      <c r="N485" s="10">
        <v>0</v>
      </c>
      <c r="O485" s="67">
        <v>45535</v>
      </c>
      <c r="P485" s="10">
        <v>2024</v>
      </c>
      <c r="Q485" s="10">
        <v>8</v>
      </c>
      <c r="R485" s="10" t="str">
        <v>SURVEI-PPL</v>
      </c>
      <c r="S485" s="10" t="str">
        <v>610422040061-2024-8</v>
      </c>
      <c r="T485" s="10" t="str">
        <v>610422040061-2024-8-SURVEI-PPL</v>
      </c>
      <c r="U485" s="10">
        <v>0</v>
      </c>
      <c r="V485" s="10" t="e">
        <f ca="1"/>
        <v>#NAME?</v>
      </c>
      <c r="W485" s="67">
        <v>0</v>
      </c>
      <c r="X485" s="11" t="str">
        <v>Kerangka Sampel Area (KSA) 2024 Agustus</v>
      </c>
      <c r="Y485" s="11" t="str">
        <v>SEGEDONG</v>
      </c>
      <c r="Z485" s="11" t="str">
        <v>PENITI BESAR</v>
      </c>
      <c r="AA485" s="67">
        <v>45504</v>
      </c>
      <c r="AB485" s="67">
        <v>45505</v>
      </c>
      <c r="AC485" s="67">
        <v>45535</v>
      </c>
      <c r="AD485" s="67">
        <v>45534</v>
      </c>
      <c r="AE485" s="67">
        <v>45535</v>
      </c>
    </row>
    <row r="486" spans="1:31" ht="12.5">
      <c r="A486" s="10">
        <v>610422100131</v>
      </c>
      <c r="B486" s="10" t="str">
        <v>KSA24-LAPANGAN-AGUSTUS</v>
      </c>
      <c r="C486" s="10">
        <v>0</v>
      </c>
      <c r="D486" s="10">
        <f ca="1"/>
        <v>1</v>
      </c>
      <c r="E486" s="10" t="str">
        <v>Syamsul</v>
      </c>
      <c r="F486" s="10" t="str">
        <v>PPL</v>
      </c>
      <c r="G486" s="10" t="str">
        <v>6102150907860003</v>
      </c>
      <c r="H486" s="10" t="str">
        <v>KSA PADI</v>
      </c>
      <c r="I486" s="10" t="str">
        <v>KSA24-LAPANGAN-AGUSTUS-PPL-KSA PADI</v>
      </c>
      <c r="J486" s="10" t="str">
        <v>Segmen</v>
      </c>
      <c r="K486" s="66">
        <v>116000</v>
      </c>
      <c r="L486" s="10">
        <v>6</v>
      </c>
      <c r="M486" s="10">
        <v>696000</v>
      </c>
      <c r="N486" s="10">
        <v>0</v>
      </c>
      <c r="O486" s="67">
        <v>45535</v>
      </c>
      <c r="P486" s="10">
        <v>2024</v>
      </c>
      <c r="Q486" s="10">
        <v>8</v>
      </c>
      <c r="R486" s="10" t="str">
        <v>SURVEI-PPL</v>
      </c>
      <c r="S486" s="10" t="str">
        <v>610422100131-2024-8</v>
      </c>
      <c r="T486" s="10" t="str">
        <v>610422100131-2024-8-SURVEI-PPL</v>
      </c>
      <c r="U486" s="10">
        <v>0</v>
      </c>
      <c r="V486" s="10" t="e">
        <f ca="1"/>
        <v>#NAME?</v>
      </c>
      <c r="W486" s="67">
        <v>0</v>
      </c>
      <c r="X486" s="11" t="str">
        <v>Kerangka Sampel Area (KSA) 2024 Agustus</v>
      </c>
      <c r="Y486" s="11" t="str">
        <v>SUNGAI KUNYIT</v>
      </c>
      <c r="Z486" s="11" t="str">
        <v>SUNGAI KUNYIT LAUT</v>
      </c>
      <c r="AA486" s="67">
        <v>45504</v>
      </c>
      <c r="AB486" s="67">
        <v>45505</v>
      </c>
      <c r="AC486" s="67">
        <v>45535</v>
      </c>
      <c r="AD486" s="67">
        <v>45534</v>
      </c>
      <c r="AE486" s="67">
        <v>45535</v>
      </c>
    </row>
    <row r="487" spans="1:31" ht="12.5">
      <c r="A487" s="10">
        <v>610422100244</v>
      </c>
      <c r="B487" s="10" t="str">
        <v>KSA24-LAPANGAN-AGUSTUS</v>
      </c>
      <c r="C487" s="10">
        <v>0</v>
      </c>
      <c r="D487" s="10">
        <f ca="1"/>
        <v>1</v>
      </c>
      <c r="E487" s="10" t="str">
        <v>Sugianto</v>
      </c>
      <c r="F487" s="10" t="str">
        <v>PPL</v>
      </c>
      <c r="G487" s="10" t="str">
        <v>6102171003900002</v>
      </c>
      <c r="H487" s="10" t="str">
        <v>KSA PADI</v>
      </c>
      <c r="I487" s="10" t="str">
        <v>KSA24-LAPANGAN-AGUSTUS-PPL-KSA PADI</v>
      </c>
      <c r="J487" s="10" t="str">
        <v>Segmen</v>
      </c>
      <c r="K487" s="66">
        <v>116000</v>
      </c>
      <c r="L487" s="10">
        <v>3</v>
      </c>
      <c r="M487" s="10">
        <v>348000</v>
      </c>
      <c r="N487" s="10">
        <v>0</v>
      </c>
      <c r="O487" s="67">
        <v>45535</v>
      </c>
      <c r="P487" s="10">
        <v>2024</v>
      </c>
      <c r="Q487" s="10">
        <v>8</v>
      </c>
      <c r="R487" s="10" t="str">
        <v>SURVEI-PPL</v>
      </c>
      <c r="S487" s="10" t="str">
        <v>610422100244-2024-8</v>
      </c>
      <c r="T487" s="10" t="str">
        <v>610422100244-2024-8-SURVEI-PPL</v>
      </c>
      <c r="U487" s="10">
        <v>0</v>
      </c>
      <c r="V487" s="10" t="e">
        <f ca="1"/>
        <v>#NAME?</v>
      </c>
      <c r="W487" s="67">
        <v>0</v>
      </c>
      <c r="X487" s="11" t="str">
        <v>Kerangka Sampel Area (KSA) 2024 Agustus</v>
      </c>
      <c r="Y487" s="11" t="str">
        <v>SADANIANG</v>
      </c>
      <c r="Z487" s="11" t="str">
        <v>BUMBUN</v>
      </c>
      <c r="AA487" s="67">
        <v>45504</v>
      </c>
      <c r="AB487" s="67">
        <v>45505</v>
      </c>
      <c r="AC487" s="67">
        <v>45535</v>
      </c>
      <c r="AD487" s="67">
        <v>45534</v>
      </c>
      <c r="AE487" s="67">
        <v>45535</v>
      </c>
    </row>
    <row r="488" spans="1:31" ht="12.5">
      <c r="A488" s="10">
        <v>610422100176</v>
      </c>
      <c r="B488" s="10" t="str">
        <v>KSA24-LAPANGAN-AGUSTUS</v>
      </c>
      <c r="C488" s="10">
        <v>0</v>
      </c>
      <c r="D488" s="10">
        <f ca="1"/>
        <v>1</v>
      </c>
      <c r="E488" s="10" t="str">
        <v>Feri Firdaus</v>
      </c>
      <c r="F488" s="10" t="str">
        <v>PPL</v>
      </c>
      <c r="G488" s="10" t="str">
        <v>6102150412880001</v>
      </c>
      <c r="H488" s="10" t="str">
        <v>KSA PADI</v>
      </c>
      <c r="I488" s="10" t="str">
        <v>KSA24-LAPANGAN-AGUSTUS-PPL-KSA PADI</v>
      </c>
      <c r="J488" s="10" t="str">
        <v>Segmen</v>
      </c>
      <c r="K488" s="66">
        <v>116000</v>
      </c>
      <c r="L488" s="10">
        <v>3</v>
      </c>
      <c r="M488" s="10">
        <v>348000</v>
      </c>
      <c r="N488" s="10">
        <v>0</v>
      </c>
      <c r="O488" s="67">
        <v>45535</v>
      </c>
      <c r="P488" s="10">
        <v>2024</v>
      </c>
      <c r="Q488" s="10">
        <v>8</v>
      </c>
      <c r="R488" s="10" t="str">
        <v>SURVEI-PPL</v>
      </c>
      <c r="S488" s="10" t="str">
        <v>610422100176-2024-8</v>
      </c>
      <c r="T488" s="10" t="str">
        <v>610422100176-2024-8-SURVEI-PPL</v>
      </c>
      <c r="U488" s="10">
        <v>0</v>
      </c>
      <c r="V488" s="10" t="e">
        <f ca="1"/>
        <v>#NAME?</v>
      </c>
      <c r="W488" s="67">
        <v>0</v>
      </c>
      <c r="X488" s="11" t="str">
        <v>Kerangka Sampel Area (KSA) 2024 Agustus</v>
      </c>
      <c r="Y488" s="11" t="str">
        <v>SEGEDONG</v>
      </c>
      <c r="Z488" s="11" t="str">
        <v>SUNGAI BURUNG</v>
      </c>
      <c r="AA488" s="67">
        <v>45504</v>
      </c>
      <c r="AB488" s="67">
        <v>45505</v>
      </c>
      <c r="AC488" s="67">
        <v>45535</v>
      </c>
      <c r="AD488" s="67">
        <v>45534</v>
      </c>
      <c r="AE488" s="67">
        <v>45535</v>
      </c>
    </row>
    <row r="489" spans="1:31" ht="12.5">
      <c r="A489" s="10">
        <v>610423110183</v>
      </c>
      <c r="B489" s="10" t="str">
        <v>KSA24-LAPANGAN-AGUSTUS</v>
      </c>
      <c r="C489" s="10">
        <v>0</v>
      </c>
      <c r="D489" s="10">
        <f ca="1"/>
        <v>1</v>
      </c>
      <c r="E489" s="10" t="str">
        <v>Azhar</v>
      </c>
      <c r="F489" s="10" t="str">
        <v>PPL</v>
      </c>
      <c r="G489" s="10" t="str">
        <v>6102081211790004</v>
      </c>
      <c r="H489" s="10" t="str">
        <v>KSA PADI</v>
      </c>
      <c r="I489" s="10" t="str">
        <v>KSA24-LAPANGAN-AGUSTUS-PPL-KSA PADI</v>
      </c>
      <c r="J489" s="10" t="str">
        <v>Segmen</v>
      </c>
      <c r="K489" s="66">
        <v>116000</v>
      </c>
      <c r="L489" s="10">
        <v>6</v>
      </c>
      <c r="M489" s="10">
        <v>696000</v>
      </c>
      <c r="N489" s="10">
        <v>0</v>
      </c>
      <c r="O489" s="67">
        <v>45535</v>
      </c>
      <c r="P489" s="10">
        <v>2024</v>
      </c>
      <c r="Q489" s="10">
        <v>8</v>
      </c>
      <c r="R489" s="10" t="str">
        <v>SURVEI-PPL</v>
      </c>
      <c r="S489" s="10" t="str">
        <v>610423110183-2024-8</v>
      </c>
      <c r="T489" s="10" t="str">
        <v>610423110183-2024-8-SURVEI-PPL</v>
      </c>
      <c r="U489" s="10">
        <v>0</v>
      </c>
      <c r="V489" s="10" t="e">
        <f ca="1"/>
        <v>#NAME?</v>
      </c>
      <c r="W489" s="67">
        <v>0</v>
      </c>
      <c r="X489" s="11" t="str">
        <v>Kerangka Sampel Area (KSA) 2024 Agustus</v>
      </c>
      <c r="Y489" s="11" t="str">
        <v>JONGKAT</v>
      </c>
      <c r="Z489" s="11" t="str">
        <v>SUNGAI NIPAH</v>
      </c>
      <c r="AA489" s="67">
        <v>45504</v>
      </c>
      <c r="AB489" s="67">
        <v>45505</v>
      </c>
      <c r="AC489" s="67">
        <v>45535</v>
      </c>
      <c r="AD489" s="67">
        <v>45534</v>
      </c>
      <c r="AE489" s="67">
        <v>45535</v>
      </c>
    </row>
    <row r="490" spans="1:31" ht="12.5">
      <c r="A490" s="10">
        <v>610423040018</v>
      </c>
      <c r="B490" s="10" t="str">
        <v>KSA24-LAPANGAN-AGUSTUS</v>
      </c>
      <c r="C490" s="10">
        <v>0</v>
      </c>
      <c r="D490" s="10">
        <f ca="1"/>
        <v>1</v>
      </c>
      <c r="E490" s="10" t="str">
        <v>Handoko Tuah Sabarman Sipayung</v>
      </c>
      <c r="F490" s="10" t="str">
        <v>PPL</v>
      </c>
      <c r="G490" s="10" t="str">
        <v>1212092309880001</v>
      </c>
      <c r="H490" s="10" t="str">
        <v>KSA PADI</v>
      </c>
      <c r="I490" s="10" t="str">
        <v>KSA24-LAPANGAN-AGUSTUS-PPL-KSA PADI</v>
      </c>
      <c r="J490" s="10" t="str">
        <v>Segmen</v>
      </c>
      <c r="K490" s="66">
        <v>116000</v>
      </c>
      <c r="L490" s="10">
        <v>4</v>
      </c>
      <c r="M490" s="10">
        <v>464000</v>
      </c>
      <c r="N490" s="10">
        <v>0</v>
      </c>
      <c r="O490" s="67">
        <v>45535</v>
      </c>
      <c r="P490" s="10">
        <v>2024</v>
      </c>
      <c r="Q490" s="10">
        <v>8</v>
      </c>
      <c r="R490" s="10" t="str">
        <v>SURVEI-PPL</v>
      </c>
      <c r="S490" s="10" t="str">
        <v>610423040018-2024-8</v>
      </c>
      <c r="T490" s="10" t="str">
        <v>610423040018-2024-8-SURVEI-PPL</v>
      </c>
      <c r="U490" s="10">
        <v>0</v>
      </c>
      <c r="V490" s="10" t="e">
        <f ca="1"/>
        <v>#NAME?</v>
      </c>
      <c r="W490" s="67">
        <v>0</v>
      </c>
      <c r="X490" s="11" t="str">
        <v>Kerangka Sampel Area (KSA) 2024 Agustus</v>
      </c>
      <c r="Y490" s="11" t="str">
        <v>TOHO</v>
      </c>
      <c r="Z490" s="11" t="str">
        <v>PAK LAHENG</v>
      </c>
      <c r="AA490" s="67">
        <v>45504</v>
      </c>
      <c r="AB490" s="67">
        <v>45505</v>
      </c>
      <c r="AC490" s="67">
        <v>45535</v>
      </c>
      <c r="AD490" s="67">
        <v>45534</v>
      </c>
      <c r="AE490" s="67">
        <v>45535</v>
      </c>
    </row>
    <row r="491" spans="1:31" ht="12.5">
      <c r="A491" s="10">
        <v>610422040059</v>
      </c>
      <c r="B491" s="10" t="str">
        <v>KSA24-LAPANGAN-AGUSTUS</v>
      </c>
      <c r="C491" s="10">
        <v>0</v>
      </c>
      <c r="D491" s="10">
        <f ca="1"/>
        <v>1</v>
      </c>
      <c r="E491" s="10" t="str">
        <v>Abang Handri</v>
      </c>
      <c r="F491" s="10" t="str">
        <v>PPL</v>
      </c>
      <c r="G491" s="10" t="str">
        <v>6102072211780002</v>
      </c>
      <c r="H491" s="10" t="str">
        <v>KSA JAGUNG</v>
      </c>
      <c r="I491" s="10" t="str">
        <v>KSA24-LAPANGAN-AGUSTUS-PPL-KSA JAGUNG</v>
      </c>
      <c r="J491" s="10" t="str">
        <v>Segmen</v>
      </c>
      <c r="K491" s="66">
        <v>59000</v>
      </c>
      <c r="L491" s="10">
        <v>6</v>
      </c>
      <c r="M491" s="10">
        <v>354000</v>
      </c>
      <c r="N491" s="10">
        <v>0</v>
      </c>
      <c r="O491" s="67">
        <v>45535</v>
      </c>
      <c r="P491" s="10">
        <v>2024</v>
      </c>
      <c r="Q491" s="10">
        <v>8</v>
      </c>
      <c r="R491" s="10" t="str">
        <v>SURVEI-PPL</v>
      </c>
      <c r="S491" s="10" t="str">
        <v>610422040059-2024-8</v>
      </c>
      <c r="T491" s="10" t="str">
        <v>610422040059-2024-8-SURVEI-PPL</v>
      </c>
      <c r="U491" s="10">
        <v>0</v>
      </c>
      <c r="V491" s="10" t="e">
        <f ca="1"/>
        <v>#NAME?</v>
      </c>
      <c r="W491" s="67">
        <v>0</v>
      </c>
      <c r="X491" s="11" t="str">
        <v>Kerangka Sampel Area (KSA) 2024 Agustus</v>
      </c>
      <c r="Y491" s="11" t="str">
        <v>MEMPAWAH HILIR</v>
      </c>
      <c r="Z491" s="11" t="str">
        <v>TERUSAN</v>
      </c>
      <c r="AA491" s="67">
        <v>45504</v>
      </c>
      <c r="AB491" s="67">
        <v>45505</v>
      </c>
      <c r="AC491" s="67">
        <v>45535</v>
      </c>
      <c r="AD491" s="67">
        <v>45534</v>
      </c>
      <c r="AE491" s="67">
        <v>45535</v>
      </c>
    </row>
    <row r="492" spans="1:31" ht="12.5">
      <c r="A492" s="10">
        <v>610422020048</v>
      </c>
      <c r="B492" s="10" t="str">
        <v>KSA24-LAPANGAN-AGUSTUS</v>
      </c>
      <c r="C492" s="10">
        <v>0</v>
      </c>
      <c r="D492" s="10">
        <f ca="1"/>
        <v>1</v>
      </c>
      <c r="E492" s="10" t="str">
        <v>Herri Gustaman</v>
      </c>
      <c r="F492" s="10" t="str">
        <v>PPL</v>
      </c>
      <c r="G492" s="10" t="str">
        <v>6102072503800001</v>
      </c>
      <c r="H492" s="10" t="str">
        <v>KSA JAGUNG</v>
      </c>
      <c r="I492" s="10" t="str">
        <v>KSA24-LAPANGAN-AGUSTUS-PPL-KSA JAGUNG</v>
      </c>
      <c r="J492" s="10" t="str">
        <v>Segmen</v>
      </c>
      <c r="K492" s="66">
        <v>59000</v>
      </c>
      <c r="L492" s="10">
        <v>6</v>
      </c>
      <c r="M492" s="10">
        <v>354000</v>
      </c>
      <c r="N492" s="10">
        <v>0</v>
      </c>
      <c r="O492" s="67">
        <v>45535</v>
      </c>
      <c r="P492" s="10">
        <v>2024</v>
      </c>
      <c r="Q492" s="10">
        <v>8</v>
      </c>
      <c r="R492" s="10" t="str">
        <v>SURVEI-PPL</v>
      </c>
      <c r="S492" s="10" t="str">
        <v>610422020048-2024-8</v>
      </c>
      <c r="T492" s="10" t="str">
        <v>610422020048-2024-8-SURVEI-PPL</v>
      </c>
      <c r="U492" s="10">
        <v>0</v>
      </c>
      <c r="V492" s="10" t="e">
        <f ca="1"/>
        <v>#NAME?</v>
      </c>
      <c r="W492" s="67">
        <v>0</v>
      </c>
      <c r="X492" s="11" t="str">
        <v>Kerangka Sampel Area (KSA) 2024 Agustus</v>
      </c>
      <c r="Y492" s="11" t="str">
        <v>MEMPAWAH TIMUR</v>
      </c>
      <c r="Z492" s="11" t="str">
        <v>SEJEGI</v>
      </c>
      <c r="AA492" s="67">
        <v>45504</v>
      </c>
      <c r="AB492" s="67">
        <v>45505</v>
      </c>
      <c r="AC492" s="67">
        <v>45535</v>
      </c>
      <c r="AD492" s="67">
        <v>45534</v>
      </c>
      <c r="AE492" s="67">
        <v>45535</v>
      </c>
    </row>
    <row r="493" spans="1:31" ht="12.5">
      <c r="A493" s="10">
        <v>610422040058</v>
      </c>
      <c r="B493" s="10" t="str">
        <v>KSA24-LAPANGAN-AGUSTUS</v>
      </c>
      <c r="C493" s="10">
        <v>0</v>
      </c>
      <c r="D493" s="10">
        <f ca="1"/>
        <v>1</v>
      </c>
      <c r="E493" s="10" t="str">
        <v>Jamaluddin, Sp</v>
      </c>
      <c r="F493" s="10" t="str">
        <v>PPL</v>
      </c>
      <c r="G493" s="10" t="str">
        <v>6102152607940002</v>
      </c>
      <c r="H493" s="10" t="str">
        <v>KSA JAGUNG</v>
      </c>
      <c r="I493" s="10" t="str">
        <v>KSA24-LAPANGAN-AGUSTUS-PPL-KSA JAGUNG</v>
      </c>
      <c r="J493" s="10" t="str">
        <v>Segmen</v>
      </c>
      <c r="K493" s="66">
        <v>59000</v>
      </c>
      <c r="L493" s="10">
        <v>10</v>
      </c>
      <c r="M493" s="10">
        <v>590000</v>
      </c>
      <c r="N493" s="10">
        <v>0</v>
      </c>
      <c r="O493" s="67">
        <v>45535</v>
      </c>
      <c r="P493" s="10">
        <v>2024</v>
      </c>
      <c r="Q493" s="10">
        <v>8</v>
      </c>
      <c r="R493" s="10" t="str">
        <v>SURVEI-PPL</v>
      </c>
      <c r="S493" s="10" t="str">
        <v>610422040058-2024-8</v>
      </c>
      <c r="T493" s="10" t="str">
        <v>610422040058-2024-8-SURVEI-PPL</v>
      </c>
      <c r="U493" s="10">
        <v>0</v>
      </c>
      <c r="V493" s="10" t="e">
        <f ca="1"/>
        <v>#NAME?</v>
      </c>
      <c r="W493" s="67">
        <v>0</v>
      </c>
      <c r="X493" s="11" t="str">
        <v>Kerangka Sampel Area (KSA) 2024 Agustus</v>
      </c>
      <c r="Y493" s="11" t="str">
        <v>SEGEDONG</v>
      </c>
      <c r="Z493" s="11" t="str">
        <v>PENITI DALAM I</v>
      </c>
      <c r="AA493" s="67">
        <v>45504</v>
      </c>
      <c r="AB493" s="67">
        <v>45505</v>
      </c>
      <c r="AC493" s="67">
        <v>45535</v>
      </c>
      <c r="AD493" s="67">
        <v>45534</v>
      </c>
      <c r="AE493" s="67">
        <v>45535</v>
      </c>
    </row>
    <row r="494" spans="1:31" ht="12.5">
      <c r="A494" s="10">
        <v>610423110183</v>
      </c>
      <c r="B494" s="10" t="str">
        <v>KSA24-LAPANGAN-AGUSTUS</v>
      </c>
      <c r="C494" s="10">
        <v>0</v>
      </c>
      <c r="D494" s="10">
        <f ca="1"/>
        <v>1</v>
      </c>
      <c r="E494" s="10" t="str">
        <v>Azhar</v>
      </c>
      <c r="F494" s="10" t="str">
        <v>PPL</v>
      </c>
      <c r="G494" s="10" t="str">
        <v>6102081211790004</v>
      </c>
      <c r="H494" s="10" t="str">
        <v>KSA JAGUNG</v>
      </c>
      <c r="I494" s="10" t="str">
        <v>KSA24-LAPANGAN-AGUSTUS-PPL-KSA JAGUNG</v>
      </c>
      <c r="J494" s="10" t="str">
        <v>Segmen</v>
      </c>
      <c r="K494" s="66">
        <v>59000</v>
      </c>
      <c r="L494" s="10">
        <v>6</v>
      </c>
      <c r="M494" s="10">
        <v>354000</v>
      </c>
      <c r="N494" s="10">
        <v>0</v>
      </c>
      <c r="O494" s="67">
        <v>45535</v>
      </c>
      <c r="P494" s="10">
        <v>2024</v>
      </c>
      <c r="Q494" s="10">
        <v>8</v>
      </c>
      <c r="R494" s="10" t="str">
        <v>SURVEI-PPL</v>
      </c>
      <c r="S494" s="10" t="str">
        <v>610423110183-2024-8</v>
      </c>
      <c r="T494" s="10" t="str">
        <v>610423110183-2024-8-SURVEI-PPL</v>
      </c>
      <c r="U494" s="10">
        <v>0</v>
      </c>
      <c r="V494" s="10" t="e">
        <f ca="1"/>
        <v>#NAME?</v>
      </c>
      <c r="W494" s="67">
        <v>0</v>
      </c>
      <c r="X494" s="11" t="str">
        <v>Kerangka Sampel Area (KSA) 2024 Agustus</v>
      </c>
      <c r="Y494" s="11" t="str">
        <v>JONGKAT</v>
      </c>
      <c r="Z494" s="11" t="str">
        <v>SUNGAI NIPAH</v>
      </c>
      <c r="AA494" s="67">
        <v>45504</v>
      </c>
      <c r="AB494" s="67">
        <v>45505</v>
      </c>
      <c r="AC494" s="67">
        <v>45535</v>
      </c>
      <c r="AD494" s="67">
        <v>45534</v>
      </c>
      <c r="AE494" s="67">
        <v>45535</v>
      </c>
    </row>
    <row r="495" spans="1:31" ht="12.5">
      <c r="A495" s="10">
        <v>610422100244</v>
      </c>
      <c r="B495" s="10" t="str">
        <v>KSA24-LAPANGAN-AGUSTUS</v>
      </c>
      <c r="C495" s="10">
        <v>0</v>
      </c>
      <c r="D495" s="10">
        <f ca="1"/>
        <v>1</v>
      </c>
      <c r="E495" s="10" t="str">
        <v>Sugianto</v>
      </c>
      <c r="F495" s="10" t="str">
        <v>PPL</v>
      </c>
      <c r="G495" s="10" t="str">
        <v>6102171003900002</v>
      </c>
      <c r="H495" s="10" t="str">
        <v>KSA JAGUNG</v>
      </c>
      <c r="I495" s="10" t="str">
        <v>KSA24-LAPANGAN-AGUSTUS-PPL-KSA JAGUNG</v>
      </c>
      <c r="J495" s="10" t="str">
        <v>Segmen</v>
      </c>
      <c r="K495" s="66">
        <v>59000</v>
      </c>
      <c r="L495" s="10">
        <v>8</v>
      </c>
      <c r="M495" s="10">
        <v>472000</v>
      </c>
      <c r="N495" s="10">
        <v>0</v>
      </c>
      <c r="O495" s="67">
        <v>45535</v>
      </c>
      <c r="P495" s="10">
        <v>2024</v>
      </c>
      <c r="Q495" s="10">
        <v>8</v>
      </c>
      <c r="R495" s="10" t="str">
        <v>SURVEI-PPL</v>
      </c>
      <c r="S495" s="10" t="str">
        <v>610422100244-2024-8</v>
      </c>
      <c r="T495" s="10" t="str">
        <v>610422100244-2024-8-SURVEI-PPL</v>
      </c>
      <c r="U495" s="10">
        <v>0</v>
      </c>
      <c r="V495" s="10" t="e">
        <f ca="1"/>
        <v>#NAME?</v>
      </c>
      <c r="W495" s="67">
        <v>0</v>
      </c>
      <c r="X495" s="11" t="str">
        <v>Kerangka Sampel Area (KSA) 2024 Agustus</v>
      </c>
      <c r="Y495" s="11" t="str">
        <v>SADANIANG</v>
      </c>
      <c r="Z495" s="11" t="str">
        <v>BUMBUN</v>
      </c>
      <c r="AA495" s="67">
        <v>45504</v>
      </c>
      <c r="AB495" s="67">
        <v>45505</v>
      </c>
      <c r="AC495" s="67">
        <v>45535</v>
      </c>
      <c r="AD495" s="67">
        <v>45534</v>
      </c>
      <c r="AE495" s="67">
        <v>45535</v>
      </c>
    </row>
    <row r="496" spans="1:31" ht="12.5">
      <c r="A496" s="10">
        <v>610422030001</v>
      </c>
      <c r="B496" s="10" t="str">
        <v>SAKERNAS24-LAPANGAN-SEMESTER2</v>
      </c>
      <c r="C496" s="10">
        <v>0</v>
      </c>
      <c r="D496" s="10">
        <f ca="1"/>
        <v>1</v>
      </c>
      <c r="E496" s="10" t="str">
        <v>Pitra,Sp</v>
      </c>
      <c r="F496" s="10" t="str">
        <v>PPL</v>
      </c>
      <c r="G496" s="10" t="str">
        <v>6102010808800006</v>
      </c>
      <c r="H496" s="10" t="str">
        <v>PENDATAAN</v>
      </c>
      <c r="I496" s="10" t="str">
        <v>SAKERNAS24-LAPANGAN-SEMESTER2-PPL-PENDATAAN</v>
      </c>
      <c r="J496" s="10" t="str">
        <v>Dokumen</v>
      </c>
      <c r="K496" s="66">
        <v>66000</v>
      </c>
      <c r="L496" s="10">
        <v>29</v>
      </c>
      <c r="M496" s="10">
        <v>1914000</v>
      </c>
      <c r="N496" s="10">
        <v>0</v>
      </c>
      <c r="O496" s="67">
        <v>45535</v>
      </c>
      <c r="P496" s="10">
        <v>2024</v>
      </c>
      <c r="Q496" s="10">
        <v>8</v>
      </c>
      <c r="R496" s="10" t="str">
        <v>SURVEI-PPL</v>
      </c>
      <c r="S496" s="10" t="str">
        <v>610422030001-2024-8</v>
      </c>
      <c r="T496" s="10" t="str">
        <v>610422030001-2024-8-SURVEI-PPL</v>
      </c>
      <c r="U496" s="10">
        <v>0</v>
      </c>
      <c r="V496" s="10" t="e">
        <f ca="1"/>
        <v>#NAME?</v>
      </c>
      <c r="W496" s="67">
        <v>0</v>
      </c>
      <c r="X496" s="11" t="str">
        <v>Sakernas Agustus 2024</v>
      </c>
      <c r="Y496" s="11" t="str">
        <v>SEGEDONG</v>
      </c>
      <c r="Z496" s="11" t="str">
        <v>PENITI DALAM I</v>
      </c>
      <c r="AA496" s="67">
        <v>45504</v>
      </c>
      <c r="AB496" s="67">
        <v>45505</v>
      </c>
      <c r="AC496" s="67">
        <v>45535</v>
      </c>
      <c r="AD496" s="67">
        <v>45534</v>
      </c>
      <c r="AE496" s="67">
        <v>45535</v>
      </c>
    </row>
    <row r="497" spans="1:31" ht="12.5">
      <c r="A497" s="10">
        <v>610422040029</v>
      </c>
      <c r="B497" s="10" t="str">
        <v>SAKERNAS24-LAPANGAN-SEMESTER2</v>
      </c>
      <c r="C497" s="10">
        <v>0</v>
      </c>
      <c r="D497" s="10">
        <f ca="1"/>
        <v>1</v>
      </c>
      <c r="E497" s="10" t="str">
        <v>Zaini</v>
      </c>
      <c r="F497" s="10" t="str">
        <v>PPL</v>
      </c>
      <c r="G497" s="10" t="str">
        <v>6102010607870002</v>
      </c>
      <c r="H497" s="10" t="str">
        <v>PENDATAAN</v>
      </c>
      <c r="I497" s="10" t="str">
        <v>SAKERNAS24-LAPANGAN-SEMESTER2-PPL-PENDATAAN</v>
      </c>
      <c r="J497" s="10" t="str">
        <v>Dokumen</v>
      </c>
      <c r="K497" s="66">
        <v>66000</v>
      </c>
      <c r="L497" s="10">
        <v>30</v>
      </c>
      <c r="M497" s="10">
        <v>1980000</v>
      </c>
      <c r="N497" s="10">
        <v>0</v>
      </c>
      <c r="O497" s="67">
        <v>45535</v>
      </c>
      <c r="P497" s="10">
        <v>2024</v>
      </c>
      <c r="Q497" s="10">
        <v>8</v>
      </c>
      <c r="R497" s="10" t="str">
        <v>SURVEI-PPL</v>
      </c>
      <c r="S497" s="10" t="str">
        <v>610422040029-2024-8</v>
      </c>
      <c r="T497" s="10" t="str">
        <v>610422040029-2024-8-SURVEI-PPL</v>
      </c>
      <c r="U497" s="10">
        <v>0</v>
      </c>
      <c r="V497" s="10" t="e">
        <f ca="1"/>
        <v>#NAME?</v>
      </c>
      <c r="W497" s="67">
        <v>0</v>
      </c>
      <c r="X497" s="11" t="str">
        <v>Sakernas Agustus 2024</v>
      </c>
      <c r="Y497" s="11" t="str">
        <v>MEMPAWAH HILIR</v>
      </c>
      <c r="Z497" s="11" t="str">
        <v>TENGAH</v>
      </c>
      <c r="AA497" s="67">
        <v>45504</v>
      </c>
      <c r="AB497" s="67">
        <v>45505</v>
      </c>
      <c r="AC497" s="67">
        <v>45535</v>
      </c>
      <c r="AD497" s="67">
        <v>45534</v>
      </c>
      <c r="AE497" s="67">
        <v>45535</v>
      </c>
    </row>
    <row r="498" spans="1:31" ht="12.5">
      <c r="A498" s="10">
        <v>610422100086</v>
      </c>
      <c r="B498" s="10" t="str">
        <v>SAKERNAS24-LAPANGAN-SEMESTER2</v>
      </c>
      <c r="C498" s="10">
        <v>0</v>
      </c>
      <c r="D498" s="10">
        <f ca="1"/>
        <v>1</v>
      </c>
      <c r="E498" s="10" t="str">
        <v>Imamul Akhyar</v>
      </c>
      <c r="F498" s="10" t="str">
        <v>PPL</v>
      </c>
      <c r="G498" s="10" t="str">
        <v>6102012211930002</v>
      </c>
      <c r="H498" s="10" t="str">
        <v>PENDATAAN</v>
      </c>
      <c r="I498" s="10" t="str">
        <v>SAKERNAS24-LAPANGAN-SEMESTER2-PPL-PENDATAAN</v>
      </c>
      <c r="J498" s="10" t="str">
        <v>Dokumen</v>
      </c>
      <c r="K498" s="66">
        <v>66000</v>
      </c>
      <c r="L498" s="10">
        <v>30</v>
      </c>
      <c r="M498" s="10">
        <v>1980000</v>
      </c>
      <c r="N498" s="10">
        <v>0</v>
      </c>
      <c r="O498" s="67">
        <v>45535</v>
      </c>
      <c r="P498" s="10">
        <v>2024</v>
      </c>
      <c r="Q498" s="10">
        <v>8</v>
      </c>
      <c r="R498" s="10" t="str">
        <v>SURVEI-PPL</v>
      </c>
      <c r="S498" s="10" t="str">
        <v>610422100086-2024-8</v>
      </c>
      <c r="T498" s="10" t="str">
        <v>610422100086-2024-8-SURVEI-PPL</v>
      </c>
      <c r="U498" s="10">
        <v>0</v>
      </c>
      <c r="V498" s="10" t="e">
        <f ca="1"/>
        <v>#NAME?</v>
      </c>
      <c r="W498" s="67">
        <v>0</v>
      </c>
      <c r="X498" s="11" t="str">
        <v>Sakernas Agustus 2024</v>
      </c>
      <c r="Y498" s="11" t="str">
        <v>MEMPAWAH HILIR</v>
      </c>
      <c r="Z498" s="11" t="str">
        <v>SENGKUBANG</v>
      </c>
      <c r="AA498" s="67">
        <v>45504</v>
      </c>
      <c r="AB498" s="67">
        <v>45505</v>
      </c>
      <c r="AC498" s="67">
        <v>45535</v>
      </c>
      <c r="AD498" s="67">
        <v>45534</v>
      </c>
      <c r="AE498" s="67">
        <v>45535</v>
      </c>
    </row>
    <row r="499" spans="1:31" ht="12.5">
      <c r="A499" s="10">
        <v>610422040035</v>
      </c>
      <c r="B499" s="10" t="str">
        <v>SAKERNAS24-LAPANGAN-SEMESTER2</v>
      </c>
      <c r="C499" s="10">
        <v>0</v>
      </c>
      <c r="D499" s="10">
        <f ca="1"/>
        <v>1</v>
      </c>
      <c r="E499" s="10" t="str">
        <v>Rahmayani</v>
      </c>
      <c r="F499" s="10" t="str">
        <v>PPL</v>
      </c>
      <c r="G499" s="10" t="str">
        <v>6102186404970003</v>
      </c>
      <c r="H499" s="10" t="str">
        <v>PENDATAAN</v>
      </c>
      <c r="I499" s="10" t="str">
        <v>SAKERNAS24-LAPANGAN-SEMESTER2-PPL-PENDATAAN</v>
      </c>
      <c r="J499" s="10" t="str">
        <v>Dokumen</v>
      </c>
      <c r="K499" s="66">
        <v>66000</v>
      </c>
      <c r="L499" s="10">
        <v>30</v>
      </c>
      <c r="M499" s="10">
        <v>1980000</v>
      </c>
      <c r="N499" s="10">
        <v>0</v>
      </c>
      <c r="O499" s="67">
        <v>45535</v>
      </c>
      <c r="P499" s="10">
        <v>2024</v>
      </c>
      <c r="Q499" s="10">
        <v>8</v>
      </c>
      <c r="R499" s="10" t="str">
        <v>SURVEI-PPL</v>
      </c>
      <c r="S499" s="10" t="str">
        <v>610422040035-2024-8</v>
      </c>
      <c r="T499" s="10" t="str">
        <v>610422040035-2024-8-SURVEI-PPL</v>
      </c>
      <c r="U499" s="10">
        <v>0</v>
      </c>
      <c r="V499" s="10" t="e">
        <f ca="1"/>
        <v>#NAME?</v>
      </c>
      <c r="W499" s="67">
        <v>0</v>
      </c>
      <c r="X499" s="11" t="str">
        <v>Sakernas Agustus 2024</v>
      </c>
      <c r="Y499" s="11" t="str">
        <v>MEMPAWAH TIMUR</v>
      </c>
      <c r="Z499" s="11" t="str">
        <v>SEJEGI</v>
      </c>
      <c r="AA499" s="67">
        <v>45504</v>
      </c>
      <c r="AB499" s="67">
        <v>45505</v>
      </c>
      <c r="AC499" s="67">
        <v>45535</v>
      </c>
      <c r="AD499" s="67">
        <v>45534</v>
      </c>
      <c r="AE499" s="67">
        <v>45535</v>
      </c>
    </row>
    <row r="500" spans="1:31" ht="12.5">
      <c r="A500" s="10">
        <v>610422100055</v>
      </c>
      <c r="B500" s="10" t="str">
        <v>SAKERNAS24-LAPANGAN-SEMESTER2</v>
      </c>
      <c r="C500" s="10">
        <v>0</v>
      </c>
      <c r="D500" s="10">
        <f ca="1"/>
        <v>1</v>
      </c>
      <c r="E500" s="10" t="str">
        <v>Vika Rizkiani</v>
      </c>
      <c r="F500" s="10" t="str">
        <v>PPL</v>
      </c>
      <c r="G500" s="10" t="str">
        <v>6102084207980006</v>
      </c>
      <c r="H500" s="10" t="str">
        <v>PENDATAAN</v>
      </c>
      <c r="I500" s="10" t="str">
        <v>SAKERNAS24-LAPANGAN-SEMESTER2-PPL-PENDATAAN</v>
      </c>
      <c r="J500" s="10" t="str">
        <v>Dokumen</v>
      </c>
      <c r="K500" s="66">
        <v>66000</v>
      </c>
      <c r="L500" s="10">
        <v>30</v>
      </c>
      <c r="M500" s="10">
        <v>1980000</v>
      </c>
      <c r="N500" s="10">
        <v>0</v>
      </c>
      <c r="O500" s="67">
        <v>45535</v>
      </c>
      <c r="P500" s="10">
        <v>2024</v>
      </c>
      <c r="Q500" s="10">
        <v>8</v>
      </c>
      <c r="R500" s="10" t="str">
        <v>SURVEI-PPL</v>
      </c>
      <c r="S500" s="10" t="str">
        <v>610422100055-2024-8</v>
      </c>
      <c r="T500" s="10" t="str">
        <v>610422100055-2024-8-SURVEI-PPL</v>
      </c>
      <c r="U500" s="10">
        <v>0</v>
      </c>
      <c r="V500" s="10" t="e">
        <f ca="1"/>
        <v>#NAME?</v>
      </c>
      <c r="W500" s="67">
        <v>0</v>
      </c>
      <c r="X500" s="11" t="str">
        <v>Sakernas Agustus 2024</v>
      </c>
      <c r="Y500" s="11" t="str">
        <v>JONGKAT</v>
      </c>
      <c r="Z500" s="11" t="str">
        <v>JUNGKAT</v>
      </c>
      <c r="AA500" s="67">
        <v>45504</v>
      </c>
      <c r="AB500" s="67">
        <v>45505</v>
      </c>
      <c r="AC500" s="67">
        <v>45535</v>
      </c>
      <c r="AD500" s="67">
        <v>45534</v>
      </c>
      <c r="AE500" s="67">
        <v>45535</v>
      </c>
    </row>
    <row r="501" spans="1:31" ht="12.5">
      <c r="A501" s="10">
        <v>610422040052</v>
      </c>
      <c r="B501" s="10" t="str">
        <v>SAKERNAS24-LAPANGAN-SEMESTER2</v>
      </c>
      <c r="C501" s="10">
        <v>0</v>
      </c>
      <c r="D501" s="10">
        <f ca="1"/>
        <v>1</v>
      </c>
      <c r="E501" s="10" t="str">
        <v>Yusimianto</v>
      </c>
      <c r="F501" s="10" t="str">
        <v>PPL</v>
      </c>
      <c r="G501" s="10" t="str">
        <v>6102160603790001</v>
      </c>
      <c r="H501" s="10" t="str">
        <v>PENDATAAN</v>
      </c>
      <c r="I501" s="10" t="str">
        <v>SAKERNAS24-LAPANGAN-SEMESTER2-PPL-PENDATAAN</v>
      </c>
      <c r="J501" s="10" t="str">
        <v>Dokumen</v>
      </c>
      <c r="K501" s="66">
        <v>66000</v>
      </c>
      <c r="L501" s="10">
        <v>20</v>
      </c>
      <c r="M501" s="10">
        <v>1320000</v>
      </c>
      <c r="N501" s="10">
        <v>0</v>
      </c>
      <c r="O501" s="67">
        <v>45535</v>
      </c>
      <c r="P501" s="10">
        <v>2024</v>
      </c>
      <c r="Q501" s="10">
        <v>8</v>
      </c>
      <c r="R501" s="10" t="str">
        <v>SURVEI-PPL</v>
      </c>
      <c r="S501" s="10" t="str">
        <v>610422040052-2024-8</v>
      </c>
      <c r="T501" s="10" t="str">
        <v>610422040052-2024-8-SURVEI-PPL</v>
      </c>
      <c r="U501" s="10">
        <v>0</v>
      </c>
      <c r="V501" s="10" t="e">
        <f ca="1"/>
        <v>#NAME?</v>
      </c>
      <c r="W501" s="67">
        <v>0</v>
      </c>
      <c r="X501" s="11" t="str">
        <v>Sakernas Agustus 2024</v>
      </c>
      <c r="Y501" s="11" t="str">
        <v>ANJONGAN</v>
      </c>
      <c r="Z501" s="11" t="str">
        <v>PAK BULU</v>
      </c>
      <c r="AA501" s="67">
        <v>45504</v>
      </c>
      <c r="AB501" s="67">
        <v>45505</v>
      </c>
      <c r="AC501" s="67">
        <v>45535</v>
      </c>
      <c r="AD501" s="67">
        <v>45534</v>
      </c>
      <c r="AE501" s="67">
        <v>45535</v>
      </c>
    </row>
    <row r="502" spans="1:31" ht="12.5">
      <c r="A502" s="10">
        <v>610422100099</v>
      </c>
      <c r="B502" s="10" t="str">
        <v>SAKERNAS24-LAPANGAN-SEMESTER2</v>
      </c>
      <c r="C502" s="10">
        <v>0</v>
      </c>
      <c r="D502" s="10">
        <f ca="1"/>
        <v>1</v>
      </c>
      <c r="E502" s="10" t="str">
        <v>Difa Faradifa</v>
      </c>
      <c r="F502" s="10" t="str">
        <v>PPL</v>
      </c>
      <c r="G502" s="10" t="str">
        <v>6102084903040001</v>
      </c>
      <c r="H502" s="10" t="str">
        <v>PENDATAAN</v>
      </c>
      <c r="I502" s="10" t="str">
        <v>SAKERNAS24-LAPANGAN-SEMESTER2-PPL-PENDATAAN</v>
      </c>
      <c r="J502" s="10" t="str">
        <v>Dokumen</v>
      </c>
      <c r="K502" s="66">
        <v>66000</v>
      </c>
      <c r="L502" s="10">
        <v>31</v>
      </c>
      <c r="M502" s="10">
        <v>2046000</v>
      </c>
      <c r="N502" s="10">
        <v>0</v>
      </c>
      <c r="O502" s="67">
        <v>45535</v>
      </c>
      <c r="P502" s="10">
        <v>2024</v>
      </c>
      <c r="Q502" s="10">
        <v>8</v>
      </c>
      <c r="R502" s="10" t="str">
        <v>SURVEI-PPL</v>
      </c>
      <c r="S502" s="10" t="str">
        <v>610422100099-2024-8</v>
      </c>
      <c r="T502" s="10" t="str">
        <v>610422100099-2024-8-SURVEI-PPL</v>
      </c>
      <c r="U502" s="10">
        <v>0</v>
      </c>
      <c r="V502" s="10" t="e">
        <f ca="1"/>
        <v>#NAME?</v>
      </c>
      <c r="W502" s="67">
        <v>0</v>
      </c>
      <c r="X502" s="11" t="str">
        <v>Sakernas Agustus 2024</v>
      </c>
      <c r="Y502" s="11" t="str">
        <v>JONGKAT</v>
      </c>
      <c r="Z502" s="11" t="str">
        <v>WAJOK HILIR</v>
      </c>
      <c r="AA502" s="67">
        <v>45504</v>
      </c>
      <c r="AB502" s="67">
        <v>45505</v>
      </c>
      <c r="AC502" s="67">
        <v>45535</v>
      </c>
      <c r="AD502" s="67">
        <v>45534</v>
      </c>
      <c r="AE502" s="67">
        <v>45535</v>
      </c>
    </row>
    <row r="503" spans="1:31" ht="12.5">
      <c r="A503" s="10">
        <v>610422020045</v>
      </c>
      <c r="B503" s="10" t="str">
        <v>SAKERNAS24-LAPANGAN-SEMESTER2</v>
      </c>
      <c r="C503" s="10">
        <v>0</v>
      </c>
      <c r="D503" s="10">
        <f ca="1"/>
        <v>1</v>
      </c>
      <c r="E503" s="10" t="str">
        <v>Herdinatara Febria</v>
      </c>
      <c r="F503" s="10" t="str">
        <v>PPL</v>
      </c>
      <c r="G503" s="10" t="str">
        <v>6107086009930002</v>
      </c>
      <c r="H503" s="10" t="str">
        <v>PENDATAAN</v>
      </c>
      <c r="I503" s="10" t="str">
        <v>SAKERNAS24-LAPANGAN-SEMESTER2-PPL-PENDATAAN</v>
      </c>
      <c r="J503" s="10" t="str">
        <v>Dokumen</v>
      </c>
      <c r="K503" s="66">
        <v>66000</v>
      </c>
      <c r="L503" s="10">
        <v>29</v>
      </c>
      <c r="M503" s="10">
        <v>1914000</v>
      </c>
      <c r="N503" s="10">
        <v>0</v>
      </c>
      <c r="O503" s="67">
        <v>45535</v>
      </c>
      <c r="P503" s="10">
        <v>2024</v>
      </c>
      <c r="Q503" s="10">
        <v>8</v>
      </c>
      <c r="R503" s="10" t="str">
        <v>SURVEI-PPL</v>
      </c>
      <c r="S503" s="10" t="str">
        <v>610422020045-2024-8</v>
      </c>
      <c r="T503" s="10" t="str">
        <v>610422020045-2024-8-SURVEI-PPL</v>
      </c>
      <c r="U503" s="10">
        <v>0</v>
      </c>
      <c r="V503" s="10" t="e">
        <f ca="1"/>
        <v>#NAME?</v>
      </c>
      <c r="W503" s="67">
        <v>0</v>
      </c>
      <c r="X503" s="11" t="str">
        <v>Sakernas Agustus 2024</v>
      </c>
      <c r="Y503" s="11" t="str">
        <v>JONGKAT</v>
      </c>
      <c r="Z503" s="11" t="str">
        <v>WAJOK HILIR</v>
      </c>
      <c r="AA503" s="67">
        <v>45504</v>
      </c>
      <c r="AB503" s="67">
        <v>45505</v>
      </c>
      <c r="AC503" s="67">
        <v>45535</v>
      </c>
      <c r="AD503" s="67">
        <v>45534</v>
      </c>
      <c r="AE503" s="67">
        <v>45535</v>
      </c>
    </row>
    <row r="504" spans="1:31" ht="12.5">
      <c r="A504" s="10">
        <v>610422020016</v>
      </c>
      <c r="B504" s="10" t="str">
        <v>SAKERNAS24-LAPANGAN-SEMESTER2</v>
      </c>
      <c r="C504" s="10">
        <v>0</v>
      </c>
      <c r="D504" s="10">
        <f ca="1"/>
        <v>1</v>
      </c>
      <c r="E504" s="10" t="str">
        <v>Abdul Aziz</v>
      </c>
      <c r="F504" s="10" t="str">
        <v>PPL</v>
      </c>
      <c r="G504" s="10" t="str">
        <v>6102061507950006</v>
      </c>
      <c r="H504" s="10" t="str">
        <v>PENDATAAN</v>
      </c>
      <c r="I504" s="10" t="str">
        <v>SAKERNAS24-LAPANGAN-SEMESTER2-PPL-PENDATAAN</v>
      </c>
      <c r="J504" s="10" t="str">
        <v>Dokumen</v>
      </c>
      <c r="K504" s="66">
        <v>66000</v>
      </c>
      <c r="L504" s="10">
        <v>22</v>
      </c>
      <c r="M504" s="10">
        <v>1452000</v>
      </c>
      <c r="N504" s="10">
        <v>0</v>
      </c>
      <c r="O504" s="67">
        <v>45535</v>
      </c>
      <c r="P504" s="10">
        <v>2024</v>
      </c>
      <c r="Q504" s="10">
        <v>8</v>
      </c>
      <c r="R504" s="10" t="str">
        <v>SURVEI-PPL</v>
      </c>
      <c r="S504" s="10" t="str">
        <v>610422020016-2024-8</v>
      </c>
      <c r="T504" s="10" t="str">
        <v>610422020016-2024-8-SURVEI-PPL</v>
      </c>
      <c r="U504" s="10">
        <v>0</v>
      </c>
      <c r="V504" s="10" t="e">
        <f ca="1"/>
        <v>#NAME?</v>
      </c>
      <c r="W504" s="67">
        <v>0</v>
      </c>
      <c r="X504" s="11" t="str">
        <v>Sakernas Agustus 2024</v>
      </c>
      <c r="Y504" s="11" t="str">
        <v>TOHO</v>
      </c>
      <c r="Z504" s="11" t="str">
        <v>SAMBORA</v>
      </c>
      <c r="AA504" s="67">
        <v>45504</v>
      </c>
      <c r="AB504" s="67">
        <v>45505</v>
      </c>
      <c r="AC504" s="67">
        <v>45535</v>
      </c>
      <c r="AD504" s="67">
        <v>45534</v>
      </c>
      <c r="AE504" s="67">
        <v>45535</v>
      </c>
    </row>
    <row r="505" spans="1:31" ht="12.5">
      <c r="A505" s="10">
        <v>610422100244</v>
      </c>
      <c r="B505" s="10" t="str">
        <v>SAKERNAS24-LAPANGAN-SEMESTER2</v>
      </c>
      <c r="C505" s="10">
        <v>0</v>
      </c>
      <c r="D505" s="10">
        <f ca="1"/>
        <v>1</v>
      </c>
      <c r="E505" s="10" t="str">
        <v>Sugianto</v>
      </c>
      <c r="F505" s="10" t="str">
        <v>PPL</v>
      </c>
      <c r="G505" s="10" t="str">
        <v>6102171003900002</v>
      </c>
      <c r="H505" s="10" t="str">
        <v>PENDATAAN</v>
      </c>
      <c r="I505" s="10" t="str">
        <v>SAKERNAS24-LAPANGAN-SEMESTER2-PPL-PENDATAAN</v>
      </c>
      <c r="J505" s="10" t="str">
        <v>Dokumen</v>
      </c>
      <c r="K505" s="66">
        <v>66000</v>
      </c>
      <c r="L505" s="10">
        <v>20</v>
      </c>
      <c r="M505" s="10">
        <v>1320000</v>
      </c>
      <c r="N505" s="10">
        <v>0</v>
      </c>
      <c r="O505" s="67">
        <v>45535</v>
      </c>
      <c r="P505" s="10">
        <v>2024</v>
      </c>
      <c r="Q505" s="10">
        <v>8</v>
      </c>
      <c r="R505" s="10" t="str">
        <v>SURVEI-PPL</v>
      </c>
      <c r="S505" s="10" t="str">
        <v>610422100244-2024-8</v>
      </c>
      <c r="T505" s="10" t="str">
        <v>610422100244-2024-8-SURVEI-PPL</v>
      </c>
      <c r="U505" s="10">
        <v>0</v>
      </c>
      <c r="V505" s="10" t="e">
        <f ca="1"/>
        <v>#NAME?</v>
      </c>
      <c r="W505" s="67">
        <v>0</v>
      </c>
      <c r="X505" s="11" t="str">
        <v>Sakernas Agustus 2024</v>
      </c>
      <c r="Y505" s="11" t="str">
        <v>SADANIANG</v>
      </c>
      <c r="Z505" s="11" t="str">
        <v>BUMBUN</v>
      </c>
      <c r="AA505" s="67">
        <v>45504</v>
      </c>
      <c r="AB505" s="67">
        <v>45505</v>
      </c>
      <c r="AC505" s="67">
        <v>45535</v>
      </c>
      <c r="AD505" s="67">
        <v>45534</v>
      </c>
      <c r="AE505" s="67">
        <v>45535</v>
      </c>
    </row>
    <row r="506" spans="1:31" ht="12.5">
      <c r="A506" s="10">
        <v>610423040014</v>
      </c>
      <c r="B506" s="10" t="str">
        <v>SAKERNAS24-LAPANGAN-SEMESTER2</v>
      </c>
      <c r="C506" s="10">
        <v>0</v>
      </c>
      <c r="D506" s="10">
        <f ca="1"/>
        <v>1</v>
      </c>
      <c r="E506" s="10" t="str">
        <v>Fransiska Romana</v>
      </c>
      <c r="F506" s="10" t="str">
        <v>PPL</v>
      </c>
      <c r="G506" s="10" t="str">
        <v>6107036103910001</v>
      </c>
      <c r="H506" s="10" t="str">
        <v>PENDATAAN</v>
      </c>
      <c r="I506" s="10" t="str">
        <v>SAKERNAS24-LAPANGAN-SEMESTER2-PPL-PENDATAAN</v>
      </c>
      <c r="J506" s="10" t="str">
        <v>Dokumen</v>
      </c>
      <c r="K506" s="66">
        <v>66000</v>
      </c>
      <c r="L506" s="10">
        <v>21</v>
      </c>
      <c r="M506" s="10">
        <v>1386000</v>
      </c>
      <c r="N506" s="10">
        <v>0</v>
      </c>
      <c r="O506" s="67">
        <v>45535</v>
      </c>
      <c r="P506" s="10">
        <v>2024</v>
      </c>
      <c r="Q506" s="10">
        <v>8</v>
      </c>
      <c r="R506" s="10" t="str">
        <v>SURVEI-PPL</v>
      </c>
      <c r="S506" s="10" t="str">
        <v>610423040014-2024-8</v>
      </c>
      <c r="T506" s="10" t="str">
        <v>610423040014-2024-8-SURVEI-PPL</v>
      </c>
      <c r="U506" s="10">
        <v>0</v>
      </c>
      <c r="V506" s="10" t="e">
        <f ca="1"/>
        <v>#NAME?</v>
      </c>
      <c r="W506" s="67">
        <v>0</v>
      </c>
      <c r="X506" s="11" t="str">
        <v>Sakernas Agustus 2024</v>
      </c>
      <c r="Y506" s="11" t="str">
        <v>TOHO</v>
      </c>
      <c r="Z506" s="11" t="str">
        <v>TOHO ILIR</v>
      </c>
      <c r="AA506" s="67">
        <v>45504</v>
      </c>
      <c r="AB506" s="67">
        <v>45505</v>
      </c>
      <c r="AC506" s="67">
        <v>45535</v>
      </c>
      <c r="AD506" s="67">
        <v>45534</v>
      </c>
      <c r="AE506" s="67">
        <v>45535</v>
      </c>
    </row>
    <row r="507" spans="1:31" ht="12.5">
      <c r="A507" s="10">
        <v>610422020040</v>
      </c>
      <c r="B507" s="10" t="str">
        <v>SAKERNAS24-LAPANGAN-SEMESTER2</v>
      </c>
      <c r="C507" s="10">
        <v>0</v>
      </c>
      <c r="D507" s="10">
        <f ca="1"/>
        <v>1</v>
      </c>
      <c r="E507" s="10" t="str">
        <v>Shofyansyah</v>
      </c>
      <c r="F507" s="10" t="str">
        <v>PPL</v>
      </c>
      <c r="G507" s="10" t="str">
        <v>6102161703760001</v>
      </c>
      <c r="H507" s="10" t="str">
        <v>PENDATAAN</v>
      </c>
      <c r="I507" s="10" t="str">
        <v>SAKERNAS24-LAPANGAN-SEMESTER2-PPL-PENDATAAN</v>
      </c>
      <c r="J507" s="10" t="str">
        <v>Dokumen</v>
      </c>
      <c r="K507" s="66">
        <v>66000</v>
      </c>
      <c r="L507" s="10">
        <v>31</v>
      </c>
      <c r="M507" s="10">
        <v>2046000</v>
      </c>
      <c r="N507" s="10">
        <v>0</v>
      </c>
      <c r="O507" s="67">
        <v>45535</v>
      </c>
      <c r="P507" s="10">
        <v>2024</v>
      </c>
      <c r="Q507" s="10">
        <v>8</v>
      </c>
      <c r="R507" s="10" t="str">
        <v>SURVEI-PPL</v>
      </c>
      <c r="S507" s="10" t="str">
        <v>610422020040-2024-8</v>
      </c>
      <c r="T507" s="10" t="str">
        <v>610422020040-2024-8-SURVEI-PPL</v>
      </c>
      <c r="U507" s="10">
        <v>0</v>
      </c>
      <c r="V507" s="10" t="e">
        <f ca="1"/>
        <v>#NAME?</v>
      </c>
      <c r="W507" s="67">
        <v>0</v>
      </c>
      <c r="X507" s="11" t="str">
        <v>Sakernas Agustus 2024</v>
      </c>
      <c r="Y507" s="11" t="str">
        <v>ANJONGAN</v>
      </c>
      <c r="Z507" s="11" t="str">
        <v>ANJUNGAN DALAM</v>
      </c>
      <c r="AA507" s="67">
        <v>45504</v>
      </c>
      <c r="AB507" s="67">
        <v>45505</v>
      </c>
      <c r="AC507" s="67">
        <v>45535</v>
      </c>
      <c r="AD507" s="67">
        <v>45534</v>
      </c>
      <c r="AE507" s="67">
        <v>45535</v>
      </c>
    </row>
    <row r="508" spans="1:31" ht="12.5">
      <c r="A508" s="10">
        <v>610422040056</v>
      </c>
      <c r="B508" s="10" t="str">
        <v>SAKERNAS24-LAPANGAN-SEMESTER2</v>
      </c>
      <c r="C508" s="10">
        <v>0</v>
      </c>
      <c r="D508" s="10">
        <f ca="1"/>
        <v>1</v>
      </c>
      <c r="E508" s="10" t="str">
        <v>Wandi Syafari</v>
      </c>
      <c r="F508" s="10" t="str">
        <v>PPL</v>
      </c>
      <c r="G508" s="10" t="str">
        <v>6102010802760001</v>
      </c>
      <c r="H508" s="10" t="str">
        <v>PENDATAAN</v>
      </c>
      <c r="I508" s="10" t="str">
        <v>SAKERNAS24-LAPANGAN-SEMESTER2-PPL-PENDATAAN</v>
      </c>
      <c r="J508" s="10" t="str">
        <v>Dokumen</v>
      </c>
      <c r="K508" s="66">
        <v>66000</v>
      </c>
      <c r="L508" s="10">
        <v>30</v>
      </c>
      <c r="M508" s="10">
        <v>1980000</v>
      </c>
      <c r="N508" s="10">
        <v>0</v>
      </c>
      <c r="O508" s="67">
        <v>45535</v>
      </c>
      <c r="P508" s="10">
        <v>2024</v>
      </c>
      <c r="Q508" s="10">
        <v>8</v>
      </c>
      <c r="R508" s="10" t="str">
        <v>SURVEI-PPL</v>
      </c>
      <c r="S508" s="10" t="str">
        <v>610422040056-2024-8</v>
      </c>
      <c r="T508" s="10" t="str">
        <v>610422040056-2024-8-SURVEI-PPL</v>
      </c>
      <c r="U508" s="10">
        <v>0</v>
      </c>
      <c r="V508" s="10" t="e">
        <f ca="1"/>
        <v>#NAME?</v>
      </c>
      <c r="W508" s="67">
        <v>0</v>
      </c>
      <c r="X508" s="11" t="str">
        <v>Sakernas Agustus 2024</v>
      </c>
      <c r="Y508" s="11" t="str">
        <v>MEMPAWAH HILIR</v>
      </c>
      <c r="Z508" s="11" t="str">
        <v>TERUSAN</v>
      </c>
      <c r="AA508" s="67">
        <v>45504</v>
      </c>
      <c r="AB508" s="67">
        <v>45505</v>
      </c>
      <c r="AC508" s="67">
        <v>45535</v>
      </c>
      <c r="AD508" s="67">
        <v>45534</v>
      </c>
      <c r="AE508" s="67">
        <v>45535</v>
      </c>
    </row>
    <row r="509" spans="1:31" ht="12.5">
      <c r="A509" s="10">
        <v>610422040058</v>
      </c>
      <c r="B509" s="10" t="str">
        <v>SAKERNAS24-LAPANGAN-SEMESTER2</v>
      </c>
      <c r="C509" s="10">
        <v>0</v>
      </c>
      <c r="D509" s="10">
        <f ca="1"/>
        <v>1</v>
      </c>
      <c r="E509" s="10" t="str">
        <v>Jamaluddin, Sp</v>
      </c>
      <c r="F509" s="10" t="str">
        <v>PPL</v>
      </c>
      <c r="G509" s="10" t="str">
        <v>6102152607940002</v>
      </c>
      <c r="H509" s="10" t="str">
        <v>PENDATAAN</v>
      </c>
      <c r="I509" s="10" t="str">
        <v>SAKERNAS24-LAPANGAN-SEMESTER2-PPL-PENDATAAN</v>
      </c>
      <c r="J509" s="10" t="str">
        <v>Dokumen</v>
      </c>
      <c r="K509" s="66">
        <v>66000</v>
      </c>
      <c r="L509" s="10">
        <v>30</v>
      </c>
      <c r="M509" s="10">
        <v>1980000</v>
      </c>
      <c r="N509" s="10">
        <v>0</v>
      </c>
      <c r="O509" s="67">
        <v>45535</v>
      </c>
      <c r="P509" s="10">
        <v>2024</v>
      </c>
      <c r="Q509" s="10">
        <v>8</v>
      </c>
      <c r="R509" s="10" t="str">
        <v>SURVEI-PPL</v>
      </c>
      <c r="S509" s="10" t="str">
        <v>610422040058-2024-8</v>
      </c>
      <c r="T509" s="10" t="str">
        <v>610422040058-2024-8-SURVEI-PPL</v>
      </c>
      <c r="U509" s="10">
        <v>0</v>
      </c>
      <c r="V509" s="10" t="e">
        <f ca="1"/>
        <v>#NAME?</v>
      </c>
      <c r="W509" s="67">
        <v>0</v>
      </c>
      <c r="X509" s="11" t="str">
        <v>Sakernas Agustus 2024</v>
      </c>
      <c r="Y509" s="11" t="str">
        <v>SEGEDONG</v>
      </c>
      <c r="Z509" s="11" t="str">
        <v>PENITI DALAM I</v>
      </c>
      <c r="AA509" s="67">
        <v>45504</v>
      </c>
      <c r="AB509" s="67">
        <v>45505</v>
      </c>
      <c r="AC509" s="67">
        <v>45535</v>
      </c>
      <c r="AD509" s="67">
        <v>45534</v>
      </c>
      <c r="AE509" s="67">
        <v>45535</v>
      </c>
    </row>
    <row r="510" spans="1:31" ht="12.5">
      <c r="A510" s="10">
        <v>610422020032</v>
      </c>
      <c r="B510" s="10" t="str">
        <v>SAKERNAS24-LAPANGAN-SEMESTER2</v>
      </c>
      <c r="C510" s="10">
        <v>0</v>
      </c>
      <c r="D510" s="10">
        <f ca="1"/>
        <v>1</v>
      </c>
      <c r="E510" s="10" t="str">
        <v>Lilis Suryani</v>
      </c>
      <c r="F510" s="10" t="str">
        <v>PPL</v>
      </c>
      <c r="G510" s="10" t="str">
        <v>6102185102880001</v>
      </c>
      <c r="H510" s="10" t="str">
        <v>PENDATAAN</v>
      </c>
      <c r="I510" s="10" t="str">
        <v>SAKERNAS24-LAPANGAN-SEMESTER2-PPL-PENDATAAN</v>
      </c>
      <c r="J510" s="10" t="str">
        <v>Dokumen</v>
      </c>
      <c r="K510" s="66">
        <v>66000</v>
      </c>
      <c r="L510" s="10">
        <v>30</v>
      </c>
      <c r="M510" s="10">
        <v>1980000</v>
      </c>
      <c r="N510" s="10">
        <v>0</v>
      </c>
      <c r="O510" s="67">
        <v>45535</v>
      </c>
      <c r="P510" s="10">
        <v>2024</v>
      </c>
      <c r="Q510" s="10">
        <v>8</v>
      </c>
      <c r="R510" s="10" t="str">
        <v>SURVEI-PPL</v>
      </c>
      <c r="S510" s="10" t="str">
        <v>610422020032-2024-8</v>
      </c>
      <c r="T510" s="10" t="str">
        <v>610422020032-2024-8-SURVEI-PPL</v>
      </c>
      <c r="U510" s="10">
        <v>0</v>
      </c>
      <c r="V510" s="10" t="e">
        <f ca="1"/>
        <v>#NAME?</v>
      </c>
      <c r="W510" s="67">
        <v>0</v>
      </c>
      <c r="X510" s="11" t="str">
        <v>Sakernas Agustus 2024</v>
      </c>
      <c r="Y510" s="11" t="str">
        <v>MEMPAWAH TIMUR</v>
      </c>
      <c r="Z510" s="11" t="str">
        <v>PARIT BANJAR</v>
      </c>
      <c r="AA510" s="67">
        <v>45504</v>
      </c>
      <c r="AB510" s="67">
        <v>45505</v>
      </c>
      <c r="AC510" s="67">
        <v>45535</v>
      </c>
      <c r="AD510" s="67">
        <v>45534</v>
      </c>
      <c r="AE510" s="67">
        <v>45535</v>
      </c>
    </row>
    <row r="511" spans="1:31" ht="12.5">
      <c r="A511" s="10">
        <v>610422040034</v>
      </c>
      <c r="B511" s="10" t="str">
        <v>SAKERNAS24-LAPANGAN-SEMESTER2</v>
      </c>
      <c r="C511" s="10">
        <v>0</v>
      </c>
      <c r="D511" s="10">
        <f ca="1"/>
        <v>1</v>
      </c>
      <c r="E511" s="10" t="str">
        <v>Nelly Nalita</v>
      </c>
      <c r="F511" s="10" t="str">
        <v>PPL</v>
      </c>
      <c r="G511" s="10" t="str">
        <v>6102014712890004</v>
      </c>
      <c r="H511" s="10" t="str">
        <v>PENDATAAN</v>
      </c>
      <c r="I511" s="10" t="str">
        <v>SAKERNAS24-LAPANGAN-SEMESTER2-PPL-PENDATAAN</v>
      </c>
      <c r="J511" s="10" t="str">
        <v>Dokumen</v>
      </c>
      <c r="K511" s="66">
        <v>66000</v>
      </c>
      <c r="L511" s="10">
        <v>30</v>
      </c>
      <c r="M511" s="10">
        <v>1980000</v>
      </c>
      <c r="N511" s="10">
        <v>0</v>
      </c>
      <c r="O511" s="67">
        <v>45535</v>
      </c>
      <c r="P511" s="10">
        <v>2024</v>
      </c>
      <c r="Q511" s="10">
        <v>8</v>
      </c>
      <c r="R511" s="10" t="str">
        <v>SURVEI-PPL</v>
      </c>
      <c r="S511" s="10" t="str">
        <v>610422040034-2024-8</v>
      </c>
      <c r="T511" s="10" t="str">
        <v>610422040034-2024-8-SURVEI-PPL</v>
      </c>
      <c r="U511" s="10">
        <v>0</v>
      </c>
      <c r="V511" s="10" t="e">
        <f ca="1"/>
        <v>#NAME?</v>
      </c>
      <c r="W511" s="67">
        <v>0</v>
      </c>
      <c r="X511" s="11" t="str">
        <v>Sakernas Agustus 2024</v>
      </c>
      <c r="Y511" s="11" t="str">
        <v>MEMPAWAH HILIR</v>
      </c>
      <c r="Z511" s="11" t="str">
        <v>SENGKUBANG</v>
      </c>
      <c r="AA511" s="67">
        <v>45504</v>
      </c>
      <c r="AB511" s="67">
        <v>45505</v>
      </c>
      <c r="AC511" s="67">
        <v>45535</v>
      </c>
      <c r="AD511" s="67">
        <v>45534</v>
      </c>
      <c r="AE511" s="67">
        <v>45535</v>
      </c>
    </row>
    <row r="512" spans="1:31" ht="12.5">
      <c r="A512" s="10">
        <v>610422040051</v>
      </c>
      <c r="B512" s="10" t="str">
        <v>SAKERNAS24-LAPANGAN-SEMESTER2</v>
      </c>
      <c r="C512" s="10">
        <v>0</v>
      </c>
      <c r="D512" s="10">
        <f ca="1"/>
        <v>1</v>
      </c>
      <c r="E512" s="10" t="str">
        <v>Dede Sri Delvey</v>
      </c>
      <c r="F512" s="10" t="str">
        <v>PPL</v>
      </c>
      <c r="G512" s="10" t="str">
        <v>6102156611010002</v>
      </c>
      <c r="H512" s="10" t="str">
        <v>PENDATAAN</v>
      </c>
      <c r="I512" s="10" t="str">
        <v>SAKERNAS24-LAPANGAN-SEMESTER2-PPL-PENDATAAN</v>
      </c>
      <c r="J512" s="10" t="str">
        <v>Dokumen</v>
      </c>
      <c r="K512" s="66">
        <v>66000</v>
      </c>
      <c r="L512" s="10">
        <v>30</v>
      </c>
      <c r="M512" s="10">
        <v>1980000</v>
      </c>
      <c r="N512" s="10">
        <v>0</v>
      </c>
      <c r="O512" s="67">
        <v>45535</v>
      </c>
      <c r="P512" s="10">
        <v>2024</v>
      </c>
      <c r="Q512" s="10">
        <v>8</v>
      </c>
      <c r="R512" s="10" t="str">
        <v>SURVEI-PPL</v>
      </c>
      <c r="S512" s="10" t="str">
        <v>610422040051-2024-8</v>
      </c>
      <c r="T512" s="10" t="str">
        <v>610422040051-2024-8-SURVEI-PPL</v>
      </c>
      <c r="U512" s="10">
        <v>0</v>
      </c>
      <c r="V512" s="10" t="e">
        <f ca="1"/>
        <v>#NAME?</v>
      </c>
      <c r="W512" s="67">
        <v>0</v>
      </c>
      <c r="X512" s="11" t="str">
        <v>Sakernas Agustus 2024</v>
      </c>
      <c r="Y512" s="11" t="str">
        <v>SEGEDONG</v>
      </c>
      <c r="Z512" s="11" t="str">
        <v>SUNGAI PURUN BESAR</v>
      </c>
      <c r="AA512" s="67">
        <v>45504</v>
      </c>
      <c r="AB512" s="67">
        <v>45505</v>
      </c>
      <c r="AC512" s="67">
        <v>45535</v>
      </c>
      <c r="AD512" s="67">
        <v>45534</v>
      </c>
      <c r="AE512" s="67">
        <v>45535</v>
      </c>
    </row>
    <row r="513" spans="1:31" ht="12.5">
      <c r="A513" s="10">
        <v>610423040013</v>
      </c>
      <c r="B513" s="10" t="str">
        <v>SAKERNAS24-LAPANGAN-SEMESTER2</v>
      </c>
      <c r="C513" s="10">
        <v>0</v>
      </c>
      <c r="D513" s="10">
        <f ca="1"/>
        <v>1</v>
      </c>
      <c r="E513" s="10" t="str">
        <v>Lulu Gesti Gunawati</v>
      </c>
      <c r="F513" s="10" t="str">
        <v>PPL</v>
      </c>
      <c r="G513" s="10" t="str">
        <v>3314066101000001</v>
      </c>
      <c r="H513" s="10" t="str">
        <v>PENDATAAN</v>
      </c>
      <c r="I513" s="10" t="str">
        <v>SAKERNAS24-LAPANGAN-SEMESTER2-PPL-PENDATAAN</v>
      </c>
      <c r="J513" s="10" t="str">
        <v>Dokumen</v>
      </c>
      <c r="K513" s="66">
        <v>66000</v>
      </c>
      <c r="L513" s="10">
        <v>30</v>
      </c>
      <c r="M513" s="10">
        <v>1980000</v>
      </c>
      <c r="N513" s="10">
        <v>0</v>
      </c>
      <c r="O513" s="67">
        <v>45535</v>
      </c>
      <c r="P513" s="10">
        <v>2024</v>
      </c>
      <c r="Q513" s="10">
        <v>8</v>
      </c>
      <c r="R513" s="10" t="str">
        <v>SURVEI-PPL</v>
      </c>
      <c r="S513" s="10" t="str">
        <v>610423040013-2024-8</v>
      </c>
      <c r="T513" s="10" t="str">
        <v>610423040013-2024-8-SURVEI-PPL</v>
      </c>
      <c r="U513" s="10">
        <v>0</v>
      </c>
      <c r="V513" s="10" t="e">
        <f ca="1"/>
        <v>#NAME?</v>
      </c>
      <c r="W513" s="67">
        <v>0</v>
      </c>
      <c r="X513" s="11" t="str">
        <v>Sakernas Agustus 2024</v>
      </c>
      <c r="Y513" s="11" t="str">
        <v>SUNGAI KUNYIT</v>
      </c>
      <c r="Z513" s="11" t="str">
        <v>MENDALOK</v>
      </c>
      <c r="AA513" s="67">
        <v>45504</v>
      </c>
      <c r="AB513" s="67">
        <v>45505</v>
      </c>
      <c r="AC513" s="67">
        <v>45535</v>
      </c>
      <c r="AD513" s="67">
        <v>45534</v>
      </c>
      <c r="AE513" s="67">
        <v>45535</v>
      </c>
    </row>
    <row r="514" spans="1:31" ht="12.5">
      <c r="A514" s="10">
        <v>610422100001</v>
      </c>
      <c r="B514" s="10" t="str">
        <v>SAKERNAS24-LAPANGAN-SEMESTER2</v>
      </c>
      <c r="C514" s="10">
        <v>0</v>
      </c>
      <c r="D514" s="10">
        <f ca="1"/>
        <v>1</v>
      </c>
      <c r="E514" s="10" t="str">
        <v>Fatmawati,S.Hut</v>
      </c>
      <c r="F514" s="10" t="str">
        <v>PPL</v>
      </c>
      <c r="G514" s="10" t="str">
        <v>6102075007830003</v>
      </c>
      <c r="H514" s="10" t="str">
        <v>PENDATAAN</v>
      </c>
      <c r="I514" s="10" t="str">
        <v>SAKERNAS24-LAPANGAN-SEMESTER2-PPL-PENDATAAN</v>
      </c>
      <c r="J514" s="10" t="str">
        <v>Dokumen</v>
      </c>
      <c r="K514" s="66">
        <v>66000</v>
      </c>
      <c r="L514" s="10">
        <v>30</v>
      </c>
      <c r="M514" s="10">
        <v>1980000</v>
      </c>
      <c r="N514" s="10">
        <v>0</v>
      </c>
      <c r="O514" s="67">
        <v>45535</v>
      </c>
      <c r="P514" s="10">
        <v>2024</v>
      </c>
      <c r="Q514" s="10">
        <v>8</v>
      </c>
      <c r="R514" s="10" t="str">
        <v>SURVEI-PPL</v>
      </c>
      <c r="S514" s="10" t="str">
        <v>610422100001-2024-8</v>
      </c>
      <c r="T514" s="10" t="str">
        <v>610422100001-2024-8-SURVEI-PPL</v>
      </c>
      <c r="U514" s="10">
        <v>0</v>
      </c>
      <c r="V514" s="10" t="e">
        <f ca="1"/>
        <v>#NAME?</v>
      </c>
      <c r="W514" s="67">
        <v>0</v>
      </c>
      <c r="X514" s="11" t="str">
        <v>Sakernas Agustus 2024</v>
      </c>
      <c r="Y514" s="11" t="str">
        <v>SUNGAI PINYUH</v>
      </c>
      <c r="Z514" s="11" t="str">
        <v>SUNGAI BAKAU BESAR LAUT</v>
      </c>
      <c r="AA514" s="67">
        <v>45504</v>
      </c>
      <c r="AB514" s="67">
        <v>45505</v>
      </c>
      <c r="AC514" s="67">
        <v>45535</v>
      </c>
      <c r="AD514" s="67">
        <v>45534</v>
      </c>
      <c r="AE514" s="67">
        <v>45535</v>
      </c>
    </row>
    <row r="515" spans="1:31" ht="12.5">
      <c r="A515" s="10">
        <v>610422040053</v>
      </c>
      <c r="B515" s="10" t="str">
        <v>SAKERNAS24-LAPANGAN-SEMESTER2</v>
      </c>
      <c r="C515" s="10">
        <v>0</v>
      </c>
      <c r="D515" s="10">
        <f ca="1"/>
        <v>1</v>
      </c>
      <c r="E515" s="10" t="str">
        <v>Veti Ningsi</v>
      </c>
      <c r="F515" s="10" t="str">
        <v>PPL</v>
      </c>
      <c r="G515" s="10" t="str">
        <v>6102125604010002</v>
      </c>
      <c r="H515" s="10" t="str">
        <v>PENDATAAN</v>
      </c>
      <c r="I515" s="10" t="str">
        <v>SAKERNAS24-LAPANGAN-SEMESTER2-PPL-PENDATAAN</v>
      </c>
      <c r="J515" s="10" t="str">
        <v>Dokumen</v>
      </c>
      <c r="K515" s="66">
        <v>66000</v>
      </c>
      <c r="L515" s="10">
        <v>30</v>
      </c>
      <c r="M515" s="10">
        <v>1980000</v>
      </c>
      <c r="N515" s="10">
        <v>0</v>
      </c>
      <c r="O515" s="67">
        <v>45535</v>
      </c>
      <c r="P515" s="10">
        <v>2024</v>
      </c>
      <c r="Q515" s="10">
        <v>8</v>
      </c>
      <c r="R515" s="10" t="str">
        <v>SURVEI-PPL</v>
      </c>
      <c r="S515" s="10" t="str">
        <v>610422040053-2024-8</v>
      </c>
      <c r="T515" s="10" t="str">
        <v>610422040053-2024-8-SURVEI-PPL</v>
      </c>
      <c r="U515" s="10">
        <v>0</v>
      </c>
      <c r="V515" s="10" t="e">
        <f ca="1"/>
        <v>#NAME?</v>
      </c>
      <c r="W515" s="67">
        <v>0</v>
      </c>
      <c r="X515" s="11" t="str">
        <v>Sakernas Agustus 2024</v>
      </c>
      <c r="Y515" s="11" t="str">
        <v>SUNGAI KUNYIT</v>
      </c>
      <c r="Z515" s="11" t="str">
        <v>SUNGAI BUNDUNG LAUT</v>
      </c>
      <c r="AA515" s="67">
        <v>45504</v>
      </c>
      <c r="AB515" s="67">
        <v>45505</v>
      </c>
      <c r="AC515" s="67">
        <v>45535</v>
      </c>
      <c r="AD515" s="67">
        <v>45534</v>
      </c>
      <c r="AE515" s="67">
        <v>45535</v>
      </c>
    </row>
    <row r="516" spans="1:31" ht="12.5">
      <c r="A516" s="10">
        <v>610422040012</v>
      </c>
      <c r="B516" s="10" t="str">
        <v>UBINAN24-LAPANGAN-SR2</v>
      </c>
      <c r="C516" s="10">
        <v>0</v>
      </c>
      <c r="D516" s="10">
        <f ca="1"/>
        <v>1</v>
      </c>
      <c r="E516" s="10" t="str">
        <v>Misdi</v>
      </c>
      <c r="F516" s="10" t="str">
        <v>PPL</v>
      </c>
      <c r="G516" s="10" t="str">
        <v>6102070706940001</v>
      </c>
      <c r="H516" s="10" t="str">
        <v>PALAWIJA</v>
      </c>
      <c r="I516" s="10" t="str">
        <v>UBINAN24-LAPANGAN-SR2-PPL-PALAWIJA</v>
      </c>
      <c r="J516" s="10" t="str">
        <v>Dokumen</v>
      </c>
      <c r="K516" s="66">
        <v>78000</v>
      </c>
      <c r="L516" s="10">
        <v>3</v>
      </c>
      <c r="M516" s="10">
        <v>234000</v>
      </c>
      <c r="N516" s="10">
        <v>0</v>
      </c>
      <c r="O516" s="67">
        <v>45535</v>
      </c>
      <c r="P516" s="10">
        <v>2024</v>
      </c>
      <c r="Q516" s="10">
        <v>8</v>
      </c>
      <c r="R516" s="10" t="str">
        <v>SURVEI-PPL</v>
      </c>
      <c r="S516" s="10" t="str">
        <v>610422040012-2024-8</v>
      </c>
      <c r="T516" s="10" t="str">
        <v>610422040012-2024-8-SURVEI-PPL</v>
      </c>
      <c r="U516" s="10">
        <v>0</v>
      </c>
      <c r="V516" s="10" t="e">
        <f ca="1"/>
        <v>#NAME?</v>
      </c>
      <c r="W516" s="67">
        <v>0</v>
      </c>
      <c r="X516" s="11" t="str">
        <v>Survei Ubinan 2024 Subround 2</v>
      </c>
      <c r="Y516" s="11" t="str">
        <v>SUNGAI PINYUH</v>
      </c>
      <c r="Z516" s="11" t="str">
        <v>SUNGAI BAKAU BESAR DARAT</v>
      </c>
      <c r="AA516" s="67">
        <v>45504</v>
      </c>
      <c r="AB516" s="67">
        <v>45505</v>
      </c>
      <c r="AC516" s="67">
        <v>45535</v>
      </c>
      <c r="AD516" s="67">
        <v>45534</v>
      </c>
      <c r="AE516" s="67">
        <v>45535</v>
      </c>
    </row>
    <row r="517" spans="1:31" ht="12.5">
      <c r="A517" s="10">
        <v>610423040018</v>
      </c>
      <c r="B517" s="10" t="str">
        <v>UBINAN24-LAPANGAN-SR2</v>
      </c>
      <c r="C517" s="10">
        <v>0</v>
      </c>
      <c r="D517" s="10">
        <f ca="1"/>
        <v>1</v>
      </c>
      <c r="E517" s="10" t="str">
        <v>Handoko Tuah Sabarman Sipayung</v>
      </c>
      <c r="F517" s="10" t="str">
        <v>PPL</v>
      </c>
      <c r="G517" s="10" t="str">
        <v>1212092309880001</v>
      </c>
      <c r="H517" s="10" t="str">
        <v>PADI</v>
      </c>
      <c r="I517" s="10" t="str">
        <v>UBINAN24-LAPANGAN-SR2-PPL-PADI</v>
      </c>
      <c r="J517" s="10" t="str">
        <v>Dokumen</v>
      </c>
      <c r="K517" s="66">
        <v>78000</v>
      </c>
      <c r="L517" s="10">
        <v>5</v>
      </c>
      <c r="M517" s="10">
        <v>390000</v>
      </c>
      <c r="N517" s="10">
        <v>0</v>
      </c>
      <c r="O517" s="67">
        <v>45535</v>
      </c>
      <c r="P517" s="10">
        <v>2024</v>
      </c>
      <c r="Q517" s="10">
        <v>8</v>
      </c>
      <c r="R517" s="10" t="str">
        <v>SURVEI-PPL</v>
      </c>
      <c r="S517" s="10" t="str">
        <v>610423040018-2024-8</v>
      </c>
      <c r="T517" s="10" t="str">
        <v>610423040018-2024-8-SURVEI-PPL</v>
      </c>
      <c r="U517" s="10">
        <v>0</v>
      </c>
      <c r="V517" s="10" t="e">
        <f ca="1"/>
        <v>#NAME?</v>
      </c>
      <c r="W517" s="67">
        <v>0</v>
      </c>
      <c r="X517" s="11" t="str">
        <v>Survei Ubinan 2024 Subround 2</v>
      </c>
      <c r="Y517" s="11" t="str">
        <v>TOHO</v>
      </c>
      <c r="Z517" s="11" t="str">
        <v>PAK LAHENG</v>
      </c>
      <c r="AA517" s="67">
        <v>45504</v>
      </c>
      <c r="AB517" s="67">
        <v>45505</v>
      </c>
      <c r="AC517" s="67">
        <v>45535</v>
      </c>
      <c r="AD517" s="67">
        <v>45534</v>
      </c>
      <c r="AE517" s="67">
        <v>45535</v>
      </c>
    </row>
    <row r="518" spans="1:31" ht="12.5">
      <c r="A518" s="10">
        <v>610422040059</v>
      </c>
      <c r="B518" s="10" t="str">
        <v>UBINAN24-LAPANGAN-SR2</v>
      </c>
      <c r="C518" s="10">
        <v>0</v>
      </c>
      <c r="D518" s="10">
        <f ca="1"/>
        <v>1</v>
      </c>
      <c r="E518" s="10" t="str">
        <v>Abang Handri</v>
      </c>
      <c r="F518" s="10" t="str">
        <v>PPL</v>
      </c>
      <c r="G518" s="10" t="str">
        <v>6102072211780002</v>
      </c>
      <c r="H518" s="10" t="str">
        <v>PADI</v>
      </c>
      <c r="I518" s="10" t="str">
        <v>UBINAN24-LAPANGAN-SR2-PPL-PADI</v>
      </c>
      <c r="J518" s="10" t="str">
        <v>Dokumen</v>
      </c>
      <c r="K518" s="66">
        <v>78000</v>
      </c>
      <c r="L518" s="10">
        <v>2</v>
      </c>
      <c r="M518" s="10">
        <v>156000</v>
      </c>
      <c r="N518" s="10">
        <v>0</v>
      </c>
      <c r="O518" s="67">
        <v>45535</v>
      </c>
      <c r="P518" s="10">
        <v>2024</v>
      </c>
      <c r="Q518" s="10">
        <v>8</v>
      </c>
      <c r="R518" s="10" t="str">
        <v>SURVEI-PPL</v>
      </c>
      <c r="S518" s="10" t="str">
        <v>610422040059-2024-8</v>
      </c>
      <c r="T518" s="10" t="str">
        <v>610422040059-2024-8-SURVEI-PPL</v>
      </c>
      <c r="U518" s="10">
        <v>0</v>
      </c>
      <c r="V518" s="10" t="e">
        <f ca="1"/>
        <v>#NAME?</v>
      </c>
      <c r="W518" s="67">
        <v>0</v>
      </c>
      <c r="X518" s="11" t="str">
        <v>Survei Ubinan 2024 Subround 2</v>
      </c>
      <c r="Y518" s="11" t="str">
        <v>MEMPAWAH HILIR</v>
      </c>
      <c r="Z518" s="11" t="str">
        <v>TERUSAN</v>
      </c>
      <c r="AA518" s="67">
        <v>45504</v>
      </c>
      <c r="AB518" s="67">
        <v>45505</v>
      </c>
      <c r="AC518" s="67">
        <v>45535</v>
      </c>
      <c r="AD518" s="67">
        <v>45534</v>
      </c>
      <c r="AE518" s="67">
        <v>45535</v>
      </c>
    </row>
    <row r="519" spans="1:31" ht="12.5">
      <c r="A519" s="10">
        <v>610422100006</v>
      </c>
      <c r="B519" s="10" t="str">
        <v>UBINAN24-LAPANGAN-SR2</v>
      </c>
      <c r="C519" s="10">
        <v>0</v>
      </c>
      <c r="D519" s="10">
        <f ca="1"/>
        <v>1</v>
      </c>
      <c r="E519" s="10" t="str">
        <v>Dandy</v>
      </c>
      <c r="F519" s="10" t="str">
        <v>PPL</v>
      </c>
      <c r="G519" s="10" t="str">
        <v>6102082010980003</v>
      </c>
      <c r="H519" s="10" t="str">
        <v>PALAWIJA</v>
      </c>
      <c r="I519" s="10" t="str">
        <v>UBINAN24-LAPANGAN-SR2-PPL-PALAWIJA</v>
      </c>
      <c r="J519" s="10" t="str">
        <v>Dokumen</v>
      </c>
      <c r="K519" s="66">
        <v>78000</v>
      </c>
      <c r="L519" s="10">
        <v>20</v>
      </c>
      <c r="M519" s="10">
        <v>1560000</v>
      </c>
      <c r="N519" s="10">
        <v>0</v>
      </c>
      <c r="O519" s="67">
        <v>45535</v>
      </c>
      <c r="P519" s="10">
        <v>2024</v>
      </c>
      <c r="Q519" s="10">
        <v>8</v>
      </c>
      <c r="R519" s="10" t="str">
        <v>SURVEI-PPL</v>
      </c>
      <c r="S519" s="10" t="str">
        <v>610422100006-2024-8</v>
      </c>
      <c r="T519" s="10" t="str">
        <v>610422100006-2024-8-SURVEI-PPL</v>
      </c>
      <c r="U519" s="10">
        <v>0</v>
      </c>
      <c r="V519" s="10" t="e">
        <f ca="1"/>
        <v>#NAME?</v>
      </c>
      <c r="W519" s="67">
        <v>0</v>
      </c>
      <c r="X519" s="11" t="str">
        <v>Survei Ubinan 2024 Subround 2</v>
      </c>
      <c r="Y519" s="11" t="str">
        <v>JONGKAT</v>
      </c>
      <c r="Z519" s="11" t="str">
        <v>PENITI LUAR</v>
      </c>
      <c r="AA519" s="67">
        <v>45504</v>
      </c>
      <c r="AB519" s="67">
        <v>45505</v>
      </c>
      <c r="AC519" s="67">
        <v>45535</v>
      </c>
      <c r="AD519" s="67">
        <v>45534</v>
      </c>
      <c r="AE519" s="67">
        <v>45535</v>
      </c>
    </row>
    <row r="520" spans="1:31" ht="12.5">
      <c r="A520" s="10">
        <v>610423040021</v>
      </c>
      <c r="B520" s="10" t="str">
        <v>UBINAN24-LAPANGAN-SR2</v>
      </c>
      <c r="C520" s="10">
        <v>0</v>
      </c>
      <c r="D520" s="10">
        <f ca="1"/>
        <v>1</v>
      </c>
      <c r="E520" s="10" t="str">
        <v>Seliana</v>
      </c>
      <c r="F520" s="10" t="str">
        <v>PPL</v>
      </c>
      <c r="G520" s="10" t="str">
        <v>6102176606880001</v>
      </c>
      <c r="H520" s="10" t="str">
        <v>PALAWIJA</v>
      </c>
      <c r="I520" s="10" t="str">
        <v>UBINAN24-LAPANGAN-SR2-PPL-PALAWIJA</v>
      </c>
      <c r="J520" s="10" t="str">
        <v>Dokumen</v>
      </c>
      <c r="K520" s="66">
        <v>78000</v>
      </c>
      <c r="L520" s="10">
        <v>3</v>
      </c>
      <c r="M520" s="10">
        <v>234000</v>
      </c>
      <c r="N520" s="10">
        <v>0</v>
      </c>
      <c r="O520" s="67">
        <v>45535</v>
      </c>
      <c r="P520" s="10">
        <v>2024</v>
      </c>
      <c r="Q520" s="10">
        <v>8</v>
      </c>
      <c r="R520" s="10" t="str">
        <v>SURVEI-PPL</v>
      </c>
      <c r="S520" s="10" t="str">
        <v>610423040021-2024-8</v>
      </c>
      <c r="T520" s="10" t="str">
        <v>610423040021-2024-8-SURVEI-PPL</v>
      </c>
      <c r="U520" s="10">
        <v>0</v>
      </c>
      <c r="V520" s="10" t="e">
        <f ca="1"/>
        <v>#NAME?</v>
      </c>
      <c r="W520" s="67">
        <v>0</v>
      </c>
      <c r="X520" s="11" t="str">
        <v>Survei Ubinan 2024 Subround 2</v>
      </c>
      <c r="Y520" s="11" t="str">
        <v>SADANIANG</v>
      </c>
      <c r="Z520" s="11" t="str">
        <v>ANSIAP</v>
      </c>
      <c r="AA520" s="67">
        <v>45504</v>
      </c>
      <c r="AB520" s="67">
        <v>45505</v>
      </c>
      <c r="AC520" s="67">
        <v>45535</v>
      </c>
      <c r="AD520" s="67">
        <v>45534</v>
      </c>
      <c r="AE520" s="67">
        <v>45535</v>
      </c>
    </row>
    <row r="521" spans="1:31" ht="12.5">
      <c r="A521" s="10">
        <v>610422020048</v>
      </c>
      <c r="B521" s="10" t="str">
        <v>UBINAN24-LAPANGAN-SR2</v>
      </c>
      <c r="C521" s="10">
        <v>0</v>
      </c>
      <c r="D521" s="10">
        <f ca="1"/>
        <v>1</v>
      </c>
      <c r="E521" s="10" t="str">
        <v>Herri Gustaman</v>
      </c>
      <c r="F521" s="10" t="str">
        <v>PPL</v>
      </c>
      <c r="G521" s="10" t="str">
        <v>6102072503800001</v>
      </c>
      <c r="H521" s="10" t="str">
        <v>PALAWIJA</v>
      </c>
      <c r="I521" s="10" t="str">
        <v>UBINAN24-LAPANGAN-SR2-PPL-PALAWIJA</v>
      </c>
      <c r="J521" s="10" t="str">
        <v>Dokumen</v>
      </c>
      <c r="K521" s="66">
        <v>78000</v>
      </c>
      <c r="L521" s="10">
        <v>10</v>
      </c>
      <c r="M521" s="10">
        <v>780000</v>
      </c>
      <c r="N521" s="10">
        <v>0</v>
      </c>
      <c r="O521" s="67">
        <v>45535</v>
      </c>
      <c r="P521" s="10">
        <v>2024</v>
      </c>
      <c r="Q521" s="10">
        <v>8</v>
      </c>
      <c r="R521" s="10" t="str">
        <v>SURVEI-PPL</v>
      </c>
      <c r="S521" s="10" t="str">
        <v>610422020048-2024-8</v>
      </c>
      <c r="T521" s="10" t="str">
        <v>610422020048-2024-8-SURVEI-PPL</v>
      </c>
      <c r="U521" s="10">
        <v>0</v>
      </c>
      <c r="V521" s="10" t="e">
        <f ca="1"/>
        <v>#NAME?</v>
      </c>
      <c r="W521" s="67">
        <v>0</v>
      </c>
      <c r="X521" s="11" t="str">
        <v>Survei Ubinan 2024 Subround 2</v>
      </c>
      <c r="Y521" s="11" t="str">
        <v>MEMPAWAH TIMUR</v>
      </c>
      <c r="Z521" s="11" t="str">
        <v>SEJEGI</v>
      </c>
      <c r="AA521" s="67">
        <v>45504</v>
      </c>
      <c r="AB521" s="67">
        <v>45505</v>
      </c>
      <c r="AC521" s="67">
        <v>45535</v>
      </c>
      <c r="AD521" s="67">
        <v>45534</v>
      </c>
      <c r="AE521" s="67">
        <v>45535</v>
      </c>
    </row>
    <row r="522" spans="1:31" ht="12.5">
      <c r="A522" s="10">
        <v>610422100244</v>
      </c>
      <c r="B522" s="10" t="str">
        <v>UBINAN24-LAPANGAN-SR2</v>
      </c>
      <c r="C522" s="10">
        <v>0</v>
      </c>
      <c r="D522" s="10">
        <f ca="1"/>
        <v>1</v>
      </c>
      <c r="E522" s="10" t="str">
        <v>Sugianto</v>
      </c>
      <c r="F522" s="10" t="str">
        <v>PPL</v>
      </c>
      <c r="G522" s="10" t="str">
        <v>6102171003900002</v>
      </c>
      <c r="H522" s="10" t="str">
        <v>PADI</v>
      </c>
      <c r="I522" s="10" t="str">
        <v>UBINAN24-LAPANGAN-SR2-PPL-PADI</v>
      </c>
      <c r="J522" s="10" t="str">
        <v>Dokumen</v>
      </c>
      <c r="K522" s="66">
        <v>78000</v>
      </c>
      <c r="L522" s="10">
        <v>6</v>
      </c>
      <c r="M522" s="10">
        <v>468000</v>
      </c>
      <c r="N522" s="10">
        <v>0</v>
      </c>
      <c r="O522" s="67">
        <v>45535</v>
      </c>
      <c r="P522" s="10">
        <v>2024</v>
      </c>
      <c r="Q522" s="10">
        <v>8</v>
      </c>
      <c r="R522" s="10" t="str">
        <v>SURVEI-PPL</v>
      </c>
      <c r="S522" s="10" t="str">
        <v>610422100244-2024-8</v>
      </c>
      <c r="T522" s="10" t="str">
        <v>610422100244-2024-8-SURVEI-PPL</v>
      </c>
      <c r="U522" s="10">
        <v>0</v>
      </c>
      <c r="V522" s="10" t="e">
        <f ca="1"/>
        <v>#NAME?</v>
      </c>
      <c r="W522" s="67">
        <v>0</v>
      </c>
      <c r="X522" s="11" t="str">
        <v>Survei Ubinan 2024 Subround 2</v>
      </c>
      <c r="Y522" s="11" t="str">
        <v>SADANIANG</v>
      </c>
      <c r="Z522" s="11" t="str">
        <v>BUMBUN</v>
      </c>
      <c r="AA522" s="67">
        <v>45504</v>
      </c>
      <c r="AB522" s="67">
        <v>45505</v>
      </c>
      <c r="AC522" s="67">
        <v>45535</v>
      </c>
      <c r="AD522" s="67">
        <v>45534</v>
      </c>
      <c r="AE522" s="67">
        <v>45535</v>
      </c>
    </row>
    <row r="523" spans="1:31" ht="12.5">
      <c r="A523" s="10">
        <v>610422040059</v>
      </c>
      <c r="B523" s="10" t="str">
        <v>IMK24-LAPANGAN-TAHUNAN</v>
      </c>
      <c r="C523" s="10">
        <v>0</v>
      </c>
      <c r="D523" s="10">
        <f ca="1"/>
        <v>1</v>
      </c>
      <c r="E523" s="10" t="str">
        <v>Abang Handri</v>
      </c>
      <c r="F523" s="10" t="str">
        <v>PPL</v>
      </c>
      <c r="G523" s="10" t="str">
        <v>6102072211780002</v>
      </c>
      <c r="H523" s="10" t="str">
        <v>PENDATAAN</v>
      </c>
      <c r="I523" s="10" t="str">
        <v>IMK24-LAPANGAN-TAHUNAN-PPL-PENDATAAN</v>
      </c>
      <c r="J523" s="10" t="str">
        <v>Dokumen</v>
      </c>
      <c r="K523" s="66">
        <v>55000</v>
      </c>
      <c r="L523" s="10">
        <v>15</v>
      </c>
      <c r="M523" s="10">
        <v>825000</v>
      </c>
      <c r="N523" s="10">
        <v>0</v>
      </c>
      <c r="O523" s="67">
        <v>45535</v>
      </c>
      <c r="P523" s="10">
        <v>2024</v>
      </c>
      <c r="Q523" s="10">
        <v>8</v>
      </c>
      <c r="R523" s="10" t="str">
        <v>SURVEI-PPL</v>
      </c>
      <c r="S523" s="10" t="str">
        <v>610422040059-2024-8</v>
      </c>
      <c r="T523" s="10" t="str">
        <v>610422040059-2024-8-SURVEI-PPL</v>
      </c>
      <c r="U523" s="10">
        <v>0</v>
      </c>
      <c r="V523" s="10" t="e">
        <f ca="1"/>
        <v>#NAME?</v>
      </c>
      <c r="W523" s="67">
        <v>0</v>
      </c>
      <c r="X523" s="11" t="str">
        <v>Survei Industri Mikro dan Kecil (IMK) Tahunan 2024</v>
      </c>
      <c r="Y523" s="11" t="str">
        <v>MEMPAWAH HILIR</v>
      </c>
      <c r="Z523" s="11" t="str">
        <v>TERUSAN</v>
      </c>
      <c r="AA523" s="67">
        <v>45504</v>
      </c>
      <c r="AB523" s="67">
        <v>45505</v>
      </c>
      <c r="AC523" s="67">
        <v>45535</v>
      </c>
      <c r="AD523" s="67">
        <v>45534</v>
      </c>
      <c r="AE523" s="67">
        <v>45535</v>
      </c>
    </row>
    <row r="524" spans="1:31" ht="12.5">
      <c r="A524" s="10">
        <v>610422030001</v>
      </c>
      <c r="B524" s="10" t="str">
        <v>IMK24-LAPANGAN-TAHUNAN</v>
      </c>
      <c r="C524" s="10">
        <v>0</v>
      </c>
      <c r="D524" s="10">
        <f ca="1"/>
        <v>1</v>
      </c>
      <c r="E524" s="10" t="str">
        <v>Pitra,Sp</v>
      </c>
      <c r="F524" s="10" t="str">
        <v>PPL</v>
      </c>
      <c r="G524" s="10" t="str">
        <v>6102010808800006</v>
      </c>
      <c r="H524" s="10" t="str">
        <v>PENDATAAN</v>
      </c>
      <c r="I524" s="10" t="str">
        <v>IMK24-LAPANGAN-TAHUNAN-PPL-PENDATAAN</v>
      </c>
      <c r="J524" s="10" t="str">
        <v>Dokumen</v>
      </c>
      <c r="K524" s="66">
        <v>55000</v>
      </c>
      <c r="L524" s="10">
        <v>13</v>
      </c>
      <c r="M524" s="10">
        <v>715000</v>
      </c>
      <c r="N524" s="10">
        <v>0</v>
      </c>
      <c r="O524" s="67">
        <v>45535</v>
      </c>
      <c r="P524" s="10">
        <v>2024</v>
      </c>
      <c r="Q524" s="10">
        <v>8</v>
      </c>
      <c r="R524" s="10" t="str">
        <v>SURVEI-PPL</v>
      </c>
      <c r="S524" s="10" t="str">
        <v>610422030001-2024-8</v>
      </c>
      <c r="T524" s="10" t="str">
        <v>610422030001-2024-8-SURVEI-PPL</v>
      </c>
      <c r="U524" s="10">
        <v>0</v>
      </c>
      <c r="V524" s="10" t="e">
        <f ca="1"/>
        <v>#NAME?</v>
      </c>
      <c r="W524" s="67">
        <v>0</v>
      </c>
      <c r="X524" s="11" t="str">
        <v>Survei Industri Mikro dan Kecil (IMK) Tahunan 2024</v>
      </c>
      <c r="Y524" s="11" t="str">
        <v>SEGEDONG</v>
      </c>
      <c r="Z524" s="11" t="str">
        <v>PENITI DALAM I</v>
      </c>
      <c r="AA524" s="67">
        <v>45504</v>
      </c>
      <c r="AB524" s="67">
        <v>45505</v>
      </c>
      <c r="AC524" s="67">
        <v>45535</v>
      </c>
      <c r="AD524" s="67">
        <v>45534</v>
      </c>
      <c r="AE524" s="67">
        <v>45535</v>
      </c>
    </row>
    <row r="525" spans="1:31" ht="12.5">
      <c r="A525" s="10">
        <v>610422040058</v>
      </c>
      <c r="B525" s="10" t="str">
        <v>IMK24-LAPANGAN-TAHUNAN</v>
      </c>
      <c r="C525" s="10">
        <v>0</v>
      </c>
      <c r="D525" s="10">
        <f ca="1"/>
        <v>1</v>
      </c>
      <c r="E525" s="10" t="str">
        <v>Jamaluddin, Sp</v>
      </c>
      <c r="F525" s="10" t="str">
        <v>PPL</v>
      </c>
      <c r="G525" s="10" t="str">
        <v>6102152607940002</v>
      </c>
      <c r="H525" s="10" t="str">
        <v>PENDATAAN</v>
      </c>
      <c r="I525" s="10" t="str">
        <v>IMK24-LAPANGAN-TAHUNAN-PPL-PENDATAAN</v>
      </c>
      <c r="J525" s="10" t="str">
        <v>Dokumen</v>
      </c>
      <c r="K525" s="66">
        <v>55000</v>
      </c>
      <c r="L525" s="10">
        <v>15</v>
      </c>
      <c r="M525" s="10">
        <v>825000</v>
      </c>
      <c r="N525" s="10">
        <v>0</v>
      </c>
      <c r="O525" s="67">
        <v>45535</v>
      </c>
      <c r="P525" s="10">
        <v>2024</v>
      </c>
      <c r="Q525" s="10">
        <v>8</v>
      </c>
      <c r="R525" s="10" t="str">
        <v>SURVEI-PPL</v>
      </c>
      <c r="S525" s="10" t="str">
        <v>610422040058-2024-8</v>
      </c>
      <c r="T525" s="10" t="str">
        <v>610422040058-2024-8-SURVEI-PPL</v>
      </c>
      <c r="U525" s="10">
        <v>0</v>
      </c>
      <c r="V525" s="10" t="e">
        <f ca="1"/>
        <v>#NAME?</v>
      </c>
      <c r="W525" s="67">
        <v>0</v>
      </c>
      <c r="X525" s="11" t="str">
        <v>Survei Industri Mikro dan Kecil (IMK) Tahunan 2024</v>
      </c>
      <c r="Y525" s="11" t="str">
        <v>SEGEDONG</v>
      </c>
      <c r="Z525" s="11" t="str">
        <v>PENITI DALAM I</v>
      </c>
      <c r="AA525" s="67">
        <v>45504</v>
      </c>
      <c r="AB525" s="67">
        <v>45505</v>
      </c>
      <c r="AC525" s="67">
        <v>45535</v>
      </c>
      <c r="AD525" s="67">
        <v>45534</v>
      </c>
      <c r="AE525" s="67">
        <v>45535</v>
      </c>
    </row>
    <row r="526" spans="1:31" ht="12.5">
      <c r="A526" s="10">
        <v>610422020040</v>
      </c>
      <c r="B526" s="10" t="str">
        <v>IMK24-LAPANGAN-TAHUNAN</v>
      </c>
      <c r="C526" s="10">
        <v>0</v>
      </c>
      <c r="D526" s="10">
        <f ca="1"/>
        <v>1</v>
      </c>
      <c r="E526" s="10" t="str">
        <v>Shofyansyah</v>
      </c>
      <c r="F526" s="10" t="str">
        <v>PPL</v>
      </c>
      <c r="G526" s="10" t="str">
        <v>6102161703760001</v>
      </c>
      <c r="H526" s="10" t="str">
        <v>PENDATAAN</v>
      </c>
      <c r="I526" s="10" t="str">
        <v>IMK24-LAPANGAN-TAHUNAN-PPL-PENDATAAN</v>
      </c>
      <c r="J526" s="10" t="str">
        <v>Dokumen</v>
      </c>
      <c r="K526" s="66">
        <v>55000</v>
      </c>
      <c r="L526" s="10">
        <v>21</v>
      </c>
      <c r="M526" s="10">
        <v>1155000</v>
      </c>
      <c r="N526" s="10">
        <v>0</v>
      </c>
      <c r="O526" s="67">
        <v>45535</v>
      </c>
      <c r="P526" s="10">
        <v>2024</v>
      </c>
      <c r="Q526" s="10">
        <v>8</v>
      </c>
      <c r="R526" s="10" t="str">
        <v>SURVEI-PPL</v>
      </c>
      <c r="S526" s="10" t="str">
        <v>610422020040-2024-8</v>
      </c>
      <c r="T526" s="10" t="str">
        <v>610422020040-2024-8-SURVEI-PPL</v>
      </c>
      <c r="U526" s="10">
        <v>0</v>
      </c>
      <c r="V526" s="10" t="e">
        <f ca="1"/>
        <v>#NAME?</v>
      </c>
      <c r="W526" s="67">
        <v>0</v>
      </c>
      <c r="X526" s="11" t="str">
        <v>Survei Industri Mikro dan Kecil (IMK) Tahunan 2024</v>
      </c>
      <c r="Y526" s="11" t="str">
        <v>ANJONGAN</v>
      </c>
      <c r="Z526" s="11" t="str">
        <v>ANJUNGAN DALAM</v>
      </c>
      <c r="AA526" s="67">
        <v>45504</v>
      </c>
      <c r="AB526" s="67">
        <v>45505</v>
      </c>
      <c r="AC526" s="67">
        <v>45535</v>
      </c>
      <c r="AD526" s="67">
        <v>45534</v>
      </c>
      <c r="AE526" s="67">
        <v>45535</v>
      </c>
    </row>
    <row r="527" spans="1:31" ht="12.5">
      <c r="A527" s="10">
        <v>610422100001</v>
      </c>
      <c r="B527" s="10" t="str">
        <v>IMK24-LAPANGAN-TAHUNAN</v>
      </c>
      <c r="C527" s="10">
        <v>0</v>
      </c>
      <c r="D527" s="10">
        <f ca="1"/>
        <v>1</v>
      </c>
      <c r="E527" s="10" t="str">
        <v>Fatmawati,S.Hut</v>
      </c>
      <c r="F527" s="10" t="str">
        <v>PPL</v>
      </c>
      <c r="G527" s="10" t="str">
        <v>6102075007830003</v>
      </c>
      <c r="H527" s="10" t="str">
        <v>PENDATAAN</v>
      </c>
      <c r="I527" s="10" t="str">
        <v>IMK24-LAPANGAN-TAHUNAN-PPL-PENDATAAN</v>
      </c>
      <c r="J527" s="10" t="str">
        <v>Dokumen</v>
      </c>
      <c r="K527" s="66">
        <v>55000</v>
      </c>
      <c r="L527" s="10">
        <v>10</v>
      </c>
      <c r="M527" s="10">
        <v>550000</v>
      </c>
      <c r="N527" s="10">
        <v>0</v>
      </c>
      <c r="O527" s="67">
        <v>45535</v>
      </c>
      <c r="P527" s="10">
        <v>2024</v>
      </c>
      <c r="Q527" s="10">
        <v>8</v>
      </c>
      <c r="R527" s="10" t="str">
        <v>SURVEI-PPL</v>
      </c>
      <c r="S527" s="10" t="str">
        <v>610422100001-2024-8</v>
      </c>
      <c r="T527" s="10" t="str">
        <v>610422100001-2024-8-SURVEI-PPL</v>
      </c>
      <c r="U527" s="10">
        <v>0</v>
      </c>
      <c r="V527" s="10" t="e">
        <f ca="1"/>
        <v>#NAME?</v>
      </c>
      <c r="W527" s="67">
        <v>0</v>
      </c>
      <c r="X527" s="11" t="str">
        <v>Survei Industri Mikro dan Kecil (IMK) Tahunan 2024</v>
      </c>
      <c r="Y527" s="11" t="str">
        <v>SUNGAI PINYUH</v>
      </c>
      <c r="Z527" s="11" t="str">
        <v>SUNGAI BAKAU BESAR LAUT</v>
      </c>
      <c r="AA527" s="67">
        <v>45504</v>
      </c>
      <c r="AB527" s="67">
        <v>45505</v>
      </c>
      <c r="AC527" s="67">
        <v>45535</v>
      </c>
      <c r="AD527" s="67">
        <v>45534</v>
      </c>
      <c r="AE527" s="67">
        <v>45535</v>
      </c>
    </row>
    <row r="528" spans="1:31" ht="12.5">
      <c r="A528" s="10">
        <v>610422040049</v>
      </c>
      <c r="B528" s="10" t="str">
        <v>IMK24-LAPANGAN-TAHUNAN</v>
      </c>
      <c r="C528" s="10">
        <v>0</v>
      </c>
      <c r="D528" s="10">
        <f ca="1"/>
        <v>1</v>
      </c>
      <c r="E528" s="10" t="str">
        <v>Sulis Tri Handayani</v>
      </c>
      <c r="F528" s="10" t="str">
        <v>PPL</v>
      </c>
      <c r="G528" s="10" t="str">
        <v>6102074307840004</v>
      </c>
      <c r="H528" s="10" t="str">
        <v>PENDATAAN</v>
      </c>
      <c r="I528" s="10" t="str">
        <v>IMK24-LAPANGAN-TAHUNAN-PPL-PENDATAAN</v>
      </c>
      <c r="J528" s="10" t="str">
        <v>Dokumen</v>
      </c>
      <c r="K528" s="66">
        <v>55000</v>
      </c>
      <c r="L528" s="10">
        <v>21</v>
      </c>
      <c r="M528" s="10">
        <v>1155000</v>
      </c>
      <c r="N528" s="10">
        <v>0</v>
      </c>
      <c r="O528" s="67">
        <v>45535</v>
      </c>
      <c r="P528" s="10">
        <v>2024</v>
      </c>
      <c r="Q528" s="10">
        <v>8</v>
      </c>
      <c r="R528" s="10" t="str">
        <v>SURVEI-PPL</v>
      </c>
      <c r="S528" s="10" t="str">
        <v>610422040049-2024-8</v>
      </c>
      <c r="T528" s="10" t="str">
        <v>610422040049-2024-8-SURVEI-PPL</v>
      </c>
      <c r="U528" s="10">
        <v>0</v>
      </c>
      <c r="V528" s="10" t="e">
        <f ca="1"/>
        <v>#NAME?</v>
      </c>
      <c r="W528" s="67">
        <v>0</v>
      </c>
      <c r="X528" s="11" t="str">
        <v>Survei Industri Mikro dan Kecil (IMK) Tahunan 2024</v>
      </c>
      <c r="Y528" s="11" t="str">
        <v>SUNGAI PINYUH</v>
      </c>
      <c r="Z528" s="11" t="str">
        <v>SUNGAI PINYUH</v>
      </c>
      <c r="AA528" s="67">
        <v>45504</v>
      </c>
      <c r="AB528" s="67">
        <v>45505</v>
      </c>
      <c r="AC528" s="67">
        <v>45535</v>
      </c>
      <c r="AD528" s="67">
        <v>45534</v>
      </c>
      <c r="AE528" s="67">
        <v>45535</v>
      </c>
    </row>
    <row r="529" spans="1:31" ht="12.5">
      <c r="A529" s="10">
        <v>610422040056</v>
      </c>
      <c r="B529" s="10" t="str">
        <v>IMK24-LAPANGAN-TAHUNAN</v>
      </c>
      <c r="C529" s="10">
        <v>0</v>
      </c>
      <c r="D529" s="10">
        <f ca="1"/>
        <v>1</v>
      </c>
      <c r="E529" s="10" t="str">
        <v>Wandi Syafari</v>
      </c>
      <c r="F529" s="10" t="str">
        <v>PPL</v>
      </c>
      <c r="G529" s="10" t="str">
        <v>6102010802760001</v>
      </c>
      <c r="H529" s="10" t="str">
        <v>PENDATAAN</v>
      </c>
      <c r="I529" s="10" t="str">
        <v>IMK24-LAPANGAN-TAHUNAN-PPL-PENDATAAN</v>
      </c>
      <c r="J529" s="10" t="str">
        <v>Dokumen</v>
      </c>
      <c r="K529" s="66">
        <v>55000</v>
      </c>
      <c r="L529" s="10">
        <v>9</v>
      </c>
      <c r="M529" s="10">
        <v>495000</v>
      </c>
      <c r="N529" s="10">
        <v>0</v>
      </c>
      <c r="O529" s="67">
        <v>45535</v>
      </c>
      <c r="P529" s="10">
        <v>2024</v>
      </c>
      <c r="Q529" s="10">
        <v>8</v>
      </c>
      <c r="R529" s="10" t="str">
        <v>SURVEI-PPL</v>
      </c>
      <c r="S529" s="10" t="str">
        <v>610422040056-2024-8</v>
      </c>
      <c r="T529" s="10" t="str">
        <v>610422040056-2024-8-SURVEI-PPL</v>
      </c>
      <c r="U529" s="10">
        <v>0</v>
      </c>
      <c r="V529" s="10" t="e">
        <f ca="1"/>
        <v>#NAME?</v>
      </c>
      <c r="W529" s="67">
        <v>0</v>
      </c>
      <c r="X529" s="11" t="str">
        <v>Survei Industri Mikro dan Kecil (IMK) Tahunan 2024</v>
      </c>
      <c r="Y529" s="11" t="str">
        <v>MEMPAWAH HILIR</v>
      </c>
      <c r="Z529" s="11" t="str">
        <v>TERUSAN</v>
      </c>
      <c r="AA529" s="67">
        <v>45504</v>
      </c>
      <c r="AB529" s="67">
        <v>45505</v>
      </c>
      <c r="AC529" s="67">
        <v>45535</v>
      </c>
      <c r="AD529" s="67">
        <v>45534</v>
      </c>
      <c r="AE529" s="67">
        <v>45535</v>
      </c>
    </row>
    <row r="530" spans="1:31" ht="12.5">
      <c r="A530" s="10">
        <v>610422040062</v>
      </c>
      <c r="B530" s="10" t="str">
        <v>IMK24-LAPANGAN-TAHUNAN</v>
      </c>
      <c r="C530" s="10">
        <v>0</v>
      </c>
      <c r="D530" s="10">
        <f ca="1"/>
        <v>1</v>
      </c>
      <c r="E530" s="10" t="str">
        <v>Yudi Wahyudi</v>
      </c>
      <c r="F530" s="10" t="str">
        <v>PPL</v>
      </c>
      <c r="G530" s="10" t="str">
        <v>6108011805800004</v>
      </c>
      <c r="H530" s="10" t="str">
        <v>PENDATAAN</v>
      </c>
      <c r="I530" s="10" t="str">
        <v>IMK24-LAPANGAN-TAHUNAN-PPL-PENDATAAN</v>
      </c>
      <c r="J530" s="10" t="str">
        <v>Dokumen</v>
      </c>
      <c r="K530" s="66">
        <v>55000</v>
      </c>
      <c r="L530" s="10">
        <v>9</v>
      </c>
      <c r="M530" s="10">
        <v>495000</v>
      </c>
      <c r="N530" s="10">
        <v>0</v>
      </c>
      <c r="O530" s="67">
        <v>45535</v>
      </c>
      <c r="P530" s="10">
        <v>2024</v>
      </c>
      <c r="Q530" s="10">
        <v>8</v>
      </c>
      <c r="R530" s="10" t="str">
        <v>SURVEI-PPL</v>
      </c>
      <c r="S530" s="10" t="str">
        <v>610422040062-2024-8</v>
      </c>
      <c r="T530" s="10" t="str">
        <v>610422040062-2024-8-SURVEI-PPL</v>
      </c>
      <c r="U530" s="10">
        <v>0</v>
      </c>
      <c r="V530" s="10" t="e">
        <f ca="1"/>
        <v>#NAME?</v>
      </c>
      <c r="W530" s="67">
        <v>0</v>
      </c>
      <c r="X530" s="11" t="str">
        <v>Survei Industri Mikro dan Kecil (IMK) Tahunan 2024</v>
      </c>
      <c r="Y530" s="11" t="str">
        <v>SUNGAI PINYUH</v>
      </c>
      <c r="Z530" s="11" t="str">
        <v>SUNGAI BAKAU BESAR LAUT</v>
      </c>
      <c r="AA530" s="67">
        <v>45504</v>
      </c>
      <c r="AB530" s="67">
        <v>45505</v>
      </c>
      <c r="AC530" s="67">
        <v>45535</v>
      </c>
      <c r="AD530" s="67">
        <v>45534</v>
      </c>
      <c r="AE530" s="67">
        <v>45535</v>
      </c>
    </row>
    <row r="531" spans="1:31" ht="12.5">
      <c r="A531" s="10">
        <v>610422100006</v>
      </c>
      <c r="B531" s="10" t="str">
        <v>IMK24-LAPANGAN-TAHUNAN</v>
      </c>
      <c r="C531" s="10">
        <v>0</v>
      </c>
      <c r="D531" s="10">
        <f ca="1"/>
        <v>1</v>
      </c>
      <c r="E531" s="10" t="str">
        <v>Dandy</v>
      </c>
      <c r="F531" s="10" t="str">
        <v>PPL</v>
      </c>
      <c r="G531" s="10" t="str">
        <v>6102082010980003</v>
      </c>
      <c r="H531" s="10" t="str">
        <v>PENDATAAN</v>
      </c>
      <c r="I531" s="10" t="str">
        <v>IMK24-LAPANGAN-TAHUNAN-PPL-PENDATAAN</v>
      </c>
      <c r="J531" s="10" t="str">
        <v>Dokumen</v>
      </c>
      <c r="K531" s="66">
        <v>55000</v>
      </c>
      <c r="L531" s="10">
        <v>6</v>
      </c>
      <c r="M531" s="10">
        <v>330000</v>
      </c>
      <c r="N531" s="10">
        <v>0</v>
      </c>
      <c r="O531" s="67">
        <v>45535</v>
      </c>
      <c r="P531" s="10">
        <v>2024</v>
      </c>
      <c r="Q531" s="10">
        <v>8</v>
      </c>
      <c r="R531" s="10" t="str">
        <v>SURVEI-PPL</v>
      </c>
      <c r="S531" s="10" t="str">
        <v>610422100006-2024-8</v>
      </c>
      <c r="T531" s="10" t="str">
        <v>610422100006-2024-8-SURVEI-PPL</v>
      </c>
      <c r="U531" s="10">
        <v>0</v>
      </c>
      <c r="V531" s="10" t="e">
        <f ca="1"/>
        <v>#NAME?</v>
      </c>
      <c r="W531" s="67">
        <v>0</v>
      </c>
      <c r="X531" s="11" t="str">
        <v>Survei Industri Mikro dan Kecil (IMK) Tahunan 2024</v>
      </c>
      <c r="Y531" s="11" t="str">
        <v>JONGKAT</v>
      </c>
      <c r="Z531" s="11" t="str">
        <v>PENITI LUAR</v>
      </c>
      <c r="AA531" s="67">
        <v>45504</v>
      </c>
      <c r="AB531" s="67">
        <v>45505</v>
      </c>
      <c r="AC531" s="67">
        <v>45535</v>
      </c>
      <c r="AD531" s="67">
        <v>45534</v>
      </c>
      <c r="AE531" s="67">
        <v>45535</v>
      </c>
    </row>
    <row r="532" spans="1:31" ht="12.5">
      <c r="A532" s="10">
        <v>610422040006</v>
      </c>
      <c r="B532" s="10" t="str">
        <v>IMK24-LAPANGAN-TAHUNAN</v>
      </c>
      <c r="C532" s="10">
        <v>0</v>
      </c>
      <c r="D532" s="10">
        <f ca="1"/>
        <v>1</v>
      </c>
      <c r="E532" s="10" t="str">
        <v>Ridha Nur Mitha</v>
      </c>
      <c r="F532" s="10" t="str">
        <v>PPL</v>
      </c>
      <c r="G532" s="10" t="str">
        <v>6102186803020002</v>
      </c>
      <c r="H532" s="10" t="str">
        <v>PENDATAAN</v>
      </c>
      <c r="I532" s="10" t="str">
        <v>IMK24-LAPANGAN-TAHUNAN-PPL-PENDATAAN</v>
      </c>
      <c r="J532" s="10" t="str">
        <v>Dokumen</v>
      </c>
      <c r="K532" s="66">
        <v>55000</v>
      </c>
      <c r="L532" s="10">
        <v>5</v>
      </c>
      <c r="M532" s="10">
        <v>275000</v>
      </c>
      <c r="N532" s="10">
        <v>0</v>
      </c>
      <c r="O532" s="67">
        <v>45535</v>
      </c>
      <c r="P532" s="10">
        <v>2024</v>
      </c>
      <c r="Q532" s="10">
        <v>8</v>
      </c>
      <c r="R532" s="10" t="str">
        <v>SURVEI-PPL</v>
      </c>
      <c r="S532" s="10" t="str">
        <v>610422040006-2024-8</v>
      </c>
      <c r="T532" s="10" t="str">
        <v>610422040006-2024-8-SURVEI-PPL</v>
      </c>
      <c r="U532" s="10">
        <v>0</v>
      </c>
      <c r="V532" s="10" t="e">
        <f ca="1"/>
        <v>#NAME?</v>
      </c>
      <c r="W532" s="67">
        <v>0</v>
      </c>
      <c r="X532" s="11" t="str">
        <v>Survei Industri Mikro dan Kecil (IMK) Tahunan 2024</v>
      </c>
      <c r="Y532" s="11" t="str">
        <v>MEMPAWAH TIMUR</v>
      </c>
      <c r="Z532" s="11" t="str">
        <v>ANTIBAR</v>
      </c>
      <c r="AA532" s="67">
        <v>45504</v>
      </c>
      <c r="AB532" s="67">
        <v>45505</v>
      </c>
      <c r="AC532" s="67">
        <v>45535</v>
      </c>
      <c r="AD532" s="67">
        <v>45534</v>
      </c>
      <c r="AE532" s="67">
        <v>45535</v>
      </c>
    </row>
    <row r="533" spans="1:31" ht="12.5">
      <c r="A533" s="10">
        <v>610422020048</v>
      </c>
      <c r="B533" s="10" t="str">
        <v>STPIM24-LAPANGAN-TAHUNAN</v>
      </c>
      <c r="C533" s="10">
        <v>0</v>
      </c>
      <c r="D533" s="10">
        <f ca="1"/>
        <v>1</v>
      </c>
      <c r="E533" s="10" t="str">
        <v>Herri Gustaman</v>
      </c>
      <c r="F533" s="10" t="str">
        <v>PPL</v>
      </c>
      <c r="G533" s="10" t="str">
        <v>6102072503800001</v>
      </c>
      <c r="H533" s="10" t="str">
        <v>PENDATAAN</v>
      </c>
      <c r="I533" s="10" t="str">
        <v>STPIM24-LAPANGAN-TAHUNAN-PPL-PENDATAAN</v>
      </c>
      <c r="J533" s="10" t="str">
        <v>Dokumen</v>
      </c>
      <c r="K533" s="66">
        <v>78000</v>
      </c>
      <c r="L533" s="10">
        <v>19</v>
      </c>
      <c r="M533" s="10">
        <v>1482000</v>
      </c>
      <c r="N533" s="10">
        <v>0</v>
      </c>
      <c r="O533" s="67">
        <v>45535</v>
      </c>
      <c r="P533" s="10">
        <v>2024</v>
      </c>
      <c r="Q533" s="10">
        <v>8</v>
      </c>
      <c r="R533" s="10" t="str">
        <v>SURVEI-PPL</v>
      </c>
      <c r="S533" s="10" t="str">
        <v>610422020048-2024-8</v>
      </c>
      <c r="T533" s="10" t="str">
        <v>610422020048-2024-8-SURVEI-PPL</v>
      </c>
      <c r="U533" s="10">
        <v>0</v>
      </c>
      <c r="V533" s="10" t="e">
        <f ca="1"/>
        <v>#NAME?</v>
      </c>
      <c r="W533" s="67">
        <v>0</v>
      </c>
      <c r="X533" s="11" t="str">
        <v>(STPIM24) SURVEI IBS TAHUNAN (STPIM) 2024</v>
      </c>
      <c r="Y533" s="11" t="str">
        <v>MEMPAWAH TIMUR</v>
      </c>
      <c r="Z533" s="11" t="str">
        <v>SEJEGI</v>
      </c>
      <c r="AA533" s="67">
        <v>45504</v>
      </c>
      <c r="AB533" s="67">
        <v>45505</v>
      </c>
      <c r="AC533" s="67">
        <v>45535</v>
      </c>
      <c r="AD533" s="67">
        <v>45534</v>
      </c>
      <c r="AE533" s="67">
        <v>45535</v>
      </c>
    </row>
    <row r="534" spans="1:31" ht="12.5">
      <c r="A534" s="10">
        <v>610422100153</v>
      </c>
      <c r="B534" s="10" t="str">
        <v>GALIANBH24-LAPANGAN</v>
      </c>
      <c r="C534" s="10">
        <v>0</v>
      </c>
      <c r="D534" s="10">
        <f ca="1"/>
        <v>1</v>
      </c>
      <c r="E534" s="10" t="str">
        <v>Kharim Marufah</v>
      </c>
      <c r="F534" s="10" t="str">
        <v>PPL</v>
      </c>
      <c r="G534" s="10" t="str">
        <v>6102074402970005</v>
      </c>
      <c r="H534" s="10" t="str">
        <v>PENDATAAN</v>
      </c>
      <c r="I534" s="10" t="str">
        <v>GALIANBH24-LAPANGAN-PPL-PENDATAAN</v>
      </c>
      <c r="J534" s="10" t="str">
        <v>Dokumen</v>
      </c>
      <c r="K534" s="66">
        <v>75000</v>
      </c>
      <c r="L534" s="10">
        <v>5</v>
      </c>
      <c r="M534" s="10">
        <v>375000</v>
      </c>
      <c r="N534" s="10">
        <v>0</v>
      </c>
      <c r="O534" s="67">
        <v>45535</v>
      </c>
      <c r="P534" s="10">
        <v>2024</v>
      </c>
      <c r="Q534" s="10">
        <v>8</v>
      </c>
      <c r="R534" s="10" t="str">
        <v>SURVEI-PPL</v>
      </c>
      <c r="S534" s="10" t="str">
        <v>610422100153-2024-8</v>
      </c>
      <c r="T534" s="10" t="str">
        <v>610422100153-2024-8-SURVEI-PPL</v>
      </c>
      <c r="U534" s="10">
        <v>0</v>
      </c>
      <c r="V534" s="10">
        <v>-19</v>
      </c>
      <c r="W534" s="67">
        <v>0</v>
      </c>
      <c r="X534" s="11" t="str">
        <v>(GALIAN-BH24) SURVEI TAHUNAN PERUSAHAAN PENGGALIAN BERBADAN HUKUM 2024</v>
      </c>
      <c r="Y534" s="11" t="str">
        <v>SUNGAI PINYUH</v>
      </c>
      <c r="Z534" s="11" t="str">
        <v>SUNGAI PURUN KECIL</v>
      </c>
      <c r="AA534" s="67">
        <v>45504</v>
      </c>
      <c r="AB534" s="67">
        <v>45505</v>
      </c>
      <c r="AC534" s="67">
        <v>45535</v>
      </c>
      <c r="AD534" s="67">
        <v>45534</v>
      </c>
      <c r="AE534" s="67">
        <v>45535</v>
      </c>
    </row>
    <row r="535" spans="1:31" ht="12.5">
      <c r="A535" s="10">
        <v>610422030001</v>
      </c>
      <c r="B535" s="10" t="str">
        <v>SKSPPI24-LAPANGAN-TAHUNAN</v>
      </c>
      <c r="C535" s="10">
        <v>0</v>
      </c>
      <c r="D535" s="10">
        <f ca="1"/>
        <v>1</v>
      </c>
      <c r="E535" s="10" t="str">
        <v>Pitra,Sp</v>
      </c>
      <c r="F535" s="10" t="str">
        <v>PPL</v>
      </c>
      <c r="G535" s="10" t="str">
        <v>6102010808800006</v>
      </c>
      <c r="H535" s="10" t="str">
        <v>PENDATAAN</v>
      </c>
      <c r="I535" s="10" t="str">
        <v>SKSPPI24-LAPANGAN-TAHUNAN-PPL-PENDATAAN</v>
      </c>
      <c r="J535" s="10" t="str">
        <v>Dokumen</v>
      </c>
      <c r="K535" s="66">
        <v>75000</v>
      </c>
      <c r="L535" s="10">
        <v>5</v>
      </c>
      <c r="M535" s="10">
        <v>375000</v>
      </c>
      <c r="N535" s="10">
        <v>0</v>
      </c>
      <c r="O535" s="67">
        <v>45565</v>
      </c>
      <c r="P535" s="10">
        <v>2024</v>
      </c>
      <c r="Q535" s="10">
        <v>9</v>
      </c>
      <c r="R535" s="10" t="str">
        <v>SURVEI-PPL</v>
      </c>
      <c r="S535" s="10" t="str">
        <v>610422030001-2024-9</v>
      </c>
      <c r="T535" s="10" t="str">
        <v>610422030001-2024-9-SURVEI-PPL</v>
      </c>
      <c r="U535" s="10">
        <v>0</v>
      </c>
      <c r="V535" s="10">
        <v>-19</v>
      </c>
      <c r="W535" s="67">
        <v>0</v>
      </c>
      <c r="X535" s="11" t="str">
        <v>(SKSPPI24) SURVEI KHUSUS STUDI PENYUSUNAN PERUBAHAN INVENTORI 2024</v>
      </c>
      <c r="Y535" s="11" t="str">
        <v>SEGEDONG</v>
      </c>
      <c r="Z535" s="11" t="str">
        <v>PENITI DALAM I</v>
      </c>
      <c r="AA535" s="67">
        <v>45535</v>
      </c>
      <c r="AB535" s="67">
        <v>45536</v>
      </c>
      <c r="AC535" s="67">
        <v>45565</v>
      </c>
      <c r="AD535" s="67">
        <v>45564</v>
      </c>
      <c r="AE535" s="67">
        <v>45565</v>
      </c>
    </row>
    <row r="536" spans="1:31" ht="12.5">
      <c r="A536" s="10">
        <v>610422100101</v>
      </c>
      <c r="B536" s="10" t="str">
        <v>SKSPPI24-LAPANGAN-TAHUNAN</v>
      </c>
      <c r="C536" s="10">
        <v>0</v>
      </c>
      <c r="D536" s="10">
        <f ca="1"/>
        <v>1</v>
      </c>
      <c r="E536" s="10" t="str">
        <v>Sukmawati,S.Si</v>
      </c>
      <c r="F536" s="10" t="str">
        <v>PPL</v>
      </c>
      <c r="G536" s="10" t="str">
        <v>3402135601880001</v>
      </c>
      <c r="H536" s="10" t="str">
        <v>PENDATAAN</v>
      </c>
      <c r="I536" s="10" t="str">
        <v>SKSPPI24-LAPANGAN-TAHUNAN-PPL-PENDATAAN</v>
      </c>
      <c r="J536" s="10" t="str">
        <v>Dokumen</v>
      </c>
      <c r="K536" s="66">
        <v>75000</v>
      </c>
      <c r="L536" s="10">
        <v>5</v>
      </c>
      <c r="M536" s="10">
        <v>375000</v>
      </c>
      <c r="N536" s="10">
        <v>0</v>
      </c>
      <c r="O536" s="67">
        <v>45565</v>
      </c>
      <c r="P536" s="10">
        <v>2024</v>
      </c>
      <c r="Q536" s="10">
        <v>9</v>
      </c>
      <c r="R536" s="10" t="str">
        <v>SURVEI-PPL</v>
      </c>
      <c r="S536" s="10" t="str">
        <v>610422100101-2024-9</v>
      </c>
      <c r="T536" s="10" t="str">
        <v>610422100101-2024-9-SURVEI-PPL</v>
      </c>
      <c r="U536" s="10">
        <v>0</v>
      </c>
      <c r="V536" s="10">
        <v>-19</v>
      </c>
      <c r="W536" s="67">
        <v>0</v>
      </c>
      <c r="X536" s="11" t="str">
        <v>(SKSPPI24) SURVEI KHUSUS STUDI PENYUSUNAN PERUBAHAN INVENTORI 2024</v>
      </c>
      <c r="Y536" s="11" t="str">
        <v>ANJONGAN</v>
      </c>
      <c r="Z536" s="11" t="str">
        <v>ANJUNGAN MELANCAR</v>
      </c>
      <c r="AA536" s="67">
        <v>45535</v>
      </c>
      <c r="AB536" s="67">
        <v>45536</v>
      </c>
      <c r="AC536" s="67">
        <v>45565</v>
      </c>
      <c r="AD536" s="67">
        <v>45564</v>
      </c>
      <c r="AE536" s="67">
        <v>45565</v>
      </c>
    </row>
    <row r="537" spans="1:31" ht="12.5">
      <c r="A537" s="10">
        <v>610422020044</v>
      </c>
      <c r="B537" s="10" t="str">
        <v>SKSPPI24-LAPANGAN-TAHUNAN</v>
      </c>
      <c r="C537" s="10">
        <v>0</v>
      </c>
      <c r="D537" s="10">
        <f ca="1"/>
        <v>1</v>
      </c>
      <c r="E537" s="10" t="str">
        <v>Hawasi</v>
      </c>
      <c r="F537" s="10" t="str">
        <v>PPL</v>
      </c>
      <c r="G537" s="10" t="str">
        <v>6101051303860001</v>
      </c>
      <c r="H537" s="10" t="str">
        <v>PENDATAAN</v>
      </c>
      <c r="I537" s="10" t="str">
        <v>SKSPPI24-LAPANGAN-TAHUNAN-PPL-PENDATAAN</v>
      </c>
      <c r="J537" s="10" t="str">
        <v>Dokumen</v>
      </c>
      <c r="K537" s="66">
        <v>75000</v>
      </c>
      <c r="L537" s="10">
        <v>5</v>
      </c>
      <c r="M537" s="10">
        <v>375000</v>
      </c>
      <c r="N537" s="10">
        <v>0</v>
      </c>
      <c r="O537" s="67">
        <v>45565</v>
      </c>
      <c r="P537" s="10">
        <v>2024</v>
      </c>
      <c r="Q537" s="10">
        <v>9</v>
      </c>
      <c r="R537" s="10" t="str">
        <v>SURVEI-PPL</v>
      </c>
      <c r="S537" s="10" t="str">
        <v>610422020044-2024-9</v>
      </c>
      <c r="T537" s="10" t="str">
        <v>610422020044-2024-9-SURVEI-PPL</v>
      </c>
      <c r="U537" s="10">
        <v>0</v>
      </c>
      <c r="V537" s="10">
        <v>-19</v>
      </c>
      <c r="W537" s="67">
        <v>0</v>
      </c>
      <c r="X537" s="11" t="str">
        <v>(SKSPPI24) SURVEI KHUSUS STUDI PENYUSUNAN PERUBAHAN INVENTORI 2024</v>
      </c>
      <c r="Y537" s="11" t="str">
        <v>JONGKAT</v>
      </c>
      <c r="Z537" s="11" t="str">
        <v>WAJOK HILIR</v>
      </c>
      <c r="AA537" s="67">
        <v>45535</v>
      </c>
      <c r="AB537" s="67">
        <v>45536</v>
      </c>
      <c r="AC537" s="67">
        <v>45565</v>
      </c>
      <c r="AD537" s="67">
        <v>45564</v>
      </c>
      <c r="AE537" s="67">
        <v>45565</v>
      </c>
    </row>
    <row r="538" spans="1:31" ht="12.5">
      <c r="A538" s="10">
        <v>610422030001</v>
      </c>
      <c r="B538" s="10" t="str">
        <v>SAKERNAS24-LAPANGAN-SEMESTER2</v>
      </c>
      <c r="C538" s="10">
        <v>0</v>
      </c>
      <c r="D538" s="10">
        <f ca="1"/>
        <v>1</v>
      </c>
      <c r="E538" s="10" t="str">
        <v>Pitra,Sp</v>
      </c>
      <c r="F538" s="10" t="str">
        <v>PPL</v>
      </c>
      <c r="G538" s="10" t="str">
        <v>6102010808800006</v>
      </c>
      <c r="H538" s="10" t="str">
        <v>UPDATING LISTING</v>
      </c>
      <c r="I538" s="10" t="str">
        <v>SAKERNAS24-LAPANGAN-SEMESTER2-PPL-UPDATING LISTING</v>
      </c>
      <c r="J538" s="10" t="str">
        <v>Blok Sensus</v>
      </c>
      <c r="K538" s="66">
        <v>168000</v>
      </c>
      <c r="L538" s="10">
        <v>3</v>
      </c>
      <c r="M538" s="10">
        <v>504000</v>
      </c>
      <c r="N538" s="10">
        <v>0</v>
      </c>
      <c r="O538" s="67">
        <v>45541</v>
      </c>
      <c r="P538" s="10">
        <v>2024</v>
      </c>
      <c r="Q538" s="10">
        <v>9</v>
      </c>
      <c r="R538" s="10" t="str">
        <v>SURVEI-PPL</v>
      </c>
      <c r="S538" s="10" t="str">
        <v>610422030001-2024-9</v>
      </c>
      <c r="T538" s="10" t="str">
        <v>610422030001-2024-9-SURVEI-PPL</v>
      </c>
      <c r="U538" s="10">
        <v>0</v>
      </c>
      <c r="V538" s="10" t="e">
        <f ca="1"/>
        <v>#NAME?</v>
      </c>
      <c r="W538" s="67">
        <v>0</v>
      </c>
      <c r="X538" s="11" t="str">
        <v>Sakernas Agustus 2024</v>
      </c>
      <c r="Y538" s="11" t="str">
        <v>SEGEDONG</v>
      </c>
      <c r="Z538" s="11" t="str">
        <v>PENITI DALAM I</v>
      </c>
      <c r="AA538" s="67">
        <v>45535</v>
      </c>
      <c r="AB538" s="67">
        <v>45536</v>
      </c>
      <c r="AC538" s="67">
        <v>45565</v>
      </c>
      <c r="AD538" s="67">
        <v>45564</v>
      </c>
      <c r="AE538" s="67">
        <v>45565</v>
      </c>
    </row>
    <row r="539" spans="1:31" ht="12.5">
      <c r="A539" s="10">
        <v>610422040029</v>
      </c>
      <c r="B539" s="10" t="str">
        <v>SAKERNAS24-LAPANGAN-SEMESTER2</v>
      </c>
      <c r="C539" s="10">
        <v>0</v>
      </c>
      <c r="D539" s="10">
        <f ca="1"/>
        <v>1</v>
      </c>
      <c r="E539" s="10" t="str">
        <v>Zaini</v>
      </c>
      <c r="F539" s="10" t="str">
        <v>PPL</v>
      </c>
      <c r="G539" s="10" t="str">
        <v>6102010607870002</v>
      </c>
      <c r="H539" s="10" t="str">
        <v>UPDATING LISTING</v>
      </c>
      <c r="I539" s="10" t="str">
        <v>SAKERNAS24-LAPANGAN-SEMESTER2-PPL-UPDATING LISTING</v>
      </c>
      <c r="J539" s="10" t="str">
        <v>Blok Sensus</v>
      </c>
      <c r="K539" s="66">
        <v>168000</v>
      </c>
      <c r="L539" s="10">
        <v>3</v>
      </c>
      <c r="M539" s="10">
        <v>504000</v>
      </c>
      <c r="N539" s="10">
        <v>0</v>
      </c>
      <c r="O539" s="67">
        <v>45541</v>
      </c>
      <c r="P539" s="10">
        <v>2024</v>
      </c>
      <c r="Q539" s="10">
        <v>9</v>
      </c>
      <c r="R539" s="10" t="str">
        <v>SURVEI-PPL</v>
      </c>
      <c r="S539" s="10" t="str">
        <v>610422040029-2024-9</v>
      </c>
      <c r="T539" s="10" t="str">
        <v>610422040029-2024-9-SURVEI-PPL</v>
      </c>
      <c r="U539" s="10">
        <v>0</v>
      </c>
      <c r="V539" s="10" t="e">
        <f ca="1"/>
        <v>#NAME?</v>
      </c>
      <c r="W539" s="67">
        <v>0</v>
      </c>
      <c r="X539" s="11" t="str">
        <v>Sakernas Agustus 2024</v>
      </c>
      <c r="Y539" s="11" t="str">
        <v>MEMPAWAH HILIR</v>
      </c>
      <c r="Z539" s="11" t="str">
        <v>TENGAH</v>
      </c>
      <c r="AA539" s="67">
        <v>45535</v>
      </c>
      <c r="AB539" s="67">
        <v>45536</v>
      </c>
      <c r="AC539" s="67">
        <v>45565</v>
      </c>
      <c r="AD539" s="67">
        <v>45564</v>
      </c>
      <c r="AE539" s="67">
        <v>45565</v>
      </c>
    </row>
    <row r="540" spans="1:31" ht="12.5">
      <c r="A540" s="10">
        <v>610422100086</v>
      </c>
      <c r="B540" s="10" t="str">
        <v>SAKERNAS24-LAPANGAN-SEMESTER2</v>
      </c>
      <c r="C540" s="10">
        <v>0</v>
      </c>
      <c r="D540" s="10">
        <f ca="1"/>
        <v>1</v>
      </c>
      <c r="E540" s="10" t="str">
        <v>Imamul Akhyar</v>
      </c>
      <c r="F540" s="10" t="str">
        <v>PPL</v>
      </c>
      <c r="G540" s="10" t="str">
        <v>6102012211930002</v>
      </c>
      <c r="H540" s="10" t="str">
        <v>UPDATING LISTING</v>
      </c>
      <c r="I540" s="10" t="str">
        <v>SAKERNAS24-LAPANGAN-SEMESTER2-PPL-UPDATING LISTING</v>
      </c>
      <c r="J540" s="10" t="str">
        <v>Blok Sensus</v>
      </c>
      <c r="K540" s="66">
        <v>168000</v>
      </c>
      <c r="L540" s="10">
        <v>3</v>
      </c>
      <c r="M540" s="10">
        <v>504000</v>
      </c>
      <c r="N540" s="10">
        <v>0</v>
      </c>
      <c r="O540" s="67">
        <v>45541</v>
      </c>
      <c r="P540" s="10">
        <v>2024</v>
      </c>
      <c r="Q540" s="10">
        <v>9</v>
      </c>
      <c r="R540" s="10" t="str">
        <v>SURVEI-PPL</v>
      </c>
      <c r="S540" s="10" t="str">
        <v>610422100086-2024-9</v>
      </c>
      <c r="T540" s="10" t="str">
        <v>610422100086-2024-9-SURVEI-PPL</v>
      </c>
      <c r="U540" s="10">
        <v>0</v>
      </c>
      <c r="V540" s="10" t="e">
        <f ca="1"/>
        <v>#NAME?</v>
      </c>
      <c r="W540" s="67">
        <v>0</v>
      </c>
      <c r="X540" s="11" t="str">
        <v>Sakernas Agustus 2024</v>
      </c>
      <c r="Y540" s="11" t="str">
        <v>MEMPAWAH HILIR</v>
      </c>
      <c r="Z540" s="11" t="str">
        <v>SENGKUBANG</v>
      </c>
      <c r="AA540" s="67">
        <v>45535</v>
      </c>
      <c r="AB540" s="67">
        <v>45536</v>
      </c>
      <c r="AC540" s="67">
        <v>45565</v>
      </c>
      <c r="AD540" s="67">
        <v>45564</v>
      </c>
      <c r="AE540" s="67">
        <v>45565</v>
      </c>
    </row>
    <row r="541" spans="1:31" ht="12.5">
      <c r="A541" s="10">
        <v>610422040035</v>
      </c>
      <c r="B541" s="10" t="str">
        <v>SAKERNAS24-LAPANGAN-SEMESTER2</v>
      </c>
      <c r="C541" s="10">
        <v>0</v>
      </c>
      <c r="D541" s="10">
        <f ca="1"/>
        <v>1</v>
      </c>
      <c r="E541" s="10" t="str">
        <v>Rahmayani</v>
      </c>
      <c r="F541" s="10" t="str">
        <v>PPL</v>
      </c>
      <c r="G541" s="10" t="str">
        <v>6102186404970003</v>
      </c>
      <c r="H541" s="10" t="str">
        <v>UPDATING LISTING</v>
      </c>
      <c r="I541" s="10" t="str">
        <v>SAKERNAS24-LAPANGAN-SEMESTER2-PPL-UPDATING LISTING</v>
      </c>
      <c r="J541" s="10" t="str">
        <v>Blok Sensus</v>
      </c>
      <c r="K541" s="66">
        <v>168000</v>
      </c>
      <c r="L541" s="10">
        <v>3</v>
      </c>
      <c r="M541" s="10">
        <v>504000</v>
      </c>
      <c r="N541" s="10">
        <v>0</v>
      </c>
      <c r="O541" s="67">
        <v>45541</v>
      </c>
      <c r="P541" s="10">
        <v>2024</v>
      </c>
      <c r="Q541" s="10">
        <v>9</v>
      </c>
      <c r="R541" s="10" t="str">
        <v>SURVEI-PPL</v>
      </c>
      <c r="S541" s="10" t="str">
        <v>610422040035-2024-9</v>
      </c>
      <c r="T541" s="10" t="str">
        <v>610422040035-2024-9-SURVEI-PPL</v>
      </c>
      <c r="U541" s="10">
        <v>0</v>
      </c>
      <c r="V541" s="10" t="e">
        <f ca="1"/>
        <v>#NAME?</v>
      </c>
      <c r="W541" s="67">
        <v>0</v>
      </c>
      <c r="X541" s="11" t="str">
        <v>Sakernas Agustus 2024</v>
      </c>
      <c r="Y541" s="11" t="str">
        <v>MEMPAWAH TIMUR</v>
      </c>
      <c r="Z541" s="11" t="str">
        <v>SEJEGI</v>
      </c>
      <c r="AA541" s="67">
        <v>45535</v>
      </c>
      <c r="AB541" s="67">
        <v>45536</v>
      </c>
      <c r="AC541" s="67">
        <v>45565</v>
      </c>
      <c r="AD541" s="67">
        <v>45564</v>
      </c>
      <c r="AE541" s="67">
        <v>45565</v>
      </c>
    </row>
    <row r="542" spans="1:31" ht="12.5">
      <c r="A542" s="10">
        <v>610422100055</v>
      </c>
      <c r="B542" s="10" t="str">
        <v>SAKERNAS24-LAPANGAN-SEMESTER2</v>
      </c>
      <c r="C542" s="10">
        <v>0</v>
      </c>
      <c r="D542" s="10">
        <f ca="1"/>
        <v>1</v>
      </c>
      <c r="E542" s="10" t="str">
        <v>Vika Rizkiani</v>
      </c>
      <c r="F542" s="10" t="str">
        <v>PPL</v>
      </c>
      <c r="G542" s="10" t="str">
        <v>6102084207980006</v>
      </c>
      <c r="H542" s="10" t="str">
        <v>UPDATING LISTING</v>
      </c>
      <c r="I542" s="10" t="str">
        <v>SAKERNAS24-LAPANGAN-SEMESTER2-PPL-UPDATING LISTING</v>
      </c>
      <c r="J542" s="10" t="str">
        <v>Blok Sensus</v>
      </c>
      <c r="K542" s="66">
        <v>168000</v>
      </c>
      <c r="L542" s="10">
        <v>3</v>
      </c>
      <c r="M542" s="10">
        <v>504000</v>
      </c>
      <c r="N542" s="10">
        <v>0</v>
      </c>
      <c r="O542" s="67">
        <v>45541</v>
      </c>
      <c r="P542" s="10">
        <v>2024</v>
      </c>
      <c r="Q542" s="10">
        <v>9</v>
      </c>
      <c r="R542" s="10" t="str">
        <v>SURVEI-PPL</v>
      </c>
      <c r="S542" s="10" t="str">
        <v>610422100055-2024-9</v>
      </c>
      <c r="T542" s="10" t="str">
        <v>610422100055-2024-9-SURVEI-PPL</v>
      </c>
      <c r="U542" s="10">
        <v>0</v>
      </c>
      <c r="V542" s="10" t="e">
        <f ca="1"/>
        <v>#NAME?</v>
      </c>
      <c r="W542" s="67">
        <v>0</v>
      </c>
      <c r="X542" s="11" t="str">
        <v>Sakernas Agustus 2024</v>
      </c>
      <c r="Y542" s="11" t="str">
        <v>JONGKAT</v>
      </c>
      <c r="Z542" s="11" t="str">
        <v>JUNGKAT</v>
      </c>
      <c r="AA542" s="67">
        <v>45535</v>
      </c>
      <c r="AB542" s="67">
        <v>45536</v>
      </c>
      <c r="AC542" s="67">
        <v>45565</v>
      </c>
      <c r="AD542" s="67">
        <v>45564</v>
      </c>
      <c r="AE542" s="67">
        <v>45565</v>
      </c>
    </row>
    <row r="543" spans="1:31" ht="12.5">
      <c r="A543" s="10">
        <v>610422040052</v>
      </c>
      <c r="B543" s="10" t="str">
        <v>SAKERNAS24-LAPANGAN-SEMESTER2</v>
      </c>
      <c r="C543" s="10">
        <v>0</v>
      </c>
      <c r="D543" s="10">
        <f ca="1"/>
        <v>1</v>
      </c>
      <c r="E543" s="10" t="str">
        <v>Yusimianto</v>
      </c>
      <c r="F543" s="10" t="str">
        <v>PPL</v>
      </c>
      <c r="G543" s="10" t="str">
        <v>6102160603790001</v>
      </c>
      <c r="H543" s="10" t="str">
        <v>UPDATING LISTING</v>
      </c>
      <c r="I543" s="10" t="str">
        <v>SAKERNAS24-LAPANGAN-SEMESTER2-PPL-UPDATING LISTING</v>
      </c>
      <c r="J543" s="10" t="str">
        <v>Blok Sensus</v>
      </c>
      <c r="K543" s="66">
        <v>168000</v>
      </c>
      <c r="L543" s="10">
        <v>2</v>
      </c>
      <c r="M543" s="10">
        <v>336000</v>
      </c>
      <c r="N543" s="10">
        <v>0</v>
      </c>
      <c r="O543" s="67">
        <v>45541</v>
      </c>
      <c r="P543" s="10">
        <v>2024</v>
      </c>
      <c r="Q543" s="10">
        <v>9</v>
      </c>
      <c r="R543" s="10" t="str">
        <v>SURVEI-PPL</v>
      </c>
      <c r="S543" s="10" t="str">
        <v>610422040052-2024-9</v>
      </c>
      <c r="T543" s="10" t="str">
        <v>610422040052-2024-9-SURVEI-PPL</v>
      </c>
      <c r="U543" s="10">
        <v>0</v>
      </c>
      <c r="V543" s="10" t="e">
        <f ca="1"/>
        <v>#NAME?</v>
      </c>
      <c r="W543" s="67">
        <v>0</v>
      </c>
      <c r="X543" s="11" t="str">
        <v>Sakernas Agustus 2024</v>
      </c>
      <c r="Y543" s="11" t="str">
        <v>ANJONGAN</v>
      </c>
      <c r="Z543" s="11" t="str">
        <v>PAK BULU</v>
      </c>
      <c r="AA543" s="67">
        <v>45535</v>
      </c>
      <c r="AB543" s="67">
        <v>45536</v>
      </c>
      <c r="AC543" s="67">
        <v>45565</v>
      </c>
      <c r="AD543" s="67">
        <v>45564</v>
      </c>
      <c r="AE543" s="67">
        <v>45565</v>
      </c>
    </row>
    <row r="544" spans="1:31" ht="12.5">
      <c r="A544" s="10">
        <v>610422100099</v>
      </c>
      <c r="B544" s="10" t="str">
        <v>SAKERNAS24-LAPANGAN-SEMESTER2</v>
      </c>
      <c r="C544" s="10">
        <v>0</v>
      </c>
      <c r="D544" s="10">
        <f ca="1"/>
        <v>1</v>
      </c>
      <c r="E544" s="10" t="str">
        <v>Difa Faradifa</v>
      </c>
      <c r="F544" s="10" t="str">
        <v>PPL</v>
      </c>
      <c r="G544" s="10" t="str">
        <v>6102084903040001</v>
      </c>
      <c r="H544" s="10" t="str">
        <v>UPDATING LISTING</v>
      </c>
      <c r="I544" s="10" t="str">
        <v>SAKERNAS24-LAPANGAN-SEMESTER2-PPL-UPDATING LISTING</v>
      </c>
      <c r="J544" s="10" t="str">
        <v>Blok Sensus</v>
      </c>
      <c r="K544" s="66">
        <v>168000</v>
      </c>
      <c r="L544" s="10">
        <v>3</v>
      </c>
      <c r="M544" s="10">
        <v>504000</v>
      </c>
      <c r="N544" s="10">
        <v>0</v>
      </c>
      <c r="O544" s="67">
        <v>45541</v>
      </c>
      <c r="P544" s="10">
        <v>2024</v>
      </c>
      <c r="Q544" s="10">
        <v>9</v>
      </c>
      <c r="R544" s="10" t="str">
        <v>SURVEI-PPL</v>
      </c>
      <c r="S544" s="10" t="str">
        <v>610422100099-2024-9</v>
      </c>
      <c r="T544" s="10" t="str">
        <v>610422100099-2024-9-SURVEI-PPL</v>
      </c>
      <c r="U544" s="10">
        <v>0</v>
      </c>
      <c r="V544" s="10" t="e">
        <f ca="1"/>
        <v>#NAME?</v>
      </c>
      <c r="W544" s="67">
        <v>0</v>
      </c>
      <c r="X544" s="11" t="str">
        <v>Sakernas Agustus 2024</v>
      </c>
      <c r="Y544" s="11" t="str">
        <v>JONGKAT</v>
      </c>
      <c r="Z544" s="11" t="str">
        <v>WAJOK HILIR</v>
      </c>
      <c r="AA544" s="67">
        <v>45535</v>
      </c>
      <c r="AB544" s="67">
        <v>45536</v>
      </c>
      <c r="AC544" s="67">
        <v>45565</v>
      </c>
      <c r="AD544" s="67">
        <v>45564</v>
      </c>
      <c r="AE544" s="67">
        <v>45565</v>
      </c>
    </row>
    <row r="545" spans="1:31" ht="12.5">
      <c r="A545" s="10">
        <v>610422020045</v>
      </c>
      <c r="B545" s="10" t="str">
        <v>SAKERNAS24-LAPANGAN-SEMESTER2</v>
      </c>
      <c r="C545" s="10">
        <v>0</v>
      </c>
      <c r="D545" s="10">
        <f ca="1"/>
        <v>1</v>
      </c>
      <c r="E545" s="10" t="str">
        <v>Herdinatara Febria</v>
      </c>
      <c r="F545" s="10" t="str">
        <v>PPL</v>
      </c>
      <c r="G545" s="10" t="str">
        <v>6107086009930002</v>
      </c>
      <c r="H545" s="10" t="str">
        <v>UPDATING LISTING</v>
      </c>
      <c r="I545" s="10" t="str">
        <v>SAKERNAS24-LAPANGAN-SEMESTER2-PPL-UPDATING LISTING</v>
      </c>
      <c r="J545" s="10" t="str">
        <v>Blok Sensus</v>
      </c>
      <c r="K545" s="66">
        <v>168000</v>
      </c>
      <c r="L545" s="10">
        <v>3</v>
      </c>
      <c r="M545" s="10">
        <v>504000</v>
      </c>
      <c r="N545" s="10">
        <v>0</v>
      </c>
      <c r="O545" s="67">
        <v>45541</v>
      </c>
      <c r="P545" s="10">
        <v>2024</v>
      </c>
      <c r="Q545" s="10">
        <v>9</v>
      </c>
      <c r="R545" s="10" t="str">
        <v>SURVEI-PPL</v>
      </c>
      <c r="S545" s="10" t="str">
        <v>610422020045-2024-9</v>
      </c>
      <c r="T545" s="10" t="str">
        <v>610422020045-2024-9-SURVEI-PPL</v>
      </c>
      <c r="U545" s="10">
        <v>0</v>
      </c>
      <c r="V545" s="10" t="e">
        <f ca="1"/>
        <v>#NAME?</v>
      </c>
      <c r="W545" s="67">
        <v>0</v>
      </c>
      <c r="X545" s="11" t="str">
        <v>Sakernas Agustus 2024</v>
      </c>
      <c r="Y545" s="11" t="str">
        <v>JONGKAT</v>
      </c>
      <c r="Z545" s="11" t="str">
        <v>WAJOK HILIR</v>
      </c>
      <c r="AA545" s="67">
        <v>45535</v>
      </c>
      <c r="AB545" s="67">
        <v>45536</v>
      </c>
      <c r="AC545" s="67">
        <v>45565</v>
      </c>
      <c r="AD545" s="67">
        <v>45564</v>
      </c>
      <c r="AE545" s="67">
        <v>45565</v>
      </c>
    </row>
    <row r="546" spans="1:31" ht="12.5">
      <c r="A546" s="10">
        <v>610422020016</v>
      </c>
      <c r="B546" s="10" t="str">
        <v>SAKERNAS24-LAPANGAN-SEMESTER2</v>
      </c>
      <c r="C546" s="10">
        <v>0</v>
      </c>
      <c r="D546" s="10">
        <f ca="1"/>
        <v>1</v>
      </c>
      <c r="E546" s="10" t="str">
        <v>Abdul Aziz</v>
      </c>
      <c r="F546" s="10" t="str">
        <v>PPL</v>
      </c>
      <c r="G546" s="10" t="str">
        <v>6102061507950006</v>
      </c>
      <c r="H546" s="10" t="str">
        <v>UPDATING LISTING</v>
      </c>
      <c r="I546" s="10" t="str">
        <v>SAKERNAS24-LAPANGAN-SEMESTER2-PPL-UPDATING LISTING</v>
      </c>
      <c r="J546" s="10" t="str">
        <v>Blok Sensus</v>
      </c>
      <c r="K546" s="66">
        <v>168000</v>
      </c>
      <c r="L546" s="10">
        <v>2</v>
      </c>
      <c r="M546" s="10">
        <v>336000</v>
      </c>
      <c r="N546" s="10">
        <v>0</v>
      </c>
      <c r="O546" s="67">
        <v>45541</v>
      </c>
      <c r="P546" s="10">
        <v>2024</v>
      </c>
      <c r="Q546" s="10">
        <v>9</v>
      </c>
      <c r="R546" s="10" t="str">
        <v>SURVEI-PPL</v>
      </c>
      <c r="S546" s="10" t="str">
        <v>610422020016-2024-9</v>
      </c>
      <c r="T546" s="10" t="str">
        <v>610422020016-2024-9-SURVEI-PPL</v>
      </c>
      <c r="U546" s="10">
        <v>0</v>
      </c>
      <c r="V546" s="10" t="e">
        <f ca="1"/>
        <v>#NAME?</v>
      </c>
      <c r="W546" s="67">
        <v>0</v>
      </c>
      <c r="X546" s="11" t="str">
        <v>Sakernas Agustus 2024</v>
      </c>
      <c r="Y546" s="11" t="str">
        <v>TOHO</v>
      </c>
      <c r="Z546" s="11" t="str">
        <v>SAMBORA</v>
      </c>
      <c r="AA546" s="67">
        <v>45535</v>
      </c>
      <c r="AB546" s="67">
        <v>45536</v>
      </c>
      <c r="AC546" s="67">
        <v>45565</v>
      </c>
      <c r="AD546" s="67">
        <v>45564</v>
      </c>
      <c r="AE546" s="67">
        <v>45565</v>
      </c>
    </row>
    <row r="547" spans="1:31" ht="12.5">
      <c r="A547" s="10">
        <v>610422100244</v>
      </c>
      <c r="B547" s="10" t="str">
        <v>SAKERNAS24-LAPANGAN-SEMESTER2</v>
      </c>
      <c r="C547" s="10">
        <v>0</v>
      </c>
      <c r="D547" s="10">
        <f ca="1"/>
        <v>1</v>
      </c>
      <c r="E547" s="10" t="str">
        <v>Sugianto</v>
      </c>
      <c r="F547" s="10" t="str">
        <v>PPL</v>
      </c>
      <c r="G547" s="10" t="str">
        <v>6102171003900002</v>
      </c>
      <c r="H547" s="10" t="str">
        <v>UPDATING LISTING</v>
      </c>
      <c r="I547" s="10" t="str">
        <v>SAKERNAS24-LAPANGAN-SEMESTER2-PPL-UPDATING LISTING</v>
      </c>
      <c r="J547" s="10" t="str">
        <v>Blok Sensus</v>
      </c>
      <c r="K547" s="66">
        <v>168000</v>
      </c>
      <c r="L547" s="10">
        <v>2</v>
      </c>
      <c r="M547" s="10">
        <v>336000</v>
      </c>
      <c r="N547" s="10">
        <v>0</v>
      </c>
      <c r="O547" s="67">
        <v>45541</v>
      </c>
      <c r="P547" s="10">
        <v>2024</v>
      </c>
      <c r="Q547" s="10">
        <v>9</v>
      </c>
      <c r="R547" s="10" t="str">
        <v>SURVEI-PPL</v>
      </c>
      <c r="S547" s="10" t="str">
        <v>610422100244-2024-9</v>
      </c>
      <c r="T547" s="10" t="str">
        <v>610422100244-2024-9-SURVEI-PPL</v>
      </c>
      <c r="U547" s="10">
        <v>0</v>
      </c>
      <c r="V547" s="10" t="e">
        <f ca="1"/>
        <v>#NAME?</v>
      </c>
      <c r="W547" s="67">
        <v>0</v>
      </c>
      <c r="X547" s="11" t="str">
        <v>Sakernas Agustus 2024</v>
      </c>
      <c r="Y547" s="11" t="str">
        <v>SADANIANG</v>
      </c>
      <c r="Z547" s="11" t="str">
        <v>BUMBUN</v>
      </c>
      <c r="AA547" s="67">
        <v>45535</v>
      </c>
      <c r="AB547" s="67">
        <v>45536</v>
      </c>
      <c r="AC547" s="67">
        <v>45565</v>
      </c>
      <c r="AD547" s="67">
        <v>45564</v>
      </c>
      <c r="AE547" s="67">
        <v>45565</v>
      </c>
    </row>
    <row r="548" spans="1:31" ht="12.5">
      <c r="A548" s="10">
        <v>610423040014</v>
      </c>
      <c r="B548" s="10" t="str">
        <v>SAKERNAS24-LAPANGAN-SEMESTER2</v>
      </c>
      <c r="C548" s="10">
        <v>0</v>
      </c>
      <c r="D548" s="10">
        <f ca="1"/>
        <v>1</v>
      </c>
      <c r="E548" s="10" t="str">
        <v>Fransiska Romana</v>
      </c>
      <c r="F548" s="10" t="str">
        <v>PPL</v>
      </c>
      <c r="G548" s="10" t="str">
        <v>6107036103910001</v>
      </c>
      <c r="H548" s="10" t="str">
        <v>UPDATING LISTING</v>
      </c>
      <c r="I548" s="10" t="str">
        <v>SAKERNAS24-LAPANGAN-SEMESTER2-PPL-UPDATING LISTING</v>
      </c>
      <c r="J548" s="10" t="str">
        <v>Blok Sensus</v>
      </c>
      <c r="K548" s="66">
        <v>168000</v>
      </c>
      <c r="L548" s="10">
        <v>2</v>
      </c>
      <c r="M548" s="10">
        <v>336000</v>
      </c>
      <c r="N548" s="10">
        <v>0</v>
      </c>
      <c r="O548" s="67">
        <v>45541</v>
      </c>
      <c r="P548" s="10">
        <v>2024</v>
      </c>
      <c r="Q548" s="10">
        <v>9</v>
      </c>
      <c r="R548" s="10" t="str">
        <v>SURVEI-PPL</v>
      </c>
      <c r="S548" s="10" t="str">
        <v>610423040014-2024-9</v>
      </c>
      <c r="T548" s="10" t="str">
        <v>610423040014-2024-9-SURVEI-PPL</v>
      </c>
      <c r="U548" s="10">
        <v>0</v>
      </c>
      <c r="V548" s="10" t="e">
        <f ca="1"/>
        <v>#NAME?</v>
      </c>
      <c r="W548" s="67">
        <v>0</v>
      </c>
      <c r="X548" s="11" t="str">
        <v>Sakernas Agustus 2024</v>
      </c>
      <c r="Y548" s="11" t="str">
        <v>TOHO</v>
      </c>
      <c r="Z548" s="11" t="str">
        <v>TOHO ILIR</v>
      </c>
      <c r="AA548" s="67">
        <v>45535</v>
      </c>
      <c r="AB548" s="67">
        <v>45536</v>
      </c>
      <c r="AC548" s="67">
        <v>45565</v>
      </c>
      <c r="AD548" s="67">
        <v>45564</v>
      </c>
      <c r="AE548" s="67">
        <v>45565</v>
      </c>
    </row>
    <row r="549" spans="1:31" ht="12.5">
      <c r="A549" s="10">
        <v>610422020040</v>
      </c>
      <c r="B549" s="10" t="str">
        <v>SAKERNAS24-LAPANGAN-SEMESTER2</v>
      </c>
      <c r="C549" s="10">
        <v>0</v>
      </c>
      <c r="D549" s="10">
        <f ca="1"/>
        <v>1</v>
      </c>
      <c r="E549" s="10" t="str">
        <v>Shofyansyah</v>
      </c>
      <c r="F549" s="10" t="str">
        <v>PPL</v>
      </c>
      <c r="G549" s="10" t="str">
        <v>6102161703760001</v>
      </c>
      <c r="H549" s="10" t="str">
        <v>UPDATING LISTING</v>
      </c>
      <c r="I549" s="10" t="str">
        <v>SAKERNAS24-LAPANGAN-SEMESTER2-PPL-UPDATING LISTING</v>
      </c>
      <c r="J549" s="10" t="str">
        <v>Blok Sensus</v>
      </c>
      <c r="K549" s="66">
        <v>168000</v>
      </c>
      <c r="L549" s="10">
        <v>3</v>
      </c>
      <c r="M549" s="10">
        <v>504000</v>
      </c>
      <c r="N549" s="10">
        <v>0</v>
      </c>
      <c r="O549" s="67">
        <v>45541</v>
      </c>
      <c r="P549" s="10">
        <v>2024</v>
      </c>
      <c r="Q549" s="10">
        <v>9</v>
      </c>
      <c r="R549" s="10" t="str">
        <v>SURVEI-PPL</v>
      </c>
      <c r="S549" s="10" t="str">
        <v>610422020040-2024-9</v>
      </c>
      <c r="T549" s="10" t="str">
        <v>610422020040-2024-9-SURVEI-PPL</v>
      </c>
      <c r="U549" s="10">
        <v>0</v>
      </c>
      <c r="V549" s="10" t="e">
        <f ca="1"/>
        <v>#NAME?</v>
      </c>
      <c r="W549" s="67">
        <v>0</v>
      </c>
      <c r="X549" s="11" t="str">
        <v>Sakernas Agustus 2024</v>
      </c>
      <c r="Y549" s="11" t="str">
        <v>ANJONGAN</v>
      </c>
      <c r="Z549" s="11" t="str">
        <v>ANJUNGAN DALAM</v>
      </c>
      <c r="AA549" s="67">
        <v>45535</v>
      </c>
      <c r="AB549" s="67">
        <v>45536</v>
      </c>
      <c r="AC549" s="67">
        <v>45565</v>
      </c>
      <c r="AD549" s="67">
        <v>45564</v>
      </c>
      <c r="AE549" s="67">
        <v>45565</v>
      </c>
    </row>
    <row r="550" spans="1:31" ht="12.5">
      <c r="A550" s="10">
        <v>610422040056</v>
      </c>
      <c r="B550" s="10" t="str">
        <v>SAKERNAS24-LAPANGAN-SEMESTER2</v>
      </c>
      <c r="C550" s="10">
        <v>0</v>
      </c>
      <c r="D550" s="10">
        <f ca="1"/>
        <v>1</v>
      </c>
      <c r="E550" s="10" t="str">
        <v>Wandi Syafari</v>
      </c>
      <c r="F550" s="10" t="str">
        <v>PPL</v>
      </c>
      <c r="G550" s="10" t="str">
        <v>6102010802760001</v>
      </c>
      <c r="H550" s="10" t="str">
        <v>UPDATING LISTING</v>
      </c>
      <c r="I550" s="10" t="str">
        <v>SAKERNAS24-LAPANGAN-SEMESTER2-PPL-UPDATING LISTING</v>
      </c>
      <c r="J550" s="10" t="str">
        <v>Blok Sensus</v>
      </c>
      <c r="K550" s="66">
        <v>168000</v>
      </c>
      <c r="L550" s="10">
        <v>3</v>
      </c>
      <c r="M550" s="10">
        <v>504000</v>
      </c>
      <c r="N550" s="10">
        <v>0</v>
      </c>
      <c r="O550" s="67">
        <v>45541</v>
      </c>
      <c r="P550" s="10">
        <v>2024</v>
      </c>
      <c r="Q550" s="10">
        <v>9</v>
      </c>
      <c r="R550" s="10" t="str">
        <v>SURVEI-PPL</v>
      </c>
      <c r="S550" s="10" t="str">
        <v>610422040056-2024-9</v>
      </c>
      <c r="T550" s="10" t="str">
        <v>610422040056-2024-9-SURVEI-PPL</v>
      </c>
      <c r="U550" s="10">
        <v>0</v>
      </c>
      <c r="V550" s="10" t="e">
        <f ca="1"/>
        <v>#NAME?</v>
      </c>
      <c r="W550" s="67">
        <v>0</v>
      </c>
      <c r="X550" s="11" t="str">
        <v>Sakernas Agustus 2024</v>
      </c>
      <c r="Y550" s="11" t="str">
        <v>MEMPAWAH HILIR</v>
      </c>
      <c r="Z550" s="11" t="str">
        <v>TERUSAN</v>
      </c>
      <c r="AA550" s="67">
        <v>45535</v>
      </c>
      <c r="AB550" s="67">
        <v>45536</v>
      </c>
      <c r="AC550" s="67">
        <v>45565</v>
      </c>
      <c r="AD550" s="67">
        <v>45564</v>
      </c>
      <c r="AE550" s="67">
        <v>45565</v>
      </c>
    </row>
    <row r="551" spans="1:31" ht="12.5">
      <c r="A551" s="10">
        <v>610422040058</v>
      </c>
      <c r="B551" s="10" t="str">
        <v>SAKERNAS24-LAPANGAN-SEMESTER2</v>
      </c>
      <c r="C551" s="10">
        <v>0</v>
      </c>
      <c r="D551" s="10">
        <f ca="1"/>
        <v>1</v>
      </c>
      <c r="E551" s="10" t="str">
        <v>Jamaluddin, Sp</v>
      </c>
      <c r="F551" s="10" t="str">
        <v>PPL</v>
      </c>
      <c r="G551" s="10" t="str">
        <v>6102152607940002</v>
      </c>
      <c r="H551" s="10" t="str">
        <v>UPDATING LISTING</v>
      </c>
      <c r="I551" s="10" t="str">
        <v>SAKERNAS24-LAPANGAN-SEMESTER2-PPL-UPDATING LISTING</v>
      </c>
      <c r="J551" s="10" t="str">
        <v>Blok Sensus</v>
      </c>
      <c r="K551" s="66">
        <v>168000</v>
      </c>
      <c r="L551" s="10">
        <v>3</v>
      </c>
      <c r="M551" s="10">
        <v>504000</v>
      </c>
      <c r="N551" s="10">
        <v>0</v>
      </c>
      <c r="O551" s="67">
        <v>45541</v>
      </c>
      <c r="P551" s="10">
        <v>2024</v>
      </c>
      <c r="Q551" s="10">
        <v>9</v>
      </c>
      <c r="R551" s="10" t="str">
        <v>SURVEI-PPL</v>
      </c>
      <c r="S551" s="10" t="str">
        <v>610422040058-2024-9</v>
      </c>
      <c r="T551" s="10" t="str">
        <v>610422040058-2024-9-SURVEI-PPL</v>
      </c>
      <c r="U551" s="10">
        <v>0</v>
      </c>
      <c r="V551" s="10" t="e">
        <f ca="1"/>
        <v>#NAME?</v>
      </c>
      <c r="W551" s="67">
        <v>0</v>
      </c>
      <c r="X551" s="11" t="str">
        <v>Sakernas Agustus 2024</v>
      </c>
      <c r="Y551" s="11" t="str">
        <v>SEGEDONG</v>
      </c>
      <c r="Z551" s="11" t="str">
        <v>PENITI DALAM I</v>
      </c>
      <c r="AA551" s="67">
        <v>45535</v>
      </c>
      <c r="AB551" s="67">
        <v>45536</v>
      </c>
      <c r="AC551" s="67">
        <v>45565</v>
      </c>
      <c r="AD551" s="67">
        <v>45564</v>
      </c>
      <c r="AE551" s="67">
        <v>45565</v>
      </c>
    </row>
    <row r="552" spans="1:31" ht="12.5">
      <c r="A552" s="10">
        <v>610422020032</v>
      </c>
      <c r="B552" s="10" t="str">
        <v>SAKERNAS24-LAPANGAN-SEMESTER2</v>
      </c>
      <c r="C552" s="10">
        <v>0</v>
      </c>
      <c r="D552" s="10">
        <f ca="1"/>
        <v>1</v>
      </c>
      <c r="E552" s="10" t="str">
        <v>Lilis Suryani</v>
      </c>
      <c r="F552" s="10" t="str">
        <v>PPL</v>
      </c>
      <c r="G552" s="10" t="str">
        <v>6102185102880001</v>
      </c>
      <c r="H552" s="10" t="str">
        <v>UPDATING LISTING</v>
      </c>
      <c r="I552" s="10" t="str">
        <v>SAKERNAS24-LAPANGAN-SEMESTER2-PPL-UPDATING LISTING</v>
      </c>
      <c r="J552" s="10" t="str">
        <v>Blok Sensus</v>
      </c>
      <c r="K552" s="66">
        <v>168000</v>
      </c>
      <c r="L552" s="10">
        <v>3</v>
      </c>
      <c r="M552" s="10">
        <v>504000</v>
      </c>
      <c r="N552" s="10">
        <v>0</v>
      </c>
      <c r="O552" s="67">
        <v>45541</v>
      </c>
      <c r="P552" s="10">
        <v>2024</v>
      </c>
      <c r="Q552" s="10">
        <v>9</v>
      </c>
      <c r="R552" s="10" t="str">
        <v>SURVEI-PPL</v>
      </c>
      <c r="S552" s="10" t="str">
        <v>610422020032-2024-9</v>
      </c>
      <c r="T552" s="10" t="str">
        <v>610422020032-2024-9-SURVEI-PPL</v>
      </c>
      <c r="U552" s="10">
        <v>0</v>
      </c>
      <c r="V552" s="10" t="e">
        <f ca="1"/>
        <v>#NAME?</v>
      </c>
      <c r="W552" s="67">
        <v>0</v>
      </c>
      <c r="X552" s="11" t="str">
        <v>Sakernas Agustus 2024</v>
      </c>
      <c r="Y552" s="11" t="str">
        <v>MEMPAWAH TIMUR</v>
      </c>
      <c r="Z552" s="11" t="str">
        <v>PARIT BANJAR</v>
      </c>
      <c r="AA552" s="67">
        <v>45535</v>
      </c>
      <c r="AB552" s="67">
        <v>45536</v>
      </c>
      <c r="AC552" s="67">
        <v>45565</v>
      </c>
      <c r="AD552" s="67">
        <v>45564</v>
      </c>
      <c r="AE552" s="67">
        <v>45565</v>
      </c>
    </row>
    <row r="553" spans="1:31" ht="12.5">
      <c r="A553" s="10">
        <v>610422040034</v>
      </c>
      <c r="B553" s="10" t="str">
        <v>SAKERNAS24-LAPANGAN-SEMESTER2</v>
      </c>
      <c r="C553" s="10">
        <v>0</v>
      </c>
      <c r="D553" s="10">
        <f ca="1"/>
        <v>1</v>
      </c>
      <c r="E553" s="10" t="str">
        <v>Nelly Nalita</v>
      </c>
      <c r="F553" s="10" t="str">
        <v>PPL</v>
      </c>
      <c r="G553" s="10" t="str">
        <v>6102014712890004</v>
      </c>
      <c r="H553" s="10" t="str">
        <v>UPDATING LISTING</v>
      </c>
      <c r="I553" s="10" t="str">
        <v>SAKERNAS24-LAPANGAN-SEMESTER2-PPL-UPDATING LISTING</v>
      </c>
      <c r="J553" s="10" t="str">
        <v>Blok Sensus</v>
      </c>
      <c r="K553" s="66">
        <v>168000</v>
      </c>
      <c r="L553" s="10">
        <v>3</v>
      </c>
      <c r="M553" s="10">
        <v>504000</v>
      </c>
      <c r="N553" s="10">
        <v>0</v>
      </c>
      <c r="O553" s="67">
        <v>45541</v>
      </c>
      <c r="P553" s="10">
        <v>2024</v>
      </c>
      <c r="Q553" s="10">
        <v>9</v>
      </c>
      <c r="R553" s="10" t="str">
        <v>SURVEI-PPL</v>
      </c>
      <c r="S553" s="10" t="str">
        <v>610422040034-2024-9</v>
      </c>
      <c r="T553" s="10" t="str">
        <v>610422040034-2024-9-SURVEI-PPL</v>
      </c>
      <c r="U553" s="10">
        <v>0</v>
      </c>
      <c r="V553" s="10" t="e">
        <f ca="1"/>
        <v>#NAME?</v>
      </c>
      <c r="W553" s="67">
        <v>0</v>
      </c>
      <c r="X553" s="11" t="str">
        <v>Sakernas Agustus 2024</v>
      </c>
      <c r="Y553" s="11" t="str">
        <v>MEMPAWAH HILIR</v>
      </c>
      <c r="Z553" s="11" t="str">
        <v>SENGKUBANG</v>
      </c>
      <c r="AA553" s="67">
        <v>45535</v>
      </c>
      <c r="AB553" s="67">
        <v>45536</v>
      </c>
      <c r="AC553" s="67">
        <v>45565</v>
      </c>
      <c r="AD553" s="67">
        <v>45564</v>
      </c>
      <c r="AE553" s="67">
        <v>45565</v>
      </c>
    </row>
    <row r="554" spans="1:31" ht="12.5">
      <c r="A554" s="10">
        <v>610422040051</v>
      </c>
      <c r="B554" s="10" t="str">
        <v>SAKERNAS24-LAPANGAN-SEMESTER2</v>
      </c>
      <c r="C554" s="10">
        <v>0</v>
      </c>
      <c r="D554" s="10">
        <f ca="1"/>
        <v>1</v>
      </c>
      <c r="E554" s="10" t="str">
        <v>Dede Sri Delvey</v>
      </c>
      <c r="F554" s="10" t="str">
        <v>PPL</v>
      </c>
      <c r="G554" s="10" t="str">
        <v>6102156611010002</v>
      </c>
      <c r="H554" s="10" t="str">
        <v>UPDATING LISTING</v>
      </c>
      <c r="I554" s="10" t="str">
        <v>SAKERNAS24-LAPANGAN-SEMESTER2-PPL-UPDATING LISTING</v>
      </c>
      <c r="J554" s="10" t="str">
        <v>Blok Sensus</v>
      </c>
      <c r="K554" s="66">
        <v>168000</v>
      </c>
      <c r="L554" s="10">
        <v>3</v>
      </c>
      <c r="M554" s="10">
        <v>504000</v>
      </c>
      <c r="N554" s="10">
        <v>0</v>
      </c>
      <c r="O554" s="67">
        <v>45541</v>
      </c>
      <c r="P554" s="10">
        <v>2024</v>
      </c>
      <c r="Q554" s="10">
        <v>9</v>
      </c>
      <c r="R554" s="10" t="str">
        <v>SURVEI-PPL</v>
      </c>
      <c r="S554" s="10" t="str">
        <v>610422040051-2024-9</v>
      </c>
      <c r="T554" s="10" t="str">
        <v>610422040051-2024-9-SURVEI-PPL</v>
      </c>
      <c r="U554" s="10">
        <v>0</v>
      </c>
      <c r="V554" s="10" t="e">
        <f ca="1"/>
        <v>#NAME?</v>
      </c>
      <c r="W554" s="67">
        <v>0</v>
      </c>
      <c r="X554" s="11" t="str">
        <v>Sakernas Agustus 2024</v>
      </c>
      <c r="Y554" s="11" t="str">
        <v>SEGEDONG</v>
      </c>
      <c r="Z554" s="11" t="str">
        <v>SUNGAI PURUN BESAR</v>
      </c>
      <c r="AA554" s="67">
        <v>45535</v>
      </c>
      <c r="AB554" s="67">
        <v>45536</v>
      </c>
      <c r="AC554" s="67">
        <v>45565</v>
      </c>
      <c r="AD554" s="67">
        <v>45564</v>
      </c>
      <c r="AE554" s="67">
        <v>45565</v>
      </c>
    </row>
    <row r="555" spans="1:31" ht="12.5">
      <c r="A555" s="10">
        <v>610423040013</v>
      </c>
      <c r="B555" s="10" t="str">
        <v>SAKERNAS24-LAPANGAN-SEMESTER2</v>
      </c>
      <c r="C555" s="10">
        <v>0</v>
      </c>
      <c r="D555" s="10">
        <f ca="1"/>
        <v>1</v>
      </c>
      <c r="E555" s="10" t="str">
        <v>Lulu Gesti Gunawati</v>
      </c>
      <c r="F555" s="10" t="str">
        <v>PPL</v>
      </c>
      <c r="G555" s="10" t="str">
        <v>3314066101000001</v>
      </c>
      <c r="H555" s="10" t="str">
        <v>UPDATING LISTING</v>
      </c>
      <c r="I555" s="10" t="str">
        <v>SAKERNAS24-LAPANGAN-SEMESTER2-PPL-UPDATING LISTING</v>
      </c>
      <c r="J555" s="10" t="str">
        <v>Blok Sensus</v>
      </c>
      <c r="K555" s="66">
        <v>168000</v>
      </c>
      <c r="L555" s="10">
        <v>3</v>
      </c>
      <c r="M555" s="10">
        <v>504000</v>
      </c>
      <c r="N555" s="10">
        <v>0</v>
      </c>
      <c r="O555" s="67">
        <v>45541</v>
      </c>
      <c r="P555" s="10">
        <v>2024</v>
      </c>
      <c r="Q555" s="10">
        <v>9</v>
      </c>
      <c r="R555" s="10" t="str">
        <v>SURVEI-PPL</v>
      </c>
      <c r="S555" s="10" t="str">
        <v>610423040013-2024-9</v>
      </c>
      <c r="T555" s="10" t="str">
        <v>610423040013-2024-9-SURVEI-PPL</v>
      </c>
      <c r="U555" s="10">
        <v>0</v>
      </c>
      <c r="V555" s="10" t="e">
        <f ca="1"/>
        <v>#NAME?</v>
      </c>
      <c r="W555" s="67">
        <v>0</v>
      </c>
      <c r="X555" s="11" t="str">
        <v>Sakernas Agustus 2024</v>
      </c>
      <c r="Y555" s="11" t="str">
        <v>SUNGAI KUNYIT</v>
      </c>
      <c r="Z555" s="11" t="str">
        <v>MENDALOK</v>
      </c>
      <c r="AA555" s="67">
        <v>45535</v>
      </c>
      <c r="AB555" s="67">
        <v>45536</v>
      </c>
      <c r="AC555" s="67">
        <v>45565</v>
      </c>
      <c r="AD555" s="67">
        <v>45564</v>
      </c>
      <c r="AE555" s="67">
        <v>45565</v>
      </c>
    </row>
    <row r="556" spans="1:31" ht="12.5">
      <c r="A556" s="10">
        <v>610422100001</v>
      </c>
      <c r="B556" s="10" t="str">
        <v>SAKERNAS24-LAPANGAN-SEMESTER2</v>
      </c>
      <c r="C556" s="10">
        <v>0</v>
      </c>
      <c r="D556" s="10">
        <f ca="1"/>
        <v>1</v>
      </c>
      <c r="E556" s="10" t="str">
        <v>Fatmawati,S.Hut</v>
      </c>
      <c r="F556" s="10" t="str">
        <v>PPL</v>
      </c>
      <c r="G556" s="10" t="str">
        <v>6102075007830003</v>
      </c>
      <c r="H556" s="10" t="str">
        <v>UPDATING LISTING</v>
      </c>
      <c r="I556" s="10" t="str">
        <v>SAKERNAS24-LAPANGAN-SEMESTER2-PPL-UPDATING LISTING</v>
      </c>
      <c r="J556" s="10" t="str">
        <v>Blok Sensus</v>
      </c>
      <c r="K556" s="66">
        <v>168000</v>
      </c>
      <c r="L556" s="10">
        <v>3</v>
      </c>
      <c r="M556" s="10">
        <v>504000</v>
      </c>
      <c r="N556" s="10">
        <v>0</v>
      </c>
      <c r="O556" s="67">
        <v>45541</v>
      </c>
      <c r="P556" s="10">
        <v>2024</v>
      </c>
      <c r="Q556" s="10">
        <v>9</v>
      </c>
      <c r="R556" s="10" t="str">
        <v>SURVEI-PPL</v>
      </c>
      <c r="S556" s="10" t="str">
        <v>610422100001-2024-9</v>
      </c>
      <c r="T556" s="10" t="str">
        <v>610422100001-2024-9-SURVEI-PPL</v>
      </c>
      <c r="U556" s="10">
        <v>0</v>
      </c>
      <c r="V556" s="10" t="e">
        <f ca="1"/>
        <v>#NAME?</v>
      </c>
      <c r="W556" s="67">
        <v>0</v>
      </c>
      <c r="X556" s="11" t="str">
        <v>Sakernas Agustus 2024</v>
      </c>
      <c r="Y556" s="11" t="str">
        <v>SUNGAI PINYUH</v>
      </c>
      <c r="Z556" s="11" t="str">
        <v>SUNGAI BAKAU BESAR LAUT</v>
      </c>
      <c r="AA556" s="67">
        <v>45535</v>
      </c>
      <c r="AB556" s="67">
        <v>45536</v>
      </c>
      <c r="AC556" s="67">
        <v>45565</v>
      </c>
      <c r="AD556" s="67">
        <v>45564</v>
      </c>
      <c r="AE556" s="67">
        <v>45565</v>
      </c>
    </row>
    <row r="557" spans="1:31" ht="12.5">
      <c r="A557" s="10">
        <v>610422040053</v>
      </c>
      <c r="B557" s="10" t="str">
        <v>SAKERNAS24-LAPANGAN-SEMESTER2</v>
      </c>
      <c r="C557" s="10">
        <v>0</v>
      </c>
      <c r="D557" s="10">
        <f ca="1"/>
        <v>1</v>
      </c>
      <c r="E557" s="10" t="str">
        <v>Veti Ningsi</v>
      </c>
      <c r="F557" s="10" t="str">
        <v>PPL</v>
      </c>
      <c r="G557" s="10" t="str">
        <v>6102125604010002</v>
      </c>
      <c r="H557" s="10" t="str">
        <v>UPDATING LISTING</v>
      </c>
      <c r="I557" s="10" t="str">
        <v>SAKERNAS24-LAPANGAN-SEMESTER2-PPL-UPDATING LISTING</v>
      </c>
      <c r="J557" s="10" t="str">
        <v>Blok Sensus</v>
      </c>
      <c r="K557" s="66">
        <v>168000</v>
      </c>
      <c r="L557" s="10">
        <v>3</v>
      </c>
      <c r="M557" s="10">
        <v>504000</v>
      </c>
      <c r="N557" s="10">
        <v>0</v>
      </c>
      <c r="O557" s="67">
        <v>45541</v>
      </c>
      <c r="P557" s="10">
        <v>2024</v>
      </c>
      <c r="Q557" s="10">
        <v>9</v>
      </c>
      <c r="R557" s="10" t="str">
        <v>SURVEI-PPL</v>
      </c>
      <c r="S557" s="10" t="str">
        <v>610422040053-2024-9</v>
      </c>
      <c r="T557" s="10" t="str">
        <v>610422040053-2024-9-SURVEI-PPL</v>
      </c>
      <c r="U557" s="10">
        <v>0</v>
      </c>
      <c r="V557" s="10" t="e">
        <f ca="1"/>
        <v>#NAME?</v>
      </c>
      <c r="W557" s="67">
        <v>0</v>
      </c>
      <c r="X557" s="11" t="str">
        <v>Sakernas Agustus 2024</v>
      </c>
      <c r="Y557" s="11" t="str">
        <v>SUNGAI KUNYIT</v>
      </c>
      <c r="Z557" s="11" t="str">
        <v>SUNGAI BUNDUNG LAUT</v>
      </c>
      <c r="AA557" s="67">
        <v>45535</v>
      </c>
      <c r="AB557" s="67">
        <v>45536</v>
      </c>
      <c r="AC557" s="67">
        <v>45565</v>
      </c>
      <c r="AD557" s="67">
        <v>45564</v>
      </c>
      <c r="AE557" s="67">
        <v>45565</v>
      </c>
    </row>
    <row r="558" spans="1:31" ht="12.5">
      <c r="A558" s="10">
        <v>610422020048</v>
      </c>
      <c r="B558" s="10" t="str">
        <v>LPTB24-LAPANGAN-SEPTEMBER</v>
      </c>
      <c r="C558" s="10">
        <v>0</v>
      </c>
      <c r="D558" s="10">
        <f ca="1"/>
        <v>1</v>
      </c>
      <c r="E558" s="10" t="str">
        <v>Herri Gustaman</v>
      </c>
      <c r="F558" s="10" t="str">
        <v>PPL</v>
      </c>
      <c r="G558" s="10" t="str">
        <v>6102072503800001</v>
      </c>
      <c r="H558" s="10" t="str">
        <v>PENDATAAN</v>
      </c>
      <c r="I558" s="10" t="str">
        <v>LPTB24-LAPANGAN-SEPTEMBER-PPL-PENDATAAN</v>
      </c>
      <c r="J558" s="10" t="str">
        <v>Dokumen</v>
      </c>
      <c r="K558" s="66">
        <v>60000</v>
      </c>
      <c r="L558" s="10">
        <v>4</v>
      </c>
      <c r="M558" s="10">
        <v>240000</v>
      </c>
      <c r="N558" s="10">
        <v>0</v>
      </c>
      <c r="O558" s="67">
        <v>45541</v>
      </c>
      <c r="P558" s="10">
        <v>2024</v>
      </c>
      <c r="Q558" s="10">
        <v>9</v>
      </c>
      <c r="R558" s="10" t="str">
        <v>SURVEI-PPL</v>
      </c>
      <c r="S558" s="10" t="str">
        <v>610422020048-2024-9</v>
      </c>
      <c r="T558" s="10" t="str">
        <v>610422020048-2024-9-SURVEI-PPL</v>
      </c>
      <c r="U558" s="10">
        <v>0</v>
      </c>
      <c r="V558" s="10" t="e">
        <f ca="1"/>
        <v>#NAME?</v>
      </c>
      <c r="W558" s="67">
        <v>0</v>
      </c>
      <c r="X558" s="11" t="str">
        <v>Laporan Pemotongan Ternak Bulanan 2024 September</v>
      </c>
      <c r="Y558" s="11" t="str">
        <v>MEMPAWAH TIMUR</v>
      </c>
      <c r="Z558" s="11" t="str">
        <v>SEJEGI</v>
      </c>
      <c r="AA558" s="67">
        <v>45535</v>
      </c>
      <c r="AB558" s="67">
        <v>45536</v>
      </c>
      <c r="AC558" s="67">
        <v>45565</v>
      </c>
      <c r="AD558" s="67">
        <v>45564</v>
      </c>
      <c r="AE558" s="67">
        <v>45565</v>
      </c>
    </row>
    <row r="559" spans="1:31" ht="12.5">
      <c r="A559" s="10">
        <v>610422040030</v>
      </c>
      <c r="B559" s="10" t="str">
        <v>VPEK24-LAPANGAN</v>
      </c>
      <c r="C559" s="10">
        <v>0</v>
      </c>
      <c r="D559" s="10">
        <f ca="1"/>
        <v>1</v>
      </c>
      <c r="E559" s="10" t="str">
        <v>Syarifah Desti Pratiwi</v>
      </c>
      <c r="F559" s="10" t="str">
        <v>PPL</v>
      </c>
      <c r="G559" s="10" t="str">
        <v>6102084512950002</v>
      </c>
      <c r="H559" s="10" t="str">
        <v>PENDATAAN</v>
      </c>
      <c r="I559" s="10" t="str">
        <v>VPEK24-LAPANGAN-PPL-PERGUDANGAN</v>
      </c>
      <c r="J559" s="10" t="str">
        <v>Dokumen</v>
      </c>
      <c r="K559" s="66">
        <v>73000</v>
      </c>
      <c r="L559" s="10">
        <v>4</v>
      </c>
      <c r="M559" s="10">
        <v>292000</v>
      </c>
      <c r="N559" s="10">
        <v>0</v>
      </c>
      <c r="O559" s="67">
        <v>45549</v>
      </c>
      <c r="P559" s="10">
        <v>2024</v>
      </c>
      <c r="Q559" s="10">
        <v>9</v>
      </c>
      <c r="R559" s="10" t="str">
        <v>SURVEI-PPL</v>
      </c>
      <c r="S559" s="10" t="str">
        <v>610422040030-2024-9</v>
      </c>
      <c r="T559" s="10" t="str">
        <v>610422040030-2024-9-SURVEI-PPL</v>
      </c>
      <c r="U559" s="10">
        <v>0</v>
      </c>
      <c r="V559" s="10" t="e">
        <f ca="1"/>
        <v>#NAME?</v>
      </c>
      <c r="W559" s="67">
        <v>0</v>
      </c>
      <c r="X559" s="11" t="str">
        <v>(VPEK24) Survei Pergudangan, Ekspedisi, dan Kurir 2024</v>
      </c>
      <c r="Y559" s="11" t="str">
        <v>JONGKAT</v>
      </c>
      <c r="Z559" s="11" t="str">
        <v>JUNGKAT</v>
      </c>
      <c r="AA559" s="67">
        <v>45535</v>
      </c>
      <c r="AB559" s="67">
        <v>45536</v>
      </c>
      <c r="AC559" s="67">
        <v>45565</v>
      </c>
      <c r="AD559" s="67">
        <v>45564</v>
      </c>
      <c r="AE559" s="67">
        <v>45565</v>
      </c>
    </row>
    <row r="560" spans="1:31" ht="12.5">
      <c r="A560" s="10">
        <v>610422100165</v>
      </c>
      <c r="B560" s="10" t="str">
        <v>VPEK24-LAPANGAN</v>
      </c>
      <c r="C560" s="10">
        <v>0</v>
      </c>
      <c r="D560" s="10">
        <f ca="1"/>
        <v>1</v>
      </c>
      <c r="E560" s="10" t="str">
        <v>Yanti</v>
      </c>
      <c r="F560" s="10" t="str">
        <v>PPL</v>
      </c>
      <c r="G560" s="10" t="str">
        <v>6102074803980002</v>
      </c>
      <c r="H560" s="10" t="str">
        <v>PENDATAAN</v>
      </c>
      <c r="I560" s="10" t="str">
        <v>VPEK24-LAPANGAN-PPL-PERGUDANGAN</v>
      </c>
      <c r="J560" s="10" t="str">
        <v>Dokumen</v>
      </c>
      <c r="K560" s="66">
        <v>73000</v>
      </c>
      <c r="L560" s="10">
        <v>1</v>
      </c>
      <c r="M560" s="10">
        <v>73000</v>
      </c>
      <c r="N560" s="10">
        <v>0</v>
      </c>
      <c r="O560" s="67">
        <v>45549</v>
      </c>
      <c r="P560" s="10">
        <v>2024</v>
      </c>
      <c r="Q560" s="10">
        <v>9</v>
      </c>
      <c r="R560" s="10" t="str">
        <v>SURVEI-PPL</v>
      </c>
      <c r="S560" s="10" t="str">
        <v>610422100165-2024-9</v>
      </c>
      <c r="T560" s="10" t="str">
        <v>610422100165-2024-9-SURVEI-PPL</v>
      </c>
      <c r="U560" s="10">
        <v>0</v>
      </c>
      <c r="V560" s="10" t="e">
        <f ca="1"/>
        <v>#NAME?</v>
      </c>
      <c r="W560" s="67">
        <v>0</v>
      </c>
      <c r="X560" s="11" t="str">
        <v>(VPEK24) Survei Pergudangan, Ekspedisi, dan Kurir 2024</v>
      </c>
      <c r="Y560" s="11" t="str">
        <v>SUNGAI PINYUH</v>
      </c>
      <c r="Z560" s="11" t="str">
        <v>SUNGAI BAKAU BESAR LAUT</v>
      </c>
      <c r="AA560" s="67">
        <v>45535</v>
      </c>
      <c r="AB560" s="67">
        <v>45536</v>
      </c>
      <c r="AC560" s="67">
        <v>45565</v>
      </c>
      <c r="AD560" s="67">
        <v>45564</v>
      </c>
      <c r="AE560" s="67">
        <v>45565</v>
      </c>
    </row>
    <row r="561" spans="1:31" ht="12.5">
      <c r="A561" s="10">
        <v>610422040029</v>
      </c>
      <c r="B561" s="10" t="str">
        <v>VPEK24-LAPANGAN</v>
      </c>
      <c r="C561" s="10">
        <v>0</v>
      </c>
      <c r="D561" s="10">
        <f ca="1"/>
        <v>1</v>
      </c>
      <c r="E561" s="10" t="str">
        <v>Zaini</v>
      </c>
      <c r="F561" s="10" t="str">
        <v>PPL</v>
      </c>
      <c r="G561" s="10" t="str">
        <v>6102010607870002</v>
      </c>
      <c r="H561" s="10" t="str">
        <v>PENDATAAN</v>
      </c>
      <c r="I561" s="10" t="str">
        <v>VPEK24-LAPANGAN-PPL-PERGUDANGAN</v>
      </c>
      <c r="J561" s="10" t="str">
        <v>Dokumen</v>
      </c>
      <c r="K561" s="66">
        <v>73000</v>
      </c>
      <c r="L561" s="10">
        <v>5</v>
      </c>
      <c r="M561" s="10">
        <v>365000</v>
      </c>
      <c r="N561" s="10">
        <v>0</v>
      </c>
      <c r="O561" s="67">
        <v>45549</v>
      </c>
      <c r="P561" s="10">
        <v>2024</v>
      </c>
      <c r="Q561" s="10">
        <v>9</v>
      </c>
      <c r="R561" s="10" t="str">
        <v>SURVEI-PPL</v>
      </c>
      <c r="S561" s="10" t="str">
        <v>610422040029-2024-9</v>
      </c>
      <c r="T561" s="10" t="str">
        <v>610422040029-2024-9-SURVEI-PPL</v>
      </c>
      <c r="U561" s="10">
        <v>0</v>
      </c>
      <c r="V561" s="10" t="e">
        <f ca="1"/>
        <v>#NAME?</v>
      </c>
      <c r="W561" s="67">
        <v>0</v>
      </c>
      <c r="X561" s="11" t="str">
        <v>(VPEK24) Survei Pergudangan, Ekspedisi, dan Kurir 2024</v>
      </c>
      <c r="Y561" s="11" t="str">
        <v>MEMPAWAH HILIR</v>
      </c>
      <c r="Z561" s="11" t="str">
        <v>TENGAH</v>
      </c>
      <c r="AA561" s="67">
        <v>45535</v>
      </c>
      <c r="AB561" s="67">
        <v>45536</v>
      </c>
      <c r="AC561" s="67">
        <v>45565</v>
      </c>
      <c r="AD561" s="67">
        <v>45564</v>
      </c>
      <c r="AE561" s="67">
        <v>45565</v>
      </c>
    </row>
    <row r="562" spans="1:31" ht="12.5">
      <c r="A562" s="10">
        <v>610422100165</v>
      </c>
      <c r="B562" s="10" t="str">
        <v>VPEK24-LAPANGAN</v>
      </c>
      <c r="C562" s="10">
        <v>0</v>
      </c>
      <c r="D562" s="10">
        <f ca="1"/>
        <v>1</v>
      </c>
      <c r="E562" s="10" t="str">
        <v>Yanti</v>
      </c>
      <c r="F562" s="10" t="str">
        <v>PPL</v>
      </c>
      <c r="G562" s="10" t="str">
        <v>6102074803980002</v>
      </c>
      <c r="H562" s="10" t="str">
        <v>PENDATAAN</v>
      </c>
      <c r="I562" s="10" t="str">
        <v>VPEK24-LAPANGAN-PPL-JASA PENUNJANG ANGKUTAN</v>
      </c>
      <c r="J562" s="10" t="str">
        <v>Dokumen</v>
      </c>
      <c r="K562" s="66">
        <v>73000</v>
      </c>
      <c r="L562" s="10">
        <v>6</v>
      </c>
      <c r="M562" s="10">
        <v>438000</v>
      </c>
      <c r="N562" s="10">
        <v>0</v>
      </c>
      <c r="O562" s="67">
        <v>45549</v>
      </c>
      <c r="P562" s="10">
        <v>2024</v>
      </c>
      <c r="Q562" s="10">
        <v>9</v>
      </c>
      <c r="R562" s="10" t="str">
        <v>SURVEI-PPL</v>
      </c>
      <c r="S562" s="10" t="str">
        <v>610422100165-2024-9</v>
      </c>
      <c r="T562" s="10" t="str">
        <v>610422100165-2024-9-SURVEI-PPL</v>
      </c>
      <c r="U562" s="10">
        <v>0</v>
      </c>
      <c r="V562" s="10" t="e">
        <f ca="1"/>
        <v>#NAME?</v>
      </c>
      <c r="W562" s="67">
        <v>0</v>
      </c>
      <c r="X562" s="11" t="str">
        <v>(VPEK24) Survei Pergudangan, Ekspedisi, dan Kurir 2024</v>
      </c>
      <c r="Y562" s="11" t="str">
        <v>SUNGAI PINYUH</v>
      </c>
      <c r="Z562" s="11" t="str">
        <v>SUNGAI BAKAU BESAR LAUT</v>
      </c>
      <c r="AA562" s="67">
        <v>45535</v>
      </c>
      <c r="AB562" s="67">
        <v>45536</v>
      </c>
      <c r="AC562" s="67">
        <v>45565</v>
      </c>
      <c r="AD562" s="67">
        <v>45564</v>
      </c>
      <c r="AE562" s="67">
        <v>45565</v>
      </c>
    </row>
    <row r="563" spans="1:31" ht="12.5">
      <c r="A563" s="10">
        <v>610422020045</v>
      </c>
      <c r="B563" s="10" t="str">
        <v>SUSENAS24-LAPANGAN-SEMESTER2</v>
      </c>
      <c r="C563" s="10">
        <v>0</v>
      </c>
      <c r="D563" s="10">
        <f ca="1"/>
        <v>1</v>
      </c>
      <c r="E563" s="10" t="str">
        <v>Herdinatara Febria</v>
      </c>
      <c r="F563" s="10" t="str">
        <v>PPL</v>
      </c>
      <c r="G563" s="10" t="str">
        <v>6107086009930002</v>
      </c>
      <c r="H563" s="10" t="str">
        <v>UPDATING LISTING</v>
      </c>
      <c r="I563" s="10" t="str">
        <v>SUSENAS24-LAPANGAN-SEMESTER2-PPL-UPDATING LISTING</v>
      </c>
      <c r="J563" s="10" t="str">
        <v>BS</v>
      </c>
      <c r="K563" s="66">
        <v>168000</v>
      </c>
      <c r="L563" s="10">
        <v>1</v>
      </c>
      <c r="M563" s="10">
        <v>168000</v>
      </c>
      <c r="N563" s="10">
        <v>0</v>
      </c>
      <c r="O563" s="67">
        <v>45550</v>
      </c>
      <c r="P563" s="10">
        <v>2024</v>
      </c>
      <c r="Q563" s="10">
        <v>9</v>
      </c>
      <c r="R563" s="10" t="str">
        <v>SURVEI-PPL</v>
      </c>
      <c r="S563" s="10" t="str">
        <v>610422020045-2024-9</v>
      </c>
      <c r="T563" s="10" t="str">
        <v>610422020045-2024-9-SURVEI-PPL</v>
      </c>
      <c r="U563" s="10">
        <v>0</v>
      </c>
      <c r="V563" s="10" t="e">
        <f ca="1"/>
        <v>#NAME?</v>
      </c>
      <c r="W563" s="67">
        <v>0</v>
      </c>
      <c r="X563" s="11" t="str">
        <v>Susenas September 2024</v>
      </c>
      <c r="Y563" s="11" t="str">
        <v>JONGKAT</v>
      </c>
      <c r="Z563" s="11" t="str">
        <v>WAJOK HILIR</v>
      </c>
      <c r="AA563" s="67">
        <v>45535</v>
      </c>
      <c r="AB563" s="67">
        <v>45536</v>
      </c>
      <c r="AC563" s="67">
        <v>45565</v>
      </c>
      <c r="AD563" s="67">
        <v>45564</v>
      </c>
      <c r="AE563" s="67">
        <v>45565</v>
      </c>
    </row>
    <row r="564" spans="1:31" ht="12.5">
      <c r="A564" s="10">
        <v>610422020016</v>
      </c>
      <c r="B564" s="10" t="str">
        <v>SUSENAS24-LAPANGAN-SEMESTER2</v>
      </c>
      <c r="C564" s="10">
        <v>0</v>
      </c>
      <c r="D564" s="10">
        <f ca="1"/>
        <v>1</v>
      </c>
      <c r="E564" s="10" t="str">
        <v>Abdul Aziz</v>
      </c>
      <c r="F564" s="10" t="str">
        <v>PPL</v>
      </c>
      <c r="G564" s="10" t="str">
        <v>6102061507950006</v>
      </c>
      <c r="H564" s="10" t="str">
        <v>UPDATING LISTING</v>
      </c>
      <c r="I564" s="10" t="str">
        <v>SUSENAS24-LAPANGAN-SEMESTER2-PPL-UPDATING LISTING</v>
      </c>
      <c r="J564" s="10" t="str">
        <v>BS</v>
      </c>
      <c r="K564" s="66">
        <v>168000</v>
      </c>
      <c r="L564" s="10">
        <v>1</v>
      </c>
      <c r="M564" s="10">
        <v>168000</v>
      </c>
      <c r="N564" s="10">
        <v>0</v>
      </c>
      <c r="O564" s="67">
        <v>45550</v>
      </c>
      <c r="P564" s="10">
        <v>2024</v>
      </c>
      <c r="Q564" s="10">
        <v>9</v>
      </c>
      <c r="R564" s="10" t="str">
        <v>SURVEI-PPL</v>
      </c>
      <c r="S564" s="10" t="str">
        <v>610422020016-2024-9</v>
      </c>
      <c r="T564" s="10" t="str">
        <v>610422020016-2024-9-SURVEI-PPL</v>
      </c>
      <c r="U564" s="10">
        <v>0</v>
      </c>
      <c r="V564" s="10" t="e">
        <f ca="1"/>
        <v>#NAME?</v>
      </c>
      <c r="W564" s="67">
        <v>0</v>
      </c>
      <c r="X564" s="11" t="str">
        <v>Susenas September 2024</v>
      </c>
      <c r="Y564" s="11" t="str">
        <v>TOHO</v>
      </c>
      <c r="Z564" s="11" t="str">
        <v>SAMBORA</v>
      </c>
      <c r="AA564" s="67">
        <v>45535</v>
      </c>
      <c r="AB564" s="67">
        <v>45536</v>
      </c>
      <c r="AC564" s="67">
        <v>45565</v>
      </c>
      <c r="AD564" s="67">
        <v>45564</v>
      </c>
      <c r="AE564" s="67">
        <v>45565</v>
      </c>
    </row>
    <row r="565" spans="1:31" ht="12.5">
      <c r="A565" s="10">
        <v>610422020032</v>
      </c>
      <c r="B565" s="10" t="str">
        <v>SUSENAS24-LAPANGAN-SEMESTER2</v>
      </c>
      <c r="C565" s="10">
        <v>0</v>
      </c>
      <c r="D565" s="10">
        <f ca="1"/>
        <v>1</v>
      </c>
      <c r="E565" s="10" t="str">
        <v>Lilis Suryani</v>
      </c>
      <c r="F565" s="10" t="str">
        <v>PPL</v>
      </c>
      <c r="G565" s="10" t="str">
        <v>6102185102880001</v>
      </c>
      <c r="H565" s="10" t="str">
        <v>UPDATING LISTING</v>
      </c>
      <c r="I565" s="10" t="str">
        <v>SUSENAS24-LAPANGAN-SEMESTER2-PPL-UPDATING LISTING</v>
      </c>
      <c r="J565" s="10" t="str">
        <v>BS</v>
      </c>
      <c r="K565" s="66">
        <v>168000</v>
      </c>
      <c r="L565" s="10">
        <v>1</v>
      </c>
      <c r="M565" s="10">
        <v>168000</v>
      </c>
      <c r="N565" s="10">
        <v>0</v>
      </c>
      <c r="O565" s="67">
        <v>45550</v>
      </c>
      <c r="P565" s="10">
        <v>2024</v>
      </c>
      <c r="Q565" s="10">
        <v>9</v>
      </c>
      <c r="R565" s="10" t="str">
        <v>SURVEI-PPL</v>
      </c>
      <c r="S565" s="10" t="str">
        <v>610422020032-2024-9</v>
      </c>
      <c r="T565" s="10" t="str">
        <v>610422020032-2024-9-SURVEI-PPL</v>
      </c>
      <c r="U565" s="10">
        <v>0</v>
      </c>
      <c r="V565" s="10" t="e">
        <f ca="1"/>
        <v>#NAME?</v>
      </c>
      <c r="W565" s="67">
        <v>0</v>
      </c>
      <c r="X565" s="11" t="str">
        <v>Susenas September 2024</v>
      </c>
      <c r="Y565" s="11" t="str">
        <v>MEMPAWAH TIMUR</v>
      </c>
      <c r="Z565" s="11" t="str">
        <v>PARIT BANJAR</v>
      </c>
      <c r="AA565" s="67">
        <v>45535</v>
      </c>
      <c r="AB565" s="67">
        <v>45536</v>
      </c>
      <c r="AC565" s="67">
        <v>45565</v>
      </c>
      <c r="AD565" s="67">
        <v>45564</v>
      </c>
      <c r="AE565" s="67">
        <v>45565</v>
      </c>
    </row>
    <row r="566" spans="1:31" ht="12.5">
      <c r="A566" s="10">
        <v>610422040029</v>
      </c>
      <c r="B566" s="10" t="str">
        <v>SUSENAS24-LAPANGAN-SEMESTER2</v>
      </c>
      <c r="C566" s="10">
        <v>0</v>
      </c>
      <c r="D566" s="10">
        <f ca="1"/>
        <v>1</v>
      </c>
      <c r="E566" s="10" t="str">
        <v>Zaini</v>
      </c>
      <c r="F566" s="10" t="str">
        <v>PPL</v>
      </c>
      <c r="G566" s="10" t="str">
        <v>6102010607870002</v>
      </c>
      <c r="H566" s="10" t="str">
        <v>UPDATING LISTING</v>
      </c>
      <c r="I566" s="10" t="str">
        <v>SUSENAS24-LAPANGAN-SEMESTER2-PPL-UPDATING LISTING</v>
      </c>
      <c r="J566" s="10" t="str">
        <v>BS</v>
      </c>
      <c r="K566" s="66">
        <v>168000</v>
      </c>
      <c r="L566" s="10">
        <v>1</v>
      </c>
      <c r="M566" s="10">
        <v>168000</v>
      </c>
      <c r="N566" s="10">
        <v>0</v>
      </c>
      <c r="O566" s="67">
        <v>45550</v>
      </c>
      <c r="P566" s="10">
        <v>2024</v>
      </c>
      <c r="Q566" s="10">
        <v>9</v>
      </c>
      <c r="R566" s="10" t="str">
        <v>SURVEI-PPL</v>
      </c>
      <c r="S566" s="10" t="str">
        <v>610422040029-2024-9</v>
      </c>
      <c r="T566" s="10" t="str">
        <v>610422040029-2024-9-SURVEI-PPL</v>
      </c>
      <c r="U566" s="10">
        <v>0</v>
      </c>
      <c r="V566" s="10" t="e">
        <f ca="1"/>
        <v>#NAME?</v>
      </c>
      <c r="W566" s="67">
        <v>0</v>
      </c>
      <c r="X566" s="11" t="str">
        <v>Susenas September 2024</v>
      </c>
      <c r="Y566" s="11" t="str">
        <v>MEMPAWAH HILIR</v>
      </c>
      <c r="Z566" s="11" t="str">
        <v>TENGAH</v>
      </c>
      <c r="AA566" s="67">
        <v>45535</v>
      </c>
      <c r="AB566" s="67">
        <v>45536</v>
      </c>
      <c r="AC566" s="67">
        <v>45565</v>
      </c>
      <c r="AD566" s="67">
        <v>45564</v>
      </c>
      <c r="AE566" s="67">
        <v>45565</v>
      </c>
    </row>
    <row r="567" spans="1:31" ht="12.5">
      <c r="A567" s="10">
        <v>610422040053</v>
      </c>
      <c r="B567" s="10" t="str">
        <v>SUSENAS24-LAPANGAN-SEMESTER2</v>
      </c>
      <c r="C567" s="10">
        <v>0</v>
      </c>
      <c r="D567" s="10">
        <f ca="1"/>
        <v>1</v>
      </c>
      <c r="E567" s="10" t="str">
        <v>Veti Ningsi</v>
      </c>
      <c r="F567" s="10" t="str">
        <v>PPL</v>
      </c>
      <c r="G567" s="10" t="str">
        <v>6102125604010002</v>
      </c>
      <c r="H567" s="10" t="str">
        <v>UPDATING LISTING</v>
      </c>
      <c r="I567" s="10" t="str">
        <v>SUSENAS24-LAPANGAN-SEMESTER2-PPL-UPDATING LISTING</v>
      </c>
      <c r="J567" s="10" t="str">
        <v>BS</v>
      </c>
      <c r="K567" s="66">
        <v>168000</v>
      </c>
      <c r="L567" s="10">
        <v>1</v>
      </c>
      <c r="M567" s="10">
        <v>168000</v>
      </c>
      <c r="N567" s="10">
        <v>0</v>
      </c>
      <c r="O567" s="67">
        <v>45550</v>
      </c>
      <c r="P567" s="10">
        <v>2024</v>
      </c>
      <c r="Q567" s="10">
        <v>9</v>
      </c>
      <c r="R567" s="10" t="str">
        <v>SURVEI-PPL</v>
      </c>
      <c r="S567" s="10" t="str">
        <v>610422040053-2024-9</v>
      </c>
      <c r="T567" s="10" t="str">
        <v>610422040053-2024-9-SURVEI-PPL</v>
      </c>
      <c r="U567" s="10">
        <v>0</v>
      </c>
      <c r="V567" s="10" t="e">
        <f ca="1"/>
        <v>#NAME?</v>
      </c>
      <c r="W567" s="67">
        <v>0</v>
      </c>
      <c r="X567" s="11" t="str">
        <v>Susenas September 2024</v>
      </c>
      <c r="Y567" s="11" t="str">
        <v>SUNGAI KUNYIT</v>
      </c>
      <c r="Z567" s="11" t="str">
        <v>SUNGAI BUNDUNG LAUT</v>
      </c>
      <c r="AA567" s="67">
        <v>45535</v>
      </c>
      <c r="AB567" s="67">
        <v>45536</v>
      </c>
      <c r="AC567" s="67">
        <v>45565</v>
      </c>
      <c r="AD567" s="67">
        <v>45564</v>
      </c>
      <c r="AE567" s="67">
        <v>45565</v>
      </c>
    </row>
    <row r="568" spans="1:31" ht="12.5">
      <c r="A568" s="10">
        <v>610422040038</v>
      </c>
      <c r="B568" s="10" t="str">
        <v>SUSENAS24-LAPANGAN-SEMESTER2</v>
      </c>
      <c r="C568" s="10">
        <v>0</v>
      </c>
      <c r="D568" s="10">
        <f ca="1"/>
        <v>1</v>
      </c>
      <c r="E568" s="10" t="str">
        <v>Yuyun Antoni, S.E.</v>
      </c>
      <c r="F568" s="10" t="str">
        <v>PPL</v>
      </c>
      <c r="G568" s="10" t="str">
        <v>6102122106750003</v>
      </c>
      <c r="H568" s="10" t="str">
        <v>UPDATING LISTING</v>
      </c>
      <c r="I568" s="10" t="str">
        <v>SUSENAS24-LAPANGAN-SEMESTER2-PPL-UPDATING LISTING</v>
      </c>
      <c r="J568" s="10" t="str">
        <v>BS</v>
      </c>
      <c r="K568" s="66">
        <v>168000</v>
      </c>
      <c r="L568" s="10">
        <v>1</v>
      </c>
      <c r="M568" s="10">
        <v>168000</v>
      </c>
      <c r="N568" s="10">
        <v>0</v>
      </c>
      <c r="O568" s="67">
        <v>45550</v>
      </c>
      <c r="P568" s="10">
        <v>2024</v>
      </c>
      <c r="Q568" s="10">
        <v>9</v>
      </c>
      <c r="R568" s="10" t="str">
        <v>SURVEI-PPL</v>
      </c>
      <c r="S568" s="10" t="str">
        <v>610422040038-2024-9</v>
      </c>
      <c r="T568" s="10" t="str">
        <v>610422040038-2024-9-SURVEI-PPL</v>
      </c>
      <c r="U568" s="10">
        <v>0</v>
      </c>
      <c r="V568" s="10" t="e">
        <f ca="1"/>
        <v>#NAME?</v>
      </c>
      <c r="W568" s="67">
        <v>0</v>
      </c>
      <c r="X568" s="11" t="str">
        <v>Susenas September 2024</v>
      </c>
      <c r="Y568" s="11" t="str">
        <v>SUNGAI KUNYIT</v>
      </c>
      <c r="Z568" s="11" t="str">
        <v>SUNGAI LIMAU</v>
      </c>
      <c r="AA568" s="67">
        <v>45535</v>
      </c>
      <c r="AB568" s="67">
        <v>45536</v>
      </c>
      <c r="AC568" s="67">
        <v>45565</v>
      </c>
      <c r="AD568" s="67">
        <v>45564</v>
      </c>
      <c r="AE568" s="67">
        <v>45565</v>
      </c>
    </row>
    <row r="569" spans="1:31" ht="12.5">
      <c r="A569" s="10">
        <v>610422040034</v>
      </c>
      <c r="B569" s="10" t="str">
        <v>SUSENAS24-LAPANGAN-SEMESTER2</v>
      </c>
      <c r="C569" s="10">
        <v>0</v>
      </c>
      <c r="D569" s="10">
        <f ca="1"/>
        <v>1</v>
      </c>
      <c r="E569" s="10" t="str">
        <v>Nelly Nalita</v>
      </c>
      <c r="F569" s="10" t="str">
        <v>PPL</v>
      </c>
      <c r="G569" s="10" t="str">
        <v>6102014712890004</v>
      </c>
      <c r="H569" s="10" t="str">
        <v>UPDATING LISTING</v>
      </c>
      <c r="I569" s="10" t="str">
        <v>SUSENAS24-LAPANGAN-SEMESTER2-PPL-UPDATING LISTING</v>
      </c>
      <c r="J569" s="10" t="str">
        <v>BS</v>
      </c>
      <c r="K569" s="66">
        <v>168000</v>
      </c>
      <c r="L569" s="10">
        <v>1</v>
      </c>
      <c r="M569" s="10">
        <v>168000</v>
      </c>
      <c r="N569" s="10">
        <v>0</v>
      </c>
      <c r="O569" s="67">
        <v>45550</v>
      </c>
      <c r="P569" s="10">
        <v>2024</v>
      </c>
      <c r="Q569" s="10">
        <v>9</v>
      </c>
      <c r="R569" s="10" t="str">
        <v>SURVEI-PPL</v>
      </c>
      <c r="S569" s="10" t="str">
        <v>610422040034-2024-9</v>
      </c>
      <c r="T569" s="10" t="str">
        <v>610422040034-2024-9-SURVEI-PPL</v>
      </c>
      <c r="U569" s="10">
        <v>0</v>
      </c>
      <c r="V569" s="10" t="e">
        <f ca="1"/>
        <v>#NAME?</v>
      </c>
      <c r="W569" s="67">
        <v>0</v>
      </c>
      <c r="X569" s="11" t="str">
        <v>Susenas September 2024</v>
      </c>
      <c r="Y569" s="11" t="str">
        <v>MEMPAWAH HILIR</v>
      </c>
      <c r="Z569" s="11" t="str">
        <v>SENGKUBANG</v>
      </c>
      <c r="AA569" s="67">
        <v>45535</v>
      </c>
      <c r="AB569" s="67">
        <v>45536</v>
      </c>
      <c r="AC569" s="67">
        <v>45565</v>
      </c>
      <c r="AD569" s="67">
        <v>45564</v>
      </c>
      <c r="AE569" s="67">
        <v>45565</v>
      </c>
    </row>
    <row r="570" spans="1:31" ht="12.5">
      <c r="A570" s="10">
        <v>610422040058</v>
      </c>
      <c r="B570" s="10" t="str">
        <v>SUSENAS24-LAPANGAN-SEMESTER2</v>
      </c>
      <c r="C570" s="10">
        <v>0</v>
      </c>
      <c r="D570" s="10">
        <f ca="1"/>
        <v>1</v>
      </c>
      <c r="E570" s="10" t="str">
        <v>Jamaluddin, Sp</v>
      </c>
      <c r="F570" s="10" t="str">
        <v>PPL</v>
      </c>
      <c r="G570" s="10" t="str">
        <v>6102152607940002</v>
      </c>
      <c r="H570" s="10" t="str">
        <v>UPDATING LISTING</v>
      </c>
      <c r="I570" s="10" t="str">
        <v>SUSENAS24-LAPANGAN-SEMESTER2-PPL-UPDATING LISTING</v>
      </c>
      <c r="J570" s="10" t="str">
        <v>BS</v>
      </c>
      <c r="K570" s="66">
        <v>168000</v>
      </c>
      <c r="L570" s="10">
        <v>1</v>
      </c>
      <c r="M570" s="10">
        <v>168000</v>
      </c>
      <c r="N570" s="10">
        <v>0</v>
      </c>
      <c r="O570" s="67">
        <v>45550</v>
      </c>
      <c r="P570" s="10">
        <v>2024</v>
      </c>
      <c r="Q570" s="10">
        <v>9</v>
      </c>
      <c r="R570" s="10" t="str">
        <v>SURVEI-PPL</v>
      </c>
      <c r="S570" s="10" t="str">
        <v>610422040058-2024-9</v>
      </c>
      <c r="T570" s="10" t="str">
        <v>610422040058-2024-9-SURVEI-PPL</v>
      </c>
      <c r="U570" s="10">
        <v>0</v>
      </c>
      <c r="V570" s="10" t="e">
        <f ca="1"/>
        <v>#NAME?</v>
      </c>
      <c r="W570" s="67">
        <v>0</v>
      </c>
      <c r="X570" s="11" t="str">
        <v>Susenas September 2024</v>
      </c>
      <c r="Y570" s="11" t="str">
        <v>SEGEDONG</v>
      </c>
      <c r="Z570" s="11" t="str">
        <v>PENITI DALAM I</v>
      </c>
      <c r="AA570" s="67">
        <v>45535</v>
      </c>
      <c r="AB570" s="67">
        <v>45536</v>
      </c>
      <c r="AC570" s="67">
        <v>45565</v>
      </c>
      <c r="AD570" s="67">
        <v>45564</v>
      </c>
      <c r="AE570" s="67">
        <v>45565</v>
      </c>
    </row>
    <row r="571" spans="1:31" ht="12.5">
      <c r="A571" s="10">
        <v>610422040052</v>
      </c>
      <c r="B571" s="10" t="str">
        <v>SUSENAS24-LAPANGAN-SEMESTER2</v>
      </c>
      <c r="C571" s="10">
        <v>0</v>
      </c>
      <c r="D571" s="10">
        <f ca="1"/>
        <v>1</v>
      </c>
      <c r="E571" s="10" t="str">
        <v>Yusimianto</v>
      </c>
      <c r="F571" s="10" t="str">
        <v>PPL</v>
      </c>
      <c r="G571" s="10" t="str">
        <v>6102160603790001</v>
      </c>
      <c r="H571" s="10" t="str">
        <v>UPDATING LISTING</v>
      </c>
      <c r="I571" s="10" t="str">
        <v>SUSENAS24-LAPANGAN-SEMESTER2-PPL-UPDATING LISTING</v>
      </c>
      <c r="J571" s="10" t="str">
        <v>BS</v>
      </c>
      <c r="K571" s="66">
        <v>168000</v>
      </c>
      <c r="L571" s="10">
        <v>1</v>
      </c>
      <c r="M571" s="10">
        <v>168000</v>
      </c>
      <c r="N571" s="10">
        <v>0</v>
      </c>
      <c r="O571" s="67">
        <v>45550</v>
      </c>
      <c r="P571" s="10">
        <v>2024</v>
      </c>
      <c r="Q571" s="10">
        <v>9</v>
      </c>
      <c r="R571" s="10" t="str">
        <v>SURVEI-PPL</v>
      </c>
      <c r="S571" s="10" t="str">
        <v>610422040052-2024-9</v>
      </c>
      <c r="T571" s="10" t="str">
        <v>610422040052-2024-9-SURVEI-PPL</v>
      </c>
      <c r="U571" s="10">
        <v>0</v>
      </c>
      <c r="V571" s="10" t="e">
        <f ca="1"/>
        <v>#NAME?</v>
      </c>
      <c r="W571" s="67">
        <v>0</v>
      </c>
      <c r="X571" s="11" t="str">
        <v>Susenas September 2024</v>
      </c>
      <c r="Y571" s="11" t="str">
        <v>ANJONGAN</v>
      </c>
      <c r="Z571" s="11" t="str">
        <v>PAK BULU</v>
      </c>
      <c r="AA571" s="67">
        <v>45535</v>
      </c>
      <c r="AB571" s="67">
        <v>45536</v>
      </c>
      <c r="AC571" s="67">
        <v>45565</v>
      </c>
      <c r="AD571" s="67">
        <v>45564</v>
      </c>
      <c r="AE571" s="67">
        <v>45565</v>
      </c>
    </row>
    <row r="572" spans="1:31" ht="12.5">
      <c r="A572" s="10">
        <v>610422100085</v>
      </c>
      <c r="B572" s="10" t="str">
        <v>SUSENAS24-LAPANGAN-SEMESTER2</v>
      </c>
      <c r="C572" s="10">
        <v>0</v>
      </c>
      <c r="D572" s="10">
        <f ca="1"/>
        <v>1</v>
      </c>
      <c r="E572" s="10" t="str">
        <v>Lina Agustin Widya Siwi</v>
      </c>
      <c r="F572" s="10" t="str">
        <v>PPL</v>
      </c>
      <c r="G572" s="10" t="str">
        <v>3301225608850001</v>
      </c>
      <c r="H572" s="10" t="str">
        <v>UPDATING LISTING</v>
      </c>
      <c r="I572" s="10" t="str">
        <v>SUSENAS24-LAPANGAN-SEMESTER2-PPL-UPDATING LISTING</v>
      </c>
      <c r="J572" s="10" t="str">
        <v>BS</v>
      </c>
      <c r="K572" s="66">
        <v>168000</v>
      </c>
      <c r="L572" s="10">
        <v>1</v>
      </c>
      <c r="M572" s="10">
        <v>168000</v>
      </c>
      <c r="N572" s="10">
        <v>0</v>
      </c>
      <c r="O572" s="67">
        <v>45550</v>
      </c>
      <c r="P572" s="10">
        <v>2024</v>
      </c>
      <c r="Q572" s="10">
        <v>9</v>
      </c>
      <c r="R572" s="10" t="str">
        <v>SURVEI-PPL</v>
      </c>
      <c r="S572" s="10" t="str">
        <v>610422100085-2024-9</v>
      </c>
      <c r="T572" s="10" t="str">
        <v>610422100085-2024-9-SURVEI-PPL</v>
      </c>
      <c r="U572" s="10">
        <v>0</v>
      </c>
      <c r="V572" s="10" t="e">
        <f ca="1"/>
        <v>#NAME?</v>
      </c>
      <c r="W572" s="67">
        <v>0</v>
      </c>
      <c r="X572" s="11" t="str">
        <v>Susenas September 2024</v>
      </c>
      <c r="Y572" s="11" t="str">
        <v>SUNGAI PINYUH</v>
      </c>
      <c r="Z572" s="11" t="str">
        <v>NUSAPATI</v>
      </c>
      <c r="AA572" s="67">
        <v>45535</v>
      </c>
      <c r="AB572" s="67">
        <v>45536</v>
      </c>
      <c r="AC572" s="67">
        <v>45565</v>
      </c>
      <c r="AD572" s="67">
        <v>45564</v>
      </c>
      <c r="AE572" s="67">
        <v>45565</v>
      </c>
    </row>
    <row r="573" spans="1:31" ht="12.5">
      <c r="A573" s="10">
        <v>610422100101</v>
      </c>
      <c r="B573" s="10" t="str">
        <v>SUSENAS24-LAPANGAN-SEMESTER2</v>
      </c>
      <c r="C573" s="10">
        <v>0</v>
      </c>
      <c r="D573" s="10">
        <f ca="1"/>
        <v>1</v>
      </c>
      <c r="E573" s="10" t="str">
        <v>Sukmawati,S.Si</v>
      </c>
      <c r="F573" s="10" t="str">
        <v>PPL</v>
      </c>
      <c r="G573" s="10" t="str">
        <v>3402135601880001</v>
      </c>
      <c r="H573" s="10" t="str">
        <v>UPDATING LISTING</v>
      </c>
      <c r="I573" s="10" t="str">
        <v>SUSENAS24-LAPANGAN-SEMESTER2-PPL-UPDATING LISTING</v>
      </c>
      <c r="J573" s="10" t="str">
        <v>BS</v>
      </c>
      <c r="K573" s="66">
        <v>168000</v>
      </c>
      <c r="L573" s="10">
        <v>1</v>
      </c>
      <c r="M573" s="10">
        <v>168000</v>
      </c>
      <c r="N573" s="10">
        <v>0</v>
      </c>
      <c r="O573" s="67">
        <v>45550</v>
      </c>
      <c r="P573" s="10">
        <v>2024</v>
      </c>
      <c r="Q573" s="10">
        <v>9</v>
      </c>
      <c r="R573" s="10" t="str">
        <v>SURVEI-PPL</v>
      </c>
      <c r="S573" s="10" t="str">
        <v>610422100101-2024-9</v>
      </c>
      <c r="T573" s="10" t="str">
        <v>610422100101-2024-9-SURVEI-PPL</v>
      </c>
      <c r="U573" s="10">
        <v>0</v>
      </c>
      <c r="V573" s="10" t="e">
        <f ca="1"/>
        <v>#NAME?</v>
      </c>
      <c r="W573" s="67">
        <v>0</v>
      </c>
      <c r="X573" s="11" t="str">
        <v>Susenas September 2024</v>
      </c>
      <c r="Y573" s="11" t="str">
        <v>ANJONGAN</v>
      </c>
      <c r="Z573" s="11" t="str">
        <v>ANJUNGAN MELANCAR</v>
      </c>
      <c r="AA573" s="67">
        <v>45535</v>
      </c>
      <c r="AB573" s="67">
        <v>45536</v>
      </c>
      <c r="AC573" s="67">
        <v>45565</v>
      </c>
      <c r="AD573" s="67">
        <v>45564</v>
      </c>
      <c r="AE573" s="67">
        <v>45565</v>
      </c>
    </row>
    <row r="574" spans="1:31" ht="12.5">
      <c r="A574" s="10">
        <v>610422100055</v>
      </c>
      <c r="B574" s="10" t="str">
        <v>SUSENAS24-LAPANGAN-SEMESTER2</v>
      </c>
      <c r="C574" s="10">
        <v>0</v>
      </c>
      <c r="D574" s="10">
        <f ca="1"/>
        <v>1</v>
      </c>
      <c r="E574" s="10" t="str">
        <v>Vika Rizkiani</v>
      </c>
      <c r="F574" s="10" t="str">
        <v>PPL</v>
      </c>
      <c r="G574" s="10" t="str">
        <v>6102084207980006</v>
      </c>
      <c r="H574" s="10" t="str">
        <v>UPDATING LISTING</v>
      </c>
      <c r="I574" s="10" t="str">
        <v>SUSENAS24-LAPANGAN-SEMESTER2-PPL-UPDATING LISTING</v>
      </c>
      <c r="J574" s="10" t="str">
        <v>BS</v>
      </c>
      <c r="K574" s="66">
        <v>168000</v>
      </c>
      <c r="L574" s="10">
        <v>1</v>
      </c>
      <c r="M574" s="10">
        <v>168000</v>
      </c>
      <c r="N574" s="10">
        <v>0</v>
      </c>
      <c r="O574" s="67">
        <v>45550</v>
      </c>
      <c r="P574" s="10">
        <v>2024</v>
      </c>
      <c r="Q574" s="10">
        <v>9</v>
      </c>
      <c r="R574" s="10" t="str">
        <v>SURVEI-PPL</v>
      </c>
      <c r="S574" s="10" t="str">
        <v>610422100055-2024-9</v>
      </c>
      <c r="T574" s="10" t="str">
        <v>610422100055-2024-9-SURVEI-PPL</v>
      </c>
      <c r="U574" s="10">
        <v>0</v>
      </c>
      <c r="V574" s="10" t="e">
        <f ca="1"/>
        <v>#NAME?</v>
      </c>
      <c r="W574" s="67">
        <v>0</v>
      </c>
      <c r="X574" s="11" t="str">
        <v>Susenas September 2024</v>
      </c>
      <c r="Y574" s="11" t="str">
        <v>JONGKAT</v>
      </c>
      <c r="Z574" s="11" t="str">
        <v>JUNGKAT</v>
      </c>
      <c r="AA574" s="67">
        <v>45535</v>
      </c>
      <c r="AB574" s="67">
        <v>45536</v>
      </c>
      <c r="AC574" s="67">
        <v>45565</v>
      </c>
      <c r="AD574" s="67">
        <v>45564</v>
      </c>
      <c r="AE574" s="67">
        <v>45565</v>
      </c>
    </row>
    <row r="575" spans="1:31" ht="12.5">
      <c r="A575" s="10">
        <v>610422100244</v>
      </c>
      <c r="B575" s="10" t="str">
        <v>SUSENAS24-LAPANGAN-SEMESTER2</v>
      </c>
      <c r="C575" s="10">
        <v>0</v>
      </c>
      <c r="D575" s="10">
        <f ca="1"/>
        <v>1</v>
      </c>
      <c r="E575" s="10" t="str">
        <v>Sugianto</v>
      </c>
      <c r="F575" s="10" t="str">
        <v>PPL</v>
      </c>
      <c r="G575" s="10" t="str">
        <v>6102171003900002</v>
      </c>
      <c r="H575" s="10" t="str">
        <v>UPDATING LISTING</v>
      </c>
      <c r="I575" s="10" t="str">
        <v>SUSENAS24-LAPANGAN-SEMESTER2-PPL-UPDATING LISTING</v>
      </c>
      <c r="J575" s="10" t="str">
        <v>BS</v>
      </c>
      <c r="K575" s="66">
        <v>168000</v>
      </c>
      <c r="L575" s="10">
        <v>1</v>
      </c>
      <c r="M575" s="10">
        <v>168000</v>
      </c>
      <c r="N575" s="10">
        <v>0</v>
      </c>
      <c r="O575" s="67">
        <v>45550</v>
      </c>
      <c r="P575" s="10">
        <v>2024</v>
      </c>
      <c r="Q575" s="10">
        <v>9</v>
      </c>
      <c r="R575" s="10" t="str">
        <v>SURVEI-PPL</v>
      </c>
      <c r="S575" s="10" t="str">
        <v>610422100244-2024-9</v>
      </c>
      <c r="T575" s="10" t="str">
        <v>610422100244-2024-9-SURVEI-PPL</v>
      </c>
      <c r="U575" s="10">
        <v>0</v>
      </c>
      <c r="V575" s="10" t="e">
        <f ca="1"/>
        <v>#NAME?</v>
      </c>
      <c r="W575" s="67">
        <v>0</v>
      </c>
      <c r="X575" s="11" t="str">
        <v>Susenas September 2024</v>
      </c>
      <c r="Y575" s="11" t="str">
        <v>SADANIANG</v>
      </c>
      <c r="Z575" s="11" t="str">
        <v>BUMBUN</v>
      </c>
      <c r="AA575" s="67">
        <v>45535</v>
      </c>
      <c r="AB575" s="67">
        <v>45536</v>
      </c>
      <c r="AC575" s="67">
        <v>45565</v>
      </c>
      <c r="AD575" s="67">
        <v>45564</v>
      </c>
      <c r="AE575" s="67">
        <v>45565</v>
      </c>
    </row>
    <row r="576" spans="1:31" ht="12.5">
      <c r="A576" s="10">
        <v>610423040013</v>
      </c>
      <c r="B576" s="10" t="str">
        <v>SUSENAS24-LAPANGAN-SEMESTER2</v>
      </c>
      <c r="C576" s="10">
        <v>0</v>
      </c>
      <c r="D576" s="10">
        <f ca="1"/>
        <v>1</v>
      </c>
      <c r="E576" s="10" t="str">
        <v>Lulu Gesti Gunawati</v>
      </c>
      <c r="F576" s="10" t="str">
        <v>PPL</v>
      </c>
      <c r="G576" s="10" t="str">
        <v>3314066101000001</v>
      </c>
      <c r="H576" s="10" t="str">
        <v>UPDATING LISTING</v>
      </c>
      <c r="I576" s="10" t="str">
        <v>SUSENAS24-LAPANGAN-SEMESTER2-PPL-UPDATING LISTING</v>
      </c>
      <c r="J576" s="10" t="str">
        <v>BS</v>
      </c>
      <c r="K576" s="66">
        <v>168000</v>
      </c>
      <c r="L576" s="10">
        <v>1</v>
      </c>
      <c r="M576" s="10">
        <v>168000</v>
      </c>
      <c r="N576" s="10">
        <v>0</v>
      </c>
      <c r="O576" s="67">
        <v>45550</v>
      </c>
      <c r="P576" s="10">
        <v>2024</v>
      </c>
      <c r="Q576" s="10">
        <v>9</v>
      </c>
      <c r="R576" s="10" t="str">
        <v>SURVEI-PPL</v>
      </c>
      <c r="S576" s="10" t="str">
        <v>610423040013-2024-9</v>
      </c>
      <c r="T576" s="10" t="str">
        <v>610423040013-2024-9-SURVEI-PPL</v>
      </c>
      <c r="U576" s="10">
        <v>0</v>
      </c>
      <c r="V576" s="10" t="e">
        <f ca="1"/>
        <v>#NAME?</v>
      </c>
      <c r="W576" s="67">
        <v>0</v>
      </c>
      <c r="X576" s="11" t="str">
        <v>Susenas September 2024</v>
      </c>
      <c r="Y576" s="11" t="str">
        <v>SUNGAI KUNYIT</v>
      </c>
      <c r="Z576" s="11" t="str">
        <v>MENDALOK</v>
      </c>
      <c r="AA576" s="67">
        <v>45535</v>
      </c>
      <c r="AB576" s="67">
        <v>45536</v>
      </c>
      <c r="AC576" s="67">
        <v>45565</v>
      </c>
      <c r="AD576" s="67">
        <v>45564</v>
      </c>
      <c r="AE576" s="67">
        <v>45565</v>
      </c>
    </row>
    <row r="577" spans="1:31" ht="12.5">
      <c r="A577" s="10">
        <v>610423040016</v>
      </c>
      <c r="B577" s="10" t="str">
        <v>SUSENAS24-LAPANGAN-SEMESTER2</v>
      </c>
      <c r="C577" s="10">
        <v>0</v>
      </c>
      <c r="D577" s="10">
        <f ca="1"/>
        <v>1</v>
      </c>
      <c r="E577" s="10" t="str">
        <v>Fairuztia Atiqah Putri</v>
      </c>
      <c r="F577" s="10" t="str">
        <v>PETUGAS ENTRI</v>
      </c>
      <c r="G577" s="10" t="str">
        <v>6102016709010003</v>
      </c>
      <c r="H577" s="10" t="str">
        <v>PENGOLAHAN LISTING</v>
      </c>
      <c r="I577" s="10" t="str">
        <v>SUSENAS24-LAPANGAN-SEMESTER2-PETUGAS ENTRI-PENGOLAHAN LISTING</v>
      </c>
      <c r="J577" s="10" t="str">
        <v>Dokumen</v>
      </c>
      <c r="K577" s="66">
        <v>34000</v>
      </c>
      <c r="L577" s="10">
        <v>14</v>
      </c>
      <c r="M577" s="10">
        <v>476000</v>
      </c>
      <c r="N577" s="10">
        <v>0</v>
      </c>
      <c r="O577" s="67">
        <v>45553</v>
      </c>
      <c r="P577" s="10">
        <v>2024</v>
      </c>
      <c r="Q577" s="10">
        <v>9</v>
      </c>
      <c r="R577" s="10" t="str">
        <v>SURVEI-PETUGAS ENTRI</v>
      </c>
      <c r="S577" s="10" t="str">
        <v>610423040016-2024-9</v>
      </c>
      <c r="T577" s="10" t="str">
        <v>610423040016-2024-9-SURVEI-PETUGAS ENTRI</v>
      </c>
      <c r="U577" s="10">
        <v>0</v>
      </c>
      <c r="V577" s="10" t="e">
        <f ca="1"/>
        <v>#NAME?</v>
      </c>
      <c r="W577" s="67">
        <v>0</v>
      </c>
      <c r="X577" s="11" t="str">
        <v>Susenas September 2024</v>
      </c>
      <c r="Y577" s="11" t="str">
        <v>MEMPAWAH HILIR</v>
      </c>
      <c r="Z577" s="11" t="str">
        <v>TENGAH</v>
      </c>
      <c r="AA577" s="67">
        <v>45535</v>
      </c>
      <c r="AB577" s="67">
        <v>45536</v>
      </c>
      <c r="AC577" s="67">
        <v>45565</v>
      </c>
      <c r="AD577" s="67">
        <v>45564</v>
      </c>
      <c r="AE577" s="67">
        <v>45565</v>
      </c>
    </row>
    <row r="578" spans="1:31" ht="12.5">
      <c r="A578" s="10">
        <v>610422030002</v>
      </c>
      <c r="B578" s="10" t="str">
        <v>SHPB24-LAPANGAN-SEPTEMBER</v>
      </c>
      <c r="C578" s="10">
        <v>0</v>
      </c>
      <c r="D578" s="10">
        <f ca="1"/>
        <v>1</v>
      </c>
      <c r="E578" s="10" t="str">
        <v>Deti Erni Widiastuti</v>
      </c>
      <c r="F578" s="10" t="str">
        <v>PPL</v>
      </c>
      <c r="G578" s="10" t="str">
        <v>6102016712860001</v>
      </c>
      <c r="H578" s="10" t="str">
        <v>PENDATAAN</v>
      </c>
      <c r="I578" s="10" t="str">
        <v>SHPB24-LAPANGAN-SEPTEMBER-PPL-PENDATAAN</v>
      </c>
      <c r="J578" s="10" t="str">
        <v>Dokumen</v>
      </c>
      <c r="K578" s="66">
        <v>50000</v>
      </c>
      <c r="L578" s="10">
        <v>15</v>
      </c>
      <c r="M578" s="10">
        <v>750000</v>
      </c>
      <c r="N578" s="10">
        <v>0</v>
      </c>
      <c r="O578" s="67">
        <v>45555</v>
      </c>
      <c r="P578" s="10">
        <v>2024</v>
      </c>
      <c r="Q578" s="10">
        <v>9</v>
      </c>
      <c r="R578" s="10" t="str">
        <v>SURVEI-PPL</v>
      </c>
      <c r="S578" s="10" t="str">
        <v>610422030002-2024-9</v>
      </c>
      <c r="T578" s="10" t="str">
        <v>610422030002-2024-9-SURVEI-PPL</v>
      </c>
      <c r="U578" s="10">
        <v>0</v>
      </c>
      <c r="V578" s="10" t="e">
        <f ca="1"/>
        <v>#NAME?</v>
      </c>
      <c r="W578" s="67">
        <v>0</v>
      </c>
      <c r="X578" s="11" t="str">
        <v>Survei Harga Perdagangan Besar (SHPB24) September</v>
      </c>
      <c r="Y578" s="11" t="str">
        <v>SEGEDONG</v>
      </c>
      <c r="Z578" s="11" t="str">
        <v>PENITI DALAM I</v>
      </c>
      <c r="AA578" s="67">
        <v>45535</v>
      </c>
      <c r="AB578" s="67">
        <v>45536</v>
      </c>
      <c r="AC578" s="67">
        <v>45565</v>
      </c>
      <c r="AD578" s="67">
        <v>45564</v>
      </c>
      <c r="AE578" s="67">
        <v>45565</v>
      </c>
    </row>
    <row r="579" spans="1:31" ht="12.5">
      <c r="A579" s="10">
        <v>610422100244</v>
      </c>
      <c r="B579" s="10" t="str">
        <v>HPG24-LAPANGAN-SEPTEMBER</v>
      </c>
      <c r="C579" s="10">
        <v>0</v>
      </c>
      <c r="D579" s="10">
        <f ca="1"/>
        <v>1</v>
      </c>
      <c r="E579" s="10" t="str">
        <v>Sugianto</v>
      </c>
      <c r="F579" s="10" t="str">
        <v>PPL</v>
      </c>
      <c r="G579" s="10" t="str">
        <v>6102171003900002</v>
      </c>
      <c r="H579" s="10" t="str">
        <v>PENDATAAN</v>
      </c>
      <c r="I579" s="10" t="str">
        <v>HPG24-LAPANGAN-SEPTEMBER-PPL-PENDATAAN</v>
      </c>
      <c r="J579" s="10" t="str">
        <v>Dokumen</v>
      </c>
      <c r="K579" s="66">
        <v>50000</v>
      </c>
      <c r="L579" s="10">
        <v>1</v>
      </c>
      <c r="M579" s="10">
        <v>50000</v>
      </c>
      <c r="N579" s="10">
        <v>0</v>
      </c>
      <c r="O579" s="67">
        <v>45555</v>
      </c>
      <c r="P579" s="10">
        <v>2024</v>
      </c>
      <c r="Q579" s="10">
        <v>9</v>
      </c>
      <c r="R579" s="10" t="str">
        <v>SURVEI-PPL</v>
      </c>
      <c r="S579" s="10" t="str">
        <v>610422100244-2024-9</v>
      </c>
      <c r="T579" s="10" t="str">
        <v>610422100244-2024-9-SURVEI-PPL</v>
      </c>
      <c r="U579" s="10">
        <v>0</v>
      </c>
      <c r="V579" s="10" t="e">
        <f ca="1"/>
        <v>#NAME?</v>
      </c>
      <c r="W579" s="67">
        <v>0</v>
      </c>
      <c r="X579" s="11" t="str">
        <v>Survei Harga Produsen Gabah (HPG24) September</v>
      </c>
      <c r="Y579" s="11" t="str">
        <v>SADANIANG</v>
      </c>
      <c r="Z579" s="11" t="str">
        <v>BUMBUN</v>
      </c>
      <c r="AA579" s="67">
        <v>45535</v>
      </c>
      <c r="AB579" s="67">
        <v>45536</v>
      </c>
      <c r="AC579" s="67">
        <v>45565</v>
      </c>
      <c r="AD579" s="67">
        <v>45564</v>
      </c>
      <c r="AE579" s="67">
        <v>45565</v>
      </c>
    </row>
    <row r="580" spans="1:31" ht="12.5">
      <c r="A580" s="10">
        <v>610422100124</v>
      </c>
      <c r="B580" s="10" t="str">
        <v>HPG24-LAPANGAN-SEPTEMBER</v>
      </c>
      <c r="C580" s="10">
        <v>0</v>
      </c>
      <c r="D580" s="10">
        <f ca="1"/>
        <v>1</v>
      </c>
      <c r="E580" s="10" t="str">
        <v>Prabowo</v>
      </c>
      <c r="F580" s="10" t="str">
        <v>PPL</v>
      </c>
      <c r="G580" s="10" t="str">
        <v>6171010108790015</v>
      </c>
      <c r="H580" s="10" t="str">
        <v>PENDATAAN</v>
      </c>
      <c r="I580" s="10" t="str">
        <v>HPG24-LAPANGAN-SEPTEMBER-PPL-PENDATAAN</v>
      </c>
      <c r="J580" s="10" t="str">
        <v>Dokumen</v>
      </c>
      <c r="K580" s="66">
        <v>50000</v>
      </c>
      <c r="L580" s="10">
        <v>1</v>
      </c>
      <c r="M580" s="10">
        <v>50000</v>
      </c>
      <c r="N580" s="10">
        <v>0</v>
      </c>
      <c r="O580" s="67">
        <v>45555</v>
      </c>
      <c r="P580" s="10">
        <v>2024</v>
      </c>
      <c r="Q580" s="10">
        <v>9</v>
      </c>
      <c r="R580" s="10" t="str">
        <v>SURVEI-PPL</v>
      </c>
      <c r="S580" s="10" t="str">
        <v>610422100124-2024-9</v>
      </c>
      <c r="T580" s="10" t="str">
        <v>610422100124-2024-9-SURVEI-PPL</v>
      </c>
      <c r="U580" s="10">
        <v>0</v>
      </c>
      <c r="V580" s="10" t="e">
        <f ca="1"/>
        <v>#NAME?</v>
      </c>
      <c r="W580" s="67">
        <v>0</v>
      </c>
      <c r="X580" s="11" t="str">
        <v>Survei Harga Produsen Gabah (HPG24) September</v>
      </c>
      <c r="Y580" s="11" t="str">
        <v>PONTIANAK KOTA</v>
      </c>
      <c r="Z580" s="11" t="str">
        <v>SUNGAI BANGKONG</v>
      </c>
      <c r="AA580" s="67">
        <v>45535</v>
      </c>
      <c r="AB580" s="67">
        <v>45536</v>
      </c>
      <c r="AC580" s="67">
        <v>45565</v>
      </c>
      <c r="AD580" s="67">
        <v>45564</v>
      </c>
      <c r="AE580" s="67">
        <v>45565</v>
      </c>
    </row>
    <row r="581" spans="1:31" ht="12.5">
      <c r="A581" s="10">
        <v>610422100016</v>
      </c>
      <c r="B581" s="10" t="str">
        <v>SHPED24-LAPANGAN-SEPTEMBER</v>
      </c>
      <c r="C581" s="10">
        <v>0</v>
      </c>
      <c r="D581" s="10">
        <f ca="1"/>
        <v>1</v>
      </c>
      <c r="E581" s="10" t="str">
        <v>Amalia Faisya</v>
      </c>
      <c r="F581" s="10" t="str">
        <v>PPL</v>
      </c>
      <c r="G581" s="10" t="str">
        <v>6102124210010005</v>
      </c>
      <c r="H581" s="10" t="str">
        <v>PENDATAAN KONSUMEN</v>
      </c>
      <c r="I581" s="10" t="str">
        <v>SHPED24-LAPANGAN-SEPTEMBER-PPL-PENDATAAN KONSUMEN</v>
      </c>
      <c r="J581" s="10" t="str">
        <v>Dokumen</v>
      </c>
      <c r="K581" s="66">
        <v>65000</v>
      </c>
      <c r="L581" s="10">
        <v>3</v>
      </c>
      <c r="M581" s="10">
        <v>195000</v>
      </c>
      <c r="N581" s="10">
        <v>0</v>
      </c>
      <c r="O581" s="67">
        <v>45555</v>
      </c>
      <c r="P581" s="10">
        <v>2024</v>
      </c>
      <c r="Q581" s="10">
        <v>9</v>
      </c>
      <c r="R581" s="10" t="str">
        <v>SURVEI-PPL</v>
      </c>
      <c r="S581" s="10" t="str">
        <v>610422100016-2024-9</v>
      </c>
      <c r="T581" s="10" t="str">
        <v>610422100016-2024-9-SURVEI-PPL</v>
      </c>
      <c r="U581" s="10">
        <v>0</v>
      </c>
      <c r="V581" s="10" t="e">
        <f ca="1"/>
        <v>#NAME?</v>
      </c>
      <c r="W581" s="67">
        <v>0</v>
      </c>
      <c r="X581" s="11" t="str">
        <v>Survei Harga Perdesaan (SHPED24) September</v>
      </c>
      <c r="Y581" s="11" t="str">
        <v>SUNGAI KUNYIT</v>
      </c>
      <c r="Z581" s="11" t="str">
        <v>SUNGAI KUNYIT LAUT</v>
      </c>
      <c r="AA581" s="67">
        <v>45535</v>
      </c>
      <c r="AB581" s="67">
        <v>45536</v>
      </c>
      <c r="AC581" s="67">
        <v>45565</v>
      </c>
      <c r="AD581" s="67">
        <v>45564</v>
      </c>
      <c r="AE581" s="67">
        <v>45565</v>
      </c>
    </row>
    <row r="582" spans="1:31" ht="12.5">
      <c r="A582" s="10">
        <v>610422050001</v>
      </c>
      <c r="B582" s="10" t="str">
        <v>SHPED24-LAPANGAN-SEPTEMBER</v>
      </c>
      <c r="C582" s="10">
        <v>0</v>
      </c>
      <c r="D582" s="10">
        <f ca="1"/>
        <v>1</v>
      </c>
      <c r="E582" s="10" t="str">
        <v>Evi Juniarty</v>
      </c>
      <c r="F582" s="10" t="str">
        <v>PPL</v>
      </c>
      <c r="G582" s="10" t="str">
        <v>6102165101840001</v>
      </c>
      <c r="H582" s="10" t="str">
        <v>PENDATAAN KONSUMEN</v>
      </c>
      <c r="I582" s="10" t="str">
        <v>SHPED24-LAPANGAN-SEPTEMBER-PPL-PENDATAAN KONSUMEN</v>
      </c>
      <c r="J582" s="10" t="str">
        <v>Dokumen</v>
      </c>
      <c r="K582" s="66">
        <v>65000</v>
      </c>
      <c r="L582" s="10">
        <v>3</v>
      </c>
      <c r="M582" s="10">
        <v>195000</v>
      </c>
      <c r="N582" s="10">
        <v>0</v>
      </c>
      <c r="O582" s="67">
        <v>45555</v>
      </c>
      <c r="P582" s="10">
        <v>2024</v>
      </c>
      <c r="Q582" s="10">
        <v>9</v>
      </c>
      <c r="R582" s="10" t="str">
        <v>SURVEI-PPL</v>
      </c>
      <c r="S582" s="10" t="str">
        <v>610422050001-2024-9</v>
      </c>
      <c r="T582" s="10" t="str">
        <v>610422050001-2024-9-SURVEI-PPL</v>
      </c>
      <c r="U582" s="10">
        <v>0</v>
      </c>
      <c r="V582" s="10" t="e">
        <f ca="1"/>
        <v>#NAME?</v>
      </c>
      <c r="W582" s="67">
        <v>0</v>
      </c>
      <c r="X582" s="11" t="str">
        <v>Survei Harga Perdesaan (SHPED24) September</v>
      </c>
      <c r="Y582" s="11" t="str">
        <v>ANJONGAN</v>
      </c>
      <c r="Z582" s="11" t="str">
        <v>ANJUNGAN MELANCAR</v>
      </c>
      <c r="AA582" s="67">
        <v>45535</v>
      </c>
      <c r="AB582" s="67">
        <v>45536</v>
      </c>
      <c r="AC582" s="67">
        <v>45565</v>
      </c>
      <c r="AD582" s="67">
        <v>45564</v>
      </c>
      <c r="AE582" s="67">
        <v>45565</v>
      </c>
    </row>
    <row r="583" spans="1:31" ht="12.5">
      <c r="A583" s="10">
        <v>610422040030</v>
      </c>
      <c r="B583" s="10" t="str">
        <v>SHPED24-LAPANGAN-SEPTEMBER</v>
      </c>
      <c r="C583" s="10">
        <v>0</v>
      </c>
      <c r="D583" s="10">
        <f ca="1"/>
        <v>1</v>
      </c>
      <c r="E583" s="10" t="str">
        <v>Syarifah Desti Pratiwi</v>
      </c>
      <c r="F583" s="10" t="str">
        <v>PPL</v>
      </c>
      <c r="G583" s="10" t="str">
        <v>6102084512950002</v>
      </c>
      <c r="H583" s="10" t="str">
        <v>PENDATAAN PRODUSEN</v>
      </c>
      <c r="I583" s="10" t="str">
        <v>SHPED24-LAPANGAN-SEPTEMBER-PPL-PENDATAAN PRODUSEN</v>
      </c>
      <c r="J583" s="10" t="str">
        <v>Dokumen</v>
      </c>
      <c r="K583" s="66">
        <v>55000</v>
      </c>
      <c r="L583" s="10">
        <v>1</v>
      </c>
      <c r="M583" s="10">
        <v>55000</v>
      </c>
      <c r="N583" s="10">
        <v>0</v>
      </c>
      <c r="O583" s="67">
        <v>45555</v>
      </c>
      <c r="P583" s="10">
        <v>2024</v>
      </c>
      <c r="Q583" s="10">
        <v>9</v>
      </c>
      <c r="R583" s="10" t="str">
        <v>SURVEI-PPL</v>
      </c>
      <c r="S583" s="10" t="str">
        <v>610422040030-2024-9</v>
      </c>
      <c r="T583" s="10" t="str">
        <v>610422040030-2024-9-SURVEI-PPL</v>
      </c>
      <c r="U583" s="10">
        <v>0</v>
      </c>
      <c r="V583" s="10" t="e">
        <f ca="1"/>
        <v>#NAME?</v>
      </c>
      <c r="W583" s="67">
        <v>0</v>
      </c>
      <c r="X583" s="11" t="str">
        <v>Survei Harga Perdesaan (SHPED24) September</v>
      </c>
      <c r="Y583" s="11" t="str">
        <v>JONGKAT</v>
      </c>
      <c r="Z583" s="11" t="str">
        <v>JUNGKAT</v>
      </c>
      <c r="AA583" s="67">
        <v>45535</v>
      </c>
      <c r="AB583" s="67">
        <v>45536</v>
      </c>
      <c r="AC583" s="67">
        <v>45565</v>
      </c>
      <c r="AD583" s="67">
        <v>45564</v>
      </c>
      <c r="AE583" s="67">
        <v>45565</v>
      </c>
    </row>
    <row r="584" spans="1:31" ht="12.5">
      <c r="A584" s="10">
        <v>610422100124</v>
      </c>
      <c r="B584" s="10" t="str">
        <v>SHPED24-LAPANGAN-SEPTEMBER</v>
      </c>
      <c r="C584" s="10">
        <v>0</v>
      </c>
      <c r="D584" s="10">
        <f ca="1"/>
        <v>1</v>
      </c>
      <c r="E584" s="10" t="str">
        <v>Prabowo</v>
      </c>
      <c r="F584" s="10" t="str">
        <v>PPL</v>
      </c>
      <c r="G584" s="10" t="str">
        <v>6171010108790015</v>
      </c>
      <c r="H584" s="10" t="str">
        <v>PENDATAAN PRODUSEN</v>
      </c>
      <c r="I584" s="10" t="str">
        <v>SHPED24-LAPANGAN-SEPTEMBER-PPL-PENDATAAN PRODUSEN</v>
      </c>
      <c r="J584" s="10" t="str">
        <v>Dokumen</v>
      </c>
      <c r="K584" s="66">
        <v>55000</v>
      </c>
      <c r="L584" s="10">
        <v>3</v>
      </c>
      <c r="M584" s="10">
        <v>165000</v>
      </c>
      <c r="N584" s="10">
        <v>0</v>
      </c>
      <c r="O584" s="67">
        <v>45555</v>
      </c>
      <c r="P584" s="10">
        <v>2024</v>
      </c>
      <c r="Q584" s="10">
        <v>9</v>
      </c>
      <c r="R584" s="10" t="str">
        <v>SURVEI-PPL</v>
      </c>
      <c r="S584" s="10" t="str">
        <v>610422100124-2024-9</v>
      </c>
      <c r="T584" s="10" t="str">
        <v>610422100124-2024-9-SURVEI-PPL</v>
      </c>
      <c r="U584" s="10">
        <v>0</v>
      </c>
      <c r="V584" s="10" t="e">
        <f ca="1"/>
        <v>#NAME?</v>
      </c>
      <c r="W584" s="67">
        <v>0</v>
      </c>
      <c r="X584" s="11" t="str">
        <v>Survei Harga Perdesaan (SHPED24) September</v>
      </c>
      <c r="Y584" s="11" t="str">
        <v>PONTIANAK KOTA</v>
      </c>
      <c r="Z584" s="11" t="str">
        <v>SUNGAI BANGKONG</v>
      </c>
      <c r="AA584" s="67">
        <v>45535</v>
      </c>
      <c r="AB584" s="67">
        <v>45536</v>
      </c>
      <c r="AC584" s="67">
        <v>45565</v>
      </c>
      <c r="AD584" s="67">
        <v>45564</v>
      </c>
      <c r="AE584" s="67">
        <v>45565</v>
      </c>
    </row>
    <row r="585" spans="1:31" ht="12.5">
      <c r="A585" s="10">
        <v>610422100244</v>
      </c>
      <c r="B585" s="10" t="str">
        <v>SHPED24-LAPANGAN-SEPTEMBER</v>
      </c>
      <c r="C585" s="10">
        <v>0</v>
      </c>
      <c r="D585" s="10">
        <f ca="1"/>
        <v>1</v>
      </c>
      <c r="E585" s="10" t="str">
        <v>Sugianto</v>
      </c>
      <c r="F585" s="10" t="str">
        <v>PPL</v>
      </c>
      <c r="G585" s="10" t="str">
        <v>6102171003900002</v>
      </c>
      <c r="H585" s="10" t="str">
        <v>PENDATAAN PRODUSEN</v>
      </c>
      <c r="I585" s="10" t="str">
        <v>SHPED24-LAPANGAN-SEPTEMBER-PPL-PENDATAAN PRODUSEN</v>
      </c>
      <c r="J585" s="10" t="str">
        <v>Dokumen</v>
      </c>
      <c r="K585" s="66">
        <v>55000</v>
      </c>
      <c r="L585" s="10">
        <v>2</v>
      </c>
      <c r="M585" s="10">
        <v>110000</v>
      </c>
      <c r="N585" s="10">
        <v>0</v>
      </c>
      <c r="O585" s="67">
        <v>45555</v>
      </c>
      <c r="P585" s="10">
        <v>2024</v>
      </c>
      <c r="Q585" s="10">
        <v>9</v>
      </c>
      <c r="R585" s="10" t="str">
        <v>SURVEI-PPL</v>
      </c>
      <c r="S585" s="10" t="str">
        <v>610422100244-2024-9</v>
      </c>
      <c r="T585" s="10" t="str">
        <v>610422100244-2024-9-SURVEI-PPL</v>
      </c>
      <c r="U585" s="10">
        <v>0</v>
      </c>
      <c r="V585" s="10" t="e">
        <f ca="1"/>
        <v>#NAME?</v>
      </c>
      <c r="W585" s="67">
        <v>0</v>
      </c>
      <c r="X585" s="11" t="str">
        <v>Survei Harga Perdesaan (SHPED24) September</v>
      </c>
      <c r="Y585" s="11" t="str">
        <v>SADANIANG</v>
      </c>
      <c r="Z585" s="11" t="str">
        <v>BUMBUN</v>
      </c>
      <c r="AA585" s="67">
        <v>45535</v>
      </c>
      <c r="AB585" s="67">
        <v>45536</v>
      </c>
      <c r="AC585" s="67">
        <v>45565</v>
      </c>
      <c r="AD585" s="67">
        <v>45564</v>
      </c>
      <c r="AE585" s="67">
        <v>45565</v>
      </c>
    </row>
    <row r="586" spans="1:31" ht="12.5">
      <c r="A586" s="10">
        <v>610422020016</v>
      </c>
      <c r="B586" s="10" t="str">
        <v>SHPED24-LAPANGAN-SEPTEMBER</v>
      </c>
      <c r="C586" s="10">
        <v>0</v>
      </c>
      <c r="D586" s="10">
        <f ca="1"/>
        <v>1</v>
      </c>
      <c r="E586" s="10" t="str">
        <v>Abdul Aziz</v>
      </c>
      <c r="F586" s="10" t="str">
        <v>PPL</v>
      </c>
      <c r="G586" s="10" t="str">
        <v>6102061507950006</v>
      </c>
      <c r="H586" s="10" t="str">
        <v>PENDATAAN PRODUSEN</v>
      </c>
      <c r="I586" s="10" t="str">
        <v>SHPED24-LAPANGAN-SEPTEMBER-PPL-PENDATAAN PRODUSEN</v>
      </c>
      <c r="J586" s="10" t="str">
        <v>Dokumen</v>
      </c>
      <c r="K586" s="66">
        <v>55000</v>
      </c>
      <c r="L586" s="10">
        <v>3</v>
      </c>
      <c r="M586" s="10">
        <v>165000</v>
      </c>
      <c r="N586" s="10">
        <v>0</v>
      </c>
      <c r="O586" s="67">
        <v>45555</v>
      </c>
      <c r="P586" s="10">
        <v>2024</v>
      </c>
      <c r="Q586" s="10">
        <v>9</v>
      </c>
      <c r="R586" s="10" t="str">
        <v>SURVEI-PPL</v>
      </c>
      <c r="S586" s="10" t="str">
        <v>610422020016-2024-9</v>
      </c>
      <c r="T586" s="10" t="str">
        <v>610422020016-2024-9-SURVEI-PPL</v>
      </c>
      <c r="U586" s="10">
        <v>0</v>
      </c>
      <c r="V586" s="10" t="e">
        <f ca="1"/>
        <v>#NAME?</v>
      </c>
      <c r="W586" s="67">
        <v>0</v>
      </c>
      <c r="X586" s="11" t="str">
        <v>Survei Harga Perdesaan (SHPED24) September</v>
      </c>
      <c r="Y586" s="11" t="str">
        <v>TOHO</v>
      </c>
      <c r="Z586" s="11" t="str">
        <v>SAMBORA</v>
      </c>
      <c r="AA586" s="67">
        <v>45535</v>
      </c>
      <c r="AB586" s="67">
        <v>45536</v>
      </c>
      <c r="AC586" s="67">
        <v>45565</v>
      </c>
      <c r="AD586" s="67">
        <v>45564</v>
      </c>
      <c r="AE586" s="67">
        <v>45565</v>
      </c>
    </row>
    <row r="587" spans="1:31" ht="12.5">
      <c r="A587" s="10">
        <v>610422100016</v>
      </c>
      <c r="B587" s="10" t="str">
        <v>SHPED24-LAPANGAN-SEPTEMBER</v>
      </c>
      <c r="C587" s="10">
        <v>0</v>
      </c>
      <c r="D587" s="10">
        <f ca="1"/>
        <v>1</v>
      </c>
      <c r="E587" s="10" t="str">
        <v>Amalia Faisya</v>
      </c>
      <c r="F587" s="10" t="str">
        <v>PPL</v>
      </c>
      <c r="G587" s="10" t="str">
        <v>6102124210010005</v>
      </c>
      <c r="H587" s="10" t="str">
        <v>PENDATAAN PRODUSEN</v>
      </c>
      <c r="I587" s="10" t="str">
        <v>SHPED24-LAPANGAN-SEPTEMBER-PPL-PENDATAAN PRODUSEN</v>
      </c>
      <c r="J587" s="10" t="str">
        <v>Dokumen</v>
      </c>
      <c r="K587" s="66">
        <v>55000</v>
      </c>
      <c r="L587" s="10">
        <v>1</v>
      </c>
      <c r="M587" s="10">
        <v>55000</v>
      </c>
      <c r="N587" s="10">
        <v>0</v>
      </c>
      <c r="O587" s="67">
        <v>45555</v>
      </c>
      <c r="P587" s="10">
        <v>2024</v>
      </c>
      <c r="Q587" s="10">
        <v>9</v>
      </c>
      <c r="R587" s="10" t="str">
        <v>SURVEI-PPL</v>
      </c>
      <c r="S587" s="10" t="str">
        <v>610422100016-2024-9</v>
      </c>
      <c r="T587" s="10" t="str">
        <v>610422100016-2024-9-SURVEI-PPL</v>
      </c>
      <c r="U587" s="10">
        <v>0</v>
      </c>
      <c r="V587" s="10" t="e">
        <f ca="1"/>
        <v>#NAME?</v>
      </c>
      <c r="W587" s="67">
        <v>0</v>
      </c>
      <c r="X587" s="11" t="str">
        <v>Survei Harga Perdesaan (SHPED24) September</v>
      </c>
      <c r="Y587" s="11" t="str">
        <v>SUNGAI KUNYIT</v>
      </c>
      <c r="Z587" s="11" t="str">
        <v>SUNGAI KUNYIT LAUT</v>
      </c>
      <c r="AA587" s="67">
        <v>45535</v>
      </c>
      <c r="AB587" s="67">
        <v>45536</v>
      </c>
      <c r="AC587" s="67">
        <v>45565</v>
      </c>
      <c r="AD587" s="67">
        <v>45564</v>
      </c>
      <c r="AE587" s="67">
        <v>45565</v>
      </c>
    </row>
    <row r="588" spans="1:31" ht="12.5">
      <c r="A588" s="10">
        <v>610422020048</v>
      </c>
      <c r="B588" s="10" t="str">
        <v>SHPED24-LAPANGAN-SEPTEMBER</v>
      </c>
      <c r="C588" s="10">
        <v>0</v>
      </c>
      <c r="D588" s="10">
        <f ca="1"/>
        <v>1</v>
      </c>
      <c r="E588" s="10" t="str">
        <v>Herri Gustaman</v>
      </c>
      <c r="F588" s="10" t="str">
        <v>PPL</v>
      </c>
      <c r="G588" s="10" t="str">
        <v>6102072503800001</v>
      </c>
      <c r="H588" s="10" t="str">
        <v>PENDATAAN PRODUSEN</v>
      </c>
      <c r="I588" s="10" t="str">
        <v>SHPED24-LAPANGAN-SEPTEMBER-PPL-PENDATAAN PRODUSEN</v>
      </c>
      <c r="J588" s="10" t="str">
        <v>Dokumen</v>
      </c>
      <c r="K588" s="66">
        <v>55000</v>
      </c>
      <c r="L588" s="10">
        <v>3</v>
      </c>
      <c r="M588" s="10">
        <v>165000</v>
      </c>
      <c r="N588" s="10">
        <v>0</v>
      </c>
      <c r="O588" s="67">
        <v>45555</v>
      </c>
      <c r="P588" s="10">
        <v>2024</v>
      </c>
      <c r="Q588" s="10">
        <v>9</v>
      </c>
      <c r="R588" s="10" t="str">
        <v>SURVEI-PPL</v>
      </c>
      <c r="S588" s="10" t="str">
        <v>610422020048-2024-9</v>
      </c>
      <c r="T588" s="10" t="str">
        <v>610422020048-2024-9-SURVEI-PPL</v>
      </c>
      <c r="U588" s="10">
        <v>0</v>
      </c>
      <c r="V588" s="10" t="e">
        <f ca="1"/>
        <v>#NAME?</v>
      </c>
      <c r="W588" s="67">
        <v>0</v>
      </c>
      <c r="X588" s="11" t="str">
        <v>Survei Harga Perdesaan (SHPED24) September</v>
      </c>
      <c r="Y588" s="11" t="str">
        <v>MEMPAWAH TIMUR</v>
      </c>
      <c r="Z588" s="11" t="str">
        <v>SEJEGI</v>
      </c>
      <c r="AA588" s="67">
        <v>45535</v>
      </c>
      <c r="AB588" s="67">
        <v>45536</v>
      </c>
      <c r="AC588" s="67">
        <v>45565</v>
      </c>
      <c r="AD588" s="67">
        <v>45564</v>
      </c>
      <c r="AE588" s="67">
        <v>45565</v>
      </c>
    </row>
    <row r="589" spans="1:31" ht="12.5">
      <c r="A589" s="10">
        <v>610422040029</v>
      </c>
      <c r="B589" s="10" t="str">
        <v>SHPED24-LAPANGAN-SEPTEMBER</v>
      </c>
      <c r="C589" s="10">
        <v>0</v>
      </c>
      <c r="D589" s="10">
        <f ca="1"/>
        <v>1</v>
      </c>
      <c r="E589" s="10" t="str">
        <v>Zaini</v>
      </c>
      <c r="F589" s="10" t="str">
        <v>PPL</v>
      </c>
      <c r="G589" s="10" t="str">
        <v>6102010607870002</v>
      </c>
      <c r="H589" s="10" t="str">
        <v>PENDATAAN PRODUSEN</v>
      </c>
      <c r="I589" s="10" t="str">
        <v>SHPED24-LAPANGAN-SEPTEMBER-PPL-PENDATAAN PRODUSEN</v>
      </c>
      <c r="J589" s="10" t="str">
        <v>Dokumen</v>
      </c>
      <c r="K589" s="66">
        <v>55000</v>
      </c>
      <c r="L589" s="10">
        <v>4</v>
      </c>
      <c r="M589" s="10">
        <v>220000</v>
      </c>
      <c r="N589" s="10">
        <v>0</v>
      </c>
      <c r="O589" s="67">
        <v>45555</v>
      </c>
      <c r="P589" s="10">
        <v>2024</v>
      </c>
      <c r="Q589" s="10">
        <v>9</v>
      </c>
      <c r="R589" s="10" t="str">
        <v>SURVEI-PPL</v>
      </c>
      <c r="S589" s="10" t="str">
        <v>610422040029-2024-9</v>
      </c>
      <c r="T589" s="10" t="str">
        <v>610422040029-2024-9-SURVEI-PPL</v>
      </c>
      <c r="U589" s="10">
        <v>0</v>
      </c>
      <c r="V589" s="10" t="e">
        <f ca="1"/>
        <v>#NAME?</v>
      </c>
      <c r="W589" s="67">
        <v>0</v>
      </c>
      <c r="X589" s="11" t="str">
        <v>Survei Harga Perdesaan (SHPED24) September</v>
      </c>
      <c r="Y589" s="11" t="str">
        <v>MEMPAWAH HILIR</v>
      </c>
      <c r="Z589" s="11" t="str">
        <v>TENGAH</v>
      </c>
      <c r="AA589" s="67">
        <v>45535</v>
      </c>
      <c r="AB589" s="67">
        <v>45536</v>
      </c>
      <c r="AC589" s="67">
        <v>45565</v>
      </c>
      <c r="AD589" s="67">
        <v>45564</v>
      </c>
      <c r="AE589" s="67">
        <v>45565</v>
      </c>
    </row>
    <row r="590" spans="1:31" ht="12.5">
      <c r="A590" s="10">
        <v>610422050001</v>
      </c>
      <c r="B590" s="10" t="str">
        <v>SHPED24-LAPANGAN-SEPTEMBER</v>
      </c>
      <c r="C590" s="10">
        <v>0</v>
      </c>
      <c r="D590" s="10">
        <f ca="1"/>
        <v>1</v>
      </c>
      <c r="E590" s="10" t="str">
        <v>Evi Juniarty</v>
      </c>
      <c r="F590" s="10" t="str">
        <v>PPL</v>
      </c>
      <c r="G590" s="10" t="str">
        <v>6102165101840001</v>
      </c>
      <c r="H590" s="10" t="str">
        <v>PENDATAAN PRODUSEN</v>
      </c>
      <c r="I590" s="10" t="str">
        <v>SHPED24-LAPANGAN-SEPTEMBER-PPL-PENDATAAN PRODUSEN</v>
      </c>
      <c r="J590" s="10" t="str">
        <v>Dokumen</v>
      </c>
      <c r="K590" s="66">
        <v>55000</v>
      </c>
      <c r="L590" s="10">
        <v>1</v>
      </c>
      <c r="M590" s="10">
        <v>55000</v>
      </c>
      <c r="N590" s="10">
        <v>0</v>
      </c>
      <c r="O590" s="67">
        <v>45555</v>
      </c>
      <c r="P590" s="10">
        <v>2024</v>
      </c>
      <c r="Q590" s="10">
        <v>9</v>
      </c>
      <c r="R590" s="10" t="str">
        <v>SURVEI-PPL</v>
      </c>
      <c r="S590" s="10" t="str">
        <v>610422050001-2024-9</v>
      </c>
      <c r="T590" s="10" t="str">
        <v>610422050001-2024-9-SURVEI-PPL</v>
      </c>
      <c r="U590" s="10">
        <v>0</v>
      </c>
      <c r="V590" s="10" t="e">
        <f ca="1"/>
        <v>#NAME?</v>
      </c>
      <c r="W590" s="67">
        <v>0</v>
      </c>
      <c r="X590" s="11" t="str">
        <v>Survei Harga Perdesaan (SHPED24) September</v>
      </c>
      <c r="Y590" s="11" t="str">
        <v>ANJONGAN</v>
      </c>
      <c r="Z590" s="11" t="str">
        <v>ANJUNGAN MELANCAR</v>
      </c>
      <c r="AA590" s="67">
        <v>45535</v>
      </c>
      <c r="AB590" s="67">
        <v>45536</v>
      </c>
      <c r="AC590" s="67">
        <v>45565</v>
      </c>
      <c r="AD590" s="67">
        <v>45564</v>
      </c>
      <c r="AE590" s="67">
        <v>45565</v>
      </c>
    </row>
    <row r="591" spans="1:31" ht="12.5">
      <c r="A591" s="10">
        <v>610422100124</v>
      </c>
      <c r="B591" s="10" t="str">
        <v>HPBG24-LAPANGAN-SEPTEMBER</v>
      </c>
      <c r="C591" s="10">
        <v>0</v>
      </c>
      <c r="D591" s="10">
        <f ca="1"/>
        <v>1</v>
      </c>
      <c r="E591" s="10" t="str">
        <v>Prabowo</v>
      </c>
      <c r="F591" s="10" t="str">
        <v>PPL</v>
      </c>
      <c r="G591" s="10" t="str">
        <v>6171010108790015</v>
      </c>
      <c r="H591" s="10" t="str">
        <v>PENDATAAN</v>
      </c>
      <c r="I591" s="10" t="str">
        <v>HPBG24-LAPANGAN-SEPTEMBER-PPL-PENDATAAN</v>
      </c>
      <c r="J591" s="10" t="str">
        <v>Dokumen</v>
      </c>
      <c r="K591" s="66">
        <v>55000</v>
      </c>
      <c r="L591" s="10">
        <v>2</v>
      </c>
      <c r="M591" s="10">
        <v>110000</v>
      </c>
      <c r="N591" s="10">
        <v>0</v>
      </c>
      <c r="O591" s="67">
        <v>45555</v>
      </c>
      <c r="P591" s="10">
        <v>2024</v>
      </c>
      <c r="Q591" s="10">
        <v>9</v>
      </c>
      <c r="R591" s="10" t="str">
        <v>SURVEI-PPL</v>
      </c>
      <c r="S591" s="10" t="str">
        <v>610422100124-2024-9</v>
      </c>
      <c r="T591" s="10" t="str">
        <v>610422100124-2024-9-SURVEI-PPL</v>
      </c>
      <c r="U591" s="10">
        <v>0</v>
      </c>
      <c r="V591" s="10" t="e">
        <f ca="1"/>
        <v>#NAME?</v>
      </c>
      <c r="W591" s="67">
        <v>0</v>
      </c>
      <c r="X591" s="11" t="str">
        <v>Survei Harga Produsen Beras di Penggilingan 2024 (HPBG24) September</v>
      </c>
      <c r="Y591" s="11" t="str">
        <v>PONTIANAK KOTA</v>
      </c>
      <c r="Z591" s="11" t="str">
        <v>SUNGAI BANGKONG</v>
      </c>
      <c r="AA591" s="67">
        <v>45535</v>
      </c>
      <c r="AB591" s="67">
        <v>45536</v>
      </c>
      <c r="AC591" s="67">
        <v>45565</v>
      </c>
      <c r="AD591" s="67">
        <v>45564</v>
      </c>
      <c r="AE591" s="67">
        <v>45565</v>
      </c>
    </row>
    <row r="592" spans="1:31" ht="12.5">
      <c r="A592" s="10">
        <v>610422100244</v>
      </c>
      <c r="B592" s="10" t="str">
        <v>HPBG24-LAPANGAN-SEPTEMBER</v>
      </c>
      <c r="C592" s="10">
        <v>0</v>
      </c>
      <c r="D592" s="10">
        <f ca="1"/>
        <v>1</v>
      </c>
      <c r="E592" s="10" t="str">
        <v>Sugianto</v>
      </c>
      <c r="F592" s="10" t="str">
        <v>PPL</v>
      </c>
      <c r="G592" s="10" t="str">
        <v>6102171003900002</v>
      </c>
      <c r="H592" s="10" t="str">
        <v>PENDATAAN</v>
      </c>
      <c r="I592" s="10" t="str">
        <v>HPBG24-LAPANGAN-SEPTEMBER-PPL-PENDATAAN</v>
      </c>
      <c r="J592" s="10" t="str">
        <v>Dokumen</v>
      </c>
      <c r="K592" s="66">
        <v>55000</v>
      </c>
      <c r="L592" s="10">
        <v>2</v>
      </c>
      <c r="M592" s="10">
        <v>110000</v>
      </c>
      <c r="N592" s="10">
        <v>0</v>
      </c>
      <c r="O592" s="67">
        <v>45555</v>
      </c>
      <c r="P592" s="10">
        <v>2024</v>
      </c>
      <c r="Q592" s="10">
        <v>9</v>
      </c>
      <c r="R592" s="10" t="str">
        <v>SURVEI-PPL</v>
      </c>
      <c r="S592" s="10" t="str">
        <v>610422100244-2024-9</v>
      </c>
      <c r="T592" s="10" t="str">
        <v>610422100244-2024-9-SURVEI-PPL</v>
      </c>
      <c r="U592" s="10">
        <v>0</v>
      </c>
      <c r="V592" s="10" t="e">
        <f ca="1"/>
        <v>#NAME?</v>
      </c>
      <c r="W592" s="67">
        <v>0</v>
      </c>
      <c r="X592" s="11" t="str">
        <v>Survei Harga Produsen Beras di Penggilingan 2024 (HPBG24) September</v>
      </c>
      <c r="Y592" s="11" t="str">
        <v>SADANIANG</v>
      </c>
      <c r="Z592" s="11" t="str">
        <v>BUMBUN</v>
      </c>
      <c r="AA592" s="67">
        <v>45535</v>
      </c>
      <c r="AB592" s="67">
        <v>45536</v>
      </c>
      <c r="AC592" s="67">
        <v>45565</v>
      </c>
      <c r="AD592" s="67">
        <v>45564</v>
      </c>
      <c r="AE592" s="67">
        <v>45565</v>
      </c>
    </row>
    <row r="593" spans="1:31" ht="12.5">
      <c r="A593" s="10">
        <v>610422100165</v>
      </c>
      <c r="B593" s="10" t="str">
        <v>HPBG24-LAPANGAN-SEPTEMBER</v>
      </c>
      <c r="C593" s="10">
        <v>0</v>
      </c>
      <c r="D593" s="10">
        <f ca="1"/>
        <v>1</v>
      </c>
      <c r="E593" s="10" t="str">
        <v>Yanti</v>
      </c>
      <c r="F593" s="10" t="str">
        <v>PPL</v>
      </c>
      <c r="G593" s="10" t="str">
        <v>6102074803980002</v>
      </c>
      <c r="H593" s="10" t="str">
        <v>PENDATAAN</v>
      </c>
      <c r="I593" s="10" t="str">
        <v>HPBG24-LAPANGAN-SEPTEMBER-PPL-PENDATAAN</v>
      </c>
      <c r="J593" s="10" t="str">
        <v>Dokumen</v>
      </c>
      <c r="K593" s="66">
        <v>55000</v>
      </c>
      <c r="L593" s="10">
        <v>2</v>
      </c>
      <c r="M593" s="10">
        <v>110000</v>
      </c>
      <c r="N593" s="10">
        <v>0</v>
      </c>
      <c r="O593" s="67">
        <v>45555</v>
      </c>
      <c r="P593" s="10">
        <v>2024</v>
      </c>
      <c r="Q593" s="10">
        <v>9</v>
      </c>
      <c r="R593" s="10" t="str">
        <v>SURVEI-PPL</v>
      </c>
      <c r="S593" s="10" t="str">
        <v>610422100165-2024-9</v>
      </c>
      <c r="T593" s="10" t="str">
        <v>610422100165-2024-9-SURVEI-PPL</v>
      </c>
      <c r="U593" s="10">
        <v>0</v>
      </c>
      <c r="V593" s="10" t="e">
        <f ca="1"/>
        <v>#NAME?</v>
      </c>
      <c r="W593" s="67">
        <v>0</v>
      </c>
      <c r="X593" s="11" t="str">
        <v>Survei Harga Produsen Beras di Penggilingan 2024 (HPBG24) September</v>
      </c>
      <c r="Y593" s="11" t="str">
        <v>SUNGAI PINYUH</v>
      </c>
      <c r="Z593" s="11" t="str">
        <v>SUNGAI BAKAU BESAR LAUT</v>
      </c>
      <c r="AA593" s="67">
        <v>45535</v>
      </c>
      <c r="AB593" s="67">
        <v>45536</v>
      </c>
      <c r="AC593" s="67">
        <v>45565</v>
      </c>
      <c r="AD593" s="67">
        <v>45564</v>
      </c>
      <c r="AE593" s="67">
        <v>45565</v>
      </c>
    </row>
    <row r="594" spans="1:31" ht="12.5">
      <c r="A594" s="10">
        <v>610422100165</v>
      </c>
      <c r="B594" s="10" t="str">
        <v>HPJ24-LAPANGAN-SEPTEMBER</v>
      </c>
      <c r="C594" s="10">
        <v>0</v>
      </c>
      <c r="D594" s="10">
        <f ca="1"/>
        <v>1</v>
      </c>
      <c r="E594" s="10" t="str">
        <v>Yanti</v>
      </c>
      <c r="F594" s="10" t="str">
        <v>PPL</v>
      </c>
      <c r="G594" s="10" t="str">
        <v>6102074803980002</v>
      </c>
      <c r="H594" s="10" t="str">
        <v>PENDATAAN</v>
      </c>
      <c r="I594" s="10" t="str">
        <v>HPJ24-LAPANGAN-SEPTEMBER-PPL-PENDATAAN</v>
      </c>
      <c r="J594" s="10" t="str">
        <v>Dokumen</v>
      </c>
      <c r="K594" s="66">
        <v>50000</v>
      </c>
      <c r="L594" s="10">
        <v>1</v>
      </c>
      <c r="M594" s="10">
        <v>50000</v>
      </c>
      <c r="N594" s="10">
        <v>0</v>
      </c>
      <c r="O594" s="67">
        <v>45555</v>
      </c>
      <c r="P594" s="10">
        <v>2024</v>
      </c>
      <c r="Q594" s="10">
        <v>9</v>
      </c>
      <c r="R594" s="10" t="str">
        <v>SURVEI-PPL</v>
      </c>
      <c r="S594" s="10" t="str">
        <v>610422100165-2024-9</v>
      </c>
      <c r="T594" s="10" t="str">
        <v>610422100165-2024-9-SURVEI-PPL</v>
      </c>
      <c r="U594" s="10">
        <v>0</v>
      </c>
      <c r="V594" s="10" t="e">
        <f ca="1"/>
        <v>#NAME?</v>
      </c>
      <c r="W594" s="67">
        <v>0</v>
      </c>
      <c r="X594" s="11" t="str">
        <v>Survei Harga Produsen Jasa (HPJ24) September</v>
      </c>
      <c r="Y594" s="11" t="str">
        <v>SUNGAI PINYUH</v>
      </c>
      <c r="Z594" s="11" t="str">
        <v>SUNGAI BAKAU BESAR LAUT</v>
      </c>
      <c r="AA594" s="67">
        <v>45535</v>
      </c>
      <c r="AB594" s="67">
        <v>45536</v>
      </c>
      <c r="AC594" s="67">
        <v>45565</v>
      </c>
      <c r="AD594" s="67">
        <v>45564</v>
      </c>
      <c r="AE594" s="67">
        <v>45565</v>
      </c>
    </row>
    <row r="595" spans="1:31" ht="12.5">
      <c r="A595" s="10">
        <v>610422040029</v>
      </c>
      <c r="B595" s="10" t="str">
        <v>VHTS24-LAPANGAN-SEPTEMBER</v>
      </c>
      <c r="C595" s="10">
        <v>0</v>
      </c>
      <c r="D595" s="10">
        <f ca="1"/>
        <v>1</v>
      </c>
      <c r="E595" s="10" t="str">
        <v>Zaini</v>
      </c>
      <c r="F595" s="10" t="str">
        <v>PPL</v>
      </c>
      <c r="G595" s="10" t="str">
        <v>6102010607870002</v>
      </c>
      <c r="H595" s="10" t="str">
        <v>PENDATAAN</v>
      </c>
      <c r="I595" s="10" t="str">
        <v>VHTS24-LAPANGAN-SEPTEMBER-PPL-PENDATAAN</v>
      </c>
      <c r="J595" s="10" t="str">
        <v>Dokumen</v>
      </c>
      <c r="K595" s="66">
        <v>55000</v>
      </c>
      <c r="L595" s="10">
        <v>3</v>
      </c>
      <c r="M595" s="10">
        <v>165000</v>
      </c>
      <c r="N595" s="10">
        <v>0</v>
      </c>
      <c r="O595" s="67">
        <v>45555</v>
      </c>
      <c r="P595" s="10">
        <v>2024</v>
      </c>
      <c r="Q595" s="10">
        <v>9</v>
      </c>
      <c r="R595" s="10" t="str">
        <v>SURVEI-PPL</v>
      </c>
      <c r="S595" s="10" t="str">
        <v>610422040029-2024-9</v>
      </c>
      <c r="T595" s="10" t="str">
        <v>610422040029-2024-9-SURVEI-PPL</v>
      </c>
      <c r="U595" s="10">
        <v>0</v>
      </c>
      <c r="V595" s="10" t="e">
        <f ca="1"/>
        <v>#NAME?</v>
      </c>
      <c r="W595" s="67">
        <v>0</v>
      </c>
      <c r="X595" s="11" t="str">
        <v>Survei Hotel dan Jasa Akomodasi Bulanan (VHTS) 2024 September</v>
      </c>
      <c r="Y595" s="11" t="str">
        <v>MEMPAWAH HILIR</v>
      </c>
      <c r="Z595" s="11" t="str">
        <v>TENGAH</v>
      </c>
      <c r="AA595" s="67">
        <v>45535</v>
      </c>
      <c r="AB595" s="67">
        <v>45536</v>
      </c>
      <c r="AC595" s="67">
        <v>45565</v>
      </c>
      <c r="AD595" s="67">
        <v>45564</v>
      </c>
      <c r="AE595" s="67">
        <v>45565</v>
      </c>
    </row>
    <row r="596" spans="1:31" ht="12.5">
      <c r="A596" s="10">
        <v>610422100165</v>
      </c>
      <c r="B596" s="10" t="str">
        <v>VHTS24-LAPANGAN-SEPTEMBER</v>
      </c>
      <c r="C596" s="10">
        <v>0</v>
      </c>
      <c r="D596" s="10">
        <f ca="1"/>
        <v>1</v>
      </c>
      <c r="E596" s="10" t="str">
        <v>Yanti</v>
      </c>
      <c r="F596" s="10" t="str">
        <v>PPL</v>
      </c>
      <c r="G596" s="10" t="str">
        <v>6102074803980002</v>
      </c>
      <c r="H596" s="10" t="str">
        <v>PENDATAAN</v>
      </c>
      <c r="I596" s="10" t="str">
        <v>VHTS24-LAPANGAN-SEPTEMBER-PPL-PENDATAAN</v>
      </c>
      <c r="J596" s="10" t="str">
        <v>Dokumen</v>
      </c>
      <c r="K596" s="66">
        <v>55000</v>
      </c>
      <c r="L596" s="10">
        <v>3</v>
      </c>
      <c r="M596" s="10">
        <v>165000</v>
      </c>
      <c r="N596" s="10">
        <v>0</v>
      </c>
      <c r="O596" s="67">
        <v>45555</v>
      </c>
      <c r="P596" s="10">
        <v>2024</v>
      </c>
      <c r="Q596" s="10">
        <v>9</v>
      </c>
      <c r="R596" s="10" t="str">
        <v>SURVEI-PPL</v>
      </c>
      <c r="S596" s="10" t="str">
        <v>610422100165-2024-9</v>
      </c>
      <c r="T596" s="10" t="str">
        <v>610422100165-2024-9-SURVEI-PPL</v>
      </c>
      <c r="U596" s="10">
        <v>0</v>
      </c>
      <c r="V596" s="10" t="e">
        <f ca="1"/>
        <v>#NAME?</v>
      </c>
      <c r="W596" s="67">
        <v>0</v>
      </c>
      <c r="X596" s="11" t="str">
        <v>Survei Hotel dan Jasa Akomodasi Bulanan (VHTS) 2024 September</v>
      </c>
      <c r="Y596" s="11" t="str">
        <v>SUNGAI PINYUH</v>
      </c>
      <c r="Z596" s="11" t="str">
        <v>SUNGAI BAKAU BESAR LAUT</v>
      </c>
      <c r="AA596" s="67">
        <v>45535</v>
      </c>
      <c r="AB596" s="67">
        <v>45536</v>
      </c>
      <c r="AC596" s="67">
        <v>45565</v>
      </c>
      <c r="AD596" s="67">
        <v>45564</v>
      </c>
      <c r="AE596" s="67">
        <v>45565</v>
      </c>
    </row>
    <row r="597" spans="1:31" ht="12.5">
      <c r="A597" s="10">
        <v>610422050001</v>
      </c>
      <c r="B597" s="10" t="str">
        <v>VHTS24-LAPANGAN-SEPTEMBER</v>
      </c>
      <c r="C597" s="10">
        <v>0</v>
      </c>
      <c r="D597" s="10">
        <f ca="1"/>
        <v>1</v>
      </c>
      <c r="E597" s="10" t="str">
        <v>Evi Juniarty</v>
      </c>
      <c r="F597" s="10" t="str">
        <v>PPL</v>
      </c>
      <c r="G597" s="10" t="str">
        <v>6102165101840001</v>
      </c>
      <c r="H597" s="10" t="str">
        <v>PENDATAAN</v>
      </c>
      <c r="I597" s="10" t="str">
        <v>VHTS24-LAPANGAN-SEPTEMBER-PPL-PENDATAAN</v>
      </c>
      <c r="J597" s="10" t="str">
        <v>Dokumen</v>
      </c>
      <c r="K597" s="66">
        <v>55000</v>
      </c>
      <c r="L597" s="10">
        <v>3</v>
      </c>
      <c r="M597" s="10">
        <v>165000</v>
      </c>
      <c r="N597" s="10">
        <v>0</v>
      </c>
      <c r="O597" s="67">
        <v>45555</v>
      </c>
      <c r="P597" s="10">
        <v>2024</v>
      </c>
      <c r="Q597" s="10">
        <v>9</v>
      </c>
      <c r="R597" s="10" t="str">
        <v>SURVEI-PPL</v>
      </c>
      <c r="S597" s="10" t="str">
        <v>610422050001-2024-9</v>
      </c>
      <c r="T597" s="10" t="str">
        <v>610422050001-2024-9-SURVEI-PPL</v>
      </c>
      <c r="U597" s="10">
        <v>0</v>
      </c>
      <c r="V597" s="10" t="e">
        <f ca="1"/>
        <v>#NAME?</v>
      </c>
      <c r="W597" s="67">
        <v>0</v>
      </c>
      <c r="X597" s="11" t="str">
        <v>Survei Hotel dan Jasa Akomodasi Bulanan (VHTS) 2024 September</v>
      </c>
      <c r="Y597" s="11" t="str">
        <v>ANJONGAN</v>
      </c>
      <c r="Z597" s="11" t="str">
        <v>ANJUNGAN MELANCAR</v>
      </c>
      <c r="AA597" s="67">
        <v>45535</v>
      </c>
      <c r="AB597" s="67">
        <v>45536</v>
      </c>
      <c r="AC597" s="67">
        <v>45565</v>
      </c>
      <c r="AD597" s="67">
        <v>45564</v>
      </c>
      <c r="AE597" s="67">
        <v>45565</v>
      </c>
    </row>
    <row r="598" spans="1:31" ht="12.5">
      <c r="A598" s="10">
        <v>610422040056</v>
      </c>
      <c r="B598" s="10" t="str">
        <v>VHTS24-LAPANGAN-SEPTEMBER</v>
      </c>
      <c r="C598" s="10">
        <v>0</v>
      </c>
      <c r="D598" s="10">
        <f ca="1"/>
        <v>1</v>
      </c>
      <c r="E598" s="10" t="str">
        <v>Wandi Syafari</v>
      </c>
      <c r="F598" s="10" t="str">
        <v>PPL</v>
      </c>
      <c r="G598" s="10" t="str">
        <v>6102010802760001</v>
      </c>
      <c r="H598" s="10" t="str">
        <v>PENDATAAN</v>
      </c>
      <c r="I598" s="10" t="str">
        <v>VHTS24-LAPANGAN-SEPTEMBER-PPL-PENDATAAN</v>
      </c>
      <c r="J598" s="10" t="str">
        <v>Dokumen</v>
      </c>
      <c r="K598" s="66">
        <v>55000</v>
      </c>
      <c r="L598" s="10">
        <v>2</v>
      </c>
      <c r="M598" s="10">
        <v>110000</v>
      </c>
      <c r="N598" s="10">
        <v>0</v>
      </c>
      <c r="O598" s="67">
        <v>45555</v>
      </c>
      <c r="P598" s="10">
        <v>2024</v>
      </c>
      <c r="Q598" s="10">
        <v>9</v>
      </c>
      <c r="R598" s="10" t="str">
        <v>SURVEI-PPL</v>
      </c>
      <c r="S598" s="10" t="str">
        <v>610422040056-2024-9</v>
      </c>
      <c r="T598" s="10" t="str">
        <v>610422040056-2024-9-SURVEI-PPL</v>
      </c>
      <c r="U598" s="10">
        <v>0</v>
      </c>
      <c r="V598" s="10" t="e">
        <f ca="1"/>
        <v>#NAME?</v>
      </c>
      <c r="W598" s="67">
        <v>0</v>
      </c>
      <c r="X598" s="11" t="str">
        <v>Survei Hotel dan Jasa Akomodasi Bulanan (VHTS) 2024 September</v>
      </c>
      <c r="Y598" s="11" t="str">
        <v>MEMPAWAH HILIR</v>
      </c>
      <c r="Z598" s="11" t="str">
        <v>TERUSAN</v>
      </c>
      <c r="AA598" s="67">
        <v>45535</v>
      </c>
      <c r="AB598" s="67">
        <v>45536</v>
      </c>
      <c r="AC598" s="67">
        <v>45565</v>
      </c>
      <c r="AD598" s="67">
        <v>45564</v>
      </c>
      <c r="AE598" s="67">
        <v>45565</v>
      </c>
    </row>
    <row r="599" spans="1:31" ht="12.5">
      <c r="A599" s="10">
        <v>610422100006</v>
      </c>
      <c r="B599" s="10" t="str">
        <v>SEEA24-LAPANGAN-TAHUNAN</v>
      </c>
      <c r="C599" s="10">
        <v>0</v>
      </c>
      <c r="D599" s="10">
        <f ca="1"/>
        <v>1</v>
      </c>
      <c r="E599" s="10" t="str">
        <v>Dandy</v>
      </c>
      <c r="F599" s="10">
        <v>0</v>
      </c>
      <c r="G599" s="10">
        <v>0</v>
      </c>
      <c r="H599" s="10" t="str">
        <v>PENDATAAN</v>
      </c>
      <c r="I599" s="10" t="str">
        <v>SEEA24-LAPANGAN-TAHUNAN-PPL-PENDATAAN</v>
      </c>
      <c r="J599" s="10" t="str">
        <v>Dokumen</v>
      </c>
      <c r="K599" s="66">
        <v>75000</v>
      </c>
      <c r="L599" s="10">
        <v>4</v>
      </c>
      <c r="M599" s="10">
        <v>300000</v>
      </c>
      <c r="N599" s="10">
        <v>0</v>
      </c>
      <c r="O599" s="67">
        <v>45535</v>
      </c>
      <c r="P599" s="10">
        <v>2024</v>
      </c>
      <c r="Q599" s="10">
        <v>8</v>
      </c>
      <c r="R599" s="10" t="str">
        <v>SURVEI-PPL</v>
      </c>
      <c r="S599" s="10" t="str">
        <v>610422100006-2024-8</v>
      </c>
      <c r="T599" s="10" t="str">
        <v>610422100006-2024-8-SURVEI-PPL</v>
      </c>
      <c r="U599" s="10">
        <v>0</v>
      </c>
      <c r="V599" s="10" t="e">
        <f ca="1"/>
        <v>#NAME?</v>
      </c>
      <c r="W599" s="67">
        <v>0</v>
      </c>
      <c r="X599" s="11" t="str">
        <v>(SEEA24) IN-DEPTH STUDY SYSTEM OF ENVIRONMENTAL ECONOMIC ACCOUNTING (SEEA) 2024</v>
      </c>
      <c r="Y599" s="11" t="str">
        <v>JONGKAT</v>
      </c>
      <c r="Z599" s="11" t="str">
        <v>PENITI LUAR</v>
      </c>
      <c r="AA599" s="67">
        <v>45504</v>
      </c>
      <c r="AB599" s="67">
        <v>45505</v>
      </c>
      <c r="AC599" s="67">
        <v>45535</v>
      </c>
      <c r="AD599" s="67">
        <v>45534</v>
      </c>
      <c r="AE599" s="67">
        <v>45535</v>
      </c>
    </row>
    <row r="600" spans="1:31" ht="12.5">
      <c r="A600" s="10">
        <v>610422020016</v>
      </c>
      <c r="B600" s="10" t="str">
        <v>KSA24-LAPANGAN-SEPTEMBER</v>
      </c>
      <c r="C600" s="10">
        <v>0</v>
      </c>
      <c r="D600" s="10">
        <f ca="1"/>
        <v>1</v>
      </c>
      <c r="E600" s="10" t="str">
        <v>Abdul Aziz</v>
      </c>
      <c r="F600" s="10" t="str">
        <v>PPL</v>
      </c>
      <c r="G600" s="10" t="str">
        <v>6102061507950006</v>
      </c>
      <c r="H600" s="10" t="str">
        <v>KSA PADI</v>
      </c>
      <c r="I600" s="10" t="str">
        <v>KSA24-LAPANGAN-SEPTEMBER-PPL-KSA PADI</v>
      </c>
      <c r="J600" s="10" t="str">
        <v>Segmen</v>
      </c>
      <c r="K600" s="66">
        <v>116000</v>
      </c>
      <c r="L600" s="10">
        <v>3</v>
      </c>
      <c r="M600" s="10">
        <v>348000</v>
      </c>
      <c r="N600" s="10">
        <v>0</v>
      </c>
      <c r="O600" s="67">
        <v>45565</v>
      </c>
      <c r="P600" s="10">
        <v>2024</v>
      </c>
      <c r="Q600" s="10">
        <v>9</v>
      </c>
      <c r="R600" s="10" t="str">
        <v>SURVEI-PPL</v>
      </c>
      <c r="S600" s="10" t="str">
        <v>610422020016-2024-9</v>
      </c>
      <c r="T600" s="10" t="str">
        <v>610422020016-2024-9-SURVEI-PPL</v>
      </c>
      <c r="U600" s="10">
        <v>0</v>
      </c>
      <c r="V600" s="10" t="e">
        <f ca="1"/>
        <v>#NAME?</v>
      </c>
      <c r="W600" s="67">
        <v>0</v>
      </c>
      <c r="X600" s="11" t="str">
        <v>Kerangka Sampel Area (KSA) 2024 September</v>
      </c>
      <c r="Y600" s="11" t="str">
        <v>TOHO</v>
      </c>
      <c r="Z600" s="11" t="str">
        <v>SAMBORA</v>
      </c>
      <c r="AA600" s="67">
        <v>45535</v>
      </c>
      <c r="AB600" s="67">
        <v>45536</v>
      </c>
      <c r="AC600" s="67">
        <v>45565</v>
      </c>
      <c r="AD600" s="67">
        <v>45564</v>
      </c>
      <c r="AE600" s="67">
        <v>45565</v>
      </c>
    </row>
    <row r="601" spans="1:31" ht="12.5">
      <c r="A601" s="10">
        <v>610422040012</v>
      </c>
      <c r="B601" s="10" t="str">
        <v>KSA24-LAPANGAN-SEPTEMBER</v>
      </c>
      <c r="C601" s="10">
        <v>0</v>
      </c>
      <c r="D601" s="10">
        <f ca="1"/>
        <v>1</v>
      </c>
      <c r="E601" s="10" t="str">
        <v>Misdi</v>
      </c>
      <c r="F601" s="10" t="str">
        <v>PPL</v>
      </c>
      <c r="G601" s="10" t="str">
        <v>6102070706940001</v>
      </c>
      <c r="H601" s="10" t="str">
        <v>KSA PADI</v>
      </c>
      <c r="I601" s="10" t="str">
        <v>KSA24-LAPANGAN-SEPTEMBER-PPL-KSA PADI</v>
      </c>
      <c r="J601" s="10" t="str">
        <v>Segmen</v>
      </c>
      <c r="K601" s="66">
        <v>116000</v>
      </c>
      <c r="L601" s="10">
        <v>3</v>
      </c>
      <c r="M601" s="10">
        <v>348000</v>
      </c>
      <c r="N601" s="10">
        <v>0</v>
      </c>
      <c r="O601" s="67">
        <v>45565</v>
      </c>
      <c r="P601" s="10">
        <v>2024</v>
      </c>
      <c r="Q601" s="10">
        <v>9</v>
      </c>
      <c r="R601" s="10" t="str">
        <v>SURVEI-PPL</v>
      </c>
      <c r="S601" s="10" t="str">
        <v>610422040012-2024-9</v>
      </c>
      <c r="T601" s="10" t="str">
        <v>610422040012-2024-9-SURVEI-PPL</v>
      </c>
      <c r="U601" s="10">
        <v>0</v>
      </c>
      <c r="V601" s="10" t="e">
        <f ca="1"/>
        <v>#NAME?</v>
      </c>
      <c r="W601" s="67">
        <v>0</v>
      </c>
      <c r="X601" s="11" t="str">
        <v>Kerangka Sampel Area (KSA) 2024 September</v>
      </c>
      <c r="Y601" s="11" t="str">
        <v>SUNGAI PINYUH</v>
      </c>
      <c r="Z601" s="11" t="str">
        <v>SUNGAI BAKAU BESAR DARAT</v>
      </c>
      <c r="AA601" s="67">
        <v>45535</v>
      </c>
      <c r="AB601" s="67">
        <v>45536</v>
      </c>
      <c r="AC601" s="67">
        <v>45565</v>
      </c>
      <c r="AD601" s="67">
        <v>45564</v>
      </c>
      <c r="AE601" s="67">
        <v>45565</v>
      </c>
    </row>
    <row r="602" spans="1:31" ht="12.5">
      <c r="A602" s="10">
        <v>610422040059</v>
      </c>
      <c r="B602" s="10" t="str">
        <v>KSA24-LAPANGAN-SEPTEMBER</v>
      </c>
      <c r="C602" s="10">
        <v>0</v>
      </c>
      <c r="D602" s="10">
        <f ca="1"/>
        <v>1</v>
      </c>
      <c r="E602" s="10" t="str">
        <v>Abang Handri</v>
      </c>
      <c r="F602" s="10" t="str">
        <v>PPL</v>
      </c>
      <c r="G602" s="10" t="str">
        <v>6102072211780002</v>
      </c>
      <c r="H602" s="10" t="str">
        <v>KSA PADI</v>
      </c>
      <c r="I602" s="10" t="str">
        <v>KSA24-LAPANGAN-SEPTEMBER-PPL-KSA PADI</v>
      </c>
      <c r="J602" s="10" t="str">
        <v>Segmen</v>
      </c>
      <c r="K602" s="66">
        <v>116000</v>
      </c>
      <c r="L602" s="10">
        <v>4</v>
      </c>
      <c r="M602" s="10">
        <v>464000</v>
      </c>
      <c r="N602" s="10">
        <v>0</v>
      </c>
      <c r="O602" s="67">
        <v>45565</v>
      </c>
      <c r="P602" s="10">
        <v>2024</v>
      </c>
      <c r="Q602" s="10">
        <v>9</v>
      </c>
      <c r="R602" s="10" t="str">
        <v>SURVEI-PPL</v>
      </c>
      <c r="S602" s="10" t="str">
        <v>610422040059-2024-9</v>
      </c>
      <c r="T602" s="10" t="str">
        <v>610422040059-2024-9-SURVEI-PPL</v>
      </c>
      <c r="U602" s="10">
        <v>0</v>
      </c>
      <c r="V602" s="10" t="e">
        <f ca="1"/>
        <v>#NAME?</v>
      </c>
      <c r="W602" s="67">
        <v>0</v>
      </c>
      <c r="X602" s="11" t="str">
        <v>Kerangka Sampel Area (KSA) 2024 September</v>
      </c>
      <c r="Y602" s="11" t="str">
        <v>MEMPAWAH HILIR</v>
      </c>
      <c r="Z602" s="11" t="str">
        <v>TERUSAN</v>
      </c>
      <c r="AA602" s="67">
        <v>45535</v>
      </c>
      <c r="AB602" s="67">
        <v>45536</v>
      </c>
      <c r="AC602" s="67">
        <v>45565</v>
      </c>
      <c r="AD602" s="67">
        <v>45564</v>
      </c>
      <c r="AE602" s="67">
        <v>45565</v>
      </c>
    </row>
    <row r="603" spans="1:31" ht="12.5">
      <c r="A603" s="10">
        <v>610422040061</v>
      </c>
      <c r="B603" s="10" t="str">
        <v>KSA24-LAPANGAN-SEPTEMBER</v>
      </c>
      <c r="C603" s="10">
        <v>0</v>
      </c>
      <c r="D603" s="10">
        <f ca="1"/>
        <v>1</v>
      </c>
      <c r="E603" s="10" t="str">
        <v>Sabani</v>
      </c>
      <c r="F603" s="10" t="str">
        <v>PPL</v>
      </c>
      <c r="G603" s="10" t="str">
        <v>6102153112860003</v>
      </c>
      <c r="H603" s="10" t="str">
        <v>KSA PADI</v>
      </c>
      <c r="I603" s="10" t="str">
        <v>KSA24-LAPANGAN-SEPTEMBER-PPL-KSA PADI</v>
      </c>
      <c r="J603" s="10" t="str">
        <v>Segmen</v>
      </c>
      <c r="K603" s="66">
        <v>116000</v>
      </c>
      <c r="L603" s="10">
        <v>3</v>
      </c>
      <c r="M603" s="10">
        <v>348000</v>
      </c>
      <c r="N603" s="10">
        <v>0</v>
      </c>
      <c r="O603" s="67">
        <v>45565</v>
      </c>
      <c r="P603" s="10">
        <v>2024</v>
      </c>
      <c r="Q603" s="10">
        <v>9</v>
      </c>
      <c r="R603" s="10" t="str">
        <v>SURVEI-PPL</v>
      </c>
      <c r="S603" s="10" t="str">
        <v>610422040061-2024-9</v>
      </c>
      <c r="T603" s="10" t="str">
        <v>610422040061-2024-9-SURVEI-PPL</v>
      </c>
      <c r="U603" s="10">
        <v>0</v>
      </c>
      <c r="V603" s="10" t="e">
        <f ca="1"/>
        <v>#NAME?</v>
      </c>
      <c r="W603" s="67">
        <v>0</v>
      </c>
      <c r="X603" s="11" t="str">
        <v>Kerangka Sampel Area (KSA) 2024 September</v>
      </c>
      <c r="Y603" s="11" t="str">
        <v>SEGEDONG</v>
      </c>
      <c r="Z603" s="11" t="str">
        <v>PENITI BESAR</v>
      </c>
      <c r="AA603" s="67">
        <v>45535</v>
      </c>
      <c r="AB603" s="67">
        <v>45536</v>
      </c>
      <c r="AC603" s="67">
        <v>45565</v>
      </c>
      <c r="AD603" s="67">
        <v>45564</v>
      </c>
      <c r="AE603" s="67">
        <v>45565</v>
      </c>
    </row>
    <row r="604" spans="1:31" ht="12.5">
      <c r="A604" s="10">
        <v>610422100131</v>
      </c>
      <c r="B604" s="10" t="str">
        <v>KSA24-LAPANGAN-SEPTEMBER</v>
      </c>
      <c r="C604" s="10">
        <v>0</v>
      </c>
      <c r="D604" s="10">
        <f ca="1"/>
        <v>1</v>
      </c>
      <c r="E604" s="10" t="str">
        <v>Syamsul</v>
      </c>
      <c r="F604" s="10" t="str">
        <v>PPL</v>
      </c>
      <c r="G604" s="10" t="str">
        <v>6102150907860003</v>
      </c>
      <c r="H604" s="10" t="str">
        <v>KSA PADI</v>
      </c>
      <c r="I604" s="10" t="str">
        <v>KSA24-LAPANGAN-SEPTEMBER-PPL-KSA PADI</v>
      </c>
      <c r="J604" s="10" t="str">
        <v>Segmen</v>
      </c>
      <c r="K604" s="66">
        <v>116000</v>
      </c>
      <c r="L604" s="10">
        <v>3</v>
      </c>
      <c r="M604" s="10">
        <v>348000</v>
      </c>
      <c r="N604" s="10">
        <v>0</v>
      </c>
      <c r="O604" s="67">
        <v>45565</v>
      </c>
      <c r="P604" s="10">
        <v>2024</v>
      </c>
      <c r="Q604" s="10">
        <v>9</v>
      </c>
      <c r="R604" s="10" t="str">
        <v>SURVEI-PPL</v>
      </c>
      <c r="S604" s="10" t="str">
        <v>610422100131-2024-9</v>
      </c>
      <c r="T604" s="10" t="str">
        <v>610422100131-2024-9-SURVEI-PPL</v>
      </c>
      <c r="U604" s="10">
        <v>0</v>
      </c>
      <c r="V604" s="10" t="e">
        <f ca="1"/>
        <v>#NAME?</v>
      </c>
      <c r="W604" s="67">
        <v>0</v>
      </c>
      <c r="X604" s="11" t="str">
        <v>Kerangka Sampel Area (KSA) 2024 September</v>
      </c>
      <c r="Y604" s="11" t="str">
        <v>SUNGAI KUNYIT</v>
      </c>
      <c r="Z604" s="11" t="str">
        <v>SUNGAI KUNYIT LAUT</v>
      </c>
      <c r="AA604" s="67">
        <v>45535</v>
      </c>
      <c r="AB604" s="67">
        <v>45536</v>
      </c>
      <c r="AC604" s="67">
        <v>45565</v>
      </c>
      <c r="AD604" s="67">
        <v>45564</v>
      </c>
      <c r="AE604" s="67">
        <v>45565</v>
      </c>
    </row>
    <row r="605" spans="1:31" ht="12.5">
      <c r="A605" s="10">
        <v>610422100244</v>
      </c>
      <c r="B605" s="10" t="str">
        <v>KSA24-LAPANGAN-SEPTEMBER</v>
      </c>
      <c r="C605" s="10">
        <v>0</v>
      </c>
      <c r="D605" s="10">
        <f ca="1"/>
        <v>1</v>
      </c>
      <c r="E605" s="10" t="str">
        <v>Sugianto</v>
      </c>
      <c r="F605" s="10" t="str">
        <v>PPL</v>
      </c>
      <c r="G605" s="10" t="str">
        <v>6102171003900002</v>
      </c>
      <c r="H605" s="10" t="str">
        <v>KSA PADI</v>
      </c>
      <c r="I605" s="10" t="str">
        <v>KSA24-LAPANGAN-SEPTEMBER-PPL-KSA PADI</v>
      </c>
      <c r="J605" s="10" t="str">
        <v>Segmen</v>
      </c>
      <c r="K605" s="66">
        <v>116000</v>
      </c>
      <c r="L605" s="10">
        <v>3</v>
      </c>
      <c r="M605" s="10">
        <v>348000</v>
      </c>
      <c r="N605" s="10">
        <v>0</v>
      </c>
      <c r="O605" s="67">
        <v>45565</v>
      </c>
      <c r="P605" s="10">
        <v>2024</v>
      </c>
      <c r="Q605" s="10">
        <v>9</v>
      </c>
      <c r="R605" s="10" t="str">
        <v>SURVEI-PPL</v>
      </c>
      <c r="S605" s="10" t="str">
        <v>610422100244-2024-9</v>
      </c>
      <c r="T605" s="10" t="str">
        <v>610422100244-2024-9-SURVEI-PPL</v>
      </c>
      <c r="U605" s="10">
        <v>0</v>
      </c>
      <c r="V605" s="10" t="e">
        <f ca="1"/>
        <v>#NAME?</v>
      </c>
      <c r="W605" s="67">
        <v>0</v>
      </c>
      <c r="X605" s="11" t="str">
        <v>Kerangka Sampel Area (KSA) 2024 September</v>
      </c>
      <c r="Y605" s="11" t="str">
        <v>SADANIANG</v>
      </c>
      <c r="Z605" s="11" t="str">
        <v>BUMBUN</v>
      </c>
      <c r="AA605" s="67">
        <v>45535</v>
      </c>
      <c r="AB605" s="67">
        <v>45536</v>
      </c>
      <c r="AC605" s="67">
        <v>45565</v>
      </c>
      <c r="AD605" s="67">
        <v>45564</v>
      </c>
      <c r="AE605" s="67">
        <v>45565</v>
      </c>
    </row>
    <row r="606" spans="1:31" ht="12.5">
      <c r="A606" s="10">
        <v>610422100176</v>
      </c>
      <c r="B606" s="10" t="str">
        <v>KSA24-LAPANGAN-SEPTEMBER</v>
      </c>
      <c r="C606" s="10">
        <v>0</v>
      </c>
      <c r="D606" s="10">
        <f ca="1"/>
        <v>1</v>
      </c>
      <c r="E606" s="10" t="str">
        <v>Feri Firdaus</v>
      </c>
      <c r="F606" s="10" t="str">
        <v>PPL</v>
      </c>
      <c r="G606" s="10" t="str">
        <v>6102150412880001</v>
      </c>
      <c r="H606" s="10" t="str">
        <v>KSA PADI</v>
      </c>
      <c r="I606" s="10" t="str">
        <v>KSA24-LAPANGAN-SEPTEMBER-PPL-KSA PADI</v>
      </c>
      <c r="J606" s="10" t="str">
        <v>Segmen</v>
      </c>
      <c r="K606" s="66">
        <v>116000</v>
      </c>
      <c r="L606" s="10">
        <v>3</v>
      </c>
      <c r="M606" s="10">
        <v>348000</v>
      </c>
      <c r="N606" s="10">
        <v>0</v>
      </c>
      <c r="O606" s="67">
        <v>45565</v>
      </c>
      <c r="P606" s="10">
        <v>2024</v>
      </c>
      <c r="Q606" s="10">
        <v>9</v>
      </c>
      <c r="R606" s="10" t="str">
        <v>SURVEI-PPL</v>
      </c>
      <c r="S606" s="10" t="str">
        <v>610422100176-2024-9</v>
      </c>
      <c r="T606" s="10" t="str">
        <v>610422100176-2024-9-SURVEI-PPL</v>
      </c>
      <c r="U606" s="10">
        <v>0</v>
      </c>
      <c r="V606" s="10" t="e">
        <f ca="1"/>
        <v>#NAME?</v>
      </c>
      <c r="W606" s="67">
        <v>0</v>
      </c>
      <c r="X606" s="11" t="str">
        <v>Kerangka Sampel Area (KSA) 2024 September</v>
      </c>
      <c r="Y606" s="11" t="str">
        <v>SEGEDONG</v>
      </c>
      <c r="Z606" s="11" t="str">
        <v>SUNGAI BURUNG</v>
      </c>
      <c r="AA606" s="67">
        <v>45535</v>
      </c>
      <c r="AB606" s="67">
        <v>45536</v>
      </c>
      <c r="AC606" s="67">
        <v>45565</v>
      </c>
      <c r="AD606" s="67">
        <v>45564</v>
      </c>
      <c r="AE606" s="67">
        <v>45565</v>
      </c>
    </row>
    <row r="607" spans="1:31" ht="12.5">
      <c r="A607" s="10">
        <v>610423110183</v>
      </c>
      <c r="B607" s="10" t="str">
        <v>KSA24-LAPANGAN-SEPTEMBER</v>
      </c>
      <c r="C607" s="10">
        <v>0</v>
      </c>
      <c r="D607" s="10">
        <f ca="1"/>
        <v>1</v>
      </c>
      <c r="E607" s="10" t="str">
        <v>Azhar</v>
      </c>
      <c r="F607" s="10" t="str">
        <v>PPL</v>
      </c>
      <c r="G607" s="10" t="str">
        <v>6102081211790004</v>
      </c>
      <c r="H607" s="10" t="str">
        <v>KSA PADI</v>
      </c>
      <c r="I607" s="10" t="str">
        <v>KSA24-LAPANGAN-SEPTEMBER-PPL-KSA PADI</v>
      </c>
      <c r="J607" s="10" t="str">
        <v>Segmen</v>
      </c>
      <c r="K607" s="66">
        <v>116000</v>
      </c>
      <c r="L607" s="10">
        <v>6</v>
      </c>
      <c r="M607" s="10">
        <v>696000</v>
      </c>
      <c r="N607" s="10">
        <v>0</v>
      </c>
      <c r="O607" s="67">
        <v>45565</v>
      </c>
      <c r="P607" s="10">
        <v>2024</v>
      </c>
      <c r="Q607" s="10">
        <v>9</v>
      </c>
      <c r="R607" s="10" t="str">
        <v>SURVEI-PPL</v>
      </c>
      <c r="S607" s="10" t="str">
        <v>610423110183-2024-9</v>
      </c>
      <c r="T607" s="10" t="str">
        <v>610423110183-2024-9-SURVEI-PPL</v>
      </c>
      <c r="U607" s="10">
        <v>0</v>
      </c>
      <c r="V607" s="10" t="e">
        <f ca="1"/>
        <v>#NAME?</v>
      </c>
      <c r="W607" s="67">
        <v>0</v>
      </c>
      <c r="X607" s="11" t="str">
        <v>Kerangka Sampel Area (KSA) 2024 September</v>
      </c>
      <c r="Y607" s="11" t="str">
        <v>JONGKAT</v>
      </c>
      <c r="Z607" s="11" t="str">
        <v>SUNGAI NIPAH</v>
      </c>
      <c r="AA607" s="67">
        <v>45535</v>
      </c>
      <c r="AB607" s="67">
        <v>45536</v>
      </c>
      <c r="AC607" s="67">
        <v>45565</v>
      </c>
      <c r="AD607" s="67">
        <v>45564</v>
      </c>
      <c r="AE607" s="67">
        <v>45565</v>
      </c>
    </row>
    <row r="608" spans="1:31" ht="12.5">
      <c r="A608" s="10">
        <v>610423040018</v>
      </c>
      <c r="B608" s="10" t="str">
        <v>KSA24-LAPANGAN-SEPTEMBER</v>
      </c>
      <c r="C608" s="10">
        <v>0</v>
      </c>
      <c r="D608" s="10">
        <f ca="1"/>
        <v>1</v>
      </c>
      <c r="E608" s="10" t="str">
        <v>Handoko Tuah Sabarman Sipayung</v>
      </c>
      <c r="F608" s="10" t="str">
        <v>PPL</v>
      </c>
      <c r="G608" s="10" t="str">
        <v>1212092309880001</v>
      </c>
      <c r="H608" s="10" t="str">
        <v>KSA PADI</v>
      </c>
      <c r="I608" s="10" t="str">
        <v>KSA24-LAPANGAN-SEPTEMBER-PPL-KSA PADI</v>
      </c>
      <c r="J608" s="10" t="str">
        <v>Segmen</v>
      </c>
      <c r="K608" s="66">
        <v>116000</v>
      </c>
      <c r="L608" s="10">
        <v>4</v>
      </c>
      <c r="M608" s="10">
        <v>464000</v>
      </c>
      <c r="N608" s="10">
        <v>0</v>
      </c>
      <c r="O608" s="67">
        <v>45565</v>
      </c>
      <c r="P608" s="10">
        <v>2024</v>
      </c>
      <c r="Q608" s="10">
        <v>9</v>
      </c>
      <c r="R608" s="10" t="str">
        <v>SURVEI-PPL</v>
      </c>
      <c r="S608" s="10" t="str">
        <v>610423040018-2024-9</v>
      </c>
      <c r="T608" s="10" t="str">
        <v>610423040018-2024-9-SURVEI-PPL</v>
      </c>
      <c r="U608" s="10">
        <v>0</v>
      </c>
      <c r="V608" s="10" t="e">
        <f ca="1"/>
        <v>#NAME?</v>
      </c>
      <c r="W608" s="67">
        <v>0</v>
      </c>
      <c r="X608" s="11" t="str">
        <v>Kerangka Sampel Area (KSA) 2024 September</v>
      </c>
      <c r="Y608" s="11" t="str">
        <v>TOHO</v>
      </c>
      <c r="Z608" s="11" t="str">
        <v>PAK LAHENG</v>
      </c>
      <c r="AA608" s="67">
        <v>45535</v>
      </c>
      <c r="AB608" s="67">
        <v>45536</v>
      </c>
      <c r="AC608" s="67">
        <v>45565</v>
      </c>
      <c r="AD608" s="67">
        <v>45564</v>
      </c>
      <c r="AE608" s="67">
        <v>45565</v>
      </c>
    </row>
    <row r="609" spans="1:31" ht="12.5">
      <c r="A609" s="10">
        <v>610422040059</v>
      </c>
      <c r="B609" s="10" t="str">
        <v>KSA24-LAPANGAN-SEPTEMBER</v>
      </c>
      <c r="C609" s="10">
        <v>0</v>
      </c>
      <c r="D609" s="10">
        <f ca="1"/>
        <v>1</v>
      </c>
      <c r="E609" s="10" t="str">
        <v>Abang Handri</v>
      </c>
      <c r="F609" s="10" t="str">
        <v>PPL</v>
      </c>
      <c r="G609" s="10" t="str">
        <v>6102072211780002</v>
      </c>
      <c r="H609" s="10" t="str">
        <v>KSA JAGUNG</v>
      </c>
      <c r="I609" s="10" t="str">
        <v>KSA24-LAPANGAN-SEPTEMBER-PPL-KSA JAGUNG</v>
      </c>
      <c r="J609" s="10" t="str">
        <v>Segmen</v>
      </c>
      <c r="K609" s="66">
        <v>59000</v>
      </c>
      <c r="L609" s="10">
        <v>6</v>
      </c>
      <c r="M609" s="10">
        <v>354000</v>
      </c>
      <c r="N609" s="10">
        <v>0</v>
      </c>
      <c r="O609" s="67">
        <v>45565</v>
      </c>
      <c r="P609" s="10">
        <v>2024</v>
      </c>
      <c r="Q609" s="10">
        <v>9</v>
      </c>
      <c r="R609" s="10" t="str">
        <v>SURVEI-PPL</v>
      </c>
      <c r="S609" s="10" t="str">
        <v>610422040059-2024-9</v>
      </c>
      <c r="T609" s="10" t="str">
        <v>610422040059-2024-9-SURVEI-PPL</v>
      </c>
      <c r="U609" s="10">
        <v>0</v>
      </c>
      <c r="V609" s="10" t="e">
        <f ca="1"/>
        <v>#NAME?</v>
      </c>
      <c r="W609" s="67">
        <v>0</v>
      </c>
      <c r="X609" s="11" t="str">
        <v>Kerangka Sampel Area (KSA) 2024 September</v>
      </c>
      <c r="Y609" s="11" t="str">
        <v>MEMPAWAH HILIR</v>
      </c>
      <c r="Z609" s="11" t="str">
        <v>TERUSAN</v>
      </c>
      <c r="AA609" s="67">
        <v>45535</v>
      </c>
      <c r="AB609" s="67">
        <v>45536</v>
      </c>
      <c r="AC609" s="67">
        <v>45565</v>
      </c>
      <c r="AD609" s="67">
        <v>45564</v>
      </c>
      <c r="AE609" s="67">
        <v>45565</v>
      </c>
    </row>
    <row r="610" spans="1:31" ht="12.5">
      <c r="A610" s="10">
        <v>610422020048</v>
      </c>
      <c r="B610" s="10" t="str">
        <v>KSA24-LAPANGAN-SEPTEMBER</v>
      </c>
      <c r="C610" s="10">
        <v>0</v>
      </c>
      <c r="D610" s="10">
        <f ca="1"/>
        <v>1</v>
      </c>
      <c r="E610" s="10" t="str">
        <v>Herri Gustaman</v>
      </c>
      <c r="F610" s="10" t="str">
        <v>PPL</v>
      </c>
      <c r="G610" s="10" t="str">
        <v>6102072503800001</v>
      </c>
      <c r="H610" s="10" t="str">
        <v>KSA JAGUNG</v>
      </c>
      <c r="I610" s="10" t="str">
        <v>KSA24-LAPANGAN-SEPTEMBER-PPL-KSA JAGUNG</v>
      </c>
      <c r="J610" s="10" t="str">
        <v>Segmen</v>
      </c>
      <c r="K610" s="66">
        <v>59000</v>
      </c>
      <c r="L610" s="10">
        <v>6</v>
      </c>
      <c r="M610" s="10">
        <v>354000</v>
      </c>
      <c r="N610" s="10">
        <v>0</v>
      </c>
      <c r="O610" s="67">
        <v>45565</v>
      </c>
      <c r="P610" s="10">
        <v>2024</v>
      </c>
      <c r="Q610" s="10">
        <v>9</v>
      </c>
      <c r="R610" s="10" t="str">
        <v>SURVEI-PPL</v>
      </c>
      <c r="S610" s="10" t="str">
        <v>610422020048-2024-9</v>
      </c>
      <c r="T610" s="10" t="str">
        <v>610422020048-2024-9-SURVEI-PPL</v>
      </c>
      <c r="U610" s="10">
        <v>0</v>
      </c>
      <c r="V610" s="10" t="e">
        <f ca="1"/>
        <v>#NAME?</v>
      </c>
      <c r="W610" s="67">
        <v>0</v>
      </c>
      <c r="X610" s="11" t="str">
        <v>Kerangka Sampel Area (KSA) 2024 September</v>
      </c>
      <c r="Y610" s="11" t="str">
        <v>MEMPAWAH TIMUR</v>
      </c>
      <c r="Z610" s="11" t="str">
        <v>SEJEGI</v>
      </c>
      <c r="AA610" s="67">
        <v>45535</v>
      </c>
      <c r="AB610" s="67">
        <v>45536</v>
      </c>
      <c r="AC610" s="67">
        <v>45565</v>
      </c>
      <c r="AD610" s="67">
        <v>45564</v>
      </c>
      <c r="AE610" s="67">
        <v>45565</v>
      </c>
    </row>
    <row r="611" spans="1:31" ht="12.5">
      <c r="A611" s="10">
        <v>610422040058</v>
      </c>
      <c r="B611" s="10" t="str">
        <v>KSA24-LAPANGAN-SEPTEMBER</v>
      </c>
      <c r="C611" s="10">
        <v>0</v>
      </c>
      <c r="D611" s="10">
        <f ca="1"/>
        <v>1</v>
      </c>
      <c r="E611" s="10" t="str">
        <v>Jamaluddin, Sp</v>
      </c>
      <c r="F611" s="10" t="str">
        <v>PPL</v>
      </c>
      <c r="G611" s="10" t="str">
        <v>6102152607940002</v>
      </c>
      <c r="H611" s="10" t="str">
        <v>KSA JAGUNG</v>
      </c>
      <c r="I611" s="10" t="str">
        <v>KSA24-LAPANGAN-SEPTEMBER-PPL-KSA JAGUNG</v>
      </c>
      <c r="J611" s="10" t="str">
        <v>Segmen</v>
      </c>
      <c r="K611" s="66">
        <v>59000</v>
      </c>
      <c r="L611" s="10">
        <v>10</v>
      </c>
      <c r="M611" s="10">
        <v>590000</v>
      </c>
      <c r="N611" s="10">
        <v>0</v>
      </c>
      <c r="O611" s="67">
        <v>45565</v>
      </c>
      <c r="P611" s="10">
        <v>2024</v>
      </c>
      <c r="Q611" s="10">
        <v>9</v>
      </c>
      <c r="R611" s="10" t="str">
        <v>SURVEI-PPL</v>
      </c>
      <c r="S611" s="10" t="str">
        <v>610422040058-2024-9</v>
      </c>
      <c r="T611" s="10" t="str">
        <v>610422040058-2024-9-SURVEI-PPL</v>
      </c>
      <c r="U611" s="10">
        <v>0</v>
      </c>
      <c r="V611" s="10" t="e">
        <f ca="1"/>
        <v>#NAME?</v>
      </c>
      <c r="W611" s="67">
        <v>0</v>
      </c>
      <c r="X611" s="11" t="str">
        <v>Kerangka Sampel Area (KSA) 2024 September</v>
      </c>
      <c r="Y611" s="11" t="str">
        <v>SEGEDONG</v>
      </c>
      <c r="Z611" s="11" t="str">
        <v>PENITI DALAM I</v>
      </c>
      <c r="AA611" s="67">
        <v>45535</v>
      </c>
      <c r="AB611" s="67">
        <v>45536</v>
      </c>
      <c r="AC611" s="67">
        <v>45565</v>
      </c>
      <c r="AD611" s="67">
        <v>45564</v>
      </c>
      <c r="AE611" s="67">
        <v>45565</v>
      </c>
    </row>
    <row r="612" spans="1:31" ht="12.5">
      <c r="A612" s="10">
        <v>610423110183</v>
      </c>
      <c r="B612" s="10" t="str">
        <v>KSA24-LAPANGAN-SEPTEMBER</v>
      </c>
      <c r="C612" s="10">
        <v>0</v>
      </c>
      <c r="D612" s="10">
        <f ca="1"/>
        <v>1</v>
      </c>
      <c r="E612" s="10" t="str">
        <v>Azhar</v>
      </c>
      <c r="F612" s="10" t="str">
        <v>PPL</v>
      </c>
      <c r="G612" s="10" t="str">
        <v>6102081211790004</v>
      </c>
      <c r="H612" s="10" t="str">
        <v>KSA JAGUNG</v>
      </c>
      <c r="I612" s="10" t="str">
        <v>KSA24-LAPANGAN-SEPTEMBER-PPL-KSA JAGUNG</v>
      </c>
      <c r="J612" s="10" t="str">
        <v>Segmen</v>
      </c>
      <c r="K612" s="66">
        <v>59000</v>
      </c>
      <c r="L612" s="10">
        <v>6</v>
      </c>
      <c r="M612" s="10">
        <v>354000</v>
      </c>
      <c r="N612" s="10">
        <v>0</v>
      </c>
      <c r="O612" s="67">
        <v>45565</v>
      </c>
      <c r="P612" s="10">
        <v>2024</v>
      </c>
      <c r="Q612" s="10">
        <v>9</v>
      </c>
      <c r="R612" s="10" t="str">
        <v>SURVEI-PPL</v>
      </c>
      <c r="S612" s="10" t="str">
        <v>610423110183-2024-9</v>
      </c>
      <c r="T612" s="10" t="str">
        <v>610423110183-2024-9-SURVEI-PPL</v>
      </c>
      <c r="U612" s="10">
        <v>0</v>
      </c>
      <c r="V612" s="10" t="e">
        <f ca="1"/>
        <v>#NAME?</v>
      </c>
      <c r="W612" s="67">
        <v>0</v>
      </c>
      <c r="X612" s="11" t="str">
        <v>Kerangka Sampel Area (KSA) 2024 September</v>
      </c>
      <c r="Y612" s="11" t="str">
        <v>JONGKAT</v>
      </c>
      <c r="Z612" s="11" t="str">
        <v>SUNGAI NIPAH</v>
      </c>
      <c r="AA612" s="67">
        <v>45535</v>
      </c>
      <c r="AB612" s="67">
        <v>45536</v>
      </c>
      <c r="AC612" s="67">
        <v>45565</v>
      </c>
      <c r="AD612" s="67">
        <v>45564</v>
      </c>
      <c r="AE612" s="67">
        <v>45565</v>
      </c>
    </row>
    <row r="613" spans="1:31" ht="12.5">
      <c r="A613" s="10">
        <v>610422100244</v>
      </c>
      <c r="B613" s="10" t="str">
        <v>KSA24-LAPANGAN-SEPTEMBER</v>
      </c>
      <c r="C613" s="10">
        <v>0</v>
      </c>
      <c r="D613" s="10">
        <f ca="1"/>
        <v>1</v>
      </c>
      <c r="E613" s="10" t="str">
        <v>Sugianto</v>
      </c>
      <c r="F613" s="10" t="str">
        <v>PPL</v>
      </c>
      <c r="G613" s="10" t="str">
        <v>6102171003900002</v>
      </c>
      <c r="H613" s="10" t="str">
        <v>KSA JAGUNG</v>
      </c>
      <c r="I613" s="10" t="str">
        <v>KSA24-LAPANGAN-SEPTEMBER-PPL-KSA JAGUNG</v>
      </c>
      <c r="J613" s="10" t="str">
        <v>Segmen</v>
      </c>
      <c r="K613" s="66">
        <v>59000</v>
      </c>
      <c r="L613" s="10">
        <v>8</v>
      </c>
      <c r="M613" s="10">
        <v>472000</v>
      </c>
      <c r="N613" s="10">
        <v>0</v>
      </c>
      <c r="O613" s="67">
        <v>45565</v>
      </c>
      <c r="P613" s="10">
        <v>2024</v>
      </c>
      <c r="Q613" s="10">
        <v>9</v>
      </c>
      <c r="R613" s="10" t="str">
        <v>SURVEI-PPL</v>
      </c>
      <c r="S613" s="10" t="str">
        <v>610422100244-2024-9</v>
      </c>
      <c r="T613" s="10" t="str">
        <v>610422100244-2024-9-SURVEI-PPL</v>
      </c>
      <c r="U613" s="10">
        <v>0</v>
      </c>
      <c r="V613" s="10" t="e">
        <f ca="1"/>
        <v>#NAME?</v>
      </c>
      <c r="W613" s="67">
        <v>0</v>
      </c>
      <c r="X613" s="11" t="str">
        <v>Kerangka Sampel Area (KSA) 2024 September</v>
      </c>
      <c r="Y613" s="11" t="str">
        <v>SADANIANG</v>
      </c>
      <c r="Z613" s="11" t="str">
        <v>BUMBUN</v>
      </c>
      <c r="AA613" s="67">
        <v>45535</v>
      </c>
      <c r="AB613" s="67">
        <v>45536</v>
      </c>
      <c r="AC613" s="67">
        <v>45565</v>
      </c>
      <c r="AD613" s="67">
        <v>45564</v>
      </c>
      <c r="AE613" s="67">
        <v>45565</v>
      </c>
    </row>
    <row r="614" spans="1:31" ht="12.5">
      <c r="A614" s="10">
        <v>610423040004</v>
      </c>
      <c r="B614" s="10" t="str">
        <v>SERUTI24-LAPANGAN-TRI3</v>
      </c>
      <c r="C614" s="10">
        <v>0</v>
      </c>
      <c r="D614" s="10">
        <f ca="1"/>
        <v>1</v>
      </c>
      <c r="E614" s="10" t="str">
        <v>Ayu Agustin</v>
      </c>
      <c r="F614" s="10" t="str">
        <v>PPL</v>
      </c>
      <c r="G614" s="10" t="str">
        <v>6111025008930002</v>
      </c>
      <c r="H614" s="10" t="str">
        <v>PENDATAAN</v>
      </c>
      <c r="I614" s="10" t="str">
        <v>SERUTI24-LAPANGAN-TRI3-PPL-PENDATAAN</v>
      </c>
      <c r="J614" s="10" t="str">
        <v>Dokumen</v>
      </c>
      <c r="K614" s="66">
        <v>60000</v>
      </c>
      <c r="L614" s="10">
        <v>10</v>
      </c>
      <c r="M614" s="10">
        <v>600000</v>
      </c>
      <c r="N614" s="10">
        <v>0</v>
      </c>
      <c r="O614" s="67">
        <v>45565</v>
      </c>
      <c r="P614" s="10">
        <v>2024</v>
      </c>
      <c r="Q614" s="10">
        <v>9</v>
      </c>
      <c r="R614" s="10" t="str">
        <v>SURVEI-PPL</v>
      </c>
      <c r="S614" s="10" t="str">
        <v>610423040004-2024-9</v>
      </c>
      <c r="T614" s="10" t="str">
        <v>610423040004-2024-9-SURVEI-PPL</v>
      </c>
      <c r="U614" s="10">
        <v>0</v>
      </c>
      <c r="V614" s="10" t="e">
        <f ca="1"/>
        <v>#NAME?</v>
      </c>
      <c r="W614" s="67">
        <v>0</v>
      </c>
      <c r="X614" s="11" t="str">
        <v>Survei Ekonomi Rumah Tangga Triwulanan (SERUTI24) Triwulan III Kegiatan Lapangan</v>
      </c>
      <c r="Y614" s="11" t="str">
        <v>ANJONGAN</v>
      </c>
      <c r="Z614" s="11" t="str">
        <v>KEPAYANG</v>
      </c>
      <c r="AA614" s="67">
        <v>45535</v>
      </c>
      <c r="AB614" s="67">
        <v>45536</v>
      </c>
      <c r="AC614" s="67">
        <v>45565</v>
      </c>
      <c r="AD614" s="67">
        <v>45564</v>
      </c>
      <c r="AE614" s="67">
        <v>45565</v>
      </c>
    </row>
    <row r="615" spans="1:31" ht="12.5">
      <c r="A615" s="10">
        <v>610422100144</v>
      </c>
      <c r="B615" s="10" t="str">
        <v>SERUTI24-LAPANGAN-TRI3</v>
      </c>
      <c r="C615" s="10">
        <v>0</v>
      </c>
      <c r="D615" s="10">
        <f ca="1"/>
        <v>1</v>
      </c>
      <c r="E615" s="10" t="str">
        <v>Irfan Faozi Sunaryo</v>
      </c>
      <c r="F615" s="10" t="str">
        <v>PPL</v>
      </c>
      <c r="G615" s="10" t="str">
        <v>6102122710990001</v>
      </c>
      <c r="H615" s="10" t="str">
        <v>PENDATAAN</v>
      </c>
      <c r="I615" s="10" t="str">
        <v>SERUTI24-LAPANGAN-TRI3-PPL-PENDATAAN</v>
      </c>
      <c r="J615" s="10" t="str">
        <v>Dokumen</v>
      </c>
      <c r="K615" s="66">
        <v>60000</v>
      </c>
      <c r="L615" s="10">
        <v>10</v>
      </c>
      <c r="M615" s="10">
        <v>600000</v>
      </c>
      <c r="N615" s="10">
        <v>0</v>
      </c>
      <c r="O615" s="67">
        <v>45565</v>
      </c>
      <c r="P615" s="10">
        <v>2024</v>
      </c>
      <c r="Q615" s="10">
        <v>9</v>
      </c>
      <c r="R615" s="10" t="str">
        <v>SURVEI-PPL</v>
      </c>
      <c r="S615" s="10" t="str">
        <v>610422100144-2024-9</v>
      </c>
      <c r="T615" s="10" t="str">
        <v>610422100144-2024-9-SURVEI-PPL</v>
      </c>
      <c r="U615" s="10">
        <v>0</v>
      </c>
      <c r="V615" s="10" t="e">
        <f ca="1"/>
        <v>#NAME?</v>
      </c>
      <c r="W615" s="67">
        <v>0</v>
      </c>
      <c r="X615" s="11" t="str">
        <v>Survei Ekonomi Rumah Tangga Triwulanan (SERUTI24) Triwulan III Kegiatan Lapangan</v>
      </c>
      <c r="Y615" s="11" t="str">
        <v>SUNGAI KUNYIT</v>
      </c>
      <c r="Z615" s="11" t="str">
        <v>SUNGAI DURI I</v>
      </c>
      <c r="AA615" s="67">
        <v>45535</v>
      </c>
      <c r="AB615" s="67">
        <v>45536</v>
      </c>
      <c r="AC615" s="67">
        <v>45565</v>
      </c>
      <c r="AD615" s="67">
        <v>45564</v>
      </c>
      <c r="AE615" s="67">
        <v>45565</v>
      </c>
    </row>
    <row r="616" spans="1:31" ht="12.5">
      <c r="A616" s="10">
        <v>610422020032</v>
      </c>
      <c r="B616" s="10" t="str">
        <v>SERUTI24-LAPANGAN-TRI3</v>
      </c>
      <c r="C616" s="10">
        <v>0</v>
      </c>
      <c r="D616" s="10">
        <f ca="1"/>
        <v>1</v>
      </c>
      <c r="E616" s="10" t="str">
        <v>Lilis Suryani</v>
      </c>
      <c r="F616" s="10" t="str">
        <v>PPL</v>
      </c>
      <c r="G616" s="10" t="str">
        <v>6102185102880001</v>
      </c>
      <c r="H616" s="10" t="str">
        <v>PENDATAAN</v>
      </c>
      <c r="I616" s="10" t="str">
        <v>SERUTI24-LAPANGAN-TRI3-PPL-PENDATAAN</v>
      </c>
      <c r="J616" s="10" t="str">
        <v>Dokumen</v>
      </c>
      <c r="K616" s="66">
        <v>60000</v>
      </c>
      <c r="L616" s="10">
        <v>10</v>
      </c>
      <c r="M616" s="10">
        <v>600000</v>
      </c>
      <c r="N616" s="10">
        <v>0</v>
      </c>
      <c r="O616" s="67">
        <v>45565</v>
      </c>
      <c r="P616" s="10">
        <v>2024</v>
      </c>
      <c r="Q616" s="10">
        <v>9</v>
      </c>
      <c r="R616" s="10" t="str">
        <v>SURVEI-PPL</v>
      </c>
      <c r="S616" s="10" t="str">
        <v>610422020032-2024-9</v>
      </c>
      <c r="T616" s="10" t="str">
        <v>610422020032-2024-9-SURVEI-PPL</v>
      </c>
      <c r="U616" s="10">
        <v>0</v>
      </c>
      <c r="V616" s="10" t="e">
        <f ca="1"/>
        <v>#NAME?</v>
      </c>
      <c r="W616" s="67">
        <v>0</v>
      </c>
      <c r="X616" s="11" t="str">
        <v>Survei Ekonomi Rumah Tangga Triwulanan (SERUTI24) Triwulan III Kegiatan Lapangan</v>
      </c>
      <c r="Y616" s="11" t="str">
        <v>MEMPAWAH TIMUR</v>
      </c>
      <c r="Z616" s="11" t="str">
        <v>PARIT BANJAR</v>
      </c>
      <c r="AA616" s="67">
        <v>45535</v>
      </c>
      <c r="AB616" s="67">
        <v>45536</v>
      </c>
      <c r="AC616" s="67">
        <v>45565</v>
      </c>
      <c r="AD616" s="67">
        <v>45564</v>
      </c>
      <c r="AE616" s="67">
        <v>45565</v>
      </c>
    </row>
    <row r="617" spans="1:31" ht="12.5">
      <c r="A617" s="10">
        <v>610422100085</v>
      </c>
      <c r="B617" s="10" t="str">
        <v>SERUTI24-LAPANGAN-TRI3</v>
      </c>
      <c r="C617" s="10">
        <v>0</v>
      </c>
      <c r="D617" s="10">
        <f ca="1"/>
        <v>1</v>
      </c>
      <c r="E617" s="10" t="str">
        <v>Lina Agustin Widya Siwi</v>
      </c>
      <c r="F617" s="10" t="str">
        <v>PPL</v>
      </c>
      <c r="G617" s="10" t="str">
        <v>3301225608850001</v>
      </c>
      <c r="H617" s="10" t="str">
        <v>PENDATAAN</v>
      </c>
      <c r="I617" s="10" t="str">
        <v>SERUTI24-LAPANGAN-TRI3-PPL-PENDATAAN</v>
      </c>
      <c r="J617" s="10" t="str">
        <v>Dokumen</v>
      </c>
      <c r="K617" s="66">
        <v>60000</v>
      </c>
      <c r="L617" s="10">
        <v>10</v>
      </c>
      <c r="M617" s="10">
        <v>600000</v>
      </c>
      <c r="N617" s="10">
        <v>0</v>
      </c>
      <c r="O617" s="67">
        <v>45565</v>
      </c>
      <c r="P617" s="10">
        <v>2024</v>
      </c>
      <c r="Q617" s="10">
        <v>9</v>
      </c>
      <c r="R617" s="10" t="str">
        <v>SURVEI-PPL</v>
      </c>
      <c r="S617" s="10" t="str">
        <v>610422100085-2024-9</v>
      </c>
      <c r="T617" s="10" t="str">
        <v>610422100085-2024-9-SURVEI-PPL</v>
      </c>
      <c r="U617" s="10">
        <v>0</v>
      </c>
      <c r="V617" s="10" t="e">
        <f ca="1"/>
        <v>#NAME?</v>
      </c>
      <c r="W617" s="67">
        <v>0</v>
      </c>
      <c r="X617" s="11" t="str">
        <v>Survei Ekonomi Rumah Tangga Triwulanan (SERUTI24) Triwulan III Kegiatan Lapangan</v>
      </c>
      <c r="Y617" s="11" t="str">
        <v>SUNGAI PINYUH</v>
      </c>
      <c r="Z617" s="11" t="str">
        <v>NUSAPATI</v>
      </c>
      <c r="AA617" s="67">
        <v>45535</v>
      </c>
      <c r="AB617" s="67">
        <v>45536</v>
      </c>
      <c r="AC617" s="67">
        <v>45565</v>
      </c>
      <c r="AD617" s="67">
        <v>45564</v>
      </c>
      <c r="AE617" s="67">
        <v>45565</v>
      </c>
    </row>
    <row r="618" spans="1:31" ht="12.5">
      <c r="A618" s="10">
        <v>610423040013</v>
      </c>
      <c r="B618" s="10" t="str">
        <v>SERUTI24-LAPANGAN-TRI3</v>
      </c>
      <c r="C618" s="10">
        <v>0</v>
      </c>
      <c r="D618" s="10">
        <f ca="1"/>
        <v>1</v>
      </c>
      <c r="E618" s="10" t="str">
        <v>Lulu Gesti Gunawati</v>
      </c>
      <c r="F618" s="10" t="str">
        <v>PPL</v>
      </c>
      <c r="G618" s="10" t="str">
        <v>3314066101000001</v>
      </c>
      <c r="H618" s="10" t="str">
        <v>PENDATAAN</v>
      </c>
      <c r="I618" s="10" t="str">
        <v>SERUTI24-LAPANGAN-TRI3-PPL-PENDATAAN</v>
      </c>
      <c r="J618" s="10" t="str">
        <v>Dokumen</v>
      </c>
      <c r="K618" s="66">
        <v>60000</v>
      </c>
      <c r="L618" s="10">
        <v>10</v>
      </c>
      <c r="M618" s="10">
        <v>600000</v>
      </c>
      <c r="N618" s="10">
        <v>0</v>
      </c>
      <c r="O618" s="67">
        <v>45565</v>
      </c>
      <c r="P618" s="10">
        <v>2024</v>
      </c>
      <c r="Q618" s="10">
        <v>9</v>
      </c>
      <c r="R618" s="10" t="str">
        <v>SURVEI-PPL</v>
      </c>
      <c r="S618" s="10" t="str">
        <v>610423040013-2024-9</v>
      </c>
      <c r="T618" s="10" t="str">
        <v>610423040013-2024-9-SURVEI-PPL</v>
      </c>
      <c r="U618" s="10">
        <v>0</v>
      </c>
      <c r="V618" s="10" t="e">
        <f ca="1"/>
        <v>#NAME?</v>
      </c>
      <c r="W618" s="67">
        <v>0</v>
      </c>
      <c r="X618" s="11" t="str">
        <v>Survei Ekonomi Rumah Tangga Triwulanan (SERUTI24) Triwulan III Kegiatan Lapangan</v>
      </c>
      <c r="Y618" s="11" t="str">
        <v>SUNGAI KUNYIT</v>
      </c>
      <c r="Z618" s="11" t="str">
        <v>MENDALOK</v>
      </c>
      <c r="AA618" s="67">
        <v>45535</v>
      </c>
      <c r="AB618" s="67">
        <v>45536</v>
      </c>
      <c r="AC618" s="67">
        <v>45565</v>
      </c>
      <c r="AD618" s="67">
        <v>45564</v>
      </c>
      <c r="AE618" s="67">
        <v>45565</v>
      </c>
    </row>
    <row r="619" spans="1:31" ht="12.5">
      <c r="A619" s="10">
        <v>610422100137</v>
      </c>
      <c r="B619" s="10" t="str">
        <v>SERUTI24-LAPANGAN-TRI3</v>
      </c>
      <c r="C619" s="10">
        <v>0</v>
      </c>
      <c r="D619" s="10">
        <f ca="1"/>
        <v>1</v>
      </c>
      <c r="E619" s="10" t="str">
        <v>Masturi</v>
      </c>
      <c r="F619" s="10" t="str">
        <v>PPL</v>
      </c>
      <c r="G619" s="10" t="str">
        <v>6102060709870002</v>
      </c>
      <c r="H619" s="10" t="str">
        <v>PENDATAAN</v>
      </c>
      <c r="I619" s="10" t="str">
        <v>SERUTI24-LAPANGAN-TRI3-PPL-PENDATAAN</v>
      </c>
      <c r="J619" s="10" t="str">
        <v>Dokumen</v>
      </c>
      <c r="K619" s="66">
        <v>60000</v>
      </c>
      <c r="L619" s="10">
        <v>10</v>
      </c>
      <c r="M619" s="10">
        <v>600000</v>
      </c>
      <c r="N619" s="10">
        <v>0</v>
      </c>
      <c r="O619" s="67">
        <v>45565</v>
      </c>
      <c r="P619" s="10">
        <v>2024</v>
      </c>
      <c r="Q619" s="10">
        <v>9</v>
      </c>
      <c r="R619" s="10" t="str">
        <v>SURVEI-PPL</v>
      </c>
      <c r="S619" s="10" t="str">
        <v>610422100137-2024-9</v>
      </c>
      <c r="T619" s="10" t="str">
        <v>610422100137-2024-9-SURVEI-PPL</v>
      </c>
      <c r="U619" s="10">
        <v>0</v>
      </c>
      <c r="V619" s="10" t="e">
        <f ca="1"/>
        <v>#NAME?</v>
      </c>
      <c r="W619" s="67">
        <v>0</v>
      </c>
      <c r="X619" s="11" t="str">
        <v>Survei Ekonomi Rumah Tangga Triwulanan (SERUTI24) Triwulan III Kegiatan Lapangan</v>
      </c>
      <c r="Y619" s="11" t="str">
        <v>TOHO</v>
      </c>
      <c r="Z619" s="11" t="str">
        <v>SAMBORA</v>
      </c>
      <c r="AA619" s="67">
        <v>45535</v>
      </c>
      <c r="AB619" s="67">
        <v>45536</v>
      </c>
      <c r="AC619" s="67">
        <v>45565</v>
      </c>
      <c r="AD619" s="67">
        <v>45564</v>
      </c>
      <c r="AE619" s="67">
        <v>45565</v>
      </c>
    </row>
    <row r="620" spans="1:31" ht="12.5">
      <c r="A620" s="10">
        <v>610422100256</v>
      </c>
      <c r="B620" s="10" t="str">
        <v>SERUTI24-LAPANGAN-TRI3</v>
      </c>
      <c r="C620" s="10">
        <v>0</v>
      </c>
      <c r="D620" s="10">
        <f ca="1"/>
        <v>1</v>
      </c>
      <c r="E620" s="10" t="str">
        <v>Meta</v>
      </c>
      <c r="F620" s="10" t="str">
        <v>PPL</v>
      </c>
      <c r="G620" s="10" t="str">
        <v>6102174505970001</v>
      </c>
      <c r="H620" s="10" t="str">
        <v>PENDATAAN</v>
      </c>
      <c r="I620" s="10" t="str">
        <v>SERUTI24-LAPANGAN-TRI3-PPL-PENDATAAN</v>
      </c>
      <c r="J620" s="10" t="str">
        <v>Dokumen</v>
      </c>
      <c r="K620" s="66">
        <v>60000</v>
      </c>
      <c r="L620" s="10">
        <v>10</v>
      </c>
      <c r="M620" s="10">
        <v>600000</v>
      </c>
      <c r="N620" s="10">
        <v>0</v>
      </c>
      <c r="O620" s="67">
        <v>45565</v>
      </c>
      <c r="P620" s="10">
        <v>2024</v>
      </c>
      <c r="Q620" s="10">
        <v>9</v>
      </c>
      <c r="R620" s="10" t="str">
        <v>SURVEI-PPL</v>
      </c>
      <c r="S620" s="10" t="str">
        <v>610422100256-2024-9</v>
      </c>
      <c r="T620" s="10" t="str">
        <v>610422100256-2024-9-SURVEI-PPL</v>
      </c>
      <c r="U620" s="10">
        <v>0</v>
      </c>
      <c r="V620" s="10" t="e">
        <f ca="1"/>
        <v>#NAME?</v>
      </c>
      <c r="W620" s="67">
        <v>0</v>
      </c>
      <c r="X620" s="11" t="str">
        <v>Survei Ekonomi Rumah Tangga Triwulanan (SERUTI24) Triwulan III Kegiatan Lapangan</v>
      </c>
      <c r="Y620" s="11" t="str">
        <v>SADANIANG</v>
      </c>
      <c r="Z620" s="11" t="str">
        <v>PENTEK</v>
      </c>
      <c r="AA620" s="67">
        <v>45535</v>
      </c>
      <c r="AB620" s="67">
        <v>45536</v>
      </c>
      <c r="AC620" s="67">
        <v>45565</v>
      </c>
      <c r="AD620" s="67">
        <v>45564</v>
      </c>
      <c r="AE620" s="67">
        <v>45565</v>
      </c>
    </row>
    <row r="621" spans="1:31" ht="12.5">
      <c r="A621" s="10">
        <v>610422040050</v>
      </c>
      <c r="B621" s="10" t="str">
        <v>SERUTI24-LAPANGAN-TRI3</v>
      </c>
      <c r="C621" s="10">
        <v>0</v>
      </c>
      <c r="D621" s="10">
        <f ca="1"/>
        <v>1</v>
      </c>
      <c r="E621" s="10" t="str">
        <v>Novita Sari</v>
      </c>
      <c r="F621" s="10" t="str">
        <v>PPL</v>
      </c>
      <c r="G621" s="10" t="str">
        <v>6102085906990001</v>
      </c>
      <c r="H621" s="10" t="str">
        <v>PENDATAAN</v>
      </c>
      <c r="I621" s="10" t="str">
        <v>SERUTI24-LAPANGAN-TRI3-PPL-PENDATAAN</v>
      </c>
      <c r="J621" s="10" t="str">
        <v>Dokumen</v>
      </c>
      <c r="K621" s="66">
        <v>60000</v>
      </c>
      <c r="L621" s="10">
        <v>10</v>
      </c>
      <c r="M621" s="10">
        <v>600000</v>
      </c>
      <c r="N621" s="10">
        <v>0</v>
      </c>
      <c r="O621" s="67">
        <v>45565</v>
      </c>
      <c r="P621" s="10">
        <v>2024</v>
      </c>
      <c r="Q621" s="10">
        <v>9</v>
      </c>
      <c r="R621" s="10" t="str">
        <v>SURVEI-PPL</v>
      </c>
      <c r="S621" s="10" t="str">
        <v>610422040050-2024-9</v>
      </c>
      <c r="T621" s="10" t="str">
        <v>610422040050-2024-9-SURVEI-PPL</v>
      </c>
      <c r="U621" s="10">
        <v>0</v>
      </c>
      <c r="V621" s="10" t="e">
        <f ca="1"/>
        <v>#NAME?</v>
      </c>
      <c r="W621" s="67">
        <v>0</v>
      </c>
      <c r="X621" s="11" t="str">
        <v>Survei Ekonomi Rumah Tangga Triwulanan (SERUTI24) Triwulan III Kegiatan Lapangan</v>
      </c>
      <c r="Y621" s="11" t="str">
        <v>JONGKAT</v>
      </c>
      <c r="Z621" s="11" t="str">
        <v>JUNGKAT</v>
      </c>
      <c r="AA621" s="67">
        <v>45535</v>
      </c>
      <c r="AB621" s="67">
        <v>45536</v>
      </c>
      <c r="AC621" s="67">
        <v>45565</v>
      </c>
      <c r="AD621" s="67">
        <v>45564</v>
      </c>
      <c r="AE621" s="67">
        <v>45565</v>
      </c>
    </row>
    <row r="622" spans="1:31" ht="12.5">
      <c r="A622" s="10">
        <v>610422040035</v>
      </c>
      <c r="B622" s="10" t="str">
        <v>SERUTI24-LAPANGAN-TRI3</v>
      </c>
      <c r="C622" s="10">
        <v>0</v>
      </c>
      <c r="D622" s="10">
        <f ca="1"/>
        <v>1</v>
      </c>
      <c r="E622" s="10" t="str">
        <v>Rahmayani</v>
      </c>
      <c r="F622" s="10" t="str">
        <v>PPL</v>
      </c>
      <c r="G622" s="10" t="str">
        <v>6102186404970003</v>
      </c>
      <c r="H622" s="10" t="str">
        <v>PENDATAAN</v>
      </c>
      <c r="I622" s="10" t="str">
        <v>SERUTI24-LAPANGAN-TRI3-PPL-PENDATAAN</v>
      </c>
      <c r="J622" s="10" t="str">
        <v>Dokumen</v>
      </c>
      <c r="K622" s="66">
        <v>60000</v>
      </c>
      <c r="L622" s="10">
        <v>10</v>
      </c>
      <c r="M622" s="10">
        <v>600000</v>
      </c>
      <c r="N622" s="10">
        <v>0</v>
      </c>
      <c r="O622" s="67">
        <v>45565</v>
      </c>
      <c r="P622" s="10">
        <v>2024</v>
      </c>
      <c r="Q622" s="10">
        <v>9</v>
      </c>
      <c r="R622" s="10" t="str">
        <v>SURVEI-PPL</v>
      </c>
      <c r="S622" s="10" t="str">
        <v>610422040035-2024-9</v>
      </c>
      <c r="T622" s="10" t="str">
        <v>610422040035-2024-9-SURVEI-PPL</v>
      </c>
      <c r="U622" s="10">
        <v>0</v>
      </c>
      <c r="V622" s="10" t="e">
        <f ca="1"/>
        <v>#NAME?</v>
      </c>
      <c r="W622" s="67">
        <v>0</v>
      </c>
      <c r="X622" s="11" t="str">
        <v>Survei Ekonomi Rumah Tangga Triwulanan (SERUTI24) Triwulan III Kegiatan Lapangan</v>
      </c>
      <c r="Y622" s="11" t="str">
        <v>MEMPAWAH TIMUR</v>
      </c>
      <c r="Z622" s="11" t="str">
        <v>SEJEGI</v>
      </c>
      <c r="AA622" s="67">
        <v>45535</v>
      </c>
      <c r="AB622" s="67">
        <v>45536</v>
      </c>
      <c r="AC622" s="67">
        <v>45565</v>
      </c>
      <c r="AD622" s="67">
        <v>45564</v>
      </c>
      <c r="AE622" s="67">
        <v>45565</v>
      </c>
    </row>
    <row r="623" spans="1:31" ht="12.5">
      <c r="A623" s="10">
        <v>610422040061</v>
      </c>
      <c r="B623" s="10" t="str">
        <v>SERUTI24-LAPANGAN-TRI3</v>
      </c>
      <c r="C623" s="10">
        <v>0</v>
      </c>
      <c r="D623" s="10">
        <f ca="1"/>
        <v>1</v>
      </c>
      <c r="E623" s="10" t="str">
        <v>Sabani</v>
      </c>
      <c r="F623" s="10" t="str">
        <v>PPL</v>
      </c>
      <c r="G623" s="10" t="str">
        <v>6102153112860003</v>
      </c>
      <c r="H623" s="10" t="str">
        <v>PENDATAAN</v>
      </c>
      <c r="I623" s="10" t="str">
        <v>SERUTI24-LAPANGAN-TRI3-PPL-PENDATAAN</v>
      </c>
      <c r="J623" s="10" t="str">
        <v>Dokumen</v>
      </c>
      <c r="K623" s="66">
        <v>60000</v>
      </c>
      <c r="L623" s="10">
        <v>10</v>
      </c>
      <c r="M623" s="10">
        <v>600000</v>
      </c>
      <c r="N623" s="10">
        <v>0</v>
      </c>
      <c r="O623" s="67">
        <v>45565</v>
      </c>
      <c r="P623" s="10">
        <v>2024</v>
      </c>
      <c r="Q623" s="10">
        <v>9</v>
      </c>
      <c r="R623" s="10" t="str">
        <v>SURVEI-PPL</v>
      </c>
      <c r="S623" s="10" t="str">
        <v>610422040061-2024-9</v>
      </c>
      <c r="T623" s="10" t="str">
        <v>610422040061-2024-9-SURVEI-PPL</v>
      </c>
      <c r="U623" s="10">
        <v>0</v>
      </c>
      <c r="V623" s="10" t="e">
        <f ca="1"/>
        <v>#NAME?</v>
      </c>
      <c r="W623" s="67">
        <v>0</v>
      </c>
      <c r="X623" s="11" t="str">
        <v>Survei Ekonomi Rumah Tangga Triwulanan (SERUTI24) Triwulan III Kegiatan Lapangan</v>
      </c>
      <c r="Y623" s="11" t="str">
        <v>SEGEDONG</v>
      </c>
      <c r="Z623" s="11" t="str">
        <v>PENITI BESAR</v>
      </c>
      <c r="AA623" s="67">
        <v>45535</v>
      </c>
      <c r="AB623" s="67">
        <v>45536</v>
      </c>
      <c r="AC623" s="67">
        <v>45565</v>
      </c>
      <c r="AD623" s="67">
        <v>45564</v>
      </c>
      <c r="AE623" s="67">
        <v>45565</v>
      </c>
    </row>
    <row r="624" spans="1:31" ht="12.5">
      <c r="A624" s="10">
        <v>610422040053</v>
      </c>
      <c r="B624" s="10" t="str">
        <v>SERUTI24-LAPANGAN-TRI3</v>
      </c>
      <c r="C624" s="10">
        <v>0</v>
      </c>
      <c r="D624" s="10">
        <f ca="1"/>
        <v>1</v>
      </c>
      <c r="E624" s="10" t="str">
        <v>Veti Ningsi</v>
      </c>
      <c r="F624" s="10" t="str">
        <v>PPL</v>
      </c>
      <c r="G624" s="10" t="str">
        <v>6102125604010002</v>
      </c>
      <c r="H624" s="10" t="str">
        <v>PENDATAAN</v>
      </c>
      <c r="I624" s="10" t="str">
        <v>SERUTI24-LAPANGAN-TRI3-PPL-PENDATAAN</v>
      </c>
      <c r="J624" s="10" t="str">
        <v>Dokumen</v>
      </c>
      <c r="K624" s="66">
        <v>60000</v>
      </c>
      <c r="L624" s="10">
        <v>10</v>
      </c>
      <c r="M624" s="10">
        <v>600000</v>
      </c>
      <c r="N624" s="10">
        <v>0</v>
      </c>
      <c r="O624" s="67">
        <v>45565</v>
      </c>
      <c r="P624" s="10">
        <v>2024</v>
      </c>
      <c r="Q624" s="10">
        <v>9</v>
      </c>
      <c r="R624" s="10" t="str">
        <v>SURVEI-PPL</v>
      </c>
      <c r="S624" s="10" t="str">
        <v>610422040053-2024-9</v>
      </c>
      <c r="T624" s="10" t="str">
        <v>610422040053-2024-9-SURVEI-PPL</v>
      </c>
      <c r="U624" s="10">
        <v>0</v>
      </c>
      <c r="V624" s="10" t="e">
        <f ca="1"/>
        <v>#NAME?</v>
      </c>
      <c r="W624" s="67">
        <v>0</v>
      </c>
      <c r="X624" s="11" t="str">
        <v>Survei Ekonomi Rumah Tangga Triwulanan (SERUTI24) Triwulan III Kegiatan Lapangan</v>
      </c>
      <c r="Y624" s="11" t="str">
        <v>SUNGAI KUNYIT</v>
      </c>
      <c r="Z624" s="11" t="str">
        <v>SUNGAI BUNDUNG LAUT</v>
      </c>
      <c r="AA624" s="67">
        <v>45535</v>
      </c>
      <c r="AB624" s="67">
        <v>45536</v>
      </c>
      <c r="AC624" s="67">
        <v>45565</v>
      </c>
      <c r="AD624" s="67">
        <v>45564</v>
      </c>
      <c r="AE624" s="67">
        <v>45565</v>
      </c>
    </row>
    <row r="625" spans="1:31" ht="12.5">
      <c r="A625" s="10">
        <v>610422100055</v>
      </c>
      <c r="B625" s="10" t="str">
        <v>SERUTI24-LAPANGAN-TRI3</v>
      </c>
      <c r="C625" s="10">
        <v>0</v>
      </c>
      <c r="D625" s="10">
        <f ca="1"/>
        <v>1</v>
      </c>
      <c r="E625" s="10" t="str">
        <v>Vika Rizkiani</v>
      </c>
      <c r="F625" s="10" t="str">
        <v>PPL</v>
      </c>
      <c r="G625" s="10" t="str">
        <v>6102084207980006</v>
      </c>
      <c r="H625" s="10" t="str">
        <v>PENDATAAN</v>
      </c>
      <c r="I625" s="10" t="str">
        <v>SERUTI24-LAPANGAN-TRI3-PPL-PENDATAAN</v>
      </c>
      <c r="J625" s="10" t="str">
        <v>Dokumen</v>
      </c>
      <c r="K625" s="66">
        <v>60000</v>
      </c>
      <c r="L625" s="10">
        <v>10</v>
      </c>
      <c r="M625" s="10">
        <v>600000</v>
      </c>
      <c r="N625" s="10">
        <v>0</v>
      </c>
      <c r="O625" s="67">
        <v>45565</v>
      </c>
      <c r="P625" s="10">
        <v>2024</v>
      </c>
      <c r="Q625" s="10">
        <v>9</v>
      </c>
      <c r="R625" s="10" t="str">
        <v>SURVEI-PPL</v>
      </c>
      <c r="S625" s="10" t="str">
        <v>610422100055-2024-9</v>
      </c>
      <c r="T625" s="10" t="str">
        <v>610422100055-2024-9-SURVEI-PPL</v>
      </c>
      <c r="U625" s="10">
        <v>0</v>
      </c>
      <c r="V625" s="10" t="e">
        <f ca="1"/>
        <v>#NAME?</v>
      </c>
      <c r="W625" s="67">
        <v>0</v>
      </c>
      <c r="X625" s="11" t="str">
        <v>Survei Ekonomi Rumah Tangga Triwulanan (SERUTI24) Triwulan III Kegiatan Lapangan</v>
      </c>
      <c r="Y625" s="11" t="str">
        <v>JONGKAT</v>
      </c>
      <c r="Z625" s="11" t="str">
        <v>JUNGKAT</v>
      </c>
      <c r="AA625" s="67">
        <v>45535</v>
      </c>
      <c r="AB625" s="67">
        <v>45536</v>
      </c>
      <c r="AC625" s="67">
        <v>45565</v>
      </c>
      <c r="AD625" s="67">
        <v>45564</v>
      </c>
      <c r="AE625" s="67">
        <v>45565</v>
      </c>
    </row>
    <row r="626" spans="1:31" ht="12.5">
      <c r="A626" s="10">
        <v>610422100139</v>
      </c>
      <c r="B626" s="10" t="str">
        <v>SERUTI24-LAPANGAN-TRI3</v>
      </c>
      <c r="C626" s="10">
        <v>0</v>
      </c>
      <c r="D626" s="10">
        <f ca="1"/>
        <v>1</v>
      </c>
      <c r="E626" s="10" t="str">
        <v>Winda Dwi Ananda</v>
      </c>
      <c r="F626" s="10" t="str">
        <v>PPL</v>
      </c>
      <c r="G626" s="10" t="str">
        <v>6102016812990001</v>
      </c>
      <c r="H626" s="10" t="str">
        <v>PENDATAAN</v>
      </c>
      <c r="I626" s="10" t="str">
        <v>SERUTI24-LAPANGAN-TRI3-PPL-PENDATAAN</v>
      </c>
      <c r="J626" s="10" t="str">
        <v>Dokumen</v>
      </c>
      <c r="K626" s="66">
        <v>60000</v>
      </c>
      <c r="L626" s="10">
        <v>10</v>
      </c>
      <c r="M626" s="10">
        <v>600000</v>
      </c>
      <c r="N626" s="10">
        <v>0</v>
      </c>
      <c r="O626" s="67">
        <v>45565</v>
      </c>
      <c r="P626" s="10">
        <v>2024</v>
      </c>
      <c r="Q626" s="10">
        <v>9</v>
      </c>
      <c r="R626" s="10" t="str">
        <v>SURVEI-PPL</v>
      </c>
      <c r="S626" s="10" t="str">
        <v>610422100139-2024-9</v>
      </c>
      <c r="T626" s="10" t="str">
        <v>610422100139-2024-9-SURVEI-PPL</v>
      </c>
      <c r="U626" s="10">
        <v>0</v>
      </c>
      <c r="V626" s="10" t="e">
        <f ca="1"/>
        <v>#NAME?</v>
      </c>
      <c r="W626" s="67">
        <v>0</v>
      </c>
      <c r="X626" s="11" t="str">
        <v>Survei Ekonomi Rumah Tangga Triwulanan (SERUTI24) Triwulan III Kegiatan Lapangan</v>
      </c>
      <c r="Y626" s="11" t="str">
        <v>MEMPAWAH HILIR</v>
      </c>
      <c r="Z626" s="11" t="str">
        <v>PENIBUNG</v>
      </c>
      <c r="AA626" s="67">
        <v>45535</v>
      </c>
      <c r="AB626" s="67">
        <v>45536</v>
      </c>
      <c r="AC626" s="67">
        <v>45565</v>
      </c>
      <c r="AD626" s="67">
        <v>45564</v>
      </c>
      <c r="AE626" s="67">
        <v>45565</v>
      </c>
    </row>
    <row r="627" spans="1:31" ht="12.5">
      <c r="A627" s="10">
        <v>610422040052</v>
      </c>
      <c r="B627" s="10" t="str">
        <v>SERUTI24-LAPANGAN-TRI3</v>
      </c>
      <c r="C627" s="10">
        <v>0</v>
      </c>
      <c r="D627" s="10">
        <f ca="1"/>
        <v>1</v>
      </c>
      <c r="E627" s="10" t="str">
        <v>Yusimianto</v>
      </c>
      <c r="F627" s="10" t="str">
        <v>PPL</v>
      </c>
      <c r="G627" s="10" t="str">
        <v>6102160603790001</v>
      </c>
      <c r="H627" s="10" t="str">
        <v>PENDATAAN</v>
      </c>
      <c r="I627" s="10" t="str">
        <v>SERUTI24-LAPANGAN-TRI3-PPL-PENDATAAN</v>
      </c>
      <c r="J627" s="10" t="str">
        <v>Dokumen</v>
      </c>
      <c r="K627" s="66">
        <v>60000</v>
      </c>
      <c r="L627" s="10">
        <v>10</v>
      </c>
      <c r="M627" s="10">
        <v>600000</v>
      </c>
      <c r="N627" s="10">
        <v>0</v>
      </c>
      <c r="O627" s="67">
        <v>45565</v>
      </c>
      <c r="P627" s="10">
        <v>2024</v>
      </c>
      <c r="Q627" s="10">
        <v>9</v>
      </c>
      <c r="R627" s="10" t="str">
        <v>SURVEI-PPL</v>
      </c>
      <c r="S627" s="10" t="str">
        <v>610422040052-2024-9</v>
      </c>
      <c r="T627" s="10" t="str">
        <v>610422040052-2024-9-SURVEI-PPL</v>
      </c>
      <c r="U627" s="10">
        <v>0</v>
      </c>
      <c r="V627" s="10" t="e">
        <f ca="1"/>
        <v>#NAME?</v>
      </c>
      <c r="W627" s="67">
        <v>0</v>
      </c>
      <c r="X627" s="11" t="str">
        <v>Survei Ekonomi Rumah Tangga Triwulanan (SERUTI24) Triwulan III Kegiatan Lapangan</v>
      </c>
      <c r="Y627" s="11" t="str">
        <v>ANJONGAN</v>
      </c>
      <c r="Z627" s="11" t="str">
        <v>PAK BULU</v>
      </c>
      <c r="AA627" s="67">
        <v>45535</v>
      </c>
      <c r="AB627" s="67">
        <v>45536</v>
      </c>
      <c r="AC627" s="67">
        <v>45565</v>
      </c>
      <c r="AD627" s="67">
        <v>45564</v>
      </c>
      <c r="AE627" s="67">
        <v>45565</v>
      </c>
    </row>
    <row r="628" spans="1:31" ht="12.5">
      <c r="A628" s="10">
        <v>610423040018</v>
      </c>
      <c r="B628" s="10" t="str">
        <v>UBINAN24-LAPANGAN-SR3</v>
      </c>
      <c r="C628" s="10">
        <v>0</v>
      </c>
      <c r="D628" s="10">
        <f ca="1"/>
        <v>1</v>
      </c>
      <c r="E628" s="10" t="str">
        <v>Handoko Tuah Sabarman Sipayung</v>
      </c>
      <c r="F628" s="10" t="str">
        <v>PPL</v>
      </c>
      <c r="G628" s="10" t="str">
        <v>1212092309880001</v>
      </c>
      <c r="H628" s="10" t="str">
        <v>PADI</v>
      </c>
      <c r="I628" s="10" t="str">
        <v>UBINAN24-LAPANGAN-SR3-PPL-PADI</v>
      </c>
      <c r="J628" s="10" t="str">
        <v>Dokumen</v>
      </c>
      <c r="K628" s="66">
        <v>78000</v>
      </c>
      <c r="L628" s="10">
        <v>2</v>
      </c>
      <c r="M628" s="10">
        <v>156000</v>
      </c>
      <c r="N628" s="10">
        <v>0</v>
      </c>
      <c r="O628" s="67">
        <v>45565</v>
      </c>
      <c r="P628" s="10">
        <v>2024</v>
      </c>
      <c r="Q628" s="10">
        <v>9</v>
      </c>
      <c r="R628" s="10" t="str">
        <v>SURVEI-PPL</v>
      </c>
      <c r="S628" s="10" t="str">
        <v>610423040018-2024-9</v>
      </c>
      <c r="T628" s="10" t="str">
        <v>610423040018-2024-9-SURVEI-PPL</v>
      </c>
      <c r="U628" s="10">
        <v>0</v>
      </c>
      <c r="V628" s="10" t="e">
        <f ca="1"/>
        <v>#NAME?</v>
      </c>
      <c r="W628" s="67">
        <v>0</v>
      </c>
      <c r="X628" s="11" t="str">
        <v>Survei Ubinan 2024 Subround 3</v>
      </c>
      <c r="Y628" s="11" t="str">
        <v>TOHO</v>
      </c>
      <c r="Z628" s="11" t="str">
        <v>PAK LAHENG</v>
      </c>
      <c r="AA628" s="67">
        <v>45535</v>
      </c>
      <c r="AB628" s="67">
        <v>45536</v>
      </c>
      <c r="AC628" s="67">
        <v>45565</v>
      </c>
      <c r="AD628" s="67">
        <v>45564</v>
      </c>
      <c r="AE628" s="67">
        <v>45565</v>
      </c>
    </row>
    <row r="629" spans="1:31" ht="12.5">
      <c r="A629" s="10">
        <v>610422040059</v>
      </c>
      <c r="B629" s="10" t="str">
        <v>UBINAN24-LAPANGAN-SR3</v>
      </c>
      <c r="C629" s="10">
        <v>0</v>
      </c>
      <c r="D629" s="10">
        <f ca="1"/>
        <v>1</v>
      </c>
      <c r="E629" s="10" t="str">
        <v>Abang Handri</v>
      </c>
      <c r="F629" s="10" t="str">
        <v>PPL</v>
      </c>
      <c r="G629" s="10" t="str">
        <v>6102072211780002</v>
      </c>
      <c r="H629" s="10" t="str">
        <v>PADI</v>
      </c>
      <c r="I629" s="10" t="str">
        <v>UBINAN24-LAPANGAN-SR3-PPL-PADI</v>
      </c>
      <c r="J629" s="10" t="str">
        <v>Dokumen</v>
      </c>
      <c r="K629" s="66">
        <v>78000</v>
      </c>
      <c r="L629" s="10">
        <v>3</v>
      </c>
      <c r="M629" s="10">
        <v>234000</v>
      </c>
      <c r="N629" s="10">
        <v>0</v>
      </c>
      <c r="O629" s="67">
        <v>45565</v>
      </c>
      <c r="P629" s="10">
        <v>2024</v>
      </c>
      <c r="Q629" s="10">
        <v>9</v>
      </c>
      <c r="R629" s="10" t="str">
        <v>SURVEI-PPL</v>
      </c>
      <c r="S629" s="10" t="str">
        <v>610422040059-2024-9</v>
      </c>
      <c r="T629" s="10" t="str">
        <v>610422040059-2024-9-SURVEI-PPL</v>
      </c>
      <c r="U629" s="10">
        <v>0</v>
      </c>
      <c r="V629" s="10" t="e">
        <f ca="1"/>
        <v>#NAME?</v>
      </c>
      <c r="W629" s="67">
        <v>0</v>
      </c>
      <c r="X629" s="11" t="str">
        <v>Survei Ubinan 2024 Subround 3</v>
      </c>
      <c r="Y629" s="11" t="str">
        <v>MEMPAWAH HILIR</v>
      </c>
      <c r="Z629" s="11" t="str">
        <v>TERUSAN</v>
      </c>
      <c r="AA629" s="67">
        <v>45535</v>
      </c>
      <c r="AB629" s="67">
        <v>45536</v>
      </c>
      <c r="AC629" s="67">
        <v>45565</v>
      </c>
      <c r="AD629" s="67">
        <v>45564</v>
      </c>
      <c r="AE629" s="67">
        <v>45565</v>
      </c>
    </row>
    <row r="630" spans="1:31" ht="12.5">
      <c r="A630" s="10">
        <v>610422100244</v>
      </c>
      <c r="B630" s="10" t="str">
        <v>UBINAN24-LAPANGAN-SR3</v>
      </c>
      <c r="C630" s="10">
        <v>0</v>
      </c>
      <c r="D630" s="10">
        <f ca="1"/>
        <v>1</v>
      </c>
      <c r="E630" s="10" t="str">
        <v>Sugianto</v>
      </c>
      <c r="F630" s="10" t="str">
        <v>PPL</v>
      </c>
      <c r="G630" s="10" t="str">
        <v>6102171003900002</v>
      </c>
      <c r="H630" s="10" t="str">
        <v>PADI</v>
      </c>
      <c r="I630" s="10" t="str">
        <v>UBINAN24-LAPANGAN-SR3-PPL-PADI</v>
      </c>
      <c r="J630" s="10" t="str">
        <v>Dokumen</v>
      </c>
      <c r="K630" s="66">
        <v>78000</v>
      </c>
      <c r="L630" s="10">
        <v>2</v>
      </c>
      <c r="M630" s="10">
        <v>156000</v>
      </c>
      <c r="N630" s="10">
        <v>0</v>
      </c>
      <c r="O630" s="67">
        <v>45565</v>
      </c>
      <c r="P630" s="10">
        <v>2024</v>
      </c>
      <c r="Q630" s="10">
        <v>9</v>
      </c>
      <c r="R630" s="10" t="str">
        <v>SURVEI-PPL</v>
      </c>
      <c r="S630" s="10" t="str">
        <v>610422100244-2024-9</v>
      </c>
      <c r="T630" s="10" t="str">
        <v>610422100244-2024-9-SURVEI-PPL</v>
      </c>
      <c r="U630" s="10">
        <v>0</v>
      </c>
      <c r="V630" s="10" t="e">
        <f ca="1"/>
        <v>#NAME?</v>
      </c>
      <c r="W630" s="67">
        <v>0</v>
      </c>
      <c r="X630" s="11" t="str">
        <v>Survei Ubinan 2024 Subround 3</v>
      </c>
      <c r="Y630" s="11" t="str">
        <v>SADANIANG</v>
      </c>
      <c r="Z630" s="11" t="str">
        <v>BUMBUN</v>
      </c>
      <c r="AA630" s="67">
        <v>45535</v>
      </c>
      <c r="AB630" s="67">
        <v>45536</v>
      </c>
      <c r="AC630" s="67">
        <v>45565</v>
      </c>
      <c r="AD630" s="67">
        <v>45564</v>
      </c>
      <c r="AE630" s="67">
        <v>45565</v>
      </c>
    </row>
    <row r="631" spans="1:31" ht="12.5">
      <c r="A631" s="10">
        <v>610422040061</v>
      </c>
      <c r="B631" s="10" t="str">
        <v>UBINAN24-LAPANGAN-SR3</v>
      </c>
      <c r="C631" s="10">
        <v>0</v>
      </c>
      <c r="D631" s="10">
        <f ca="1"/>
        <v>1</v>
      </c>
      <c r="E631" s="10" t="str">
        <v>Sabani</v>
      </c>
      <c r="F631" s="10" t="str">
        <v>PPL</v>
      </c>
      <c r="G631" s="10" t="str">
        <v>6102153112860003</v>
      </c>
      <c r="H631" s="10" t="str">
        <v>PADI</v>
      </c>
      <c r="I631" s="10" t="str">
        <v>UBINAN24-LAPANGAN-SR3-PPL-PADI</v>
      </c>
      <c r="J631" s="10" t="str">
        <v>Dokumen</v>
      </c>
      <c r="K631" s="66">
        <v>78000</v>
      </c>
      <c r="L631" s="10">
        <v>5</v>
      </c>
      <c r="M631" s="10">
        <v>390000</v>
      </c>
      <c r="N631" s="10">
        <v>0</v>
      </c>
      <c r="O631" s="67">
        <v>45565</v>
      </c>
      <c r="P631" s="10">
        <v>2024</v>
      </c>
      <c r="Q631" s="10">
        <v>9</v>
      </c>
      <c r="R631" s="10" t="str">
        <v>SURVEI-PPL</v>
      </c>
      <c r="S631" s="10" t="str">
        <v>610422040061-2024-9</v>
      </c>
      <c r="T631" s="10" t="str">
        <v>610422040061-2024-9-SURVEI-PPL</v>
      </c>
      <c r="U631" s="10">
        <v>0</v>
      </c>
      <c r="V631" s="10" t="e">
        <f ca="1"/>
        <v>#NAME?</v>
      </c>
      <c r="W631" s="67">
        <v>0</v>
      </c>
      <c r="X631" s="11" t="str">
        <v>Survei Ubinan 2024 Subround 3</v>
      </c>
      <c r="Y631" s="11" t="str">
        <v>SEGEDONG</v>
      </c>
      <c r="Z631" s="11" t="str">
        <v>PENITI BESAR</v>
      </c>
      <c r="AA631" s="67">
        <v>45535</v>
      </c>
      <c r="AB631" s="67">
        <v>45536</v>
      </c>
      <c r="AC631" s="67">
        <v>45565</v>
      </c>
      <c r="AD631" s="67">
        <v>45564</v>
      </c>
      <c r="AE631" s="67">
        <v>45565</v>
      </c>
    </row>
    <row r="632" spans="1:31" ht="12.5">
      <c r="A632" s="10">
        <v>610423110183</v>
      </c>
      <c r="B632" s="10" t="str">
        <v>UBINAN24-LAPANGAN-SR3</v>
      </c>
      <c r="C632" s="10">
        <v>0</v>
      </c>
      <c r="D632" s="10">
        <f ca="1"/>
        <v>1</v>
      </c>
      <c r="E632" s="10" t="str">
        <v>Azhar</v>
      </c>
      <c r="F632" s="10" t="str">
        <v>PPL</v>
      </c>
      <c r="G632" s="10" t="str">
        <v>6102081211790004</v>
      </c>
      <c r="H632" s="10" t="str">
        <v>PADI</v>
      </c>
      <c r="I632" s="10" t="str">
        <v>UBINAN24-LAPANGAN-SR3-PPL-PADI</v>
      </c>
      <c r="J632" s="10" t="str">
        <v>Dokumen</v>
      </c>
      <c r="K632" s="66">
        <v>78000</v>
      </c>
      <c r="L632" s="10">
        <v>4</v>
      </c>
      <c r="M632" s="10">
        <v>312000</v>
      </c>
      <c r="N632" s="10">
        <v>0</v>
      </c>
      <c r="O632" s="67">
        <v>45565</v>
      </c>
      <c r="P632" s="10">
        <v>2024</v>
      </c>
      <c r="Q632" s="10">
        <v>9</v>
      </c>
      <c r="R632" s="10" t="str">
        <v>SURVEI-PPL</v>
      </c>
      <c r="S632" s="10" t="str">
        <v>610423110183-2024-9</v>
      </c>
      <c r="T632" s="10" t="str">
        <v>610423110183-2024-9-SURVEI-PPL</v>
      </c>
      <c r="U632" s="10">
        <v>0</v>
      </c>
      <c r="V632" s="10" t="e">
        <f ca="1"/>
        <v>#NAME?</v>
      </c>
      <c r="W632" s="67">
        <v>0</v>
      </c>
      <c r="X632" s="11" t="str">
        <v>Survei Ubinan 2024 Subround 3</v>
      </c>
      <c r="Y632" s="11" t="str">
        <v>JONGKAT</v>
      </c>
      <c r="Z632" s="11" t="str">
        <v>SUNGAI NIPAH</v>
      </c>
      <c r="AA632" s="67">
        <v>45535</v>
      </c>
      <c r="AB632" s="67">
        <v>45536</v>
      </c>
      <c r="AC632" s="67">
        <v>45565</v>
      </c>
      <c r="AD632" s="67">
        <v>45564</v>
      </c>
      <c r="AE632" s="67">
        <v>45565</v>
      </c>
    </row>
    <row r="633" spans="1:31" ht="12.5">
      <c r="A633" s="10">
        <v>610422100131</v>
      </c>
      <c r="B633" s="10" t="str">
        <v>UBINAN24-LAPANGAN-SR3</v>
      </c>
      <c r="C633" s="10">
        <v>0</v>
      </c>
      <c r="D633" s="10">
        <f ca="1"/>
        <v>1</v>
      </c>
      <c r="E633" s="10" t="str">
        <v>Syamsul</v>
      </c>
      <c r="F633" s="10" t="str">
        <v>PPL</v>
      </c>
      <c r="G633" s="10" t="str">
        <v>6102150907860003</v>
      </c>
      <c r="H633" s="10" t="str">
        <v>PADI</v>
      </c>
      <c r="I633" s="10" t="str">
        <v>UBINAN24-LAPANGAN-SR3-PPL-PADI</v>
      </c>
      <c r="J633" s="10" t="str">
        <v>Dokumen</v>
      </c>
      <c r="K633" s="66">
        <v>78000</v>
      </c>
      <c r="L633" s="10">
        <v>7</v>
      </c>
      <c r="M633" s="10">
        <v>546000</v>
      </c>
      <c r="N633" s="10">
        <v>0</v>
      </c>
      <c r="O633" s="67">
        <v>45565</v>
      </c>
      <c r="P633" s="10">
        <v>2024</v>
      </c>
      <c r="Q633" s="10">
        <v>9</v>
      </c>
      <c r="R633" s="10" t="str">
        <v>SURVEI-PPL</v>
      </c>
      <c r="S633" s="10" t="str">
        <v>610422100131-2024-9</v>
      </c>
      <c r="T633" s="10" t="str">
        <v>610422100131-2024-9-SURVEI-PPL</v>
      </c>
      <c r="U633" s="10">
        <v>0</v>
      </c>
      <c r="V633" s="10" t="e">
        <f ca="1"/>
        <v>#NAME?</v>
      </c>
      <c r="W633" s="67">
        <v>0</v>
      </c>
      <c r="X633" s="11" t="str">
        <v>Survei Ubinan 2024 Subround 3</v>
      </c>
      <c r="Y633" s="11" t="str">
        <v>SUNGAI KUNYIT</v>
      </c>
      <c r="Z633" s="11" t="str">
        <v>SUNGAI KUNYIT LAUT</v>
      </c>
      <c r="AA633" s="67">
        <v>45535</v>
      </c>
      <c r="AB633" s="67">
        <v>45536</v>
      </c>
      <c r="AC633" s="67">
        <v>45565</v>
      </c>
      <c r="AD633" s="67">
        <v>45564</v>
      </c>
      <c r="AE633" s="67">
        <v>45565</v>
      </c>
    </row>
    <row r="634" spans="1:31" ht="12.5">
      <c r="A634" s="10">
        <v>610422100131</v>
      </c>
      <c r="B634" s="10" t="str">
        <v>UBINAN24-LAPANGAN-SR3</v>
      </c>
      <c r="C634" s="10">
        <v>0</v>
      </c>
      <c r="D634" s="10">
        <f ca="1"/>
        <v>1</v>
      </c>
      <c r="E634" s="10" t="str">
        <v>Syamsul</v>
      </c>
      <c r="F634" s="10" t="str">
        <v>PPL</v>
      </c>
      <c r="G634" s="10" t="str">
        <v>6102150907860003</v>
      </c>
      <c r="H634" s="10" t="str">
        <v>PALAWIJA</v>
      </c>
      <c r="I634" s="10" t="str">
        <v>UBINAN24-LAPANGAN-SR3-PPL-PALAWIJA</v>
      </c>
      <c r="J634" s="10" t="str">
        <v>Dokumen</v>
      </c>
      <c r="K634" s="66">
        <v>78000</v>
      </c>
      <c r="L634" s="10">
        <v>17</v>
      </c>
      <c r="M634" s="10">
        <v>1326000</v>
      </c>
      <c r="N634" s="10">
        <v>0</v>
      </c>
      <c r="O634" s="67">
        <v>45565</v>
      </c>
      <c r="P634" s="10">
        <v>2024</v>
      </c>
      <c r="Q634" s="10">
        <v>9</v>
      </c>
      <c r="R634" s="10" t="str">
        <v>SURVEI-PPL</v>
      </c>
      <c r="S634" s="10" t="str">
        <v>610422100131-2024-9</v>
      </c>
      <c r="T634" s="10" t="str">
        <v>610422100131-2024-9-SURVEI-PPL</v>
      </c>
      <c r="U634" s="10">
        <v>0</v>
      </c>
      <c r="V634" s="10" t="e">
        <f ca="1"/>
        <v>#NAME?</v>
      </c>
      <c r="W634" s="67">
        <v>0</v>
      </c>
      <c r="X634" s="11" t="str">
        <v>Survei Ubinan 2024 Subround 3</v>
      </c>
      <c r="Y634" s="11" t="str">
        <v>SUNGAI KUNYIT</v>
      </c>
      <c r="Z634" s="11" t="str">
        <v>SUNGAI KUNYIT LAUT</v>
      </c>
      <c r="AA634" s="67">
        <v>45535</v>
      </c>
      <c r="AB634" s="67">
        <v>45536</v>
      </c>
      <c r="AC634" s="67">
        <v>45565</v>
      </c>
      <c r="AD634" s="67">
        <v>45564</v>
      </c>
      <c r="AE634" s="67">
        <v>45565</v>
      </c>
    </row>
    <row r="635" spans="1:31" ht="12.5">
      <c r="A635" s="10">
        <v>610422040012</v>
      </c>
      <c r="B635" s="10" t="str">
        <v>UBINAN24-LAPANGAN-SR3</v>
      </c>
      <c r="C635" s="10">
        <v>0</v>
      </c>
      <c r="D635" s="10">
        <f ca="1"/>
        <v>1</v>
      </c>
      <c r="E635" s="10" t="str">
        <v>Misdi</v>
      </c>
      <c r="F635" s="10" t="str">
        <v>PPL</v>
      </c>
      <c r="G635" s="10" t="str">
        <v>6102070706940001</v>
      </c>
      <c r="H635" s="10" t="str">
        <v>PALAWIJA</v>
      </c>
      <c r="I635" s="10" t="str">
        <v>UBINAN24-LAPANGAN-SR3-PPL-PALAWIJA</v>
      </c>
      <c r="J635" s="10" t="str">
        <v>Dokumen</v>
      </c>
      <c r="K635" s="66">
        <v>78000</v>
      </c>
      <c r="L635" s="10">
        <v>17</v>
      </c>
      <c r="M635" s="10">
        <v>1326000</v>
      </c>
      <c r="N635" s="10">
        <v>0</v>
      </c>
      <c r="O635" s="67">
        <v>45565</v>
      </c>
      <c r="P635" s="10">
        <v>2024</v>
      </c>
      <c r="Q635" s="10">
        <v>9</v>
      </c>
      <c r="R635" s="10" t="str">
        <v>SURVEI-PPL</v>
      </c>
      <c r="S635" s="10" t="str">
        <v>610422040012-2024-9</v>
      </c>
      <c r="T635" s="10" t="str">
        <v>610422040012-2024-9-SURVEI-PPL</v>
      </c>
      <c r="U635" s="10">
        <v>0</v>
      </c>
      <c r="V635" s="10" t="e">
        <f ca="1"/>
        <v>#NAME?</v>
      </c>
      <c r="W635" s="67">
        <v>0</v>
      </c>
      <c r="X635" s="11" t="str">
        <v>Survei Ubinan 2024 Subround 3</v>
      </c>
      <c r="Y635" s="11" t="str">
        <v>SUNGAI PINYUH</v>
      </c>
      <c r="Z635" s="11" t="str">
        <v>SUNGAI BAKAU BESAR DARAT</v>
      </c>
      <c r="AA635" s="67">
        <v>45535</v>
      </c>
      <c r="AB635" s="67">
        <v>45536</v>
      </c>
      <c r="AC635" s="67">
        <v>45565</v>
      </c>
      <c r="AD635" s="67">
        <v>45564</v>
      </c>
      <c r="AE635" s="67">
        <v>45565</v>
      </c>
    </row>
    <row r="636" spans="1:31" ht="12.5">
      <c r="A636" s="10">
        <v>610422020045</v>
      </c>
      <c r="B636" s="10" t="str">
        <v>SUSENAS24-LAPANGAN-SEMESTER2</v>
      </c>
      <c r="C636" s="10">
        <v>0</v>
      </c>
      <c r="D636" s="10">
        <f ca="1"/>
        <v>1</v>
      </c>
      <c r="E636" s="10" t="str">
        <v>Herdinatara Febria</v>
      </c>
      <c r="F636" s="10">
        <v>0</v>
      </c>
      <c r="G636" s="10">
        <v>0</v>
      </c>
      <c r="H636" s="10" t="str">
        <v>PENDATAAN</v>
      </c>
      <c r="I636" s="10" t="str">
        <v>SUSENAS24-LAPANGAN-SEMESTER2-PPL-PENDATAAN</v>
      </c>
      <c r="J636" s="10" t="str">
        <v>Dokumen</v>
      </c>
      <c r="K636" s="66">
        <v>119000</v>
      </c>
      <c r="L636" s="10">
        <v>10</v>
      </c>
      <c r="M636" s="10">
        <v>1190000</v>
      </c>
      <c r="N636" s="10">
        <v>0</v>
      </c>
      <c r="O636" s="67">
        <v>45565</v>
      </c>
      <c r="P636" s="10">
        <v>2024</v>
      </c>
      <c r="Q636" s="10">
        <v>9</v>
      </c>
      <c r="R636" s="10" t="str">
        <v>SURVEI-PPL</v>
      </c>
      <c r="S636" s="10" t="str">
        <v>610422020045-2024-9</v>
      </c>
      <c r="T636" s="10" t="str">
        <v>610422020045-2024-9-SURVEI-PPL</v>
      </c>
      <c r="U636" s="10">
        <v>0</v>
      </c>
      <c r="V636" s="10">
        <v>-19</v>
      </c>
      <c r="W636" s="67">
        <v>0</v>
      </c>
      <c r="X636" s="11" t="str">
        <v>Susenas September 2024</v>
      </c>
      <c r="Y636" s="11" t="str">
        <v>JONGKAT</v>
      </c>
      <c r="Z636" s="11" t="str">
        <v>WAJOK HILIR</v>
      </c>
      <c r="AA636" s="67">
        <v>45535</v>
      </c>
      <c r="AB636" s="67">
        <v>45536</v>
      </c>
      <c r="AC636" s="67">
        <v>45565</v>
      </c>
      <c r="AD636" s="67">
        <v>45564</v>
      </c>
      <c r="AE636" s="67">
        <v>45565</v>
      </c>
    </row>
    <row r="637" spans="1:31" ht="12.5">
      <c r="A637" s="10">
        <v>610422020016</v>
      </c>
      <c r="B637" s="10" t="str">
        <v>SUSENAS24-LAPANGAN-SEMESTER2</v>
      </c>
      <c r="C637" s="10">
        <v>0</v>
      </c>
      <c r="D637" s="10">
        <f ca="1"/>
        <v>1</v>
      </c>
      <c r="E637" s="10" t="str">
        <v>Abdul Aziz</v>
      </c>
      <c r="F637" s="10">
        <v>0</v>
      </c>
      <c r="G637" s="10">
        <v>0</v>
      </c>
      <c r="H637" s="10" t="str">
        <v>PENDATAAN</v>
      </c>
      <c r="I637" s="10" t="str">
        <v>SUSENAS24-LAPANGAN-SEMESTER2-PPL-PENDATAAN</v>
      </c>
      <c r="J637" s="10" t="str">
        <v>Dokumen</v>
      </c>
      <c r="K637" s="66">
        <v>119000</v>
      </c>
      <c r="L637" s="10">
        <v>10</v>
      </c>
      <c r="M637" s="10">
        <v>1190000</v>
      </c>
      <c r="N637" s="10">
        <v>0</v>
      </c>
      <c r="O637" s="67">
        <v>45565</v>
      </c>
      <c r="P637" s="10">
        <v>2024</v>
      </c>
      <c r="Q637" s="10">
        <v>9</v>
      </c>
      <c r="R637" s="10" t="str">
        <v>SURVEI-PPL</v>
      </c>
      <c r="S637" s="10" t="str">
        <v>610422020016-2024-9</v>
      </c>
      <c r="T637" s="10" t="str">
        <v>610422020016-2024-9-SURVEI-PPL</v>
      </c>
      <c r="U637" s="10">
        <v>0</v>
      </c>
      <c r="V637" s="10">
        <v>-19</v>
      </c>
      <c r="W637" s="67">
        <v>0</v>
      </c>
      <c r="X637" s="11" t="str">
        <v>Susenas September 2024</v>
      </c>
      <c r="Y637" s="11" t="str">
        <v>TOHO</v>
      </c>
      <c r="Z637" s="11" t="str">
        <v>SAMBORA</v>
      </c>
      <c r="AA637" s="67">
        <v>45535</v>
      </c>
      <c r="AB637" s="67">
        <v>45536</v>
      </c>
      <c r="AC637" s="67">
        <v>45565</v>
      </c>
      <c r="AD637" s="67">
        <v>45564</v>
      </c>
      <c r="AE637" s="67">
        <v>45565</v>
      </c>
    </row>
    <row r="638" spans="1:31" ht="12.5">
      <c r="A638" s="10">
        <v>610422020032</v>
      </c>
      <c r="B638" s="10" t="str">
        <v>SUSENAS24-LAPANGAN-SEMESTER2</v>
      </c>
      <c r="C638" s="10">
        <v>0</v>
      </c>
      <c r="D638" s="10">
        <f ca="1"/>
        <v>1</v>
      </c>
      <c r="E638" s="10" t="str">
        <v>Lilis Suryani</v>
      </c>
      <c r="F638" s="10">
        <v>0</v>
      </c>
      <c r="G638" s="10">
        <v>0</v>
      </c>
      <c r="H638" s="10" t="str">
        <v>PENDATAAN</v>
      </c>
      <c r="I638" s="10" t="str">
        <v>SUSENAS24-LAPANGAN-SEMESTER2-PPL-PENDATAAN</v>
      </c>
      <c r="J638" s="10" t="str">
        <v>Dokumen</v>
      </c>
      <c r="K638" s="66">
        <v>119000</v>
      </c>
      <c r="L638" s="10">
        <v>10</v>
      </c>
      <c r="M638" s="10">
        <v>1190000</v>
      </c>
      <c r="N638" s="10">
        <v>0</v>
      </c>
      <c r="O638" s="67">
        <v>45565</v>
      </c>
      <c r="P638" s="10">
        <v>2024</v>
      </c>
      <c r="Q638" s="10">
        <v>9</v>
      </c>
      <c r="R638" s="10" t="str">
        <v>SURVEI-PPL</v>
      </c>
      <c r="S638" s="10" t="str">
        <v>610422020032-2024-9</v>
      </c>
      <c r="T638" s="10" t="str">
        <v>610422020032-2024-9-SURVEI-PPL</v>
      </c>
      <c r="U638" s="10">
        <v>0</v>
      </c>
      <c r="V638" s="10">
        <v>-19</v>
      </c>
      <c r="W638" s="67">
        <v>0</v>
      </c>
      <c r="X638" s="11" t="str">
        <v>Susenas September 2024</v>
      </c>
      <c r="Y638" s="11" t="str">
        <v>MEMPAWAH TIMUR</v>
      </c>
      <c r="Z638" s="11" t="str">
        <v>PARIT BANJAR</v>
      </c>
      <c r="AA638" s="67">
        <v>45535</v>
      </c>
      <c r="AB638" s="67">
        <v>45536</v>
      </c>
      <c r="AC638" s="67">
        <v>45565</v>
      </c>
      <c r="AD638" s="67">
        <v>45564</v>
      </c>
      <c r="AE638" s="67">
        <v>45565</v>
      </c>
    </row>
    <row r="639" spans="1:31" ht="12.5">
      <c r="A639" s="10">
        <v>610422040029</v>
      </c>
      <c r="B639" s="10" t="str">
        <v>SUSENAS24-LAPANGAN-SEMESTER2</v>
      </c>
      <c r="C639" s="10">
        <v>0</v>
      </c>
      <c r="D639" s="10">
        <f ca="1"/>
        <v>1</v>
      </c>
      <c r="E639" s="10" t="str">
        <v>Zaini</v>
      </c>
      <c r="F639" s="10">
        <v>0</v>
      </c>
      <c r="G639" s="10">
        <v>0</v>
      </c>
      <c r="H639" s="10" t="str">
        <v>PENDATAAN</v>
      </c>
      <c r="I639" s="10" t="str">
        <v>SUSENAS24-LAPANGAN-SEMESTER2-PPL-PENDATAAN</v>
      </c>
      <c r="J639" s="10" t="str">
        <v>Dokumen</v>
      </c>
      <c r="K639" s="66">
        <v>119000</v>
      </c>
      <c r="L639" s="10">
        <v>10</v>
      </c>
      <c r="M639" s="10">
        <v>1190000</v>
      </c>
      <c r="N639" s="10">
        <v>0</v>
      </c>
      <c r="O639" s="67">
        <v>45565</v>
      </c>
      <c r="P639" s="10">
        <v>2024</v>
      </c>
      <c r="Q639" s="10">
        <v>9</v>
      </c>
      <c r="R639" s="10" t="str">
        <v>SURVEI-PPL</v>
      </c>
      <c r="S639" s="10" t="str">
        <v>610422040029-2024-9</v>
      </c>
      <c r="T639" s="10" t="str">
        <v>610422040029-2024-9-SURVEI-PPL</v>
      </c>
      <c r="U639" s="10">
        <v>0</v>
      </c>
      <c r="V639" s="10">
        <v>-19</v>
      </c>
      <c r="W639" s="67">
        <v>0</v>
      </c>
      <c r="X639" s="11" t="str">
        <v>Susenas September 2024</v>
      </c>
      <c r="Y639" s="11" t="str">
        <v>MEMPAWAH HILIR</v>
      </c>
      <c r="Z639" s="11" t="str">
        <v>TENGAH</v>
      </c>
      <c r="AA639" s="67">
        <v>45535</v>
      </c>
      <c r="AB639" s="67">
        <v>45536</v>
      </c>
      <c r="AC639" s="67">
        <v>45565</v>
      </c>
      <c r="AD639" s="67">
        <v>45564</v>
      </c>
      <c r="AE639" s="67">
        <v>45565</v>
      </c>
    </row>
    <row r="640" spans="1:31" ht="12.5">
      <c r="A640" s="10">
        <v>610422040053</v>
      </c>
      <c r="B640" s="10" t="str">
        <v>SUSENAS24-LAPANGAN-SEMESTER2</v>
      </c>
      <c r="C640" s="10">
        <v>0</v>
      </c>
      <c r="D640" s="10">
        <f ca="1"/>
        <v>1</v>
      </c>
      <c r="E640" s="10" t="str">
        <v>Veti Ningsi</v>
      </c>
      <c r="F640" s="10">
        <v>0</v>
      </c>
      <c r="G640" s="10">
        <v>0</v>
      </c>
      <c r="H640" s="10" t="str">
        <v>PENDATAAN</v>
      </c>
      <c r="I640" s="10" t="str">
        <v>SUSENAS24-LAPANGAN-SEMESTER2-PPL-PENDATAAN</v>
      </c>
      <c r="J640" s="10" t="str">
        <v>Dokumen</v>
      </c>
      <c r="K640" s="66">
        <v>119000</v>
      </c>
      <c r="L640" s="10">
        <v>10</v>
      </c>
      <c r="M640" s="10">
        <v>1190000</v>
      </c>
      <c r="N640" s="10">
        <v>0</v>
      </c>
      <c r="O640" s="67">
        <v>45565</v>
      </c>
      <c r="P640" s="10">
        <v>2024</v>
      </c>
      <c r="Q640" s="10">
        <v>9</v>
      </c>
      <c r="R640" s="10" t="str">
        <v>SURVEI-PPL</v>
      </c>
      <c r="S640" s="10" t="str">
        <v>610422040053-2024-9</v>
      </c>
      <c r="T640" s="10" t="str">
        <v>610422040053-2024-9-SURVEI-PPL</v>
      </c>
      <c r="U640" s="10">
        <v>0</v>
      </c>
      <c r="V640" s="10">
        <v>-19</v>
      </c>
      <c r="W640" s="67">
        <v>0</v>
      </c>
      <c r="X640" s="11" t="str">
        <v>Susenas September 2024</v>
      </c>
      <c r="Y640" s="11" t="str">
        <v>SUNGAI KUNYIT</v>
      </c>
      <c r="Z640" s="11" t="str">
        <v>SUNGAI BUNDUNG LAUT</v>
      </c>
      <c r="AA640" s="67">
        <v>45535</v>
      </c>
      <c r="AB640" s="67">
        <v>45536</v>
      </c>
      <c r="AC640" s="67">
        <v>45565</v>
      </c>
      <c r="AD640" s="67">
        <v>45564</v>
      </c>
      <c r="AE640" s="67">
        <v>45565</v>
      </c>
    </row>
    <row r="641" spans="1:31" ht="12.5">
      <c r="A641" s="10">
        <v>610422040038</v>
      </c>
      <c r="B641" s="10" t="str">
        <v>SUSENAS24-LAPANGAN-SEMESTER2</v>
      </c>
      <c r="C641" s="10">
        <v>0</v>
      </c>
      <c r="D641" s="10">
        <f ca="1"/>
        <v>1</v>
      </c>
      <c r="E641" s="10" t="str">
        <v>Yuyun Antoni, S.E.</v>
      </c>
      <c r="F641" s="10">
        <v>0</v>
      </c>
      <c r="G641" s="10">
        <v>0</v>
      </c>
      <c r="H641" s="10" t="str">
        <v>PENDATAAN</v>
      </c>
      <c r="I641" s="10" t="str">
        <v>SUSENAS24-LAPANGAN-SEMESTER2-PPL-PENDATAAN</v>
      </c>
      <c r="J641" s="10" t="str">
        <v>Dokumen</v>
      </c>
      <c r="K641" s="66">
        <v>119000</v>
      </c>
      <c r="L641" s="10">
        <v>10</v>
      </c>
      <c r="M641" s="10">
        <v>1190000</v>
      </c>
      <c r="N641" s="10">
        <v>0</v>
      </c>
      <c r="O641" s="67">
        <v>45565</v>
      </c>
      <c r="P641" s="10">
        <v>2024</v>
      </c>
      <c r="Q641" s="10">
        <v>9</v>
      </c>
      <c r="R641" s="10" t="str">
        <v>SURVEI-PPL</v>
      </c>
      <c r="S641" s="10" t="str">
        <v>610422040038-2024-9</v>
      </c>
      <c r="T641" s="10" t="str">
        <v>610422040038-2024-9-SURVEI-PPL</v>
      </c>
      <c r="U641" s="10">
        <v>0</v>
      </c>
      <c r="V641" s="10">
        <v>-19</v>
      </c>
      <c r="W641" s="67">
        <v>0</v>
      </c>
      <c r="X641" s="11" t="str">
        <v>Susenas September 2024</v>
      </c>
      <c r="Y641" s="11" t="str">
        <v>SUNGAI KUNYIT</v>
      </c>
      <c r="Z641" s="11" t="str">
        <v>SUNGAI LIMAU</v>
      </c>
      <c r="AA641" s="67">
        <v>45535</v>
      </c>
      <c r="AB641" s="67">
        <v>45536</v>
      </c>
      <c r="AC641" s="67">
        <v>45565</v>
      </c>
      <c r="AD641" s="67">
        <v>45564</v>
      </c>
      <c r="AE641" s="67">
        <v>45565</v>
      </c>
    </row>
    <row r="642" spans="1:31" ht="12.5">
      <c r="A642" s="10">
        <v>610422040034</v>
      </c>
      <c r="B642" s="10" t="str">
        <v>SUSENAS24-LAPANGAN-SEMESTER2</v>
      </c>
      <c r="C642" s="10">
        <v>0</v>
      </c>
      <c r="D642" s="10">
        <f ca="1"/>
        <v>1</v>
      </c>
      <c r="E642" s="10" t="str">
        <v>Nelly Nalita</v>
      </c>
      <c r="F642" s="10">
        <v>0</v>
      </c>
      <c r="G642" s="10">
        <v>0</v>
      </c>
      <c r="H642" s="10" t="str">
        <v>PENDATAAN</v>
      </c>
      <c r="I642" s="10" t="str">
        <v>SUSENAS24-LAPANGAN-SEMESTER2-PPL-PENDATAAN</v>
      </c>
      <c r="J642" s="10" t="str">
        <v>Dokumen</v>
      </c>
      <c r="K642" s="66">
        <v>119000</v>
      </c>
      <c r="L642" s="10">
        <v>10</v>
      </c>
      <c r="M642" s="10">
        <v>1190000</v>
      </c>
      <c r="N642" s="10">
        <v>0</v>
      </c>
      <c r="O642" s="67">
        <v>45565</v>
      </c>
      <c r="P642" s="10">
        <v>2024</v>
      </c>
      <c r="Q642" s="10">
        <v>9</v>
      </c>
      <c r="R642" s="10" t="str">
        <v>SURVEI-PPL</v>
      </c>
      <c r="S642" s="10" t="str">
        <v>610422040034-2024-9</v>
      </c>
      <c r="T642" s="10" t="str">
        <v>610422040034-2024-9-SURVEI-PPL</v>
      </c>
      <c r="U642" s="10">
        <v>0</v>
      </c>
      <c r="V642" s="10">
        <v>-19</v>
      </c>
      <c r="W642" s="67">
        <v>0</v>
      </c>
      <c r="X642" s="11" t="str">
        <v>Susenas September 2024</v>
      </c>
      <c r="Y642" s="11" t="str">
        <v>MEMPAWAH HILIR</v>
      </c>
      <c r="Z642" s="11" t="str">
        <v>SENGKUBANG</v>
      </c>
      <c r="AA642" s="67">
        <v>45535</v>
      </c>
      <c r="AB642" s="67">
        <v>45536</v>
      </c>
      <c r="AC642" s="67">
        <v>45565</v>
      </c>
      <c r="AD642" s="67">
        <v>45564</v>
      </c>
      <c r="AE642" s="67">
        <v>45565</v>
      </c>
    </row>
    <row r="643" spans="1:31" ht="12.5">
      <c r="A643" s="10">
        <v>610422040058</v>
      </c>
      <c r="B643" s="10" t="str">
        <v>SUSENAS24-LAPANGAN-SEMESTER2</v>
      </c>
      <c r="C643" s="10">
        <v>0</v>
      </c>
      <c r="D643" s="10">
        <f ca="1"/>
        <v>1</v>
      </c>
      <c r="E643" s="10" t="str">
        <v>Jamaluddin, Sp</v>
      </c>
      <c r="F643" s="10">
        <v>0</v>
      </c>
      <c r="G643" s="10">
        <v>0</v>
      </c>
      <c r="H643" s="10" t="str">
        <v>PENDATAAN</v>
      </c>
      <c r="I643" s="10" t="str">
        <v>SUSENAS24-LAPANGAN-SEMESTER2-PPL-PENDATAAN</v>
      </c>
      <c r="J643" s="10" t="str">
        <v>Dokumen</v>
      </c>
      <c r="K643" s="66">
        <v>119000</v>
      </c>
      <c r="L643" s="10">
        <v>10</v>
      </c>
      <c r="M643" s="10">
        <v>1190000</v>
      </c>
      <c r="N643" s="10">
        <v>0</v>
      </c>
      <c r="O643" s="67">
        <v>45565</v>
      </c>
      <c r="P643" s="10">
        <v>2024</v>
      </c>
      <c r="Q643" s="10">
        <v>9</v>
      </c>
      <c r="R643" s="10" t="str">
        <v>SURVEI-PPL</v>
      </c>
      <c r="S643" s="10" t="str">
        <v>610422040058-2024-9</v>
      </c>
      <c r="T643" s="10" t="str">
        <v>610422040058-2024-9-SURVEI-PPL</v>
      </c>
      <c r="U643" s="10">
        <v>0</v>
      </c>
      <c r="V643" s="10">
        <v>-19</v>
      </c>
      <c r="W643" s="67">
        <v>0</v>
      </c>
      <c r="X643" s="11" t="str">
        <v>Susenas September 2024</v>
      </c>
      <c r="Y643" s="11" t="str">
        <v>SEGEDONG</v>
      </c>
      <c r="Z643" s="11" t="str">
        <v>PENITI DALAM I</v>
      </c>
      <c r="AA643" s="67">
        <v>45535</v>
      </c>
      <c r="AB643" s="67">
        <v>45536</v>
      </c>
      <c r="AC643" s="67">
        <v>45565</v>
      </c>
      <c r="AD643" s="67">
        <v>45564</v>
      </c>
      <c r="AE643" s="67">
        <v>45565</v>
      </c>
    </row>
    <row r="644" spans="1:31" ht="12.5">
      <c r="A644" s="10">
        <v>610422040052</v>
      </c>
      <c r="B644" s="10" t="str">
        <v>SUSENAS24-LAPANGAN-SEMESTER2</v>
      </c>
      <c r="C644" s="10">
        <v>0</v>
      </c>
      <c r="D644" s="10">
        <f ca="1"/>
        <v>1</v>
      </c>
      <c r="E644" s="10" t="str">
        <v>Yusimianto</v>
      </c>
      <c r="F644" s="10">
        <v>0</v>
      </c>
      <c r="G644" s="10">
        <v>0</v>
      </c>
      <c r="H644" s="10" t="str">
        <v>PENDATAAN</v>
      </c>
      <c r="I644" s="10" t="str">
        <v>SUSENAS24-LAPANGAN-SEMESTER2-PPL-PENDATAAN</v>
      </c>
      <c r="J644" s="10" t="str">
        <v>Dokumen</v>
      </c>
      <c r="K644" s="66">
        <v>119000</v>
      </c>
      <c r="L644" s="10">
        <v>10</v>
      </c>
      <c r="M644" s="10">
        <v>1190000</v>
      </c>
      <c r="N644" s="10">
        <v>0</v>
      </c>
      <c r="O644" s="67">
        <v>45565</v>
      </c>
      <c r="P644" s="10">
        <v>2024</v>
      </c>
      <c r="Q644" s="10">
        <v>9</v>
      </c>
      <c r="R644" s="10" t="str">
        <v>SURVEI-PPL</v>
      </c>
      <c r="S644" s="10" t="str">
        <v>610422040052-2024-9</v>
      </c>
      <c r="T644" s="10" t="str">
        <v>610422040052-2024-9-SURVEI-PPL</v>
      </c>
      <c r="U644" s="10">
        <v>0</v>
      </c>
      <c r="V644" s="10">
        <v>-19</v>
      </c>
      <c r="W644" s="67">
        <v>0</v>
      </c>
      <c r="X644" s="11" t="str">
        <v>Susenas September 2024</v>
      </c>
      <c r="Y644" s="11" t="str">
        <v>ANJONGAN</v>
      </c>
      <c r="Z644" s="11" t="str">
        <v>PAK BULU</v>
      </c>
      <c r="AA644" s="67">
        <v>45535</v>
      </c>
      <c r="AB644" s="67">
        <v>45536</v>
      </c>
      <c r="AC644" s="67">
        <v>45565</v>
      </c>
      <c r="AD644" s="67">
        <v>45564</v>
      </c>
      <c r="AE644" s="67">
        <v>45565</v>
      </c>
    </row>
    <row r="645" spans="1:31" ht="12.5">
      <c r="A645" s="10">
        <v>610422100085</v>
      </c>
      <c r="B645" s="10" t="str">
        <v>SUSENAS24-LAPANGAN-SEMESTER2</v>
      </c>
      <c r="C645" s="10">
        <v>0</v>
      </c>
      <c r="D645" s="10">
        <f ca="1"/>
        <v>1</v>
      </c>
      <c r="E645" s="10" t="str">
        <v>Lina Agustin Widya Siwi</v>
      </c>
      <c r="F645" s="10">
        <v>0</v>
      </c>
      <c r="G645" s="10">
        <v>0</v>
      </c>
      <c r="H645" s="10" t="str">
        <v>PENDATAAN</v>
      </c>
      <c r="I645" s="10" t="str">
        <v>SUSENAS24-LAPANGAN-SEMESTER2-PPL-PENDATAAN</v>
      </c>
      <c r="J645" s="10" t="str">
        <v>Dokumen</v>
      </c>
      <c r="K645" s="66">
        <v>119000</v>
      </c>
      <c r="L645" s="10">
        <v>10</v>
      </c>
      <c r="M645" s="10">
        <v>1190000</v>
      </c>
      <c r="N645" s="10">
        <v>0</v>
      </c>
      <c r="O645" s="67">
        <v>45565</v>
      </c>
      <c r="P645" s="10">
        <v>2024</v>
      </c>
      <c r="Q645" s="10">
        <v>9</v>
      </c>
      <c r="R645" s="10" t="str">
        <v>SURVEI-PPL</v>
      </c>
      <c r="S645" s="10" t="str">
        <v>610422100085-2024-9</v>
      </c>
      <c r="T645" s="10" t="str">
        <v>610422100085-2024-9-SURVEI-PPL</v>
      </c>
      <c r="U645" s="10">
        <v>0</v>
      </c>
      <c r="V645" s="10">
        <v>-19</v>
      </c>
      <c r="W645" s="67">
        <v>0</v>
      </c>
      <c r="X645" s="11" t="str">
        <v>Susenas September 2024</v>
      </c>
      <c r="Y645" s="11" t="str">
        <v>SUNGAI PINYUH</v>
      </c>
      <c r="Z645" s="11" t="str">
        <v>NUSAPATI</v>
      </c>
      <c r="AA645" s="67">
        <v>45535</v>
      </c>
      <c r="AB645" s="67">
        <v>45536</v>
      </c>
      <c r="AC645" s="67">
        <v>45565</v>
      </c>
      <c r="AD645" s="67">
        <v>45564</v>
      </c>
      <c r="AE645" s="67">
        <v>45565</v>
      </c>
    </row>
    <row r="646" spans="1:31" ht="12.5">
      <c r="A646" s="10">
        <v>610422100101</v>
      </c>
      <c r="B646" s="10" t="str">
        <v>SUSENAS24-LAPANGAN-SEMESTER2</v>
      </c>
      <c r="C646" s="10">
        <v>0</v>
      </c>
      <c r="D646" s="10">
        <f ca="1"/>
        <v>1</v>
      </c>
      <c r="E646" s="10" t="str">
        <v>Sukmawati,S.Si</v>
      </c>
      <c r="F646" s="10">
        <v>0</v>
      </c>
      <c r="G646" s="10">
        <v>0</v>
      </c>
      <c r="H646" s="10" t="str">
        <v>PENDATAAN</v>
      </c>
      <c r="I646" s="10" t="str">
        <v>SUSENAS24-LAPANGAN-SEMESTER2-PPL-PENDATAAN</v>
      </c>
      <c r="J646" s="10" t="str">
        <v>Dokumen</v>
      </c>
      <c r="K646" s="66">
        <v>119000</v>
      </c>
      <c r="L646" s="10">
        <v>10</v>
      </c>
      <c r="M646" s="10">
        <v>1190000</v>
      </c>
      <c r="N646" s="10">
        <v>0</v>
      </c>
      <c r="O646" s="67">
        <v>45565</v>
      </c>
      <c r="P646" s="10">
        <v>2024</v>
      </c>
      <c r="Q646" s="10">
        <v>9</v>
      </c>
      <c r="R646" s="10" t="str">
        <v>SURVEI-PPL</v>
      </c>
      <c r="S646" s="10" t="str">
        <v>610422100101-2024-9</v>
      </c>
      <c r="T646" s="10" t="str">
        <v>610422100101-2024-9-SURVEI-PPL</v>
      </c>
      <c r="U646" s="10">
        <v>0</v>
      </c>
      <c r="V646" s="10">
        <v>-19</v>
      </c>
      <c r="W646" s="67">
        <v>0</v>
      </c>
      <c r="X646" s="11" t="str">
        <v>Susenas September 2024</v>
      </c>
      <c r="Y646" s="11" t="str">
        <v>ANJONGAN</v>
      </c>
      <c r="Z646" s="11" t="str">
        <v>ANJUNGAN MELANCAR</v>
      </c>
      <c r="AA646" s="67">
        <v>45535</v>
      </c>
      <c r="AB646" s="67">
        <v>45536</v>
      </c>
      <c r="AC646" s="67">
        <v>45565</v>
      </c>
      <c r="AD646" s="67">
        <v>45564</v>
      </c>
      <c r="AE646" s="67">
        <v>45565</v>
      </c>
    </row>
    <row r="647" spans="1:31" ht="12.5">
      <c r="A647" s="10">
        <v>610422100055</v>
      </c>
      <c r="B647" s="10" t="str">
        <v>SUSENAS24-LAPANGAN-SEMESTER2</v>
      </c>
      <c r="C647" s="10">
        <v>0</v>
      </c>
      <c r="D647" s="10">
        <f ca="1"/>
        <v>1</v>
      </c>
      <c r="E647" s="10" t="str">
        <v>Vika Rizkiani</v>
      </c>
      <c r="F647" s="10">
        <v>0</v>
      </c>
      <c r="G647" s="10">
        <v>0</v>
      </c>
      <c r="H647" s="10" t="str">
        <v>PENDATAAN</v>
      </c>
      <c r="I647" s="10" t="str">
        <v>SUSENAS24-LAPANGAN-SEMESTER2-PPL-PENDATAAN</v>
      </c>
      <c r="J647" s="10" t="str">
        <v>Dokumen</v>
      </c>
      <c r="K647" s="66">
        <v>119000</v>
      </c>
      <c r="L647" s="10">
        <v>10</v>
      </c>
      <c r="M647" s="10">
        <v>1190000</v>
      </c>
      <c r="N647" s="10">
        <v>0</v>
      </c>
      <c r="O647" s="67">
        <v>45565</v>
      </c>
      <c r="P647" s="10">
        <v>2024</v>
      </c>
      <c r="Q647" s="10">
        <v>9</v>
      </c>
      <c r="R647" s="10" t="str">
        <v>SURVEI-PPL</v>
      </c>
      <c r="S647" s="10" t="str">
        <v>610422100055-2024-9</v>
      </c>
      <c r="T647" s="10" t="str">
        <v>610422100055-2024-9-SURVEI-PPL</v>
      </c>
      <c r="U647" s="10">
        <v>0</v>
      </c>
      <c r="V647" s="10">
        <v>-19</v>
      </c>
      <c r="W647" s="67">
        <v>0</v>
      </c>
      <c r="X647" s="11" t="str">
        <v>Susenas September 2024</v>
      </c>
      <c r="Y647" s="11" t="str">
        <v>JONGKAT</v>
      </c>
      <c r="Z647" s="11" t="str">
        <v>JUNGKAT</v>
      </c>
      <c r="AA647" s="67">
        <v>45535</v>
      </c>
      <c r="AB647" s="67">
        <v>45536</v>
      </c>
      <c r="AC647" s="67">
        <v>45565</v>
      </c>
      <c r="AD647" s="67">
        <v>45564</v>
      </c>
      <c r="AE647" s="67">
        <v>45565</v>
      </c>
    </row>
    <row r="648" spans="1:31" ht="12.5">
      <c r="A648" s="10">
        <v>610422100244</v>
      </c>
      <c r="B648" s="10" t="str">
        <v>SUSENAS24-LAPANGAN-SEMESTER2</v>
      </c>
      <c r="C648" s="10">
        <v>0</v>
      </c>
      <c r="D648" s="10">
        <f ca="1"/>
        <v>1</v>
      </c>
      <c r="E648" s="10" t="str">
        <v>Sugianto</v>
      </c>
      <c r="F648" s="10">
        <v>0</v>
      </c>
      <c r="G648" s="10">
        <v>0</v>
      </c>
      <c r="H648" s="10" t="str">
        <v>PENDATAAN</v>
      </c>
      <c r="I648" s="10" t="str">
        <v>SUSENAS24-LAPANGAN-SEMESTER2-PPL-PENDATAAN</v>
      </c>
      <c r="J648" s="10" t="str">
        <v>Dokumen</v>
      </c>
      <c r="K648" s="66">
        <v>119000</v>
      </c>
      <c r="L648" s="10">
        <v>10</v>
      </c>
      <c r="M648" s="10">
        <v>1190000</v>
      </c>
      <c r="N648" s="10">
        <v>0</v>
      </c>
      <c r="O648" s="67">
        <v>45565</v>
      </c>
      <c r="P648" s="10">
        <v>2024</v>
      </c>
      <c r="Q648" s="10">
        <v>9</v>
      </c>
      <c r="R648" s="10" t="str">
        <v>SURVEI-PPL</v>
      </c>
      <c r="S648" s="10" t="str">
        <v>610422100244-2024-9</v>
      </c>
      <c r="T648" s="10" t="str">
        <v>610422100244-2024-9-SURVEI-PPL</v>
      </c>
      <c r="U648" s="10">
        <v>0</v>
      </c>
      <c r="V648" s="10">
        <v>-19</v>
      </c>
      <c r="W648" s="67">
        <v>0</v>
      </c>
      <c r="X648" s="11" t="str">
        <v>Susenas September 2024</v>
      </c>
      <c r="Y648" s="11" t="str">
        <v>SADANIANG</v>
      </c>
      <c r="Z648" s="11" t="str">
        <v>BUMBUN</v>
      </c>
      <c r="AA648" s="67">
        <v>45535</v>
      </c>
      <c r="AB648" s="67">
        <v>45536</v>
      </c>
      <c r="AC648" s="67">
        <v>45565</v>
      </c>
      <c r="AD648" s="67">
        <v>45564</v>
      </c>
      <c r="AE648" s="67">
        <v>45565</v>
      </c>
    </row>
    <row r="649" spans="1:31" ht="12.5">
      <c r="A649" s="10">
        <v>610423040013</v>
      </c>
      <c r="B649" s="10" t="str">
        <v>SUSENAS24-LAPANGAN-SEMESTER2</v>
      </c>
      <c r="C649" s="10">
        <v>0</v>
      </c>
      <c r="D649" s="10">
        <f ca="1"/>
        <v>1</v>
      </c>
      <c r="E649" s="10" t="str">
        <v>Lulu Gesti Gunawati</v>
      </c>
      <c r="F649" s="10">
        <v>0</v>
      </c>
      <c r="G649" s="10">
        <v>0</v>
      </c>
      <c r="H649" s="10" t="str">
        <v>PENDATAAN</v>
      </c>
      <c r="I649" s="10" t="str">
        <v>SUSENAS24-LAPANGAN-SEMESTER2-PPL-PENDATAAN</v>
      </c>
      <c r="J649" s="10" t="str">
        <v>Dokumen</v>
      </c>
      <c r="K649" s="66">
        <v>119000</v>
      </c>
      <c r="L649" s="10">
        <v>10</v>
      </c>
      <c r="M649" s="10">
        <v>1190000</v>
      </c>
      <c r="N649" s="10">
        <v>0</v>
      </c>
      <c r="O649" s="67">
        <v>45565</v>
      </c>
      <c r="P649" s="10">
        <v>2024</v>
      </c>
      <c r="Q649" s="10">
        <v>9</v>
      </c>
      <c r="R649" s="10" t="str">
        <v>SURVEI-PPL</v>
      </c>
      <c r="S649" s="10" t="str">
        <v>610423040013-2024-9</v>
      </c>
      <c r="T649" s="10" t="str">
        <v>610423040013-2024-9-SURVEI-PPL</v>
      </c>
      <c r="U649" s="10">
        <v>0</v>
      </c>
      <c r="V649" s="10">
        <v>-19</v>
      </c>
      <c r="W649" s="67">
        <v>0</v>
      </c>
      <c r="X649" s="11" t="str">
        <v>Susenas September 2024</v>
      </c>
      <c r="Y649" s="11" t="str">
        <v>SUNGAI KUNYIT</v>
      </c>
      <c r="Z649" s="11" t="str">
        <v>MENDALOK</v>
      </c>
      <c r="AA649" s="67">
        <v>45535</v>
      </c>
      <c r="AB649" s="67">
        <v>45536</v>
      </c>
      <c r="AC649" s="67">
        <v>45565</v>
      </c>
      <c r="AD649" s="67">
        <v>45564</v>
      </c>
      <c r="AE649" s="67">
        <v>45565</v>
      </c>
    </row>
    <row r="650" spans="1:31" ht="12.5">
      <c r="A650" s="10">
        <v>610423040016</v>
      </c>
      <c r="B650" s="10" t="str">
        <v>SUSENAS24-LAPANGAN-SEMESTER2</v>
      </c>
      <c r="C650" s="10">
        <v>0</v>
      </c>
      <c r="D650" s="10">
        <f ca="1"/>
        <v>1</v>
      </c>
      <c r="E650" s="10" t="str">
        <v>Fairuztia Atiqah Putri</v>
      </c>
      <c r="F650" s="10">
        <v>0</v>
      </c>
      <c r="G650" s="10">
        <v>0</v>
      </c>
      <c r="H650" s="10" t="str">
        <v>PENGOLAHAN PENDATAAN</v>
      </c>
      <c r="I650" s="10" t="str">
        <v>SUSENAS24-LAPANGAN-SEMESTER2-PETUGAS ENTRI-PENGOLAHAN PENDATAAN</v>
      </c>
      <c r="J650" s="10" t="str">
        <v>Dokumen</v>
      </c>
      <c r="K650" s="66">
        <v>27500</v>
      </c>
      <c r="L650" s="10">
        <v>35</v>
      </c>
      <c r="M650" s="10">
        <v>962500</v>
      </c>
      <c r="N650" s="10">
        <v>0</v>
      </c>
      <c r="O650" s="67">
        <v>45576</v>
      </c>
      <c r="P650" s="10">
        <v>2024</v>
      </c>
      <c r="Q650" s="10">
        <v>10</v>
      </c>
      <c r="R650" s="10" t="str">
        <v>SURVEI-PPL</v>
      </c>
      <c r="S650" s="10" t="str">
        <v>610423040016-2024-10</v>
      </c>
      <c r="T650" s="10" t="str">
        <v>610423040016-2024-10-SURVEI-PPL</v>
      </c>
      <c r="U650" s="10">
        <v>0</v>
      </c>
      <c r="V650" s="10">
        <v>-19</v>
      </c>
      <c r="W650" s="67">
        <v>0</v>
      </c>
      <c r="X650" s="11" t="str">
        <v>Susenas September 2024</v>
      </c>
      <c r="Y650" s="11" t="str">
        <v>MEMPAWAH HILIR</v>
      </c>
      <c r="Z650" s="11" t="str">
        <v>TENGAH</v>
      </c>
      <c r="AA650" s="67">
        <v>45565</v>
      </c>
      <c r="AB650" s="67">
        <v>45566</v>
      </c>
      <c r="AC650" s="67">
        <v>45596</v>
      </c>
      <c r="AD650" s="67">
        <v>45595</v>
      </c>
      <c r="AE650" s="67">
        <v>45596</v>
      </c>
    </row>
    <row r="651" spans="1:31" ht="12.5">
      <c r="A651" s="10">
        <v>610422100108</v>
      </c>
      <c r="B651" s="10" t="str">
        <v>SUSENAS24-LAPANGAN-SEMESTER2</v>
      </c>
      <c r="C651" s="10">
        <v>0</v>
      </c>
      <c r="D651" s="10">
        <f ca="1"/>
        <v>1</v>
      </c>
      <c r="E651" s="10" t="str">
        <v>Ermi Tiyarni</v>
      </c>
      <c r="F651" s="10">
        <v>0</v>
      </c>
      <c r="G651" s="10">
        <v>0</v>
      </c>
      <c r="H651" s="10" t="str">
        <v>PENGOLAHAN PENDATAAN</v>
      </c>
      <c r="I651" s="10" t="str">
        <v>SUSENAS24-LAPANGAN-SEMESTER2-PETUGAS ENTRI-PENGOLAHAN PENDATAAN</v>
      </c>
      <c r="J651" s="10" t="str">
        <v>Dokumen</v>
      </c>
      <c r="K651" s="66">
        <v>27500</v>
      </c>
      <c r="L651" s="10">
        <v>35</v>
      </c>
      <c r="M651" s="10">
        <v>962500</v>
      </c>
      <c r="N651" s="10">
        <v>0</v>
      </c>
      <c r="O651" s="67">
        <v>45576</v>
      </c>
      <c r="P651" s="10">
        <v>2024</v>
      </c>
      <c r="Q651" s="10">
        <v>10</v>
      </c>
      <c r="R651" s="10" t="str">
        <v>SURVEI-PPL</v>
      </c>
      <c r="S651" s="10" t="str">
        <v>610422100108-2024-10</v>
      </c>
      <c r="T651" s="10" t="str">
        <v>610422100108-2024-10-SURVEI-PPL</v>
      </c>
      <c r="U651" s="10">
        <v>0</v>
      </c>
      <c r="V651" s="10">
        <v>-19</v>
      </c>
      <c r="W651" s="67">
        <v>0</v>
      </c>
      <c r="X651" s="11" t="str">
        <v>Susenas September 2024</v>
      </c>
      <c r="Y651" s="11" t="str">
        <v>MEMPAWAH HILIR</v>
      </c>
      <c r="Z651" s="11" t="str">
        <v>TENGAH</v>
      </c>
      <c r="AA651" s="67">
        <v>45565</v>
      </c>
      <c r="AB651" s="67">
        <v>45566</v>
      </c>
      <c r="AC651" s="67">
        <v>45596</v>
      </c>
      <c r="AD651" s="67">
        <v>45595</v>
      </c>
      <c r="AE651" s="67">
        <v>45596</v>
      </c>
    </row>
    <row r="652" spans="1:31" ht="12.5">
      <c r="A652" s="10">
        <v>610422100016</v>
      </c>
      <c r="B652" s="10" t="str">
        <v>SUSENAS24-LAPANGAN-SEMESTER2</v>
      </c>
      <c r="C652" s="10">
        <v>0</v>
      </c>
      <c r="D652" s="10">
        <f ca="1"/>
        <v>1</v>
      </c>
      <c r="E652" s="10" t="str">
        <v>Amalia Faisya</v>
      </c>
      <c r="F652" s="10">
        <v>0</v>
      </c>
      <c r="G652" s="10">
        <v>0</v>
      </c>
      <c r="H652" s="10" t="str">
        <v>PENGOLAHAN PENDATAAN</v>
      </c>
      <c r="I652" s="10" t="str">
        <v>SUSENAS24-LAPANGAN-SEMESTER2-PETUGAS ENTRI-PENGOLAHAN PENDATAAN</v>
      </c>
      <c r="J652" s="10" t="str">
        <v>Dokumen</v>
      </c>
      <c r="K652" s="66">
        <v>27500</v>
      </c>
      <c r="L652" s="10">
        <v>35</v>
      </c>
      <c r="M652" s="10">
        <v>962500</v>
      </c>
      <c r="N652" s="10">
        <v>0</v>
      </c>
      <c r="O652" s="67">
        <v>45576</v>
      </c>
      <c r="P652" s="10">
        <v>2024</v>
      </c>
      <c r="Q652" s="10">
        <v>10</v>
      </c>
      <c r="R652" s="10" t="str">
        <v>SURVEI-PPL</v>
      </c>
      <c r="S652" s="10" t="str">
        <v>610422100016-2024-10</v>
      </c>
      <c r="T652" s="10" t="str">
        <v>610422100016-2024-10-SURVEI-PPL</v>
      </c>
      <c r="U652" s="10">
        <v>0</v>
      </c>
      <c r="V652" s="10">
        <v>-19</v>
      </c>
      <c r="W652" s="67">
        <v>0</v>
      </c>
      <c r="X652" s="11" t="str">
        <v>Susenas September 2024</v>
      </c>
      <c r="Y652" s="11" t="str">
        <v>SUNGAI KUNYIT</v>
      </c>
      <c r="Z652" s="11" t="str">
        <v>SUNGAI KUNYIT LAUT</v>
      </c>
      <c r="AA652" s="67">
        <v>45565</v>
      </c>
      <c r="AB652" s="67">
        <v>45566</v>
      </c>
      <c r="AC652" s="67">
        <v>45596</v>
      </c>
      <c r="AD652" s="67">
        <v>45595</v>
      </c>
      <c r="AE652" s="67">
        <v>45596</v>
      </c>
    </row>
    <row r="653" spans="1:31" ht="12.5">
      <c r="A653" s="10">
        <v>610422100274</v>
      </c>
      <c r="B653" s="10" t="str">
        <v>SUSENAS24-LAPANGAN-SEMESTER2</v>
      </c>
      <c r="C653" s="10">
        <v>0</v>
      </c>
      <c r="D653" s="10">
        <f ca="1"/>
        <v>1</v>
      </c>
      <c r="E653" s="10" t="str">
        <v>Anisatunnabilah</v>
      </c>
      <c r="F653" s="10">
        <v>0</v>
      </c>
      <c r="G653" s="10">
        <v>0</v>
      </c>
      <c r="H653" s="10" t="str">
        <v>PENGOLAHAN PENDATAAN</v>
      </c>
      <c r="I653" s="10" t="str">
        <v>SUSENAS24-LAPANGAN-SEMESTER2-PETUGAS ENTRI-PENGOLAHAN PENDATAAN</v>
      </c>
      <c r="J653" s="10" t="str">
        <v>Dokumen</v>
      </c>
      <c r="K653" s="66">
        <v>27500</v>
      </c>
      <c r="L653" s="10">
        <v>35</v>
      </c>
      <c r="M653" s="10">
        <v>962500</v>
      </c>
      <c r="N653" s="10">
        <v>0</v>
      </c>
      <c r="O653" s="67">
        <v>45576</v>
      </c>
      <c r="P653" s="10">
        <v>2024</v>
      </c>
      <c r="Q653" s="10">
        <v>10</v>
      </c>
      <c r="R653" s="10" t="str">
        <v>SURVEI-PPL</v>
      </c>
      <c r="S653" s="10" t="str">
        <v>610422100274-2024-10</v>
      </c>
      <c r="T653" s="10" t="str">
        <v>610422100274-2024-10-SURVEI-PPL</v>
      </c>
      <c r="U653" s="10">
        <v>0</v>
      </c>
      <c r="V653" s="10">
        <v>-19</v>
      </c>
      <c r="W653" s="67">
        <v>0</v>
      </c>
      <c r="X653" s="11" t="str">
        <v>Susenas September 2024</v>
      </c>
      <c r="Y653" s="11" t="str">
        <v>MEMPAWAH TIMUR</v>
      </c>
      <c r="Z653" s="11" t="str">
        <v>SEJEGI</v>
      </c>
      <c r="AA653" s="67">
        <v>45565</v>
      </c>
      <c r="AB653" s="67">
        <v>45566</v>
      </c>
      <c r="AC653" s="67">
        <v>45596</v>
      </c>
      <c r="AD653" s="67">
        <v>45595</v>
      </c>
      <c r="AE653" s="67">
        <v>45596</v>
      </c>
    </row>
    <row r="654" spans="1:31" ht="12.5">
      <c r="A654" s="10">
        <v>610423040016</v>
      </c>
      <c r="B654" s="10" t="str">
        <v>SERUTI24-PENGOLAHAN-TRI3</v>
      </c>
      <c r="C654" s="10">
        <v>0</v>
      </c>
      <c r="D654" s="10">
        <f ca="1"/>
        <v>1</v>
      </c>
      <c r="E654" s="10" t="str">
        <v>Fairuztia Atiqah Putri</v>
      </c>
      <c r="F654" s="10" t="str">
        <v>PETUGAS ENTRI</v>
      </c>
      <c r="G654" s="10" t="str">
        <v>6102016709010003</v>
      </c>
      <c r="H654" s="10" t="str">
        <v>PENGOLAHAN</v>
      </c>
      <c r="I654" s="10" t="str">
        <v>SERUTI24-PENGOLAHAN-TRI3-PETUGAS ENTRI-PENGOLAHAN</v>
      </c>
      <c r="J654" s="10" t="str">
        <v>Dokumen</v>
      </c>
      <c r="K654" s="66">
        <v>12000</v>
      </c>
      <c r="L654" s="10">
        <v>35</v>
      </c>
      <c r="M654" s="10">
        <v>420000</v>
      </c>
      <c r="N654" s="10">
        <v>0</v>
      </c>
      <c r="O654" s="67">
        <v>45574</v>
      </c>
      <c r="P654" s="10">
        <v>2024</v>
      </c>
      <c r="Q654" s="10">
        <v>10</v>
      </c>
      <c r="R654" s="10" t="str">
        <v>SURVEI-PETUGAS ENTRI</v>
      </c>
      <c r="S654" s="10" t="str">
        <v>610423040016-2024-10</v>
      </c>
      <c r="T654" s="10" t="str">
        <v>610423040016-2024-10-SURVEI-PETUGAS ENTRI</v>
      </c>
      <c r="U654" s="10">
        <v>0</v>
      </c>
      <c r="V654" s="10" t="e">
        <f ca="1"/>
        <v>#NAME?</v>
      </c>
      <c r="W654" s="67">
        <v>0</v>
      </c>
      <c r="X654" s="11" t="str">
        <v>Survei Ekonomi Rumah Tangga Triwulanan (SERUTI24) Triwulan III Kegiatan Pengolahan</v>
      </c>
      <c r="Y654" s="11" t="str">
        <v>MEMPAWAH HILIR</v>
      </c>
      <c r="Z654" s="11" t="str">
        <v>TENGAH</v>
      </c>
      <c r="AA654" s="67">
        <v>45565</v>
      </c>
      <c r="AB654" s="67">
        <v>45566</v>
      </c>
      <c r="AC654" s="67">
        <v>45596</v>
      </c>
      <c r="AD654" s="67">
        <v>45595</v>
      </c>
      <c r="AE654" s="67">
        <v>45596</v>
      </c>
    </row>
    <row r="655" spans="1:31" ht="12.5">
      <c r="A655" s="10">
        <v>610422100108</v>
      </c>
      <c r="B655" s="10" t="str">
        <v>SERUTI24-PENGOLAHAN-TRI3</v>
      </c>
      <c r="C655" s="10">
        <v>0</v>
      </c>
      <c r="D655" s="10">
        <f ca="1"/>
        <v>1</v>
      </c>
      <c r="E655" s="10" t="str">
        <v>Ermi Tiyarni</v>
      </c>
      <c r="F655" s="10" t="str">
        <v>PETUGAS ENTRI</v>
      </c>
      <c r="G655" s="10" t="str">
        <v>6102016512980004</v>
      </c>
      <c r="H655" s="10" t="str">
        <v>PENGOLAHAN</v>
      </c>
      <c r="I655" s="10" t="str">
        <v>SERUTI24-PENGOLAHAN-TRI3-PETUGAS ENTRI-PENGOLAHAN</v>
      </c>
      <c r="J655" s="10" t="str">
        <v>Dokumen</v>
      </c>
      <c r="K655" s="66">
        <v>12000</v>
      </c>
      <c r="L655" s="10">
        <v>35</v>
      </c>
      <c r="M655" s="10">
        <v>420000</v>
      </c>
      <c r="N655" s="10">
        <v>0</v>
      </c>
      <c r="O655" s="67">
        <v>45574</v>
      </c>
      <c r="P655" s="10">
        <v>2024</v>
      </c>
      <c r="Q655" s="10">
        <v>10</v>
      </c>
      <c r="R655" s="10" t="str">
        <v>SURVEI-PETUGAS ENTRI</v>
      </c>
      <c r="S655" s="10" t="str">
        <v>610422100108-2024-10</v>
      </c>
      <c r="T655" s="10" t="str">
        <v>610422100108-2024-10-SURVEI-PETUGAS ENTRI</v>
      </c>
      <c r="U655" s="10">
        <v>0</v>
      </c>
      <c r="V655" s="10" t="e">
        <f ca="1"/>
        <v>#NAME?</v>
      </c>
      <c r="W655" s="67">
        <v>0</v>
      </c>
      <c r="X655" s="11" t="str">
        <v>Survei Ekonomi Rumah Tangga Triwulanan (SERUTI24) Triwulan III Kegiatan Pengolahan</v>
      </c>
      <c r="Y655" s="11" t="str">
        <v>MEMPAWAH HILIR</v>
      </c>
      <c r="Z655" s="11" t="str">
        <v>TENGAH</v>
      </c>
      <c r="AA655" s="67">
        <v>45565</v>
      </c>
      <c r="AB655" s="67">
        <v>45566</v>
      </c>
      <c r="AC655" s="67">
        <v>45596</v>
      </c>
      <c r="AD655" s="67">
        <v>45595</v>
      </c>
      <c r="AE655" s="67">
        <v>45596</v>
      </c>
    </row>
    <row r="656" spans="1:31" ht="12.5">
      <c r="A656" s="10">
        <v>610422100016</v>
      </c>
      <c r="B656" s="10" t="str">
        <v>SERUTI24-PENGOLAHAN-TRI3</v>
      </c>
      <c r="C656" s="10">
        <v>0</v>
      </c>
      <c r="D656" s="10">
        <f ca="1"/>
        <v>1</v>
      </c>
      <c r="E656" s="10" t="str">
        <v>Amalia Faisya</v>
      </c>
      <c r="F656" s="10" t="str">
        <v>PETUGAS ENTRI</v>
      </c>
      <c r="G656" s="10" t="str">
        <v>6102124210010005</v>
      </c>
      <c r="H656" s="10" t="str">
        <v>PENGOLAHAN</v>
      </c>
      <c r="I656" s="10" t="str">
        <v>SERUTI24-PENGOLAHAN-TRI3-PETUGAS ENTRI-PENGOLAHAN</v>
      </c>
      <c r="J656" s="10" t="str">
        <v>Dokumen</v>
      </c>
      <c r="K656" s="66">
        <v>12000</v>
      </c>
      <c r="L656" s="10">
        <v>35</v>
      </c>
      <c r="M656" s="10">
        <v>420000</v>
      </c>
      <c r="N656" s="10">
        <v>0</v>
      </c>
      <c r="O656" s="67">
        <v>45574</v>
      </c>
      <c r="P656" s="10">
        <v>2024</v>
      </c>
      <c r="Q656" s="10">
        <v>10</v>
      </c>
      <c r="R656" s="10" t="str">
        <v>SURVEI-PETUGAS ENTRI</v>
      </c>
      <c r="S656" s="10" t="str">
        <v>610422100016-2024-10</v>
      </c>
      <c r="T656" s="10" t="str">
        <v>610422100016-2024-10-SURVEI-PETUGAS ENTRI</v>
      </c>
      <c r="U656" s="10">
        <v>0</v>
      </c>
      <c r="V656" s="10" t="e">
        <f ca="1"/>
        <v>#NAME?</v>
      </c>
      <c r="W656" s="67">
        <v>0</v>
      </c>
      <c r="X656" s="11" t="str">
        <v>Survei Ekonomi Rumah Tangga Triwulanan (SERUTI24) Triwulan III Kegiatan Pengolahan</v>
      </c>
      <c r="Y656" s="11" t="str">
        <v>SUNGAI KUNYIT</v>
      </c>
      <c r="Z656" s="11" t="str">
        <v>SUNGAI KUNYIT LAUT</v>
      </c>
      <c r="AA656" s="67">
        <v>45565</v>
      </c>
      <c r="AB656" s="67">
        <v>45566</v>
      </c>
      <c r="AC656" s="67">
        <v>45596</v>
      </c>
      <c r="AD656" s="67">
        <v>45595</v>
      </c>
      <c r="AE656" s="67">
        <v>45596</v>
      </c>
    </row>
    <row r="657" spans="1:31" ht="12.5">
      <c r="A657" s="10">
        <v>610422100274</v>
      </c>
      <c r="B657" s="10" t="str">
        <v>SERUTI24-PENGOLAHAN-TRI3</v>
      </c>
      <c r="C657" s="10">
        <v>0</v>
      </c>
      <c r="D657" s="10">
        <f ca="1"/>
        <v>1</v>
      </c>
      <c r="E657" s="10" t="str">
        <v>Anisatunnabilah</v>
      </c>
      <c r="F657" s="10" t="str">
        <v>PETUGAS ENTRI</v>
      </c>
      <c r="G657" s="10" t="str">
        <v>6102184310990001</v>
      </c>
      <c r="H657" s="10" t="str">
        <v>PENGOLAHAN</v>
      </c>
      <c r="I657" s="10" t="str">
        <v>SERUTI24-PENGOLAHAN-TRI3-PETUGAS ENTRI-PENGOLAHAN</v>
      </c>
      <c r="J657" s="10" t="str">
        <v>Dokumen</v>
      </c>
      <c r="K657" s="66">
        <v>12000</v>
      </c>
      <c r="L657" s="10">
        <v>35</v>
      </c>
      <c r="M657" s="10">
        <v>420000</v>
      </c>
      <c r="N657" s="10">
        <v>0</v>
      </c>
      <c r="O657" s="67">
        <v>45574</v>
      </c>
      <c r="P657" s="10">
        <v>2024</v>
      </c>
      <c r="Q657" s="10">
        <v>10</v>
      </c>
      <c r="R657" s="10" t="str">
        <v>SURVEI-PETUGAS ENTRI</v>
      </c>
      <c r="S657" s="10" t="str">
        <v>610422100274-2024-10</v>
      </c>
      <c r="T657" s="10" t="str">
        <v>610422100274-2024-10-SURVEI-PETUGAS ENTRI</v>
      </c>
      <c r="U657" s="10">
        <v>0</v>
      </c>
      <c r="V657" s="10" t="e">
        <f ca="1"/>
        <v>#NAME?</v>
      </c>
      <c r="W657" s="67">
        <v>0</v>
      </c>
      <c r="X657" s="11" t="str">
        <v>Survei Ekonomi Rumah Tangga Triwulanan (SERUTI24) Triwulan III Kegiatan Pengolahan</v>
      </c>
      <c r="Y657" s="11" t="str">
        <v>MEMPAWAH TIMUR</v>
      </c>
      <c r="Z657" s="11" t="str">
        <v>SEJEGI</v>
      </c>
      <c r="AA657" s="67">
        <v>45565</v>
      </c>
      <c r="AB657" s="67">
        <v>45566</v>
      </c>
      <c r="AC657" s="67">
        <v>45596</v>
      </c>
      <c r="AD657" s="67">
        <v>45595</v>
      </c>
      <c r="AE657" s="67">
        <v>45596</v>
      </c>
    </row>
    <row r="658" spans="1:31" ht="12.5">
      <c r="A658" s="10">
        <v>610422030002</v>
      </c>
      <c r="B658" s="10" t="str">
        <v>SHPB24-LAPANGAN-OKTOBER</v>
      </c>
      <c r="C658" s="10">
        <v>0</v>
      </c>
      <c r="D658" s="10">
        <f ca="1"/>
        <v>1</v>
      </c>
      <c r="E658" s="10" t="str">
        <v>Deti Erni Widiastuti</v>
      </c>
      <c r="F658" s="10" t="str">
        <v>PPL</v>
      </c>
      <c r="G658" s="10" t="str">
        <v>6102016712860001</v>
      </c>
      <c r="H658" s="10" t="str">
        <v>PENDATAAN</v>
      </c>
      <c r="I658" s="10" t="str">
        <v>SHPB24-LAPANGAN-OKTOBER-PPL-PENDATAAN</v>
      </c>
      <c r="J658" s="10" t="str">
        <v>Dokumen</v>
      </c>
      <c r="K658" s="66">
        <v>50000</v>
      </c>
      <c r="L658" s="10">
        <v>15</v>
      </c>
      <c r="M658" s="10">
        <v>750000</v>
      </c>
      <c r="N658" s="10">
        <v>0</v>
      </c>
      <c r="O658" s="67">
        <v>45585</v>
      </c>
      <c r="P658" s="10">
        <v>2024</v>
      </c>
      <c r="Q658" s="10">
        <v>10</v>
      </c>
      <c r="R658" s="10" t="str">
        <v>SURVEI-PPL</v>
      </c>
      <c r="S658" s="10" t="str">
        <v>610422030002-2024-10</v>
      </c>
      <c r="T658" s="10" t="str">
        <v>610422030002-2024-10-SURVEI-PPL</v>
      </c>
      <c r="U658" s="10">
        <v>0</v>
      </c>
      <c r="V658" s="10" t="e">
        <f ca="1"/>
        <v>#NAME?</v>
      </c>
      <c r="W658" s="67">
        <v>0</v>
      </c>
      <c r="X658" s="11" t="str">
        <v>Survei Harga Perdagangan Besar (SHPB24) Oktober</v>
      </c>
      <c r="Y658" s="11" t="str">
        <v>SEGEDONG</v>
      </c>
      <c r="Z658" s="11" t="str">
        <v>PENITI DALAM I</v>
      </c>
      <c r="AA658" s="67">
        <v>45565</v>
      </c>
      <c r="AB658" s="67">
        <v>45566</v>
      </c>
      <c r="AC658" s="67">
        <v>45596</v>
      </c>
      <c r="AD658" s="67">
        <v>45595</v>
      </c>
      <c r="AE658" s="67">
        <v>45596</v>
      </c>
    </row>
    <row r="659" spans="1:31" ht="12.5">
      <c r="A659" s="10">
        <v>610422100244</v>
      </c>
      <c r="B659" s="10" t="str">
        <v>HPG24-LAPANGAN-OKTOBER</v>
      </c>
      <c r="C659" s="10">
        <v>0</v>
      </c>
      <c r="D659" s="10">
        <f ca="1"/>
        <v>1</v>
      </c>
      <c r="E659" s="10" t="str">
        <v>Sugianto</v>
      </c>
      <c r="F659" s="10" t="str">
        <v>PPL</v>
      </c>
      <c r="G659" s="10" t="str">
        <v>6102171003900002</v>
      </c>
      <c r="H659" s="10" t="str">
        <v>PENDATAAN</v>
      </c>
      <c r="I659" s="10" t="str">
        <v>HPG24-LAPANGAN-OKTOBER-PPL-PENDATAAN</v>
      </c>
      <c r="J659" s="10" t="str">
        <v>Dokumen</v>
      </c>
      <c r="K659" s="66">
        <v>50000</v>
      </c>
      <c r="L659" s="10">
        <v>1</v>
      </c>
      <c r="M659" s="10">
        <v>50000</v>
      </c>
      <c r="N659" s="10">
        <v>0</v>
      </c>
      <c r="O659" s="67">
        <v>45585</v>
      </c>
      <c r="P659" s="10">
        <v>2024</v>
      </c>
      <c r="Q659" s="10">
        <v>10</v>
      </c>
      <c r="R659" s="10" t="str">
        <v>SURVEI-PPL</v>
      </c>
      <c r="S659" s="10" t="str">
        <v>610422100244-2024-10</v>
      </c>
      <c r="T659" s="10" t="str">
        <v>610422100244-2024-10-SURVEI-PPL</v>
      </c>
      <c r="U659" s="10">
        <v>0</v>
      </c>
      <c r="V659" s="10" t="e">
        <f ca="1"/>
        <v>#NAME?</v>
      </c>
      <c r="W659" s="67">
        <v>0</v>
      </c>
      <c r="X659" s="11" t="str">
        <v>Survei Harga Produsen Gabah (HPG24) Oktober</v>
      </c>
      <c r="Y659" s="11" t="str">
        <v>SADANIANG</v>
      </c>
      <c r="Z659" s="11" t="str">
        <v>BUMBUN</v>
      </c>
      <c r="AA659" s="67">
        <v>45565</v>
      </c>
      <c r="AB659" s="67">
        <v>45566</v>
      </c>
      <c r="AC659" s="67">
        <v>45596</v>
      </c>
      <c r="AD659" s="67">
        <v>45595</v>
      </c>
      <c r="AE659" s="67">
        <v>45596</v>
      </c>
    </row>
    <row r="660" spans="1:31" ht="12.5">
      <c r="A660" s="10">
        <v>610422100124</v>
      </c>
      <c r="B660" s="10" t="str">
        <v>HPG24-LAPANGAN-OKTOBER</v>
      </c>
      <c r="C660" s="10">
        <v>0</v>
      </c>
      <c r="D660" s="10">
        <f ca="1"/>
        <v>1</v>
      </c>
      <c r="E660" s="10" t="str">
        <v>Prabowo</v>
      </c>
      <c r="F660" s="10" t="str">
        <v>PPL</v>
      </c>
      <c r="G660" s="10" t="str">
        <v>6171010108790015</v>
      </c>
      <c r="H660" s="10" t="str">
        <v>PENDATAAN</v>
      </c>
      <c r="I660" s="10" t="str">
        <v>HPG24-LAPANGAN-OKTOBER-PPL-PENDATAAN</v>
      </c>
      <c r="J660" s="10" t="str">
        <v>Dokumen</v>
      </c>
      <c r="K660" s="66">
        <v>50000</v>
      </c>
      <c r="L660" s="10">
        <v>1</v>
      </c>
      <c r="M660" s="10">
        <v>50000</v>
      </c>
      <c r="N660" s="10">
        <v>0</v>
      </c>
      <c r="O660" s="67">
        <v>45585</v>
      </c>
      <c r="P660" s="10">
        <v>2024</v>
      </c>
      <c r="Q660" s="10">
        <v>10</v>
      </c>
      <c r="R660" s="10" t="str">
        <v>SURVEI-PPL</v>
      </c>
      <c r="S660" s="10" t="str">
        <v>610422100124-2024-10</v>
      </c>
      <c r="T660" s="10" t="str">
        <v>610422100124-2024-10-SURVEI-PPL</v>
      </c>
      <c r="U660" s="10">
        <v>0</v>
      </c>
      <c r="V660" s="10" t="e">
        <f ca="1"/>
        <v>#NAME?</v>
      </c>
      <c r="W660" s="67">
        <v>0</v>
      </c>
      <c r="X660" s="11" t="str">
        <v>Survei Harga Produsen Gabah (HPG24) Oktober</v>
      </c>
      <c r="Y660" s="11" t="str">
        <v>PONTIANAK KOTA</v>
      </c>
      <c r="Z660" s="11" t="str">
        <v>SUNGAI BANGKONG</v>
      </c>
      <c r="AA660" s="67">
        <v>45565</v>
      </c>
      <c r="AB660" s="67">
        <v>45566</v>
      </c>
      <c r="AC660" s="67">
        <v>45596</v>
      </c>
      <c r="AD660" s="67">
        <v>45595</v>
      </c>
      <c r="AE660" s="67">
        <v>45596</v>
      </c>
    </row>
    <row r="661" spans="1:31" ht="12.5">
      <c r="A661" s="10">
        <v>610422040029</v>
      </c>
      <c r="B661" s="10" t="str">
        <v>SHKK24-LAPANGAN-OKTOBER</v>
      </c>
      <c r="C661" s="10">
        <v>0</v>
      </c>
      <c r="D661" s="10">
        <f ca="1"/>
        <v>1</v>
      </c>
      <c r="E661" s="10" t="str">
        <v>Zaini</v>
      </c>
      <c r="F661" s="10" t="str">
        <v>PPL</v>
      </c>
      <c r="G661" s="10" t="str">
        <v>6102010607870002</v>
      </c>
      <c r="H661" s="10" t="str">
        <v>PENDATAAN</v>
      </c>
      <c r="I661" s="10" t="str">
        <v>SHKK24-LAPANGAN-OKTOBER-PPL-PENDATAAN</v>
      </c>
      <c r="J661" s="10" t="str">
        <v>Dokumen</v>
      </c>
      <c r="K661" s="66">
        <v>60000</v>
      </c>
      <c r="L661" s="10">
        <v>16</v>
      </c>
      <c r="M661" s="10">
        <v>960000</v>
      </c>
      <c r="N661" s="10">
        <v>0</v>
      </c>
      <c r="O661" s="67">
        <v>45585</v>
      </c>
      <c r="P661" s="10">
        <v>2024</v>
      </c>
      <c r="Q661" s="10">
        <v>10</v>
      </c>
      <c r="R661" s="10" t="str">
        <v>SURVEI-PPL</v>
      </c>
      <c r="S661" s="10" t="str">
        <v>610422040029-2024-10</v>
      </c>
      <c r="T661" s="10" t="str">
        <v>610422040029-2024-10-SURVEI-PPL</v>
      </c>
      <c r="U661" s="10">
        <v>0</v>
      </c>
      <c r="V661" s="10" t="e">
        <f ca="1"/>
        <v>#NAME?</v>
      </c>
      <c r="W661" s="67">
        <v>0</v>
      </c>
      <c r="X661" s="11" t="str">
        <v>Survei Harga Kemahalan Konstruksi (SHKK24) Oktober</v>
      </c>
      <c r="Y661" s="11" t="str">
        <v>MEMPAWAH HILIR</v>
      </c>
      <c r="Z661" s="11" t="str">
        <v>TENGAH</v>
      </c>
      <c r="AA661" s="67">
        <v>45565</v>
      </c>
      <c r="AB661" s="67">
        <v>45566</v>
      </c>
      <c r="AC661" s="67">
        <v>45596</v>
      </c>
      <c r="AD661" s="67">
        <v>45595</v>
      </c>
      <c r="AE661" s="67">
        <v>45596</v>
      </c>
    </row>
    <row r="662" spans="1:31" ht="12.5">
      <c r="A662" s="10">
        <v>610422020048</v>
      </c>
      <c r="B662" s="10" t="str">
        <v>SHKK24-LAPANGAN-OKTOBER</v>
      </c>
      <c r="C662" s="10">
        <v>0</v>
      </c>
      <c r="D662" s="10">
        <f ca="1"/>
        <v>1</v>
      </c>
      <c r="E662" s="10" t="str">
        <v>Herri Gustaman</v>
      </c>
      <c r="F662" s="10" t="str">
        <v>PPL</v>
      </c>
      <c r="G662" s="10" t="str">
        <v>6102072503800001</v>
      </c>
      <c r="H662" s="10" t="str">
        <v>PENDATAAN</v>
      </c>
      <c r="I662" s="10" t="str">
        <v>SHKK24-LAPANGAN-OKTOBER-PPL-PENDATAAN</v>
      </c>
      <c r="J662" s="10" t="str">
        <v>Dokumen</v>
      </c>
      <c r="K662" s="66">
        <v>60000</v>
      </c>
      <c r="L662" s="10">
        <v>10</v>
      </c>
      <c r="M662" s="10">
        <v>600000</v>
      </c>
      <c r="N662" s="10">
        <v>0</v>
      </c>
      <c r="O662" s="67">
        <v>45585</v>
      </c>
      <c r="P662" s="10">
        <v>2024</v>
      </c>
      <c r="Q662" s="10">
        <v>10</v>
      </c>
      <c r="R662" s="10" t="str">
        <v>SURVEI-PPL</v>
      </c>
      <c r="S662" s="10" t="str">
        <v>610422020048-2024-10</v>
      </c>
      <c r="T662" s="10" t="str">
        <v>610422020048-2024-10-SURVEI-PPL</v>
      </c>
      <c r="U662" s="10">
        <v>0</v>
      </c>
      <c r="V662" s="10" t="e">
        <f ca="1"/>
        <v>#NAME?</v>
      </c>
      <c r="W662" s="67">
        <v>0</v>
      </c>
      <c r="X662" s="11" t="str">
        <v>Survei Harga Kemahalan Konstruksi (SHKK24) Oktober</v>
      </c>
      <c r="Y662" s="11" t="str">
        <v>MEMPAWAH TIMUR</v>
      </c>
      <c r="Z662" s="11" t="str">
        <v>SEJEGI</v>
      </c>
      <c r="AA662" s="67">
        <v>45565</v>
      </c>
      <c r="AB662" s="67">
        <v>45566</v>
      </c>
      <c r="AC662" s="67">
        <v>45596</v>
      </c>
      <c r="AD662" s="67">
        <v>45595</v>
      </c>
      <c r="AE662" s="67">
        <v>45596</v>
      </c>
    </row>
    <row r="663" spans="1:31" ht="12.5">
      <c r="A663" s="10">
        <v>610422100165</v>
      </c>
      <c r="B663" s="10" t="str">
        <v>SHKK24-LAPANGAN-OKTOBER</v>
      </c>
      <c r="C663" s="10">
        <v>0</v>
      </c>
      <c r="D663" s="10">
        <f ca="1"/>
        <v>1</v>
      </c>
      <c r="E663" s="10" t="str">
        <v>Yanti</v>
      </c>
      <c r="F663" s="10" t="str">
        <v>PPL</v>
      </c>
      <c r="G663" s="10" t="str">
        <v>6102074803980002</v>
      </c>
      <c r="H663" s="10" t="str">
        <v>PENDATAAN</v>
      </c>
      <c r="I663" s="10" t="str">
        <v>SHKK24-LAPANGAN-OKTOBER-PPL-PENDATAAN</v>
      </c>
      <c r="J663" s="10" t="str">
        <v>Dokumen</v>
      </c>
      <c r="K663" s="66">
        <v>60000</v>
      </c>
      <c r="L663" s="10">
        <v>6</v>
      </c>
      <c r="M663" s="10">
        <v>360000</v>
      </c>
      <c r="N663" s="10">
        <v>0</v>
      </c>
      <c r="O663" s="67">
        <v>45585</v>
      </c>
      <c r="P663" s="10">
        <v>2024</v>
      </c>
      <c r="Q663" s="10">
        <v>10</v>
      </c>
      <c r="R663" s="10" t="str">
        <v>SURVEI-PPL</v>
      </c>
      <c r="S663" s="10" t="str">
        <v>610422100165-2024-10</v>
      </c>
      <c r="T663" s="10" t="str">
        <v>610422100165-2024-10-SURVEI-PPL</v>
      </c>
      <c r="U663" s="10">
        <v>0</v>
      </c>
      <c r="V663" s="10" t="e">
        <f ca="1"/>
        <v>#NAME?</v>
      </c>
      <c r="W663" s="67">
        <v>0</v>
      </c>
      <c r="X663" s="11" t="str">
        <v>Survei Harga Kemahalan Konstruksi (SHKK24) Oktober</v>
      </c>
      <c r="Y663" s="11" t="str">
        <v>SUNGAI PINYUH</v>
      </c>
      <c r="Z663" s="11" t="str">
        <v>SUNGAI BAKAU BESAR LAUT</v>
      </c>
      <c r="AA663" s="67">
        <v>45565</v>
      </c>
      <c r="AB663" s="67">
        <v>45566</v>
      </c>
      <c r="AC663" s="67">
        <v>45596</v>
      </c>
      <c r="AD663" s="67">
        <v>45595</v>
      </c>
      <c r="AE663" s="67">
        <v>45596</v>
      </c>
    </row>
    <row r="664" spans="1:31" ht="12.5">
      <c r="A664" s="10">
        <v>610422020052</v>
      </c>
      <c r="B664" s="10" t="str">
        <v>SHKK24-LAPANGAN-OKTOBER</v>
      </c>
      <c r="C664" s="10">
        <v>0</v>
      </c>
      <c r="D664" s="10">
        <f ca="1"/>
        <v>1</v>
      </c>
      <c r="E664" s="10" t="str">
        <v>Agus Supriyanto</v>
      </c>
      <c r="F664" s="10" t="str">
        <v>PPL</v>
      </c>
      <c r="G664" s="10" t="str">
        <v>6102071811790001</v>
      </c>
      <c r="H664" s="10" t="str">
        <v>PENDATAAN</v>
      </c>
      <c r="I664" s="10" t="str">
        <v>SHKK24-LAPANGAN-OKTOBER-PPL-PENDATAAN</v>
      </c>
      <c r="J664" s="10" t="str">
        <v>Dokumen</v>
      </c>
      <c r="K664" s="66">
        <v>60000</v>
      </c>
      <c r="L664" s="10">
        <v>7</v>
      </c>
      <c r="M664" s="10">
        <v>420000</v>
      </c>
      <c r="N664" s="10">
        <v>0</v>
      </c>
      <c r="O664" s="67">
        <v>45585</v>
      </c>
      <c r="P664" s="10">
        <v>2024</v>
      </c>
      <c r="Q664" s="10">
        <v>10</v>
      </c>
      <c r="R664" s="10" t="str">
        <v>SURVEI-PPL</v>
      </c>
      <c r="S664" s="10" t="str">
        <v>610422020052-2024-10</v>
      </c>
      <c r="T664" s="10" t="str">
        <v>610422020052-2024-10-SURVEI-PPL</v>
      </c>
      <c r="U664" s="10">
        <v>0</v>
      </c>
      <c r="V664" s="10" t="e">
        <f ca="1"/>
        <v>#NAME?</v>
      </c>
      <c r="W664" s="67">
        <v>0</v>
      </c>
      <c r="X664" s="11" t="str">
        <v>Survei Harga Kemahalan Konstruksi (SHKK24) Oktober</v>
      </c>
      <c r="Y664" s="11" t="str">
        <v>SUNGAI PINYUH</v>
      </c>
      <c r="Z664" s="11" t="str">
        <v>NUSAPATI</v>
      </c>
      <c r="AA664" s="67">
        <v>45565</v>
      </c>
      <c r="AB664" s="67">
        <v>45566</v>
      </c>
      <c r="AC664" s="67">
        <v>45596</v>
      </c>
      <c r="AD664" s="67">
        <v>45595</v>
      </c>
      <c r="AE664" s="67">
        <v>45596</v>
      </c>
    </row>
    <row r="665" spans="1:31" ht="12.5">
      <c r="A665" s="10">
        <v>610422100016</v>
      </c>
      <c r="B665" s="10" t="str">
        <v>SHPED24-LAPANGAN-OKTOBER</v>
      </c>
      <c r="C665" s="10">
        <v>0</v>
      </c>
      <c r="D665" s="10">
        <f ca="1"/>
        <v>1</v>
      </c>
      <c r="E665" s="10" t="str">
        <v>Amalia Faisya</v>
      </c>
      <c r="F665" s="10" t="str">
        <v>PPL</v>
      </c>
      <c r="G665" s="10" t="str">
        <v>6102124210010005</v>
      </c>
      <c r="H665" s="10" t="str">
        <v>PENDATAAN KONSUMEN</v>
      </c>
      <c r="I665" s="10" t="str">
        <v>SHPED24-LAPANGAN-OKTOBER-PPL-PENDATAAN KONSUMEN</v>
      </c>
      <c r="J665" s="10" t="str">
        <v>Dokumen</v>
      </c>
      <c r="K665" s="66">
        <v>65000</v>
      </c>
      <c r="L665" s="10">
        <v>3</v>
      </c>
      <c r="M665" s="10">
        <v>195000</v>
      </c>
      <c r="N665" s="10">
        <v>0</v>
      </c>
      <c r="O665" s="67">
        <v>45585</v>
      </c>
      <c r="P665" s="10">
        <v>2024</v>
      </c>
      <c r="Q665" s="10">
        <v>10</v>
      </c>
      <c r="R665" s="10" t="str">
        <v>SURVEI-PPL</v>
      </c>
      <c r="S665" s="10" t="str">
        <v>610422100016-2024-10</v>
      </c>
      <c r="T665" s="10" t="str">
        <v>610422100016-2024-10-SURVEI-PPL</v>
      </c>
      <c r="U665" s="10">
        <v>0</v>
      </c>
      <c r="V665" s="10" t="e">
        <f ca="1"/>
        <v>#NAME?</v>
      </c>
      <c r="W665" s="67">
        <v>0</v>
      </c>
      <c r="X665" s="11" t="str">
        <v>Survei Harga Perdesaan (SHPED24) Oktober</v>
      </c>
      <c r="Y665" s="11" t="str">
        <v>SUNGAI KUNYIT</v>
      </c>
      <c r="Z665" s="11" t="str">
        <v>SUNGAI KUNYIT LAUT</v>
      </c>
      <c r="AA665" s="67">
        <v>45565</v>
      </c>
      <c r="AB665" s="67">
        <v>45566</v>
      </c>
      <c r="AC665" s="67">
        <v>45596</v>
      </c>
      <c r="AD665" s="67">
        <v>45595</v>
      </c>
      <c r="AE665" s="67">
        <v>45596</v>
      </c>
    </row>
    <row r="666" spans="1:31" ht="12.5">
      <c r="A666" s="10">
        <v>610422050001</v>
      </c>
      <c r="B666" s="10" t="str">
        <v>SHPED24-LAPANGAN-OKTOBER</v>
      </c>
      <c r="C666" s="10">
        <v>0</v>
      </c>
      <c r="D666" s="10">
        <f ca="1"/>
        <v>1</v>
      </c>
      <c r="E666" s="10" t="str">
        <v>Evi Juniarty</v>
      </c>
      <c r="F666" s="10" t="str">
        <v>PPL</v>
      </c>
      <c r="G666" s="10" t="str">
        <v>6102165101840001</v>
      </c>
      <c r="H666" s="10" t="str">
        <v>PENDATAAN KONSUMEN</v>
      </c>
      <c r="I666" s="10" t="str">
        <v>SHPED24-LAPANGAN-OKTOBER-PPL-PENDATAAN KONSUMEN</v>
      </c>
      <c r="J666" s="10" t="str">
        <v>Dokumen</v>
      </c>
      <c r="K666" s="66">
        <v>65000</v>
      </c>
      <c r="L666" s="10">
        <v>3</v>
      </c>
      <c r="M666" s="10">
        <v>195000</v>
      </c>
      <c r="N666" s="10">
        <v>0</v>
      </c>
      <c r="O666" s="67">
        <v>45585</v>
      </c>
      <c r="P666" s="10">
        <v>2024</v>
      </c>
      <c r="Q666" s="10">
        <v>10</v>
      </c>
      <c r="R666" s="10" t="str">
        <v>SURVEI-PPL</v>
      </c>
      <c r="S666" s="10" t="str">
        <v>610422050001-2024-10</v>
      </c>
      <c r="T666" s="10" t="str">
        <v>610422050001-2024-10-SURVEI-PPL</v>
      </c>
      <c r="U666" s="10">
        <v>0</v>
      </c>
      <c r="V666" s="10" t="e">
        <f ca="1"/>
        <v>#NAME?</v>
      </c>
      <c r="W666" s="67">
        <v>0</v>
      </c>
      <c r="X666" s="11" t="str">
        <v>Survei Harga Perdesaan (SHPED24) Oktober</v>
      </c>
      <c r="Y666" s="11" t="str">
        <v>ANJONGAN</v>
      </c>
      <c r="Z666" s="11" t="str">
        <v>ANJUNGAN MELANCAR</v>
      </c>
      <c r="AA666" s="67">
        <v>45565</v>
      </c>
      <c r="AB666" s="67">
        <v>45566</v>
      </c>
      <c r="AC666" s="67">
        <v>45596</v>
      </c>
      <c r="AD666" s="67">
        <v>45595</v>
      </c>
      <c r="AE666" s="67">
        <v>45596</v>
      </c>
    </row>
    <row r="667" spans="1:31" ht="12.5">
      <c r="A667" s="10">
        <v>610422040030</v>
      </c>
      <c r="B667" s="10" t="str">
        <v>SHPED24-LAPANGAN-OKTOBER</v>
      </c>
      <c r="C667" s="10">
        <v>0</v>
      </c>
      <c r="D667" s="10">
        <f ca="1"/>
        <v>1</v>
      </c>
      <c r="E667" s="10" t="str">
        <v>Syarifah Desti Pratiwi</v>
      </c>
      <c r="F667" s="10" t="str">
        <v>PPL</v>
      </c>
      <c r="G667" s="10" t="str">
        <v>6102084512950002</v>
      </c>
      <c r="H667" s="10" t="str">
        <v>PENDATAAN PRODUSEN</v>
      </c>
      <c r="I667" s="10" t="str">
        <v>SHPED24-LAPANGAN-OKTOBER-PPL-PENDATAAN PRODUSEN</v>
      </c>
      <c r="J667" s="10" t="str">
        <v>Dokumen</v>
      </c>
      <c r="K667" s="66">
        <v>55000</v>
      </c>
      <c r="L667" s="10">
        <v>1</v>
      </c>
      <c r="M667" s="10">
        <v>55000</v>
      </c>
      <c r="N667" s="10">
        <v>0</v>
      </c>
      <c r="O667" s="67">
        <v>45585</v>
      </c>
      <c r="P667" s="10">
        <v>2024</v>
      </c>
      <c r="Q667" s="10">
        <v>10</v>
      </c>
      <c r="R667" s="10" t="str">
        <v>SURVEI-PPL</v>
      </c>
      <c r="S667" s="10" t="str">
        <v>610422040030-2024-10</v>
      </c>
      <c r="T667" s="10" t="str">
        <v>610422040030-2024-10-SURVEI-PPL</v>
      </c>
      <c r="U667" s="10">
        <v>0</v>
      </c>
      <c r="V667" s="10" t="e">
        <f ca="1"/>
        <v>#NAME?</v>
      </c>
      <c r="W667" s="67">
        <v>0</v>
      </c>
      <c r="X667" s="11" t="str">
        <v>Survei Harga Perdesaan (SHPED24) Oktober</v>
      </c>
      <c r="Y667" s="11" t="str">
        <v>JONGKAT</v>
      </c>
      <c r="Z667" s="11" t="str">
        <v>JUNGKAT</v>
      </c>
      <c r="AA667" s="67">
        <v>45565</v>
      </c>
      <c r="AB667" s="67">
        <v>45566</v>
      </c>
      <c r="AC667" s="67">
        <v>45596</v>
      </c>
      <c r="AD667" s="67">
        <v>45595</v>
      </c>
      <c r="AE667" s="67">
        <v>45596</v>
      </c>
    </row>
    <row r="668" spans="1:31" ht="12.5">
      <c r="A668" s="10">
        <v>610422100124</v>
      </c>
      <c r="B668" s="10" t="str">
        <v>SHPED24-LAPANGAN-OKTOBER</v>
      </c>
      <c r="C668" s="10">
        <v>0</v>
      </c>
      <c r="D668" s="10">
        <f ca="1"/>
        <v>1</v>
      </c>
      <c r="E668" s="10" t="str">
        <v>Prabowo</v>
      </c>
      <c r="F668" s="10" t="str">
        <v>PPL</v>
      </c>
      <c r="G668" s="10" t="str">
        <v>6171010108790015</v>
      </c>
      <c r="H668" s="10" t="str">
        <v>PENDATAAN PRODUSEN</v>
      </c>
      <c r="I668" s="10" t="str">
        <v>SHPED24-LAPANGAN-OKTOBER-PPL-PENDATAAN PRODUSEN</v>
      </c>
      <c r="J668" s="10" t="str">
        <v>Dokumen</v>
      </c>
      <c r="K668" s="66">
        <v>55000</v>
      </c>
      <c r="L668" s="10">
        <v>3</v>
      </c>
      <c r="M668" s="10">
        <v>165000</v>
      </c>
      <c r="N668" s="10">
        <v>0</v>
      </c>
      <c r="O668" s="67">
        <v>45585</v>
      </c>
      <c r="P668" s="10">
        <v>2024</v>
      </c>
      <c r="Q668" s="10">
        <v>10</v>
      </c>
      <c r="R668" s="10" t="str">
        <v>SURVEI-PPL</v>
      </c>
      <c r="S668" s="10" t="str">
        <v>610422100124-2024-10</v>
      </c>
      <c r="T668" s="10" t="str">
        <v>610422100124-2024-10-SURVEI-PPL</v>
      </c>
      <c r="U668" s="10">
        <v>0</v>
      </c>
      <c r="V668" s="10" t="e">
        <f ca="1"/>
        <v>#NAME?</v>
      </c>
      <c r="W668" s="67">
        <v>0</v>
      </c>
      <c r="X668" s="11" t="str">
        <v>Survei Harga Perdesaan (SHPED24) Oktober</v>
      </c>
      <c r="Y668" s="11" t="str">
        <v>PONTIANAK KOTA</v>
      </c>
      <c r="Z668" s="11" t="str">
        <v>SUNGAI BANGKONG</v>
      </c>
      <c r="AA668" s="67">
        <v>45565</v>
      </c>
      <c r="AB668" s="67">
        <v>45566</v>
      </c>
      <c r="AC668" s="67">
        <v>45596</v>
      </c>
      <c r="AD668" s="67">
        <v>45595</v>
      </c>
      <c r="AE668" s="67">
        <v>45596</v>
      </c>
    </row>
    <row r="669" spans="1:31" ht="12.5">
      <c r="A669" s="10">
        <v>610422100244</v>
      </c>
      <c r="B669" s="10" t="str">
        <v>SHPED24-LAPANGAN-OKTOBER</v>
      </c>
      <c r="C669" s="10">
        <v>0</v>
      </c>
      <c r="D669" s="10">
        <f ca="1"/>
        <v>1</v>
      </c>
      <c r="E669" s="10" t="str">
        <v>Sugianto</v>
      </c>
      <c r="F669" s="10" t="str">
        <v>PPL</v>
      </c>
      <c r="G669" s="10" t="str">
        <v>6102171003900002</v>
      </c>
      <c r="H669" s="10" t="str">
        <v>PENDATAAN PRODUSEN</v>
      </c>
      <c r="I669" s="10" t="str">
        <v>SHPED24-LAPANGAN-OKTOBER-PPL-PENDATAAN PRODUSEN</v>
      </c>
      <c r="J669" s="10" t="str">
        <v>Dokumen</v>
      </c>
      <c r="K669" s="66">
        <v>55000</v>
      </c>
      <c r="L669" s="10">
        <v>2</v>
      </c>
      <c r="M669" s="10">
        <v>110000</v>
      </c>
      <c r="N669" s="10">
        <v>0</v>
      </c>
      <c r="O669" s="67">
        <v>45585</v>
      </c>
      <c r="P669" s="10">
        <v>2024</v>
      </c>
      <c r="Q669" s="10">
        <v>10</v>
      </c>
      <c r="R669" s="10" t="str">
        <v>SURVEI-PPL</v>
      </c>
      <c r="S669" s="10" t="str">
        <v>610422100244-2024-10</v>
      </c>
      <c r="T669" s="10" t="str">
        <v>610422100244-2024-10-SURVEI-PPL</v>
      </c>
      <c r="U669" s="10">
        <v>0</v>
      </c>
      <c r="V669" s="10" t="e">
        <f ca="1"/>
        <v>#NAME?</v>
      </c>
      <c r="W669" s="67">
        <v>0</v>
      </c>
      <c r="X669" s="11" t="str">
        <v>Survei Harga Perdesaan (SHPED24) Oktober</v>
      </c>
      <c r="Y669" s="11" t="str">
        <v>SADANIANG</v>
      </c>
      <c r="Z669" s="11" t="str">
        <v>BUMBUN</v>
      </c>
      <c r="AA669" s="67">
        <v>45565</v>
      </c>
      <c r="AB669" s="67">
        <v>45566</v>
      </c>
      <c r="AC669" s="67">
        <v>45596</v>
      </c>
      <c r="AD669" s="67">
        <v>45595</v>
      </c>
      <c r="AE669" s="67">
        <v>45596</v>
      </c>
    </row>
    <row r="670" spans="1:31" ht="12.5">
      <c r="A670" s="10">
        <v>610422020016</v>
      </c>
      <c r="B670" s="10" t="str">
        <v>SHPED24-LAPANGAN-OKTOBER</v>
      </c>
      <c r="C670" s="10">
        <v>0</v>
      </c>
      <c r="D670" s="10">
        <f ca="1"/>
        <v>1</v>
      </c>
      <c r="E670" s="10" t="str">
        <v>Abdul Aziz</v>
      </c>
      <c r="F670" s="10" t="str">
        <v>PPL</v>
      </c>
      <c r="G670" s="10" t="str">
        <v>6102061507950006</v>
      </c>
      <c r="H670" s="10" t="str">
        <v>PENDATAAN PRODUSEN</v>
      </c>
      <c r="I670" s="10" t="str">
        <v>SHPED24-LAPANGAN-OKTOBER-PPL-PENDATAAN PRODUSEN</v>
      </c>
      <c r="J670" s="10" t="str">
        <v>Dokumen</v>
      </c>
      <c r="K670" s="66">
        <v>55000</v>
      </c>
      <c r="L670" s="10">
        <v>3</v>
      </c>
      <c r="M670" s="10">
        <v>165000</v>
      </c>
      <c r="N670" s="10">
        <v>0</v>
      </c>
      <c r="O670" s="67">
        <v>45585</v>
      </c>
      <c r="P670" s="10">
        <v>2024</v>
      </c>
      <c r="Q670" s="10">
        <v>10</v>
      </c>
      <c r="R670" s="10" t="str">
        <v>SURVEI-PPL</v>
      </c>
      <c r="S670" s="10" t="str">
        <v>610422020016-2024-10</v>
      </c>
      <c r="T670" s="10" t="str">
        <v>610422020016-2024-10-SURVEI-PPL</v>
      </c>
      <c r="U670" s="10">
        <v>0</v>
      </c>
      <c r="V670" s="10" t="e">
        <f ca="1"/>
        <v>#NAME?</v>
      </c>
      <c r="W670" s="67">
        <v>0</v>
      </c>
      <c r="X670" s="11" t="str">
        <v>Survei Harga Perdesaan (SHPED24) Oktober</v>
      </c>
      <c r="Y670" s="11" t="str">
        <v>TOHO</v>
      </c>
      <c r="Z670" s="11" t="str">
        <v>SAMBORA</v>
      </c>
      <c r="AA670" s="67">
        <v>45565</v>
      </c>
      <c r="AB670" s="67">
        <v>45566</v>
      </c>
      <c r="AC670" s="67">
        <v>45596</v>
      </c>
      <c r="AD670" s="67">
        <v>45595</v>
      </c>
      <c r="AE670" s="67">
        <v>45596</v>
      </c>
    </row>
    <row r="671" spans="1:31" ht="12.5">
      <c r="A671" s="10">
        <v>610422100016</v>
      </c>
      <c r="B671" s="10" t="str">
        <v>SHPED24-LAPANGAN-OKTOBER</v>
      </c>
      <c r="C671" s="10">
        <v>0</v>
      </c>
      <c r="D671" s="10">
        <f ca="1"/>
        <v>1</v>
      </c>
      <c r="E671" s="10" t="str">
        <v>Amalia Faisya</v>
      </c>
      <c r="F671" s="10" t="str">
        <v>PPL</v>
      </c>
      <c r="G671" s="10" t="str">
        <v>6102124210010005</v>
      </c>
      <c r="H671" s="10" t="str">
        <v>PENDATAAN PRODUSEN</v>
      </c>
      <c r="I671" s="10" t="str">
        <v>SHPED24-LAPANGAN-OKTOBER-PPL-PENDATAAN PRODUSEN</v>
      </c>
      <c r="J671" s="10" t="str">
        <v>Dokumen</v>
      </c>
      <c r="K671" s="66">
        <v>55000</v>
      </c>
      <c r="L671" s="10">
        <v>1</v>
      </c>
      <c r="M671" s="10">
        <v>55000</v>
      </c>
      <c r="N671" s="10">
        <v>0</v>
      </c>
      <c r="O671" s="67">
        <v>45585</v>
      </c>
      <c r="P671" s="10">
        <v>2024</v>
      </c>
      <c r="Q671" s="10">
        <v>10</v>
      </c>
      <c r="R671" s="10" t="str">
        <v>SURVEI-PPL</v>
      </c>
      <c r="S671" s="10" t="str">
        <v>610422100016-2024-10</v>
      </c>
      <c r="T671" s="10" t="str">
        <v>610422100016-2024-10-SURVEI-PPL</v>
      </c>
      <c r="U671" s="10">
        <v>0</v>
      </c>
      <c r="V671" s="10" t="e">
        <f ca="1"/>
        <v>#NAME?</v>
      </c>
      <c r="W671" s="67">
        <v>0</v>
      </c>
      <c r="X671" s="11" t="str">
        <v>Survei Harga Perdesaan (SHPED24) Oktober</v>
      </c>
      <c r="Y671" s="11" t="str">
        <v>SUNGAI KUNYIT</v>
      </c>
      <c r="Z671" s="11" t="str">
        <v>SUNGAI KUNYIT LAUT</v>
      </c>
      <c r="AA671" s="67">
        <v>45565</v>
      </c>
      <c r="AB671" s="67">
        <v>45566</v>
      </c>
      <c r="AC671" s="67">
        <v>45596</v>
      </c>
      <c r="AD671" s="67">
        <v>45595</v>
      </c>
      <c r="AE671" s="67">
        <v>45596</v>
      </c>
    </row>
    <row r="672" spans="1:31" ht="12.5">
      <c r="A672" s="10">
        <v>610422020048</v>
      </c>
      <c r="B672" s="10" t="str">
        <v>SHPED24-LAPANGAN-OKTOBER</v>
      </c>
      <c r="C672" s="10">
        <v>0</v>
      </c>
      <c r="D672" s="10">
        <f ca="1"/>
        <v>1</v>
      </c>
      <c r="E672" s="10" t="str">
        <v>Herri Gustaman</v>
      </c>
      <c r="F672" s="10" t="str">
        <v>PPL</v>
      </c>
      <c r="G672" s="10" t="str">
        <v>6102072503800001</v>
      </c>
      <c r="H672" s="10" t="str">
        <v>PENDATAAN PRODUSEN</v>
      </c>
      <c r="I672" s="10" t="str">
        <v>SHPED24-LAPANGAN-OKTOBER-PPL-PENDATAAN PRODUSEN</v>
      </c>
      <c r="J672" s="10" t="str">
        <v>Dokumen</v>
      </c>
      <c r="K672" s="66">
        <v>55000</v>
      </c>
      <c r="L672" s="10">
        <v>3</v>
      </c>
      <c r="M672" s="10">
        <v>165000</v>
      </c>
      <c r="N672" s="10">
        <v>0</v>
      </c>
      <c r="O672" s="67">
        <v>45585</v>
      </c>
      <c r="P672" s="10">
        <v>2024</v>
      </c>
      <c r="Q672" s="10">
        <v>10</v>
      </c>
      <c r="R672" s="10" t="str">
        <v>SURVEI-PPL</v>
      </c>
      <c r="S672" s="10" t="str">
        <v>610422020048-2024-10</v>
      </c>
      <c r="T672" s="10" t="str">
        <v>610422020048-2024-10-SURVEI-PPL</v>
      </c>
      <c r="U672" s="10">
        <v>0</v>
      </c>
      <c r="V672" s="10" t="e">
        <f ca="1"/>
        <v>#NAME?</v>
      </c>
      <c r="W672" s="67">
        <v>0</v>
      </c>
      <c r="X672" s="11" t="str">
        <v>Survei Harga Perdesaan (SHPED24) Oktober</v>
      </c>
      <c r="Y672" s="11" t="str">
        <v>MEMPAWAH TIMUR</v>
      </c>
      <c r="Z672" s="11" t="str">
        <v>SEJEGI</v>
      </c>
      <c r="AA672" s="67">
        <v>45565</v>
      </c>
      <c r="AB672" s="67">
        <v>45566</v>
      </c>
      <c r="AC672" s="67">
        <v>45596</v>
      </c>
      <c r="AD672" s="67">
        <v>45595</v>
      </c>
      <c r="AE672" s="67">
        <v>45596</v>
      </c>
    </row>
    <row r="673" spans="1:31" ht="12.5">
      <c r="A673" s="10">
        <v>610422040029</v>
      </c>
      <c r="B673" s="10" t="str">
        <v>SHPED24-LAPANGAN-OKTOBER</v>
      </c>
      <c r="C673" s="10">
        <v>0</v>
      </c>
      <c r="D673" s="10">
        <f ca="1"/>
        <v>1</v>
      </c>
      <c r="E673" s="10" t="str">
        <v>Zaini</v>
      </c>
      <c r="F673" s="10" t="str">
        <v>PPL</v>
      </c>
      <c r="G673" s="10" t="str">
        <v>6102010607870002</v>
      </c>
      <c r="H673" s="10" t="str">
        <v>PENDATAAN PRODUSEN</v>
      </c>
      <c r="I673" s="10" t="str">
        <v>SHPED24-LAPANGAN-OKTOBER-PPL-PENDATAAN PRODUSEN</v>
      </c>
      <c r="J673" s="10" t="str">
        <v>Dokumen</v>
      </c>
      <c r="K673" s="66">
        <v>55000</v>
      </c>
      <c r="L673" s="10">
        <v>4</v>
      </c>
      <c r="M673" s="10">
        <v>220000</v>
      </c>
      <c r="N673" s="10">
        <v>0</v>
      </c>
      <c r="O673" s="67">
        <v>45585</v>
      </c>
      <c r="P673" s="10">
        <v>2024</v>
      </c>
      <c r="Q673" s="10">
        <v>10</v>
      </c>
      <c r="R673" s="10" t="str">
        <v>SURVEI-PPL</v>
      </c>
      <c r="S673" s="10" t="str">
        <v>610422040029-2024-10</v>
      </c>
      <c r="T673" s="10" t="str">
        <v>610422040029-2024-10-SURVEI-PPL</v>
      </c>
      <c r="U673" s="10">
        <v>0</v>
      </c>
      <c r="V673" s="10" t="e">
        <f ca="1"/>
        <v>#NAME?</v>
      </c>
      <c r="W673" s="67">
        <v>0</v>
      </c>
      <c r="X673" s="11" t="str">
        <v>Survei Harga Perdesaan (SHPED24) Oktober</v>
      </c>
      <c r="Y673" s="11" t="str">
        <v>MEMPAWAH HILIR</v>
      </c>
      <c r="Z673" s="11" t="str">
        <v>TENGAH</v>
      </c>
      <c r="AA673" s="67">
        <v>45565</v>
      </c>
      <c r="AB673" s="67">
        <v>45566</v>
      </c>
      <c r="AC673" s="67">
        <v>45596</v>
      </c>
      <c r="AD673" s="67">
        <v>45595</v>
      </c>
      <c r="AE673" s="67">
        <v>45596</v>
      </c>
    </row>
    <row r="674" spans="1:31" ht="12.5">
      <c r="A674" s="10">
        <v>610422050001</v>
      </c>
      <c r="B674" s="10" t="str">
        <v>SHPED24-LAPANGAN-OKTOBER</v>
      </c>
      <c r="C674" s="10">
        <v>0</v>
      </c>
      <c r="D674" s="10">
        <f ca="1"/>
        <v>1</v>
      </c>
      <c r="E674" s="10" t="str">
        <v>Evi Juniarty</v>
      </c>
      <c r="F674" s="10" t="str">
        <v>PPL</v>
      </c>
      <c r="G674" s="10" t="str">
        <v>6102165101840001</v>
      </c>
      <c r="H674" s="10" t="str">
        <v>PENDATAAN PRODUSEN</v>
      </c>
      <c r="I674" s="10" t="str">
        <v>SHPED24-LAPANGAN-OKTOBER-PPL-PENDATAAN PRODUSEN</v>
      </c>
      <c r="J674" s="10" t="str">
        <v>Dokumen</v>
      </c>
      <c r="K674" s="66">
        <v>55000</v>
      </c>
      <c r="L674" s="10">
        <v>1</v>
      </c>
      <c r="M674" s="10">
        <v>55000</v>
      </c>
      <c r="N674" s="10">
        <v>0</v>
      </c>
      <c r="O674" s="67">
        <v>45585</v>
      </c>
      <c r="P674" s="10">
        <v>2024</v>
      </c>
      <c r="Q674" s="10">
        <v>10</v>
      </c>
      <c r="R674" s="10" t="str">
        <v>SURVEI-PPL</v>
      </c>
      <c r="S674" s="10" t="str">
        <v>610422050001-2024-10</v>
      </c>
      <c r="T674" s="10" t="str">
        <v>610422050001-2024-10-SURVEI-PPL</v>
      </c>
      <c r="U674" s="10">
        <v>0</v>
      </c>
      <c r="V674" s="10" t="e">
        <f ca="1"/>
        <v>#NAME?</v>
      </c>
      <c r="W674" s="67">
        <v>0</v>
      </c>
      <c r="X674" s="11" t="str">
        <v>Survei Harga Perdesaan (SHPED24) Oktober</v>
      </c>
      <c r="Y674" s="11" t="str">
        <v>ANJONGAN</v>
      </c>
      <c r="Z674" s="11" t="str">
        <v>ANJUNGAN MELANCAR</v>
      </c>
      <c r="AA674" s="67">
        <v>45565</v>
      </c>
      <c r="AB674" s="67">
        <v>45566</v>
      </c>
      <c r="AC674" s="67">
        <v>45596</v>
      </c>
      <c r="AD674" s="67">
        <v>45595</v>
      </c>
      <c r="AE674" s="67">
        <v>45596</v>
      </c>
    </row>
    <row r="675" spans="1:31" ht="12.5">
      <c r="A675" s="10">
        <v>610422100124</v>
      </c>
      <c r="B675" s="10" t="str">
        <v>HPBG24-LAPANGAN-OKTOBER</v>
      </c>
      <c r="C675" s="10">
        <v>0</v>
      </c>
      <c r="D675" s="10">
        <f ca="1"/>
        <v>1</v>
      </c>
      <c r="E675" s="10" t="str">
        <v>Prabowo</v>
      </c>
      <c r="F675" s="10" t="str">
        <v>PPL</v>
      </c>
      <c r="G675" s="10" t="str">
        <v>6171010108790015</v>
      </c>
      <c r="H675" s="10" t="str">
        <v>PENDATAAN</v>
      </c>
      <c r="I675" s="10" t="str">
        <v>HPBG24-LAPANGAN-OKTOBER-PPL-PENDATAAN</v>
      </c>
      <c r="J675" s="10" t="str">
        <v>Dokumen</v>
      </c>
      <c r="K675" s="66">
        <v>55000</v>
      </c>
      <c r="L675" s="10">
        <v>2</v>
      </c>
      <c r="M675" s="10">
        <v>110000</v>
      </c>
      <c r="N675" s="10">
        <v>0</v>
      </c>
      <c r="O675" s="67">
        <v>45585</v>
      </c>
      <c r="P675" s="10">
        <v>2024</v>
      </c>
      <c r="Q675" s="10">
        <v>10</v>
      </c>
      <c r="R675" s="10" t="str">
        <v>SURVEI-PPL</v>
      </c>
      <c r="S675" s="10" t="str">
        <v>610422100124-2024-10</v>
      </c>
      <c r="T675" s="10" t="str">
        <v>610422100124-2024-10-SURVEI-PPL</v>
      </c>
      <c r="U675" s="10">
        <v>0</v>
      </c>
      <c r="V675" s="10" t="e">
        <f ca="1"/>
        <v>#NAME?</v>
      </c>
      <c r="W675" s="67">
        <v>0</v>
      </c>
      <c r="X675" s="11" t="str">
        <v>Survei Harga Produsen Beras di Penggilingan 2024 (HPBG24) Oktober</v>
      </c>
      <c r="Y675" s="11" t="str">
        <v>PONTIANAK KOTA</v>
      </c>
      <c r="Z675" s="11" t="str">
        <v>SUNGAI BANGKONG</v>
      </c>
      <c r="AA675" s="67">
        <v>45565</v>
      </c>
      <c r="AB675" s="67">
        <v>45566</v>
      </c>
      <c r="AC675" s="67">
        <v>45596</v>
      </c>
      <c r="AD675" s="67">
        <v>45595</v>
      </c>
      <c r="AE675" s="67">
        <v>45596</v>
      </c>
    </row>
    <row r="676" spans="1:31" ht="12.5">
      <c r="A676" s="10">
        <v>610422100244</v>
      </c>
      <c r="B676" s="10" t="str">
        <v>HPBG24-LAPANGAN-OKTOBER</v>
      </c>
      <c r="C676" s="10">
        <v>0</v>
      </c>
      <c r="D676" s="10">
        <f ca="1"/>
        <v>1</v>
      </c>
      <c r="E676" s="10" t="str">
        <v>Sugianto</v>
      </c>
      <c r="F676" s="10" t="str">
        <v>PPL</v>
      </c>
      <c r="G676" s="10" t="str">
        <v>6102171003900002</v>
      </c>
      <c r="H676" s="10" t="str">
        <v>PENDATAAN</v>
      </c>
      <c r="I676" s="10" t="str">
        <v>HPBG24-LAPANGAN-OKTOBER-PPL-PENDATAAN</v>
      </c>
      <c r="J676" s="10" t="str">
        <v>Dokumen</v>
      </c>
      <c r="K676" s="66">
        <v>55000</v>
      </c>
      <c r="L676" s="10">
        <v>2</v>
      </c>
      <c r="M676" s="10">
        <v>110000</v>
      </c>
      <c r="N676" s="10">
        <v>0</v>
      </c>
      <c r="O676" s="67">
        <v>45585</v>
      </c>
      <c r="P676" s="10">
        <v>2024</v>
      </c>
      <c r="Q676" s="10">
        <v>10</v>
      </c>
      <c r="R676" s="10" t="str">
        <v>SURVEI-PPL</v>
      </c>
      <c r="S676" s="10" t="str">
        <v>610422100244-2024-10</v>
      </c>
      <c r="T676" s="10" t="str">
        <v>610422100244-2024-10-SURVEI-PPL</v>
      </c>
      <c r="U676" s="10">
        <v>0</v>
      </c>
      <c r="V676" s="10" t="e">
        <f ca="1"/>
        <v>#NAME?</v>
      </c>
      <c r="W676" s="67">
        <v>0</v>
      </c>
      <c r="X676" s="11" t="str">
        <v>Survei Harga Produsen Beras di Penggilingan 2024 (HPBG24) Oktober</v>
      </c>
      <c r="Y676" s="11" t="str">
        <v>SADANIANG</v>
      </c>
      <c r="Z676" s="11" t="str">
        <v>BUMBUN</v>
      </c>
      <c r="AA676" s="67">
        <v>45565</v>
      </c>
      <c r="AB676" s="67">
        <v>45566</v>
      </c>
      <c r="AC676" s="67">
        <v>45596</v>
      </c>
      <c r="AD676" s="67">
        <v>45595</v>
      </c>
      <c r="AE676" s="67">
        <v>45596</v>
      </c>
    </row>
    <row r="677" spans="1:31" ht="12.5">
      <c r="A677" s="10">
        <v>610422100165</v>
      </c>
      <c r="B677" s="10" t="str">
        <v>HPBG24-LAPANGAN-OKTOBER</v>
      </c>
      <c r="C677" s="10">
        <v>0</v>
      </c>
      <c r="D677" s="10">
        <f ca="1"/>
        <v>1</v>
      </c>
      <c r="E677" s="10" t="str">
        <v>Yanti</v>
      </c>
      <c r="F677" s="10" t="str">
        <v>PPL</v>
      </c>
      <c r="G677" s="10" t="str">
        <v>6102074803980002</v>
      </c>
      <c r="H677" s="10" t="str">
        <v>PENDATAAN</v>
      </c>
      <c r="I677" s="10" t="str">
        <v>HPBG24-LAPANGAN-OKTOBER-PPL-PENDATAAN</v>
      </c>
      <c r="J677" s="10" t="str">
        <v>Dokumen</v>
      </c>
      <c r="K677" s="66">
        <v>55000</v>
      </c>
      <c r="L677" s="10">
        <v>2</v>
      </c>
      <c r="M677" s="10">
        <v>110000</v>
      </c>
      <c r="N677" s="10">
        <v>0</v>
      </c>
      <c r="O677" s="67">
        <v>45585</v>
      </c>
      <c r="P677" s="10">
        <v>2024</v>
      </c>
      <c r="Q677" s="10">
        <v>10</v>
      </c>
      <c r="R677" s="10" t="str">
        <v>SURVEI-PPL</v>
      </c>
      <c r="S677" s="10" t="str">
        <v>610422100165-2024-10</v>
      </c>
      <c r="T677" s="10" t="str">
        <v>610422100165-2024-10-SURVEI-PPL</v>
      </c>
      <c r="U677" s="10">
        <v>0</v>
      </c>
      <c r="V677" s="10" t="e">
        <f ca="1"/>
        <v>#NAME?</v>
      </c>
      <c r="W677" s="67">
        <v>0</v>
      </c>
      <c r="X677" s="11" t="str">
        <v>Survei Harga Produsen Beras di Penggilingan 2024 (HPBG24) Oktober</v>
      </c>
      <c r="Y677" s="11" t="str">
        <v>SUNGAI PINYUH</v>
      </c>
      <c r="Z677" s="11" t="str">
        <v>SUNGAI BAKAU BESAR LAUT</v>
      </c>
      <c r="AA677" s="67">
        <v>45565</v>
      </c>
      <c r="AB677" s="67">
        <v>45566</v>
      </c>
      <c r="AC677" s="67">
        <v>45596</v>
      </c>
      <c r="AD677" s="67">
        <v>45595</v>
      </c>
      <c r="AE677" s="67">
        <v>45596</v>
      </c>
    </row>
    <row r="678" spans="1:31" ht="12.5">
      <c r="A678" s="10">
        <v>610422100165</v>
      </c>
      <c r="B678" s="10" t="str">
        <v>HPJ24-LAPANGAN-OKTOBER</v>
      </c>
      <c r="C678" s="10">
        <v>0</v>
      </c>
      <c r="D678" s="10">
        <f ca="1"/>
        <v>1</v>
      </c>
      <c r="E678" s="10" t="str">
        <v>Yanti</v>
      </c>
      <c r="F678" s="10" t="str">
        <v>PPL</v>
      </c>
      <c r="G678" s="10" t="str">
        <v>6102074803980002</v>
      </c>
      <c r="H678" s="10" t="str">
        <v>PENDATAAN</v>
      </c>
      <c r="I678" s="10" t="str">
        <v>HPJ24-LAPANGAN-OKTOBER-PPL-PENDATAAN</v>
      </c>
      <c r="J678" s="10" t="str">
        <v>Dokumen</v>
      </c>
      <c r="K678" s="66">
        <v>50000</v>
      </c>
      <c r="L678" s="10">
        <v>1</v>
      </c>
      <c r="M678" s="10">
        <v>50000</v>
      </c>
      <c r="N678" s="10">
        <v>0</v>
      </c>
      <c r="O678" s="67">
        <v>45585</v>
      </c>
      <c r="P678" s="10">
        <v>2024</v>
      </c>
      <c r="Q678" s="10">
        <v>10</v>
      </c>
      <c r="R678" s="10" t="str">
        <v>SURVEI-PPL</v>
      </c>
      <c r="S678" s="10" t="str">
        <v>610422100165-2024-10</v>
      </c>
      <c r="T678" s="10" t="str">
        <v>610422100165-2024-10-SURVEI-PPL</v>
      </c>
      <c r="U678" s="10">
        <v>0</v>
      </c>
      <c r="V678" s="10" t="e">
        <f ca="1"/>
        <v>#NAME?</v>
      </c>
      <c r="W678" s="67">
        <v>0</v>
      </c>
      <c r="X678" s="11" t="str">
        <v>Survei Harga Produsen Jasa (HPJ24) Oktober</v>
      </c>
      <c r="Y678" s="11" t="str">
        <v>SUNGAI PINYUH</v>
      </c>
      <c r="Z678" s="11" t="str">
        <v>SUNGAI BAKAU BESAR LAUT</v>
      </c>
      <c r="AA678" s="67">
        <v>45565</v>
      </c>
      <c r="AB678" s="67">
        <v>45566</v>
      </c>
      <c r="AC678" s="67">
        <v>45596</v>
      </c>
      <c r="AD678" s="67">
        <v>45595</v>
      </c>
      <c r="AE678" s="67">
        <v>45596</v>
      </c>
    </row>
    <row r="679" spans="1:31" ht="12.5">
      <c r="A679" s="10">
        <v>610422040029</v>
      </c>
      <c r="B679" s="10" t="str">
        <v>VHTS24-LAPANGAN-OKTOBER</v>
      </c>
      <c r="C679" s="10">
        <v>0</v>
      </c>
      <c r="D679" s="10">
        <f ca="1"/>
        <v>1</v>
      </c>
      <c r="E679" s="10" t="str">
        <v>Zaini</v>
      </c>
      <c r="F679" s="10" t="str">
        <v>PPL</v>
      </c>
      <c r="G679" s="10" t="str">
        <v>6102010607870002</v>
      </c>
      <c r="H679" s="10" t="str">
        <v>PENDATAAN</v>
      </c>
      <c r="I679" s="10" t="str">
        <v>VHTS24-LAPANGAN-OKTOBER-PPL-PENDATAAN</v>
      </c>
      <c r="J679" s="10" t="str">
        <v>Dokumen</v>
      </c>
      <c r="K679" s="66">
        <v>55000</v>
      </c>
      <c r="L679" s="10">
        <v>3</v>
      </c>
      <c r="M679" s="10">
        <v>165000</v>
      </c>
      <c r="N679" s="10">
        <v>0</v>
      </c>
      <c r="O679" s="67">
        <v>45585</v>
      </c>
      <c r="P679" s="10">
        <v>2024</v>
      </c>
      <c r="Q679" s="10">
        <v>10</v>
      </c>
      <c r="R679" s="10" t="str">
        <v>SURVEI-PPL</v>
      </c>
      <c r="S679" s="10" t="str">
        <v>610422040029-2024-10</v>
      </c>
      <c r="T679" s="10" t="str">
        <v>610422040029-2024-10-SURVEI-PPL</v>
      </c>
      <c r="U679" s="10">
        <v>0</v>
      </c>
      <c r="V679" s="10" t="e">
        <f ca="1"/>
        <v>#NAME?</v>
      </c>
      <c r="W679" s="67">
        <v>0</v>
      </c>
      <c r="X679" s="11" t="str">
        <v>Survei Hotel dan Jasa Akomodasi Bulanan (VHTS) 2024 Oktober</v>
      </c>
      <c r="Y679" s="11" t="str">
        <v>MEMPAWAH HILIR</v>
      </c>
      <c r="Z679" s="11" t="str">
        <v>TENGAH</v>
      </c>
      <c r="AA679" s="67">
        <v>45565</v>
      </c>
      <c r="AB679" s="67">
        <v>45566</v>
      </c>
      <c r="AC679" s="67">
        <v>45596</v>
      </c>
      <c r="AD679" s="67">
        <v>45595</v>
      </c>
      <c r="AE679" s="67">
        <v>45596</v>
      </c>
    </row>
    <row r="680" spans="1:31" ht="12.5">
      <c r="A680" s="10">
        <v>610422100165</v>
      </c>
      <c r="B680" s="10" t="str">
        <v>VHTS24-LAPANGAN-OKTOBER</v>
      </c>
      <c r="C680" s="10">
        <v>0</v>
      </c>
      <c r="D680" s="10">
        <f ca="1"/>
        <v>1</v>
      </c>
      <c r="E680" s="10" t="str">
        <v>Yanti</v>
      </c>
      <c r="F680" s="10" t="str">
        <v>PPL</v>
      </c>
      <c r="G680" s="10" t="str">
        <v>6102074803980002</v>
      </c>
      <c r="H680" s="10" t="str">
        <v>PENDATAAN</v>
      </c>
      <c r="I680" s="10" t="str">
        <v>VHTS24-LAPANGAN-OKTOBER-PPL-PENDATAAN</v>
      </c>
      <c r="J680" s="10" t="str">
        <v>Dokumen</v>
      </c>
      <c r="K680" s="66">
        <v>55000</v>
      </c>
      <c r="L680" s="10">
        <v>3</v>
      </c>
      <c r="M680" s="10">
        <v>165000</v>
      </c>
      <c r="N680" s="10">
        <v>0</v>
      </c>
      <c r="O680" s="67">
        <v>45585</v>
      </c>
      <c r="P680" s="10">
        <v>2024</v>
      </c>
      <c r="Q680" s="10">
        <v>10</v>
      </c>
      <c r="R680" s="10" t="str">
        <v>SURVEI-PPL</v>
      </c>
      <c r="S680" s="10" t="str">
        <v>610422100165-2024-10</v>
      </c>
      <c r="T680" s="10" t="str">
        <v>610422100165-2024-10-SURVEI-PPL</v>
      </c>
      <c r="U680" s="10">
        <v>0</v>
      </c>
      <c r="V680" s="10" t="e">
        <f ca="1"/>
        <v>#NAME?</v>
      </c>
      <c r="W680" s="67">
        <v>0</v>
      </c>
      <c r="X680" s="11" t="str">
        <v>Survei Hotel dan Jasa Akomodasi Bulanan (VHTS) 2024 Oktober</v>
      </c>
      <c r="Y680" s="11" t="str">
        <v>SUNGAI PINYUH</v>
      </c>
      <c r="Z680" s="11" t="str">
        <v>SUNGAI BAKAU BESAR LAUT</v>
      </c>
      <c r="AA680" s="67">
        <v>45565</v>
      </c>
      <c r="AB680" s="67">
        <v>45566</v>
      </c>
      <c r="AC680" s="67">
        <v>45596</v>
      </c>
      <c r="AD680" s="67">
        <v>45595</v>
      </c>
      <c r="AE680" s="67">
        <v>45596</v>
      </c>
    </row>
    <row r="681" spans="1:31" ht="12.5">
      <c r="A681" s="10">
        <v>610422050001</v>
      </c>
      <c r="B681" s="10" t="str">
        <v>VHTS24-LAPANGAN-OKTOBER</v>
      </c>
      <c r="C681" s="10">
        <v>0</v>
      </c>
      <c r="D681" s="10">
        <f ca="1"/>
        <v>1</v>
      </c>
      <c r="E681" s="10" t="str">
        <v>Evi Juniarty</v>
      </c>
      <c r="F681" s="10" t="str">
        <v>PPL</v>
      </c>
      <c r="G681" s="10" t="str">
        <v>6102165101840001</v>
      </c>
      <c r="H681" s="10" t="str">
        <v>PENDATAAN</v>
      </c>
      <c r="I681" s="10" t="str">
        <v>VHTS24-LAPANGAN-OKTOBER-PPL-PENDATAAN</v>
      </c>
      <c r="J681" s="10" t="str">
        <v>Dokumen</v>
      </c>
      <c r="K681" s="66">
        <v>55000</v>
      </c>
      <c r="L681" s="10">
        <v>3</v>
      </c>
      <c r="M681" s="10">
        <v>165000</v>
      </c>
      <c r="N681" s="10">
        <v>0</v>
      </c>
      <c r="O681" s="67">
        <v>45585</v>
      </c>
      <c r="P681" s="10">
        <v>2024</v>
      </c>
      <c r="Q681" s="10">
        <v>10</v>
      </c>
      <c r="R681" s="10" t="str">
        <v>SURVEI-PPL</v>
      </c>
      <c r="S681" s="10" t="str">
        <v>610422050001-2024-10</v>
      </c>
      <c r="T681" s="10" t="str">
        <v>610422050001-2024-10-SURVEI-PPL</v>
      </c>
      <c r="U681" s="10">
        <v>0</v>
      </c>
      <c r="V681" s="10" t="e">
        <f ca="1"/>
        <v>#NAME?</v>
      </c>
      <c r="W681" s="67">
        <v>0</v>
      </c>
      <c r="X681" s="11" t="str">
        <v>Survei Hotel dan Jasa Akomodasi Bulanan (VHTS) 2024 Oktober</v>
      </c>
      <c r="Y681" s="11" t="str">
        <v>ANJONGAN</v>
      </c>
      <c r="Z681" s="11" t="str">
        <v>ANJUNGAN MELANCAR</v>
      </c>
      <c r="AA681" s="67">
        <v>45565</v>
      </c>
      <c r="AB681" s="67">
        <v>45566</v>
      </c>
      <c r="AC681" s="67">
        <v>45596</v>
      </c>
      <c r="AD681" s="67">
        <v>45595</v>
      </c>
      <c r="AE681" s="67">
        <v>45596</v>
      </c>
    </row>
    <row r="682" spans="1:31" ht="12.5">
      <c r="A682" s="10">
        <v>610422040056</v>
      </c>
      <c r="B682" s="10" t="str">
        <v>VHTS24-LAPANGAN-OKTOBER</v>
      </c>
      <c r="C682" s="10">
        <v>0</v>
      </c>
      <c r="D682" s="10">
        <f ca="1"/>
        <v>1</v>
      </c>
      <c r="E682" s="10" t="str">
        <v>Wandi Syafari</v>
      </c>
      <c r="F682" s="10" t="str">
        <v>PPL</v>
      </c>
      <c r="G682" s="10" t="str">
        <v>6102010802760001</v>
      </c>
      <c r="H682" s="10" t="str">
        <v>PENDATAAN</v>
      </c>
      <c r="I682" s="10" t="str">
        <v>VHTS24-LAPANGAN-OKTOBER-PPL-PENDATAAN</v>
      </c>
      <c r="J682" s="10" t="str">
        <v>Dokumen</v>
      </c>
      <c r="K682" s="66">
        <v>55000</v>
      </c>
      <c r="L682" s="10">
        <v>2</v>
      </c>
      <c r="M682" s="10">
        <v>110000</v>
      </c>
      <c r="N682" s="10">
        <v>0</v>
      </c>
      <c r="O682" s="67">
        <v>45585</v>
      </c>
      <c r="P682" s="10">
        <v>2024</v>
      </c>
      <c r="Q682" s="10">
        <v>10</v>
      </c>
      <c r="R682" s="10" t="str">
        <v>SURVEI-PPL</v>
      </c>
      <c r="S682" s="10" t="str">
        <v>610422040056-2024-10</v>
      </c>
      <c r="T682" s="10" t="str">
        <v>610422040056-2024-10-SURVEI-PPL</v>
      </c>
      <c r="U682" s="10">
        <v>0</v>
      </c>
      <c r="V682" s="10" t="e">
        <f ca="1"/>
        <v>#NAME?</v>
      </c>
      <c r="W682" s="67">
        <v>0</v>
      </c>
      <c r="X682" s="11" t="str">
        <v>Survei Hotel dan Jasa Akomodasi Bulanan (VHTS) 2024 Oktober</v>
      </c>
      <c r="Y682" s="11" t="str">
        <v>MEMPAWAH HILIR</v>
      </c>
      <c r="Z682" s="11" t="str">
        <v>TERUSAN</v>
      </c>
      <c r="AA682" s="67">
        <v>45565</v>
      </c>
      <c r="AB682" s="67">
        <v>45566</v>
      </c>
      <c r="AC682" s="67">
        <v>45596</v>
      </c>
      <c r="AD682" s="67">
        <v>45595</v>
      </c>
      <c r="AE682" s="67">
        <v>45596</v>
      </c>
    </row>
    <row r="683" spans="1:31" ht="12.5">
      <c r="A683" s="10">
        <v>610422020016</v>
      </c>
      <c r="B683" s="10" t="str">
        <v>KSA24-LAPANGAN-OKTOBER</v>
      </c>
      <c r="C683" s="10">
        <v>0</v>
      </c>
      <c r="D683" s="10">
        <f ca="1"/>
        <v>1</v>
      </c>
      <c r="E683" s="10" t="str">
        <v>Abdul Aziz</v>
      </c>
      <c r="F683" s="10" t="str">
        <v>PPL</v>
      </c>
      <c r="G683" s="10" t="str">
        <v>6102061507950006</v>
      </c>
      <c r="H683" s="10" t="str">
        <v>KSA PADI</v>
      </c>
      <c r="I683" s="10" t="str">
        <v>KSA24-LAPANGAN-OKTOBER-PPL-KSA PADI</v>
      </c>
      <c r="J683" s="10" t="str">
        <v>Segmen</v>
      </c>
      <c r="K683" s="66">
        <v>116000</v>
      </c>
      <c r="L683" s="10">
        <v>3</v>
      </c>
      <c r="M683" s="10">
        <v>348000</v>
      </c>
      <c r="N683" s="10">
        <v>0</v>
      </c>
      <c r="O683" s="67">
        <v>45596</v>
      </c>
      <c r="P683" s="10">
        <v>2024</v>
      </c>
      <c r="Q683" s="10">
        <v>10</v>
      </c>
      <c r="R683" s="10" t="str">
        <v>SURVEI-PPL</v>
      </c>
      <c r="S683" s="10" t="str">
        <v>610422020016-2024-10</v>
      </c>
      <c r="T683" s="10" t="str">
        <v>610422020016-2024-10-SURVEI-PPL</v>
      </c>
      <c r="U683" s="10">
        <v>0</v>
      </c>
      <c r="V683" s="10" t="e">
        <f ca="1"/>
        <v>#NAME?</v>
      </c>
      <c r="W683" s="67">
        <v>0</v>
      </c>
      <c r="X683" s="11" t="str">
        <v>Kerangka Sampel Area (KSA) 2024 Oktober</v>
      </c>
      <c r="Y683" s="11" t="str">
        <v>TOHO</v>
      </c>
      <c r="Z683" s="11" t="str">
        <v>SAMBORA</v>
      </c>
      <c r="AA683" s="67">
        <v>45565</v>
      </c>
      <c r="AB683" s="67">
        <v>45566</v>
      </c>
      <c r="AC683" s="67">
        <v>45596</v>
      </c>
      <c r="AD683" s="67">
        <v>45595</v>
      </c>
      <c r="AE683" s="67">
        <v>45596</v>
      </c>
    </row>
    <row r="684" spans="1:31" ht="12.5">
      <c r="A684" s="10">
        <v>610422040012</v>
      </c>
      <c r="B684" s="10" t="str">
        <v>KSA24-LAPANGAN-OKTOBER</v>
      </c>
      <c r="C684" s="10">
        <v>0</v>
      </c>
      <c r="D684" s="10">
        <f ca="1"/>
        <v>1</v>
      </c>
      <c r="E684" s="10" t="str">
        <v>Misdi</v>
      </c>
      <c r="F684" s="10" t="str">
        <v>PPL</v>
      </c>
      <c r="G684" s="10" t="str">
        <v>6102070706940001</v>
      </c>
      <c r="H684" s="10" t="str">
        <v>KSA PADI</v>
      </c>
      <c r="I684" s="10" t="str">
        <v>KSA24-LAPANGAN-OKTOBER-PPL-KSA PADI</v>
      </c>
      <c r="J684" s="10" t="str">
        <v>Segmen</v>
      </c>
      <c r="K684" s="66">
        <v>116000</v>
      </c>
      <c r="L684" s="10">
        <v>3</v>
      </c>
      <c r="M684" s="10">
        <v>348000</v>
      </c>
      <c r="N684" s="10">
        <v>0</v>
      </c>
      <c r="O684" s="67">
        <v>45596</v>
      </c>
      <c r="P684" s="10">
        <v>2024</v>
      </c>
      <c r="Q684" s="10">
        <v>10</v>
      </c>
      <c r="R684" s="10" t="str">
        <v>SURVEI-PPL</v>
      </c>
      <c r="S684" s="10" t="str">
        <v>610422040012-2024-10</v>
      </c>
      <c r="T684" s="10" t="str">
        <v>610422040012-2024-10-SURVEI-PPL</v>
      </c>
      <c r="U684" s="10">
        <v>0</v>
      </c>
      <c r="V684" s="10" t="e">
        <f ca="1"/>
        <v>#NAME?</v>
      </c>
      <c r="W684" s="67">
        <v>0</v>
      </c>
      <c r="X684" s="11" t="str">
        <v>Kerangka Sampel Area (KSA) 2024 Oktober</v>
      </c>
      <c r="Y684" s="11" t="str">
        <v>SUNGAI PINYUH</v>
      </c>
      <c r="Z684" s="11" t="str">
        <v>SUNGAI BAKAU BESAR DARAT</v>
      </c>
      <c r="AA684" s="67">
        <v>45565</v>
      </c>
      <c r="AB684" s="67">
        <v>45566</v>
      </c>
      <c r="AC684" s="67">
        <v>45596</v>
      </c>
      <c r="AD684" s="67">
        <v>45595</v>
      </c>
      <c r="AE684" s="67">
        <v>45596</v>
      </c>
    </row>
    <row r="685" spans="1:31" ht="12.5">
      <c r="A685" s="10">
        <v>610422040059</v>
      </c>
      <c r="B685" s="10" t="str">
        <v>KSA24-LAPANGAN-OKTOBER</v>
      </c>
      <c r="C685" s="10">
        <v>0</v>
      </c>
      <c r="D685" s="10">
        <f ca="1"/>
        <v>1</v>
      </c>
      <c r="E685" s="10" t="str">
        <v>Abang Handri</v>
      </c>
      <c r="F685" s="10" t="str">
        <v>PPL</v>
      </c>
      <c r="G685" s="10" t="str">
        <v>6102072211780002</v>
      </c>
      <c r="H685" s="10" t="str">
        <v>KSA PADI</v>
      </c>
      <c r="I685" s="10" t="str">
        <v>KSA24-LAPANGAN-OKTOBER-PPL-KSA PADI</v>
      </c>
      <c r="J685" s="10" t="str">
        <v>Segmen</v>
      </c>
      <c r="K685" s="66">
        <v>116000</v>
      </c>
      <c r="L685" s="10">
        <v>4</v>
      </c>
      <c r="M685" s="10">
        <v>464000</v>
      </c>
      <c r="N685" s="10">
        <v>0</v>
      </c>
      <c r="O685" s="67">
        <v>45596</v>
      </c>
      <c r="P685" s="10">
        <v>2024</v>
      </c>
      <c r="Q685" s="10">
        <v>10</v>
      </c>
      <c r="R685" s="10" t="str">
        <v>SURVEI-PPL</v>
      </c>
      <c r="S685" s="10" t="str">
        <v>610422040059-2024-10</v>
      </c>
      <c r="T685" s="10" t="str">
        <v>610422040059-2024-10-SURVEI-PPL</v>
      </c>
      <c r="U685" s="10">
        <v>0</v>
      </c>
      <c r="V685" s="10" t="e">
        <f ca="1"/>
        <v>#NAME?</v>
      </c>
      <c r="W685" s="67">
        <v>0</v>
      </c>
      <c r="X685" s="11" t="str">
        <v>Kerangka Sampel Area (KSA) 2024 Oktober</v>
      </c>
      <c r="Y685" s="11" t="str">
        <v>MEMPAWAH HILIR</v>
      </c>
      <c r="Z685" s="11" t="str">
        <v>TERUSAN</v>
      </c>
      <c r="AA685" s="67">
        <v>45565</v>
      </c>
      <c r="AB685" s="67">
        <v>45566</v>
      </c>
      <c r="AC685" s="67">
        <v>45596</v>
      </c>
      <c r="AD685" s="67">
        <v>45595</v>
      </c>
      <c r="AE685" s="67">
        <v>45596</v>
      </c>
    </row>
    <row r="686" spans="1:31" ht="12.5">
      <c r="A686" s="10">
        <v>610422040061</v>
      </c>
      <c r="B686" s="10" t="str">
        <v>KSA24-LAPANGAN-OKTOBER</v>
      </c>
      <c r="C686" s="10">
        <v>0</v>
      </c>
      <c r="D686" s="10">
        <f ca="1"/>
        <v>1</v>
      </c>
      <c r="E686" s="10" t="str">
        <v>Sabani</v>
      </c>
      <c r="F686" s="10" t="str">
        <v>PPL</v>
      </c>
      <c r="G686" s="10" t="str">
        <v>6102153112860003</v>
      </c>
      <c r="H686" s="10" t="str">
        <v>KSA PADI</v>
      </c>
      <c r="I686" s="10" t="str">
        <v>KSA24-LAPANGAN-OKTOBER-PPL-KSA PADI</v>
      </c>
      <c r="J686" s="10" t="str">
        <v>Segmen</v>
      </c>
      <c r="K686" s="66">
        <v>116000</v>
      </c>
      <c r="L686" s="10">
        <v>3</v>
      </c>
      <c r="M686" s="10">
        <v>348000</v>
      </c>
      <c r="N686" s="10">
        <v>0</v>
      </c>
      <c r="O686" s="67">
        <v>45596</v>
      </c>
      <c r="P686" s="10">
        <v>2024</v>
      </c>
      <c r="Q686" s="10">
        <v>10</v>
      </c>
      <c r="R686" s="10" t="str">
        <v>SURVEI-PPL</v>
      </c>
      <c r="S686" s="10" t="str">
        <v>610422040061-2024-10</v>
      </c>
      <c r="T686" s="10" t="str">
        <v>610422040061-2024-10-SURVEI-PPL</v>
      </c>
      <c r="U686" s="10">
        <v>0</v>
      </c>
      <c r="V686" s="10" t="e">
        <f ca="1"/>
        <v>#NAME?</v>
      </c>
      <c r="W686" s="67">
        <v>0</v>
      </c>
      <c r="X686" s="11" t="str">
        <v>Kerangka Sampel Area (KSA) 2024 Oktober</v>
      </c>
      <c r="Y686" s="11" t="str">
        <v>SEGEDONG</v>
      </c>
      <c r="Z686" s="11" t="str">
        <v>PENITI BESAR</v>
      </c>
      <c r="AA686" s="67">
        <v>45565</v>
      </c>
      <c r="AB686" s="67">
        <v>45566</v>
      </c>
      <c r="AC686" s="67">
        <v>45596</v>
      </c>
      <c r="AD686" s="67">
        <v>45595</v>
      </c>
      <c r="AE686" s="67">
        <v>45596</v>
      </c>
    </row>
    <row r="687" spans="1:31" ht="12.5">
      <c r="A687" s="10">
        <v>610422100131</v>
      </c>
      <c r="B687" s="10" t="str">
        <v>KSA24-LAPANGAN-OKTOBER</v>
      </c>
      <c r="C687" s="10">
        <v>0</v>
      </c>
      <c r="D687" s="10">
        <f ca="1"/>
        <v>1</v>
      </c>
      <c r="E687" s="10" t="str">
        <v>Syamsul</v>
      </c>
      <c r="F687" s="10" t="str">
        <v>PPL</v>
      </c>
      <c r="G687" s="10" t="str">
        <v>6102150907860003</v>
      </c>
      <c r="H687" s="10" t="str">
        <v>KSA PADI</v>
      </c>
      <c r="I687" s="10" t="str">
        <v>KSA24-LAPANGAN-OKTOBER-PPL-KSA PADI</v>
      </c>
      <c r="J687" s="10" t="str">
        <v>Segmen</v>
      </c>
      <c r="K687" s="66">
        <v>116000</v>
      </c>
      <c r="L687" s="10">
        <v>3</v>
      </c>
      <c r="M687" s="10">
        <v>348000</v>
      </c>
      <c r="N687" s="10">
        <v>0</v>
      </c>
      <c r="O687" s="67">
        <v>45596</v>
      </c>
      <c r="P687" s="10">
        <v>2024</v>
      </c>
      <c r="Q687" s="10">
        <v>10</v>
      </c>
      <c r="R687" s="10" t="str">
        <v>SURVEI-PPL</v>
      </c>
      <c r="S687" s="10" t="str">
        <v>610422100131-2024-10</v>
      </c>
      <c r="T687" s="10" t="str">
        <v>610422100131-2024-10-SURVEI-PPL</v>
      </c>
      <c r="U687" s="10">
        <v>0</v>
      </c>
      <c r="V687" s="10" t="e">
        <f ca="1"/>
        <v>#NAME?</v>
      </c>
      <c r="W687" s="67">
        <v>0</v>
      </c>
      <c r="X687" s="11" t="str">
        <v>Kerangka Sampel Area (KSA) 2024 Oktober</v>
      </c>
      <c r="Y687" s="11" t="str">
        <v>SUNGAI KUNYIT</v>
      </c>
      <c r="Z687" s="11" t="str">
        <v>SUNGAI KUNYIT LAUT</v>
      </c>
      <c r="AA687" s="67">
        <v>45565</v>
      </c>
      <c r="AB687" s="67">
        <v>45566</v>
      </c>
      <c r="AC687" s="67">
        <v>45596</v>
      </c>
      <c r="AD687" s="67">
        <v>45595</v>
      </c>
      <c r="AE687" s="67">
        <v>45596</v>
      </c>
    </row>
    <row r="688" spans="1:31" ht="12.5">
      <c r="A688" s="10">
        <v>610422100244</v>
      </c>
      <c r="B688" s="10" t="str">
        <v>KSA24-LAPANGAN-OKTOBER</v>
      </c>
      <c r="C688" s="10">
        <v>0</v>
      </c>
      <c r="D688" s="10">
        <f ca="1"/>
        <v>1</v>
      </c>
      <c r="E688" s="10" t="str">
        <v>Sugianto</v>
      </c>
      <c r="F688" s="10" t="str">
        <v>PPL</v>
      </c>
      <c r="G688" s="10" t="str">
        <v>6102171003900002</v>
      </c>
      <c r="H688" s="10" t="str">
        <v>KSA PADI</v>
      </c>
      <c r="I688" s="10" t="str">
        <v>KSA24-LAPANGAN-OKTOBER-PPL-KSA PADI</v>
      </c>
      <c r="J688" s="10" t="str">
        <v>Segmen</v>
      </c>
      <c r="K688" s="66">
        <v>116000</v>
      </c>
      <c r="L688" s="10">
        <v>3</v>
      </c>
      <c r="M688" s="10">
        <v>348000</v>
      </c>
      <c r="N688" s="10">
        <v>0</v>
      </c>
      <c r="O688" s="67">
        <v>45596</v>
      </c>
      <c r="P688" s="10">
        <v>2024</v>
      </c>
      <c r="Q688" s="10">
        <v>10</v>
      </c>
      <c r="R688" s="10" t="str">
        <v>SURVEI-PPL</v>
      </c>
      <c r="S688" s="10" t="str">
        <v>610422100244-2024-10</v>
      </c>
      <c r="T688" s="10" t="str">
        <v>610422100244-2024-10-SURVEI-PPL</v>
      </c>
      <c r="U688" s="10">
        <v>0</v>
      </c>
      <c r="V688" s="10" t="e">
        <f ca="1"/>
        <v>#NAME?</v>
      </c>
      <c r="W688" s="67">
        <v>0</v>
      </c>
      <c r="X688" s="11" t="str">
        <v>Kerangka Sampel Area (KSA) 2024 Oktober</v>
      </c>
      <c r="Y688" s="11" t="str">
        <v>SADANIANG</v>
      </c>
      <c r="Z688" s="11" t="str">
        <v>BUMBUN</v>
      </c>
      <c r="AA688" s="67">
        <v>45565</v>
      </c>
      <c r="AB688" s="67">
        <v>45566</v>
      </c>
      <c r="AC688" s="67">
        <v>45596</v>
      </c>
      <c r="AD688" s="67">
        <v>45595</v>
      </c>
      <c r="AE688" s="67">
        <v>45596</v>
      </c>
    </row>
    <row r="689" spans="1:31" ht="12.5">
      <c r="A689" s="10">
        <v>610422100176</v>
      </c>
      <c r="B689" s="10" t="str">
        <v>KSA24-LAPANGAN-OKTOBER</v>
      </c>
      <c r="C689" s="10">
        <v>0</v>
      </c>
      <c r="D689" s="10">
        <f ca="1"/>
        <v>1</v>
      </c>
      <c r="E689" s="10" t="str">
        <v>Feri Firdaus</v>
      </c>
      <c r="F689" s="10" t="str">
        <v>PPL</v>
      </c>
      <c r="G689" s="10" t="str">
        <v>6102150412880001</v>
      </c>
      <c r="H689" s="10" t="str">
        <v>KSA PADI</v>
      </c>
      <c r="I689" s="10" t="str">
        <v>KSA24-LAPANGAN-OKTOBER-PPL-KSA PADI</v>
      </c>
      <c r="J689" s="10" t="str">
        <v>Segmen</v>
      </c>
      <c r="K689" s="66">
        <v>116000</v>
      </c>
      <c r="L689" s="10">
        <v>3</v>
      </c>
      <c r="M689" s="10">
        <v>348000</v>
      </c>
      <c r="N689" s="10">
        <v>0</v>
      </c>
      <c r="O689" s="67">
        <v>45596</v>
      </c>
      <c r="P689" s="10">
        <v>2024</v>
      </c>
      <c r="Q689" s="10">
        <v>10</v>
      </c>
      <c r="R689" s="10" t="str">
        <v>SURVEI-PPL</v>
      </c>
      <c r="S689" s="10" t="str">
        <v>610422100176-2024-10</v>
      </c>
      <c r="T689" s="10" t="str">
        <v>610422100176-2024-10-SURVEI-PPL</v>
      </c>
      <c r="U689" s="10">
        <v>0</v>
      </c>
      <c r="V689" s="10" t="e">
        <f ca="1"/>
        <v>#NAME?</v>
      </c>
      <c r="W689" s="67">
        <v>0</v>
      </c>
      <c r="X689" s="11" t="str">
        <v>Kerangka Sampel Area (KSA) 2024 Oktober</v>
      </c>
      <c r="Y689" s="11" t="str">
        <v>SEGEDONG</v>
      </c>
      <c r="Z689" s="11" t="str">
        <v>SUNGAI BURUNG</v>
      </c>
      <c r="AA689" s="67">
        <v>45565</v>
      </c>
      <c r="AB689" s="67">
        <v>45566</v>
      </c>
      <c r="AC689" s="67">
        <v>45596</v>
      </c>
      <c r="AD689" s="67">
        <v>45595</v>
      </c>
      <c r="AE689" s="67">
        <v>45596</v>
      </c>
    </row>
    <row r="690" spans="1:31" ht="12.5">
      <c r="A690" s="10">
        <v>610423110183</v>
      </c>
      <c r="B690" s="10" t="str">
        <v>KSA24-LAPANGAN-OKTOBER</v>
      </c>
      <c r="C690" s="10">
        <v>0</v>
      </c>
      <c r="D690" s="10">
        <f ca="1"/>
        <v>1</v>
      </c>
      <c r="E690" s="10" t="str">
        <v>Azhar</v>
      </c>
      <c r="F690" s="10" t="str">
        <v>PPL</v>
      </c>
      <c r="G690" s="10" t="str">
        <v>6102081211790004</v>
      </c>
      <c r="H690" s="10" t="str">
        <v>KSA PADI</v>
      </c>
      <c r="I690" s="10" t="str">
        <v>KSA24-LAPANGAN-OKTOBER-PPL-KSA PADI</v>
      </c>
      <c r="J690" s="10" t="str">
        <v>Segmen</v>
      </c>
      <c r="K690" s="66">
        <v>116000</v>
      </c>
      <c r="L690" s="10">
        <v>6</v>
      </c>
      <c r="M690" s="10">
        <v>696000</v>
      </c>
      <c r="N690" s="10">
        <v>0</v>
      </c>
      <c r="O690" s="67">
        <v>45596</v>
      </c>
      <c r="P690" s="10">
        <v>2024</v>
      </c>
      <c r="Q690" s="10">
        <v>10</v>
      </c>
      <c r="R690" s="10" t="str">
        <v>SURVEI-PPL</v>
      </c>
      <c r="S690" s="10" t="str">
        <v>610423110183-2024-10</v>
      </c>
      <c r="T690" s="10" t="str">
        <v>610423110183-2024-10-SURVEI-PPL</v>
      </c>
      <c r="U690" s="10">
        <v>0</v>
      </c>
      <c r="V690" s="10" t="e">
        <f ca="1"/>
        <v>#NAME?</v>
      </c>
      <c r="W690" s="67">
        <v>0</v>
      </c>
      <c r="X690" s="11" t="str">
        <v>Kerangka Sampel Area (KSA) 2024 Oktober</v>
      </c>
      <c r="Y690" s="11" t="str">
        <v>JONGKAT</v>
      </c>
      <c r="Z690" s="11" t="str">
        <v>SUNGAI NIPAH</v>
      </c>
      <c r="AA690" s="67">
        <v>45565</v>
      </c>
      <c r="AB690" s="67">
        <v>45566</v>
      </c>
      <c r="AC690" s="67">
        <v>45596</v>
      </c>
      <c r="AD690" s="67">
        <v>45595</v>
      </c>
      <c r="AE690" s="67">
        <v>45596</v>
      </c>
    </row>
    <row r="691" spans="1:31" ht="12.5">
      <c r="A691" s="10">
        <v>610423040018</v>
      </c>
      <c r="B691" s="10" t="str">
        <v>KSA24-LAPANGAN-OKTOBER</v>
      </c>
      <c r="C691" s="10">
        <v>0</v>
      </c>
      <c r="D691" s="10">
        <f ca="1"/>
        <v>1</v>
      </c>
      <c r="E691" s="10" t="str">
        <v>Handoko Tuah Sabarman Sipayung</v>
      </c>
      <c r="F691" s="10" t="str">
        <v>PPL</v>
      </c>
      <c r="G691" s="10" t="str">
        <v>1212092309880001</v>
      </c>
      <c r="H691" s="10" t="str">
        <v>KSA PADI</v>
      </c>
      <c r="I691" s="10" t="str">
        <v>KSA24-LAPANGAN-OKTOBER-PPL-KSA PADI</v>
      </c>
      <c r="J691" s="10" t="str">
        <v>Segmen</v>
      </c>
      <c r="K691" s="66">
        <v>116000</v>
      </c>
      <c r="L691" s="10">
        <v>4</v>
      </c>
      <c r="M691" s="10">
        <v>464000</v>
      </c>
      <c r="N691" s="10">
        <v>0</v>
      </c>
      <c r="O691" s="67">
        <v>45596</v>
      </c>
      <c r="P691" s="10">
        <v>2024</v>
      </c>
      <c r="Q691" s="10">
        <v>10</v>
      </c>
      <c r="R691" s="10" t="str">
        <v>SURVEI-PPL</v>
      </c>
      <c r="S691" s="10" t="str">
        <v>610423040018-2024-10</v>
      </c>
      <c r="T691" s="10" t="str">
        <v>610423040018-2024-10-SURVEI-PPL</v>
      </c>
      <c r="U691" s="10">
        <v>0</v>
      </c>
      <c r="V691" s="10" t="e">
        <f ca="1"/>
        <v>#NAME?</v>
      </c>
      <c r="W691" s="67">
        <v>0</v>
      </c>
      <c r="X691" s="11" t="str">
        <v>Kerangka Sampel Area (KSA) 2024 Oktober</v>
      </c>
      <c r="Y691" s="11" t="str">
        <v>TOHO</v>
      </c>
      <c r="Z691" s="11" t="str">
        <v>PAK LAHENG</v>
      </c>
      <c r="AA691" s="67">
        <v>45565</v>
      </c>
      <c r="AB691" s="67">
        <v>45566</v>
      </c>
      <c r="AC691" s="67">
        <v>45596</v>
      </c>
      <c r="AD691" s="67">
        <v>45595</v>
      </c>
      <c r="AE691" s="67">
        <v>45596</v>
      </c>
    </row>
    <row r="692" spans="1:31" ht="12.5">
      <c r="A692" s="10">
        <v>610422040059</v>
      </c>
      <c r="B692" s="10" t="str">
        <v>KSA24-LAPANGAN-OKTOBER</v>
      </c>
      <c r="C692" s="10">
        <v>0</v>
      </c>
      <c r="D692" s="10">
        <f ca="1"/>
        <v>1</v>
      </c>
      <c r="E692" s="10" t="str">
        <v>Abang Handri</v>
      </c>
      <c r="F692" s="10" t="str">
        <v>PPL</v>
      </c>
      <c r="G692" s="10" t="str">
        <v>6102072211780002</v>
      </c>
      <c r="H692" s="10" t="str">
        <v>KSA JAGUNG</v>
      </c>
      <c r="I692" s="10" t="str">
        <v>KSA24-LAPANGAN-OKTOBER-PPL-KSA JAGUNG</v>
      </c>
      <c r="J692" s="10" t="str">
        <v>Segmen</v>
      </c>
      <c r="K692" s="66">
        <v>59000</v>
      </c>
      <c r="L692" s="10">
        <v>6</v>
      </c>
      <c r="M692" s="10">
        <v>354000</v>
      </c>
      <c r="N692" s="10">
        <v>0</v>
      </c>
      <c r="O692" s="67">
        <v>45596</v>
      </c>
      <c r="P692" s="10">
        <v>2024</v>
      </c>
      <c r="Q692" s="10">
        <v>10</v>
      </c>
      <c r="R692" s="10" t="str">
        <v>SURVEI-PPL</v>
      </c>
      <c r="S692" s="10" t="str">
        <v>610422040059-2024-10</v>
      </c>
      <c r="T692" s="10" t="str">
        <v>610422040059-2024-10-SURVEI-PPL</v>
      </c>
      <c r="U692" s="10">
        <v>0</v>
      </c>
      <c r="V692" s="10" t="e">
        <f ca="1"/>
        <v>#NAME?</v>
      </c>
      <c r="W692" s="67">
        <v>0</v>
      </c>
      <c r="X692" s="11" t="str">
        <v>Kerangka Sampel Area (KSA) 2024 Oktober</v>
      </c>
      <c r="Y692" s="11" t="str">
        <v>MEMPAWAH HILIR</v>
      </c>
      <c r="Z692" s="11" t="str">
        <v>TERUSAN</v>
      </c>
      <c r="AA692" s="67">
        <v>45565</v>
      </c>
      <c r="AB692" s="67">
        <v>45566</v>
      </c>
      <c r="AC692" s="67">
        <v>45596</v>
      </c>
      <c r="AD692" s="67">
        <v>45595</v>
      </c>
      <c r="AE692" s="67">
        <v>45596</v>
      </c>
    </row>
    <row r="693" spans="1:31" ht="12.5">
      <c r="A693" s="10">
        <v>610422020048</v>
      </c>
      <c r="B693" s="10" t="str">
        <v>KSA24-LAPANGAN-OKTOBER</v>
      </c>
      <c r="C693" s="10">
        <v>0</v>
      </c>
      <c r="D693" s="10">
        <f ca="1"/>
        <v>1</v>
      </c>
      <c r="E693" s="10" t="str">
        <v>Herri Gustaman</v>
      </c>
      <c r="F693" s="10" t="str">
        <v>PPL</v>
      </c>
      <c r="G693" s="10" t="str">
        <v>6102072503800001</v>
      </c>
      <c r="H693" s="10" t="str">
        <v>KSA JAGUNG</v>
      </c>
      <c r="I693" s="10" t="str">
        <v>KSA24-LAPANGAN-OKTOBER-PPL-KSA JAGUNG</v>
      </c>
      <c r="J693" s="10" t="str">
        <v>Segmen</v>
      </c>
      <c r="K693" s="66">
        <v>59000</v>
      </c>
      <c r="L693" s="10">
        <v>6</v>
      </c>
      <c r="M693" s="10">
        <v>354000</v>
      </c>
      <c r="N693" s="10">
        <v>0</v>
      </c>
      <c r="O693" s="67">
        <v>45596</v>
      </c>
      <c r="P693" s="10">
        <v>2024</v>
      </c>
      <c r="Q693" s="10">
        <v>10</v>
      </c>
      <c r="R693" s="10" t="str">
        <v>SURVEI-PPL</v>
      </c>
      <c r="S693" s="10" t="str">
        <v>610422020048-2024-10</v>
      </c>
      <c r="T693" s="10" t="str">
        <v>610422020048-2024-10-SURVEI-PPL</v>
      </c>
      <c r="U693" s="10">
        <v>0</v>
      </c>
      <c r="V693" s="10" t="e">
        <f ca="1"/>
        <v>#NAME?</v>
      </c>
      <c r="W693" s="67">
        <v>0</v>
      </c>
      <c r="X693" s="11" t="str">
        <v>Kerangka Sampel Area (KSA) 2024 Oktober</v>
      </c>
      <c r="Y693" s="11" t="str">
        <v>MEMPAWAH TIMUR</v>
      </c>
      <c r="Z693" s="11" t="str">
        <v>SEJEGI</v>
      </c>
      <c r="AA693" s="67">
        <v>45565</v>
      </c>
      <c r="AB693" s="67">
        <v>45566</v>
      </c>
      <c r="AC693" s="67">
        <v>45596</v>
      </c>
      <c r="AD693" s="67">
        <v>45595</v>
      </c>
      <c r="AE693" s="67">
        <v>45596</v>
      </c>
    </row>
    <row r="694" spans="1:31" ht="12.5">
      <c r="A694" s="10">
        <v>610422040058</v>
      </c>
      <c r="B694" s="10" t="str">
        <v>KSA24-LAPANGAN-OKTOBER</v>
      </c>
      <c r="C694" s="10">
        <v>0</v>
      </c>
      <c r="D694" s="10">
        <f ca="1"/>
        <v>1</v>
      </c>
      <c r="E694" s="10" t="str">
        <v>Jamaluddin, Sp</v>
      </c>
      <c r="F694" s="10" t="str">
        <v>PPL</v>
      </c>
      <c r="G694" s="10" t="str">
        <v>6102152607940002</v>
      </c>
      <c r="H694" s="10" t="str">
        <v>KSA JAGUNG</v>
      </c>
      <c r="I694" s="10" t="str">
        <v>KSA24-LAPANGAN-OKTOBER-PPL-KSA JAGUNG</v>
      </c>
      <c r="J694" s="10" t="str">
        <v>Segmen</v>
      </c>
      <c r="K694" s="66">
        <v>59000</v>
      </c>
      <c r="L694" s="10">
        <v>10</v>
      </c>
      <c r="M694" s="10">
        <v>590000</v>
      </c>
      <c r="N694" s="10">
        <v>0</v>
      </c>
      <c r="O694" s="67">
        <v>45596</v>
      </c>
      <c r="P694" s="10">
        <v>2024</v>
      </c>
      <c r="Q694" s="10">
        <v>10</v>
      </c>
      <c r="R694" s="10" t="str">
        <v>SURVEI-PPL</v>
      </c>
      <c r="S694" s="10" t="str">
        <v>610422040058-2024-10</v>
      </c>
      <c r="T694" s="10" t="str">
        <v>610422040058-2024-10-SURVEI-PPL</v>
      </c>
      <c r="U694" s="10">
        <v>0</v>
      </c>
      <c r="V694" s="10" t="e">
        <f ca="1"/>
        <v>#NAME?</v>
      </c>
      <c r="W694" s="67">
        <v>0</v>
      </c>
      <c r="X694" s="11" t="str">
        <v>Kerangka Sampel Area (KSA) 2024 Oktober</v>
      </c>
      <c r="Y694" s="11" t="str">
        <v>SEGEDONG</v>
      </c>
      <c r="Z694" s="11" t="str">
        <v>PENITI DALAM I</v>
      </c>
      <c r="AA694" s="67">
        <v>45565</v>
      </c>
      <c r="AB694" s="67">
        <v>45566</v>
      </c>
      <c r="AC694" s="67">
        <v>45596</v>
      </c>
      <c r="AD694" s="67">
        <v>45595</v>
      </c>
      <c r="AE694" s="67">
        <v>45596</v>
      </c>
    </row>
    <row r="695" spans="1:31" ht="12.5">
      <c r="A695" s="10">
        <v>610423110183</v>
      </c>
      <c r="B695" s="10" t="str">
        <v>KSA24-LAPANGAN-OKTOBER</v>
      </c>
      <c r="C695" s="10">
        <v>0</v>
      </c>
      <c r="D695" s="10">
        <f ca="1"/>
        <v>1</v>
      </c>
      <c r="E695" s="10" t="str">
        <v>Azhar</v>
      </c>
      <c r="F695" s="10" t="str">
        <v>PPL</v>
      </c>
      <c r="G695" s="10" t="str">
        <v>6102081211790004</v>
      </c>
      <c r="H695" s="10" t="str">
        <v>KSA JAGUNG</v>
      </c>
      <c r="I695" s="10" t="str">
        <v>KSA24-LAPANGAN-OKTOBER-PPL-KSA JAGUNG</v>
      </c>
      <c r="J695" s="10" t="str">
        <v>Segmen</v>
      </c>
      <c r="K695" s="66">
        <v>59000</v>
      </c>
      <c r="L695" s="10">
        <v>6</v>
      </c>
      <c r="M695" s="10">
        <v>354000</v>
      </c>
      <c r="N695" s="10">
        <v>0</v>
      </c>
      <c r="O695" s="67">
        <v>45596</v>
      </c>
      <c r="P695" s="10">
        <v>2024</v>
      </c>
      <c r="Q695" s="10">
        <v>10</v>
      </c>
      <c r="R695" s="10" t="str">
        <v>SURVEI-PPL</v>
      </c>
      <c r="S695" s="10" t="str">
        <v>610423110183-2024-10</v>
      </c>
      <c r="T695" s="10" t="str">
        <v>610423110183-2024-10-SURVEI-PPL</v>
      </c>
      <c r="U695" s="10">
        <v>0</v>
      </c>
      <c r="V695" s="10" t="e">
        <f ca="1"/>
        <v>#NAME?</v>
      </c>
      <c r="W695" s="67">
        <v>0</v>
      </c>
      <c r="X695" s="11" t="str">
        <v>Kerangka Sampel Area (KSA) 2024 Oktober</v>
      </c>
      <c r="Y695" s="11" t="str">
        <v>JONGKAT</v>
      </c>
      <c r="Z695" s="11" t="str">
        <v>SUNGAI NIPAH</v>
      </c>
      <c r="AA695" s="67">
        <v>45565</v>
      </c>
      <c r="AB695" s="67">
        <v>45566</v>
      </c>
      <c r="AC695" s="67">
        <v>45596</v>
      </c>
      <c r="AD695" s="67">
        <v>45595</v>
      </c>
      <c r="AE695" s="67">
        <v>45596</v>
      </c>
    </row>
    <row r="696" spans="1:31" ht="12.5">
      <c r="A696" s="10">
        <v>610422100244</v>
      </c>
      <c r="B696" s="10" t="str">
        <v>KSA24-LAPANGAN-OKTOBER</v>
      </c>
      <c r="C696" s="10">
        <v>0</v>
      </c>
      <c r="D696" s="10">
        <f ca="1"/>
        <v>1</v>
      </c>
      <c r="E696" s="10" t="str">
        <v>Sugianto</v>
      </c>
      <c r="F696" s="10" t="str">
        <v>PPL</v>
      </c>
      <c r="G696" s="10" t="str">
        <v>6102171003900002</v>
      </c>
      <c r="H696" s="10" t="str">
        <v>KSA JAGUNG</v>
      </c>
      <c r="I696" s="10" t="str">
        <v>KSA24-LAPANGAN-OKTOBER-PPL-KSA JAGUNG</v>
      </c>
      <c r="J696" s="10" t="str">
        <v>Segmen</v>
      </c>
      <c r="K696" s="66">
        <v>59000</v>
      </c>
      <c r="L696" s="10">
        <v>8</v>
      </c>
      <c r="M696" s="10">
        <v>472000</v>
      </c>
      <c r="N696" s="10">
        <v>0</v>
      </c>
      <c r="O696" s="67">
        <v>45596</v>
      </c>
      <c r="P696" s="10">
        <v>2024</v>
      </c>
      <c r="Q696" s="10">
        <v>10</v>
      </c>
      <c r="R696" s="10" t="str">
        <v>SURVEI-PPL</v>
      </c>
      <c r="S696" s="10" t="str">
        <v>610422100244-2024-10</v>
      </c>
      <c r="T696" s="10" t="str">
        <v>610422100244-2024-10-SURVEI-PPL</v>
      </c>
      <c r="U696" s="10">
        <v>0</v>
      </c>
      <c r="V696" s="10" t="e">
        <f ca="1"/>
        <v>#NAME?</v>
      </c>
      <c r="W696" s="67">
        <v>0</v>
      </c>
      <c r="X696" s="11" t="str">
        <v>Kerangka Sampel Area (KSA) 2024 Oktober</v>
      </c>
      <c r="Y696" s="11" t="str">
        <v>SADANIANG</v>
      </c>
      <c r="Z696" s="11" t="str">
        <v>BUMBUN</v>
      </c>
      <c r="AA696" s="67">
        <v>45565</v>
      </c>
      <c r="AB696" s="67">
        <v>45566</v>
      </c>
      <c r="AC696" s="67">
        <v>45596</v>
      </c>
      <c r="AD696" s="67">
        <v>45595</v>
      </c>
      <c r="AE696" s="67">
        <v>45596</v>
      </c>
    </row>
    <row r="697" spans="1:31" ht="12.5">
      <c r="A697" s="10">
        <v>610422040056</v>
      </c>
      <c r="B697" s="10" t="str">
        <v>SKLNPT24-LAPANGAN-TRI3</v>
      </c>
      <c r="C697" s="10">
        <v>0</v>
      </c>
      <c r="D697" s="10">
        <f ca="1"/>
        <v>1</v>
      </c>
      <c r="E697" s="10" t="str">
        <v>Wandi Syafari</v>
      </c>
      <c r="F697" s="10" t="str">
        <v>PPL</v>
      </c>
      <c r="G697" s="10" t="str">
        <v>6102010802760001</v>
      </c>
      <c r="H697" s="10" t="str">
        <v>PENDATAAN</v>
      </c>
      <c r="I697" s="10" t="str">
        <v>SKLNPT24-LAPANGAN-TRI3-PPL-PENDATAAN</v>
      </c>
      <c r="J697" s="10" t="str">
        <v>Dokumen</v>
      </c>
      <c r="K697" s="66">
        <v>65000</v>
      </c>
      <c r="L697" s="10">
        <v>10</v>
      </c>
      <c r="M697" s="10">
        <v>650000</v>
      </c>
      <c r="N697" s="10">
        <v>0</v>
      </c>
      <c r="O697" s="67">
        <v>45596</v>
      </c>
      <c r="P697" s="10">
        <v>2024</v>
      </c>
      <c r="Q697" s="10">
        <v>10</v>
      </c>
      <c r="R697" s="10" t="str">
        <v>SURVEI-PPL</v>
      </c>
      <c r="S697" s="10" t="str">
        <v>610422040056-2024-10</v>
      </c>
      <c r="T697" s="10" t="str">
        <v>610422040056-2024-10-SURVEI-PPL</v>
      </c>
      <c r="U697" s="10">
        <v>1</v>
      </c>
      <c r="V697" s="10" t="e">
        <f ca="1"/>
        <v>#NAME?</v>
      </c>
      <c r="W697" s="67">
        <v>0</v>
      </c>
      <c r="X697" s="11" t="str">
        <v>Survei Khusus Lembaga Nonprofit yang Melayani Rumah Tangga 2024 (SKLNPT24) Triwulan III</v>
      </c>
      <c r="Y697" s="11" t="str">
        <v>MEMPAWAH HILIR</v>
      </c>
      <c r="Z697" s="11" t="str">
        <v>TERUSAN</v>
      </c>
      <c r="AA697" s="67">
        <v>45565</v>
      </c>
      <c r="AB697" s="67">
        <v>45566</v>
      </c>
      <c r="AC697" s="67">
        <v>45596</v>
      </c>
      <c r="AD697" s="67">
        <v>45595</v>
      </c>
      <c r="AE697" s="67">
        <v>45596</v>
      </c>
    </row>
    <row r="698" spans="1:31" ht="12.5">
      <c r="A698" s="10">
        <v>610422040029</v>
      </c>
      <c r="B698" s="10" t="str">
        <v>SKTNP24-LAPANGAN-TRI3</v>
      </c>
      <c r="C698" s="10">
        <v>0</v>
      </c>
      <c r="D698" s="10">
        <f ca="1"/>
        <v>1</v>
      </c>
      <c r="E698" s="10" t="str">
        <v>Zaini</v>
      </c>
      <c r="F698" s="10" t="str">
        <v>PPL</v>
      </c>
      <c r="G698" s="10" t="str">
        <v>6102010607870002</v>
      </c>
      <c r="H698" s="10" t="str">
        <v>PENDATAAN</v>
      </c>
      <c r="I698" s="10" t="str">
        <v>SKTNP24-LAPANGAN-TRI3-PPL-PENDATAAN BARANG</v>
      </c>
      <c r="J698" s="10" t="str">
        <v>Dokumen</v>
      </c>
      <c r="K698" s="66">
        <v>55000</v>
      </c>
      <c r="L698" s="10">
        <v>1</v>
      </c>
      <c r="M698" s="10">
        <v>55000</v>
      </c>
      <c r="N698" s="10">
        <v>0</v>
      </c>
      <c r="O698" s="67">
        <v>45596</v>
      </c>
      <c r="P698" s="10">
        <v>2024</v>
      </c>
      <c r="Q698" s="10">
        <v>10</v>
      </c>
      <c r="R698" s="10" t="str">
        <v>SURVEI-PPL</v>
      </c>
      <c r="S698" s="10" t="str">
        <v>610422040029-2024-10</v>
      </c>
      <c r="T698" s="10" t="str">
        <v>610422040029-2024-10-SURVEI-PPL</v>
      </c>
      <c r="U698" s="10">
        <v>0</v>
      </c>
      <c r="V698" s="10" t="e">
        <f ca="1"/>
        <v>#NAME?</v>
      </c>
      <c r="W698" s="67">
        <v>0</v>
      </c>
      <c r="X698" s="11" t="str">
        <v>Survei Khusus Triwulan Neraca Produksi Barang Jasa (SKTNP) 2024 Triwulan III</v>
      </c>
      <c r="Y698" s="11" t="str">
        <v>MEMPAWAH HILIR</v>
      </c>
      <c r="Z698" s="11" t="str">
        <v>TENGAH</v>
      </c>
      <c r="AA698" s="67">
        <v>45565</v>
      </c>
      <c r="AB698" s="67">
        <v>45566</v>
      </c>
      <c r="AC698" s="67">
        <v>45596</v>
      </c>
      <c r="AD698" s="67">
        <v>45595</v>
      </c>
      <c r="AE698" s="67">
        <v>45596</v>
      </c>
    </row>
    <row r="699" spans="1:31" ht="12.5">
      <c r="A699" s="10">
        <v>610422040029</v>
      </c>
      <c r="B699" s="10" t="str">
        <v>SKTNP24-LAPANGAN-TRI3</v>
      </c>
      <c r="C699" s="10">
        <v>0</v>
      </c>
      <c r="D699" s="10">
        <f ca="1"/>
        <v>1</v>
      </c>
      <c r="E699" s="10" t="str">
        <v>Zaini</v>
      </c>
      <c r="F699" s="10" t="str">
        <v>PPL</v>
      </c>
      <c r="G699" s="10" t="str">
        <v>6102010607870002</v>
      </c>
      <c r="H699" s="10" t="str">
        <v>PENDATAAN</v>
      </c>
      <c r="I699" s="10" t="str">
        <v>SKTNP24-LAPANGAN-TRI3-PPL-PENDATAAN JASA</v>
      </c>
      <c r="J699" s="10" t="str">
        <v>Dokumen</v>
      </c>
      <c r="K699" s="66">
        <v>55000</v>
      </c>
      <c r="L699" s="10">
        <v>2</v>
      </c>
      <c r="M699" s="10">
        <v>110000</v>
      </c>
      <c r="N699" s="10">
        <v>0</v>
      </c>
      <c r="O699" s="67">
        <v>45596</v>
      </c>
      <c r="P699" s="10">
        <v>2024</v>
      </c>
      <c r="Q699" s="10">
        <v>10</v>
      </c>
      <c r="R699" s="10" t="str">
        <v>SURVEI-PPL</v>
      </c>
      <c r="S699" s="10" t="str">
        <v>610422040029-2024-10</v>
      </c>
      <c r="T699" s="10" t="str">
        <v>610422040029-2024-10-SURVEI-PPL</v>
      </c>
      <c r="U699" s="10">
        <v>0</v>
      </c>
      <c r="V699" s="10" t="e">
        <f ca="1"/>
        <v>#NAME?</v>
      </c>
      <c r="W699" s="67">
        <v>0</v>
      </c>
      <c r="X699" s="11" t="str">
        <v>Survei Khusus Triwulan Neraca Produksi Barang Jasa (SKTNP) 2024 Triwulan III</v>
      </c>
      <c r="Y699" s="11" t="str">
        <v>MEMPAWAH HILIR</v>
      </c>
      <c r="Z699" s="11" t="str">
        <v>TENGAH</v>
      </c>
      <c r="AA699" s="67">
        <v>45565</v>
      </c>
      <c r="AB699" s="67">
        <v>45566</v>
      </c>
      <c r="AC699" s="67">
        <v>45596</v>
      </c>
      <c r="AD699" s="67">
        <v>45595</v>
      </c>
      <c r="AE699" s="67">
        <v>45596</v>
      </c>
    </row>
    <row r="700" spans="1:31" ht="12.5">
      <c r="A700" s="10">
        <v>610422030002</v>
      </c>
      <c r="B700" s="10" t="str">
        <v>SHPB24-LAPANGAN-NOVEMBER</v>
      </c>
      <c r="C700" s="10">
        <v>0</v>
      </c>
      <c r="D700" s="10">
        <f ca="1"/>
        <v>1</v>
      </c>
      <c r="E700" s="10" t="str">
        <v>Deti Erni Widiastuti</v>
      </c>
      <c r="F700" s="10" t="str">
        <v>PPL</v>
      </c>
      <c r="G700" s="10" t="str">
        <v>6102016712860001</v>
      </c>
      <c r="H700" s="10" t="str">
        <v>PENDATAAN</v>
      </c>
      <c r="I700" s="10" t="str">
        <v>SHPB24-LAPANGAN-NOVEMBER-PPL-PENDATAAN</v>
      </c>
      <c r="J700" s="10" t="str">
        <v>Dokumen</v>
      </c>
      <c r="K700" s="66">
        <v>50000</v>
      </c>
      <c r="L700" s="10">
        <v>15</v>
      </c>
      <c r="M700" s="10">
        <v>750000</v>
      </c>
      <c r="N700" s="10">
        <v>0</v>
      </c>
      <c r="O700" s="67">
        <v>45616</v>
      </c>
      <c r="P700" s="10">
        <v>2024</v>
      </c>
      <c r="Q700" s="10">
        <v>11</v>
      </c>
      <c r="R700" s="10" t="str">
        <v>SURVEI-PPL</v>
      </c>
      <c r="S700" s="10" t="str">
        <v>610422030002-2024-11</v>
      </c>
      <c r="T700" s="10" t="str">
        <v>610422030002-2024-11-SURVEI-PPL</v>
      </c>
      <c r="U700" s="10">
        <v>0</v>
      </c>
      <c r="V700" s="10" t="e">
        <f ca="1"/>
        <v>#NAME?</v>
      </c>
      <c r="W700" s="67">
        <v>0</v>
      </c>
      <c r="X700" s="11" t="str">
        <v>Survei Harga Perdagangan Besar (SHPB24) November</v>
      </c>
      <c r="Y700" s="11" t="str">
        <v>SEGEDONG</v>
      </c>
      <c r="Z700" s="11" t="str">
        <v>PENITI DALAM I</v>
      </c>
      <c r="AA700" s="67">
        <v>45596</v>
      </c>
      <c r="AB700" s="67">
        <v>45597</v>
      </c>
      <c r="AC700" s="67">
        <v>45626</v>
      </c>
      <c r="AD700" s="67">
        <v>45625</v>
      </c>
      <c r="AE700" s="67">
        <v>45626</v>
      </c>
    </row>
    <row r="701" spans="1:31" ht="12.5">
      <c r="A701" s="10">
        <v>610422100244</v>
      </c>
      <c r="B701" s="10" t="str">
        <v>HPG24-LAPANGAN-NOVEMBER</v>
      </c>
      <c r="C701" s="10">
        <v>0</v>
      </c>
      <c r="D701" s="10">
        <f ca="1"/>
        <v>1</v>
      </c>
      <c r="E701" s="10" t="str">
        <v>Sugianto</v>
      </c>
      <c r="F701" s="10" t="str">
        <v>PPL</v>
      </c>
      <c r="G701" s="10" t="str">
        <v>6102171003900002</v>
      </c>
      <c r="H701" s="10" t="str">
        <v>PENDATAAN</v>
      </c>
      <c r="I701" s="10" t="str">
        <v>HPG24-LAPANGAN-NOVEMBER-PPL-PENDATAAN</v>
      </c>
      <c r="J701" s="10" t="str">
        <v>Dokumen</v>
      </c>
      <c r="K701" s="66">
        <v>50000</v>
      </c>
      <c r="L701" s="10">
        <v>1</v>
      </c>
      <c r="M701" s="10">
        <v>50000</v>
      </c>
      <c r="N701" s="10">
        <v>0</v>
      </c>
      <c r="O701" s="67">
        <v>45616</v>
      </c>
      <c r="P701" s="10">
        <v>2024</v>
      </c>
      <c r="Q701" s="10">
        <v>11</v>
      </c>
      <c r="R701" s="10" t="str">
        <v>SURVEI-PPL</v>
      </c>
      <c r="S701" s="10" t="str">
        <v>610422100244-2024-11</v>
      </c>
      <c r="T701" s="10" t="str">
        <v>610422100244-2024-11-SURVEI-PPL</v>
      </c>
      <c r="U701" s="10">
        <v>0</v>
      </c>
      <c r="V701" s="10" t="e">
        <f ca="1"/>
        <v>#NAME?</v>
      </c>
      <c r="W701" s="67">
        <v>0</v>
      </c>
      <c r="X701" s="11" t="str">
        <v>Survei Harga Produsen Gabah (HPG24) November</v>
      </c>
      <c r="Y701" s="11" t="str">
        <v>SADANIANG</v>
      </c>
      <c r="Z701" s="11" t="str">
        <v>BUMBUN</v>
      </c>
      <c r="AA701" s="67">
        <v>45596</v>
      </c>
      <c r="AB701" s="67">
        <v>45597</v>
      </c>
      <c r="AC701" s="67">
        <v>45626</v>
      </c>
      <c r="AD701" s="67">
        <v>45625</v>
      </c>
      <c r="AE701" s="67">
        <v>45626</v>
      </c>
    </row>
    <row r="702" spans="1:31" ht="12.5">
      <c r="A702" s="10">
        <v>610422100124</v>
      </c>
      <c r="B702" s="10" t="str">
        <v>HPG24-LAPANGAN-NOVEMBER</v>
      </c>
      <c r="C702" s="10">
        <v>0</v>
      </c>
      <c r="D702" s="10">
        <f ca="1"/>
        <v>1</v>
      </c>
      <c r="E702" s="10" t="str">
        <v>Prabowo</v>
      </c>
      <c r="F702" s="10" t="str">
        <v>PPL</v>
      </c>
      <c r="G702" s="10" t="str">
        <v>6171010108790015</v>
      </c>
      <c r="H702" s="10" t="str">
        <v>PENDATAAN</v>
      </c>
      <c r="I702" s="10" t="str">
        <v>HPG24-LAPANGAN-NOVEMBER-PPL-PENDATAAN</v>
      </c>
      <c r="J702" s="10" t="str">
        <v>Dokumen</v>
      </c>
      <c r="K702" s="66">
        <v>50000</v>
      </c>
      <c r="L702" s="10">
        <v>1</v>
      </c>
      <c r="M702" s="10">
        <v>50000</v>
      </c>
      <c r="N702" s="10">
        <v>0</v>
      </c>
      <c r="O702" s="67">
        <v>45616</v>
      </c>
      <c r="P702" s="10">
        <v>2024</v>
      </c>
      <c r="Q702" s="10">
        <v>11</v>
      </c>
      <c r="R702" s="10" t="str">
        <v>SURVEI-PPL</v>
      </c>
      <c r="S702" s="10" t="str">
        <v>610422100124-2024-11</v>
      </c>
      <c r="T702" s="10" t="str">
        <v>610422100124-2024-11-SURVEI-PPL</v>
      </c>
      <c r="U702" s="10">
        <v>0</v>
      </c>
      <c r="V702" s="10" t="e">
        <f ca="1"/>
        <v>#NAME?</v>
      </c>
      <c r="W702" s="67">
        <v>0</v>
      </c>
      <c r="X702" s="11" t="str">
        <v>Survei Harga Produsen Gabah (HPG24) November</v>
      </c>
      <c r="Y702" s="11" t="str">
        <v>PONTIANAK KOTA</v>
      </c>
      <c r="Z702" s="11" t="str">
        <v>SUNGAI BANGKONG</v>
      </c>
      <c r="AA702" s="67">
        <v>45596</v>
      </c>
      <c r="AB702" s="67">
        <v>45597</v>
      </c>
      <c r="AC702" s="67">
        <v>45626</v>
      </c>
      <c r="AD702" s="67">
        <v>45625</v>
      </c>
      <c r="AE702" s="67">
        <v>45626</v>
      </c>
    </row>
    <row r="703" spans="1:31" ht="12.5">
      <c r="A703" s="10">
        <v>610422100016</v>
      </c>
      <c r="B703" s="10" t="str">
        <v>SHPED24-LAPANGAN-NOVEMBER</v>
      </c>
      <c r="C703" s="10">
        <v>0</v>
      </c>
      <c r="D703" s="10">
        <f ca="1"/>
        <v>1</v>
      </c>
      <c r="E703" s="10" t="str">
        <v>Amalia Faisya</v>
      </c>
      <c r="F703" s="10" t="str">
        <v>PPL</v>
      </c>
      <c r="G703" s="10" t="str">
        <v>6102124210010005</v>
      </c>
      <c r="H703" s="10" t="str">
        <v>PENDATAAN KONSUMEN</v>
      </c>
      <c r="I703" s="10" t="str">
        <v>SHPED24-LAPANGAN-NOVEMBER-PPL-PENDATAAN KONSUMEN</v>
      </c>
      <c r="J703" s="10" t="str">
        <v>Dokumen</v>
      </c>
      <c r="K703" s="66">
        <v>65000</v>
      </c>
      <c r="L703" s="10">
        <v>3</v>
      </c>
      <c r="M703" s="10">
        <v>195000</v>
      </c>
      <c r="N703" s="10">
        <v>0</v>
      </c>
      <c r="O703" s="67">
        <v>45616</v>
      </c>
      <c r="P703" s="10">
        <v>2024</v>
      </c>
      <c r="Q703" s="10">
        <v>11</v>
      </c>
      <c r="R703" s="10" t="str">
        <v>SURVEI-PPL</v>
      </c>
      <c r="S703" s="10" t="str">
        <v>610422100016-2024-11</v>
      </c>
      <c r="T703" s="10" t="str">
        <v>610422100016-2024-11-SURVEI-PPL</v>
      </c>
      <c r="U703" s="10">
        <v>0</v>
      </c>
      <c r="V703" s="10" t="e">
        <f ca="1"/>
        <v>#NAME?</v>
      </c>
      <c r="W703" s="67">
        <v>0</v>
      </c>
      <c r="X703" s="11" t="str">
        <v>Survei Harga Perdesaan (SHPED24) November</v>
      </c>
      <c r="Y703" s="11" t="str">
        <v>SUNGAI KUNYIT</v>
      </c>
      <c r="Z703" s="11" t="str">
        <v>SUNGAI KUNYIT LAUT</v>
      </c>
      <c r="AA703" s="67">
        <v>45596</v>
      </c>
      <c r="AB703" s="67">
        <v>45597</v>
      </c>
      <c r="AC703" s="67">
        <v>45626</v>
      </c>
      <c r="AD703" s="67">
        <v>45625</v>
      </c>
      <c r="AE703" s="67">
        <v>45626</v>
      </c>
    </row>
    <row r="704" spans="1:31" ht="12.5">
      <c r="A704" s="10">
        <v>610422050001</v>
      </c>
      <c r="B704" s="10" t="str">
        <v>SHPED24-LAPANGAN-NOVEMBER</v>
      </c>
      <c r="C704" s="10">
        <v>0</v>
      </c>
      <c r="D704" s="10">
        <f ca="1"/>
        <v>1</v>
      </c>
      <c r="E704" s="10" t="str">
        <v>Evi Juniarty</v>
      </c>
      <c r="F704" s="10" t="str">
        <v>PPL</v>
      </c>
      <c r="G704" s="10" t="str">
        <v>6102165101840001</v>
      </c>
      <c r="H704" s="10" t="str">
        <v>PENDATAAN KONSUMEN</v>
      </c>
      <c r="I704" s="10" t="str">
        <v>SHPED24-LAPANGAN-NOVEMBER-PPL-PENDATAAN KONSUMEN</v>
      </c>
      <c r="J704" s="10" t="str">
        <v>Dokumen</v>
      </c>
      <c r="K704" s="66">
        <v>65000</v>
      </c>
      <c r="L704" s="10">
        <v>3</v>
      </c>
      <c r="M704" s="10">
        <v>195000</v>
      </c>
      <c r="N704" s="10">
        <v>0</v>
      </c>
      <c r="O704" s="67">
        <v>45616</v>
      </c>
      <c r="P704" s="10">
        <v>2024</v>
      </c>
      <c r="Q704" s="10">
        <v>11</v>
      </c>
      <c r="R704" s="10" t="str">
        <v>SURVEI-PPL</v>
      </c>
      <c r="S704" s="10" t="str">
        <v>610422050001-2024-11</v>
      </c>
      <c r="T704" s="10" t="str">
        <v>610422050001-2024-11-SURVEI-PPL</v>
      </c>
      <c r="U704" s="10">
        <v>0</v>
      </c>
      <c r="V704" s="10" t="e">
        <f ca="1"/>
        <v>#NAME?</v>
      </c>
      <c r="W704" s="67">
        <v>0</v>
      </c>
      <c r="X704" s="11" t="str">
        <v>Survei Harga Perdesaan (SHPED24) November</v>
      </c>
      <c r="Y704" s="11" t="str">
        <v>ANJONGAN</v>
      </c>
      <c r="Z704" s="11" t="str">
        <v>ANJUNGAN MELANCAR</v>
      </c>
      <c r="AA704" s="67">
        <v>45596</v>
      </c>
      <c r="AB704" s="67">
        <v>45597</v>
      </c>
      <c r="AC704" s="67">
        <v>45626</v>
      </c>
      <c r="AD704" s="67">
        <v>45625</v>
      </c>
      <c r="AE704" s="67">
        <v>45626</v>
      </c>
    </row>
    <row r="705" spans="1:31" ht="12.5">
      <c r="A705" s="10">
        <v>610422040030</v>
      </c>
      <c r="B705" s="10" t="str">
        <v>SHPED24-LAPANGAN-NOVEMBER</v>
      </c>
      <c r="C705" s="10">
        <v>0</v>
      </c>
      <c r="D705" s="10">
        <f ca="1"/>
        <v>1</v>
      </c>
      <c r="E705" s="10" t="str">
        <v>Syarifah Desti Pratiwi</v>
      </c>
      <c r="F705" s="10" t="str">
        <v>PPL</v>
      </c>
      <c r="G705" s="10" t="str">
        <v>6102084512950002</v>
      </c>
      <c r="H705" s="10" t="str">
        <v>PENDATAAN PRODUSEN</v>
      </c>
      <c r="I705" s="10" t="str">
        <v>SHPED24-LAPANGAN-NOVEMBER-PPL-PENDATAAN PRODUSEN</v>
      </c>
      <c r="J705" s="10" t="str">
        <v>Dokumen</v>
      </c>
      <c r="K705" s="66">
        <v>55000</v>
      </c>
      <c r="L705" s="10">
        <v>1</v>
      </c>
      <c r="M705" s="10">
        <v>55000</v>
      </c>
      <c r="N705" s="10">
        <v>0</v>
      </c>
      <c r="O705" s="67">
        <v>45616</v>
      </c>
      <c r="P705" s="10">
        <v>2024</v>
      </c>
      <c r="Q705" s="10">
        <v>11</v>
      </c>
      <c r="R705" s="10" t="str">
        <v>SURVEI-PPL</v>
      </c>
      <c r="S705" s="10" t="str">
        <v>610422040030-2024-11</v>
      </c>
      <c r="T705" s="10" t="str">
        <v>610422040030-2024-11-SURVEI-PPL</v>
      </c>
      <c r="U705" s="10">
        <v>0</v>
      </c>
      <c r="V705" s="10" t="e">
        <f ca="1"/>
        <v>#NAME?</v>
      </c>
      <c r="W705" s="67">
        <v>0</v>
      </c>
      <c r="X705" s="11" t="str">
        <v>Survei Harga Perdesaan (SHPED24) November</v>
      </c>
      <c r="Y705" s="11" t="str">
        <v>JONGKAT</v>
      </c>
      <c r="Z705" s="11" t="str">
        <v>JUNGKAT</v>
      </c>
      <c r="AA705" s="67">
        <v>45596</v>
      </c>
      <c r="AB705" s="67">
        <v>45597</v>
      </c>
      <c r="AC705" s="67">
        <v>45626</v>
      </c>
      <c r="AD705" s="67">
        <v>45625</v>
      </c>
      <c r="AE705" s="67">
        <v>45626</v>
      </c>
    </row>
    <row r="706" spans="1:31" ht="12.5">
      <c r="A706" s="10">
        <v>610422100124</v>
      </c>
      <c r="B706" s="10" t="str">
        <v>SHPED24-LAPANGAN-NOVEMBER</v>
      </c>
      <c r="C706" s="10">
        <v>0</v>
      </c>
      <c r="D706" s="10">
        <f ca="1"/>
        <v>1</v>
      </c>
      <c r="E706" s="10" t="str">
        <v>Prabowo</v>
      </c>
      <c r="F706" s="10" t="str">
        <v>PPL</v>
      </c>
      <c r="G706" s="10" t="str">
        <v>6171010108790015</v>
      </c>
      <c r="H706" s="10" t="str">
        <v>PENDATAAN PRODUSEN</v>
      </c>
      <c r="I706" s="10" t="str">
        <v>SHPED24-LAPANGAN-NOVEMBER-PPL-PENDATAAN PRODUSEN</v>
      </c>
      <c r="J706" s="10" t="str">
        <v>Dokumen</v>
      </c>
      <c r="K706" s="66">
        <v>55000</v>
      </c>
      <c r="L706" s="10">
        <v>3</v>
      </c>
      <c r="M706" s="10">
        <v>165000</v>
      </c>
      <c r="N706" s="10">
        <v>0</v>
      </c>
      <c r="O706" s="67">
        <v>45616</v>
      </c>
      <c r="P706" s="10">
        <v>2024</v>
      </c>
      <c r="Q706" s="10">
        <v>11</v>
      </c>
      <c r="R706" s="10" t="str">
        <v>SURVEI-PPL</v>
      </c>
      <c r="S706" s="10" t="str">
        <v>610422100124-2024-11</v>
      </c>
      <c r="T706" s="10" t="str">
        <v>610422100124-2024-11-SURVEI-PPL</v>
      </c>
      <c r="U706" s="10">
        <v>0</v>
      </c>
      <c r="V706" s="10" t="e">
        <f ca="1"/>
        <v>#NAME?</v>
      </c>
      <c r="W706" s="67">
        <v>0</v>
      </c>
      <c r="X706" s="11" t="str">
        <v>Survei Harga Perdesaan (SHPED24) November</v>
      </c>
      <c r="Y706" s="11" t="str">
        <v>PONTIANAK KOTA</v>
      </c>
      <c r="Z706" s="11" t="str">
        <v>SUNGAI BANGKONG</v>
      </c>
      <c r="AA706" s="67">
        <v>45596</v>
      </c>
      <c r="AB706" s="67">
        <v>45597</v>
      </c>
      <c r="AC706" s="67">
        <v>45626</v>
      </c>
      <c r="AD706" s="67">
        <v>45625</v>
      </c>
      <c r="AE706" s="67">
        <v>45626</v>
      </c>
    </row>
    <row r="707" spans="1:31" ht="12.5">
      <c r="A707" s="10">
        <v>610422100244</v>
      </c>
      <c r="B707" s="10" t="str">
        <v>SHPED24-LAPANGAN-NOVEMBER</v>
      </c>
      <c r="C707" s="10">
        <v>0</v>
      </c>
      <c r="D707" s="10">
        <f ca="1"/>
        <v>1</v>
      </c>
      <c r="E707" s="10" t="str">
        <v>Sugianto</v>
      </c>
      <c r="F707" s="10" t="str">
        <v>PPL</v>
      </c>
      <c r="G707" s="10" t="str">
        <v>6102171003900002</v>
      </c>
      <c r="H707" s="10" t="str">
        <v>PENDATAAN PRODUSEN</v>
      </c>
      <c r="I707" s="10" t="str">
        <v>SHPED24-LAPANGAN-NOVEMBER-PPL-PENDATAAN PRODUSEN</v>
      </c>
      <c r="J707" s="10" t="str">
        <v>Dokumen</v>
      </c>
      <c r="K707" s="66">
        <v>55000</v>
      </c>
      <c r="L707" s="10">
        <v>2</v>
      </c>
      <c r="M707" s="10">
        <v>110000</v>
      </c>
      <c r="N707" s="10">
        <v>0</v>
      </c>
      <c r="O707" s="67">
        <v>45616</v>
      </c>
      <c r="P707" s="10">
        <v>2024</v>
      </c>
      <c r="Q707" s="10">
        <v>11</v>
      </c>
      <c r="R707" s="10" t="str">
        <v>SURVEI-PPL</v>
      </c>
      <c r="S707" s="10" t="str">
        <v>610422100244-2024-11</v>
      </c>
      <c r="T707" s="10" t="str">
        <v>610422100244-2024-11-SURVEI-PPL</v>
      </c>
      <c r="U707" s="10">
        <v>0</v>
      </c>
      <c r="V707" s="10" t="e">
        <f ca="1"/>
        <v>#NAME?</v>
      </c>
      <c r="W707" s="67">
        <v>0</v>
      </c>
      <c r="X707" s="11" t="str">
        <v>Survei Harga Perdesaan (SHPED24) November</v>
      </c>
      <c r="Y707" s="11" t="str">
        <v>SADANIANG</v>
      </c>
      <c r="Z707" s="11" t="str">
        <v>BUMBUN</v>
      </c>
      <c r="AA707" s="67">
        <v>45596</v>
      </c>
      <c r="AB707" s="67">
        <v>45597</v>
      </c>
      <c r="AC707" s="67">
        <v>45626</v>
      </c>
      <c r="AD707" s="67">
        <v>45625</v>
      </c>
      <c r="AE707" s="67">
        <v>45626</v>
      </c>
    </row>
    <row r="708" spans="1:31" ht="12.5">
      <c r="A708" s="10">
        <v>610422020016</v>
      </c>
      <c r="B708" s="10" t="str">
        <v>SHPED24-LAPANGAN-NOVEMBER</v>
      </c>
      <c r="C708" s="10">
        <v>0</v>
      </c>
      <c r="D708" s="10">
        <f ca="1"/>
        <v>1</v>
      </c>
      <c r="E708" s="10" t="str">
        <v>Abdul Aziz</v>
      </c>
      <c r="F708" s="10" t="str">
        <v>PPL</v>
      </c>
      <c r="G708" s="10" t="str">
        <v>6102061507950006</v>
      </c>
      <c r="H708" s="10" t="str">
        <v>PENDATAAN PRODUSEN</v>
      </c>
      <c r="I708" s="10" t="str">
        <v>SHPED24-LAPANGAN-NOVEMBER-PPL-PENDATAAN PRODUSEN</v>
      </c>
      <c r="J708" s="10" t="str">
        <v>Dokumen</v>
      </c>
      <c r="K708" s="66">
        <v>55000</v>
      </c>
      <c r="L708" s="10">
        <v>3</v>
      </c>
      <c r="M708" s="10">
        <v>165000</v>
      </c>
      <c r="N708" s="10">
        <v>0</v>
      </c>
      <c r="O708" s="67">
        <v>45616</v>
      </c>
      <c r="P708" s="10">
        <v>2024</v>
      </c>
      <c r="Q708" s="10">
        <v>11</v>
      </c>
      <c r="R708" s="10" t="str">
        <v>SURVEI-PPL</v>
      </c>
      <c r="S708" s="10" t="str">
        <v>610422020016-2024-11</v>
      </c>
      <c r="T708" s="10" t="str">
        <v>610422020016-2024-11-SURVEI-PPL</v>
      </c>
      <c r="U708" s="10">
        <v>0</v>
      </c>
      <c r="V708" s="10" t="e">
        <f ca="1"/>
        <v>#NAME?</v>
      </c>
      <c r="W708" s="67">
        <v>0</v>
      </c>
      <c r="X708" s="11" t="str">
        <v>Survei Harga Perdesaan (SHPED24) November</v>
      </c>
      <c r="Y708" s="11" t="str">
        <v>TOHO</v>
      </c>
      <c r="Z708" s="11" t="str">
        <v>SAMBORA</v>
      </c>
      <c r="AA708" s="67">
        <v>45596</v>
      </c>
      <c r="AB708" s="67">
        <v>45597</v>
      </c>
      <c r="AC708" s="67">
        <v>45626</v>
      </c>
      <c r="AD708" s="67">
        <v>45625</v>
      </c>
      <c r="AE708" s="67">
        <v>45626</v>
      </c>
    </row>
    <row r="709" spans="1:31" ht="12.5">
      <c r="A709" s="10">
        <v>610422100016</v>
      </c>
      <c r="B709" s="10" t="str">
        <v>SHPED24-LAPANGAN-NOVEMBER</v>
      </c>
      <c r="C709" s="10">
        <v>0</v>
      </c>
      <c r="D709" s="10">
        <f ca="1"/>
        <v>1</v>
      </c>
      <c r="E709" s="10" t="str">
        <v>Amalia Faisya</v>
      </c>
      <c r="F709" s="10" t="str">
        <v>PPL</v>
      </c>
      <c r="G709" s="10" t="str">
        <v>6102124210010005</v>
      </c>
      <c r="H709" s="10" t="str">
        <v>PENDATAAN PRODUSEN</v>
      </c>
      <c r="I709" s="10" t="str">
        <v>SHPED24-LAPANGAN-NOVEMBER-PPL-PENDATAAN PRODUSEN</v>
      </c>
      <c r="J709" s="10" t="str">
        <v>Dokumen</v>
      </c>
      <c r="K709" s="66">
        <v>55000</v>
      </c>
      <c r="L709" s="10">
        <v>1</v>
      </c>
      <c r="M709" s="10">
        <v>55000</v>
      </c>
      <c r="N709" s="10">
        <v>0</v>
      </c>
      <c r="O709" s="67">
        <v>45616</v>
      </c>
      <c r="P709" s="10">
        <v>2024</v>
      </c>
      <c r="Q709" s="10">
        <v>11</v>
      </c>
      <c r="R709" s="10" t="str">
        <v>SURVEI-PPL</v>
      </c>
      <c r="S709" s="10" t="str">
        <v>610422100016-2024-11</v>
      </c>
      <c r="T709" s="10" t="str">
        <v>610422100016-2024-11-SURVEI-PPL</v>
      </c>
      <c r="U709" s="10">
        <v>0</v>
      </c>
      <c r="V709" s="10" t="e">
        <f ca="1"/>
        <v>#NAME?</v>
      </c>
      <c r="W709" s="67">
        <v>0</v>
      </c>
      <c r="X709" s="11" t="str">
        <v>Survei Harga Perdesaan (SHPED24) November</v>
      </c>
      <c r="Y709" s="11" t="str">
        <v>SUNGAI KUNYIT</v>
      </c>
      <c r="Z709" s="11" t="str">
        <v>SUNGAI KUNYIT LAUT</v>
      </c>
      <c r="AA709" s="67">
        <v>45596</v>
      </c>
      <c r="AB709" s="67">
        <v>45597</v>
      </c>
      <c r="AC709" s="67">
        <v>45626</v>
      </c>
      <c r="AD709" s="67">
        <v>45625</v>
      </c>
      <c r="AE709" s="67">
        <v>45626</v>
      </c>
    </row>
    <row r="710" spans="1:31" ht="12.5">
      <c r="A710" s="10">
        <v>610422020048</v>
      </c>
      <c r="B710" s="10" t="str">
        <v>SHPED24-LAPANGAN-NOVEMBER</v>
      </c>
      <c r="C710" s="10">
        <v>0</v>
      </c>
      <c r="D710" s="10">
        <f ca="1"/>
        <v>1</v>
      </c>
      <c r="E710" s="10" t="str">
        <v>Herri Gustaman</v>
      </c>
      <c r="F710" s="10" t="str">
        <v>PPL</v>
      </c>
      <c r="G710" s="10" t="str">
        <v>6102072503800001</v>
      </c>
      <c r="H710" s="10" t="str">
        <v>PENDATAAN PRODUSEN</v>
      </c>
      <c r="I710" s="10" t="str">
        <v>SHPED24-LAPANGAN-NOVEMBER-PPL-PENDATAAN PRODUSEN</v>
      </c>
      <c r="J710" s="10" t="str">
        <v>Dokumen</v>
      </c>
      <c r="K710" s="66">
        <v>55000</v>
      </c>
      <c r="L710" s="10">
        <v>3</v>
      </c>
      <c r="M710" s="10">
        <v>165000</v>
      </c>
      <c r="N710" s="10">
        <v>0</v>
      </c>
      <c r="O710" s="67">
        <v>45616</v>
      </c>
      <c r="P710" s="10">
        <v>2024</v>
      </c>
      <c r="Q710" s="10">
        <v>11</v>
      </c>
      <c r="R710" s="10" t="str">
        <v>SURVEI-PPL</v>
      </c>
      <c r="S710" s="10" t="str">
        <v>610422020048-2024-11</v>
      </c>
      <c r="T710" s="10" t="str">
        <v>610422020048-2024-11-SURVEI-PPL</v>
      </c>
      <c r="U710" s="10">
        <v>0</v>
      </c>
      <c r="V710" s="10" t="e">
        <f ca="1"/>
        <v>#NAME?</v>
      </c>
      <c r="W710" s="67">
        <v>0</v>
      </c>
      <c r="X710" s="11" t="str">
        <v>Survei Harga Perdesaan (SHPED24) November</v>
      </c>
      <c r="Y710" s="11" t="str">
        <v>MEMPAWAH TIMUR</v>
      </c>
      <c r="Z710" s="11" t="str">
        <v>SEJEGI</v>
      </c>
      <c r="AA710" s="67">
        <v>45596</v>
      </c>
      <c r="AB710" s="67">
        <v>45597</v>
      </c>
      <c r="AC710" s="67">
        <v>45626</v>
      </c>
      <c r="AD710" s="67">
        <v>45625</v>
      </c>
      <c r="AE710" s="67">
        <v>45626</v>
      </c>
    </row>
    <row r="711" spans="1:31" ht="12.5">
      <c r="A711" s="10">
        <v>610422040029</v>
      </c>
      <c r="B711" s="10" t="str">
        <v>SHPED24-LAPANGAN-NOVEMBER</v>
      </c>
      <c r="C711" s="10">
        <v>0</v>
      </c>
      <c r="D711" s="10">
        <f ca="1"/>
        <v>1</v>
      </c>
      <c r="E711" s="10" t="str">
        <v>Zaini</v>
      </c>
      <c r="F711" s="10" t="str">
        <v>PPL</v>
      </c>
      <c r="G711" s="10" t="str">
        <v>6102010607870002</v>
      </c>
      <c r="H711" s="10" t="str">
        <v>PENDATAAN PRODUSEN</v>
      </c>
      <c r="I711" s="10" t="str">
        <v>SHPED24-LAPANGAN-NOVEMBER-PPL-PENDATAAN PRODUSEN</v>
      </c>
      <c r="J711" s="10" t="str">
        <v>Dokumen</v>
      </c>
      <c r="K711" s="66">
        <v>55000</v>
      </c>
      <c r="L711" s="10">
        <v>4</v>
      </c>
      <c r="M711" s="10">
        <v>220000</v>
      </c>
      <c r="N711" s="10">
        <v>0</v>
      </c>
      <c r="O711" s="67">
        <v>45616</v>
      </c>
      <c r="P711" s="10">
        <v>2024</v>
      </c>
      <c r="Q711" s="10">
        <v>11</v>
      </c>
      <c r="R711" s="10" t="str">
        <v>SURVEI-PPL</v>
      </c>
      <c r="S711" s="10" t="str">
        <v>610422040029-2024-11</v>
      </c>
      <c r="T711" s="10" t="str">
        <v>610422040029-2024-11-SURVEI-PPL</v>
      </c>
      <c r="U711" s="10">
        <v>0</v>
      </c>
      <c r="V711" s="10" t="e">
        <f ca="1"/>
        <v>#NAME?</v>
      </c>
      <c r="W711" s="67">
        <v>0</v>
      </c>
      <c r="X711" s="11" t="str">
        <v>Survei Harga Perdesaan (SHPED24) November</v>
      </c>
      <c r="Y711" s="11" t="str">
        <v>MEMPAWAH HILIR</v>
      </c>
      <c r="Z711" s="11" t="str">
        <v>TENGAH</v>
      </c>
      <c r="AA711" s="67">
        <v>45596</v>
      </c>
      <c r="AB711" s="67">
        <v>45597</v>
      </c>
      <c r="AC711" s="67">
        <v>45626</v>
      </c>
      <c r="AD711" s="67">
        <v>45625</v>
      </c>
      <c r="AE711" s="67">
        <v>45626</v>
      </c>
    </row>
    <row r="712" spans="1:31" ht="12.5">
      <c r="A712" s="10">
        <v>610422050001</v>
      </c>
      <c r="B712" s="10" t="str">
        <v>SHPED24-LAPANGAN-NOVEMBER</v>
      </c>
      <c r="C712" s="10">
        <v>0</v>
      </c>
      <c r="D712" s="10">
        <f ca="1"/>
        <v>1</v>
      </c>
      <c r="E712" s="10" t="str">
        <v>Evi Juniarty</v>
      </c>
      <c r="F712" s="10" t="str">
        <v>PPL</v>
      </c>
      <c r="G712" s="10" t="str">
        <v>6102165101840001</v>
      </c>
      <c r="H712" s="10" t="str">
        <v>PENDATAAN PRODUSEN</v>
      </c>
      <c r="I712" s="10" t="str">
        <v>SHPED24-LAPANGAN-NOVEMBER-PPL-PENDATAAN PRODUSEN</v>
      </c>
      <c r="J712" s="10" t="str">
        <v>Dokumen</v>
      </c>
      <c r="K712" s="66">
        <v>55000</v>
      </c>
      <c r="L712" s="10">
        <v>1</v>
      </c>
      <c r="M712" s="10">
        <v>55000</v>
      </c>
      <c r="N712" s="10">
        <v>0</v>
      </c>
      <c r="O712" s="67">
        <v>45616</v>
      </c>
      <c r="P712" s="10">
        <v>2024</v>
      </c>
      <c r="Q712" s="10">
        <v>11</v>
      </c>
      <c r="R712" s="10" t="str">
        <v>SURVEI-PPL</v>
      </c>
      <c r="S712" s="10" t="str">
        <v>610422050001-2024-11</v>
      </c>
      <c r="T712" s="10" t="str">
        <v>610422050001-2024-11-SURVEI-PPL</v>
      </c>
      <c r="U712" s="10">
        <v>0</v>
      </c>
      <c r="V712" s="10" t="e">
        <f ca="1"/>
        <v>#NAME?</v>
      </c>
      <c r="W712" s="67">
        <v>0</v>
      </c>
      <c r="X712" s="11" t="str">
        <v>Survei Harga Perdesaan (SHPED24) November</v>
      </c>
      <c r="Y712" s="11" t="str">
        <v>ANJONGAN</v>
      </c>
      <c r="Z712" s="11" t="str">
        <v>ANJUNGAN MELANCAR</v>
      </c>
      <c r="AA712" s="67">
        <v>45596</v>
      </c>
      <c r="AB712" s="67">
        <v>45597</v>
      </c>
      <c r="AC712" s="67">
        <v>45626</v>
      </c>
      <c r="AD712" s="67">
        <v>45625</v>
      </c>
      <c r="AE712" s="67">
        <v>45626</v>
      </c>
    </row>
    <row r="713" spans="1:31" ht="12.5">
      <c r="A713" s="10">
        <v>610422100124</v>
      </c>
      <c r="B713" s="10" t="str">
        <v>HPBG24-LAPANGAN-NOVEMBER</v>
      </c>
      <c r="C713" s="10">
        <v>0</v>
      </c>
      <c r="D713" s="10">
        <f ca="1"/>
        <v>1</v>
      </c>
      <c r="E713" s="10" t="str">
        <v>Prabowo</v>
      </c>
      <c r="F713" s="10" t="str">
        <v>PPL</v>
      </c>
      <c r="G713" s="10" t="str">
        <v>6171010108790015</v>
      </c>
      <c r="H713" s="10" t="str">
        <v>PENDATAAN</v>
      </c>
      <c r="I713" s="10" t="str">
        <v>HPBG24-LAPANGAN-NOVEMBER-PPL-PENDATAAN</v>
      </c>
      <c r="J713" s="10" t="str">
        <v>Dokumen</v>
      </c>
      <c r="K713" s="66">
        <v>55000</v>
      </c>
      <c r="L713" s="10">
        <v>2</v>
      </c>
      <c r="M713" s="10">
        <v>110000</v>
      </c>
      <c r="N713" s="10">
        <v>0</v>
      </c>
      <c r="O713" s="67">
        <v>45616</v>
      </c>
      <c r="P713" s="10">
        <v>2024</v>
      </c>
      <c r="Q713" s="10">
        <v>11</v>
      </c>
      <c r="R713" s="10" t="str">
        <v>SURVEI-PPL</v>
      </c>
      <c r="S713" s="10" t="str">
        <v>610422100124-2024-11</v>
      </c>
      <c r="T713" s="10" t="str">
        <v>610422100124-2024-11-SURVEI-PPL</v>
      </c>
      <c r="U713" s="10">
        <v>0</v>
      </c>
      <c r="V713" s="10" t="e">
        <f ca="1"/>
        <v>#NAME?</v>
      </c>
      <c r="W713" s="67">
        <v>0</v>
      </c>
      <c r="X713" s="11" t="str">
        <v>Survei Harga Produsen Beras di Penggilingan 2024 (HPBG24) November</v>
      </c>
      <c r="Y713" s="11" t="str">
        <v>PONTIANAK KOTA</v>
      </c>
      <c r="Z713" s="11" t="str">
        <v>SUNGAI BANGKONG</v>
      </c>
      <c r="AA713" s="67">
        <v>45596</v>
      </c>
      <c r="AB713" s="67">
        <v>45597</v>
      </c>
      <c r="AC713" s="67">
        <v>45626</v>
      </c>
      <c r="AD713" s="67">
        <v>45625</v>
      </c>
      <c r="AE713" s="67">
        <v>45626</v>
      </c>
    </row>
    <row r="714" spans="1:31" ht="12.5">
      <c r="A714" s="10">
        <v>610422100244</v>
      </c>
      <c r="B714" s="10" t="str">
        <v>HPBG24-LAPANGAN-NOVEMBER</v>
      </c>
      <c r="C714" s="10">
        <v>0</v>
      </c>
      <c r="D714" s="10">
        <f ca="1"/>
        <v>1</v>
      </c>
      <c r="E714" s="10" t="str">
        <v>Sugianto</v>
      </c>
      <c r="F714" s="10" t="str">
        <v>PPL</v>
      </c>
      <c r="G714" s="10" t="str">
        <v>6102171003900002</v>
      </c>
      <c r="H714" s="10" t="str">
        <v>PENDATAAN</v>
      </c>
      <c r="I714" s="10" t="str">
        <v>HPBG24-LAPANGAN-NOVEMBER-PPL-PENDATAAN</v>
      </c>
      <c r="J714" s="10" t="str">
        <v>Dokumen</v>
      </c>
      <c r="K714" s="66">
        <v>55000</v>
      </c>
      <c r="L714" s="10">
        <v>2</v>
      </c>
      <c r="M714" s="10">
        <v>110000</v>
      </c>
      <c r="N714" s="10">
        <v>0</v>
      </c>
      <c r="O714" s="67">
        <v>45616</v>
      </c>
      <c r="P714" s="10">
        <v>2024</v>
      </c>
      <c r="Q714" s="10">
        <v>11</v>
      </c>
      <c r="R714" s="10" t="str">
        <v>SURVEI-PPL</v>
      </c>
      <c r="S714" s="10" t="str">
        <v>610422100244-2024-11</v>
      </c>
      <c r="T714" s="10" t="str">
        <v>610422100244-2024-11-SURVEI-PPL</v>
      </c>
      <c r="U714" s="10">
        <v>0</v>
      </c>
      <c r="V714" s="10" t="e">
        <f ca="1"/>
        <v>#NAME?</v>
      </c>
      <c r="W714" s="67">
        <v>0</v>
      </c>
      <c r="X714" s="11" t="str">
        <v>Survei Harga Produsen Beras di Penggilingan 2024 (HPBG24) November</v>
      </c>
      <c r="Y714" s="11" t="str">
        <v>SADANIANG</v>
      </c>
      <c r="Z714" s="11" t="str">
        <v>BUMBUN</v>
      </c>
      <c r="AA714" s="67">
        <v>45596</v>
      </c>
      <c r="AB714" s="67">
        <v>45597</v>
      </c>
      <c r="AC714" s="67">
        <v>45626</v>
      </c>
      <c r="AD714" s="67">
        <v>45625</v>
      </c>
      <c r="AE714" s="67">
        <v>45626</v>
      </c>
    </row>
    <row r="715" spans="1:31" ht="12.5">
      <c r="A715" s="10">
        <v>610422100165</v>
      </c>
      <c r="B715" s="10" t="str">
        <v>HPBG24-LAPANGAN-NOVEMBER</v>
      </c>
      <c r="C715" s="10">
        <v>0</v>
      </c>
      <c r="D715" s="10">
        <f ca="1"/>
        <v>1</v>
      </c>
      <c r="E715" s="10" t="str">
        <v>Yanti</v>
      </c>
      <c r="F715" s="10" t="str">
        <v>PPL</v>
      </c>
      <c r="G715" s="10" t="str">
        <v>6102074803980002</v>
      </c>
      <c r="H715" s="10" t="str">
        <v>PENDATAAN</v>
      </c>
      <c r="I715" s="10" t="str">
        <v>HPBG24-LAPANGAN-NOVEMBER-PPL-PENDATAAN</v>
      </c>
      <c r="J715" s="10" t="str">
        <v>Dokumen</v>
      </c>
      <c r="K715" s="66">
        <v>55000</v>
      </c>
      <c r="L715" s="10">
        <v>2</v>
      </c>
      <c r="M715" s="10">
        <v>110000</v>
      </c>
      <c r="N715" s="10">
        <v>0</v>
      </c>
      <c r="O715" s="67">
        <v>45616</v>
      </c>
      <c r="P715" s="10">
        <v>2024</v>
      </c>
      <c r="Q715" s="10">
        <v>11</v>
      </c>
      <c r="R715" s="10" t="str">
        <v>SURVEI-PPL</v>
      </c>
      <c r="S715" s="10" t="str">
        <v>610422100165-2024-11</v>
      </c>
      <c r="T715" s="10" t="str">
        <v>610422100165-2024-11-SURVEI-PPL</v>
      </c>
      <c r="U715" s="10">
        <v>0</v>
      </c>
      <c r="V715" s="10" t="e">
        <f ca="1"/>
        <v>#NAME?</v>
      </c>
      <c r="W715" s="67">
        <v>0</v>
      </c>
      <c r="X715" s="11" t="str">
        <v>Survei Harga Produsen Beras di Penggilingan 2024 (HPBG24) November</v>
      </c>
      <c r="Y715" s="11" t="str">
        <v>SUNGAI PINYUH</v>
      </c>
      <c r="Z715" s="11" t="str">
        <v>SUNGAI BAKAU BESAR LAUT</v>
      </c>
      <c r="AA715" s="67">
        <v>45596</v>
      </c>
      <c r="AB715" s="67">
        <v>45597</v>
      </c>
      <c r="AC715" s="67">
        <v>45626</v>
      </c>
      <c r="AD715" s="67">
        <v>45625</v>
      </c>
      <c r="AE715" s="67">
        <v>45626</v>
      </c>
    </row>
    <row r="716" spans="1:31" ht="12.5">
      <c r="A716" s="10">
        <v>610422100165</v>
      </c>
      <c r="B716" s="10" t="str">
        <v>HPJ24-LAPANGAN-NOVEMBER</v>
      </c>
      <c r="C716" s="10">
        <v>0</v>
      </c>
      <c r="D716" s="10">
        <f ca="1"/>
        <v>1</v>
      </c>
      <c r="E716" s="10" t="str">
        <v>Yanti</v>
      </c>
      <c r="F716" s="10" t="str">
        <v>PPL</v>
      </c>
      <c r="G716" s="10" t="str">
        <v>6102074803980002</v>
      </c>
      <c r="H716" s="10" t="str">
        <v>PENDATAAN</v>
      </c>
      <c r="I716" s="10" t="str">
        <v>HPJ24-LAPANGAN-NOVEMBER-PPL-PENDATAAN</v>
      </c>
      <c r="J716" s="10" t="str">
        <v>Dokumen</v>
      </c>
      <c r="K716" s="66">
        <v>50000</v>
      </c>
      <c r="L716" s="10">
        <v>1</v>
      </c>
      <c r="M716" s="10">
        <v>50000</v>
      </c>
      <c r="N716" s="10">
        <v>0</v>
      </c>
      <c r="O716" s="67">
        <v>45616</v>
      </c>
      <c r="P716" s="10">
        <v>2024</v>
      </c>
      <c r="Q716" s="10">
        <v>11</v>
      </c>
      <c r="R716" s="10" t="str">
        <v>SURVEI-PPL</v>
      </c>
      <c r="S716" s="10" t="str">
        <v>610422100165-2024-11</v>
      </c>
      <c r="T716" s="10" t="str">
        <v>610422100165-2024-11-SURVEI-PPL</v>
      </c>
      <c r="U716" s="10">
        <v>0</v>
      </c>
      <c r="V716" s="10" t="e">
        <f ca="1"/>
        <v>#NAME?</v>
      </c>
      <c r="W716" s="67">
        <v>0</v>
      </c>
      <c r="X716" s="11" t="str">
        <v>Survei Harga Produsen Jasa (HPJ24) November</v>
      </c>
      <c r="Y716" s="11" t="str">
        <v>SUNGAI PINYUH</v>
      </c>
      <c r="Z716" s="11" t="str">
        <v>SUNGAI BAKAU BESAR LAUT</v>
      </c>
      <c r="AA716" s="67">
        <v>45596</v>
      </c>
      <c r="AB716" s="67">
        <v>45597</v>
      </c>
      <c r="AC716" s="67">
        <v>45626</v>
      </c>
      <c r="AD716" s="67">
        <v>45625</v>
      </c>
      <c r="AE716" s="67">
        <v>45626</v>
      </c>
    </row>
    <row r="717" spans="1:31" ht="12.5">
      <c r="A717" s="10">
        <v>610422040029</v>
      </c>
      <c r="B717" s="10" t="str">
        <v>VHTS24-LAPANGAN-NOVEMBER</v>
      </c>
      <c r="C717" s="10">
        <v>0</v>
      </c>
      <c r="D717" s="10">
        <f ca="1"/>
        <v>1</v>
      </c>
      <c r="E717" s="10" t="str">
        <v>Zaini</v>
      </c>
      <c r="F717" s="10" t="str">
        <v>PPL</v>
      </c>
      <c r="G717" s="10" t="str">
        <v>6102010607870002</v>
      </c>
      <c r="H717" s="10" t="str">
        <v>PENDATAAN</v>
      </c>
      <c r="I717" s="10" t="str">
        <v>VHTS24-LAPANGAN-NOVEMBER-PPL-PENDATAAN</v>
      </c>
      <c r="J717" s="10" t="str">
        <v>Dokumen</v>
      </c>
      <c r="K717" s="66">
        <v>55000</v>
      </c>
      <c r="L717" s="10">
        <v>3</v>
      </c>
      <c r="M717" s="10">
        <v>165000</v>
      </c>
      <c r="N717" s="10">
        <v>0</v>
      </c>
      <c r="O717" s="67">
        <v>45616</v>
      </c>
      <c r="P717" s="10">
        <v>2024</v>
      </c>
      <c r="Q717" s="10">
        <v>11</v>
      </c>
      <c r="R717" s="10" t="str">
        <v>SURVEI-PPL</v>
      </c>
      <c r="S717" s="10" t="str">
        <v>610422040029-2024-11</v>
      </c>
      <c r="T717" s="10" t="str">
        <v>610422040029-2024-11-SURVEI-PPL</v>
      </c>
      <c r="U717" s="10">
        <v>0</v>
      </c>
      <c r="V717" s="10" t="e">
        <f ca="1"/>
        <v>#NAME?</v>
      </c>
      <c r="W717" s="67">
        <v>0</v>
      </c>
      <c r="X717" s="11" t="str">
        <v>Survei Hotel dan Jasa Akomodasi Bulanan (VHTS) 2024 November</v>
      </c>
      <c r="Y717" s="11" t="str">
        <v>MEMPAWAH HILIR</v>
      </c>
      <c r="Z717" s="11" t="str">
        <v>TENGAH</v>
      </c>
      <c r="AA717" s="67">
        <v>45596</v>
      </c>
      <c r="AB717" s="67">
        <v>45597</v>
      </c>
      <c r="AC717" s="67">
        <v>45626</v>
      </c>
      <c r="AD717" s="67">
        <v>45625</v>
      </c>
      <c r="AE717" s="67">
        <v>45626</v>
      </c>
    </row>
    <row r="718" spans="1:31" ht="12.5">
      <c r="A718" s="10">
        <v>610422100165</v>
      </c>
      <c r="B718" s="10" t="str">
        <v>VHTS24-LAPANGAN-NOVEMBER</v>
      </c>
      <c r="C718" s="10">
        <v>0</v>
      </c>
      <c r="D718" s="10">
        <f ca="1"/>
        <v>1</v>
      </c>
      <c r="E718" s="10" t="str">
        <v>Yanti</v>
      </c>
      <c r="F718" s="10" t="str">
        <v>PPL</v>
      </c>
      <c r="G718" s="10" t="str">
        <v>6102074803980002</v>
      </c>
      <c r="H718" s="10" t="str">
        <v>PENDATAAN</v>
      </c>
      <c r="I718" s="10" t="str">
        <v>VHTS24-LAPANGAN-NOVEMBER-PPL-PENDATAAN</v>
      </c>
      <c r="J718" s="10" t="str">
        <v>Dokumen</v>
      </c>
      <c r="K718" s="66">
        <v>55000</v>
      </c>
      <c r="L718" s="10">
        <v>3</v>
      </c>
      <c r="M718" s="10">
        <v>165000</v>
      </c>
      <c r="N718" s="10">
        <v>0</v>
      </c>
      <c r="O718" s="67">
        <v>45616</v>
      </c>
      <c r="P718" s="10">
        <v>2024</v>
      </c>
      <c r="Q718" s="10">
        <v>11</v>
      </c>
      <c r="R718" s="10" t="str">
        <v>SURVEI-PPL</v>
      </c>
      <c r="S718" s="10" t="str">
        <v>610422100165-2024-11</v>
      </c>
      <c r="T718" s="10" t="str">
        <v>610422100165-2024-11-SURVEI-PPL</v>
      </c>
      <c r="U718" s="10">
        <v>0</v>
      </c>
      <c r="V718" s="10" t="e">
        <f ca="1"/>
        <v>#NAME?</v>
      </c>
      <c r="W718" s="67">
        <v>0</v>
      </c>
      <c r="X718" s="11" t="str">
        <v>Survei Hotel dan Jasa Akomodasi Bulanan (VHTS) 2024 November</v>
      </c>
      <c r="Y718" s="11" t="str">
        <v>SUNGAI PINYUH</v>
      </c>
      <c r="Z718" s="11" t="str">
        <v>SUNGAI BAKAU BESAR LAUT</v>
      </c>
      <c r="AA718" s="67">
        <v>45596</v>
      </c>
      <c r="AB718" s="67">
        <v>45597</v>
      </c>
      <c r="AC718" s="67">
        <v>45626</v>
      </c>
      <c r="AD718" s="67">
        <v>45625</v>
      </c>
      <c r="AE718" s="67">
        <v>45626</v>
      </c>
    </row>
    <row r="719" spans="1:31" ht="12.5">
      <c r="A719" s="10">
        <v>610422050001</v>
      </c>
      <c r="B719" s="10" t="str">
        <v>VHTS24-LAPANGAN-NOVEMBER</v>
      </c>
      <c r="C719" s="10">
        <v>0</v>
      </c>
      <c r="D719" s="10">
        <f ca="1"/>
        <v>1</v>
      </c>
      <c r="E719" s="10" t="str">
        <v>Evi Juniarty</v>
      </c>
      <c r="F719" s="10" t="str">
        <v>PPL</v>
      </c>
      <c r="G719" s="10" t="str">
        <v>6102165101840001</v>
      </c>
      <c r="H719" s="10" t="str">
        <v>PENDATAAN</v>
      </c>
      <c r="I719" s="10" t="str">
        <v>VHTS24-LAPANGAN-NOVEMBER-PPL-PENDATAAN</v>
      </c>
      <c r="J719" s="10" t="str">
        <v>Dokumen</v>
      </c>
      <c r="K719" s="66">
        <v>55000</v>
      </c>
      <c r="L719" s="10">
        <v>3</v>
      </c>
      <c r="M719" s="10">
        <v>165000</v>
      </c>
      <c r="N719" s="10">
        <v>0</v>
      </c>
      <c r="O719" s="67">
        <v>45616</v>
      </c>
      <c r="P719" s="10">
        <v>2024</v>
      </c>
      <c r="Q719" s="10">
        <v>11</v>
      </c>
      <c r="R719" s="10" t="str">
        <v>SURVEI-PPL</v>
      </c>
      <c r="S719" s="10" t="str">
        <v>610422050001-2024-11</v>
      </c>
      <c r="T719" s="10" t="str">
        <v>610422050001-2024-11-SURVEI-PPL</v>
      </c>
      <c r="U719" s="10">
        <v>0</v>
      </c>
      <c r="V719" s="10" t="e">
        <f ca="1"/>
        <v>#NAME?</v>
      </c>
      <c r="W719" s="67">
        <v>0</v>
      </c>
      <c r="X719" s="11" t="str">
        <v>Survei Hotel dan Jasa Akomodasi Bulanan (VHTS) 2024 November</v>
      </c>
      <c r="Y719" s="11" t="str">
        <v>ANJONGAN</v>
      </c>
      <c r="Z719" s="11" t="str">
        <v>ANJUNGAN MELANCAR</v>
      </c>
      <c r="AA719" s="67">
        <v>45596</v>
      </c>
      <c r="AB719" s="67">
        <v>45597</v>
      </c>
      <c r="AC719" s="67">
        <v>45626</v>
      </c>
      <c r="AD719" s="67">
        <v>45625</v>
      </c>
      <c r="AE719" s="67">
        <v>45626</v>
      </c>
    </row>
    <row r="720" spans="1:31" ht="12.5">
      <c r="A720" s="10">
        <v>610422040056</v>
      </c>
      <c r="B720" s="10" t="str">
        <v>VHTS24-LAPANGAN-NOVEMBER</v>
      </c>
      <c r="C720" s="10">
        <v>0</v>
      </c>
      <c r="D720" s="10">
        <f ca="1"/>
        <v>1</v>
      </c>
      <c r="E720" s="10" t="str">
        <v>Wandi Syafari</v>
      </c>
      <c r="F720" s="10" t="str">
        <v>PPL</v>
      </c>
      <c r="G720" s="10" t="str">
        <v>6102010802760001</v>
      </c>
      <c r="H720" s="10" t="str">
        <v>PENDATAAN</v>
      </c>
      <c r="I720" s="10" t="str">
        <v>VHTS24-LAPANGAN-NOVEMBER-PPL-PENDATAAN</v>
      </c>
      <c r="J720" s="10" t="str">
        <v>Dokumen</v>
      </c>
      <c r="K720" s="66">
        <v>55000</v>
      </c>
      <c r="L720" s="10">
        <v>2</v>
      </c>
      <c r="M720" s="10">
        <v>110000</v>
      </c>
      <c r="N720" s="10">
        <v>0</v>
      </c>
      <c r="O720" s="67">
        <v>45616</v>
      </c>
      <c r="P720" s="10">
        <v>2024</v>
      </c>
      <c r="Q720" s="10">
        <v>11</v>
      </c>
      <c r="R720" s="10" t="str">
        <v>SURVEI-PPL</v>
      </c>
      <c r="S720" s="10" t="str">
        <v>610422040056-2024-11</v>
      </c>
      <c r="T720" s="10" t="str">
        <v>610422040056-2024-11-SURVEI-PPL</v>
      </c>
      <c r="U720" s="10">
        <v>0</v>
      </c>
      <c r="V720" s="10" t="e">
        <f ca="1"/>
        <v>#NAME?</v>
      </c>
      <c r="W720" s="67">
        <v>0</v>
      </c>
      <c r="X720" s="11" t="str">
        <v>Survei Hotel dan Jasa Akomodasi Bulanan (VHTS) 2024 November</v>
      </c>
      <c r="Y720" s="11" t="str">
        <v>MEMPAWAH HILIR</v>
      </c>
      <c r="Z720" s="11" t="str">
        <v>TERUSAN</v>
      </c>
      <c r="AA720" s="67">
        <v>45596</v>
      </c>
      <c r="AB720" s="67">
        <v>45597</v>
      </c>
      <c r="AC720" s="67">
        <v>45626</v>
      </c>
      <c r="AD720" s="67">
        <v>45625</v>
      </c>
      <c r="AE720" s="67">
        <v>45626</v>
      </c>
    </row>
    <row r="721" spans="1:31" ht="12.5">
      <c r="A721" s="10">
        <v>610422020016</v>
      </c>
      <c r="B721" s="10" t="str">
        <v>KSA24-LAPANGAN-NOVEMBER</v>
      </c>
      <c r="C721" s="10">
        <v>0</v>
      </c>
      <c r="D721" s="10">
        <f ca="1"/>
        <v>1</v>
      </c>
      <c r="E721" s="10" t="str">
        <v>Abdul Aziz</v>
      </c>
      <c r="F721" s="10" t="str">
        <v>PPL</v>
      </c>
      <c r="G721" s="10" t="str">
        <v>6102061507950006</v>
      </c>
      <c r="H721" s="10" t="str">
        <v>KSA PADI</v>
      </c>
      <c r="I721" s="10" t="str">
        <v>KSA24-LAPANGAN-NOVEMBER-PPL-KSA PADI</v>
      </c>
      <c r="J721" s="10" t="str">
        <v>Segmen</v>
      </c>
      <c r="K721" s="66">
        <v>116000</v>
      </c>
      <c r="L721" s="10">
        <v>3</v>
      </c>
      <c r="M721" s="10">
        <v>348000</v>
      </c>
      <c r="N721" s="10">
        <v>0</v>
      </c>
      <c r="O721" s="67">
        <v>45626</v>
      </c>
      <c r="P721" s="10">
        <v>2024</v>
      </c>
      <c r="Q721" s="10">
        <v>11</v>
      </c>
      <c r="R721" s="10" t="str">
        <v>SURVEI-PPL</v>
      </c>
      <c r="S721" s="10" t="str">
        <v>610422020016-2024-11</v>
      </c>
      <c r="T721" s="10" t="str">
        <v>610422020016-2024-11-SURVEI-PPL</v>
      </c>
      <c r="U721" s="10">
        <v>0</v>
      </c>
      <c r="V721" s="10" t="e">
        <f ca="1"/>
        <v>#NAME?</v>
      </c>
      <c r="W721" s="67">
        <v>0</v>
      </c>
      <c r="X721" s="11" t="str">
        <v>Kerangka Sampel Area (KSA) 2024 November</v>
      </c>
      <c r="Y721" s="11" t="str">
        <v>TOHO</v>
      </c>
      <c r="Z721" s="11" t="str">
        <v>SAMBORA</v>
      </c>
      <c r="AA721" s="67">
        <v>45596</v>
      </c>
      <c r="AB721" s="67">
        <v>45597</v>
      </c>
      <c r="AC721" s="67">
        <v>45626</v>
      </c>
      <c r="AD721" s="67">
        <v>45625</v>
      </c>
      <c r="AE721" s="67">
        <v>45626</v>
      </c>
    </row>
    <row r="722" spans="1:31" ht="12.5">
      <c r="A722" s="10">
        <v>610422040012</v>
      </c>
      <c r="B722" s="10" t="str">
        <v>KSA24-LAPANGAN-NOVEMBER</v>
      </c>
      <c r="C722" s="10">
        <v>0</v>
      </c>
      <c r="D722" s="10">
        <f ca="1"/>
        <v>1</v>
      </c>
      <c r="E722" s="10" t="str">
        <v>Misdi</v>
      </c>
      <c r="F722" s="10" t="str">
        <v>PPL</v>
      </c>
      <c r="G722" s="10" t="str">
        <v>6102070706940001</v>
      </c>
      <c r="H722" s="10" t="str">
        <v>KSA PADI</v>
      </c>
      <c r="I722" s="10" t="str">
        <v>KSA24-LAPANGAN-NOVEMBER-PPL-KSA PADI</v>
      </c>
      <c r="J722" s="10" t="str">
        <v>Segmen</v>
      </c>
      <c r="K722" s="66">
        <v>116000</v>
      </c>
      <c r="L722" s="10">
        <v>3</v>
      </c>
      <c r="M722" s="10">
        <v>348000</v>
      </c>
      <c r="N722" s="10">
        <v>0</v>
      </c>
      <c r="O722" s="67">
        <v>45626</v>
      </c>
      <c r="P722" s="10">
        <v>2024</v>
      </c>
      <c r="Q722" s="10">
        <v>11</v>
      </c>
      <c r="R722" s="10" t="str">
        <v>SURVEI-PPL</v>
      </c>
      <c r="S722" s="10" t="str">
        <v>610422040012-2024-11</v>
      </c>
      <c r="T722" s="10" t="str">
        <v>610422040012-2024-11-SURVEI-PPL</v>
      </c>
      <c r="U722" s="10">
        <v>0</v>
      </c>
      <c r="V722" s="10" t="e">
        <f ca="1"/>
        <v>#NAME?</v>
      </c>
      <c r="W722" s="67">
        <v>0</v>
      </c>
      <c r="X722" s="11" t="str">
        <v>Kerangka Sampel Area (KSA) 2024 November</v>
      </c>
      <c r="Y722" s="11" t="str">
        <v>SUNGAI PINYUH</v>
      </c>
      <c r="Z722" s="11" t="str">
        <v>SUNGAI BAKAU BESAR DARAT</v>
      </c>
      <c r="AA722" s="67">
        <v>45596</v>
      </c>
      <c r="AB722" s="67">
        <v>45597</v>
      </c>
      <c r="AC722" s="67">
        <v>45626</v>
      </c>
      <c r="AD722" s="67">
        <v>45625</v>
      </c>
      <c r="AE722" s="67">
        <v>45626</v>
      </c>
    </row>
    <row r="723" spans="1:31" ht="12.5">
      <c r="A723" s="10">
        <v>610422040059</v>
      </c>
      <c r="B723" s="10" t="str">
        <v>KSA24-LAPANGAN-NOVEMBER</v>
      </c>
      <c r="C723" s="10">
        <v>0</v>
      </c>
      <c r="D723" s="10">
        <f ca="1"/>
        <v>1</v>
      </c>
      <c r="E723" s="10" t="str">
        <v>Abang Handri</v>
      </c>
      <c r="F723" s="10" t="str">
        <v>PPL</v>
      </c>
      <c r="G723" s="10" t="str">
        <v>6102072211780002</v>
      </c>
      <c r="H723" s="10" t="str">
        <v>KSA PADI</v>
      </c>
      <c r="I723" s="10" t="str">
        <v>KSA24-LAPANGAN-NOVEMBER-PPL-KSA PADI</v>
      </c>
      <c r="J723" s="10" t="str">
        <v>Segmen</v>
      </c>
      <c r="K723" s="66">
        <v>116000</v>
      </c>
      <c r="L723" s="10">
        <v>4</v>
      </c>
      <c r="M723" s="10">
        <v>464000</v>
      </c>
      <c r="N723" s="10">
        <v>0</v>
      </c>
      <c r="O723" s="67">
        <v>45626</v>
      </c>
      <c r="P723" s="10">
        <v>2024</v>
      </c>
      <c r="Q723" s="10">
        <v>11</v>
      </c>
      <c r="R723" s="10" t="str">
        <v>SURVEI-PPL</v>
      </c>
      <c r="S723" s="10" t="str">
        <v>610422040059-2024-11</v>
      </c>
      <c r="T723" s="10" t="str">
        <v>610422040059-2024-11-SURVEI-PPL</v>
      </c>
      <c r="U723" s="10">
        <v>0</v>
      </c>
      <c r="V723" s="10" t="e">
        <f ca="1"/>
        <v>#NAME?</v>
      </c>
      <c r="W723" s="67">
        <v>0</v>
      </c>
      <c r="X723" s="11" t="str">
        <v>Kerangka Sampel Area (KSA) 2024 November</v>
      </c>
      <c r="Y723" s="11" t="str">
        <v>MEMPAWAH HILIR</v>
      </c>
      <c r="Z723" s="11" t="str">
        <v>TERUSAN</v>
      </c>
      <c r="AA723" s="67">
        <v>45596</v>
      </c>
      <c r="AB723" s="67">
        <v>45597</v>
      </c>
      <c r="AC723" s="67">
        <v>45626</v>
      </c>
      <c r="AD723" s="67">
        <v>45625</v>
      </c>
      <c r="AE723" s="67">
        <v>45626</v>
      </c>
    </row>
    <row r="724" spans="1:31" ht="12.5">
      <c r="A724" s="10">
        <v>610422040061</v>
      </c>
      <c r="B724" s="10" t="str">
        <v>KSA24-LAPANGAN-NOVEMBER</v>
      </c>
      <c r="C724" s="10">
        <v>0</v>
      </c>
      <c r="D724" s="10">
        <f ca="1"/>
        <v>1</v>
      </c>
      <c r="E724" s="10" t="str">
        <v>Sabani</v>
      </c>
      <c r="F724" s="10" t="str">
        <v>PPL</v>
      </c>
      <c r="G724" s="10" t="str">
        <v>6102153112860003</v>
      </c>
      <c r="H724" s="10" t="str">
        <v>KSA PADI</v>
      </c>
      <c r="I724" s="10" t="str">
        <v>KSA24-LAPANGAN-NOVEMBER-PPL-KSA PADI</v>
      </c>
      <c r="J724" s="10" t="str">
        <v>Segmen</v>
      </c>
      <c r="K724" s="66">
        <v>116000</v>
      </c>
      <c r="L724" s="10">
        <v>3</v>
      </c>
      <c r="M724" s="10">
        <v>348000</v>
      </c>
      <c r="N724" s="10">
        <v>0</v>
      </c>
      <c r="O724" s="67">
        <v>45626</v>
      </c>
      <c r="P724" s="10">
        <v>2024</v>
      </c>
      <c r="Q724" s="10">
        <v>11</v>
      </c>
      <c r="R724" s="10" t="str">
        <v>SURVEI-PPL</v>
      </c>
      <c r="S724" s="10" t="str">
        <v>610422040061-2024-11</v>
      </c>
      <c r="T724" s="10" t="str">
        <v>610422040061-2024-11-SURVEI-PPL</v>
      </c>
      <c r="U724" s="10">
        <v>0</v>
      </c>
      <c r="V724" s="10" t="e">
        <f ca="1"/>
        <v>#NAME?</v>
      </c>
      <c r="W724" s="67">
        <v>0</v>
      </c>
      <c r="X724" s="11" t="str">
        <v>Kerangka Sampel Area (KSA) 2024 November</v>
      </c>
      <c r="Y724" s="11" t="str">
        <v>SEGEDONG</v>
      </c>
      <c r="Z724" s="11" t="str">
        <v>PENITI BESAR</v>
      </c>
      <c r="AA724" s="67">
        <v>45596</v>
      </c>
      <c r="AB724" s="67">
        <v>45597</v>
      </c>
      <c r="AC724" s="67">
        <v>45626</v>
      </c>
      <c r="AD724" s="67">
        <v>45625</v>
      </c>
      <c r="AE724" s="67">
        <v>45626</v>
      </c>
    </row>
    <row r="725" spans="1:31" ht="12.5">
      <c r="A725" s="10">
        <v>610422100131</v>
      </c>
      <c r="B725" s="10" t="str">
        <v>KSA24-LAPANGAN-NOVEMBER</v>
      </c>
      <c r="C725" s="10">
        <v>0</v>
      </c>
      <c r="D725" s="10">
        <f ca="1"/>
        <v>1</v>
      </c>
      <c r="E725" s="10" t="str">
        <v>Syamsul</v>
      </c>
      <c r="F725" s="10" t="str">
        <v>PPL</v>
      </c>
      <c r="G725" s="10" t="str">
        <v>6102150907860003</v>
      </c>
      <c r="H725" s="10" t="str">
        <v>KSA PADI</v>
      </c>
      <c r="I725" s="10" t="str">
        <v>KSA24-LAPANGAN-NOVEMBER-PPL-KSA PADI</v>
      </c>
      <c r="J725" s="10" t="str">
        <v>Segmen</v>
      </c>
      <c r="K725" s="66">
        <v>116000</v>
      </c>
      <c r="L725" s="10">
        <v>3</v>
      </c>
      <c r="M725" s="10">
        <v>348000</v>
      </c>
      <c r="N725" s="10">
        <v>0</v>
      </c>
      <c r="O725" s="67">
        <v>45626</v>
      </c>
      <c r="P725" s="10">
        <v>2024</v>
      </c>
      <c r="Q725" s="10">
        <v>11</v>
      </c>
      <c r="R725" s="10" t="str">
        <v>SURVEI-PPL</v>
      </c>
      <c r="S725" s="10" t="str">
        <v>610422100131-2024-11</v>
      </c>
      <c r="T725" s="10" t="str">
        <v>610422100131-2024-11-SURVEI-PPL</v>
      </c>
      <c r="U725" s="10">
        <v>0</v>
      </c>
      <c r="V725" s="10" t="e">
        <f ca="1"/>
        <v>#NAME?</v>
      </c>
      <c r="W725" s="67">
        <v>0</v>
      </c>
      <c r="X725" s="11" t="str">
        <v>Kerangka Sampel Area (KSA) 2024 November</v>
      </c>
      <c r="Y725" s="11" t="str">
        <v>SUNGAI KUNYIT</v>
      </c>
      <c r="Z725" s="11" t="str">
        <v>SUNGAI KUNYIT LAUT</v>
      </c>
      <c r="AA725" s="67">
        <v>45596</v>
      </c>
      <c r="AB725" s="67">
        <v>45597</v>
      </c>
      <c r="AC725" s="67">
        <v>45626</v>
      </c>
      <c r="AD725" s="67">
        <v>45625</v>
      </c>
      <c r="AE725" s="67">
        <v>45626</v>
      </c>
    </row>
    <row r="726" spans="1:31" ht="12.5">
      <c r="A726" s="10">
        <v>610422100244</v>
      </c>
      <c r="B726" s="10" t="str">
        <v>KSA24-LAPANGAN-NOVEMBER</v>
      </c>
      <c r="C726" s="10">
        <v>0</v>
      </c>
      <c r="D726" s="10">
        <f ca="1"/>
        <v>1</v>
      </c>
      <c r="E726" s="10" t="str">
        <v>Sugianto</v>
      </c>
      <c r="F726" s="10" t="str">
        <v>PPL</v>
      </c>
      <c r="G726" s="10" t="str">
        <v>6102171003900002</v>
      </c>
      <c r="H726" s="10" t="str">
        <v>KSA PADI</v>
      </c>
      <c r="I726" s="10" t="str">
        <v>KSA24-LAPANGAN-NOVEMBER-PPL-KSA PADI</v>
      </c>
      <c r="J726" s="10" t="str">
        <v>Segmen</v>
      </c>
      <c r="K726" s="66">
        <v>116000</v>
      </c>
      <c r="L726" s="10">
        <v>3</v>
      </c>
      <c r="M726" s="10">
        <v>348000</v>
      </c>
      <c r="N726" s="10">
        <v>0</v>
      </c>
      <c r="O726" s="67">
        <v>45626</v>
      </c>
      <c r="P726" s="10">
        <v>2024</v>
      </c>
      <c r="Q726" s="10">
        <v>11</v>
      </c>
      <c r="R726" s="10" t="str">
        <v>SURVEI-PPL</v>
      </c>
      <c r="S726" s="10" t="str">
        <v>610422100244-2024-11</v>
      </c>
      <c r="T726" s="10" t="str">
        <v>610422100244-2024-11-SURVEI-PPL</v>
      </c>
      <c r="U726" s="10">
        <v>0</v>
      </c>
      <c r="V726" s="10" t="e">
        <f ca="1"/>
        <v>#NAME?</v>
      </c>
      <c r="W726" s="67">
        <v>0</v>
      </c>
      <c r="X726" s="11" t="str">
        <v>Kerangka Sampel Area (KSA) 2024 November</v>
      </c>
      <c r="Y726" s="11" t="str">
        <v>SADANIANG</v>
      </c>
      <c r="Z726" s="11" t="str">
        <v>BUMBUN</v>
      </c>
      <c r="AA726" s="67">
        <v>45596</v>
      </c>
      <c r="AB726" s="67">
        <v>45597</v>
      </c>
      <c r="AC726" s="67">
        <v>45626</v>
      </c>
      <c r="AD726" s="67">
        <v>45625</v>
      </c>
      <c r="AE726" s="67">
        <v>45626</v>
      </c>
    </row>
    <row r="727" spans="1:31" ht="12.5">
      <c r="A727" s="10">
        <v>610422100176</v>
      </c>
      <c r="B727" s="10" t="str">
        <v>KSA24-LAPANGAN-NOVEMBER</v>
      </c>
      <c r="C727" s="10">
        <v>0</v>
      </c>
      <c r="D727" s="10">
        <f ca="1"/>
        <v>1</v>
      </c>
      <c r="E727" s="10" t="str">
        <v>Feri Firdaus</v>
      </c>
      <c r="F727" s="10" t="str">
        <v>PPL</v>
      </c>
      <c r="G727" s="10" t="str">
        <v>6102150412880001</v>
      </c>
      <c r="H727" s="10" t="str">
        <v>KSA PADI</v>
      </c>
      <c r="I727" s="10" t="str">
        <v>KSA24-LAPANGAN-NOVEMBER-PPL-KSA PADI</v>
      </c>
      <c r="J727" s="10" t="str">
        <v>Segmen</v>
      </c>
      <c r="K727" s="66">
        <v>116000</v>
      </c>
      <c r="L727" s="10">
        <v>3</v>
      </c>
      <c r="M727" s="10">
        <v>348000</v>
      </c>
      <c r="N727" s="10">
        <v>0</v>
      </c>
      <c r="O727" s="67">
        <v>45626</v>
      </c>
      <c r="P727" s="10">
        <v>2024</v>
      </c>
      <c r="Q727" s="10">
        <v>11</v>
      </c>
      <c r="R727" s="10" t="str">
        <v>SURVEI-PPL</v>
      </c>
      <c r="S727" s="10" t="str">
        <v>610422100176-2024-11</v>
      </c>
      <c r="T727" s="10" t="str">
        <v>610422100176-2024-11-SURVEI-PPL</v>
      </c>
      <c r="U727" s="10">
        <v>0</v>
      </c>
      <c r="V727" s="10" t="e">
        <f ca="1"/>
        <v>#NAME?</v>
      </c>
      <c r="W727" s="67">
        <v>0</v>
      </c>
      <c r="X727" s="11" t="str">
        <v>Kerangka Sampel Area (KSA) 2024 November</v>
      </c>
      <c r="Y727" s="11" t="str">
        <v>SEGEDONG</v>
      </c>
      <c r="Z727" s="11" t="str">
        <v>SUNGAI BURUNG</v>
      </c>
      <c r="AA727" s="67">
        <v>45596</v>
      </c>
      <c r="AB727" s="67">
        <v>45597</v>
      </c>
      <c r="AC727" s="67">
        <v>45626</v>
      </c>
      <c r="AD727" s="67">
        <v>45625</v>
      </c>
      <c r="AE727" s="67">
        <v>45626</v>
      </c>
    </row>
    <row r="728" spans="1:31" ht="12.5">
      <c r="A728" s="10">
        <v>610423110183</v>
      </c>
      <c r="B728" s="10" t="str">
        <v>KSA24-LAPANGAN-NOVEMBER</v>
      </c>
      <c r="C728" s="10">
        <v>0</v>
      </c>
      <c r="D728" s="10">
        <f ca="1"/>
        <v>1</v>
      </c>
      <c r="E728" s="10" t="str">
        <v>Azhar</v>
      </c>
      <c r="F728" s="10" t="str">
        <v>PPL</v>
      </c>
      <c r="G728" s="10" t="str">
        <v>6102081211790004</v>
      </c>
      <c r="H728" s="10" t="str">
        <v>KSA PADI</v>
      </c>
      <c r="I728" s="10" t="str">
        <v>KSA24-LAPANGAN-NOVEMBER-PPL-KSA PADI</v>
      </c>
      <c r="J728" s="10" t="str">
        <v>Segmen</v>
      </c>
      <c r="K728" s="66">
        <v>116000</v>
      </c>
      <c r="L728" s="10">
        <v>6</v>
      </c>
      <c r="M728" s="10">
        <v>696000</v>
      </c>
      <c r="N728" s="10">
        <v>0</v>
      </c>
      <c r="O728" s="67">
        <v>45626</v>
      </c>
      <c r="P728" s="10">
        <v>2024</v>
      </c>
      <c r="Q728" s="10">
        <v>11</v>
      </c>
      <c r="R728" s="10" t="str">
        <v>SURVEI-PPL</v>
      </c>
      <c r="S728" s="10" t="str">
        <v>610423110183-2024-11</v>
      </c>
      <c r="T728" s="10" t="str">
        <v>610423110183-2024-11-SURVEI-PPL</v>
      </c>
      <c r="U728" s="10">
        <v>0</v>
      </c>
      <c r="V728" s="10" t="e">
        <f ca="1"/>
        <v>#NAME?</v>
      </c>
      <c r="W728" s="67">
        <v>0</v>
      </c>
      <c r="X728" s="11" t="str">
        <v>Kerangka Sampel Area (KSA) 2024 November</v>
      </c>
      <c r="Y728" s="11" t="str">
        <v>JONGKAT</v>
      </c>
      <c r="Z728" s="11" t="str">
        <v>SUNGAI NIPAH</v>
      </c>
      <c r="AA728" s="67">
        <v>45596</v>
      </c>
      <c r="AB728" s="67">
        <v>45597</v>
      </c>
      <c r="AC728" s="67">
        <v>45626</v>
      </c>
      <c r="AD728" s="67">
        <v>45625</v>
      </c>
      <c r="AE728" s="67">
        <v>45626</v>
      </c>
    </row>
    <row r="729" spans="1:31" ht="12.5">
      <c r="A729" s="10">
        <v>610423040018</v>
      </c>
      <c r="B729" s="10" t="str">
        <v>KSA24-LAPANGAN-NOVEMBER</v>
      </c>
      <c r="C729" s="10">
        <v>0</v>
      </c>
      <c r="D729" s="10">
        <f ca="1"/>
        <v>1</v>
      </c>
      <c r="E729" s="10" t="str">
        <v>Handoko Tuah Sabarman Sipayung</v>
      </c>
      <c r="F729" s="10" t="str">
        <v>PPL</v>
      </c>
      <c r="G729" s="10" t="str">
        <v>1212092309880001</v>
      </c>
      <c r="H729" s="10" t="str">
        <v>KSA PADI</v>
      </c>
      <c r="I729" s="10" t="str">
        <v>KSA24-LAPANGAN-NOVEMBER-PPL-KSA PADI</v>
      </c>
      <c r="J729" s="10" t="str">
        <v>Segmen</v>
      </c>
      <c r="K729" s="66">
        <v>116000</v>
      </c>
      <c r="L729" s="10">
        <v>4</v>
      </c>
      <c r="M729" s="10">
        <v>464000</v>
      </c>
      <c r="N729" s="10">
        <v>0</v>
      </c>
      <c r="O729" s="67">
        <v>45626</v>
      </c>
      <c r="P729" s="10">
        <v>2024</v>
      </c>
      <c r="Q729" s="10">
        <v>11</v>
      </c>
      <c r="R729" s="10" t="str">
        <v>SURVEI-PPL</v>
      </c>
      <c r="S729" s="10" t="str">
        <v>610423040018-2024-11</v>
      </c>
      <c r="T729" s="10" t="str">
        <v>610423040018-2024-11-SURVEI-PPL</v>
      </c>
      <c r="U729" s="10">
        <v>0</v>
      </c>
      <c r="V729" s="10" t="e">
        <f ca="1"/>
        <v>#NAME?</v>
      </c>
      <c r="W729" s="67">
        <v>0</v>
      </c>
      <c r="X729" s="11" t="str">
        <v>Kerangka Sampel Area (KSA) 2024 November</v>
      </c>
      <c r="Y729" s="11" t="str">
        <v>TOHO</v>
      </c>
      <c r="Z729" s="11" t="str">
        <v>PAK LAHENG</v>
      </c>
      <c r="AA729" s="67">
        <v>45596</v>
      </c>
      <c r="AB729" s="67">
        <v>45597</v>
      </c>
      <c r="AC729" s="67">
        <v>45626</v>
      </c>
      <c r="AD729" s="67">
        <v>45625</v>
      </c>
      <c r="AE729" s="67">
        <v>45626</v>
      </c>
    </row>
    <row r="730" spans="1:31" ht="12.5">
      <c r="A730" s="10">
        <v>610422040059</v>
      </c>
      <c r="B730" s="10" t="str">
        <v>KSA24-LAPANGAN-NOVEMBER</v>
      </c>
      <c r="C730" s="10">
        <v>0</v>
      </c>
      <c r="D730" s="10">
        <f ca="1"/>
        <v>1</v>
      </c>
      <c r="E730" s="10" t="str">
        <v>Abang Handri</v>
      </c>
      <c r="F730" s="10" t="str">
        <v>PPL</v>
      </c>
      <c r="G730" s="10" t="str">
        <v>6102072211780002</v>
      </c>
      <c r="H730" s="10" t="str">
        <v>KSA JAGUNG</v>
      </c>
      <c r="I730" s="10" t="str">
        <v>KSA24-LAPANGAN-NOVEMBER-PPL-KSA JAGUNG</v>
      </c>
      <c r="J730" s="10" t="str">
        <v>Segmen</v>
      </c>
      <c r="K730" s="66">
        <v>59000</v>
      </c>
      <c r="L730" s="10">
        <v>6</v>
      </c>
      <c r="M730" s="10">
        <v>354000</v>
      </c>
      <c r="N730" s="10">
        <v>0</v>
      </c>
      <c r="O730" s="67">
        <v>45626</v>
      </c>
      <c r="P730" s="10">
        <v>2024</v>
      </c>
      <c r="Q730" s="10">
        <v>11</v>
      </c>
      <c r="R730" s="10" t="str">
        <v>SURVEI-PPL</v>
      </c>
      <c r="S730" s="10" t="str">
        <v>610422040059-2024-11</v>
      </c>
      <c r="T730" s="10" t="str">
        <v>610422040059-2024-11-SURVEI-PPL</v>
      </c>
      <c r="U730" s="10">
        <v>0</v>
      </c>
      <c r="V730" s="10" t="e">
        <f ca="1"/>
        <v>#NAME?</v>
      </c>
      <c r="W730" s="67">
        <v>0</v>
      </c>
      <c r="X730" s="11" t="str">
        <v>Kerangka Sampel Area (KSA) 2024 November</v>
      </c>
      <c r="Y730" s="11" t="str">
        <v>MEMPAWAH HILIR</v>
      </c>
      <c r="Z730" s="11" t="str">
        <v>TERUSAN</v>
      </c>
      <c r="AA730" s="67">
        <v>45596</v>
      </c>
      <c r="AB730" s="67">
        <v>45597</v>
      </c>
      <c r="AC730" s="67">
        <v>45626</v>
      </c>
      <c r="AD730" s="67">
        <v>45625</v>
      </c>
      <c r="AE730" s="67">
        <v>45626</v>
      </c>
    </row>
    <row r="731" spans="1:31" ht="12.5">
      <c r="A731" s="10">
        <v>610422020048</v>
      </c>
      <c r="B731" s="10" t="str">
        <v>KSA24-LAPANGAN-NOVEMBER</v>
      </c>
      <c r="C731" s="10">
        <v>0</v>
      </c>
      <c r="D731" s="10">
        <f ca="1"/>
        <v>1</v>
      </c>
      <c r="E731" s="10" t="str">
        <v>Herri Gustaman</v>
      </c>
      <c r="F731" s="10" t="str">
        <v>PPL</v>
      </c>
      <c r="G731" s="10" t="str">
        <v>6102072503800001</v>
      </c>
      <c r="H731" s="10" t="str">
        <v>KSA JAGUNG</v>
      </c>
      <c r="I731" s="10" t="str">
        <v>KSA24-LAPANGAN-NOVEMBER-PPL-KSA JAGUNG</v>
      </c>
      <c r="J731" s="10" t="str">
        <v>Segmen</v>
      </c>
      <c r="K731" s="66">
        <v>59000</v>
      </c>
      <c r="L731" s="10">
        <v>6</v>
      </c>
      <c r="M731" s="10">
        <v>354000</v>
      </c>
      <c r="N731" s="10">
        <v>0</v>
      </c>
      <c r="O731" s="67">
        <v>45626</v>
      </c>
      <c r="P731" s="10">
        <v>2024</v>
      </c>
      <c r="Q731" s="10">
        <v>11</v>
      </c>
      <c r="R731" s="10" t="str">
        <v>SURVEI-PPL</v>
      </c>
      <c r="S731" s="10" t="str">
        <v>610422020048-2024-11</v>
      </c>
      <c r="T731" s="10" t="str">
        <v>610422020048-2024-11-SURVEI-PPL</v>
      </c>
      <c r="U731" s="10">
        <v>0</v>
      </c>
      <c r="V731" s="10" t="e">
        <f ca="1"/>
        <v>#NAME?</v>
      </c>
      <c r="W731" s="67">
        <v>0</v>
      </c>
      <c r="X731" s="11" t="str">
        <v>Kerangka Sampel Area (KSA) 2024 November</v>
      </c>
      <c r="Y731" s="11" t="str">
        <v>MEMPAWAH TIMUR</v>
      </c>
      <c r="Z731" s="11" t="str">
        <v>SEJEGI</v>
      </c>
      <c r="AA731" s="67">
        <v>45596</v>
      </c>
      <c r="AB731" s="67">
        <v>45597</v>
      </c>
      <c r="AC731" s="67">
        <v>45626</v>
      </c>
      <c r="AD731" s="67">
        <v>45625</v>
      </c>
      <c r="AE731" s="67">
        <v>45626</v>
      </c>
    </row>
    <row r="732" spans="1:31" ht="12.5">
      <c r="A732" s="10">
        <v>610422040058</v>
      </c>
      <c r="B732" s="10" t="str">
        <v>KSA24-LAPANGAN-NOVEMBER</v>
      </c>
      <c r="C732" s="10">
        <v>0</v>
      </c>
      <c r="D732" s="10">
        <f ca="1"/>
        <v>1</v>
      </c>
      <c r="E732" s="10" t="str">
        <v>Jamaluddin, Sp</v>
      </c>
      <c r="F732" s="10" t="str">
        <v>PPL</v>
      </c>
      <c r="G732" s="10" t="str">
        <v>6102152607940002</v>
      </c>
      <c r="H732" s="10" t="str">
        <v>KSA JAGUNG</v>
      </c>
      <c r="I732" s="10" t="str">
        <v>KSA24-LAPANGAN-NOVEMBER-PPL-KSA JAGUNG</v>
      </c>
      <c r="J732" s="10" t="str">
        <v>Segmen</v>
      </c>
      <c r="K732" s="66">
        <v>59000</v>
      </c>
      <c r="L732" s="10">
        <v>10</v>
      </c>
      <c r="M732" s="10">
        <v>590000</v>
      </c>
      <c r="N732" s="10">
        <v>0</v>
      </c>
      <c r="O732" s="67">
        <v>45626</v>
      </c>
      <c r="P732" s="10">
        <v>2024</v>
      </c>
      <c r="Q732" s="10">
        <v>11</v>
      </c>
      <c r="R732" s="10" t="str">
        <v>SURVEI-PPL</v>
      </c>
      <c r="S732" s="10" t="str">
        <v>610422040058-2024-11</v>
      </c>
      <c r="T732" s="10" t="str">
        <v>610422040058-2024-11-SURVEI-PPL</v>
      </c>
      <c r="U732" s="10">
        <v>0</v>
      </c>
      <c r="V732" s="10" t="e">
        <f ca="1"/>
        <v>#NAME?</v>
      </c>
      <c r="W732" s="67">
        <v>0</v>
      </c>
      <c r="X732" s="11" t="str">
        <v>Kerangka Sampel Area (KSA) 2024 November</v>
      </c>
      <c r="Y732" s="11" t="str">
        <v>SEGEDONG</v>
      </c>
      <c r="Z732" s="11" t="str">
        <v>PENITI DALAM I</v>
      </c>
      <c r="AA732" s="67">
        <v>45596</v>
      </c>
      <c r="AB732" s="67">
        <v>45597</v>
      </c>
      <c r="AC732" s="67">
        <v>45626</v>
      </c>
      <c r="AD732" s="67">
        <v>45625</v>
      </c>
      <c r="AE732" s="67">
        <v>45626</v>
      </c>
    </row>
    <row r="733" spans="1:31" ht="12.5">
      <c r="A733" s="10">
        <v>610423110183</v>
      </c>
      <c r="B733" s="10" t="str">
        <v>KSA24-LAPANGAN-NOVEMBER</v>
      </c>
      <c r="C733" s="10">
        <v>0</v>
      </c>
      <c r="D733" s="10">
        <f ca="1"/>
        <v>1</v>
      </c>
      <c r="E733" s="10" t="str">
        <v>Azhar</v>
      </c>
      <c r="F733" s="10" t="str">
        <v>PPL</v>
      </c>
      <c r="G733" s="10" t="str">
        <v>6102081211790004</v>
      </c>
      <c r="H733" s="10" t="str">
        <v>KSA JAGUNG</v>
      </c>
      <c r="I733" s="10" t="str">
        <v>KSA24-LAPANGAN-NOVEMBER-PPL-KSA JAGUNG</v>
      </c>
      <c r="J733" s="10" t="str">
        <v>Segmen</v>
      </c>
      <c r="K733" s="66">
        <v>59000</v>
      </c>
      <c r="L733" s="10">
        <v>6</v>
      </c>
      <c r="M733" s="10">
        <v>354000</v>
      </c>
      <c r="N733" s="10">
        <v>0</v>
      </c>
      <c r="O733" s="67">
        <v>45626</v>
      </c>
      <c r="P733" s="10">
        <v>2024</v>
      </c>
      <c r="Q733" s="10">
        <v>11</v>
      </c>
      <c r="R733" s="10" t="str">
        <v>SURVEI-PPL</v>
      </c>
      <c r="S733" s="10" t="str">
        <v>610423110183-2024-11</v>
      </c>
      <c r="T733" s="10" t="str">
        <v>610423110183-2024-11-SURVEI-PPL</v>
      </c>
      <c r="U733" s="10">
        <v>0</v>
      </c>
      <c r="V733" s="10" t="e">
        <f ca="1"/>
        <v>#NAME?</v>
      </c>
      <c r="W733" s="67">
        <v>0</v>
      </c>
      <c r="X733" s="11" t="str">
        <v>Kerangka Sampel Area (KSA) 2024 November</v>
      </c>
      <c r="Y733" s="11" t="str">
        <v>JONGKAT</v>
      </c>
      <c r="Z733" s="11" t="str">
        <v>SUNGAI NIPAH</v>
      </c>
      <c r="AA733" s="67">
        <v>45596</v>
      </c>
      <c r="AB733" s="67">
        <v>45597</v>
      </c>
      <c r="AC733" s="67">
        <v>45626</v>
      </c>
      <c r="AD733" s="67">
        <v>45625</v>
      </c>
      <c r="AE733" s="67">
        <v>45626</v>
      </c>
    </row>
    <row r="734" spans="1:31" ht="12.5">
      <c r="A734" s="10">
        <v>610422100244</v>
      </c>
      <c r="B734" s="10" t="str">
        <v>KSA24-LAPANGAN-NOVEMBER</v>
      </c>
      <c r="C734" s="10">
        <v>0</v>
      </c>
      <c r="D734" s="10">
        <f ca="1"/>
        <v>1</v>
      </c>
      <c r="E734" s="10" t="str">
        <v>Sugianto</v>
      </c>
      <c r="F734" s="10" t="str">
        <v>PPL</v>
      </c>
      <c r="G734" s="10" t="str">
        <v>6102171003900002</v>
      </c>
      <c r="H734" s="10" t="str">
        <v>KSA JAGUNG</v>
      </c>
      <c r="I734" s="10" t="str">
        <v>KSA24-LAPANGAN-NOVEMBER-PPL-KSA JAGUNG</v>
      </c>
      <c r="J734" s="10" t="str">
        <v>Segmen</v>
      </c>
      <c r="K734" s="66">
        <v>59000</v>
      </c>
      <c r="L734" s="10">
        <v>8</v>
      </c>
      <c r="M734" s="10">
        <v>472000</v>
      </c>
      <c r="N734" s="10">
        <v>0</v>
      </c>
      <c r="O734" s="67">
        <v>45626</v>
      </c>
      <c r="P734" s="10">
        <v>2024</v>
      </c>
      <c r="Q734" s="10">
        <v>11</v>
      </c>
      <c r="R734" s="10" t="str">
        <v>SURVEI-PPL</v>
      </c>
      <c r="S734" s="10" t="str">
        <v>610422100244-2024-11</v>
      </c>
      <c r="T734" s="10" t="str">
        <v>610422100244-2024-11-SURVEI-PPL</v>
      </c>
      <c r="U734" s="10">
        <v>0</v>
      </c>
      <c r="V734" s="10" t="e">
        <f ca="1"/>
        <v>#NAME?</v>
      </c>
      <c r="W734" s="67">
        <v>0</v>
      </c>
      <c r="X734" s="11" t="str">
        <v>Kerangka Sampel Area (KSA) 2024 November</v>
      </c>
      <c r="Y734" s="11" t="str">
        <v>SADANIANG</v>
      </c>
      <c r="Z734" s="11" t="str">
        <v>BUMBUN</v>
      </c>
      <c r="AA734" s="67">
        <v>45596</v>
      </c>
      <c r="AB734" s="67">
        <v>45597</v>
      </c>
      <c r="AC734" s="67">
        <v>45626</v>
      </c>
      <c r="AD734" s="67">
        <v>45625</v>
      </c>
      <c r="AE734" s="67">
        <v>45626</v>
      </c>
    </row>
    <row r="735" spans="1:31" ht="12.5">
      <c r="A735" s="10">
        <v>610423040004</v>
      </c>
      <c r="B735" s="10" t="str">
        <v>SERUTI24-LAPANGAN-TRI4</v>
      </c>
      <c r="C735" s="10">
        <v>0</v>
      </c>
      <c r="D735" s="10">
        <f ca="1"/>
        <v>1</v>
      </c>
      <c r="E735" s="10" t="str">
        <v>Ayu Agustin</v>
      </c>
      <c r="F735" s="10" t="str">
        <v>PPL</v>
      </c>
      <c r="G735" s="10" t="str">
        <v>6111025008930002</v>
      </c>
      <c r="H735" s="10" t="str">
        <v>PENDATAAN</v>
      </c>
      <c r="I735" s="10" t="str">
        <v>SERUTI24-LAPANGAN-TRI4-PPL-PENDATAAN</v>
      </c>
      <c r="J735" s="10" t="str">
        <v>Dokumen</v>
      </c>
      <c r="K735" s="66">
        <v>91000</v>
      </c>
      <c r="L735" s="10">
        <v>10</v>
      </c>
      <c r="M735" s="10">
        <v>910000</v>
      </c>
      <c r="N735" s="10">
        <v>0</v>
      </c>
      <c r="O735" s="67">
        <v>45626</v>
      </c>
      <c r="P735" s="10">
        <v>2024</v>
      </c>
      <c r="Q735" s="10">
        <v>11</v>
      </c>
      <c r="R735" s="10" t="str">
        <v>SURVEI-PPL</v>
      </c>
      <c r="S735" s="10" t="str">
        <v>610423040004-2024-11</v>
      </c>
      <c r="T735" s="10" t="str">
        <v>610423040004-2024-11-SURVEI-PPL</v>
      </c>
      <c r="U735" s="10">
        <v>0</v>
      </c>
      <c r="V735" s="10" t="e">
        <f ca="1"/>
        <v>#NAME?</v>
      </c>
      <c r="W735" s="67">
        <v>0</v>
      </c>
      <c r="X735" s="11" t="str">
        <v>Survei Ekonomi Rumah Tangga Triwulanan (SERUTI24) Triwulan IV Kegiatan Lapangan</v>
      </c>
      <c r="Y735" s="11" t="str">
        <v>ANJONGAN</v>
      </c>
      <c r="Z735" s="11" t="str">
        <v>KEPAYANG</v>
      </c>
      <c r="AA735" s="67">
        <v>45596</v>
      </c>
      <c r="AB735" s="67">
        <v>45597</v>
      </c>
      <c r="AC735" s="67">
        <v>45626</v>
      </c>
      <c r="AD735" s="67">
        <v>45625</v>
      </c>
      <c r="AE735" s="67">
        <v>45626</v>
      </c>
    </row>
    <row r="736" spans="1:31" ht="12.5">
      <c r="A736" s="10">
        <v>610422100144</v>
      </c>
      <c r="B736" s="10" t="str">
        <v>SERUTI24-LAPANGAN-TRI4</v>
      </c>
      <c r="C736" s="10">
        <v>0</v>
      </c>
      <c r="D736" s="10">
        <f ca="1"/>
        <v>1</v>
      </c>
      <c r="E736" s="10" t="str">
        <v>Irfan Faozi Sunaryo</v>
      </c>
      <c r="F736" s="10" t="str">
        <v>PPL</v>
      </c>
      <c r="G736" s="10" t="str">
        <v>6102122710990001</v>
      </c>
      <c r="H736" s="10" t="str">
        <v>PENDATAAN</v>
      </c>
      <c r="I736" s="10" t="str">
        <v>SERUTI24-LAPANGAN-TRI4-PPL-PENDATAAN</v>
      </c>
      <c r="J736" s="10" t="str">
        <v>Dokumen</v>
      </c>
      <c r="K736" s="66">
        <v>91000</v>
      </c>
      <c r="L736" s="10">
        <v>10</v>
      </c>
      <c r="M736" s="10">
        <v>910000</v>
      </c>
      <c r="N736" s="10">
        <v>0</v>
      </c>
      <c r="O736" s="67">
        <v>45626</v>
      </c>
      <c r="P736" s="10">
        <v>2024</v>
      </c>
      <c r="Q736" s="10">
        <v>11</v>
      </c>
      <c r="R736" s="10" t="str">
        <v>SURVEI-PPL</v>
      </c>
      <c r="S736" s="10" t="str">
        <v>610422100144-2024-11</v>
      </c>
      <c r="T736" s="10" t="str">
        <v>610422100144-2024-11-SURVEI-PPL</v>
      </c>
      <c r="U736" s="10">
        <v>0</v>
      </c>
      <c r="V736" s="10" t="e">
        <f ca="1"/>
        <v>#NAME?</v>
      </c>
      <c r="W736" s="67">
        <v>0</v>
      </c>
      <c r="X736" s="11" t="str">
        <v>Survei Ekonomi Rumah Tangga Triwulanan (SERUTI24) Triwulan IV Kegiatan Lapangan</v>
      </c>
      <c r="Y736" s="11" t="str">
        <v>SUNGAI KUNYIT</v>
      </c>
      <c r="Z736" s="11" t="str">
        <v>SUNGAI DURI I</v>
      </c>
      <c r="AA736" s="67">
        <v>45596</v>
      </c>
      <c r="AB736" s="67">
        <v>45597</v>
      </c>
      <c r="AC736" s="67">
        <v>45626</v>
      </c>
      <c r="AD736" s="67">
        <v>45625</v>
      </c>
      <c r="AE736" s="67">
        <v>45626</v>
      </c>
    </row>
    <row r="737" spans="1:31" ht="12.5">
      <c r="A737" s="10">
        <v>610422020032</v>
      </c>
      <c r="B737" s="10" t="str">
        <v>SERUTI24-LAPANGAN-TRI4</v>
      </c>
      <c r="C737" s="10">
        <v>0</v>
      </c>
      <c r="D737" s="10">
        <f ca="1"/>
        <v>1</v>
      </c>
      <c r="E737" s="10" t="str">
        <v>Lilis Suryani</v>
      </c>
      <c r="F737" s="10" t="str">
        <v>PPL</v>
      </c>
      <c r="G737" s="10" t="str">
        <v>6102185102880001</v>
      </c>
      <c r="H737" s="10" t="str">
        <v>PENDATAAN</v>
      </c>
      <c r="I737" s="10" t="str">
        <v>SERUTI24-LAPANGAN-TRI4-PPL-PENDATAAN</v>
      </c>
      <c r="J737" s="10" t="str">
        <v>Dokumen</v>
      </c>
      <c r="K737" s="66">
        <v>91000</v>
      </c>
      <c r="L737" s="10">
        <v>10</v>
      </c>
      <c r="M737" s="10">
        <v>910000</v>
      </c>
      <c r="N737" s="10">
        <v>0</v>
      </c>
      <c r="O737" s="67">
        <v>45626</v>
      </c>
      <c r="P737" s="10">
        <v>2024</v>
      </c>
      <c r="Q737" s="10">
        <v>11</v>
      </c>
      <c r="R737" s="10" t="str">
        <v>SURVEI-PPL</v>
      </c>
      <c r="S737" s="10" t="str">
        <v>610422020032-2024-11</v>
      </c>
      <c r="T737" s="10" t="str">
        <v>610422020032-2024-11-SURVEI-PPL</v>
      </c>
      <c r="U737" s="10">
        <v>0</v>
      </c>
      <c r="V737" s="10" t="e">
        <f ca="1"/>
        <v>#NAME?</v>
      </c>
      <c r="W737" s="67">
        <v>0</v>
      </c>
      <c r="X737" s="11" t="str">
        <v>Survei Ekonomi Rumah Tangga Triwulanan (SERUTI24) Triwulan IV Kegiatan Lapangan</v>
      </c>
      <c r="Y737" s="11" t="str">
        <v>MEMPAWAH TIMUR</v>
      </c>
      <c r="Z737" s="11" t="str">
        <v>PARIT BANJAR</v>
      </c>
      <c r="AA737" s="67">
        <v>45596</v>
      </c>
      <c r="AB737" s="67">
        <v>45597</v>
      </c>
      <c r="AC737" s="67">
        <v>45626</v>
      </c>
      <c r="AD737" s="67">
        <v>45625</v>
      </c>
      <c r="AE737" s="67">
        <v>45626</v>
      </c>
    </row>
    <row r="738" spans="1:31" ht="12.5">
      <c r="A738" s="10">
        <v>610422100085</v>
      </c>
      <c r="B738" s="10" t="str">
        <v>SERUTI24-LAPANGAN-TRI4</v>
      </c>
      <c r="C738" s="10">
        <v>0</v>
      </c>
      <c r="D738" s="10">
        <f ca="1"/>
        <v>1</v>
      </c>
      <c r="E738" s="10" t="str">
        <v>Lina Agustin Widya Siwi</v>
      </c>
      <c r="F738" s="10" t="str">
        <v>PPL</v>
      </c>
      <c r="G738" s="10" t="str">
        <v>3301225608850001</v>
      </c>
      <c r="H738" s="10" t="str">
        <v>PENDATAAN</v>
      </c>
      <c r="I738" s="10" t="str">
        <v>SERUTI24-LAPANGAN-TRI4-PPL-PENDATAAN</v>
      </c>
      <c r="J738" s="10" t="str">
        <v>Dokumen</v>
      </c>
      <c r="K738" s="66">
        <v>91000</v>
      </c>
      <c r="L738" s="10">
        <v>10</v>
      </c>
      <c r="M738" s="10">
        <v>910000</v>
      </c>
      <c r="N738" s="10">
        <v>0</v>
      </c>
      <c r="O738" s="67">
        <v>45626</v>
      </c>
      <c r="P738" s="10">
        <v>2024</v>
      </c>
      <c r="Q738" s="10">
        <v>11</v>
      </c>
      <c r="R738" s="10" t="str">
        <v>SURVEI-PPL</v>
      </c>
      <c r="S738" s="10" t="str">
        <v>610422100085-2024-11</v>
      </c>
      <c r="T738" s="10" t="str">
        <v>610422100085-2024-11-SURVEI-PPL</v>
      </c>
      <c r="U738" s="10">
        <v>0</v>
      </c>
      <c r="V738" s="10" t="e">
        <f ca="1"/>
        <v>#NAME?</v>
      </c>
      <c r="W738" s="67">
        <v>0</v>
      </c>
      <c r="X738" s="11" t="str">
        <v>Survei Ekonomi Rumah Tangga Triwulanan (SERUTI24) Triwulan IV Kegiatan Lapangan</v>
      </c>
      <c r="Y738" s="11" t="str">
        <v>SUNGAI PINYUH</v>
      </c>
      <c r="Z738" s="11" t="str">
        <v>NUSAPATI</v>
      </c>
      <c r="AA738" s="67">
        <v>45596</v>
      </c>
      <c r="AB738" s="67">
        <v>45597</v>
      </c>
      <c r="AC738" s="67">
        <v>45626</v>
      </c>
      <c r="AD738" s="67">
        <v>45625</v>
      </c>
      <c r="AE738" s="67">
        <v>45626</v>
      </c>
    </row>
    <row r="739" spans="1:31" ht="12.5">
      <c r="A739" s="10">
        <v>610423040013</v>
      </c>
      <c r="B739" s="10" t="str">
        <v>SERUTI24-LAPANGAN-TRI4</v>
      </c>
      <c r="C739" s="10">
        <v>0</v>
      </c>
      <c r="D739" s="10">
        <f ca="1"/>
        <v>1</v>
      </c>
      <c r="E739" s="10" t="str">
        <v>Lulu Gesti Gunawati</v>
      </c>
      <c r="F739" s="10" t="str">
        <v>PPL</v>
      </c>
      <c r="G739" s="10" t="str">
        <v>3314066101000001</v>
      </c>
      <c r="H739" s="10" t="str">
        <v>PENDATAAN</v>
      </c>
      <c r="I739" s="10" t="str">
        <v>SERUTI24-LAPANGAN-TRI4-PPL-PENDATAAN</v>
      </c>
      <c r="J739" s="10" t="str">
        <v>Dokumen</v>
      </c>
      <c r="K739" s="66">
        <v>91000</v>
      </c>
      <c r="L739" s="10">
        <v>10</v>
      </c>
      <c r="M739" s="10">
        <v>910000</v>
      </c>
      <c r="N739" s="10">
        <v>0</v>
      </c>
      <c r="O739" s="67">
        <v>45626</v>
      </c>
      <c r="P739" s="10">
        <v>2024</v>
      </c>
      <c r="Q739" s="10">
        <v>11</v>
      </c>
      <c r="R739" s="10" t="str">
        <v>SURVEI-PPL</v>
      </c>
      <c r="S739" s="10" t="str">
        <v>610423040013-2024-11</v>
      </c>
      <c r="T739" s="10" t="str">
        <v>610423040013-2024-11-SURVEI-PPL</v>
      </c>
      <c r="U739" s="10">
        <v>0</v>
      </c>
      <c r="V739" s="10" t="e">
        <f ca="1"/>
        <v>#NAME?</v>
      </c>
      <c r="W739" s="67">
        <v>0</v>
      </c>
      <c r="X739" s="11" t="str">
        <v>Survei Ekonomi Rumah Tangga Triwulanan (SERUTI24) Triwulan IV Kegiatan Lapangan</v>
      </c>
      <c r="Y739" s="11" t="str">
        <v>SUNGAI KUNYIT</v>
      </c>
      <c r="Z739" s="11" t="str">
        <v>MENDALOK</v>
      </c>
      <c r="AA739" s="67">
        <v>45596</v>
      </c>
      <c r="AB739" s="67">
        <v>45597</v>
      </c>
      <c r="AC739" s="67">
        <v>45626</v>
      </c>
      <c r="AD739" s="67">
        <v>45625</v>
      </c>
      <c r="AE739" s="67">
        <v>45626</v>
      </c>
    </row>
    <row r="740" spans="1:31" ht="12.5">
      <c r="A740" s="10">
        <v>610422100137</v>
      </c>
      <c r="B740" s="10" t="str">
        <v>SERUTI24-LAPANGAN-TRI4</v>
      </c>
      <c r="C740" s="10">
        <v>0</v>
      </c>
      <c r="D740" s="10">
        <f ca="1"/>
        <v>1</v>
      </c>
      <c r="E740" s="10" t="str">
        <v>Masturi</v>
      </c>
      <c r="F740" s="10" t="str">
        <v>PPL</v>
      </c>
      <c r="G740" s="10" t="str">
        <v>6102060709870002</v>
      </c>
      <c r="H740" s="10" t="str">
        <v>PENDATAAN</v>
      </c>
      <c r="I740" s="10" t="str">
        <v>SERUTI24-LAPANGAN-TRI4-PPL-PENDATAAN</v>
      </c>
      <c r="J740" s="10" t="str">
        <v>Dokumen</v>
      </c>
      <c r="K740" s="66">
        <v>91000</v>
      </c>
      <c r="L740" s="10">
        <v>10</v>
      </c>
      <c r="M740" s="10">
        <v>910000</v>
      </c>
      <c r="N740" s="10">
        <v>0</v>
      </c>
      <c r="O740" s="67">
        <v>45626</v>
      </c>
      <c r="P740" s="10">
        <v>2024</v>
      </c>
      <c r="Q740" s="10">
        <v>11</v>
      </c>
      <c r="R740" s="10" t="str">
        <v>SURVEI-PPL</v>
      </c>
      <c r="S740" s="10" t="str">
        <v>610422100137-2024-11</v>
      </c>
      <c r="T740" s="10" t="str">
        <v>610422100137-2024-11-SURVEI-PPL</v>
      </c>
      <c r="U740" s="10">
        <v>0</v>
      </c>
      <c r="V740" s="10" t="e">
        <f ca="1"/>
        <v>#NAME?</v>
      </c>
      <c r="W740" s="67">
        <v>0</v>
      </c>
      <c r="X740" s="11" t="str">
        <v>Survei Ekonomi Rumah Tangga Triwulanan (SERUTI24) Triwulan IV Kegiatan Lapangan</v>
      </c>
      <c r="Y740" s="11" t="str">
        <v>TOHO</v>
      </c>
      <c r="Z740" s="11" t="str">
        <v>SAMBORA</v>
      </c>
      <c r="AA740" s="67">
        <v>45596</v>
      </c>
      <c r="AB740" s="67">
        <v>45597</v>
      </c>
      <c r="AC740" s="67">
        <v>45626</v>
      </c>
      <c r="AD740" s="67">
        <v>45625</v>
      </c>
      <c r="AE740" s="67">
        <v>45626</v>
      </c>
    </row>
    <row r="741" spans="1:31" ht="12.5">
      <c r="A741" s="10">
        <v>610422100256</v>
      </c>
      <c r="B741" s="10" t="str">
        <v>SERUTI24-LAPANGAN-TRI4</v>
      </c>
      <c r="C741" s="10">
        <v>0</v>
      </c>
      <c r="D741" s="10">
        <f ca="1"/>
        <v>1</v>
      </c>
      <c r="E741" s="10" t="str">
        <v>Meta</v>
      </c>
      <c r="F741" s="10" t="str">
        <v>PPL</v>
      </c>
      <c r="G741" s="10" t="str">
        <v>6102174505970001</v>
      </c>
      <c r="H741" s="10" t="str">
        <v>PENDATAAN</v>
      </c>
      <c r="I741" s="10" t="str">
        <v>SERUTI24-LAPANGAN-TRI4-PPL-PENDATAAN</v>
      </c>
      <c r="J741" s="10" t="str">
        <v>Dokumen</v>
      </c>
      <c r="K741" s="66">
        <v>91000</v>
      </c>
      <c r="L741" s="10">
        <v>10</v>
      </c>
      <c r="M741" s="10">
        <v>910000</v>
      </c>
      <c r="N741" s="10">
        <v>0</v>
      </c>
      <c r="O741" s="67">
        <v>45626</v>
      </c>
      <c r="P741" s="10">
        <v>2024</v>
      </c>
      <c r="Q741" s="10">
        <v>11</v>
      </c>
      <c r="R741" s="10" t="str">
        <v>SURVEI-PPL</v>
      </c>
      <c r="S741" s="10" t="str">
        <v>610422100256-2024-11</v>
      </c>
      <c r="T741" s="10" t="str">
        <v>610422100256-2024-11-SURVEI-PPL</v>
      </c>
      <c r="U741" s="10">
        <v>0</v>
      </c>
      <c r="V741" s="10" t="e">
        <f ca="1"/>
        <v>#NAME?</v>
      </c>
      <c r="W741" s="67">
        <v>0</v>
      </c>
      <c r="X741" s="11" t="str">
        <v>Survei Ekonomi Rumah Tangga Triwulanan (SERUTI24) Triwulan IV Kegiatan Lapangan</v>
      </c>
      <c r="Y741" s="11" t="str">
        <v>SADANIANG</v>
      </c>
      <c r="Z741" s="11" t="str">
        <v>PENTEK</v>
      </c>
      <c r="AA741" s="67">
        <v>45596</v>
      </c>
      <c r="AB741" s="67">
        <v>45597</v>
      </c>
      <c r="AC741" s="67">
        <v>45626</v>
      </c>
      <c r="AD741" s="67">
        <v>45625</v>
      </c>
      <c r="AE741" s="67">
        <v>45626</v>
      </c>
    </row>
    <row r="742" spans="1:31" ht="12.5">
      <c r="A742" s="10">
        <v>610422040050</v>
      </c>
      <c r="B742" s="10" t="str">
        <v>SERUTI24-LAPANGAN-TRI4</v>
      </c>
      <c r="C742" s="10">
        <v>0</v>
      </c>
      <c r="D742" s="10">
        <f ca="1"/>
        <v>1</v>
      </c>
      <c r="E742" s="10" t="str">
        <v>Novita Sari</v>
      </c>
      <c r="F742" s="10" t="str">
        <v>PPL</v>
      </c>
      <c r="G742" s="10" t="str">
        <v>6102085906990001</v>
      </c>
      <c r="H742" s="10" t="str">
        <v>PENDATAAN</v>
      </c>
      <c r="I742" s="10" t="str">
        <v>SERUTI24-LAPANGAN-TRI4-PPL-PENDATAAN</v>
      </c>
      <c r="J742" s="10" t="str">
        <v>Dokumen</v>
      </c>
      <c r="K742" s="66">
        <v>91000</v>
      </c>
      <c r="L742" s="10">
        <v>10</v>
      </c>
      <c r="M742" s="10">
        <v>910000</v>
      </c>
      <c r="N742" s="10">
        <v>0</v>
      </c>
      <c r="O742" s="67">
        <v>45626</v>
      </c>
      <c r="P742" s="10">
        <v>2024</v>
      </c>
      <c r="Q742" s="10">
        <v>11</v>
      </c>
      <c r="R742" s="10" t="str">
        <v>SURVEI-PPL</v>
      </c>
      <c r="S742" s="10" t="str">
        <v>610422040050-2024-11</v>
      </c>
      <c r="T742" s="10" t="str">
        <v>610422040050-2024-11-SURVEI-PPL</v>
      </c>
      <c r="U742" s="10">
        <v>0</v>
      </c>
      <c r="V742" s="10" t="e">
        <f ca="1"/>
        <v>#NAME?</v>
      </c>
      <c r="W742" s="67">
        <v>0</v>
      </c>
      <c r="X742" s="11" t="str">
        <v>Survei Ekonomi Rumah Tangga Triwulanan (SERUTI24) Triwulan IV Kegiatan Lapangan</v>
      </c>
      <c r="Y742" s="11" t="str">
        <v>JONGKAT</v>
      </c>
      <c r="Z742" s="11" t="str">
        <v>JUNGKAT</v>
      </c>
      <c r="AA742" s="67">
        <v>45596</v>
      </c>
      <c r="AB742" s="67">
        <v>45597</v>
      </c>
      <c r="AC742" s="67">
        <v>45626</v>
      </c>
      <c r="AD742" s="67">
        <v>45625</v>
      </c>
      <c r="AE742" s="67">
        <v>45626</v>
      </c>
    </row>
    <row r="743" spans="1:31" ht="12.5">
      <c r="A743" s="10">
        <v>610422040035</v>
      </c>
      <c r="B743" s="10" t="str">
        <v>SERUTI24-LAPANGAN-TRI4</v>
      </c>
      <c r="C743" s="10">
        <v>0</v>
      </c>
      <c r="D743" s="10">
        <f ca="1"/>
        <v>1</v>
      </c>
      <c r="E743" s="10" t="str">
        <v>Rahmayani</v>
      </c>
      <c r="F743" s="10" t="str">
        <v>PPL</v>
      </c>
      <c r="G743" s="10" t="str">
        <v>6102186404970003</v>
      </c>
      <c r="H743" s="10" t="str">
        <v>PENDATAAN</v>
      </c>
      <c r="I743" s="10" t="str">
        <v>SERUTI24-LAPANGAN-TRI4-PPL-PENDATAAN</v>
      </c>
      <c r="J743" s="10" t="str">
        <v>Dokumen</v>
      </c>
      <c r="K743" s="66">
        <v>91000</v>
      </c>
      <c r="L743" s="10">
        <v>10</v>
      </c>
      <c r="M743" s="10">
        <v>910000</v>
      </c>
      <c r="N743" s="10">
        <v>0</v>
      </c>
      <c r="O743" s="67">
        <v>45626</v>
      </c>
      <c r="P743" s="10">
        <v>2024</v>
      </c>
      <c r="Q743" s="10">
        <v>11</v>
      </c>
      <c r="R743" s="10" t="str">
        <v>SURVEI-PPL</v>
      </c>
      <c r="S743" s="10" t="str">
        <v>610422040035-2024-11</v>
      </c>
      <c r="T743" s="10" t="str">
        <v>610422040035-2024-11-SURVEI-PPL</v>
      </c>
      <c r="U743" s="10">
        <v>0</v>
      </c>
      <c r="V743" s="10" t="e">
        <f ca="1"/>
        <v>#NAME?</v>
      </c>
      <c r="W743" s="67">
        <v>0</v>
      </c>
      <c r="X743" s="11" t="str">
        <v>Survei Ekonomi Rumah Tangga Triwulanan (SERUTI24) Triwulan IV Kegiatan Lapangan</v>
      </c>
      <c r="Y743" s="11" t="str">
        <v>MEMPAWAH TIMUR</v>
      </c>
      <c r="Z743" s="11" t="str">
        <v>SEJEGI</v>
      </c>
      <c r="AA743" s="67">
        <v>45596</v>
      </c>
      <c r="AB743" s="67">
        <v>45597</v>
      </c>
      <c r="AC743" s="67">
        <v>45626</v>
      </c>
      <c r="AD743" s="67">
        <v>45625</v>
      </c>
      <c r="AE743" s="67">
        <v>45626</v>
      </c>
    </row>
    <row r="744" spans="1:31" ht="12.5">
      <c r="A744" s="10">
        <v>610422040061</v>
      </c>
      <c r="B744" s="10" t="str">
        <v>SERUTI24-LAPANGAN-TRI4</v>
      </c>
      <c r="C744" s="10">
        <v>0</v>
      </c>
      <c r="D744" s="10">
        <f ca="1"/>
        <v>1</v>
      </c>
      <c r="E744" s="10" t="str">
        <v>Sabani</v>
      </c>
      <c r="F744" s="10" t="str">
        <v>PPL</v>
      </c>
      <c r="G744" s="10" t="str">
        <v>6102153112860003</v>
      </c>
      <c r="H744" s="10" t="str">
        <v>PENDATAAN</v>
      </c>
      <c r="I744" s="10" t="str">
        <v>SERUTI24-LAPANGAN-TRI4-PPL-PENDATAAN</v>
      </c>
      <c r="J744" s="10" t="str">
        <v>Dokumen</v>
      </c>
      <c r="K744" s="66">
        <v>91000</v>
      </c>
      <c r="L744" s="10">
        <v>10</v>
      </c>
      <c r="M744" s="10">
        <v>910000</v>
      </c>
      <c r="N744" s="10">
        <v>0</v>
      </c>
      <c r="O744" s="67">
        <v>45626</v>
      </c>
      <c r="P744" s="10">
        <v>2024</v>
      </c>
      <c r="Q744" s="10">
        <v>11</v>
      </c>
      <c r="R744" s="10" t="str">
        <v>SURVEI-PPL</v>
      </c>
      <c r="S744" s="10" t="str">
        <v>610422040061-2024-11</v>
      </c>
      <c r="T744" s="10" t="str">
        <v>610422040061-2024-11-SURVEI-PPL</v>
      </c>
      <c r="U744" s="10">
        <v>0</v>
      </c>
      <c r="V744" s="10" t="e">
        <f ca="1"/>
        <v>#NAME?</v>
      </c>
      <c r="W744" s="67">
        <v>0</v>
      </c>
      <c r="X744" s="11" t="str">
        <v>Survei Ekonomi Rumah Tangga Triwulanan (SERUTI24) Triwulan IV Kegiatan Lapangan</v>
      </c>
      <c r="Y744" s="11" t="str">
        <v>SEGEDONG</v>
      </c>
      <c r="Z744" s="11" t="str">
        <v>PENITI BESAR</v>
      </c>
      <c r="AA744" s="67">
        <v>45596</v>
      </c>
      <c r="AB744" s="67">
        <v>45597</v>
      </c>
      <c r="AC744" s="67">
        <v>45626</v>
      </c>
      <c r="AD744" s="67">
        <v>45625</v>
      </c>
      <c r="AE744" s="67">
        <v>45626</v>
      </c>
    </row>
    <row r="745" spans="1:31" ht="12.5">
      <c r="A745" s="10">
        <v>610422040053</v>
      </c>
      <c r="B745" s="10" t="str">
        <v>SERUTI24-LAPANGAN-TRI4</v>
      </c>
      <c r="C745" s="10">
        <v>0</v>
      </c>
      <c r="D745" s="10">
        <f ca="1"/>
        <v>1</v>
      </c>
      <c r="E745" s="10" t="str">
        <v>Veti Ningsi</v>
      </c>
      <c r="F745" s="10" t="str">
        <v>PPL</v>
      </c>
      <c r="G745" s="10" t="str">
        <v>6102125604010002</v>
      </c>
      <c r="H745" s="10" t="str">
        <v>PENDATAAN</v>
      </c>
      <c r="I745" s="10" t="str">
        <v>SERUTI24-LAPANGAN-TRI4-PPL-PENDATAAN</v>
      </c>
      <c r="J745" s="10" t="str">
        <v>Dokumen</v>
      </c>
      <c r="K745" s="66">
        <v>91000</v>
      </c>
      <c r="L745" s="10">
        <v>10</v>
      </c>
      <c r="M745" s="10">
        <v>910000</v>
      </c>
      <c r="N745" s="10">
        <v>0</v>
      </c>
      <c r="O745" s="67">
        <v>45626</v>
      </c>
      <c r="P745" s="10">
        <v>2024</v>
      </c>
      <c r="Q745" s="10">
        <v>11</v>
      </c>
      <c r="R745" s="10" t="str">
        <v>SURVEI-PPL</v>
      </c>
      <c r="S745" s="10" t="str">
        <v>610422040053-2024-11</v>
      </c>
      <c r="T745" s="10" t="str">
        <v>610422040053-2024-11-SURVEI-PPL</v>
      </c>
      <c r="U745" s="10">
        <v>0</v>
      </c>
      <c r="V745" s="10" t="e">
        <f ca="1"/>
        <v>#NAME?</v>
      </c>
      <c r="W745" s="67">
        <v>0</v>
      </c>
      <c r="X745" s="11" t="str">
        <v>Survei Ekonomi Rumah Tangga Triwulanan (SERUTI24) Triwulan IV Kegiatan Lapangan</v>
      </c>
      <c r="Y745" s="11" t="str">
        <v>SUNGAI KUNYIT</v>
      </c>
      <c r="Z745" s="11" t="str">
        <v>SUNGAI BUNDUNG LAUT</v>
      </c>
      <c r="AA745" s="67">
        <v>45596</v>
      </c>
      <c r="AB745" s="67">
        <v>45597</v>
      </c>
      <c r="AC745" s="67">
        <v>45626</v>
      </c>
      <c r="AD745" s="67">
        <v>45625</v>
      </c>
      <c r="AE745" s="67">
        <v>45626</v>
      </c>
    </row>
    <row r="746" spans="1:31" ht="12.5">
      <c r="A746" s="10">
        <v>610422100055</v>
      </c>
      <c r="B746" s="10" t="str">
        <v>SERUTI24-LAPANGAN-TRI4</v>
      </c>
      <c r="C746" s="10">
        <v>0</v>
      </c>
      <c r="D746" s="10">
        <f ca="1"/>
        <v>1</v>
      </c>
      <c r="E746" s="10" t="str">
        <v>Vika Rizkiani</v>
      </c>
      <c r="F746" s="10" t="str">
        <v>PPL</v>
      </c>
      <c r="G746" s="10" t="str">
        <v>6102084207980006</v>
      </c>
      <c r="H746" s="10" t="str">
        <v>PENDATAAN</v>
      </c>
      <c r="I746" s="10" t="str">
        <v>SERUTI24-LAPANGAN-TRI4-PPL-PENDATAAN</v>
      </c>
      <c r="J746" s="10" t="str">
        <v>Dokumen</v>
      </c>
      <c r="K746" s="66">
        <v>91000</v>
      </c>
      <c r="L746" s="10">
        <v>10</v>
      </c>
      <c r="M746" s="10">
        <v>910000</v>
      </c>
      <c r="N746" s="10">
        <v>0</v>
      </c>
      <c r="O746" s="67">
        <v>45626</v>
      </c>
      <c r="P746" s="10">
        <v>2024</v>
      </c>
      <c r="Q746" s="10">
        <v>11</v>
      </c>
      <c r="R746" s="10" t="str">
        <v>SURVEI-PPL</v>
      </c>
      <c r="S746" s="10" t="str">
        <v>610422100055-2024-11</v>
      </c>
      <c r="T746" s="10" t="str">
        <v>610422100055-2024-11-SURVEI-PPL</v>
      </c>
      <c r="U746" s="10">
        <v>0</v>
      </c>
      <c r="V746" s="10" t="e">
        <f ca="1"/>
        <v>#NAME?</v>
      </c>
      <c r="W746" s="67">
        <v>0</v>
      </c>
      <c r="X746" s="11" t="str">
        <v>Survei Ekonomi Rumah Tangga Triwulanan (SERUTI24) Triwulan IV Kegiatan Lapangan</v>
      </c>
      <c r="Y746" s="11" t="str">
        <v>JONGKAT</v>
      </c>
      <c r="Z746" s="11" t="str">
        <v>JUNGKAT</v>
      </c>
      <c r="AA746" s="67">
        <v>45596</v>
      </c>
      <c r="AB746" s="67">
        <v>45597</v>
      </c>
      <c r="AC746" s="67">
        <v>45626</v>
      </c>
      <c r="AD746" s="67">
        <v>45625</v>
      </c>
      <c r="AE746" s="67">
        <v>45626</v>
      </c>
    </row>
    <row r="747" spans="1:31" ht="12.5">
      <c r="A747" s="10">
        <v>610422100139</v>
      </c>
      <c r="B747" s="10" t="str">
        <v>SERUTI24-LAPANGAN-TRI4</v>
      </c>
      <c r="C747" s="10">
        <v>0</v>
      </c>
      <c r="D747" s="10">
        <f ca="1"/>
        <v>1</v>
      </c>
      <c r="E747" s="10" t="str">
        <v>Winda Dwi Ananda</v>
      </c>
      <c r="F747" s="10" t="str">
        <v>PPL</v>
      </c>
      <c r="G747" s="10" t="str">
        <v>6102016812990001</v>
      </c>
      <c r="H747" s="10" t="str">
        <v>PENDATAAN</v>
      </c>
      <c r="I747" s="10" t="str">
        <v>SERUTI24-LAPANGAN-TRI4-PPL-PENDATAAN</v>
      </c>
      <c r="J747" s="10" t="str">
        <v>Dokumen</v>
      </c>
      <c r="K747" s="66">
        <v>91000</v>
      </c>
      <c r="L747" s="10">
        <v>10</v>
      </c>
      <c r="M747" s="10">
        <v>910000</v>
      </c>
      <c r="N747" s="10">
        <v>0</v>
      </c>
      <c r="O747" s="67">
        <v>45626</v>
      </c>
      <c r="P747" s="10">
        <v>2024</v>
      </c>
      <c r="Q747" s="10">
        <v>11</v>
      </c>
      <c r="R747" s="10" t="str">
        <v>SURVEI-PPL</v>
      </c>
      <c r="S747" s="10" t="str">
        <v>610422100139-2024-11</v>
      </c>
      <c r="T747" s="10" t="str">
        <v>610422100139-2024-11-SURVEI-PPL</v>
      </c>
      <c r="U747" s="10">
        <v>0</v>
      </c>
      <c r="V747" s="10" t="e">
        <f ca="1"/>
        <v>#NAME?</v>
      </c>
      <c r="W747" s="67">
        <v>0</v>
      </c>
      <c r="X747" s="11" t="str">
        <v>Survei Ekonomi Rumah Tangga Triwulanan (SERUTI24) Triwulan IV Kegiatan Lapangan</v>
      </c>
      <c r="Y747" s="11" t="str">
        <v>MEMPAWAH HILIR</v>
      </c>
      <c r="Z747" s="11" t="str">
        <v>PENIBUNG</v>
      </c>
      <c r="AA747" s="67">
        <v>45596</v>
      </c>
      <c r="AB747" s="67">
        <v>45597</v>
      </c>
      <c r="AC747" s="67">
        <v>45626</v>
      </c>
      <c r="AD747" s="67">
        <v>45625</v>
      </c>
      <c r="AE747" s="67">
        <v>45626</v>
      </c>
    </row>
    <row r="748" spans="1:31" ht="12.5">
      <c r="A748" s="10">
        <v>610422040052</v>
      </c>
      <c r="B748" s="10" t="str">
        <v>SERUTI24-LAPANGAN-TRI4</v>
      </c>
      <c r="C748" s="10">
        <v>0</v>
      </c>
      <c r="D748" s="10">
        <f ca="1"/>
        <v>1</v>
      </c>
      <c r="E748" s="10" t="str">
        <v>Yusimianto</v>
      </c>
      <c r="F748" s="10" t="str">
        <v>PPL</v>
      </c>
      <c r="G748" s="10" t="str">
        <v>6102160603790001</v>
      </c>
      <c r="H748" s="10" t="str">
        <v>PENDATAAN</v>
      </c>
      <c r="I748" s="10" t="str">
        <v>SERUTI24-LAPANGAN-TRI4-PPL-PENDATAAN</v>
      </c>
      <c r="J748" s="10" t="str">
        <v>Dokumen</v>
      </c>
      <c r="K748" s="66">
        <v>91000</v>
      </c>
      <c r="L748" s="10">
        <v>10</v>
      </c>
      <c r="M748" s="10">
        <v>910000</v>
      </c>
      <c r="N748" s="10">
        <v>0</v>
      </c>
      <c r="O748" s="67">
        <v>45626</v>
      </c>
      <c r="P748" s="10">
        <v>2024</v>
      </c>
      <c r="Q748" s="10">
        <v>11</v>
      </c>
      <c r="R748" s="10" t="str">
        <v>SURVEI-PPL</v>
      </c>
      <c r="S748" s="10" t="str">
        <v>610422040052-2024-11</v>
      </c>
      <c r="T748" s="10" t="str">
        <v>610422040052-2024-11-SURVEI-PPL</v>
      </c>
      <c r="U748" s="10">
        <v>0</v>
      </c>
      <c r="V748" s="10" t="e">
        <f ca="1"/>
        <v>#NAME?</v>
      </c>
      <c r="W748" s="67">
        <v>0</v>
      </c>
      <c r="X748" s="11" t="str">
        <v>Survei Ekonomi Rumah Tangga Triwulanan (SERUTI24) Triwulan IV Kegiatan Lapangan</v>
      </c>
      <c r="Y748" s="11" t="str">
        <v>ANJONGAN</v>
      </c>
      <c r="Z748" s="11" t="str">
        <v>PAK BULU</v>
      </c>
      <c r="AA748" s="67">
        <v>45596</v>
      </c>
      <c r="AB748" s="67">
        <v>45597</v>
      </c>
      <c r="AC748" s="67">
        <v>45626</v>
      </c>
      <c r="AD748" s="67">
        <v>45625</v>
      </c>
      <c r="AE748" s="67">
        <v>45626</v>
      </c>
    </row>
    <row r="749" spans="1:31" ht="12.5">
      <c r="A749" s="10">
        <v>610422030002</v>
      </c>
      <c r="B749" s="10" t="str">
        <v>SHPB24-LAPANGAN-DESEMBER</v>
      </c>
      <c r="C749" s="10">
        <v>0</v>
      </c>
      <c r="D749" s="10">
        <f ca="1"/>
        <v>1</v>
      </c>
      <c r="E749" s="10" t="str">
        <v>Deti Erni Widiastuti</v>
      </c>
      <c r="F749" s="10" t="str">
        <v>PPL</v>
      </c>
      <c r="G749" s="10" t="str">
        <v>6102016712860001</v>
      </c>
      <c r="H749" s="10" t="str">
        <v>PENDATAAN</v>
      </c>
      <c r="I749" s="10" t="str">
        <v>SHPB24-LAPANGAN-DESEMBER-PPL-PENDATAAN</v>
      </c>
      <c r="J749" s="10" t="str">
        <v>Dokumen</v>
      </c>
      <c r="K749" s="66">
        <v>50000</v>
      </c>
      <c r="L749" s="10">
        <v>15</v>
      </c>
      <c r="M749" s="10">
        <v>750000</v>
      </c>
      <c r="N749" s="10">
        <v>0</v>
      </c>
      <c r="O749" s="67">
        <v>45646</v>
      </c>
      <c r="P749" s="10">
        <v>2024</v>
      </c>
      <c r="Q749" s="10">
        <v>12</v>
      </c>
      <c r="R749" s="10" t="str">
        <v>SURVEI-PPL</v>
      </c>
      <c r="S749" s="10" t="str">
        <v>610422030002-2024-12</v>
      </c>
      <c r="T749" s="10" t="str">
        <v>610422030002-2024-12-SURVEI-PPL</v>
      </c>
      <c r="U749" s="10">
        <v>0</v>
      </c>
      <c r="V749" s="10" t="e">
        <f ca="1"/>
        <v>#NAME?</v>
      </c>
      <c r="W749" s="67">
        <v>0</v>
      </c>
      <c r="X749" s="11" t="str">
        <v>Survei Harga Perdagangan Besar (SHPB24) Desember</v>
      </c>
      <c r="Y749" s="11" t="str">
        <v>SEGEDONG</v>
      </c>
      <c r="Z749" s="11" t="str">
        <v>PENITI DALAM I</v>
      </c>
      <c r="AA749" s="67">
        <v>45626</v>
      </c>
      <c r="AB749" s="67">
        <v>45627</v>
      </c>
      <c r="AC749" s="67">
        <v>45657</v>
      </c>
      <c r="AD749" s="67">
        <v>45656</v>
      </c>
      <c r="AE749" s="67">
        <v>45657</v>
      </c>
    </row>
    <row r="750" spans="1:31" ht="12.5">
      <c r="A750" s="10">
        <v>610422100244</v>
      </c>
      <c r="B750" s="10" t="str">
        <v>HPG24-LAPANGAN-DESEMBER</v>
      </c>
      <c r="C750" s="10">
        <v>0</v>
      </c>
      <c r="D750" s="10">
        <f ca="1"/>
        <v>1</v>
      </c>
      <c r="E750" s="10" t="str">
        <v>Sugianto</v>
      </c>
      <c r="F750" s="10" t="str">
        <v>PPL</v>
      </c>
      <c r="G750" s="10" t="str">
        <v>6102171003900002</v>
      </c>
      <c r="H750" s="10" t="str">
        <v>PENDATAAN</v>
      </c>
      <c r="I750" s="10" t="str">
        <v>HPG24-LAPANGAN-DESEMBER-PPL-PENDATAAN</v>
      </c>
      <c r="J750" s="10" t="str">
        <v>Dokumen</v>
      </c>
      <c r="K750" s="66">
        <v>50000</v>
      </c>
      <c r="L750" s="10">
        <v>1</v>
      </c>
      <c r="M750" s="10">
        <v>50000</v>
      </c>
      <c r="N750" s="10">
        <v>0</v>
      </c>
      <c r="O750" s="67">
        <v>45646</v>
      </c>
      <c r="P750" s="10">
        <v>2024</v>
      </c>
      <c r="Q750" s="10">
        <v>12</v>
      </c>
      <c r="R750" s="10" t="str">
        <v>SURVEI-PPL</v>
      </c>
      <c r="S750" s="10" t="str">
        <v>610422100244-2024-12</v>
      </c>
      <c r="T750" s="10" t="str">
        <v>610422100244-2024-12-SURVEI-PPL</v>
      </c>
      <c r="U750" s="10">
        <v>0</v>
      </c>
      <c r="V750" s="10" t="e">
        <f ca="1"/>
        <v>#NAME?</v>
      </c>
      <c r="W750" s="67">
        <v>0</v>
      </c>
      <c r="X750" s="11" t="str">
        <v>Survei Harga Produsen Gabah (HPG24) Desember</v>
      </c>
      <c r="Y750" s="11" t="str">
        <v>SADANIANG</v>
      </c>
      <c r="Z750" s="11" t="str">
        <v>BUMBUN</v>
      </c>
      <c r="AA750" s="67">
        <v>45626</v>
      </c>
      <c r="AB750" s="67">
        <v>45627</v>
      </c>
      <c r="AC750" s="67">
        <v>45657</v>
      </c>
      <c r="AD750" s="67">
        <v>45656</v>
      </c>
      <c r="AE750" s="67">
        <v>45657</v>
      </c>
    </row>
    <row r="751" spans="1:31" ht="12.5">
      <c r="A751" s="10">
        <v>610422100124</v>
      </c>
      <c r="B751" s="10" t="str">
        <v>HPG24-LAPANGAN-DESEMBER</v>
      </c>
      <c r="C751" s="10">
        <v>0</v>
      </c>
      <c r="D751" s="10">
        <f ca="1"/>
        <v>1</v>
      </c>
      <c r="E751" s="10" t="str">
        <v>Prabowo</v>
      </c>
      <c r="F751" s="10" t="str">
        <v>PPL</v>
      </c>
      <c r="G751" s="10" t="str">
        <v>6171010108790015</v>
      </c>
      <c r="H751" s="10" t="str">
        <v>PENDATAAN</v>
      </c>
      <c r="I751" s="10" t="str">
        <v>HPG24-LAPANGAN-DESEMBER-PPL-PENDATAAN</v>
      </c>
      <c r="J751" s="10" t="str">
        <v>Dokumen</v>
      </c>
      <c r="K751" s="66">
        <v>50000</v>
      </c>
      <c r="L751" s="10">
        <v>1</v>
      </c>
      <c r="M751" s="10">
        <v>50000</v>
      </c>
      <c r="N751" s="10">
        <v>0</v>
      </c>
      <c r="O751" s="67">
        <v>45646</v>
      </c>
      <c r="P751" s="10">
        <v>2024</v>
      </c>
      <c r="Q751" s="10">
        <v>12</v>
      </c>
      <c r="R751" s="10" t="str">
        <v>SURVEI-PPL</v>
      </c>
      <c r="S751" s="10" t="str">
        <v>610422100124-2024-12</v>
      </c>
      <c r="T751" s="10" t="str">
        <v>610422100124-2024-12-SURVEI-PPL</v>
      </c>
      <c r="U751" s="10">
        <v>0</v>
      </c>
      <c r="V751" s="10" t="e">
        <f ca="1"/>
        <v>#NAME?</v>
      </c>
      <c r="W751" s="67">
        <v>0</v>
      </c>
      <c r="X751" s="11" t="str">
        <v>Survei Harga Produsen Gabah (HPG24) Desember</v>
      </c>
      <c r="Y751" s="11" t="str">
        <v>PONTIANAK KOTA</v>
      </c>
      <c r="Z751" s="11" t="str">
        <v>SUNGAI BANGKONG</v>
      </c>
      <c r="AA751" s="67">
        <v>45626</v>
      </c>
      <c r="AB751" s="67">
        <v>45627</v>
      </c>
      <c r="AC751" s="67">
        <v>45657</v>
      </c>
      <c r="AD751" s="67">
        <v>45656</v>
      </c>
      <c r="AE751" s="67">
        <v>45657</v>
      </c>
    </row>
    <row r="752" spans="1:31" ht="12.5">
      <c r="A752" s="10">
        <v>610422100016</v>
      </c>
      <c r="B752" s="10" t="str">
        <v>SHPED24-LAPANGAN-DESEMBER</v>
      </c>
      <c r="C752" s="10">
        <v>0</v>
      </c>
      <c r="D752" s="10">
        <f ca="1"/>
        <v>1</v>
      </c>
      <c r="E752" s="10" t="str">
        <v>Amalia Faisya</v>
      </c>
      <c r="F752" s="10" t="str">
        <v>PPL</v>
      </c>
      <c r="G752" s="10" t="str">
        <v>6102124210010005</v>
      </c>
      <c r="H752" s="10" t="str">
        <v>PENDATAAN KONSUMEN</v>
      </c>
      <c r="I752" s="10" t="str">
        <v>SHPED24-LAPANGAN-DESEMBER-PPL-PENDATAAN KONSUMEN</v>
      </c>
      <c r="J752" s="10" t="str">
        <v>Dokumen</v>
      </c>
      <c r="K752" s="66">
        <v>65000</v>
      </c>
      <c r="L752" s="10">
        <v>3</v>
      </c>
      <c r="M752" s="10">
        <v>195000</v>
      </c>
      <c r="N752" s="10">
        <v>0</v>
      </c>
      <c r="O752" s="67">
        <v>45646</v>
      </c>
      <c r="P752" s="10">
        <v>2024</v>
      </c>
      <c r="Q752" s="10">
        <v>12</v>
      </c>
      <c r="R752" s="10" t="str">
        <v>SURVEI-PPL</v>
      </c>
      <c r="S752" s="10" t="str">
        <v>610422100016-2024-12</v>
      </c>
      <c r="T752" s="10" t="str">
        <v>610422100016-2024-12-SURVEI-PPL</v>
      </c>
      <c r="U752" s="10">
        <v>0</v>
      </c>
      <c r="V752" s="10" t="e">
        <f ca="1"/>
        <v>#NAME?</v>
      </c>
      <c r="W752" s="67">
        <v>0</v>
      </c>
      <c r="X752" s="11" t="str">
        <v>Survei Harga Perdesaan (SHPED24) Desember</v>
      </c>
      <c r="Y752" s="11" t="str">
        <v>SUNGAI KUNYIT</v>
      </c>
      <c r="Z752" s="11" t="str">
        <v>SUNGAI KUNYIT LAUT</v>
      </c>
      <c r="AA752" s="67">
        <v>45626</v>
      </c>
      <c r="AB752" s="67">
        <v>45627</v>
      </c>
      <c r="AC752" s="67">
        <v>45657</v>
      </c>
      <c r="AD752" s="67">
        <v>45656</v>
      </c>
      <c r="AE752" s="67">
        <v>45657</v>
      </c>
    </row>
    <row r="753" spans="1:31" ht="12.5">
      <c r="A753" s="10">
        <v>610422050001</v>
      </c>
      <c r="B753" s="10" t="str">
        <v>SHPED24-LAPANGAN-DESEMBER</v>
      </c>
      <c r="C753" s="10">
        <v>0</v>
      </c>
      <c r="D753" s="10">
        <f ca="1"/>
        <v>1</v>
      </c>
      <c r="E753" s="10" t="str">
        <v>Evi Juniarty</v>
      </c>
      <c r="F753" s="10" t="str">
        <v>PPL</v>
      </c>
      <c r="G753" s="10" t="str">
        <v>6102165101840001</v>
      </c>
      <c r="H753" s="10" t="str">
        <v>PENDATAAN KONSUMEN</v>
      </c>
      <c r="I753" s="10" t="str">
        <v>SHPED24-LAPANGAN-DESEMBER-PPL-PENDATAAN KONSUMEN</v>
      </c>
      <c r="J753" s="10" t="str">
        <v>Dokumen</v>
      </c>
      <c r="K753" s="66">
        <v>65000</v>
      </c>
      <c r="L753" s="10">
        <v>3</v>
      </c>
      <c r="M753" s="10">
        <v>195000</v>
      </c>
      <c r="N753" s="10">
        <v>0</v>
      </c>
      <c r="O753" s="67">
        <v>45646</v>
      </c>
      <c r="P753" s="10">
        <v>2024</v>
      </c>
      <c r="Q753" s="10">
        <v>12</v>
      </c>
      <c r="R753" s="10" t="str">
        <v>SURVEI-PPL</v>
      </c>
      <c r="S753" s="10" t="str">
        <v>610422050001-2024-12</v>
      </c>
      <c r="T753" s="10" t="str">
        <v>610422050001-2024-12-SURVEI-PPL</v>
      </c>
      <c r="U753" s="10">
        <v>0</v>
      </c>
      <c r="V753" s="10" t="e">
        <f ca="1"/>
        <v>#NAME?</v>
      </c>
      <c r="W753" s="67">
        <v>0</v>
      </c>
      <c r="X753" s="11" t="str">
        <v>Survei Harga Perdesaan (SHPED24) Desember</v>
      </c>
      <c r="Y753" s="11" t="str">
        <v>ANJONGAN</v>
      </c>
      <c r="Z753" s="11" t="str">
        <v>ANJUNGAN MELANCAR</v>
      </c>
      <c r="AA753" s="67">
        <v>45626</v>
      </c>
      <c r="AB753" s="67">
        <v>45627</v>
      </c>
      <c r="AC753" s="67">
        <v>45657</v>
      </c>
      <c r="AD753" s="67">
        <v>45656</v>
      </c>
      <c r="AE753" s="67">
        <v>45657</v>
      </c>
    </row>
    <row r="754" spans="1:31" ht="12.5">
      <c r="A754" s="10">
        <v>610422040030</v>
      </c>
      <c r="B754" s="10" t="str">
        <v>SHPED24-LAPANGAN-DESEMBER</v>
      </c>
      <c r="C754" s="10">
        <v>0</v>
      </c>
      <c r="D754" s="10">
        <f ca="1"/>
        <v>1</v>
      </c>
      <c r="E754" s="10" t="str">
        <v>Syarifah Desti Pratiwi</v>
      </c>
      <c r="F754" s="10" t="str">
        <v>PPL</v>
      </c>
      <c r="G754" s="10" t="str">
        <v>6102084512950002</v>
      </c>
      <c r="H754" s="10" t="str">
        <v>PENDATAAN PRODUSEN</v>
      </c>
      <c r="I754" s="10" t="str">
        <v>SHPED24-LAPANGAN-DESEMBER-PPL-PENDATAAN PRODUSEN</v>
      </c>
      <c r="J754" s="10" t="str">
        <v>Dokumen</v>
      </c>
      <c r="K754" s="66">
        <v>55000</v>
      </c>
      <c r="L754" s="10">
        <v>1</v>
      </c>
      <c r="M754" s="10">
        <v>55000</v>
      </c>
      <c r="N754" s="10">
        <v>0</v>
      </c>
      <c r="O754" s="67">
        <v>45646</v>
      </c>
      <c r="P754" s="10">
        <v>2024</v>
      </c>
      <c r="Q754" s="10">
        <v>12</v>
      </c>
      <c r="R754" s="10" t="str">
        <v>SURVEI-PPL</v>
      </c>
      <c r="S754" s="10" t="str">
        <v>610422040030-2024-12</v>
      </c>
      <c r="T754" s="10" t="str">
        <v>610422040030-2024-12-SURVEI-PPL</v>
      </c>
      <c r="U754" s="10">
        <v>0</v>
      </c>
      <c r="V754" s="10" t="e">
        <f ca="1"/>
        <v>#NAME?</v>
      </c>
      <c r="W754" s="67">
        <v>0</v>
      </c>
      <c r="X754" s="11" t="str">
        <v>Survei Harga Perdesaan (SHPED24) Desember</v>
      </c>
      <c r="Y754" s="11" t="str">
        <v>JONGKAT</v>
      </c>
      <c r="Z754" s="11" t="str">
        <v>JUNGKAT</v>
      </c>
      <c r="AA754" s="67">
        <v>45626</v>
      </c>
      <c r="AB754" s="67">
        <v>45627</v>
      </c>
      <c r="AC754" s="67">
        <v>45657</v>
      </c>
      <c r="AD754" s="67">
        <v>45656</v>
      </c>
      <c r="AE754" s="67">
        <v>45657</v>
      </c>
    </row>
    <row r="755" spans="1:31" ht="12.5">
      <c r="A755" s="10">
        <v>610422100124</v>
      </c>
      <c r="B755" s="10" t="str">
        <v>SHPED24-LAPANGAN-DESEMBER</v>
      </c>
      <c r="C755" s="10">
        <v>0</v>
      </c>
      <c r="D755" s="10">
        <f ca="1"/>
        <v>1</v>
      </c>
      <c r="E755" s="10" t="str">
        <v>Prabowo</v>
      </c>
      <c r="F755" s="10" t="str">
        <v>PPL</v>
      </c>
      <c r="G755" s="10" t="str">
        <v>6171010108790015</v>
      </c>
      <c r="H755" s="10" t="str">
        <v>PENDATAAN PRODUSEN</v>
      </c>
      <c r="I755" s="10" t="str">
        <v>SHPED24-LAPANGAN-DESEMBER-PPL-PENDATAAN PRODUSEN</v>
      </c>
      <c r="J755" s="10" t="str">
        <v>Dokumen</v>
      </c>
      <c r="K755" s="66">
        <v>55000</v>
      </c>
      <c r="L755" s="10">
        <v>3</v>
      </c>
      <c r="M755" s="10">
        <v>165000</v>
      </c>
      <c r="N755" s="10">
        <v>0</v>
      </c>
      <c r="O755" s="67">
        <v>45646</v>
      </c>
      <c r="P755" s="10">
        <v>2024</v>
      </c>
      <c r="Q755" s="10">
        <v>12</v>
      </c>
      <c r="R755" s="10" t="str">
        <v>SURVEI-PPL</v>
      </c>
      <c r="S755" s="10" t="str">
        <v>610422100124-2024-12</v>
      </c>
      <c r="T755" s="10" t="str">
        <v>610422100124-2024-12-SURVEI-PPL</v>
      </c>
      <c r="U755" s="10">
        <v>0</v>
      </c>
      <c r="V755" s="10" t="e">
        <f ca="1"/>
        <v>#NAME?</v>
      </c>
      <c r="W755" s="67">
        <v>0</v>
      </c>
      <c r="X755" s="11" t="str">
        <v>Survei Harga Perdesaan (SHPED24) Desember</v>
      </c>
      <c r="Y755" s="11" t="str">
        <v>PONTIANAK KOTA</v>
      </c>
      <c r="Z755" s="11" t="str">
        <v>SUNGAI BANGKONG</v>
      </c>
      <c r="AA755" s="67">
        <v>45626</v>
      </c>
      <c r="AB755" s="67">
        <v>45627</v>
      </c>
      <c r="AC755" s="67">
        <v>45657</v>
      </c>
      <c r="AD755" s="67">
        <v>45656</v>
      </c>
      <c r="AE755" s="67">
        <v>45657</v>
      </c>
    </row>
    <row r="756" spans="1:31" ht="12.5">
      <c r="A756" s="10">
        <v>610422100244</v>
      </c>
      <c r="B756" s="10" t="str">
        <v>SHPED24-LAPANGAN-DESEMBER</v>
      </c>
      <c r="C756" s="10">
        <v>0</v>
      </c>
      <c r="D756" s="10">
        <f ca="1"/>
        <v>1</v>
      </c>
      <c r="E756" s="10" t="str">
        <v>Sugianto</v>
      </c>
      <c r="F756" s="10" t="str">
        <v>PPL</v>
      </c>
      <c r="G756" s="10" t="str">
        <v>6102171003900002</v>
      </c>
      <c r="H756" s="10" t="str">
        <v>PENDATAAN PRODUSEN</v>
      </c>
      <c r="I756" s="10" t="str">
        <v>SHPED24-LAPANGAN-DESEMBER-PPL-PENDATAAN PRODUSEN</v>
      </c>
      <c r="J756" s="10" t="str">
        <v>Dokumen</v>
      </c>
      <c r="K756" s="66">
        <v>55000</v>
      </c>
      <c r="L756" s="10">
        <v>2</v>
      </c>
      <c r="M756" s="10">
        <v>110000</v>
      </c>
      <c r="N756" s="10">
        <v>0</v>
      </c>
      <c r="O756" s="67">
        <v>45646</v>
      </c>
      <c r="P756" s="10">
        <v>2024</v>
      </c>
      <c r="Q756" s="10">
        <v>12</v>
      </c>
      <c r="R756" s="10" t="str">
        <v>SURVEI-PPL</v>
      </c>
      <c r="S756" s="10" t="str">
        <v>610422100244-2024-12</v>
      </c>
      <c r="T756" s="10" t="str">
        <v>610422100244-2024-12-SURVEI-PPL</v>
      </c>
      <c r="U756" s="10">
        <v>0</v>
      </c>
      <c r="V756" s="10" t="e">
        <f ca="1"/>
        <v>#NAME?</v>
      </c>
      <c r="W756" s="67">
        <v>0</v>
      </c>
      <c r="X756" s="11" t="str">
        <v>Survei Harga Perdesaan (SHPED24) Desember</v>
      </c>
      <c r="Y756" s="11" t="str">
        <v>SADANIANG</v>
      </c>
      <c r="Z756" s="11" t="str">
        <v>BUMBUN</v>
      </c>
      <c r="AA756" s="67">
        <v>45626</v>
      </c>
      <c r="AB756" s="67">
        <v>45627</v>
      </c>
      <c r="AC756" s="67">
        <v>45657</v>
      </c>
      <c r="AD756" s="67">
        <v>45656</v>
      </c>
      <c r="AE756" s="67">
        <v>45657</v>
      </c>
    </row>
    <row r="757" spans="1:31" ht="12.5">
      <c r="A757" s="10">
        <v>610422020016</v>
      </c>
      <c r="B757" s="10" t="str">
        <v>SHPED24-LAPANGAN-DESEMBER</v>
      </c>
      <c r="C757" s="10">
        <v>0</v>
      </c>
      <c r="D757" s="10">
        <f ca="1"/>
        <v>1</v>
      </c>
      <c r="E757" s="10" t="str">
        <v>Abdul Aziz</v>
      </c>
      <c r="F757" s="10" t="str">
        <v>PPL</v>
      </c>
      <c r="G757" s="10" t="str">
        <v>6102061507950006</v>
      </c>
      <c r="H757" s="10" t="str">
        <v>PENDATAAN PRODUSEN</v>
      </c>
      <c r="I757" s="10" t="str">
        <v>SHPED24-LAPANGAN-DESEMBER-PPL-PENDATAAN PRODUSEN</v>
      </c>
      <c r="J757" s="10" t="str">
        <v>Dokumen</v>
      </c>
      <c r="K757" s="66">
        <v>55000</v>
      </c>
      <c r="L757" s="10">
        <v>3</v>
      </c>
      <c r="M757" s="10">
        <v>165000</v>
      </c>
      <c r="N757" s="10">
        <v>0</v>
      </c>
      <c r="O757" s="67">
        <v>45646</v>
      </c>
      <c r="P757" s="10">
        <v>2024</v>
      </c>
      <c r="Q757" s="10">
        <v>12</v>
      </c>
      <c r="R757" s="10" t="str">
        <v>SURVEI-PPL</v>
      </c>
      <c r="S757" s="10" t="str">
        <v>610422020016-2024-12</v>
      </c>
      <c r="T757" s="10" t="str">
        <v>610422020016-2024-12-SURVEI-PPL</v>
      </c>
      <c r="U757" s="10">
        <v>0</v>
      </c>
      <c r="V757" s="10" t="e">
        <f ca="1"/>
        <v>#NAME?</v>
      </c>
      <c r="W757" s="67">
        <v>0</v>
      </c>
      <c r="X757" s="11" t="str">
        <v>Survei Harga Perdesaan (SHPED24) Desember</v>
      </c>
      <c r="Y757" s="11" t="str">
        <v>TOHO</v>
      </c>
      <c r="Z757" s="11" t="str">
        <v>SAMBORA</v>
      </c>
      <c r="AA757" s="67">
        <v>45626</v>
      </c>
      <c r="AB757" s="67">
        <v>45627</v>
      </c>
      <c r="AC757" s="67">
        <v>45657</v>
      </c>
      <c r="AD757" s="67">
        <v>45656</v>
      </c>
      <c r="AE757" s="67">
        <v>45657</v>
      </c>
    </row>
    <row r="758" spans="1:31" ht="12.5">
      <c r="A758" s="10">
        <v>610422100016</v>
      </c>
      <c r="B758" s="10" t="str">
        <v>SHPED24-LAPANGAN-DESEMBER</v>
      </c>
      <c r="C758" s="10">
        <v>0</v>
      </c>
      <c r="D758" s="10">
        <f ca="1"/>
        <v>1</v>
      </c>
      <c r="E758" s="10" t="str">
        <v>Amalia Faisya</v>
      </c>
      <c r="F758" s="10" t="str">
        <v>PPL</v>
      </c>
      <c r="G758" s="10" t="str">
        <v>6102124210010005</v>
      </c>
      <c r="H758" s="10" t="str">
        <v>PENDATAAN PRODUSEN</v>
      </c>
      <c r="I758" s="10" t="str">
        <v>SHPED24-LAPANGAN-DESEMBER-PPL-PENDATAAN PRODUSEN</v>
      </c>
      <c r="J758" s="10" t="str">
        <v>Dokumen</v>
      </c>
      <c r="K758" s="66">
        <v>55000</v>
      </c>
      <c r="L758" s="10">
        <v>1</v>
      </c>
      <c r="M758" s="10">
        <v>55000</v>
      </c>
      <c r="N758" s="10">
        <v>0</v>
      </c>
      <c r="O758" s="67">
        <v>45646</v>
      </c>
      <c r="P758" s="10">
        <v>2024</v>
      </c>
      <c r="Q758" s="10">
        <v>12</v>
      </c>
      <c r="R758" s="10" t="str">
        <v>SURVEI-PPL</v>
      </c>
      <c r="S758" s="10" t="str">
        <v>610422100016-2024-12</v>
      </c>
      <c r="T758" s="10" t="str">
        <v>610422100016-2024-12-SURVEI-PPL</v>
      </c>
      <c r="U758" s="10">
        <v>0</v>
      </c>
      <c r="V758" s="10" t="e">
        <f ca="1"/>
        <v>#NAME?</v>
      </c>
      <c r="W758" s="67">
        <v>0</v>
      </c>
      <c r="X758" s="11" t="str">
        <v>Survei Harga Perdesaan (SHPED24) Desember</v>
      </c>
      <c r="Y758" s="11" t="str">
        <v>SUNGAI KUNYIT</v>
      </c>
      <c r="Z758" s="11" t="str">
        <v>SUNGAI KUNYIT LAUT</v>
      </c>
      <c r="AA758" s="67">
        <v>45626</v>
      </c>
      <c r="AB758" s="67">
        <v>45627</v>
      </c>
      <c r="AC758" s="67">
        <v>45657</v>
      </c>
      <c r="AD758" s="67">
        <v>45656</v>
      </c>
      <c r="AE758" s="67">
        <v>45657</v>
      </c>
    </row>
    <row r="759" spans="1:31" ht="12.5">
      <c r="A759" s="10">
        <v>610422020048</v>
      </c>
      <c r="B759" s="10" t="str">
        <v>SHPED24-LAPANGAN-DESEMBER</v>
      </c>
      <c r="C759" s="10">
        <v>0</v>
      </c>
      <c r="D759" s="10">
        <f ca="1"/>
        <v>1</v>
      </c>
      <c r="E759" s="10" t="str">
        <v>Herri Gustaman</v>
      </c>
      <c r="F759" s="10" t="str">
        <v>PPL</v>
      </c>
      <c r="G759" s="10" t="str">
        <v>6102072503800001</v>
      </c>
      <c r="H759" s="10" t="str">
        <v>PENDATAAN PRODUSEN</v>
      </c>
      <c r="I759" s="10" t="str">
        <v>SHPED24-LAPANGAN-DESEMBER-PPL-PENDATAAN PRODUSEN</v>
      </c>
      <c r="J759" s="10" t="str">
        <v>Dokumen</v>
      </c>
      <c r="K759" s="66">
        <v>55000</v>
      </c>
      <c r="L759" s="10">
        <v>3</v>
      </c>
      <c r="M759" s="10">
        <v>165000</v>
      </c>
      <c r="N759" s="10">
        <v>0</v>
      </c>
      <c r="O759" s="67">
        <v>45646</v>
      </c>
      <c r="P759" s="10">
        <v>2024</v>
      </c>
      <c r="Q759" s="10">
        <v>12</v>
      </c>
      <c r="R759" s="10" t="str">
        <v>SURVEI-PPL</v>
      </c>
      <c r="S759" s="10" t="str">
        <v>610422020048-2024-12</v>
      </c>
      <c r="T759" s="10" t="str">
        <v>610422020048-2024-12-SURVEI-PPL</v>
      </c>
      <c r="U759" s="10">
        <v>0</v>
      </c>
      <c r="V759" s="10" t="e">
        <f ca="1"/>
        <v>#NAME?</v>
      </c>
      <c r="W759" s="67">
        <v>0</v>
      </c>
      <c r="X759" s="11" t="str">
        <v>Survei Harga Perdesaan (SHPED24) Desember</v>
      </c>
      <c r="Y759" s="11" t="str">
        <v>MEMPAWAH TIMUR</v>
      </c>
      <c r="Z759" s="11" t="str">
        <v>SEJEGI</v>
      </c>
      <c r="AA759" s="67">
        <v>45626</v>
      </c>
      <c r="AB759" s="67">
        <v>45627</v>
      </c>
      <c r="AC759" s="67">
        <v>45657</v>
      </c>
      <c r="AD759" s="67">
        <v>45656</v>
      </c>
      <c r="AE759" s="67">
        <v>45657</v>
      </c>
    </row>
    <row r="760" spans="1:31" ht="12.5">
      <c r="A760" s="10">
        <v>610422040029</v>
      </c>
      <c r="B760" s="10" t="str">
        <v>SHPED24-LAPANGAN-DESEMBER</v>
      </c>
      <c r="C760" s="10">
        <v>0</v>
      </c>
      <c r="D760" s="10">
        <f ca="1"/>
        <v>1</v>
      </c>
      <c r="E760" s="10" t="str">
        <v>Zaini</v>
      </c>
      <c r="F760" s="10" t="str">
        <v>PPL</v>
      </c>
      <c r="G760" s="10" t="str">
        <v>6102010607870002</v>
      </c>
      <c r="H760" s="10" t="str">
        <v>PENDATAAN PRODUSEN</v>
      </c>
      <c r="I760" s="10" t="str">
        <v>SHPED24-LAPANGAN-DESEMBER-PPL-PENDATAAN PRODUSEN</v>
      </c>
      <c r="J760" s="10" t="str">
        <v>Dokumen</v>
      </c>
      <c r="K760" s="66">
        <v>55000</v>
      </c>
      <c r="L760" s="10">
        <v>4</v>
      </c>
      <c r="M760" s="10">
        <v>220000</v>
      </c>
      <c r="N760" s="10">
        <v>0</v>
      </c>
      <c r="O760" s="67">
        <v>45646</v>
      </c>
      <c r="P760" s="10">
        <v>2024</v>
      </c>
      <c r="Q760" s="10">
        <v>12</v>
      </c>
      <c r="R760" s="10" t="str">
        <v>SURVEI-PPL</v>
      </c>
      <c r="S760" s="10" t="str">
        <v>610422040029-2024-12</v>
      </c>
      <c r="T760" s="10" t="str">
        <v>610422040029-2024-12-SURVEI-PPL</v>
      </c>
      <c r="U760" s="10">
        <v>0</v>
      </c>
      <c r="V760" s="10" t="e">
        <f ca="1"/>
        <v>#NAME?</v>
      </c>
      <c r="W760" s="67">
        <v>0</v>
      </c>
      <c r="X760" s="11" t="str">
        <v>Survei Harga Perdesaan (SHPED24) Desember</v>
      </c>
      <c r="Y760" s="11" t="str">
        <v>MEMPAWAH HILIR</v>
      </c>
      <c r="Z760" s="11" t="str">
        <v>TENGAH</v>
      </c>
      <c r="AA760" s="67">
        <v>45626</v>
      </c>
      <c r="AB760" s="67">
        <v>45627</v>
      </c>
      <c r="AC760" s="67">
        <v>45657</v>
      </c>
      <c r="AD760" s="67">
        <v>45656</v>
      </c>
      <c r="AE760" s="67">
        <v>45657</v>
      </c>
    </row>
    <row r="761" spans="1:31" ht="12.5">
      <c r="A761" s="10">
        <v>610422050001</v>
      </c>
      <c r="B761" s="10" t="str">
        <v>SHPED24-LAPANGAN-DESEMBER</v>
      </c>
      <c r="C761" s="10">
        <v>0</v>
      </c>
      <c r="D761" s="10">
        <f ca="1"/>
        <v>1</v>
      </c>
      <c r="E761" s="10" t="str">
        <v>Evi Juniarty</v>
      </c>
      <c r="F761" s="10" t="str">
        <v>PPL</v>
      </c>
      <c r="G761" s="10" t="str">
        <v>6102165101840001</v>
      </c>
      <c r="H761" s="10" t="str">
        <v>PENDATAAN PRODUSEN</v>
      </c>
      <c r="I761" s="10" t="str">
        <v>SHPED24-LAPANGAN-DESEMBER-PPL-PENDATAAN PRODUSEN</v>
      </c>
      <c r="J761" s="10" t="str">
        <v>Dokumen</v>
      </c>
      <c r="K761" s="66">
        <v>55000</v>
      </c>
      <c r="L761" s="10">
        <v>1</v>
      </c>
      <c r="M761" s="10">
        <v>55000</v>
      </c>
      <c r="N761" s="10">
        <v>0</v>
      </c>
      <c r="O761" s="67">
        <v>45646</v>
      </c>
      <c r="P761" s="10">
        <v>2024</v>
      </c>
      <c r="Q761" s="10">
        <v>12</v>
      </c>
      <c r="R761" s="10" t="str">
        <v>SURVEI-PPL</v>
      </c>
      <c r="S761" s="10" t="str">
        <v>610422050001-2024-12</v>
      </c>
      <c r="T761" s="10" t="str">
        <v>610422050001-2024-12-SURVEI-PPL</v>
      </c>
      <c r="U761" s="10">
        <v>0</v>
      </c>
      <c r="V761" s="10" t="e">
        <f ca="1"/>
        <v>#NAME?</v>
      </c>
      <c r="W761" s="67">
        <v>0</v>
      </c>
      <c r="X761" s="11" t="str">
        <v>Survei Harga Perdesaan (SHPED24) Desember</v>
      </c>
      <c r="Y761" s="11" t="str">
        <v>ANJONGAN</v>
      </c>
      <c r="Z761" s="11" t="str">
        <v>ANJUNGAN MELANCAR</v>
      </c>
      <c r="AA761" s="67">
        <v>45626</v>
      </c>
      <c r="AB761" s="67">
        <v>45627</v>
      </c>
      <c r="AC761" s="67">
        <v>45657</v>
      </c>
      <c r="AD761" s="67">
        <v>45656</v>
      </c>
      <c r="AE761" s="67">
        <v>45657</v>
      </c>
    </row>
    <row r="762" spans="1:31" ht="12.5">
      <c r="A762" s="10">
        <v>610422100124</v>
      </c>
      <c r="B762" s="10" t="str">
        <v>HPBG24-LAPANGAN-DESEMBER</v>
      </c>
      <c r="C762" s="10">
        <v>0</v>
      </c>
      <c r="D762" s="10">
        <f ca="1"/>
        <v>1</v>
      </c>
      <c r="E762" s="10" t="str">
        <v>Prabowo</v>
      </c>
      <c r="F762" s="10" t="str">
        <v>PPL</v>
      </c>
      <c r="G762" s="10" t="str">
        <v>6171010108790015</v>
      </c>
      <c r="H762" s="10" t="str">
        <v>PENDATAAN</v>
      </c>
      <c r="I762" s="10" t="str">
        <v>HPBG24-LAPANGAN-DESEMBER-PPL-PENDATAAN</v>
      </c>
      <c r="J762" s="10" t="str">
        <v>Dokumen</v>
      </c>
      <c r="K762" s="66">
        <v>55000</v>
      </c>
      <c r="L762" s="10">
        <v>2</v>
      </c>
      <c r="M762" s="10">
        <v>110000</v>
      </c>
      <c r="N762" s="10">
        <v>0</v>
      </c>
      <c r="O762" s="67">
        <v>45646</v>
      </c>
      <c r="P762" s="10">
        <v>2024</v>
      </c>
      <c r="Q762" s="10">
        <v>12</v>
      </c>
      <c r="R762" s="10" t="str">
        <v>SURVEI-PPL</v>
      </c>
      <c r="S762" s="10" t="str">
        <v>610422100124-2024-12</v>
      </c>
      <c r="T762" s="10" t="str">
        <v>610422100124-2024-12-SURVEI-PPL</v>
      </c>
      <c r="U762" s="10">
        <v>0</v>
      </c>
      <c r="V762" s="10" t="e">
        <f ca="1"/>
        <v>#NAME?</v>
      </c>
      <c r="W762" s="67">
        <v>0</v>
      </c>
      <c r="X762" s="11" t="str">
        <v>Survei Harga Produsen Beras di Penggilingan 2024 (HPBG24) Desember</v>
      </c>
      <c r="Y762" s="11" t="str">
        <v>PONTIANAK KOTA</v>
      </c>
      <c r="Z762" s="11" t="str">
        <v>SUNGAI BANGKONG</v>
      </c>
      <c r="AA762" s="67">
        <v>45626</v>
      </c>
      <c r="AB762" s="67">
        <v>45627</v>
      </c>
      <c r="AC762" s="67">
        <v>45657</v>
      </c>
      <c r="AD762" s="67">
        <v>45656</v>
      </c>
      <c r="AE762" s="67">
        <v>45657</v>
      </c>
    </row>
    <row r="763" spans="1:31" ht="12.5">
      <c r="A763" s="10">
        <v>610422100244</v>
      </c>
      <c r="B763" s="10" t="str">
        <v>HPBG24-LAPANGAN-DESEMBER</v>
      </c>
      <c r="C763" s="10">
        <v>0</v>
      </c>
      <c r="D763" s="10">
        <f ca="1"/>
        <v>1</v>
      </c>
      <c r="E763" s="10" t="str">
        <v>Sugianto</v>
      </c>
      <c r="F763" s="10" t="str">
        <v>PPL</v>
      </c>
      <c r="G763" s="10" t="str">
        <v>6102171003900002</v>
      </c>
      <c r="H763" s="10" t="str">
        <v>PENDATAAN</v>
      </c>
      <c r="I763" s="10" t="str">
        <v>HPBG24-LAPANGAN-DESEMBER-PPL-PENDATAAN</v>
      </c>
      <c r="J763" s="10" t="str">
        <v>Dokumen</v>
      </c>
      <c r="K763" s="66">
        <v>55000</v>
      </c>
      <c r="L763" s="10">
        <v>2</v>
      </c>
      <c r="M763" s="10">
        <v>110000</v>
      </c>
      <c r="N763" s="10">
        <v>0</v>
      </c>
      <c r="O763" s="67">
        <v>45646</v>
      </c>
      <c r="P763" s="10">
        <v>2024</v>
      </c>
      <c r="Q763" s="10">
        <v>12</v>
      </c>
      <c r="R763" s="10" t="str">
        <v>SURVEI-PPL</v>
      </c>
      <c r="S763" s="10" t="str">
        <v>610422100244-2024-12</v>
      </c>
      <c r="T763" s="10" t="str">
        <v>610422100244-2024-12-SURVEI-PPL</v>
      </c>
      <c r="U763" s="10">
        <v>0</v>
      </c>
      <c r="V763" s="10" t="e">
        <f ca="1"/>
        <v>#NAME?</v>
      </c>
      <c r="W763" s="67">
        <v>0</v>
      </c>
      <c r="X763" s="11" t="str">
        <v>Survei Harga Produsen Beras di Penggilingan 2024 (HPBG24) Desember</v>
      </c>
      <c r="Y763" s="11" t="str">
        <v>SADANIANG</v>
      </c>
      <c r="Z763" s="11" t="str">
        <v>BUMBUN</v>
      </c>
      <c r="AA763" s="67">
        <v>45626</v>
      </c>
      <c r="AB763" s="67">
        <v>45627</v>
      </c>
      <c r="AC763" s="67">
        <v>45657</v>
      </c>
      <c r="AD763" s="67">
        <v>45656</v>
      </c>
      <c r="AE763" s="67">
        <v>45657</v>
      </c>
    </row>
    <row r="764" spans="1:31" ht="12.5">
      <c r="A764" s="10">
        <v>610422100165</v>
      </c>
      <c r="B764" s="10" t="str">
        <v>HPBG24-LAPANGAN-DESEMBER</v>
      </c>
      <c r="C764" s="10">
        <v>0</v>
      </c>
      <c r="D764" s="10">
        <f ca="1"/>
        <v>1</v>
      </c>
      <c r="E764" s="10" t="str">
        <v>Yanti</v>
      </c>
      <c r="F764" s="10" t="str">
        <v>PPL</v>
      </c>
      <c r="G764" s="10" t="str">
        <v>6102074803980002</v>
      </c>
      <c r="H764" s="10" t="str">
        <v>PENDATAAN</v>
      </c>
      <c r="I764" s="10" t="str">
        <v>HPBG24-LAPANGAN-DESEMBER-PPL-PENDATAAN</v>
      </c>
      <c r="J764" s="10" t="str">
        <v>Dokumen</v>
      </c>
      <c r="K764" s="66">
        <v>55000</v>
      </c>
      <c r="L764" s="10">
        <v>2</v>
      </c>
      <c r="M764" s="10">
        <v>110000</v>
      </c>
      <c r="N764" s="10">
        <v>0</v>
      </c>
      <c r="O764" s="67">
        <v>45646</v>
      </c>
      <c r="P764" s="10">
        <v>2024</v>
      </c>
      <c r="Q764" s="10">
        <v>12</v>
      </c>
      <c r="R764" s="10" t="str">
        <v>SURVEI-PPL</v>
      </c>
      <c r="S764" s="10" t="str">
        <v>610422100165-2024-12</v>
      </c>
      <c r="T764" s="10" t="str">
        <v>610422100165-2024-12-SURVEI-PPL</v>
      </c>
      <c r="U764" s="10">
        <v>0</v>
      </c>
      <c r="V764" s="10" t="e">
        <f ca="1"/>
        <v>#NAME?</v>
      </c>
      <c r="W764" s="67">
        <v>0</v>
      </c>
      <c r="X764" s="11" t="str">
        <v>Survei Harga Produsen Beras di Penggilingan 2024 (HPBG24) Desember</v>
      </c>
      <c r="Y764" s="11" t="str">
        <v>SUNGAI PINYUH</v>
      </c>
      <c r="Z764" s="11" t="str">
        <v>SUNGAI BAKAU BESAR LAUT</v>
      </c>
      <c r="AA764" s="67">
        <v>45626</v>
      </c>
      <c r="AB764" s="67">
        <v>45627</v>
      </c>
      <c r="AC764" s="67">
        <v>45657</v>
      </c>
      <c r="AD764" s="67">
        <v>45656</v>
      </c>
      <c r="AE764" s="67">
        <v>45657</v>
      </c>
    </row>
    <row r="765" spans="1:31" ht="12.5">
      <c r="A765" s="10">
        <v>610422100165</v>
      </c>
      <c r="B765" s="10" t="str">
        <v>HPJ24-LAPANGAN-DESEMBER</v>
      </c>
      <c r="C765" s="10">
        <v>0</v>
      </c>
      <c r="D765" s="10">
        <f ca="1"/>
        <v>1</v>
      </c>
      <c r="E765" s="10" t="str">
        <v>Yanti</v>
      </c>
      <c r="F765" s="10" t="str">
        <v>PPL</v>
      </c>
      <c r="G765" s="10" t="str">
        <v>6102074803980002</v>
      </c>
      <c r="H765" s="10" t="str">
        <v>PENDATAAN</v>
      </c>
      <c r="I765" s="10" t="str">
        <v>HPJ24-LAPANGAN-DESEMBER-PPL-PENDATAAN</v>
      </c>
      <c r="J765" s="10" t="str">
        <v>Dokumen</v>
      </c>
      <c r="K765" s="66">
        <v>50000</v>
      </c>
      <c r="L765" s="10">
        <v>1</v>
      </c>
      <c r="M765" s="10">
        <v>50000</v>
      </c>
      <c r="N765" s="10">
        <v>0</v>
      </c>
      <c r="O765" s="67">
        <v>45646</v>
      </c>
      <c r="P765" s="10">
        <v>2024</v>
      </c>
      <c r="Q765" s="10">
        <v>12</v>
      </c>
      <c r="R765" s="10" t="str">
        <v>SURVEI-PPL</v>
      </c>
      <c r="S765" s="10" t="str">
        <v>610422100165-2024-12</v>
      </c>
      <c r="T765" s="10" t="str">
        <v>610422100165-2024-12-SURVEI-PPL</v>
      </c>
      <c r="U765" s="10">
        <v>0</v>
      </c>
      <c r="V765" s="10" t="e">
        <f ca="1"/>
        <v>#NAME?</v>
      </c>
      <c r="W765" s="67">
        <v>0</v>
      </c>
      <c r="X765" s="11" t="str">
        <v>Survei Harga Produsen Jasa (HPJ24) Desember</v>
      </c>
      <c r="Y765" s="11" t="str">
        <v>SUNGAI PINYUH</v>
      </c>
      <c r="Z765" s="11" t="str">
        <v>SUNGAI BAKAU BESAR LAUT</v>
      </c>
      <c r="AA765" s="67">
        <v>45626</v>
      </c>
      <c r="AB765" s="67">
        <v>45627</v>
      </c>
      <c r="AC765" s="67">
        <v>45657</v>
      </c>
      <c r="AD765" s="67">
        <v>45656</v>
      </c>
      <c r="AE765" s="67">
        <v>45657</v>
      </c>
    </row>
    <row r="766" spans="1:31" ht="12.5">
      <c r="A766" s="10">
        <v>610422040029</v>
      </c>
      <c r="B766" s="10" t="str">
        <v>VHTS24-LAPANGAN-DESEMBER</v>
      </c>
      <c r="C766" s="10">
        <v>0</v>
      </c>
      <c r="D766" s="10">
        <f ca="1"/>
        <v>1</v>
      </c>
      <c r="E766" s="10" t="str">
        <v>Zaini</v>
      </c>
      <c r="F766" s="10" t="str">
        <v>PPL</v>
      </c>
      <c r="G766" s="10" t="str">
        <v>6102010607870002</v>
      </c>
      <c r="H766" s="10" t="str">
        <v>PENDATAAN</v>
      </c>
      <c r="I766" s="10" t="str">
        <v>VHTS24-LAPANGAN-DESEMBER-PPL-PENDATAAN</v>
      </c>
      <c r="J766" s="10" t="str">
        <v>Dokumen</v>
      </c>
      <c r="K766" s="66">
        <v>55000</v>
      </c>
      <c r="L766" s="10">
        <v>3</v>
      </c>
      <c r="M766" s="10">
        <v>165000</v>
      </c>
      <c r="N766" s="10">
        <v>0</v>
      </c>
      <c r="O766" s="67">
        <v>45646</v>
      </c>
      <c r="P766" s="10">
        <v>2024</v>
      </c>
      <c r="Q766" s="10">
        <v>12</v>
      </c>
      <c r="R766" s="10" t="str">
        <v>SURVEI-PPL</v>
      </c>
      <c r="S766" s="10" t="str">
        <v>610422040029-2024-12</v>
      </c>
      <c r="T766" s="10" t="str">
        <v>610422040029-2024-12-SURVEI-PPL</v>
      </c>
      <c r="U766" s="10">
        <v>0</v>
      </c>
      <c r="V766" s="10" t="e">
        <f ca="1"/>
        <v>#NAME?</v>
      </c>
      <c r="W766" s="67">
        <v>0</v>
      </c>
      <c r="X766" s="11" t="str">
        <v>Survei Hotel dan Jasa Akomodasi Bulanan (VHTS) 2024 Desember</v>
      </c>
      <c r="Y766" s="11" t="str">
        <v>MEMPAWAH HILIR</v>
      </c>
      <c r="Z766" s="11" t="str">
        <v>TENGAH</v>
      </c>
      <c r="AA766" s="67">
        <v>45626</v>
      </c>
      <c r="AB766" s="67">
        <v>45627</v>
      </c>
      <c r="AC766" s="67">
        <v>45657</v>
      </c>
      <c r="AD766" s="67">
        <v>45656</v>
      </c>
      <c r="AE766" s="67">
        <v>45657</v>
      </c>
    </row>
    <row r="767" spans="1:31" ht="12.5">
      <c r="A767" s="10">
        <v>610422100165</v>
      </c>
      <c r="B767" s="10" t="str">
        <v>VHTS24-LAPANGAN-DESEMBER</v>
      </c>
      <c r="C767" s="10">
        <v>0</v>
      </c>
      <c r="D767" s="10">
        <f ca="1"/>
        <v>1</v>
      </c>
      <c r="E767" s="10" t="str">
        <v>Yanti</v>
      </c>
      <c r="F767" s="10" t="str">
        <v>PPL</v>
      </c>
      <c r="G767" s="10" t="str">
        <v>6102074803980002</v>
      </c>
      <c r="H767" s="10" t="str">
        <v>PENDATAAN</v>
      </c>
      <c r="I767" s="10" t="str">
        <v>VHTS24-LAPANGAN-DESEMBER-PPL-PENDATAAN</v>
      </c>
      <c r="J767" s="10" t="str">
        <v>Dokumen</v>
      </c>
      <c r="K767" s="66">
        <v>55000</v>
      </c>
      <c r="L767" s="10">
        <v>3</v>
      </c>
      <c r="M767" s="10">
        <v>165000</v>
      </c>
      <c r="N767" s="10">
        <v>0</v>
      </c>
      <c r="O767" s="67">
        <v>45646</v>
      </c>
      <c r="P767" s="10">
        <v>2024</v>
      </c>
      <c r="Q767" s="10">
        <v>12</v>
      </c>
      <c r="R767" s="10" t="str">
        <v>SURVEI-PPL</v>
      </c>
      <c r="S767" s="10" t="str">
        <v>610422100165-2024-12</v>
      </c>
      <c r="T767" s="10" t="str">
        <v>610422100165-2024-12-SURVEI-PPL</v>
      </c>
      <c r="U767" s="10">
        <v>0</v>
      </c>
      <c r="V767" s="10" t="e">
        <f ca="1"/>
        <v>#NAME?</v>
      </c>
      <c r="W767" s="67">
        <v>0</v>
      </c>
      <c r="X767" s="11" t="str">
        <v>Survei Hotel dan Jasa Akomodasi Bulanan (VHTS) 2024 Desember</v>
      </c>
      <c r="Y767" s="11" t="str">
        <v>SUNGAI PINYUH</v>
      </c>
      <c r="Z767" s="11" t="str">
        <v>SUNGAI BAKAU BESAR LAUT</v>
      </c>
      <c r="AA767" s="67">
        <v>45626</v>
      </c>
      <c r="AB767" s="67">
        <v>45627</v>
      </c>
      <c r="AC767" s="67">
        <v>45657</v>
      </c>
      <c r="AD767" s="67">
        <v>45656</v>
      </c>
      <c r="AE767" s="67">
        <v>45657</v>
      </c>
    </row>
    <row r="768" spans="1:31" ht="12.5">
      <c r="A768" s="10">
        <v>610422050001</v>
      </c>
      <c r="B768" s="10" t="str">
        <v>VHTS24-LAPANGAN-DESEMBER</v>
      </c>
      <c r="C768" s="10">
        <v>0</v>
      </c>
      <c r="D768" s="10">
        <f ca="1"/>
        <v>1</v>
      </c>
      <c r="E768" s="10" t="str">
        <v>Evi Juniarty</v>
      </c>
      <c r="F768" s="10" t="str">
        <v>PPL</v>
      </c>
      <c r="G768" s="10" t="str">
        <v>6102165101840001</v>
      </c>
      <c r="H768" s="10" t="str">
        <v>PENDATAAN</v>
      </c>
      <c r="I768" s="10" t="str">
        <v>VHTS24-LAPANGAN-DESEMBER-PPL-PENDATAAN</v>
      </c>
      <c r="J768" s="10" t="str">
        <v>Dokumen</v>
      </c>
      <c r="K768" s="66">
        <v>55000</v>
      </c>
      <c r="L768" s="10">
        <v>3</v>
      </c>
      <c r="M768" s="10">
        <v>165000</v>
      </c>
      <c r="N768" s="10">
        <v>0</v>
      </c>
      <c r="O768" s="67">
        <v>45646</v>
      </c>
      <c r="P768" s="10">
        <v>2024</v>
      </c>
      <c r="Q768" s="10">
        <v>12</v>
      </c>
      <c r="R768" s="10" t="str">
        <v>SURVEI-PPL</v>
      </c>
      <c r="S768" s="10" t="str">
        <v>610422050001-2024-12</v>
      </c>
      <c r="T768" s="10" t="str">
        <v>610422050001-2024-12-SURVEI-PPL</v>
      </c>
      <c r="U768" s="10">
        <v>0</v>
      </c>
      <c r="V768" s="10" t="e">
        <f ca="1"/>
        <v>#NAME?</v>
      </c>
      <c r="W768" s="67">
        <v>0</v>
      </c>
      <c r="X768" s="11" t="str">
        <v>Survei Hotel dan Jasa Akomodasi Bulanan (VHTS) 2024 Desember</v>
      </c>
      <c r="Y768" s="11" t="str">
        <v>ANJONGAN</v>
      </c>
      <c r="Z768" s="11" t="str">
        <v>ANJUNGAN MELANCAR</v>
      </c>
      <c r="AA768" s="67">
        <v>45626</v>
      </c>
      <c r="AB768" s="67">
        <v>45627</v>
      </c>
      <c r="AC768" s="67">
        <v>45657</v>
      </c>
      <c r="AD768" s="67">
        <v>45656</v>
      </c>
      <c r="AE768" s="67">
        <v>45657</v>
      </c>
    </row>
    <row r="769" spans="1:31" ht="12.5">
      <c r="A769" s="10">
        <v>610422040056</v>
      </c>
      <c r="B769" s="10" t="str">
        <v>VHTS24-LAPANGAN-DESEMBER</v>
      </c>
      <c r="C769" s="10">
        <v>0</v>
      </c>
      <c r="D769" s="10">
        <f ca="1"/>
        <v>1</v>
      </c>
      <c r="E769" s="10" t="str">
        <v>Wandi Syafari</v>
      </c>
      <c r="F769" s="10" t="str">
        <v>PPL</v>
      </c>
      <c r="G769" s="10" t="str">
        <v>6102010802760001</v>
      </c>
      <c r="H769" s="10" t="str">
        <v>PENDATAAN</v>
      </c>
      <c r="I769" s="10" t="str">
        <v>VHTS24-LAPANGAN-DESEMBER-PPL-PENDATAAN</v>
      </c>
      <c r="J769" s="10" t="str">
        <v>Dokumen</v>
      </c>
      <c r="K769" s="66">
        <v>55000</v>
      </c>
      <c r="L769" s="10">
        <v>2</v>
      </c>
      <c r="M769" s="10">
        <v>110000</v>
      </c>
      <c r="N769" s="10">
        <v>0</v>
      </c>
      <c r="O769" s="67">
        <v>45646</v>
      </c>
      <c r="P769" s="10">
        <v>2024</v>
      </c>
      <c r="Q769" s="10">
        <v>12</v>
      </c>
      <c r="R769" s="10" t="str">
        <v>SURVEI-PPL</v>
      </c>
      <c r="S769" s="10" t="str">
        <v>610422040056-2024-12</v>
      </c>
      <c r="T769" s="10" t="str">
        <v>610422040056-2024-12-SURVEI-PPL</v>
      </c>
      <c r="U769" s="10">
        <v>0</v>
      </c>
      <c r="V769" s="10" t="e">
        <f ca="1"/>
        <v>#NAME?</v>
      </c>
      <c r="W769" s="67">
        <v>0</v>
      </c>
      <c r="X769" s="11" t="str">
        <v>Survei Hotel dan Jasa Akomodasi Bulanan (VHTS) 2024 Desember</v>
      </c>
      <c r="Y769" s="11" t="str">
        <v>MEMPAWAH HILIR</v>
      </c>
      <c r="Z769" s="11" t="str">
        <v>TERUSAN</v>
      </c>
      <c r="AA769" s="67">
        <v>45626</v>
      </c>
      <c r="AB769" s="67">
        <v>45627</v>
      </c>
      <c r="AC769" s="67">
        <v>45657</v>
      </c>
      <c r="AD769" s="67">
        <v>45656</v>
      </c>
      <c r="AE769" s="67">
        <v>45657</v>
      </c>
    </row>
    <row r="770" spans="1:31" ht="12.5">
      <c r="A770" s="10">
        <v>610422020006</v>
      </c>
      <c r="B770" s="10" t="str">
        <v>SERUTI24-PENGOLAHAN-TRI4</v>
      </c>
      <c r="C770" s="10">
        <v>0</v>
      </c>
      <c r="D770" s="10">
        <f ca="1"/>
        <v>1</v>
      </c>
      <c r="E770" s="10" t="str">
        <v>Nasrullah</v>
      </c>
      <c r="F770" s="10" t="str">
        <v>PETUGAS ENTRI</v>
      </c>
      <c r="G770" s="10" t="str">
        <v>6102011011970003</v>
      </c>
      <c r="H770" s="10" t="str">
        <v>PENGOLAHAN</v>
      </c>
      <c r="I770" s="10" t="str">
        <v>SERUTI24-PENGOLAHAN-TRI4-PETUGAS ENTRI-PENGOLAHAN</v>
      </c>
      <c r="J770" s="10" t="str">
        <v>Dokumen</v>
      </c>
      <c r="K770" s="66">
        <v>17000</v>
      </c>
      <c r="L770" s="10">
        <v>13</v>
      </c>
      <c r="M770" s="10">
        <v>221000</v>
      </c>
      <c r="N770" s="10">
        <v>0</v>
      </c>
      <c r="O770" s="67">
        <v>45649</v>
      </c>
      <c r="P770" s="10">
        <v>2024</v>
      </c>
      <c r="Q770" s="10">
        <v>12</v>
      </c>
      <c r="R770" s="10" t="str">
        <v>SURVEI-PETUGAS ENTRI</v>
      </c>
      <c r="S770" s="10" t="str">
        <v>610422020006-2024-12</v>
      </c>
      <c r="T770" s="10" t="str">
        <v>610422020006-2024-12-SURVEI-PETUGAS ENTRI</v>
      </c>
      <c r="U770" s="10">
        <v>0</v>
      </c>
      <c r="V770" s="10" t="e">
        <f ca="1"/>
        <v>#NAME?</v>
      </c>
      <c r="W770" s="67">
        <v>0</v>
      </c>
      <c r="X770" s="11" t="str">
        <v>Survei Ekonomi Rumah Tangga Triwulanan (SERUTI24) Triwulan IV Kegiatan Pengolahan</v>
      </c>
      <c r="Y770" s="11" t="str">
        <v>MEMPAWAH HILIR</v>
      </c>
      <c r="Z770" s="11" t="str">
        <v>MALIKIAN</v>
      </c>
      <c r="AA770" s="67">
        <v>45626</v>
      </c>
      <c r="AB770" s="67">
        <v>45627</v>
      </c>
      <c r="AC770" s="67">
        <v>45657</v>
      </c>
      <c r="AD770" s="67">
        <v>45656</v>
      </c>
      <c r="AE770" s="67">
        <v>45657</v>
      </c>
    </row>
    <row r="771" spans="1:31" ht="12.5">
      <c r="A771" s="10">
        <v>617122110049</v>
      </c>
      <c r="B771" s="10" t="str">
        <v>SERUTI24-PENGOLAHAN-TRI4</v>
      </c>
      <c r="C771" s="10">
        <v>0</v>
      </c>
      <c r="D771" s="10">
        <f ca="1"/>
        <v>1</v>
      </c>
      <c r="E771" s="10" t="str">
        <v>Muhammad Deny Hafizzul Muttaqin</v>
      </c>
      <c r="F771" s="10" t="str">
        <v>PETUGAS ENTRI</v>
      </c>
      <c r="G771" s="10" t="str">
        <v>6102181908990001</v>
      </c>
      <c r="H771" s="10" t="str">
        <v>PENGOLAHAN</v>
      </c>
      <c r="I771" s="10" t="str">
        <v>SERUTI24-PENGOLAHAN-TRI4-PETUGAS ENTRI-PENGOLAHAN</v>
      </c>
      <c r="J771" s="10" t="str">
        <v>Dokumen</v>
      </c>
      <c r="K771" s="66">
        <v>17000</v>
      </c>
      <c r="L771" s="10">
        <v>13</v>
      </c>
      <c r="M771" s="10">
        <v>221000</v>
      </c>
      <c r="N771" s="10">
        <v>0</v>
      </c>
      <c r="O771" s="67">
        <v>45649</v>
      </c>
      <c r="P771" s="10">
        <v>2024</v>
      </c>
      <c r="Q771" s="10">
        <v>12</v>
      </c>
      <c r="R771" s="10" t="str">
        <v>SURVEI-PETUGAS ENTRI</v>
      </c>
      <c r="S771" s="10" t="str">
        <v>617122110049-2024-12</v>
      </c>
      <c r="T771" s="10" t="str">
        <v>617122110049-2024-12-SURVEI-PETUGAS ENTRI</v>
      </c>
      <c r="U771" s="10">
        <v>0</v>
      </c>
      <c r="V771" s="10" t="e">
        <f ca="1"/>
        <v>#NAME?</v>
      </c>
      <c r="W771" s="67">
        <v>0</v>
      </c>
      <c r="X771" s="11" t="str">
        <v>Survei Ekonomi Rumah Tangga Triwulanan (SERUTI24) Triwulan IV Kegiatan Pengolahan</v>
      </c>
      <c r="Y771" s="11" t="str">
        <v>MEMPAWAH TIMUR</v>
      </c>
      <c r="Z771" s="11" t="str">
        <v>SUNGAI BAKAU KECIL</v>
      </c>
      <c r="AA771" s="67">
        <v>45626</v>
      </c>
      <c r="AB771" s="67">
        <v>45627</v>
      </c>
      <c r="AC771" s="67">
        <v>45657</v>
      </c>
      <c r="AD771" s="67">
        <v>45656</v>
      </c>
      <c r="AE771" s="67">
        <v>45657</v>
      </c>
    </row>
    <row r="772" spans="1:31" ht="12.5">
      <c r="A772" s="10">
        <v>610422100010</v>
      </c>
      <c r="B772" s="10" t="str">
        <v>SERUTI24-PENGOLAHAN-TRI4</v>
      </c>
      <c r="C772" s="10">
        <v>0</v>
      </c>
      <c r="D772" s="10">
        <f ca="1"/>
        <v>1</v>
      </c>
      <c r="E772" s="10" t="str">
        <v>Muhammad Rendi Fakhrian</v>
      </c>
      <c r="F772" s="10" t="str">
        <v>PETUGAS ENTRI</v>
      </c>
      <c r="G772" s="10" t="str">
        <v>6102012210990001</v>
      </c>
      <c r="H772" s="10" t="str">
        <v>PENGOLAHAN</v>
      </c>
      <c r="I772" s="10" t="str">
        <v>SERUTI24-PENGOLAHAN-TRI4-PETUGAS ENTRI-PENGOLAHAN</v>
      </c>
      <c r="J772" s="10" t="str">
        <v>Dokumen</v>
      </c>
      <c r="K772" s="66">
        <v>17000</v>
      </c>
      <c r="L772" s="10">
        <v>13</v>
      </c>
      <c r="M772" s="10">
        <v>221000</v>
      </c>
      <c r="N772" s="10">
        <v>0</v>
      </c>
      <c r="O772" s="67">
        <v>45649</v>
      </c>
      <c r="P772" s="10">
        <v>2024</v>
      </c>
      <c r="Q772" s="10">
        <v>12</v>
      </c>
      <c r="R772" s="10" t="str">
        <v>SURVEI-PETUGAS ENTRI</v>
      </c>
      <c r="S772" s="10" t="str">
        <v>610422100010-2024-12</v>
      </c>
      <c r="T772" s="10" t="str">
        <v>610422100010-2024-12-SURVEI-PETUGAS ENTRI</v>
      </c>
      <c r="U772" s="10">
        <v>0</v>
      </c>
      <c r="V772" s="10" t="e">
        <f ca="1"/>
        <v>#NAME?</v>
      </c>
      <c r="W772" s="67">
        <v>0</v>
      </c>
      <c r="X772" s="11" t="str">
        <v>Survei Ekonomi Rumah Tangga Triwulanan (SERUTI24) Triwulan IV Kegiatan Pengolahan</v>
      </c>
      <c r="Y772" s="11" t="str">
        <v>MEMPAWAH HILIR</v>
      </c>
      <c r="Z772" s="11" t="str">
        <v>TENGAH</v>
      </c>
      <c r="AA772" s="67">
        <v>45626</v>
      </c>
      <c r="AB772" s="67">
        <v>45627</v>
      </c>
      <c r="AC772" s="67">
        <v>45657</v>
      </c>
      <c r="AD772" s="67">
        <v>45656</v>
      </c>
      <c r="AE772" s="67">
        <v>45657</v>
      </c>
    </row>
    <row r="773" spans="1:31" ht="12.5">
      <c r="A773" s="10">
        <v>610422100177</v>
      </c>
      <c r="B773" s="10" t="str">
        <v>SERUTI24-PENGOLAHAN-TRI4</v>
      </c>
      <c r="C773" s="10">
        <v>0</v>
      </c>
      <c r="D773" s="10">
        <f ca="1"/>
        <v>1</v>
      </c>
      <c r="E773" s="10" t="str">
        <v>Amirah</v>
      </c>
      <c r="F773" s="10" t="str">
        <v>PETUGAS ENTRI</v>
      </c>
      <c r="G773" s="10" t="str">
        <v>6102015302980003</v>
      </c>
      <c r="H773" s="10" t="str">
        <v>PENGOLAHAN</v>
      </c>
      <c r="I773" s="10" t="str">
        <v>SERUTI24-PENGOLAHAN-TRI4-PETUGAS ENTRI-PENGOLAHAN</v>
      </c>
      <c r="J773" s="10" t="str">
        <v>Dokumen</v>
      </c>
      <c r="K773" s="66">
        <v>17000</v>
      </c>
      <c r="L773" s="10">
        <v>13</v>
      </c>
      <c r="M773" s="10">
        <v>221000</v>
      </c>
      <c r="N773" s="10">
        <v>0</v>
      </c>
      <c r="O773" s="67">
        <v>45649</v>
      </c>
      <c r="P773" s="10">
        <v>2024</v>
      </c>
      <c r="Q773" s="10">
        <v>12</v>
      </c>
      <c r="R773" s="10" t="str">
        <v>SURVEI-PETUGAS ENTRI</v>
      </c>
      <c r="S773" s="10" t="str">
        <v>610422100177-2024-12</v>
      </c>
      <c r="T773" s="10" t="str">
        <v>610422100177-2024-12-SURVEI-PETUGAS ENTRI</v>
      </c>
      <c r="U773" s="10">
        <v>0</v>
      </c>
      <c r="V773" s="10" t="e">
        <f ca="1"/>
        <v>#NAME?</v>
      </c>
      <c r="W773" s="67">
        <v>0</v>
      </c>
      <c r="X773" s="11" t="str">
        <v>Survei Ekonomi Rumah Tangga Triwulanan (SERUTI24) Triwulan IV Kegiatan Pengolahan</v>
      </c>
      <c r="Y773" s="11" t="str">
        <v>MEMPAWAH HILIR</v>
      </c>
      <c r="Z773" s="11" t="str">
        <v>TERUSAN</v>
      </c>
      <c r="AA773" s="67">
        <v>45626</v>
      </c>
      <c r="AB773" s="67">
        <v>45627</v>
      </c>
      <c r="AC773" s="67">
        <v>45657</v>
      </c>
      <c r="AD773" s="67">
        <v>45656</v>
      </c>
      <c r="AE773" s="67">
        <v>45657</v>
      </c>
    </row>
    <row r="774" spans="1:31" ht="12.5">
      <c r="A774" s="10">
        <v>610422100083</v>
      </c>
      <c r="B774" s="10" t="str">
        <v>SERUTI24-PENGOLAHAN-TRI4</v>
      </c>
      <c r="C774" s="10">
        <v>0</v>
      </c>
      <c r="D774" s="10">
        <f ca="1"/>
        <v>1</v>
      </c>
      <c r="E774" s="10" t="str">
        <v>Ilham Subagio</v>
      </c>
      <c r="F774" s="10" t="str">
        <v>PETUGAS ENTRI</v>
      </c>
      <c r="G774" s="10" t="str">
        <v>6102012006970002</v>
      </c>
      <c r="H774" s="10" t="str">
        <v>PENGOLAHAN</v>
      </c>
      <c r="I774" s="10" t="str">
        <v>SERUTI24-PENGOLAHAN-TRI4-PETUGAS ENTRI-PENGOLAHAN</v>
      </c>
      <c r="J774" s="10" t="str">
        <v>Dokumen</v>
      </c>
      <c r="K774" s="66">
        <v>17000</v>
      </c>
      <c r="L774" s="10">
        <v>13</v>
      </c>
      <c r="M774" s="10">
        <v>221000</v>
      </c>
      <c r="N774" s="10">
        <v>0</v>
      </c>
      <c r="O774" s="67">
        <v>45649</v>
      </c>
      <c r="P774" s="10">
        <v>2024</v>
      </c>
      <c r="Q774" s="10">
        <v>12</v>
      </c>
      <c r="R774" s="10" t="str">
        <v>SURVEI-PETUGAS ENTRI</v>
      </c>
      <c r="S774" s="10" t="str">
        <v>610422100083-2024-12</v>
      </c>
      <c r="T774" s="10" t="str">
        <v>610422100083-2024-12-SURVEI-PETUGAS ENTRI</v>
      </c>
      <c r="U774" s="10">
        <v>0</v>
      </c>
      <c r="V774" s="10" t="e">
        <f ca="1"/>
        <v>#NAME?</v>
      </c>
      <c r="W774" s="67">
        <v>0</v>
      </c>
      <c r="X774" s="11" t="str">
        <v>Survei Ekonomi Rumah Tangga Triwulanan (SERUTI24) Triwulan IV Kegiatan Pengolahan</v>
      </c>
      <c r="Y774" s="11" t="str">
        <v>MEMPAWAH HILIR</v>
      </c>
      <c r="Z774" s="11" t="str">
        <v>TENGAH</v>
      </c>
      <c r="AA774" s="67">
        <v>45626</v>
      </c>
      <c r="AB774" s="67">
        <v>45627</v>
      </c>
      <c r="AC774" s="67">
        <v>45657</v>
      </c>
      <c r="AD774" s="67">
        <v>45656</v>
      </c>
      <c r="AE774" s="67">
        <v>45657</v>
      </c>
    </row>
    <row r="775" spans="1:31" ht="12.5">
      <c r="A775" s="10">
        <v>610422110006</v>
      </c>
      <c r="B775" s="10" t="str">
        <v>SERUTI24-PENGOLAHAN-TRI4</v>
      </c>
      <c r="C775" s="10">
        <v>0</v>
      </c>
      <c r="D775" s="10">
        <f ca="1"/>
        <v>1</v>
      </c>
      <c r="E775" s="10" t="str">
        <v>Muhammad Habibie</v>
      </c>
      <c r="F775" s="10" t="str">
        <v>PETUGAS ENTRI</v>
      </c>
      <c r="G775" s="10" t="str">
        <v>6102161209040001</v>
      </c>
      <c r="H775" s="10" t="str">
        <v>PENGOLAHAN</v>
      </c>
      <c r="I775" s="10" t="str">
        <v>SERUTI24-PENGOLAHAN-TRI4-PETUGAS ENTRI-PENGOLAHAN</v>
      </c>
      <c r="J775" s="10" t="str">
        <v>Dokumen</v>
      </c>
      <c r="K775" s="66">
        <v>17000</v>
      </c>
      <c r="L775" s="10">
        <v>13</v>
      </c>
      <c r="M775" s="10">
        <v>221000</v>
      </c>
      <c r="N775" s="10">
        <v>0</v>
      </c>
      <c r="O775" s="67">
        <v>45649</v>
      </c>
      <c r="P775" s="10">
        <v>2024</v>
      </c>
      <c r="Q775" s="10">
        <v>12</v>
      </c>
      <c r="R775" s="10" t="str">
        <v>SURVEI-PETUGAS ENTRI</v>
      </c>
      <c r="S775" s="10" t="str">
        <v>610422110006-2024-12</v>
      </c>
      <c r="T775" s="10" t="str">
        <v>610422110006-2024-12-SURVEI-PETUGAS ENTRI</v>
      </c>
      <c r="U775" s="10">
        <v>0</v>
      </c>
      <c r="V775" s="10" t="e">
        <f ca="1"/>
        <v>#NAME?</v>
      </c>
      <c r="W775" s="67">
        <v>0</v>
      </c>
      <c r="X775" s="11" t="str">
        <v>Survei Ekonomi Rumah Tangga Triwulanan (SERUTI24) Triwulan IV Kegiatan Pengolahan</v>
      </c>
      <c r="Y775" s="11" t="str">
        <v>MEMPAWAH HILIR</v>
      </c>
      <c r="Z775" s="11" t="str">
        <v>TERUSAN</v>
      </c>
      <c r="AA775" s="67">
        <v>45626</v>
      </c>
      <c r="AB775" s="67">
        <v>45627</v>
      </c>
      <c r="AC775" s="67">
        <v>45657</v>
      </c>
      <c r="AD775" s="67">
        <v>45656</v>
      </c>
      <c r="AE775" s="67">
        <v>45657</v>
      </c>
    </row>
    <row r="776" spans="1:31" ht="12.5">
      <c r="A776" s="10">
        <v>610422110005</v>
      </c>
      <c r="B776" s="10" t="str">
        <v>SERUTI24-PENGOLAHAN-TRI4</v>
      </c>
      <c r="C776" s="10">
        <v>0</v>
      </c>
      <c r="D776" s="10">
        <f ca="1"/>
        <v>1</v>
      </c>
      <c r="E776" s="10" t="str">
        <v>Indra</v>
      </c>
      <c r="F776" s="10" t="str">
        <v>PETUGAS ENTRI</v>
      </c>
      <c r="G776" s="10" t="str">
        <v>6102010506950003</v>
      </c>
      <c r="H776" s="10" t="str">
        <v>PENGOLAHAN</v>
      </c>
      <c r="I776" s="10" t="str">
        <v>SERUTI24-PENGOLAHAN-TRI4-PETUGAS ENTRI-PENGOLAHAN</v>
      </c>
      <c r="J776" s="10" t="str">
        <v>Dokumen</v>
      </c>
      <c r="K776" s="66">
        <v>17000</v>
      </c>
      <c r="L776" s="10">
        <v>13</v>
      </c>
      <c r="M776" s="10">
        <v>221000</v>
      </c>
      <c r="N776" s="10">
        <v>0</v>
      </c>
      <c r="O776" s="67">
        <v>45649</v>
      </c>
      <c r="P776" s="10">
        <v>2024</v>
      </c>
      <c r="Q776" s="10">
        <v>12</v>
      </c>
      <c r="R776" s="10" t="str">
        <v>SURVEI-PETUGAS ENTRI</v>
      </c>
      <c r="S776" s="10" t="str">
        <v>610422110005-2024-12</v>
      </c>
      <c r="T776" s="10" t="str">
        <v>610422110005-2024-12-SURVEI-PETUGAS ENTRI</v>
      </c>
      <c r="U776" s="10">
        <v>0</v>
      </c>
      <c r="V776" s="10" t="e">
        <f ca="1"/>
        <v>#NAME?</v>
      </c>
      <c r="W776" s="67">
        <v>0</v>
      </c>
      <c r="X776" s="11" t="str">
        <v>Survei Ekonomi Rumah Tangga Triwulanan (SERUTI24) Triwulan IV Kegiatan Pengolahan</v>
      </c>
      <c r="Y776" s="11" t="str">
        <v>MEMPAWAH HILIR</v>
      </c>
      <c r="Z776" s="11" t="str">
        <v>MALIKIAN</v>
      </c>
      <c r="AA776" s="67">
        <v>45626</v>
      </c>
      <c r="AB776" s="67">
        <v>45627</v>
      </c>
      <c r="AC776" s="67">
        <v>45657</v>
      </c>
      <c r="AD776" s="67">
        <v>45656</v>
      </c>
      <c r="AE776" s="67">
        <v>45657</v>
      </c>
    </row>
    <row r="777" spans="1:31" ht="12.5">
      <c r="A777" s="10">
        <v>610423090021</v>
      </c>
      <c r="B777" s="10" t="str">
        <v>SERUTI24-PENGOLAHAN-TRI4</v>
      </c>
      <c r="C777" s="10">
        <v>0</v>
      </c>
      <c r="D777" s="10">
        <f ca="1"/>
        <v>1</v>
      </c>
      <c r="E777" s="10" t="str">
        <v>Thama Riewanty Oesman</v>
      </c>
      <c r="F777" s="10" t="str">
        <v>PETUGAS ENTRI</v>
      </c>
      <c r="G777" s="10" t="str">
        <v>6102016603990004</v>
      </c>
      <c r="H777" s="10" t="str">
        <v>PENGOLAHAN</v>
      </c>
      <c r="I777" s="10" t="str">
        <v>SERUTI24-PENGOLAHAN-TRI4-PETUGAS ENTRI-PENGOLAHAN</v>
      </c>
      <c r="J777" s="10" t="str">
        <v>Dokumen</v>
      </c>
      <c r="K777" s="66">
        <v>17000</v>
      </c>
      <c r="L777" s="10">
        <v>13</v>
      </c>
      <c r="M777" s="10">
        <v>221000</v>
      </c>
      <c r="N777" s="10">
        <v>0</v>
      </c>
      <c r="O777" s="67">
        <v>45649</v>
      </c>
      <c r="P777" s="10">
        <v>2024</v>
      </c>
      <c r="Q777" s="10">
        <v>12</v>
      </c>
      <c r="R777" s="10" t="str">
        <v>SURVEI-PETUGAS ENTRI</v>
      </c>
      <c r="S777" s="10" t="str">
        <v>610423090021-2024-12</v>
      </c>
      <c r="T777" s="10" t="str">
        <v>610423090021-2024-12-SURVEI-PETUGAS ENTRI</v>
      </c>
      <c r="U777" s="10">
        <v>0</v>
      </c>
      <c r="V777" s="10" t="e">
        <f ca="1"/>
        <v>#NAME?</v>
      </c>
      <c r="W777" s="67">
        <v>0</v>
      </c>
      <c r="X777" s="11" t="str">
        <v>Survei Ekonomi Rumah Tangga Triwulanan (SERUTI24) Triwulan IV Kegiatan Pengolahan</v>
      </c>
      <c r="Y777" s="11" t="str">
        <v>MEMPAWAH HILIR</v>
      </c>
      <c r="Z777" s="11" t="str">
        <v>TERUSAN</v>
      </c>
      <c r="AA777" s="67">
        <v>45626</v>
      </c>
      <c r="AB777" s="67">
        <v>45627</v>
      </c>
      <c r="AC777" s="67">
        <v>45657</v>
      </c>
      <c r="AD777" s="67">
        <v>45656</v>
      </c>
      <c r="AE777" s="67">
        <v>45657</v>
      </c>
    </row>
    <row r="778" spans="1:31" ht="12.5">
      <c r="A778" s="10">
        <v>610423110150</v>
      </c>
      <c r="B778" s="10" t="str">
        <v>SERUTI24-PENGOLAHAN-TRI4</v>
      </c>
      <c r="C778" s="10">
        <v>0</v>
      </c>
      <c r="D778" s="10">
        <f ca="1"/>
        <v>1</v>
      </c>
      <c r="E778" s="10" t="str">
        <v>Risa Yolani</v>
      </c>
      <c r="F778" s="10" t="str">
        <v>PETUGAS ENTRI</v>
      </c>
      <c r="G778" s="10" t="str">
        <v>6102015802940002</v>
      </c>
      <c r="H778" s="10" t="str">
        <v>PENGOLAHAN</v>
      </c>
      <c r="I778" s="10" t="str">
        <v>SERUTI24-PENGOLAHAN-TRI4-PETUGAS ENTRI-PENGOLAHAN</v>
      </c>
      <c r="J778" s="10" t="str">
        <v>Dokumen</v>
      </c>
      <c r="K778" s="66">
        <v>17000</v>
      </c>
      <c r="L778" s="10">
        <v>13</v>
      </c>
      <c r="M778" s="10">
        <v>221000</v>
      </c>
      <c r="N778" s="10">
        <v>0</v>
      </c>
      <c r="O778" s="67">
        <v>45649</v>
      </c>
      <c r="P778" s="10">
        <v>2024</v>
      </c>
      <c r="Q778" s="10">
        <v>12</v>
      </c>
      <c r="R778" s="10" t="str">
        <v>SURVEI-PETUGAS ENTRI</v>
      </c>
      <c r="S778" s="10" t="str">
        <v>610423110150-2024-12</v>
      </c>
      <c r="T778" s="10" t="str">
        <v>610423110150-2024-12-SURVEI-PETUGAS ENTRI</v>
      </c>
      <c r="U778" s="10">
        <v>0</v>
      </c>
      <c r="V778" s="10" t="e">
        <f ca="1"/>
        <v>#NAME?</v>
      </c>
      <c r="W778" s="67">
        <v>0</v>
      </c>
      <c r="X778" s="11" t="str">
        <v>Survei Ekonomi Rumah Tangga Triwulanan (SERUTI24) Triwulan IV Kegiatan Pengolahan</v>
      </c>
      <c r="Y778" s="11" t="str">
        <v>MEMPAWAH HILIR</v>
      </c>
      <c r="Z778" s="11" t="str">
        <v>TENGAH</v>
      </c>
      <c r="AA778" s="67">
        <v>45626</v>
      </c>
      <c r="AB778" s="67">
        <v>45627</v>
      </c>
      <c r="AC778" s="67">
        <v>45657</v>
      </c>
      <c r="AD778" s="67">
        <v>45656</v>
      </c>
      <c r="AE778" s="67">
        <v>45657</v>
      </c>
    </row>
    <row r="779" spans="1:31" ht="12.5">
      <c r="A779" s="10">
        <v>610423110129</v>
      </c>
      <c r="B779" s="10" t="str">
        <v>SERUTI24-PENGOLAHAN-TRI4</v>
      </c>
      <c r="C779" s="10">
        <v>0</v>
      </c>
      <c r="D779" s="10">
        <f ca="1"/>
        <v>1</v>
      </c>
      <c r="E779" s="10" t="str">
        <v>Athalia Meifira</v>
      </c>
      <c r="F779" s="10" t="str">
        <v>PETUGAS ENTRI</v>
      </c>
      <c r="G779" s="10" t="str">
        <v>6102015905000001</v>
      </c>
      <c r="H779" s="10" t="str">
        <v>PENGOLAHAN</v>
      </c>
      <c r="I779" s="10" t="str">
        <v>SERUTI24-PENGOLAHAN-TRI4-PETUGAS ENTRI-PENGOLAHAN</v>
      </c>
      <c r="J779" s="10" t="str">
        <v>Dokumen</v>
      </c>
      <c r="K779" s="66">
        <v>17000</v>
      </c>
      <c r="L779" s="10">
        <v>12</v>
      </c>
      <c r="M779" s="10">
        <v>204000</v>
      </c>
      <c r="N779" s="10">
        <v>0</v>
      </c>
      <c r="O779" s="67">
        <v>45649</v>
      </c>
      <c r="P779" s="10">
        <v>2024</v>
      </c>
      <c r="Q779" s="10">
        <v>12</v>
      </c>
      <c r="R779" s="10" t="str">
        <v>SURVEI-PETUGAS ENTRI</v>
      </c>
      <c r="S779" s="10" t="str">
        <v>610423110129-2024-12</v>
      </c>
      <c r="T779" s="10" t="str">
        <v>610423110129-2024-12-SURVEI-PETUGAS ENTRI</v>
      </c>
      <c r="U779" s="10">
        <v>0</v>
      </c>
      <c r="V779" s="10" t="e">
        <f ca="1"/>
        <v>#NAME?</v>
      </c>
      <c r="W779" s="67">
        <v>0</v>
      </c>
      <c r="X779" s="11" t="str">
        <v>Survei Ekonomi Rumah Tangga Triwulanan (SERUTI24) Triwulan IV Kegiatan Pengolahan</v>
      </c>
      <c r="Y779" s="11" t="str">
        <v>MEMPAWAH HILIR</v>
      </c>
      <c r="Z779" s="11" t="str">
        <v>TERUSAN</v>
      </c>
      <c r="AA779" s="67">
        <v>45626</v>
      </c>
      <c r="AB779" s="67">
        <v>45627</v>
      </c>
      <c r="AC779" s="67">
        <v>45657</v>
      </c>
      <c r="AD779" s="67">
        <v>45656</v>
      </c>
      <c r="AE779" s="67">
        <v>45657</v>
      </c>
    </row>
    <row r="780" spans="1:31" ht="12.5">
      <c r="A780" s="10">
        <v>610422020016</v>
      </c>
      <c r="B780" s="10" t="str">
        <v>KSA24-LAPANGAN-DESEMBER</v>
      </c>
      <c r="C780" s="10">
        <v>0</v>
      </c>
      <c r="D780" s="10">
        <f ca="1"/>
        <v>1</v>
      </c>
      <c r="E780" s="10" t="str">
        <v>Abdul Aziz</v>
      </c>
      <c r="F780" s="10" t="str">
        <v>PPL</v>
      </c>
      <c r="G780" s="10" t="str">
        <v>6102061507950006</v>
      </c>
      <c r="H780" s="10" t="str">
        <v>KSA PADI</v>
      </c>
      <c r="I780" s="10" t="str">
        <v>KSA24-LAPANGAN-DESEMBER-PPL-KSA PADI</v>
      </c>
      <c r="J780" s="10" t="str">
        <v>Segmen</v>
      </c>
      <c r="K780" s="66">
        <v>116000</v>
      </c>
      <c r="L780" s="10">
        <v>3</v>
      </c>
      <c r="M780" s="10">
        <v>348000</v>
      </c>
      <c r="N780" s="10">
        <v>0</v>
      </c>
      <c r="O780" s="67">
        <v>45657</v>
      </c>
      <c r="P780" s="10">
        <v>2024</v>
      </c>
      <c r="Q780" s="10">
        <v>12</v>
      </c>
      <c r="R780" s="10" t="str">
        <v>SURVEI-PPL</v>
      </c>
      <c r="S780" s="10" t="str">
        <v>610422020016-2024-12</v>
      </c>
      <c r="T780" s="10" t="str">
        <v>610422020016-2024-12-SURVEI-PPL</v>
      </c>
      <c r="U780" s="10">
        <v>0</v>
      </c>
      <c r="V780" s="10" t="e">
        <f ca="1"/>
        <v>#NAME?</v>
      </c>
      <c r="W780" s="67">
        <v>0</v>
      </c>
      <c r="X780" s="11" t="str">
        <v>Kerangka Sampel Area (KSA) 2024 Desember</v>
      </c>
      <c r="Y780" s="11" t="str">
        <v>TOHO</v>
      </c>
      <c r="Z780" s="11" t="str">
        <v>SAMBORA</v>
      </c>
      <c r="AA780" s="67">
        <v>45626</v>
      </c>
      <c r="AB780" s="67">
        <v>45627</v>
      </c>
      <c r="AC780" s="67">
        <v>45657</v>
      </c>
      <c r="AD780" s="67">
        <v>45656</v>
      </c>
      <c r="AE780" s="67">
        <v>45657</v>
      </c>
    </row>
    <row r="781" spans="1:31" ht="12.5">
      <c r="A781" s="10">
        <v>610422040012</v>
      </c>
      <c r="B781" s="10" t="str">
        <v>KSA24-LAPANGAN-DESEMBER</v>
      </c>
      <c r="C781" s="10">
        <v>0</v>
      </c>
      <c r="D781" s="10">
        <f ca="1"/>
        <v>1</v>
      </c>
      <c r="E781" s="10" t="str">
        <v>Misdi</v>
      </c>
      <c r="F781" s="10" t="str">
        <v>PPL</v>
      </c>
      <c r="G781" s="10" t="str">
        <v>6102070706940001</v>
      </c>
      <c r="H781" s="10" t="str">
        <v>KSA PADI</v>
      </c>
      <c r="I781" s="10" t="str">
        <v>KSA24-LAPANGAN-DESEMBER-PPL-KSA PADI</v>
      </c>
      <c r="J781" s="10" t="str">
        <v>Segmen</v>
      </c>
      <c r="K781" s="66">
        <v>116000</v>
      </c>
      <c r="L781" s="10">
        <v>3</v>
      </c>
      <c r="M781" s="10">
        <v>348000</v>
      </c>
      <c r="N781" s="10">
        <v>0</v>
      </c>
      <c r="O781" s="67">
        <v>45657</v>
      </c>
      <c r="P781" s="10">
        <v>2024</v>
      </c>
      <c r="Q781" s="10">
        <v>12</v>
      </c>
      <c r="R781" s="10" t="str">
        <v>SURVEI-PPL</v>
      </c>
      <c r="S781" s="10" t="str">
        <v>610422040012-2024-12</v>
      </c>
      <c r="T781" s="10" t="str">
        <v>610422040012-2024-12-SURVEI-PPL</v>
      </c>
      <c r="U781" s="10">
        <v>0</v>
      </c>
      <c r="V781" s="10" t="e">
        <f ca="1"/>
        <v>#NAME?</v>
      </c>
      <c r="W781" s="67">
        <v>0</v>
      </c>
      <c r="X781" s="11" t="str">
        <v>Kerangka Sampel Area (KSA) 2024 Desember</v>
      </c>
      <c r="Y781" s="11" t="str">
        <v>SUNGAI PINYUH</v>
      </c>
      <c r="Z781" s="11" t="str">
        <v>SUNGAI BAKAU BESAR DARAT</v>
      </c>
      <c r="AA781" s="67">
        <v>45626</v>
      </c>
      <c r="AB781" s="67">
        <v>45627</v>
      </c>
      <c r="AC781" s="67">
        <v>45657</v>
      </c>
      <c r="AD781" s="67">
        <v>45656</v>
      </c>
      <c r="AE781" s="67">
        <v>45657</v>
      </c>
    </row>
    <row r="782" spans="1:31" ht="12.5">
      <c r="A782" s="10">
        <v>610422040059</v>
      </c>
      <c r="B782" s="10" t="str">
        <v>KSA24-LAPANGAN-DESEMBER</v>
      </c>
      <c r="C782" s="10">
        <v>0</v>
      </c>
      <c r="D782" s="10">
        <f ca="1"/>
        <v>1</v>
      </c>
      <c r="E782" s="10" t="str">
        <v>Abang Handri</v>
      </c>
      <c r="F782" s="10" t="str">
        <v>PPL</v>
      </c>
      <c r="G782" s="10" t="str">
        <v>6102072211780002</v>
      </c>
      <c r="H782" s="10" t="str">
        <v>KSA PADI</v>
      </c>
      <c r="I782" s="10" t="str">
        <v>KSA24-LAPANGAN-DESEMBER-PPL-KSA PADI</v>
      </c>
      <c r="J782" s="10" t="str">
        <v>Segmen</v>
      </c>
      <c r="K782" s="66">
        <v>116000</v>
      </c>
      <c r="L782" s="10">
        <v>4</v>
      </c>
      <c r="M782" s="10">
        <v>464000</v>
      </c>
      <c r="N782" s="10">
        <v>0</v>
      </c>
      <c r="O782" s="67">
        <v>45657</v>
      </c>
      <c r="P782" s="10">
        <v>2024</v>
      </c>
      <c r="Q782" s="10">
        <v>12</v>
      </c>
      <c r="R782" s="10" t="str">
        <v>SURVEI-PPL</v>
      </c>
      <c r="S782" s="10" t="str">
        <v>610422040059-2024-12</v>
      </c>
      <c r="T782" s="10" t="str">
        <v>610422040059-2024-12-SURVEI-PPL</v>
      </c>
      <c r="U782" s="10">
        <v>0</v>
      </c>
      <c r="V782" s="10" t="e">
        <f ca="1"/>
        <v>#NAME?</v>
      </c>
      <c r="W782" s="67">
        <v>0</v>
      </c>
      <c r="X782" s="11" t="str">
        <v>Kerangka Sampel Area (KSA) 2024 Desember</v>
      </c>
      <c r="Y782" s="11" t="str">
        <v>MEMPAWAH HILIR</v>
      </c>
      <c r="Z782" s="11" t="str">
        <v>TERUSAN</v>
      </c>
      <c r="AA782" s="67">
        <v>45626</v>
      </c>
      <c r="AB782" s="67">
        <v>45627</v>
      </c>
      <c r="AC782" s="67">
        <v>45657</v>
      </c>
      <c r="AD782" s="67">
        <v>45656</v>
      </c>
      <c r="AE782" s="67">
        <v>45657</v>
      </c>
    </row>
    <row r="783" spans="1:31" ht="12.5">
      <c r="A783" s="10">
        <v>610422040061</v>
      </c>
      <c r="B783" s="10" t="str">
        <v>KSA24-LAPANGAN-DESEMBER</v>
      </c>
      <c r="C783" s="10">
        <v>0</v>
      </c>
      <c r="D783" s="10">
        <f ca="1"/>
        <v>1</v>
      </c>
      <c r="E783" s="10" t="str">
        <v>Sabani</v>
      </c>
      <c r="F783" s="10" t="str">
        <v>PPL</v>
      </c>
      <c r="G783" s="10" t="str">
        <v>6102153112860003</v>
      </c>
      <c r="H783" s="10" t="str">
        <v>KSA PADI</v>
      </c>
      <c r="I783" s="10" t="str">
        <v>KSA24-LAPANGAN-DESEMBER-PPL-KSA PADI</v>
      </c>
      <c r="J783" s="10" t="str">
        <v>Segmen</v>
      </c>
      <c r="K783" s="66">
        <v>116000</v>
      </c>
      <c r="L783" s="10">
        <v>3</v>
      </c>
      <c r="M783" s="10">
        <v>348000</v>
      </c>
      <c r="N783" s="10">
        <v>0</v>
      </c>
      <c r="O783" s="67">
        <v>45657</v>
      </c>
      <c r="P783" s="10">
        <v>2024</v>
      </c>
      <c r="Q783" s="10">
        <v>12</v>
      </c>
      <c r="R783" s="10" t="str">
        <v>SURVEI-PPL</v>
      </c>
      <c r="S783" s="10" t="str">
        <v>610422040061-2024-12</v>
      </c>
      <c r="T783" s="10" t="str">
        <v>610422040061-2024-12-SURVEI-PPL</v>
      </c>
      <c r="U783" s="10">
        <v>0</v>
      </c>
      <c r="V783" s="10" t="e">
        <f ca="1"/>
        <v>#NAME?</v>
      </c>
      <c r="W783" s="67">
        <v>0</v>
      </c>
      <c r="X783" s="11" t="str">
        <v>Kerangka Sampel Area (KSA) 2024 Desember</v>
      </c>
      <c r="Y783" s="11" t="str">
        <v>SEGEDONG</v>
      </c>
      <c r="Z783" s="11" t="str">
        <v>PENITI BESAR</v>
      </c>
      <c r="AA783" s="67">
        <v>45626</v>
      </c>
      <c r="AB783" s="67">
        <v>45627</v>
      </c>
      <c r="AC783" s="67">
        <v>45657</v>
      </c>
      <c r="AD783" s="67">
        <v>45656</v>
      </c>
      <c r="AE783" s="67">
        <v>45657</v>
      </c>
    </row>
    <row r="784" spans="1:31" ht="12.5">
      <c r="A784" s="10">
        <v>610422100131</v>
      </c>
      <c r="B784" s="10" t="str">
        <v>KSA24-LAPANGAN-DESEMBER</v>
      </c>
      <c r="C784" s="10">
        <v>0</v>
      </c>
      <c r="D784" s="10">
        <f ca="1"/>
        <v>1</v>
      </c>
      <c r="E784" s="10" t="str">
        <v>Syamsul</v>
      </c>
      <c r="F784" s="10" t="str">
        <v>PPL</v>
      </c>
      <c r="G784" s="10" t="str">
        <v>6102150907860003</v>
      </c>
      <c r="H784" s="10" t="str">
        <v>KSA PADI</v>
      </c>
      <c r="I784" s="10" t="str">
        <v>KSA24-LAPANGAN-DESEMBER-PPL-KSA PADI</v>
      </c>
      <c r="J784" s="10" t="str">
        <v>Segmen</v>
      </c>
      <c r="K784" s="66">
        <v>116000</v>
      </c>
      <c r="L784" s="10">
        <v>3</v>
      </c>
      <c r="M784" s="10">
        <v>348000</v>
      </c>
      <c r="N784" s="10">
        <v>0</v>
      </c>
      <c r="O784" s="67">
        <v>45657</v>
      </c>
      <c r="P784" s="10">
        <v>2024</v>
      </c>
      <c r="Q784" s="10">
        <v>12</v>
      </c>
      <c r="R784" s="10" t="str">
        <v>SURVEI-PPL</v>
      </c>
      <c r="S784" s="10" t="str">
        <v>610422100131-2024-12</v>
      </c>
      <c r="T784" s="10" t="str">
        <v>610422100131-2024-12-SURVEI-PPL</v>
      </c>
      <c r="U784" s="10">
        <v>0</v>
      </c>
      <c r="V784" s="10" t="e">
        <f ca="1"/>
        <v>#NAME?</v>
      </c>
      <c r="W784" s="67">
        <v>0</v>
      </c>
      <c r="X784" s="11" t="str">
        <v>Kerangka Sampel Area (KSA) 2024 Desember</v>
      </c>
      <c r="Y784" s="11" t="str">
        <v>SUNGAI KUNYIT</v>
      </c>
      <c r="Z784" s="11" t="str">
        <v>SUNGAI KUNYIT LAUT</v>
      </c>
      <c r="AA784" s="67">
        <v>45626</v>
      </c>
      <c r="AB784" s="67">
        <v>45627</v>
      </c>
      <c r="AC784" s="67">
        <v>45657</v>
      </c>
      <c r="AD784" s="67">
        <v>45656</v>
      </c>
      <c r="AE784" s="67">
        <v>45657</v>
      </c>
    </row>
    <row r="785" spans="1:31" ht="12.5">
      <c r="A785" s="10">
        <v>610422100244</v>
      </c>
      <c r="B785" s="10" t="str">
        <v>KSA24-LAPANGAN-DESEMBER</v>
      </c>
      <c r="C785" s="10">
        <v>0</v>
      </c>
      <c r="D785" s="10">
        <f ca="1"/>
        <v>1</v>
      </c>
      <c r="E785" s="10" t="str">
        <v>Sugianto</v>
      </c>
      <c r="F785" s="10" t="str">
        <v>PPL</v>
      </c>
      <c r="G785" s="10" t="str">
        <v>6102171003900002</v>
      </c>
      <c r="H785" s="10" t="str">
        <v>KSA PADI</v>
      </c>
      <c r="I785" s="10" t="str">
        <v>KSA24-LAPANGAN-DESEMBER-PPL-KSA PADI</v>
      </c>
      <c r="J785" s="10" t="str">
        <v>Segmen</v>
      </c>
      <c r="K785" s="66">
        <v>116000</v>
      </c>
      <c r="L785" s="10">
        <v>3</v>
      </c>
      <c r="M785" s="10">
        <v>348000</v>
      </c>
      <c r="N785" s="10">
        <v>0</v>
      </c>
      <c r="O785" s="67">
        <v>45657</v>
      </c>
      <c r="P785" s="10">
        <v>2024</v>
      </c>
      <c r="Q785" s="10">
        <v>12</v>
      </c>
      <c r="R785" s="10" t="str">
        <v>SURVEI-PPL</v>
      </c>
      <c r="S785" s="10" t="str">
        <v>610422100244-2024-12</v>
      </c>
      <c r="T785" s="10" t="str">
        <v>610422100244-2024-12-SURVEI-PPL</v>
      </c>
      <c r="U785" s="10">
        <v>0</v>
      </c>
      <c r="V785" s="10" t="e">
        <f ca="1"/>
        <v>#NAME?</v>
      </c>
      <c r="W785" s="67">
        <v>0</v>
      </c>
      <c r="X785" s="11" t="str">
        <v>Kerangka Sampel Area (KSA) 2024 Desember</v>
      </c>
      <c r="Y785" s="11" t="str">
        <v>SADANIANG</v>
      </c>
      <c r="Z785" s="11" t="str">
        <v>BUMBUN</v>
      </c>
      <c r="AA785" s="67">
        <v>45626</v>
      </c>
      <c r="AB785" s="67">
        <v>45627</v>
      </c>
      <c r="AC785" s="67">
        <v>45657</v>
      </c>
      <c r="AD785" s="67">
        <v>45656</v>
      </c>
      <c r="AE785" s="67">
        <v>45657</v>
      </c>
    </row>
    <row r="786" spans="1:31" ht="12.5">
      <c r="A786" s="10">
        <v>610422100176</v>
      </c>
      <c r="B786" s="10" t="str">
        <v>KSA24-LAPANGAN-DESEMBER</v>
      </c>
      <c r="C786" s="10">
        <v>0</v>
      </c>
      <c r="D786" s="10">
        <f ca="1"/>
        <v>1</v>
      </c>
      <c r="E786" s="10" t="str">
        <v>Feri Firdaus</v>
      </c>
      <c r="F786" s="10" t="str">
        <v>PPL</v>
      </c>
      <c r="G786" s="10" t="str">
        <v>6102150412880001</v>
      </c>
      <c r="H786" s="10" t="str">
        <v>KSA PADI</v>
      </c>
      <c r="I786" s="10" t="str">
        <v>KSA24-LAPANGAN-DESEMBER-PPL-KSA PADI</v>
      </c>
      <c r="J786" s="10" t="str">
        <v>Segmen</v>
      </c>
      <c r="K786" s="66">
        <v>116000</v>
      </c>
      <c r="L786" s="10">
        <v>3</v>
      </c>
      <c r="M786" s="10">
        <v>348000</v>
      </c>
      <c r="N786" s="10">
        <v>0</v>
      </c>
      <c r="O786" s="67">
        <v>45657</v>
      </c>
      <c r="P786" s="10">
        <v>2024</v>
      </c>
      <c r="Q786" s="10">
        <v>12</v>
      </c>
      <c r="R786" s="10" t="str">
        <v>SURVEI-PPL</v>
      </c>
      <c r="S786" s="10" t="str">
        <v>610422100176-2024-12</v>
      </c>
      <c r="T786" s="10" t="str">
        <v>610422100176-2024-12-SURVEI-PPL</v>
      </c>
      <c r="U786" s="10">
        <v>0</v>
      </c>
      <c r="V786" s="10" t="e">
        <f ca="1"/>
        <v>#NAME?</v>
      </c>
      <c r="W786" s="67">
        <v>0</v>
      </c>
      <c r="X786" s="11" t="str">
        <v>Kerangka Sampel Area (KSA) 2024 Desember</v>
      </c>
      <c r="Y786" s="11" t="str">
        <v>SEGEDONG</v>
      </c>
      <c r="Z786" s="11" t="str">
        <v>SUNGAI BURUNG</v>
      </c>
      <c r="AA786" s="67">
        <v>45626</v>
      </c>
      <c r="AB786" s="67">
        <v>45627</v>
      </c>
      <c r="AC786" s="67">
        <v>45657</v>
      </c>
      <c r="AD786" s="67">
        <v>45656</v>
      </c>
      <c r="AE786" s="67">
        <v>45657</v>
      </c>
    </row>
    <row r="787" spans="1:31" ht="12.5">
      <c r="A787" s="10">
        <v>610423110183</v>
      </c>
      <c r="B787" s="10" t="str">
        <v>KSA24-LAPANGAN-DESEMBER</v>
      </c>
      <c r="C787" s="10">
        <v>0</v>
      </c>
      <c r="D787" s="10">
        <f ca="1"/>
        <v>1</v>
      </c>
      <c r="E787" s="10" t="str">
        <v>Azhar</v>
      </c>
      <c r="F787" s="10" t="str">
        <v>PPL</v>
      </c>
      <c r="G787" s="10" t="str">
        <v>6102081211790004</v>
      </c>
      <c r="H787" s="10" t="str">
        <v>KSA PADI</v>
      </c>
      <c r="I787" s="10" t="str">
        <v>KSA24-LAPANGAN-DESEMBER-PPL-KSA PADI</v>
      </c>
      <c r="J787" s="10" t="str">
        <v>Segmen</v>
      </c>
      <c r="K787" s="66">
        <v>116000</v>
      </c>
      <c r="L787" s="10">
        <v>6</v>
      </c>
      <c r="M787" s="10">
        <v>696000</v>
      </c>
      <c r="N787" s="10">
        <v>0</v>
      </c>
      <c r="O787" s="67">
        <v>45657</v>
      </c>
      <c r="P787" s="10">
        <v>2024</v>
      </c>
      <c r="Q787" s="10">
        <v>12</v>
      </c>
      <c r="R787" s="10" t="str">
        <v>SURVEI-PPL</v>
      </c>
      <c r="S787" s="10" t="str">
        <v>610423110183-2024-12</v>
      </c>
      <c r="T787" s="10" t="str">
        <v>610423110183-2024-12-SURVEI-PPL</v>
      </c>
      <c r="U787" s="10">
        <v>0</v>
      </c>
      <c r="V787" s="10" t="e">
        <f ca="1"/>
        <v>#NAME?</v>
      </c>
      <c r="W787" s="67">
        <v>0</v>
      </c>
      <c r="X787" s="11" t="str">
        <v>Kerangka Sampel Area (KSA) 2024 Desember</v>
      </c>
      <c r="Y787" s="11" t="str">
        <v>JONGKAT</v>
      </c>
      <c r="Z787" s="11" t="str">
        <v>SUNGAI NIPAH</v>
      </c>
      <c r="AA787" s="67">
        <v>45626</v>
      </c>
      <c r="AB787" s="67">
        <v>45627</v>
      </c>
      <c r="AC787" s="67">
        <v>45657</v>
      </c>
      <c r="AD787" s="67">
        <v>45656</v>
      </c>
      <c r="AE787" s="67">
        <v>45657</v>
      </c>
    </row>
    <row r="788" spans="1:31" ht="12.5">
      <c r="A788" s="10">
        <v>610423040018</v>
      </c>
      <c r="B788" s="10" t="str">
        <v>KSA24-LAPANGAN-DESEMBER</v>
      </c>
      <c r="C788" s="10">
        <v>0</v>
      </c>
      <c r="D788" s="10">
        <f ca="1"/>
        <v>1</v>
      </c>
      <c r="E788" s="10" t="str">
        <v>Handoko Tuah Sabarman Sipayung</v>
      </c>
      <c r="F788" s="10" t="str">
        <v>PPL</v>
      </c>
      <c r="G788" s="10" t="str">
        <v>1212092309880001</v>
      </c>
      <c r="H788" s="10" t="str">
        <v>KSA PADI</v>
      </c>
      <c r="I788" s="10" t="str">
        <v>KSA24-LAPANGAN-DESEMBER-PPL-KSA PADI</v>
      </c>
      <c r="J788" s="10" t="str">
        <v>Segmen</v>
      </c>
      <c r="K788" s="66">
        <v>116000</v>
      </c>
      <c r="L788" s="10">
        <v>4</v>
      </c>
      <c r="M788" s="10">
        <v>464000</v>
      </c>
      <c r="N788" s="10">
        <v>0</v>
      </c>
      <c r="O788" s="67">
        <v>45657</v>
      </c>
      <c r="P788" s="10">
        <v>2024</v>
      </c>
      <c r="Q788" s="10">
        <v>12</v>
      </c>
      <c r="R788" s="10" t="str">
        <v>SURVEI-PPL</v>
      </c>
      <c r="S788" s="10" t="str">
        <v>610423040018-2024-12</v>
      </c>
      <c r="T788" s="10" t="str">
        <v>610423040018-2024-12-SURVEI-PPL</v>
      </c>
      <c r="U788" s="10">
        <v>0</v>
      </c>
      <c r="V788" s="10" t="e">
        <f ca="1"/>
        <v>#NAME?</v>
      </c>
      <c r="W788" s="67">
        <v>0</v>
      </c>
      <c r="X788" s="11" t="str">
        <v>Kerangka Sampel Area (KSA) 2024 Desember</v>
      </c>
      <c r="Y788" s="11" t="str">
        <v>TOHO</v>
      </c>
      <c r="Z788" s="11" t="str">
        <v>PAK LAHENG</v>
      </c>
      <c r="AA788" s="67">
        <v>45626</v>
      </c>
      <c r="AB788" s="67">
        <v>45627</v>
      </c>
      <c r="AC788" s="67">
        <v>45657</v>
      </c>
      <c r="AD788" s="67">
        <v>45656</v>
      </c>
      <c r="AE788" s="67">
        <v>45657</v>
      </c>
    </row>
    <row r="789" spans="1:31" ht="12.5">
      <c r="A789" s="10">
        <v>610422040059</v>
      </c>
      <c r="B789" s="10" t="str">
        <v>KSA24-LAPANGAN-DESEMBER</v>
      </c>
      <c r="C789" s="10">
        <v>0</v>
      </c>
      <c r="D789" s="10">
        <f ca="1"/>
        <v>1</v>
      </c>
      <c r="E789" s="10" t="str">
        <v>Abang Handri</v>
      </c>
      <c r="F789" s="10" t="str">
        <v>PPL</v>
      </c>
      <c r="G789" s="10" t="str">
        <v>6102072211780002</v>
      </c>
      <c r="H789" s="10" t="str">
        <v>KSA JAGUNG</v>
      </c>
      <c r="I789" s="10" t="str">
        <v>KSA24-LAPANGAN-DESEMBER-PPL-KSA JAGUNG</v>
      </c>
      <c r="J789" s="10" t="str">
        <v>Segmen</v>
      </c>
      <c r="K789" s="66">
        <v>59000</v>
      </c>
      <c r="L789" s="10">
        <v>6</v>
      </c>
      <c r="M789" s="10">
        <v>354000</v>
      </c>
      <c r="N789" s="10">
        <v>0</v>
      </c>
      <c r="O789" s="67">
        <v>45657</v>
      </c>
      <c r="P789" s="10">
        <v>2024</v>
      </c>
      <c r="Q789" s="10">
        <v>12</v>
      </c>
      <c r="R789" s="10" t="str">
        <v>SURVEI-PPL</v>
      </c>
      <c r="S789" s="10" t="str">
        <v>610422040059-2024-12</v>
      </c>
      <c r="T789" s="10" t="str">
        <v>610422040059-2024-12-SURVEI-PPL</v>
      </c>
      <c r="U789" s="10">
        <v>0</v>
      </c>
      <c r="V789" s="10" t="e">
        <f ca="1"/>
        <v>#NAME?</v>
      </c>
      <c r="W789" s="67">
        <v>0</v>
      </c>
      <c r="X789" s="11" t="str">
        <v>Kerangka Sampel Area (KSA) 2024 Desember</v>
      </c>
      <c r="Y789" s="11" t="str">
        <v>MEMPAWAH HILIR</v>
      </c>
      <c r="Z789" s="11" t="str">
        <v>TERUSAN</v>
      </c>
      <c r="AA789" s="67">
        <v>45626</v>
      </c>
      <c r="AB789" s="67">
        <v>45627</v>
      </c>
      <c r="AC789" s="67">
        <v>45657</v>
      </c>
      <c r="AD789" s="67">
        <v>45656</v>
      </c>
      <c r="AE789" s="67">
        <v>45657</v>
      </c>
    </row>
    <row r="790" spans="1:31" ht="12.5">
      <c r="A790" s="10">
        <v>610422020048</v>
      </c>
      <c r="B790" s="10" t="str">
        <v>KSA24-LAPANGAN-DESEMBER</v>
      </c>
      <c r="C790" s="10">
        <v>0</v>
      </c>
      <c r="D790" s="10">
        <f ca="1"/>
        <v>1</v>
      </c>
      <c r="E790" s="10" t="str">
        <v>Herri Gustaman</v>
      </c>
      <c r="F790" s="10" t="str">
        <v>PPL</v>
      </c>
      <c r="G790" s="10" t="str">
        <v>6102072503800001</v>
      </c>
      <c r="H790" s="10" t="str">
        <v>KSA JAGUNG</v>
      </c>
      <c r="I790" s="10" t="str">
        <v>KSA24-LAPANGAN-DESEMBER-PPL-KSA JAGUNG</v>
      </c>
      <c r="J790" s="10" t="str">
        <v>Segmen</v>
      </c>
      <c r="K790" s="66">
        <v>59000</v>
      </c>
      <c r="L790" s="10">
        <v>6</v>
      </c>
      <c r="M790" s="10">
        <v>354000</v>
      </c>
      <c r="N790" s="10">
        <v>0</v>
      </c>
      <c r="O790" s="67">
        <v>45657</v>
      </c>
      <c r="P790" s="10">
        <v>2024</v>
      </c>
      <c r="Q790" s="10">
        <v>12</v>
      </c>
      <c r="R790" s="10" t="str">
        <v>SURVEI-PPL</v>
      </c>
      <c r="S790" s="10" t="str">
        <v>610422020048-2024-12</v>
      </c>
      <c r="T790" s="10" t="str">
        <v>610422020048-2024-12-SURVEI-PPL</v>
      </c>
      <c r="U790" s="10">
        <v>0</v>
      </c>
      <c r="V790" s="10" t="e">
        <f ca="1"/>
        <v>#NAME?</v>
      </c>
      <c r="W790" s="67">
        <v>0</v>
      </c>
      <c r="X790" s="11" t="str">
        <v>Kerangka Sampel Area (KSA) 2024 Desember</v>
      </c>
      <c r="Y790" s="11" t="str">
        <v>MEMPAWAH TIMUR</v>
      </c>
      <c r="Z790" s="11" t="str">
        <v>SEJEGI</v>
      </c>
      <c r="AA790" s="67">
        <v>45626</v>
      </c>
      <c r="AB790" s="67">
        <v>45627</v>
      </c>
      <c r="AC790" s="67">
        <v>45657</v>
      </c>
      <c r="AD790" s="67">
        <v>45656</v>
      </c>
      <c r="AE790" s="67">
        <v>45657</v>
      </c>
    </row>
    <row r="791" spans="1:31" ht="12.5">
      <c r="A791" s="10">
        <v>610422040058</v>
      </c>
      <c r="B791" s="10" t="str">
        <v>KSA24-LAPANGAN-DESEMBER</v>
      </c>
      <c r="C791" s="10">
        <v>0</v>
      </c>
      <c r="D791" s="10" t="e">
        <f ca="1"/>
        <v>#N/A</v>
      </c>
      <c r="E791" s="10" t="str">
        <v>Jamaluddin, Sp</v>
      </c>
      <c r="F791" s="10" t="str">
        <v>PPL</v>
      </c>
      <c r="G791" s="10" t="str">
        <v>6102152607940002</v>
      </c>
      <c r="H791" s="10" t="str">
        <v>KSA JAGUNG</v>
      </c>
      <c r="I791" s="10" t="str">
        <v>KSA24-LAPANGAN-DESEMBER-PPL-KSA JAGUNG</v>
      </c>
      <c r="J791" s="10" t="str">
        <v>Segmen</v>
      </c>
      <c r="K791" s="66">
        <v>59000</v>
      </c>
      <c r="L791" s="10">
        <v>10</v>
      </c>
      <c r="M791" s="10">
        <v>590000</v>
      </c>
      <c r="N791" s="10">
        <v>0</v>
      </c>
      <c r="O791" s="67">
        <v>45657</v>
      </c>
      <c r="P791" s="10">
        <v>2024</v>
      </c>
      <c r="Q791" s="10">
        <v>12</v>
      </c>
      <c r="R791" s="10" t="str">
        <v>SURVEI-PPL</v>
      </c>
      <c r="S791" s="10" t="str">
        <v>610422040058-2024-12</v>
      </c>
      <c r="T791" s="10" t="str">
        <v>610422040058-2024-12-SURVEI-PPL</v>
      </c>
      <c r="U791" s="10">
        <v>0</v>
      </c>
      <c r="V791" s="10" t="e">
        <f ca="1"/>
        <v>#NAME?</v>
      </c>
      <c r="W791" s="67">
        <v>0</v>
      </c>
      <c r="X791" s="11" t="str">
        <v>Kerangka Sampel Area (KSA) 2024 Desember</v>
      </c>
      <c r="Y791" s="11" t="str">
        <v>SEGEDONG</v>
      </c>
      <c r="Z791" s="11" t="str">
        <v>PENITI DALAM I</v>
      </c>
      <c r="AA791" s="67">
        <v>45626</v>
      </c>
      <c r="AB791" s="67">
        <v>45627</v>
      </c>
      <c r="AC791" s="67">
        <v>45657</v>
      </c>
      <c r="AD791" s="67">
        <v>45656</v>
      </c>
      <c r="AE791" s="67">
        <v>45657</v>
      </c>
    </row>
    <row r="792" spans="1:31" ht="12.5">
      <c r="A792" s="10">
        <v>610423110183</v>
      </c>
      <c r="B792" s="10" t="str">
        <v>KSA24-LAPANGAN-DESEMBER</v>
      </c>
      <c r="C792" s="10">
        <v>0</v>
      </c>
      <c r="D792" s="10">
        <f ca="1"/>
        <v>1</v>
      </c>
      <c r="E792" s="10" t="str">
        <v>Azhar</v>
      </c>
      <c r="F792" s="10" t="str">
        <v>PPL</v>
      </c>
      <c r="G792" s="10" t="str">
        <v>6102081211790004</v>
      </c>
      <c r="H792" s="10" t="str">
        <v>KSA JAGUNG</v>
      </c>
      <c r="I792" s="10" t="str">
        <v>KSA24-LAPANGAN-DESEMBER-PPL-KSA JAGUNG</v>
      </c>
      <c r="J792" s="10" t="str">
        <v>Segmen</v>
      </c>
      <c r="K792" s="66">
        <v>59000</v>
      </c>
      <c r="L792" s="10">
        <v>6</v>
      </c>
      <c r="M792" s="10">
        <v>354000</v>
      </c>
      <c r="N792" s="10">
        <v>0</v>
      </c>
      <c r="O792" s="67">
        <v>45657</v>
      </c>
      <c r="P792" s="10">
        <v>2024</v>
      </c>
      <c r="Q792" s="10">
        <v>12</v>
      </c>
      <c r="R792" s="10" t="str">
        <v>SURVEI-PPL</v>
      </c>
      <c r="S792" s="10" t="str">
        <v>610423110183-2024-12</v>
      </c>
      <c r="T792" s="10" t="str">
        <v>610423110183-2024-12-SURVEI-PPL</v>
      </c>
      <c r="U792" s="10">
        <v>0</v>
      </c>
      <c r="V792" s="10" t="e">
        <f ca="1"/>
        <v>#NAME?</v>
      </c>
      <c r="W792" s="67">
        <v>0</v>
      </c>
      <c r="X792" s="11" t="str">
        <v>Kerangka Sampel Area (KSA) 2024 Desember</v>
      </c>
      <c r="Y792" s="11" t="str">
        <v>JONGKAT</v>
      </c>
      <c r="Z792" s="11" t="str">
        <v>SUNGAI NIPAH</v>
      </c>
      <c r="AA792" s="67">
        <v>45626</v>
      </c>
      <c r="AB792" s="67">
        <v>45627</v>
      </c>
      <c r="AC792" s="67">
        <v>45657</v>
      </c>
      <c r="AD792" s="67">
        <v>45656</v>
      </c>
      <c r="AE792" s="67">
        <v>45657</v>
      </c>
    </row>
    <row r="793" spans="1:31" ht="12.5">
      <c r="A793" s="10">
        <v>610422100244</v>
      </c>
      <c r="B793" s="10" t="str">
        <v>KSA24-LAPANGAN-DESEMBER</v>
      </c>
      <c r="C793" s="10">
        <v>0</v>
      </c>
      <c r="D793" s="10">
        <f ca="1"/>
        <v>1</v>
      </c>
      <c r="E793" s="10" t="str">
        <v>Sugianto</v>
      </c>
      <c r="F793" s="10" t="str">
        <v>PPL</v>
      </c>
      <c r="G793" s="10" t="str">
        <v>6102171003900002</v>
      </c>
      <c r="H793" s="10" t="str">
        <v>KSA JAGUNG</v>
      </c>
      <c r="I793" s="10" t="str">
        <v>KSA24-LAPANGAN-DESEMBER-PPL-KSA JAGUNG</v>
      </c>
      <c r="J793" s="10" t="str">
        <v>Segmen</v>
      </c>
      <c r="K793" s="66">
        <v>59000</v>
      </c>
      <c r="L793" s="10">
        <v>8</v>
      </c>
      <c r="M793" s="10">
        <v>472000</v>
      </c>
      <c r="N793" s="10">
        <v>0</v>
      </c>
      <c r="O793" s="67">
        <v>45657</v>
      </c>
      <c r="P793" s="10">
        <v>2024</v>
      </c>
      <c r="Q793" s="10">
        <v>12</v>
      </c>
      <c r="R793" s="10" t="str">
        <v>SURVEI-PPL</v>
      </c>
      <c r="S793" s="10" t="str">
        <v>610422100244-2024-12</v>
      </c>
      <c r="T793" s="10" t="str">
        <v>610422100244-2024-12-SURVEI-PPL</v>
      </c>
      <c r="U793" s="10">
        <v>0</v>
      </c>
      <c r="V793" s="10" t="e">
        <f ca="1"/>
        <v>#NAME?</v>
      </c>
      <c r="W793" s="67">
        <v>0</v>
      </c>
      <c r="X793" s="11" t="str">
        <v>Kerangka Sampel Area (KSA) 2024 Desember</v>
      </c>
      <c r="Y793" s="11" t="str">
        <v>SADANIANG</v>
      </c>
      <c r="Z793" s="11" t="str">
        <v>BUMBUN</v>
      </c>
      <c r="AA793" s="67">
        <v>45626</v>
      </c>
      <c r="AB793" s="67">
        <v>45627</v>
      </c>
      <c r="AC793" s="67">
        <v>45657</v>
      </c>
      <c r="AD793" s="67">
        <v>45656</v>
      </c>
      <c r="AE793" s="67">
        <v>45657</v>
      </c>
    </row>
    <row r="794" spans="1:31" ht="12.5">
      <c r="A794" s="10">
        <v>610422040056</v>
      </c>
      <c r="B794" s="10" t="str">
        <v>SKLNPT24-LAPANGAN-TRI4</v>
      </c>
      <c r="C794" s="10">
        <v>0</v>
      </c>
      <c r="D794" s="10">
        <f ca="1"/>
        <v>1</v>
      </c>
      <c r="E794" s="10" t="str">
        <v>Wandi Syafari</v>
      </c>
      <c r="F794" s="10" t="str">
        <v>PPL</v>
      </c>
      <c r="G794" s="10" t="str">
        <v>6102010802760001</v>
      </c>
      <c r="H794" s="10" t="str">
        <v>PENDATAAN</v>
      </c>
      <c r="I794" s="10" t="str">
        <v>SKLNPT24-LAPANGAN-TRI4-PPL-PENDATAAN</v>
      </c>
      <c r="J794" s="10" t="str">
        <v>Dokumen</v>
      </c>
      <c r="K794" s="66">
        <v>65000</v>
      </c>
      <c r="L794" s="10">
        <v>10</v>
      </c>
      <c r="M794" s="10">
        <v>650000</v>
      </c>
      <c r="N794" s="10">
        <v>0</v>
      </c>
      <c r="O794" s="67">
        <v>45657</v>
      </c>
      <c r="P794" s="10">
        <v>2024</v>
      </c>
      <c r="Q794" s="10">
        <v>12</v>
      </c>
      <c r="R794" s="10" t="str">
        <v>SURVEI-PPL</v>
      </c>
      <c r="S794" s="10" t="str">
        <v>610422040056-2024-12</v>
      </c>
      <c r="T794" s="10" t="str">
        <v>610422040056-2024-12-SURVEI-PPL</v>
      </c>
      <c r="U794" s="10">
        <v>1</v>
      </c>
      <c r="V794" s="10" t="e">
        <f ca="1"/>
        <v>#NAME?</v>
      </c>
      <c r="W794" s="67">
        <v>0</v>
      </c>
      <c r="X794" s="11" t="str">
        <v>Survei Khusus Lembaga Nonprofit yang Melayani Rumah Tangga 2024 (SKLNPT24) Triwulan IV</v>
      </c>
      <c r="Y794" s="11" t="str">
        <v>MEMPAWAH HILIR</v>
      </c>
      <c r="Z794" s="11" t="str">
        <v>TERUSAN</v>
      </c>
      <c r="AA794" s="67">
        <v>45626</v>
      </c>
      <c r="AB794" s="67">
        <v>45627</v>
      </c>
      <c r="AC794" s="67">
        <v>45657</v>
      </c>
      <c r="AD794" s="67">
        <v>45656</v>
      </c>
      <c r="AE794" s="67">
        <v>45657</v>
      </c>
    </row>
    <row r="795" spans="1:31" ht="12.5">
      <c r="A795" s="10">
        <v>610422040029</v>
      </c>
      <c r="B795" s="10" t="str">
        <v>SKTNP24-LAPANGAN-TRI4</v>
      </c>
      <c r="C795" s="10">
        <v>0</v>
      </c>
      <c r="D795" s="10" t="e">
        <f ca="1"/>
        <v>#N/A</v>
      </c>
      <c r="E795" s="10" t="str">
        <v>Zaini</v>
      </c>
      <c r="F795" s="10" t="str">
        <v>PPL</v>
      </c>
      <c r="G795" s="10" t="str">
        <v>6102010607870002</v>
      </c>
      <c r="H795" s="10" t="str">
        <v>PENDATAAN</v>
      </c>
      <c r="I795" s="10" t="str">
        <v>SKTNP24-LAPANGAN-TRI4-PPL-PENDATAAN BARANG</v>
      </c>
      <c r="J795" s="10" t="str">
        <v>Dokumen</v>
      </c>
      <c r="K795" s="66">
        <v>55000</v>
      </c>
      <c r="L795" s="10">
        <v>1</v>
      </c>
      <c r="M795" s="10">
        <v>55000</v>
      </c>
      <c r="N795" s="10">
        <v>0</v>
      </c>
      <c r="O795" s="67">
        <v>45688</v>
      </c>
      <c r="P795" s="10">
        <v>2025</v>
      </c>
      <c r="Q795" s="10">
        <v>1</v>
      </c>
      <c r="R795" s="10" t="str">
        <v>SURVEI-PPL</v>
      </c>
      <c r="S795" s="10" t="str">
        <v>610422040029-2025-1</v>
      </c>
      <c r="T795" s="10" t="str">
        <v>610422040029-2025-1-SURVEI-PPL</v>
      </c>
      <c r="U795" s="10">
        <v>0</v>
      </c>
      <c r="V795" s="10" t="e">
        <f ca="1"/>
        <v>#NAME?</v>
      </c>
      <c r="W795" s="67">
        <v>0</v>
      </c>
      <c r="X795" s="11" t="str">
        <v>Survei Khusus Triwulan Neraca Produksi Barang Jasa (SKTNP) 2024 Triwulan IV</v>
      </c>
      <c r="Y795" s="11" t="str">
        <v>MEMPAWAH HILIR</v>
      </c>
      <c r="Z795" s="11" t="str">
        <v>TENGAH</v>
      </c>
      <c r="AA795" s="67">
        <v>45657</v>
      </c>
      <c r="AB795" s="67">
        <v>45658</v>
      </c>
      <c r="AC795" s="67">
        <v>45688</v>
      </c>
      <c r="AD795" s="67">
        <v>45687</v>
      </c>
      <c r="AE795" s="67">
        <v>45688</v>
      </c>
    </row>
    <row r="796" spans="1:31" ht="12.5">
      <c r="A796" s="10">
        <v>610422040029</v>
      </c>
      <c r="B796" s="10" t="str">
        <v>SKTNP24-LAPANGAN-TRI4</v>
      </c>
      <c r="C796" s="10">
        <v>0</v>
      </c>
      <c r="D796" s="10" t="e">
        <f ca="1"/>
        <v>#N/A</v>
      </c>
      <c r="E796" s="10" t="str">
        <v>Zaini</v>
      </c>
      <c r="F796" s="10" t="str">
        <v>PPL</v>
      </c>
      <c r="G796" s="10" t="str">
        <v>6102010607870002</v>
      </c>
      <c r="H796" s="10" t="str">
        <v>PENDATAAN</v>
      </c>
      <c r="I796" s="10" t="str">
        <v>SKTNP24-LAPANGAN-TRI4-PPL-PENDATAAN JASA</v>
      </c>
      <c r="J796" s="10" t="str">
        <v>Dokumen</v>
      </c>
      <c r="K796" s="66">
        <v>55000</v>
      </c>
      <c r="L796" s="10">
        <v>2</v>
      </c>
      <c r="M796" s="10">
        <v>110000</v>
      </c>
      <c r="N796" s="10">
        <v>0</v>
      </c>
      <c r="O796" s="67">
        <v>45688</v>
      </c>
      <c r="P796" s="10">
        <v>2025</v>
      </c>
      <c r="Q796" s="10">
        <v>1</v>
      </c>
      <c r="R796" s="10" t="str">
        <v>SURVEI-PPL</v>
      </c>
      <c r="S796" s="10" t="str">
        <v>610422040029-2025-1</v>
      </c>
      <c r="T796" s="10" t="str">
        <v>610422040029-2025-1-SURVEI-PPL</v>
      </c>
      <c r="U796" s="10">
        <v>0</v>
      </c>
      <c r="V796" s="10" t="e">
        <f ca="1"/>
        <v>#NAME?</v>
      </c>
      <c r="W796" s="67">
        <v>0</v>
      </c>
      <c r="X796" s="11" t="str">
        <v>Survei Khusus Triwulan Neraca Produksi Barang Jasa (SKTNP) 2024 Triwulan IV</v>
      </c>
      <c r="Y796" s="11" t="str">
        <v>MEMPAWAH HILIR</v>
      </c>
      <c r="Z796" s="11" t="str">
        <v>TENGAH</v>
      </c>
      <c r="AA796" s="67">
        <v>45657</v>
      </c>
      <c r="AB796" s="67">
        <v>45658</v>
      </c>
      <c r="AC796" s="67">
        <v>45688</v>
      </c>
      <c r="AD796" s="67">
        <v>45687</v>
      </c>
      <c r="AE796" s="67">
        <v>45688</v>
      </c>
    </row>
    <row r="797" spans="1:31" ht="12.5">
      <c r="A797" s="10">
        <v>0</v>
      </c>
      <c r="B797" s="10">
        <v>0</v>
      </c>
      <c r="C797" s="10">
        <v>0</v>
      </c>
      <c r="D797" s="10">
        <v>0</v>
      </c>
      <c r="E797" s="10">
        <v>0</v>
      </c>
      <c r="F797" s="10">
        <v>0</v>
      </c>
      <c r="G797" s="10">
        <v>0</v>
      </c>
      <c r="H797" s="10">
        <v>0</v>
      </c>
      <c r="I797" s="10">
        <v>0</v>
      </c>
      <c r="J797" s="10">
        <v>0</v>
      </c>
      <c r="K797" s="66">
        <v>0</v>
      </c>
      <c r="L797" s="10">
        <v>0</v>
      </c>
      <c r="M797" s="10">
        <v>0</v>
      </c>
      <c r="N797" s="70">
        <v>0</v>
      </c>
      <c r="O797" s="67">
        <v>0</v>
      </c>
      <c r="P797" s="10">
        <v>0</v>
      </c>
      <c r="Q797" s="10">
        <v>0</v>
      </c>
      <c r="R797" s="10">
        <v>0</v>
      </c>
      <c r="S797" s="10">
        <v>0</v>
      </c>
      <c r="T797" s="10">
        <v>0</v>
      </c>
      <c r="U797" s="10">
        <v>0</v>
      </c>
      <c r="V797" s="10">
        <v>0</v>
      </c>
      <c r="W797" s="67">
        <v>0</v>
      </c>
      <c r="X797" s="10">
        <v>0</v>
      </c>
      <c r="Y797" s="10">
        <v>0</v>
      </c>
      <c r="Z797" s="10">
        <v>0</v>
      </c>
      <c r="AA797" s="67">
        <v>0</v>
      </c>
      <c r="AB797" s="67">
        <v>0</v>
      </c>
      <c r="AC797" s="67">
        <v>0</v>
      </c>
      <c r="AD797" s="67">
        <v>0</v>
      </c>
      <c r="AE797" s="67">
        <v>0</v>
      </c>
    </row>
    <row r="798" spans="1:31" ht="12.5">
      <c r="A798" s="10">
        <v>0</v>
      </c>
      <c r="B798" s="10">
        <v>0</v>
      </c>
      <c r="C798" s="10">
        <v>0</v>
      </c>
      <c r="D798" s="10">
        <v>0</v>
      </c>
      <c r="E798" s="10">
        <v>0</v>
      </c>
      <c r="F798" s="10">
        <v>0</v>
      </c>
      <c r="G798" s="10">
        <v>0</v>
      </c>
      <c r="H798" s="10">
        <v>0</v>
      </c>
      <c r="I798" s="10">
        <v>0</v>
      </c>
      <c r="J798" s="10">
        <v>0</v>
      </c>
      <c r="K798" s="66">
        <v>0</v>
      </c>
      <c r="L798" s="10">
        <v>0</v>
      </c>
      <c r="M798" s="10">
        <v>0</v>
      </c>
      <c r="N798" s="70">
        <v>0</v>
      </c>
      <c r="O798" s="67">
        <v>0</v>
      </c>
      <c r="P798" s="10">
        <v>0</v>
      </c>
      <c r="Q798" s="10">
        <v>0</v>
      </c>
      <c r="R798" s="10">
        <v>0</v>
      </c>
      <c r="S798" s="10">
        <v>0</v>
      </c>
      <c r="T798" s="10">
        <v>0</v>
      </c>
      <c r="U798" s="10">
        <v>0</v>
      </c>
      <c r="V798" s="10">
        <v>0</v>
      </c>
      <c r="W798" s="67">
        <v>0</v>
      </c>
      <c r="X798" s="10">
        <v>0</v>
      </c>
      <c r="Y798" s="10">
        <v>0</v>
      </c>
      <c r="Z798" s="10">
        <v>0</v>
      </c>
      <c r="AA798" s="67">
        <v>0</v>
      </c>
      <c r="AB798" s="67">
        <v>0</v>
      </c>
      <c r="AC798" s="67">
        <v>0</v>
      </c>
      <c r="AD798" s="67">
        <v>0</v>
      </c>
      <c r="AE798" s="67">
        <v>0</v>
      </c>
    </row>
    <row r="799" spans="1:31" ht="12.5">
      <c r="A799" s="10">
        <v>0</v>
      </c>
      <c r="B799" s="10">
        <v>0</v>
      </c>
      <c r="C799" s="10">
        <v>0</v>
      </c>
      <c r="D799" s="10">
        <v>0</v>
      </c>
      <c r="E799" s="10">
        <v>0</v>
      </c>
      <c r="F799" s="10">
        <v>0</v>
      </c>
      <c r="G799" s="10">
        <v>0</v>
      </c>
      <c r="H799" s="10">
        <v>0</v>
      </c>
      <c r="I799" s="10">
        <v>0</v>
      </c>
      <c r="J799" s="10">
        <v>0</v>
      </c>
      <c r="K799" s="66">
        <v>0</v>
      </c>
      <c r="L799" s="10">
        <v>0</v>
      </c>
      <c r="M799" s="10">
        <v>0</v>
      </c>
      <c r="N799" s="70">
        <v>0</v>
      </c>
      <c r="O799" s="67">
        <v>0</v>
      </c>
      <c r="P799" s="10">
        <v>0</v>
      </c>
      <c r="Q799" s="10">
        <v>0</v>
      </c>
      <c r="R799" s="10">
        <v>0</v>
      </c>
      <c r="S799" s="10">
        <v>0</v>
      </c>
      <c r="T799" s="10">
        <v>0</v>
      </c>
      <c r="U799" s="10">
        <v>0</v>
      </c>
      <c r="V799" s="10">
        <v>0</v>
      </c>
      <c r="W799" s="67">
        <v>0</v>
      </c>
      <c r="X799" s="10">
        <v>0</v>
      </c>
      <c r="Y799" s="10">
        <v>0</v>
      </c>
      <c r="Z799" s="10">
        <v>0</v>
      </c>
      <c r="AA799" s="67">
        <v>0</v>
      </c>
      <c r="AB799" s="67">
        <v>0</v>
      </c>
      <c r="AC799" s="67">
        <v>0</v>
      </c>
      <c r="AD799" s="67">
        <v>0</v>
      </c>
      <c r="AE799" s="67">
        <v>0</v>
      </c>
    </row>
    <row r="800" spans="1:31" ht="12.5">
      <c r="A800" s="10">
        <v>0</v>
      </c>
      <c r="B800" s="10">
        <v>0</v>
      </c>
      <c r="C800" s="10">
        <v>0</v>
      </c>
      <c r="D800" s="10">
        <v>0</v>
      </c>
      <c r="E800" s="10">
        <v>0</v>
      </c>
      <c r="F800" s="10">
        <v>0</v>
      </c>
      <c r="G800" s="10">
        <v>0</v>
      </c>
      <c r="H800" s="10">
        <v>0</v>
      </c>
      <c r="I800" s="10">
        <v>0</v>
      </c>
      <c r="J800" s="10">
        <v>0</v>
      </c>
      <c r="K800" s="66">
        <v>0</v>
      </c>
      <c r="L800" s="10">
        <v>0</v>
      </c>
      <c r="M800" s="10">
        <v>0</v>
      </c>
      <c r="N800" s="70">
        <v>0</v>
      </c>
      <c r="O800" s="67">
        <v>0</v>
      </c>
      <c r="P800" s="10">
        <v>0</v>
      </c>
      <c r="Q800" s="10">
        <v>0</v>
      </c>
      <c r="R800" s="10">
        <v>0</v>
      </c>
      <c r="S800" s="10">
        <v>0</v>
      </c>
      <c r="T800" s="10">
        <v>0</v>
      </c>
      <c r="U800" s="10">
        <v>0</v>
      </c>
      <c r="V800" s="10">
        <v>0</v>
      </c>
      <c r="W800" s="67">
        <v>0</v>
      </c>
      <c r="X800" s="10">
        <v>0</v>
      </c>
      <c r="Y800" s="10">
        <v>0</v>
      </c>
      <c r="Z800" s="10">
        <v>0</v>
      </c>
      <c r="AA800" s="67">
        <v>0</v>
      </c>
      <c r="AB800" s="67">
        <v>0</v>
      </c>
      <c r="AC800" s="67">
        <v>0</v>
      </c>
      <c r="AD800" s="67">
        <v>0</v>
      </c>
      <c r="AE800" s="67">
        <v>0</v>
      </c>
    </row>
    <row r="801" spans="1:31" ht="12.5">
      <c r="A801" s="10">
        <v>0</v>
      </c>
      <c r="B801" s="10">
        <v>0</v>
      </c>
      <c r="C801" s="10">
        <v>0</v>
      </c>
      <c r="D801" s="10">
        <v>0</v>
      </c>
      <c r="E801" s="10">
        <v>0</v>
      </c>
      <c r="F801" s="10">
        <v>0</v>
      </c>
      <c r="G801" s="10">
        <v>0</v>
      </c>
      <c r="H801" s="10">
        <v>0</v>
      </c>
      <c r="I801" s="10">
        <v>0</v>
      </c>
      <c r="J801" s="10">
        <v>0</v>
      </c>
      <c r="K801" s="66">
        <v>0</v>
      </c>
      <c r="L801" s="10">
        <v>0</v>
      </c>
      <c r="M801" s="10">
        <v>0</v>
      </c>
      <c r="N801" s="70">
        <v>0</v>
      </c>
      <c r="O801" s="67">
        <v>0</v>
      </c>
      <c r="P801" s="10">
        <v>0</v>
      </c>
      <c r="Q801" s="10">
        <v>0</v>
      </c>
      <c r="R801" s="10">
        <v>0</v>
      </c>
      <c r="S801" s="10">
        <v>0</v>
      </c>
      <c r="T801" s="10">
        <v>0</v>
      </c>
      <c r="U801" s="10">
        <v>0</v>
      </c>
      <c r="V801" s="10">
        <v>0</v>
      </c>
      <c r="W801" s="67">
        <v>0</v>
      </c>
      <c r="X801" s="10">
        <v>0</v>
      </c>
      <c r="Y801" s="10">
        <v>0</v>
      </c>
      <c r="Z801" s="10">
        <v>0</v>
      </c>
      <c r="AA801" s="67">
        <v>0</v>
      </c>
      <c r="AB801" s="67">
        <v>0</v>
      </c>
      <c r="AC801" s="67">
        <v>0</v>
      </c>
      <c r="AD801" s="67">
        <v>0</v>
      </c>
      <c r="AE801" s="67">
        <v>0</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outlinePr summaryBelow="0" summaryRight="0"/>
  </sheetPr>
  <dimension ref="A1:AE689"/>
  <sheetViews>
    <sheetView workbookViewId="0"/>
  </sheetViews>
  <sheetFormatPr defaultColWidth="12.6328125" defaultRowHeight="15.75" customHeight="1"/>
  <cols>
    <col min="2" max="2" width="34.90625" customWidth="1"/>
    <col min="7" max="7" width="23.08984375" customWidth="1"/>
    <col min="8" max="8" width="22.7265625" customWidth="1"/>
    <col min="9" max="9" width="59.90625" customWidth="1"/>
    <col min="11" max="11" width="25.36328125" customWidth="1"/>
    <col min="18" max="18" width="18.08984375" customWidth="1"/>
    <col min="19" max="19" width="45.08984375" customWidth="1"/>
    <col min="20" max="20" width="29.26953125" customWidth="1"/>
    <col min="21" max="21" width="29.453125" customWidth="1"/>
    <col min="27" max="27" width="37.08984375" customWidth="1"/>
    <col min="29" max="29" width="50.7265625" customWidth="1"/>
    <col min="30" max="30" width="45.7265625" customWidth="1"/>
    <col min="31" max="31" width="40.36328125" customWidth="1"/>
  </cols>
  <sheetData>
    <row r="1" spans="1:31" ht="15.75" customHeight="1">
      <c r="A1" s="5" t="s">
        <v>6929</v>
      </c>
      <c r="B1" s="5" t="s">
        <v>6930</v>
      </c>
      <c r="C1" s="5" t="s">
        <v>6931</v>
      </c>
      <c r="D1" s="5" t="s">
        <v>6932</v>
      </c>
      <c r="E1" s="5" t="s">
        <v>6933</v>
      </c>
      <c r="F1" s="5" t="s">
        <v>6934</v>
      </c>
      <c r="G1" s="5" t="s">
        <v>6935</v>
      </c>
      <c r="H1" s="5" t="s">
        <v>6936</v>
      </c>
      <c r="I1" s="5" t="s">
        <v>6937</v>
      </c>
      <c r="J1" s="5" t="s">
        <v>6938</v>
      </c>
      <c r="K1" s="5" t="s">
        <v>6939</v>
      </c>
      <c r="L1" s="5" t="s">
        <v>6940</v>
      </c>
      <c r="M1" s="5" t="s">
        <v>6941</v>
      </c>
      <c r="N1" s="5" t="s">
        <v>6942</v>
      </c>
      <c r="O1" s="5" t="s">
        <v>6943</v>
      </c>
      <c r="P1" s="5" t="s">
        <v>6944</v>
      </c>
      <c r="Q1" s="5" t="s">
        <v>6945</v>
      </c>
      <c r="R1" s="5" t="s">
        <v>6946</v>
      </c>
      <c r="S1" s="5" t="s">
        <v>6947</v>
      </c>
      <c r="T1" s="5" t="s">
        <v>6948</v>
      </c>
      <c r="U1" s="5" t="s">
        <v>6949</v>
      </c>
      <c r="V1" s="5" t="s">
        <v>6950</v>
      </c>
      <c r="W1" s="5" t="s">
        <v>6951</v>
      </c>
      <c r="X1" s="5" t="s">
        <v>6952</v>
      </c>
      <c r="Y1" s="5" t="s">
        <v>6953</v>
      </c>
      <c r="Z1" s="5" t="s">
        <v>6954</v>
      </c>
      <c r="AA1" s="5" t="s">
        <v>6955</v>
      </c>
      <c r="AB1" s="5" t="s">
        <v>6956</v>
      </c>
      <c r="AC1" s="5" t="s">
        <v>6957</v>
      </c>
      <c r="AD1" s="5" t="s">
        <v>6958</v>
      </c>
      <c r="AE1" s="5" t="s">
        <v>6959</v>
      </c>
    </row>
    <row r="2" spans="1:31" ht="15.75" customHeight="1">
      <c r="A2" s="10">
        <v>610422030002</v>
      </c>
      <c r="B2" s="10" t="s">
        <v>66</v>
      </c>
      <c r="D2" s="10">
        <v>1</v>
      </c>
      <c r="E2" s="10" t="s">
        <v>5934</v>
      </c>
      <c r="F2" s="10" t="s">
        <v>25</v>
      </c>
      <c r="G2" s="10" t="s">
        <v>929</v>
      </c>
      <c r="H2" s="10" t="s">
        <v>67</v>
      </c>
      <c r="I2" s="10" t="s">
        <v>68</v>
      </c>
      <c r="J2" s="10" t="s">
        <v>164</v>
      </c>
      <c r="K2" s="66">
        <v>50000</v>
      </c>
      <c r="L2" s="10">
        <v>15</v>
      </c>
      <c r="M2" s="10">
        <v>750000</v>
      </c>
      <c r="O2" s="67">
        <v>45311</v>
      </c>
      <c r="P2" s="10">
        <v>2024</v>
      </c>
      <c r="Q2" s="10">
        <v>1</v>
      </c>
      <c r="R2" s="10" t="s">
        <v>3043</v>
      </c>
      <c r="S2" s="10" t="s">
        <v>6069</v>
      </c>
      <c r="T2" s="10" t="s">
        <v>6070</v>
      </c>
      <c r="U2" s="10">
        <v>1</v>
      </c>
      <c r="V2" s="10">
        <v>-123</v>
      </c>
      <c r="W2" s="67">
        <v>45347</v>
      </c>
      <c r="X2" s="11" t="s">
        <v>3087</v>
      </c>
      <c r="Y2" s="11" t="s">
        <v>3715</v>
      </c>
      <c r="Z2" s="11" t="s">
        <v>3716</v>
      </c>
      <c r="AA2" s="67">
        <v>45291</v>
      </c>
      <c r="AB2" s="67">
        <v>45292</v>
      </c>
      <c r="AC2" s="67">
        <v>45322</v>
      </c>
      <c r="AD2" s="67">
        <v>45321</v>
      </c>
      <c r="AE2" s="67">
        <v>45322</v>
      </c>
    </row>
    <row r="3" spans="1:31" ht="15.75" customHeight="1">
      <c r="A3" s="10">
        <v>610422100244</v>
      </c>
      <c r="B3" s="10" t="s">
        <v>69</v>
      </c>
      <c r="D3" s="10">
        <v>1</v>
      </c>
      <c r="E3" s="10" t="s">
        <v>2633</v>
      </c>
      <c r="F3" s="10" t="s">
        <v>25</v>
      </c>
      <c r="G3" s="10" t="s">
        <v>2632</v>
      </c>
      <c r="H3" s="10" t="s">
        <v>67</v>
      </c>
      <c r="I3" s="10" t="s">
        <v>70</v>
      </c>
      <c r="J3" s="10" t="s">
        <v>164</v>
      </c>
      <c r="K3" s="66">
        <v>50000</v>
      </c>
      <c r="L3" s="10">
        <v>1</v>
      </c>
      <c r="M3" s="10">
        <v>50000</v>
      </c>
      <c r="O3" s="67">
        <v>45311</v>
      </c>
      <c r="P3" s="10">
        <v>2024</v>
      </c>
      <c r="Q3" s="10">
        <v>1</v>
      </c>
      <c r="R3" s="10" t="s">
        <v>3043</v>
      </c>
      <c r="S3" s="10" t="s">
        <v>6071</v>
      </c>
      <c r="T3" s="10" t="s">
        <v>6072</v>
      </c>
      <c r="U3" s="10">
        <v>1</v>
      </c>
      <c r="V3" s="10">
        <v>-123</v>
      </c>
      <c r="W3" s="67">
        <v>45347</v>
      </c>
      <c r="X3" s="11" t="s">
        <v>3068</v>
      </c>
      <c r="Y3" s="11" t="s">
        <v>5741</v>
      </c>
      <c r="Z3" s="11" t="s">
        <v>5796</v>
      </c>
      <c r="AA3" s="67">
        <v>45291</v>
      </c>
      <c r="AB3" s="67">
        <v>45292</v>
      </c>
      <c r="AC3" s="67">
        <v>45322</v>
      </c>
      <c r="AD3" s="67">
        <v>45321</v>
      </c>
      <c r="AE3" s="67">
        <v>45322</v>
      </c>
    </row>
    <row r="4" spans="1:31" ht="15.75" customHeight="1">
      <c r="A4" s="10">
        <v>610422100124</v>
      </c>
      <c r="B4" s="10" t="s">
        <v>69</v>
      </c>
      <c r="D4" s="10">
        <v>1</v>
      </c>
      <c r="E4" s="10" t="s">
        <v>2237</v>
      </c>
      <c r="F4" s="10" t="s">
        <v>25</v>
      </c>
      <c r="G4" s="10" t="s">
        <v>2236</v>
      </c>
      <c r="H4" s="10" t="s">
        <v>67</v>
      </c>
      <c r="I4" s="10" t="s">
        <v>70</v>
      </c>
      <c r="J4" s="10" t="s">
        <v>164</v>
      </c>
      <c r="K4" s="66">
        <v>50000</v>
      </c>
      <c r="L4" s="10">
        <v>1</v>
      </c>
      <c r="M4" s="10">
        <v>50000</v>
      </c>
      <c r="O4" s="67">
        <v>45311</v>
      </c>
      <c r="P4" s="10">
        <v>2024</v>
      </c>
      <c r="Q4" s="10">
        <v>1</v>
      </c>
      <c r="R4" s="10" t="s">
        <v>3043</v>
      </c>
      <c r="S4" s="10" t="s">
        <v>6073</v>
      </c>
      <c r="T4" s="10" t="s">
        <v>6074</v>
      </c>
      <c r="U4" s="10">
        <v>1</v>
      </c>
      <c r="V4" s="10">
        <v>-123</v>
      </c>
      <c r="W4" s="67">
        <v>45347</v>
      </c>
      <c r="X4" s="11" t="s">
        <v>3068</v>
      </c>
      <c r="Y4" s="11" t="s">
        <v>1921</v>
      </c>
      <c r="Z4" s="11" t="s">
        <v>2140</v>
      </c>
      <c r="AA4" s="67">
        <v>45291</v>
      </c>
      <c r="AB4" s="67">
        <v>45292</v>
      </c>
      <c r="AC4" s="67">
        <v>45322</v>
      </c>
      <c r="AD4" s="67">
        <v>45321</v>
      </c>
      <c r="AE4" s="67">
        <v>45322</v>
      </c>
    </row>
    <row r="5" spans="1:31" ht="15.75" customHeight="1">
      <c r="A5" s="10">
        <v>610422020008</v>
      </c>
      <c r="B5" s="10" t="s">
        <v>71</v>
      </c>
      <c r="D5" s="10">
        <v>1</v>
      </c>
      <c r="E5" s="10" t="s">
        <v>1424</v>
      </c>
      <c r="F5" s="10" t="s">
        <v>25</v>
      </c>
      <c r="G5" s="10" t="s">
        <v>1423</v>
      </c>
      <c r="H5" s="10" t="s">
        <v>72</v>
      </c>
      <c r="I5" s="10" t="s">
        <v>73</v>
      </c>
      <c r="J5" s="10" t="s">
        <v>164</v>
      </c>
      <c r="K5" s="66">
        <v>65000</v>
      </c>
      <c r="L5" s="10">
        <v>3</v>
      </c>
      <c r="M5" s="10">
        <v>195000</v>
      </c>
      <c r="O5" s="67">
        <v>45311</v>
      </c>
      <c r="P5" s="10">
        <v>2024</v>
      </c>
      <c r="Q5" s="10">
        <v>1</v>
      </c>
      <c r="R5" s="10" t="s">
        <v>3043</v>
      </c>
      <c r="S5" s="10" t="s">
        <v>6075</v>
      </c>
      <c r="T5" s="10" t="s">
        <v>6076</v>
      </c>
      <c r="U5" s="10">
        <v>1</v>
      </c>
      <c r="V5" s="10">
        <v>-123</v>
      </c>
      <c r="W5" s="67">
        <v>45347</v>
      </c>
      <c r="X5" s="11" t="s">
        <v>3104</v>
      </c>
      <c r="Y5" s="11" t="s">
        <v>5250</v>
      </c>
      <c r="Z5" s="11" t="s">
        <v>5365</v>
      </c>
      <c r="AA5" s="67">
        <v>45291</v>
      </c>
      <c r="AB5" s="67">
        <v>45292</v>
      </c>
      <c r="AC5" s="67">
        <v>45322</v>
      </c>
      <c r="AD5" s="67">
        <v>45321</v>
      </c>
      <c r="AE5" s="67">
        <v>45322</v>
      </c>
    </row>
    <row r="6" spans="1:31" ht="15.75" customHeight="1">
      <c r="A6" s="10">
        <v>610422050001</v>
      </c>
      <c r="B6" s="10" t="s">
        <v>71</v>
      </c>
      <c r="D6" s="10">
        <v>1</v>
      </c>
      <c r="E6" s="10" t="s">
        <v>5949</v>
      </c>
      <c r="F6" s="10" t="s">
        <v>25</v>
      </c>
      <c r="G6" s="10" t="s">
        <v>1127</v>
      </c>
      <c r="H6" s="10" t="s">
        <v>72</v>
      </c>
      <c r="I6" s="10" t="s">
        <v>73</v>
      </c>
      <c r="J6" s="10" t="s">
        <v>164</v>
      </c>
      <c r="K6" s="66">
        <v>65000</v>
      </c>
      <c r="L6" s="10">
        <v>3</v>
      </c>
      <c r="M6" s="10">
        <v>195000</v>
      </c>
      <c r="O6" s="67">
        <v>45311</v>
      </c>
      <c r="P6" s="10">
        <v>2024</v>
      </c>
      <c r="Q6" s="10">
        <v>1</v>
      </c>
      <c r="R6" s="10" t="s">
        <v>3043</v>
      </c>
      <c r="S6" s="10" t="s">
        <v>6077</v>
      </c>
      <c r="T6" s="10" t="s">
        <v>6078</v>
      </c>
      <c r="U6" s="10">
        <v>1</v>
      </c>
      <c r="V6" s="10">
        <v>-123</v>
      </c>
      <c r="W6" s="67">
        <v>45347</v>
      </c>
      <c r="X6" s="11" t="s">
        <v>3104</v>
      </c>
      <c r="Y6" s="11" t="s">
        <v>4408</v>
      </c>
      <c r="Z6" s="11" t="s">
        <v>4409</v>
      </c>
      <c r="AA6" s="67">
        <v>45291</v>
      </c>
      <c r="AB6" s="67">
        <v>45292</v>
      </c>
      <c r="AC6" s="67">
        <v>45322</v>
      </c>
      <c r="AD6" s="67">
        <v>45321</v>
      </c>
      <c r="AE6" s="67">
        <v>45322</v>
      </c>
    </row>
    <row r="7" spans="1:31" ht="15.75" customHeight="1">
      <c r="A7" s="10">
        <v>610422040030</v>
      </c>
      <c r="B7" s="10" t="s">
        <v>71</v>
      </c>
      <c r="D7" s="10">
        <v>1</v>
      </c>
      <c r="E7" s="10" t="s">
        <v>2697</v>
      </c>
      <c r="F7" s="10" t="s">
        <v>25</v>
      </c>
      <c r="G7" s="10" t="s">
        <v>2696</v>
      </c>
      <c r="H7" s="10" t="s">
        <v>74</v>
      </c>
      <c r="I7" s="10" t="s">
        <v>75</v>
      </c>
      <c r="J7" s="10" t="s">
        <v>164</v>
      </c>
      <c r="K7" s="66">
        <v>55000</v>
      </c>
      <c r="L7" s="10">
        <v>1</v>
      </c>
      <c r="M7" s="10">
        <v>55000</v>
      </c>
      <c r="O7" s="67">
        <v>45311</v>
      </c>
      <c r="P7" s="10">
        <v>2024</v>
      </c>
      <c r="Q7" s="10">
        <v>1</v>
      </c>
      <c r="R7" s="10" t="s">
        <v>3043</v>
      </c>
      <c r="S7" s="10" t="s">
        <v>6079</v>
      </c>
      <c r="T7" s="10" t="s">
        <v>6080</v>
      </c>
      <c r="U7" s="10">
        <v>1</v>
      </c>
      <c r="V7" s="10">
        <v>-123</v>
      </c>
      <c r="W7" s="67">
        <v>45347</v>
      </c>
      <c r="X7" s="11" t="s">
        <v>3104</v>
      </c>
      <c r="Y7" s="11" t="s">
        <v>3241</v>
      </c>
      <c r="Z7" s="11" t="s">
        <v>3289</v>
      </c>
      <c r="AA7" s="67">
        <v>45291</v>
      </c>
      <c r="AB7" s="67">
        <v>45292</v>
      </c>
      <c r="AC7" s="67">
        <v>45322</v>
      </c>
      <c r="AD7" s="67">
        <v>45321</v>
      </c>
      <c r="AE7" s="67">
        <v>45322</v>
      </c>
    </row>
    <row r="8" spans="1:31" ht="15.75" customHeight="1">
      <c r="A8" s="10">
        <v>610422100124</v>
      </c>
      <c r="B8" s="10" t="s">
        <v>71</v>
      </c>
      <c r="D8" s="10">
        <v>1</v>
      </c>
      <c r="E8" s="10" t="s">
        <v>2237</v>
      </c>
      <c r="F8" s="10" t="s">
        <v>25</v>
      </c>
      <c r="G8" s="10" t="s">
        <v>2236</v>
      </c>
      <c r="H8" s="10" t="s">
        <v>74</v>
      </c>
      <c r="I8" s="10" t="s">
        <v>75</v>
      </c>
      <c r="J8" s="10" t="s">
        <v>164</v>
      </c>
      <c r="K8" s="66">
        <v>55000</v>
      </c>
      <c r="L8" s="10">
        <v>3</v>
      </c>
      <c r="M8" s="10">
        <v>165000</v>
      </c>
      <c r="O8" s="67">
        <v>45311</v>
      </c>
      <c r="P8" s="10">
        <v>2024</v>
      </c>
      <c r="Q8" s="10">
        <v>1</v>
      </c>
      <c r="R8" s="10" t="s">
        <v>3043</v>
      </c>
      <c r="S8" s="10" t="s">
        <v>6073</v>
      </c>
      <c r="T8" s="10" t="s">
        <v>6074</v>
      </c>
      <c r="U8" s="10">
        <v>1</v>
      </c>
      <c r="V8" s="10">
        <v>-123</v>
      </c>
      <c r="W8" s="67">
        <v>45347</v>
      </c>
      <c r="X8" s="11" t="s">
        <v>3104</v>
      </c>
      <c r="Y8" s="11" t="s">
        <v>1921</v>
      </c>
      <c r="Z8" s="11" t="s">
        <v>2140</v>
      </c>
      <c r="AA8" s="67">
        <v>45291</v>
      </c>
      <c r="AB8" s="67">
        <v>45292</v>
      </c>
      <c r="AC8" s="67">
        <v>45322</v>
      </c>
      <c r="AD8" s="67">
        <v>45321</v>
      </c>
      <c r="AE8" s="67">
        <v>45322</v>
      </c>
    </row>
    <row r="9" spans="1:31" ht="15.75" customHeight="1">
      <c r="A9" s="10">
        <v>610422100244</v>
      </c>
      <c r="B9" s="10" t="s">
        <v>71</v>
      </c>
      <c r="D9" s="10">
        <v>1</v>
      </c>
      <c r="E9" s="10" t="s">
        <v>2633</v>
      </c>
      <c r="F9" s="10" t="s">
        <v>25</v>
      </c>
      <c r="G9" s="10" t="s">
        <v>2632</v>
      </c>
      <c r="H9" s="10" t="s">
        <v>74</v>
      </c>
      <c r="I9" s="10" t="s">
        <v>75</v>
      </c>
      <c r="J9" s="10" t="s">
        <v>164</v>
      </c>
      <c r="K9" s="66">
        <v>55000</v>
      </c>
      <c r="L9" s="10">
        <v>2</v>
      </c>
      <c r="M9" s="10">
        <v>110000</v>
      </c>
      <c r="O9" s="67">
        <v>45311</v>
      </c>
      <c r="P9" s="10">
        <v>2024</v>
      </c>
      <c r="Q9" s="10">
        <v>1</v>
      </c>
      <c r="R9" s="10" t="s">
        <v>3043</v>
      </c>
      <c r="S9" s="10" t="s">
        <v>6071</v>
      </c>
      <c r="T9" s="10" t="s">
        <v>6072</v>
      </c>
      <c r="U9" s="10">
        <v>1</v>
      </c>
      <c r="V9" s="10">
        <v>-123</v>
      </c>
      <c r="W9" s="67">
        <v>45347</v>
      </c>
      <c r="X9" s="11" t="s">
        <v>3104</v>
      </c>
      <c r="Y9" s="11" t="s">
        <v>5741</v>
      </c>
      <c r="Z9" s="11" t="s">
        <v>5796</v>
      </c>
      <c r="AA9" s="67">
        <v>45291</v>
      </c>
      <c r="AB9" s="67">
        <v>45292</v>
      </c>
      <c r="AC9" s="67">
        <v>45322</v>
      </c>
      <c r="AD9" s="67">
        <v>45321</v>
      </c>
      <c r="AE9" s="67">
        <v>45322</v>
      </c>
    </row>
    <row r="10" spans="1:31" ht="15.75" customHeight="1">
      <c r="A10" s="10">
        <v>610422020016</v>
      </c>
      <c r="B10" s="10" t="s">
        <v>71</v>
      </c>
      <c r="D10" s="10">
        <v>1</v>
      </c>
      <c r="E10" s="10" t="s">
        <v>380</v>
      </c>
      <c r="F10" s="10" t="s">
        <v>25</v>
      </c>
      <c r="G10" s="10" t="s">
        <v>379</v>
      </c>
      <c r="H10" s="10" t="s">
        <v>74</v>
      </c>
      <c r="I10" s="10" t="s">
        <v>75</v>
      </c>
      <c r="J10" s="10" t="s">
        <v>164</v>
      </c>
      <c r="K10" s="66">
        <v>55000</v>
      </c>
      <c r="L10" s="10">
        <v>3</v>
      </c>
      <c r="M10" s="10">
        <v>165000</v>
      </c>
      <c r="O10" s="67">
        <v>45311</v>
      </c>
      <c r="P10" s="10">
        <v>2024</v>
      </c>
      <c r="Q10" s="10">
        <v>1</v>
      </c>
      <c r="R10" s="10" t="s">
        <v>3043</v>
      </c>
      <c r="S10" s="10" t="s">
        <v>6081</v>
      </c>
      <c r="T10" s="10" t="s">
        <v>6082</v>
      </c>
      <c r="U10" s="10">
        <v>1</v>
      </c>
      <c r="V10" s="10">
        <v>-123</v>
      </c>
      <c r="W10" s="67">
        <v>45347</v>
      </c>
      <c r="X10" s="11" t="s">
        <v>3104</v>
      </c>
      <c r="Y10" s="11" t="s">
        <v>5534</v>
      </c>
      <c r="Z10" s="11" t="s">
        <v>5535</v>
      </c>
      <c r="AA10" s="67">
        <v>45291</v>
      </c>
      <c r="AB10" s="67">
        <v>45292</v>
      </c>
      <c r="AC10" s="67">
        <v>45322</v>
      </c>
      <c r="AD10" s="67">
        <v>45321</v>
      </c>
      <c r="AE10" s="67">
        <v>45322</v>
      </c>
    </row>
    <row r="11" spans="1:31" ht="15.75" customHeight="1">
      <c r="A11" s="10">
        <v>610422020008</v>
      </c>
      <c r="B11" s="10" t="s">
        <v>71</v>
      </c>
      <c r="D11" s="10">
        <v>1</v>
      </c>
      <c r="E11" s="10" t="s">
        <v>1424</v>
      </c>
      <c r="F11" s="10" t="s">
        <v>25</v>
      </c>
      <c r="G11" s="10" t="s">
        <v>1423</v>
      </c>
      <c r="H11" s="10" t="s">
        <v>74</v>
      </c>
      <c r="I11" s="10" t="s">
        <v>75</v>
      </c>
      <c r="J11" s="10" t="s">
        <v>164</v>
      </c>
      <c r="K11" s="66">
        <v>55000</v>
      </c>
      <c r="L11" s="10">
        <v>1</v>
      </c>
      <c r="M11" s="10">
        <v>55000</v>
      </c>
      <c r="O11" s="67">
        <v>45311</v>
      </c>
      <c r="P11" s="10">
        <v>2024</v>
      </c>
      <c r="Q11" s="10">
        <v>1</v>
      </c>
      <c r="R11" s="10" t="s">
        <v>3043</v>
      </c>
      <c r="S11" s="10" t="s">
        <v>6075</v>
      </c>
      <c r="T11" s="10" t="s">
        <v>6076</v>
      </c>
      <c r="U11" s="10">
        <v>1</v>
      </c>
      <c r="V11" s="10">
        <v>-123</v>
      </c>
      <c r="W11" s="67">
        <v>45347</v>
      </c>
      <c r="X11" s="11" t="s">
        <v>3104</v>
      </c>
      <c r="Y11" s="11" t="s">
        <v>5250</v>
      </c>
      <c r="Z11" s="11" t="s">
        <v>5365</v>
      </c>
      <c r="AA11" s="67">
        <v>45291</v>
      </c>
      <c r="AB11" s="67">
        <v>45292</v>
      </c>
      <c r="AC11" s="67">
        <v>45322</v>
      </c>
      <c r="AD11" s="67">
        <v>45321</v>
      </c>
      <c r="AE11" s="67">
        <v>45322</v>
      </c>
    </row>
    <row r="12" spans="1:31" ht="15.75" customHeight="1">
      <c r="A12" s="10">
        <v>610422020048</v>
      </c>
      <c r="B12" s="10" t="s">
        <v>71</v>
      </c>
      <c r="D12" s="10">
        <v>1</v>
      </c>
      <c r="E12" s="10" t="s">
        <v>1359</v>
      </c>
      <c r="F12" s="10" t="s">
        <v>25</v>
      </c>
      <c r="G12" s="10" t="s">
        <v>1358</v>
      </c>
      <c r="H12" s="10" t="s">
        <v>74</v>
      </c>
      <c r="I12" s="10" t="s">
        <v>75</v>
      </c>
      <c r="J12" s="10" t="s">
        <v>164</v>
      </c>
      <c r="K12" s="66">
        <v>55000</v>
      </c>
      <c r="L12" s="10">
        <v>3</v>
      </c>
      <c r="M12" s="10">
        <v>165000</v>
      </c>
      <c r="O12" s="67">
        <v>45311</v>
      </c>
      <c r="P12" s="10">
        <v>2024</v>
      </c>
      <c r="Q12" s="10">
        <v>1</v>
      </c>
      <c r="R12" s="10" t="s">
        <v>3043</v>
      </c>
      <c r="S12" s="10" t="s">
        <v>6083</v>
      </c>
      <c r="T12" s="10" t="s">
        <v>6084</v>
      </c>
      <c r="U12" s="10">
        <v>1</v>
      </c>
      <c r="V12" s="10">
        <v>-123</v>
      </c>
      <c r="W12" s="67">
        <v>45347</v>
      </c>
      <c r="X12" s="11" t="s">
        <v>3104</v>
      </c>
      <c r="Y12" s="11" t="s">
        <v>4931</v>
      </c>
      <c r="Z12" s="11" t="s">
        <v>5171</v>
      </c>
      <c r="AA12" s="67">
        <v>45291</v>
      </c>
      <c r="AB12" s="67">
        <v>45292</v>
      </c>
      <c r="AC12" s="67">
        <v>45322</v>
      </c>
      <c r="AD12" s="67">
        <v>45321</v>
      </c>
      <c r="AE12" s="67">
        <v>45322</v>
      </c>
    </row>
    <row r="13" spans="1:31" ht="15.75" customHeight="1">
      <c r="A13" s="10">
        <v>610422040029</v>
      </c>
      <c r="B13" s="10" t="s">
        <v>71</v>
      </c>
      <c r="D13" s="10">
        <v>1</v>
      </c>
      <c r="E13" s="10" t="s">
        <v>3000</v>
      </c>
      <c r="F13" s="10" t="s">
        <v>25</v>
      </c>
      <c r="G13" s="10" t="s">
        <v>2999</v>
      </c>
      <c r="H13" s="10" t="s">
        <v>74</v>
      </c>
      <c r="I13" s="10" t="s">
        <v>75</v>
      </c>
      <c r="J13" s="10" t="s">
        <v>164</v>
      </c>
      <c r="K13" s="66">
        <v>55000</v>
      </c>
      <c r="L13" s="10">
        <v>4</v>
      </c>
      <c r="M13" s="10">
        <v>220000</v>
      </c>
      <c r="O13" s="67">
        <v>45311</v>
      </c>
      <c r="P13" s="10">
        <v>2024</v>
      </c>
      <c r="Q13" s="10">
        <v>1</v>
      </c>
      <c r="R13" s="10" t="s">
        <v>3043</v>
      </c>
      <c r="S13" s="10" t="s">
        <v>6085</v>
      </c>
      <c r="T13" s="10" t="s">
        <v>6086</v>
      </c>
      <c r="U13" s="10">
        <v>1</v>
      </c>
      <c r="V13" s="10">
        <v>-123</v>
      </c>
      <c r="W13" s="67">
        <v>45347</v>
      </c>
      <c r="X13" s="11" t="s">
        <v>3104</v>
      </c>
      <c r="Y13" s="11" t="s">
        <v>4572</v>
      </c>
      <c r="Z13" s="11" t="s">
        <v>4619</v>
      </c>
      <c r="AA13" s="67">
        <v>45291</v>
      </c>
      <c r="AB13" s="67">
        <v>45292</v>
      </c>
      <c r="AC13" s="67">
        <v>45322</v>
      </c>
      <c r="AD13" s="67">
        <v>45321</v>
      </c>
      <c r="AE13" s="67">
        <v>45322</v>
      </c>
    </row>
    <row r="14" spans="1:31" ht="15.75" customHeight="1">
      <c r="A14" s="10">
        <v>610422050001</v>
      </c>
      <c r="B14" s="10" t="s">
        <v>71</v>
      </c>
      <c r="D14" s="10">
        <v>1</v>
      </c>
      <c r="E14" s="10" t="s">
        <v>5949</v>
      </c>
      <c r="F14" s="10" t="s">
        <v>25</v>
      </c>
      <c r="G14" s="10" t="s">
        <v>1127</v>
      </c>
      <c r="H14" s="10" t="s">
        <v>74</v>
      </c>
      <c r="I14" s="10" t="s">
        <v>75</v>
      </c>
      <c r="J14" s="10" t="s">
        <v>164</v>
      </c>
      <c r="K14" s="66">
        <v>55000</v>
      </c>
      <c r="L14" s="10">
        <v>1</v>
      </c>
      <c r="M14" s="10">
        <v>55000</v>
      </c>
      <c r="O14" s="67">
        <v>45311</v>
      </c>
      <c r="P14" s="10">
        <v>2024</v>
      </c>
      <c r="Q14" s="10">
        <v>1</v>
      </c>
      <c r="R14" s="10" t="s">
        <v>3043</v>
      </c>
      <c r="S14" s="10" t="s">
        <v>6077</v>
      </c>
      <c r="T14" s="10" t="s">
        <v>6078</v>
      </c>
      <c r="U14" s="10">
        <v>1</v>
      </c>
      <c r="V14" s="10">
        <v>-123</v>
      </c>
      <c r="W14" s="67">
        <v>45347</v>
      </c>
      <c r="X14" s="11" t="s">
        <v>3104</v>
      </c>
      <c r="Y14" s="11" t="s">
        <v>4408</v>
      </c>
      <c r="Z14" s="11" t="s">
        <v>4409</v>
      </c>
      <c r="AA14" s="67">
        <v>45291</v>
      </c>
      <c r="AB14" s="67">
        <v>45292</v>
      </c>
      <c r="AC14" s="67">
        <v>45322</v>
      </c>
      <c r="AD14" s="67">
        <v>45321</v>
      </c>
      <c r="AE14" s="67">
        <v>45322</v>
      </c>
    </row>
    <row r="15" spans="1:31" ht="15.75" customHeight="1">
      <c r="A15" s="10">
        <v>610422100124</v>
      </c>
      <c r="B15" s="10" t="s">
        <v>76</v>
      </c>
      <c r="D15" s="10">
        <v>1</v>
      </c>
      <c r="E15" s="10" t="s">
        <v>2237</v>
      </c>
      <c r="F15" s="10" t="s">
        <v>25</v>
      </c>
      <c r="G15" s="10" t="s">
        <v>2236</v>
      </c>
      <c r="H15" s="10" t="s">
        <v>67</v>
      </c>
      <c r="I15" s="10" t="s">
        <v>77</v>
      </c>
      <c r="J15" s="10" t="s">
        <v>164</v>
      </c>
      <c r="K15" s="66">
        <v>55000</v>
      </c>
      <c r="L15" s="10">
        <v>2</v>
      </c>
      <c r="M15" s="10">
        <v>110000</v>
      </c>
      <c r="O15" s="67">
        <v>45311</v>
      </c>
      <c r="P15" s="10">
        <v>2024</v>
      </c>
      <c r="Q15" s="10">
        <v>1</v>
      </c>
      <c r="R15" s="10" t="s">
        <v>3043</v>
      </c>
      <c r="S15" s="10" t="s">
        <v>6073</v>
      </c>
      <c r="T15" s="10" t="s">
        <v>6074</v>
      </c>
      <c r="U15" s="10">
        <v>1</v>
      </c>
      <c r="V15" s="10">
        <v>-123</v>
      </c>
      <c r="W15" s="67">
        <v>45347</v>
      </c>
      <c r="X15" s="11" t="s">
        <v>6960</v>
      </c>
      <c r="Y15" s="11" t="s">
        <v>1921</v>
      </c>
      <c r="Z15" s="11" t="s">
        <v>2140</v>
      </c>
      <c r="AA15" s="67">
        <v>45291</v>
      </c>
      <c r="AB15" s="67">
        <v>45292</v>
      </c>
      <c r="AC15" s="67">
        <v>45322</v>
      </c>
      <c r="AD15" s="67">
        <v>45321</v>
      </c>
      <c r="AE15" s="67">
        <v>45322</v>
      </c>
    </row>
    <row r="16" spans="1:31" ht="15.75" customHeight="1">
      <c r="A16" s="10">
        <v>610422100244</v>
      </c>
      <c r="B16" s="10" t="s">
        <v>76</v>
      </c>
      <c r="D16" s="10">
        <v>1</v>
      </c>
      <c r="E16" s="10" t="s">
        <v>2633</v>
      </c>
      <c r="F16" s="10" t="s">
        <v>25</v>
      </c>
      <c r="G16" s="10" t="s">
        <v>2632</v>
      </c>
      <c r="H16" s="10" t="s">
        <v>67</v>
      </c>
      <c r="I16" s="10" t="s">
        <v>77</v>
      </c>
      <c r="J16" s="10" t="s">
        <v>164</v>
      </c>
      <c r="K16" s="66">
        <v>55000</v>
      </c>
      <c r="L16" s="10">
        <v>2</v>
      </c>
      <c r="M16" s="10">
        <v>110000</v>
      </c>
      <c r="O16" s="67">
        <v>45311</v>
      </c>
      <c r="P16" s="10">
        <v>2024</v>
      </c>
      <c r="Q16" s="10">
        <v>1</v>
      </c>
      <c r="R16" s="10" t="s">
        <v>3043</v>
      </c>
      <c r="S16" s="10" t="s">
        <v>6071</v>
      </c>
      <c r="T16" s="10" t="s">
        <v>6072</v>
      </c>
      <c r="U16" s="10">
        <v>1</v>
      </c>
      <c r="V16" s="10">
        <v>-123</v>
      </c>
      <c r="W16" s="67">
        <v>45347</v>
      </c>
      <c r="X16" s="11" t="s">
        <v>6960</v>
      </c>
      <c r="Y16" s="11" t="s">
        <v>5741</v>
      </c>
      <c r="Z16" s="11" t="s">
        <v>5796</v>
      </c>
      <c r="AA16" s="67">
        <v>45291</v>
      </c>
      <c r="AB16" s="67">
        <v>45292</v>
      </c>
      <c r="AC16" s="67">
        <v>45322</v>
      </c>
      <c r="AD16" s="67">
        <v>45321</v>
      </c>
      <c r="AE16" s="67">
        <v>45322</v>
      </c>
    </row>
    <row r="17" spans="1:31" ht="15.75" customHeight="1">
      <c r="A17" s="10">
        <v>610422100165</v>
      </c>
      <c r="B17" s="10" t="s">
        <v>76</v>
      </c>
      <c r="D17" s="10">
        <v>1</v>
      </c>
      <c r="E17" s="10" t="s">
        <v>2855</v>
      </c>
      <c r="F17" s="10" t="s">
        <v>25</v>
      </c>
      <c r="G17" s="10" t="s">
        <v>2854</v>
      </c>
      <c r="H17" s="10" t="s">
        <v>67</v>
      </c>
      <c r="I17" s="10" t="s">
        <v>77</v>
      </c>
      <c r="J17" s="10" t="s">
        <v>164</v>
      </c>
      <c r="K17" s="66">
        <v>55000</v>
      </c>
      <c r="L17" s="10">
        <v>2</v>
      </c>
      <c r="M17" s="10">
        <v>110000</v>
      </c>
      <c r="O17" s="67">
        <v>45311</v>
      </c>
      <c r="P17" s="10">
        <v>2024</v>
      </c>
      <c r="Q17" s="10">
        <v>1</v>
      </c>
      <c r="R17" s="10" t="s">
        <v>3043</v>
      </c>
      <c r="S17" s="10" t="s">
        <v>6087</v>
      </c>
      <c r="T17" s="10" t="s">
        <v>6088</v>
      </c>
      <c r="U17" s="10">
        <v>1</v>
      </c>
      <c r="V17" s="10">
        <v>-123</v>
      </c>
      <c r="W17" s="67">
        <v>45347</v>
      </c>
      <c r="X17" s="11" t="s">
        <v>6960</v>
      </c>
      <c r="Y17" s="11" t="s">
        <v>3990</v>
      </c>
      <c r="Z17" s="11" t="s">
        <v>4332</v>
      </c>
      <c r="AA17" s="67">
        <v>45291</v>
      </c>
      <c r="AB17" s="67">
        <v>45292</v>
      </c>
      <c r="AC17" s="67">
        <v>45322</v>
      </c>
      <c r="AD17" s="67">
        <v>45321</v>
      </c>
      <c r="AE17" s="67">
        <v>45322</v>
      </c>
    </row>
    <row r="18" spans="1:31" ht="15.75" customHeight="1">
      <c r="A18" s="10">
        <v>610422100165</v>
      </c>
      <c r="B18" s="10" t="s">
        <v>78</v>
      </c>
      <c r="D18" s="10">
        <v>1</v>
      </c>
      <c r="E18" s="10" t="s">
        <v>2855</v>
      </c>
      <c r="F18" s="10" t="s">
        <v>25</v>
      </c>
      <c r="G18" s="10" t="s">
        <v>2854</v>
      </c>
      <c r="H18" s="10" t="s">
        <v>67</v>
      </c>
      <c r="I18" s="10" t="s">
        <v>79</v>
      </c>
      <c r="J18" s="10" t="s">
        <v>164</v>
      </c>
      <c r="K18" s="66">
        <v>50000</v>
      </c>
      <c r="L18" s="10">
        <v>1</v>
      </c>
      <c r="M18" s="10">
        <v>50000</v>
      </c>
      <c r="O18" s="67">
        <v>45311</v>
      </c>
      <c r="P18" s="10">
        <v>2024</v>
      </c>
      <c r="Q18" s="10">
        <v>1</v>
      </c>
      <c r="R18" s="10" t="s">
        <v>3043</v>
      </c>
      <c r="S18" s="10" t="s">
        <v>6087</v>
      </c>
      <c r="T18" s="10" t="s">
        <v>6088</v>
      </c>
      <c r="U18" s="10">
        <v>1</v>
      </c>
      <c r="V18" s="10">
        <v>-123</v>
      </c>
      <c r="W18" s="67">
        <v>45347</v>
      </c>
      <c r="X18" s="11" t="s">
        <v>3128</v>
      </c>
      <c r="Y18" s="11" t="s">
        <v>3990</v>
      </c>
      <c r="Z18" s="11" t="s">
        <v>4332</v>
      </c>
      <c r="AA18" s="67">
        <v>45291</v>
      </c>
      <c r="AB18" s="67">
        <v>45292</v>
      </c>
      <c r="AC18" s="67">
        <v>45322</v>
      </c>
      <c r="AD18" s="67">
        <v>45321</v>
      </c>
      <c r="AE18" s="67">
        <v>45322</v>
      </c>
    </row>
    <row r="19" spans="1:31" ht="15.75" customHeight="1">
      <c r="A19" s="10">
        <v>610422040029</v>
      </c>
      <c r="B19" s="10" t="s">
        <v>80</v>
      </c>
      <c r="D19" s="10">
        <v>1</v>
      </c>
      <c r="E19" s="10" t="s">
        <v>3000</v>
      </c>
      <c r="F19" s="10" t="s">
        <v>25</v>
      </c>
      <c r="G19" s="10" t="s">
        <v>2999</v>
      </c>
      <c r="H19" s="10" t="s">
        <v>67</v>
      </c>
      <c r="I19" s="10" t="s">
        <v>81</v>
      </c>
      <c r="J19" s="10" t="s">
        <v>164</v>
      </c>
      <c r="K19" s="66">
        <v>55000</v>
      </c>
      <c r="L19" s="10">
        <v>3</v>
      </c>
      <c r="M19" s="10">
        <v>165000</v>
      </c>
      <c r="N19" s="70">
        <v>165000</v>
      </c>
      <c r="O19" s="67">
        <v>45311</v>
      </c>
      <c r="P19" s="10">
        <v>2024</v>
      </c>
      <c r="Q19" s="10">
        <v>1</v>
      </c>
      <c r="R19" s="10" t="s">
        <v>3043</v>
      </c>
      <c r="S19" s="10" t="s">
        <v>6085</v>
      </c>
      <c r="T19" s="10" t="s">
        <v>6086</v>
      </c>
      <c r="U19" s="10">
        <v>1</v>
      </c>
      <c r="V19" s="10">
        <v>-123</v>
      </c>
      <c r="W19" s="67">
        <v>45344</v>
      </c>
      <c r="X19" s="11" t="s">
        <v>3150</v>
      </c>
      <c r="Y19" s="11" t="s">
        <v>4572</v>
      </c>
      <c r="Z19" s="11" t="s">
        <v>4619</v>
      </c>
      <c r="AA19" s="67">
        <v>45291</v>
      </c>
      <c r="AB19" s="67">
        <v>45292</v>
      </c>
      <c r="AC19" s="67">
        <v>45322</v>
      </c>
      <c r="AD19" s="67">
        <v>45321</v>
      </c>
      <c r="AE19" s="67">
        <v>45322</v>
      </c>
    </row>
    <row r="20" spans="1:31" ht="15.75" customHeight="1">
      <c r="A20" s="10">
        <v>610422100165</v>
      </c>
      <c r="B20" s="10" t="s">
        <v>80</v>
      </c>
      <c r="D20" s="10">
        <v>1</v>
      </c>
      <c r="E20" s="10" t="s">
        <v>2855</v>
      </c>
      <c r="F20" s="10" t="s">
        <v>25</v>
      </c>
      <c r="G20" s="10" t="s">
        <v>2854</v>
      </c>
      <c r="H20" s="10" t="s">
        <v>67</v>
      </c>
      <c r="I20" s="10" t="s">
        <v>81</v>
      </c>
      <c r="J20" s="10" t="s">
        <v>164</v>
      </c>
      <c r="K20" s="66">
        <v>55000</v>
      </c>
      <c r="L20" s="10">
        <v>3</v>
      </c>
      <c r="M20" s="10">
        <v>165000</v>
      </c>
      <c r="N20" s="70">
        <v>165000</v>
      </c>
      <c r="O20" s="67">
        <v>45311</v>
      </c>
      <c r="P20" s="10">
        <v>2024</v>
      </c>
      <c r="Q20" s="10">
        <v>1</v>
      </c>
      <c r="R20" s="10" t="s">
        <v>3043</v>
      </c>
      <c r="S20" s="10" t="s">
        <v>6087</v>
      </c>
      <c r="T20" s="10" t="s">
        <v>6088</v>
      </c>
      <c r="U20" s="10">
        <v>1</v>
      </c>
      <c r="V20" s="10">
        <v>-123</v>
      </c>
      <c r="W20" s="67">
        <v>45344</v>
      </c>
      <c r="X20" s="11" t="s">
        <v>3150</v>
      </c>
      <c r="Y20" s="11" t="s">
        <v>3990</v>
      </c>
      <c r="Z20" s="11" t="s">
        <v>4332</v>
      </c>
      <c r="AA20" s="67">
        <v>45291</v>
      </c>
      <c r="AB20" s="67">
        <v>45292</v>
      </c>
      <c r="AC20" s="67">
        <v>45322</v>
      </c>
      <c r="AD20" s="67">
        <v>45321</v>
      </c>
      <c r="AE20" s="67">
        <v>45322</v>
      </c>
    </row>
    <row r="21" spans="1:31" ht="15.75" customHeight="1">
      <c r="A21" s="10">
        <v>610422050001</v>
      </c>
      <c r="B21" s="10" t="s">
        <v>80</v>
      </c>
      <c r="D21" s="10">
        <v>1</v>
      </c>
      <c r="E21" s="10" t="s">
        <v>5949</v>
      </c>
      <c r="F21" s="10" t="s">
        <v>25</v>
      </c>
      <c r="G21" s="10" t="s">
        <v>1127</v>
      </c>
      <c r="H21" s="10" t="s">
        <v>67</v>
      </c>
      <c r="I21" s="10" t="s">
        <v>81</v>
      </c>
      <c r="J21" s="10" t="s">
        <v>164</v>
      </c>
      <c r="K21" s="66">
        <v>55000</v>
      </c>
      <c r="L21" s="10">
        <v>3</v>
      </c>
      <c r="M21" s="10">
        <v>165000</v>
      </c>
      <c r="N21" s="70">
        <v>165000</v>
      </c>
      <c r="O21" s="67">
        <v>45311</v>
      </c>
      <c r="P21" s="10">
        <v>2024</v>
      </c>
      <c r="Q21" s="10">
        <v>1</v>
      </c>
      <c r="R21" s="10" t="s">
        <v>3043</v>
      </c>
      <c r="S21" s="10" t="s">
        <v>6077</v>
      </c>
      <c r="T21" s="10" t="s">
        <v>6078</v>
      </c>
      <c r="U21" s="10">
        <v>1</v>
      </c>
      <c r="V21" s="10">
        <v>-123</v>
      </c>
      <c r="W21" s="67">
        <v>45344</v>
      </c>
      <c r="X21" s="11" t="s">
        <v>3150</v>
      </c>
      <c r="Y21" s="11" t="s">
        <v>4408</v>
      </c>
      <c r="Z21" s="11" t="s">
        <v>4409</v>
      </c>
      <c r="AA21" s="67">
        <v>45291</v>
      </c>
      <c r="AB21" s="67">
        <v>45292</v>
      </c>
      <c r="AC21" s="67">
        <v>45322</v>
      </c>
      <c r="AD21" s="67">
        <v>45321</v>
      </c>
      <c r="AE21" s="67">
        <v>45322</v>
      </c>
    </row>
    <row r="22" spans="1:31" ht="15.75" customHeight="1">
      <c r="A22" s="10">
        <v>610422040056</v>
      </c>
      <c r="B22" s="10" t="s">
        <v>80</v>
      </c>
      <c r="D22" s="10">
        <v>1</v>
      </c>
      <c r="E22" s="10" t="s">
        <v>2825</v>
      </c>
      <c r="F22" s="10" t="s">
        <v>25</v>
      </c>
      <c r="G22" s="10" t="s">
        <v>2824</v>
      </c>
      <c r="H22" s="10" t="s">
        <v>67</v>
      </c>
      <c r="I22" s="10" t="s">
        <v>81</v>
      </c>
      <c r="J22" s="10" t="s">
        <v>164</v>
      </c>
      <c r="K22" s="66">
        <v>55000</v>
      </c>
      <c r="L22" s="10">
        <v>2</v>
      </c>
      <c r="M22" s="10">
        <v>110000</v>
      </c>
      <c r="N22" s="70">
        <v>110000</v>
      </c>
      <c r="O22" s="67">
        <v>45311</v>
      </c>
      <c r="P22" s="10">
        <v>2024</v>
      </c>
      <c r="Q22" s="10">
        <v>1</v>
      </c>
      <c r="R22" s="10" t="s">
        <v>3043</v>
      </c>
      <c r="S22" s="10" t="s">
        <v>6089</v>
      </c>
      <c r="T22" s="10" t="s">
        <v>6090</v>
      </c>
      <c r="U22" s="10">
        <v>1</v>
      </c>
      <c r="V22" s="10">
        <v>-123</v>
      </c>
      <c r="W22" s="67">
        <v>45344</v>
      </c>
      <c r="X22" s="11" t="s">
        <v>3150</v>
      </c>
      <c r="Y22" s="11" t="s">
        <v>4572</v>
      </c>
      <c r="Z22" s="11" t="s">
        <v>4656</v>
      </c>
      <c r="AA22" s="67">
        <v>45291</v>
      </c>
      <c r="AB22" s="67">
        <v>45292</v>
      </c>
      <c r="AC22" s="67">
        <v>45322</v>
      </c>
      <c r="AD22" s="67">
        <v>45321</v>
      </c>
      <c r="AE22" s="67">
        <v>45322</v>
      </c>
    </row>
    <row r="23" spans="1:31" ht="15.75" customHeight="1">
      <c r="A23" s="10">
        <v>610422020016</v>
      </c>
      <c r="B23" s="10" t="s">
        <v>29</v>
      </c>
      <c r="D23" s="10">
        <v>1</v>
      </c>
      <c r="E23" s="10" t="s">
        <v>380</v>
      </c>
      <c r="F23" s="10" t="s">
        <v>25</v>
      </c>
      <c r="G23" s="10" t="s">
        <v>379</v>
      </c>
      <c r="H23" s="10" t="s">
        <v>84</v>
      </c>
      <c r="I23" s="10" t="s">
        <v>6093</v>
      </c>
      <c r="J23" s="10" t="s">
        <v>3036</v>
      </c>
      <c r="K23" s="66">
        <v>116000</v>
      </c>
      <c r="L23" s="10">
        <v>3</v>
      </c>
      <c r="M23" s="10">
        <v>348000</v>
      </c>
      <c r="N23" s="70">
        <v>348000</v>
      </c>
      <c r="O23" s="67">
        <v>45322</v>
      </c>
      <c r="P23" s="10">
        <v>2024</v>
      </c>
      <c r="Q23" s="10">
        <v>1</v>
      </c>
      <c r="R23" s="10" t="s">
        <v>3043</v>
      </c>
      <c r="S23" s="10" t="s">
        <v>6081</v>
      </c>
      <c r="T23" s="10" t="s">
        <v>6082</v>
      </c>
      <c r="U23" s="10">
        <v>1</v>
      </c>
      <c r="V23" s="10">
        <v>-112</v>
      </c>
      <c r="W23" s="67">
        <v>45344</v>
      </c>
      <c r="X23" s="11" t="s">
        <v>3052</v>
      </c>
      <c r="Y23" s="11" t="s">
        <v>5534</v>
      </c>
      <c r="Z23" s="11" t="s">
        <v>5535</v>
      </c>
      <c r="AA23" s="67">
        <v>45291</v>
      </c>
      <c r="AB23" s="67">
        <v>45292</v>
      </c>
      <c r="AC23" s="67">
        <v>45322</v>
      </c>
      <c r="AD23" s="67">
        <v>45321</v>
      </c>
      <c r="AE23" s="67">
        <v>45322</v>
      </c>
    </row>
    <row r="24" spans="1:31" ht="15.75" customHeight="1">
      <c r="A24" s="10">
        <v>610422040012</v>
      </c>
      <c r="B24" s="10" t="s">
        <v>29</v>
      </c>
      <c r="D24" s="10">
        <v>1</v>
      </c>
      <c r="E24" s="10" t="s">
        <v>1813</v>
      </c>
      <c r="F24" s="10" t="s">
        <v>25</v>
      </c>
      <c r="G24" s="10" t="s">
        <v>1812</v>
      </c>
      <c r="H24" s="10" t="s">
        <v>84</v>
      </c>
      <c r="I24" s="10" t="s">
        <v>6093</v>
      </c>
      <c r="J24" s="10" t="s">
        <v>3036</v>
      </c>
      <c r="K24" s="66">
        <v>116000</v>
      </c>
      <c r="L24" s="10">
        <v>3</v>
      </c>
      <c r="M24" s="10">
        <v>348000</v>
      </c>
      <c r="N24" s="70">
        <v>348000</v>
      </c>
      <c r="O24" s="67">
        <v>45322</v>
      </c>
      <c r="P24" s="10">
        <v>2024</v>
      </c>
      <c r="Q24" s="10">
        <v>1</v>
      </c>
      <c r="R24" s="10" t="s">
        <v>3043</v>
      </c>
      <c r="S24" s="10" t="s">
        <v>6094</v>
      </c>
      <c r="T24" s="10" t="s">
        <v>6095</v>
      </c>
      <c r="U24" s="10">
        <v>1</v>
      </c>
      <c r="V24" s="10">
        <v>-112</v>
      </c>
      <c r="W24" s="67">
        <v>45344</v>
      </c>
      <c r="X24" s="11" t="s">
        <v>3052</v>
      </c>
      <c r="Y24" s="11" t="s">
        <v>3990</v>
      </c>
      <c r="Z24" s="11" t="s">
        <v>4365</v>
      </c>
      <c r="AA24" s="67">
        <v>45291</v>
      </c>
      <c r="AB24" s="67">
        <v>45292</v>
      </c>
      <c r="AC24" s="67">
        <v>45322</v>
      </c>
      <c r="AD24" s="67">
        <v>45321</v>
      </c>
      <c r="AE24" s="67">
        <v>45322</v>
      </c>
    </row>
    <row r="25" spans="1:31" ht="15.75" customHeight="1">
      <c r="A25" s="10">
        <v>610422040059</v>
      </c>
      <c r="B25" s="10" t="s">
        <v>29</v>
      </c>
      <c r="D25" s="10">
        <v>1</v>
      </c>
      <c r="E25" s="10" t="s">
        <v>365</v>
      </c>
      <c r="F25" s="10" t="s">
        <v>25</v>
      </c>
      <c r="G25" s="10" t="s">
        <v>364</v>
      </c>
      <c r="H25" s="10" t="s">
        <v>84</v>
      </c>
      <c r="I25" s="10" t="s">
        <v>6093</v>
      </c>
      <c r="J25" s="10" t="s">
        <v>3036</v>
      </c>
      <c r="K25" s="66">
        <v>116000</v>
      </c>
      <c r="L25" s="10">
        <v>4</v>
      </c>
      <c r="M25" s="10">
        <v>464000</v>
      </c>
      <c r="N25" s="70">
        <v>464000</v>
      </c>
      <c r="O25" s="67">
        <v>45322</v>
      </c>
      <c r="P25" s="10">
        <v>2024</v>
      </c>
      <c r="Q25" s="10">
        <v>1</v>
      </c>
      <c r="R25" s="10" t="s">
        <v>3043</v>
      </c>
      <c r="S25" s="10" t="s">
        <v>6096</v>
      </c>
      <c r="T25" s="10" t="s">
        <v>6097</v>
      </c>
      <c r="U25" s="10">
        <v>1</v>
      </c>
      <c r="V25" s="10">
        <v>-112</v>
      </c>
      <c r="W25" s="67">
        <v>45344</v>
      </c>
      <c r="X25" s="11" t="s">
        <v>3052</v>
      </c>
      <c r="Y25" s="11" t="s">
        <v>4572</v>
      </c>
      <c r="Z25" s="11" t="s">
        <v>4656</v>
      </c>
      <c r="AA25" s="67">
        <v>45291</v>
      </c>
      <c r="AB25" s="67">
        <v>45292</v>
      </c>
      <c r="AC25" s="67">
        <v>45322</v>
      </c>
      <c r="AD25" s="67">
        <v>45321</v>
      </c>
      <c r="AE25" s="67">
        <v>45322</v>
      </c>
    </row>
    <row r="26" spans="1:31" ht="15.75" customHeight="1">
      <c r="A26" s="10">
        <v>610422040061</v>
      </c>
      <c r="B26" s="10" t="s">
        <v>29</v>
      </c>
      <c r="D26" s="10">
        <v>1</v>
      </c>
      <c r="E26" s="10" t="s">
        <v>2440</v>
      </c>
      <c r="F26" s="10" t="s">
        <v>25</v>
      </c>
      <c r="G26" s="10" t="s">
        <v>2439</v>
      </c>
      <c r="H26" s="10" t="s">
        <v>84</v>
      </c>
      <c r="I26" s="10" t="s">
        <v>6093</v>
      </c>
      <c r="J26" s="10" t="s">
        <v>3036</v>
      </c>
      <c r="K26" s="66">
        <v>116000</v>
      </c>
      <c r="L26" s="10">
        <v>3</v>
      </c>
      <c r="M26" s="10">
        <v>348000</v>
      </c>
      <c r="N26" s="70">
        <v>348000</v>
      </c>
      <c r="O26" s="67">
        <v>45322</v>
      </c>
      <c r="P26" s="10">
        <v>2024</v>
      </c>
      <c r="Q26" s="10">
        <v>1</v>
      </c>
      <c r="R26" s="10" t="s">
        <v>3043</v>
      </c>
      <c r="S26" s="10" t="s">
        <v>6098</v>
      </c>
      <c r="T26" s="10" t="s">
        <v>6099</v>
      </c>
      <c r="U26" s="10">
        <v>1</v>
      </c>
      <c r="V26" s="10">
        <v>-112</v>
      </c>
      <c r="W26" s="67">
        <v>45344</v>
      </c>
      <c r="X26" s="11" t="s">
        <v>3052</v>
      </c>
      <c r="Y26" s="11" t="s">
        <v>3715</v>
      </c>
      <c r="Z26" s="11" t="s">
        <v>3862</v>
      </c>
      <c r="AA26" s="67">
        <v>45291</v>
      </c>
      <c r="AB26" s="67">
        <v>45292</v>
      </c>
      <c r="AC26" s="67">
        <v>45322</v>
      </c>
      <c r="AD26" s="67">
        <v>45321</v>
      </c>
      <c r="AE26" s="67">
        <v>45322</v>
      </c>
    </row>
    <row r="27" spans="1:31" ht="15.75" customHeight="1">
      <c r="A27" s="10">
        <v>610422100131</v>
      </c>
      <c r="B27" s="10" t="s">
        <v>29</v>
      </c>
      <c r="D27" s="10">
        <v>1</v>
      </c>
      <c r="E27" s="10" t="s">
        <v>6046</v>
      </c>
      <c r="F27" s="10" t="s">
        <v>25</v>
      </c>
      <c r="G27" s="10" t="s">
        <v>2683</v>
      </c>
      <c r="H27" s="10" t="s">
        <v>84</v>
      </c>
      <c r="I27" s="10" t="s">
        <v>6093</v>
      </c>
      <c r="J27" s="10" t="s">
        <v>3036</v>
      </c>
      <c r="K27" s="66">
        <v>116000</v>
      </c>
      <c r="L27" s="10">
        <v>3</v>
      </c>
      <c r="M27" s="10">
        <v>348000</v>
      </c>
      <c r="N27" s="70">
        <v>348000</v>
      </c>
      <c r="O27" s="67">
        <v>45322</v>
      </c>
      <c r="P27" s="10">
        <v>2024</v>
      </c>
      <c r="Q27" s="10">
        <v>1</v>
      </c>
      <c r="R27" s="10" t="s">
        <v>3043</v>
      </c>
      <c r="S27" s="10" t="s">
        <v>6100</v>
      </c>
      <c r="T27" s="10" t="s">
        <v>6101</v>
      </c>
      <c r="U27" s="10">
        <v>1</v>
      </c>
      <c r="V27" s="10">
        <v>-112</v>
      </c>
      <c r="W27" s="67">
        <v>45344</v>
      </c>
      <c r="X27" s="11" t="s">
        <v>3052</v>
      </c>
      <c r="Y27" s="11" t="s">
        <v>5250</v>
      </c>
      <c r="Z27" s="11" t="s">
        <v>5365</v>
      </c>
      <c r="AA27" s="67">
        <v>45291</v>
      </c>
      <c r="AB27" s="67">
        <v>45292</v>
      </c>
      <c r="AC27" s="67">
        <v>45322</v>
      </c>
      <c r="AD27" s="67">
        <v>45321</v>
      </c>
      <c r="AE27" s="67">
        <v>45322</v>
      </c>
    </row>
    <row r="28" spans="1:31" ht="15.75" customHeight="1">
      <c r="A28" s="10">
        <v>610422100244</v>
      </c>
      <c r="B28" s="10" t="s">
        <v>29</v>
      </c>
      <c r="D28" s="10">
        <v>1</v>
      </c>
      <c r="E28" s="10" t="s">
        <v>2633</v>
      </c>
      <c r="F28" s="10" t="s">
        <v>25</v>
      </c>
      <c r="G28" s="10" t="s">
        <v>2632</v>
      </c>
      <c r="H28" s="10" t="s">
        <v>84</v>
      </c>
      <c r="I28" s="10" t="s">
        <v>6093</v>
      </c>
      <c r="J28" s="10" t="s">
        <v>3036</v>
      </c>
      <c r="K28" s="66">
        <v>116000</v>
      </c>
      <c r="L28" s="10">
        <v>3</v>
      </c>
      <c r="M28" s="10">
        <v>348000</v>
      </c>
      <c r="N28" s="70">
        <v>348000</v>
      </c>
      <c r="O28" s="67">
        <v>45322</v>
      </c>
      <c r="P28" s="10">
        <v>2024</v>
      </c>
      <c r="Q28" s="10">
        <v>1</v>
      </c>
      <c r="R28" s="10" t="s">
        <v>3043</v>
      </c>
      <c r="S28" s="10" t="s">
        <v>6071</v>
      </c>
      <c r="T28" s="10" t="s">
        <v>6072</v>
      </c>
      <c r="U28" s="10">
        <v>1</v>
      </c>
      <c r="V28" s="10">
        <v>-112</v>
      </c>
      <c r="W28" s="67">
        <v>45344</v>
      </c>
      <c r="X28" s="11" t="s">
        <v>3052</v>
      </c>
      <c r="Y28" s="11" t="s">
        <v>5741</v>
      </c>
      <c r="Z28" s="11" t="s">
        <v>5796</v>
      </c>
      <c r="AA28" s="67">
        <v>45291</v>
      </c>
      <c r="AB28" s="67">
        <v>45292</v>
      </c>
      <c r="AC28" s="67">
        <v>45322</v>
      </c>
      <c r="AD28" s="67">
        <v>45321</v>
      </c>
      <c r="AE28" s="67">
        <v>45322</v>
      </c>
    </row>
    <row r="29" spans="1:31" ht="12.5">
      <c r="A29" s="10">
        <v>610422100176</v>
      </c>
      <c r="B29" s="10" t="s">
        <v>29</v>
      </c>
      <c r="D29" s="10">
        <v>1</v>
      </c>
      <c r="E29" s="10" t="s">
        <v>1190</v>
      </c>
      <c r="F29" s="10" t="s">
        <v>25</v>
      </c>
      <c r="G29" s="10" t="s">
        <v>1189</v>
      </c>
      <c r="H29" s="10" t="s">
        <v>84</v>
      </c>
      <c r="I29" s="10" t="s">
        <v>6093</v>
      </c>
      <c r="J29" s="10" t="s">
        <v>3036</v>
      </c>
      <c r="K29" s="66">
        <v>116000</v>
      </c>
      <c r="L29" s="10">
        <v>3</v>
      </c>
      <c r="M29" s="10">
        <v>348000</v>
      </c>
      <c r="N29" s="70">
        <v>348000</v>
      </c>
      <c r="O29" s="67">
        <v>45322</v>
      </c>
      <c r="P29" s="10">
        <v>2024</v>
      </c>
      <c r="Q29" s="10">
        <v>1</v>
      </c>
      <c r="R29" s="10" t="s">
        <v>3043</v>
      </c>
      <c r="S29" s="10" t="s">
        <v>6102</v>
      </c>
      <c r="T29" s="10" t="s">
        <v>6103</v>
      </c>
      <c r="U29" s="10">
        <v>1</v>
      </c>
      <c r="V29" s="10">
        <v>-112</v>
      </c>
      <c r="W29" s="67">
        <v>45344</v>
      </c>
      <c r="X29" s="11" t="s">
        <v>3052</v>
      </c>
      <c r="Y29" s="11" t="s">
        <v>3715</v>
      </c>
      <c r="Z29" s="11" t="s">
        <v>3765</v>
      </c>
      <c r="AA29" s="67">
        <v>45291</v>
      </c>
      <c r="AB29" s="67">
        <v>45292</v>
      </c>
      <c r="AC29" s="67">
        <v>45322</v>
      </c>
      <c r="AD29" s="67">
        <v>45321</v>
      </c>
      <c r="AE29" s="67">
        <v>45322</v>
      </c>
    </row>
    <row r="30" spans="1:31" ht="12.5">
      <c r="A30" s="10">
        <v>610423110183</v>
      </c>
      <c r="B30" s="10" t="s">
        <v>29</v>
      </c>
      <c r="D30" s="10">
        <v>1</v>
      </c>
      <c r="E30" s="10" t="s">
        <v>5924</v>
      </c>
      <c r="F30" s="10" t="s">
        <v>25</v>
      </c>
      <c r="G30" s="10" t="s">
        <v>742</v>
      </c>
      <c r="H30" s="10" t="s">
        <v>84</v>
      </c>
      <c r="I30" s="10" t="s">
        <v>6093</v>
      </c>
      <c r="J30" s="10" t="s">
        <v>3036</v>
      </c>
      <c r="K30" s="66">
        <v>116000</v>
      </c>
      <c r="L30" s="10">
        <v>6</v>
      </c>
      <c r="M30" s="10">
        <v>696000</v>
      </c>
      <c r="N30" s="70">
        <v>696000</v>
      </c>
      <c r="O30" s="67">
        <v>45322</v>
      </c>
      <c r="P30" s="10">
        <v>2024</v>
      </c>
      <c r="Q30" s="10">
        <v>1</v>
      </c>
      <c r="R30" s="10" t="s">
        <v>3043</v>
      </c>
      <c r="S30" s="10" t="s">
        <v>6104</v>
      </c>
      <c r="T30" s="10" t="s">
        <v>6105</v>
      </c>
      <c r="U30" s="10">
        <v>1</v>
      </c>
      <c r="V30" s="10">
        <v>-112</v>
      </c>
      <c r="W30" s="67">
        <v>45344</v>
      </c>
      <c r="X30" s="11" t="s">
        <v>3052</v>
      </c>
      <c r="Y30" s="11" t="s">
        <v>3241</v>
      </c>
      <c r="Z30" s="11" t="s">
        <v>3242</v>
      </c>
      <c r="AA30" s="67">
        <v>45291</v>
      </c>
      <c r="AB30" s="67">
        <v>45292</v>
      </c>
      <c r="AC30" s="67">
        <v>45322</v>
      </c>
      <c r="AD30" s="67">
        <v>45321</v>
      </c>
      <c r="AE30" s="67">
        <v>45322</v>
      </c>
    </row>
    <row r="31" spans="1:31" ht="12.5">
      <c r="A31" s="10">
        <v>610423040018</v>
      </c>
      <c r="B31" s="10" t="s">
        <v>29</v>
      </c>
      <c r="D31" s="10">
        <v>1</v>
      </c>
      <c r="E31" s="10" t="s">
        <v>1301</v>
      </c>
      <c r="F31" s="10" t="s">
        <v>25</v>
      </c>
      <c r="G31" s="10" t="s">
        <v>1300</v>
      </c>
      <c r="H31" s="10" t="s">
        <v>84</v>
      </c>
      <c r="I31" s="10" t="s">
        <v>6093</v>
      </c>
      <c r="J31" s="10" t="s">
        <v>3036</v>
      </c>
      <c r="K31" s="66">
        <v>116000</v>
      </c>
      <c r="L31" s="10">
        <v>4</v>
      </c>
      <c r="M31" s="10">
        <v>464000</v>
      </c>
      <c r="N31" s="70">
        <v>464000</v>
      </c>
      <c r="O31" s="67">
        <v>45322</v>
      </c>
      <c r="P31" s="10">
        <v>2024</v>
      </c>
      <c r="Q31" s="10">
        <v>1</v>
      </c>
      <c r="R31" s="10" t="s">
        <v>3043</v>
      </c>
      <c r="S31" s="10" t="s">
        <v>6106</v>
      </c>
      <c r="T31" s="10" t="s">
        <v>6107</v>
      </c>
      <c r="U31" s="10">
        <v>1</v>
      </c>
      <c r="V31" s="10">
        <v>-112</v>
      </c>
      <c r="W31" s="67">
        <v>45344</v>
      </c>
      <c r="X31" s="11" t="s">
        <v>3052</v>
      </c>
      <c r="Y31" s="11" t="s">
        <v>5534</v>
      </c>
      <c r="Z31" s="11" t="s">
        <v>5647</v>
      </c>
      <c r="AA31" s="67">
        <v>45291</v>
      </c>
      <c r="AB31" s="67">
        <v>45292</v>
      </c>
      <c r="AC31" s="67">
        <v>45322</v>
      </c>
      <c r="AD31" s="67">
        <v>45321</v>
      </c>
      <c r="AE31" s="67">
        <v>45322</v>
      </c>
    </row>
    <row r="32" spans="1:31" ht="12.5">
      <c r="A32" s="10">
        <v>610422040059</v>
      </c>
      <c r="B32" s="10" t="s">
        <v>29</v>
      </c>
      <c r="D32" s="10">
        <v>1</v>
      </c>
      <c r="E32" s="10" t="s">
        <v>365</v>
      </c>
      <c r="F32" s="10" t="s">
        <v>25</v>
      </c>
      <c r="G32" s="10" t="s">
        <v>364</v>
      </c>
      <c r="H32" s="10" t="s">
        <v>85</v>
      </c>
      <c r="I32" s="10" t="s">
        <v>6108</v>
      </c>
      <c r="J32" s="10" t="s">
        <v>3036</v>
      </c>
      <c r="K32" s="66">
        <v>59000</v>
      </c>
      <c r="L32" s="10">
        <v>6</v>
      </c>
      <c r="M32" s="10">
        <v>354000</v>
      </c>
      <c r="N32" s="70">
        <v>354000</v>
      </c>
      <c r="O32" s="67">
        <v>45322</v>
      </c>
      <c r="P32" s="10">
        <v>2024</v>
      </c>
      <c r="Q32" s="10">
        <v>1</v>
      </c>
      <c r="R32" s="10" t="s">
        <v>3043</v>
      </c>
      <c r="S32" s="10" t="s">
        <v>6096</v>
      </c>
      <c r="T32" s="10" t="s">
        <v>6097</v>
      </c>
      <c r="U32" s="10">
        <v>1</v>
      </c>
      <c r="V32" s="10">
        <v>-112</v>
      </c>
      <c r="W32" s="67">
        <v>45344</v>
      </c>
      <c r="X32" s="11" t="s">
        <v>3052</v>
      </c>
      <c r="Y32" s="11" t="s">
        <v>4572</v>
      </c>
      <c r="Z32" s="11" t="s">
        <v>4656</v>
      </c>
      <c r="AA32" s="67">
        <v>45291</v>
      </c>
      <c r="AB32" s="67">
        <v>45292</v>
      </c>
      <c r="AC32" s="67">
        <v>45322</v>
      </c>
      <c r="AD32" s="67">
        <v>45321</v>
      </c>
      <c r="AE32" s="67">
        <v>45322</v>
      </c>
    </row>
    <row r="33" spans="1:31" ht="12.5">
      <c r="A33" s="10">
        <v>610422020048</v>
      </c>
      <c r="B33" s="10" t="s">
        <v>29</v>
      </c>
      <c r="D33" s="10">
        <v>1</v>
      </c>
      <c r="E33" s="10" t="s">
        <v>1359</v>
      </c>
      <c r="F33" s="10" t="s">
        <v>25</v>
      </c>
      <c r="G33" s="10" t="s">
        <v>1358</v>
      </c>
      <c r="H33" s="10" t="s">
        <v>85</v>
      </c>
      <c r="I33" s="10" t="s">
        <v>6108</v>
      </c>
      <c r="J33" s="10" t="s">
        <v>3036</v>
      </c>
      <c r="K33" s="66">
        <v>59000</v>
      </c>
      <c r="L33" s="10">
        <v>6</v>
      </c>
      <c r="M33" s="10">
        <v>354000</v>
      </c>
      <c r="N33" s="70">
        <v>354000</v>
      </c>
      <c r="O33" s="67">
        <v>45322</v>
      </c>
      <c r="P33" s="10">
        <v>2024</v>
      </c>
      <c r="Q33" s="10">
        <v>1</v>
      </c>
      <c r="R33" s="10" t="s">
        <v>3043</v>
      </c>
      <c r="S33" s="10" t="s">
        <v>6083</v>
      </c>
      <c r="T33" s="10" t="s">
        <v>6084</v>
      </c>
      <c r="U33" s="10">
        <v>1</v>
      </c>
      <c r="V33" s="10">
        <v>-112</v>
      </c>
      <c r="W33" s="67">
        <v>45344</v>
      </c>
      <c r="X33" s="11" t="s">
        <v>3052</v>
      </c>
      <c r="Y33" s="11" t="s">
        <v>4931</v>
      </c>
      <c r="Z33" s="11" t="s">
        <v>5171</v>
      </c>
      <c r="AA33" s="67">
        <v>45291</v>
      </c>
      <c r="AB33" s="67">
        <v>45292</v>
      </c>
      <c r="AC33" s="67">
        <v>45322</v>
      </c>
      <c r="AD33" s="67">
        <v>45321</v>
      </c>
      <c r="AE33" s="67">
        <v>45322</v>
      </c>
    </row>
    <row r="34" spans="1:31" ht="12.5">
      <c r="A34" s="10">
        <v>610422040058</v>
      </c>
      <c r="B34" s="10" t="s">
        <v>29</v>
      </c>
      <c r="D34" s="10">
        <v>1</v>
      </c>
      <c r="E34" s="10" t="s">
        <v>5976</v>
      </c>
      <c r="F34" s="10" t="s">
        <v>25</v>
      </c>
      <c r="G34" s="10" t="s">
        <v>1547</v>
      </c>
      <c r="H34" s="10" t="s">
        <v>85</v>
      </c>
      <c r="I34" s="10" t="s">
        <v>6108</v>
      </c>
      <c r="J34" s="10" t="s">
        <v>3036</v>
      </c>
      <c r="K34" s="66">
        <v>59000</v>
      </c>
      <c r="L34" s="10">
        <v>10</v>
      </c>
      <c r="M34" s="10">
        <v>590000</v>
      </c>
      <c r="N34" s="70">
        <v>590000</v>
      </c>
      <c r="O34" s="67">
        <v>45322</v>
      </c>
      <c r="P34" s="10">
        <v>2024</v>
      </c>
      <c r="Q34" s="10">
        <v>1</v>
      </c>
      <c r="R34" s="10" t="s">
        <v>3043</v>
      </c>
      <c r="S34" s="10" t="s">
        <v>6109</v>
      </c>
      <c r="T34" s="10" t="s">
        <v>6110</v>
      </c>
      <c r="U34" s="10">
        <v>1</v>
      </c>
      <c r="V34" s="10">
        <v>-112</v>
      </c>
      <c r="W34" s="67">
        <v>45344</v>
      </c>
      <c r="X34" s="11" t="s">
        <v>3052</v>
      </c>
      <c r="Y34" s="11" t="s">
        <v>3715</v>
      </c>
      <c r="Z34" s="11" t="s">
        <v>3716</v>
      </c>
      <c r="AA34" s="67">
        <v>45291</v>
      </c>
      <c r="AB34" s="67">
        <v>45292</v>
      </c>
      <c r="AC34" s="67">
        <v>45322</v>
      </c>
      <c r="AD34" s="67">
        <v>45321</v>
      </c>
      <c r="AE34" s="67">
        <v>45322</v>
      </c>
    </row>
    <row r="35" spans="1:31" ht="12.5">
      <c r="A35" s="10">
        <v>610423110183</v>
      </c>
      <c r="B35" s="10" t="s">
        <v>29</v>
      </c>
      <c r="D35" s="10">
        <v>1</v>
      </c>
      <c r="E35" s="10" t="s">
        <v>5924</v>
      </c>
      <c r="F35" s="10" t="s">
        <v>25</v>
      </c>
      <c r="G35" s="10" t="s">
        <v>742</v>
      </c>
      <c r="H35" s="10" t="s">
        <v>85</v>
      </c>
      <c r="I35" s="10" t="s">
        <v>6108</v>
      </c>
      <c r="J35" s="10" t="s">
        <v>3036</v>
      </c>
      <c r="K35" s="66">
        <v>59000</v>
      </c>
      <c r="L35" s="10">
        <v>6</v>
      </c>
      <c r="M35" s="10">
        <v>354000</v>
      </c>
      <c r="N35" s="70">
        <v>354000</v>
      </c>
      <c r="O35" s="67">
        <v>45322</v>
      </c>
      <c r="P35" s="10">
        <v>2024</v>
      </c>
      <c r="Q35" s="10">
        <v>1</v>
      </c>
      <c r="R35" s="10" t="s">
        <v>3043</v>
      </c>
      <c r="S35" s="10" t="s">
        <v>6104</v>
      </c>
      <c r="T35" s="10" t="s">
        <v>6105</v>
      </c>
      <c r="U35" s="10">
        <v>1</v>
      </c>
      <c r="V35" s="10">
        <v>-112</v>
      </c>
      <c r="W35" s="67">
        <v>45344</v>
      </c>
      <c r="X35" s="11" t="s">
        <v>3052</v>
      </c>
      <c r="Y35" s="11" t="s">
        <v>3241</v>
      </c>
      <c r="Z35" s="11" t="s">
        <v>3242</v>
      </c>
      <c r="AA35" s="67">
        <v>45291</v>
      </c>
      <c r="AB35" s="67">
        <v>45292</v>
      </c>
      <c r="AC35" s="67">
        <v>45322</v>
      </c>
      <c r="AD35" s="67">
        <v>45321</v>
      </c>
      <c r="AE35" s="67">
        <v>45322</v>
      </c>
    </row>
    <row r="36" spans="1:31" ht="12.5">
      <c r="A36" s="10">
        <v>610422100244</v>
      </c>
      <c r="B36" s="10" t="s">
        <v>29</v>
      </c>
      <c r="D36" s="10">
        <v>1</v>
      </c>
      <c r="E36" s="10" t="s">
        <v>2633</v>
      </c>
      <c r="F36" s="10" t="s">
        <v>25</v>
      </c>
      <c r="G36" s="10" t="s">
        <v>2632</v>
      </c>
      <c r="H36" s="10" t="s">
        <v>85</v>
      </c>
      <c r="I36" s="10" t="s">
        <v>6108</v>
      </c>
      <c r="J36" s="10" t="s">
        <v>3036</v>
      </c>
      <c r="K36" s="66">
        <v>59000</v>
      </c>
      <c r="L36" s="10">
        <v>8</v>
      </c>
      <c r="M36" s="10">
        <v>472000</v>
      </c>
      <c r="N36" s="70">
        <v>472000</v>
      </c>
      <c r="O36" s="67">
        <v>45322</v>
      </c>
      <c r="P36" s="10">
        <v>2024</v>
      </c>
      <c r="Q36" s="10">
        <v>1</v>
      </c>
      <c r="R36" s="10" t="s">
        <v>3043</v>
      </c>
      <c r="S36" s="10" t="s">
        <v>6071</v>
      </c>
      <c r="T36" s="10" t="s">
        <v>6072</v>
      </c>
      <c r="U36" s="10">
        <v>1</v>
      </c>
      <c r="V36" s="10">
        <v>-112</v>
      </c>
      <c r="W36" s="67">
        <v>45344</v>
      </c>
      <c r="X36" s="11" t="s">
        <v>3052</v>
      </c>
      <c r="Y36" s="11" t="s">
        <v>5741</v>
      </c>
      <c r="Z36" s="11" t="s">
        <v>5796</v>
      </c>
      <c r="AA36" s="67">
        <v>45291</v>
      </c>
      <c r="AB36" s="67">
        <v>45292</v>
      </c>
      <c r="AC36" s="67">
        <v>45322</v>
      </c>
      <c r="AD36" s="67">
        <v>45321</v>
      </c>
      <c r="AE36" s="67">
        <v>45322</v>
      </c>
    </row>
    <row r="37" spans="1:31" ht="12.5">
      <c r="A37" s="10">
        <v>610422100165</v>
      </c>
      <c r="B37" s="10" t="s">
        <v>86</v>
      </c>
      <c r="D37" s="10">
        <v>1</v>
      </c>
      <c r="E37" s="10" t="s">
        <v>2855</v>
      </c>
      <c r="F37" s="10" t="s">
        <v>25</v>
      </c>
      <c r="G37" s="10" t="s">
        <v>2854</v>
      </c>
      <c r="H37" s="10" t="s">
        <v>87</v>
      </c>
      <c r="I37" s="10" t="s">
        <v>88</v>
      </c>
      <c r="J37" s="10" t="s">
        <v>164</v>
      </c>
      <c r="K37" s="66">
        <v>50000</v>
      </c>
      <c r="L37" s="10">
        <v>1</v>
      </c>
      <c r="M37" s="10">
        <v>50000</v>
      </c>
      <c r="O37" s="67">
        <v>45322</v>
      </c>
      <c r="P37" s="10">
        <v>2024</v>
      </c>
      <c r="Q37" s="10">
        <v>1</v>
      </c>
      <c r="R37" s="10" t="s">
        <v>3043</v>
      </c>
      <c r="S37" s="10" t="s">
        <v>6087</v>
      </c>
      <c r="T37" s="10" t="s">
        <v>6088</v>
      </c>
      <c r="U37" s="10">
        <v>0</v>
      </c>
      <c r="V37" s="10">
        <v>-112</v>
      </c>
      <c r="W37" s="67"/>
      <c r="X37" s="11" t="s">
        <v>3140</v>
      </c>
      <c r="Y37" s="11" t="s">
        <v>3990</v>
      </c>
      <c r="Z37" s="11" t="s">
        <v>4332</v>
      </c>
      <c r="AA37" s="67">
        <v>45291</v>
      </c>
      <c r="AB37" s="67">
        <v>45292</v>
      </c>
      <c r="AC37" s="67">
        <v>45322</v>
      </c>
      <c r="AD37" s="67">
        <v>45321</v>
      </c>
      <c r="AE37" s="67">
        <v>45322</v>
      </c>
    </row>
    <row r="38" spans="1:31" ht="12.5">
      <c r="A38" s="10">
        <v>610422030001</v>
      </c>
      <c r="B38" s="10" t="s">
        <v>23</v>
      </c>
      <c r="D38" s="10">
        <v>1</v>
      </c>
      <c r="E38" s="10" t="s">
        <v>6014</v>
      </c>
      <c r="F38" s="10" t="s">
        <v>24</v>
      </c>
      <c r="G38" s="10" t="s">
        <v>2230</v>
      </c>
      <c r="H38" s="10" t="s">
        <v>89</v>
      </c>
      <c r="I38" s="10" t="s">
        <v>6111</v>
      </c>
      <c r="J38" s="10" t="s">
        <v>164</v>
      </c>
      <c r="K38" s="66">
        <v>55000</v>
      </c>
      <c r="L38" s="10">
        <v>4</v>
      </c>
      <c r="M38" s="10">
        <v>220000</v>
      </c>
      <c r="N38" s="70">
        <v>213400</v>
      </c>
      <c r="O38" s="67">
        <v>45330</v>
      </c>
      <c r="P38" s="10">
        <v>2024</v>
      </c>
      <c r="Q38" s="10">
        <v>2</v>
      </c>
      <c r="R38" s="10" t="s">
        <v>6112</v>
      </c>
      <c r="S38" s="10" t="s">
        <v>6113</v>
      </c>
      <c r="T38" s="10" t="s">
        <v>6114</v>
      </c>
      <c r="U38" s="10">
        <v>1</v>
      </c>
      <c r="V38" s="10">
        <v>-104</v>
      </c>
      <c r="W38" s="67">
        <v>45351</v>
      </c>
      <c r="X38" s="11" t="s">
        <v>3047</v>
      </c>
      <c r="Y38" s="11" t="s">
        <v>3715</v>
      </c>
      <c r="Z38" s="11" t="s">
        <v>3716</v>
      </c>
      <c r="AA38" s="67">
        <v>45322</v>
      </c>
      <c r="AB38" s="67">
        <v>45323</v>
      </c>
      <c r="AC38" s="67">
        <v>45351</v>
      </c>
      <c r="AD38" s="67">
        <v>45350</v>
      </c>
      <c r="AE38" s="67">
        <v>45351</v>
      </c>
    </row>
    <row r="39" spans="1:31" ht="12.5">
      <c r="A39" s="10">
        <v>610422040056</v>
      </c>
      <c r="B39" s="10" t="s">
        <v>23</v>
      </c>
      <c r="D39" s="10">
        <v>1</v>
      </c>
      <c r="E39" s="10" t="s">
        <v>2825</v>
      </c>
      <c r="F39" s="10" t="s">
        <v>24</v>
      </c>
      <c r="G39" s="10" t="s">
        <v>2824</v>
      </c>
      <c r="H39" s="10" t="s">
        <v>89</v>
      </c>
      <c r="I39" s="10" t="s">
        <v>6111</v>
      </c>
      <c r="J39" s="10" t="s">
        <v>164</v>
      </c>
      <c r="K39" s="66">
        <v>55000</v>
      </c>
      <c r="L39" s="10">
        <v>6</v>
      </c>
      <c r="M39" s="10">
        <v>330000</v>
      </c>
      <c r="N39" s="70">
        <v>320100</v>
      </c>
      <c r="O39" s="67">
        <v>45330</v>
      </c>
      <c r="P39" s="10">
        <v>2024</v>
      </c>
      <c r="Q39" s="10">
        <v>2</v>
      </c>
      <c r="R39" s="10" t="s">
        <v>6112</v>
      </c>
      <c r="S39" s="10" t="s">
        <v>6115</v>
      </c>
      <c r="T39" s="10" t="s">
        <v>6116</v>
      </c>
      <c r="U39" s="10">
        <v>1</v>
      </c>
      <c r="V39" s="10">
        <v>-104</v>
      </c>
      <c r="W39" s="67">
        <v>45351</v>
      </c>
      <c r="X39" s="11" t="s">
        <v>3047</v>
      </c>
      <c r="Y39" s="11" t="s">
        <v>4572</v>
      </c>
      <c r="Z39" s="11" t="s">
        <v>4656</v>
      </c>
      <c r="AA39" s="67">
        <v>45322</v>
      </c>
      <c r="AB39" s="67">
        <v>45323</v>
      </c>
      <c r="AC39" s="67">
        <v>45351</v>
      </c>
      <c r="AD39" s="67">
        <v>45350</v>
      </c>
      <c r="AE39" s="67">
        <v>45351</v>
      </c>
    </row>
    <row r="40" spans="1:31" ht="12.5">
      <c r="A40" s="10">
        <v>610423030006</v>
      </c>
      <c r="B40" s="10" t="s">
        <v>23</v>
      </c>
      <c r="D40" s="10">
        <v>1</v>
      </c>
      <c r="E40" s="10" t="s">
        <v>5933</v>
      </c>
      <c r="F40" s="10" t="s">
        <v>24</v>
      </c>
      <c r="G40" s="10" t="s">
        <v>922</v>
      </c>
      <c r="H40" s="10" t="s">
        <v>89</v>
      </c>
      <c r="I40" s="10" t="s">
        <v>6111</v>
      </c>
      <c r="J40" s="10" t="s">
        <v>164</v>
      </c>
      <c r="K40" s="66">
        <v>55000</v>
      </c>
      <c r="L40" s="10">
        <v>4</v>
      </c>
      <c r="M40" s="10">
        <v>220000</v>
      </c>
      <c r="N40" s="70">
        <v>213400</v>
      </c>
      <c r="O40" s="67">
        <v>45330</v>
      </c>
      <c r="P40" s="10">
        <v>2024</v>
      </c>
      <c r="Q40" s="10">
        <v>2</v>
      </c>
      <c r="R40" s="10" t="s">
        <v>6112</v>
      </c>
      <c r="S40" s="10" t="s">
        <v>6117</v>
      </c>
      <c r="T40" s="10" t="s">
        <v>6118</v>
      </c>
      <c r="U40" s="10">
        <v>1</v>
      </c>
      <c r="V40" s="10">
        <v>-104</v>
      </c>
      <c r="W40" s="67">
        <v>45351</v>
      </c>
      <c r="X40" s="11" t="s">
        <v>3047</v>
      </c>
      <c r="Y40" s="11" t="s">
        <v>5534</v>
      </c>
      <c r="Z40" s="11" t="s">
        <v>5616</v>
      </c>
      <c r="AA40" s="67">
        <v>45322</v>
      </c>
      <c r="AB40" s="67">
        <v>45323</v>
      </c>
      <c r="AC40" s="67">
        <v>45351</v>
      </c>
      <c r="AD40" s="67">
        <v>45350</v>
      </c>
      <c r="AE40" s="67">
        <v>45351</v>
      </c>
    </row>
    <row r="41" spans="1:31" ht="12.5">
      <c r="A41" s="10">
        <v>610423090001</v>
      </c>
      <c r="B41" s="10" t="s">
        <v>23</v>
      </c>
      <c r="D41" s="10">
        <v>1</v>
      </c>
      <c r="E41" s="10" t="s">
        <v>2770</v>
      </c>
      <c r="F41" s="10" t="s">
        <v>25</v>
      </c>
      <c r="G41" s="10" t="s">
        <v>2769</v>
      </c>
      <c r="H41" s="10" t="s">
        <v>89</v>
      </c>
      <c r="I41" s="10" t="s">
        <v>6119</v>
      </c>
      <c r="J41" s="10" t="s">
        <v>3035</v>
      </c>
      <c r="K41" s="66">
        <v>168000</v>
      </c>
      <c r="L41" s="10">
        <v>2</v>
      </c>
      <c r="M41" s="10">
        <v>336000</v>
      </c>
      <c r="N41" s="70">
        <v>325920</v>
      </c>
      <c r="O41" s="67">
        <v>45330</v>
      </c>
      <c r="P41" s="10">
        <v>2024</v>
      </c>
      <c r="Q41" s="10">
        <v>2</v>
      </c>
      <c r="R41" s="10" t="s">
        <v>3043</v>
      </c>
      <c r="S41" s="10" t="s">
        <v>6120</v>
      </c>
      <c r="T41" s="10" t="s">
        <v>6121</v>
      </c>
      <c r="U41" s="10">
        <v>1</v>
      </c>
      <c r="V41" s="10">
        <v>-104</v>
      </c>
      <c r="W41" s="67">
        <v>45351</v>
      </c>
      <c r="X41" s="11" t="s">
        <v>3047</v>
      </c>
      <c r="Y41" s="11" t="s">
        <v>3241</v>
      </c>
      <c r="Z41" s="11" t="s">
        <v>3289</v>
      </c>
      <c r="AA41" s="67">
        <v>45322</v>
      </c>
      <c r="AB41" s="67">
        <v>45323</v>
      </c>
      <c r="AC41" s="67">
        <v>45351</v>
      </c>
      <c r="AD41" s="67">
        <v>45350</v>
      </c>
      <c r="AE41" s="67">
        <v>45351</v>
      </c>
    </row>
    <row r="42" spans="1:31" ht="12.5">
      <c r="A42" s="10">
        <v>610422040059</v>
      </c>
      <c r="B42" s="10" t="s">
        <v>23</v>
      </c>
      <c r="D42" s="10">
        <v>1</v>
      </c>
      <c r="E42" s="10" t="s">
        <v>365</v>
      </c>
      <c r="F42" s="10" t="s">
        <v>25</v>
      </c>
      <c r="G42" s="10" t="s">
        <v>364</v>
      </c>
      <c r="H42" s="10" t="s">
        <v>89</v>
      </c>
      <c r="I42" s="10" t="s">
        <v>6119</v>
      </c>
      <c r="J42" s="10" t="s">
        <v>3035</v>
      </c>
      <c r="K42" s="66">
        <v>168000</v>
      </c>
      <c r="L42" s="10">
        <v>2</v>
      </c>
      <c r="M42" s="10">
        <v>336000</v>
      </c>
      <c r="N42" s="70">
        <v>325920</v>
      </c>
      <c r="O42" s="67">
        <v>45330</v>
      </c>
      <c r="P42" s="10">
        <v>2024</v>
      </c>
      <c r="Q42" s="10">
        <v>2</v>
      </c>
      <c r="R42" s="10" t="s">
        <v>3043</v>
      </c>
      <c r="S42" s="10" t="s">
        <v>6122</v>
      </c>
      <c r="T42" s="10" t="s">
        <v>6123</v>
      </c>
      <c r="U42" s="10">
        <v>1</v>
      </c>
      <c r="V42" s="10">
        <v>-104</v>
      </c>
      <c r="W42" s="67">
        <v>45351</v>
      </c>
      <c r="X42" s="11" t="s">
        <v>3047</v>
      </c>
      <c r="Y42" s="11" t="s">
        <v>4572</v>
      </c>
      <c r="Z42" s="11" t="s">
        <v>4656</v>
      </c>
      <c r="AA42" s="67">
        <v>45322</v>
      </c>
      <c r="AB42" s="67">
        <v>45323</v>
      </c>
      <c r="AC42" s="67">
        <v>45351</v>
      </c>
      <c r="AD42" s="67">
        <v>45350</v>
      </c>
      <c r="AE42" s="67">
        <v>45351</v>
      </c>
    </row>
    <row r="43" spans="1:31" ht="12.5">
      <c r="A43" s="10">
        <v>610422100008</v>
      </c>
      <c r="B43" s="10" t="s">
        <v>23</v>
      </c>
      <c r="D43" s="10">
        <v>1</v>
      </c>
      <c r="E43" s="10" t="s">
        <v>2142</v>
      </c>
      <c r="F43" s="10" t="s">
        <v>25</v>
      </c>
      <c r="G43" s="10" t="s">
        <v>2141</v>
      </c>
      <c r="H43" s="10" t="s">
        <v>89</v>
      </c>
      <c r="I43" s="10" t="s">
        <v>6119</v>
      </c>
      <c r="J43" s="10" t="s">
        <v>3035</v>
      </c>
      <c r="K43" s="66">
        <v>168000</v>
      </c>
      <c r="L43" s="10">
        <v>2</v>
      </c>
      <c r="M43" s="10">
        <v>336000</v>
      </c>
      <c r="N43" s="70">
        <v>325920</v>
      </c>
      <c r="O43" s="67">
        <v>45330</v>
      </c>
      <c r="P43" s="10">
        <v>2024</v>
      </c>
      <c r="Q43" s="10">
        <v>2</v>
      </c>
      <c r="R43" s="10" t="s">
        <v>3043</v>
      </c>
      <c r="S43" s="10" t="s">
        <v>6124</v>
      </c>
      <c r="T43" s="10" t="s">
        <v>6125</v>
      </c>
      <c r="U43" s="10">
        <v>1</v>
      </c>
      <c r="V43" s="10">
        <v>-104</v>
      </c>
      <c r="W43" s="67">
        <v>45351</v>
      </c>
      <c r="X43" s="11" t="s">
        <v>3047</v>
      </c>
      <c r="Y43" s="11" t="s">
        <v>1921</v>
      </c>
      <c r="Z43" s="11" t="s">
        <v>2140</v>
      </c>
      <c r="AA43" s="67">
        <v>45322</v>
      </c>
      <c r="AB43" s="67">
        <v>45323</v>
      </c>
      <c r="AC43" s="67">
        <v>45351</v>
      </c>
      <c r="AD43" s="67">
        <v>45350</v>
      </c>
      <c r="AE43" s="67">
        <v>45351</v>
      </c>
    </row>
    <row r="44" spans="1:31" ht="12.5">
      <c r="A44" s="10">
        <v>610422100043</v>
      </c>
      <c r="B44" s="10" t="s">
        <v>23</v>
      </c>
      <c r="D44" s="10">
        <v>1</v>
      </c>
      <c r="E44" s="10" t="s">
        <v>5940</v>
      </c>
      <c r="F44" s="10" t="s">
        <v>25</v>
      </c>
      <c r="G44" s="10" t="s">
        <v>1025</v>
      </c>
      <c r="H44" s="10" t="s">
        <v>89</v>
      </c>
      <c r="I44" s="10" t="s">
        <v>6119</v>
      </c>
      <c r="J44" s="10" t="s">
        <v>3035</v>
      </c>
      <c r="K44" s="66">
        <v>168000</v>
      </c>
      <c r="L44" s="10">
        <v>2</v>
      </c>
      <c r="M44" s="10">
        <v>336000</v>
      </c>
      <c r="N44" s="70">
        <v>325920</v>
      </c>
      <c r="O44" s="67">
        <v>45330</v>
      </c>
      <c r="P44" s="10">
        <v>2024</v>
      </c>
      <c r="Q44" s="10">
        <v>2</v>
      </c>
      <c r="R44" s="10" t="s">
        <v>3043</v>
      </c>
      <c r="S44" s="10" t="s">
        <v>6126</v>
      </c>
      <c r="T44" s="10" t="s">
        <v>6127</v>
      </c>
      <c r="U44" s="10">
        <v>1</v>
      </c>
      <c r="V44" s="10">
        <v>-104</v>
      </c>
      <c r="W44" s="67">
        <v>45351</v>
      </c>
      <c r="X44" s="11" t="s">
        <v>3047</v>
      </c>
      <c r="Y44" s="11" t="s">
        <v>4408</v>
      </c>
      <c r="Z44" s="11" t="s">
        <v>4506</v>
      </c>
      <c r="AA44" s="67">
        <v>45322</v>
      </c>
      <c r="AB44" s="67">
        <v>45323</v>
      </c>
      <c r="AC44" s="67">
        <v>45351</v>
      </c>
      <c r="AD44" s="67">
        <v>45350</v>
      </c>
      <c r="AE44" s="67">
        <v>45351</v>
      </c>
    </row>
    <row r="45" spans="1:31" ht="12.5">
      <c r="A45" s="10">
        <v>610422100086</v>
      </c>
      <c r="B45" s="10" t="s">
        <v>23</v>
      </c>
      <c r="D45" s="10">
        <v>1</v>
      </c>
      <c r="E45" s="10" t="s">
        <v>5964</v>
      </c>
      <c r="F45" s="10" t="s">
        <v>25</v>
      </c>
      <c r="G45" s="10" t="s">
        <v>1445</v>
      </c>
      <c r="H45" s="10" t="s">
        <v>89</v>
      </c>
      <c r="I45" s="10" t="s">
        <v>6119</v>
      </c>
      <c r="J45" s="10" t="s">
        <v>3035</v>
      </c>
      <c r="K45" s="66">
        <v>168000</v>
      </c>
      <c r="L45" s="10">
        <v>2</v>
      </c>
      <c r="M45" s="10">
        <v>336000</v>
      </c>
      <c r="N45" s="70">
        <v>325920</v>
      </c>
      <c r="O45" s="67">
        <v>45330</v>
      </c>
      <c r="P45" s="10">
        <v>2024</v>
      </c>
      <c r="Q45" s="10">
        <v>2</v>
      </c>
      <c r="R45" s="10" t="s">
        <v>3043</v>
      </c>
      <c r="S45" s="10" t="s">
        <v>6128</v>
      </c>
      <c r="T45" s="10" t="s">
        <v>6129</v>
      </c>
      <c r="U45" s="10">
        <v>1</v>
      </c>
      <c r="V45" s="10">
        <v>-104</v>
      </c>
      <c r="W45" s="67">
        <v>45351</v>
      </c>
      <c r="X45" s="11" t="s">
        <v>3047</v>
      </c>
      <c r="Y45" s="11" t="s">
        <v>4572</v>
      </c>
      <c r="Z45" s="11" t="s">
        <v>4841</v>
      </c>
      <c r="AA45" s="67">
        <v>45322</v>
      </c>
      <c r="AB45" s="67">
        <v>45323</v>
      </c>
      <c r="AC45" s="67">
        <v>45351</v>
      </c>
      <c r="AD45" s="67">
        <v>45350</v>
      </c>
      <c r="AE45" s="67">
        <v>45351</v>
      </c>
    </row>
    <row r="46" spans="1:31" ht="12.5">
      <c r="A46" s="10">
        <v>610422100111</v>
      </c>
      <c r="B46" s="10" t="s">
        <v>23</v>
      </c>
      <c r="D46" s="10">
        <v>1</v>
      </c>
      <c r="E46" s="10" t="s">
        <v>5927</v>
      </c>
      <c r="F46" s="10" t="s">
        <v>25</v>
      </c>
      <c r="G46" s="10" t="s">
        <v>824</v>
      </c>
      <c r="H46" s="10" t="s">
        <v>89</v>
      </c>
      <c r="I46" s="10" t="s">
        <v>6119</v>
      </c>
      <c r="J46" s="10" t="s">
        <v>3035</v>
      </c>
      <c r="K46" s="66">
        <v>168000</v>
      </c>
      <c r="L46" s="10">
        <v>2</v>
      </c>
      <c r="M46" s="10">
        <v>336000</v>
      </c>
      <c r="N46" s="70">
        <v>325920</v>
      </c>
      <c r="O46" s="67">
        <v>45330</v>
      </c>
      <c r="P46" s="10">
        <v>2024</v>
      </c>
      <c r="Q46" s="10">
        <v>2</v>
      </c>
      <c r="R46" s="10" t="s">
        <v>3043</v>
      </c>
      <c r="S46" s="10" t="s">
        <v>6130</v>
      </c>
      <c r="T46" s="10" t="s">
        <v>6131</v>
      </c>
      <c r="U46" s="10">
        <v>1</v>
      </c>
      <c r="V46" s="10">
        <v>-104</v>
      </c>
      <c r="W46" s="67">
        <v>45351</v>
      </c>
      <c r="X46" s="11" t="s">
        <v>3047</v>
      </c>
      <c r="Y46" s="11" t="s">
        <v>3990</v>
      </c>
      <c r="Z46" s="11" t="s">
        <v>4038</v>
      </c>
      <c r="AA46" s="67">
        <v>45322</v>
      </c>
      <c r="AB46" s="67">
        <v>45323</v>
      </c>
      <c r="AC46" s="67">
        <v>45351</v>
      </c>
      <c r="AD46" s="67">
        <v>45350</v>
      </c>
      <c r="AE46" s="67">
        <v>45351</v>
      </c>
    </row>
    <row r="47" spans="1:31" ht="12.5">
      <c r="A47" s="10">
        <v>610422100175</v>
      </c>
      <c r="B47" s="10" t="s">
        <v>23</v>
      </c>
      <c r="D47" s="10">
        <v>1</v>
      </c>
      <c r="E47" s="10" t="s">
        <v>2295</v>
      </c>
      <c r="F47" s="10" t="s">
        <v>25</v>
      </c>
      <c r="G47" s="10" t="s">
        <v>2294</v>
      </c>
      <c r="H47" s="10" t="s">
        <v>89</v>
      </c>
      <c r="I47" s="10" t="s">
        <v>6119</v>
      </c>
      <c r="J47" s="10" t="s">
        <v>3035</v>
      </c>
      <c r="K47" s="66">
        <v>168000</v>
      </c>
      <c r="L47" s="10">
        <v>2</v>
      </c>
      <c r="M47" s="10">
        <v>336000</v>
      </c>
      <c r="N47" s="70">
        <v>325920</v>
      </c>
      <c r="O47" s="67">
        <v>45330</v>
      </c>
      <c r="P47" s="10">
        <v>2024</v>
      </c>
      <c r="Q47" s="10">
        <v>2</v>
      </c>
      <c r="R47" s="10" t="s">
        <v>3043</v>
      </c>
      <c r="S47" s="10" t="s">
        <v>6132</v>
      </c>
      <c r="T47" s="10" t="s">
        <v>6133</v>
      </c>
      <c r="U47" s="10">
        <v>1</v>
      </c>
      <c r="V47" s="10">
        <v>-104</v>
      </c>
      <c r="W47" s="67">
        <v>45351</v>
      </c>
      <c r="X47" s="11" t="s">
        <v>3047</v>
      </c>
      <c r="Y47" s="11" t="s">
        <v>5534</v>
      </c>
      <c r="Z47" s="11" t="s">
        <v>5616</v>
      </c>
      <c r="AA47" s="67">
        <v>45322</v>
      </c>
      <c r="AB47" s="67">
        <v>45323</v>
      </c>
      <c r="AC47" s="67">
        <v>45351</v>
      </c>
      <c r="AD47" s="67">
        <v>45350</v>
      </c>
      <c r="AE47" s="67">
        <v>45351</v>
      </c>
    </row>
    <row r="48" spans="1:31" ht="12.5">
      <c r="A48" s="10">
        <v>610422020029</v>
      </c>
      <c r="B48" s="10" t="s">
        <v>26</v>
      </c>
      <c r="D48" s="10">
        <v>1</v>
      </c>
      <c r="E48" s="10" t="s">
        <v>1622</v>
      </c>
      <c r="F48" s="10" t="s">
        <v>24</v>
      </c>
      <c r="G48" s="10" t="s">
        <v>1621</v>
      </c>
      <c r="H48" s="10" t="s">
        <v>89</v>
      </c>
      <c r="I48" s="10" t="s">
        <v>6134</v>
      </c>
      <c r="J48" s="10" t="s">
        <v>3035</v>
      </c>
      <c r="K48" s="66">
        <v>55000</v>
      </c>
      <c r="L48" s="10">
        <v>4</v>
      </c>
      <c r="M48" s="10">
        <v>220000</v>
      </c>
      <c r="N48" s="70"/>
      <c r="O48" s="67">
        <v>45335</v>
      </c>
      <c r="P48" s="10">
        <v>2024</v>
      </c>
      <c r="Q48" s="10">
        <v>2</v>
      </c>
      <c r="R48" s="10" t="s">
        <v>6112</v>
      </c>
      <c r="S48" s="10" t="s">
        <v>6135</v>
      </c>
      <c r="T48" s="10" t="s">
        <v>6136</v>
      </c>
      <c r="U48" s="10">
        <v>1</v>
      </c>
      <c r="V48" s="10">
        <v>-99</v>
      </c>
      <c r="W48" s="67">
        <v>45351</v>
      </c>
      <c r="X48" s="11" t="s">
        <v>3049</v>
      </c>
      <c r="Y48" s="11" t="s">
        <v>4572</v>
      </c>
      <c r="Z48" s="11" t="s">
        <v>4656</v>
      </c>
      <c r="AA48" s="67">
        <v>45322</v>
      </c>
      <c r="AB48" s="67">
        <v>45323</v>
      </c>
      <c r="AC48" s="67">
        <v>45351</v>
      </c>
      <c r="AD48" s="67">
        <v>45350</v>
      </c>
      <c r="AE48" s="67">
        <v>45351</v>
      </c>
    </row>
    <row r="49" spans="1:31" ht="12.5">
      <c r="A49" s="10">
        <v>610422020016</v>
      </c>
      <c r="B49" s="10" t="s">
        <v>26</v>
      </c>
      <c r="D49" s="10">
        <v>1</v>
      </c>
      <c r="E49" s="10" t="s">
        <v>380</v>
      </c>
      <c r="F49" s="10" t="s">
        <v>24</v>
      </c>
      <c r="G49" s="10" t="s">
        <v>379</v>
      </c>
      <c r="H49" s="10" t="s">
        <v>89</v>
      </c>
      <c r="I49" s="10" t="s">
        <v>6134</v>
      </c>
      <c r="J49" s="10" t="s">
        <v>3035</v>
      </c>
      <c r="K49" s="66">
        <v>55000</v>
      </c>
      <c r="L49" s="10">
        <v>4</v>
      </c>
      <c r="M49" s="10">
        <v>220000</v>
      </c>
      <c r="N49" s="70"/>
      <c r="O49" s="67">
        <v>45335</v>
      </c>
      <c r="P49" s="10">
        <v>2024</v>
      </c>
      <c r="Q49" s="10">
        <v>2</v>
      </c>
      <c r="R49" s="10" t="s">
        <v>6112</v>
      </c>
      <c r="S49" s="10" t="s">
        <v>6137</v>
      </c>
      <c r="T49" s="10" t="s">
        <v>6138</v>
      </c>
      <c r="U49" s="10">
        <v>1</v>
      </c>
      <c r="V49" s="10">
        <v>-99</v>
      </c>
      <c r="W49" s="67">
        <v>45351</v>
      </c>
      <c r="X49" s="11" t="s">
        <v>3049</v>
      </c>
      <c r="Y49" s="11" t="s">
        <v>5534</v>
      </c>
      <c r="Z49" s="11" t="s">
        <v>5535</v>
      </c>
      <c r="AA49" s="67">
        <v>45322</v>
      </c>
      <c r="AB49" s="67">
        <v>45323</v>
      </c>
      <c r="AC49" s="67">
        <v>45351</v>
      </c>
      <c r="AD49" s="67">
        <v>45350</v>
      </c>
      <c r="AE49" s="67">
        <v>45351</v>
      </c>
    </row>
    <row r="50" spans="1:31" ht="12.5">
      <c r="A50" s="10">
        <v>610422040031</v>
      </c>
      <c r="B50" s="10" t="s">
        <v>26</v>
      </c>
      <c r="D50" s="10">
        <v>1</v>
      </c>
      <c r="E50" s="10" t="s">
        <v>5963</v>
      </c>
      <c r="F50" s="10" t="s">
        <v>24</v>
      </c>
      <c r="G50" s="10" t="s">
        <v>1434</v>
      </c>
      <c r="H50" s="10" t="s">
        <v>89</v>
      </c>
      <c r="I50" s="10" t="s">
        <v>6134</v>
      </c>
      <c r="J50" s="10" t="s">
        <v>3035</v>
      </c>
      <c r="K50" s="66">
        <v>55000</v>
      </c>
      <c r="L50" s="10">
        <v>4</v>
      </c>
      <c r="M50" s="10">
        <v>220000</v>
      </c>
      <c r="N50" s="70"/>
      <c r="O50" s="67">
        <v>45335</v>
      </c>
      <c r="P50" s="10">
        <v>2024</v>
      </c>
      <c r="Q50" s="10">
        <v>2</v>
      </c>
      <c r="R50" s="10" t="s">
        <v>6112</v>
      </c>
      <c r="S50" s="10" t="s">
        <v>6139</v>
      </c>
      <c r="T50" s="10" t="s">
        <v>6140</v>
      </c>
      <c r="U50" s="10">
        <v>1</v>
      </c>
      <c r="V50" s="10">
        <v>-99</v>
      </c>
      <c r="W50" s="67">
        <v>45351</v>
      </c>
      <c r="X50" s="11" t="s">
        <v>3049</v>
      </c>
      <c r="Y50" s="11" t="s">
        <v>4572</v>
      </c>
      <c r="Z50" s="11" t="s">
        <v>4656</v>
      </c>
      <c r="AA50" s="67">
        <v>45322</v>
      </c>
      <c r="AB50" s="67">
        <v>45323</v>
      </c>
      <c r="AC50" s="67">
        <v>45351</v>
      </c>
      <c r="AD50" s="67">
        <v>45350</v>
      </c>
      <c r="AE50" s="67">
        <v>45351</v>
      </c>
    </row>
    <row r="51" spans="1:31" ht="12.5">
      <c r="A51" s="10">
        <v>610422040005</v>
      </c>
      <c r="B51" s="10" t="s">
        <v>26</v>
      </c>
      <c r="D51" s="10">
        <v>1</v>
      </c>
      <c r="E51" s="10" t="s">
        <v>6005</v>
      </c>
      <c r="F51" s="10" t="s">
        <v>24</v>
      </c>
      <c r="G51" s="10" t="s">
        <v>2085</v>
      </c>
      <c r="H51" s="10" t="s">
        <v>89</v>
      </c>
      <c r="I51" s="10" t="s">
        <v>6134</v>
      </c>
      <c r="J51" s="10" t="s">
        <v>3035</v>
      </c>
      <c r="K51" s="66">
        <v>55000</v>
      </c>
      <c r="L51" s="10">
        <v>4</v>
      </c>
      <c r="M51" s="10">
        <v>220000</v>
      </c>
      <c r="N51" s="70"/>
      <c r="O51" s="67">
        <v>45335</v>
      </c>
      <c r="P51" s="10">
        <v>2024</v>
      </c>
      <c r="Q51" s="10">
        <v>2</v>
      </c>
      <c r="R51" s="10" t="s">
        <v>6112</v>
      </c>
      <c r="S51" s="10" t="s">
        <v>6141</v>
      </c>
      <c r="T51" s="10" t="s">
        <v>6142</v>
      </c>
      <c r="U51" s="10">
        <v>1</v>
      </c>
      <c r="V51" s="10">
        <v>-99</v>
      </c>
      <c r="W51" s="67">
        <v>45351</v>
      </c>
      <c r="X51" s="11" t="s">
        <v>3049</v>
      </c>
      <c r="Y51" s="11" t="s">
        <v>4931</v>
      </c>
      <c r="Z51" s="11" t="s">
        <v>5171</v>
      </c>
      <c r="AA51" s="67">
        <v>45322</v>
      </c>
      <c r="AB51" s="67">
        <v>45323</v>
      </c>
      <c r="AC51" s="67">
        <v>45351</v>
      </c>
      <c r="AD51" s="67">
        <v>45350</v>
      </c>
      <c r="AE51" s="67">
        <v>45351</v>
      </c>
    </row>
    <row r="52" spans="1:31" ht="12.5">
      <c r="A52" s="10">
        <v>610422040038</v>
      </c>
      <c r="B52" s="10" t="s">
        <v>26</v>
      </c>
      <c r="D52" s="10">
        <v>1</v>
      </c>
      <c r="E52" s="10" t="s">
        <v>6065</v>
      </c>
      <c r="F52" s="10" t="s">
        <v>24</v>
      </c>
      <c r="G52" s="10" t="s">
        <v>2987</v>
      </c>
      <c r="H52" s="10" t="s">
        <v>89</v>
      </c>
      <c r="I52" s="10" t="s">
        <v>6134</v>
      </c>
      <c r="J52" s="10" t="s">
        <v>3035</v>
      </c>
      <c r="K52" s="66">
        <v>55000</v>
      </c>
      <c r="L52" s="10">
        <v>4</v>
      </c>
      <c r="M52" s="10">
        <v>220000</v>
      </c>
      <c r="N52" s="70"/>
      <c r="O52" s="67">
        <v>45335</v>
      </c>
      <c r="P52" s="10">
        <v>2024</v>
      </c>
      <c r="Q52" s="10">
        <v>2</v>
      </c>
      <c r="R52" s="10" t="s">
        <v>6112</v>
      </c>
      <c r="S52" s="10" t="s">
        <v>6143</v>
      </c>
      <c r="T52" s="10" t="s">
        <v>6144</v>
      </c>
      <c r="U52" s="10">
        <v>1</v>
      </c>
      <c r="V52" s="10">
        <v>-99</v>
      </c>
      <c r="W52" s="67">
        <v>45351</v>
      </c>
      <c r="X52" s="11" t="s">
        <v>3049</v>
      </c>
      <c r="Y52" s="11" t="s">
        <v>5250</v>
      </c>
      <c r="Z52" s="11" t="s">
        <v>5346</v>
      </c>
      <c r="AA52" s="67">
        <v>45322</v>
      </c>
      <c r="AB52" s="67">
        <v>45323</v>
      </c>
      <c r="AC52" s="67">
        <v>45351</v>
      </c>
      <c r="AD52" s="67">
        <v>45350</v>
      </c>
      <c r="AE52" s="67">
        <v>45351</v>
      </c>
    </row>
    <row r="53" spans="1:31" ht="12.5">
      <c r="A53" s="10">
        <v>610422040030</v>
      </c>
      <c r="B53" s="10" t="s">
        <v>26</v>
      </c>
      <c r="D53" s="10">
        <v>1</v>
      </c>
      <c r="E53" s="10" t="s">
        <v>2697</v>
      </c>
      <c r="F53" s="10" t="s">
        <v>24</v>
      </c>
      <c r="G53" s="10" t="s">
        <v>2696</v>
      </c>
      <c r="H53" s="10" t="s">
        <v>89</v>
      </c>
      <c r="I53" s="10" t="s">
        <v>6134</v>
      </c>
      <c r="J53" s="10" t="s">
        <v>3035</v>
      </c>
      <c r="K53" s="66">
        <v>55000</v>
      </c>
      <c r="L53" s="10">
        <v>4</v>
      </c>
      <c r="M53" s="10">
        <v>220000</v>
      </c>
      <c r="N53" s="70"/>
      <c r="O53" s="67">
        <v>45335</v>
      </c>
      <c r="P53" s="10">
        <v>2024</v>
      </c>
      <c r="Q53" s="10">
        <v>2</v>
      </c>
      <c r="R53" s="10" t="s">
        <v>6112</v>
      </c>
      <c r="S53" s="10" t="s">
        <v>6145</v>
      </c>
      <c r="T53" s="10" t="s">
        <v>6146</v>
      </c>
      <c r="U53" s="10">
        <v>1</v>
      </c>
      <c r="V53" s="10">
        <v>-99</v>
      </c>
      <c r="W53" s="67">
        <v>45351</v>
      </c>
      <c r="X53" s="11" t="s">
        <v>3049</v>
      </c>
      <c r="Y53" s="11" t="s">
        <v>3241</v>
      </c>
      <c r="Z53" s="11" t="s">
        <v>3289</v>
      </c>
      <c r="AA53" s="67">
        <v>45322</v>
      </c>
      <c r="AB53" s="67">
        <v>45323</v>
      </c>
      <c r="AC53" s="67">
        <v>45351</v>
      </c>
      <c r="AD53" s="67">
        <v>45350</v>
      </c>
      <c r="AE53" s="67">
        <v>45351</v>
      </c>
    </row>
    <row r="54" spans="1:31" ht="12.5">
      <c r="A54" s="10">
        <v>610422040062</v>
      </c>
      <c r="B54" s="10" t="s">
        <v>26</v>
      </c>
      <c r="D54" s="10">
        <v>1</v>
      </c>
      <c r="E54" s="10" t="s">
        <v>2899</v>
      </c>
      <c r="F54" s="10" t="s">
        <v>24</v>
      </c>
      <c r="G54" s="10" t="s">
        <v>2898</v>
      </c>
      <c r="H54" s="10" t="s">
        <v>89</v>
      </c>
      <c r="I54" s="10" t="s">
        <v>6134</v>
      </c>
      <c r="J54" s="10" t="s">
        <v>3035</v>
      </c>
      <c r="K54" s="66">
        <v>55000</v>
      </c>
      <c r="L54" s="10">
        <v>4</v>
      </c>
      <c r="M54" s="10">
        <v>220000</v>
      </c>
      <c r="N54" s="70"/>
      <c r="O54" s="67">
        <v>45335</v>
      </c>
      <c r="P54" s="10">
        <v>2024</v>
      </c>
      <c r="Q54" s="10">
        <v>2</v>
      </c>
      <c r="R54" s="10" t="s">
        <v>6112</v>
      </c>
      <c r="S54" s="10" t="s">
        <v>6147</v>
      </c>
      <c r="T54" s="10" t="s">
        <v>6148</v>
      </c>
      <c r="U54" s="10">
        <v>1</v>
      </c>
      <c r="V54" s="10">
        <v>-99</v>
      </c>
      <c r="W54" s="67">
        <v>45351</v>
      </c>
      <c r="X54" s="11" t="s">
        <v>3049</v>
      </c>
      <c r="Y54" s="11" t="s">
        <v>3990</v>
      </c>
      <c r="Z54" s="11" t="s">
        <v>4332</v>
      </c>
      <c r="AA54" s="67">
        <v>45322</v>
      </c>
      <c r="AB54" s="67">
        <v>45323</v>
      </c>
      <c r="AC54" s="67">
        <v>45351</v>
      </c>
      <c r="AD54" s="67">
        <v>45350</v>
      </c>
      <c r="AE54" s="67">
        <v>45351</v>
      </c>
    </row>
    <row r="55" spans="1:31" ht="12.5">
      <c r="A55" s="10">
        <v>610422100274</v>
      </c>
      <c r="B55" s="10" t="s">
        <v>26</v>
      </c>
      <c r="D55" s="10">
        <v>1</v>
      </c>
      <c r="E55" s="10" t="s">
        <v>624</v>
      </c>
      <c r="F55" s="10" t="s">
        <v>24</v>
      </c>
      <c r="G55" s="10" t="s">
        <v>623</v>
      </c>
      <c r="H55" s="10" t="s">
        <v>89</v>
      </c>
      <c r="I55" s="10" t="s">
        <v>6134</v>
      </c>
      <c r="J55" s="10" t="s">
        <v>3035</v>
      </c>
      <c r="K55" s="66">
        <v>55000</v>
      </c>
      <c r="L55" s="10">
        <v>4</v>
      </c>
      <c r="M55" s="10">
        <v>220000</v>
      </c>
      <c r="N55" s="70"/>
      <c r="O55" s="67">
        <v>45335</v>
      </c>
      <c r="P55" s="10">
        <v>2024</v>
      </c>
      <c r="Q55" s="10">
        <v>2</v>
      </c>
      <c r="R55" s="10" t="s">
        <v>6112</v>
      </c>
      <c r="S55" s="10" t="s">
        <v>6149</v>
      </c>
      <c r="T55" s="10" t="s">
        <v>6150</v>
      </c>
      <c r="U55" s="10">
        <v>1</v>
      </c>
      <c r="V55" s="10">
        <v>-99</v>
      </c>
      <c r="W55" s="67">
        <v>45351</v>
      </c>
      <c r="X55" s="11" t="s">
        <v>3049</v>
      </c>
      <c r="Y55" s="11" t="s">
        <v>4931</v>
      </c>
      <c r="Z55" s="11" t="s">
        <v>5171</v>
      </c>
      <c r="AA55" s="67">
        <v>45322</v>
      </c>
      <c r="AB55" s="67">
        <v>45323</v>
      </c>
      <c r="AC55" s="67">
        <v>45351</v>
      </c>
      <c r="AD55" s="67">
        <v>45350</v>
      </c>
      <c r="AE55" s="67">
        <v>45351</v>
      </c>
    </row>
    <row r="56" spans="1:31" ht="12.5">
      <c r="A56" s="10">
        <v>610422100108</v>
      </c>
      <c r="B56" s="10" t="s">
        <v>26</v>
      </c>
      <c r="D56" s="10">
        <v>1</v>
      </c>
      <c r="E56" s="10" t="s">
        <v>1089</v>
      </c>
      <c r="F56" s="10" t="s">
        <v>24</v>
      </c>
      <c r="G56" s="10" t="s">
        <v>1088</v>
      </c>
      <c r="H56" s="10" t="s">
        <v>89</v>
      </c>
      <c r="I56" s="10" t="s">
        <v>6134</v>
      </c>
      <c r="J56" s="10" t="s">
        <v>3035</v>
      </c>
      <c r="K56" s="66">
        <v>55000</v>
      </c>
      <c r="L56" s="10">
        <v>4</v>
      </c>
      <c r="M56" s="10">
        <v>220000</v>
      </c>
      <c r="N56" s="70"/>
      <c r="O56" s="67">
        <v>45335</v>
      </c>
      <c r="P56" s="10">
        <v>2024</v>
      </c>
      <c r="Q56" s="10">
        <v>2</v>
      </c>
      <c r="R56" s="10" t="s">
        <v>6112</v>
      </c>
      <c r="S56" s="10" t="s">
        <v>6151</v>
      </c>
      <c r="T56" s="10" t="s">
        <v>6152</v>
      </c>
      <c r="U56" s="10">
        <v>1</v>
      </c>
      <c r="V56" s="10">
        <v>-99</v>
      </c>
      <c r="W56" s="67">
        <v>45351</v>
      </c>
      <c r="X56" s="11" t="s">
        <v>3049</v>
      </c>
      <c r="Y56" s="11" t="s">
        <v>4572</v>
      </c>
      <c r="Z56" s="11" t="s">
        <v>4619</v>
      </c>
      <c r="AA56" s="67">
        <v>45322</v>
      </c>
      <c r="AB56" s="67">
        <v>45323</v>
      </c>
      <c r="AC56" s="67">
        <v>45351</v>
      </c>
      <c r="AD56" s="67">
        <v>45350</v>
      </c>
      <c r="AE56" s="67">
        <v>45351</v>
      </c>
    </row>
    <row r="57" spans="1:31" ht="12.5">
      <c r="A57" s="10">
        <v>610423040016</v>
      </c>
      <c r="B57" s="10" t="s">
        <v>26</v>
      </c>
      <c r="D57" s="10">
        <v>1</v>
      </c>
      <c r="E57" s="10" t="s">
        <v>1158</v>
      </c>
      <c r="F57" s="10" t="s">
        <v>24</v>
      </c>
      <c r="G57" s="10" t="s">
        <v>1157</v>
      </c>
      <c r="H57" s="10" t="s">
        <v>89</v>
      </c>
      <c r="I57" s="10" t="s">
        <v>6134</v>
      </c>
      <c r="J57" s="10" t="s">
        <v>3035</v>
      </c>
      <c r="K57" s="66">
        <v>55000</v>
      </c>
      <c r="L57" s="10">
        <v>4</v>
      </c>
      <c r="M57" s="10">
        <v>220000</v>
      </c>
      <c r="N57" s="70"/>
      <c r="O57" s="67">
        <v>45335</v>
      </c>
      <c r="P57" s="10">
        <v>2024</v>
      </c>
      <c r="Q57" s="10">
        <v>2</v>
      </c>
      <c r="R57" s="10" t="s">
        <v>6112</v>
      </c>
      <c r="S57" s="10" t="s">
        <v>6153</v>
      </c>
      <c r="T57" s="10" t="s">
        <v>6154</v>
      </c>
      <c r="U57" s="10">
        <v>1</v>
      </c>
      <c r="V57" s="10">
        <v>-99</v>
      </c>
      <c r="W57" s="67">
        <v>45351</v>
      </c>
      <c r="X57" s="11" t="s">
        <v>3049</v>
      </c>
      <c r="Y57" s="11" t="s">
        <v>4572</v>
      </c>
      <c r="Z57" s="11" t="s">
        <v>4619</v>
      </c>
      <c r="AA57" s="67">
        <v>45322</v>
      </c>
      <c r="AB57" s="67">
        <v>45323</v>
      </c>
      <c r="AC57" s="67">
        <v>45351</v>
      </c>
      <c r="AD57" s="67">
        <v>45350</v>
      </c>
      <c r="AE57" s="67">
        <v>45351</v>
      </c>
    </row>
    <row r="58" spans="1:31" ht="12.5">
      <c r="A58" s="10">
        <v>610422100032</v>
      </c>
      <c r="B58" s="10" t="s">
        <v>26</v>
      </c>
      <c r="D58" s="10">
        <v>1</v>
      </c>
      <c r="E58" s="10" t="s">
        <v>1942</v>
      </c>
      <c r="F58" s="10" t="s">
        <v>24</v>
      </c>
      <c r="G58" s="10" t="s">
        <v>1941</v>
      </c>
      <c r="H58" s="10" t="s">
        <v>89</v>
      </c>
      <c r="I58" s="10" t="s">
        <v>6134</v>
      </c>
      <c r="J58" s="10" t="s">
        <v>3035</v>
      </c>
      <c r="K58" s="66">
        <v>55000</v>
      </c>
      <c r="L58" s="10">
        <v>4</v>
      </c>
      <c r="M58" s="10">
        <v>220000</v>
      </c>
      <c r="N58" s="70"/>
      <c r="O58" s="67">
        <v>45335</v>
      </c>
      <c r="P58" s="10">
        <v>2024</v>
      </c>
      <c r="Q58" s="10">
        <v>2</v>
      </c>
      <c r="R58" s="10" t="s">
        <v>6112</v>
      </c>
      <c r="S58" s="10" t="s">
        <v>6155</v>
      </c>
      <c r="T58" s="10" t="s">
        <v>6156</v>
      </c>
      <c r="U58" s="10">
        <v>1</v>
      </c>
      <c r="V58" s="10">
        <v>-99</v>
      </c>
      <c r="W58" s="67">
        <v>45351</v>
      </c>
      <c r="X58" s="11" t="s">
        <v>3049</v>
      </c>
      <c r="Y58" s="11" t="s">
        <v>4572</v>
      </c>
      <c r="Z58" s="11" t="s">
        <v>4656</v>
      </c>
      <c r="AA58" s="67">
        <v>45322</v>
      </c>
      <c r="AB58" s="67">
        <v>45323</v>
      </c>
      <c r="AC58" s="67">
        <v>45351</v>
      </c>
      <c r="AD58" s="67">
        <v>45350</v>
      </c>
      <c r="AE58" s="67">
        <v>45351</v>
      </c>
    </row>
    <row r="59" spans="1:31" ht="12.5">
      <c r="A59" s="10">
        <v>610422100244</v>
      </c>
      <c r="B59" s="10" t="s">
        <v>26</v>
      </c>
      <c r="D59" s="10">
        <v>1</v>
      </c>
      <c r="E59" s="10" t="s">
        <v>2633</v>
      </c>
      <c r="F59" s="10" t="s">
        <v>24</v>
      </c>
      <c r="G59" s="10" t="s">
        <v>2632</v>
      </c>
      <c r="H59" s="10" t="s">
        <v>89</v>
      </c>
      <c r="I59" s="10" t="s">
        <v>6134</v>
      </c>
      <c r="J59" s="10" t="s">
        <v>3035</v>
      </c>
      <c r="K59" s="66">
        <v>55000</v>
      </c>
      <c r="L59" s="10">
        <v>4</v>
      </c>
      <c r="M59" s="10">
        <v>220000</v>
      </c>
      <c r="N59" s="70"/>
      <c r="O59" s="67">
        <v>45335</v>
      </c>
      <c r="P59" s="10">
        <v>2024</v>
      </c>
      <c r="Q59" s="10">
        <v>2</v>
      </c>
      <c r="R59" s="10" t="s">
        <v>6112</v>
      </c>
      <c r="S59" s="10" t="s">
        <v>6157</v>
      </c>
      <c r="T59" s="10" t="s">
        <v>6158</v>
      </c>
      <c r="U59" s="10">
        <v>1</v>
      </c>
      <c r="V59" s="10">
        <v>-99</v>
      </c>
      <c r="W59" s="67">
        <v>45351</v>
      </c>
      <c r="X59" s="11" t="s">
        <v>3049</v>
      </c>
      <c r="Y59" s="11" t="s">
        <v>5741</v>
      </c>
      <c r="Z59" s="11" t="s">
        <v>5796</v>
      </c>
      <c r="AA59" s="67">
        <v>45322</v>
      </c>
      <c r="AB59" s="67">
        <v>45323</v>
      </c>
      <c r="AC59" s="67">
        <v>45351</v>
      </c>
      <c r="AD59" s="67">
        <v>45350</v>
      </c>
      <c r="AE59" s="67">
        <v>45351</v>
      </c>
    </row>
    <row r="60" spans="1:31" ht="12.5">
      <c r="A60" s="10">
        <v>610422100256</v>
      </c>
      <c r="B60" s="10" t="s">
        <v>26</v>
      </c>
      <c r="D60" s="10">
        <v>1</v>
      </c>
      <c r="E60" s="10" t="s">
        <v>1778</v>
      </c>
      <c r="F60" s="10" t="s">
        <v>25</v>
      </c>
      <c r="G60" s="10" t="s">
        <v>1777</v>
      </c>
      <c r="H60" s="10" t="s">
        <v>89</v>
      </c>
      <c r="I60" s="10" t="s">
        <v>6159</v>
      </c>
      <c r="J60" s="10" t="s">
        <v>3035</v>
      </c>
      <c r="K60" s="66">
        <v>168000</v>
      </c>
      <c r="L60" s="10">
        <v>1</v>
      </c>
      <c r="M60" s="10">
        <v>168000</v>
      </c>
      <c r="N60" s="70">
        <v>162960</v>
      </c>
      <c r="O60" s="67">
        <v>45335</v>
      </c>
      <c r="P60" s="10">
        <v>2024</v>
      </c>
      <c r="Q60" s="10">
        <v>2</v>
      </c>
      <c r="R60" s="10" t="s">
        <v>3043</v>
      </c>
      <c r="S60" s="10" t="s">
        <v>6160</v>
      </c>
      <c r="T60" s="10" t="s">
        <v>6161</v>
      </c>
      <c r="U60" s="10">
        <v>1</v>
      </c>
      <c r="V60" s="10">
        <v>-99</v>
      </c>
      <c r="W60" s="67">
        <v>45351</v>
      </c>
      <c r="X60" s="11" t="s">
        <v>3049</v>
      </c>
      <c r="Y60" s="11" t="s">
        <v>5741</v>
      </c>
      <c r="Z60" s="11" t="s">
        <v>5742</v>
      </c>
      <c r="AA60" s="67">
        <v>45322</v>
      </c>
      <c r="AB60" s="67">
        <v>45323</v>
      </c>
      <c r="AC60" s="67">
        <v>45351</v>
      </c>
      <c r="AD60" s="67">
        <v>45350</v>
      </c>
      <c r="AE60" s="67">
        <v>45351</v>
      </c>
    </row>
    <row r="61" spans="1:31" ht="12.5">
      <c r="A61" s="10">
        <v>610422100055</v>
      </c>
      <c r="B61" s="10" t="s">
        <v>26</v>
      </c>
      <c r="D61" s="10">
        <v>1</v>
      </c>
      <c r="E61" s="10" t="s">
        <v>2791</v>
      </c>
      <c r="F61" s="10" t="s">
        <v>25</v>
      </c>
      <c r="G61" s="10" t="s">
        <v>2790</v>
      </c>
      <c r="H61" s="10" t="s">
        <v>89</v>
      </c>
      <c r="I61" s="10" t="s">
        <v>6159</v>
      </c>
      <c r="J61" s="10" t="s">
        <v>3035</v>
      </c>
      <c r="K61" s="66">
        <v>168000</v>
      </c>
      <c r="L61" s="10">
        <v>1</v>
      </c>
      <c r="M61" s="10">
        <v>168000</v>
      </c>
      <c r="N61" s="70">
        <v>162960</v>
      </c>
      <c r="O61" s="67">
        <v>45335</v>
      </c>
      <c r="P61" s="10">
        <v>2024</v>
      </c>
      <c r="Q61" s="10">
        <v>2</v>
      </c>
      <c r="R61" s="10" t="s">
        <v>3043</v>
      </c>
      <c r="S61" s="10" t="s">
        <v>6162</v>
      </c>
      <c r="T61" s="10" t="s">
        <v>6163</v>
      </c>
      <c r="U61" s="10">
        <v>1</v>
      </c>
      <c r="V61" s="10">
        <v>-99</v>
      </c>
      <c r="W61" s="67">
        <v>45351</v>
      </c>
      <c r="X61" s="11" t="s">
        <v>3049</v>
      </c>
      <c r="Y61" s="11" t="s">
        <v>3241</v>
      </c>
      <c r="Z61" s="11" t="s">
        <v>3289</v>
      </c>
      <c r="AA61" s="67">
        <v>45322</v>
      </c>
      <c r="AB61" s="67">
        <v>45323</v>
      </c>
      <c r="AC61" s="67">
        <v>45351</v>
      </c>
      <c r="AD61" s="67">
        <v>45350</v>
      </c>
      <c r="AE61" s="67">
        <v>45351</v>
      </c>
    </row>
    <row r="62" spans="1:31" ht="12.5">
      <c r="A62" s="10">
        <v>610422020008</v>
      </c>
      <c r="B62" s="10" t="s">
        <v>26</v>
      </c>
      <c r="D62" s="10">
        <v>1</v>
      </c>
      <c r="E62" s="10" t="s">
        <v>1424</v>
      </c>
      <c r="F62" s="10" t="s">
        <v>25</v>
      </c>
      <c r="G62" s="10" t="s">
        <v>1423</v>
      </c>
      <c r="H62" s="10" t="s">
        <v>89</v>
      </c>
      <c r="I62" s="10" t="s">
        <v>6159</v>
      </c>
      <c r="J62" s="10" t="s">
        <v>3035</v>
      </c>
      <c r="K62" s="66">
        <v>168000</v>
      </c>
      <c r="L62" s="10">
        <v>2</v>
      </c>
      <c r="M62" s="10">
        <v>336000</v>
      </c>
      <c r="N62" s="70">
        <v>325920</v>
      </c>
      <c r="O62" s="67">
        <v>45335</v>
      </c>
      <c r="P62" s="10">
        <v>2024</v>
      </c>
      <c r="Q62" s="10">
        <v>2</v>
      </c>
      <c r="R62" s="10" t="s">
        <v>3043</v>
      </c>
      <c r="S62" s="10" t="s">
        <v>6164</v>
      </c>
      <c r="T62" s="10" t="s">
        <v>6165</v>
      </c>
      <c r="U62" s="10">
        <v>1</v>
      </c>
      <c r="V62" s="10">
        <v>-99</v>
      </c>
      <c r="W62" s="67">
        <v>45351</v>
      </c>
      <c r="X62" s="11" t="s">
        <v>3049</v>
      </c>
      <c r="Y62" s="11" t="s">
        <v>5250</v>
      </c>
      <c r="Z62" s="11" t="s">
        <v>5365</v>
      </c>
      <c r="AA62" s="67">
        <v>45322</v>
      </c>
      <c r="AB62" s="67">
        <v>45323</v>
      </c>
      <c r="AC62" s="67">
        <v>45351</v>
      </c>
      <c r="AD62" s="67">
        <v>45350</v>
      </c>
      <c r="AE62" s="67">
        <v>45351</v>
      </c>
    </row>
    <row r="63" spans="1:31" ht="12.5">
      <c r="A63" s="10">
        <v>610423040014</v>
      </c>
      <c r="B63" s="10" t="s">
        <v>26</v>
      </c>
      <c r="D63" s="10">
        <v>1</v>
      </c>
      <c r="E63" s="10" t="s">
        <v>5955</v>
      </c>
      <c r="F63" s="10" t="s">
        <v>25</v>
      </c>
      <c r="G63" s="10" t="s">
        <v>1232</v>
      </c>
      <c r="H63" s="10" t="s">
        <v>89</v>
      </c>
      <c r="I63" s="10" t="s">
        <v>6159</v>
      </c>
      <c r="J63" s="10" t="s">
        <v>3035</v>
      </c>
      <c r="K63" s="66">
        <v>168000</v>
      </c>
      <c r="L63" s="10">
        <v>2</v>
      </c>
      <c r="M63" s="10">
        <v>336000</v>
      </c>
      <c r="N63" s="70">
        <v>325920</v>
      </c>
      <c r="O63" s="67">
        <v>45335</v>
      </c>
      <c r="P63" s="10">
        <v>2024</v>
      </c>
      <c r="Q63" s="10">
        <v>2</v>
      </c>
      <c r="R63" s="10" t="s">
        <v>3043</v>
      </c>
      <c r="S63" s="10" t="s">
        <v>6166</v>
      </c>
      <c r="T63" s="10" t="s">
        <v>6167</v>
      </c>
      <c r="U63" s="10">
        <v>1</v>
      </c>
      <c r="V63" s="10">
        <v>-99</v>
      </c>
      <c r="W63" s="67">
        <v>45351</v>
      </c>
      <c r="X63" s="11" t="s">
        <v>3049</v>
      </c>
      <c r="Y63" s="11" t="s">
        <v>5534</v>
      </c>
      <c r="Z63" s="11" t="s">
        <v>5714</v>
      </c>
      <c r="AA63" s="67">
        <v>45322</v>
      </c>
      <c r="AB63" s="67">
        <v>45323</v>
      </c>
      <c r="AC63" s="67">
        <v>45351</v>
      </c>
      <c r="AD63" s="67">
        <v>45350</v>
      </c>
      <c r="AE63" s="67">
        <v>45351</v>
      </c>
    </row>
    <row r="64" spans="1:31" ht="12.5">
      <c r="A64" s="10">
        <v>610423040022</v>
      </c>
      <c r="B64" s="10" t="s">
        <v>26</v>
      </c>
      <c r="D64" s="10">
        <v>1</v>
      </c>
      <c r="E64" s="10" t="s">
        <v>543</v>
      </c>
      <c r="F64" s="10" t="s">
        <v>25</v>
      </c>
      <c r="G64" s="10" t="s">
        <v>542</v>
      </c>
      <c r="H64" s="10" t="s">
        <v>89</v>
      </c>
      <c r="I64" s="10" t="s">
        <v>6159</v>
      </c>
      <c r="J64" s="10" t="s">
        <v>3035</v>
      </c>
      <c r="K64" s="66">
        <v>168000</v>
      </c>
      <c r="L64" s="10">
        <v>2</v>
      </c>
      <c r="M64" s="10">
        <v>336000</v>
      </c>
      <c r="N64" s="70">
        <v>325920</v>
      </c>
      <c r="O64" s="67">
        <v>45335</v>
      </c>
      <c r="P64" s="10">
        <v>2024</v>
      </c>
      <c r="Q64" s="10">
        <v>2</v>
      </c>
      <c r="R64" s="10" t="s">
        <v>3043</v>
      </c>
      <c r="S64" s="10" t="s">
        <v>6168</v>
      </c>
      <c r="T64" s="10" t="s">
        <v>6169</v>
      </c>
      <c r="U64" s="10">
        <v>1</v>
      </c>
      <c r="V64" s="10">
        <v>-99</v>
      </c>
      <c r="W64" s="67">
        <v>45351</v>
      </c>
      <c r="X64" s="11" t="s">
        <v>3049</v>
      </c>
      <c r="Y64" s="11" t="s">
        <v>5741</v>
      </c>
      <c r="Z64" s="11" t="s">
        <v>5796</v>
      </c>
      <c r="AA64" s="67">
        <v>45322</v>
      </c>
      <c r="AB64" s="67">
        <v>45323</v>
      </c>
      <c r="AC64" s="67">
        <v>45351</v>
      </c>
      <c r="AD64" s="67">
        <v>45350</v>
      </c>
      <c r="AE64" s="67">
        <v>45351</v>
      </c>
    </row>
    <row r="65" spans="1:31" ht="12.5">
      <c r="A65" s="10">
        <v>610423030004</v>
      </c>
      <c r="B65" s="10" t="s">
        <v>26</v>
      </c>
      <c r="D65" s="10">
        <v>1</v>
      </c>
      <c r="E65" s="10" t="s">
        <v>1627</v>
      </c>
      <c r="F65" s="10" t="s">
        <v>25</v>
      </c>
      <c r="G65" s="10" t="s">
        <v>1626</v>
      </c>
      <c r="H65" s="10" t="s">
        <v>89</v>
      </c>
      <c r="I65" s="10" t="s">
        <v>6159</v>
      </c>
      <c r="J65" s="10" t="s">
        <v>3035</v>
      </c>
      <c r="K65" s="66">
        <v>168000</v>
      </c>
      <c r="L65" s="10">
        <v>2</v>
      </c>
      <c r="M65" s="10">
        <v>336000</v>
      </c>
      <c r="N65" s="70">
        <v>325920</v>
      </c>
      <c r="O65" s="67">
        <v>45335</v>
      </c>
      <c r="P65" s="10">
        <v>2024</v>
      </c>
      <c r="Q65" s="10">
        <v>2</v>
      </c>
      <c r="R65" s="10" t="s">
        <v>3043</v>
      </c>
      <c r="S65" s="10" t="s">
        <v>6170</v>
      </c>
      <c r="T65" s="10" t="s">
        <v>6171</v>
      </c>
      <c r="U65" s="10">
        <v>1</v>
      </c>
      <c r="V65" s="10">
        <v>-99</v>
      </c>
      <c r="W65" s="67">
        <v>45351</v>
      </c>
      <c r="X65" s="11" t="s">
        <v>3049</v>
      </c>
      <c r="Y65" s="11" t="s">
        <v>3990</v>
      </c>
      <c r="Z65" s="11" t="s">
        <v>4143</v>
      </c>
      <c r="AA65" s="67">
        <v>45322</v>
      </c>
      <c r="AB65" s="67">
        <v>45323</v>
      </c>
      <c r="AC65" s="67">
        <v>45351</v>
      </c>
      <c r="AD65" s="67">
        <v>45350</v>
      </c>
      <c r="AE65" s="67">
        <v>45351</v>
      </c>
    </row>
    <row r="66" spans="1:31" ht="12.5">
      <c r="A66" s="10">
        <v>610423040004</v>
      </c>
      <c r="B66" s="10" t="s">
        <v>26</v>
      </c>
      <c r="D66" s="10">
        <v>1</v>
      </c>
      <c r="E66" s="10" t="s">
        <v>731</v>
      </c>
      <c r="F66" s="10" t="s">
        <v>25</v>
      </c>
      <c r="G66" s="10" t="s">
        <v>730</v>
      </c>
      <c r="H66" s="10" t="s">
        <v>89</v>
      </c>
      <c r="I66" s="10" t="s">
        <v>6159</v>
      </c>
      <c r="J66" s="10" t="s">
        <v>3035</v>
      </c>
      <c r="K66" s="66">
        <v>168000</v>
      </c>
      <c r="L66" s="10">
        <v>1</v>
      </c>
      <c r="M66" s="10">
        <v>168000</v>
      </c>
      <c r="N66" s="70">
        <v>162960</v>
      </c>
      <c r="O66" s="67">
        <v>45335</v>
      </c>
      <c r="P66" s="10">
        <v>2024</v>
      </c>
      <c r="Q66" s="10">
        <v>2</v>
      </c>
      <c r="R66" s="10" t="s">
        <v>3043</v>
      </c>
      <c r="S66" s="10" t="s">
        <v>6172</v>
      </c>
      <c r="T66" s="10" t="s">
        <v>6173</v>
      </c>
      <c r="U66" s="10">
        <v>1</v>
      </c>
      <c r="V66" s="10">
        <v>-99</v>
      </c>
      <c r="W66" s="67">
        <v>45351</v>
      </c>
      <c r="X66" s="11" t="s">
        <v>3049</v>
      </c>
      <c r="Y66" s="11" t="s">
        <v>4408</v>
      </c>
      <c r="Z66" s="11" t="s">
        <v>4531</v>
      </c>
      <c r="AA66" s="67">
        <v>45322</v>
      </c>
      <c r="AB66" s="67">
        <v>45323</v>
      </c>
      <c r="AC66" s="67">
        <v>45351</v>
      </c>
      <c r="AD66" s="67">
        <v>45350</v>
      </c>
      <c r="AE66" s="67">
        <v>45351</v>
      </c>
    </row>
    <row r="67" spans="1:31" ht="12.5">
      <c r="A67" s="10">
        <v>610423040006</v>
      </c>
      <c r="B67" s="10" t="s">
        <v>26</v>
      </c>
      <c r="D67" s="10">
        <v>1</v>
      </c>
      <c r="E67" s="10" t="s">
        <v>5992</v>
      </c>
      <c r="F67" s="10" t="s">
        <v>25</v>
      </c>
      <c r="G67" s="10" t="s">
        <v>1824</v>
      </c>
      <c r="H67" s="10" t="s">
        <v>89</v>
      </c>
      <c r="I67" s="10" t="s">
        <v>6159</v>
      </c>
      <c r="J67" s="10" t="s">
        <v>3035</v>
      </c>
      <c r="K67" s="66">
        <v>168000</v>
      </c>
      <c r="L67" s="10">
        <v>2</v>
      </c>
      <c r="M67" s="10">
        <v>336000</v>
      </c>
      <c r="N67" s="70">
        <v>325920</v>
      </c>
      <c r="O67" s="67">
        <v>45335</v>
      </c>
      <c r="P67" s="10">
        <v>2024</v>
      </c>
      <c r="Q67" s="10">
        <v>2</v>
      </c>
      <c r="R67" s="10" t="s">
        <v>3043</v>
      </c>
      <c r="S67" s="10" t="s">
        <v>6174</v>
      </c>
      <c r="T67" s="10" t="s">
        <v>6175</v>
      </c>
      <c r="U67" s="10">
        <v>1</v>
      </c>
      <c r="V67" s="10">
        <v>-99</v>
      </c>
      <c r="W67" s="67">
        <v>45351</v>
      </c>
      <c r="X67" s="11" t="s">
        <v>3049</v>
      </c>
      <c r="Y67" s="11" t="s">
        <v>4931</v>
      </c>
      <c r="Z67" s="11" t="s">
        <v>5104</v>
      </c>
      <c r="AA67" s="67">
        <v>45322</v>
      </c>
      <c r="AB67" s="67">
        <v>45323</v>
      </c>
      <c r="AC67" s="67">
        <v>45351</v>
      </c>
      <c r="AD67" s="67">
        <v>45350</v>
      </c>
      <c r="AE67" s="67">
        <v>45351</v>
      </c>
    </row>
    <row r="68" spans="1:31" ht="12.5">
      <c r="A68" s="10">
        <v>610423040013</v>
      </c>
      <c r="B68" s="10" t="s">
        <v>26</v>
      </c>
      <c r="D68" s="10">
        <v>1</v>
      </c>
      <c r="E68" s="10" t="s">
        <v>1658</v>
      </c>
      <c r="F68" s="10" t="s">
        <v>25</v>
      </c>
      <c r="G68" s="10" t="s">
        <v>1657</v>
      </c>
      <c r="H68" s="10" t="s">
        <v>89</v>
      </c>
      <c r="I68" s="10" t="s">
        <v>6159</v>
      </c>
      <c r="J68" s="10" t="s">
        <v>3035</v>
      </c>
      <c r="K68" s="66">
        <v>168000</v>
      </c>
      <c r="L68" s="10">
        <v>1</v>
      </c>
      <c r="M68" s="10">
        <v>168000</v>
      </c>
      <c r="N68" s="70">
        <v>162960</v>
      </c>
      <c r="O68" s="67">
        <v>45335</v>
      </c>
      <c r="P68" s="10">
        <v>2024</v>
      </c>
      <c r="Q68" s="10">
        <v>2</v>
      </c>
      <c r="R68" s="10" t="s">
        <v>3043</v>
      </c>
      <c r="S68" s="10" t="s">
        <v>6176</v>
      </c>
      <c r="T68" s="10" t="s">
        <v>6177</v>
      </c>
      <c r="U68" s="10">
        <v>1</v>
      </c>
      <c r="V68" s="10">
        <v>-99</v>
      </c>
      <c r="W68" s="67">
        <v>45351</v>
      </c>
      <c r="X68" s="11" t="s">
        <v>3049</v>
      </c>
      <c r="Y68" s="11" t="s">
        <v>5250</v>
      </c>
      <c r="Z68" s="11" t="s">
        <v>5304</v>
      </c>
      <c r="AA68" s="67">
        <v>45322</v>
      </c>
      <c r="AB68" s="67">
        <v>45323</v>
      </c>
      <c r="AC68" s="67">
        <v>45351</v>
      </c>
      <c r="AD68" s="67">
        <v>45350</v>
      </c>
      <c r="AE68" s="67">
        <v>45351</v>
      </c>
    </row>
    <row r="69" spans="1:31" ht="12.5">
      <c r="A69" s="10">
        <v>610423090019</v>
      </c>
      <c r="B69" s="10" t="s">
        <v>26</v>
      </c>
      <c r="D69" s="10">
        <v>1</v>
      </c>
      <c r="E69" s="10" t="s">
        <v>2213</v>
      </c>
      <c r="F69" s="10" t="s">
        <v>25</v>
      </c>
      <c r="G69" s="10" t="s">
        <v>2212</v>
      </c>
      <c r="H69" s="10" t="s">
        <v>89</v>
      </c>
      <c r="I69" s="10" t="s">
        <v>6159</v>
      </c>
      <c r="J69" s="10" t="s">
        <v>3035</v>
      </c>
      <c r="K69" s="66">
        <v>168000</v>
      </c>
      <c r="L69" s="10">
        <v>2</v>
      </c>
      <c r="M69" s="10">
        <v>336000</v>
      </c>
      <c r="N69" s="70">
        <v>325920</v>
      </c>
      <c r="O69" s="67">
        <v>45335</v>
      </c>
      <c r="P69" s="10">
        <v>2024</v>
      </c>
      <c r="Q69" s="10">
        <v>2</v>
      </c>
      <c r="R69" s="10" t="s">
        <v>3043</v>
      </c>
      <c r="S69" s="10" t="s">
        <v>6178</v>
      </c>
      <c r="T69" s="10" t="s">
        <v>6179</v>
      </c>
      <c r="U69" s="10">
        <v>1</v>
      </c>
      <c r="V69" s="10">
        <v>-99</v>
      </c>
      <c r="W69" s="67">
        <v>45351</v>
      </c>
      <c r="X69" s="11" t="s">
        <v>3049</v>
      </c>
      <c r="Y69" s="11" t="s">
        <v>4572</v>
      </c>
      <c r="Z69" s="11" t="s">
        <v>4586</v>
      </c>
      <c r="AA69" s="67">
        <v>45322</v>
      </c>
      <c r="AB69" s="67">
        <v>45323</v>
      </c>
      <c r="AC69" s="67">
        <v>45351</v>
      </c>
      <c r="AD69" s="67">
        <v>45350</v>
      </c>
      <c r="AE69" s="67">
        <v>45351</v>
      </c>
    </row>
    <row r="70" spans="1:31" ht="12.5">
      <c r="A70" s="10">
        <v>610422100165</v>
      </c>
      <c r="B70" s="10" t="s">
        <v>26</v>
      </c>
      <c r="D70" s="10">
        <v>1</v>
      </c>
      <c r="E70" s="10" t="s">
        <v>2855</v>
      </c>
      <c r="F70" s="10" t="s">
        <v>25</v>
      </c>
      <c r="G70" s="10" t="s">
        <v>2854</v>
      </c>
      <c r="H70" s="10" t="s">
        <v>89</v>
      </c>
      <c r="I70" s="10" t="s">
        <v>6159</v>
      </c>
      <c r="J70" s="10" t="s">
        <v>3035</v>
      </c>
      <c r="K70" s="66">
        <v>168000</v>
      </c>
      <c r="L70" s="10">
        <v>2</v>
      </c>
      <c r="M70" s="10">
        <v>336000</v>
      </c>
      <c r="N70" s="70">
        <v>325920</v>
      </c>
      <c r="O70" s="67">
        <v>45335</v>
      </c>
      <c r="P70" s="10">
        <v>2024</v>
      </c>
      <c r="Q70" s="10">
        <v>2</v>
      </c>
      <c r="R70" s="10" t="s">
        <v>3043</v>
      </c>
      <c r="S70" s="10" t="s">
        <v>6180</v>
      </c>
      <c r="T70" s="10" t="s">
        <v>6181</v>
      </c>
      <c r="U70" s="10">
        <v>1</v>
      </c>
      <c r="V70" s="10">
        <v>-99</v>
      </c>
      <c r="W70" s="67">
        <v>45351</v>
      </c>
      <c r="X70" s="11" t="s">
        <v>3049</v>
      </c>
      <c r="Y70" s="11" t="s">
        <v>3990</v>
      </c>
      <c r="Z70" s="11" t="s">
        <v>4332</v>
      </c>
      <c r="AA70" s="67">
        <v>45322</v>
      </c>
      <c r="AB70" s="67">
        <v>45323</v>
      </c>
      <c r="AC70" s="67">
        <v>45351</v>
      </c>
      <c r="AD70" s="67">
        <v>45350</v>
      </c>
      <c r="AE70" s="67">
        <v>45351</v>
      </c>
    </row>
    <row r="71" spans="1:31" ht="12.5">
      <c r="A71" s="10">
        <v>610422100139</v>
      </c>
      <c r="B71" s="10" t="s">
        <v>26</v>
      </c>
      <c r="D71" s="10">
        <v>1</v>
      </c>
      <c r="E71" s="10" t="s">
        <v>2842</v>
      </c>
      <c r="F71" s="10" t="s">
        <v>25</v>
      </c>
      <c r="G71" s="10" t="s">
        <v>2841</v>
      </c>
      <c r="H71" s="10" t="s">
        <v>89</v>
      </c>
      <c r="I71" s="10" t="s">
        <v>6159</v>
      </c>
      <c r="J71" s="10" t="s">
        <v>3035</v>
      </c>
      <c r="K71" s="66">
        <v>168000</v>
      </c>
      <c r="L71" s="10">
        <v>1</v>
      </c>
      <c r="M71" s="10">
        <v>168000</v>
      </c>
      <c r="N71" s="70">
        <v>162960</v>
      </c>
      <c r="O71" s="67">
        <v>45335</v>
      </c>
      <c r="P71" s="10">
        <v>2024</v>
      </c>
      <c r="Q71" s="10">
        <v>2</v>
      </c>
      <c r="R71" s="10" t="s">
        <v>3043</v>
      </c>
      <c r="S71" s="10" t="s">
        <v>6182</v>
      </c>
      <c r="T71" s="10" t="s">
        <v>6183</v>
      </c>
      <c r="U71" s="10">
        <v>1</v>
      </c>
      <c r="V71" s="10">
        <v>-99</v>
      </c>
      <c r="W71" s="67">
        <v>45351</v>
      </c>
      <c r="X71" s="11" t="s">
        <v>3049</v>
      </c>
      <c r="Y71" s="11" t="s">
        <v>4572</v>
      </c>
      <c r="Z71" s="11" t="s">
        <v>4814</v>
      </c>
      <c r="AA71" s="67">
        <v>45322</v>
      </c>
      <c r="AB71" s="67">
        <v>45323</v>
      </c>
      <c r="AC71" s="67">
        <v>45351</v>
      </c>
      <c r="AD71" s="67">
        <v>45350</v>
      </c>
      <c r="AE71" s="67">
        <v>45351</v>
      </c>
    </row>
    <row r="72" spans="1:31" ht="12.5">
      <c r="A72" s="10">
        <v>610422100137</v>
      </c>
      <c r="B72" s="10" t="s">
        <v>26</v>
      </c>
      <c r="D72" s="10">
        <v>1</v>
      </c>
      <c r="E72" s="10" t="s">
        <v>5985</v>
      </c>
      <c r="F72" s="10" t="s">
        <v>25</v>
      </c>
      <c r="G72" s="10" t="s">
        <v>1719</v>
      </c>
      <c r="H72" s="10" t="s">
        <v>89</v>
      </c>
      <c r="I72" s="10" t="s">
        <v>6159</v>
      </c>
      <c r="J72" s="10" t="s">
        <v>3035</v>
      </c>
      <c r="K72" s="66">
        <v>168000</v>
      </c>
      <c r="L72" s="10">
        <v>1</v>
      </c>
      <c r="M72" s="10">
        <v>168000</v>
      </c>
      <c r="N72" s="70">
        <v>162960</v>
      </c>
      <c r="O72" s="67">
        <v>45335</v>
      </c>
      <c r="P72" s="10">
        <v>2024</v>
      </c>
      <c r="Q72" s="10">
        <v>2</v>
      </c>
      <c r="R72" s="10" t="s">
        <v>3043</v>
      </c>
      <c r="S72" s="10" t="s">
        <v>6184</v>
      </c>
      <c r="T72" s="10" t="s">
        <v>6185</v>
      </c>
      <c r="U72" s="10">
        <v>1</v>
      </c>
      <c r="V72" s="10">
        <v>-99</v>
      </c>
      <c r="W72" s="67">
        <v>45351</v>
      </c>
      <c r="X72" s="11" t="s">
        <v>3049</v>
      </c>
      <c r="Y72" s="11" t="s">
        <v>5534</v>
      </c>
      <c r="Z72" s="11" t="s">
        <v>5535</v>
      </c>
      <c r="AA72" s="67">
        <v>45322</v>
      </c>
      <c r="AB72" s="67">
        <v>45323</v>
      </c>
      <c r="AC72" s="67">
        <v>45351</v>
      </c>
      <c r="AD72" s="67">
        <v>45350</v>
      </c>
      <c r="AE72" s="67">
        <v>45351</v>
      </c>
    </row>
    <row r="73" spans="1:31" ht="12.5">
      <c r="A73" s="10">
        <v>610422100144</v>
      </c>
      <c r="B73" s="10" t="s">
        <v>26</v>
      </c>
      <c r="D73" s="10">
        <v>1</v>
      </c>
      <c r="E73" s="10" t="s">
        <v>5970</v>
      </c>
      <c r="F73" s="10" t="s">
        <v>25</v>
      </c>
      <c r="G73" s="10" t="s">
        <v>1513</v>
      </c>
      <c r="H73" s="10" t="s">
        <v>89</v>
      </c>
      <c r="I73" s="10" t="s">
        <v>6159</v>
      </c>
      <c r="J73" s="10" t="s">
        <v>3035</v>
      </c>
      <c r="K73" s="66">
        <v>168000</v>
      </c>
      <c r="L73" s="10">
        <v>1</v>
      </c>
      <c r="M73" s="10">
        <v>168000</v>
      </c>
      <c r="N73" s="70">
        <v>162960</v>
      </c>
      <c r="O73" s="67">
        <v>45335</v>
      </c>
      <c r="P73" s="10">
        <v>2024</v>
      </c>
      <c r="Q73" s="10">
        <v>2</v>
      </c>
      <c r="R73" s="10" t="s">
        <v>3043</v>
      </c>
      <c r="S73" s="10" t="s">
        <v>6186</v>
      </c>
      <c r="T73" s="10" t="s">
        <v>6187</v>
      </c>
      <c r="U73" s="10">
        <v>1</v>
      </c>
      <c r="V73" s="10">
        <v>-99</v>
      </c>
      <c r="W73" s="67">
        <v>45351</v>
      </c>
      <c r="X73" s="11" t="s">
        <v>3049</v>
      </c>
      <c r="Y73" s="11" t="s">
        <v>5250</v>
      </c>
      <c r="Z73" s="11" t="s">
        <v>5488</v>
      </c>
      <c r="AA73" s="67">
        <v>45322</v>
      </c>
      <c r="AB73" s="67">
        <v>45323</v>
      </c>
      <c r="AC73" s="67">
        <v>45351</v>
      </c>
      <c r="AD73" s="67">
        <v>45350</v>
      </c>
      <c r="AE73" s="67">
        <v>45351</v>
      </c>
    </row>
    <row r="74" spans="1:31" ht="12.5">
      <c r="A74" s="10">
        <v>610422100236</v>
      </c>
      <c r="B74" s="10" t="s">
        <v>26</v>
      </c>
      <c r="D74" s="10">
        <v>1</v>
      </c>
      <c r="E74" s="10" t="s">
        <v>2726</v>
      </c>
      <c r="F74" s="10" t="s">
        <v>25</v>
      </c>
      <c r="G74" s="10" t="s">
        <v>2725</v>
      </c>
      <c r="H74" s="10" t="s">
        <v>89</v>
      </c>
      <c r="I74" s="10" t="s">
        <v>6159</v>
      </c>
      <c r="J74" s="10" t="s">
        <v>3035</v>
      </c>
      <c r="K74" s="66">
        <v>168000</v>
      </c>
      <c r="L74" s="10">
        <v>2</v>
      </c>
      <c r="M74" s="10">
        <v>336000</v>
      </c>
      <c r="N74" s="70">
        <v>325920</v>
      </c>
      <c r="O74" s="67">
        <v>45335</v>
      </c>
      <c r="P74" s="10">
        <v>2024</v>
      </c>
      <c r="Q74" s="10">
        <v>2</v>
      </c>
      <c r="R74" s="10" t="s">
        <v>3043</v>
      </c>
      <c r="S74" s="10" t="s">
        <v>6188</v>
      </c>
      <c r="T74" s="10" t="s">
        <v>6189</v>
      </c>
      <c r="U74" s="10">
        <v>1</v>
      </c>
      <c r="V74" s="10">
        <v>-99</v>
      </c>
      <c r="W74" s="67">
        <v>45351</v>
      </c>
      <c r="X74" s="11" t="s">
        <v>3049</v>
      </c>
      <c r="Y74" s="11" t="s">
        <v>5741</v>
      </c>
      <c r="Z74" s="11" t="s">
        <v>5742</v>
      </c>
      <c r="AA74" s="67">
        <v>45322</v>
      </c>
      <c r="AB74" s="67">
        <v>45323</v>
      </c>
      <c r="AC74" s="67">
        <v>45351</v>
      </c>
      <c r="AD74" s="67">
        <v>45350</v>
      </c>
      <c r="AE74" s="67">
        <v>45351</v>
      </c>
    </row>
    <row r="75" spans="1:31" ht="12.5">
      <c r="A75" s="10">
        <v>610422100016</v>
      </c>
      <c r="B75" s="10" t="s">
        <v>26</v>
      </c>
      <c r="D75" s="10">
        <v>1</v>
      </c>
      <c r="E75" s="10" t="s">
        <v>550</v>
      </c>
      <c r="F75" s="10" t="s">
        <v>25</v>
      </c>
      <c r="G75" s="10" t="s">
        <v>549</v>
      </c>
      <c r="H75" s="10" t="s">
        <v>89</v>
      </c>
      <c r="I75" s="10" t="s">
        <v>6159</v>
      </c>
      <c r="J75" s="10" t="s">
        <v>3035</v>
      </c>
      <c r="K75" s="66">
        <v>168000</v>
      </c>
      <c r="L75" s="10">
        <v>2</v>
      </c>
      <c r="M75" s="10">
        <v>336000</v>
      </c>
      <c r="N75" s="70">
        <v>325920</v>
      </c>
      <c r="O75" s="67">
        <v>45335</v>
      </c>
      <c r="P75" s="10">
        <v>2024</v>
      </c>
      <c r="Q75" s="10">
        <v>2</v>
      </c>
      <c r="R75" s="10" t="s">
        <v>3043</v>
      </c>
      <c r="S75" s="10" t="s">
        <v>6190</v>
      </c>
      <c r="T75" s="10" t="s">
        <v>6191</v>
      </c>
      <c r="U75" s="10">
        <v>1</v>
      </c>
      <c r="V75" s="10">
        <v>-99</v>
      </c>
      <c r="W75" s="67">
        <v>45351</v>
      </c>
      <c r="X75" s="11" t="s">
        <v>3049</v>
      </c>
      <c r="Y75" s="11" t="s">
        <v>5250</v>
      </c>
      <c r="Z75" s="11" t="s">
        <v>5365</v>
      </c>
      <c r="AA75" s="67">
        <v>45322</v>
      </c>
      <c r="AB75" s="67">
        <v>45323</v>
      </c>
      <c r="AC75" s="67">
        <v>45351</v>
      </c>
      <c r="AD75" s="67">
        <v>45350</v>
      </c>
      <c r="AE75" s="67">
        <v>45351</v>
      </c>
    </row>
    <row r="76" spans="1:31" ht="12.5">
      <c r="A76" s="10">
        <v>610422100101</v>
      </c>
      <c r="B76" s="10" t="s">
        <v>26</v>
      </c>
      <c r="D76" s="10">
        <v>1</v>
      </c>
      <c r="E76" s="10" t="s">
        <v>6043</v>
      </c>
      <c r="F76" s="10" t="s">
        <v>25</v>
      </c>
      <c r="G76" s="10" t="s">
        <v>2644</v>
      </c>
      <c r="H76" s="10" t="s">
        <v>89</v>
      </c>
      <c r="I76" s="10" t="s">
        <v>6159</v>
      </c>
      <c r="J76" s="10" t="s">
        <v>3035</v>
      </c>
      <c r="K76" s="66">
        <v>168000</v>
      </c>
      <c r="L76" s="10">
        <v>2</v>
      </c>
      <c r="M76" s="10">
        <v>336000</v>
      </c>
      <c r="N76" s="70">
        <v>325920</v>
      </c>
      <c r="O76" s="67">
        <v>45335</v>
      </c>
      <c r="P76" s="10">
        <v>2024</v>
      </c>
      <c r="Q76" s="10">
        <v>2</v>
      </c>
      <c r="R76" s="10" t="s">
        <v>3043</v>
      </c>
      <c r="S76" s="10" t="s">
        <v>6192</v>
      </c>
      <c r="T76" s="10" t="s">
        <v>6193</v>
      </c>
      <c r="U76" s="10">
        <v>1</v>
      </c>
      <c r="V76" s="10">
        <v>-99</v>
      </c>
      <c r="W76" s="67">
        <v>45351</v>
      </c>
      <c r="X76" s="11" t="s">
        <v>3049</v>
      </c>
      <c r="Y76" s="11" t="s">
        <v>4408</v>
      </c>
      <c r="Z76" s="11" t="s">
        <v>4409</v>
      </c>
      <c r="AA76" s="67">
        <v>45322</v>
      </c>
      <c r="AB76" s="67">
        <v>45323</v>
      </c>
      <c r="AC76" s="67">
        <v>45351</v>
      </c>
      <c r="AD76" s="67">
        <v>45350</v>
      </c>
      <c r="AE76" s="67">
        <v>45351</v>
      </c>
    </row>
    <row r="77" spans="1:31" ht="12.5">
      <c r="A77" s="10">
        <v>610422100147</v>
      </c>
      <c r="B77" s="10" t="s">
        <v>26</v>
      </c>
      <c r="D77" s="10">
        <v>1</v>
      </c>
      <c r="E77" s="10" t="s">
        <v>771</v>
      </c>
      <c r="F77" s="10" t="s">
        <v>25</v>
      </c>
      <c r="G77" s="10" t="s">
        <v>770</v>
      </c>
      <c r="H77" s="10" t="s">
        <v>89</v>
      </c>
      <c r="I77" s="10" t="s">
        <v>6159</v>
      </c>
      <c r="J77" s="10" t="s">
        <v>3035</v>
      </c>
      <c r="K77" s="66">
        <v>168000</v>
      </c>
      <c r="L77" s="10">
        <v>2</v>
      </c>
      <c r="M77" s="10">
        <v>336000</v>
      </c>
      <c r="N77" s="70">
        <v>325920</v>
      </c>
      <c r="O77" s="67">
        <v>45335</v>
      </c>
      <c r="P77" s="10">
        <v>2024</v>
      </c>
      <c r="Q77" s="10">
        <v>2</v>
      </c>
      <c r="R77" s="10" t="s">
        <v>3043</v>
      </c>
      <c r="S77" s="10" t="s">
        <v>6194</v>
      </c>
      <c r="T77" s="10" t="s">
        <v>6195</v>
      </c>
      <c r="U77" s="10">
        <v>1</v>
      </c>
      <c r="V77" s="10">
        <v>-99</v>
      </c>
      <c r="W77" s="67">
        <v>45351</v>
      </c>
      <c r="X77" s="11" t="s">
        <v>3049</v>
      </c>
      <c r="Y77" s="11" t="s">
        <v>5534</v>
      </c>
      <c r="Z77" s="11" t="s">
        <v>5714</v>
      </c>
      <c r="AA77" s="67">
        <v>45322</v>
      </c>
      <c r="AB77" s="67">
        <v>45323</v>
      </c>
      <c r="AC77" s="67">
        <v>45351</v>
      </c>
      <c r="AD77" s="67">
        <v>45350</v>
      </c>
      <c r="AE77" s="67">
        <v>45351</v>
      </c>
    </row>
    <row r="78" spans="1:31" ht="12.5">
      <c r="A78" s="10">
        <v>610422050008</v>
      </c>
      <c r="B78" s="10" t="s">
        <v>26</v>
      </c>
      <c r="D78" s="10">
        <v>1</v>
      </c>
      <c r="E78" s="10" t="s">
        <v>918</v>
      </c>
      <c r="F78" s="10" t="s">
        <v>25</v>
      </c>
      <c r="G78" s="10" t="s">
        <v>917</v>
      </c>
      <c r="H78" s="10" t="s">
        <v>89</v>
      </c>
      <c r="I78" s="10" t="s">
        <v>6159</v>
      </c>
      <c r="J78" s="10" t="s">
        <v>3035</v>
      </c>
      <c r="K78" s="66">
        <v>168000</v>
      </c>
      <c r="L78" s="10">
        <v>2</v>
      </c>
      <c r="M78" s="10">
        <v>336000</v>
      </c>
      <c r="N78" s="70">
        <v>325920</v>
      </c>
      <c r="O78" s="67">
        <v>45335</v>
      </c>
      <c r="P78" s="10">
        <v>2024</v>
      </c>
      <c r="Q78" s="10">
        <v>2</v>
      </c>
      <c r="R78" s="10" t="s">
        <v>3043</v>
      </c>
      <c r="S78" s="10" t="s">
        <v>6196</v>
      </c>
      <c r="T78" s="10" t="s">
        <v>6197</v>
      </c>
      <c r="U78" s="10">
        <v>1</v>
      </c>
      <c r="V78" s="10">
        <v>-99</v>
      </c>
      <c r="W78" s="67">
        <v>45351</v>
      </c>
      <c r="X78" s="11" t="s">
        <v>3049</v>
      </c>
      <c r="Y78" s="11" t="s">
        <v>5534</v>
      </c>
      <c r="Z78" s="11" t="s">
        <v>5670</v>
      </c>
      <c r="AA78" s="67">
        <v>45322</v>
      </c>
      <c r="AB78" s="67">
        <v>45323</v>
      </c>
      <c r="AC78" s="67">
        <v>45351</v>
      </c>
      <c r="AD78" s="67">
        <v>45350</v>
      </c>
      <c r="AE78" s="67">
        <v>45351</v>
      </c>
    </row>
    <row r="79" spans="1:31" ht="12.5">
      <c r="A79" s="10">
        <v>610422100085</v>
      </c>
      <c r="B79" s="10" t="s">
        <v>26</v>
      </c>
      <c r="D79" s="10">
        <v>1</v>
      </c>
      <c r="E79" s="10" t="s">
        <v>5981</v>
      </c>
      <c r="F79" s="10" t="s">
        <v>25</v>
      </c>
      <c r="G79" s="10" t="s">
        <v>1646</v>
      </c>
      <c r="H79" s="10" t="s">
        <v>89</v>
      </c>
      <c r="I79" s="10" t="s">
        <v>6159</v>
      </c>
      <c r="J79" s="10" t="s">
        <v>3035</v>
      </c>
      <c r="K79" s="66">
        <v>168000</v>
      </c>
      <c r="L79" s="10">
        <v>1</v>
      </c>
      <c r="M79" s="10">
        <v>168000</v>
      </c>
      <c r="N79" s="70">
        <v>162960</v>
      </c>
      <c r="O79" s="67">
        <v>45335</v>
      </c>
      <c r="P79" s="10">
        <v>2024</v>
      </c>
      <c r="Q79" s="10">
        <v>2</v>
      </c>
      <c r="R79" s="10" t="s">
        <v>3043</v>
      </c>
      <c r="S79" s="10" t="s">
        <v>6198</v>
      </c>
      <c r="T79" s="10" t="s">
        <v>6199</v>
      </c>
      <c r="U79" s="10">
        <v>1</v>
      </c>
      <c r="V79" s="10">
        <v>-99</v>
      </c>
      <c r="W79" s="67">
        <v>45351</v>
      </c>
      <c r="X79" s="11" t="s">
        <v>3049</v>
      </c>
      <c r="Y79" s="11" t="s">
        <v>3990</v>
      </c>
      <c r="Z79" s="11" t="s">
        <v>4087</v>
      </c>
      <c r="AA79" s="67">
        <v>45322</v>
      </c>
      <c r="AB79" s="67">
        <v>45323</v>
      </c>
      <c r="AC79" s="67">
        <v>45351</v>
      </c>
      <c r="AD79" s="67">
        <v>45350</v>
      </c>
      <c r="AE79" s="67">
        <v>45351</v>
      </c>
    </row>
    <row r="80" spans="1:31" ht="12.5">
      <c r="A80" s="10">
        <v>610422060001</v>
      </c>
      <c r="B80" s="10" t="s">
        <v>26</v>
      </c>
      <c r="D80" s="10">
        <v>1</v>
      </c>
      <c r="E80" s="10" t="s">
        <v>1042</v>
      </c>
      <c r="F80" s="10" t="s">
        <v>25</v>
      </c>
      <c r="G80" s="10" t="s">
        <v>1041</v>
      </c>
      <c r="H80" s="10" t="s">
        <v>89</v>
      </c>
      <c r="I80" s="10" t="s">
        <v>6159</v>
      </c>
      <c r="J80" s="10" t="s">
        <v>3035</v>
      </c>
      <c r="K80" s="66">
        <v>168000</v>
      </c>
      <c r="L80" s="10">
        <v>2</v>
      </c>
      <c r="M80" s="10">
        <v>336000</v>
      </c>
      <c r="N80" s="70">
        <v>325920</v>
      </c>
      <c r="O80" s="67">
        <v>45335</v>
      </c>
      <c r="P80" s="10">
        <v>2024</v>
      </c>
      <c r="Q80" s="10">
        <v>2</v>
      </c>
      <c r="R80" s="10" t="s">
        <v>3043</v>
      </c>
      <c r="S80" s="10" t="s">
        <v>6200</v>
      </c>
      <c r="T80" s="10" t="s">
        <v>6201</v>
      </c>
      <c r="U80" s="10">
        <v>1</v>
      </c>
      <c r="V80" s="10">
        <v>-99</v>
      </c>
      <c r="W80" s="67">
        <v>45351</v>
      </c>
      <c r="X80" s="11" t="s">
        <v>3049</v>
      </c>
      <c r="Y80" s="11" t="s">
        <v>5250</v>
      </c>
      <c r="Z80" s="11" t="s">
        <v>5415</v>
      </c>
      <c r="AA80" s="67">
        <v>45322</v>
      </c>
      <c r="AB80" s="67">
        <v>45323</v>
      </c>
      <c r="AC80" s="67">
        <v>45351</v>
      </c>
      <c r="AD80" s="67">
        <v>45350</v>
      </c>
      <c r="AE80" s="67">
        <v>45351</v>
      </c>
    </row>
    <row r="81" spans="1:31" ht="12.5">
      <c r="A81" s="10">
        <v>610422100001</v>
      </c>
      <c r="B81" s="10" t="s">
        <v>26</v>
      </c>
      <c r="D81" s="10">
        <v>1</v>
      </c>
      <c r="E81" s="10" t="s">
        <v>1177</v>
      </c>
      <c r="F81" s="10" t="s">
        <v>25</v>
      </c>
      <c r="G81" s="10" t="s">
        <v>1176</v>
      </c>
      <c r="H81" s="10" t="s">
        <v>89</v>
      </c>
      <c r="I81" s="10" t="s">
        <v>6159</v>
      </c>
      <c r="J81" s="10" t="s">
        <v>3035</v>
      </c>
      <c r="K81" s="66">
        <v>168000</v>
      </c>
      <c r="L81" s="10">
        <v>2</v>
      </c>
      <c r="M81" s="10">
        <v>336000</v>
      </c>
      <c r="N81" s="70">
        <v>325920</v>
      </c>
      <c r="O81" s="67">
        <v>45335</v>
      </c>
      <c r="P81" s="10">
        <v>2024</v>
      </c>
      <c r="Q81" s="10">
        <v>2</v>
      </c>
      <c r="R81" s="10" t="s">
        <v>3043</v>
      </c>
      <c r="S81" s="10" t="s">
        <v>6202</v>
      </c>
      <c r="T81" s="10" t="s">
        <v>6203</v>
      </c>
      <c r="U81" s="10">
        <v>1</v>
      </c>
      <c r="V81" s="10">
        <v>-99</v>
      </c>
      <c r="W81" s="67">
        <v>45351</v>
      </c>
      <c r="X81" s="11" t="s">
        <v>3049</v>
      </c>
      <c r="Y81" s="11" t="s">
        <v>3990</v>
      </c>
      <c r="Z81" s="11" t="s">
        <v>4332</v>
      </c>
      <c r="AA81" s="67">
        <v>45322</v>
      </c>
      <c r="AB81" s="67">
        <v>45323</v>
      </c>
      <c r="AC81" s="67">
        <v>45351</v>
      </c>
      <c r="AD81" s="67">
        <v>45350</v>
      </c>
      <c r="AE81" s="67">
        <v>45351</v>
      </c>
    </row>
    <row r="82" spans="1:31" ht="12.5">
      <c r="A82" s="10">
        <v>610422040034</v>
      </c>
      <c r="B82" s="10" t="s">
        <v>26</v>
      </c>
      <c r="D82" s="10">
        <v>1</v>
      </c>
      <c r="E82" s="10" t="s">
        <v>2110</v>
      </c>
      <c r="F82" s="10" t="s">
        <v>25</v>
      </c>
      <c r="G82" s="10" t="s">
        <v>2109</v>
      </c>
      <c r="H82" s="10" t="s">
        <v>89</v>
      </c>
      <c r="I82" s="10" t="s">
        <v>6159</v>
      </c>
      <c r="J82" s="10" t="s">
        <v>3035</v>
      </c>
      <c r="K82" s="66">
        <v>168000</v>
      </c>
      <c r="L82" s="10">
        <v>2</v>
      </c>
      <c r="M82" s="10">
        <v>336000</v>
      </c>
      <c r="N82" s="70">
        <v>325920</v>
      </c>
      <c r="O82" s="67">
        <v>45335</v>
      </c>
      <c r="P82" s="10">
        <v>2024</v>
      </c>
      <c r="Q82" s="10">
        <v>2</v>
      </c>
      <c r="R82" s="10" t="s">
        <v>3043</v>
      </c>
      <c r="S82" s="10" t="s">
        <v>6204</v>
      </c>
      <c r="T82" s="10" t="s">
        <v>6205</v>
      </c>
      <c r="U82" s="10">
        <v>1</v>
      </c>
      <c r="V82" s="10">
        <v>-99</v>
      </c>
      <c r="W82" s="67">
        <v>45351</v>
      </c>
      <c r="X82" s="11" t="s">
        <v>3049</v>
      </c>
      <c r="Y82" s="11" t="s">
        <v>4572</v>
      </c>
      <c r="Z82" s="11" t="s">
        <v>4841</v>
      </c>
      <c r="AA82" s="67">
        <v>45322</v>
      </c>
      <c r="AB82" s="67">
        <v>45323</v>
      </c>
      <c r="AC82" s="67">
        <v>45351</v>
      </c>
      <c r="AD82" s="67">
        <v>45350</v>
      </c>
      <c r="AE82" s="67">
        <v>45351</v>
      </c>
    </row>
    <row r="83" spans="1:31" ht="12.5">
      <c r="A83" s="10">
        <v>610422040058</v>
      </c>
      <c r="B83" s="10" t="s">
        <v>26</v>
      </c>
      <c r="D83" s="10">
        <v>1</v>
      </c>
      <c r="E83" s="10" t="s">
        <v>5976</v>
      </c>
      <c r="F83" s="10" t="s">
        <v>25</v>
      </c>
      <c r="G83" s="10" t="s">
        <v>1547</v>
      </c>
      <c r="H83" s="10" t="s">
        <v>89</v>
      </c>
      <c r="I83" s="10" t="s">
        <v>6159</v>
      </c>
      <c r="J83" s="10" t="s">
        <v>3035</v>
      </c>
      <c r="K83" s="66">
        <v>168000</v>
      </c>
      <c r="L83" s="10">
        <v>2</v>
      </c>
      <c r="M83" s="10">
        <v>336000</v>
      </c>
      <c r="N83" s="70">
        <v>325920</v>
      </c>
      <c r="O83" s="67">
        <v>45335</v>
      </c>
      <c r="P83" s="10">
        <v>2024</v>
      </c>
      <c r="Q83" s="10">
        <v>2</v>
      </c>
      <c r="R83" s="10" t="s">
        <v>3043</v>
      </c>
      <c r="S83" s="10" t="s">
        <v>6206</v>
      </c>
      <c r="T83" s="10" t="s">
        <v>6207</v>
      </c>
      <c r="U83" s="10">
        <v>1</v>
      </c>
      <c r="V83" s="10">
        <v>-99</v>
      </c>
      <c r="W83" s="67">
        <v>45351</v>
      </c>
      <c r="X83" s="11" t="s">
        <v>3049</v>
      </c>
      <c r="Y83" s="11" t="s">
        <v>3715</v>
      </c>
      <c r="Z83" s="11" t="s">
        <v>3716</v>
      </c>
      <c r="AA83" s="67">
        <v>45322</v>
      </c>
      <c r="AB83" s="67">
        <v>45323</v>
      </c>
      <c r="AC83" s="67">
        <v>45351</v>
      </c>
      <c r="AD83" s="67">
        <v>45350</v>
      </c>
      <c r="AE83" s="67">
        <v>45351</v>
      </c>
    </row>
    <row r="84" spans="1:31" ht="12.5">
      <c r="A84" s="10">
        <v>610422040052</v>
      </c>
      <c r="B84" s="10" t="s">
        <v>26</v>
      </c>
      <c r="D84" s="10">
        <v>1</v>
      </c>
      <c r="E84" s="10" t="s">
        <v>2952</v>
      </c>
      <c r="F84" s="10" t="s">
        <v>25</v>
      </c>
      <c r="G84" s="10" t="s">
        <v>2951</v>
      </c>
      <c r="H84" s="10" t="s">
        <v>89</v>
      </c>
      <c r="I84" s="10" t="s">
        <v>6159</v>
      </c>
      <c r="J84" s="10" t="s">
        <v>3035</v>
      </c>
      <c r="K84" s="66">
        <v>168000</v>
      </c>
      <c r="L84" s="10">
        <v>1</v>
      </c>
      <c r="M84" s="10">
        <v>168000</v>
      </c>
      <c r="N84" s="70">
        <v>162960</v>
      </c>
      <c r="O84" s="67">
        <v>45335</v>
      </c>
      <c r="P84" s="10">
        <v>2024</v>
      </c>
      <c r="Q84" s="10">
        <v>2</v>
      </c>
      <c r="R84" s="10" t="s">
        <v>3043</v>
      </c>
      <c r="S84" s="10" t="s">
        <v>6208</v>
      </c>
      <c r="T84" s="10" t="s">
        <v>6209</v>
      </c>
      <c r="U84" s="10">
        <v>1</v>
      </c>
      <c r="V84" s="10">
        <v>-99</v>
      </c>
      <c r="W84" s="67">
        <v>45351</v>
      </c>
      <c r="X84" s="11" t="s">
        <v>3049</v>
      </c>
      <c r="Y84" s="11" t="s">
        <v>4408</v>
      </c>
      <c r="Z84" s="11" t="s">
        <v>4487</v>
      </c>
      <c r="AA84" s="67">
        <v>45322</v>
      </c>
      <c r="AB84" s="67">
        <v>45323</v>
      </c>
      <c r="AC84" s="67">
        <v>45351</v>
      </c>
      <c r="AD84" s="67">
        <v>45350</v>
      </c>
      <c r="AE84" s="67">
        <v>45351</v>
      </c>
    </row>
    <row r="85" spans="1:31" ht="12.5">
      <c r="A85" s="10">
        <v>610422040061</v>
      </c>
      <c r="B85" s="10" t="s">
        <v>26</v>
      </c>
      <c r="D85" s="10">
        <v>1</v>
      </c>
      <c r="E85" s="10" t="s">
        <v>2440</v>
      </c>
      <c r="F85" s="10" t="s">
        <v>25</v>
      </c>
      <c r="G85" s="10" t="s">
        <v>2439</v>
      </c>
      <c r="H85" s="10" t="s">
        <v>89</v>
      </c>
      <c r="I85" s="10" t="s">
        <v>6159</v>
      </c>
      <c r="J85" s="10" t="s">
        <v>3035</v>
      </c>
      <c r="K85" s="66">
        <v>168000</v>
      </c>
      <c r="L85" s="10">
        <v>1</v>
      </c>
      <c r="M85" s="10">
        <v>168000</v>
      </c>
      <c r="N85" s="70">
        <v>162960</v>
      </c>
      <c r="O85" s="67">
        <v>45335</v>
      </c>
      <c r="P85" s="10">
        <v>2024</v>
      </c>
      <c r="Q85" s="10">
        <v>2</v>
      </c>
      <c r="R85" s="10" t="s">
        <v>3043</v>
      </c>
      <c r="S85" s="10" t="s">
        <v>6210</v>
      </c>
      <c r="T85" s="10" t="s">
        <v>6211</v>
      </c>
      <c r="U85" s="10">
        <v>1</v>
      </c>
      <c r="V85" s="10">
        <v>-99</v>
      </c>
      <c r="W85" s="67">
        <v>45351</v>
      </c>
      <c r="X85" s="11" t="s">
        <v>3049</v>
      </c>
      <c r="Y85" s="11" t="s">
        <v>3715</v>
      </c>
      <c r="Z85" s="11" t="s">
        <v>3862</v>
      </c>
      <c r="AA85" s="67">
        <v>45322</v>
      </c>
      <c r="AB85" s="67">
        <v>45323</v>
      </c>
      <c r="AC85" s="67">
        <v>45351</v>
      </c>
      <c r="AD85" s="67">
        <v>45350</v>
      </c>
      <c r="AE85" s="67">
        <v>45351</v>
      </c>
    </row>
    <row r="86" spans="1:31" ht="12.5">
      <c r="A86" s="10">
        <v>610422040006</v>
      </c>
      <c r="B86" s="10" t="s">
        <v>26</v>
      </c>
      <c r="D86" s="10">
        <v>1</v>
      </c>
      <c r="E86" s="10" t="s">
        <v>6020</v>
      </c>
      <c r="F86" s="10" t="s">
        <v>25</v>
      </c>
      <c r="G86" s="10" t="s">
        <v>2330</v>
      </c>
      <c r="H86" s="10" t="s">
        <v>89</v>
      </c>
      <c r="I86" s="10" t="s">
        <v>6159</v>
      </c>
      <c r="J86" s="10" t="s">
        <v>3035</v>
      </c>
      <c r="K86" s="66">
        <v>168000</v>
      </c>
      <c r="L86" s="10">
        <v>2</v>
      </c>
      <c r="M86" s="10">
        <v>336000</v>
      </c>
      <c r="N86" s="70">
        <v>325920</v>
      </c>
      <c r="O86" s="67">
        <v>45335</v>
      </c>
      <c r="P86" s="10">
        <v>2024</v>
      </c>
      <c r="Q86" s="10">
        <v>2</v>
      </c>
      <c r="R86" s="10" t="s">
        <v>3043</v>
      </c>
      <c r="S86" s="10" t="s">
        <v>6212</v>
      </c>
      <c r="T86" s="10" t="s">
        <v>6213</v>
      </c>
      <c r="U86" s="10">
        <v>1</v>
      </c>
      <c r="V86" s="10">
        <v>-99</v>
      </c>
      <c r="W86" s="67">
        <v>45351</v>
      </c>
      <c r="X86" s="11" t="s">
        <v>3049</v>
      </c>
      <c r="Y86" s="11" t="s">
        <v>4931</v>
      </c>
      <c r="Z86" s="11" t="s">
        <v>5104</v>
      </c>
      <c r="AA86" s="67">
        <v>45322</v>
      </c>
      <c r="AB86" s="67">
        <v>45323</v>
      </c>
      <c r="AC86" s="67">
        <v>45351</v>
      </c>
      <c r="AD86" s="67">
        <v>45350</v>
      </c>
      <c r="AE86" s="67">
        <v>45351</v>
      </c>
    </row>
    <row r="87" spans="1:31" ht="12.5">
      <c r="A87" s="10">
        <v>610422040028</v>
      </c>
      <c r="B87" s="10" t="s">
        <v>26</v>
      </c>
      <c r="D87" s="10">
        <v>1</v>
      </c>
      <c r="E87" s="10" t="s">
        <v>1274</v>
      </c>
      <c r="F87" s="10" t="s">
        <v>25</v>
      </c>
      <c r="G87" s="10" t="s">
        <v>1273</v>
      </c>
      <c r="H87" s="10" t="s">
        <v>89</v>
      </c>
      <c r="I87" s="10" t="s">
        <v>6159</v>
      </c>
      <c r="J87" s="10" t="s">
        <v>3035</v>
      </c>
      <c r="K87" s="66">
        <v>168000</v>
      </c>
      <c r="L87" s="10">
        <v>2</v>
      </c>
      <c r="M87" s="10">
        <v>336000</v>
      </c>
      <c r="N87" s="70">
        <v>325920</v>
      </c>
      <c r="O87" s="67">
        <v>45335</v>
      </c>
      <c r="P87" s="10">
        <v>2024</v>
      </c>
      <c r="Q87" s="10">
        <v>2</v>
      </c>
      <c r="R87" s="10" t="s">
        <v>3043</v>
      </c>
      <c r="S87" s="10" t="s">
        <v>6214</v>
      </c>
      <c r="T87" s="10" t="s">
        <v>6215</v>
      </c>
      <c r="U87" s="10">
        <v>1</v>
      </c>
      <c r="V87" s="10">
        <v>-99</v>
      </c>
      <c r="W87" s="67">
        <v>45351</v>
      </c>
      <c r="X87" s="11" t="s">
        <v>3049</v>
      </c>
      <c r="Y87" s="11" t="s">
        <v>4931</v>
      </c>
      <c r="Z87" s="11" t="s">
        <v>5036</v>
      </c>
      <c r="AA87" s="67">
        <v>45322</v>
      </c>
      <c r="AB87" s="67">
        <v>45323</v>
      </c>
      <c r="AC87" s="67">
        <v>45351</v>
      </c>
      <c r="AD87" s="67">
        <v>45350</v>
      </c>
      <c r="AE87" s="67">
        <v>45351</v>
      </c>
    </row>
    <row r="88" spans="1:31" ht="12.5">
      <c r="A88" s="10">
        <v>610422040035</v>
      </c>
      <c r="B88" s="10" t="s">
        <v>26</v>
      </c>
      <c r="D88" s="10">
        <v>1</v>
      </c>
      <c r="E88" s="10" t="s">
        <v>2281</v>
      </c>
      <c r="F88" s="10" t="s">
        <v>25</v>
      </c>
      <c r="G88" s="10" t="s">
        <v>2280</v>
      </c>
      <c r="H88" s="10" t="s">
        <v>89</v>
      </c>
      <c r="I88" s="10" t="s">
        <v>6159</v>
      </c>
      <c r="J88" s="10" t="s">
        <v>3035</v>
      </c>
      <c r="K88" s="66">
        <v>168000</v>
      </c>
      <c r="L88" s="10">
        <v>1</v>
      </c>
      <c r="M88" s="10">
        <v>168000</v>
      </c>
      <c r="N88" s="70">
        <v>162960</v>
      </c>
      <c r="O88" s="67">
        <v>45335</v>
      </c>
      <c r="P88" s="10">
        <v>2024</v>
      </c>
      <c r="Q88" s="10">
        <v>2</v>
      </c>
      <c r="R88" s="10" t="s">
        <v>3043</v>
      </c>
      <c r="S88" s="10" t="s">
        <v>6216</v>
      </c>
      <c r="T88" s="10" t="s">
        <v>6217</v>
      </c>
      <c r="U88" s="10">
        <v>1</v>
      </c>
      <c r="V88" s="10">
        <v>-99</v>
      </c>
      <c r="W88" s="67">
        <v>45351</v>
      </c>
      <c r="X88" s="11" t="s">
        <v>3049</v>
      </c>
      <c r="Y88" s="11" t="s">
        <v>4931</v>
      </c>
      <c r="Z88" s="11" t="s">
        <v>5171</v>
      </c>
      <c r="AA88" s="67">
        <v>45322</v>
      </c>
      <c r="AB88" s="67">
        <v>45323</v>
      </c>
      <c r="AC88" s="67">
        <v>45351</v>
      </c>
      <c r="AD88" s="67">
        <v>45350</v>
      </c>
      <c r="AE88" s="67">
        <v>45351</v>
      </c>
    </row>
    <row r="89" spans="1:31" ht="12.5">
      <c r="A89" s="10">
        <v>610422040049</v>
      </c>
      <c r="B89" s="10" t="s">
        <v>26</v>
      </c>
      <c r="D89" s="10">
        <v>1</v>
      </c>
      <c r="E89" s="10" t="s">
        <v>6044</v>
      </c>
      <c r="F89" s="10" t="s">
        <v>25</v>
      </c>
      <c r="G89" s="10" t="s">
        <v>2649</v>
      </c>
      <c r="H89" s="10" t="s">
        <v>89</v>
      </c>
      <c r="I89" s="10" t="s">
        <v>6159</v>
      </c>
      <c r="J89" s="10" t="s">
        <v>3035</v>
      </c>
      <c r="K89" s="66">
        <v>168000</v>
      </c>
      <c r="L89" s="10">
        <v>2</v>
      </c>
      <c r="M89" s="10">
        <v>336000</v>
      </c>
      <c r="N89" s="70">
        <v>325920</v>
      </c>
      <c r="O89" s="67">
        <v>45335</v>
      </c>
      <c r="P89" s="10">
        <v>2024</v>
      </c>
      <c r="Q89" s="10">
        <v>2</v>
      </c>
      <c r="R89" s="10" t="s">
        <v>3043</v>
      </c>
      <c r="S89" s="10" t="s">
        <v>6218</v>
      </c>
      <c r="T89" s="10" t="s">
        <v>6219</v>
      </c>
      <c r="U89" s="10">
        <v>1</v>
      </c>
      <c r="V89" s="10">
        <v>-99</v>
      </c>
      <c r="W89" s="67">
        <v>45351</v>
      </c>
      <c r="X89" s="11" t="s">
        <v>3049</v>
      </c>
      <c r="Y89" s="11" t="s">
        <v>3990</v>
      </c>
      <c r="Z89" s="11" t="s">
        <v>3990</v>
      </c>
      <c r="AA89" s="67">
        <v>45322</v>
      </c>
      <c r="AB89" s="67">
        <v>45323</v>
      </c>
      <c r="AC89" s="67">
        <v>45351</v>
      </c>
      <c r="AD89" s="67">
        <v>45350</v>
      </c>
      <c r="AE89" s="67">
        <v>45351</v>
      </c>
    </row>
    <row r="90" spans="1:31" ht="12.5">
      <c r="A90" s="10">
        <v>610422040033</v>
      </c>
      <c r="B90" s="10" t="s">
        <v>26</v>
      </c>
      <c r="D90" s="10">
        <v>1</v>
      </c>
      <c r="E90" s="10" t="s">
        <v>6012</v>
      </c>
      <c r="F90" s="10" t="s">
        <v>25</v>
      </c>
      <c r="G90" s="10" t="s">
        <v>2195</v>
      </c>
      <c r="H90" s="10" t="s">
        <v>89</v>
      </c>
      <c r="I90" s="10" t="s">
        <v>6159</v>
      </c>
      <c r="J90" s="10" t="s">
        <v>3035</v>
      </c>
      <c r="K90" s="66">
        <v>168000</v>
      </c>
      <c r="L90" s="10">
        <v>2</v>
      </c>
      <c r="M90" s="10">
        <v>336000</v>
      </c>
      <c r="N90" s="70">
        <v>325920</v>
      </c>
      <c r="O90" s="67">
        <v>45335</v>
      </c>
      <c r="P90" s="10">
        <v>2024</v>
      </c>
      <c r="Q90" s="10">
        <v>2</v>
      </c>
      <c r="R90" s="10" t="s">
        <v>3043</v>
      </c>
      <c r="S90" s="10" t="s">
        <v>6220</v>
      </c>
      <c r="T90" s="10" t="s">
        <v>6221</v>
      </c>
      <c r="U90" s="10">
        <v>1</v>
      </c>
      <c r="V90" s="10">
        <v>-99</v>
      </c>
      <c r="W90" s="67">
        <v>45351</v>
      </c>
      <c r="X90" s="11" t="s">
        <v>3049</v>
      </c>
      <c r="Y90" s="11" t="s">
        <v>3241</v>
      </c>
      <c r="Z90" s="11" t="s">
        <v>3289</v>
      </c>
      <c r="AA90" s="67">
        <v>45322</v>
      </c>
      <c r="AB90" s="67">
        <v>45323</v>
      </c>
      <c r="AC90" s="67">
        <v>45351</v>
      </c>
      <c r="AD90" s="67">
        <v>45350</v>
      </c>
      <c r="AE90" s="67">
        <v>45351</v>
      </c>
    </row>
    <row r="91" spans="1:31" ht="12.5">
      <c r="A91" s="10">
        <v>610422040050</v>
      </c>
      <c r="B91" s="10" t="s">
        <v>26</v>
      </c>
      <c r="D91" s="10">
        <v>1</v>
      </c>
      <c r="E91" s="10" t="s">
        <v>6010</v>
      </c>
      <c r="F91" s="10" t="s">
        <v>25</v>
      </c>
      <c r="G91" s="10" t="s">
        <v>2154</v>
      </c>
      <c r="H91" s="10" t="s">
        <v>89</v>
      </c>
      <c r="I91" s="10" t="s">
        <v>6159</v>
      </c>
      <c r="J91" s="10" t="s">
        <v>3035</v>
      </c>
      <c r="K91" s="66">
        <v>168000</v>
      </c>
      <c r="L91" s="10">
        <v>1</v>
      </c>
      <c r="M91" s="10">
        <v>168000</v>
      </c>
      <c r="N91" s="70">
        <v>162960</v>
      </c>
      <c r="O91" s="67">
        <v>45335</v>
      </c>
      <c r="P91" s="10">
        <v>2024</v>
      </c>
      <c r="Q91" s="10">
        <v>2</v>
      </c>
      <c r="R91" s="10" t="s">
        <v>3043</v>
      </c>
      <c r="S91" s="10" t="s">
        <v>6222</v>
      </c>
      <c r="T91" s="10" t="s">
        <v>6223</v>
      </c>
      <c r="U91" s="10">
        <v>1</v>
      </c>
      <c r="V91" s="10">
        <v>-99</v>
      </c>
      <c r="W91" s="67">
        <v>45351</v>
      </c>
      <c r="X91" s="11" t="s">
        <v>3049</v>
      </c>
      <c r="Y91" s="11" t="s">
        <v>3241</v>
      </c>
      <c r="Z91" s="11" t="s">
        <v>3289</v>
      </c>
      <c r="AA91" s="67">
        <v>45322</v>
      </c>
      <c r="AB91" s="67">
        <v>45323</v>
      </c>
      <c r="AC91" s="67">
        <v>45351</v>
      </c>
      <c r="AD91" s="67">
        <v>45350</v>
      </c>
      <c r="AE91" s="67">
        <v>45351</v>
      </c>
    </row>
    <row r="92" spans="1:31" ht="12.5">
      <c r="A92" s="10">
        <v>610422030002</v>
      </c>
      <c r="B92" s="10" t="s">
        <v>26</v>
      </c>
      <c r="D92" s="10">
        <v>1</v>
      </c>
      <c r="E92" s="10" t="s">
        <v>5934</v>
      </c>
      <c r="F92" s="10" t="s">
        <v>25</v>
      </c>
      <c r="G92" s="10" t="s">
        <v>929</v>
      </c>
      <c r="H92" s="10" t="s">
        <v>89</v>
      </c>
      <c r="I92" s="10" t="s">
        <v>6159</v>
      </c>
      <c r="J92" s="10" t="s">
        <v>3035</v>
      </c>
      <c r="K92" s="66">
        <v>168000</v>
      </c>
      <c r="L92" s="10">
        <v>2</v>
      </c>
      <c r="M92" s="10">
        <v>336000</v>
      </c>
      <c r="N92" s="70">
        <v>325920</v>
      </c>
      <c r="O92" s="67">
        <v>45335</v>
      </c>
      <c r="P92" s="10">
        <v>2024</v>
      </c>
      <c r="Q92" s="10">
        <v>2</v>
      </c>
      <c r="R92" s="10" t="s">
        <v>3043</v>
      </c>
      <c r="S92" s="10" t="s">
        <v>6224</v>
      </c>
      <c r="T92" s="10" t="s">
        <v>6225</v>
      </c>
      <c r="U92" s="10">
        <v>1</v>
      </c>
      <c r="V92" s="10">
        <v>-99</v>
      </c>
      <c r="W92" s="67">
        <v>45351</v>
      </c>
      <c r="X92" s="11" t="s">
        <v>3049</v>
      </c>
      <c r="Y92" s="11" t="s">
        <v>3715</v>
      </c>
      <c r="Z92" s="11" t="s">
        <v>3716</v>
      </c>
      <c r="AA92" s="67">
        <v>45322</v>
      </c>
      <c r="AB92" s="67">
        <v>45323</v>
      </c>
      <c r="AC92" s="67">
        <v>45351</v>
      </c>
      <c r="AD92" s="67">
        <v>45350</v>
      </c>
      <c r="AE92" s="67">
        <v>45351</v>
      </c>
    </row>
    <row r="93" spans="1:31" ht="12.5">
      <c r="A93" s="10">
        <v>610422040029</v>
      </c>
      <c r="B93" s="10" t="s">
        <v>26</v>
      </c>
      <c r="D93" s="10">
        <v>1</v>
      </c>
      <c r="E93" s="10" t="s">
        <v>3000</v>
      </c>
      <c r="F93" s="10" t="s">
        <v>25</v>
      </c>
      <c r="G93" s="10" t="s">
        <v>2999</v>
      </c>
      <c r="H93" s="10" t="s">
        <v>89</v>
      </c>
      <c r="I93" s="10" t="s">
        <v>6159</v>
      </c>
      <c r="J93" s="10" t="s">
        <v>3035</v>
      </c>
      <c r="K93" s="66">
        <v>168000</v>
      </c>
      <c r="L93" s="10">
        <v>2</v>
      </c>
      <c r="M93" s="10">
        <v>336000</v>
      </c>
      <c r="N93" s="70">
        <v>325920</v>
      </c>
      <c r="O93" s="67">
        <v>45335</v>
      </c>
      <c r="P93" s="10">
        <v>2024</v>
      </c>
      <c r="Q93" s="10">
        <v>2</v>
      </c>
      <c r="R93" s="10" t="s">
        <v>3043</v>
      </c>
      <c r="S93" s="10" t="s">
        <v>6226</v>
      </c>
      <c r="T93" s="10" t="s">
        <v>6227</v>
      </c>
      <c r="U93" s="10">
        <v>1</v>
      </c>
      <c r="V93" s="10">
        <v>-99</v>
      </c>
      <c r="W93" s="67">
        <v>45351</v>
      </c>
      <c r="X93" s="11" t="s">
        <v>3049</v>
      </c>
      <c r="Y93" s="11" t="s">
        <v>4572</v>
      </c>
      <c r="Z93" s="11" t="s">
        <v>4619</v>
      </c>
      <c r="AA93" s="67">
        <v>45322</v>
      </c>
      <c r="AB93" s="67">
        <v>45323</v>
      </c>
      <c r="AC93" s="67">
        <v>45351</v>
      </c>
      <c r="AD93" s="67">
        <v>45350</v>
      </c>
      <c r="AE93" s="67">
        <v>45351</v>
      </c>
    </row>
    <row r="94" spans="1:31" ht="12.5">
      <c r="A94" s="10">
        <v>610422040053</v>
      </c>
      <c r="B94" s="10" t="s">
        <v>26</v>
      </c>
      <c r="D94" s="10">
        <v>1</v>
      </c>
      <c r="E94" s="10" t="s">
        <v>2781</v>
      </c>
      <c r="F94" s="10" t="s">
        <v>25</v>
      </c>
      <c r="G94" s="10" t="s">
        <v>2780</v>
      </c>
      <c r="H94" s="10" t="s">
        <v>89</v>
      </c>
      <c r="I94" s="10" t="s">
        <v>6159</v>
      </c>
      <c r="J94" s="10" t="s">
        <v>3035</v>
      </c>
      <c r="K94" s="66">
        <v>168000</v>
      </c>
      <c r="L94" s="10">
        <v>1</v>
      </c>
      <c r="M94" s="10">
        <v>168000</v>
      </c>
      <c r="N94" s="70">
        <v>162960</v>
      </c>
      <c r="O94" s="67">
        <v>45335</v>
      </c>
      <c r="P94" s="10">
        <v>2024</v>
      </c>
      <c r="Q94" s="10">
        <v>2</v>
      </c>
      <c r="R94" s="10" t="s">
        <v>3043</v>
      </c>
      <c r="S94" s="10" t="s">
        <v>6228</v>
      </c>
      <c r="T94" s="10" t="s">
        <v>6229</v>
      </c>
      <c r="U94" s="10">
        <v>1</v>
      </c>
      <c r="V94" s="10">
        <v>-99</v>
      </c>
      <c r="W94" s="67">
        <v>45351</v>
      </c>
      <c r="X94" s="11" t="s">
        <v>3049</v>
      </c>
      <c r="Y94" s="11" t="s">
        <v>5250</v>
      </c>
      <c r="Z94" s="11" t="s">
        <v>5464</v>
      </c>
      <c r="AA94" s="67">
        <v>45322</v>
      </c>
      <c r="AB94" s="67">
        <v>45323</v>
      </c>
      <c r="AC94" s="67">
        <v>45351</v>
      </c>
      <c r="AD94" s="67">
        <v>45350</v>
      </c>
      <c r="AE94" s="67">
        <v>45351</v>
      </c>
    </row>
    <row r="95" spans="1:31" ht="12.5">
      <c r="A95" s="10">
        <v>610422040013</v>
      </c>
      <c r="B95" s="10" t="s">
        <v>26</v>
      </c>
      <c r="D95" s="10">
        <v>1</v>
      </c>
      <c r="E95" s="10" t="s">
        <v>6061</v>
      </c>
      <c r="F95" s="10" t="s">
        <v>25</v>
      </c>
      <c r="G95" s="10" t="s">
        <v>2956</v>
      </c>
      <c r="H95" s="10" t="s">
        <v>89</v>
      </c>
      <c r="I95" s="10" t="s">
        <v>6159</v>
      </c>
      <c r="J95" s="10" t="s">
        <v>3035</v>
      </c>
      <c r="K95" s="66">
        <v>168000</v>
      </c>
      <c r="L95" s="10">
        <v>2</v>
      </c>
      <c r="M95" s="10">
        <v>336000</v>
      </c>
      <c r="N95" s="70">
        <v>325920</v>
      </c>
      <c r="O95" s="67">
        <v>45335</v>
      </c>
      <c r="P95" s="10">
        <v>2024</v>
      </c>
      <c r="Q95" s="10">
        <v>2</v>
      </c>
      <c r="R95" s="10" t="s">
        <v>3043</v>
      </c>
      <c r="S95" s="10" t="s">
        <v>6230</v>
      </c>
      <c r="T95" s="10" t="s">
        <v>6231</v>
      </c>
      <c r="U95" s="10">
        <v>1</v>
      </c>
      <c r="V95" s="10">
        <v>-99</v>
      </c>
      <c r="W95" s="67">
        <v>45351</v>
      </c>
      <c r="X95" s="11" t="s">
        <v>3049</v>
      </c>
      <c r="Y95" s="11" t="s">
        <v>3715</v>
      </c>
      <c r="Z95" s="11" t="s">
        <v>3937</v>
      </c>
      <c r="AA95" s="67">
        <v>45322</v>
      </c>
      <c r="AB95" s="67">
        <v>45323</v>
      </c>
      <c r="AC95" s="67">
        <v>45351</v>
      </c>
      <c r="AD95" s="67">
        <v>45350</v>
      </c>
      <c r="AE95" s="67">
        <v>45351</v>
      </c>
    </row>
    <row r="96" spans="1:31" ht="12.5">
      <c r="A96" s="10">
        <v>610422020032</v>
      </c>
      <c r="B96" s="10" t="s">
        <v>26</v>
      </c>
      <c r="D96" s="10">
        <v>1</v>
      </c>
      <c r="E96" s="10" t="s">
        <v>1640</v>
      </c>
      <c r="F96" s="10" t="s">
        <v>25</v>
      </c>
      <c r="G96" s="10" t="s">
        <v>1639</v>
      </c>
      <c r="H96" s="10" t="s">
        <v>89</v>
      </c>
      <c r="I96" s="10" t="s">
        <v>6159</v>
      </c>
      <c r="J96" s="10" t="s">
        <v>3035</v>
      </c>
      <c r="K96" s="66">
        <v>168000</v>
      </c>
      <c r="L96" s="10">
        <v>1</v>
      </c>
      <c r="M96" s="10">
        <v>168000</v>
      </c>
      <c r="N96" s="70">
        <v>162960</v>
      </c>
      <c r="O96" s="67">
        <v>45335</v>
      </c>
      <c r="P96" s="10">
        <v>2024</v>
      </c>
      <c r="Q96" s="10">
        <v>2</v>
      </c>
      <c r="R96" s="10" t="s">
        <v>3043</v>
      </c>
      <c r="S96" s="10" t="s">
        <v>6232</v>
      </c>
      <c r="T96" s="10" t="s">
        <v>6233</v>
      </c>
      <c r="U96" s="10">
        <v>1</v>
      </c>
      <c r="V96" s="10">
        <v>-99</v>
      </c>
      <c r="W96" s="67">
        <v>45351</v>
      </c>
      <c r="X96" s="11" t="s">
        <v>3049</v>
      </c>
      <c r="Y96" s="11" t="s">
        <v>4931</v>
      </c>
      <c r="Z96" s="11" t="s">
        <v>5209</v>
      </c>
      <c r="AA96" s="67">
        <v>45322</v>
      </c>
      <c r="AB96" s="67">
        <v>45323</v>
      </c>
      <c r="AC96" s="67">
        <v>45351</v>
      </c>
      <c r="AD96" s="67">
        <v>45350</v>
      </c>
      <c r="AE96" s="67">
        <v>45351</v>
      </c>
    </row>
    <row r="97" spans="1:31" ht="12.5">
      <c r="A97" s="10">
        <v>610422020045</v>
      </c>
      <c r="B97" s="10" t="s">
        <v>26</v>
      </c>
      <c r="D97" s="10">
        <v>1</v>
      </c>
      <c r="E97" s="10" t="s">
        <v>1352</v>
      </c>
      <c r="F97" s="10" t="s">
        <v>25</v>
      </c>
      <c r="G97" s="10" t="s">
        <v>1351</v>
      </c>
      <c r="H97" s="10" t="s">
        <v>89</v>
      </c>
      <c r="I97" s="10" t="s">
        <v>6159</v>
      </c>
      <c r="J97" s="10" t="s">
        <v>3035</v>
      </c>
      <c r="K97" s="66">
        <v>168000</v>
      </c>
      <c r="L97" s="10">
        <v>2</v>
      </c>
      <c r="M97" s="10">
        <v>336000</v>
      </c>
      <c r="N97" s="70">
        <v>325920</v>
      </c>
      <c r="O97" s="67">
        <v>45335</v>
      </c>
      <c r="P97" s="10">
        <v>2024</v>
      </c>
      <c r="Q97" s="10">
        <v>2</v>
      </c>
      <c r="R97" s="10" t="s">
        <v>3043</v>
      </c>
      <c r="S97" s="10" t="s">
        <v>6234</v>
      </c>
      <c r="T97" s="10" t="s">
        <v>6235</v>
      </c>
      <c r="U97" s="10">
        <v>1</v>
      </c>
      <c r="V97" s="10">
        <v>-99</v>
      </c>
      <c r="W97" s="67">
        <v>45351</v>
      </c>
      <c r="X97" s="11" t="s">
        <v>3049</v>
      </c>
      <c r="Y97" s="11" t="s">
        <v>3241</v>
      </c>
      <c r="Z97" s="11" t="s">
        <v>3430</v>
      </c>
      <c r="AA97" s="67">
        <v>45322</v>
      </c>
      <c r="AB97" s="67">
        <v>45323</v>
      </c>
      <c r="AC97" s="67">
        <v>45351</v>
      </c>
      <c r="AD97" s="67">
        <v>45350</v>
      </c>
      <c r="AE97" s="67">
        <v>45351</v>
      </c>
    </row>
    <row r="98" spans="1:31" ht="12.5">
      <c r="A98" s="10">
        <v>610422020006</v>
      </c>
      <c r="B98" s="10" t="s">
        <v>26</v>
      </c>
      <c r="D98" s="10">
        <v>1</v>
      </c>
      <c r="E98" s="10" t="s">
        <v>2098</v>
      </c>
      <c r="F98" s="10" t="s">
        <v>90</v>
      </c>
      <c r="G98" s="10" t="s">
        <v>2097</v>
      </c>
      <c r="H98" s="10" t="s">
        <v>91</v>
      </c>
      <c r="I98" s="10" t="s">
        <v>6236</v>
      </c>
      <c r="J98" s="10" t="s">
        <v>164</v>
      </c>
      <c r="K98" s="66">
        <v>34000</v>
      </c>
      <c r="L98" s="10">
        <v>26</v>
      </c>
      <c r="M98" s="10">
        <v>884000</v>
      </c>
      <c r="N98" s="70">
        <v>857480</v>
      </c>
      <c r="O98" s="67">
        <v>45340</v>
      </c>
      <c r="P98" s="10">
        <v>2024</v>
      </c>
      <c r="Q98" s="10">
        <v>2</v>
      </c>
      <c r="R98" s="10" t="s">
        <v>6237</v>
      </c>
      <c r="S98" s="10" t="s">
        <v>6238</v>
      </c>
      <c r="T98" s="10" t="s">
        <v>6239</v>
      </c>
      <c r="U98" s="10">
        <v>1</v>
      </c>
      <c r="V98" s="10">
        <v>-94</v>
      </c>
      <c r="W98" s="67">
        <v>45351</v>
      </c>
      <c r="X98" s="11" t="s">
        <v>3049</v>
      </c>
      <c r="Y98" s="11" t="s">
        <v>4572</v>
      </c>
      <c r="Z98" s="11" t="s">
        <v>4874</v>
      </c>
      <c r="AA98" s="67">
        <v>45322</v>
      </c>
      <c r="AB98" s="67">
        <v>45323</v>
      </c>
      <c r="AC98" s="67">
        <v>45351</v>
      </c>
      <c r="AD98" s="67">
        <v>45350</v>
      </c>
      <c r="AE98" s="67">
        <v>45351</v>
      </c>
    </row>
    <row r="99" spans="1:31" ht="12.5">
      <c r="A99" s="10">
        <v>610422100010</v>
      </c>
      <c r="B99" s="10" t="s">
        <v>26</v>
      </c>
      <c r="D99" s="10">
        <v>1</v>
      </c>
      <c r="E99" s="10" t="s">
        <v>1936</v>
      </c>
      <c r="F99" s="10" t="s">
        <v>90</v>
      </c>
      <c r="G99" s="10" t="s">
        <v>1935</v>
      </c>
      <c r="H99" s="10" t="s">
        <v>91</v>
      </c>
      <c r="I99" s="10" t="s">
        <v>6236</v>
      </c>
      <c r="J99" s="10" t="s">
        <v>164</v>
      </c>
      <c r="K99" s="66">
        <v>34000</v>
      </c>
      <c r="L99" s="10">
        <v>13</v>
      </c>
      <c r="M99" s="10">
        <v>442000</v>
      </c>
      <c r="N99" s="70">
        <v>428740</v>
      </c>
      <c r="O99" s="67">
        <v>45340</v>
      </c>
      <c r="P99" s="10">
        <v>2024</v>
      </c>
      <c r="Q99" s="10">
        <v>2</v>
      </c>
      <c r="R99" s="10" t="s">
        <v>6237</v>
      </c>
      <c r="S99" s="10" t="s">
        <v>6240</v>
      </c>
      <c r="T99" s="10" t="s">
        <v>6241</v>
      </c>
      <c r="U99" s="10">
        <v>1</v>
      </c>
      <c r="V99" s="10">
        <v>-94</v>
      </c>
      <c r="W99" s="67">
        <v>45351</v>
      </c>
      <c r="X99" s="11" t="s">
        <v>3049</v>
      </c>
      <c r="Y99" s="11" t="s">
        <v>4572</v>
      </c>
      <c r="Z99" s="11" t="s">
        <v>4619</v>
      </c>
      <c r="AA99" s="67">
        <v>45322</v>
      </c>
      <c r="AB99" s="67">
        <v>45323</v>
      </c>
      <c r="AC99" s="67">
        <v>45351</v>
      </c>
      <c r="AD99" s="67">
        <v>45350</v>
      </c>
      <c r="AE99" s="67">
        <v>45351</v>
      </c>
    </row>
    <row r="100" spans="1:31" ht="12.5">
      <c r="A100" s="10">
        <v>610422100177</v>
      </c>
      <c r="B100" s="10" t="s">
        <v>26</v>
      </c>
      <c r="D100" s="10">
        <v>1</v>
      </c>
      <c r="E100" s="10" t="s">
        <v>571</v>
      </c>
      <c r="F100" s="10" t="s">
        <v>90</v>
      </c>
      <c r="G100" s="10" t="s">
        <v>570</v>
      </c>
      <c r="H100" s="10" t="s">
        <v>91</v>
      </c>
      <c r="I100" s="10" t="s">
        <v>6236</v>
      </c>
      <c r="J100" s="10" t="s">
        <v>164</v>
      </c>
      <c r="K100" s="66">
        <v>34000</v>
      </c>
      <c r="L100" s="10">
        <v>2</v>
      </c>
      <c r="M100" s="10">
        <v>68000</v>
      </c>
      <c r="N100" s="70">
        <v>65960</v>
      </c>
      <c r="O100" s="67">
        <v>45340</v>
      </c>
      <c r="P100" s="10">
        <v>2024</v>
      </c>
      <c r="Q100" s="10">
        <v>2</v>
      </c>
      <c r="R100" s="10" t="s">
        <v>6237</v>
      </c>
      <c r="S100" s="10" t="s">
        <v>6242</v>
      </c>
      <c r="T100" s="10" t="s">
        <v>6243</v>
      </c>
      <c r="U100" s="10">
        <v>1</v>
      </c>
      <c r="V100" s="10">
        <v>-94</v>
      </c>
      <c r="W100" s="67">
        <v>45351</v>
      </c>
      <c r="X100" s="11" t="s">
        <v>3049</v>
      </c>
      <c r="Y100" s="11" t="s">
        <v>4572</v>
      </c>
      <c r="Z100" s="11" t="s">
        <v>4656</v>
      </c>
      <c r="AA100" s="67">
        <v>45322</v>
      </c>
      <c r="AB100" s="67">
        <v>45323</v>
      </c>
      <c r="AC100" s="67">
        <v>45351</v>
      </c>
      <c r="AD100" s="67">
        <v>45350</v>
      </c>
      <c r="AE100" s="67">
        <v>45351</v>
      </c>
    </row>
    <row r="101" spans="1:31" ht="12.5">
      <c r="A101" s="10">
        <v>610422100083</v>
      </c>
      <c r="B101" s="10" t="s">
        <v>26</v>
      </c>
      <c r="D101" s="10">
        <v>1</v>
      </c>
      <c r="E101" s="10" t="s">
        <v>5962</v>
      </c>
      <c r="F101" s="10" t="s">
        <v>90</v>
      </c>
      <c r="G101" s="10" t="s">
        <v>1429</v>
      </c>
      <c r="H101" s="10" t="s">
        <v>91</v>
      </c>
      <c r="I101" s="10" t="s">
        <v>6236</v>
      </c>
      <c r="J101" s="10" t="s">
        <v>164</v>
      </c>
      <c r="K101" s="66">
        <v>34000</v>
      </c>
      <c r="L101" s="10">
        <v>21</v>
      </c>
      <c r="M101" s="10">
        <v>714000</v>
      </c>
      <c r="N101" s="70">
        <v>692580</v>
      </c>
      <c r="O101" s="67">
        <v>45340</v>
      </c>
      <c r="P101" s="10">
        <v>2024</v>
      </c>
      <c r="Q101" s="10">
        <v>2</v>
      </c>
      <c r="R101" s="10" t="s">
        <v>6237</v>
      </c>
      <c r="S101" s="10" t="s">
        <v>6244</v>
      </c>
      <c r="T101" s="10" t="s">
        <v>6245</v>
      </c>
      <c r="U101" s="10">
        <v>1</v>
      </c>
      <c r="V101" s="10">
        <v>-94</v>
      </c>
      <c r="W101" s="67">
        <v>45351</v>
      </c>
      <c r="X101" s="11" t="s">
        <v>3049</v>
      </c>
      <c r="Y101" s="11" t="s">
        <v>4572</v>
      </c>
      <c r="Z101" s="11" t="s">
        <v>4619</v>
      </c>
      <c r="AA101" s="67">
        <v>45322</v>
      </c>
      <c r="AB101" s="67">
        <v>45323</v>
      </c>
      <c r="AC101" s="67">
        <v>45351</v>
      </c>
      <c r="AD101" s="67">
        <v>45350</v>
      </c>
      <c r="AE101" s="67">
        <v>45351</v>
      </c>
    </row>
    <row r="102" spans="1:31" ht="12.5">
      <c r="A102" s="10">
        <v>610422030002</v>
      </c>
      <c r="B102" s="10" t="s">
        <v>92</v>
      </c>
      <c r="D102" s="10">
        <v>1</v>
      </c>
      <c r="E102" s="10" t="s">
        <v>5934</v>
      </c>
      <c r="F102" s="10" t="s">
        <v>25</v>
      </c>
      <c r="G102" s="10" t="s">
        <v>929</v>
      </c>
      <c r="H102" s="10" t="s">
        <v>67</v>
      </c>
      <c r="I102" s="10" t="s">
        <v>93</v>
      </c>
      <c r="J102" s="10" t="s">
        <v>164</v>
      </c>
      <c r="K102" s="66">
        <v>50000</v>
      </c>
      <c r="L102" s="10">
        <v>15</v>
      </c>
      <c r="M102" s="10">
        <v>750000</v>
      </c>
      <c r="O102" s="67">
        <v>45342</v>
      </c>
      <c r="P102" s="10">
        <v>2024</v>
      </c>
      <c r="Q102" s="10">
        <v>2</v>
      </c>
      <c r="R102" s="10" t="s">
        <v>3043</v>
      </c>
      <c r="S102" s="10" t="s">
        <v>6224</v>
      </c>
      <c r="T102" s="10" t="s">
        <v>6225</v>
      </c>
      <c r="U102" s="10">
        <v>1</v>
      </c>
      <c r="V102" s="10">
        <v>-92</v>
      </c>
      <c r="W102" s="67">
        <v>45373</v>
      </c>
      <c r="X102" s="11" t="s">
        <v>3088</v>
      </c>
      <c r="Y102" s="11" t="s">
        <v>3715</v>
      </c>
      <c r="Z102" s="11" t="s">
        <v>3716</v>
      </c>
      <c r="AA102" s="67">
        <v>45322</v>
      </c>
      <c r="AB102" s="67">
        <v>45323</v>
      </c>
      <c r="AC102" s="67">
        <v>45351</v>
      </c>
      <c r="AD102" s="67">
        <v>45350</v>
      </c>
      <c r="AE102" s="67">
        <v>45351</v>
      </c>
    </row>
    <row r="103" spans="1:31" ht="12.5">
      <c r="A103" s="10">
        <v>610422100244</v>
      </c>
      <c r="B103" s="10" t="s">
        <v>94</v>
      </c>
      <c r="D103" s="10">
        <v>1</v>
      </c>
      <c r="E103" s="10" t="s">
        <v>2633</v>
      </c>
      <c r="F103" s="10" t="s">
        <v>25</v>
      </c>
      <c r="G103" s="10" t="s">
        <v>2632</v>
      </c>
      <c r="H103" s="10" t="s">
        <v>67</v>
      </c>
      <c r="I103" s="10" t="s">
        <v>95</v>
      </c>
      <c r="J103" s="10" t="s">
        <v>164</v>
      </c>
      <c r="K103" s="66">
        <v>50000</v>
      </c>
      <c r="L103" s="10">
        <v>1</v>
      </c>
      <c r="M103" s="10">
        <v>50000</v>
      </c>
      <c r="O103" s="67">
        <v>45342</v>
      </c>
      <c r="P103" s="10">
        <v>2024</v>
      </c>
      <c r="Q103" s="10">
        <v>2</v>
      </c>
      <c r="R103" s="10" t="s">
        <v>3043</v>
      </c>
      <c r="S103" s="10" t="s">
        <v>6157</v>
      </c>
      <c r="T103" s="10" t="s">
        <v>6246</v>
      </c>
      <c r="U103" s="10">
        <v>1</v>
      </c>
      <c r="V103" s="10">
        <v>-92</v>
      </c>
      <c r="W103" s="67">
        <v>45373</v>
      </c>
      <c r="X103" s="11" t="s">
        <v>3070</v>
      </c>
      <c r="Y103" s="11" t="s">
        <v>5741</v>
      </c>
      <c r="Z103" s="11" t="s">
        <v>5796</v>
      </c>
      <c r="AA103" s="67">
        <v>45322</v>
      </c>
      <c r="AB103" s="67">
        <v>45323</v>
      </c>
      <c r="AC103" s="67">
        <v>45351</v>
      </c>
      <c r="AD103" s="67">
        <v>45350</v>
      </c>
      <c r="AE103" s="67">
        <v>45351</v>
      </c>
    </row>
    <row r="104" spans="1:31" ht="12.5">
      <c r="A104" s="10">
        <v>610422100124</v>
      </c>
      <c r="B104" s="10" t="s">
        <v>94</v>
      </c>
      <c r="D104" s="10">
        <v>1</v>
      </c>
      <c r="E104" s="10" t="s">
        <v>2237</v>
      </c>
      <c r="F104" s="10" t="s">
        <v>25</v>
      </c>
      <c r="G104" s="10" t="s">
        <v>2236</v>
      </c>
      <c r="H104" s="10" t="s">
        <v>67</v>
      </c>
      <c r="I104" s="10" t="s">
        <v>95</v>
      </c>
      <c r="J104" s="10" t="s">
        <v>164</v>
      </c>
      <c r="K104" s="66">
        <v>50000</v>
      </c>
      <c r="L104" s="10">
        <v>1</v>
      </c>
      <c r="M104" s="10">
        <v>50000</v>
      </c>
      <c r="O104" s="67">
        <v>45342</v>
      </c>
      <c r="P104" s="10">
        <v>2024</v>
      </c>
      <c r="Q104" s="10">
        <v>2</v>
      </c>
      <c r="R104" s="10" t="s">
        <v>3043</v>
      </c>
      <c r="S104" s="10" t="s">
        <v>6247</v>
      </c>
      <c r="T104" s="10" t="s">
        <v>6248</v>
      </c>
      <c r="U104" s="10">
        <v>1</v>
      </c>
      <c r="V104" s="10">
        <v>-92</v>
      </c>
      <c r="W104" s="67">
        <v>45373</v>
      </c>
      <c r="X104" s="11" t="s">
        <v>3070</v>
      </c>
      <c r="Y104" s="11" t="s">
        <v>1921</v>
      </c>
      <c r="Z104" s="11" t="s">
        <v>2140</v>
      </c>
      <c r="AA104" s="67">
        <v>45322</v>
      </c>
      <c r="AB104" s="67">
        <v>45323</v>
      </c>
      <c r="AC104" s="67">
        <v>45351</v>
      </c>
      <c r="AD104" s="67">
        <v>45350</v>
      </c>
      <c r="AE104" s="67">
        <v>45351</v>
      </c>
    </row>
    <row r="105" spans="1:31" ht="12.5">
      <c r="A105" s="10">
        <v>610422100016</v>
      </c>
      <c r="B105" s="10" t="s">
        <v>96</v>
      </c>
      <c r="D105" s="10">
        <v>1</v>
      </c>
      <c r="E105" s="10" t="s">
        <v>550</v>
      </c>
      <c r="F105" s="10" t="s">
        <v>25</v>
      </c>
      <c r="G105" s="10" t="s">
        <v>549</v>
      </c>
      <c r="H105" s="10" t="s">
        <v>72</v>
      </c>
      <c r="I105" s="10" t="s">
        <v>97</v>
      </c>
      <c r="J105" s="10" t="s">
        <v>164</v>
      </c>
      <c r="K105" s="66">
        <v>65000</v>
      </c>
      <c r="L105" s="10">
        <v>3</v>
      </c>
      <c r="M105" s="10">
        <v>195000</v>
      </c>
      <c r="O105" s="67">
        <v>45342</v>
      </c>
      <c r="P105" s="10">
        <v>2024</v>
      </c>
      <c r="Q105" s="10">
        <v>2</v>
      </c>
      <c r="R105" s="10" t="s">
        <v>3043</v>
      </c>
      <c r="S105" s="10" t="s">
        <v>6190</v>
      </c>
      <c r="T105" s="10" t="s">
        <v>6191</v>
      </c>
      <c r="U105" s="10">
        <v>1</v>
      </c>
      <c r="V105" s="10">
        <v>-92</v>
      </c>
      <c r="W105" s="67">
        <v>45373</v>
      </c>
      <c r="X105" s="11" t="s">
        <v>3105</v>
      </c>
      <c r="Y105" s="11" t="s">
        <v>5250</v>
      </c>
      <c r="Z105" s="11" t="s">
        <v>5365</v>
      </c>
      <c r="AA105" s="67">
        <v>45322</v>
      </c>
      <c r="AB105" s="67">
        <v>45323</v>
      </c>
      <c r="AC105" s="67">
        <v>45351</v>
      </c>
      <c r="AD105" s="67">
        <v>45350</v>
      </c>
      <c r="AE105" s="67">
        <v>45351</v>
      </c>
    </row>
    <row r="106" spans="1:31" ht="12.5">
      <c r="A106" s="10">
        <v>610422050001</v>
      </c>
      <c r="B106" s="10" t="s">
        <v>96</v>
      </c>
      <c r="D106" s="10">
        <v>1</v>
      </c>
      <c r="E106" s="10" t="s">
        <v>5949</v>
      </c>
      <c r="F106" s="10" t="s">
        <v>25</v>
      </c>
      <c r="G106" s="10" t="s">
        <v>1127</v>
      </c>
      <c r="H106" s="10" t="s">
        <v>72</v>
      </c>
      <c r="I106" s="10" t="s">
        <v>97</v>
      </c>
      <c r="J106" s="10" t="s">
        <v>164</v>
      </c>
      <c r="K106" s="66">
        <v>65000</v>
      </c>
      <c r="L106" s="10">
        <v>3</v>
      </c>
      <c r="M106" s="10">
        <v>195000</v>
      </c>
      <c r="O106" s="67">
        <v>45342</v>
      </c>
      <c r="P106" s="10">
        <v>2024</v>
      </c>
      <c r="Q106" s="10">
        <v>2</v>
      </c>
      <c r="R106" s="10" t="s">
        <v>3043</v>
      </c>
      <c r="S106" s="10" t="s">
        <v>6249</v>
      </c>
      <c r="T106" s="10" t="s">
        <v>6250</v>
      </c>
      <c r="U106" s="10">
        <v>1</v>
      </c>
      <c r="V106" s="10">
        <v>-92</v>
      </c>
      <c r="W106" s="67">
        <v>45373</v>
      </c>
      <c r="X106" s="11" t="s">
        <v>3105</v>
      </c>
      <c r="Y106" s="11" t="s">
        <v>4408</v>
      </c>
      <c r="Z106" s="11" t="s">
        <v>4409</v>
      </c>
      <c r="AA106" s="67">
        <v>45322</v>
      </c>
      <c r="AB106" s="67">
        <v>45323</v>
      </c>
      <c r="AC106" s="67">
        <v>45351</v>
      </c>
      <c r="AD106" s="67">
        <v>45350</v>
      </c>
      <c r="AE106" s="67">
        <v>45351</v>
      </c>
    </row>
    <row r="107" spans="1:31" ht="12.5">
      <c r="A107" s="10">
        <v>610422040030</v>
      </c>
      <c r="B107" s="10" t="s">
        <v>96</v>
      </c>
      <c r="D107" s="10">
        <v>1</v>
      </c>
      <c r="E107" s="10" t="s">
        <v>2697</v>
      </c>
      <c r="F107" s="10" t="s">
        <v>25</v>
      </c>
      <c r="G107" s="10" t="s">
        <v>2696</v>
      </c>
      <c r="H107" s="10" t="s">
        <v>74</v>
      </c>
      <c r="I107" s="10" t="s">
        <v>98</v>
      </c>
      <c r="J107" s="10" t="s">
        <v>164</v>
      </c>
      <c r="K107" s="66">
        <v>55000</v>
      </c>
      <c r="L107" s="10">
        <v>1</v>
      </c>
      <c r="M107" s="10">
        <v>55000</v>
      </c>
      <c r="O107" s="67">
        <v>45342</v>
      </c>
      <c r="P107" s="10">
        <v>2024</v>
      </c>
      <c r="Q107" s="10">
        <v>2</v>
      </c>
      <c r="R107" s="10" t="s">
        <v>3043</v>
      </c>
      <c r="S107" s="10" t="s">
        <v>6145</v>
      </c>
      <c r="T107" s="10" t="s">
        <v>6251</v>
      </c>
      <c r="U107" s="10">
        <v>1</v>
      </c>
      <c r="V107" s="10">
        <v>-92</v>
      </c>
      <c r="W107" s="67">
        <v>45373</v>
      </c>
      <c r="X107" s="11" t="s">
        <v>3105</v>
      </c>
      <c r="Y107" s="11" t="s">
        <v>3241</v>
      </c>
      <c r="Z107" s="11" t="s">
        <v>3289</v>
      </c>
      <c r="AA107" s="67">
        <v>45322</v>
      </c>
      <c r="AB107" s="67">
        <v>45323</v>
      </c>
      <c r="AC107" s="67">
        <v>45351</v>
      </c>
      <c r="AD107" s="67">
        <v>45350</v>
      </c>
      <c r="AE107" s="67">
        <v>45351</v>
      </c>
    </row>
    <row r="108" spans="1:31" ht="12.5">
      <c r="A108" s="10">
        <v>610422100124</v>
      </c>
      <c r="B108" s="10" t="s">
        <v>96</v>
      </c>
      <c r="D108" s="10">
        <v>1</v>
      </c>
      <c r="E108" s="10" t="s">
        <v>2237</v>
      </c>
      <c r="F108" s="10" t="s">
        <v>25</v>
      </c>
      <c r="G108" s="10" t="s">
        <v>2236</v>
      </c>
      <c r="H108" s="10" t="s">
        <v>74</v>
      </c>
      <c r="I108" s="10" t="s">
        <v>98</v>
      </c>
      <c r="J108" s="10" t="s">
        <v>164</v>
      </c>
      <c r="K108" s="66">
        <v>55000</v>
      </c>
      <c r="L108" s="10">
        <v>3</v>
      </c>
      <c r="M108" s="10">
        <v>165000</v>
      </c>
      <c r="O108" s="67">
        <v>45342</v>
      </c>
      <c r="P108" s="10">
        <v>2024</v>
      </c>
      <c r="Q108" s="10">
        <v>2</v>
      </c>
      <c r="R108" s="10" t="s">
        <v>3043</v>
      </c>
      <c r="S108" s="10" t="s">
        <v>6247</v>
      </c>
      <c r="T108" s="10" t="s">
        <v>6248</v>
      </c>
      <c r="U108" s="10">
        <v>1</v>
      </c>
      <c r="V108" s="10">
        <v>-92</v>
      </c>
      <c r="W108" s="67">
        <v>45373</v>
      </c>
      <c r="X108" s="11" t="s">
        <v>3105</v>
      </c>
      <c r="Y108" s="11" t="s">
        <v>1921</v>
      </c>
      <c r="Z108" s="11" t="s">
        <v>2140</v>
      </c>
      <c r="AA108" s="67">
        <v>45322</v>
      </c>
      <c r="AB108" s="67">
        <v>45323</v>
      </c>
      <c r="AC108" s="67">
        <v>45351</v>
      </c>
      <c r="AD108" s="67">
        <v>45350</v>
      </c>
      <c r="AE108" s="67">
        <v>45351</v>
      </c>
    </row>
    <row r="109" spans="1:31" ht="12.5">
      <c r="A109" s="10">
        <v>610422100244</v>
      </c>
      <c r="B109" s="10" t="s">
        <v>96</v>
      </c>
      <c r="D109" s="10">
        <v>1</v>
      </c>
      <c r="E109" s="10" t="s">
        <v>2633</v>
      </c>
      <c r="F109" s="10" t="s">
        <v>25</v>
      </c>
      <c r="G109" s="10" t="s">
        <v>2632</v>
      </c>
      <c r="H109" s="10" t="s">
        <v>74</v>
      </c>
      <c r="I109" s="10" t="s">
        <v>98</v>
      </c>
      <c r="J109" s="10" t="s">
        <v>164</v>
      </c>
      <c r="K109" s="66">
        <v>55000</v>
      </c>
      <c r="L109" s="10">
        <v>2</v>
      </c>
      <c r="M109" s="10">
        <v>110000</v>
      </c>
      <c r="O109" s="67">
        <v>45342</v>
      </c>
      <c r="P109" s="10">
        <v>2024</v>
      </c>
      <c r="Q109" s="10">
        <v>2</v>
      </c>
      <c r="R109" s="10" t="s">
        <v>3043</v>
      </c>
      <c r="S109" s="10" t="s">
        <v>6157</v>
      </c>
      <c r="T109" s="10" t="s">
        <v>6246</v>
      </c>
      <c r="U109" s="10">
        <v>1</v>
      </c>
      <c r="V109" s="10">
        <v>-92</v>
      </c>
      <c r="W109" s="67">
        <v>45373</v>
      </c>
      <c r="X109" s="11" t="s">
        <v>3105</v>
      </c>
      <c r="Y109" s="11" t="s">
        <v>5741</v>
      </c>
      <c r="Z109" s="11" t="s">
        <v>5796</v>
      </c>
      <c r="AA109" s="67">
        <v>45322</v>
      </c>
      <c r="AB109" s="67">
        <v>45323</v>
      </c>
      <c r="AC109" s="67">
        <v>45351</v>
      </c>
      <c r="AD109" s="67">
        <v>45350</v>
      </c>
      <c r="AE109" s="67">
        <v>45351</v>
      </c>
    </row>
    <row r="110" spans="1:31" ht="12.5">
      <c r="A110" s="10">
        <v>610422020016</v>
      </c>
      <c r="B110" s="10" t="s">
        <v>96</v>
      </c>
      <c r="D110" s="10">
        <v>1</v>
      </c>
      <c r="E110" s="10" t="s">
        <v>380</v>
      </c>
      <c r="F110" s="10" t="s">
        <v>25</v>
      </c>
      <c r="G110" s="10" t="s">
        <v>379</v>
      </c>
      <c r="H110" s="10" t="s">
        <v>74</v>
      </c>
      <c r="I110" s="10" t="s">
        <v>98</v>
      </c>
      <c r="J110" s="10" t="s">
        <v>164</v>
      </c>
      <c r="K110" s="66">
        <v>55000</v>
      </c>
      <c r="L110" s="10">
        <v>3</v>
      </c>
      <c r="M110" s="10">
        <v>165000</v>
      </c>
      <c r="O110" s="67">
        <v>45342</v>
      </c>
      <c r="P110" s="10">
        <v>2024</v>
      </c>
      <c r="Q110" s="10">
        <v>2</v>
      </c>
      <c r="R110" s="10" t="s">
        <v>3043</v>
      </c>
      <c r="S110" s="10" t="s">
        <v>6137</v>
      </c>
      <c r="T110" s="10" t="s">
        <v>6252</v>
      </c>
      <c r="U110" s="10">
        <v>1</v>
      </c>
      <c r="V110" s="10">
        <v>-92</v>
      </c>
      <c r="W110" s="67">
        <v>45373</v>
      </c>
      <c r="X110" s="11" t="s">
        <v>3105</v>
      </c>
      <c r="Y110" s="11" t="s">
        <v>5534</v>
      </c>
      <c r="Z110" s="11" t="s">
        <v>5535</v>
      </c>
      <c r="AA110" s="67">
        <v>45322</v>
      </c>
      <c r="AB110" s="67">
        <v>45323</v>
      </c>
      <c r="AC110" s="67">
        <v>45351</v>
      </c>
      <c r="AD110" s="67">
        <v>45350</v>
      </c>
      <c r="AE110" s="67">
        <v>45351</v>
      </c>
    </row>
    <row r="111" spans="1:31" ht="12.5">
      <c r="A111" s="10">
        <v>610422100016</v>
      </c>
      <c r="B111" s="10" t="s">
        <v>96</v>
      </c>
      <c r="D111" s="10">
        <v>1</v>
      </c>
      <c r="E111" s="10" t="s">
        <v>550</v>
      </c>
      <c r="F111" s="10" t="s">
        <v>25</v>
      </c>
      <c r="G111" s="10" t="s">
        <v>549</v>
      </c>
      <c r="H111" s="10" t="s">
        <v>74</v>
      </c>
      <c r="I111" s="10" t="s">
        <v>98</v>
      </c>
      <c r="J111" s="10" t="s">
        <v>164</v>
      </c>
      <c r="K111" s="66">
        <v>55000</v>
      </c>
      <c r="L111" s="10">
        <v>1</v>
      </c>
      <c r="M111" s="10">
        <v>55000</v>
      </c>
      <c r="O111" s="67">
        <v>45342</v>
      </c>
      <c r="P111" s="10">
        <v>2024</v>
      </c>
      <c r="Q111" s="10">
        <v>2</v>
      </c>
      <c r="R111" s="10" t="s">
        <v>3043</v>
      </c>
      <c r="S111" s="10" t="s">
        <v>6190</v>
      </c>
      <c r="T111" s="10" t="s">
        <v>6191</v>
      </c>
      <c r="U111" s="10">
        <v>1</v>
      </c>
      <c r="V111" s="10">
        <v>-92</v>
      </c>
      <c r="W111" s="67">
        <v>45373</v>
      </c>
      <c r="X111" s="11" t="s">
        <v>3105</v>
      </c>
      <c r="Y111" s="11" t="s">
        <v>5250</v>
      </c>
      <c r="Z111" s="11" t="s">
        <v>5365</v>
      </c>
      <c r="AA111" s="67">
        <v>45322</v>
      </c>
      <c r="AB111" s="67">
        <v>45323</v>
      </c>
      <c r="AC111" s="67">
        <v>45351</v>
      </c>
      <c r="AD111" s="67">
        <v>45350</v>
      </c>
      <c r="AE111" s="67">
        <v>45351</v>
      </c>
    </row>
    <row r="112" spans="1:31" ht="12.5">
      <c r="A112" s="10">
        <v>610422020048</v>
      </c>
      <c r="B112" s="10" t="s">
        <v>96</v>
      </c>
      <c r="D112" s="10">
        <v>1</v>
      </c>
      <c r="E112" s="10" t="s">
        <v>1359</v>
      </c>
      <c r="F112" s="10" t="s">
        <v>25</v>
      </c>
      <c r="G112" s="10" t="s">
        <v>1358</v>
      </c>
      <c r="H112" s="10" t="s">
        <v>74</v>
      </c>
      <c r="I112" s="10" t="s">
        <v>98</v>
      </c>
      <c r="J112" s="10" t="s">
        <v>164</v>
      </c>
      <c r="K112" s="66">
        <v>55000</v>
      </c>
      <c r="L112" s="10">
        <v>3</v>
      </c>
      <c r="M112" s="10">
        <v>165000</v>
      </c>
      <c r="O112" s="67">
        <v>45342</v>
      </c>
      <c r="P112" s="10">
        <v>2024</v>
      </c>
      <c r="Q112" s="10">
        <v>2</v>
      </c>
      <c r="R112" s="10" t="s">
        <v>3043</v>
      </c>
      <c r="S112" s="10" t="s">
        <v>6253</v>
      </c>
      <c r="T112" s="10" t="s">
        <v>6254</v>
      </c>
      <c r="U112" s="10">
        <v>1</v>
      </c>
      <c r="V112" s="10">
        <v>-92</v>
      </c>
      <c r="W112" s="67">
        <v>45373</v>
      </c>
      <c r="X112" s="11" t="s">
        <v>3105</v>
      </c>
      <c r="Y112" s="11" t="s">
        <v>4931</v>
      </c>
      <c r="Z112" s="11" t="s">
        <v>5171</v>
      </c>
      <c r="AA112" s="67">
        <v>45322</v>
      </c>
      <c r="AB112" s="67">
        <v>45323</v>
      </c>
      <c r="AC112" s="67">
        <v>45351</v>
      </c>
      <c r="AD112" s="67">
        <v>45350</v>
      </c>
      <c r="AE112" s="67">
        <v>45351</v>
      </c>
    </row>
    <row r="113" spans="1:31" ht="12.5">
      <c r="A113" s="10">
        <v>610422040029</v>
      </c>
      <c r="B113" s="10" t="s">
        <v>96</v>
      </c>
      <c r="D113" s="10">
        <v>1</v>
      </c>
      <c r="E113" s="10" t="s">
        <v>3000</v>
      </c>
      <c r="F113" s="10" t="s">
        <v>25</v>
      </c>
      <c r="G113" s="10" t="s">
        <v>2999</v>
      </c>
      <c r="H113" s="10" t="s">
        <v>74</v>
      </c>
      <c r="I113" s="10" t="s">
        <v>98</v>
      </c>
      <c r="J113" s="10" t="s">
        <v>164</v>
      </c>
      <c r="K113" s="66">
        <v>55000</v>
      </c>
      <c r="L113" s="10">
        <v>4</v>
      </c>
      <c r="M113" s="10">
        <v>220000</v>
      </c>
      <c r="O113" s="67">
        <v>45342</v>
      </c>
      <c r="P113" s="10">
        <v>2024</v>
      </c>
      <c r="Q113" s="10">
        <v>2</v>
      </c>
      <c r="R113" s="10" t="s">
        <v>3043</v>
      </c>
      <c r="S113" s="10" t="s">
        <v>6226</v>
      </c>
      <c r="T113" s="10" t="s">
        <v>6227</v>
      </c>
      <c r="U113" s="10">
        <v>1</v>
      </c>
      <c r="V113" s="10">
        <v>-92</v>
      </c>
      <c r="W113" s="67">
        <v>45373</v>
      </c>
      <c r="X113" s="11" t="s">
        <v>3105</v>
      </c>
      <c r="Y113" s="11" t="s">
        <v>4572</v>
      </c>
      <c r="Z113" s="11" t="s">
        <v>4619</v>
      </c>
      <c r="AA113" s="67">
        <v>45322</v>
      </c>
      <c r="AB113" s="67">
        <v>45323</v>
      </c>
      <c r="AC113" s="67">
        <v>45351</v>
      </c>
      <c r="AD113" s="67">
        <v>45350</v>
      </c>
      <c r="AE113" s="67">
        <v>45351</v>
      </c>
    </row>
    <row r="114" spans="1:31" ht="12.5">
      <c r="A114" s="10">
        <v>610422050001</v>
      </c>
      <c r="B114" s="10" t="s">
        <v>96</v>
      </c>
      <c r="D114" s="10">
        <v>1</v>
      </c>
      <c r="E114" s="10" t="s">
        <v>5949</v>
      </c>
      <c r="F114" s="10" t="s">
        <v>25</v>
      </c>
      <c r="G114" s="10" t="s">
        <v>1127</v>
      </c>
      <c r="H114" s="10" t="s">
        <v>74</v>
      </c>
      <c r="I114" s="10" t="s">
        <v>98</v>
      </c>
      <c r="J114" s="10" t="s">
        <v>164</v>
      </c>
      <c r="K114" s="66">
        <v>55000</v>
      </c>
      <c r="L114" s="10">
        <v>1</v>
      </c>
      <c r="M114" s="10">
        <v>55000</v>
      </c>
      <c r="O114" s="67">
        <v>45342</v>
      </c>
      <c r="P114" s="10">
        <v>2024</v>
      </c>
      <c r="Q114" s="10">
        <v>2</v>
      </c>
      <c r="R114" s="10" t="s">
        <v>3043</v>
      </c>
      <c r="S114" s="10" t="s">
        <v>6249</v>
      </c>
      <c r="T114" s="10" t="s">
        <v>6250</v>
      </c>
      <c r="U114" s="10">
        <v>1</v>
      </c>
      <c r="V114" s="10">
        <v>-92</v>
      </c>
      <c r="W114" s="67">
        <v>45373</v>
      </c>
      <c r="X114" s="11" t="s">
        <v>3105</v>
      </c>
      <c r="Y114" s="11" t="s">
        <v>4408</v>
      </c>
      <c r="Z114" s="11" t="s">
        <v>4409</v>
      </c>
      <c r="AA114" s="67">
        <v>45322</v>
      </c>
      <c r="AB114" s="67">
        <v>45323</v>
      </c>
      <c r="AC114" s="67">
        <v>45351</v>
      </c>
      <c r="AD114" s="67">
        <v>45350</v>
      </c>
      <c r="AE114" s="67">
        <v>45351</v>
      </c>
    </row>
    <row r="115" spans="1:31" ht="12.5">
      <c r="A115" s="10">
        <v>610422100124</v>
      </c>
      <c r="B115" s="10" t="s">
        <v>99</v>
      </c>
      <c r="D115" s="10">
        <v>1</v>
      </c>
      <c r="E115" s="10" t="s">
        <v>2237</v>
      </c>
      <c r="F115" s="10" t="s">
        <v>25</v>
      </c>
      <c r="G115" s="10" t="s">
        <v>2236</v>
      </c>
      <c r="H115" s="10" t="s">
        <v>67</v>
      </c>
      <c r="I115" s="10" t="s">
        <v>100</v>
      </c>
      <c r="J115" s="10" t="s">
        <v>164</v>
      </c>
      <c r="K115" s="66">
        <v>55000</v>
      </c>
      <c r="L115" s="10">
        <v>2</v>
      </c>
      <c r="M115" s="10">
        <v>110000</v>
      </c>
      <c r="O115" s="67">
        <v>45342</v>
      </c>
      <c r="P115" s="10">
        <v>2024</v>
      </c>
      <c r="Q115" s="10">
        <v>2</v>
      </c>
      <c r="R115" s="10" t="s">
        <v>3043</v>
      </c>
      <c r="S115" s="10" t="s">
        <v>6247</v>
      </c>
      <c r="T115" s="10" t="s">
        <v>6248</v>
      </c>
      <c r="U115" s="10">
        <v>1</v>
      </c>
      <c r="V115" s="10">
        <v>-92</v>
      </c>
      <c r="W115" s="67">
        <v>45373</v>
      </c>
      <c r="X115" s="11" t="s">
        <v>6961</v>
      </c>
      <c r="Y115" s="11" t="s">
        <v>1921</v>
      </c>
      <c r="Z115" s="11" t="s">
        <v>2140</v>
      </c>
      <c r="AA115" s="67">
        <v>45322</v>
      </c>
      <c r="AB115" s="67">
        <v>45323</v>
      </c>
      <c r="AC115" s="67">
        <v>45351</v>
      </c>
      <c r="AD115" s="67">
        <v>45350</v>
      </c>
      <c r="AE115" s="67">
        <v>45351</v>
      </c>
    </row>
    <row r="116" spans="1:31" ht="12.5">
      <c r="A116" s="10">
        <v>610422100244</v>
      </c>
      <c r="B116" s="10" t="s">
        <v>99</v>
      </c>
      <c r="D116" s="10">
        <v>1</v>
      </c>
      <c r="E116" s="10" t="s">
        <v>2633</v>
      </c>
      <c r="F116" s="10" t="s">
        <v>25</v>
      </c>
      <c r="G116" s="10" t="s">
        <v>2632</v>
      </c>
      <c r="H116" s="10" t="s">
        <v>67</v>
      </c>
      <c r="I116" s="10" t="s">
        <v>100</v>
      </c>
      <c r="J116" s="10" t="s">
        <v>164</v>
      </c>
      <c r="K116" s="66">
        <v>55000</v>
      </c>
      <c r="L116" s="10">
        <v>2</v>
      </c>
      <c r="M116" s="10">
        <v>110000</v>
      </c>
      <c r="O116" s="67">
        <v>45342</v>
      </c>
      <c r="P116" s="10">
        <v>2024</v>
      </c>
      <c r="Q116" s="10">
        <v>2</v>
      </c>
      <c r="R116" s="10" t="s">
        <v>3043</v>
      </c>
      <c r="S116" s="10" t="s">
        <v>6157</v>
      </c>
      <c r="T116" s="10" t="s">
        <v>6246</v>
      </c>
      <c r="U116" s="10">
        <v>1</v>
      </c>
      <c r="V116" s="10">
        <v>-92</v>
      </c>
      <c r="W116" s="67">
        <v>45373</v>
      </c>
      <c r="X116" s="11" t="s">
        <v>6961</v>
      </c>
      <c r="Y116" s="11" t="s">
        <v>5741</v>
      </c>
      <c r="Z116" s="11" t="s">
        <v>5796</v>
      </c>
      <c r="AA116" s="67">
        <v>45322</v>
      </c>
      <c r="AB116" s="67">
        <v>45323</v>
      </c>
      <c r="AC116" s="67">
        <v>45351</v>
      </c>
      <c r="AD116" s="67">
        <v>45350</v>
      </c>
      <c r="AE116" s="67">
        <v>45351</v>
      </c>
    </row>
    <row r="117" spans="1:31" ht="12.5">
      <c r="A117" s="10">
        <v>610422100165</v>
      </c>
      <c r="B117" s="10" t="s">
        <v>99</v>
      </c>
      <c r="D117" s="10">
        <v>1</v>
      </c>
      <c r="E117" s="10" t="s">
        <v>2855</v>
      </c>
      <c r="F117" s="10" t="s">
        <v>25</v>
      </c>
      <c r="G117" s="10" t="s">
        <v>2854</v>
      </c>
      <c r="H117" s="10" t="s">
        <v>67</v>
      </c>
      <c r="I117" s="10" t="s">
        <v>100</v>
      </c>
      <c r="J117" s="10" t="s">
        <v>164</v>
      </c>
      <c r="K117" s="66">
        <v>55000</v>
      </c>
      <c r="L117" s="10">
        <v>2</v>
      </c>
      <c r="M117" s="10">
        <v>110000</v>
      </c>
      <c r="O117" s="67">
        <v>45342</v>
      </c>
      <c r="P117" s="10">
        <v>2024</v>
      </c>
      <c r="Q117" s="10">
        <v>2</v>
      </c>
      <c r="R117" s="10" t="s">
        <v>3043</v>
      </c>
      <c r="S117" s="10" t="s">
        <v>6180</v>
      </c>
      <c r="T117" s="10" t="s">
        <v>6181</v>
      </c>
      <c r="U117" s="10">
        <v>1</v>
      </c>
      <c r="V117" s="10">
        <v>-92</v>
      </c>
      <c r="W117" s="67">
        <v>45373</v>
      </c>
      <c r="X117" s="11" t="s">
        <v>6961</v>
      </c>
      <c r="Y117" s="11" t="s">
        <v>3990</v>
      </c>
      <c r="Z117" s="11" t="s">
        <v>4332</v>
      </c>
      <c r="AA117" s="67">
        <v>45322</v>
      </c>
      <c r="AB117" s="67">
        <v>45323</v>
      </c>
      <c r="AC117" s="67">
        <v>45351</v>
      </c>
      <c r="AD117" s="67">
        <v>45350</v>
      </c>
      <c r="AE117" s="67">
        <v>45351</v>
      </c>
    </row>
    <row r="118" spans="1:31" ht="12.5">
      <c r="A118" s="10">
        <v>610422100165</v>
      </c>
      <c r="B118" s="10" t="s">
        <v>101</v>
      </c>
      <c r="D118" s="10">
        <v>1</v>
      </c>
      <c r="E118" s="10" t="s">
        <v>2855</v>
      </c>
      <c r="F118" s="10" t="s">
        <v>25</v>
      </c>
      <c r="G118" s="10" t="s">
        <v>2854</v>
      </c>
      <c r="H118" s="10" t="s">
        <v>67</v>
      </c>
      <c r="I118" s="10" t="s">
        <v>102</v>
      </c>
      <c r="J118" s="10" t="s">
        <v>164</v>
      </c>
      <c r="K118" s="66">
        <v>50000</v>
      </c>
      <c r="L118" s="10">
        <v>1</v>
      </c>
      <c r="M118" s="10">
        <v>50000</v>
      </c>
      <c r="O118" s="67">
        <v>45342</v>
      </c>
      <c r="P118" s="10">
        <v>2024</v>
      </c>
      <c r="Q118" s="10">
        <v>2</v>
      </c>
      <c r="R118" s="10" t="s">
        <v>3043</v>
      </c>
      <c r="S118" s="10" t="s">
        <v>6180</v>
      </c>
      <c r="T118" s="10" t="s">
        <v>6181</v>
      </c>
      <c r="U118" s="10">
        <v>1</v>
      </c>
      <c r="V118" s="10">
        <v>-92</v>
      </c>
      <c r="W118" s="67">
        <v>45373</v>
      </c>
      <c r="X118" s="11" t="s">
        <v>3129</v>
      </c>
      <c r="Y118" s="11" t="s">
        <v>3990</v>
      </c>
      <c r="Z118" s="11" t="s">
        <v>4332</v>
      </c>
      <c r="AA118" s="67">
        <v>45322</v>
      </c>
      <c r="AB118" s="67">
        <v>45323</v>
      </c>
      <c r="AC118" s="67">
        <v>45351</v>
      </c>
      <c r="AD118" s="67">
        <v>45350</v>
      </c>
      <c r="AE118" s="67">
        <v>45351</v>
      </c>
    </row>
    <row r="119" spans="1:31" ht="12.5">
      <c r="A119" s="10">
        <v>610422040029</v>
      </c>
      <c r="B119" s="10" t="s">
        <v>103</v>
      </c>
      <c r="D119" s="10">
        <v>1</v>
      </c>
      <c r="E119" s="10" t="s">
        <v>3000</v>
      </c>
      <c r="F119" s="10" t="s">
        <v>25</v>
      </c>
      <c r="G119" s="10" t="s">
        <v>2999</v>
      </c>
      <c r="H119" s="10" t="s">
        <v>67</v>
      </c>
      <c r="I119" s="10" t="s">
        <v>104</v>
      </c>
      <c r="J119" s="10" t="s">
        <v>164</v>
      </c>
      <c r="K119" s="66">
        <v>55000</v>
      </c>
      <c r="L119" s="10">
        <v>3</v>
      </c>
      <c r="M119" s="10">
        <v>165000</v>
      </c>
      <c r="O119" s="67">
        <v>45342</v>
      </c>
      <c r="P119" s="10">
        <v>2024</v>
      </c>
      <c r="Q119" s="10">
        <v>2</v>
      </c>
      <c r="R119" s="10" t="s">
        <v>3043</v>
      </c>
      <c r="S119" s="10" t="s">
        <v>6226</v>
      </c>
      <c r="T119" s="10" t="s">
        <v>6227</v>
      </c>
      <c r="U119" s="10">
        <v>1</v>
      </c>
      <c r="V119" s="10">
        <v>-92</v>
      </c>
      <c r="W119" s="67">
        <v>45373</v>
      </c>
      <c r="X119" s="11" t="s">
        <v>3151</v>
      </c>
      <c r="Y119" s="11" t="s">
        <v>4572</v>
      </c>
      <c r="Z119" s="11" t="s">
        <v>4619</v>
      </c>
      <c r="AA119" s="67">
        <v>45322</v>
      </c>
      <c r="AB119" s="67">
        <v>45323</v>
      </c>
      <c r="AC119" s="67">
        <v>45351</v>
      </c>
      <c r="AD119" s="67">
        <v>45350</v>
      </c>
      <c r="AE119" s="67">
        <v>45351</v>
      </c>
    </row>
    <row r="120" spans="1:31" ht="12.5">
      <c r="A120" s="10">
        <v>610422100165</v>
      </c>
      <c r="B120" s="10" t="s">
        <v>103</v>
      </c>
      <c r="D120" s="10">
        <v>1</v>
      </c>
      <c r="E120" s="10" t="s">
        <v>2855</v>
      </c>
      <c r="F120" s="10" t="s">
        <v>25</v>
      </c>
      <c r="G120" s="10" t="s">
        <v>2854</v>
      </c>
      <c r="H120" s="10" t="s">
        <v>67</v>
      </c>
      <c r="I120" s="10" t="s">
        <v>104</v>
      </c>
      <c r="J120" s="10" t="s">
        <v>164</v>
      </c>
      <c r="K120" s="66">
        <v>55000</v>
      </c>
      <c r="L120" s="10">
        <v>3</v>
      </c>
      <c r="M120" s="10">
        <v>165000</v>
      </c>
      <c r="O120" s="67">
        <v>45342</v>
      </c>
      <c r="P120" s="10">
        <v>2024</v>
      </c>
      <c r="Q120" s="10">
        <v>2</v>
      </c>
      <c r="R120" s="10" t="s">
        <v>3043</v>
      </c>
      <c r="S120" s="10" t="s">
        <v>6180</v>
      </c>
      <c r="T120" s="10" t="s">
        <v>6181</v>
      </c>
      <c r="U120" s="10">
        <v>1</v>
      </c>
      <c r="V120" s="10">
        <v>-92</v>
      </c>
      <c r="W120" s="67">
        <v>45373</v>
      </c>
      <c r="X120" s="11" t="s">
        <v>3151</v>
      </c>
      <c r="Y120" s="11" t="s">
        <v>3990</v>
      </c>
      <c r="Z120" s="11" t="s">
        <v>4332</v>
      </c>
      <c r="AA120" s="67">
        <v>45322</v>
      </c>
      <c r="AB120" s="67">
        <v>45323</v>
      </c>
      <c r="AC120" s="67">
        <v>45351</v>
      </c>
      <c r="AD120" s="67">
        <v>45350</v>
      </c>
      <c r="AE120" s="67">
        <v>45351</v>
      </c>
    </row>
    <row r="121" spans="1:31" ht="12.5">
      <c r="A121" s="10">
        <v>610422050001</v>
      </c>
      <c r="B121" s="10" t="s">
        <v>103</v>
      </c>
      <c r="D121" s="10">
        <v>1</v>
      </c>
      <c r="E121" s="10" t="s">
        <v>5949</v>
      </c>
      <c r="F121" s="10" t="s">
        <v>25</v>
      </c>
      <c r="G121" s="10" t="s">
        <v>1127</v>
      </c>
      <c r="H121" s="10" t="s">
        <v>67</v>
      </c>
      <c r="I121" s="10" t="s">
        <v>104</v>
      </c>
      <c r="J121" s="10" t="s">
        <v>164</v>
      </c>
      <c r="K121" s="66">
        <v>55000</v>
      </c>
      <c r="L121" s="10">
        <v>3</v>
      </c>
      <c r="M121" s="10">
        <v>165000</v>
      </c>
      <c r="O121" s="67">
        <v>45342</v>
      </c>
      <c r="P121" s="10">
        <v>2024</v>
      </c>
      <c r="Q121" s="10">
        <v>2</v>
      </c>
      <c r="R121" s="10" t="s">
        <v>3043</v>
      </c>
      <c r="S121" s="10" t="s">
        <v>6249</v>
      </c>
      <c r="T121" s="10" t="s">
        <v>6250</v>
      </c>
      <c r="U121" s="10">
        <v>1</v>
      </c>
      <c r="V121" s="10">
        <v>-92</v>
      </c>
      <c r="W121" s="67">
        <v>45373</v>
      </c>
      <c r="X121" s="11" t="s">
        <v>3151</v>
      </c>
      <c r="Y121" s="11" t="s">
        <v>4408</v>
      </c>
      <c r="Z121" s="11" t="s">
        <v>4409</v>
      </c>
      <c r="AA121" s="67">
        <v>45322</v>
      </c>
      <c r="AB121" s="67">
        <v>45323</v>
      </c>
      <c r="AC121" s="67">
        <v>45351</v>
      </c>
      <c r="AD121" s="67">
        <v>45350</v>
      </c>
      <c r="AE121" s="67">
        <v>45351</v>
      </c>
    </row>
    <row r="122" spans="1:31" ht="12.5">
      <c r="A122" s="10">
        <v>610422040056</v>
      </c>
      <c r="B122" s="10" t="s">
        <v>103</v>
      </c>
      <c r="D122" s="10">
        <v>1</v>
      </c>
      <c r="E122" s="10" t="s">
        <v>2825</v>
      </c>
      <c r="F122" s="10" t="s">
        <v>25</v>
      </c>
      <c r="G122" s="10" t="s">
        <v>2824</v>
      </c>
      <c r="H122" s="10" t="s">
        <v>67</v>
      </c>
      <c r="I122" s="10" t="s">
        <v>104</v>
      </c>
      <c r="J122" s="10" t="s">
        <v>164</v>
      </c>
      <c r="K122" s="66">
        <v>55000</v>
      </c>
      <c r="L122" s="10">
        <v>2</v>
      </c>
      <c r="M122" s="10">
        <v>110000</v>
      </c>
      <c r="O122" s="67">
        <v>45342</v>
      </c>
      <c r="P122" s="10">
        <v>2024</v>
      </c>
      <c r="Q122" s="10">
        <v>2</v>
      </c>
      <c r="R122" s="10" t="s">
        <v>3043</v>
      </c>
      <c r="S122" s="10" t="s">
        <v>6115</v>
      </c>
      <c r="T122" s="10" t="s">
        <v>6255</v>
      </c>
      <c r="U122" s="10">
        <v>1</v>
      </c>
      <c r="V122" s="10">
        <v>-92</v>
      </c>
      <c r="W122" s="67">
        <v>45373</v>
      </c>
      <c r="X122" s="11" t="s">
        <v>3151</v>
      </c>
      <c r="Y122" s="11" t="s">
        <v>4572</v>
      </c>
      <c r="Z122" s="11" t="s">
        <v>4656</v>
      </c>
      <c r="AA122" s="67">
        <v>45322</v>
      </c>
      <c r="AB122" s="67">
        <v>45323</v>
      </c>
      <c r="AC122" s="67">
        <v>45351</v>
      </c>
      <c r="AD122" s="67">
        <v>45350</v>
      </c>
      <c r="AE122" s="67">
        <v>45351</v>
      </c>
    </row>
    <row r="123" spans="1:31" ht="12.5">
      <c r="A123" s="10">
        <v>610423040004</v>
      </c>
      <c r="B123" s="10" t="s">
        <v>105</v>
      </c>
      <c r="D123" s="10">
        <v>1</v>
      </c>
      <c r="E123" s="10" t="s">
        <v>731</v>
      </c>
      <c r="F123" s="10" t="s">
        <v>25</v>
      </c>
      <c r="G123" s="10" t="s">
        <v>730</v>
      </c>
      <c r="H123" s="10" t="s">
        <v>67</v>
      </c>
      <c r="I123" s="10" t="s">
        <v>106</v>
      </c>
      <c r="J123" s="10" t="s">
        <v>164</v>
      </c>
      <c r="K123" s="66">
        <v>60000</v>
      </c>
      <c r="L123" s="10">
        <v>10</v>
      </c>
      <c r="M123" s="10">
        <v>600000</v>
      </c>
      <c r="O123" s="67">
        <v>45350</v>
      </c>
      <c r="P123" s="10">
        <v>2024</v>
      </c>
      <c r="Q123" s="10">
        <v>2</v>
      </c>
      <c r="R123" s="10" t="s">
        <v>3043</v>
      </c>
      <c r="S123" s="10" t="s">
        <v>6172</v>
      </c>
      <c r="T123" s="10" t="s">
        <v>6173</v>
      </c>
      <c r="U123" s="10">
        <v>1</v>
      </c>
      <c r="V123" s="10">
        <v>-84</v>
      </c>
      <c r="W123" s="67">
        <v>45376</v>
      </c>
      <c r="X123" s="11" t="s">
        <v>3142</v>
      </c>
      <c r="Y123" s="11" t="s">
        <v>4408</v>
      </c>
      <c r="Z123" s="11" t="s">
        <v>4531</v>
      </c>
      <c r="AA123" s="67">
        <v>45322</v>
      </c>
      <c r="AB123" s="67">
        <v>45323</v>
      </c>
      <c r="AC123" s="67">
        <v>45351</v>
      </c>
      <c r="AD123" s="67">
        <v>45350</v>
      </c>
      <c r="AE123" s="67">
        <v>45351</v>
      </c>
    </row>
    <row r="124" spans="1:31" ht="12.5">
      <c r="A124" s="10">
        <v>610422100144</v>
      </c>
      <c r="B124" s="10" t="s">
        <v>105</v>
      </c>
      <c r="D124" s="10">
        <v>1</v>
      </c>
      <c r="E124" s="10" t="s">
        <v>5970</v>
      </c>
      <c r="F124" s="10" t="s">
        <v>25</v>
      </c>
      <c r="G124" s="10" t="s">
        <v>1513</v>
      </c>
      <c r="H124" s="10" t="s">
        <v>67</v>
      </c>
      <c r="I124" s="10" t="s">
        <v>106</v>
      </c>
      <c r="J124" s="10" t="s">
        <v>164</v>
      </c>
      <c r="K124" s="66">
        <v>60000</v>
      </c>
      <c r="L124" s="10">
        <v>10</v>
      </c>
      <c r="M124" s="10">
        <v>600000</v>
      </c>
      <c r="O124" s="67">
        <v>45350</v>
      </c>
      <c r="P124" s="10">
        <v>2024</v>
      </c>
      <c r="Q124" s="10">
        <v>2</v>
      </c>
      <c r="R124" s="10" t="s">
        <v>3043</v>
      </c>
      <c r="S124" s="10" t="s">
        <v>6186</v>
      </c>
      <c r="T124" s="10" t="s">
        <v>6187</v>
      </c>
      <c r="U124" s="10">
        <v>1</v>
      </c>
      <c r="V124" s="10">
        <v>-84</v>
      </c>
      <c r="W124" s="67">
        <v>45376</v>
      </c>
      <c r="X124" s="11" t="s">
        <v>3142</v>
      </c>
      <c r="Y124" s="11" t="s">
        <v>5250</v>
      </c>
      <c r="Z124" s="11" t="s">
        <v>5488</v>
      </c>
      <c r="AA124" s="67">
        <v>45322</v>
      </c>
      <c r="AB124" s="67">
        <v>45323</v>
      </c>
      <c r="AC124" s="67">
        <v>45351</v>
      </c>
      <c r="AD124" s="67">
        <v>45350</v>
      </c>
      <c r="AE124" s="67">
        <v>45351</v>
      </c>
    </row>
    <row r="125" spans="1:31" ht="12.5">
      <c r="A125" s="10">
        <v>610422020032</v>
      </c>
      <c r="B125" s="10" t="s">
        <v>105</v>
      </c>
      <c r="D125" s="10">
        <v>1</v>
      </c>
      <c r="E125" s="10" t="s">
        <v>1640</v>
      </c>
      <c r="F125" s="10" t="s">
        <v>25</v>
      </c>
      <c r="G125" s="10" t="s">
        <v>1639</v>
      </c>
      <c r="H125" s="10" t="s">
        <v>67</v>
      </c>
      <c r="I125" s="10" t="s">
        <v>106</v>
      </c>
      <c r="J125" s="10" t="s">
        <v>164</v>
      </c>
      <c r="K125" s="66">
        <v>60000</v>
      </c>
      <c r="L125" s="10">
        <v>10</v>
      </c>
      <c r="M125" s="10">
        <v>600000</v>
      </c>
      <c r="O125" s="67">
        <v>45350</v>
      </c>
      <c r="P125" s="10">
        <v>2024</v>
      </c>
      <c r="Q125" s="10">
        <v>2</v>
      </c>
      <c r="R125" s="10" t="s">
        <v>3043</v>
      </c>
      <c r="S125" s="10" t="s">
        <v>6232</v>
      </c>
      <c r="T125" s="10" t="s">
        <v>6233</v>
      </c>
      <c r="U125" s="10">
        <v>1</v>
      </c>
      <c r="V125" s="10">
        <v>-84</v>
      </c>
      <c r="W125" s="67">
        <v>45376</v>
      </c>
      <c r="X125" s="11" t="s">
        <v>3142</v>
      </c>
      <c r="Y125" s="11" t="s">
        <v>4931</v>
      </c>
      <c r="Z125" s="11" t="s">
        <v>5209</v>
      </c>
      <c r="AA125" s="67">
        <v>45322</v>
      </c>
      <c r="AB125" s="67">
        <v>45323</v>
      </c>
      <c r="AC125" s="67">
        <v>45351</v>
      </c>
      <c r="AD125" s="67">
        <v>45350</v>
      </c>
      <c r="AE125" s="67">
        <v>45351</v>
      </c>
    </row>
    <row r="126" spans="1:31" ht="12.5">
      <c r="A126" s="10">
        <v>610422100085</v>
      </c>
      <c r="B126" s="10" t="s">
        <v>105</v>
      </c>
      <c r="D126" s="10">
        <v>1</v>
      </c>
      <c r="E126" s="10" t="s">
        <v>5981</v>
      </c>
      <c r="F126" s="10" t="s">
        <v>25</v>
      </c>
      <c r="G126" s="10" t="s">
        <v>1646</v>
      </c>
      <c r="H126" s="10" t="s">
        <v>67</v>
      </c>
      <c r="I126" s="10" t="s">
        <v>106</v>
      </c>
      <c r="J126" s="10" t="s">
        <v>164</v>
      </c>
      <c r="K126" s="66">
        <v>60000</v>
      </c>
      <c r="L126" s="10">
        <v>10</v>
      </c>
      <c r="M126" s="10">
        <v>600000</v>
      </c>
      <c r="O126" s="67">
        <v>45350</v>
      </c>
      <c r="P126" s="10">
        <v>2024</v>
      </c>
      <c r="Q126" s="10">
        <v>2</v>
      </c>
      <c r="R126" s="10" t="s">
        <v>3043</v>
      </c>
      <c r="S126" s="10" t="s">
        <v>6198</v>
      </c>
      <c r="T126" s="10" t="s">
        <v>6199</v>
      </c>
      <c r="U126" s="10">
        <v>1</v>
      </c>
      <c r="V126" s="10">
        <v>-84</v>
      </c>
      <c r="W126" s="67">
        <v>45376</v>
      </c>
      <c r="X126" s="11" t="s">
        <v>3142</v>
      </c>
      <c r="Y126" s="11" t="s">
        <v>3990</v>
      </c>
      <c r="Z126" s="11" t="s">
        <v>4087</v>
      </c>
      <c r="AA126" s="67">
        <v>45322</v>
      </c>
      <c r="AB126" s="67">
        <v>45323</v>
      </c>
      <c r="AC126" s="67">
        <v>45351</v>
      </c>
      <c r="AD126" s="67">
        <v>45350</v>
      </c>
      <c r="AE126" s="67">
        <v>45351</v>
      </c>
    </row>
    <row r="127" spans="1:31" ht="12.5">
      <c r="A127" s="10">
        <v>610423040013</v>
      </c>
      <c r="B127" s="10" t="s">
        <v>105</v>
      </c>
      <c r="D127" s="10">
        <v>1</v>
      </c>
      <c r="E127" s="10" t="s">
        <v>1658</v>
      </c>
      <c r="F127" s="10" t="s">
        <v>25</v>
      </c>
      <c r="G127" s="10" t="s">
        <v>1657</v>
      </c>
      <c r="H127" s="10" t="s">
        <v>67</v>
      </c>
      <c r="I127" s="10" t="s">
        <v>106</v>
      </c>
      <c r="J127" s="10" t="s">
        <v>164</v>
      </c>
      <c r="K127" s="66">
        <v>60000</v>
      </c>
      <c r="L127" s="10">
        <v>10</v>
      </c>
      <c r="M127" s="10">
        <v>600000</v>
      </c>
      <c r="O127" s="67">
        <v>45350</v>
      </c>
      <c r="P127" s="10">
        <v>2024</v>
      </c>
      <c r="Q127" s="10">
        <v>2</v>
      </c>
      <c r="R127" s="10" t="s">
        <v>3043</v>
      </c>
      <c r="S127" s="10" t="s">
        <v>6176</v>
      </c>
      <c r="T127" s="10" t="s">
        <v>6177</v>
      </c>
      <c r="U127" s="10">
        <v>1</v>
      </c>
      <c r="V127" s="10">
        <v>-84</v>
      </c>
      <c r="W127" s="67">
        <v>45376</v>
      </c>
      <c r="X127" s="11" t="s">
        <v>3142</v>
      </c>
      <c r="Y127" s="11" t="s">
        <v>5250</v>
      </c>
      <c r="Z127" s="11" t="s">
        <v>5304</v>
      </c>
      <c r="AA127" s="67">
        <v>45322</v>
      </c>
      <c r="AB127" s="67">
        <v>45323</v>
      </c>
      <c r="AC127" s="67">
        <v>45351</v>
      </c>
      <c r="AD127" s="67">
        <v>45350</v>
      </c>
      <c r="AE127" s="67">
        <v>45351</v>
      </c>
    </row>
    <row r="128" spans="1:31" ht="12.5">
      <c r="A128" s="10">
        <v>610422100137</v>
      </c>
      <c r="B128" s="10" t="s">
        <v>105</v>
      </c>
      <c r="D128" s="10">
        <v>1</v>
      </c>
      <c r="E128" s="10" t="s">
        <v>5985</v>
      </c>
      <c r="F128" s="10" t="s">
        <v>25</v>
      </c>
      <c r="G128" s="10" t="s">
        <v>1719</v>
      </c>
      <c r="H128" s="10" t="s">
        <v>67</v>
      </c>
      <c r="I128" s="10" t="s">
        <v>106</v>
      </c>
      <c r="J128" s="10" t="s">
        <v>164</v>
      </c>
      <c r="K128" s="66">
        <v>60000</v>
      </c>
      <c r="L128" s="10">
        <v>10</v>
      </c>
      <c r="M128" s="10">
        <v>600000</v>
      </c>
      <c r="O128" s="67">
        <v>45350</v>
      </c>
      <c r="P128" s="10">
        <v>2024</v>
      </c>
      <c r="Q128" s="10">
        <v>2</v>
      </c>
      <c r="R128" s="10" t="s">
        <v>3043</v>
      </c>
      <c r="S128" s="10" t="s">
        <v>6184</v>
      </c>
      <c r="T128" s="10" t="s">
        <v>6185</v>
      </c>
      <c r="U128" s="10">
        <v>1</v>
      </c>
      <c r="V128" s="10">
        <v>-84</v>
      </c>
      <c r="W128" s="67">
        <v>45376</v>
      </c>
      <c r="X128" s="11" t="s">
        <v>3142</v>
      </c>
      <c r="Y128" s="11" t="s">
        <v>5534</v>
      </c>
      <c r="Z128" s="11" t="s">
        <v>5535</v>
      </c>
      <c r="AA128" s="67">
        <v>45322</v>
      </c>
      <c r="AB128" s="67">
        <v>45323</v>
      </c>
      <c r="AC128" s="67">
        <v>45351</v>
      </c>
      <c r="AD128" s="67">
        <v>45350</v>
      </c>
      <c r="AE128" s="67">
        <v>45351</v>
      </c>
    </row>
    <row r="129" spans="1:31" ht="12.5">
      <c r="A129" s="10">
        <v>610422100256</v>
      </c>
      <c r="B129" s="10" t="s">
        <v>105</v>
      </c>
      <c r="D129" s="10">
        <v>1</v>
      </c>
      <c r="E129" s="10" t="s">
        <v>1778</v>
      </c>
      <c r="F129" s="10" t="s">
        <v>25</v>
      </c>
      <c r="G129" s="10" t="s">
        <v>1777</v>
      </c>
      <c r="H129" s="10" t="s">
        <v>67</v>
      </c>
      <c r="I129" s="10" t="s">
        <v>106</v>
      </c>
      <c r="J129" s="10" t="s">
        <v>164</v>
      </c>
      <c r="K129" s="66">
        <v>60000</v>
      </c>
      <c r="L129" s="10">
        <v>10</v>
      </c>
      <c r="M129" s="10">
        <v>600000</v>
      </c>
      <c r="O129" s="67">
        <v>45350</v>
      </c>
      <c r="P129" s="10">
        <v>2024</v>
      </c>
      <c r="Q129" s="10">
        <v>2</v>
      </c>
      <c r="R129" s="10" t="s">
        <v>3043</v>
      </c>
      <c r="S129" s="10" t="s">
        <v>6160</v>
      </c>
      <c r="T129" s="10" t="s">
        <v>6161</v>
      </c>
      <c r="U129" s="10">
        <v>1</v>
      </c>
      <c r="V129" s="10">
        <v>-84</v>
      </c>
      <c r="W129" s="67">
        <v>45376</v>
      </c>
      <c r="X129" s="11" t="s">
        <v>3142</v>
      </c>
      <c r="Y129" s="11" t="s">
        <v>5741</v>
      </c>
      <c r="Z129" s="11" t="s">
        <v>5742</v>
      </c>
      <c r="AA129" s="67">
        <v>45322</v>
      </c>
      <c r="AB129" s="67">
        <v>45323</v>
      </c>
      <c r="AC129" s="67">
        <v>45351</v>
      </c>
      <c r="AD129" s="67">
        <v>45350</v>
      </c>
      <c r="AE129" s="67">
        <v>45351</v>
      </c>
    </row>
    <row r="130" spans="1:31" ht="12.5">
      <c r="A130" s="10">
        <v>610422040050</v>
      </c>
      <c r="B130" s="10" t="s">
        <v>105</v>
      </c>
      <c r="D130" s="10">
        <v>1</v>
      </c>
      <c r="E130" s="10" t="s">
        <v>6010</v>
      </c>
      <c r="F130" s="10" t="s">
        <v>25</v>
      </c>
      <c r="G130" s="10" t="s">
        <v>2154</v>
      </c>
      <c r="H130" s="10" t="s">
        <v>67</v>
      </c>
      <c r="I130" s="10" t="s">
        <v>106</v>
      </c>
      <c r="J130" s="10" t="s">
        <v>164</v>
      </c>
      <c r="K130" s="66">
        <v>60000</v>
      </c>
      <c r="L130" s="10">
        <v>10</v>
      </c>
      <c r="M130" s="10">
        <v>600000</v>
      </c>
      <c r="O130" s="67">
        <v>45350</v>
      </c>
      <c r="P130" s="10">
        <v>2024</v>
      </c>
      <c r="Q130" s="10">
        <v>2</v>
      </c>
      <c r="R130" s="10" t="s">
        <v>3043</v>
      </c>
      <c r="S130" s="10" t="s">
        <v>6222</v>
      </c>
      <c r="T130" s="10" t="s">
        <v>6223</v>
      </c>
      <c r="U130" s="10">
        <v>1</v>
      </c>
      <c r="V130" s="10">
        <v>-84</v>
      </c>
      <c r="W130" s="67">
        <v>45376</v>
      </c>
      <c r="X130" s="11" t="s">
        <v>3142</v>
      </c>
      <c r="Y130" s="11" t="s">
        <v>3241</v>
      </c>
      <c r="Z130" s="11" t="s">
        <v>3289</v>
      </c>
      <c r="AA130" s="67">
        <v>45322</v>
      </c>
      <c r="AB130" s="67">
        <v>45323</v>
      </c>
      <c r="AC130" s="67">
        <v>45351</v>
      </c>
      <c r="AD130" s="67">
        <v>45350</v>
      </c>
      <c r="AE130" s="67">
        <v>45351</v>
      </c>
    </row>
    <row r="131" spans="1:31" ht="12.5">
      <c r="A131" s="10">
        <v>610422040035</v>
      </c>
      <c r="B131" s="10" t="s">
        <v>105</v>
      </c>
      <c r="D131" s="10">
        <v>1</v>
      </c>
      <c r="E131" s="10" t="s">
        <v>2281</v>
      </c>
      <c r="F131" s="10" t="s">
        <v>25</v>
      </c>
      <c r="G131" s="10" t="s">
        <v>2280</v>
      </c>
      <c r="H131" s="10" t="s">
        <v>67</v>
      </c>
      <c r="I131" s="10" t="s">
        <v>106</v>
      </c>
      <c r="J131" s="10" t="s">
        <v>164</v>
      </c>
      <c r="K131" s="66">
        <v>60000</v>
      </c>
      <c r="L131" s="10">
        <v>10</v>
      </c>
      <c r="M131" s="10">
        <v>600000</v>
      </c>
      <c r="O131" s="67">
        <v>45350</v>
      </c>
      <c r="P131" s="10">
        <v>2024</v>
      </c>
      <c r="Q131" s="10">
        <v>2</v>
      </c>
      <c r="R131" s="10" t="s">
        <v>3043</v>
      </c>
      <c r="S131" s="10" t="s">
        <v>6216</v>
      </c>
      <c r="T131" s="10" t="s">
        <v>6217</v>
      </c>
      <c r="U131" s="10">
        <v>1</v>
      </c>
      <c r="V131" s="10">
        <v>-84</v>
      </c>
      <c r="W131" s="67">
        <v>45376</v>
      </c>
      <c r="X131" s="11" t="s">
        <v>3142</v>
      </c>
      <c r="Y131" s="11" t="s">
        <v>4931</v>
      </c>
      <c r="Z131" s="11" t="s">
        <v>5171</v>
      </c>
      <c r="AA131" s="67">
        <v>45322</v>
      </c>
      <c r="AB131" s="67">
        <v>45323</v>
      </c>
      <c r="AC131" s="67">
        <v>45351</v>
      </c>
      <c r="AD131" s="67">
        <v>45350</v>
      </c>
      <c r="AE131" s="67">
        <v>45351</v>
      </c>
    </row>
    <row r="132" spans="1:31" ht="12.5">
      <c r="A132" s="10">
        <v>610422040061</v>
      </c>
      <c r="B132" s="10" t="s">
        <v>105</v>
      </c>
      <c r="D132" s="10">
        <v>1</v>
      </c>
      <c r="E132" s="10" t="s">
        <v>2440</v>
      </c>
      <c r="F132" s="10" t="s">
        <v>25</v>
      </c>
      <c r="G132" s="10" t="s">
        <v>2439</v>
      </c>
      <c r="H132" s="10" t="s">
        <v>67</v>
      </c>
      <c r="I132" s="10" t="s">
        <v>106</v>
      </c>
      <c r="J132" s="10" t="s">
        <v>164</v>
      </c>
      <c r="K132" s="66">
        <v>60000</v>
      </c>
      <c r="L132" s="10">
        <v>10</v>
      </c>
      <c r="M132" s="10">
        <v>600000</v>
      </c>
      <c r="O132" s="67">
        <v>45350</v>
      </c>
      <c r="P132" s="10">
        <v>2024</v>
      </c>
      <c r="Q132" s="10">
        <v>2</v>
      </c>
      <c r="R132" s="10" t="s">
        <v>3043</v>
      </c>
      <c r="S132" s="10" t="s">
        <v>6210</v>
      </c>
      <c r="T132" s="10" t="s">
        <v>6211</v>
      </c>
      <c r="U132" s="10">
        <v>1</v>
      </c>
      <c r="V132" s="10">
        <v>-84</v>
      </c>
      <c r="W132" s="67">
        <v>45376</v>
      </c>
      <c r="X132" s="11" t="s">
        <v>3142</v>
      </c>
      <c r="Y132" s="11" t="s">
        <v>3715</v>
      </c>
      <c r="Z132" s="11" t="s">
        <v>3862</v>
      </c>
      <c r="AA132" s="67">
        <v>45322</v>
      </c>
      <c r="AB132" s="67">
        <v>45323</v>
      </c>
      <c r="AC132" s="67">
        <v>45351</v>
      </c>
      <c r="AD132" s="67">
        <v>45350</v>
      </c>
      <c r="AE132" s="67">
        <v>45351</v>
      </c>
    </row>
    <row r="133" spans="1:31" ht="12.5">
      <c r="A133" s="10">
        <v>610422040053</v>
      </c>
      <c r="B133" s="10" t="s">
        <v>105</v>
      </c>
      <c r="D133" s="10">
        <v>1</v>
      </c>
      <c r="E133" s="10" t="s">
        <v>2781</v>
      </c>
      <c r="F133" s="10" t="s">
        <v>25</v>
      </c>
      <c r="G133" s="10" t="s">
        <v>2780</v>
      </c>
      <c r="H133" s="10" t="s">
        <v>67</v>
      </c>
      <c r="I133" s="10" t="s">
        <v>106</v>
      </c>
      <c r="J133" s="10" t="s">
        <v>164</v>
      </c>
      <c r="K133" s="66">
        <v>60000</v>
      </c>
      <c r="L133" s="10">
        <v>10</v>
      </c>
      <c r="M133" s="10">
        <v>600000</v>
      </c>
      <c r="O133" s="67">
        <v>45350</v>
      </c>
      <c r="P133" s="10">
        <v>2024</v>
      </c>
      <c r="Q133" s="10">
        <v>2</v>
      </c>
      <c r="R133" s="10" t="s">
        <v>3043</v>
      </c>
      <c r="S133" s="10" t="s">
        <v>6228</v>
      </c>
      <c r="T133" s="10" t="s">
        <v>6229</v>
      </c>
      <c r="U133" s="10">
        <v>1</v>
      </c>
      <c r="V133" s="10">
        <v>-84</v>
      </c>
      <c r="W133" s="67">
        <v>45376</v>
      </c>
      <c r="X133" s="11" t="s">
        <v>3142</v>
      </c>
      <c r="Y133" s="11" t="s">
        <v>5250</v>
      </c>
      <c r="Z133" s="11" t="s">
        <v>5464</v>
      </c>
      <c r="AA133" s="67">
        <v>45322</v>
      </c>
      <c r="AB133" s="67">
        <v>45323</v>
      </c>
      <c r="AC133" s="67">
        <v>45351</v>
      </c>
      <c r="AD133" s="67">
        <v>45350</v>
      </c>
      <c r="AE133" s="67">
        <v>45351</v>
      </c>
    </row>
    <row r="134" spans="1:31" ht="12.5">
      <c r="A134" s="10">
        <v>610422100055</v>
      </c>
      <c r="B134" s="10" t="s">
        <v>105</v>
      </c>
      <c r="D134" s="10">
        <v>1</v>
      </c>
      <c r="E134" s="10" t="s">
        <v>2791</v>
      </c>
      <c r="F134" s="10" t="s">
        <v>25</v>
      </c>
      <c r="G134" s="10" t="s">
        <v>2790</v>
      </c>
      <c r="H134" s="10" t="s">
        <v>67</v>
      </c>
      <c r="I134" s="10" t="s">
        <v>106</v>
      </c>
      <c r="J134" s="10" t="s">
        <v>164</v>
      </c>
      <c r="K134" s="66">
        <v>60000</v>
      </c>
      <c r="L134" s="10">
        <v>10</v>
      </c>
      <c r="M134" s="10">
        <v>600000</v>
      </c>
      <c r="O134" s="67">
        <v>45350</v>
      </c>
      <c r="P134" s="10">
        <v>2024</v>
      </c>
      <c r="Q134" s="10">
        <v>2</v>
      </c>
      <c r="R134" s="10" t="s">
        <v>3043</v>
      </c>
      <c r="S134" s="10" t="s">
        <v>6162</v>
      </c>
      <c r="T134" s="10" t="s">
        <v>6163</v>
      </c>
      <c r="U134" s="10">
        <v>1</v>
      </c>
      <c r="V134" s="10">
        <v>-84</v>
      </c>
      <c r="W134" s="67">
        <v>45376</v>
      </c>
      <c r="X134" s="11" t="s">
        <v>3142</v>
      </c>
      <c r="Y134" s="11" t="s">
        <v>3241</v>
      </c>
      <c r="Z134" s="11" t="s">
        <v>3289</v>
      </c>
      <c r="AA134" s="67">
        <v>45322</v>
      </c>
      <c r="AB134" s="67">
        <v>45323</v>
      </c>
      <c r="AC134" s="67">
        <v>45351</v>
      </c>
      <c r="AD134" s="67">
        <v>45350</v>
      </c>
      <c r="AE134" s="67">
        <v>45351</v>
      </c>
    </row>
    <row r="135" spans="1:31" ht="12.5">
      <c r="A135" s="10">
        <v>610422100139</v>
      </c>
      <c r="B135" s="10" t="s">
        <v>105</v>
      </c>
      <c r="D135" s="10">
        <v>1</v>
      </c>
      <c r="E135" s="10" t="s">
        <v>2842</v>
      </c>
      <c r="F135" s="10" t="s">
        <v>25</v>
      </c>
      <c r="G135" s="10" t="s">
        <v>2841</v>
      </c>
      <c r="H135" s="10" t="s">
        <v>67</v>
      </c>
      <c r="I135" s="10" t="s">
        <v>106</v>
      </c>
      <c r="J135" s="10" t="s">
        <v>164</v>
      </c>
      <c r="K135" s="66">
        <v>60000</v>
      </c>
      <c r="L135" s="10">
        <v>10</v>
      </c>
      <c r="M135" s="10">
        <v>600000</v>
      </c>
      <c r="O135" s="67">
        <v>45350</v>
      </c>
      <c r="P135" s="10">
        <v>2024</v>
      </c>
      <c r="Q135" s="10">
        <v>2</v>
      </c>
      <c r="R135" s="10" t="s">
        <v>3043</v>
      </c>
      <c r="S135" s="10" t="s">
        <v>6182</v>
      </c>
      <c r="T135" s="10" t="s">
        <v>6183</v>
      </c>
      <c r="U135" s="10">
        <v>1</v>
      </c>
      <c r="V135" s="10">
        <v>-84</v>
      </c>
      <c r="W135" s="67">
        <v>45376</v>
      </c>
      <c r="X135" s="11" t="s">
        <v>3142</v>
      </c>
      <c r="Y135" s="11" t="s">
        <v>4572</v>
      </c>
      <c r="Z135" s="11" t="s">
        <v>4814</v>
      </c>
      <c r="AA135" s="67">
        <v>45322</v>
      </c>
      <c r="AB135" s="67">
        <v>45323</v>
      </c>
      <c r="AC135" s="67">
        <v>45351</v>
      </c>
      <c r="AD135" s="67">
        <v>45350</v>
      </c>
      <c r="AE135" s="67">
        <v>45351</v>
      </c>
    </row>
    <row r="136" spans="1:31" ht="12.5">
      <c r="A136" s="10">
        <v>610422040052</v>
      </c>
      <c r="B136" s="10" t="s">
        <v>105</v>
      </c>
      <c r="D136" s="10">
        <v>1</v>
      </c>
      <c r="E136" s="10" t="s">
        <v>2952</v>
      </c>
      <c r="F136" s="10" t="s">
        <v>25</v>
      </c>
      <c r="G136" s="10" t="s">
        <v>2951</v>
      </c>
      <c r="H136" s="10" t="s">
        <v>67</v>
      </c>
      <c r="I136" s="10" t="s">
        <v>106</v>
      </c>
      <c r="J136" s="10" t="s">
        <v>164</v>
      </c>
      <c r="K136" s="66">
        <v>60000</v>
      </c>
      <c r="L136" s="10">
        <v>10</v>
      </c>
      <c r="M136" s="10">
        <v>600000</v>
      </c>
      <c r="O136" s="67">
        <v>45350</v>
      </c>
      <c r="P136" s="10">
        <v>2024</v>
      </c>
      <c r="Q136" s="10">
        <v>2</v>
      </c>
      <c r="R136" s="10" t="s">
        <v>3043</v>
      </c>
      <c r="S136" s="10" t="s">
        <v>6208</v>
      </c>
      <c r="T136" s="10" t="s">
        <v>6209</v>
      </c>
      <c r="U136" s="10">
        <v>1</v>
      </c>
      <c r="V136" s="10">
        <v>-84</v>
      </c>
      <c r="W136" s="67">
        <v>45376</v>
      </c>
      <c r="X136" s="11" t="s">
        <v>3142</v>
      </c>
      <c r="Y136" s="11" t="s">
        <v>4408</v>
      </c>
      <c r="Z136" s="11" t="s">
        <v>4487</v>
      </c>
      <c r="AA136" s="67">
        <v>45322</v>
      </c>
      <c r="AB136" s="67">
        <v>45323</v>
      </c>
      <c r="AC136" s="67">
        <v>45351</v>
      </c>
      <c r="AD136" s="67">
        <v>45350</v>
      </c>
      <c r="AE136" s="67">
        <v>45351</v>
      </c>
    </row>
    <row r="137" spans="1:31" ht="12.5">
      <c r="A137" s="10">
        <v>610422020016</v>
      </c>
      <c r="B137" s="10" t="s">
        <v>28</v>
      </c>
      <c r="D137" s="10">
        <v>1</v>
      </c>
      <c r="E137" s="10" t="s">
        <v>380</v>
      </c>
      <c r="F137" s="10" t="s">
        <v>25</v>
      </c>
      <c r="G137" s="10" t="s">
        <v>379</v>
      </c>
      <c r="H137" s="10" t="s">
        <v>84</v>
      </c>
      <c r="I137" s="10" t="s">
        <v>6256</v>
      </c>
      <c r="J137" s="10" t="s">
        <v>3036</v>
      </c>
      <c r="K137" s="66">
        <v>116000</v>
      </c>
      <c r="L137" s="10">
        <v>3</v>
      </c>
      <c r="M137" s="10">
        <v>348000</v>
      </c>
      <c r="O137" s="67">
        <v>45351</v>
      </c>
      <c r="P137" s="10">
        <v>2024</v>
      </c>
      <c r="Q137" s="10">
        <v>2</v>
      </c>
      <c r="R137" s="10" t="s">
        <v>3043</v>
      </c>
      <c r="S137" s="10" t="s">
        <v>6137</v>
      </c>
      <c r="T137" s="10" t="s">
        <v>6252</v>
      </c>
      <c r="U137" s="10">
        <v>1</v>
      </c>
      <c r="V137" s="10">
        <v>-83</v>
      </c>
      <c r="W137" s="67">
        <v>45373</v>
      </c>
      <c r="X137" s="11" t="s">
        <v>3050</v>
      </c>
      <c r="Y137" s="11" t="s">
        <v>5534</v>
      </c>
      <c r="Z137" s="11" t="s">
        <v>5535</v>
      </c>
      <c r="AA137" s="67">
        <v>45322</v>
      </c>
      <c r="AB137" s="67">
        <v>45323</v>
      </c>
      <c r="AC137" s="67">
        <v>45351</v>
      </c>
      <c r="AD137" s="67">
        <v>45350</v>
      </c>
      <c r="AE137" s="67">
        <v>45351</v>
      </c>
    </row>
    <row r="138" spans="1:31" ht="12.5">
      <c r="A138" s="10">
        <v>610422040012</v>
      </c>
      <c r="B138" s="10" t="s">
        <v>28</v>
      </c>
      <c r="D138" s="10">
        <v>1</v>
      </c>
      <c r="E138" s="10" t="s">
        <v>1813</v>
      </c>
      <c r="F138" s="10" t="s">
        <v>25</v>
      </c>
      <c r="G138" s="10" t="s">
        <v>1812</v>
      </c>
      <c r="H138" s="10" t="s">
        <v>84</v>
      </c>
      <c r="I138" s="10" t="s">
        <v>6256</v>
      </c>
      <c r="J138" s="10" t="s">
        <v>3036</v>
      </c>
      <c r="K138" s="66">
        <v>116000</v>
      </c>
      <c r="L138" s="10">
        <v>3</v>
      </c>
      <c r="M138" s="10">
        <v>348000</v>
      </c>
      <c r="O138" s="67">
        <v>45351</v>
      </c>
      <c r="P138" s="10">
        <v>2024</v>
      </c>
      <c r="Q138" s="10">
        <v>2</v>
      </c>
      <c r="R138" s="10" t="s">
        <v>3043</v>
      </c>
      <c r="S138" s="10" t="s">
        <v>6257</v>
      </c>
      <c r="T138" s="10" t="s">
        <v>6258</v>
      </c>
      <c r="U138" s="10">
        <v>1</v>
      </c>
      <c r="V138" s="10">
        <v>-83</v>
      </c>
      <c r="W138" s="67">
        <v>45373</v>
      </c>
      <c r="X138" s="11" t="s">
        <v>3050</v>
      </c>
      <c r="Y138" s="11" t="s">
        <v>3990</v>
      </c>
      <c r="Z138" s="11" t="s">
        <v>4365</v>
      </c>
      <c r="AA138" s="67">
        <v>45322</v>
      </c>
      <c r="AB138" s="67">
        <v>45323</v>
      </c>
      <c r="AC138" s="67">
        <v>45351</v>
      </c>
      <c r="AD138" s="67">
        <v>45350</v>
      </c>
      <c r="AE138" s="67">
        <v>45351</v>
      </c>
    </row>
    <row r="139" spans="1:31" ht="12.5">
      <c r="A139" s="10">
        <v>610422040059</v>
      </c>
      <c r="B139" s="10" t="s">
        <v>28</v>
      </c>
      <c r="D139" s="10">
        <v>1</v>
      </c>
      <c r="E139" s="10" t="s">
        <v>365</v>
      </c>
      <c r="F139" s="10" t="s">
        <v>25</v>
      </c>
      <c r="G139" s="10" t="s">
        <v>364</v>
      </c>
      <c r="H139" s="10" t="s">
        <v>84</v>
      </c>
      <c r="I139" s="10" t="s">
        <v>6256</v>
      </c>
      <c r="J139" s="10" t="s">
        <v>3036</v>
      </c>
      <c r="K139" s="66">
        <v>116000</v>
      </c>
      <c r="L139" s="10">
        <v>4</v>
      </c>
      <c r="M139" s="10">
        <v>464000</v>
      </c>
      <c r="O139" s="67">
        <v>45351</v>
      </c>
      <c r="P139" s="10">
        <v>2024</v>
      </c>
      <c r="Q139" s="10">
        <v>2</v>
      </c>
      <c r="R139" s="10" t="s">
        <v>3043</v>
      </c>
      <c r="S139" s="10" t="s">
        <v>6122</v>
      </c>
      <c r="T139" s="10" t="s">
        <v>6123</v>
      </c>
      <c r="U139" s="10">
        <v>1</v>
      </c>
      <c r="V139" s="10">
        <v>-83</v>
      </c>
      <c r="W139" s="67">
        <v>45373</v>
      </c>
      <c r="X139" s="11" t="s">
        <v>3050</v>
      </c>
      <c r="Y139" s="11" t="s">
        <v>4572</v>
      </c>
      <c r="Z139" s="11" t="s">
        <v>4656</v>
      </c>
      <c r="AA139" s="67">
        <v>45322</v>
      </c>
      <c r="AB139" s="67">
        <v>45323</v>
      </c>
      <c r="AC139" s="67">
        <v>45351</v>
      </c>
      <c r="AD139" s="67">
        <v>45350</v>
      </c>
      <c r="AE139" s="67">
        <v>45351</v>
      </c>
    </row>
    <row r="140" spans="1:31" ht="12.5">
      <c r="A140" s="10">
        <v>610422040061</v>
      </c>
      <c r="B140" s="10" t="s">
        <v>28</v>
      </c>
      <c r="D140" s="10">
        <v>1</v>
      </c>
      <c r="E140" s="10" t="s">
        <v>2440</v>
      </c>
      <c r="F140" s="10" t="s">
        <v>25</v>
      </c>
      <c r="G140" s="10" t="s">
        <v>2439</v>
      </c>
      <c r="H140" s="10" t="s">
        <v>84</v>
      </c>
      <c r="I140" s="10" t="s">
        <v>6256</v>
      </c>
      <c r="J140" s="10" t="s">
        <v>3036</v>
      </c>
      <c r="K140" s="66">
        <v>116000</v>
      </c>
      <c r="L140" s="10">
        <v>3</v>
      </c>
      <c r="M140" s="10">
        <v>348000</v>
      </c>
      <c r="O140" s="67">
        <v>45351</v>
      </c>
      <c r="P140" s="10">
        <v>2024</v>
      </c>
      <c r="Q140" s="10">
        <v>2</v>
      </c>
      <c r="R140" s="10" t="s">
        <v>3043</v>
      </c>
      <c r="S140" s="10" t="s">
        <v>6210</v>
      </c>
      <c r="T140" s="10" t="s">
        <v>6211</v>
      </c>
      <c r="U140" s="10">
        <v>1</v>
      </c>
      <c r="V140" s="10">
        <v>-83</v>
      </c>
      <c r="W140" s="67">
        <v>45373</v>
      </c>
      <c r="X140" s="11" t="s">
        <v>3050</v>
      </c>
      <c r="Y140" s="11" t="s">
        <v>3715</v>
      </c>
      <c r="Z140" s="11" t="s">
        <v>3862</v>
      </c>
      <c r="AA140" s="67">
        <v>45322</v>
      </c>
      <c r="AB140" s="67">
        <v>45323</v>
      </c>
      <c r="AC140" s="67">
        <v>45351</v>
      </c>
      <c r="AD140" s="67">
        <v>45350</v>
      </c>
      <c r="AE140" s="67">
        <v>45351</v>
      </c>
    </row>
    <row r="141" spans="1:31" ht="12.5">
      <c r="A141" s="10">
        <v>610422100131</v>
      </c>
      <c r="B141" s="10" t="s">
        <v>28</v>
      </c>
      <c r="D141" s="10">
        <v>1</v>
      </c>
      <c r="E141" s="10" t="s">
        <v>6046</v>
      </c>
      <c r="F141" s="10" t="s">
        <v>25</v>
      </c>
      <c r="G141" s="10" t="s">
        <v>2683</v>
      </c>
      <c r="H141" s="10" t="s">
        <v>84</v>
      </c>
      <c r="I141" s="10" t="s">
        <v>6256</v>
      </c>
      <c r="J141" s="10" t="s">
        <v>3036</v>
      </c>
      <c r="K141" s="66">
        <v>116000</v>
      </c>
      <c r="L141" s="10">
        <v>3</v>
      </c>
      <c r="M141" s="10">
        <v>348000</v>
      </c>
      <c r="O141" s="67">
        <v>45351</v>
      </c>
      <c r="P141" s="10">
        <v>2024</v>
      </c>
      <c r="Q141" s="10">
        <v>2</v>
      </c>
      <c r="R141" s="10" t="s">
        <v>3043</v>
      </c>
      <c r="S141" s="10" t="s">
        <v>6259</v>
      </c>
      <c r="T141" s="10" t="s">
        <v>6260</v>
      </c>
      <c r="U141" s="10">
        <v>1</v>
      </c>
      <c r="V141" s="10">
        <v>-83</v>
      </c>
      <c r="W141" s="67">
        <v>45373</v>
      </c>
      <c r="X141" s="11" t="s">
        <v>3050</v>
      </c>
      <c r="Y141" s="11" t="s">
        <v>5250</v>
      </c>
      <c r="Z141" s="11" t="s">
        <v>5365</v>
      </c>
      <c r="AA141" s="67">
        <v>45322</v>
      </c>
      <c r="AB141" s="67">
        <v>45323</v>
      </c>
      <c r="AC141" s="67">
        <v>45351</v>
      </c>
      <c r="AD141" s="67">
        <v>45350</v>
      </c>
      <c r="AE141" s="67">
        <v>45351</v>
      </c>
    </row>
    <row r="142" spans="1:31" ht="12.5">
      <c r="A142" s="10">
        <v>610422100244</v>
      </c>
      <c r="B142" s="10" t="s">
        <v>28</v>
      </c>
      <c r="D142" s="10">
        <v>1</v>
      </c>
      <c r="E142" s="10" t="s">
        <v>2633</v>
      </c>
      <c r="F142" s="10" t="s">
        <v>25</v>
      </c>
      <c r="G142" s="10" t="s">
        <v>2632</v>
      </c>
      <c r="H142" s="10" t="s">
        <v>84</v>
      </c>
      <c r="I142" s="10" t="s">
        <v>6256</v>
      </c>
      <c r="J142" s="10" t="s">
        <v>3036</v>
      </c>
      <c r="K142" s="66">
        <v>116000</v>
      </c>
      <c r="L142" s="10">
        <v>3</v>
      </c>
      <c r="M142" s="10">
        <v>348000</v>
      </c>
      <c r="O142" s="67">
        <v>45351</v>
      </c>
      <c r="P142" s="10">
        <v>2024</v>
      </c>
      <c r="Q142" s="10">
        <v>2</v>
      </c>
      <c r="R142" s="10" t="s">
        <v>3043</v>
      </c>
      <c r="S142" s="10" t="s">
        <v>6157</v>
      </c>
      <c r="T142" s="10" t="s">
        <v>6246</v>
      </c>
      <c r="U142" s="10">
        <v>1</v>
      </c>
      <c r="V142" s="10">
        <v>-83</v>
      </c>
      <c r="W142" s="67">
        <v>45373</v>
      </c>
      <c r="X142" s="11" t="s">
        <v>3050</v>
      </c>
      <c r="Y142" s="11" t="s">
        <v>5741</v>
      </c>
      <c r="Z142" s="11" t="s">
        <v>5796</v>
      </c>
      <c r="AA142" s="67">
        <v>45322</v>
      </c>
      <c r="AB142" s="67">
        <v>45323</v>
      </c>
      <c r="AC142" s="67">
        <v>45351</v>
      </c>
      <c r="AD142" s="67">
        <v>45350</v>
      </c>
      <c r="AE142" s="67">
        <v>45351</v>
      </c>
    </row>
    <row r="143" spans="1:31" ht="12.5">
      <c r="A143" s="10">
        <v>610422100176</v>
      </c>
      <c r="B143" s="10" t="s">
        <v>28</v>
      </c>
      <c r="D143" s="10">
        <v>1</v>
      </c>
      <c r="E143" s="10" t="s">
        <v>1190</v>
      </c>
      <c r="F143" s="10" t="s">
        <v>25</v>
      </c>
      <c r="G143" s="10" t="s">
        <v>1189</v>
      </c>
      <c r="H143" s="10" t="s">
        <v>84</v>
      </c>
      <c r="I143" s="10" t="s">
        <v>6256</v>
      </c>
      <c r="J143" s="10" t="s">
        <v>3036</v>
      </c>
      <c r="K143" s="66">
        <v>116000</v>
      </c>
      <c r="L143" s="10">
        <v>3</v>
      </c>
      <c r="M143" s="10">
        <v>348000</v>
      </c>
      <c r="O143" s="67">
        <v>45351</v>
      </c>
      <c r="P143" s="10">
        <v>2024</v>
      </c>
      <c r="Q143" s="10">
        <v>2</v>
      </c>
      <c r="R143" s="10" t="s">
        <v>3043</v>
      </c>
      <c r="S143" s="10" t="s">
        <v>6261</v>
      </c>
      <c r="T143" s="10" t="s">
        <v>6262</v>
      </c>
      <c r="U143" s="10">
        <v>1</v>
      </c>
      <c r="V143" s="10">
        <v>-83</v>
      </c>
      <c r="W143" s="67">
        <v>45373</v>
      </c>
      <c r="X143" s="11" t="s">
        <v>3050</v>
      </c>
      <c r="Y143" s="11" t="s">
        <v>3715</v>
      </c>
      <c r="Z143" s="11" t="s">
        <v>3765</v>
      </c>
      <c r="AA143" s="67">
        <v>45322</v>
      </c>
      <c r="AB143" s="67">
        <v>45323</v>
      </c>
      <c r="AC143" s="67">
        <v>45351</v>
      </c>
      <c r="AD143" s="67">
        <v>45350</v>
      </c>
      <c r="AE143" s="67">
        <v>45351</v>
      </c>
    </row>
    <row r="144" spans="1:31" ht="12.5">
      <c r="A144" s="10">
        <v>610423110183</v>
      </c>
      <c r="B144" s="10" t="s">
        <v>28</v>
      </c>
      <c r="D144" s="10">
        <v>1</v>
      </c>
      <c r="E144" s="10" t="s">
        <v>5924</v>
      </c>
      <c r="F144" s="10" t="s">
        <v>25</v>
      </c>
      <c r="G144" s="10" t="s">
        <v>742</v>
      </c>
      <c r="H144" s="10" t="s">
        <v>84</v>
      </c>
      <c r="I144" s="10" t="s">
        <v>6256</v>
      </c>
      <c r="J144" s="10" t="s">
        <v>3036</v>
      </c>
      <c r="K144" s="66">
        <v>116000</v>
      </c>
      <c r="L144" s="10">
        <v>6</v>
      </c>
      <c r="M144" s="10">
        <v>696000</v>
      </c>
      <c r="O144" s="67">
        <v>45351</v>
      </c>
      <c r="P144" s="10">
        <v>2024</v>
      </c>
      <c r="Q144" s="10">
        <v>2</v>
      </c>
      <c r="R144" s="10" t="s">
        <v>3043</v>
      </c>
      <c r="S144" s="10" t="s">
        <v>6263</v>
      </c>
      <c r="T144" s="10" t="s">
        <v>6264</v>
      </c>
      <c r="U144" s="10">
        <v>1</v>
      </c>
      <c r="V144" s="10">
        <v>-83</v>
      </c>
      <c r="W144" s="67">
        <v>45373</v>
      </c>
      <c r="X144" s="11" t="s">
        <v>3050</v>
      </c>
      <c r="Y144" s="11" t="s">
        <v>3241</v>
      </c>
      <c r="Z144" s="11" t="s">
        <v>3242</v>
      </c>
      <c r="AA144" s="67">
        <v>45322</v>
      </c>
      <c r="AB144" s="67">
        <v>45323</v>
      </c>
      <c r="AC144" s="67">
        <v>45351</v>
      </c>
      <c r="AD144" s="67">
        <v>45350</v>
      </c>
      <c r="AE144" s="67">
        <v>45351</v>
      </c>
    </row>
    <row r="145" spans="1:31" ht="12.5">
      <c r="A145" s="10">
        <v>610423040018</v>
      </c>
      <c r="B145" s="10" t="s">
        <v>28</v>
      </c>
      <c r="D145" s="10">
        <v>1</v>
      </c>
      <c r="E145" s="10" t="s">
        <v>1301</v>
      </c>
      <c r="F145" s="10" t="s">
        <v>25</v>
      </c>
      <c r="G145" s="10" t="s">
        <v>1300</v>
      </c>
      <c r="H145" s="10" t="s">
        <v>84</v>
      </c>
      <c r="I145" s="10" t="s">
        <v>6256</v>
      </c>
      <c r="J145" s="10" t="s">
        <v>3036</v>
      </c>
      <c r="K145" s="66">
        <v>116000</v>
      </c>
      <c r="L145" s="10">
        <v>4</v>
      </c>
      <c r="M145" s="10">
        <v>464000</v>
      </c>
      <c r="O145" s="67">
        <v>45351</v>
      </c>
      <c r="P145" s="10">
        <v>2024</v>
      </c>
      <c r="Q145" s="10">
        <v>2</v>
      </c>
      <c r="R145" s="10" t="s">
        <v>3043</v>
      </c>
      <c r="S145" s="10" t="s">
        <v>6265</v>
      </c>
      <c r="T145" s="10" t="s">
        <v>6266</v>
      </c>
      <c r="U145" s="10">
        <v>1</v>
      </c>
      <c r="V145" s="10">
        <v>-83</v>
      </c>
      <c r="W145" s="67">
        <v>45373</v>
      </c>
      <c r="X145" s="11" t="s">
        <v>3050</v>
      </c>
      <c r="Y145" s="11" t="s">
        <v>5534</v>
      </c>
      <c r="Z145" s="11" t="s">
        <v>5647</v>
      </c>
      <c r="AA145" s="67">
        <v>45322</v>
      </c>
      <c r="AB145" s="67">
        <v>45323</v>
      </c>
      <c r="AC145" s="67">
        <v>45351</v>
      </c>
      <c r="AD145" s="67">
        <v>45350</v>
      </c>
      <c r="AE145" s="67">
        <v>45351</v>
      </c>
    </row>
    <row r="146" spans="1:31" ht="12.5">
      <c r="A146" s="10">
        <v>610422040059</v>
      </c>
      <c r="B146" s="10" t="s">
        <v>28</v>
      </c>
      <c r="D146" s="10">
        <v>1</v>
      </c>
      <c r="E146" s="10" t="s">
        <v>365</v>
      </c>
      <c r="F146" s="10" t="s">
        <v>25</v>
      </c>
      <c r="G146" s="10" t="s">
        <v>364</v>
      </c>
      <c r="H146" s="10" t="s">
        <v>85</v>
      </c>
      <c r="I146" s="10" t="s">
        <v>6267</v>
      </c>
      <c r="J146" s="10" t="s">
        <v>3036</v>
      </c>
      <c r="K146" s="66">
        <v>59000</v>
      </c>
      <c r="L146" s="10">
        <v>6</v>
      </c>
      <c r="M146" s="10">
        <v>354000</v>
      </c>
      <c r="O146" s="67">
        <v>45351</v>
      </c>
      <c r="P146" s="10">
        <v>2024</v>
      </c>
      <c r="Q146" s="10">
        <v>2</v>
      </c>
      <c r="R146" s="10" t="s">
        <v>3043</v>
      </c>
      <c r="S146" s="10" t="s">
        <v>6122</v>
      </c>
      <c r="T146" s="10" t="s">
        <v>6123</v>
      </c>
      <c r="U146" s="10">
        <v>1</v>
      </c>
      <c r="V146" s="10">
        <v>-83</v>
      </c>
      <c r="W146" s="67">
        <v>45373</v>
      </c>
      <c r="X146" s="11" t="s">
        <v>3050</v>
      </c>
      <c r="Y146" s="11" t="s">
        <v>4572</v>
      </c>
      <c r="Z146" s="11" t="s">
        <v>4656</v>
      </c>
      <c r="AA146" s="67">
        <v>45322</v>
      </c>
      <c r="AB146" s="67">
        <v>45323</v>
      </c>
      <c r="AC146" s="67">
        <v>45351</v>
      </c>
      <c r="AD146" s="67">
        <v>45350</v>
      </c>
      <c r="AE146" s="67">
        <v>45351</v>
      </c>
    </row>
    <row r="147" spans="1:31" ht="12.5">
      <c r="A147" s="10">
        <v>610422020048</v>
      </c>
      <c r="B147" s="10" t="s">
        <v>28</v>
      </c>
      <c r="D147" s="10">
        <v>1</v>
      </c>
      <c r="E147" s="10" t="s">
        <v>1359</v>
      </c>
      <c r="F147" s="10" t="s">
        <v>25</v>
      </c>
      <c r="G147" s="10" t="s">
        <v>1358</v>
      </c>
      <c r="H147" s="10" t="s">
        <v>85</v>
      </c>
      <c r="I147" s="10" t="s">
        <v>6267</v>
      </c>
      <c r="J147" s="10" t="s">
        <v>3036</v>
      </c>
      <c r="K147" s="66">
        <v>59000</v>
      </c>
      <c r="L147" s="10">
        <v>6</v>
      </c>
      <c r="M147" s="10">
        <v>354000</v>
      </c>
      <c r="O147" s="67">
        <v>45351</v>
      </c>
      <c r="P147" s="10">
        <v>2024</v>
      </c>
      <c r="Q147" s="10">
        <v>2</v>
      </c>
      <c r="R147" s="10" t="s">
        <v>3043</v>
      </c>
      <c r="S147" s="10" t="s">
        <v>6253</v>
      </c>
      <c r="T147" s="10" t="s">
        <v>6254</v>
      </c>
      <c r="U147" s="10">
        <v>1</v>
      </c>
      <c r="V147" s="10">
        <v>-83</v>
      </c>
      <c r="W147" s="67">
        <v>45373</v>
      </c>
      <c r="X147" s="11" t="s">
        <v>3050</v>
      </c>
      <c r="Y147" s="11" t="s">
        <v>4931</v>
      </c>
      <c r="Z147" s="11" t="s">
        <v>5171</v>
      </c>
      <c r="AA147" s="67">
        <v>45322</v>
      </c>
      <c r="AB147" s="67">
        <v>45323</v>
      </c>
      <c r="AC147" s="67">
        <v>45351</v>
      </c>
      <c r="AD147" s="67">
        <v>45350</v>
      </c>
      <c r="AE147" s="67">
        <v>45351</v>
      </c>
    </row>
    <row r="148" spans="1:31" ht="12.5">
      <c r="A148" s="10">
        <v>610422040058</v>
      </c>
      <c r="B148" s="10" t="s">
        <v>28</v>
      </c>
      <c r="D148" s="10">
        <v>1</v>
      </c>
      <c r="E148" s="10" t="s">
        <v>5976</v>
      </c>
      <c r="F148" s="10" t="s">
        <v>25</v>
      </c>
      <c r="G148" s="10" t="s">
        <v>1547</v>
      </c>
      <c r="H148" s="10" t="s">
        <v>85</v>
      </c>
      <c r="I148" s="10" t="s">
        <v>6267</v>
      </c>
      <c r="J148" s="10" t="s">
        <v>3036</v>
      </c>
      <c r="K148" s="66">
        <v>59000</v>
      </c>
      <c r="L148" s="10">
        <v>10</v>
      </c>
      <c r="M148" s="10">
        <v>590000</v>
      </c>
      <c r="O148" s="67">
        <v>45351</v>
      </c>
      <c r="P148" s="10">
        <v>2024</v>
      </c>
      <c r="Q148" s="10">
        <v>2</v>
      </c>
      <c r="R148" s="10" t="s">
        <v>3043</v>
      </c>
      <c r="S148" s="10" t="s">
        <v>6206</v>
      </c>
      <c r="T148" s="10" t="s">
        <v>6207</v>
      </c>
      <c r="U148" s="10">
        <v>1</v>
      </c>
      <c r="V148" s="10">
        <v>-83</v>
      </c>
      <c r="W148" s="67">
        <v>45373</v>
      </c>
      <c r="X148" s="11" t="s">
        <v>3050</v>
      </c>
      <c r="Y148" s="11" t="s">
        <v>3715</v>
      </c>
      <c r="Z148" s="11" t="s">
        <v>3716</v>
      </c>
      <c r="AA148" s="67">
        <v>45322</v>
      </c>
      <c r="AB148" s="67">
        <v>45323</v>
      </c>
      <c r="AC148" s="67">
        <v>45351</v>
      </c>
      <c r="AD148" s="67">
        <v>45350</v>
      </c>
      <c r="AE148" s="67">
        <v>45351</v>
      </c>
    </row>
    <row r="149" spans="1:31" ht="12.5">
      <c r="A149" s="10">
        <v>610423110183</v>
      </c>
      <c r="B149" s="10" t="s">
        <v>28</v>
      </c>
      <c r="D149" s="10">
        <v>1</v>
      </c>
      <c r="E149" s="10" t="s">
        <v>5924</v>
      </c>
      <c r="F149" s="10" t="s">
        <v>25</v>
      </c>
      <c r="G149" s="10" t="s">
        <v>742</v>
      </c>
      <c r="H149" s="10" t="s">
        <v>85</v>
      </c>
      <c r="I149" s="10" t="s">
        <v>6267</v>
      </c>
      <c r="J149" s="10" t="s">
        <v>3036</v>
      </c>
      <c r="K149" s="66">
        <v>59000</v>
      </c>
      <c r="L149" s="10">
        <v>6</v>
      </c>
      <c r="M149" s="10">
        <v>354000</v>
      </c>
      <c r="O149" s="67">
        <v>45351</v>
      </c>
      <c r="P149" s="10">
        <v>2024</v>
      </c>
      <c r="Q149" s="10">
        <v>2</v>
      </c>
      <c r="R149" s="10" t="s">
        <v>3043</v>
      </c>
      <c r="S149" s="10" t="s">
        <v>6263</v>
      </c>
      <c r="T149" s="10" t="s">
        <v>6264</v>
      </c>
      <c r="U149" s="10">
        <v>1</v>
      </c>
      <c r="V149" s="10">
        <v>-83</v>
      </c>
      <c r="W149" s="67">
        <v>45373</v>
      </c>
      <c r="X149" s="11" t="s">
        <v>3050</v>
      </c>
      <c r="Y149" s="11" t="s">
        <v>3241</v>
      </c>
      <c r="Z149" s="11" t="s">
        <v>3242</v>
      </c>
      <c r="AA149" s="67">
        <v>45322</v>
      </c>
      <c r="AB149" s="67">
        <v>45323</v>
      </c>
      <c r="AC149" s="67">
        <v>45351</v>
      </c>
      <c r="AD149" s="67">
        <v>45350</v>
      </c>
      <c r="AE149" s="67">
        <v>45351</v>
      </c>
    </row>
    <row r="150" spans="1:31" ht="12.5">
      <c r="A150" s="10">
        <v>610422100244</v>
      </c>
      <c r="B150" s="10" t="s">
        <v>28</v>
      </c>
      <c r="D150" s="10">
        <v>1</v>
      </c>
      <c r="E150" s="10" t="s">
        <v>2633</v>
      </c>
      <c r="F150" s="10" t="s">
        <v>25</v>
      </c>
      <c r="G150" s="10" t="s">
        <v>2632</v>
      </c>
      <c r="H150" s="10" t="s">
        <v>85</v>
      </c>
      <c r="I150" s="10" t="s">
        <v>6267</v>
      </c>
      <c r="J150" s="10" t="s">
        <v>3036</v>
      </c>
      <c r="K150" s="66">
        <v>59000</v>
      </c>
      <c r="L150" s="10">
        <v>8</v>
      </c>
      <c r="M150" s="10">
        <v>472000</v>
      </c>
      <c r="O150" s="67">
        <v>45351</v>
      </c>
      <c r="P150" s="10">
        <v>2024</v>
      </c>
      <c r="Q150" s="10">
        <v>2</v>
      </c>
      <c r="R150" s="10" t="s">
        <v>3043</v>
      </c>
      <c r="S150" s="10" t="s">
        <v>6157</v>
      </c>
      <c r="T150" s="10" t="s">
        <v>6246</v>
      </c>
      <c r="U150" s="10">
        <v>1</v>
      </c>
      <c r="V150" s="10">
        <v>-83</v>
      </c>
      <c r="W150" s="67">
        <v>45373</v>
      </c>
      <c r="X150" s="11" t="s">
        <v>3050</v>
      </c>
      <c r="Y150" s="11" t="s">
        <v>5741</v>
      </c>
      <c r="Z150" s="11" t="s">
        <v>5796</v>
      </c>
      <c r="AA150" s="67">
        <v>45322</v>
      </c>
      <c r="AB150" s="67">
        <v>45323</v>
      </c>
      <c r="AC150" s="67">
        <v>45351</v>
      </c>
      <c r="AD150" s="67">
        <v>45350</v>
      </c>
      <c r="AE150" s="67">
        <v>45351</v>
      </c>
    </row>
    <row r="151" spans="1:31" ht="12.5">
      <c r="A151" s="10">
        <v>610422030001</v>
      </c>
      <c r="B151" s="10" t="s">
        <v>23</v>
      </c>
      <c r="D151" s="10">
        <v>1</v>
      </c>
      <c r="E151" s="10" t="s">
        <v>6014</v>
      </c>
      <c r="F151" s="10" t="s">
        <v>24</v>
      </c>
      <c r="G151" s="10" t="s">
        <v>2230</v>
      </c>
      <c r="H151" s="10" t="s">
        <v>67</v>
      </c>
      <c r="I151" s="10" t="s">
        <v>6268</v>
      </c>
      <c r="J151" s="10" t="s">
        <v>164</v>
      </c>
      <c r="K151" s="66">
        <v>23000</v>
      </c>
      <c r="L151" s="10">
        <v>40</v>
      </c>
      <c r="M151" s="10">
        <v>920000</v>
      </c>
      <c r="O151" s="67">
        <v>45359</v>
      </c>
      <c r="P151" s="10">
        <v>2024</v>
      </c>
      <c r="Q151" s="10">
        <v>3</v>
      </c>
      <c r="R151" s="10" t="s">
        <v>6112</v>
      </c>
      <c r="S151" s="10" t="s">
        <v>6269</v>
      </c>
      <c r="T151" s="10" t="s">
        <v>6270</v>
      </c>
      <c r="U151" s="10">
        <v>1</v>
      </c>
      <c r="V151" s="10">
        <v>-75</v>
      </c>
      <c r="W151" s="67">
        <v>45351</v>
      </c>
      <c r="X151" s="11" t="s">
        <v>3047</v>
      </c>
      <c r="Y151" s="11" t="s">
        <v>3715</v>
      </c>
      <c r="Z151" s="11" t="s">
        <v>3716</v>
      </c>
      <c r="AA151" s="67">
        <v>45351</v>
      </c>
      <c r="AB151" s="67">
        <v>45352</v>
      </c>
      <c r="AC151" s="67">
        <v>45382</v>
      </c>
      <c r="AD151" s="67">
        <v>45381</v>
      </c>
      <c r="AE151" s="67">
        <v>45382</v>
      </c>
    </row>
    <row r="152" spans="1:31" ht="12.5">
      <c r="A152" s="10">
        <v>610422040056</v>
      </c>
      <c r="B152" s="10" t="s">
        <v>23</v>
      </c>
      <c r="D152" s="10">
        <v>1</v>
      </c>
      <c r="E152" s="10" t="s">
        <v>2825</v>
      </c>
      <c r="F152" s="10" t="s">
        <v>24</v>
      </c>
      <c r="G152" s="10" t="s">
        <v>2824</v>
      </c>
      <c r="H152" s="10" t="s">
        <v>67</v>
      </c>
      <c r="I152" s="10" t="s">
        <v>6268</v>
      </c>
      <c r="J152" s="10" t="s">
        <v>164</v>
      </c>
      <c r="K152" s="66">
        <v>23000</v>
      </c>
      <c r="L152" s="10">
        <v>60</v>
      </c>
      <c r="M152" s="10">
        <v>1380000</v>
      </c>
      <c r="O152" s="67">
        <v>45359</v>
      </c>
      <c r="P152" s="10">
        <v>2024</v>
      </c>
      <c r="Q152" s="10">
        <v>3</v>
      </c>
      <c r="R152" s="10" t="s">
        <v>6112</v>
      </c>
      <c r="S152" s="10" t="s">
        <v>6271</v>
      </c>
      <c r="T152" s="10" t="s">
        <v>6272</v>
      </c>
      <c r="U152" s="10">
        <v>1</v>
      </c>
      <c r="V152" s="10">
        <v>-75</v>
      </c>
      <c r="W152" s="67">
        <v>45351</v>
      </c>
      <c r="X152" s="11" t="s">
        <v>3047</v>
      </c>
      <c r="Y152" s="11" t="s">
        <v>4572</v>
      </c>
      <c r="Z152" s="11" t="s">
        <v>4656</v>
      </c>
      <c r="AA152" s="67">
        <v>45351</v>
      </c>
      <c r="AB152" s="67">
        <v>45352</v>
      </c>
      <c r="AC152" s="67">
        <v>45382</v>
      </c>
      <c r="AD152" s="67">
        <v>45381</v>
      </c>
      <c r="AE152" s="67">
        <v>45382</v>
      </c>
    </row>
    <row r="153" spans="1:31" ht="12.5">
      <c r="A153" s="10">
        <v>610423030006</v>
      </c>
      <c r="B153" s="10" t="s">
        <v>23</v>
      </c>
      <c r="D153" s="10">
        <v>1</v>
      </c>
      <c r="E153" s="10" t="s">
        <v>5933</v>
      </c>
      <c r="F153" s="10" t="s">
        <v>24</v>
      </c>
      <c r="G153" s="10" t="s">
        <v>922</v>
      </c>
      <c r="H153" s="10" t="s">
        <v>67</v>
      </c>
      <c r="I153" s="10" t="s">
        <v>6268</v>
      </c>
      <c r="J153" s="10" t="s">
        <v>164</v>
      </c>
      <c r="K153" s="66">
        <v>23000</v>
      </c>
      <c r="L153" s="10">
        <v>40</v>
      </c>
      <c r="M153" s="10">
        <v>920000</v>
      </c>
      <c r="O153" s="67">
        <v>45359</v>
      </c>
      <c r="P153" s="10">
        <v>2024</v>
      </c>
      <c r="Q153" s="10">
        <v>3</v>
      </c>
      <c r="R153" s="10" t="s">
        <v>6112</v>
      </c>
      <c r="S153" s="10" t="s">
        <v>6273</v>
      </c>
      <c r="T153" s="10" t="s">
        <v>6274</v>
      </c>
      <c r="U153" s="10">
        <v>1</v>
      </c>
      <c r="V153" s="10">
        <v>-75</v>
      </c>
      <c r="W153" s="67">
        <v>45351</v>
      </c>
      <c r="X153" s="11" t="s">
        <v>3047</v>
      </c>
      <c r="Y153" s="11" t="s">
        <v>5534</v>
      </c>
      <c r="Z153" s="11" t="s">
        <v>5616</v>
      </c>
      <c r="AA153" s="67">
        <v>45351</v>
      </c>
      <c r="AB153" s="67">
        <v>45352</v>
      </c>
      <c r="AC153" s="67">
        <v>45382</v>
      </c>
      <c r="AD153" s="67">
        <v>45381</v>
      </c>
      <c r="AE153" s="67">
        <v>45382</v>
      </c>
    </row>
    <row r="154" spans="1:31" ht="12.5">
      <c r="A154" s="10">
        <v>610423090001</v>
      </c>
      <c r="B154" s="10" t="s">
        <v>23</v>
      </c>
      <c r="D154" s="10">
        <v>1</v>
      </c>
      <c r="E154" s="10" t="s">
        <v>2770</v>
      </c>
      <c r="F154" s="10" t="s">
        <v>25</v>
      </c>
      <c r="G154" s="10" t="s">
        <v>2769</v>
      </c>
      <c r="H154" s="10" t="s">
        <v>67</v>
      </c>
      <c r="I154" s="10" t="s">
        <v>6275</v>
      </c>
      <c r="J154" s="10" t="s">
        <v>3034</v>
      </c>
      <c r="K154" s="66">
        <v>66000</v>
      </c>
      <c r="L154" s="10">
        <v>20</v>
      </c>
      <c r="M154" s="10">
        <v>1320000</v>
      </c>
      <c r="O154" s="67">
        <v>45359</v>
      </c>
      <c r="P154" s="10">
        <v>2024</v>
      </c>
      <c r="Q154" s="10">
        <v>3</v>
      </c>
      <c r="R154" s="10" t="s">
        <v>3043</v>
      </c>
      <c r="S154" s="10" t="s">
        <v>6276</v>
      </c>
      <c r="T154" s="10" t="s">
        <v>6277</v>
      </c>
      <c r="U154" s="10">
        <v>1</v>
      </c>
      <c r="V154" s="10">
        <v>-75</v>
      </c>
      <c r="W154" s="67">
        <v>45351</v>
      </c>
      <c r="X154" s="11" t="s">
        <v>3047</v>
      </c>
      <c r="Y154" s="11" t="s">
        <v>3241</v>
      </c>
      <c r="Z154" s="11" t="s">
        <v>3289</v>
      </c>
      <c r="AA154" s="67">
        <v>45351</v>
      </c>
      <c r="AB154" s="67">
        <v>45352</v>
      </c>
      <c r="AC154" s="67">
        <v>45382</v>
      </c>
      <c r="AD154" s="67">
        <v>45381</v>
      </c>
      <c r="AE154" s="67">
        <v>45382</v>
      </c>
    </row>
    <row r="155" spans="1:31" ht="12.5">
      <c r="A155" s="10">
        <v>610422040059</v>
      </c>
      <c r="B155" s="10" t="s">
        <v>23</v>
      </c>
      <c r="D155" s="10">
        <v>1</v>
      </c>
      <c r="E155" s="10" t="s">
        <v>365</v>
      </c>
      <c r="F155" s="10" t="s">
        <v>25</v>
      </c>
      <c r="G155" s="10" t="s">
        <v>364</v>
      </c>
      <c r="H155" s="10" t="s">
        <v>67</v>
      </c>
      <c r="I155" s="10" t="s">
        <v>6275</v>
      </c>
      <c r="J155" s="10" t="s">
        <v>3034</v>
      </c>
      <c r="K155" s="66">
        <v>66000</v>
      </c>
      <c r="L155" s="10">
        <v>20</v>
      </c>
      <c r="M155" s="10">
        <v>1320000</v>
      </c>
      <c r="O155" s="67">
        <v>45359</v>
      </c>
      <c r="P155" s="10">
        <v>2024</v>
      </c>
      <c r="Q155" s="10">
        <v>3</v>
      </c>
      <c r="R155" s="10" t="s">
        <v>3043</v>
      </c>
      <c r="S155" s="10" t="s">
        <v>6278</v>
      </c>
      <c r="T155" s="10" t="s">
        <v>6279</v>
      </c>
      <c r="U155" s="10">
        <v>1</v>
      </c>
      <c r="V155" s="10">
        <v>-75</v>
      </c>
      <c r="W155" s="67">
        <v>45351</v>
      </c>
      <c r="X155" s="11" t="s">
        <v>3047</v>
      </c>
      <c r="Y155" s="11" t="s">
        <v>4572</v>
      </c>
      <c r="Z155" s="11" t="s">
        <v>4656</v>
      </c>
      <c r="AA155" s="67">
        <v>45351</v>
      </c>
      <c r="AB155" s="67">
        <v>45352</v>
      </c>
      <c r="AC155" s="67">
        <v>45382</v>
      </c>
      <c r="AD155" s="67">
        <v>45381</v>
      </c>
      <c r="AE155" s="67">
        <v>45382</v>
      </c>
    </row>
    <row r="156" spans="1:31" ht="12.5">
      <c r="A156" s="10">
        <v>610422100008</v>
      </c>
      <c r="B156" s="10" t="s">
        <v>23</v>
      </c>
      <c r="D156" s="10">
        <v>1</v>
      </c>
      <c r="E156" s="10" t="s">
        <v>2142</v>
      </c>
      <c r="F156" s="10" t="s">
        <v>25</v>
      </c>
      <c r="G156" s="10" t="s">
        <v>2141</v>
      </c>
      <c r="H156" s="10" t="s">
        <v>67</v>
      </c>
      <c r="I156" s="10" t="s">
        <v>6275</v>
      </c>
      <c r="J156" s="10" t="s">
        <v>3034</v>
      </c>
      <c r="K156" s="66">
        <v>66000</v>
      </c>
      <c r="L156" s="10">
        <v>20</v>
      </c>
      <c r="M156" s="10">
        <v>1320000</v>
      </c>
      <c r="O156" s="67">
        <v>45359</v>
      </c>
      <c r="P156" s="10">
        <v>2024</v>
      </c>
      <c r="Q156" s="10">
        <v>3</v>
      </c>
      <c r="R156" s="10" t="s">
        <v>3043</v>
      </c>
      <c r="S156" s="10" t="s">
        <v>6280</v>
      </c>
      <c r="T156" s="10" t="s">
        <v>6281</v>
      </c>
      <c r="U156" s="10">
        <v>1</v>
      </c>
      <c r="V156" s="10">
        <v>-75</v>
      </c>
      <c r="W156" s="67">
        <v>45351</v>
      </c>
      <c r="X156" s="11" t="s">
        <v>3047</v>
      </c>
      <c r="Y156" s="11" t="s">
        <v>1921</v>
      </c>
      <c r="Z156" s="11" t="s">
        <v>2140</v>
      </c>
      <c r="AA156" s="67">
        <v>45351</v>
      </c>
      <c r="AB156" s="67">
        <v>45352</v>
      </c>
      <c r="AC156" s="67">
        <v>45382</v>
      </c>
      <c r="AD156" s="67">
        <v>45381</v>
      </c>
      <c r="AE156" s="67">
        <v>45382</v>
      </c>
    </row>
    <row r="157" spans="1:31" ht="12.5">
      <c r="A157" s="10">
        <v>610422100043</v>
      </c>
      <c r="B157" s="10" t="s">
        <v>23</v>
      </c>
      <c r="D157" s="10">
        <v>1</v>
      </c>
      <c r="E157" s="10" t="s">
        <v>5940</v>
      </c>
      <c r="F157" s="10" t="s">
        <v>25</v>
      </c>
      <c r="G157" s="10" t="s">
        <v>1025</v>
      </c>
      <c r="H157" s="10" t="s">
        <v>67</v>
      </c>
      <c r="I157" s="10" t="s">
        <v>6275</v>
      </c>
      <c r="J157" s="10" t="s">
        <v>3034</v>
      </c>
      <c r="K157" s="66">
        <v>66000</v>
      </c>
      <c r="L157" s="10">
        <v>20</v>
      </c>
      <c r="M157" s="10">
        <v>1320000</v>
      </c>
      <c r="O157" s="67">
        <v>45359</v>
      </c>
      <c r="P157" s="10">
        <v>2024</v>
      </c>
      <c r="Q157" s="10">
        <v>3</v>
      </c>
      <c r="R157" s="10" t="s">
        <v>3043</v>
      </c>
      <c r="S157" s="10" t="s">
        <v>6282</v>
      </c>
      <c r="T157" s="10" t="s">
        <v>6283</v>
      </c>
      <c r="U157" s="10">
        <v>1</v>
      </c>
      <c r="V157" s="10">
        <v>-75</v>
      </c>
      <c r="W157" s="67">
        <v>45351</v>
      </c>
      <c r="X157" s="11" t="s">
        <v>3047</v>
      </c>
      <c r="Y157" s="11" t="s">
        <v>4408</v>
      </c>
      <c r="Z157" s="11" t="s">
        <v>4506</v>
      </c>
      <c r="AA157" s="67">
        <v>45351</v>
      </c>
      <c r="AB157" s="67">
        <v>45352</v>
      </c>
      <c r="AC157" s="67">
        <v>45382</v>
      </c>
      <c r="AD157" s="67">
        <v>45381</v>
      </c>
      <c r="AE157" s="67">
        <v>45382</v>
      </c>
    </row>
    <row r="158" spans="1:31" ht="12.5">
      <c r="A158" s="10">
        <v>610422100086</v>
      </c>
      <c r="B158" s="10" t="s">
        <v>23</v>
      </c>
      <c r="D158" s="10">
        <v>1</v>
      </c>
      <c r="E158" s="10" t="s">
        <v>5964</v>
      </c>
      <c r="F158" s="10" t="s">
        <v>25</v>
      </c>
      <c r="G158" s="10" t="s">
        <v>1445</v>
      </c>
      <c r="H158" s="10" t="s">
        <v>67</v>
      </c>
      <c r="I158" s="10" t="s">
        <v>6275</v>
      </c>
      <c r="J158" s="10" t="s">
        <v>3034</v>
      </c>
      <c r="K158" s="66">
        <v>66000</v>
      </c>
      <c r="L158" s="10">
        <v>20</v>
      </c>
      <c r="M158" s="10">
        <v>1320000</v>
      </c>
      <c r="O158" s="67">
        <v>45359</v>
      </c>
      <c r="P158" s="10">
        <v>2024</v>
      </c>
      <c r="Q158" s="10">
        <v>3</v>
      </c>
      <c r="R158" s="10" t="s">
        <v>3043</v>
      </c>
      <c r="S158" s="10" t="s">
        <v>6284</v>
      </c>
      <c r="T158" s="10" t="s">
        <v>6285</v>
      </c>
      <c r="U158" s="10">
        <v>1</v>
      </c>
      <c r="V158" s="10">
        <v>-75</v>
      </c>
      <c r="W158" s="67">
        <v>45351</v>
      </c>
      <c r="X158" s="11" t="s">
        <v>3047</v>
      </c>
      <c r="Y158" s="11" t="s">
        <v>4572</v>
      </c>
      <c r="Z158" s="11" t="s">
        <v>4841</v>
      </c>
      <c r="AA158" s="67">
        <v>45351</v>
      </c>
      <c r="AB158" s="67">
        <v>45352</v>
      </c>
      <c r="AC158" s="67">
        <v>45382</v>
      </c>
      <c r="AD158" s="67">
        <v>45381</v>
      </c>
      <c r="AE158" s="67">
        <v>45382</v>
      </c>
    </row>
    <row r="159" spans="1:31" ht="12.5">
      <c r="A159" s="10">
        <v>610422100111</v>
      </c>
      <c r="B159" s="10" t="s">
        <v>23</v>
      </c>
      <c r="D159" s="10">
        <v>1</v>
      </c>
      <c r="E159" s="10" t="s">
        <v>5927</v>
      </c>
      <c r="F159" s="10" t="s">
        <v>25</v>
      </c>
      <c r="G159" s="10" t="s">
        <v>824</v>
      </c>
      <c r="H159" s="10" t="s">
        <v>67</v>
      </c>
      <c r="I159" s="10" t="s">
        <v>6275</v>
      </c>
      <c r="J159" s="10" t="s">
        <v>3034</v>
      </c>
      <c r="K159" s="66">
        <v>66000</v>
      </c>
      <c r="L159" s="10">
        <v>20</v>
      </c>
      <c r="M159" s="10">
        <v>1320000</v>
      </c>
      <c r="O159" s="67">
        <v>45359</v>
      </c>
      <c r="P159" s="10">
        <v>2024</v>
      </c>
      <c r="Q159" s="10">
        <v>3</v>
      </c>
      <c r="R159" s="10" t="s">
        <v>3043</v>
      </c>
      <c r="S159" s="10" t="s">
        <v>6286</v>
      </c>
      <c r="T159" s="10" t="s">
        <v>6287</v>
      </c>
      <c r="U159" s="10">
        <v>1</v>
      </c>
      <c r="V159" s="10">
        <v>-75</v>
      </c>
      <c r="W159" s="67">
        <v>45351</v>
      </c>
      <c r="X159" s="11" t="s">
        <v>3047</v>
      </c>
      <c r="Y159" s="11" t="s">
        <v>3990</v>
      </c>
      <c r="Z159" s="11" t="s">
        <v>4038</v>
      </c>
      <c r="AA159" s="67">
        <v>45351</v>
      </c>
      <c r="AB159" s="67">
        <v>45352</v>
      </c>
      <c r="AC159" s="67">
        <v>45382</v>
      </c>
      <c r="AD159" s="67">
        <v>45381</v>
      </c>
      <c r="AE159" s="67">
        <v>45382</v>
      </c>
    </row>
    <row r="160" spans="1:31" ht="12.5">
      <c r="A160" s="10">
        <v>610422100175</v>
      </c>
      <c r="B160" s="10" t="s">
        <v>23</v>
      </c>
      <c r="D160" s="10">
        <v>1</v>
      </c>
      <c r="E160" s="10" t="s">
        <v>2295</v>
      </c>
      <c r="F160" s="10" t="s">
        <v>25</v>
      </c>
      <c r="G160" s="10" t="s">
        <v>2294</v>
      </c>
      <c r="H160" s="10" t="s">
        <v>67</v>
      </c>
      <c r="I160" s="10" t="s">
        <v>6275</v>
      </c>
      <c r="J160" s="10" t="s">
        <v>3034</v>
      </c>
      <c r="K160" s="66">
        <v>66000</v>
      </c>
      <c r="L160" s="10">
        <v>20</v>
      </c>
      <c r="M160" s="10">
        <v>1320000</v>
      </c>
      <c r="O160" s="67">
        <v>45359</v>
      </c>
      <c r="P160" s="10">
        <v>2024</v>
      </c>
      <c r="Q160" s="10">
        <v>3</v>
      </c>
      <c r="R160" s="10" t="s">
        <v>3043</v>
      </c>
      <c r="S160" s="10" t="s">
        <v>6288</v>
      </c>
      <c r="T160" s="10" t="s">
        <v>6289</v>
      </c>
      <c r="U160" s="10">
        <v>1</v>
      </c>
      <c r="V160" s="10">
        <v>-75</v>
      </c>
      <c r="W160" s="67">
        <v>45351</v>
      </c>
      <c r="X160" s="11" t="s">
        <v>3047</v>
      </c>
      <c r="Y160" s="11" t="s">
        <v>5534</v>
      </c>
      <c r="Z160" s="11" t="s">
        <v>5616</v>
      </c>
      <c r="AA160" s="67">
        <v>45351</v>
      </c>
      <c r="AB160" s="67">
        <v>45352</v>
      </c>
      <c r="AC160" s="67">
        <v>45382</v>
      </c>
      <c r="AD160" s="67">
        <v>45381</v>
      </c>
      <c r="AE160" s="67">
        <v>45382</v>
      </c>
    </row>
    <row r="161" spans="1:31" ht="12.5">
      <c r="A161" s="10">
        <v>610422020006</v>
      </c>
      <c r="B161" s="10" t="s">
        <v>107</v>
      </c>
      <c r="D161" s="10">
        <v>1</v>
      </c>
      <c r="E161" s="10" t="s">
        <v>2098</v>
      </c>
      <c r="F161" s="10" t="s">
        <v>90</v>
      </c>
      <c r="G161" s="10" t="s">
        <v>2097</v>
      </c>
      <c r="H161" s="10" t="s">
        <v>108</v>
      </c>
      <c r="I161" s="10" t="s">
        <v>109</v>
      </c>
      <c r="J161" s="10" t="s">
        <v>164</v>
      </c>
      <c r="K161" s="66">
        <v>12000</v>
      </c>
      <c r="L161" s="10">
        <v>13</v>
      </c>
      <c r="M161" s="10">
        <v>156000</v>
      </c>
      <c r="O161" s="67">
        <v>45366</v>
      </c>
      <c r="P161" s="10">
        <v>2024</v>
      </c>
      <c r="Q161" s="10">
        <v>3</v>
      </c>
      <c r="R161" s="10" t="s">
        <v>6237</v>
      </c>
      <c r="S161" s="10" t="s">
        <v>6290</v>
      </c>
      <c r="T161" s="10" t="s">
        <v>6291</v>
      </c>
      <c r="U161" s="10">
        <v>1</v>
      </c>
      <c r="V161" s="10">
        <v>-68</v>
      </c>
      <c r="W161" s="67">
        <v>45326</v>
      </c>
      <c r="X161" s="11" t="s">
        <v>3146</v>
      </c>
      <c r="Y161" s="11" t="s">
        <v>4572</v>
      </c>
      <c r="Z161" s="11" t="s">
        <v>4874</v>
      </c>
      <c r="AA161" s="67">
        <v>45351</v>
      </c>
      <c r="AB161" s="67">
        <v>45352</v>
      </c>
      <c r="AC161" s="67">
        <v>45382</v>
      </c>
      <c r="AD161" s="67">
        <v>45381</v>
      </c>
      <c r="AE161" s="67">
        <v>45382</v>
      </c>
    </row>
    <row r="162" spans="1:31" ht="12.5">
      <c r="A162" s="10">
        <v>610423110150</v>
      </c>
      <c r="B162" s="10" t="s">
        <v>107</v>
      </c>
      <c r="D162" s="10">
        <v>1</v>
      </c>
      <c r="E162" s="10" t="s">
        <v>2364</v>
      </c>
      <c r="F162" s="10" t="s">
        <v>90</v>
      </c>
      <c r="G162" s="10" t="s">
        <v>2363</v>
      </c>
      <c r="H162" s="10" t="s">
        <v>108</v>
      </c>
      <c r="I162" s="10" t="s">
        <v>109</v>
      </c>
      <c r="J162" s="10" t="s">
        <v>164</v>
      </c>
      <c r="K162" s="66">
        <v>12000</v>
      </c>
      <c r="L162" s="10">
        <v>12</v>
      </c>
      <c r="M162" s="10">
        <v>144000</v>
      </c>
      <c r="O162" s="67">
        <v>45366</v>
      </c>
      <c r="P162" s="10">
        <v>2024</v>
      </c>
      <c r="Q162" s="10">
        <v>3</v>
      </c>
      <c r="R162" s="10" t="s">
        <v>6237</v>
      </c>
      <c r="S162" s="10" t="s">
        <v>6292</v>
      </c>
      <c r="T162" s="10" t="s">
        <v>6293</v>
      </c>
      <c r="U162" s="10">
        <v>1</v>
      </c>
      <c r="V162" s="10">
        <v>-68</v>
      </c>
      <c r="W162" s="67">
        <v>45326</v>
      </c>
      <c r="X162" s="11" t="s">
        <v>3146</v>
      </c>
      <c r="Y162" s="11" t="s">
        <v>4572</v>
      </c>
      <c r="Z162" s="11" t="s">
        <v>4619</v>
      </c>
      <c r="AA162" s="67">
        <v>45351</v>
      </c>
      <c r="AB162" s="67">
        <v>45352</v>
      </c>
      <c r="AC162" s="67">
        <v>45382</v>
      </c>
      <c r="AD162" s="67">
        <v>45381</v>
      </c>
      <c r="AE162" s="67">
        <v>45382</v>
      </c>
    </row>
    <row r="163" spans="1:31" ht="12.5">
      <c r="A163" s="10">
        <v>610423110129</v>
      </c>
      <c r="B163" s="10" t="s">
        <v>107</v>
      </c>
      <c r="D163" s="10">
        <v>1</v>
      </c>
      <c r="E163" s="10" t="s">
        <v>721</v>
      </c>
      <c r="F163" s="10" t="s">
        <v>90</v>
      </c>
      <c r="G163" s="10" t="s">
        <v>720</v>
      </c>
      <c r="H163" s="10" t="s">
        <v>108</v>
      </c>
      <c r="I163" s="10" t="s">
        <v>109</v>
      </c>
      <c r="J163" s="10" t="s">
        <v>164</v>
      </c>
      <c r="K163" s="66">
        <v>12000</v>
      </c>
      <c r="L163" s="10">
        <v>12</v>
      </c>
      <c r="M163" s="10">
        <v>144000</v>
      </c>
      <c r="O163" s="67">
        <v>45366</v>
      </c>
      <c r="P163" s="10">
        <v>2024</v>
      </c>
      <c r="Q163" s="10">
        <v>3</v>
      </c>
      <c r="R163" s="10" t="s">
        <v>6237</v>
      </c>
      <c r="S163" s="10" t="s">
        <v>6294</v>
      </c>
      <c r="T163" s="10" t="s">
        <v>6295</v>
      </c>
      <c r="U163" s="10">
        <v>1</v>
      </c>
      <c r="V163" s="10">
        <v>-68</v>
      </c>
      <c r="W163" s="67">
        <v>45326</v>
      </c>
      <c r="X163" s="11" t="s">
        <v>3146</v>
      </c>
      <c r="Y163" s="11" t="s">
        <v>4572</v>
      </c>
      <c r="Z163" s="11" t="s">
        <v>4656</v>
      </c>
      <c r="AA163" s="67">
        <v>45351</v>
      </c>
      <c r="AB163" s="67">
        <v>45352</v>
      </c>
      <c r="AC163" s="67">
        <v>45382</v>
      </c>
      <c r="AD163" s="67">
        <v>45381</v>
      </c>
      <c r="AE163" s="67">
        <v>45382</v>
      </c>
    </row>
    <row r="164" spans="1:31" ht="12.5">
      <c r="A164" s="10">
        <v>610422020029</v>
      </c>
      <c r="B164" s="10" t="s">
        <v>26</v>
      </c>
      <c r="D164" s="10">
        <v>1</v>
      </c>
      <c r="E164" s="10" t="s">
        <v>1622</v>
      </c>
      <c r="F164" s="10" t="s">
        <v>24</v>
      </c>
      <c r="G164" s="10" t="s">
        <v>1621</v>
      </c>
      <c r="H164" s="10" t="s">
        <v>67</v>
      </c>
      <c r="I164" s="10" t="s">
        <v>6296</v>
      </c>
      <c r="J164" s="10" t="s">
        <v>3034</v>
      </c>
      <c r="K164" s="66">
        <v>62000</v>
      </c>
      <c r="L164" s="10">
        <v>40</v>
      </c>
      <c r="M164" s="10">
        <v>2480000</v>
      </c>
      <c r="N164" s="70"/>
      <c r="O164" s="67">
        <v>45367</v>
      </c>
      <c r="P164" s="10">
        <v>2024</v>
      </c>
      <c r="Q164" s="10">
        <v>3</v>
      </c>
      <c r="R164" s="10" t="s">
        <v>6112</v>
      </c>
      <c r="S164" s="10" t="s">
        <v>6297</v>
      </c>
      <c r="T164" s="10" t="s">
        <v>6298</v>
      </c>
      <c r="U164" s="10">
        <v>1</v>
      </c>
      <c r="V164" s="10">
        <v>-67</v>
      </c>
      <c r="W164" s="67">
        <v>45376</v>
      </c>
      <c r="X164" s="11" t="s">
        <v>3049</v>
      </c>
      <c r="Y164" s="11" t="s">
        <v>4572</v>
      </c>
      <c r="Z164" s="11" t="s">
        <v>4656</v>
      </c>
      <c r="AA164" s="67">
        <v>45351</v>
      </c>
      <c r="AB164" s="67">
        <v>45352</v>
      </c>
      <c r="AC164" s="67">
        <v>45382</v>
      </c>
      <c r="AD164" s="67">
        <v>45381</v>
      </c>
      <c r="AE164" s="67">
        <v>45382</v>
      </c>
    </row>
    <row r="165" spans="1:31" ht="12.5">
      <c r="A165" s="10">
        <v>610422020016</v>
      </c>
      <c r="B165" s="10" t="s">
        <v>26</v>
      </c>
      <c r="D165" s="10">
        <v>1</v>
      </c>
      <c r="E165" s="10" t="s">
        <v>380</v>
      </c>
      <c r="F165" s="10" t="s">
        <v>24</v>
      </c>
      <c r="G165" s="10" t="s">
        <v>379</v>
      </c>
      <c r="H165" s="10" t="s">
        <v>67</v>
      </c>
      <c r="I165" s="10" t="s">
        <v>6296</v>
      </c>
      <c r="J165" s="10" t="s">
        <v>3034</v>
      </c>
      <c r="K165" s="66">
        <v>62000</v>
      </c>
      <c r="L165" s="10">
        <v>40</v>
      </c>
      <c r="M165" s="10">
        <v>2480000</v>
      </c>
      <c r="N165" s="70"/>
      <c r="O165" s="67">
        <v>45367</v>
      </c>
      <c r="P165" s="10">
        <v>2024</v>
      </c>
      <c r="Q165" s="10">
        <v>3</v>
      </c>
      <c r="R165" s="10" t="s">
        <v>6112</v>
      </c>
      <c r="S165" s="10" t="s">
        <v>6299</v>
      </c>
      <c r="T165" s="10" t="s">
        <v>6300</v>
      </c>
      <c r="U165" s="10">
        <v>1</v>
      </c>
      <c r="V165" s="10">
        <v>-67</v>
      </c>
      <c r="W165" s="67">
        <v>45376</v>
      </c>
      <c r="X165" s="11" t="s">
        <v>3049</v>
      </c>
      <c r="Y165" s="11" t="s">
        <v>5534</v>
      </c>
      <c r="Z165" s="11" t="s">
        <v>5535</v>
      </c>
      <c r="AA165" s="67">
        <v>45351</v>
      </c>
      <c r="AB165" s="67">
        <v>45352</v>
      </c>
      <c r="AC165" s="67">
        <v>45382</v>
      </c>
      <c r="AD165" s="67">
        <v>45381</v>
      </c>
      <c r="AE165" s="67">
        <v>45382</v>
      </c>
    </row>
    <row r="166" spans="1:31" ht="12.5">
      <c r="A166" s="10">
        <v>610422040031</v>
      </c>
      <c r="B166" s="10" t="s">
        <v>26</v>
      </c>
      <c r="D166" s="10">
        <v>1</v>
      </c>
      <c r="E166" s="10" t="s">
        <v>5963</v>
      </c>
      <c r="F166" s="10" t="s">
        <v>24</v>
      </c>
      <c r="G166" s="10" t="s">
        <v>1434</v>
      </c>
      <c r="H166" s="10" t="s">
        <v>67</v>
      </c>
      <c r="I166" s="10" t="s">
        <v>6296</v>
      </c>
      <c r="J166" s="10" t="s">
        <v>3034</v>
      </c>
      <c r="K166" s="66">
        <v>62000</v>
      </c>
      <c r="L166" s="10">
        <v>40</v>
      </c>
      <c r="M166" s="10">
        <v>2480000</v>
      </c>
      <c r="N166" s="70"/>
      <c r="O166" s="67">
        <v>45367</v>
      </c>
      <c r="P166" s="10">
        <v>2024</v>
      </c>
      <c r="Q166" s="10">
        <v>3</v>
      </c>
      <c r="R166" s="10" t="s">
        <v>6112</v>
      </c>
      <c r="S166" s="10" t="s">
        <v>6301</v>
      </c>
      <c r="T166" s="10" t="s">
        <v>6302</v>
      </c>
      <c r="U166" s="10">
        <v>1</v>
      </c>
      <c r="V166" s="10">
        <v>-67</v>
      </c>
      <c r="W166" s="67">
        <v>45376</v>
      </c>
      <c r="X166" s="11" t="s">
        <v>3049</v>
      </c>
      <c r="Y166" s="11" t="s">
        <v>4572</v>
      </c>
      <c r="Z166" s="11" t="s">
        <v>4656</v>
      </c>
      <c r="AA166" s="67">
        <v>45351</v>
      </c>
      <c r="AB166" s="67">
        <v>45352</v>
      </c>
      <c r="AC166" s="67">
        <v>45382</v>
      </c>
      <c r="AD166" s="67">
        <v>45381</v>
      </c>
      <c r="AE166" s="67">
        <v>45382</v>
      </c>
    </row>
    <row r="167" spans="1:31" ht="12.5">
      <c r="A167" s="10">
        <v>610422040005</v>
      </c>
      <c r="B167" s="10" t="s">
        <v>26</v>
      </c>
      <c r="D167" s="10">
        <v>1</v>
      </c>
      <c r="E167" s="10" t="s">
        <v>6005</v>
      </c>
      <c r="F167" s="10" t="s">
        <v>24</v>
      </c>
      <c r="G167" s="10" t="s">
        <v>2085</v>
      </c>
      <c r="H167" s="10" t="s">
        <v>67</v>
      </c>
      <c r="I167" s="10" t="s">
        <v>6296</v>
      </c>
      <c r="J167" s="10" t="s">
        <v>3034</v>
      </c>
      <c r="K167" s="66">
        <v>62000</v>
      </c>
      <c r="L167" s="10">
        <v>40</v>
      </c>
      <c r="M167" s="10">
        <v>2480000</v>
      </c>
      <c r="N167" s="70"/>
      <c r="O167" s="67">
        <v>45367</v>
      </c>
      <c r="P167" s="10">
        <v>2024</v>
      </c>
      <c r="Q167" s="10">
        <v>3</v>
      </c>
      <c r="R167" s="10" t="s">
        <v>6112</v>
      </c>
      <c r="S167" s="10" t="s">
        <v>6303</v>
      </c>
      <c r="T167" s="10" t="s">
        <v>6304</v>
      </c>
      <c r="U167" s="10">
        <v>1</v>
      </c>
      <c r="V167" s="10">
        <v>-67</v>
      </c>
      <c r="W167" s="67">
        <v>45376</v>
      </c>
      <c r="X167" s="11" t="s">
        <v>3049</v>
      </c>
      <c r="Y167" s="11" t="s">
        <v>4931</v>
      </c>
      <c r="Z167" s="11" t="s">
        <v>5171</v>
      </c>
      <c r="AA167" s="67">
        <v>45351</v>
      </c>
      <c r="AB167" s="67">
        <v>45352</v>
      </c>
      <c r="AC167" s="67">
        <v>45382</v>
      </c>
      <c r="AD167" s="67">
        <v>45381</v>
      </c>
      <c r="AE167" s="67">
        <v>45382</v>
      </c>
    </row>
    <row r="168" spans="1:31" ht="12.5">
      <c r="A168" s="10">
        <v>610422040038</v>
      </c>
      <c r="B168" s="10" t="s">
        <v>26</v>
      </c>
      <c r="D168" s="10">
        <v>1</v>
      </c>
      <c r="E168" s="10" t="s">
        <v>6065</v>
      </c>
      <c r="F168" s="10" t="s">
        <v>24</v>
      </c>
      <c r="G168" s="10" t="s">
        <v>2987</v>
      </c>
      <c r="H168" s="10" t="s">
        <v>67</v>
      </c>
      <c r="I168" s="10" t="s">
        <v>6296</v>
      </c>
      <c r="J168" s="10" t="s">
        <v>3034</v>
      </c>
      <c r="K168" s="66">
        <v>62000</v>
      </c>
      <c r="L168" s="10">
        <v>40</v>
      </c>
      <c r="M168" s="10">
        <v>2480000</v>
      </c>
      <c r="N168" s="70"/>
      <c r="O168" s="67">
        <v>45367</v>
      </c>
      <c r="P168" s="10">
        <v>2024</v>
      </c>
      <c r="Q168" s="10">
        <v>3</v>
      </c>
      <c r="R168" s="10" t="s">
        <v>6112</v>
      </c>
      <c r="S168" s="10" t="s">
        <v>6305</v>
      </c>
      <c r="T168" s="10" t="s">
        <v>6306</v>
      </c>
      <c r="U168" s="10">
        <v>1</v>
      </c>
      <c r="V168" s="10">
        <v>-67</v>
      </c>
      <c r="W168" s="67">
        <v>45376</v>
      </c>
      <c r="X168" s="11" t="s">
        <v>3049</v>
      </c>
      <c r="Y168" s="11" t="s">
        <v>5250</v>
      </c>
      <c r="Z168" s="11" t="s">
        <v>5346</v>
      </c>
      <c r="AA168" s="67">
        <v>45351</v>
      </c>
      <c r="AB168" s="67">
        <v>45352</v>
      </c>
      <c r="AC168" s="67">
        <v>45382</v>
      </c>
      <c r="AD168" s="67">
        <v>45381</v>
      </c>
      <c r="AE168" s="67">
        <v>45382</v>
      </c>
    </row>
    <row r="169" spans="1:31" ht="12.5">
      <c r="A169" s="10">
        <v>610422040030</v>
      </c>
      <c r="B169" s="10" t="s">
        <v>26</v>
      </c>
      <c r="D169" s="10">
        <v>1</v>
      </c>
      <c r="E169" s="10" t="s">
        <v>2697</v>
      </c>
      <c r="F169" s="10" t="s">
        <v>24</v>
      </c>
      <c r="G169" s="10" t="s">
        <v>2696</v>
      </c>
      <c r="H169" s="10" t="s">
        <v>67</v>
      </c>
      <c r="I169" s="10" t="s">
        <v>6296</v>
      </c>
      <c r="J169" s="10" t="s">
        <v>3034</v>
      </c>
      <c r="K169" s="66">
        <v>62000</v>
      </c>
      <c r="L169" s="10">
        <v>40</v>
      </c>
      <c r="M169" s="10">
        <v>2480000</v>
      </c>
      <c r="N169" s="70"/>
      <c r="O169" s="67">
        <v>45367</v>
      </c>
      <c r="P169" s="10">
        <v>2024</v>
      </c>
      <c r="Q169" s="10">
        <v>3</v>
      </c>
      <c r="R169" s="10" t="s">
        <v>6112</v>
      </c>
      <c r="S169" s="10" t="s">
        <v>6307</v>
      </c>
      <c r="T169" s="10" t="s">
        <v>6308</v>
      </c>
      <c r="U169" s="10">
        <v>1</v>
      </c>
      <c r="V169" s="10">
        <v>-67</v>
      </c>
      <c r="W169" s="67">
        <v>45376</v>
      </c>
      <c r="X169" s="11" t="s">
        <v>3049</v>
      </c>
      <c r="Y169" s="11" t="s">
        <v>3241</v>
      </c>
      <c r="Z169" s="11" t="s">
        <v>3289</v>
      </c>
      <c r="AA169" s="67">
        <v>45351</v>
      </c>
      <c r="AB169" s="67">
        <v>45352</v>
      </c>
      <c r="AC169" s="67">
        <v>45382</v>
      </c>
      <c r="AD169" s="67">
        <v>45381</v>
      </c>
      <c r="AE169" s="67">
        <v>45382</v>
      </c>
    </row>
    <row r="170" spans="1:31" ht="12.5">
      <c r="A170" s="10">
        <v>610422040062</v>
      </c>
      <c r="B170" s="10" t="s">
        <v>26</v>
      </c>
      <c r="D170" s="10">
        <v>1</v>
      </c>
      <c r="E170" s="10" t="s">
        <v>2899</v>
      </c>
      <c r="F170" s="10" t="s">
        <v>24</v>
      </c>
      <c r="G170" s="10" t="s">
        <v>2898</v>
      </c>
      <c r="H170" s="10" t="s">
        <v>67</v>
      </c>
      <c r="I170" s="10" t="s">
        <v>6296</v>
      </c>
      <c r="J170" s="10" t="s">
        <v>3034</v>
      </c>
      <c r="K170" s="66">
        <v>62000</v>
      </c>
      <c r="L170" s="10">
        <v>40</v>
      </c>
      <c r="M170" s="10">
        <v>2480000</v>
      </c>
      <c r="N170" s="70"/>
      <c r="O170" s="67">
        <v>45367</v>
      </c>
      <c r="P170" s="10">
        <v>2024</v>
      </c>
      <c r="Q170" s="10">
        <v>3</v>
      </c>
      <c r="R170" s="10" t="s">
        <v>6112</v>
      </c>
      <c r="S170" s="10" t="s">
        <v>6309</v>
      </c>
      <c r="T170" s="10" t="s">
        <v>6310</v>
      </c>
      <c r="U170" s="10">
        <v>1</v>
      </c>
      <c r="V170" s="10">
        <v>-67</v>
      </c>
      <c r="W170" s="67">
        <v>45376</v>
      </c>
      <c r="X170" s="11" t="s">
        <v>3049</v>
      </c>
      <c r="Y170" s="11" t="s">
        <v>3990</v>
      </c>
      <c r="Z170" s="11" t="s">
        <v>4332</v>
      </c>
      <c r="AA170" s="67">
        <v>45351</v>
      </c>
      <c r="AB170" s="67">
        <v>45352</v>
      </c>
      <c r="AC170" s="67">
        <v>45382</v>
      </c>
      <c r="AD170" s="67">
        <v>45381</v>
      </c>
      <c r="AE170" s="67">
        <v>45382</v>
      </c>
    </row>
    <row r="171" spans="1:31" ht="12.5">
      <c r="A171" s="10">
        <v>610422100274</v>
      </c>
      <c r="B171" s="10" t="s">
        <v>26</v>
      </c>
      <c r="D171" s="10">
        <v>1</v>
      </c>
      <c r="E171" s="10" t="s">
        <v>624</v>
      </c>
      <c r="F171" s="10" t="s">
        <v>24</v>
      </c>
      <c r="G171" s="10" t="s">
        <v>623</v>
      </c>
      <c r="H171" s="10" t="s">
        <v>67</v>
      </c>
      <c r="I171" s="10" t="s">
        <v>6296</v>
      </c>
      <c r="J171" s="10" t="s">
        <v>3034</v>
      </c>
      <c r="K171" s="66">
        <v>62000</v>
      </c>
      <c r="L171" s="10">
        <v>40</v>
      </c>
      <c r="M171" s="10">
        <v>2480000</v>
      </c>
      <c r="N171" s="70"/>
      <c r="O171" s="67">
        <v>45367</v>
      </c>
      <c r="P171" s="10">
        <v>2024</v>
      </c>
      <c r="Q171" s="10">
        <v>3</v>
      </c>
      <c r="R171" s="10" t="s">
        <v>6112</v>
      </c>
      <c r="S171" s="10" t="s">
        <v>6311</v>
      </c>
      <c r="T171" s="10" t="s">
        <v>6312</v>
      </c>
      <c r="U171" s="10">
        <v>1</v>
      </c>
      <c r="V171" s="10">
        <v>-67</v>
      </c>
      <c r="W171" s="67">
        <v>45376</v>
      </c>
      <c r="X171" s="11" t="s">
        <v>3049</v>
      </c>
      <c r="Y171" s="11" t="s">
        <v>4931</v>
      </c>
      <c r="Z171" s="11" t="s">
        <v>5171</v>
      </c>
      <c r="AA171" s="67">
        <v>45351</v>
      </c>
      <c r="AB171" s="67">
        <v>45352</v>
      </c>
      <c r="AC171" s="67">
        <v>45382</v>
      </c>
      <c r="AD171" s="67">
        <v>45381</v>
      </c>
      <c r="AE171" s="67">
        <v>45382</v>
      </c>
    </row>
    <row r="172" spans="1:31" ht="12.5">
      <c r="A172" s="10">
        <v>610422100108</v>
      </c>
      <c r="B172" s="10" t="s">
        <v>26</v>
      </c>
      <c r="D172" s="10">
        <v>1</v>
      </c>
      <c r="E172" s="10" t="s">
        <v>1089</v>
      </c>
      <c r="F172" s="10" t="s">
        <v>24</v>
      </c>
      <c r="G172" s="10" t="s">
        <v>1088</v>
      </c>
      <c r="H172" s="10" t="s">
        <v>67</v>
      </c>
      <c r="I172" s="10" t="s">
        <v>6296</v>
      </c>
      <c r="J172" s="10" t="s">
        <v>3034</v>
      </c>
      <c r="K172" s="66">
        <v>62000</v>
      </c>
      <c r="L172" s="10">
        <v>40</v>
      </c>
      <c r="M172" s="10">
        <v>2480000</v>
      </c>
      <c r="N172" s="70"/>
      <c r="O172" s="67">
        <v>45367</v>
      </c>
      <c r="P172" s="10">
        <v>2024</v>
      </c>
      <c r="Q172" s="10">
        <v>3</v>
      </c>
      <c r="R172" s="10" t="s">
        <v>6112</v>
      </c>
      <c r="S172" s="10" t="s">
        <v>6313</v>
      </c>
      <c r="T172" s="10" t="s">
        <v>6314</v>
      </c>
      <c r="U172" s="10">
        <v>1</v>
      </c>
      <c r="V172" s="10">
        <v>-67</v>
      </c>
      <c r="W172" s="67">
        <v>45376</v>
      </c>
      <c r="X172" s="11" t="s">
        <v>3049</v>
      </c>
      <c r="Y172" s="11" t="s">
        <v>4572</v>
      </c>
      <c r="Z172" s="11" t="s">
        <v>4619</v>
      </c>
      <c r="AA172" s="67">
        <v>45351</v>
      </c>
      <c r="AB172" s="67">
        <v>45352</v>
      </c>
      <c r="AC172" s="67">
        <v>45382</v>
      </c>
      <c r="AD172" s="67">
        <v>45381</v>
      </c>
      <c r="AE172" s="67">
        <v>45382</v>
      </c>
    </row>
    <row r="173" spans="1:31" ht="12.5">
      <c r="A173" s="10">
        <v>610423040016</v>
      </c>
      <c r="B173" s="10" t="s">
        <v>26</v>
      </c>
      <c r="D173" s="10">
        <v>1</v>
      </c>
      <c r="E173" s="10" t="s">
        <v>1158</v>
      </c>
      <c r="F173" s="10" t="s">
        <v>24</v>
      </c>
      <c r="G173" s="10" t="s">
        <v>1157</v>
      </c>
      <c r="H173" s="10" t="s">
        <v>67</v>
      </c>
      <c r="I173" s="10" t="s">
        <v>6296</v>
      </c>
      <c r="J173" s="10" t="s">
        <v>3034</v>
      </c>
      <c r="K173" s="66">
        <v>62000</v>
      </c>
      <c r="L173" s="10">
        <v>40</v>
      </c>
      <c r="M173" s="10">
        <v>2480000</v>
      </c>
      <c r="N173" s="70"/>
      <c r="O173" s="67">
        <v>45367</v>
      </c>
      <c r="P173" s="10">
        <v>2024</v>
      </c>
      <c r="Q173" s="10">
        <v>3</v>
      </c>
      <c r="R173" s="10" t="s">
        <v>6112</v>
      </c>
      <c r="S173" s="10" t="s">
        <v>6315</v>
      </c>
      <c r="T173" s="10" t="s">
        <v>6316</v>
      </c>
      <c r="U173" s="10">
        <v>1</v>
      </c>
      <c r="V173" s="10">
        <v>-67</v>
      </c>
      <c r="W173" s="67">
        <v>45376</v>
      </c>
      <c r="X173" s="11" t="s">
        <v>3049</v>
      </c>
      <c r="Y173" s="11" t="s">
        <v>4572</v>
      </c>
      <c r="Z173" s="11" t="s">
        <v>4619</v>
      </c>
      <c r="AA173" s="67">
        <v>45351</v>
      </c>
      <c r="AB173" s="67">
        <v>45352</v>
      </c>
      <c r="AC173" s="67">
        <v>45382</v>
      </c>
      <c r="AD173" s="67">
        <v>45381</v>
      </c>
      <c r="AE173" s="67">
        <v>45382</v>
      </c>
    </row>
    <row r="174" spans="1:31" ht="12.5">
      <c r="A174" s="10">
        <v>610422100032</v>
      </c>
      <c r="B174" s="10" t="s">
        <v>26</v>
      </c>
      <c r="D174" s="10">
        <v>1</v>
      </c>
      <c r="E174" s="10" t="s">
        <v>1942</v>
      </c>
      <c r="F174" s="10" t="s">
        <v>24</v>
      </c>
      <c r="G174" s="10" t="s">
        <v>1941</v>
      </c>
      <c r="H174" s="10" t="s">
        <v>67</v>
      </c>
      <c r="I174" s="10" t="s">
        <v>6296</v>
      </c>
      <c r="J174" s="10" t="s">
        <v>3034</v>
      </c>
      <c r="K174" s="66">
        <v>62000</v>
      </c>
      <c r="L174" s="10">
        <v>40</v>
      </c>
      <c r="M174" s="10">
        <v>2480000</v>
      </c>
      <c r="N174" s="70"/>
      <c r="O174" s="67">
        <v>45367</v>
      </c>
      <c r="P174" s="10">
        <v>2024</v>
      </c>
      <c r="Q174" s="10">
        <v>3</v>
      </c>
      <c r="R174" s="10" t="s">
        <v>6112</v>
      </c>
      <c r="S174" s="10" t="s">
        <v>6317</v>
      </c>
      <c r="T174" s="10" t="s">
        <v>6318</v>
      </c>
      <c r="U174" s="10">
        <v>1</v>
      </c>
      <c r="V174" s="10">
        <v>-67</v>
      </c>
      <c r="W174" s="67">
        <v>45376</v>
      </c>
      <c r="X174" s="11" t="s">
        <v>3049</v>
      </c>
      <c r="Y174" s="11" t="s">
        <v>4572</v>
      </c>
      <c r="Z174" s="11" t="s">
        <v>4656</v>
      </c>
      <c r="AA174" s="67">
        <v>45351</v>
      </c>
      <c r="AB174" s="67">
        <v>45352</v>
      </c>
      <c r="AC174" s="67">
        <v>45382</v>
      </c>
      <c r="AD174" s="67">
        <v>45381</v>
      </c>
      <c r="AE174" s="67">
        <v>45382</v>
      </c>
    </row>
    <row r="175" spans="1:31" ht="12.5">
      <c r="A175" s="10">
        <v>610422100244</v>
      </c>
      <c r="B175" s="10" t="s">
        <v>26</v>
      </c>
      <c r="D175" s="10">
        <v>1</v>
      </c>
      <c r="E175" s="10" t="s">
        <v>2633</v>
      </c>
      <c r="F175" s="10" t="s">
        <v>24</v>
      </c>
      <c r="G175" s="10" t="s">
        <v>2632</v>
      </c>
      <c r="H175" s="10" t="s">
        <v>67</v>
      </c>
      <c r="I175" s="10" t="s">
        <v>6296</v>
      </c>
      <c r="J175" s="10" t="s">
        <v>3034</v>
      </c>
      <c r="K175" s="66">
        <v>62000</v>
      </c>
      <c r="L175" s="10">
        <v>40</v>
      </c>
      <c r="M175" s="10">
        <v>2480000</v>
      </c>
      <c r="N175" s="70"/>
      <c r="O175" s="67">
        <v>45367</v>
      </c>
      <c r="P175" s="10">
        <v>2024</v>
      </c>
      <c r="Q175" s="10">
        <v>3</v>
      </c>
      <c r="R175" s="10" t="s">
        <v>6112</v>
      </c>
      <c r="S175" s="10" t="s">
        <v>6319</v>
      </c>
      <c r="T175" s="10" t="s">
        <v>6320</v>
      </c>
      <c r="U175" s="10">
        <v>1</v>
      </c>
      <c r="V175" s="10">
        <v>-67</v>
      </c>
      <c r="W175" s="67">
        <v>45376</v>
      </c>
      <c r="X175" s="11" t="s">
        <v>3049</v>
      </c>
      <c r="Y175" s="11" t="s">
        <v>5741</v>
      </c>
      <c r="Z175" s="11" t="s">
        <v>5796</v>
      </c>
      <c r="AA175" s="67">
        <v>45351</v>
      </c>
      <c r="AB175" s="67">
        <v>45352</v>
      </c>
      <c r="AC175" s="67">
        <v>45382</v>
      </c>
      <c r="AD175" s="67">
        <v>45381</v>
      </c>
      <c r="AE175" s="67">
        <v>45382</v>
      </c>
    </row>
    <row r="176" spans="1:31" ht="12.5">
      <c r="A176" s="10">
        <v>610422100256</v>
      </c>
      <c r="B176" s="10" t="s">
        <v>26</v>
      </c>
      <c r="D176" s="10">
        <v>1</v>
      </c>
      <c r="E176" s="10" t="s">
        <v>1778</v>
      </c>
      <c r="F176" s="10" t="s">
        <v>25</v>
      </c>
      <c r="G176" s="10" t="s">
        <v>1777</v>
      </c>
      <c r="H176" s="10" t="s">
        <v>67</v>
      </c>
      <c r="I176" s="10" t="s">
        <v>6321</v>
      </c>
      <c r="J176" s="10" t="s">
        <v>3034</v>
      </c>
      <c r="K176" s="66">
        <v>119000</v>
      </c>
      <c r="L176" s="10">
        <v>10</v>
      </c>
      <c r="M176" s="10">
        <v>1190000</v>
      </c>
      <c r="N176" s="70"/>
      <c r="O176" s="67">
        <v>45367</v>
      </c>
      <c r="P176" s="10">
        <v>2024</v>
      </c>
      <c r="Q176" s="10">
        <v>3</v>
      </c>
      <c r="R176" s="10" t="s">
        <v>3043</v>
      </c>
      <c r="S176" s="10" t="s">
        <v>6322</v>
      </c>
      <c r="T176" s="10" t="s">
        <v>6323</v>
      </c>
      <c r="U176" s="10">
        <v>1</v>
      </c>
      <c r="V176" s="10">
        <v>-67</v>
      </c>
      <c r="W176" s="67">
        <v>45376</v>
      </c>
      <c r="X176" s="11" t="s">
        <v>3049</v>
      </c>
      <c r="Y176" s="11" t="s">
        <v>5741</v>
      </c>
      <c r="Z176" s="11" t="s">
        <v>5742</v>
      </c>
      <c r="AA176" s="67">
        <v>45351</v>
      </c>
      <c r="AB176" s="67">
        <v>45352</v>
      </c>
      <c r="AC176" s="67">
        <v>45382</v>
      </c>
      <c r="AD176" s="67">
        <v>45381</v>
      </c>
      <c r="AE176" s="67">
        <v>45382</v>
      </c>
    </row>
    <row r="177" spans="1:31" ht="12.5">
      <c r="A177" s="10">
        <v>610422100055</v>
      </c>
      <c r="B177" s="10" t="s">
        <v>26</v>
      </c>
      <c r="D177" s="10">
        <v>1</v>
      </c>
      <c r="E177" s="10" t="s">
        <v>2791</v>
      </c>
      <c r="F177" s="10" t="s">
        <v>25</v>
      </c>
      <c r="G177" s="10" t="s">
        <v>2790</v>
      </c>
      <c r="H177" s="10" t="s">
        <v>67</v>
      </c>
      <c r="I177" s="10" t="s">
        <v>6321</v>
      </c>
      <c r="J177" s="10" t="s">
        <v>3034</v>
      </c>
      <c r="K177" s="66">
        <v>119000</v>
      </c>
      <c r="L177" s="10">
        <v>10</v>
      </c>
      <c r="M177" s="10">
        <v>1190000</v>
      </c>
      <c r="N177" s="70"/>
      <c r="O177" s="67">
        <v>45367</v>
      </c>
      <c r="P177" s="10">
        <v>2024</v>
      </c>
      <c r="Q177" s="10">
        <v>3</v>
      </c>
      <c r="R177" s="10" t="s">
        <v>3043</v>
      </c>
      <c r="S177" s="10" t="s">
        <v>6324</v>
      </c>
      <c r="T177" s="10" t="s">
        <v>6325</v>
      </c>
      <c r="U177" s="10">
        <v>1</v>
      </c>
      <c r="V177" s="10">
        <v>-67</v>
      </c>
      <c r="W177" s="67">
        <v>45376</v>
      </c>
      <c r="X177" s="11" t="s">
        <v>3049</v>
      </c>
      <c r="Y177" s="11" t="s">
        <v>3241</v>
      </c>
      <c r="Z177" s="11" t="s">
        <v>3289</v>
      </c>
      <c r="AA177" s="67">
        <v>45351</v>
      </c>
      <c r="AB177" s="67">
        <v>45352</v>
      </c>
      <c r="AC177" s="67">
        <v>45382</v>
      </c>
      <c r="AD177" s="67">
        <v>45381</v>
      </c>
      <c r="AE177" s="67">
        <v>45382</v>
      </c>
    </row>
    <row r="178" spans="1:31" ht="12.5">
      <c r="A178" s="10">
        <v>610422020008</v>
      </c>
      <c r="B178" s="10" t="s">
        <v>26</v>
      </c>
      <c r="D178" s="10">
        <v>1</v>
      </c>
      <c r="E178" s="10" t="s">
        <v>1424</v>
      </c>
      <c r="F178" s="10" t="s">
        <v>25</v>
      </c>
      <c r="G178" s="10" t="s">
        <v>1423</v>
      </c>
      <c r="H178" s="10" t="s">
        <v>67</v>
      </c>
      <c r="I178" s="10" t="s">
        <v>6321</v>
      </c>
      <c r="J178" s="10" t="s">
        <v>3034</v>
      </c>
      <c r="K178" s="66">
        <v>119000</v>
      </c>
      <c r="L178" s="10">
        <v>20</v>
      </c>
      <c r="M178" s="10">
        <v>2380000</v>
      </c>
      <c r="N178" s="70"/>
      <c r="O178" s="67">
        <v>45367</v>
      </c>
      <c r="P178" s="10">
        <v>2024</v>
      </c>
      <c r="Q178" s="10">
        <v>3</v>
      </c>
      <c r="R178" s="10" t="s">
        <v>3043</v>
      </c>
      <c r="S178" s="10" t="s">
        <v>6326</v>
      </c>
      <c r="T178" s="10" t="s">
        <v>6327</v>
      </c>
      <c r="U178" s="10">
        <v>1</v>
      </c>
      <c r="V178" s="10">
        <v>-67</v>
      </c>
      <c r="W178" s="67">
        <v>45376</v>
      </c>
      <c r="X178" s="11" t="s">
        <v>3049</v>
      </c>
      <c r="Y178" s="11" t="s">
        <v>5250</v>
      </c>
      <c r="Z178" s="11" t="s">
        <v>5365</v>
      </c>
      <c r="AA178" s="67">
        <v>45351</v>
      </c>
      <c r="AB178" s="67">
        <v>45352</v>
      </c>
      <c r="AC178" s="67">
        <v>45382</v>
      </c>
      <c r="AD178" s="67">
        <v>45381</v>
      </c>
      <c r="AE178" s="67">
        <v>45382</v>
      </c>
    </row>
    <row r="179" spans="1:31" ht="12.5">
      <c r="A179" s="10">
        <v>610423040014</v>
      </c>
      <c r="B179" s="10" t="s">
        <v>26</v>
      </c>
      <c r="D179" s="10">
        <v>1</v>
      </c>
      <c r="E179" s="10" t="s">
        <v>5955</v>
      </c>
      <c r="F179" s="10" t="s">
        <v>25</v>
      </c>
      <c r="G179" s="10" t="s">
        <v>1232</v>
      </c>
      <c r="H179" s="10" t="s">
        <v>67</v>
      </c>
      <c r="I179" s="10" t="s">
        <v>6321</v>
      </c>
      <c r="J179" s="10" t="s">
        <v>3034</v>
      </c>
      <c r="K179" s="66">
        <v>119000</v>
      </c>
      <c r="L179" s="10">
        <v>20</v>
      </c>
      <c r="M179" s="10">
        <v>2380000</v>
      </c>
      <c r="N179" s="70"/>
      <c r="O179" s="67">
        <v>45367</v>
      </c>
      <c r="P179" s="10">
        <v>2024</v>
      </c>
      <c r="Q179" s="10">
        <v>3</v>
      </c>
      <c r="R179" s="10" t="s">
        <v>3043</v>
      </c>
      <c r="S179" s="10" t="s">
        <v>6328</v>
      </c>
      <c r="T179" s="10" t="s">
        <v>6329</v>
      </c>
      <c r="U179" s="10">
        <v>1</v>
      </c>
      <c r="V179" s="10">
        <v>-67</v>
      </c>
      <c r="W179" s="67">
        <v>45376</v>
      </c>
      <c r="X179" s="11" t="s">
        <v>3049</v>
      </c>
      <c r="Y179" s="11" t="s">
        <v>5534</v>
      </c>
      <c r="Z179" s="11" t="s">
        <v>5714</v>
      </c>
      <c r="AA179" s="67">
        <v>45351</v>
      </c>
      <c r="AB179" s="67">
        <v>45352</v>
      </c>
      <c r="AC179" s="67">
        <v>45382</v>
      </c>
      <c r="AD179" s="67">
        <v>45381</v>
      </c>
      <c r="AE179" s="67">
        <v>45382</v>
      </c>
    </row>
    <row r="180" spans="1:31" ht="12.5">
      <c r="A180" s="10">
        <v>610423040022</v>
      </c>
      <c r="B180" s="10" t="s">
        <v>26</v>
      </c>
      <c r="D180" s="10">
        <v>1</v>
      </c>
      <c r="E180" s="10" t="s">
        <v>543</v>
      </c>
      <c r="F180" s="10" t="s">
        <v>25</v>
      </c>
      <c r="G180" s="10" t="s">
        <v>542</v>
      </c>
      <c r="H180" s="10" t="s">
        <v>67</v>
      </c>
      <c r="I180" s="10" t="s">
        <v>6321</v>
      </c>
      <c r="J180" s="10" t="s">
        <v>3034</v>
      </c>
      <c r="K180" s="66">
        <v>119000</v>
      </c>
      <c r="L180" s="10">
        <v>20</v>
      </c>
      <c r="M180" s="10">
        <v>2380000</v>
      </c>
      <c r="N180" s="70"/>
      <c r="O180" s="67">
        <v>45367</v>
      </c>
      <c r="P180" s="10">
        <v>2024</v>
      </c>
      <c r="Q180" s="10">
        <v>3</v>
      </c>
      <c r="R180" s="10" t="s">
        <v>3043</v>
      </c>
      <c r="S180" s="10" t="s">
        <v>6330</v>
      </c>
      <c r="T180" s="10" t="s">
        <v>6331</v>
      </c>
      <c r="U180" s="10">
        <v>1</v>
      </c>
      <c r="V180" s="10">
        <v>-67</v>
      </c>
      <c r="W180" s="67">
        <v>45376</v>
      </c>
      <c r="X180" s="11" t="s">
        <v>3049</v>
      </c>
      <c r="Y180" s="11" t="s">
        <v>5741</v>
      </c>
      <c r="Z180" s="11" t="s">
        <v>5796</v>
      </c>
      <c r="AA180" s="67">
        <v>45351</v>
      </c>
      <c r="AB180" s="67">
        <v>45352</v>
      </c>
      <c r="AC180" s="67">
        <v>45382</v>
      </c>
      <c r="AD180" s="67">
        <v>45381</v>
      </c>
      <c r="AE180" s="67">
        <v>45382</v>
      </c>
    </row>
    <row r="181" spans="1:31" ht="12.5">
      <c r="A181" s="10">
        <v>610423030004</v>
      </c>
      <c r="B181" s="10" t="s">
        <v>26</v>
      </c>
      <c r="D181" s="10">
        <v>1</v>
      </c>
      <c r="E181" s="10" t="s">
        <v>1627</v>
      </c>
      <c r="F181" s="10" t="s">
        <v>25</v>
      </c>
      <c r="G181" s="10" t="s">
        <v>1626</v>
      </c>
      <c r="H181" s="10" t="s">
        <v>67</v>
      </c>
      <c r="I181" s="10" t="s">
        <v>6321</v>
      </c>
      <c r="J181" s="10" t="s">
        <v>3034</v>
      </c>
      <c r="K181" s="66">
        <v>119000</v>
      </c>
      <c r="L181" s="10">
        <v>20</v>
      </c>
      <c r="M181" s="10">
        <v>2380000</v>
      </c>
      <c r="N181" s="70"/>
      <c r="O181" s="67">
        <v>45367</v>
      </c>
      <c r="P181" s="10">
        <v>2024</v>
      </c>
      <c r="Q181" s="10">
        <v>3</v>
      </c>
      <c r="R181" s="10" t="s">
        <v>3043</v>
      </c>
      <c r="S181" s="10" t="s">
        <v>6332</v>
      </c>
      <c r="T181" s="10" t="s">
        <v>6333</v>
      </c>
      <c r="U181" s="10">
        <v>1</v>
      </c>
      <c r="V181" s="10">
        <v>-67</v>
      </c>
      <c r="W181" s="67">
        <v>45376</v>
      </c>
      <c r="X181" s="11" t="s">
        <v>3049</v>
      </c>
      <c r="Y181" s="11" t="s">
        <v>3990</v>
      </c>
      <c r="Z181" s="11" t="s">
        <v>4143</v>
      </c>
      <c r="AA181" s="67">
        <v>45351</v>
      </c>
      <c r="AB181" s="67">
        <v>45352</v>
      </c>
      <c r="AC181" s="67">
        <v>45382</v>
      </c>
      <c r="AD181" s="67">
        <v>45381</v>
      </c>
      <c r="AE181" s="67">
        <v>45382</v>
      </c>
    </row>
    <row r="182" spans="1:31" ht="12.5">
      <c r="A182" s="10">
        <v>610423040004</v>
      </c>
      <c r="B182" s="10" t="s">
        <v>26</v>
      </c>
      <c r="D182" s="10">
        <v>1</v>
      </c>
      <c r="E182" s="10" t="s">
        <v>731</v>
      </c>
      <c r="F182" s="10" t="s">
        <v>25</v>
      </c>
      <c r="G182" s="10" t="s">
        <v>730</v>
      </c>
      <c r="H182" s="10" t="s">
        <v>67</v>
      </c>
      <c r="I182" s="10" t="s">
        <v>6321</v>
      </c>
      <c r="J182" s="10" t="s">
        <v>3034</v>
      </c>
      <c r="K182" s="66">
        <v>119000</v>
      </c>
      <c r="L182" s="10">
        <v>10</v>
      </c>
      <c r="M182" s="10">
        <v>1190000</v>
      </c>
      <c r="N182" s="70"/>
      <c r="O182" s="67">
        <v>45367</v>
      </c>
      <c r="P182" s="10">
        <v>2024</v>
      </c>
      <c r="Q182" s="10">
        <v>3</v>
      </c>
      <c r="R182" s="10" t="s">
        <v>3043</v>
      </c>
      <c r="S182" s="10" t="s">
        <v>6334</v>
      </c>
      <c r="T182" s="10" t="s">
        <v>6335</v>
      </c>
      <c r="U182" s="10">
        <v>1</v>
      </c>
      <c r="V182" s="10">
        <v>-67</v>
      </c>
      <c r="W182" s="67">
        <v>45376</v>
      </c>
      <c r="X182" s="11" t="s">
        <v>3049</v>
      </c>
      <c r="Y182" s="11" t="s">
        <v>4408</v>
      </c>
      <c r="Z182" s="11" t="s">
        <v>4531</v>
      </c>
      <c r="AA182" s="67">
        <v>45351</v>
      </c>
      <c r="AB182" s="67">
        <v>45352</v>
      </c>
      <c r="AC182" s="67">
        <v>45382</v>
      </c>
      <c r="AD182" s="67">
        <v>45381</v>
      </c>
      <c r="AE182" s="67">
        <v>45382</v>
      </c>
    </row>
    <row r="183" spans="1:31" ht="12.5">
      <c r="A183" s="10">
        <v>610423040006</v>
      </c>
      <c r="B183" s="10" t="s">
        <v>26</v>
      </c>
      <c r="D183" s="10">
        <v>1</v>
      </c>
      <c r="E183" s="10" t="s">
        <v>5992</v>
      </c>
      <c r="F183" s="10" t="s">
        <v>25</v>
      </c>
      <c r="G183" s="10" t="s">
        <v>1824</v>
      </c>
      <c r="H183" s="10" t="s">
        <v>67</v>
      </c>
      <c r="I183" s="10" t="s">
        <v>6321</v>
      </c>
      <c r="J183" s="10" t="s">
        <v>3034</v>
      </c>
      <c r="K183" s="66">
        <v>119000</v>
      </c>
      <c r="L183" s="10">
        <v>20</v>
      </c>
      <c r="M183" s="10">
        <v>2380000</v>
      </c>
      <c r="N183" s="70"/>
      <c r="O183" s="67">
        <v>45367</v>
      </c>
      <c r="P183" s="10">
        <v>2024</v>
      </c>
      <c r="Q183" s="10">
        <v>3</v>
      </c>
      <c r="R183" s="10" t="s">
        <v>3043</v>
      </c>
      <c r="S183" s="10" t="s">
        <v>6336</v>
      </c>
      <c r="T183" s="10" t="s">
        <v>6337</v>
      </c>
      <c r="U183" s="10">
        <v>1</v>
      </c>
      <c r="V183" s="10">
        <v>-67</v>
      </c>
      <c r="W183" s="67">
        <v>45376</v>
      </c>
      <c r="X183" s="11" t="s">
        <v>3049</v>
      </c>
      <c r="Y183" s="11" t="s">
        <v>4931</v>
      </c>
      <c r="Z183" s="11" t="s">
        <v>5104</v>
      </c>
      <c r="AA183" s="67">
        <v>45351</v>
      </c>
      <c r="AB183" s="67">
        <v>45352</v>
      </c>
      <c r="AC183" s="67">
        <v>45382</v>
      </c>
      <c r="AD183" s="67">
        <v>45381</v>
      </c>
      <c r="AE183" s="67">
        <v>45382</v>
      </c>
    </row>
    <row r="184" spans="1:31" ht="12.5">
      <c r="A184" s="10">
        <v>610423040013</v>
      </c>
      <c r="B184" s="10" t="s">
        <v>26</v>
      </c>
      <c r="D184" s="10">
        <v>1</v>
      </c>
      <c r="E184" s="10" t="s">
        <v>1658</v>
      </c>
      <c r="F184" s="10" t="s">
        <v>25</v>
      </c>
      <c r="G184" s="10" t="s">
        <v>1657</v>
      </c>
      <c r="H184" s="10" t="s">
        <v>67</v>
      </c>
      <c r="I184" s="10" t="s">
        <v>6321</v>
      </c>
      <c r="J184" s="10" t="s">
        <v>3034</v>
      </c>
      <c r="K184" s="66">
        <v>119000</v>
      </c>
      <c r="L184" s="10">
        <v>10</v>
      </c>
      <c r="M184" s="10">
        <v>1190000</v>
      </c>
      <c r="N184" s="70"/>
      <c r="O184" s="67">
        <v>45367</v>
      </c>
      <c r="P184" s="10">
        <v>2024</v>
      </c>
      <c r="Q184" s="10">
        <v>3</v>
      </c>
      <c r="R184" s="10" t="s">
        <v>3043</v>
      </c>
      <c r="S184" s="10" t="s">
        <v>6338</v>
      </c>
      <c r="T184" s="10" t="s">
        <v>6339</v>
      </c>
      <c r="U184" s="10">
        <v>1</v>
      </c>
      <c r="V184" s="10">
        <v>-67</v>
      </c>
      <c r="W184" s="67">
        <v>45376</v>
      </c>
      <c r="X184" s="11" t="s">
        <v>3049</v>
      </c>
      <c r="Y184" s="11" t="s">
        <v>5250</v>
      </c>
      <c r="Z184" s="11" t="s">
        <v>5304</v>
      </c>
      <c r="AA184" s="67">
        <v>45351</v>
      </c>
      <c r="AB184" s="67">
        <v>45352</v>
      </c>
      <c r="AC184" s="67">
        <v>45382</v>
      </c>
      <c r="AD184" s="67">
        <v>45381</v>
      </c>
      <c r="AE184" s="67">
        <v>45382</v>
      </c>
    </row>
    <row r="185" spans="1:31" ht="12.5">
      <c r="A185" s="10">
        <v>610423090019</v>
      </c>
      <c r="B185" s="10" t="s">
        <v>26</v>
      </c>
      <c r="D185" s="10">
        <v>1</v>
      </c>
      <c r="E185" s="10" t="s">
        <v>2213</v>
      </c>
      <c r="F185" s="10" t="s">
        <v>25</v>
      </c>
      <c r="G185" s="10" t="s">
        <v>2212</v>
      </c>
      <c r="H185" s="10" t="s">
        <v>67</v>
      </c>
      <c r="I185" s="10" t="s">
        <v>6321</v>
      </c>
      <c r="J185" s="10" t="s">
        <v>3034</v>
      </c>
      <c r="K185" s="66">
        <v>119000</v>
      </c>
      <c r="L185" s="10">
        <v>20</v>
      </c>
      <c r="M185" s="10">
        <v>2380000</v>
      </c>
      <c r="N185" s="70"/>
      <c r="O185" s="67">
        <v>45367</v>
      </c>
      <c r="P185" s="10">
        <v>2024</v>
      </c>
      <c r="Q185" s="10">
        <v>3</v>
      </c>
      <c r="R185" s="10" t="s">
        <v>3043</v>
      </c>
      <c r="S185" s="10" t="s">
        <v>6340</v>
      </c>
      <c r="T185" s="10" t="s">
        <v>6341</v>
      </c>
      <c r="U185" s="10">
        <v>1</v>
      </c>
      <c r="V185" s="10">
        <v>-67</v>
      </c>
      <c r="W185" s="67">
        <v>45376</v>
      </c>
      <c r="X185" s="11" t="s">
        <v>3049</v>
      </c>
      <c r="Y185" s="11" t="s">
        <v>4572</v>
      </c>
      <c r="Z185" s="11" t="s">
        <v>4586</v>
      </c>
      <c r="AA185" s="67">
        <v>45351</v>
      </c>
      <c r="AB185" s="67">
        <v>45352</v>
      </c>
      <c r="AC185" s="67">
        <v>45382</v>
      </c>
      <c r="AD185" s="67">
        <v>45381</v>
      </c>
      <c r="AE185" s="67">
        <v>45382</v>
      </c>
    </row>
    <row r="186" spans="1:31" ht="12.5">
      <c r="A186" s="10">
        <v>610422100165</v>
      </c>
      <c r="B186" s="10" t="s">
        <v>26</v>
      </c>
      <c r="D186" s="10">
        <v>1</v>
      </c>
      <c r="E186" s="10" t="s">
        <v>2855</v>
      </c>
      <c r="F186" s="10" t="s">
        <v>25</v>
      </c>
      <c r="G186" s="10" t="s">
        <v>2854</v>
      </c>
      <c r="H186" s="10" t="s">
        <v>67</v>
      </c>
      <c r="I186" s="10" t="s">
        <v>6321</v>
      </c>
      <c r="J186" s="10" t="s">
        <v>3034</v>
      </c>
      <c r="K186" s="66">
        <v>119000</v>
      </c>
      <c r="L186" s="10">
        <v>20</v>
      </c>
      <c r="M186" s="10">
        <v>2380000</v>
      </c>
      <c r="N186" s="70"/>
      <c r="O186" s="67">
        <v>45367</v>
      </c>
      <c r="P186" s="10">
        <v>2024</v>
      </c>
      <c r="Q186" s="10">
        <v>3</v>
      </c>
      <c r="R186" s="10" t="s">
        <v>3043</v>
      </c>
      <c r="S186" s="10" t="s">
        <v>6342</v>
      </c>
      <c r="T186" s="10" t="s">
        <v>6343</v>
      </c>
      <c r="U186" s="10">
        <v>1</v>
      </c>
      <c r="V186" s="10">
        <v>-67</v>
      </c>
      <c r="W186" s="67">
        <v>45376</v>
      </c>
      <c r="X186" s="11" t="s">
        <v>3049</v>
      </c>
      <c r="Y186" s="11" t="s">
        <v>3990</v>
      </c>
      <c r="Z186" s="11" t="s">
        <v>4332</v>
      </c>
      <c r="AA186" s="67">
        <v>45351</v>
      </c>
      <c r="AB186" s="67">
        <v>45352</v>
      </c>
      <c r="AC186" s="67">
        <v>45382</v>
      </c>
      <c r="AD186" s="67">
        <v>45381</v>
      </c>
      <c r="AE186" s="67">
        <v>45382</v>
      </c>
    </row>
    <row r="187" spans="1:31" ht="12.5">
      <c r="A187" s="10">
        <v>610422100139</v>
      </c>
      <c r="B187" s="10" t="s">
        <v>26</v>
      </c>
      <c r="D187" s="10">
        <v>1</v>
      </c>
      <c r="E187" s="10" t="s">
        <v>2842</v>
      </c>
      <c r="F187" s="10" t="s">
        <v>25</v>
      </c>
      <c r="G187" s="10" t="s">
        <v>2841</v>
      </c>
      <c r="H187" s="10" t="s">
        <v>67</v>
      </c>
      <c r="I187" s="10" t="s">
        <v>6321</v>
      </c>
      <c r="J187" s="10" t="s">
        <v>3034</v>
      </c>
      <c r="K187" s="66">
        <v>119000</v>
      </c>
      <c r="L187" s="10">
        <v>10</v>
      </c>
      <c r="M187" s="10">
        <v>1190000</v>
      </c>
      <c r="N187" s="70"/>
      <c r="O187" s="67">
        <v>45367</v>
      </c>
      <c r="P187" s="10">
        <v>2024</v>
      </c>
      <c r="Q187" s="10">
        <v>3</v>
      </c>
      <c r="R187" s="10" t="s">
        <v>3043</v>
      </c>
      <c r="S187" s="10" t="s">
        <v>6344</v>
      </c>
      <c r="T187" s="10" t="s">
        <v>6345</v>
      </c>
      <c r="U187" s="10">
        <v>1</v>
      </c>
      <c r="V187" s="10">
        <v>-67</v>
      </c>
      <c r="W187" s="67">
        <v>45376</v>
      </c>
      <c r="X187" s="11" t="s">
        <v>3049</v>
      </c>
      <c r="Y187" s="11" t="s">
        <v>4572</v>
      </c>
      <c r="Z187" s="11" t="s">
        <v>4814</v>
      </c>
      <c r="AA187" s="67">
        <v>45351</v>
      </c>
      <c r="AB187" s="67">
        <v>45352</v>
      </c>
      <c r="AC187" s="67">
        <v>45382</v>
      </c>
      <c r="AD187" s="67">
        <v>45381</v>
      </c>
      <c r="AE187" s="67">
        <v>45382</v>
      </c>
    </row>
    <row r="188" spans="1:31" ht="12.5">
      <c r="A188" s="10">
        <v>610422100137</v>
      </c>
      <c r="B188" s="10" t="s">
        <v>26</v>
      </c>
      <c r="D188" s="10">
        <v>1</v>
      </c>
      <c r="E188" s="10" t="s">
        <v>5985</v>
      </c>
      <c r="F188" s="10" t="s">
        <v>25</v>
      </c>
      <c r="G188" s="10" t="s">
        <v>1719</v>
      </c>
      <c r="H188" s="10" t="s">
        <v>67</v>
      </c>
      <c r="I188" s="10" t="s">
        <v>6321</v>
      </c>
      <c r="J188" s="10" t="s">
        <v>3034</v>
      </c>
      <c r="K188" s="66">
        <v>119000</v>
      </c>
      <c r="L188" s="10">
        <v>10</v>
      </c>
      <c r="M188" s="10">
        <v>1190000</v>
      </c>
      <c r="N188" s="70"/>
      <c r="O188" s="67">
        <v>45367</v>
      </c>
      <c r="P188" s="10">
        <v>2024</v>
      </c>
      <c r="Q188" s="10">
        <v>3</v>
      </c>
      <c r="R188" s="10" t="s">
        <v>3043</v>
      </c>
      <c r="S188" s="10" t="s">
        <v>6346</v>
      </c>
      <c r="T188" s="10" t="s">
        <v>6347</v>
      </c>
      <c r="U188" s="10">
        <v>1</v>
      </c>
      <c r="V188" s="10">
        <v>-67</v>
      </c>
      <c r="W188" s="67">
        <v>45376</v>
      </c>
      <c r="X188" s="11" t="s">
        <v>3049</v>
      </c>
      <c r="Y188" s="11" t="s">
        <v>5534</v>
      </c>
      <c r="Z188" s="11" t="s">
        <v>5535</v>
      </c>
      <c r="AA188" s="67">
        <v>45351</v>
      </c>
      <c r="AB188" s="67">
        <v>45352</v>
      </c>
      <c r="AC188" s="67">
        <v>45382</v>
      </c>
      <c r="AD188" s="67">
        <v>45381</v>
      </c>
      <c r="AE188" s="67">
        <v>45382</v>
      </c>
    </row>
    <row r="189" spans="1:31" ht="12.5">
      <c r="A189" s="10">
        <v>610422100144</v>
      </c>
      <c r="B189" s="10" t="s">
        <v>26</v>
      </c>
      <c r="D189" s="10">
        <v>1</v>
      </c>
      <c r="E189" s="10" t="s">
        <v>5970</v>
      </c>
      <c r="F189" s="10" t="s">
        <v>25</v>
      </c>
      <c r="G189" s="10" t="s">
        <v>1513</v>
      </c>
      <c r="H189" s="10" t="s">
        <v>67</v>
      </c>
      <c r="I189" s="10" t="s">
        <v>6321</v>
      </c>
      <c r="J189" s="10" t="s">
        <v>3034</v>
      </c>
      <c r="K189" s="66">
        <v>119000</v>
      </c>
      <c r="L189" s="10">
        <v>10</v>
      </c>
      <c r="M189" s="10">
        <v>1190000</v>
      </c>
      <c r="N189" s="70"/>
      <c r="O189" s="67">
        <v>45367</v>
      </c>
      <c r="P189" s="10">
        <v>2024</v>
      </c>
      <c r="Q189" s="10">
        <v>3</v>
      </c>
      <c r="R189" s="10" t="s">
        <v>3043</v>
      </c>
      <c r="S189" s="10" t="s">
        <v>6348</v>
      </c>
      <c r="T189" s="10" t="s">
        <v>6349</v>
      </c>
      <c r="U189" s="10">
        <v>1</v>
      </c>
      <c r="V189" s="10">
        <v>-67</v>
      </c>
      <c r="W189" s="67">
        <v>45376</v>
      </c>
      <c r="X189" s="11" t="s">
        <v>3049</v>
      </c>
      <c r="Y189" s="11" t="s">
        <v>5250</v>
      </c>
      <c r="Z189" s="11" t="s">
        <v>5488</v>
      </c>
      <c r="AA189" s="67">
        <v>45351</v>
      </c>
      <c r="AB189" s="67">
        <v>45352</v>
      </c>
      <c r="AC189" s="67">
        <v>45382</v>
      </c>
      <c r="AD189" s="67">
        <v>45381</v>
      </c>
      <c r="AE189" s="67">
        <v>45382</v>
      </c>
    </row>
    <row r="190" spans="1:31" ht="12.5">
      <c r="A190" s="10">
        <v>610422100236</v>
      </c>
      <c r="B190" s="10" t="s">
        <v>26</v>
      </c>
      <c r="D190" s="10">
        <v>1</v>
      </c>
      <c r="E190" s="10" t="s">
        <v>2726</v>
      </c>
      <c r="F190" s="10" t="s">
        <v>25</v>
      </c>
      <c r="G190" s="10" t="s">
        <v>2725</v>
      </c>
      <c r="H190" s="10" t="s">
        <v>67</v>
      </c>
      <c r="I190" s="10" t="s">
        <v>6321</v>
      </c>
      <c r="J190" s="10" t="s">
        <v>3034</v>
      </c>
      <c r="K190" s="66">
        <v>119000</v>
      </c>
      <c r="L190" s="10">
        <v>20</v>
      </c>
      <c r="M190" s="10">
        <v>2380000</v>
      </c>
      <c r="N190" s="70"/>
      <c r="O190" s="67">
        <v>45367</v>
      </c>
      <c r="P190" s="10">
        <v>2024</v>
      </c>
      <c r="Q190" s="10">
        <v>3</v>
      </c>
      <c r="R190" s="10" t="s">
        <v>3043</v>
      </c>
      <c r="S190" s="10" t="s">
        <v>6350</v>
      </c>
      <c r="T190" s="10" t="s">
        <v>6351</v>
      </c>
      <c r="U190" s="10">
        <v>1</v>
      </c>
      <c r="V190" s="10">
        <v>-67</v>
      </c>
      <c r="W190" s="67">
        <v>45376</v>
      </c>
      <c r="X190" s="11" t="s">
        <v>3049</v>
      </c>
      <c r="Y190" s="11" t="s">
        <v>5741</v>
      </c>
      <c r="Z190" s="11" t="s">
        <v>5742</v>
      </c>
      <c r="AA190" s="67">
        <v>45351</v>
      </c>
      <c r="AB190" s="67">
        <v>45352</v>
      </c>
      <c r="AC190" s="67">
        <v>45382</v>
      </c>
      <c r="AD190" s="67">
        <v>45381</v>
      </c>
      <c r="AE190" s="67">
        <v>45382</v>
      </c>
    </row>
    <row r="191" spans="1:31" ht="12.5">
      <c r="A191" s="10">
        <v>610422100016</v>
      </c>
      <c r="B191" s="10" t="s">
        <v>26</v>
      </c>
      <c r="D191" s="10">
        <v>1</v>
      </c>
      <c r="E191" s="10" t="s">
        <v>550</v>
      </c>
      <c r="F191" s="10" t="s">
        <v>25</v>
      </c>
      <c r="G191" s="10" t="s">
        <v>549</v>
      </c>
      <c r="H191" s="10" t="s">
        <v>67</v>
      </c>
      <c r="I191" s="10" t="s">
        <v>6321</v>
      </c>
      <c r="J191" s="10" t="s">
        <v>3034</v>
      </c>
      <c r="K191" s="66">
        <v>119000</v>
      </c>
      <c r="L191" s="10">
        <v>20</v>
      </c>
      <c r="M191" s="10">
        <v>2380000</v>
      </c>
      <c r="N191" s="70"/>
      <c r="O191" s="67">
        <v>45367</v>
      </c>
      <c r="P191" s="10">
        <v>2024</v>
      </c>
      <c r="Q191" s="10">
        <v>3</v>
      </c>
      <c r="R191" s="10" t="s">
        <v>3043</v>
      </c>
      <c r="S191" s="10" t="s">
        <v>6352</v>
      </c>
      <c r="T191" s="10" t="s">
        <v>6353</v>
      </c>
      <c r="U191" s="10">
        <v>1</v>
      </c>
      <c r="V191" s="10">
        <v>-67</v>
      </c>
      <c r="W191" s="67">
        <v>45376</v>
      </c>
      <c r="X191" s="11" t="s">
        <v>3049</v>
      </c>
      <c r="Y191" s="11" t="s">
        <v>5250</v>
      </c>
      <c r="Z191" s="11" t="s">
        <v>5365</v>
      </c>
      <c r="AA191" s="67">
        <v>45351</v>
      </c>
      <c r="AB191" s="67">
        <v>45352</v>
      </c>
      <c r="AC191" s="67">
        <v>45382</v>
      </c>
      <c r="AD191" s="67">
        <v>45381</v>
      </c>
      <c r="AE191" s="67">
        <v>45382</v>
      </c>
    </row>
    <row r="192" spans="1:31" ht="12.5">
      <c r="A192" s="10">
        <v>610422100101</v>
      </c>
      <c r="B192" s="10" t="s">
        <v>26</v>
      </c>
      <c r="D192" s="10">
        <v>1</v>
      </c>
      <c r="E192" s="10" t="s">
        <v>6043</v>
      </c>
      <c r="F192" s="10" t="s">
        <v>25</v>
      </c>
      <c r="G192" s="10" t="s">
        <v>2644</v>
      </c>
      <c r="H192" s="10" t="s">
        <v>67</v>
      </c>
      <c r="I192" s="10" t="s">
        <v>6321</v>
      </c>
      <c r="J192" s="10" t="s">
        <v>3034</v>
      </c>
      <c r="K192" s="66">
        <v>119000</v>
      </c>
      <c r="L192" s="10">
        <v>20</v>
      </c>
      <c r="M192" s="10">
        <v>2380000</v>
      </c>
      <c r="N192" s="70"/>
      <c r="O192" s="67">
        <v>45367</v>
      </c>
      <c r="P192" s="10">
        <v>2024</v>
      </c>
      <c r="Q192" s="10">
        <v>3</v>
      </c>
      <c r="R192" s="10" t="s">
        <v>3043</v>
      </c>
      <c r="S192" s="10" t="s">
        <v>6354</v>
      </c>
      <c r="T192" s="10" t="s">
        <v>6355</v>
      </c>
      <c r="U192" s="10">
        <v>1</v>
      </c>
      <c r="V192" s="10">
        <v>-67</v>
      </c>
      <c r="W192" s="67">
        <v>45376</v>
      </c>
      <c r="X192" s="11" t="s">
        <v>3049</v>
      </c>
      <c r="Y192" s="11" t="s">
        <v>4408</v>
      </c>
      <c r="Z192" s="11" t="s">
        <v>4409</v>
      </c>
      <c r="AA192" s="67">
        <v>45351</v>
      </c>
      <c r="AB192" s="67">
        <v>45352</v>
      </c>
      <c r="AC192" s="67">
        <v>45382</v>
      </c>
      <c r="AD192" s="67">
        <v>45381</v>
      </c>
      <c r="AE192" s="67">
        <v>45382</v>
      </c>
    </row>
    <row r="193" spans="1:31" ht="12.5">
      <c r="A193" s="10">
        <v>610422100147</v>
      </c>
      <c r="B193" s="10" t="s">
        <v>26</v>
      </c>
      <c r="D193" s="10">
        <v>1</v>
      </c>
      <c r="E193" s="10" t="s">
        <v>771</v>
      </c>
      <c r="F193" s="10" t="s">
        <v>25</v>
      </c>
      <c r="G193" s="10" t="s">
        <v>770</v>
      </c>
      <c r="H193" s="10" t="s">
        <v>67</v>
      </c>
      <c r="I193" s="10" t="s">
        <v>6321</v>
      </c>
      <c r="J193" s="10" t="s">
        <v>3034</v>
      </c>
      <c r="K193" s="66">
        <v>119000</v>
      </c>
      <c r="L193" s="10">
        <v>20</v>
      </c>
      <c r="M193" s="10">
        <v>2380000</v>
      </c>
      <c r="N193" s="70"/>
      <c r="O193" s="67">
        <v>45367</v>
      </c>
      <c r="P193" s="10">
        <v>2024</v>
      </c>
      <c r="Q193" s="10">
        <v>3</v>
      </c>
      <c r="R193" s="10" t="s">
        <v>3043</v>
      </c>
      <c r="S193" s="10" t="s">
        <v>6356</v>
      </c>
      <c r="T193" s="10" t="s">
        <v>6357</v>
      </c>
      <c r="U193" s="10">
        <v>1</v>
      </c>
      <c r="V193" s="10">
        <v>-67</v>
      </c>
      <c r="W193" s="67">
        <v>45376</v>
      </c>
      <c r="X193" s="11" t="s">
        <v>3049</v>
      </c>
      <c r="Y193" s="11" t="s">
        <v>5534</v>
      </c>
      <c r="Z193" s="11" t="s">
        <v>5714</v>
      </c>
      <c r="AA193" s="67">
        <v>45351</v>
      </c>
      <c r="AB193" s="67">
        <v>45352</v>
      </c>
      <c r="AC193" s="67">
        <v>45382</v>
      </c>
      <c r="AD193" s="67">
        <v>45381</v>
      </c>
      <c r="AE193" s="67">
        <v>45382</v>
      </c>
    </row>
    <row r="194" spans="1:31" ht="12.5">
      <c r="A194" s="10">
        <v>610422050008</v>
      </c>
      <c r="B194" s="10" t="s">
        <v>26</v>
      </c>
      <c r="D194" s="10">
        <v>1</v>
      </c>
      <c r="E194" s="10" t="s">
        <v>918</v>
      </c>
      <c r="F194" s="10" t="s">
        <v>25</v>
      </c>
      <c r="G194" s="10" t="s">
        <v>917</v>
      </c>
      <c r="H194" s="10" t="s">
        <v>67</v>
      </c>
      <c r="I194" s="10" t="s">
        <v>6321</v>
      </c>
      <c r="J194" s="10" t="s">
        <v>3034</v>
      </c>
      <c r="K194" s="66">
        <v>119000</v>
      </c>
      <c r="L194" s="10">
        <v>20</v>
      </c>
      <c r="M194" s="10">
        <v>2380000</v>
      </c>
      <c r="N194" s="70"/>
      <c r="O194" s="67">
        <v>45367</v>
      </c>
      <c r="P194" s="10">
        <v>2024</v>
      </c>
      <c r="Q194" s="10">
        <v>3</v>
      </c>
      <c r="R194" s="10" t="s">
        <v>3043</v>
      </c>
      <c r="S194" s="10" t="s">
        <v>6358</v>
      </c>
      <c r="T194" s="10" t="s">
        <v>6359</v>
      </c>
      <c r="U194" s="10">
        <v>1</v>
      </c>
      <c r="V194" s="10">
        <v>-67</v>
      </c>
      <c r="W194" s="67">
        <v>45376</v>
      </c>
      <c r="X194" s="11" t="s">
        <v>3049</v>
      </c>
      <c r="Y194" s="11" t="s">
        <v>5534</v>
      </c>
      <c r="Z194" s="11" t="s">
        <v>5670</v>
      </c>
      <c r="AA194" s="67">
        <v>45351</v>
      </c>
      <c r="AB194" s="67">
        <v>45352</v>
      </c>
      <c r="AC194" s="67">
        <v>45382</v>
      </c>
      <c r="AD194" s="67">
        <v>45381</v>
      </c>
      <c r="AE194" s="67">
        <v>45382</v>
      </c>
    </row>
    <row r="195" spans="1:31" ht="12.5">
      <c r="A195" s="10">
        <v>610422100085</v>
      </c>
      <c r="B195" s="10" t="s">
        <v>26</v>
      </c>
      <c r="D195" s="10">
        <v>1</v>
      </c>
      <c r="E195" s="10" t="s">
        <v>5981</v>
      </c>
      <c r="F195" s="10" t="s">
        <v>25</v>
      </c>
      <c r="G195" s="10" t="s">
        <v>1646</v>
      </c>
      <c r="H195" s="10" t="s">
        <v>67</v>
      </c>
      <c r="I195" s="10" t="s">
        <v>6321</v>
      </c>
      <c r="J195" s="10" t="s">
        <v>3034</v>
      </c>
      <c r="K195" s="66">
        <v>119000</v>
      </c>
      <c r="L195" s="10">
        <v>10</v>
      </c>
      <c r="M195" s="10">
        <v>1190000</v>
      </c>
      <c r="N195" s="70"/>
      <c r="O195" s="67">
        <v>45367</v>
      </c>
      <c r="P195" s="10">
        <v>2024</v>
      </c>
      <c r="Q195" s="10">
        <v>3</v>
      </c>
      <c r="R195" s="10" t="s">
        <v>3043</v>
      </c>
      <c r="S195" s="10" t="s">
        <v>6360</v>
      </c>
      <c r="T195" s="10" t="s">
        <v>6361</v>
      </c>
      <c r="U195" s="10">
        <v>1</v>
      </c>
      <c r="V195" s="10">
        <v>-67</v>
      </c>
      <c r="W195" s="67">
        <v>45376</v>
      </c>
      <c r="X195" s="11" t="s">
        <v>3049</v>
      </c>
      <c r="Y195" s="11" t="s">
        <v>3990</v>
      </c>
      <c r="Z195" s="11" t="s">
        <v>4087</v>
      </c>
      <c r="AA195" s="67">
        <v>45351</v>
      </c>
      <c r="AB195" s="67">
        <v>45352</v>
      </c>
      <c r="AC195" s="67">
        <v>45382</v>
      </c>
      <c r="AD195" s="67">
        <v>45381</v>
      </c>
      <c r="AE195" s="67">
        <v>45382</v>
      </c>
    </row>
    <row r="196" spans="1:31" ht="12.5">
      <c r="A196" s="10">
        <v>610422060001</v>
      </c>
      <c r="B196" s="10" t="s">
        <v>26</v>
      </c>
      <c r="D196" s="10">
        <v>1</v>
      </c>
      <c r="E196" s="10" t="s">
        <v>1042</v>
      </c>
      <c r="F196" s="10" t="s">
        <v>25</v>
      </c>
      <c r="G196" s="10" t="s">
        <v>1041</v>
      </c>
      <c r="H196" s="10" t="s">
        <v>67</v>
      </c>
      <c r="I196" s="10" t="s">
        <v>6321</v>
      </c>
      <c r="J196" s="10" t="s">
        <v>3034</v>
      </c>
      <c r="K196" s="66">
        <v>119000</v>
      </c>
      <c r="L196" s="10">
        <v>20</v>
      </c>
      <c r="M196" s="10">
        <v>2380000</v>
      </c>
      <c r="N196" s="70"/>
      <c r="O196" s="67">
        <v>45367</v>
      </c>
      <c r="P196" s="10">
        <v>2024</v>
      </c>
      <c r="Q196" s="10">
        <v>3</v>
      </c>
      <c r="R196" s="10" t="s">
        <v>3043</v>
      </c>
      <c r="S196" s="10" t="s">
        <v>6362</v>
      </c>
      <c r="T196" s="10" t="s">
        <v>6363</v>
      </c>
      <c r="U196" s="10">
        <v>1</v>
      </c>
      <c r="V196" s="10">
        <v>-67</v>
      </c>
      <c r="W196" s="67">
        <v>45376</v>
      </c>
      <c r="X196" s="11" t="s">
        <v>3049</v>
      </c>
      <c r="Y196" s="11" t="s">
        <v>5250</v>
      </c>
      <c r="Z196" s="11" t="s">
        <v>5415</v>
      </c>
      <c r="AA196" s="67">
        <v>45351</v>
      </c>
      <c r="AB196" s="67">
        <v>45352</v>
      </c>
      <c r="AC196" s="67">
        <v>45382</v>
      </c>
      <c r="AD196" s="67">
        <v>45381</v>
      </c>
      <c r="AE196" s="67">
        <v>45382</v>
      </c>
    </row>
    <row r="197" spans="1:31" ht="12.5">
      <c r="A197" s="10">
        <v>610422100001</v>
      </c>
      <c r="B197" s="10" t="s">
        <v>26</v>
      </c>
      <c r="D197" s="10">
        <v>1</v>
      </c>
      <c r="E197" s="10" t="s">
        <v>1177</v>
      </c>
      <c r="F197" s="10" t="s">
        <v>25</v>
      </c>
      <c r="G197" s="10" t="s">
        <v>1176</v>
      </c>
      <c r="H197" s="10" t="s">
        <v>67</v>
      </c>
      <c r="I197" s="10" t="s">
        <v>6321</v>
      </c>
      <c r="J197" s="10" t="s">
        <v>3034</v>
      </c>
      <c r="K197" s="66">
        <v>119000</v>
      </c>
      <c r="L197" s="10">
        <v>20</v>
      </c>
      <c r="M197" s="10">
        <v>2380000</v>
      </c>
      <c r="N197" s="70"/>
      <c r="O197" s="67">
        <v>45367</v>
      </c>
      <c r="P197" s="10">
        <v>2024</v>
      </c>
      <c r="Q197" s="10">
        <v>3</v>
      </c>
      <c r="R197" s="10" t="s">
        <v>3043</v>
      </c>
      <c r="S197" s="10" t="s">
        <v>6364</v>
      </c>
      <c r="T197" s="10" t="s">
        <v>6365</v>
      </c>
      <c r="U197" s="10">
        <v>1</v>
      </c>
      <c r="V197" s="10">
        <v>-67</v>
      </c>
      <c r="W197" s="67">
        <v>45376</v>
      </c>
      <c r="X197" s="11" t="s">
        <v>3049</v>
      </c>
      <c r="Y197" s="11" t="s">
        <v>3990</v>
      </c>
      <c r="Z197" s="11" t="s">
        <v>4332</v>
      </c>
      <c r="AA197" s="67">
        <v>45351</v>
      </c>
      <c r="AB197" s="67">
        <v>45352</v>
      </c>
      <c r="AC197" s="67">
        <v>45382</v>
      </c>
      <c r="AD197" s="67">
        <v>45381</v>
      </c>
      <c r="AE197" s="67">
        <v>45382</v>
      </c>
    </row>
    <row r="198" spans="1:31" ht="12.5">
      <c r="A198" s="10">
        <v>610422040034</v>
      </c>
      <c r="B198" s="10" t="s">
        <v>26</v>
      </c>
      <c r="D198" s="10">
        <v>1</v>
      </c>
      <c r="E198" s="10" t="s">
        <v>2110</v>
      </c>
      <c r="F198" s="10" t="s">
        <v>25</v>
      </c>
      <c r="G198" s="10" t="s">
        <v>2109</v>
      </c>
      <c r="H198" s="10" t="s">
        <v>67</v>
      </c>
      <c r="I198" s="10" t="s">
        <v>6321</v>
      </c>
      <c r="J198" s="10" t="s">
        <v>3034</v>
      </c>
      <c r="K198" s="66">
        <v>119000</v>
      </c>
      <c r="L198" s="10">
        <v>20</v>
      </c>
      <c r="M198" s="10">
        <v>2380000</v>
      </c>
      <c r="N198" s="70"/>
      <c r="O198" s="67">
        <v>45367</v>
      </c>
      <c r="P198" s="10">
        <v>2024</v>
      </c>
      <c r="Q198" s="10">
        <v>3</v>
      </c>
      <c r="R198" s="10" t="s">
        <v>3043</v>
      </c>
      <c r="S198" s="10" t="s">
        <v>6366</v>
      </c>
      <c r="T198" s="10" t="s">
        <v>6367</v>
      </c>
      <c r="U198" s="10">
        <v>1</v>
      </c>
      <c r="V198" s="10">
        <v>-67</v>
      </c>
      <c r="W198" s="67">
        <v>45376</v>
      </c>
      <c r="X198" s="11" t="s">
        <v>3049</v>
      </c>
      <c r="Y198" s="11" t="s">
        <v>4572</v>
      </c>
      <c r="Z198" s="11" t="s">
        <v>4841</v>
      </c>
      <c r="AA198" s="67">
        <v>45351</v>
      </c>
      <c r="AB198" s="67">
        <v>45352</v>
      </c>
      <c r="AC198" s="67">
        <v>45382</v>
      </c>
      <c r="AD198" s="67">
        <v>45381</v>
      </c>
      <c r="AE198" s="67">
        <v>45382</v>
      </c>
    </row>
    <row r="199" spans="1:31" ht="12.5">
      <c r="A199" s="10">
        <v>610422040058</v>
      </c>
      <c r="B199" s="10" t="s">
        <v>26</v>
      </c>
      <c r="D199" s="10">
        <v>1</v>
      </c>
      <c r="E199" s="10" t="s">
        <v>5976</v>
      </c>
      <c r="F199" s="10" t="s">
        <v>25</v>
      </c>
      <c r="G199" s="10" t="s">
        <v>1547</v>
      </c>
      <c r="H199" s="10" t="s">
        <v>67</v>
      </c>
      <c r="I199" s="10" t="s">
        <v>6321</v>
      </c>
      <c r="J199" s="10" t="s">
        <v>3034</v>
      </c>
      <c r="K199" s="66">
        <v>119000</v>
      </c>
      <c r="L199" s="10">
        <v>20</v>
      </c>
      <c r="M199" s="10">
        <v>2380000</v>
      </c>
      <c r="N199" s="70"/>
      <c r="O199" s="67">
        <v>45367</v>
      </c>
      <c r="P199" s="10">
        <v>2024</v>
      </c>
      <c r="Q199" s="10">
        <v>3</v>
      </c>
      <c r="R199" s="10" t="s">
        <v>3043</v>
      </c>
      <c r="S199" s="10" t="s">
        <v>6368</v>
      </c>
      <c r="T199" s="10" t="s">
        <v>6369</v>
      </c>
      <c r="U199" s="10">
        <v>1</v>
      </c>
      <c r="V199" s="10">
        <v>-67</v>
      </c>
      <c r="W199" s="67">
        <v>45376</v>
      </c>
      <c r="X199" s="11" t="s">
        <v>3049</v>
      </c>
      <c r="Y199" s="11" t="s">
        <v>3715</v>
      </c>
      <c r="Z199" s="11" t="s">
        <v>3716</v>
      </c>
      <c r="AA199" s="67">
        <v>45351</v>
      </c>
      <c r="AB199" s="67">
        <v>45352</v>
      </c>
      <c r="AC199" s="67">
        <v>45382</v>
      </c>
      <c r="AD199" s="67">
        <v>45381</v>
      </c>
      <c r="AE199" s="67">
        <v>45382</v>
      </c>
    </row>
    <row r="200" spans="1:31" ht="12.5">
      <c r="A200" s="10">
        <v>610422040052</v>
      </c>
      <c r="B200" s="10" t="s">
        <v>26</v>
      </c>
      <c r="D200" s="10">
        <v>1</v>
      </c>
      <c r="E200" s="10" t="s">
        <v>2952</v>
      </c>
      <c r="F200" s="10" t="s">
        <v>25</v>
      </c>
      <c r="G200" s="10" t="s">
        <v>2951</v>
      </c>
      <c r="H200" s="10" t="s">
        <v>67</v>
      </c>
      <c r="I200" s="10" t="s">
        <v>6321</v>
      </c>
      <c r="J200" s="10" t="s">
        <v>3034</v>
      </c>
      <c r="K200" s="66">
        <v>119000</v>
      </c>
      <c r="L200" s="10">
        <v>10</v>
      </c>
      <c r="M200" s="10">
        <v>1190000</v>
      </c>
      <c r="N200" s="70"/>
      <c r="O200" s="67">
        <v>45367</v>
      </c>
      <c r="P200" s="10">
        <v>2024</v>
      </c>
      <c r="Q200" s="10">
        <v>3</v>
      </c>
      <c r="R200" s="10" t="s">
        <v>3043</v>
      </c>
      <c r="S200" s="10" t="s">
        <v>6370</v>
      </c>
      <c r="T200" s="10" t="s">
        <v>6371</v>
      </c>
      <c r="U200" s="10">
        <v>1</v>
      </c>
      <c r="V200" s="10">
        <v>-67</v>
      </c>
      <c r="W200" s="67">
        <v>45376</v>
      </c>
      <c r="X200" s="11" t="s">
        <v>3049</v>
      </c>
      <c r="Y200" s="11" t="s">
        <v>4408</v>
      </c>
      <c r="Z200" s="11" t="s">
        <v>4487</v>
      </c>
      <c r="AA200" s="67">
        <v>45351</v>
      </c>
      <c r="AB200" s="67">
        <v>45352</v>
      </c>
      <c r="AC200" s="67">
        <v>45382</v>
      </c>
      <c r="AD200" s="67">
        <v>45381</v>
      </c>
      <c r="AE200" s="67">
        <v>45382</v>
      </c>
    </row>
    <row r="201" spans="1:31" ht="12.5">
      <c r="A201" s="10">
        <v>610422040061</v>
      </c>
      <c r="B201" s="10" t="s">
        <v>26</v>
      </c>
      <c r="D201" s="10">
        <v>1</v>
      </c>
      <c r="E201" s="10" t="s">
        <v>2440</v>
      </c>
      <c r="F201" s="10" t="s">
        <v>25</v>
      </c>
      <c r="G201" s="10" t="s">
        <v>2439</v>
      </c>
      <c r="H201" s="10" t="s">
        <v>67</v>
      </c>
      <c r="I201" s="10" t="s">
        <v>6321</v>
      </c>
      <c r="J201" s="10" t="s">
        <v>3034</v>
      </c>
      <c r="K201" s="66">
        <v>119000</v>
      </c>
      <c r="L201" s="10">
        <v>10</v>
      </c>
      <c r="M201" s="10">
        <v>1190000</v>
      </c>
      <c r="N201" s="70"/>
      <c r="O201" s="67">
        <v>45367</v>
      </c>
      <c r="P201" s="10">
        <v>2024</v>
      </c>
      <c r="Q201" s="10">
        <v>3</v>
      </c>
      <c r="R201" s="10" t="s">
        <v>3043</v>
      </c>
      <c r="S201" s="10" t="s">
        <v>6372</v>
      </c>
      <c r="T201" s="10" t="s">
        <v>6373</v>
      </c>
      <c r="U201" s="10">
        <v>1</v>
      </c>
      <c r="V201" s="10">
        <v>-67</v>
      </c>
      <c r="W201" s="67">
        <v>45376</v>
      </c>
      <c r="X201" s="11" t="s">
        <v>3049</v>
      </c>
      <c r="Y201" s="11" t="s">
        <v>3715</v>
      </c>
      <c r="Z201" s="11" t="s">
        <v>3862</v>
      </c>
      <c r="AA201" s="67">
        <v>45351</v>
      </c>
      <c r="AB201" s="67">
        <v>45352</v>
      </c>
      <c r="AC201" s="67">
        <v>45382</v>
      </c>
      <c r="AD201" s="67">
        <v>45381</v>
      </c>
      <c r="AE201" s="67">
        <v>45382</v>
      </c>
    </row>
    <row r="202" spans="1:31" ht="12.5">
      <c r="A202" s="10">
        <v>610422040006</v>
      </c>
      <c r="B202" s="10" t="s">
        <v>26</v>
      </c>
      <c r="D202" s="10">
        <v>1</v>
      </c>
      <c r="E202" s="10" t="s">
        <v>6020</v>
      </c>
      <c r="F202" s="10" t="s">
        <v>25</v>
      </c>
      <c r="G202" s="10" t="s">
        <v>2330</v>
      </c>
      <c r="H202" s="10" t="s">
        <v>67</v>
      </c>
      <c r="I202" s="10" t="s">
        <v>6321</v>
      </c>
      <c r="J202" s="10" t="s">
        <v>3034</v>
      </c>
      <c r="K202" s="66">
        <v>119000</v>
      </c>
      <c r="L202" s="10">
        <v>20</v>
      </c>
      <c r="M202" s="10">
        <v>2380000</v>
      </c>
      <c r="N202" s="70"/>
      <c r="O202" s="67">
        <v>45367</v>
      </c>
      <c r="P202" s="10">
        <v>2024</v>
      </c>
      <c r="Q202" s="10">
        <v>3</v>
      </c>
      <c r="R202" s="10" t="s">
        <v>3043</v>
      </c>
      <c r="S202" s="10" t="s">
        <v>6374</v>
      </c>
      <c r="T202" s="10" t="s">
        <v>6375</v>
      </c>
      <c r="U202" s="10">
        <v>1</v>
      </c>
      <c r="V202" s="10">
        <v>-67</v>
      </c>
      <c r="W202" s="67">
        <v>45376</v>
      </c>
      <c r="X202" s="11" t="s">
        <v>3049</v>
      </c>
      <c r="Y202" s="11" t="s">
        <v>4931</v>
      </c>
      <c r="Z202" s="11" t="s">
        <v>5104</v>
      </c>
      <c r="AA202" s="67">
        <v>45351</v>
      </c>
      <c r="AB202" s="67">
        <v>45352</v>
      </c>
      <c r="AC202" s="67">
        <v>45382</v>
      </c>
      <c r="AD202" s="67">
        <v>45381</v>
      </c>
      <c r="AE202" s="67">
        <v>45382</v>
      </c>
    </row>
    <row r="203" spans="1:31" ht="12.5">
      <c r="A203" s="10">
        <v>610422040028</v>
      </c>
      <c r="B203" s="10" t="s">
        <v>26</v>
      </c>
      <c r="D203" s="10">
        <v>1</v>
      </c>
      <c r="E203" s="10" t="s">
        <v>1274</v>
      </c>
      <c r="F203" s="10" t="s">
        <v>25</v>
      </c>
      <c r="G203" s="10" t="s">
        <v>1273</v>
      </c>
      <c r="H203" s="10" t="s">
        <v>67</v>
      </c>
      <c r="I203" s="10" t="s">
        <v>6321</v>
      </c>
      <c r="J203" s="10" t="s">
        <v>3034</v>
      </c>
      <c r="K203" s="66">
        <v>119000</v>
      </c>
      <c r="L203" s="10">
        <v>20</v>
      </c>
      <c r="M203" s="10">
        <v>2380000</v>
      </c>
      <c r="N203" s="70"/>
      <c r="O203" s="67">
        <v>45367</v>
      </c>
      <c r="P203" s="10">
        <v>2024</v>
      </c>
      <c r="Q203" s="10">
        <v>3</v>
      </c>
      <c r="R203" s="10" t="s">
        <v>3043</v>
      </c>
      <c r="S203" s="10" t="s">
        <v>6376</v>
      </c>
      <c r="T203" s="10" t="s">
        <v>6377</v>
      </c>
      <c r="U203" s="10">
        <v>1</v>
      </c>
      <c r="V203" s="10">
        <v>-67</v>
      </c>
      <c r="W203" s="67">
        <v>45376</v>
      </c>
      <c r="X203" s="11" t="s">
        <v>3049</v>
      </c>
      <c r="Y203" s="11" t="s">
        <v>4931</v>
      </c>
      <c r="Z203" s="11" t="s">
        <v>5036</v>
      </c>
      <c r="AA203" s="67">
        <v>45351</v>
      </c>
      <c r="AB203" s="67">
        <v>45352</v>
      </c>
      <c r="AC203" s="67">
        <v>45382</v>
      </c>
      <c r="AD203" s="67">
        <v>45381</v>
      </c>
      <c r="AE203" s="67">
        <v>45382</v>
      </c>
    </row>
    <row r="204" spans="1:31" ht="12.5">
      <c r="A204" s="10">
        <v>610422040035</v>
      </c>
      <c r="B204" s="10" t="s">
        <v>26</v>
      </c>
      <c r="D204" s="10">
        <v>1</v>
      </c>
      <c r="E204" s="10" t="s">
        <v>2281</v>
      </c>
      <c r="F204" s="10" t="s">
        <v>25</v>
      </c>
      <c r="G204" s="10" t="s">
        <v>2280</v>
      </c>
      <c r="H204" s="10" t="s">
        <v>67</v>
      </c>
      <c r="I204" s="10" t="s">
        <v>6321</v>
      </c>
      <c r="J204" s="10" t="s">
        <v>3034</v>
      </c>
      <c r="K204" s="66">
        <v>119000</v>
      </c>
      <c r="L204" s="10">
        <v>10</v>
      </c>
      <c r="M204" s="10">
        <v>1190000</v>
      </c>
      <c r="N204" s="70"/>
      <c r="O204" s="67">
        <v>45367</v>
      </c>
      <c r="P204" s="10">
        <v>2024</v>
      </c>
      <c r="Q204" s="10">
        <v>3</v>
      </c>
      <c r="R204" s="10" t="s">
        <v>3043</v>
      </c>
      <c r="S204" s="10" t="s">
        <v>6378</v>
      </c>
      <c r="T204" s="10" t="s">
        <v>6379</v>
      </c>
      <c r="U204" s="10">
        <v>1</v>
      </c>
      <c r="V204" s="10">
        <v>-67</v>
      </c>
      <c r="W204" s="67">
        <v>45376</v>
      </c>
      <c r="X204" s="11" t="s">
        <v>3049</v>
      </c>
      <c r="Y204" s="11" t="s">
        <v>4931</v>
      </c>
      <c r="Z204" s="11" t="s">
        <v>5171</v>
      </c>
      <c r="AA204" s="67">
        <v>45351</v>
      </c>
      <c r="AB204" s="67">
        <v>45352</v>
      </c>
      <c r="AC204" s="67">
        <v>45382</v>
      </c>
      <c r="AD204" s="67">
        <v>45381</v>
      </c>
      <c r="AE204" s="67">
        <v>45382</v>
      </c>
    </row>
    <row r="205" spans="1:31" ht="12.5">
      <c r="A205" s="10">
        <v>610422040049</v>
      </c>
      <c r="B205" s="10" t="s">
        <v>26</v>
      </c>
      <c r="D205" s="10">
        <v>1</v>
      </c>
      <c r="E205" s="10" t="s">
        <v>6044</v>
      </c>
      <c r="F205" s="10" t="s">
        <v>25</v>
      </c>
      <c r="G205" s="10" t="s">
        <v>2649</v>
      </c>
      <c r="H205" s="10" t="s">
        <v>67</v>
      </c>
      <c r="I205" s="10" t="s">
        <v>6321</v>
      </c>
      <c r="J205" s="10" t="s">
        <v>3034</v>
      </c>
      <c r="K205" s="66">
        <v>119000</v>
      </c>
      <c r="L205" s="10">
        <v>20</v>
      </c>
      <c r="M205" s="10">
        <v>2380000</v>
      </c>
      <c r="N205" s="70"/>
      <c r="O205" s="67">
        <v>45367</v>
      </c>
      <c r="P205" s="10">
        <v>2024</v>
      </c>
      <c r="Q205" s="10">
        <v>3</v>
      </c>
      <c r="R205" s="10" t="s">
        <v>3043</v>
      </c>
      <c r="S205" s="10" t="s">
        <v>6380</v>
      </c>
      <c r="T205" s="10" t="s">
        <v>6381</v>
      </c>
      <c r="U205" s="10">
        <v>1</v>
      </c>
      <c r="V205" s="10">
        <v>-67</v>
      </c>
      <c r="W205" s="67">
        <v>45376</v>
      </c>
      <c r="X205" s="11" t="s">
        <v>3049</v>
      </c>
      <c r="Y205" s="11" t="s">
        <v>3990</v>
      </c>
      <c r="Z205" s="11" t="s">
        <v>3990</v>
      </c>
      <c r="AA205" s="67">
        <v>45351</v>
      </c>
      <c r="AB205" s="67">
        <v>45352</v>
      </c>
      <c r="AC205" s="67">
        <v>45382</v>
      </c>
      <c r="AD205" s="67">
        <v>45381</v>
      </c>
      <c r="AE205" s="67">
        <v>45382</v>
      </c>
    </row>
    <row r="206" spans="1:31" ht="12.5">
      <c r="A206" s="10">
        <v>610422040033</v>
      </c>
      <c r="B206" s="10" t="s">
        <v>26</v>
      </c>
      <c r="D206" s="10">
        <v>1</v>
      </c>
      <c r="E206" s="10" t="s">
        <v>6012</v>
      </c>
      <c r="F206" s="10" t="s">
        <v>25</v>
      </c>
      <c r="G206" s="10" t="s">
        <v>2195</v>
      </c>
      <c r="H206" s="10" t="s">
        <v>67</v>
      </c>
      <c r="I206" s="10" t="s">
        <v>6321</v>
      </c>
      <c r="J206" s="10" t="s">
        <v>3034</v>
      </c>
      <c r="K206" s="66">
        <v>119000</v>
      </c>
      <c r="L206" s="10">
        <v>20</v>
      </c>
      <c r="M206" s="10">
        <v>2380000</v>
      </c>
      <c r="N206" s="70"/>
      <c r="O206" s="67">
        <v>45367</v>
      </c>
      <c r="P206" s="10">
        <v>2024</v>
      </c>
      <c r="Q206" s="10">
        <v>3</v>
      </c>
      <c r="R206" s="10" t="s">
        <v>3043</v>
      </c>
      <c r="S206" s="10" t="s">
        <v>6382</v>
      </c>
      <c r="T206" s="10" t="s">
        <v>6383</v>
      </c>
      <c r="U206" s="10">
        <v>1</v>
      </c>
      <c r="V206" s="10">
        <v>-67</v>
      </c>
      <c r="W206" s="67">
        <v>45376</v>
      </c>
      <c r="X206" s="11" t="s">
        <v>3049</v>
      </c>
      <c r="Y206" s="11" t="s">
        <v>3241</v>
      </c>
      <c r="Z206" s="11" t="s">
        <v>3289</v>
      </c>
      <c r="AA206" s="67">
        <v>45351</v>
      </c>
      <c r="AB206" s="67">
        <v>45352</v>
      </c>
      <c r="AC206" s="67">
        <v>45382</v>
      </c>
      <c r="AD206" s="67">
        <v>45381</v>
      </c>
      <c r="AE206" s="67">
        <v>45382</v>
      </c>
    </row>
    <row r="207" spans="1:31" ht="12.5">
      <c r="A207" s="10">
        <v>610422040050</v>
      </c>
      <c r="B207" s="10" t="s">
        <v>26</v>
      </c>
      <c r="D207" s="10">
        <v>1</v>
      </c>
      <c r="E207" s="10" t="s">
        <v>6010</v>
      </c>
      <c r="F207" s="10" t="s">
        <v>25</v>
      </c>
      <c r="G207" s="10" t="s">
        <v>2154</v>
      </c>
      <c r="H207" s="10" t="s">
        <v>67</v>
      </c>
      <c r="I207" s="10" t="s">
        <v>6321</v>
      </c>
      <c r="J207" s="10" t="s">
        <v>3034</v>
      </c>
      <c r="K207" s="66">
        <v>119000</v>
      </c>
      <c r="L207" s="10">
        <v>10</v>
      </c>
      <c r="M207" s="10">
        <v>1190000</v>
      </c>
      <c r="N207" s="70"/>
      <c r="O207" s="67">
        <v>45367</v>
      </c>
      <c r="P207" s="10">
        <v>2024</v>
      </c>
      <c r="Q207" s="10">
        <v>3</v>
      </c>
      <c r="R207" s="10" t="s">
        <v>3043</v>
      </c>
      <c r="S207" s="10" t="s">
        <v>6384</v>
      </c>
      <c r="T207" s="10" t="s">
        <v>6385</v>
      </c>
      <c r="U207" s="10">
        <v>1</v>
      </c>
      <c r="V207" s="10">
        <v>-67</v>
      </c>
      <c r="W207" s="67">
        <v>45376</v>
      </c>
      <c r="X207" s="11" t="s">
        <v>3049</v>
      </c>
      <c r="Y207" s="11" t="s">
        <v>3241</v>
      </c>
      <c r="Z207" s="11" t="s">
        <v>3289</v>
      </c>
      <c r="AA207" s="67">
        <v>45351</v>
      </c>
      <c r="AB207" s="67">
        <v>45352</v>
      </c>
      <c r="AC207" s="67">
        <v>45382</v>
      </c>
      <c r="AD207" s="67">
        <v>45381</v>
      </c>
      <c r="AE207" s="67">
        <v>45382</v>
      </c>
    </row>
    <row r="208" spans="1:31" ht="12.5">
      <c r="A208" s="10">
        <v>610422030002</v>
      </c>
      <c r="B208" s="10" t="s">
        <v>26</v>
      </c>
      <c r="D208" s="10">
        <v>1</v>
      </c>
      <c r="E208" s="10" t="s">
        <v>5934</v>
      </c>
      <c r="F208" s="10" t="s">
        <v>25</v>
      </c>
      <c r="G208" s="10" t="s">
        <v>929</v>
      </c>
      <c r="H208" s="10" t="s">
        <v>67</v>
      </c>
      <c r="I208" s="10" t="s">
        <v>6321</v>
      </c>
      <c r="J208" s="10" t="s">
        <v>3034</v>
      </c>
      <c r="K208" s="66">
        <v>119000</v>
      </c>
      <c r="L208" s="10">
        <v>20</v>
      </c>
      <c r="M208" s="10">
        <v>2380000</v>
      </c>
      <c r="N208" s="70"/>
      <c r="O208" s="67">
        <v>45367</v>
      </c>
      <c r="P208" s="10">
        <v>2024</v>
      </c>
      <c r="Q208" s="10">
        <v>3</v>
      </c>
      <c r="R208" s="10" t="s">
        <v>3043</v>
      </c>
      <c r="S208" s="10" t="s">
        <v>6386</v>
      </c>
      <c r="T208" s="10" t="s">
        <v>6387</v>
      </c>
      <c r="U208" s="10">
        <v>1</v>
      </c>
      <c r="V208" s="10">
        <v>-67</v>
      </c>
      <c r="W208" s="67">
        <v>45376</v>
      </c>
      <c r="X208" s="11" t="s">
        <v>3049</v>
      </c>
      <c r="Y208" s="11" t="s">
        <v>3715</v>
      </c>
      <c r="Z208" s="11" t="s">
        <v>3716</v>
      </c>
      <c r="AA208" s="67">
        <v>45351</v>
      </c>
      <c r="AB208" s="67">
        <v>45352</v>
      </c>
      <c r="AC208" s="67">
        <v>45382</v>
      </c>
      <c r="AD208" s="67">
        <v>45381</v>
      </c>
      <c r="AE208" s="67">
        <v>45382</v>
      </c>
    </row>
    <row r="209" spans="1:31" ht="12.5">
      <c r="A209" s="10">
        <v>610422040029</v>
      </c>
      <c r="B209" s="10" t="s">
        <v>26</v>
      </c>
      <c r="D209" s="10">
        <v>1</v>
      </c>
      <c r="E209" s="10" t="s">
        <v>3000</v>
      </c>
      <c r="F209" s="10" t="s">
        <v>25</v>
      </c>
      <c r="G209" s="10" t="s">
        <v>2999</v>
      </c>
      <c r="H209" s="10" t="s">
        <v>67</v>
      </c>
      <c r="I209" s="10" t="s">
        <v>6321</v>
      </c>
      <c r="J209" s="10" t="s">
        <v>3034</v>
      </c>
      <c r="K209" s="66">
        <v>119000</v>
      </c>
      <c r="L209" s="10">
        <v>20</v>
      </c>
      <c r="M209" s="10">
        <v>2380000</v>
      </c>
      <c r="N209" s="70"/>
      <c r="O209" s="67">
        <v>45367</v>
      </c>
      <c r="P209" s="10">
        <v>2024</v>
      </c>
      <c r="Q209" s="10">
        <v>3</v>
      </c>
      <c r="R209" s="10" t="s">
        <v>3043</v>
      </c>
      <c r="S209" s="10" t="s">
        <v>6388</v>
      </c>
      <c r="T209" s="10" t="s">
        <v>6389</v>
      </c>
      <c r="U209" s="10">
        <v>1</v>
      </c>
      <c r="V209" s="10">
        <v>-67</v>
      </c>
      <c r="W209" s="67">
        <v>45376</v>
      </c>
      <c r="X209" s="11" t="s">
        <v>3049</v>
      </c>
      <c r="Y209" s="11" t="s">
        <v>4572</v>
      </c>
      <c r="Z209" s="11" t="s">
        <v>4619</v>
      </c>
      <c r="AA209" s="67">
        <v>45351</v>
      </c>
      <c r="AB209" s="67">
        <v>45352</v>
      </c>
      <c r="AC209" s="67">
        <v>45382</v>
      </c>
      <c r="AD209" s="67">
        <v>45381</v>
      </c>
      <c r="AE209" s="67">
        <v>45382</v>
      </c>
    </row>
    <row r="210" spans="1:31" ht="12.5">
      <c r="A210" s="10">
        <v>610422040053</v>
      </c>
      <c r="B210" s="10" t="s">
        <v>26</v>
      </c>
      <c r="D210" s="10">
        <v>1</v>
      </c>
      <c r="E210" s="10" t="s">
        <v>2781</v>
      </c>
      <c r="F210" s="10" t="s">
        <v>25</v>
      </c>
      <c r="G210" s="10" t="s">
        <v>2780</v>
      </c>
      <c r="H210" s="10" t="s">
        <v>67</v>
      </c>
      <c r="I210" s="10" t="s">
        <v>6321</v>
      </c>
      <c r="J210" s="10" t="s">
        <v>3034</v>
      </c>
      <c r="K210" s="66">
        <v>119000</v>
      </c>
      <c r="L210" s="10">
        <v>10</v>
      </c>
      <c r="M210" s="10">
        <v>1190000</v>
      </c>
      <c r="N210" s="70"/>
      <c r="O210" s="67">
        <v>45367</v>
      </c>
      <c r="P210" s="10">
        <v>2024</v>
      </c>
      <c r="Q210" s="10">
        <v>3</v>
      </c>
      <c r="R210" s="10" t="s">
        <v>3043</v>
      </c>
      <c r="S210" s="10" t="s">
        <v>6390</v>
      </c>
      <c r="T210" s="10" t="s">
        <v>6391</v>
      </c>
      <c r="U210" s="10">
        <v>1</v>
      </c>
      <c r="V210" s="10">
        <v>-67</v>
      </c>
      <c r="W210" s="67">
        <v>45376</v>
      </c>
      <c r="X210" s="11" t="s">
        <v>3049</v>
      </c>
      <c r="Y210" s="11" t="s">
        <v>5250</v>
      </c>
      <c r="Z210" s="11" t="s">
        <v>5464</v>
      </c>
      <c r="AA210" s="67">
        <v>45351</v>
      </c>
      <c r="AB210" s="67">
        <v>45352</v>
      </c>
      <c r="AC210" s="67">
        <v>45382</v>
      </c>
      <c r="AD210" s="67">
        <v>45381</v>
      </c>
      <c r="AE210" s="67">
        <v>45382</v>
      </c>
    </row>
    <row r="211" spans="1:31" ht="12.5">
      <c r="A211" s="10">
        <v>610422040013</v>
      </c>
      <c r="B211" s="10" t="s">
        <v>26</v>
      </c>
      <c r="D211" s="10">
        <v>1</v>
      </c>
      <c r="E211" s="10" t="s">
        <v>6061</v>
      </c>
      <c r="F211" s="10" t="s">
        <v>25</v>
      </c>
      <c r="G211" s="10" t="s">
        <v>2956</v>
      </c>
      <c r="H211" s="10" t="s">
        <v>67</v>
      </c>
      <c r="I211" s="10" t="s">
        <v>6321</v>
      </c>
      <c r="J211" s="10" t="s">
        <v>3034</v>
      </c>
      <c r="K211" s="66">
        <v>119000</v>
      </c>
      <c r="L211" s="10">
        <v>20</v>
      </c>
      <c r="M211" s="10">
        <v>2380000</v>
      </c>
      <c r="N211" s="70"/>
      <c r="O211" s="67">
        <v>45367</v>
      </c>
      <c r="P211" s="10">
        <v>2024</v>
      </c>
      <c r="Q211" s="10">
        <v>3</v>
      </c>
      <c r="R211" s="10" t="s">
        <v>3043</v>
      </c>
      <c r="S211" s="10" t="s">
        <v>6392</v>
      </c>
      <c r="T211" s="10" t="s">
        <v>6393</v>
      </c>
      <c r="U211" s="10">
        <v>1</v>
      </c>
      <c r="V211" s="10">
        <v>-67</v>
      </c>
      <c r="W211" s="67">
        <v>45376</v>
      </c>
      <c r="X211" s="11" t="s">
        <v>3049</v>
      </c>
      <c r="Y211" s="11" t="s">
        <v>3715</v>
      </c>
      <c r="Z211" s="11" t="s">
        <v>3937</v>
      </c>
      <c r="AA211" s="67">
        <v>45351</v>
      </c>
      <c r="AB211" s="67">
        <v>45352</v>
      </c>
      <c r="AC211" s="67">
        <v>45382</v>
      </c>
      <c r="AD211" s="67">
        <v>45381</v>
      </c>
      <c r="AE211" s="67">
        <v>45382</v>
      </c>
    </row>
    <row r="212" spans="1:31" ht="12.5">
      <c r="A212" s="10">
        <v>610422020032</v>
      </c>
      <c r="B212" s="10" t="s">
        <v>26</v>
      </c>
      <c r="D212" s="10">
        <v>1</v>
      </c>
      <c r="E212" s="10" t="s">
        <v>1640</v>
      </c>
      <c r="F212" s="10" t="s">
        <v>25</v>
      </c>
      <c r="G212" s="10" t="s">
        <v>1639</v>
      </c>
      <c r="H212" s="10" t="s">
        <v>67</v>
      </c>
      <c r="I212" s="10" t="s">
        <v>6321</v>
      </c>
      <c r="J212" s="10" t="s">
        <v>3034</v>
      </c>
      <c r="K212" s="66">
        <v>119000</v>
      </c>
      <c r="L212" s="10">
        <v>10</v>
      </c>
      <c r="M212" s="10">
        <v>1190000</v>
      </c>
      <c r="N212" s="70"/>
      <c r="O212" s="67">
        <v>45367</v>
      </c>
      <c r="P212" s="10">
        <v>2024</v>
      </c>
      <c r="Q212" s="10">
        <v>3</v>
      </c>
      <c r="R212" s="10" t="s">
        <v>3043</v>
      </c>
      <c r="S212" s="10" t="s">
        <v>6394</v>
      </c>
      <c r="T212" s="10" t="s">
        <v>6395</v>
      </c>
      <c r="U212" s="10">
        <v>1</v>
      </c>
      <c r="V212" s="10">
        <v>-67</v>
      </c>
      <c r="W212" s="67">
        <v>45376</v>
      </c>
      <c r="X212" s="11" t="s">
        <v>3049</v>
      </c>
      <c r="Y212" s="11" t="s">
        <v>4931</v>
      </c>
      <c r="Z212" s="11" t="s">
        <v>5209</v>
      </c>
      <c r="AA212" s="67">
        <v>45351</v>
      </c>
      <c r="AB212" s="67">
        <v>45352</v>
      </c>
      <c r="AC212" s="67">
        <v>45382</v>
      </c>
      <c r="AD212" s="67">
        <v>45381</v>
      </c>
      <c r="AE212" s="67">
        <v>45382</v>
      </c>
    </row>
    <row r="213" spans="1:31" ht="12.5">
      <c r="A213" s="10">
        <v>610422020045</v>
      </c>
      <c r="B213" s="10" t="s">
        <v>26</v>
      </c>
      <c r="D213" s="10">
        <v>1</v>
      </c>
      <c r="E213" s="10" t="s">
        <v>1352</v>
      </c>
      <c r="F213" s="10" t="s">
        <v>25</v>
      </c>
      <c r="G213" s="10" t="s">
        <v>1351</v>
      </c>
      <c r="H213" s="10" t="s">
        <v>67</v>
      </c>
      <c r="I213" s="10" t="s">
        <v>6321</v>
      </c>
      <c r="J213" s="10" t="s">
        <v>3034</v>
      </c>
      <c r="K213" s="66">
        <v>119000</v>
      </c>
      <c r="L213" s="10">
        <v>20</v>
      </c>
      <c r="M213" s="10">
        <v>2380000</v>
      </c>
      <c r="N213" s="70"/>
      <c r="O213" s="67">
        <v>45367</v>
      </c>
      <c r="P213" s="10">
        <v>2024</v>
      </c>
      <c r="Q213" s="10">
        <v>3</v>
      </c>
      <c r="R213" s="10" t="s">
        <v>3043</v>
      </c>
      <c r="S213" s="10" t="s">
        <v>6396</v>
      </c>
      <c r="T213" s="10" t="s">
        <v>6397</v>
      </c>
      <c r="U213" s="10">
        <v>1</v>
      </c>
      <c r="V213" s="10">
        <v>-67</v>
      </c>
      <c r="W213" s="67">
        <v>45376</v>
      </c>
      <c r="X213" s="11" t="s">
        <v>3049</v>
      </c>
      <c r="Y213" s="11" t="s">
        <v>3241</v>
      </c>
      <c r="Z213" s="11" t="s">
        <v>3430</v>
      </c>
      <c r="AA213" s="67">
        <v>45351</v>
      </c>
      <c r="AB213" s="67">
        <v>45352</v>
      </c>
      <c r="AC213" s="67">
        <v>45382</v>
      </c>
      <c r="AD213" s="67">
        <v>45381</v>
      </c>
      <c r="AE213" s="67">
        <v>45382</v>
      </c>
    </row>
    <row r="214" spans="1:31" ht="12.5">
      <c r="A214" s="10">
        <v>610422030002</v>
      </c>
      <c r="B214" s="10" t="s">
        <v>110</v>
      </c>
      <c r="D214" s="10">
        <v>1</v>
      </c>
      <c r="E214" s="10" t="s">
        <v>5934</v>
      </c>
      <c r="F214" s="10" t="s">
        <v>25</v>
      </c>
      <c r="G214" s="10" t="s">
        <v>929</v>
      </c>
      <c r="H214" s="10" t="s">
        <v>67</v>
      </c>
      <c r="I214" s="10" t="s">
        <v>111</v>
      </c>
      <c r="J214" s="10" t="s">
        <v>164</v>
      </c>
      <c r="K214" s="66">
        <v>50000</v>
      </c>
      <c r="L214" s="10">
        <v>15</v>
      </c>
      <c r="M214" s="10">
        <v>750000</v>
      </c>
      <c r="O214" s="67">
        <v>45371</v>
      </c>
      <c r="P214" s="10">
        <v>2024</v>
      </c>
      <c r="Q214" s="10">
        <v>3</v>
      </c>
      <c r="R214" s="10" t="s">
        <v>3043</v>
      </c>
      <c r="S214" s="10" t="s">
        <v>6386</v>
      </c>
      <c r="T214" s="10" t="s">
        <v>6387</v>
      </c>
      <c r="U214" s="10">
        <v>1</v>
      </c>
      <c r="V214" s="10">
        <v>-63</v>
      </c>
      <c r="W214" s="67">
        <v>45426</v>
      </c>
      <c r="X214" s="11" t="s">
        <v>3089</v>
      </c>
      <c r="Y214" s="11" t="s">
        <v>3715</v>
      </c>
      <c r="Z214" s="11" t="s">
        <v>3716</v>
      </c>
      <c r="AA214" s="67">
        <v>45351</v>
      </c>
      <c r="AB214" s="67">
        <v>45352</v>
      </c>
      <c r="AC214" s="67">
        <v>45382</v>
      </c>
      <c r="AD214" s="67">
        <v>45381</v>
      </c>
      <c r="AE214" s="67">
        <v>45382</v>
      </c>
    </row>
    <row r="215" spans="1:31" ht="12.5">
      <c r="A215" s="10">
        <v>610422100244</v>
      </c>
      <c r="B215" s="10" t="s">
        <v>112</v>
      </c>
      <c r="D215" s="10">
        <v>1</v>
      </c>
      <c r="E215" s="10" t="s">
        <v>2633</v>
      </c>
      <c r="F215" s="10" t="s">
        <v>25</v>
      </c>
      <c r="G215" s="10" t="s">
        <v>2632</v>
      </c>
      <c r="H215" s="10" t="s">
        <v>67</v>
      </c>
      <c r="I215" s="10" t="s">
        <v>113</v>
      </c>
      <c r="J215" s="10" t="s">
        <v>164</v>
      </c>
      <c r="K215" s="66">
        <v>50000</v>
      </c>
      <c r="L215" s="10">
        <v>1</v>
      </c>
      <c r="M215" s="10">
        <v>50000</v>
      </c>
      <c r="O215" s="67">
        <v>45371</v>
      </c>
      <c r="P215" s="10">
        <v>2024</v>
      </c>
      <c r="Q215" s="10">
        <v>3</v>
      </c>
      <c r="R215" s="10" t="s">
        <v>3043</v>
      </c>
      <c r="S215" s="10" t="s">
        <v>6319</v>
      </c>
      <c r="T215" s="10" t="s">
        <v>6398</v>
      </c>
      <c r="U215" s="10">
        <v>1</v>
      </c>
      <c r="V215" s="10">
        <v>-63</v>
      </c>
      <c r="W215" s="67">
        <v>45426</v>
      </c>
      <c r="X215" s="11" t="s">
        <v>3072</v>
      </c>
      <c r="Y215" s="11" t="s">
        <v>5741</v>
      </c>
      <c r="Z215" s="11" t="s">
        <v>5796</v>
      </c>
      <c r="AA215" s="67">
        <v>45351</v>
      </c>
      <c r="AB215" s="67">
        <v>45352</v>
      </c>
      <c r="AC215" s="67">
        <v>45382</v>
      </c>
      <c r="AD215" s="67">
        <v>45381</v>
      </c>
      <c r="AE215" s="67">
        <v>45382</v>
      </c>
    </row>
    <row r="216" spans="1:31" ht="12.5">
      <c r="A216" s="10">
        <v>610422100124</v>
      </c>
      <c r="B216" s="10" t="s">
        <v>112</v>
      </c>
      <c r="D216" s="10">
        <v>1</v>
      </c>
      <c r="E216" s="10" t="s">
        <v>2237</v>
      </c>
      <c r="F216" s="10" t="s">
        <v>25</v>
      </c>
      <c r="G216" s="10" t="s">
        <v>2236</v>
      </c>
      <c r="H216" s="10" t="s">
        <v>67</v>
      </c>
      <c r="I216" s="10" t="s">
        <v>113</v>
      </c>
      <c r="J216" s="10" t="s">
        <v>164</v>
      </c>
      <c r="K216" s="66">
        <v>50000</v>
      </c>
      <c r="L216" s="10">
        <v>1</v>
      </c>
      <c r="M216" s="10">
        <v>50000</v>
      </c>
      <c r="O216" s="67">
        <v>45371</v>
      </c>
      <c r="P216" s="10">
        <v>2024</v>
      </c>
      <c r="Q216" s="10">
        <v>3</v>
      </c>
      <c r="R216" s="10" t="s">
        <v>3043</v>
      </c>
      <c r="S216" s="10" t="s">
        <v>6399</v>
      </c>
      <c r="T216" s="10" t="s">
        <v>6400</v>
      </c>
      <c r="U216" s="10">
        <v>1</v>
      </c>
      <c r="V216" s="10">
        <v>-63</v>
      </c>
      <c r="W216" s="67">
        <v>45426</v>
      </c>
      <c r="X216" s="11" t="s">
        <v>3072</v>
      </c>
      <c r="Y216" s="11" t="s">
        <v>1921</v>
      </c>
      <c r="Z216" s="11" t="s">
        <v>2140</v>
      </c>
      <c r="AA216" s="67">
        <v>45351</v>
      </c>
      <c r="AB216" s="67">
        <v>45352</v>
      </c>
      <c r="AC216" s="67">
        <v>45382</v>
      </c>
      <c r="AD216" s="67">
        <v>45381</v>
      </c>
      <c r="AE216" s="67">
        <v>45382</v>
      </c>
    </row>
    <row r="217" spans="1:31" ht="12.5">
      <c r="A217" s="10">
        <v>610422100016</v>
      </c>
      <c r="B217" s="10" t="s">
        <v>114</v>
      </c>
      <c r="D217" s="10">
        <v>1</v>
      </c>
      <c r="E217" s="10" t="s">
        <v>550</v>
      </c>
      <c r="F217" s="10" t="s">
        <v>25</v>
      </c>
      <c r="G217" s="10" t="s">
        <v>549</v>
      </c>
      <c r="H217" s="10" t="s">
        <v>72</v>
      </c>
      <c r="I217" s="10" t="s">
        <v>115</v>
      </c>
      <c r="J217" s="10" t="s">
        <v>164</v>
      </c>
      <c r="K217" s="66">
        <v>65000</v>
      </c>
      <c r="L217" s="10">
        <v>3</v>
      </c>
      <c r="M217" s="10">
        <v>195000</v>
      </c>
      <c r="O217" s="67">
        <v>45371</v>
      </c>
      <c r="P217" s="10">
        <v>2024</v>
      </c>
      <c r="Q217" s="10">
        <v>3</v>
      </c>
      <c r="R217" s="10" t="s">
        <v>3043</v>
      </c>
      <c r="S217" s="10" t="s">
        <v>6352</v>
      </c>
      <c r="T217" s="10" t="s">
        <v>6353</v>
      </c>
      <c r="U217" s="10">
        <v>1</v>
      </c>
      <c r="V217" s="10">
        <v>-63</v>
      </c>
      <c r="W217" s="67">
        <v>45426</v>
      </c>
      <c r="X217" s="11" t="s">
        <v>3106</v>
      </c>
      <c r="Y217" s="11" t="s">
        <v>5250</v>
      </c>
      <c r="Z217" s="11" t="s">
        <v>5365</v>
      </c>
      <c r="AA217" s="67">
        <v>45351</v>
      </c>
      <c r="AB217" s="67">
        <v>45352</v>
      </c>
      <c r="AC217" s="67">
        <v>45382</v>
      </c>
      <c r="AD217" s="67">
        <v>45381</v>
      </c>
      <c r="AE217" s="67">
        <v>45382</v>
      </c>
    </row>
    <row r="218" spans="1:31" ht="12.5">
      <c r="A218" s="10">
        <v>610422050001</v>
      </c>
      <c r="B218" s="10" t="s">
        <v>114</v>
      </c>
      <c r="D218" s="10">
        <v>1</v>
      </c>
      <c r="E218" s="10" t="s">
        <v>5949</v>
      </c>
      <c r="F218" s="10" t="s">
        <v>25</v>
      </c>
      <c r="G218" s="10" t="s">
        <v>1127</v>
      </c>
      <c r="H218" s="10" t="s">
        <v>72</v>
      </c>
      <c r="I218" s="10" t="s">
        <v>115</v>
      </c>
      <c r="J218" s="10" t="s">
        <v>164</v>
      </c>
      <c r="K218" s="66">
        <v>65000</v>
      </c>
      <c r="L218" s="10">
        <v>3</v>
      </c>
      <c r="M218" s="10">
        <v>195000</v>
      </c>
      <c r="O218" s="67">
        <v>45371</v>
      </c>
      <c r="P218" s="10">
        <v>2024</v>
      </c>
      <c r="Q218" s="10">
        <v>3</v>
      </c>
      <c r="R218" s="10" t="s">
        <v>3043</v>
      </c>
      <c r="S218" s="10" t="s">
        <v>6401</v>
      </c>
      <c r="T218" s="10" t="s">
        <v>6402</v>
      </c>
      <c r="U218" s="10">
        <v>1</v>
      </c>
      <c r="V218" s="10">
        <v>-63</v>
      </c>
      <c r="W218" s="67">
        <v>45426</v>
      </c>
      <c r="X218" s="11" t="s">
        <v>3106</v>
      </c>
      <c r="Y218" s="11" t="s">
        <v>4408</v>
      </c>
      <c r="Z218" s="11" t="s">
        <v>4409</v>
      </c>
      <c r="AA218" s="67">
        <v>45351</v>
      </c>
      <c r="AB218" s="67">
        <v>45352</v>
      </c>
      <c r="AC218" s="67">
        <v>45382</v>
      </c>
      <c r="AD218" s="67">
        <v>45381</v>
      </c>
      <c r="AE218" s="67">
        <v>45382</v>
      </c>
    </row>
    <row r="219" spans="1:31" ht="12.5">
      <c r="A219" s="10">
        <v>610422040030</v>
      </c>
      <c r="B219" s="10" t="s">
        <v>114</v>
      </c>
      <c r="D219" s="10">
        <v>1</v>
      </c>
      <c r="E219" s="10" t="s">
        <v>2697</v>
      </c>
      <c r="F219" s="10" t="s">
        <v>25</v>
      </c>
      <c r="G219" s="10" t="s">
        <v>2696</v>
      </c>
      <c r="H219" s="10" t="s">
        <v>74</v>
      </c>
      <c r="I219" s="10" t="s">
        <v>116</v>
      </c>
      <c r="J219" s="10" t="s">
        <v>164</v>
      </c>
      <c r="K219" s="66">
        <v>55000</v>
      </c>
      <c r="L219" s="10">
        <v>1</v>
      </c>
      <c r="M219" s="10">
        <v>55000</v>
      </c>
      <c r="O219" s="67">
        <v>45371</v>
      </c>
      <c r="P219" s="10">
        <v>2024</v>
      </c>
      <c r="Q219" s="10">
        <v>3</v>
      </c>
      <c r="R219" s="10" t="s">
        <v>3043</v>
      </c>
      <c r="S219" s="10" t="s">
        <v>6307</v>
      </c>
      <c r="T219" s="10" t="s">
        <v>6403</v>
      </c>
      <c r="U219" s="10">
        <v>1</v>
      </c>
      <c r="V219" s="10">
        <v>-63</v>
      </c>
      <c r="W219" s="67">
        <v>45426</v>
      </c>
      <c r="X219" s="11" t="s">
        <v>3106</v>
      </c>
      <c r="Y219" s="11" t="s">
        <v>3241</v>
      </c>
      <c r="Z219" s="11" t="s">
        <v>3289</v>
      </c>
      <c r="AA219" s="67">
        <v>45351</v>
      </c>
      <c r="AB219" s="67">
        <v>45352</v>
      </c>
      <c r="AC219" s="67">
        <v>45382</v>
      </c>
      <c r="AD219" s="67">
        <v>45381</v>
      </c>
      <c r="AE219" s="67">
        <v>45382</v>
      </c>
    </row>
    <row r="220" spans="1:31" ht="12.5">
      <c r="A220" s="10">
        <v>610422100124</v>
      </c>
      <c r="B220" s="10" t="s">
        <v>114</v>
      </c>
      <c r="D220" s="10">
        <v>1</v>
      </c>
      <c r="E220" s="10" t="s">
        <v>2237</v>
      </c>
      <c r="F220" s="10" t="s">
        <v>25</v>
      </c>
      <c r="G220" s="10" t="s">
        <v>2236</v>
      </c>
      <c r="H220" s="10" t="s">
        <v>74</v>
      </c>
      <c r="I220" s="10" t="s">
        <v>116</v>
      </c>
      <c r="J220" s="10" t="s">
        <v>164</v>
      </c>
      <c r="K220" s="66">
        <v>55000</v>
      </c>
      <c r="L220" s="10">
        <v>3</v>
      </c>
      <c r="M220" s="10">
        <v>165000</v>
      </c>
      <c r="O220" s="67">
        <v>45371</v>
      </c>
      <c r="P220" s="10">
        <v>2024</v>
      </c>
      <c r="Q220" s="10">
        <v>3</v>
      </c>
      <c r="R220" s="10" t="s">
        <v>3043</v>
      </c>
      <c r="S220" s="10" t="s">
        <v>6399</v>
      </c>
      <c r="T220" s="10" t="s">
        <v>6400</v>
      </c>
      <c r="U220" s="10">
        <v>1</v>
      </c>
      <c r="V220" s="10">
        <v>-63</v>
      </c>
      <c r="W220" s="67">
        <v>45426</v>
      </c>
      <c r="X220" s="11" t="s">
        <v>3106</v>
      </c>
      <c r="Y220" s="11" t="s">
        <v>1921</v>
      </c>
      <c r="Z220" s="11" t="s">
        <v>2140</v>
      </c>
      <c r="AA220" s="67">
        <v>45351</v>
      </c>
      <c r="AB220" s="67">
        <v>45352</v>
      </c>
      <c r="AC220" s="67">
        <v>45382</v>
      </c>
      <c r="AD220" s="67">
        <v>45381</v>
      </c>
      <c r="AE220" s="67">
        <v>45382</v>
      </c>
    </row>
    <row r="221" spans="1:31" ht="12.5">
      <c r="A221" s="10">
        <v>610422100244</v>
      </c>
      <c r="B221" s="10" t="s">
        <v>114</v>
      </c>
      <c r="D221" s="10">
        <v>1</v>
      </c>
      <c r="E221" s="10" t="s">
        <v>2633</v>
      </c>
      <c r="F221" s="10" t="s">
        <v>25</v>
      </c>
      <c r="G221" s="10" t="s">
        <v>2632</v>
      </c>
      <c r="H221" s="10" t="s">
        <v>74</v>
      </c>
      <c r="I221" s="10" t="s">
        <v>116</v>
      </c>
      <c r="J221" s="10" t="s">
        <v>164</v>
      </c>
      <c r="K221" s="66">
        <v>55000</v>
      </c>
      <c r="L221" s="10">
        <v>2</v>
      </c>
      <c r="M221" s="10">
        <v>110000</v>
      </c>
      <c r="O221" s="67">
        <v>45371</v>
      </c>
      <c r="P221" s="10">
        <v>2024</v>
      </c>
      <c r="Q221" s="10">
        <v>3</v>
      </c>
      <c r="R221" s="10" t="s">
        <v>3043</v>
      </c>
      <c r="S221" s="10" t="s">
        <v>6319</v>
      </c>
      <c r="T221" s="10" t="s">
        <v>6398</v>
      </c>
      <c r="U221" s="10">
        <v>1</v>
      </c>
      <c r="V221" s="10">
        <v>-63</v>
      </c>
      <c r="W221" s="67">
        <v>45426</v>
      </c>
      <c r="X221" s="11" t="s">
        <v>3106</v>
      </c>
      <c r="Y221" s="11" t="s">
        <v>5741</v>
      </c>
      <c r="Z221" s="11" t="s">
        <v>5796</v>
      </c>
      <c r="AA221" s="67">
        <v>45351</v>
      </c>
      <c r="AB221" s="67">
        <v>45352</v>
      </c>
      <c r="AC221" s="67">
        <v>45382</v>
      </c>
      <c r="AD221" s="67">
        <v>45381</v>
      </c>
      <c r="AE221" s="67">
        <v>45382</v>
      </c>
    </row>
    <row r="222" spans="1:31" ht="12.5">
      <c r="A222" s="10">
        <v>610422020016</v>
      </c>
      <c r="B222" s="10" t="s">
        <v>114</v>
      </c>
      <c r="D222" s="10">
        <v>1</v>
      </c>
      <c r="E222" s="10" t="s">
        <v>380</v>
      </c>
      <c r="F222" s="10" t="s">
        <v>25</v>
      </c>
      <c r="G222" s="10" t="s">
        <v>379</v>
      </c>
      <c r="H222" s="10" t="s">
        <v>74</v>
      </c>
      <c r="I222" s="10" t="s">
        <v>116</v>
      </c>
      <c r="J222" s="10" t="s">
        <v>164</v>
      </c>
      <c r="K222" s="66">
        <v>55000</v>
      </c>
      <c r="L222" s="10">
        <v>3</v>
      </c>
      <c r="M222" s="10">
        <v>165000</v>
      </c>
      <c r="O222" s="67">
        <v>45371</v>
      </c>
      <c r="P222" s="10">
        <v>2024</v>
      </c>
      <c r="Q222" s="10">
        <v>3</v>
      </c>
      <c r="R222" s="10" t="s">
        <v>3043</v>
      </c>
      <c r="S222" s="10" t="s">
        <v>6299</v>
      </c>
      <c r="T222" s="10" t="s">
        <v>6404</v>
      </c>
      <c r="U222" s="10">
        <v>1</v>
      </c>
      <c r="V222" s="10">
        <v>-63</v>
      </c>
      <c r="W222" s="67">
        <v>45426</v>
      </c>
      <c r="X222" s="11" t="s">
        <v>3106</v>
      </c>
      <c r="Y222" s="11" t="s">
        <v>5534</v>
      </c>
      <c r="Z222" s="11" t="s">
        <v>5535</v>
      </c>
      <c r="AA222" s="67">
        <v>45351</v>
      </c>
      <c r="AB222" s="67">
        <v>45352</v>
      </c>
      <c r="AC222" s="67">
        <v>45382</v>
      </c>
      <c r="AD222" s="67">
        <v>45381</v>
      </c>
      <c r="AE222" s="67">
        <v>45382</v>
      </c>
    </row>
    <row r="223" spans="1:31" ht="12.5">
      <c r="A223" s="10">
        <v>610422100016</v>
      </c>
      <c r="B223" s="10" t="s">
        <v>114</v>
      </c>
      <c r="D223" s="10">
        <v>1</v>
      </c>
      <c r="E223" s="10" t="s">
        <v>550</v>
      </c>
      <c r="F223" s="10" t="s">
        <v>25</v>
      </c>
      <c r="G223" s="10" t="s">
        <v>549</v>
      </c>
      <c r="H223" s="10" t="s">
        <v>74</v>
      </c>
      <c r="I223" s="10" t="s">
        <v>116</v>
      </c>
      <c r="J223" s="10" t="s">
        <v>164</v>
      </c>
      <c r="K223" s="66">
        <v>55000</v>
      </c>
      <c r="L223" s="10">
        <v>1</v>
      </c>
      <c r="M223" s="10">
        <v>55000</v>
      </c>
      <c r="O223" s="67">
        <v>45371</v>
      </c>
      <c r="P223" s="10">
        <v>2024</v>
      </c>
      <c r="Q223" s="10">
        <v>3</v>
      </c>
      <c r="R223" s="10" t="s">
        <v>3043</v>
      </c>
      <c r="S223" s="10" t="s">
        <v>6352</v>
      </c>
      <c r="T223" s="10" t="s">
        <v>6353</v>
      </c>
      <c r="U223" s="10">
        <v>1</v>
      </c>
      <c r="V223" s="10">
        <v>-63</v>
      </c>
      <c r="W223" s="67">
        <v>45426</v>
      </c>
      <c r="X223" s="11" t="s">
        <v>3106</v>
      </c>
      <c r="Y223" s="11" t="s">
        <v>5250</v>
      </c>
      <c r="Z223" s="11" t="s">
        <v>5365</v>
      </c>
      <c r="AA223" s="67">
        <v>45351</v>
      </c>
      <c r="AB223" s="67">
        <v>45352</v>
      </c>
      <c r="AC223" s="67">
        <v>45382</v>
      </c>
      <c r="AD223" s="67">
        <v>45381</v>
      </c>
      <c r="AE223" s="67">
        <v>45382</v>
      </c>
    </row>
    <row r="224" spans="1:31" ht="12.5">
      <c r="A224" s="10">
        <v>610422020048</v>
      </c>
      <c r="B224" s="10" t="s">
        <v>114</v>
      </c>
      <c r="D224" s="10">
        <v>1</v>
      </c>
      <c r="E224" s="10" t="s">
        <v>1359</v>
      </c>
      <c r="F224" s="10" t="s">
        <v>25</v>
      </c>
      <c r="G224" s="10" t="s">
        <v>1358</v>
      </c>
      <c r="H224" s="10" t="s">
        <v>74</v>
      </c>
      <c r="I224" s="10" t="s">
        <v>116</v>
      </c>
      <c r="J224" s="10" t="s">
        <v>164</v>
      </c>
      <c r="K224" s="66">
        <v>55000</v>
      </c>
      <c r="L224" s="10">
        <v>3</v>
      </c>
      <c r="M224" s="10">
        <v>165000</v>
      </c>
      <c r="O224" s="67">
        <v>45371</v>
      </c>
      <c r="P224" s="10">
        <v>2024</v>
      </c>
      <c r="Q224" s="10">
        <v>3</v>
      </c>
      <c r="R224" s="10" t="s">
        <v>3043</v>
      </c>
      <c r="S224" s="10" t="s">
        <v>6405</v>
      </c>
      <c r="T224" s="10" t="s">
        <v>6406</v>
      </c>
      <c r="U224" s="10">
        <v>1</v>
      </c>
      <c r="V224" s="10">
        <v>-63</v>
      </c>
      <c r="W224" s="67">
        <v>45426</v>
      </c>
      <c r="X224" s="11" t="s">
        <v>3106</v>
      </c>
      <c r="Y224" s="11" t="s">
        <v>4931</v>
      </c>
      <c r="Z224" s="11" t="s">
        <v>5171</v>
      </c>
      <c r="AA224" s="67">
        <v>45351</v>
      </c>
      <c r="AB224" s="67">
        <v>45352</v>
      </c>
      <c r="AC224" s="67">
        <v>45382</v>
      </c>
      <c r="AD224" s="67">
        <v>45381</v>
      </c>
      <c r="AE224" s="67">
        <v>45382</v>
      </c>
    </row>
    <row r="225" spans="1:31" ht="12.5">
      <c r="A225" s="10">
        <v>610422040029</v>
      </c>
      <c r="B225" s="10" t="s">
        <v>114</v>
      </c>
      <c r="D225" s="10">
        <v>1</v>
      </c>
      <c r="E225" s="10" t="s">
        <v>3000</v>
      </c>
      <c r="F225" s="10" t="s">
        <v>25</v>
      </c>
      <c r="G225" s="10" t="s">
        <v>2999</v>
      </c>
      <c r="H225" s="10" t="s">
        <v>74</v>
      </c>
      <c r="I225" s="10" t="s">
        <v>116</v>
      </c>
      <c r="J225" s="10" t="s">
        <v>164</v>
      </c>
      <c r="K225" s="66">
        <v>55000</v>
      </c>
      <c r="L225" s="10">
        <v>4</v>
      </c>
      <c r="M225" s="10">
        <v>220000</v>
      </c>
      <c r="O225" s="67">
        <v>45371</v>
      </c>
      <c r="P225" s="10">
        <v>2024</v>
      </c>
      <c r="Q225" s="10">
        <v>3</v>
      </c>
      <c r="R225" s="10" t="s">
        <v>3043</v>
      </c>
      <c r="S225" s="10" t="s">
        <v>6388</v>
      </c>
      <c r="T225" s="10" t="s">
        <v>6389</v>
      </c>
      <c r="U225" s="10">
        <v>1</v>
      </c>
      <c r="V225" s="10">
        <v>-63</v>
      </c>
      <c r="W225" s="67">
        <v>45426</v>
      </c>
      <c r="X225" s="11" t="s">
        <v>3106</v>
      </c>
      <c r="Y225" s="11" t="s">
        <v>4572</v>
      </c>
      <c r="Z225" s="11" t="s">
        <v>4619</v>
      </c>
      <c r="AA225" s="67">
        <v>45351</v>
      </c>
      <c r="AB225" s="67">
        <v>45352</v>
      </c>
      <c r="AC225" s="67">
        <v>45382</v>
      </c>
      <c r="AD225" s="67">
        <v>45381</v>
      </c>
      <c r="AE225" s="67">
        <v>45382</v>
      </c>
    </row>
    <row r="226" spans="1:31" ht="12.5">
      <c r="A226" s="10">
        <v>610422050001</v>
      </c>
      <c r="B226" s="10" t="s">
        <v>114</v>
      </c>
      <c r="D226" s="10">
        <v>1</v>
      </c>
      <c r="E226" s="10" t="s">
        <v>5949</v>
      </c>
      <c r="F226" s="10" t="s">
        <v>25</v>
      </c>
      <c r="G226" s="10" t="s">
        <v>1127</v>
      </c>
      <c r="H226" s="10" t="s">
        <v>74</v>
      </c>
      <c r="I226" s="10" t="s">
        <v>116</v>
      </c>
      <c r="J226" s="10" t="s">
        <v>164</v>
      </c>
      <c r="K226" s="66">
        <v>55000</v>
      </c>
      <c r="L226" s="10">
        <v>1</v>
      </c>
      <c r="M226" s="10">
        <v>55000</v>
      </c>
      <c r="O226" s="67">
        <v>45371</v>
      </c>
      <c r="P226" s="10">
        <v>2024</v>
      </c>
      <c r="Q226" s="10">
        <v>3</v>
      </c>
      <c r="R226" s="10" t="s">
        <v>3043</v>
      </c>
      <c r="S226" s="10" t="s">
        <v>6401</v>
      </c>
      <c r="T226" s="10" t="s">
        <v>6402</v>
      </c>
      <c r="U226" s="10">
        <v>1</v>
      </c>
      <c r="V226" s="10">
        <v>-63</v>
      </c>
      <c r="W226" s="67">
        <v>45426</v>
      </c>
      <c r="X226" s="11" t="s">
        <v>3106</v>
      </c>
      <c r="Y226" s="11" t="s">
        <v>4408</v>
      </c>
      <c r="Z226" s="11" t="s">
        <v>4409</v>
      </c>
      <c r="AA226" s="67">
        <v>45351</v>
      </c>
      <c r="AB226" s="67">
        <v>45352</v>
      </c>
      <c r="AC226" s="67">
        <v>45382</v>
      </c>
      <c r="AD226" s="67">
        <v>45381</v>
      </c>
      <c r="AE226" s="67">
        <v>45382</v>
      </c>
    </row>
    <row r="227" spans="1:31" ht="12.5">
      <c r="A227" s="10">
        <v>610422100124</v>
      </c>
      <c r="B227" s="10" t="s">
        <v>117</v>
      </c>
      <c r="D227" s="10">
        <v>1</v>
      </c>
      <c r="E227" s="10" t="s">
        <v>2237</v>
      </c>
      <c r="F227" s="10" t="s">
        <v>25</v>
      </c>
      <c r="G227" s="10" t="s">
        <v>2236</v>
      </c>
      <c r="H227" s="10" t="s">
        <v>67</v>
      </c>
      <c r="I227" s="10" t="s">
        <v>118</v>
      </c>
      <c r="J227" s="10" t="s">
        <v>164</v>
      </c>
      <c r="K227" s="66">
        <v>55000</v>
      </c>
      <c r="L227" s="10">
        <v>2</v>
      </c>
      <c r="M227" s="10">
        <v>110000</v>
      </c>
      <c r="O227" s="67">
        <v>45371</v>
      </c>
      <c r="P227" s="10">
        <v>2024</v>
      </c>
      <c r="Q227" s="10">
        <v>3</v>
      </c>
      <c r="R227" s="10" t="s">
        <v>3043</v>
      </c>
      <c r="S227" s="10" t="s">
        <v>6399</v>
      </c>
      <c r="T227" s="10" t="s">
        <v>6400</v>
      </c>
      <c r="U227" s="10">
        <v>1</v>
      </c>
      <c r="V227" s="10">
        <v>-63</v>
      </c>
      <c r="W227" s="67">
        <v>45426</v>
      </c>
      <c r="X227" s="11" t="s">
        <v>6962</v>
      </c>
      <c r="Y227" s="11" t="s">
        <v>1921</v>
      </c>
      <c r="Z227" s="11" t="s">
        <v>2140</v>
      </c>
      <c r="AA227" s="67">
        <v>45351</v>
      </c>
      <c r="AB227" s="67">
        <v>45352</v>
      </c>
      <c r="AC227" s="67">
        <v>45382</v>
      </c>
      <c r="AD227" s="67">
        <v>45381</v>
      </c>
      <c r="AE227" s="67">
        <v>45382</v>
      </c>
    </row>
    <row r="228" spans="1:31" ht="12.5">
      <c r="A228" s="10">
        <v>610422100244</v>
      </c>
      <c r="B228" s="10" t="s">
        <v>117</v>
      </c>
      <c r="D228" s="10">
        <v>1</v>
      </c>
      <c r="E228" s="10" t="s">
        <v>2633</v>
      </c>
      <c r="F228" s="10" t="s">
        <v>25</v>
      </c>
      <c r="G228" s="10" t="s">
        <v>2632</v>
      </c>
      <c r="H228" s="10" t="s">
        <v>67</v>
      </c>
      <c r="I228" s="10" t="s">
        <v>118</v>
      </c>
      <c r="J228" s="10" t="s">
        <v>164</v>
      </c>
      <c r="K228" s="66">
        <v>55000</v>
      </c>
      <c r="L228" s="10">
        <v>2</v>
      </c>
      <c r="M228" s="10">
        <v>110000</v>
      </c>
      <c r="O228" s="67">
        <v>45371</v>
      </c>
      <c r="P228" s="10">
        <v>2024</v>
      </c>
      <c r="Q228" s="10">
        <v>3</v>
      </c>
      <c r="R228" s="10" t="s">
        <v>3043</v>
      </c>
      <c r="S228" s="10" t="s">
        <v>6319</v>
      </c>
      <c r="T228" s="10" t="s">
        <v>6398</v>
      </c>
      <c r="U228" s="10">
        <v>1</v>
      </c>
      <c r="V228" s="10">
        <v>-63</v>
      </c>
      <c r="W228" s="67">
        <v>45426</v>
      </c>
      <c r="X228" s="11" t="s">
        <v>6962</v>
      </c>
      <c r="Y228" s="11" t="s">
        <v>5741</v>
      </c>
      <c r="Z228" s="11" t="s">
        <v>5796</v>
      </c>
      <c r="AA228" s="67">
        <v>45351</v>
      </c>
      <c r="AB228" s="67">
        <v>45352</v>
      </c>
      <c r="AC228" s="67">
        <v>45382</v>
      </c>
      <c r="AD228" s="67">
        <v>45381</v>
      </c>
      <c r="AE228" s="67">
        <v>45382</v>
      </c>
    </row>
    <row r="229" spans="1:31" ht="12.5">
      <c r="A229" s="10">
        <v>610422100165</v>
      </c>
      <c r="B229" s="10" t="s">
        <v>117</v>
      </c>
      <c r="D229" s="10">
        <v>1</v>
      </c>
      <c r="E229" s="10" t="s">
        <v>2855</v>
      </c>
      <c r="F229" s="10" t="s">
        <v>25</v>
      </c>
      <c r="G229" s="10" t="s">
        <v>2854</v>
      </c>
      <c r="H229" s="10" t="s">
        <v>67</v>
      </c>
      <c r="I229" s="10" t="s">
        <v>118</v>
      </c>
      <c r="J229" s="10" t="s">
        <v>164</v>
      </c>
      <c r="K229" s="66">
        <v>55000</v>
      </c>
      <c r="L229" s="10">
        <v>2</v>
      </c>
      <c r="M229" s="10">
        <v>110000</v>
      </c>
      <c r="O229" s="67">
        <v>45371</v>
      </c>
      <c r="P229" s="10">
        <v>2024</v>
      </c>
      <c r="Q229" s="10">
        <v>3</v>
      </c>
      <c r="R229" s="10" t="s">
        <v>3043</v>
      </c>
      <c r="S229" s="10" t="s">
        <v>6342</v>
      </c>
      <c r="T229" s="10" t="s">
        <v>6343</v>
      </c>
      <c r="U229" s="10">
        <v>1</v>
      </c>
      <c r="V229" s="10">
        <v>-63</v>
      </c>
      <c r="W229" s="67">
        <v>45426</v>
      </c>
      <c r="X229" s="11" t="s">
        <v>6962</v>
      </c>
      <c r="Y229" s="11" t="s">
        <v>3990</v>
      </c>
      <c r="Z229" s="11" t="s">
        <v>4332</v>
      </c>
      <c r="AA229" s="67">
        <v>45351</v>
      </c>
      <c r="AB229" s="67">
        <v>45352</v>
      </c>
      <c r="AC229" s="67">
        <v>45382</v>
      </c>
      <c r="AD229" s="67">
        <v>45381</v>
      </c>
      <c r="AE229" s="67">
        <v>45382</v>
      </c>
    </row>
    <row r="230" spans="1:31" ht="12.5">
      <c r="A230" s="10">
        <v>610422100165</v>
      </c>
      <c r="B230" s="10" t="s">
        <v>119</v>
      </c>
      <c r="D230" s="10">
        <v>1</v>
      </c>
      <c r="E230" s="10" t="s">
        <v>2855</v>
      </c>
      <c r="F230" s="10" t="s">
        <v>25</v>
      </c>
      <c r="G230" s="10" t="s">
        <v>2854</v>
      </c>
      <c r="H230" s="10" t="s">
        <v>67</v>
      </c>
      <c r="I230" s="10" t="s">
        <v>120</v>
      </c>
      <c r="J230" s="10" t="s">
        <v>164</v>
      </c>
      <c r="K230" s="66">
        <v>50000</v>
      </c>
      <c r="L230" s="10">
        <v>1</v>
      </c>
      <c r="M230" s="10">
        <v>50000</v>
      </c>
      <c r="O230" s="67">
        <v>45371</v>
      </c>
      <c r="P230" s="10">
        <v>2024</v>
      </c>
      <c r="Q230" s="10">
        <v>3</v>
      </c>
      <c r="R230" s="10" t="s">
        <v>3043</v>
      </c>
      <c r="S230" s="10" t="s">
        <v>6342</v>
      </c>
      <c r="T230" s="10" t="s">
        <v>6343</v>
      </c>
      <c r="U230" s="10">
        <v>1</v>
      </c>
      <c r="V230" s="10">
        <v>-63</v>
      </c>
      <c r="W230" s="67">
        <v>45426</v>
      </c>
      <c r="X230" s="11" t="s">
        <v>3130</v>
      </c>
      <c r="Y230" s="11" t="s">
        <v>3990</v>
      </c>
      <c r="Z230" s="11" t="s">
        <v>4332</v>
      </c>
      <c r="AA230" s="67">
        <v>45351</v>
      </c>
      <c r="AB230" s="67">
        <v>45352</v>
      </c>
      <c r="AC230" s="67">
        <v>45382</v>
      </c>
      <c r="AD230" s="67">
        <v>45381</v>
      </c>
      <c r="AE230" s="67">
        <v>45382</v>
      </c>
    </row>
    <row r="231" spans="1:31" ht="12.5">
      <c r="A231" s="10">
        <v>610422040029</v>
      </c>
      <c r="B231" s="10" t="s">
        <v>121</v>
      </c>
      <c r="D231" s="10">
        <v>1</v>
      </c>
      <c r="E231" s="10" t="s">
        <v>3000</v>
      </c>
      <c r="F231" s="10" t="s">
        <v>25</v>
      </c>
      <c r="G231" s="10" t="s">
        <v>2999</v>
      </c>
      <c r="H231" s="10" t="s">
        <v>67</v>
      </c>
      <c r="I231" s="10" t="s">
        <v>122</v>
      </c>
      <c r="J231" s="10" t="s">
        <v>164</v>
      </c>
      <c r="K231" s="66">
        <v>55000</v>
      </c>
      <c r="L231" s="10">
        <v>3</v>
      </c>
      <c r="M231" s="10">
        <v>165000</v>
      </c>
      <c r="O231" s="67">
        <v>45371</v>
      </c>
      <c r="P231" s="10">
        <v>2024</v>
      </c>
      <c r="Q231" s="10">
        <v>3</v>
      </c>
      <c r="R231" s="10" t="s">
        <v>3043</v>
      </c>
      <c r="S231" s="10" t="s">
        <v>6388</v>
      </c>
      <c r="T231" s="10" t="s">
        <v>6389</v>
      </c>
      <c r="U231" s="10">
        <v>1</v>
      </c>
      <c r="V231" s="10">
        <v>-63</v>
      </c>
      <c r="W231" s="67">
        <v>45426</v>
      </c>
      <c r="X231" s="11" t="s">
        <v>3152</v>
      </c>
      <c r="Y231" s="11" t="s">
        <v>4572</v>
      </c>
      <c r="Z231" s="11" t="s">
        <v>4619</v>
      </c>
      <c r="AA231" s="67">
        <v>45351</v>
      </c>
      <c r="AB231" s="67">
        <v>45352</v>
      </c>
      <c r="AC231" s="67">
        <v>45382</v>
      </c>
      <c r="AD231" s="67">
        <v>45381</v>
      </c>
      <c r="AE231" s="67">
        <v>45382</v>
      </c>
    </row>
    <row r="232" spans="1:31" ht="12.5">
      <c r="A232" s="10">
        <v>610422100165</v>
      </c>
      <c r="B232" s="10" t="s">
        <v>121</v>
      </c>
      <c r="D232" s="10">
        <v>1</v>
      </c>
      <c r="E232" s="10" t="s">
        <v>2855</v>
      </c>
      <c r="F232" s="10" t="s">
        <v>25</v>
      </c>
      <c r="G232" s="10" t="s">
        <v>2854</v>
      </c>
      <c r="H232" s="10" t="s">
        <v>67</v>
      </c>
      <c r="I232" s="10" t="s">
        <v>122</v>
      </c>
      <c r="J232" s="10" t="s">
        <v>164</v>
      </c>
      <c r="K232" s="66">
        <v>55000</v>
      </c>
      <c r="L232" s="10">
        <v>3</v>
      </c>
      <c r="M232" s="10">
        <v>165000</v>
      </c>
      <c r="O232" s="67">
        <v>45371</v>
      </c>
      <c r="P232" s="10">
        <v>2024</v>
      </c>
      <c r="Q232" s="10">
        <v>3</v>
      </c>
      <c r="R232" s="10" t="s">
        <v>3043</v>
      </c>
      <c r="S232" s="10" t="s">
        <v>6342</v>
      </c>
      <c r="T232" s="10" t="s">
        <v>6343</v>
      </c>
      <c r="U232" s="10">
        <v>1</v>
      </c>
      <c r="V232" s="10">
        <v>-63</v>
      </c>
      <c r="W232" s="67">
        <v>45426</v>
      </c>
      <c r="X232" s="11" t="s">
        <v>3152</v>
      </c>
      <c r="Y232" s="11" t="s">
        <v>3990</v>
      </c>
      <c r="Z232" s="11" t="s">
        <v>4332</v>
      </c>
      <c r="AA232" s="67">
        <v>45351</v>
      </c>
      <c r="AB232" s="67">
        <v>45352</v>
      </c>
      <c r="AC232" s="67">
        <v>45382</v>
      </c>
      <c r="AD232" s="67">
        <v>45381</v>
      </c>
      <c r="AE232" s="67">
        <v>45382</v>
      </c>
    </row>
    <row r="233" spans="1:31" ht="12.5">
      <c r="A233" s="10">
        <v>610422050001</v>
      </c>
      <c r="B233" s="10" t="s">
        <v>121</v>
      </c>
      <c r="D233" s="10">
        <v>1</v>
      </c>
      <c r="E233" s="10" t="s">
        <v>5949</v>
      </c>
      <c r="F233" s="10" t="s">
        <v>25</v>
      </c>
      <c r="G233" s="10" t="s">
        <v>1127</v>
      </c>
      <c r="H233" s="10" t="s">
        <v>67</v>
      </c>
      <c r="I233" s="10" t="s">
        <v>122</v>
      </c>
      <c r="J233" s="10" t="s">
        <v>164</v>
      </c>
      <c r="K233" s="66">
        <v>55000</v>
      </c>
      <c r="L233" s="10">
        <v>3</v>
      </c>
      <c r="M233" s="10">
        <v>165000</v>
      </c>
      <c r="O233" s="67">
        <v>45371</v>
      </c>
      <c r="P233" s="10">
        <v>2024</v>
      </c>
      <c r="Q233" s="10">
        <v>3</v>
      </c>
      <c r="R233" s="10" t="s">
        <v>3043</v>
      </c>
      <c r="S233" s="10" t="s">
        <v>6401</v>
      </c>
      <c r="T233" s="10" t="s">
        <v>6402</v>
      </c>
      <c r="U233" s="10">
        <v>1</v>
      </c>
      <c r="V233" s="10">
        <v>-63</v>
      </c>
      <c r="W233" s="67">
        <v>45426</v>
      </c>
      <c r="X233" s="11" t="s">
        <v>3152</v>
      </c>
      <c r="Y233" s="11" t="s">
        <v>4408</v>
      </c>
      <c r="Z233" s="11" t="s">
        <v>4409</v>
      </c>
      <c r="AA233" s="67">
        <v>45351</v>
      </c>
      <c r="AB233" s="67">
        <v>45352</v>
      </c>
      <c r="AC233" s="67">
        <v>45382</v>
      </c>
      <c r="AD233" s="67">
        <v>45381</v>
      </c>
      <c r="AE233" s="67">
        <v>45382</v>
      </c>
    </row>
    <row r="234" spans="1:31" ht="12.5">
      <c r="A234" s="10">
        <v>610422040056</v>
      </c>
      <c r="B234" s="10" t="s">
        <v>121</v>
      </c>
      <c r="D234" s="10">
        <v>1</v>
      </c>
      <c r="E234" s="10" t="s">
        <v>2825</v>
      </c>
      <c r="F234" s="10" t="s">
        <v>25</v>
      </c>
      <c r="G234" s="10" t="s">
        <v>2824</v>
      </c>
      <c r="H234" s="10" t="s">
        <v>67</v>
      </c>
      <c r="I234" s="10" t="s">
        <v>122</v>
      </c>
      <c r="J234" s="10" t="s">
        <v>164</v>
      </c>
      <c r="K234" s="66">
        <v>55000</v>
      </c>
      <c r="L234" s="10">
        <v>2</v>
      </c>
      <c r="M234" s="10">
        <v>110000</v>
      </c>
      <c r="O234" s="67">
        <v>45371</v>
      </c>
      <c r="P234" s="10">
        <v>2024</v>
      </c>
      <c r="Q234" s="10">
        <v>3</v>
      </c>
      <c r="R234" s="10" t="s">
        <v>3043</v>
      </c>
      <c r="S234" s="10" t="s">
        <v>6271</v>
      </c>
      <c r="T234" s="10" t="s">
        <v>6407</v>
      </c>
      <c r="U234" s="10">
        <v>1</v>
      </c>
      <c r="V234" s="10">
        <v>-63</v>
      </c>
      <c r="W234" s="67">
        <v>45426</v>
      </c>
      <c r="X234" s="11" t="s">
        <v>3152</v>
      </c>
      <c r="Y234" s="11" t="s">
        <v>4572</v>
      </c>
      <c r="Z234" s="11" t="s">
        <v>4656</v>
      </c>
      <c r="AA234" s="67">
        <v>45351</v>
      </c>
      <c r="AB234" s="67">
        <v>45352</v>
      </c>
      <c r="AC234" s="67">
        <v>45382</v>
      </c>
      <c r="AD234" s="67">
        <v>45381</v>
      </c>
      <c r="AE234" s="67">
        <v>45382</v>
      </c>
    </row>
    <row r="235" spans="1:31" ht="12.5">
      <c r="A235" s="10">
        <v>610422100129</v>
      </c>
      <c r="B235" s="10" t="s">
        <v>123</v>
      </c>
      <c r="D235" s="10">
        <v>1</v>
      </c>
      <c r="E235" s="10" t="s">
        <v>607</v>
      </c>
      <c r="F235" s="10" t="s">
        <v>25</v>
      </c>
      <c r="G235" s="10" t="s">
        <v>606</v>
      </c>
      <c r="H235" s="10" t="s">
        <v>67</v>
      </c>
      <c r="I235" s="10" t="s">
        <v>124</v>
      </c>
      <c r="J235" s="10" t="s">
        <v>164</v>
      </c>
      <c r="K235" s="66">
        <v>73000</v>
      </c>
      <c r="L235" s="10">
        <v>15</v>
      </c>
      <c r="M235" s="10">
        <v>1095000</v>
      </c>
      <c r="N235" s="70"/>
      <c r="O235" s="67">
        <v>45371</v>
      </c>
      <c r="P235" s="10">
        <v>2024</v>
      </c>
      <c r="Q235" s="10">
        <v>3</v>
      </c>
      <c r="R235" s="10" t="s">
        <v>3043</v>
      </c>
      <c r="S235" s="10" t="s">
        <v>6408</v>
      </c>
      <c r="T235" s="10" t="s">
        <v>6409</v>
      </c>
      <c r="U235" s="10">
        <v>1</v>
      </c>
      <c r="V235" s="10">
        <v>-63</v>
      </c>
      <c r="W235" s="67"/>
      <c r="X235" s="11" t="s">
        <v>3173</v>
      </c>
      <c r="Y235" s="11" t="s">
        <v>5250</v>
      </c>
      <c r="Z235" s="11" t="s">
        <v>5304</v>
      </c>
      <c r="AA235" s="67">
        <v>45351</v>
      </c>
      <c r="AB235" s="67">
        <v>45352</v>
      </c>
      <c r="AC235" s="67">
        <v>45382</v>
      </c>
      <c r="AD235" s="67">
        <v>45381</v>
      </c>
      <c r="AE235" s="67">
        <v>45382</v>
      </c>
    </row>
    <row r="236" spans="1:31" ht="12.5">
      <c r="A236" s="10">
        <v>610422020006</v>
      </c>
      <c r="B236" s="10" t="s">
        <v>26</v>
      </c>
      <c r="D236" s="10">
        <v>1</v>
      </c>
      <c r="E236" s="10" t="s">
        <v>2098</v>
      </c>
      <c r="F236" s="10" t="s">
        <v>90</v>
      </c>
      <c r="G236" s="10" t="s">
        <v>2097</v>
      </c>
      <c r="H236" s="10" t="s">
        <v>125</v>
      </c>
      <c r="I236" s="10" t="s">
        <v>6410</v>
      </c>
      <c r="J236" s="10" t="s">
        <v>3034</v>
      </c>
      <c r="K236" s="66">
        <v>27500</v>
      </c>
      <c r="L236" s="10">
        <v>63</v>
      </c>
      <c r="M236" s="10">
        <v>1732500</v>
      </c>
      <c r="N236" s="70"/>
      <c r="O236" s="67">
        <v>45373</v>
      </c>
      <c r="P236" s="10">
        <v>2024</v>
      </c>
      <c r="Q236" s="10">
        <v>3</v>
      </c>
      <c r="R236" s="10" t="s">
        <v>6237</v>
      </c>
      <c r="S236" s="10" t="s">
        <v>6290</v>
      </c>
      <c r="T236" s="10" t="s">
        <v>6291</v>
      </c>
      <c r="U236" s="10">
        <v>1</v>
      </c>
      <c r="V236" s="10">
        <v>-61</v>
      </c>
      <c r="W236" s="67">
        <v>45384</v>
      </c>
      <c r="X236" s="11" t="s">
        <v>3049</v>
      </c>
      <c r="Y236" s="11" t="s">
        <v>4572</v>
      </c>
      <c r="Z236" s="11" t="s">
        <v>4874</v>
      </c>
      <c r="AA236" s="67">
        <v>45351</v>
      </c>
      <c r="AB236" s="67">
        <v>45352</v>
      </c>
      <c r="AC236" s="67">
        <v>45382</v>
      </c>
      <c r="AD236" s="67">
        <v>45381</v>
      </c>
      <c r="AE236" s="67">
        <v>45382</v>
      </c>
    </row>
    <row r="237" spans="1:31" ht="12.5">
      <c r="A237" s="10">
        <v>617122110049</v>
      </c>
      <c r="B237" s="10" t="s">
        <v>26</v>
      </c>
      <c r="D237" s="10">
        <v>1</v>
      </c>
      <c r="E237" s="10" t="s">
        <v>1874</v>
      </c>
      <c r="F237" s="10" t="s">
        <v>90</v>
      </c>
      <c r="G237" s="10" t="s">
        <v>1873</v>
      </c>
      <c r="H237" s="10" t="s">
        <v>125</v>
      </c>
      <c r="I237" s="10" t="s">
        <v>6410</v>
      </c>
      <c r="J237" s="10" t="s">
        <v>3034</v>
      </c>
      <c r="K237" s="66">
        <v>27500</v>
      </c>
      <c r="L237" s="10">
        <v>64</v>
      </c>
      <c r="M237" s="10">
        <v>1760000</v>
      </c>
      <c r="N237" s="70"/>
      <c r="O237" s="67">
        <v>45373</v>
      </c>
      <c r="P237" s="10">
        <v>2024</v>
      </c>
      <c r="Q237" s="10">
        <v>3</v>
      </c>
      <c r="R237" s="10" t="s">
        <v>6237</v>
      </c>
      <c r="S237" s="10" t="s">
        <v>6411</v>
      </c>
      <c r="T237" s="10" t="s">
        <v>6412</v>
      </c>
      <c r="U237" s="10">
        <v>1</v>
      </c>
      <c r="V237" s="10">
        <v>-61</v>
      </c>
      <c r="W237" s="67">
        <v>45384</v>
      </c>
      <c r="X237" s="11" t="s">
        <v>3049</v>
      </c>
      <c r="Y237" s="11" t="s">
        <v>4931</v>
      </c>
      <c r="Z237" s="11" t="s">
        <v>4960</v>
      </c>
      <c r="AA237" s="67">
        <v>45351</v>
      </c>
      <c r="AB237" s="67">
        <v>45352</v>
      </c>
      <c r="AC237" s="67">
        <v>45382</v>
      </c>
      <c r="AD237" s="67">
        <v>45381</v>
      </c>
      <c r="AE237" s="67">
        <v>45382</v>
      </c>
    </row>
    <row r="238" spans="1:31" ht="12.5">
      <c r="A238" s="10">
        <v>610422100010</v>
      </c>
      <c r="B238" s="10" t="s">
        <v>26</v>
      </c>
      <c r="D238" s="10">
        <v>1</v>
      </c>
      <c r="E238" s="10" t="s">
        <v>1936</v>
      </c>
      <c r="F238" s="10" t="s">
        <v>90</v>
      </c>
      <c r="G238" s="10" t="s">
        <v>1935</v>
      </c>
      <c r="H238" s="10" t="s">
        <v>125</v>
      </c>
      <c r="I238" s="10" t="s">
        <v>6410</v>
      </c>
      <c r="J238" s="10" t="s">
        <v>3034</v>
      </c>
      <c r="K238" s="66">
        <v>27500</v>
      </c>
      <c r="L238" s="10">
        <v>58</v>
      </c>
      <c r="M238" s="10">
        <v>1595000</v>
      </c>
      <c r="N238" s="70"/>
      <c r="O238" s="67">
        <v>45373</v>
      </c>
      <c r="P238" s="10">
        <v>2024</v>
      </c>
      <c r="Q238" s="10">
        <v>3</v>
      </c>
      <c r="R238" s="10" t="s">
        <v>6237</v>
      </c>
      <c r="S238" s="10" t="s">
        <v>6413</v>
      </c>
      <c r="T238" s="10" t="s">
        <v>6414</v>
      </c>
      <c r="U238" s="10">
        <v>1</v>
      </c>
      <c r="V238" s="10">
        <v>-61</v>
      </c>
      <c r="W238" s="67">
        <v>45384</v>
      </c>
      <c r="X238" s="11" t="s">
        <v>3049</v>
      </c>
      <c r="Y238" s="11" t="s">
        <v>4572</v>
      </c>
      <c r="Z238" s="11" t="s">
        <v>4619</v>
      </c>
      <c r="AA238" s="67">
        <v>45351</v>
      </c>
      <c r="AB238" s="67">
        <v>45352</v>
      </c>
      <c r="AC238" s="67">
        <v>45382</v>
      </c>
      <c r="AD238" s="67">
        <v>45381</v>
      </c>
      <c r="AE238" s="67">
        <v>45382</v>
      </c>
    </row>
    <row r="239" spans="1:31" ht="12.5">
      <c r="A239" s="10">
        <v>610422100177</v>
      </c>
      <c r="B239" s="10" t="s">
        <v>26</v>
      </c>
      <c r="D239" s="10">
        <v>1</v>
      </c>
      <c r="E239" s="10" t="s">
        <v>571</v>
      </c>
      <c r="F239" s="10" t="s">
        <v>90</v>
      </c>
      <c r="G239" s="10" t="s">
        <v>570</v>
      </c>
      <c r="H239" s="10" t="s">
        <v>125</v>
      </c>
      <c r="I239" s="10" t="s">
        <v>6410</v>
      </c>
      <c r="J239" s="10" t="s">
        <v>3034</v>
      </c>
      <c r="K239" s="66">
        <v>27500</v>
      </c>
      <c r="L239" s="10">
        <v>64</v>
      </c>
      <c r="M239" s="10">
        <v>1760000</v>
      </c>
      <c r="N239" s="70"/>
      <c r="O239" s="67">
        <v>45373</v>
      </c>
      <c r="P239" s="10">
        <v>2024</v>
      </c>
      <c r="Q239" s="10">
        <v>3</v>
      </c>
      <c r="R239" s="10" t="s">
        <v>6237</v>
      </c>
      <c r="S239" s="10" t="s">
        <v>6415</v>
      </c>
      <c r="T239" s="10" t="s">
        <v>6416</v>
      </c>
      <c r="U239" s="10">
        <v>1</v>
      </c>
      <c r="V239" s="10">
        <v>-61</v>
      </c>
      <c r="W239" s="67">
        <v>45384</v>
      </c>
      <c r="X239" s="11" t="s">
        <v>3049</v>
      </c>
      <c r="Y239" s="11" t="s">
        <v>4572</v>
      </c>
      <c r="Z239" s="11" t="s">
        <v>4656</v>
      </c>
      <c r="AA239" s="67">
        <v>45351</v>
      </c>
      <c r="AB239" s="67">
        <v>45352</v>
      </c>
      <c r="AC239" s="67">
        <v>45382</v>
      </c>
      <c r="AD239" s="67">
        <v>45381</v>
      </c>
      <c r="AE239" s="67">
        <v>45382</v>
      </c>
    </row>
    <row r="240" spans="1:31" ht="12.5">
      <c r="A240" s="10">
        <v>610422100083</v>
      </c>
      <c r="B240" s="10" t="s">
        <v>26</v>
      </c>
      <c r="D240" s="10">
        <v>1</v>
      </c>
      <c r="E240" s="10" t="s">
        <v>5962</v>
      </c>
      <c r="F240" s="10" t="s">
        <v>90</v>
      </c>
      <c r="G240" s="10" t="s">
        <v>1429</v>
      </c>
      <c r="H240" s="10" t="s">
        <v>125</v>
      </c>
      <c r="I240" s="10" t="s">
        <v>6410</v>
      </c>
      <c r="J240" s="10" t="s">
        <v>3034</v>
      </c>
      <c r="K240" s="66">
        <v>27500</v>
      </c>
      <c r="L240" s="10">
        <v>62</v>
      </c>
      <c r="M240" s="10">
        <v>1705000</v>
      </c>
      <c r="N240" s="70"/>
      <c r="O240" s="67">
        <v>45373</v>
      </c>
      <c r="P240" s="10">
        <v>2024</v>
      </c>
      <c r="Q240" s="10">
        <v>3</v>
      </c>
      <c r="R240" s="10" t="s">
        <v>6237</v>
      </c>
      <c r="S240" s="10" t="s">
        <v>6417</v>
      </c>
      <c r="T240" s="10" t="s">
        <v>6418</v>
      </c>
      <c r="U240" s="10">
        <v>1</v>
      </c>
      <c r="V240" s="10">
        <v>-61</v>
      </c>
      <c r="W240" s="67">
        <v>45384</v>
      </c>
      <c r="X240" s="11" t="s">
        <v>3049</v>
      </c>
      <c r="Y240" s="11" t="s">
        <v>4572</v>
      </c>
      <c r="Z240" s="11" t="s">
        <v>4619</v>
      </c>
      <c r="AA240" s="67">
        <v>45351</v>
      </c>
      <c r="AB240" s="67">
        <v>45352</v>
      </c>
      <c r="AC240" s="67">
        <v>45382</v>
      </c>
      <c r="AD240" s="67">
        <v>45381</v>
      </c>
      <c r="AE240" s="67">
        <v>45382</v>
      </c>
    </row>
    <row r="241" spans="1:31" ht="12.5">
      <c r="A241" s="10">
        <v>610422110006</v>
      </c>
      <c r="B241" s="10" t="s">
        <v>26</v>
      </c>
      <c r="D241" s="10">
        <v>1</v>
      </c>
      <c r="E241" s="10" t="s">
        <v>1898</v>
      </c>
      <c r="F241" s="10" t="s">
        <v>90</v>
      </c>
      <c r="G241" s="10" t="s">
        <v>1897</v>
      </c>
      <c r="H241" s="10" t="s">
        <v>125</v>
      </c>
      <c r="I241" s="10" t="s">
        <v>6410</v>
      </c>
      <c r="J241" s="10" t="s">
        <v>3034</v>
      </c>
      <c r="K241" s="66">
        <v>27500</v>
      </c>
      <c r="L241" s="10">
        <v>60</v>
      </c>
      <c r="M241" s="10">
        <v>1650000</v>
      </c>
      <c r="N241" s="70"/>
      <c r="O241" s="67">
        <v>45373</v>
      </c>
      <c r="P241" s="10">
        <v>2024</v>
      </c>
      <c r="Q241" s="10">
        <v>3</v>
      </c>
      <c r="R241" s="10" t="s">
        <v>6237</v>
      </c>
      <c r="S241" s="10" t="s">
        <v>6419</v>
      </c>
      <c r="T241" s="10" t="s">
        <v>6420</v>
      </c>
      <c r="U241" s="10">
        <v>1</v>
      </c>
      <c r="V241" s="10">
        <v>-61</v>
      </c>
      <c r="W241" s="67">
        <v>45384</v>
      </c>
      <c r="X241" s="11" t="s">
        <v>3049</v>
      </c>
      <c r="Y241" s="11" t="s">
        <v>4572</v>
      </c>
      <c r="Z241" s="11" t="s">
        <v>4656</v>
      </c>
      <c r="AA241" s="67">
        <v>45351</v>
      </c>
      <c r="AB241" s="67">
        <v>45352</v>
      </c>
      <c r="AC241" s="67">
        <v>45382</v>
      </c>
      <c r="AD241" s="67">
        <v>45381</v>
      </c>
      <c r="AE241" s="67">
        <v>45382</v>
      </c>
    </row>
    <row r="242" spans="1:31" ht="12.5">
      <c r="A242" s="10">
        <v>610422110005</v>
      </c>
      <c r="B242" s="10" t="s">
        <v>26</v>
      </c>
      <c r="D242" s="10">
        <v>1</v>
      </c>
      <c r="E242" s="10" t="s">
        <v>5967</v>
      </c>
      <c r="F242" s="10" t="s">
        <v>90</v>
      </c>
      <c r="G242" s="10" t="s">
        <v>1481</v>
      </c>
      <c r="H242" s="10" t="s">
        <v>125</v>
      </c>
      <c r="I242" s="10" t="s">
        <v>6410</v>
      </c>
      <c r="J242" s="10" t="s">
        <v>3034</v>
      </c>
      <c r="K242" s="66">
        <v>27500</v>
      </c>
      <c r="L242" s="10">
        <v>71</v>
      </c>
      <c r="M242" s="10">
        <v>1952500</v>
      </c>
      <c r="N242" s="70"/>
      <c r="O242" s="67">
        <v>45373</v>
      </c>
      <c r="P242" s="10">
        <v>2024</v>
      </c>
      <c r="Q242" s="10">
        <v>3</v>
      </c>
      <c r="R242" s="10" t="s">
        <v>6237</v>
      </c>
      <c r="S242" s="10" t="s">
        <v>6421</v>
      </c>
      <c r="T242" s="10" t="s">
        <v>6422</v>
      </c>
      <c r="U242" s="10">
        <v>1</v>
      </c>
      <c r="V242" s="10">
        <v>-61</v>
      </c>
      <c r="W242" s="67">
        <v>45384</v>
      </c>
      <c r="X242" s="11" t="s">
        <v>3049</v>
      </c>
      <c r="Y242" s="11" t="s">
        <v>4572</v>
      </c>
      <c r="Z242" s="11" t="s">
        <v>4874</v>
      </c>
      <c r="AA242" s="67">
        <v>45351</v>
      </c>
      <c r="AB242" s="67">
        <v>45352</v>
      </c>
      <c r="AC242" s="67">
        <v>45382</v>
      </c>
      <c r="AD242" s="67">
        <v>45381</v>
      </c>
      <c r="AE242" s="67">
        <v>45382</v>
      </c>
    </row>
    <row r="243" spans="1:31" ht="12.5">
      <c r="A243" s="10">
        <v>610423090021</v>
      </c>
      <c r="B243" s="10" t="s">
        <v>26</v>
      </c>
      <c r="D243" s="10">
        <v>1</v>
      </c>
      <c r="E243" s="10" t="s">
        <v>2731</v>
      </c>
      <c r="F243" s="10" t="s">
        <v>90</v>
      </c>
      <c r="G243" s="10" t="s">
        <v>2730</v>
      </c>
      <c r="H243" s="10" t="s">
        <v>125</v>
      </c>
      <c r="I243" s="10" t="s">
        <v>6410</v>
      </c>
      <c r="J243" s="10" t="s">
        <v>3034</v>
      </c>
      <c r="K243" s="66">
        <v>27500</v>
      </c>
      <c r="L243" s="10">
        <v>58</v>
      </c>
      <c r="M243" s="10">
        <v>1595000</v>
      </c>
      <c r="N243" s="70"/>
      <c r="O243" s="67">
        <v>45373</v>
      </c>
      <c r="P243" s="10">
        <v>2024</v>
      </c>
      <c r="Q243" s="10">
        <v>3</v>
      </c>
      <c r="R243" s="10" t="s">
        <v>6237</v>
      </c>
      <c r="S243" s="10" t="s">
        <v>6423</v>
      </c>
      <c r="T243" s="10" t="s">
        <v>6424</v>
      </c>
      <c r="U243" s="10">
        <v>1</v>
      </c>
      <c r="V243" s="10">
        <v>-61</v>
      </c>
      <c r="W243" s="67">
        <v>45384</v>
      </c>
      <c r="X243" s="11" t="s">
        <v>3049</v>
      </c>
      <c r="Y243" s="11" t="s">
        <v>4572</v>
      </c>
      <c r="Z243" s="11" t="s">
        <v>4656</v>
      </c>
      <c r="AA243" s="67">
        <v>45351</v>
      </c>
      <c r="AB243" s="67">
        <v>45352</v>
      </c>
      <c r="AC243" s="67">
        <v>45382</v>
      </c>
      <c r="AD243" s="67">
        <v>45381</v>
      </c>
      <c r="AE243" s="67">
        <v>45382</v>
      </c>
    </row>
    <row r="244" spans="1:31" ht="12.5">
      <c r="A244" s="10">
        <v>610423110150</v>
      </c>
      <c r="B244" s="10" t="s">
        <v>26</v>
      </c>
      <c r="D244" s="10">
        <v>1</v>
      </c>
      <c r="E244" s="10" t="s">
        <v>2364</v>
      </c>
      <c r="F244" s="10" t="s">
        <v>90</v>
      </c>
      <c r="G244" s="10" t="s">
        <v>2363</v>
      </c>
      <c r="H244" s="10" t="s">
        <v>125</v>
      </c>
      <c r="I244" s="10" t="s">
        <v>6410</v>
      </c>
      <c r="J244" s="10" t="s">
        <v>3034</v>
      </c>
      <c r="K244" s="66">
        <v>27500</v>
      </c>
      <c r="L244" s="10">
        <v>58</v>
      </c>
      <c r="M244" s="10">
        <v>1595000</v>
      </c>
      <c r="N244" s="70"/>
      <c r="O244" s="67">
        <v>45373</v>
      </c>
      <c r="P244" s="10">
        <v>2024</v>
      </c>
      <c r="Q244" s="10">
        <v>3</v>
      </c>
      <c r="R244" s="10" t="s">
        <v>6237</v>
      </c>
      <c r="S244" s="10" t="s">
        <v>6292</v>
      </c>
      <c r="T244" s="10" t="s">
        <v>6293</v>
      </c>
      <c r="U244" s="10">
        <v>1</v>
      </c>
      <c r="V244" s="10">
        <v>-61</v>
      </c>
      <c r="W244" s="67">
        <v>45384</v>
      </c>
      <c r="X244" s="11" t="s">
        <v>3049</v>
      </c>
      <c r="Y244" s="11" t="s">
        <v>4572</v>
      </c>
      <c r="Z244" s="11" t="s">
        <v>4619</v>
      </c>
      <c r="AA244" s="67">
        <v>45351</v>
      </c>
      <c r="AB244" s="67">
        <v>45352</v>
      </c>
      <c r="AC244" s="67">
        <v>45382</v>
      </c>
      <c r="AD244" s="67">
        <v>45381</v>
      </c>
      <c r="AE244" s="67">
        <v>45382</v>
      </c>
    </row>
    <row r="245" spans="1:31" ht="12.5">
      <c r="A245" s="10">
        <v>610423110129</v>
      </c>
      <c r="B245" s="10" t="s">
        <v>26</v>
      </c>
      <c r="D245" s="10">
        <v>1</v>
      </c>
      <c r="E245" s="10" t="s">
        <v>721</v>
      </c>
      <c r="F245" s="10" t="s">
        <v>90</v>
      </c>
      <c r="G245" s="10" t="s">
        <v>720</v>
      </c>
      <c r="H245" s="10" t="s">
        <v>125</v>
      </c>
      <c r="I245" s="10" t="s">
        <v>6410</v>
      </c>
      <c r="J245" s="10" t="s">
        <v>3034</v>
      </c>
      <c r="K245" s="66">
        <v>27500</v>
      </c>
      <c r="L245" s="10">
        <v>62</v>
      </c>
      <c r="M245" s="10">
        <v>1705000</v>
      </c>
      <c r="N245" s="70"/>
      <c r="O245" s="67">
        <v>45373</v>
      </c>
      <c r="P245" s="10">
        <v>2024</v>
      </c>
      <c r="Q245" s="10">
        <v>3</v>
      </c>
      <c r="R245" s="10" t="s">
        <v>6237</v>
      </c>
      <c r="S245" s="10" t="s">
        <v>6294</v>
      </c>
      <c r="T245" s="10" t="s">
        <v>6295</v>
      </c>
      <c r="U245" s="10">
        <v>1</v>
      </c>
      <c r="V245" s="10">
        <v>-61</v>
      </c>
      <c r="W245" s="67">
        <v>45384</v>
      </c>
      <c r="X245" s="11" t="s">
        <v>3049</v>
      </c>
      <c r="Y245" s="11" t="s">
        <v>4572</v>
      </c>
      <c r="Z245" s="11" t="s">
        <v>4656</v>
      </c>
      <c r="AA245" s="67">
        <v>45351</v>
      </c>
      <c r="AB245" s="67">
        <v>45352</v>
      </c>
      <c r="AC245" s="67">
        <v>45382</v>
      </c>
      <c r="AD245" s="67">
        <v>45381</v>
      </c>
      <c r="AE245" s="67">
        <v>45382</v>
      </c>
    </row>
    <row r="246" spans="1:31" ht="12.5">
      <c r="A246" s="10">
        <v>610422020016</v>
      </c>
      <c r="B246" s="10" t="s">
        <v>30</v>
      </c>
      <c r="D246" s="10">
        <v>1</v>
      </c>
      <c r="E246" s="10" t="s">
        <v>380</v>
      </c>
      <c r="F246" s="10" t="s">
        <v>25</v>
      </c>
      <c r="G246" s="10" t="s">
        <v>379</v>
      </c>
      <c r="H246" s="10" t="s">
        <v>84</v>
      </c>
      <c r="I246" s="10" t="s">
        <v>6425</v>
      </c>
      <c r="J246" s="10" t="s">
        <v>3036</v>
      </c>
      <c r="K246" s="66">
        <v>116000</v>
      </c>
      <c r="L246" s="10">
        <v>3</v>
      </c>
      <c r="M246" s="10">
        <v>348000</v>
      </c>
      <c r="O246" s="67">
        <v>45382</v>
      </c>
      <c r="P246" s="10">
        <v>2024</v>
      </c>
      <c r="Q246" s="10">
        <v>3</v>
      </c>
      <c r="R246" s="10" t="s">
        <v>3043</v>
      </c>
      <c r="S246" s="10" t="s">
        <v>6299</v>
      </c>
      <c r="T246" s="10" t="s">
        <v>6404</v>
      </c>
      <c r="U246" s="10">
        <v>1</v>
      </c>
      <c r="V246" s="10">
        <v>-52</v>
      </c>
      <c r="W246" s="67">
        <v>45419</v>
      </c>
      <c r="X246" s="11" t="s">
        <v>3053</v>
      </c>
      <c r="Y246" s="11" t="s">
        <v>5534</v>
      </c>
      <c r="Z246" s="11" t="s">
        <v>5535</v>
      </c>
      <c r="AA246" s="67">
        <v>45351</v>
      </c>
      <c r="AB246" s="67">
        <v>45352</v>
      </c>
      <c r="AC246" s="67">
        <v>45382</v>
      </c>
      <c r="AD246" s="67">
        <v>45381</v>
      </c>
      <c r="AE246" s="67">
        <v>45382</v>
      </c>
    </row>
    <row r="247" spans="1:31" ht="12.5">
      <c r="A247" s="10">
        <v>610422040012</v>
      </c>
      <c r="B247" s="10" t="s">
        <v>30</v>
      </c>
      <c r="D247" s="10">
        <v>1</v>
      </c>
      <c r="E247" s="10" t="s">
        <v>1813</v>
      </c>
      <c r="F247" s="10" t="s">
        <v>25</v>
      </c>
      <c r="G247" s="10" t="s">
        <v>1812</v>
      </c>
      <c r="H247" s="10" t="s">
        <v>84</v>
      </c>
      <c r="I247" s="10" t="s">
        <v>6425</v>
      </c>
      <c r="J247" s="10" t="s">
        <v>3036</v>
      </c>
      <c r="K247" s="66">
        <v>116000</v>
      </c>
      <c r="L247" s="10">
        <v>3</v>
      </c>
      <c r="M247" s="10">
        <v>348000</v>
      </c>
      <c r="O247" s="67">
        <v>45382</v>
      </c>
      <c r="P247" s="10">
        <v>2024</v>
      </c>
      <c r="Q247" s="10">
        <v>3</v>
      </c>
      <c r="R247" s="10" t="s">
        <v>3043</v>
      </c>
      <c r="S247" s="10" t="s">
        <v>6426</v>
      </c>
      <c r="T247" s="10" t="s">
        <v>6427</v>
      </c>
      <c r="U247" s="10">
        <v>1</v>
      </c>
      <c r="V247" s="10">
        <v>-52</v>
      </c>
      <c r="W247" s="67">
        <v>45419</v>
      </c>
      <c r="X247" s="11" t="s">
        <v>3053</v>
      </c>
      <c r="Y247" s="11" t="s">
        <v>3990</v>
      </c>
      <c r="Z247" s="11" t="s">
        <v>4365</v>
      </c>
      <c r="AA247" s="67">
        <v>45351</v>
      </c>
      <c r="AB247" s="67">
        <v>45352</v>
      </c>
      <c r="AC247" s="67">
        <v>45382</v>
      </c>
      <c r="AD247" s="67">
        <v>45381</v>
      </c>
      <c r="AE247" s="67">
        <v>45382</v>
      </c>
    </row>
    <row r="248" spans="1:31" ht="12.5">
      <c r="A248" s="10">
        <v>610422040059</v>
      </c>
      <c r="B248" s="10" t="s">
        <v>30</v>
      </c>
      <c r="D248" s="10">
        <v>1</v>
      </c>
      <c r="E248" s="10" t="s">
        <v>365</v>
      </c>
      <c r="F248" s="10" t="s">
        <v>25</v>
      </c>
      <c r="G248" s="10" t="s">
        <v>364</v>
      </c>
      <c r="H248" s="10" t="s">
        <v>84</v>
      </c>
      <c r="I248" s="10" t="s">
        <v>6425</v>
      </c>
      <c r="J248" s="10" t="s">
        <v>3036</v>
      </c>
      <c r="K248" s="66">
        <v>116000</v>
      </c>
      <c r="L248" s="10">
        <v>4</v>
      </c>
      <c r="M248" s="10">
        <v>464000</v>
      </c>
      <c r="O248" s="67">
        <v>45382</v>
      </c>
      <c r="P248" s="10">
        <v>2024</v>
      </c>
      <c r="Q248" s="10">
        <v>3</v>
      </c>
      <c r="R248" s="10" t="s">
        <v>3043</v>
      </c>
      <c r="S248" s="10" t="s">
        <v>6278</v>
      </c>
      <c r="T248" s="10" t="s">
        <v>6279</v>
      </c>
      <c r="U248" s="10">
        <v>1</v>
      </c>
      <c r="V248" s="10">
        <v>-52</v>
      </c>
      <c r="W248" s="67">
        <v>45419</v>
      </c>
      <c r="X248" s="11" t="s">
        <v>3053</v>
      </c>
      <c r="Y248" s="11" t="s">
        <v>4572</v>
      </c>
      <c r="Z248" s="11" t="s">
        <v>4656</v>
      </c>
      <c r="AA248" s="67">
        <v>45351</v>
      </c>
      <c r="AB248" s="67">
        <v>45352</v>
      </c>
      <c r="AC248" s="67">
        <v>45382</v>
      </c>
      <c r="AD248" s="67">
        <v>45381</v>
      </c>
      <c r="AE248" s="67">
        <v>45382</v>
      </c>
    </row>
    <row r="249" spans="1:31" ht="12.5">
      <c r="A249" s="10">
        <v>610422040061</v>
      </c>
      <c r="B249" s="10" t="s">
        <v>30</v>
      </c>
      <c r="D249" s="10">
        <v>1</v>
      </c>
      <c r="E249" s="10" t="s">
        <v>2440</v>
      </c>
      <c r="F249" s="10" t="s">
        <v>25</v>
      </c>
      <c r="G249" s="10" t="s">
        <v>2439</v>
      </c>
      <c r="H249" s="10" t="s">
        <v>84</v>
      </c>
      <c r="I249" s="10" t="s">
        <v>6425</v>
      </c>
      <c r="J249" s="10" t="s">
        <v>3036</v>
      </c>
      <c r="K249" s="66">
        <v>116000</v>
      </c>
      <c r="L249" s="10">
        <v>3</v>
      </c>
      <c r="M249" s="10">
        <v>348000</v>
      </c>
      <c r="O249" s="67">
        <v>45382</v>
      </c>
      <c r="P249" s="10">
        <v>2024</v>
      </c>
      <c r="Q249" s="10">
        <v>3</v>
      </c>
      <c r="R249" s="10" t="s">
        <v>3043</v>
      </c>
      <c r="S249" s="10" t="s">
        <v>6372</v>
      </c>
      <c r="T249" s="10" t="s">
        <v>6373</v>
      </c>
      <c r="U249" s="10">
        <v>1</v>
      </c>
      <c r="V249" s="10">
        <v>-52</v>
      </c>
      <c r="W249" s="67">
        <v>45419</v>
      </c>
      <c r="X249" s="11" t="s">
        <v>3053</v>
      </c>
      <c r="Y249" s="11" t="s">
        <v>3715</v>
      </c>
      <c r="Z249" s="11" t="s">
        <v>3862</v>
      </c>
      <c r="AA249" s="67">
        <v>45351</v>
      </c>
      <c r="AB249" s="67">
        <v>45352</v>
      </c>
      <c r="AC249" s="67">
        <v>45382</v>
      </c>
      <c r="AD249" s="67">
        <v>45381</v>
      </c>
      <c r="AE249" s="67">
        <v>45382</v>
      </c>
    </row>
    <row r="250" spans="1:31" ht="12.5">
      <c r="A250" s="10">
        <v>610422100131</v>
      </c>
      <c r="B250" s="10" t="s">
        <v>30</v>
      </c>
      <c r="D250" s="10">
        <v>1</v>
      </c>
      <c r="E250" s="10" t="s">
        <v>6046</v>
      </c>
      <c r="F250" s="10" t="s">
        <v>25</v>
      </c>
      <c r="G250" s="10" t="s">
        <v>2683</v>
      </c>
      <c r="H250" s="10" t="s">
        <v>84</v>
      </c>
      <c r="I250" s="10" t="s">
        <v>6425</v>
      </c>
      <c r="J250" s="10" t="s">
        <v>3036</v>
      </c>
      <c r="K250" s="66">
        <v>116000</v>
      </c>
      <c r="L250" s="10">
        <v>3</v>
      </c>
      <c r="M250" s="10">
        <v>348000</v>
      </c>
      <c r="O250" s="67">
        <v>45382</v>
      </c>
      <c r="P250" s="10">
        <v>2024</v>
      </c>
      <c r="Q250" s="10">
        <v>3</v>
      </c>
      <c r="R250" s="10" t="s">
        <v>3043</v>
      </c>
      <c r="S250" s="10" t="s">
        <v>6428</v>
      </c>
      <c r="T250" s="10" t="s">
        <v>6429</v>
      </c>
      <c r="U250" s="10">
        <v>1</v>
      </c>
      <c r="V250" s="10">
        <v>-52</v>
      </c>
      <c r="W250" s="67">
        <v>45419</v>
      </c>
      <c r="X250" s="11" t="s">
        <v>3053</v>
      </c>
      <c r="Y250" s="11" t="s">
        <v>5250</v>
      </c>
      <c r="Z250" s="11" t="s">
        <v>5365</v>
      </c>
      <c r="AA250" s="67">
        <v>45351</v>
      </c>
      <c r="AB250" s="67">
        <v>45352</v>
      </c>
      <c r="AC250" s="67">
        <v>45382</v>
      </c>
      <c r="AD250" s="67">
        <v>45381</v>
      </c>
      <c r="AE250" s="67">
        <v>45382</v>
      </c>
    </row>
    <row r="251" spans="1:31" ht="12.5">
      <c r="A251" s="10">
        <v>610422100244</v>
      </c>
      <c r="B251" s="10" t="s">
        <v>30</v>
      </c>
      <c r="D251" s="10">
        <v>1</v>
      </c>
      <c r="E251" s="10" t="s">
        <v>2633</v>
      </c>
      <c r="F251" s="10" t="s">
        <v>25</v>
      </c>
      <c r="G251" s="10" t="s">
        <v>2632</v>
      </c>
      <c r="H251" s="10" t="s">
        <v>84</v>
      </c>
      <c r="I251" s="10" t="s">
        <v>6425</v>
      </c>
      <c r="J251" s="10" t="s">
        <v>3036</v>
      </c>
      <c r="K251" s="66">
        <v>116000</v>
      </c>
      <c r="L251" s="10">
        <v>3</v>
      </c>
      <c r="M251" s="10">
        <v>348000</v>
      </c>
      <c r="O251" s="67">
        <v>45382</v>
      </c>
      <c r="P251" s="10">
        <v>2024</v>
      </c>
      <c r="Q251" s="10">
        <v>3</v>
      </c>
      <c r="R251" s="10" t="s">
        <v>3043</v>
      </c>
      <c r="S251" s="10" t="s">
        <v>6319</v>
      </c>
      <c r="T251" s="10" t="s">
        <v>6398</v>
      </c>
      <c r="U251" s="10">
        <v>1</v>
      </c>
      <c r="V251" s="10">
        <v>-52</v>
      </c>
      <c r="W251" s="67">
        <v>45419</v>
      </c>
      <c r="X251" s="11" t="s">
        <v>3053</v>
      </c>
      <c r="Y251" s="11" t="s">
        <v>5741</v>
      </c>
      <c r="Z251" s="11" t="s">
        <v>5796</v>
      </c>
      <c r="AA251" s="67">
        <v>45351</v>
      </c>
      <c r="AB251" s="67">
        <v>45352</v>
      </c>
      <c r="AC251" s="67">
        <v>45382</v>
      </c>
      <c r="AD251" s="67">
        <v>45381</v>
      </c>
      <c r="AE251" s="67">
        <v>45382</v>
      </c>
    </row>
    <row r="252" spans="1:31" ht="12.5">
      <c r="A252" s="10">
        <v>610422100176</v>
      </c>
      <c r="B252" s="10" t="s">
        <v>30</v>
      </c>
      <c r="D252" s="10">
        <v>1</v>
      </c>
      <c r="E252" s="10" t="s">
        <v>1190</v>
      </c>
      <c r="F252" s="10" t="s">
        <v>25</v>
      </c>
      <c r="G252" s="10" t="s">
        <v>1189</v>
      </c>
      <c r="H252" s="10" t="s">
        <v>84</v>
      </c>
      <c r="I252" s="10" t="s">
        <v>6425</v>
      </c>
      <c r="J252" s="10" t="s">
        <v>3036</v>
      </c>
      <c r="K252" s="66">
        <v>116000</v>
      </c>
      <c r="L252" s="10">
        <v>3</v>
      </c>
      <c r="M252" s="10">
        <v>348000</v>
      </c>
      <c r="O252" s="67">
        <v>45382</v>
      </c>
      <c r="P252" s="10">
        <v>2024</v>
      </c>
      <c r="Q252" s="10">
        <v>3</v>
      </c>
      <c r="R252" s="10" t="s">
        <v>3043</v>
      </c>
      <c r="S252" s="10" t="s">
        <v>6430</v>
      </c>
      <c r="T252" s="10" t="s">
        <v>6431</v>
      </c>
      <c r="U252" s="10">
        <v>1</v>
      </c>
      <c r="V252" s="10">
        <v>-52</v>
      </c>
      <c r="W252" s="67">
        <v>45419</v>
      </c>
      <c r="X252" s="11" t="s">
        <v>3053</v>
      </c>
      <c r="Y252" s="11" t="s">
        <v>3715</v>
      </c>
      <c r="Z252" s="11" t="s">
        <v>3765</v>
      </c>
      <c r="AA252" s="67">
        <v>45351</v>
      </c>
      <c r="AB252" s="67">
        <v>45352</v>
      </c>
      <c r="AC252" s="67">
        <v>45382</v>
      </c>
      <c r="AD252" s="67">
        <v>45381</v>
      </c>
      <c r="AE252" s="67">
        <v>45382</v>
      </c>
    </row>
    <row r="253" spans="1:31" ht="12.5">
      <c r="A253" s="10">
        <v>610423110183</v>
      </c>
      <c r="B253" s="10" t="s">
        <v>30</v>
      </c>
      <c r="D253" s="10">
        <v>1</v>
      </c>
      <c r="E253" s="10" t="s">
        <v>5924</v>
      </c>
      <c r="F253" s="10" t="s">
        <v>25</v>
      </c>
      <c r="G253" s="10" t="s">
        <v>742</v>
      </c>
      <c r="H253" s="10" t="s">
        <v>84</v>
      </c>
      <c r="I253" s="10" t="s">
        <v>6425</v>
      </c>
      <c r="J253" s="10" t="s">
        <v>3036</v>
      </c>
      <c r="K253" s="66">
        <v>116000</v>
      </c>
      <c r="L253" s="10">
        <v>6</v>
      </c>
      <c r="M253" s="10">
        <v>696000</v>
      </c>
      <c r="O253" s="67">
        <v>45382</v>
      </c>
      <c r="P253" s="10">
        <v>2024</v>
      </c>
      <c r="Q253" s="10">
        <v>3</v>
      </c>
      <c r="R253" s="10" t="s">
        <v>3043</v>
      </c>
      <c r="S253" s="10" t="s">
        <v>6432</v>
      </c>
      <c r="T253" s="10" t="s">
        <v>6433</v>
      </c>
      <c r="U253" s="10">
        <v>1</v>
      </c>
      <c r="V253" s="10">
        <v>-52</v>
      </c>
      <c r="W253" s="67">
        <v>45419</v>
      </c>
      <c r="X253" s="11" t="s">
        <v>3053</v>
      </c>
      <c r="Y253" s="11" t="s">
        <v>3241</v>
      </c>
      <c r="Z253" s="11" t="s">
        <v>3242</v>
      </c>
      <c r="AA253" s="67">
        <v>45351</v>
      </c>
      <c r="AB253" s="67">
        <v>45352</v>
      </c>
      <c r="AC253" s="67">
        <v>45382</v>
      </c>
      <c r="AD253" s="67">
        <v>45381</v>
      </c>
      <c r="AE253" s="67">
        <v>45382</v>
      </c>
    </row>
    <row r="254" spans="1:31" ht="12.5">
      <c r="A254" s="10">
        <v>610423040018</v>
      </c>
      <c r="B254" s="10" t="s">
        <v>30</v>
      </c>
      <c r="D254" s="10">
        <v>1</v>
      </c>
      <c r="E254" s="10" t="s">
        <v>1301</v>
      </c>
      <c r="F254" s="10" t="s">
        <v>25</v>
      </c>
      <c r="G254" s="10" t="s">
        <v>1300</v>
      </c>
      <c r="H254" s="10" t="s">
        <v>84</v>
      </c>
      <c r="I254" s="10" t="s">
        <v>6425</v>
      </c>
      <c r="J254" s="10" t="s">
        <v>3036</v>
      </c>
      <c r="K254" s="66">
        <v>116000</v>
      </c>
      <c r="L254" s="10">
        <v>4</v>
      </c>
      <c r="M254" s="10">
        <v>464000</v>
      </c>
      <c r="O254" s="67">
        <v>45382</v>
      </c>
      <c r="P254" s="10">
        <v>2024</v>
      </c>
      <c r="Q254" s="10">
        <v>3</v>
      </c>
      <c r="R254" s="10" t="s">
        <v>3043</v>
      </c>
      <c r="S254" s="10" t="s">
        <v>6434</v>
      </c>
      <c r="T254" s="10" t="s">
        <v>6435</v>
      </c>
      <c r="U254" s="10">
        <v>1</v>
      </c>
      <c r="V254" s="10">
        <v>-52</v>
      </c>
      <c r="W254" s="67">
        <v>45419</v>
      </c>
      <c r="X254" s="11" t="s">
        <v>3053</v>
      </c>
      <c r="Y254" s="11" t="s">
        <v>5534</v>
      </c>
      <c r="Z254" s="11" t="s">
        <v>5647</v>
      </c>
      <c r="AA254" s="67">
        <v>45351</v>
      </c>
      <c r="AB254" s="67">
        <v>45352</v>
      </c>
      <c r="AC254" s="67">
        <v>45382</v>
      </c>
      <c r="AD254" s="67">
        <v>45381</v>
      </c>
      <c r="AE254" s="67">
        <v>45382</v>
      </c>
    </row>
    <row r="255" spans="1:31" ht="12.5">
      <c r="A255" s="10">
        <v>610422040059</v>
      </c>
      <c r="B255" s="10" t="s">
        <v>30</v>
      </c>
      <c r="D255" s="10">
        <v>1</v>
      </c>
      <c r="E255" s="10" t="s">
        <v>365</v>
      </c>
      <c r="F255" s="10" t="s">
        <v>25</v>
      </c>
      <c r="G255" s="10" t="s">
        <v>364</v>
      </c>
      <c r="H255" s="10" t="s">
        <v>85</v>
      </c>
      <c r="I255" s="10" t="s">
        <v>6436</v>
      </c>
      <c r="J255" s="10" t="s">
        <v>3036</v>
      </c>
      <c r="K255" s="66">
        <v>59000</v>
      </c>
      <c r="L255" s="10">
        <v>6</v>
      </c>
      <c r="M255" s="10">
        <v>354000</v>
      </c>
      <c r="O255" s="67">
        <v>45382</v>
      </c>
      <c r="P255" s="10">
        <v>2024</v>
      </c>
      <c r="Q255" s="10">
        <v>3</v>
      </c>
      <c r="R255" s="10" t="s">
        <v>3043</v>
      </c>
      <c r="S255" s="10" t="s">
        <v>6278</v>
      </c>
      <c r="T255" s="10" t="s">
        <v>6279</v>
      </c>
      <c r="U255" s="10">
        <v>1</v>
      </c>
      <c r="V255" s="10">
        <v>-52</v>
      </c>
      <c r="W255" s="67">
        <v>45419</v>
      </c>
      <c r="X255" s="11" t="s">
        <v>3053</v>
      </c>
      <c r="Y255" s="11" t="s">
        <v>4572</v>
      </c>
      <c r="Z255" s="11" t="s">
        <v>4656</v>
      </c>
      <c r="AA255" s="67">
        <v>45351</v>
      </c>
      <c r="AB255" s="67">
        <v>45352</v>
      </c>
      <c r="AC255" s="67">
        <v>45382</v>
      </c>
      <c r="AD255" s="67">
        <v>45381</v>
      </c>
      <c r="AE255" s="67">
        <v>45382</v>
      </c>
    </row>
    <row r="256" spans="1:31" ht="12.5">
      <c r="A256" s="10">
        <v>610422020048</v>
      </c>
      <c r="B256" s="10" t="s">
        <v>30</v>
      </c>
      <c r="D256" s="10">
        <v>1</v>
      </c>
      <c r="E256" s="10" t="s">
        <v>1359</v>
      </c>
      <c r="F256" s="10" t="s">
        <v>25</v>
      </c>
      <c r="G256" s="10" t="s">
        <v>1358</v>
      </c>
      <c r="H256" s="10" t="s">
        <v>85</v>
      </c>
      <c r="I256" s="10" t="s">
        <v>6436</v>
      </c>
      <c r="J256" s="10" t="s">
        <v>3036</v>
      </c>
      <c r="K256" s="66">
        <v>59000</v>
      </c>
      <c r="L256" s="10">
        <v>6</v>
      </c>
      <c r="M256" s="10">
        <v>354000</v>
      </c>
      <c r="O256" s="67">
        <v>45382</v>
      </c>
      <c r="P256" s="10">
        <v>2024</v>
      </c>
      <c r="Q256" s="10">
        <v>3</v>
      </c>
      <c r="R256" s="10" t="s">
        <v>3043</v>
      </c>
      <c r="S256" s="10" t="s">
        <v>6405</v>
      </c>
      <c r="T256" s="10" t="s">
        <v>6406</v>
      </c>
      <c r="U256" s="10">
        <v>1</v>
      </c>
      <c r="V256" s="10">
        <v>-52</v>
      </c>
      <c r="W256" s="67">
        <v>45419</v>
      </c>
      <c r="X256" s="11" t="s">
        <v>3053</v>
      </c>
      <c r="Y256" s="11" t="s">
        <v>4931</v>
      </c>
      <c r="Z256" s="11" t="s">
        <v>5171</v>
      </c>
      <c r="AA256" s="67">
        <v>45351</v>
      </c>
      <c r="AB256" s="67">
        <v>45352</v>
      </c>
      <c r="AC256" s="67">
        <v>45382</v>
      </c>
      <c r="AD256" s="67">
        <v>45381</v>
      </c>
      <c r="AE256" s="67">
        <v>45382</v>
      </c>
    </row>
    <row r="257" spans="1:31" ht="12.5">
      <c r="A257" s="10">
        <v>610422040058</v>
      </c>
      <c r="B257" s="10" t="s">
        <v>30</v>
      </c>
      <c r="D257" s="10">
        <v>1</v>
      </c>
      <c r="E257" s="10" t="s">
        <v>5976</v>
      </c>
      <c r="F257" s="10" t="s">
        <v>25</v>
      </c>
      <c r="G257" s="10" t="s">
        <v>1547</v>
      </c>
      <c r="H257" s="10" t="s">
        <v>85</v>
      </c>
      <c r="I257" s="10" t="s">
        <v>6436</v>
      </c>
      <c r="J257" s="10" t="s">
        <v>3036</v>
      </c>
      <c r="K257" s="66">
        <v>59000</v>
      </c>
      <c r="L257" s="10">
        <v>10</v>
      </c>
      <c r="M257" s="10">
        <v>590000</v>
      </c>
      <c r="O257" s="67">
        <v>45382</v>
      </c>
      <c r="P257" s="10">
        <v>2024</v>
      </c>
      <c r="Q257" s="10">
        <v>3</v>
      </c>
      <c r="R257" s="10" t="s">
        <v>3043</v>
      </c>
      <c r="S257" s="10" t="s">
        <v>6368</v>
      </c>
      <c r="T257" s="10" t="s">
        <v>6369</v>
      </c>
      <c r="U257" s="10">
        <v>1</v>
      </c>
      <c r="V257" s="10">
        <v>-52</v>
      </c>
      <c r="W257" s="67">
        <v>45419</v>
      </c>
      <c r="X257" s="11" t="s">
        <v>3053</v>
      </c>
      <c r="Y257" s="11" t="s">
        <v>3715</v>
      </c>
      <c r="Z257" s="11" t="s">
        <v>3716</v>
      </c>
      <c r="AA257" s="67">
        <v>45351</v>
      </c>
      <c r="AB257" s="67">
        <v>45352</v>
      </c>
      <c r="AC257" s="67">
        <v>45382</v>
      </c>
      <c r="AD257" s="67">
        <v>45381</v>
      </c>
      <c r="AE257" s="67">
        <v>45382</v>
      </c>
    </row>
    <row r="258" spans="1:31" ht="12.5">
      <c r="A258" s="10">
        <v>610423110183</v>
      </c>
      <c r="B258" s="10" t="s">
        <v>30</v>
      </c>
      <c r="D258" s="10">
        <v>1</v>
      </c>
      <c r="E258" s="10" t="s">
        <v>5924</v>
      </c>
      <c r="F258" s="10" t="s">
        <v>25</v>
      </c>
      <c r="G258" s="10" t="s">
        <v>742</v>
      </c>
      <c r="H258" s="10" t="s">
        <v>85</v>
      </c>
      <c r="I258" s="10" t="s">
        <v>6436</v>
      </c>
      <c r="J258" s="10" t="s">
        <v>3036</v>
      </c>
      <c r="K258" s="66">
        <v>59000</v>
      </c>
      <c r="L258" s="10">
        <v>6</v>
      </c>
      <c r="M258" s="10">
        <v>354000</v>
      </c>
      <c r="O258" s="67">
        <v>45382</v>
      </c>
      <c r="P258" s="10">
        <v>2024</v>
      </c>
      <c r="Q258" s="10">
        <v>3</v>
      </c>
      <c r="R258" s="10" t="s">
        <v>3043</v>
      </c>
      <c r="S258" s="10" t="s">
        <v>6432</v>
      </c>
      <c r="T258" s="10" t="s">
        <v>6433</v>
      </c>
      <c r="U258" s="10">
        <v>1</v>
      </c>
      <c r="V258" s="10">
        <v>-52</v>
      </c>
      <c r="W258" s="67">
        <v>45419</v>
      </c>
      <c r="X258" s="11" t="s">
        <v>3053</v>
      </c>
      <c r="Y258" s="11" t="s">
        <v>3241</v>
      </c>
      <c r="Z258" s="11" t="s">
        <v>3242</v>
      </c>
      <c r="AA258" s="67">
        <v>45351</v>
      </c>
      <c r="AB258" s="67">
        <v>45352</v>
      </c>
      <c r="AC258" s="67">
        <v>45382</v>
      </c>
      <c r="AD258" s="67">
        <v>45381</v>
      </c>
      <c r="AE258" s="67">
        <v>45382</v>
      </c>
    </row>
    <row r="259" spans="1:31" ht="12.5">
      <c r="A259" s="10">
        <v>610422100244</v>
      </c>
      <c r="B259" s="10" t="s">
        <v>30</v>
      </c>
      <c r="D259" s="10">
        <v>1</v>
      </c>
      <c r="E259" s="10" t="s">
        <v>2633</v>
      </c>
      <c r="F259" s="10" t="s">
        <v>25</v>
      </c>
      <c r="G259" s="10" t="s">
        <v>2632</v>
      </c>
      <c r="H259" s="10" t="s">
        <v>85</v>
      </c>
      <c r="I259" s="10" t="s">
        <v>6436</v>
      </c>
      <c r="J259" s="10" t="s">
        <v>3036</v>
      </c>
      <c r="K259" s="66">
        <v>59000</v>
      </c>
      <c r="L259" s="10">
        <v>8</v>
      </c>
      <c r="M259" s="10">
        <v>472000</v>
      </c>
      <c r="O259" s="67">
        <v>45382</v>
      </c>
      <c r="P259" s="10">
        <v>2024</v>
      </c>
      <c r="Q259" s="10">
        <v>3</v>
      </c>
      <c r="R259" s="10" t="s">
        <v>3043</v>
      </c>
      <c r="S259" s="10" t="s">
        <v>6319</v>
      </c>
      <c r="T259" s="10" t="s">
        <v>6398</v>
      </c>
      <c r="U259" s="10">
        <v>1</v>
      </c>
      <c r="V259" s="10">
        <v>-52</v>
      </c>
      <c r="W259" s="67">
        <v>45419</v>
      </c>
      <c r="X259" s="11" t="s">
        <v>3053</v>
      </c>
      <c r="Y259" s="11" t="s">
        <v>5741</v>
      </c>
      <c r="Z259" s="11" t="s">
        <v>5796</v>
      </c>
      <c r="AA259" s="67">
        <v>45351</v>
      </c>
      <c r="AB259" s="67">
        <v>45352</v>
      </c>
      <c r="AC259" s="67">
        <v>45382</v>
      </c>
      <c r="AD259" s="67">
        <v>45381</v>
      </c>
      <c r="AE259" s="67">
        <v>45382</v>
      </c>
    </row>
    <row r="260" spans="1:31" ht="12.5">
      <c r="A260" s="10">
        <v>610422100129</v>
      </c>
      <c r="B260" s="10" t="s">
        <v>126</v>
      </c>
      <c r="D260" s="10">
        <v>1</v>
      </c>
      <c r="E260" s="10" t="s">
        <v>607</v>
      </c>
      <c r="F260" s="10" t="s">
        <v>25</v>
      </c>
      <c r="G260" s="10" t="s">
        <v>606</v>
      </c>
      <c r="H260" s="10" t="s">
        <v>67</v>
      </c>
      <c r="I260" s="10" t="s">
        <v>127</v>
      </c>
      <c r="J260" s="10" t="s">
        <v>164</v>
      </c>
      <c r="K260" s="66">
        <v>60000</v>
      </c>
      <c r="L260" s="10">
        <v>3</v>
      </c>
      <c r="M260" s="10">
        <v>180000</v>
      </c>
      <c r="N260" s="70"/>
      <c r="O260" s="67">
        <v>45383</v>
      </c>
      <c r="P260" s="10">
        <v>2024</v>
      </c>
      <c r="Q260" s="10">
        <v>4</v>
      </c>
      <c r="R260" s="10" t="s">
        <v>3043</v>
      </c>
      <c r="S260" s="10" t="s">
        <v>6437</v>
      </c>
      <c r="T260" s="10" t="s">
        <v>6438</v>
      </c>
      <c r="U260" s="10">
        <v>1</v>
      </c>
      <c r="V260" s="10">
        <v>-51</v>
      </c>
      <c r="W260" s="67"/>
      <c r="X260" s="11" t="s">
        <v>3174</v>
      </c>
      <c r="Y260" s="11" t="s">
        <v>5250</v>
      </c>
      <c r="Z260" s="11" t="s">
        <v>5304</v>
      </c>
      <c r="AA260" s="67">
        <v>45382</v>
      </c>
      <c r="AB260" s="67">
        <v>45383</v>
      </c>
      <c r="AC260" s="67">
        <v>45412</v>
      </c>
      <c r="AD260" s="67">
        <v>45411</v>
      </c>
      <c r="AE260" s="67">
        <v>45412</v>
      </c>
    </row>
    <row r="261" spans="1:31" ht="12.5">
      <c r="A261" s="10">
        <v>610422030002</v>
      </c>
      <c r="B261" s="10" t="s">
        <v>128</v>
      </c>
      <c r="D261" s="10">
        <v>1</v>
      </c>
      <c r="E261" s="10" t="s">
        <v>5934</v>
      </c>
      <c r="F261" s="10" t="s">
        <v>25</v>
      </c>
      <c r="G261" s="10" t="s">
        <v>929</v>
      </c>
      <c r="H261" s="10" t="s">
        <v>67</v>
      </c>
      <c r="I261" s="10" t="s">
        <v>129</v>
      </c>
      <c r="J261" s="10" t="s">
        <v>164</v>
      </c>
      <c r="K261" s="66">
        <v>50000</v>
      </c>
      <c r="L261" s="10">
        <v>15</v>
      </c>
      <c r="M261" s="10">
        <v>750000</v>
      </c>
      <c r="O261" s="67">
        <v>45402</v>
      </c>
      <c r="P261" s="10">
        <v>2024</v>
      </c>
      <c r="Q261" s="10">
        <v>4</v>
      </c>
      <c r="R261" s="10" t="s">
        <v>3043</v>
      </c>
      <c r="S261" s="10" t="s">
        <v>6439</v>
      </c>
      <c r="T261" s="10" t="s">
        <v>6440</v>
      </c>
      <c r="U261" s="10">
        <v>0</v>
      </c>
      <c r="V261" s="10">
        <v>-32</v>
      </c>
      <c r="W261" s="67"/>
      <c r="X261" s="11" t="s">
        <v>3090</v>
      </c>
      <c r="Y261" s="11" t="s">
        <v>3715</v>
      </c>
      <c r="Z261" s="11" t="s">
        <v>3716</v>
      </c>
      <c r="AA261" s="67">
        <v>45382</v>
      </c>
      <c r="AB261" s="67">
        <v>45383</v>
      </c>
      <c r="AC261" s="67">
        <v>45412</v>
      </c>
      <c r="AD261" s="67">
        <v>45411</v>
      </c>
      <c r="AE261" s="67">
        <v>45412</v>
      </c>
    </row>
    <row r="262" spans="1:31" ht="12.5">
      <c r="A262" s="10">
        <v>610422100244</v>
      </c>
      <c r="B262" s="10" t="s">
        <v>130</v>
      </c>
      <c r="D262" s="10">
        <v>1</v>
      </c>
      <c r="E262" s="10" t="s">
        <v>2633</v>
      </c>
      <c r="F262" s="10" t="s">
        <v>25</v>
      </c>
      <c r="G262" s="10" t="s">
        <v>2632</v>
      </c>
      <c r="H262" s="10" t="s">
        <v>67</v>
      </c>
      <c r="I262" s="10" t="s">
        <v>131</v>
      </c>
      <c r="J262" s="10" t="s">
        <v>164</v>
      </c>
      <c r="K262" s="66">
        <v>50000</v>
      </c>
      <c r="L262" s="10">
        <v>1</v>
      </c>
      <c r="M262" s="10">
        <v>50000</v>
      </c>
      <c r="O262" s="67">
        <v>45402</v>
      </c>
      <c r="P262" s="10">
        <v>2024</v>
      </c>
      <c r="Q262" s="10">
        <v>4</v>
      </c>
      <c r="R262" s="10" t="s">
        <v>3043</v>
      </c>
      <c r="S262" s="10" t="s">
        <v>6441</v>
      </c>
      <c r="T262" s="10" t="s">
        <v>6442</v>
      </c>
      <c r="U262" s="10">
        <v>0</v>
      </c>
      <c r="V262" s="10">
        <v>-32</v>
      </c>
      <c r="W262" s="67"/>
      <c r="X262" s="11" t="s">
        <v>3074</v>
      </c>
      <c r="Y262" s="11" t="s">
        <v>5741</v>
      </c>
      <c r="Z262" s="11" t="s">
        <v>5796</v>
      </c>
      <c r="AA262" s="67">
        <v>45382</v>
      </c>
      <c r="AB262" s="67">
        <v>45383</v>
      </c>
      <c r="AC262" s="67">
        <v>45412</v>
      </c>
      <c r="AD262" s="67">
        <v>45411</v>
      </c>
      <c r="AE262" s="67">
        <v>45412</v>
      </c>
    </row>
    <row r="263" spans="1:31" ht="12.5">
      <c r="A263" s="10">
        <v>610422100124</v>
      </c>
      <c r="B263" s="10" t="s">
        <v>130</v>
      </c>
      <c r="D263" s="10">
        <v>1</v>
      </c>
      <c r="E263" s="10" t="s">
        <v>2237</v>
      </c>
      <c r="F263" s="10" t="s">
        <v>25</v>
      </c>
      <c r="G263" s="10" t="s">
        <v>2236</v>
      </c>
      <c r="H263" s="10" t="s">
        <v>67</v>
      </c>
      <c r="I263" s="10" t="s">
        <v>131</v>
      </c>
      <c r="J263" s="10" t="s">
        <v>164</v>
      </c>
      <c r="K263" s="66">
        <v>50000</v>
      </c>
      <c r="L263" s="10">
        <v>1</v>
      </c>
      <c r="M263" s="10">
        <v>50000</v>
      </c>
      <c r="O263" s="67">
        <v>45402</v>
      </c>
      <c r="P263" s="10">
        <v>2024</v>
      </c>
      <c r="Q263" s="10">
        <v>4</v>
      </c>
      <c r="R263" s="10" t="s">
        <v>3043</v>
      </c>
      <c r="S263" s="10" t="s">
        <v>6443</v>
      </c>
      <c r="T263" s="10" t="s">
        <v>6444</v>
      </c>
      <c r="U263" s="10">
        <v>0</v>
      </c>
      <c r="V263" s="10">
        <v>-32</v>
      </c>
      <c r="W263" s="67"/>
      <c r="X263" s="11" t="s">
        <v>3074</v>
      </c>
      <c r="Y263" s="11" t="s">
        <v>1921</v>
      </c>
      <c r="Z263" s="11" t="s">
        <v>2140</v>
      </c>
      <c r="AA263" s="67">
        <v>45382</v>
      </c>
      <c r="AB263" s="67">
        <v>45383</v>
      </c>
      <c r="AC263" s="67">
        <v>45412</v>
      </c>
      <c r="AD263" s="67">
        <v>45411</v>
      </c>
      <c r="AE263" s="67">
        <v>45412</v>
      </c>
    </row>
    <row r="264" spans="1:31" ht="12.5">
      <c r="A264" s="10">
        <v>610422040029</v>
      </c>
      <c r="B264" s="10" t="s">
        <v>132</v>
      </c>
      <c r="D264" s="10">
        <v>1</v>
      </c>
      <c r="E264" s="10" t="s">
        <v>3000</v>
      </c>
      <c r="F264" s="10" t="s">
        <v>25</v>
      </c>
      <c r="G264" s="10" t="s">
        <v>2999</v>
      </c>
      <c r="H264" s="10" t="s">
        <v>67</v>
      </c>
      <c r="I264" s="10" t="s">
        <v>133</v>
      </c>
      <c r="J264" s="10" t="s">
        <v>164</v>
      </c>
      <c r="K264" s="66">
        <v>60000</v>
      </c>
      <c r="L264" s="10">
        <v>16</v>
      </c>
      <c r="M264" s="10">
        <v>960000</v>
      </c>
      <c r="O264" s="67">
        <v>45402</v>
      </c>
      <c r="P264" s="10">
        <v>2024</v>
      </c>
      <c r="Q264" s="10">
        <v>4</v>
      </c>
      <c r="R264" s="10" t="s">
        <v>3043</v>
      </c>
      <c r="S264" s="10" t="s">
        <v>6445</v>
      </c>
      <c r="T264" s="10" t="s">
        <v>6446</v>
      </c>
      <c r="U264" s="10">
        <v>0</v>
      </c>
      <c r="V264" s="10">
        <v>-32</v>
      </c>
      <c r="W264" s="67"/>
      <c r="X264" s="11" t="s">
        <v>3101</v>
      </c>
      <c r="Y264" s="11" t="s">
        <v>4572</v>
      </c>
      <c r="Z264" s="11" t="s">
        <v>4619</v>
      </c>
      <c r="AA264" s="67">
        <v>45382</v>
      </c>
      <c r="AB264" s="67">
        <v>45383</v>
      </c>
      <c r="AC264" s="67">
        <v>45412</v>
      </c>
      <c r="AD264" s="67">
        <v>45411</v>
      </c>
      <c r="AE264" s="67">
        <v>45412</v>
      </c>
    </row>
    <row r="265" spans="1:31" ht="12.5">
      <c r="A265" s="10">
        <v>610422020048</v>
      </c>
      <c r="B265" s="10" t="s">
        <v>132</v>
      </c>
      <c r="D265" s="10">
        <v>1</v>
      </c>
      <c r="E265" s="10" t="s">
        <v>1359</v>
      </c>
      <c r="F265" s="10" t="s">
        <v>25</v>
      </c>
      <c r="G265" s="10" t="s">
        <v>1358</v>
      </c>
      <c r="H265" s="10" t="s">
        <v>67</v>
      </c>
      <c r="I265" s="10" t="s">
        <v>133</v>
      </c>
      <c r="J265" s="10" t="s">
        <v>164</v>
      </c>
      <c r="K265" s="66">
        <v>60000</v>
      </c>
      <c r="L265" s="10">
        <v>10</v>
      </c>
      <c r="M265" s="10">
        <v>600000</v>
      </c>
      <c r="O265" s="67">
        <v>45402</v>
      </c>
      <c r="P265" s="10">
        <v>2024</v>
      </c>
      <c r="Q265" s="10">
        <v>4</v>
      </c>
      <c r="R265" s="10" t="s">
        <v>3043</v>
      </c>
      <c r="S265" s="10" t="s">
        <v>6447</v>
      </c>
      <c r="T265" s="10" t="s">
        <v>6448</v>
      </c>
      <c r="U265" s="10">
        <v>0</v>
      </c>
      <c r="V265" s="10">
        <v>-32</v>
      </c>
      <c r="W265" s="67"/>
      <c r="X265" s="11" t="s">
        <v>3101</v>
      </c>
      <c r="Y265" s="11" t="s">
        <v>4931</v>
      </c>
      <c r="Z265" s="11" t="s">
        <v>5171</v>
      </c>
      <c r="AA265" s="67">
        <v>45382</v>
      </c>
      <c r="AB265" s="67">
        <v>45383</v>
      </c>
      <c r="AC265" s="67">
        <v>45412</v>
      </c>
      <c r="AD265" s="67">
        <v>45411</v>
      </c>
      <c r="AE265" s="67">
        <v>45412</v>
      </c>
    </row>
    <row r="266" spans="1:31" ht="12.5">
      <c r="A266" s="10">
        <v>610422100165</v>
      </c>
      <c r="B266" s="10" t="s">
        <v>132</v>
      </c>
      <c r="D266" s="10">
        <v>1</v>
      </c>
      <c r="E266" s="10" t="s">
        <v>2855</v>
      </c>
      <c r="F266" s="10" t="s">
        <v>25</v>
      </c>
      <c r="G266" s="10" t="s">
        <v>2854</v>
      </c>
      <c r="H266" s="10" t="s">
        <v>67</v>
      </c>
      <c r="I266" s="10" t="s">
        <v>133</v>
      </c>
      <c r="J266" s="10" t="s">
        <v>164</v>
      </c>
      <c r="K266" s="66">
        <v>60000</v>
      </c>
      <c r="L266" s="10">
        <v>6</v>
      </c>
      <c r="M266" s="10">
        <v>360000</v>
      </c>
      <c r="O266" s="67">
        <v>45402</v>
      </c>
      <c r="P266" s="10">
        <v>2024</v>
      </c>
      <c r="Q266" s="10">
        <v>4</v>
      </c>
      <c r="R266" s="10" t="s">
        <v>3043</v>
      </c>
      <c r="S266" s="10" t="s">
        <v>6449</v>
      </c>
      <c r="T266" s="10" t="s">
        <v>6450</v>
      </c>
      <c r="U266" s="10">
        <v>0</v>
      </c>
      <c r="V266" s="10">
        <v>-32</v>
      </c>
      <c r="W266" s="67"/>
      <c r="X266" s="11" t="s">
        <v>3101</v>
      </c>
      <c r="Y266" s="11" t="s">
        <v>3990</v>
      </c>
      <c r="Z266" s="11" t="s">
        <v>4332</v>
      </c>
      <c r="AA266" s="67">
        <v>45382</v>
      </c>
      <c r="AB266" s="67">
        <v>45383</v>
      </c>
      <c r="AC266" s="67">
        <v>45412</v>
      </c>
      <c r="AD266" s="67">
        <v>45411</v>
      </c>
      <c r="AE266" s="67">
        <v>45412</v>
      </c>
    </row>
    <row r="267" spans="1:31" ht="12.5">
      <c r="A267" s="10">
        <v>610422020052</v>
      </c>
      <c r="B267" s="10" t="s">
        <v>132</v>
      </c>
      <c r="D267" s="10">
        <v>1</v>
      </c>
      <c r="E267" s="10" t="s">
        <v>498</v>
      </c>
      <c r="F267" s="10" t="s">
        <v>25</v>
      </c>
      <c r="G267" s="10" t="s">
        <v>497</v>
      </c>
      <c r="H267" s="10" t="s">
        <v>67</v>
      </c>
      <c r="I267" s="10" t="s">
        <v>133</v>
      </c>
      <c r="J267" s="10" t="s">
        <v>164</v>
      </c>
      <c r="K267" s="66">
        <v>60000</v>
      </c>
      <c r="L267" s="10">
        <v>7</v>
      </c>
      <c r="M267" s="10">
        <v>420000</v>
      </c>
      <c r="O267" s="67">
        <v>45402</v>
      </c>
      <c r="P267" s="10">
        <v>2024</v>
      </c>
      <c r="Q267" s="10">
        <v>4</v>
      </c>
      <c r="R267" s="10" t="s">
        <v>3043</v>
      </c>
      <c r="S267" s="10" t="s">
        <v>6451</v>
      </c>
      <c r="T267" s="10" t="s">
        <v>6452</v>
      </c>
      <c r="U267" s="10">
        <v>0</v>
      </c>
      <c r="V267" s="10">
        <v>-32</v>
      </c>
      <c r="W267" s="67"/>
      <c r="X267" s="11" t="s">
        <v>3101</v>
      </c>
      <c r="Y267" s="11" t="s">
        <v>3990</v>
      </c>
      <c r="Z267" s="11" t="s">
        <v>4087</v>
      </c>
      <c r="AA267" s="67">
        <v>45382</v>
      </c>
      <c r="AB267" s="67">
        <v>45383</v>
      </c>
      <c r="AC267" s="67">
        <v>45412</v>
      </c>
      <c r="AD267" s="67">
        <v>45411</v>
      </c>
      <c r="AE267" s="67">
        <v>45412</v>
      </c>
    </row>
    <row r="268" spans="1:31" ht="12.5">
      <c r="A268" s="10">
        <v>610422100016</v>
      </c>
      <c r="B268" s="10" t="s">
        <v>134</v>
      </c>
      <c r="D268" s="10">
        <v>1</v>
      </c>
      <c r="E268" s="10" t="s">
        <v>550</v>
      </c>
      <c r="F268" s="10" t="s">
        <v>25</v>
      </c>
      <c r="G268" s="10" t="s">
        <v>549</v>
      </c>
      <c r="H268" s="10" t="s">
        <v>72</v>
      </c>
      <c r="I268" s="10" t="s">
        <v>135</v>
      </c>
      <c r="J268" s="10" t="s">
        <v>164</v>
      </c>
      <c r="K268" s="66">
        <v>65000</v>
      </c>
      <c r="L268" s="10">
        <v>3</v>
      </c>
      <c r="M268" s="10">
        <v>195000</v>
      </c>
      <c r="O268" s="67">
        <v>45402</v>
      </c>
      <c r="P268" s="10">
        <v>2024</v>
      </c>
      <c r="Q268" s="10">
        <v>4</v>
      </c>
      <c r="R268" s="10" t="s">
        <v>3043</v>
      </c>
      <c r="S268" s="10" t="s">
        <v>6453</v>
      </c>
      <c r="T268" s="10" t="s">
        <v>6454</v>
      </c>
      <c r="U268" s="10">
        <v>0</v>
      </c>
      <c r="V268" s="10">
        <v>-32</v>
      </c>
      <c r="W268" s="67"/>
      <c r="X268" s="11" t="s">
        <v>3107</v>
      </c>
      <c r="Y268" s="11" t="s">
        <v>5250</v>
      </c>
      <c r="Z268" s="11" t="s">
        <v>5365</v>
      </c>
      <c r="AA268" s="67">
        <v>45382</v>
      </c>
      <c r="AB268" s="67">
        <v>45383</v>
      </c>
      <c r="AC268" s="67">
        <v>45412</v>
      </c>
      <c r="AD268" s="67">
        <v>45411</v>
      </c>
      <c r="AE268" s="67">
        <v>45412</v>
      </c>
    </row>
    <row r="269" spans="1:31" ht="12.5">
      <c r="A269" s="10">
        <v>610422050001</v>
      </c>
      <c r="B269" s="10" t="s">
        <v>134</v>
      </c>
      <c r="D269" s="10">
        <v>1</v>
      </c>
      <c r="E269" s="10" t="s">
        <v>5949</v>
      </c>
      <c r="F269" s="10" t="s">
        <v>25</v>
      </c>
      <c r="G269" s="10" t="s">
        <v>1127</v>
      </c>
      <c r="H269" s="10" t="s">
        <v>72</v>
      </c>
      <c r="I269" s="10" t="s">
        <v>135</v>
      </c>
      <c r="J269" s="10" t="s">
        <v>164</v>
      </c>
      <c r="K269" s="66">
        <v>65000</v>
      </c>
      <c r="L269" s="10">
        <v>3</v>
      </c>
      <c r="M269" s="10">
        <v>195000</v>
      </c>
      <c r="O269" s="67">
        <v>45402</v>
      </c>
      <c r="P269" s="10">
        <v>2024</v>
      </c>
      <c r="Q269" s="10">
        <v>4</v>
      </c>
      <c r="R269" s="10" t="s">
        <v>3043</v>
      </c>
      <c r="S269" s="10" t="s">
        <v>6455</v>
      </c>
      <c r="T269" s="10" t="s">
        <v>6456</v>
      </c>
      <c r="U269" s="10">
        <v>0</v>
      </c>
      <c r="V269" s="10">
        <v>-32</v>
      </c>
      <c r="W269" s="67"/>
      <c r="X269" s="11" t="s">
        <v>3107</v>
      </c>
      <c r="Y269" s="11" t="s">
        <v>4408</v>
      </c>
      <c r="Z269" s="11" t="s">
        <v>4409</v>
      </c>
      <c r="AA269" s="67">
        <v>45382</v>
      </c>
      <c r="AB269" s="67">
        <v>45383</v>
      </c>
      <c r="AC269" s="67">
        <v>45412</v>
      </c>
      <c r="AD269" s="67">
        <v>45411</v>
      </c>
      <c r="AE269" s="67">
        <v>45412</v>
      </c>
    </row>
    <row r="270" spans="1:31" ht="12.5">
      <c r="A270" s="10">
        <v>610422040030</v>
      </c>
      <c r="B270" s="10" t="s">
        <v>134</v>
      </c>
      <c r="D270" s="10">
        <v>1</v>
      </c>
      <c r="E270" s="10" t="s">
        <v>2697</v>
      </c>
      <c r="F270" s="10" t="s">
        <v>25</v>
      </c>
      <c r="G270" s="10" t="s">
        <v>2696</v>
      </c>
      <c r="H270" s="10" t="s">
        <v>74</v>
      </c>
      <c r="I270" s="10" t="s">
        <v>136</v>
      </c>
      <c r="J270" s="10" t="s">
        <v>164</v>
      </c>
      <c r="K270" s="66">
        <v>55000</v>
      </c>
      <c r="L270" s="10">
        <v>1</v>
      </c>
      <c r="M270" s="10">
        <v>55000</v>
      </c>
      <c r="O270" s="67">
        <v>45402</v>
      </c>
      <c r="P270" s="10">
        <v>2024</v>
      </c>
      <c r="Q270" s="10">
        <v>4</v>
      </c>
      <c r="R270" s="10" t="s">
        <v>3043</v>
      </c>
      <c r="S270" s="10" t="s">
        <v>6457</v>
      </c>
      <c r="T270" s="10" t="s">
        <v>6458</v>
      </c>
      <c r="U270" s="10">
        <v>0</v>
      </c>
      <c r="V270" s="10">
        <v>-32</v>
      </c>
      <c r="W270" s="67"/>
      <c r="X270" s="11" t="s">
        <v>3107</v>
      </c>
      <c r="Y270" s="11" t="s">
        <v>3241</v>
      </c>
      <c r="Z270" s="11" t="s">
        <v>3289</v>
      </c>
      <c r="AA270" s="67">
        <v>45382</v>
      </c>
      <c r="AB270" s="67">
        <v>45383</v>
      </c>
      <c r="AC270" s="67">
        <v>45412</v>
      </c>
      <c r="AD270" s="67">
        <v>45411</v>
      </c>
      <c r="AE270" s="67">
        <v>45412</v>
      </c>
    </row>
    <row r="271" spans="1:31" ht="12.5">
      <c r="A271" s="10">
        <v>610422100124</v>
      </c>
      <c r="B271" s="10" t="s">
        <v>134</v>
      </c>
      <c r="D271" s="10">
        <v>1</v>
      </c>
      <c r="E271" s="10" t="s">
        <v>2237</v>
      </c>
      <c r="F271" s="10" t="s">
        <v>25</v>
      </c>
      <c r="G271" s="10" t="s">
        <v>2236</v>
      </c>
      <c r="H271" s="10" t="s">
        <v>74</v>
      </c>
      <c r="I271" s="10" t="s">
        <v>136</v>
      </c>
      <c r="J271" s="10" t="s">
        <v>164</v>
      </c>
      <c r="K271" s="66">
        <v>55000</v>
      </c>
      <c r="L271" s="10">
        <v>3</v>
      </c>
      <c r="M271" s="10">
        <v>165000</v>
      </c>
      <c r="O271" s="67">
        <v>45402</v>
      </c>
      <c r="P271" s="10">
        <v>2024</v>
      </c>
      <c r="Q271" s="10">
        <v>4</v>
      </c>
      <c r="R271" s="10" t="s">
        <v>3043</v>
      </c>
      <c r="S271" s="10" t="s">
        <v>6443</v>
      </c>
      <c r="T271" s="10" t="s">
        <v>6444</v>
      </c>
      <c r="U271" s="10">
        <v>0</v>
      </c>
      <c r="V271" s="10">
        <v>-32</v>
      </c>
      <c r="W271" s="67"/>
      <c r="X271" s="11" t="s">
        <v>3107</v>
      </c>
      <c r="Y271" s="11" t="s">
        <v>1921</v>
      </c>
      <c r="Z271" s="11" t="s">
        <v>2140</v>
      </c>
      <c r="AA271" s="67">
        <v>45382</v>
      </c>
      <c r="AB271" s="67">
        <v>45383</v>
      </c>
      <c r="AC271" s="67">
        <v>45412</v>
      </c>
      <c r="AD271" s="67">
        <v>45411</v>
      </c>
      <c r="AE271" s="67">
        <v>45412</v>
      </c>
    </row>
    <row r="272" spans="1:31" ht="12.5">
      <c r="A272" s="10">
        <v>610422100244</v>
      </c>
      <c r="B272" s="10" t="s">
        <v>134</v>
      </c>
      <c r="D272" s="10">
        <v>1</v>
      </c>
      <c r="E272" s="10" t="s">
        <v>2633</v>
      </c>
      <c r="F272" s="10" t="s">
        <v>25</v>
      </c>
      <c r="G272" s="10" t="s">
        <v>2632</v>
      </c>
      <c r="H272" s="10" t="s">
        <v>74</v>
      </c>
      <c r="I272" s="10" t="s">
        <v>136</v>
      </c>
      <c r="J272" s="10" t="s">
        <v>164</v>
      </c>
      <c r="K272" s="66">
        <v>55000</v>
      </c>
      <c r="L272" s="10">
        <v>2</v>
      </c>
      <c r="M272" s="10">
        <v>110000</v>
      </c>
      <c r="O272" s="67">
        <v>45402</v>
      </c>
      <c r="P272" s="10">
        <v>2024</v>
      </c>
      <c r="Q272" s="10">
        <v>4</v>
      </c>
      <c r="R272" s="10" t="s">
        <v>3043</v>
      </c>
      <c r="S272" s="10" t="s">
        <v>6441</v>
      </c>
      <c r="T272" s="10" t="s">
        <v>6442</v>
      </c>
      <c r="U272" s="10">
        <v>0</v>
      </c>
      <c r="V272" s="10">
        <v>-32</v>
      </c>
      <c r="W272" s="67"/>
      <c r="X272" s="11" t="s">
        <v>3107</v>
      </c>
      <c r="Y272" s="11" t="s">
        <v>5741</v>
      </c>
      <c r="Z272" s="11" t="s">
        <v>5796</v>
      </c>
      <c r="AA272" s="67">
        <v>45382</v>
      </c>
      <c r="AB272" s="67">
        <v>45383</v>
      </c>
      <c r="AC272" s="67">
        <v>45412</v>
      </c>
      <c r="AD272" s="67">
        <v>45411</v>
      </c>
      <c r="AE272" s="67">
        <v>45412</v>
      </c>
    </row>
    <row r="273" spans="1:31" ht="12.5">
      <c r="A273" s="10">
        <v>610422020016</v>
      </c>
      <c r="B273" s="10" t="s">
        <v>134</v>
      </c>
      <c r="D273" s="10">
        <v>1</v>
      </c>
      <c r="E273" s="10" t="s">
        <v>380</v>
      </c>
      <c r="F273" s="10" t="s">
        <v>25</v>
      </c>
      <c r="G273" s="10" t="s">
        <v>379</v>
      </c>
      <c r="H273" s="10" t="s">
        <v>74</v>
      </c>
      <c r="I273" s="10" t="s">
        <v>136</v>
      </c>
      <c r="J273" s="10" t="s">
        <v>164</v>
      </c>
      <c r="K273" s="66">
        <v>55000</v>
      </c>
      <c r="L273" s="10">
        <v>3</v>
      </c>
      <c r="M273" s="10">
        <v>165000</v>
      </c>
      <c r="O273" s="67">
        <v>45402</v>
      </c>
      <c r="P273" s="10">
        <v>2024</v>
      </c>
      <c r="Q273" s="10">
        <v>4</v>
      </c>
      <c r="R273" s="10" t="s">
        <v>3043</v>
      </c>
      <c r="S273" s="10" t="s">
        <v>6459</v>
      </c>
      <c r="T273" s="10" t="s">
        <v>6460</v>
      </c>
      <c r="U273" s="10">
        <v>0</v>
      </c>
      <c r="V273" s="10">
        <v>-32</v>
      </c>
      <c r="W273" s="67"/>
      <c r="X273" s="11" t="s">
        <v>3107</v>
      </c>
      <c r="Y273" s="11" t="s">
        <v>5534</v>
      </c>
      <c r="Z273" s="11" t="s">
        <v>5535</v>
      </c>
      <c r="AA273" s="67">
        <v>45382</v>
      </c>
      <c r="AB273" s="67">
        <v>45383</v>
      </c>
      <c r="AC273" s="67">
        <v>45412</v>
      </c>
      <c r="AD273" s="67">
        <v>45411</v>
      </c>
      <c r="AE273" s="67">
        <v>45412</v>
      </c>
    </row>
    <row r="274" spans="1:31" ht="12.5">
      <c r="A274" s="10">
        <v>610422100016</v>
      </c>
      <c r="B274" s="10" t="s">
        <v>134</v>
      </c>
      <c r="D274" s="10">
        <v>1</v>
      </c>
      <c r="E274" s="10" t="s">
        <v>550</v>
      </c>
      <c r="F274" s="10" t="s">
        <v>25</v>
      </c>
      <c r="G274" s="10" t="s">
        <v>549</v>
      </c>
      <c r="H274" s="10" t="s">
        <v>74</v>
      </c>
      <c r="I274" s="10" t="s">
        <v>136</v>
      </c>
      <c r="J274" s="10" t="s">
        <v>164</v>
      </c>
      <c r="K274" s="66">
        <v>55000</v>
      </c>
      <c r="L274" s="10">
        <v>1</v>
      </c>
      <c r="M274" s="10">
        <v>55000</v>
      </c>
      <c r="O274" s="67">
        <v>45402</v>
      </c>
      <c r="P274" s="10">
        <v>2024</v>
      </c>
      <c r="Q274" s="10">
        <v>4</v>
      </c>
      <c r="R274" s="10" t="s">
        <v>3043</v>
      </c>
      <c r="S274" s="10" t="s">
        <v>6453</v>
      </c>
      <c r="T274" s="10" t="s">
        <v>6454</v>
      </c>
      <c r="U274" s="10">
        <v>0</v>
      </c>
      <c r="V274" s="10">
        <v>-32</v>
      </c>
      <c r="W274" s="67"/>
      <c r="X274" s="11" t="s">
        <v>3107</v>
      </c>
      <c r="Y274" s="11" t="s">
        <v>5250</v>
      </c>
      <c r="Z274" s="11" t="s">
        <v>5365</v>
      </c>
      <c r="AA274" s="67">
        <v>45382</v>
      </c>
      <c r="AB274" s="67">
        <v>45383</v>
      </c>
      <c r="AC274" s="67">
        <v>45412</v>
      </c>
      <c r="AD274" s="67">
        <v>45411</v>
      </c>
      <c r="AE274" s="67">
        <v>45412</v>
      </c>
    </row>
    <row r="275" spans="1:31" ht="12.5">
      <c r="A275" s="10">
        <v>610422020048</v>
      </c>
      <c r="B275" s="10" t="s">
        <v>134</v>
      </c>
      <c r="D275" s="10">
        <v>1</v>
      </c>
      <c r="E275" s="10" t="s">
        <v>1359</v>
      </c>
      <c r="F275" s="10" t="s">
        <v>25</v>
      </c>
      <c r="G275" s="10" t="s">
        <v>1358</v>
      </c>
      <c r="H275" s="10" t="s">
        <v>74</v>
      </c>
      <c r="I275" s="10" t="s">
        <v>136</v>
      </c>
      <c r="J275" s="10" t="s">
        <v>164</v>
      </c>
      <c r="K275" s="66">
        <v>55000</v>
      </c>
      <c r="L275" s="10">
        <v>3</v>
      </c>
      <c r="M275" s="10">
        <v>165000</v>
      </c>
      <c r="O275" s="67">
        <v>45402</v>
      </c>
      <c r="P275" s="10">
        <v>2024</v>
      </c>
      <c r="Q275" s="10">
        <v>4</v>
      </c>
      <c r="R275" s="10" t="s">
        <v>3043</v>
      </c>
      <c r="S275" s="10" t="s">
        <v>6447</v>
      </c>
      <c r="T275" s="10" t="s">
        <v>6448</v>
      </c>
      <c r="U275" s="10">
        <v>0</v>
      </c>
      <c r="V275" s="10">
        <v>-32</v>
      </c>
      <c r="W275" s="67"/>
      <c r="X275" s="11" t="s">
        <v>3107</v>
      </c>
      <c r="Y275" s="11" t="s">
        <v>4931</v>
      </c>
      <c r="Z275" s="11" t="s">
        <v>5171</v>
      </c>
      <c r="AA275" s="67">
        <v>45382</v>
      </c>
      <c r="AB275" s="67">
        <v>45383</v>
      </c>
      <c r="AC275" s="67">
        <v>45412</v>
      </c>
      <c r="AD275" s="67">
        <v>45411</v>
      </c>
      <c r="AE275" s="67">
        <v>45412</v>
      </c>
    </row>
    <row r="276" spans="1:31" ht="12.5">
      <c r="A276" s="10">
        <v>610422040029</v>
      </c>
      <c r="B276" s="10" t="s">
        <v>134</v>
      </c>
      <c r="D276" s="10">
        <v>1</v>
      </c>
      <c r="E276" s="10" t="s">
        <v>3000</v>
      </c>
      <c r="F276" s="10" t="s">
        <v>25</v>
      </c>
      <c r="G276" s="10" t="s">
        <v>2999</v>
      </c>
      <c r="H276" s="10" t="s">
        <v>74</v>
      </c>
      <c r="I276" s="10" t="s">
        <v>136</v>
      </c>
      <c r="J276" s="10" t="s">
        <v>164</v>
      </c>
      <c r="K276" s="66">
        <v>55000</v>
      </c>
      <c r="L276" s="10">
        <v>4</v>
      </c>
      <c r="M276" s="10">
        <v>220000</v>
      </c>
      <c r="O276" s="67">
        <v>45402</v>
      </c>
      <c r="P276" s="10">
        <v>2024</v>
      </c>
      <c r="Q276" s="10">
        <v>4</v>
      </c>
      <c r="R276" s="10" t="s">
        <v>3043</v>
      </c>
      <c r="S276" s="10" t="s">
        <v>6445</v>
      </c>
      <c r="T276" s="10" t="s">
        <v>6446</v>
      </c>
      <c r="U276" s="10">
        <v>0</v>
      </c>
      <c r="V276" s="10">
        <v>-32</v>
      </c>
      <c r="W276" s="67"/>
      <c r="X276" s="11" t="s">
        <v>3107</v>
      </c>
      <c r="Y276" s="11" t="s">
        <v>4572</v>
      </c>
      <c r="Z276" s="11" t="s">
        <v>4619</v>
      </c>
      <c r="AA276" s="67">
        <v>45382</v>
      </c>
      <c r="AB276" s="67">
        <v>45383</v>
      </c>
      <c r="AC276" s="67">
        <v>45412</v>
      </c>
      <c r="AD276" s="67">
        <v>45411</v>
      </c>
      <c r="AE276" s="67">
        <v>45412</v>
      </c>
    </row>
    <row r="277" spans="1:31" ht="12.5">
      <c r="A277" s="10">
        <v>610422050001</v>
      </c>
      <c r="B277" s="10" t="s">
        <v>134</v>
      </c>
      <c r="D277" s="10">
        <v>1</v>
      </c>
      <c r="E277" s="10" t="s">
        <v>5949</v>
      </c>
      <c r="F277" s="10" t="s">
        <v>25</v>
      </c>
      <c r="G277" s="10" t="s">
        <v>1127</v>
      </c>
      <c r="H277" s="10" t="s">
        <v>74</v>
      </c>
      <c r="I277" s="10" t="s">
        <v>136</v>
      </c>
      <c r="J277" s="10" t="s">
        <v>164</v>
      </c>
      <c r="K277" s="66">
        <v>55000</v>
      </c>
      <c r="L277" s="10">
        <v>1</v>
      </c>
      <c r="M277" s="10">
        <v>55000</v>
      </c>
      <c r="O277" s="67">
        <v>45402</v>
      </c>
      <c r="P277" s="10">
        <v>2024</v>
      </c>
      <c r="Q277" s="10">
        <v>4</v>
      </c>
      <c r="R277" s="10" t="s">
        <v>3043</v>
      </c>
      <c r="S277" s="10" t="s">
        <v>6455</v>
      </c>
      <c r="T277" s="10" t="s">
        <v>6456</v>
      </c>
      <c r="U277" s="10">
        <v>0</v>
      </c>
      <c r="V277" s="10">
        <v>-32</v>
      </c>
      <c r="W277" s="67"/>
      <c r="X277" s="11" t="s">
        <v>3107</v>
      </c>
      <c r="Y277" s="11" t="s">
        <v>4408</v>
      </c>
      <c r="Z277" s="11" t="s">
        <v>4409</v>
      </c>
      <c r="AA277" s="67">
        <v>45382</v>
      </c>
      <c r="AB277" s="67">
        <v>45383</v>
      </c>
      <c r="AC277" s="67">
        <v>45412</v>
      </c>
      <c r="AD277" s="67">
        <v>45411</v>
      </c>
      <c r="AE277" s="67">
        <v>45412</v>
      </c>
    </row>
    <row r="278" spans="1:31" ht="12.5">
      <c r="A278" s="10">
        <v>610422100124</v>
      </c>
      <c r="B278" s="10" t="s">
        <v>137</v>
      </c>
      <c r="D278" s="10">
        <v>1</v>
      </c>
      <c r="E278" s="10" t="s">
        <v>2237</v>
      </c>
      <c r="F278" s="10" t="s">
        <v>25</v>
      </c>
      <c r="G278" s="10" t="s">
        <v>2236</v>
      </c>
      <c r="H278" s="10" t="s">
        <v>67</v>
      </c>
      <c r="I278" s="10" t="s">
        <v>138</v>
      </c>
      <c r="J278" s="10" t="s">
        <v>164</v>
      </c>
      <c r="K278" s="66">
        <v>55000</v>
      </c>
      <c r="L278" s="10">
        <v>2</v>
      </c>
      <c r="M278" s="10">
        <v>110000</v>
      </c>
      <c r="O278" s="67">
        <v>45402</v>
      </c>
      <c r="P278" s="10">
        <v>2024</v>
      </c>
      <c r="Q278" s="10">
        <v>4</v>
      </c>
      <c r="R278" s="10" t="s">
        <v>3043</v>
      </c>
      <c r="S278" s="10" t="s">
        <v>6443</v>
      </c>
      <c r="T278" s="10" t="s">
        <v>6444</v>
      </c>
      <c r="U278" s="10">
        <v>0</v>
      </c>
      <c r="V278" s="10">
        <v>-32</v>
      </c>
      <c r="W278" s="67"/>
      <c r="X278" s="11" t="s">
        <v>6963</v>
      </c>
      <c r="Y278" s="11" t="s">
        <v>1921</v>
      </c>
      <c r="Z278" s="11" t="s">
        <v>2140</v>
      </c>
      <c r="AA278" s="67">
        <v>45382</v>
      </c>
      <c r="AB278" s="67">
        <v>45383</v>
      </c>
      <c r="AC278" s="67">
        <v>45412</v>
      </c>
      <c r="AD278" s="67">
        <v>45411</v>
      </c>
      <c r="AE278" s="67">
        <v>45412</v>
      </c>
    </row>
    <row r="279" spans="1:31" ht="12.5">
      <c r="A279" s="10">
        <v>610422100244</v>
      </c>
      <c r="B279" s="10" t="s">
        <v>137</v>
      </c>
      <c r="D279" s="10">
        <v>1</v>
      </c>
      <c r="E279" s="10" t="s">
        <v>2633</v>
      </c>
      <c r="F279" s="10" t="s">
        <v>25</v>
      </c>
      <c r="G279" s="10" t="s">
        <v>2632</v>
      </c>
      <c r="H279" s="10" t="s">
        <v>67</v>
      </c>
      <c r="I279" s="10" t="s">
        <v>138</v>
      </c>
      <c r="J279" s="10" t="s">
        <v>164</v>
      </c>
      <c r="K279" s="66">
        <v>55000</v>
      </c>
      <c r="L279" s="10">
        <v>2</v>
      </c>
      <c r="M279" s="10">
        <v>110000</v>
      </c>
      <c r="O279" s="67">
        <v>45402</v>
      </c>
      <c r="P279" s="10">
        <v>2024</v>
      </c>
      <c r="Q279" s="10">
        <v>4</v>
      </c>
      <c r="R279" s="10" t="s">
        <v>3043</v>
      </c>
      <c r="S279" s="10" t="s">
        <v>6441</v>
      </c>
      <c r="T279" s="10" t="s">
        <v>6442</v>
      </c>
      <c r="U279" s="10">
        <v>0</v>
      </c>
      <c r="V279" s="10">
        <v>-32</v>
      </c>
      <c r="W279" s="67"/>
      <c r="X279" s="11" t="s">
        <v>6963</v>
      </c>
      <c r="Y279" s="11" t="s">
        <v>5741</v>
      </c>
      <c r="Z279" s="11" t="s">
        <v>5796</v>
      </c>
      <c r="AA279" s="67">
        <v>45382</v>
      </c>
      <c r="AB279" s="67">
        <v>45383</v>
      </c>
      <c r="AC279" s="67">
        <v>45412</v>
      </c>
      <c r="AD279" s="67">
        <v>45411</v>
      </c>
      <c r="AE279" s="67">
        <v>45412</v>
      </c>
    </row>
    <row r="280" spans="1:31" ht="12.5">
      <c r="A280" s="10">
        <v>610422100165</v>
      </c>
      <c r="B280" s="10" t="s">
        <v>137</v>
      </c>
      <c r="D280" s="10">
        <v>1</v>
      </c>
      <c r="E280" s="10" t="s">
        <v>2855</v>
      </c>
      <c r="F280" s="10" t="s">
        <v>25</v>
      </c>
      <c r="G280" s="10" t="s">
        <v>2854</v>
      </c>
      <c r="H280" s="10" t="s">
        <v>67</v>
      </c>
      <c r="I280" s="10" t="s">
        <v>138</v>
      </c>
      <c r="J280" s="10" t="s">
        <v>164</v>
      </c>
      <c r="K280" s="66">
        <v>55000</v>
      </c>
      <c r="L280" s="10">
        <v>2</v>
      </c>
      <c r="M280" s="10">
        <v>110000</v>
      </c>
      <c r="O280" s="67">
        <v>45402</v>
      </c>
      <c r="P280" s="10">
        <v>2024</v>
      </c>
      <c r="Q280" s="10">
        <v>4</v>
      </c>
      <c r="R280" s="10" t="s">
        <v>3043</v>
      </c>
      <c r="S280" s="10" t="s">
        <v>6449</v>
      </c>
      <c r="T280" s="10" t="s">
        <v>6450</v>
      </c>
      <c r="U280" s="10">
        <v>0</v>
      </c>
      <c r="V280" s="10">
        <v>-32</v>
      </c>
      <c r="W280" s="67"/>
      <c r="X280" s="11" t="s">
        <v>6963</v>
      </c>
      <c r="Y280" s="11" t="s">
        <v>3990</v>
      </c>
      <c r="Z280" s="11" t="s">
        <v>4332</v>
      </c>
      <c r="AA280" s="67">
        <v>45382</v>
      </c>
      <c r="AB280" s="67">
        <v>45383</v>
      </c>
      <c r="AC280" s="67">
        <v>45412</v>
      </c>
      <c r="AD280" s="67">
        <v>45411</v>
      </c>
      <c r="AE280" s="67">
        <v>45412</v>
      </c>
    </row>
    <row r="281" spans="1:31" ht="12.5">
      <c r="A281" s="10">
        <v>610422100165</v>
      </c>
      <c r="B281" s="10" t="s">
        <v>139</v>
      </c>
      <c r="D281" s="10">
        <v>1</v>
      </c>
      <c r="E281" s="10" t="s">
        <v>2855</v>
      </c>
      <c r="F281" s="10" t="s">
        <v>25</v>
      </c>
      <c r="G281" s="10" t="s">
        <v>2854</v>
      </c>
      <c r="H281" s="10" t="s">
        <v>67</v>
      </c>
      <c r="I281" s="10" t="s">
        <v>140</v>
      </c>
      <c r="J281" s="10" t="s">
        <v>164</v>
      </c>
      <c r="K281" s="66">
        <v>50000</v>
      </c>
      <c r="L281" s="10">
        <v>1</v>
      </c>
      <c r="M281" s="10">
        <v>50000</v>
      </c>
      <c r="O281" s="67">
        <v>45402</v>
      </c>
      <c r="P281" s="10">
        <v>2024</v>
      </c>
      <c r="Q281" s="10">
        <v>4</v>
      </c>
      <c r="R281" s="10" t="s">
        <v>3043</v>
      </c>
      <c r="S281" s="10" t="s">
        <v>6449</v>
      </c>
      <c r="T281" s="10" t="s">
        <v>6450</v>
      </c>
      <c r="U281" s="10">
        <v>0</v>
      </c>
      <c r="V281" s="10">
        <v>-32</v>
      </c>
      <c r="W281" s="67"/>
      <c r="X281" s="11" t="s">
        <v>3131</v>
      </c>
      <c r="Y281" s="11" t="s">
        <v>3990</v>
      </c>
      <c r="Z281" s="11" t="s">
        <v>4332</v>
      </c>
      <c r="AA281" s="67">
        <v>45382</v>
      </c>
      <c r="AB281" s="67">
        <v>45383</v>
      </c>
      <c r="AC281" s="67">
        <v>45412</v>
      </c>
      <c r="AD281" s="67">
        <v>45411</v>
      </c>
      <c r="AE281" s="67">
        <v>45412</v>
      </c>
    </row>
    <row r="282" spans="1:31" ht="12.5">
      <c r="A282" s="10">
        <v>610422040029</v>
      </c>
      <c r="B282" s="10" t="s">
        <v>141</v>
      </c>
      <c r="D282" s="10">
        <v>1</v>
      </c>
      <c r="E282" s="10" t="s">
        <v>3000</v>
      </c>
      <c r="F282" s="10" t="s">
        <v>25</v>
      </c>
      <c r="G282" s="10" t="s">
        <v>2999</v>
      </c>
      <c r="H282" s="10" t="s">
        <v>67</v>
      </c>
      <c r="I282" s="10" t="s">
        <v>142</v>
      </c>
      <c r="J282" s="10" t="s">
        <v>164</v>
      </c>
      <c r="K282" s="66">
        <v>55000</v>
      </c>
      <c r="L282" s="10">
        <v>3</v>
      </c>
      <c r="M282" s="10">
        <v>165000</v>
      </c>
      <c r="O282" s="67">
        <v>45402</v>
      </c>
      <c r="P282" s="10">
        <v>2024</v>
      </c>
      <c r="Q282" s="10">
        <v>4</v>
      </c>
      <c r="R282" s="10" t="s">
        <v>3043</v>
      </c>
      <c r="S282" s="10" t="s">
        <v>6445</v>
      </c>
      <c r="T282" s="10" t="s">
        <v>6446</v>
      </c>
      <c r="U282" s="10">
        <v>0</v>
      </c>
      <c r="V282" s="10">
        <v>-32</v>
      </c>
      <c r="W282" s="67"/>
      <c r="X282" s="11" t="s">
        <v>3153</v>
      </c>
      <c r="Y282" s="11" t="s">
        <v>4572</v>
      </c>
      <c r="Z282" s="11" t="s">
        <v>4619</v>
      </c>
      <c r="AA282" s="67">
        <v>45382</v>
      </c>
      <c r="AB282" s="67">
        <v>45383</v>
      </c>
      <c r="AC282" s="67">
        <v>45412</v>
      </c>
      <c r="AD282" s="67">
        <v>45411</v>
      </c>
      <c r="AE282" s="67">
        <v>45412</v>
      </c>
    </row>
    <row r="283" spans="1:31" ht="12.5">
      <c r="A283" s="10">
        <v>610422100165</v>
      </c>
      <c r="B283" s="10" t="s">
        <v>141</v>
      </c>
      <c r="D283" s="10">
        <v>1</v>
      </c>
      <c r="E283" s="10" t="s">
        <v>2855</v>
      </c>
      <c r="F283" s="10" t="s">
        <v>25</v>
      </c>
      <c r="G283" s="10" t="s">
        <v>2854</v>
      </c>
      <c r="H283" s="10" t="s">
        <v>67</v>
      </c>
      <c r="I283" s="10" t="s">
        <v>142</v>
      </c>
      <c r="J283" s="10" t="s">
        <v>164</v>
      </c>
      <c r="K283" s="66">
        <v>55000</v>
      </c>
      <c r="L283" s="10">
        <v>3</v>
      </c>
      <c r="M283" s="10">
        <v>165000</v>
      </c>
      <c r="O283" s="67">
        <v>45402</v>
      </c>
      <c r="P283" s="10">
        <v>2024</v>
      </c>
      <c r="Q283" s="10">
        <v>4</v>
      </c>
      <c r="R283" s="10" t="s">
        <v>3043</v>
      </c>
      <c r="S283" s="10" t="s">
        <v>6449</v>
      </c>
      <c r="T283" s="10" t="s">
        <v>6450</v>
      </c>
      <c r="U283" s="10">
        <v>0</v>
      </c>
      <c r="V283" s="10">
        <v>-32</v>
      </c>
      <c r="W283" s="67"/>
      <c r="X283" s="11" t="s">
        <v>3153</v>
      </c>
      <c r="Y283" s="11" t="s">
        <v>3990</v>
      </c>
      <c r="Z283" s="11" t="s">
        <v>4332</v>
      </c>
      <c r="AA283" s="67">
        <v>45382</v>
      </c>
      <c r="AB283" s="67">
        <v>45383</v>
      </c>
      <c r="AC283" s="67">
        <v>45412</v>
      </c>
      <c r="AD283" s="67">
        <v>45411</v>
      </c>
      <c r="AE283" s="67">
        <v>45412</v>
      </c>
    </row>
    <row r="284" spans="1:31" ht="12.5">
      <c r="A284" s="10">
        <v>610422050001</v>
      </c>
      <c r="B284" s="10" t="s">
        <v>141</v>
      </c>
      <c r="D284" s="10">
        <v>1</v>
      </c>
      <c r="E284" s="10" t="s">
        <v>5949</v>
      </c>
      <c r="F284" s="10" t="s">
        <v>25</v>
      </c>
      <c r="G284" s="10" t="s">
        <v>1127</v>
      </c>
      <c r="H284" s="10" t="s">
        <v>67</v>
      </c>
      <c r="I284" s="10" t="s">
        <v>142</v>
      </c>
      <c r="J284" s="10" t="s">
        <v>164</v>
      </c>
      <c r="K284" s="66">
        <v>55000</v>
      </c>
      <c r="L284" s="10">
        <v>3</v>
      </c>
      <c r="M284" s="10">
        <v>165000</v>
      </c>
      <c r="O284" s="67">
        <v>45402</v>
      </c>
      <c r="P284" s="10">
        <v>2024</v>
      </c>
      <c r="Q284" s="10">
        <v>4</v>
      </c>
      <c r="R284" s="10" t="s">
        <v>3043</v>
      </c>
      <c r="S284" s="10" t="s">
        <v>6455</v>
      </c>
      <c r="T284" s="10" t="s">
        <v>6456</v>
      </c>
      <c r="U284" s="10">
        <v>0</v>
      </c>
      <c r="V284" s="10">
        <v>-32</v>
      </c>
      <c r="W284" s="67"/>
      <c r="X284" s="11" t="s">
        <v>3153</v>
      </c>
      <c r="Y284" s="11" t="s">
        <v>4408</v>
      </c>
      <c r="Z284" s="11" t="s">
        <v>4409</v>
      </c>
      <c r="AA284" s="67">
        <v>45382</v>
      </c>
      <c r="AB284" s="67">
        <v>45383</v>
      </c>
      <c r="AC284" s="67">
        <v>45412</v>
      </c>
      <c r="AD284" s="67">
        <v>45411</v>
      </c>
      <c r="AE284" s="67">
        <v>45412</v>
      </c>
    </row>
    <row r="285" spans="1:31" ht="12.5">
      <c r="A285" s="10">
        <v>610422040056</v>
      </c>
      <c r="B285" s="10" t="s">
        <v>141</v>
      </c>
      <c r="D285" s="10">
        <v>1</v>
      </c>
      <c r="E285" s="10" t="s">
        <v>2825</v>
      </c>
      <c r="F285" s="10" t="s">
        <v>25</v>
      </c>
      <c r="G285" s="10" t="s">
        <v>2824</v>
      </c>
      <c r="H285" s="10" t="s">
        <v>67</v>
      </c>
      <c r="I285" s="10" t="s">
        <v>142</v>
      </c>
      <c r="J285" s="10" t="s">
        <v>164</v>
      </c>
      <c r="K285" s="66">
        <v>55000</v>
      </c>
      <c r="L285" s="10">
        <v>2</v>
      </c>
      <c r="M285" s="10">
        <v>110000</v>
      </c>
      <c r="O285" s="67">
        <v>45402</v>
      </c>
      <c r="P285" s="10">
        <v>2024</v>
      </c>
      <c r="Q285" s="10">
        <v>4</v>
      </c>
      <c r="R285" s="10" t="s">
        <v>3043</v>
      </c>
      <c r="S285" s="10" t="s">
        <v>6461</v>
      </c>
      <c r="T285" s="10" t="s">
        <v>6462</v>
      </c>
      <c r="U285" s="10">
        <v>0</v>
      </c>
      <c r="V285" s="10">
        <v>-32</v>
      </c>
      <c r="W285" s="67"/>
      <c r="X285" s="11" t="s">
        <v>3153</v>
      </c>
      <c r="Y285" s="11" t="s">
        <v>4572</v>
      </c>
      <c r="Z285" s="11" t="s">
        <v>4656</v>
      </c>
      <c r="AA285" s="67">
        <v>45382</v>
      </c>
      <c r="AB285" s="67">
        <v>45383</v>
      </c>
      <c r="AC285" s="67">
        <v>45412</v>
      </c>
      <c r="AD285" s="67">
        <v>45411</v>
      </c>
      <c r="AE285" s="67">
        <v>45412</v>
      </c>
    </row>
    <row r="286" spans="1:31" ht="12.5">
      <c r="A286" s="10">
        <v>610422040029</v>
      </c>
      <c r="B286" s="10" t="s">
        <v>143</v>
      </c>
      <c r="D286" s="10">
        <v>1</v>
      </c>
      <c r="E286" s="10" t="s">
        <v>3000</v>
      </c>
      <c r="F286" s="10" t="s">
        <v>25</v>
      </c>
      <c r="G286" s="10" t="s">
        <v>2999</v>
      </c>
      <c r="H286" s="10" t="s">
        <v>67</v>
      </c>
      <c r="I286" s="10" t="s">
        <v>144</v>
      </c>
      <c r="J286" s="10" t="s">
        <v>164</v>
      </c>
      <c r="K286" s="66">
        <v>55000</v>
      </c>
      <c r="L286" s="10">
        <v>20</v>
      </c>
      <c r="M286" s="10">
        <v>1100000</v>
      </c>
      <c r="N286" s="70"/>
      <c r="O286" s="67">
        <v>45404</v>
      </c>
      <c r="P286" s="10">
        <v>2024</v>
      </c>
      <c r="Q286" s="10">
        <v>4</v>
      </c>
      <c r="R286" s="10" t="s">
        <v>3043</v>
      </c>
      <c r="S286" s="10" t="s">
        <v>6445</v>
      </c>
      <c r="T286" s="10" t="s">
        <v>6446</v>
      </c>
      <c r="U286" s="10">
        <v>0</v>
      </c>
      <c r="V286" s="10">
        <v>-30</v>
      </c>
      <c r="W286" s="67"/>
      <c r="X286" s="11" t="s">
        <v>3172</v>
      </c>
      <c r="Y286" s="11" t="s">
        <v>4572</v>
      </c>
      <c r="Z286" s="11" t="s">
        <v>4619</v>
      </c>
      <c r="AA286" s="67">
        <v>45382</v>
      </c>
      <c r="AB286" s="67">
        <v>45383</v>
      </c>
      <c r="AC286" s="67">
        <v>45412</v>
      </c>
      <c r="AD286" s="67">
        <v>45411</v>
      </c>
      <c r="AE286" s="67">
        <v>45412</v>
      </c>
    </row>
    <row r="287" spans="1:31" ht="12.5">
      <c r="A287" s="10">
        <v>610422020016</v>
      </c>
      <c r="B287" s="10" t="s">
        <v>31</v>
      </c>
      <c r="D287" s="10">
        <v>1</v>
      </c>
      <c r="E287" s="10" t="s">
        <v>380</v>
      </c>
      <c r="F287" s="10" t="s">
        <v>25</v>
      </c>
      <c r="G287" s="10" t="s">
        <v>379</v>
      </c>
      <c r="H287" s="10" t="s">
        <v>84</v>
      </c>
      <c r="I287" s="10" t="s">
        <v>6463</v>
      </c>
      <c r="J287" s="10" t="s">
        <v>3036</v>
      </c>
      <c r="K287" s="66">
        <v>116000</v>
      </c>
      <c r="L287" s="10">
        <v>3</v>
      </c>
      <c r="M287" s="10">
        <v>348000</v>
      </c>
      <c r="O287" s="67">
        <v>45412</v>
      </c>
      <c r="P287" s="10">
        <v>2024</v>
      </c>
      <c r="Q287" s="10">
        <v>4</v>
      </c>
      <c r="R287" s="10" t="s">
        <v>3043</v>
      </c>
      <c r="S287" s="10" t="s">
        <v>6459</v>
      </c>
      <c r="T287" s="10" t="s">
        <v>6460</v>
      </c>
      <c r="U287" s="10">
        <v>1</v>
      </c>
      <c r="V287" s="10">
        <v>-22</v>
      </c>
      <c r="W287" s="67">
        <v>45419</v>
      </c>
      <c r="X287" s="11" t="s">
        <v>3054</v>
      </c>
      <c r="Y287" s="11" t="s">
        <v>5534</v>
      </c>
      <c r="Z287" s="11" t="s">
        <v>5535</v>
      </c>
      <c r="AA287" s="67">
        <v>45382</v>
      </c>
      <c r="AB287" s="67">
        <v>45383</v>
      </c>
      <c r="AC287" s="67">
        <v>45412</v>
      </c>
      <c r="AD287" s="67">
        <v>45411</v>
      </c>
      <c r="AE287" s="67">
        <v>45412</v>
      </c>
    </row>
    <row r="288" spans="1:31" ht="12.5">
      <c r="A288" s="10">
        <v>610422040012</v>
      </c>
      <c r="B288" s="10" t="s">
        <v>31</v>
      </c>
      <c r="D288" s="10">
        <v>1</v>
      </c>
      <c r="E288" s="10" t="s">
        <v>1813</v>
      </c>
      <c r="F288" s="10" t="s">
        <v>25</v>
      </c>
      <c r="G288" s="10" t="s">
        <v>1812</v>
      </c>
      <c r="H288" s="10" t="s">
        <v>84</v>
      </c>
      <c r="I288" s="10" t="s">
        <v>6463</v>
      </c>
      <c r="J288" s="10" t="s">
        <v>3036</v>
      </c>
      <c r="K288" s="66">
        <v>116000</v>
      </c>
      <c r="L288" s="10">
        <v>3</v>
      </c>
      <c r="M288" s="10">
        <v>348000</v>
      </c>
      <c r="O288" s="67">
        <v>45412</v>
      </c>
      <c r="P288" s="10">
        <v>2024</v>
      </c>
      <c r="Q288" s="10">
        <v>4</v>
      </c>
      <c r="R288" s="10" t="s">
        <v>3043</v>
      </c>
      <c r="S288" s="10" t="s">
        <v>6464</v>
      </c>
      <c r="T288" s="10" t="s">
        <v>6465</v>
      </c>
      <c r="U288" s="10">
        <v>1</v>
      </c>
      <c r="V288" s="10">
        <v>-22</v>
      </c>
      <c r="W288" s="67">
        <v>45419</v>
      </c>
      <c r="X288" s="11" t="s">
        <v>3054</v>
      </c>
      <c r="Y288" s="11" t="s">
        <v>3990</v>
      </c>
      <c r="Z288" s="11" t="s">
        <v>4365</v>
      </c>
      <c r="AA288" s="67">
        <v>45382</v>
      </c>
      <c r="AB288" s="67">
        <v>45383</v>
      </c>
      <c r="AC288" s="67">
        <v>45412</v>
      </c>
      <c r="AD288" s="67">
        <v>45411</v>
      </c>
      <c r="AE288" s="67">
        <v>45412</v>
      </c>
    </row>
    <row r="289" spans="1:31" ht="12.5">
      <c r="A289" s="10">
        <v>610422040059</v>
      </c>
      <c r="B289" s="10" t="s">
        <v>31</v>
      </c>
      <c r="D289" s="10">
        <v>1</v>
      </c>
      <c r="E289" s="10" t="s">
        <v>365</v>
      </c>
      <c r="F289" s="10" t="s">
        <v>25</v>
      </c>
      <c r="G289" s="10" t="s">
        <v>364</v>
      </c>
      <c r="H289" s="10" t="s">
        <v>84</v>
      </c>
      <c r="I289" s="10" t="s">
        <v>6463</v>
      </c>
      <c r="J289" s="10" t="s">
        <v>3036</v>
      </c>
      <c r="K289" s="66">
        <v>116000</v>
      </c>
      <c r="L289" s="10">
        <v>4</v>
      </c>
      <c r="M289" s="10">
        <v>464000</v>
      </c>
      <c r="O289" s="67">
        <v>45412</v>
      </c>
      <c r="P289" s="10">
        <v>2024</v>
      </c>
      <c r="Q289" s="10">
        <v>4</v>
      </c>
      <c r="R289" s="10" t="s">
        <v>3043</v>
      </c>
      <c r="S289" s="10" t="s">
        <v>6466</v>
      </c>
      <c r="T289" s="10" t="s">
        <v>6467</v>
      </c>
      <c r="U289" s="10">
        <v>1</v>
      </c>
      <c r="V289" s="10">
        <v>-22</v>
      </c>
      <c r="W289" s="67">
        <v>45419</v>
      </c>
      <c r="X289" s="11" t="s">
        <v>3054</v>
      </c>
      <c r="Y289" s="11" t="s">
        <v>4572</v>
      </c>
      <c r="Z289" s="11" t="s">
        <v>4656</v>
      </c>
      <c r="AA289" s="67">
        <v>45382</v>
      </c>
      <c r="AB289" s="67">
        <v>45383</v>
      </c>
      <c r="AC289" s="67">
        <v>45412</v>
      </c>
      <c r="AD289" s="67">
        <v>45411</v>
      </c>
      <c r="AE289" s="67">
        <v>45412</v>
      </c>
    </row>
    <row r="290" spans="1:31" ht="12.5">
      <c r="A290" s="10">
        <v>610422040061</v>
      </c>
      <c r="B290" s="10" t="s">
        <v>31</v>
      </c>
      <c r="D290" s="10">
        <v>1</v>
      </c>
      <c r="E290" s="10" t="s">
        <v>2440</v>
      </c>
      <c r="F290" s="10" t="s">
        <v>25</v>
      </c>
      <c r="G290" s="10" t="s">
        <v>2439</v>
      </c>
      <c r="H290" s="10" t="s">
        <v>84</v>
      </c>
      <c r="I290" s="10" t="s">
        <v>6463</v>
      </c>
      <c r="J290" s="10" t="s">
        <v>3036</v>
      </c>
      <c r="K290" s="66">
        <v>116000</v>
      </c>
      <c r="L290" s="10">
        <v>3</v>
      </c>
      <c r="M290" s="10">
        <v>348000</v>
      </c>
      <c r="O290" s="67">
        <v>45412</v>
      </c>
      <c r="P290" s="10">
        <v>2024</v>
      </c>
      <c r="Q290" s="10">
        <v>4</v>
      </c>
      <c r="R290" s="10" t="s">
        <v>3043</v>
      </c>
      <c r="S290" s="10" t="s">
        <v>6468</v>
      </c>
      <c r="T290" s="10" t="s">
        <v>6469</v>
      </c>
      <c r="U290" s="10">
        <v>1</v>
      </c>
      <c r="V290" s="10">
        <v>-22</v>
      </c>
      <c r="W290" s="67">
        <v>45419</v>
      </c>
      <c r="X290" s="11" t="s">
        <v>3054</v>
      </c>
      <c r="Y290" s="11" t="s">
        <v>3715</v>
      </c>
      <c r="Z290" s="11" t="s">
        <v>3862</v>
      </c>
      <c r="AA290" s="67">
        <v>45382</v>
      </c>
      <c r="AB290" s="67">
        <v>45383</v>
      </c>
      <c r="AC290" s="67">
        <v>45412</v>
      </c>
      <c r="AD290" s="67">
        <v>45411</v>
      </c>
      <c r="AE290" s="67">
        <v>45412</v>
      </c>
    </row>
    <row r="291" spans="1:31" ht="12.5">
      <c r="A291" s="10">
        <v>610422100131</v>
      </c>
      <c r="B291" s="10" t="s">
        <v>31</v>
      </c>
      <c r="D291" s="10">
        <v>1</v>
      </c>
      <c r="E291" s="10" t="s">
        <v>6046</v>
      </c>
      <c r="F291" s="10" t="s">
        <v>25</v>
      </c>
      <c r="G291" s="10" t="s">
        <v>2683</v>
      </c>
      <c r="H291" s="10" t="s">
        <v>84</v>
      </c>
      <c r="I291" s="10" t="s">
        <v>6463</v>
      </c>
      <c r="J291" s="10" t="s">
        <v>3036</v>
      </c>
      <c r="K291" s="66">
        <v>116000</v>
      </c>
      <c r="L291" s="10">
        <v>3</v>
      </c>
      <c r="M291" s="10">
        <v>348000</v>
      </c>
      <c r="O291" s="67">
        <v>45412</v>
      </c>
      <c r="P291" s="10">
        <v>2024</v>
      </c>
      <c r="Q291" s="10">
        <v>4</v>
      </c>
      <c r="R291" s="10" t="s">
        <v>3043</v>
      </c>
      <c r="S291" s="10" t="s">
        <v>6470</v>
      </c>
      <c r="T291" s="10" t="s">
        <v>6471</v>
      </c>
      <c r="U291" s="10">
        <v>1</v>
      </c>
      <c r="V291" s="10">
        <v>-22</v>
      </c>
      <c r="W291" s="67">
        <v>45419</v>
      </c>
      <c r="X291" s="11" t="s">
        <v>3054</v>
      </c>
      <c r="Y291" s="11" t="s">
        <v>5250</v>
      </c>
      <c r="Z291" s="11" t="s">
        <v>5365</v>
      </c>
      <c r="AA291" s="67">
        <v>45382</v>
      </c>
      <c r="AB291" s="67">
        <v>45383</v>
      </c>
      <c r="AC291" s="67">
        <v>45412</v>
      </c>
      <c r="AD291" s="67">
        <v>45411</v>
      </c>
      <c r="AE291" s="67">
        <v>45412</v>
      </c>
    </row>
    <row r="292" spans="1:31" ht="12.5">
      <c r="A292" s="10">
        <v>610422100244</v>
      </c>
      <c r="B292" s="10" t="s">
        <v>31</v>
      </c>
      <c r="D292" s="10">
        <v>1</v>
      </c>
      <c r="E292" s="10" t="s">
        <v>2633</v>
      </c>
      <c r="F292" s="10" t="s">
        <v>25</v>
      </c>
      <c r="G292" s="10" t="s">
        <v>2632</v>
      </c>
      <c r="H292" s="10" t="s">
        <v>84</v>
      </c>
      <c r="I292" s="10" t="s">
        <v>6463</v>
      </c>
      <c r="J292" s="10" t="s">
        <v>3036</v>
      </c>
      <c r="K292" s="66">
        <v>116000</v>
      </c>
      <c r="L292" s="10">
        <v>3</v>
      </c>
      <c r="M292" s="10">
        <v>348000</v>
      </c>
      <c r="O292" s="67">
        <v>45412</v>
      </c>
      <c r="P292" s="10">
        <v>2024</v>
      </c>
      <c r="Q292" s="10">
        <v>4</v>
      </c>
      <c r="R292" s="10" t="s">
        <v>3043</v>
      </c>
      <c r="S292" s="10" t="s">
        <v>6441</v>
      </c>
      <c r="T292" s="10" t="s">
        <v>6442</v>
      </c>
      <c r="U292" s="10">
        <v>1</v>
      </c>
      <c r="V292" s="10">
        <v>-22</v>
      </c>
      <c r="W292" s="67">
        <v>45419</v>
      </c>
      <c r="X292" s="11" t="s">
        <v>3054</v>
      </c>
      <c r="Y292" s="11" t="s">
        <v>5741</v>
      </c>
      <c r="Z292" s="11" t="s">
        <v>5796</v>
      </c>
      <c r="AA292" s="67">
        <v>45382</v>
      </c>
      <c r="AB292" s="67">
        <v>45383</v>
      </c>
      <c r="AC292" s="67">
        <v>45412</v>
      </c>
      <c r="AD292" s="67">
        <v>45411</v>
      </c>
      <c r="AE292" s="67">
        <v>45412</v>
      </c>
    </row>
    <row r="293" spans="1:31" ht="12.5">
      <c r="A293" s="10">
        <v>610422100176</v>
      </c>
      <c r="B293" s="10" t="s">
        <v>31</v>
      </c>
      <c r="D293" s="10">
        <v>1</v>
      </c>
      <c r="E293" s="10" t="s">
        <v>1190</v>
      </c>
      <c r="F293" s="10" t="s">
        <v>25</v>
      </c>
      <c r="G293" s="10" t="s">
        <v>1189</v>
      </c>
      <c r="H293" s="10" t="s">
        <v>84</v>
      </c>
      <c r="I293" s="10" t="s">
        <v>6463</v>
      </c>
      <c r="J293" s="10" t="s">
        <v>3036</v>
      </c>
      <c r="K293" s="66">
        <v>116000</v>
      </c>
      <c r="L293" s="10">
        <v>3</v>
      </c>
      <c r="M293" s="10">
        <v>348000</v>
      </c>
      <c r="O293" s="67">
        <v>45412</v>
      </c>
      <c r="P293" s="10">
        <v>2024</v>
      </c>
      <c r="Q293" s="10">
        <v>4</v>
      </c>
      <c r="R293" s="10" t="s">
        <v>3043</v>
      </c>
      <c r="S293" s="10" t="s">
        <v>6472</v>
      </c>
      <c r="T293" s="10" t="s">
        <v>6473</v>
      </c>
      <c r="U293" s="10">
        <v>1</v>
      </c>
      <c r="V293" s="10">
        <v>-22</v>
      </c>
      <c r="W293" s="67">
        <v>45419</v>
      </c>
      <c r="X293" s="11" t="s">
        <v>3054</v>
      </c>
      <c r="Y293" s="11" t="s">
        <v>3715</v>
      </c>
      <c r="Z293" s="11" t="s">
        <v>3765</v>
      </c>
      <c r="AA293" s="67">
        <v>45382</v>
      </c>
      <c r="AB293" s="67">
        <v>45383</v>
      </c>
      <c r="AC293" s="67">
        <v>45412</v>
      </c>
      <c r="AD293" s="67">
        <v>45411</v>
      </c>
      <c r="AE293" s="67">
        <v>45412</v>
      </c>
    </row>
    <row r="294" spans="1:31" ht="12.5">
      <c r="A294" s="10">
        <v>610423110183</v>
      </c>
      <c r="B294" s="10" t="s">
        <v>31</v>
      </c>
      <c r="D294" s="10">
        <v>1</v>
      </c>
      <c r="E294" s="10" t="s">
        <v>5924</v>
      </c>
      <c r="F294" s="10" t="s">
        <v>25</v>
      </c>
      <c r="G294" s="10" t="s">
        <v>742</v>
      </c>
      <c r="H294" s="10" t="s">
        <v>84</v>
      </c>
      <c r="I294" s="10" t="s">
        <v>6463</v>
      </c>
      <c r="J294" s="10" t="s">
        <v>3036</v>
      </c>
      <c r="K294" s="66">
        <v>116000</v>
      </c>
      <c r="L294" s="10">
        <v>6</v>
      </c>
      <c r="M294" s="10">
        <v>696000</v>
      </c>
      <c r="O294" s="67">
        <v>45412</v>
      </c>
      <c r="P294" s="10">
        <v>2024</v>
      </c>
      <c r="Q294" s="10">
        <v>4</v>
      </c>
      <c r="R294" s="10" t="s">
        <v>3043</v>
      </c>
      <c r="S294" s="10" t="s">
        <v>6474</v>
      </c>
      <c r="T294" s="10" t="s">
        <v>6475</v>
      </c>
      <c r="U294" s="10">
        <v>1</v>
      </c>
      <c r="V294" s="10">
        <v>-22</v>
      </c>
      <c r="W294" s="67">
        <v>45419</v>
      </c>
      <c r="X294" s="11" t="s">
        <v>3054</v>
      </c>
      <c r="Y294" s="11" t="s">
        <v>3241</v>
      </c>
      <c r="Z294" s="11" t="s">
        <v>3242</v>
      </c>
      <c r="AA294" s="67">
        <v>45382</v>
      </c>
      <c r="AB294" s="67">
        <v>45383</v>
      </c>
      <c r="AC294" s="67">
        <v>45412</v>
      </c>
      <c r="AD294" s="67">
        <v>45411</v>
      </c>
      <c r="AE294" s="67">
        <v>45412</v>
      </c>
    </row>
    <row r="295" spans="1:31" ht="12.5">
      <c r="A295" s="10">
        <v>610423040018</v>
      </c>
      <c r="B295" s="10" t="s">
        <v>31</v>
      </c>
      <c r="D295" s="10">
        <v>1</v>
      </c>
      <c r="E295" s="10" t="s">
        <v>1301</v>
      </c>
      <c r="F295" s="10" t="s">
        <v>25</v>
      </c>
      <c r="G295" s="10" t="s">
        <v>1300</v>
      </c>
      <c r="H295" s="10" t="s">
        <v>84</v>
      </c>
      <c r="I295" s="10" t="s">
        <v>6463</v>
      </c>
      <c r="J295" s="10" t="s">
        <v>3036</v>
      </c>
      <c r="K295" s="66">
        <v>116000</v>
      </c>
      <c r="L295" s="10">
        <v>4</v>
      </c>
      <c r="M295" s="10">
        <v>464000</v>
      </c>
      <c r="O295" s="67">
        <v>45412</v>
      </c>
      <c r="P295" s="10">
        <v>2024</v>
      </c>
      <c r="Q295" s="10">
        <v>4</v>
      </c>
      <c r="R295" s="10" t="s">
        <v>3043</v>
      </c>
      <c r="S295" s="10" t="s">
        <v>6476</v>
      </c>
      <c r="T295" s="10" t="s">
        <v>6477</v>
      </c>
      <c r="U295" s="10">
        <v>1</v>
      </c>
      <c r="V295" s="10">
        <v>-22</v>
      </c>
      <c r="W295" s="67">
        <v>45419</v>
      </c>
      <c r="X295" s="11" t="s">
        <v>3054</v>
      </c>
      <c r="Y295" s="11" t="s">
        <v>5534</v>
      </c>
      <c r="Z295" s="11" t="s">
        <v>5647</v>
      </c>
      <c r="AA295" s="67">
        <v>45382</v>
      </c>
      <c r="AB295" s="67">
        <v>45383</v>
      </c>
      <c r="AC295" s="67">
        <v>45412</v>
      </c>
      <c r="AD295" s="67">
        <v>45411</v>
      </c>
      <c r="AE295" s="67">
        <v>45412</v>
      </c>
    </row>
    <row r="296" spans="1:31" ht="12.5">
      <c r="A296" s="10">
        <v>610422040059</v>
      </c>
      <c r="B296" s="10" t="s">
        <v>31</v>
      </c>
      <c r="D296" s="10">
        <v>1</v>
      </c>
      <c r="E296" s="10" t="s">
        <v>365</v>
      </c>
      <c r="F296" s="10" t="s">
        <v>25</v>
      </c>
      <c r="G296" s="10" t="s">
        <v>364</v>
      </c>
      <c r="H296" s="10" t="s">
        <v>85</v>
      </c>
      <c r="I296" s="10" t="s">
        <v>6478</v>
      </c>
      <c r="J296" s="10" t="s">
        <v>3036</v>
      </c>
      <c r="K296" s="66">
        <v>59000</v>
      </c>
      <c r="L296" s="10">
        <v>6</v>
      </c>
      <c r="M296" s="10">
        <v>354000</v>
      </c>
      <c r="O296" s="67">
        <v>45412</v>
      </c>
      <c r="P296" s="10">
        <v>2024</v>
      </c>
      <c r="Q296" s="10">
        <v>4</v>
      </c>
      <c r="R296" s="10" t="s">
        <v>3043</v>
      </c>
      <c r="S296" s="10" t="s">
        <v>6466</v>
      </c>
      <c r="T296" s="10" t="s">
        <v>6467</v>
      </c>
      <c r="U296" s="10">
        <v>1</v>
      </c>
      <c r="V296" s="10">
        <v>-22</v>
      </c>
      <c r="W296" s="67">
        <v>45419</v>
      </c>
      <c r="X296" s="11" t="s">
        <v>3054</v>
      </c>
      <c r="Y296" s="11" t="s">
        <v>4572</v>
      </c>
      <c r="Z296" s="11" t="s">
        <v>4656</v>
      </c>
      <c r="AA296" s="67">
        <v>45382</v>
      </c>
      <c r="AB296" s="67">
        <v>45383</v>
      </c>
      <c r="AC296" s="67">
        <v>45412</v>
      </c>
      <c r="AD296" s="67">
        <v>45411</v>
      </c>
      <c r="AE296" s="67">
        <v>45412</v>
      </c>
    </row>
    <row r="297" spans="1:31" ht="12.5">
      <c r="A297" s="10">
        <v>610422020048</v>
      </c>
      <c r="B297" s="10" t="s">
        <v>31</v>
      </c>
      <c r="D297" s="10">
        <v>1</v>
      </c>
      <c r="E297" s="10" t="s">
        <v>1359</v>
      </c>
      <c r="F297" s="10" t="s">
        <v>25</v>
      </c>
      <c r="G297" s="10" t="s">
        <v>1358</v>
      </c>
      <c r="H297" s="10" t="s">
        <v>85</v>
      </c>
      <c r="I297" s="10" t="s">
        <v>6478</v>
      </c>
      <c r="J297" s="10" t="s">
        <v>3036</v>
      </c>
      <c r="K297" s="66">
        <v>59000</v>
      </c>
      <c r="L297" s="10">
        <v>6</v>
      </c>
      <c r="M297" s="10">
        <v>354000</v>
      </c>
      <c r="O297" s="67">
        <v>45412</v>
      </c>
      <c r="P297" s="10">
        <v>2024</v>
      </c>
      <c r="Q297" s="10">
        <v>4</v>
      </c>
      <c r="R297" s="10" t="s">
        <v>3043</v>
      </c>
      <c r="S297" s="10" t="s">
        <v>6447</v>
      </c>
      <c r="T297" s="10" t="s">
        <v>6448</v>
      </c>
      <c r="U297" s="10">
        <v>1</v>
      </c>
      <c r="V297" s="10">
        <v>-22</v>
      </c>
      <c r="W297" s="67">
        <v>45419</v>
      </c>
      <c r="X297" s="11" t="s">
        <v>3054</v>
      </c>
      <c r="Y297" s="11" t="s">
        <v>4931</v>
      </c>
      <c r="Z297" s="11" t="s">
        <v>5171</v>
      </c>
      <c r="AA297" s="67">
        <v>45382</v>
      </c>
      <c r="AB297" s="67">
        <v>45383</v>
      </c>
      <c r="AC297" s="67">
        <v>45412</v>
      </c>
      <c r="AD297" s="67">
        <v>45411</v>
      </c>
      <c r="AE297" s="67">
        <v>45412</v>
      </c>
    </row>
    <row r="298" spans="1:31" ht="12.5">
      <c r="A298" s="10">
        <v>610422040058</v>
      </c>
      <c r="B298" s="10" t="s">
        <v>31</v>
      </c>
      <c r="D298" s="10">
        <v>1</v>
      </c>
      <c r="E298" s="10" t="s">
        <v>5976</v>
      </c>
      <c r="F298" s="10" t="s">
        <v>25</v>
      </c>
      <c r="G298" s="10" t="s">
        <v>1547</v>
      </c>
      <c r="H298" s="10" t="s">
        <v>85</v>
      </c>
      <c r="I298" s="10" t="s">
        <v>6478</v>
      </c>
      <c r="J298" s="10" t="s">
        <v>3036</v>
      </c>
      <c r="K298" s="66">
        <v>59000</v>
      </c>
      <c r="L298" s="10">
        <v>10</v>
      </c>
      <c r="M298" s="10">
        <v>590000</v>
      </c>
      <c r="O298" s="67">
        <v>45412</v>
      </c>
      <c r="P298" s="10">
        <v>2024</v>
      </c>
      <c r="Q298" s="10">
        <v>4</v>
      </c>
      <c r="R298" s="10" t="s">
        <v>3043</v>
      </c>
      <c r="S298" s="10" t="s">
        <v>6479</v>
      </c>
      <c r="T298" s="10" t="s">
        <v>6480</v>
      </c>
      <c r="U298" s="10">
        <v>1</v>
      </c>
      <c r="V298" s="10">
        <v>-22</v>
      </c>
      <c r="W298" s="67">
        <v>45419</v>
      </c>
      <c r="X298" s="11" t="s">
        <v>3054</v>
      </c>
      <c r="Y298" s="11" t="s">
        <v>3715</v>
      </c>
      <c r="Z298" s="11" t="s">
        <v>3716</v>
      </c>
      <c r="AA298" s="67">
        <v>45382</v>
      </c>
      <c r="AB298" s="67">
        <v>45383</v>
      </c>
      <c r="AC298" s="67">
        <v>45412</v>
      </c>
      <c r="AD298" s="67">
        <v>45411</v>
      </c>
      <c r="AE298" s="67">
        <v>45412</v>
      </c>
    </row>
    <row r="299" spans="1:31" ht="12.5">
      <c r="A299" s="10">
        <v>610423110183</v>
      </c>
      <c r="B299" s="10" t="s">
        <v>31</v>
      </c>
      <c r="D299" s="10">
        <v>1</v>
      </c>
      <c r="E299" s="10" t="s">
        <v>5924</v>
      </c>
      <c r="F299" s="10" t="s">
        <v>25</v>
      </c>
      <c r="G299" s="10" t="s">
        <v>742</v>
      </c>
      <c r="H299" s="10" t="s">
        <v>85</v>
      </c>
      <c r="I299" s="10" t="s">
        <v>6478</v>
      </c>
      <c r="J299" s="10" t="s">
        <v>3036</v>
      </c>
      <c r="K299" s="66">
        <v>59000</v>
      </c>
      <c r="L299" s="10">
        <v>6</v>
      </c>
      <c r="M299" s="10">
        <v>354000</v>
      </c>
      <c r="O299" s="67">
        <v>45412</v>
      </c>
      <c r="P299" s="10">
        <v>2024</v>
      </c>
      <c r="Q299" s="10">
        <v>4</v>
      </c>
      <c r="R299" s="10" t="s">
        <v>3043</v>
      </c>
      <c r="S299" s="10" t="s">
        <v>6474</v>
      </c>
      <c r="T299" s="10" t="s">
        <v>6475</v>
      </c>
      <c r="U299" s="10">
        <v>1</v>
      </c>
      <c r="V299" s="10">
        <v>-22</v>
      </c>
      <c r="W299" s="67">
        <v>45419</v>
      </c>
      <c r="X299" s="11" t="s">
        <v>3054</v>
      </c>
      <c r="Y299" s="11" t="s">
        <v>3241</v>
      </c>
      <c r="Z299" s="11" t="s">
        <v>3242</v>
      </c>
      <c r="AA299" s="67">
        <v>45382</v>
      </c>
      <c r="AB299" s="67">
        <v>45383</v>
      </c>
      <c r="AC299" s="67">
        <v>45412</v>
      </c>
      <c r="AD299" s="67">
        <v>45411</v>
      </c>
      <c r="AE299" s="67">
        <v>45412</v>
      </c>
    </row>
    <row r="300" spans="1:31" ht="12.5">
      <c r="A300" s="10">
        <v>610422100244</v>
      </c>
      <c r="B300" s="10" t="s">
        <v>31</v>
      </c>
      <c r="D300" s="10">
        <v>1</v>
      </c>
      <c r="E300" s="10" t="s">
        <v>2633</v>
      </c>
      <c r="F300" s="10" t="s">
        <v>25</v>
      </c>
      <c r="G300" s="10" t="s">
        <v>2632</v>
      </c>
      <c r="H300" s="10" t="s">
        <v>85</v>
      </c>
      <c r="I300" s="10" t="s">
        <v>6478</v>
      </c>
      <c r="J300" s="10" t="s">
        <v>3036</v>
      </c>
      <c r="K300" s="66">
        <v>59000</v>
      </c>
      <c r="L300" s="10">
        <v>8</v>
      </c>
      <c r="M300" s="10">
        <v>472000</v>
      </c>
      <c r="O300" s="67">
        <v>45412</v>
      </c>
      <c r="P300" s="10">
        <v>2024</v>
      </c>
      <c r="Q300" s="10">
        <v>4</v>
      </c>
      <c r="R300" s="10" t="s">
        <v>3043</v>
      </c>
      <c r="S300" s="10" t="s">
        <v>6441</v>
      </c>
      <c r="T300" s="10" t="s">
        <v>6442</v>
      </c>
      <c r="U300" s="10">
        <v>1</v>
      </c>
      <c r="V300" s="10">
        <v>-22</v>
      </c>
      <c r="W300" s="67">
        <v>45419</v>
      </c>
      <c r="X300" s="11" t="s">
        <v>3054</v>
      </c>
      <c r="Y300" s="11" t="s">
        <v>5741</v>
      </c>
      <c r="Z300" s="11" t="s">
        <v>5796</v>
      </c>
      <c r="AA300" s="67">
        <v>45382</v>
      </c>
      <c r="AB300" s="67">
        <v>45383</v>
      </c>
      <c r="AC300" s="67">
        <v>45412</v>
      </c>
      <c r="AD300" s="67">
        <v>45411</v>
      </c>
      <c r="AE300" s="67">
        <v>45412</v>
      </c>
    </row>
    <row r="301" spans="1:31" ht="12.5">
      <c r="A301" s="10">
        <v>610422040056</v>
      </c>
      <c r="B301" s="10" t="s">
        <v>145</v>
      </c>
      <c r="D301" s="10">
        <v>1</v>
      </c>
      <c r="E301" s="10" t="s">
        <v>2825</v>
      </c>
      <c r="F301" s="10" t="s">
        <v>25</v>
      </c>
      <c r="G301" s="10" t="s">
        <v>2824</v>
      </c>
      <c r="H301" s="10" t="s">
        <v>67</v>
      </c>
      <c r="I301" s="10" t="s">
        <v>146</v>
      </c>
      <c r="J301" s="10" t="s">
        <v>164</v>
      </c>
      <c r="K301" s="66">
        <v>65000</v>
      </c>
      <c r="L301" s="10">
        <v>10</v>
      </c>
      <c r="M301" s="10">
        <v>650000</v>
      </c>
      <c r="O301" s="67">
        <v>45412</v>
      </c>
      <c r="P301" s="10">
        <v>2024</v>
      </c>
      <c r="Q301" s="10">
        <v>4</v>
      </c>
      <c r="R301" s="10" t="s">
        <v>3043</v>
      </c>
      <c r="S301" s="10" t="s">
        <v>6461</v>
      </c>
      <c r="T301" s="10" t="s">
        <v>6462</v>
      </c>
      <c r="U301" s="10">
        <v>0</v>
      </c>
      <c r="V301" s="10">
        <v>-22</v>
      </c>
      <c r="W301" s="67"/>
      <c r="X301" s="11" t="s">
        <v>3162</v>
      </c>
      <c r="Y301" s="11" t="s">
        <v>4572</v>
      </c>
      <c r="Z301" s="11" t="s">
        <v>4656</v>
      </c>
      <c r="AA301" s="67">
        <v>45382</v>
      </c>
      <c r="AB301" s="67">
        <v>45383</v>
      </c>
      <c r="AC301" s="67">
        <v>45412</v>
      </c>
      <c r="AD301" s="67">
        <v>45411</v>
      </c>
      <c r="AE301" s="67">
        <v>45412</v>
      </c>
    </row>
    <row r="302" spans="1:31" ht="12.5">
      <c r="A302" s="10">
        <v>610422040029</v>
      </c>
      <c r="B302" s="10" t="s">
        <v>147</v>
      </c>
      <c r="D302" s="10">
        <v>1</v>
      </c>
      <c r="E302" s="10" t="s">
        <v>3000</v>
      </c>
      <c r="F302" s="10" t="s">
        <v>25</v>
      </c>
      <c r="G302" s="10" t="s">
        <v>2999</v>
      </c>
      <c r="H302" s="10" t="s">
        <v>67</v>
      </c>
      <c r="I302" s="10" t="s">
        <v>148</v>
      </c>
      <c r="J302" s="10" t="s">
        <v>164</v>
      </c>
      <c r="K302" s="66">
        <v>55000</v>
      </c>
      <c r="L302" s="10">
        <v>1</v>
      </c>
      <c r="M302" s="10">
        <v>55000</v>
      </c>
      <c r="O302" s="67">
        <v>45412</v>
      </c>
      <c r="P302" s="10">
        <v>2024</v>
      </c>
      <c r="Q302" s="10">
        <v>4</v>
      </c>
      <c r="R302" s="10" t="s">
        <v>3043</v>
      </c>
      <c r="S302" s="10" t="s">
        <v>6445</v>
      </c>
      <c r="T302" s="10" t="s">
        <v>6446</v>
      </c>
      <c r="U302" s="10">
        <v>0</v>
      </c>
      <c r="V302" s="10">
        <v>-22</v>
      </c>
      <c r="W302" s="67"/>
      <c r="X302" s="11" t="s">
        <v>3166</v>
      </c>
      <c r="Y302" s="11" t="s">
        <v>4572</v>
      </c>
      <c r="Z302" s="11" t="s">
        <v>4619</v>
      </c>
      <c r="AA302" s="67">
        <v>45382</v>
      </c>
      <c r="AB302" s="67">
        <v>45383</v>
      </c>
      <c r="AC302" s="67">
        <v>45412</v>
      </c>
      <c r="AD302" s="67">
        <v>45411</v>
      </c>
      <c r="AE302" s="67">
        <v>45412</v>
      </c>
    </row>
    <row r="303" spans="1:31" ht="12.5">
      <c r="A303" s="10">
        <v>610422040029</v>
      </c>
      <c r="B303" s="10" t="s">
        <v>147</v>
      </c>
      <c r="D303" s="10">
        <v>1</v>
      </c>
      <c r="E303" s="10" t="s">
        <v>3000</v>
      </c>
      <c r="F303" s="10" t="s">
        <v>25</v>
      </c>
      <c r="G303" s="10" t="s">
        <v>2999</v>
      </c>
      <c r="H303" s="10" t="s">
        <v>67</v>
      </c>
      <c r="I303" s="10" t="s">
        <v>149</v>
      </c>
      <c r="J303" s="10" t="s">
        <v>164</v>
      </c>
      <c r="K303" s="66">
        <v>55000</v>
      </c>
      <c r="L303" s="10">
        <v>2</v>
      </c>
      <c r="M303" s="10">
        <v>110000</v>
      </c>
      <c r="O303" s="67">
        <v>45412</v>
      </c>
      <c r="P303" s="10">
        <v>2024</v>
      </c>
      <c r="Q303" s="10">
        <v>4</v>
      </c>
      <c r="R303" s="10" t="s">
        <v>3043</v>
      </c>
      <c r="S303" s="10" t="s">
        <v>6445</v>
      </c>
      <c r="T303" s="10" t="s">
        <v>6446</v>
      </c>
      <c r="U303" s="10">
        <v>0</v>
      </c>
      <c r="V303" s="10">
        <v>-22</v>
      </c>
      <c r="W303" s="67"/>
      <c r="X303" s="11" t="s">
        <v>3166</v>
      </c>
      <c r="Y303" s="11" t="s">
        <v>4572</v>
      </c>
      <c r="Z303" s="11" t="s">
        <v>4619</v>
      </c>
      <c r="AA303" s="67">
        <v>45382</v>
      </c>
      <c r="AB303" s="67">
        <v>45383</v>
      </c>
      <c r="AC303" s="67">
        <v>45412</v>
      </c>
      <c r="AD303" s="67">
        <v>45411</v>
      </c>
      <c r="AE303" s="67">
        <v>45412</v>
      </c>
    </row>
    <row r="304" spans="1:31" ht="12.5">
      <c r="A304" s="10">
        <v>610422030002</v>
      </c>
      <c r="B304" s="10" t="s">
        <v>150</v>
      </c>
      <c r="D304" s="10">
        <v>1</v>
      </c>
      <c r="E304" s="10" t="s">
        <v>5934</v>
      </c>
      <c r="F304" s="10" t="s">
        <v>25</v>
      </c>
      <c r="G304" s="10" t="s">
        <v>929</v>
      </c>
      <c r="H304" s="10" t="s">
        <v>67</v>
      </c>
      <c r="I304" s="10" t="s">
        <v>151</v>
      </c>
      <c r="J304" s="10" t="s">
        <v>164</v>
      </c>
      <c r="K304" s="66">
        <v>50000</v>
      </c>
      <c r="L304" s="10">
        <v>15</v>
      </c>
      <c r="M304" s="10">
        <v>750000</v>
      </c>
      <c r="O304" s="67">
        <v>45432</v>
      </c>
      <c r="P304" s="10">
        <v>2024</v>
      </c>
      <c r="Q304" s="10">
        <v>5</v>
      </c>
      <c r="R304" s="10" t="s">
        <v>3043</v>
      </c>
      <c r="S304" s="10" t="s">
        <v>6481</v>
      </c>
      <c r="T304" s="10" t="s">
        <v>6482</v>
      </c>
      <c r="U304" s="10">
        <v>0</v>
      </c>
      <c r="V304" s="10">
        <v>-2</v>
      </c>
      <c r="W304" s="67"/>
      <c r="X304" s="11" t="s">
        <v>3091</v>
      </c>
      <c r="Y304" s="11" t="s">
        <v>3715</v>
      </c>
      <c r="Z304" s="11" t="s">
        <v>3716</v>
      </c>
      <c r="AA304" s="67">
        <v>45412</v>
      </c>
      <c r="AB304" s="67">
        <v>45413</v>
      </c>
      <c r="AC304" s="67">
        <v>45443</v>
      </c>
      <c r="AD304" s="67">
        <v>45442</v>
      </c>
      <c r="AE304" s="67">
        <v>45443</v>
      </c>
    </row>
    <row r="305" spans="1:31" ht="12.5">
      <c r="A305" s="10">
        <v>610422100244</v>
      </c>
      <c r="B305" s="10" t="s">
        <v>152</v>
      </c>
      <c r="D305" s="10">
        <v>1</v>
      </c>
      <c r="E305" s="10" t="s">
        <v>2633</v>
      </c>
      <c r="F305" s="10" t="s">
        <v>25</v>
      </c>
      <c r="G305" s="10" t="s">
        <v>2632</v>
      </c>
      <c r="H305" s="10" t="s">
        <v>67</v>
      </c>
      <c r="I305" s="10" t="s">
        <v>153</v>
      </c>
      <c r="J305" s="10" t="s">
        <v>164</v>
      </c>
      <c r="K305" s="66">
        <v>50000</v>
      </c>
      <c r="L305" s="10">
        <v>1</v>
      </c>
      <c r="M305" s="10">
        <v>50000</v>
      </c>
      <c r="O305" s="67">
        <v>45432</v>
      </c>
      <c r="P305" s="10">
        <v>2024</v>
      </c>
      <c r="Q305" s="10">
        <v>5</v>
      </c>
      <c r="R305" s="10" t="s">
        <v>3043</v>
      </c>
      <c r="S305" s="10" t="s">
        <v>6483</v>
      </c>
      <c r="T305" s="10" t="s">
        <v>6484</v>
      </c>
      <c r="U305" s="10">
        <v>0</v>
      </c>
      <c r="V305" s="10">
        <v>-2</v>
      </c>
      <c r="W305" s="67"/>
      <c r="X305" s="11" t="s">
        <v>3076</v>
      </c>
      <c r="Y305" s="11" t="s">
        <v>5741</v>
      </c>
      <c r="Z305" s="11" t="s">
        <v>5796</v>
      </c>
      <c r="AA305" s="67">
        <v>45412</v>
      </c>
      <c r="AB305" s="67">
        <v>45413</v>
      </c>
      <c r="AC305" s="67">
        <v>45443</v>
      </c>
      <c r="AD305" s="67">
        <v>45442</v>
      </c>
      <c r="AE305" s="67">
        <v>45443</v>
      </c>
    </row>
    <row r="306" spans="1:31" ht="12.5">
      <c r="A306" s="10">
        <v>610422100124</v>
      </c>
      <c r="B306" s="10" t="s">
        <v>152</v>
      </c>
      <c r="D306" s="10">
        <v>1</v>
      </c>
      <c r="E306" s="10" t="s">
        <v>2237</v>
      </c>
      <c r="F306" s="10" t="s">
        <v>25</v>
      </c>
      <c r="G306" s="10" t="s">
        <v>2236</v>
      </c>
      <c r="H306" s="10" t="s">
        <v>67</v>
      </c>
      <c r="I306" s="10" t="s">
        <v>153</v>
      </c>
      <c r="J306" s="10" t="s">
        <v>164</v>
      </c>
      <c r="K306" s="66">
        <v>50000</v>
      </c>
      <c r="L306" s="10">
        <v>1</v>
      </c>
      <c r="M306" s="10">
        <v>50000</v>
      </c>
      <c r="O306" s="67">
        <v>45432</v>
      </c>
      <c r="P306" s="10">
        <v>2024</v>
      </c>
      <c r="Q306" s="10">
        <v>5</v>
      </c>
      <c r="R306" s="10" t="s">
        <v>3043</v>
      </c>
      <c r="S306" s="10" t="s">
        <v>6485</v>
      </c>
      <c r="T306" s="10" t="s">
        <v>6486</v>
      </c>
      <c r="U306" s="10">
        <v>0</v>
      </c>
      <c r="V306" s="10">
        <v>-2</v>
      </c>
      <c r="W306" s="67"/>
      <c r="X306" s="11" t="s">
        <v>3076</v>
      </c>
      <c r="Y306" s="11" t="s">
        <v>1921</v>
      </c>
      <c r="Z306" s="11" t="s">
        <v>2140</v>
      </c>
      <c r="AA306" s="67">
        <v>45412</v>
      </c>
      <c r="AB306" s="67">
        <v>45413</v>
      </c>
      <c r="AC306" s="67">
        <v>45443</v>
      </c>
      <c r="AD306" s="67">
        <v>45442</v>
      </c>
      <c r="AE306" s="67">
        <v>45443</v>
      </c>
    </row>
    <row r="307" spans="1:31" ht="12.5">
      <c r="A307" s="10">
        <v>610422100016</v>
      </c>
      <c r="B307" s="10" t="s">
        <v>154</v>
      </c>
      <c r="D307" s="10">
        <v>1</v>
      </c>
      <c r="E307" s="10" t="s">
        <v>550</v>
      </c>
      <c r="F307" s="10" t="s">
        <v>25</v>
      </c>
      <c r="G307" s="10" t="s">
        <v>549</v>
      </c>
      <c r="H307" s="10" t="s">
        <v>72</v>
      </c>
      <c r="I307" s="10" t="s">
        <v>155</v>
      </c>
      <c r="J307" s="10" t="s">
        <v>164</v>
      </c>
      <c r="K307" s="66">
        <v>65000</v>
      </c>
      <c r="L307" s="10">
        <v>3</v>
      </c>
      <c r="M307" s="10">
        <v>195000</v>
      </c>
      <c r="O307" s="67">
        <v>45432</v>
      </c>
      <c r="P307" s="10">
        <v>2024</v>
      </c>
      <c r="Q307" s="10">
        <v>5</v>
      </c>
      <c r="R307" s="10" t="s">
        <v>3043</v>
      </c>
      <c r="S307" s="10" t="s">
        <v>6487</v>
      </c>
      <c r="T307" s="10" t="s">
        <v>6488</v>
      </c>
      <c r="U307" s="10">
        <v>0</v>
      </c>
      <c r="V307" s="10">
        <v>-2</v>
      </c>
      <c r="W307" s="67"/>
      <c r="X307" s="11" t="s">
        <v>3108</v>
      </c>
      <c r="Y307" s="11" t="s">
        <v>5250</v>
      </c>
      <c r="Z307" s="11" t="s">
        <v>5365</v>
      </c>
      <c r="AA307" s="67">
        <v>45412</v>
      </c>
      <c r="AB307" s="67">
        <v>45413</v>
      </c>
      <c r="AC307" s="67">
        <v>45443</v>
      </c>
      <c r="AD307" s="67">
        <v>45442</v>
      </c>
      <c r="AE307" s="67">
        <v>45443</v>
      </c>
    </row>
    <row r="308" spans="1:31" ht="12.5">
      <c r="A308" s="10">
        <v>610422050001</v>
      </c>
      <c r="B308" s="10" t="s">
        <v>154</v>
      </c>
      <c r="D308" s="10">
        <v>1</v>
      </c>
      <c r="E308" s="10" t="s">
        <v>5949</v>
      </c>
      <c r="F308" s="10" t="s">
        <v>25</v>
      </c>
      <c r="G308" s="10" t="s">
        <v>1127</v>
      </c>
      <c r="H308" s="10" t="s">
        <v>72</v>
      </c>
      <c r="I308" s="10" t="s">
        <v>155</v>
      </c>
      <c r="J308" s="10" t="s">
        <v>164</v>
      </c>
      <c r="K308" s="66">
        <v>65000</v>
      </c>
      <c r="L308" s="10">
        <v>3</v>
      </c>
      <c r="M308" s="10">
        <v>195000</v>
      </c>
      <c r="O308" s="67">
        <v>45432</v>
      </c>
      <c r="P308" s="10">
        <v>2024</v>
      </c>
      <c r="Q308" s="10">
        <v>5</v>
      </c>
      <c r="R308" s="10" t="s">
        <v>3043</v>
      </c>
      <c r="S308" s="10" t="s">
        <v>6489</v>
      </c>
      <c r="T308" s="10" t="s">
        <v>6490</v>
      </c>
      <c r="U308" s="10">
        <v>0</v>
      </c>
      <c r="V308" s="10">
        <v>-2</v>
      </c>
      <c r="W308" s="67"/>
      <c r="X308" s="11" t="s">
        <v>3108</v>
      </c>
      <c r="Y308" s="11" t="s">
        <v>4408</v>
      </c>
      <c r="Z308" s="11" t="s">
        <v>4409</v>
      </c>
      <c r="AA308" s="67">
        <v>45412</v>
      </c>
      <c r="AB308" s="67">
        <v>45413</v>
      </c>
      <c r="AC308" s="67">
        <v>45443</v>
      </c>
      <c r="AD308" s="67">
        <v>45442</v>
      </c>
      <c r="AE308" s="67">
        <v>45443</v>
      </c>
    </row>
    <row r="309" spans="1:31" ht="12.5">
      <c r="A309" s="10">
        <v>610422040030</v>
      </c>
      <c r="B309" s="10" t="s">
        <v>154</v>
      </c>
      <c r="D309" s="10">
        <v>1</v>
      </c>
      <c r="E309" s="10" t="s">
        <v>2697</v>
      </c>
      <c r="F309" s="10" t="s">
        <v>25</v>
      </c>
      <c r="G309" s="10" t="s">
        <v>2696</v>
      </c>
      <c r="H309" s="10" t="s">
        <v>74</v>
      </c>
      <c r="I309" s="10" t="s">
        <v>156</v>
      </c>
      <c r="J309" s="10" t="s">
        <v>164</v>
      </c>
      <c r="K309" s="66">
        <v>55000</v>
      </c>
      <c r="L309" s="10">
        <v>1</v>
      </c>
      <c r="M309" s="10">
        <v>55000</v>
      </c>
      <c r="O309" s="67">
        <v>45432</v>
      </c>
      <c r="P309" s="10">
        <v>2024</v>
      </c>
      <c r="Q309" s="10">
        <v>5</v>
      </c>
      <c r="R309" s="10" t="s">
        <v>3043</v>
      </c>
      <c r="S309" s="10" t="s">
        <v>6491</v>
      </c>
      <c r="T309" s="10" t="s">
        <v>6492</v>
      </c>
      <c r="U309" s="10">
        <v>0</v>
      </c>
      <c r="V309" s="10">
        <v>-2</v>
      </c>
      <c r="W309" s="67"/>
      <c r="X309" s="11" t="s">
        <v>3108</v>
      </c>
      <c r="Y309" s="11" t="s">
        <v>3241</v>
      </c>
      <c r="Z309" s="11" t="s">
        <v>3289</v>
      </c>
      <c r="AA309" s="67">
        <v>45412</v>
      </c>
      <c r="AB309" s="67">
        <v>45413</v>
      </c>
      <c r="AC309" s="67">
        <v>45443</v>
      </c>
      <c r="AD309" s="67">
        <v>45442</v>
      </c>
      <c r="AE309" s="67">
        <v>45443</v>
      </c>
    </row>
    <row r="310" spans="1:31" ht="12.5">
      <c r="A310" s="10">
        <v>610422100124</v>
      </c>
      <c r="B310" s="10" t="s">
        <v>154</v>
      </c>
      <c r="D310" s="10">
        <v>1</v>
      </c>
      <c r="E310" s="10" t="s">
        <v>2237</v>
      </c>
      <c r="F310" s="10" t="s">
        <v>25</v>
      </c>
      <c r="G310" s="10" t="s">
        <v>2236</v>
      </c>
      <c r="H310" s="10" t="s">
        <v>74</v>
      </c>
      <c r="I310" s="10" t="s">
        <v>156</v>
      </c>
      <c r="J310" s="10" t="s">
        <v>164</v>
      </c>
      <c r="K310" s="66">
        <v>55000</v>
      </c>
      <c r="L310" s="10">
        <v>3</v>
      </c>
      <c r="M310" s="10">
        <v>165000</v>
      </c>
      <c r="O310" s="67">
        <v>45432</v>
      </c>
      <c r="P310" s="10">
        <v>2024</v>
      </c>
      <c r="Q310" s="10">
        <v>5</v>
      </c>
      <c r="R310" s="10" t="s">
        <v>3043</v>
      </c>
      <c r="S310" s="10" t="s">
        <v>6485</v>
      </c>
      <c r="T310" s="10" t="s">
        <v>6486</v>
      </c>
      <c r="U310" s="10">
        <v>0</v>
      </c>
      <c r="V310" s="10">
        <v>-2</v>
      </c>
      <c r="W310" s="67"/>
      <c r="X310" s="11" t="s">
        <v>3108</v>
      </c>
      <c r="Y310" s="11" t="s">
        <v>1921</v>
      </c>
      <c r="Z310" s="11" t="s">
        <v>2140</v>
      </c>
      <c r="AA310" s="67">
        <v>45412</v>
      </c>
      <c r="AB310" s="67">
        <v>45413</v>
      </c>
      <c r="AC310" s="67">
        <v>45443</v>
      </c>
      <c r="AD310" s="67">
        <v>45442</v>
      </c>
      <c r="AE310" s="67">
        <v>45443</v>
      </c>
    </row>
    <row r="311" spans="1:31" ht="12.5">
      <c r="A311" s="10">
        <v>610422100244</v>
      </c>
      <c r="B311" s="10" t="s">
        <v>154</v>
      </c>
      <c r="D311" s="10">
        <v>1</v>
      </c>
      <c r="E311" s="10" t="s">
        <v>2633</v>
      </c>
      <c r="F311" s="10" t="s">
        <v>25</v>
      </c>
      <c r="G311" s="10" t="s">
        <v>2632</v>
      </c>
      <c r="H311" s="10" t="s">
        <v>74</v>
      </c>
      <c r="I311" s="10" t="s">
        <v>156</v>
      </c>
      <c r="J311" s="10" t="s">
        <v>164</v>
      </c>
      <c r="K311" s="66">
        <v>55000</v>
      </c>
      <c r="L311" s="10">
        <v>2</v>
      </c>
      <c r="M311" s="10">
        <v>110000</v>
      </c>
      <c r="O311" s="67">
        <v>45432</v>
      </c>
      <c r="P311" s="10">
        <v>2024</v>
      </c>
      <c r="Q311" s="10">
        <v>5</v>
      </c>
      <c r="R311" s="10" t="s">
        <v>3043</v>
      </c>
      <c r="S311" s="10" t="s">
        <v>6483</v>
      </c>
      <c r="T311" s="10" t="s">
        <v>6484</v>
      </c>
      <c r="U311" s="10">
        <v>0</v>
      </c>
      <c r="V311" s="10">
        <v>-2</v>
      </c>
      <c r="W311" s="67"/>
      <c r="X311" s="11" t="s">
        <v>3108</v>
      </c>
      <c r="Y311" s="11" t="s">
        <v>5741</v>
      </c>
      <c r="Z311" s="11" t="s">
        <v>5796</v>
      </c>
      <c r="AA311" s="67">
        <v>45412</v>
      </c>
      <c r="AB311" s="67">
        <v>45413</v>
      </c>
      <c r="AC311" s="67">
        <v>45443</v>
      </c>
      <c r="AD311" s="67">
        <v>45442</v>
      </c>
      <c r="AE311" s="67">
        <v>45443</v>
      </c>
    </row>
    <row r="312" spans="1:31" ht="12.5">
      <c r="A312" s="10">
        <v>610422020016</v>
      </c>
      <c r="B312" s="10" t="s">
        <v>154</v>
      </c>
      <c r="D312" s="10">
        <v>1</v>
      </c>
      <c r="E312" s="10" t="s">
        <v>380</v>
      </c>
      <c r="F312" s="10" t="s">
        <v>25</v>
      </c>
      <c r="G312" s="10" t="s">
        <v>379</v>
      </c>
      <c r="H312" s="10" t="s">
        <v>74</v>
      </c>
      <c r="I312" s="10" t="s">
        <v>156</v>
      </c>
      <c r="J312" s="10" t="s">
        <v>164</v>
      </c>
      <c r="K312" s="66">
        <v>55000</v>
      </c>
      <c r="L312" s="10">
        <v>3</v>
      </c>
      <c r="M312" s="10">
        <v>165000</v>
      </c>
      <c r="O312" s="67">
        <v>45432</v>
      </c>
      <c r="P312" s="10">
        <v>2024</v>
      </c>
      <c r="Q312" s="10">
        <v>5</v>
      </c>
      <c r="R312" s="10" t="s">
        <v>3043</v>
      </c>
      <c r="S312" s="10" t="s">
        <v>6493</v>
      </c>
      <c r="T312" s="10" t="s">
        <v>6494</v>
      </c>
      <c r="U312" s="10">
        <v>0</v>
      </c>
      <c r="V312" s="10">
        <v>-2</v>
      </c>
      <c r="W312" s="67"/>
      <c r="X312" s="11" t="s">
        <v>3108</v>
      </c>
      <c r="Y312" s="11" t="s">
        <v>5534</v>
      </c>
      <c r="Z312" s="11" t="s">
        <v>5535</v>
      </c>
      <c r="AA312" s="67">
        <v>45412</v>
      </c>
      <c r="AB312" s="67">
        <v>45413</v>
      </c>
      <c r="AC312" s="67">
        <v>45443</v>
      </c>
      <c r="AD312" s="67">
        <v>45442</v>
      </c>
      <c r="AE312" s="67">
        <v>45443</v>
      </c>
    </row>
    <row r="313" spans="1:31" ht="12.5">
      <c r="A313" s="10">
        <v>610422100016</v>
      </c>
      <c r="B313" s="10" t="s">
        <v>154</v>
      </c>
      <c r="D313" s="10">
        <v>1</v>
      </c>
      <c r="E313" s="10" t="s">
        <v>550</v>
      </c>
      <c r="F313" s="10" t="s">
        <v>25</v>
      </c>
      <c r="G313" s="10" t="s">
        <v>549</v>
      </c>
      <c r="H313" s="10" t="s">
        <v>74</v>
      </c>
      <c r="I313" s="10" t="s">
        <v>156</v>
      </c>
      <c r="J313" s="10" t="s">
        <v>164</v>
      </c>
      <c r="K313" s="66">
        <v>55000</v>
      </c>
      <c r="L313" s="10">
        <v>1</v>
      </c>
      <c r="M313" s="10">
        <v>55000</v>
      </c>
      <c r="O313" s="67">
        <v>45432</v>
      </c>
      <c r="P313" s="10">
        <v>2024</v>
      </c>
      <c r="Q313" s="10">
        <v>5</v>
      </c>
      <c r="R313" s="10" t="s">
        <v>3043</v>
      </c>
      <c r="S313" s="10" t="s">
        <v>6487</v>
      </c>
      <c r="T313" s="10" t="s">
        <v>6488</v>
      </c>
      <c r="U313" s="10">
        <v>0</v>
      </c>
      <c r="V313" s="10">
        <v>-2</v>
      </c>
      <c r="W313" s="67"/>
      <c r="X313" s="11" t="s">
        <v>3108</v>
      </c>
      <c r="Y313" s="11" t="s">
        <v>5250</v>
      </c>
      <c r="Z313" s="11" t="s">
        <v>5365</v>
      </c>
      <c r="AA313" s="67">
        <v>45412</v>
      </c>
      <c r="AB313" s="67">
        <v>45413</v>
      </c>
      <c r="AC313" s="67">
        <v>45443</v>
      </c>
      <c r="AD313" s="67">
        <v>45442</v>
      </c>
      <c r="AE313" s="67">
        <v>45443</v>
      </c>
    </row>
    <row r="314" spans="1:31" ht="12.5">
      <c r="A314" s="10">
        <v>610422020048</v>
      </c>
      <c r="B314" s="10" t="s">
        <v>154</v>
      </c>
      <c r="D314" s="10">
        <v>1</v>
      </c>
      <c r="E314" s="10" t="s">
        <v>1359</v>
      </c>
      <c r="F314" s="10" t="s">
        <v>25</v>
      </c>
      <c r="G314" s="10" t="s">
        <v>1358</v>
      </c>
      <c r="H314" s="10" t="s">
        <v>74</v>
      </c>
      <c r="I314" s="10" t="s">
        <v>156</v>
      </c>
      <c r="J314" s="10" t="s">
        <v>164</v>
      </c>
      <c r="K314" s="66">
        <v>55000</v>
      </c>
      <c r="L314" s="10">
        <v>3</v>
      </c>
      <c r="M314" s="10">
        <v>165000</v>
      </c>
      <c r="O314" s="67">
        <v>45432</v>
      </c>
      <c r="P314" s="10">
        <v>2024</v>
      </c>
      <c r="Q314" s="10">
        <v>5</v>
      </c>
      <c r="R314" s="10" t="s">
        <v>3043</v>
      </c>
      <c r="S314" s="10" t="s">
        <v>6495</v>
      </c>
      <c r="T314" s="10" t="s">
        <v>6496</v>
      </c>
      <c r="U314" s="10">
        <v>0</v>
      </c>
      <c r="V314" s="10">
        <v>-2</v>
      </c>
      <c r="W314" s="67"/>
      <c r="X314" s="11" t="s">
        <v>3108</v>
      </c>
      <c r="Y314" s="11" t="s">
        <v>4931</v>
      </c>
      <c r="Z314" s="11" t="s">
        <v>5171</v>
      </c>
      <c r="AA314" s="67">
        <v>45412</v>
      </c>
      <c r="AB314" s="67">
        <v>45413</v>
      </c>
      <c r="AC314" s="67">
        <v>45443</v>
      </c>
      <c r="AD314" s="67">
        <v>45442</v>
      </c>
      <c r="AE314" s="67">
        <v>45443</v>
      </c>
    </row>
    <row r="315" spans="1:31" ht="12.5">
      <c r="A315" s="10">
        <v>610422040029</v>
      </c>
      <c r="B315" s="10" t="s">
        <v>154</v>
      </c>
      <c r="D315" s="10">
        <v>1</v>
      </c>
      <c r="E315" s="10" t="s">
        <v>3000</v>
      </c>
      <c r="F315" s="10" t="s">
        <v>25</v>
      </c>
      <c r="G315" s="10" t="s">
        <v>2999</v>
      </c>
      <c r="H315" s="10" t="s">
        <v>74</v>
      </c>
      <c r="I315" s="10" t="s">
        <v>156</v>
      </c>
      <c r="J315" s="10" t="s">
        <v>164</v>
      </c>
      <c r="K315" s="66">
        <v>55000</v>
      </c>
      <c r="L315" s="10">
        <v>4</v>
      </c>
      <c r="M315" s="10">
        <v>220000</v>
      </c>
      <c r="O315" s="67">
        <v>45432</v>
      </c>
      <c r="P315" s="10">
        <v>2024</v>
      </c>
      <c r="Q315" s="10">
        <v>5</v>
      </c>
      <c r="R315" s="10" t="s">
        <v>3043</v>
      </c>
      <c r="S315" s="10" t="s">
        <v>6497</v>
      </c>
      <c r="T315" s="10" t="s">
        <v>6498</v>
      </c>
      <c r="U315" s="10">
        <v>0</v>
      </c>
      <c r="V315" s="10">
        <v>-2</v>
      </c>
      <c r="W315" s="67"/>
      <c r="X315" s="11" t="s">
        <v>3108</v>
      </c>
      <c r="Y315" s="11" t="s">
        <v>4572</v>
      </c>
      <c r="Z315" s="11" t="s">
        <v>4619</v>
      </c>
      <c r="AA315" s="67">
        <v>45412</v>
      </c>
      <c r="AB315" s="67">
        <v>45413</v>
      </c>
      <c r="AC315" s="67">
        <v>45443</v>
      </c>
      <c r="AD315" s="67">
        <v>45442</v>
      </c>
      <c r="AE315" s="67">
        <v>45443</v>
      </c>
    </row>
    <row r="316" spans="1:31" ht="12.5">
      <c r="A316" s="10">
        <v>610422050001</v>
      </c>
      <c r="B316" s="10" t="s">
        <v>154</v>
      </c>
      <c r="D316" s="10">
        <v>1</v>
      </c>
      <c r="E316" s="10" t="s">
        <v>5949</v>
      </c>
      <c r="F316" s="10" t="s">
        <v>25</v>
      </c>
      <c r="G316" s="10" t="s">
        <v>1127</v>
      </c>
      <c r="H316" s="10" t="s">
        <v>74</v>
      </c>
      <c r="I316" s="10" t="s">
        <v>156</v>
      </c>
      <c r="J316" s="10" t="s">
        <v>164</v>
      </c>
      <c r="K316" s="66">
        <v>55000</v>
      </c>
      <c r="L316" s="10">
        <v>1</v>
      </c>
      <c r="M316" s="10">
        <v>55000</v>
      </c>
      <c r="O316" s="67">
        <v>45432</v>
      </c>
      <c r="P316" s="10">
        <v>2024</v>
      </c>
      <c r="Q316" s="10">
        <v>5</v>
      </c>
      <c r="R316" s="10" t="s">
        <v>3043</v>
      </c>
      <c r="S316" s="10" t="s">
        <v>6489</v>
      </c>
      <c r="T316" s="10" t="s">
        <v>6490</v>
      </c>
      <c r="U316" s="10">
        <v>0</v>
      </c>
      <c r="V316" s="10">
        <v>-2</v>
      </c>
      <c r="W316" s="67"/>
      <c r="X316" s="11" t="s">
        <v>3108</v>
      </c>
      <c r="Y316" s="11" t="s">
        <v>4408</v>
      </c>
      <c r="Z316" s="11" t="s">
        <v>4409</v>
      </c>
      <c r="AA316" s="67">
        <v>45412</v>
      </c>
      <c r="AB316" s="67">
        <v>45413</v>
      </c>
      <c r="AC316" s="67">
        <v>45443</v>
      </c>
      <c r="AD316" s="67">
        <v>45442</v>
      </c>
      <c r="AE316" s="67">
        <v>45443</v>
      </c>
    </row>
    <row r="317" spans="1:31" ht="12.5">
      <c r="A317" s="10">
        <v>610422100124</v>
      </c>
      <c r="B317" s="10" t="s">
        <v>157</v>
      </c>
      <c r="D317" s="10">
        <v>1</v>
      </c>
      <c r="E317" s="10" t="s">
        <v>2237</v>
      </c>
      <c r="F317" s="10" t="s">
        <v>25</v>
      </c>
      <c r="G317" s="10" t="s">
        <v>2236</v>
      </c>
      <c r="H317" s="10" t="s">
        <v>67</v>
      </c>
      <c r="I317" s="10" t="s">
        <v>158</v>
      </c>
      <c r="J317" s="10" t="s">
        <v>164</v>
      </c>
      <c r="K317" s="66">
        <v>55000</v>
      </c>
      <c r="L317" s="10">
        <v>2</v>
      </c>
      <c r="M317" s="10">
        <v>110000</v>
      </c>
      <c r="O317" s="67">
        <v>45432</v>
      </c>
      <c r="P317" s="10">
        <v>2024</v>
      </c>
      <c r="Q317" s="10">
        <v>5</v>
      </c>
      <c r="R317" s="10" t="s">
        <v>3043</v>
      </c>
      <c r="S317" s="10" t="s">
        <v>6485</v>
      </c>
      <c r="T317" s="10" t="s">
        <v>6486</v>
      </c>
      <c r="U317" s="10">
        <v>0</v>
      </c>
      <c r="V317" s="10">
        <v>-2</v>
      </c>
      <c r="W317" s="67"/>
      <c r="X317" s="11" t="s">
        <v>6964</v>
      </c>
      <c r="Y317" s="11" t="s">
        <v>1921</v>
      </c>
      <c r="Z317" s="11" t="s">
        <v>2140</v>
      </c>
      <c r="AA317" s="67">
        <v>45412</v>
      </c>
      <c r="AB317" s="67">
        <v>45413</v>
      </c>
      <c r="AC317" s="67">
        <v>45443</v>
      </c>
      <c r="AD317" s="67">
        <v>45442</v>
      </c>
      <c r="AE317" s="67">
        <v>45443</v>
      </c>
    </row>
    <row r="318" spans="1:31" ht="12.5">
      <c r="A318" s="10">
        <v>610422100244</v>
      </c>
      <c r="B318" s="10" t="s">
        <v>157</v>
      </c>
      <c r="D318" s="10">
        <v>1</v>
      </c>
      <c r="E318" s="10" t="s">
        <v>2633</v>
      </c>
      <c r="F318" s="10" t="s">
        <v>25</v>
      </c>
      <c r="G318" s="10" t="s">
        <v>2632</v>
      </c>
      <c r="H318" s="10" t="s">
        <v>67</v>
      </c>
      <c r="I318" s="10" t="s">
        <v>158</v>
      </c>
      <c r="J318" s="10" t="s">
        <v>164</v>
      </c>
      <c r="K318" s="66">
        <v>55000</v>
      </c>
      <c r="L318" s="10">
        <v>2</v>
      </c>
      <c r="M318" s="10">
        <v>110000</v>
      </c>
      <c r="O318" s="67">
        <v>45432</v>
      </c>
      <c r="P318" s="10">
        <v>2024</v>
      </c>
      <c r="Q318" s="10">
        <v>5</v>
      </c>
      <c r="R318" s="10" t="s">
        <v>3043</v>
      </c>
      <c r="S318" s="10" t="s">
        <v>6483</v>
      </c>
      <c r="T318" s="10" t="s">
        <v>6484</v>
      </c>
      <c r="U318" s="10">
        <v>0</v>
      </c>
      <c r="V318" s="10">
        <v>-2</v>
      </c>
      <c r="W318" s="67"/>
      <c r="X318" s="11" t="s">
        <v>6964</v>
      </c>
      <c r="Y318" s="11" t="s">
        <v>5741</v>
      </c>
      <c r="Z318" s="11" t="s">
        <v>5796</v>
      </c>
      <c r="AA318" s="67">
        <v>45412</v>
      </c>
      <c r="AB318" s="67">
        <v>45413</v>
      </c>
      <c r="AC318" s="67">
        <v>45443</v>
      </c>
      <c r="AD318" s="67">
        <v>45442</v>
      </c>
      <c r="AE318" s="67">
        <v>45443</v>
      </c>
    </row>
    <row r="319" spans="1:31" ht="12.5">
      <c r="A319" s="10">
        <v>610422100165</v>
      </c>
      <c r="B319" s="10" t="s">
        <v>157</v>
      </c>
      <c r="D319" s="10">
        <v>1</v>
      </c>
      <c r="E319" s="10" t="s">
        <v>2855</v>
      </c>
      <c r="F319" s="10" t="s">
        <v>25</v>
      </c>
      <c r="G319" s="10" t="s">
        <v>2854</v>
      </c>
      <c r="H319" s="10" t="s">
        <v>67</v>
      </c>
      <c r="I319" s="10" t="s">
        <v>158</v>
      </c>
      <c r="J319" s="10" t="s">
        <v>164</v>
      </c>
      <c r="K319" s="66">
        <v>55000</v>
      </c>
      <c r="L319" s="10">
        <v>2</v>
      </c>
      <c r="M319" s="10">
        <v>110000</v>
      </c>
      <c r="O319" s="67">
        <v>45432</v>
      </c>
      <c r="P319" s="10">
        <v>2024</v>
      </c>
      <c r="Q319" s="10">
        <v>5</v>
      </c>
      <c r="R319" s="10" t="s">
        <v>3043</v>
      </c>
      <c r="S319" s="10" t="s">
        <v>6499</v>
      </c>
      <c r="T319" s="10" t="s">
        <v>6500</v>
      </c>
      <c r="U319" s="10">
        <v>0</v>
      </c>
      <c r="V319" s="10">
        <v>-2</v>
      </c>
      <c r="W319" s="67"/>
      <c r="X319" s="11" t="s">
        <v>6964</v>
      </c>
      <c r="Y319" s="11" t="s">
        <v>3990</v>
      </c>
      <c r="Z319" s="11" t="s">
        <v>4332</v>
      </c>
      <c r="AA319" s="67">
        <v>45412</v>
      </c>
      <c r="AB319" s="67">
        <v>45413</v>
      </c>
      <c r="AC319" s="67">
        <v>45443</v>
      </c>
      <c r="AD319" s="67">
        <v>45442</v>
      </c>
      <c r="AE319" s="67">
        <v>45443</v>
      </c>
    </row>
    <row r="320" spans="1:31" ht="12.5">
      <c r="A320" s="10">
        <v>610422100165</v>
      </c>
      <c r="B320" s="10" t="s">
        <v>159</v>
      </c>
      <c r="D320" s="10">
        <v>1</v>
      </c>
      <c r="E320" s="10" t="s">
        <v>2855</v>
      </c>
      <c r="F320" s="10" t="s">
        <v>25</v>
      </c>
      <c r="G320" s="10" t="s">
        <v>2854</v>
      </c>
      <c r="H320" s="10" t="s">
        <v>67</v>
      </c>
      <c r="I320" s="10" t="s">
        <v>160</v>
      </c>
      <c r="J320" s="10" t="s">
        <v>164</v>
      </c>
      <c r="K320" s="66">
        <v>50000</v>
      </c>
      <c r="L320" s="10">
        <v>1</v>
      </c>
      <c r="M320" s="10">
        <v>50000</v>
      </c>
      <c r="O320" s="67">
        <v>45432</v>
      </c>
      <c r="P320" s="10">
        <v>2024</v>
      </c>
      <c r="Q320" s="10">
        <v>5</v>
      </c>
      <c r="R320" s="10" t="s">
        <v>3043</v>
      </c>
      <c r="S320" s="10" t="s">
        <v>6499</v>
      </c>
      <c r="T320" s="10" t="s">
        <v>6500</v>
      </c>
      <c r="U320" s="10">
        <v>0</v>
      </c>
      <c r="V320" s="10">
        <v>-2</v>
      </c>
      <c r="W320" s="67"/>
      <c r="X320" s="11" t="s">
        <v>3132</v>
      </c>
      <c r="Y320" s="11" t="s">
        <v>3990</v>
      </c>
      <c r="Z320" s="11" t="s">
        <v>4332</v>
      </c>
      <c r="AA320" s="67">
        <v>45412</v>
      </c>
      <c r="AB320" s="67">
        <v>45413</v>
      </c>
      <c r="AC320" s="67">
        <v>45443</v>
      </c>
      <c r="AD320" s="67">
        <v>45442</v>
      </c>
      <c r="AE320" s="67">
        <v>45443</v>
      </c>
    </row>
    <row r="321" spans="1:31" ht="12.5">
      <c r="A321" s="10">
        <v>610422040029</v>
      </c>
      <c r="B321" s="10" t="s">
        <v>161</v>
      </c>
      <c r="D321" s="10">
        <v>1</v>
      </c>
      <c r="E321" s="10" t="s">
        <v>3000</v>
      </c>
      <c r="F321" s="10" t="s">
        <v>25</v>
      </c>
      <c r="G321" s="10" t="s">
        <v>2999</v>
      </c>
      <c r="H321" s="10" t="s">
        <v>67</v>
      </c>
      <c r="I321" s="10" t="s">
        <v>162</v>
      </c>
      <c r="J321" s="10" t="s">
        <v>164</v>
      </c>
      <c r="K321" s="66">
        <v>55000</v>
      </c>
      <c r="L321" s="10">
        <v>3</v>
      </c>
      <c r="M321" s="10">
        <v>165000</v>
      </c>
      <c r="O321" s="67">
        <v>45432</v>
      </c>
      <c r="P321" s="10">
        <v>2024</v>
      </c>
      <c r="Q321" s="10">
        <v>5</v>
      </c>
      <c r="R321" s="10" t="s">
        <v>3043</v>
      </c>
      <c r="S321" s="10" t="s">
        <v>6497</v>
      </c>
      <c r="T321" s="10" t="s">
        <v>6498</v>
      </c>
      <c r="U321" s="10">
        <v>0</v>
      </c>
      <c r="V321" s="10">
        <v>-2</v>
      </c>
      <c r="W321" s="67"/>
      <c r="X321" s="11" t="s">
        <v>3154</v>
      </c>
      <c r="Y321" s="11" t="s">
        <v>4572</v>
      </c>
      <c r="Z321" s="11" t="s">
        <v>4619</v>
      </c>
      <c r="AA321" s="67">
        <v>45412</v>
      </c>
      <c r="AB321" s="67">
        <v>45413</v>
      </c>
      <c r="AC321" s="67">
        <v>45443</v>
      </c>
      <c r="AD321" s="67">
        <v>45442</v>
      </c>
      <c r="AE321" s="67">
        <v>45443</v>
      </c>
    </row>
    <row r="322" spans="1:31" ht="12.5">
      <c r="A322" s="10">
        <v>610422100165</v>
      </c>
      <c r="B322" s="10" t="s">
        <v>161</v>
      </c>
      <c r="D322" s="10">
        <v>1</v>
      </c>
      <c r="E322" s="10" t="s">
        <v>2855</v>
      </c>
      <c r="F322" s="10" t="s">
        <v>25</v>
      </c>
      <c r="G322" s="10" t="s">
        <v>2854</v>
      </c>
      <c r="H322" s="10" t="s">
        <v>67</v>
      </c>
      <c r="I322" s="10" t="s">
        <v>162</v>
      </c>
      <c r="J322" s="10" t="s">
        <v>164</v>
      </c>
      <c r="K322" s="66">
        <v>55000</v>
      </c>
      <c r="L322" s="10">
        <v>3</v>
      </c>
      <c r="M322" s="10">
        <v>165000</v>
      </c>
      <c r="O322" s="67">
        <v>45432</v>
      </c>
      <c r="P322" s="10">
        <v>2024</v>
      </c>
      <c r="Q322" s="10">
        <v>5</v>
      </c>
      <c r="R322" s="10" t="s">
        <v>3043</v>
      </c>
      <c r="S322" s="10" t="s">
        <v>6499</v>
      </c>
      <c r="T322" s="10" t="s">
        <v>6500</v>
      </c>
      <c r="U322" s="10">
        <v>0</v>
      </c>
      <c r="V322" s="10">
        <v>-2</v>
      </c>
      <c r="W322" s="67"/>
      <c r="X322" s="11" t="s">
        <v>3154</v>
      </c>
      <c r="Y322" s="11" t="s">
        <v>3990</v>
      </c>
      <c r="Z322" s="11" t="s">
        <v>4332</v>
      </c>
      <c r="AA322" s="67">
        <v>45412</v>
      </c>
      <c r="AB322" s="67">
        <v>45413</v>
      </c>
      <c r="AC322" s="67">
        <v>45443</v>
      </c>
      <c r="AD322" s="67">
        <v>45442</v>
      </c>
      <c r="AE322" s="67">
        <v>45443</v>
      </c>
    </row>
    <row r="323" spans="1:31" ht="12.5">
      <c r="A323" s="10">
        <v>610422050001</v>
      </c>
      <c r="B323" s="10" t="s">
        <v>161</v>
      </c>
      <c r="D323" s="10">
        <v>1</v>
      </c>
      <c r="E323" s="10" t="s">
        <v>5949</v>
      </c>
      <c r="F323" s="10" t="s">
        <v>25</v>
      </c>
      <c r="G323" s="10" t="s">
        <v>1127</v>
      </c>
      <c r="H323" s="10" t="s">
        <v>67</v>
      </c>
      <c r="I323" s="10" t="s">
        <v>162</v>
      </c>
      <c r="J323" s="10" t="s">
        <v>164</v>
      </c>
      <c r="K323" s="66">
        <v>55000</v>
      </c>
      <c r="L323" s="10">
        <v>3</v>
      </c>
      <c r="M323" s="10">
        <v>165000</v>
      </c>
      <c r="O323" s="67">
        <v>45432</v>
      </c>
      <c r="P323" s="10">
        <v>2024</v>
      </c>
      <c r="Q323" s="10">
        <v>5</v>
      </c>
      <c r="R323" s="10" t="s">
        <v>3043</v>
      </c>
      <c r="S323" s="10" t="s">
        <v>6489</v>
      </c>
      <c r="T323" s="10" t="s">
        <v>6490</v>
      </c>
      <c r="U323" s="10">
        <v>0</v>
      </c>
      <c r="V323" s="10">
        <v>-2</v>
      </c>
      <c r="W323" s="67"/>
      <c r="X323" s="11" t="s">
        <v>3154</v>
      </c>
      <c r="Y323" s="11" t="s">
        <v>4408</v>
      </c>
      <c r="Z323" s="11" t="s">
        <v>4409</v>
      </c>
      <c r="AA323" s="67">
        <v>45412</v>
      </c>
      <c r="AB323" s="67">
        <v>45413</v>
      </c>
      <c r="AC323" s="67">
        <v>45443</v>
      </c>
      <c r="AD323" s="67">
        <v>45442</v>
      </c>
      <c r="AE323" s="67">
        <v>45443</v>
      </c>
    </row>
    <row r="324" spans="1:31" ht="12.5">
      <c r="A324" s="10">
        <v>610422040056</v>
      </c>
      <c r="B324" s="10" t="s">
        <v>161</v>
      </c>
      <c r="D324" s="10">
        <v>1</v>
      </c>
      <c r="E324" s="10" t="s">
        <v>2825</v>
      </c>
      <c r="F324" s="10" t="s">
        <v>25</v>
      </c>
      <c r="G324" s="10" t="s">
        <v>2824</v>
      </c>
      <c r="H324" s="10" t="s">
        <v>67</v>
      </c>
      <c r="I324" s="10" t="s">
        <v>162</v>
      </c>
      <c r="J324" s="10" t="s">
        <v>164</v>
      </c>
      <c r="K324" s="66">
        <v>55000</v>
      </c>
      <c r="L324" s="10">
        <v>2</v>
      </c>
      <c r="M324" s="10">
        <v>110000</v>
      </c>
      <c r="O324" s="67">
        <v>45432</v>
      </c>
      <c r="P324" s="10">
        <v>2024</v>
      </c>
      <c r="Q324" s="10">
        <v>5</v>
      </c>
      <c r="R324" s="10" t="s">
        <v>3043</v>
      </c>
      <c r="S324" s="10" t="s">
        <v>6501</v>
      </c>
      <c r="T324" s="10" t="s">
        <v>6502</v>
      </c>
      <c r="U324" s="10">
        <v>0</v>
      </c>
      <c r="V324" s="10">
        <v>-2</v>
      </c>
      <c r="W324" s="67"/>
      <c r="X324" s="11" t="s">
        <v>3154</v>
      </c>
      <c r="Y324" s="11" t="s">
        <v>4572</v>
      </c>
      <c r="Z324" s="11" t="s">
        <v>4656</v>
      </c>
      <c r="AA324" s="67">
        <v>45412</v>
      </c>
      <c r="AB324" s="67">
        <v>45413</v>
      </c>
      <c r="AC324" s="67">
        <v>45443</v>
      </c>
      <c r="AD324" s="67">
        <v>45442</v>
      </c>
      <c r="AE324" s="67">
        <v>45443</v>
      </c>
    </row>
    <row r="325" spans="1:31" ht="12.5">
      <c r="A325" s="10">
        <v>610422020016</v>
      </c>
      <c r="B325" s="10" t="s">
        <v>32</v>
      </c>
      <c r="D325" s="10">
        <v>1</v>
      </c>
      <c r="E325" s="10" t="s">
        <v>380</v>
      </c>
      <c r="F325" s="10" t="s">
        <v>25</v>
      </c>
      <c r="G325" s="10" t="s">
        <v>379</v>
      </c>
      <c r="H325" s="10" t="s">
        <v>84</v>
      </c>
      <c r="I325" s="10" t="s">
        <v>6503</v>
      </c>
      <c r="J325" s="10" t="s">
        <v>3036</v>
      </c>
      <c r="K325" s="66">
        <v>116000</v>
      </c>
      <c r="L325" s="10">
        <v>3</v>
      </c>
      <c r="M325" s="10">
        <v>348000</v>
      </c>
      <c r="O325" s="67">
        <v>45443</v>
      </c>
      <c r="P325" s="10">
        <v>2024</v>
      </c>
      <c r="Q325" s="10">
        <v>5</v>
      </c>
      <c r="R325" s="10" t="s">
        <v>3043</v>
      </c>
      <c r="S325" s="10" t="s">
        <v>6493</v>
      </c>
      <c r="T325" s="10" t="s">
        <v>6494</v>
      </c>
      <c r="U325" s="10">
        <v>0</v>
      </c>
      <c r="V325" s="10">
        <v>9</v>
      </c>
      <c r="W325" s="67"/>
      <c r="X325" s="11" t="s">
        <v>3055</v>
      </c>
      <c r="Y325" s="11" t="s">
        <v>5534</v>
      </c>
      <c r="Z325" s="11" t="s">
        <v>5535</v>
      </c>
      <c r="AA325" s="67">
        <v>45412</v>
      </c>
      <c r="AB325" s="67">
        <v>45413</v>
      </c>
      <c r="AC325" s="67">
        <v>45443</v>
      </c>
      <c r="AD325" s="67">
        <v>45442</v>
      </c>
      <c r="AE325" s="67">
        <v>45443</v>
      </c>
    </row>
    <row r="326" spans="1:31" ht="12.5">
      <c r="A326" s="10">
        <v>610422040012</v>
      </c>
      <c r="B326" s="10" t="s">
        <v>32</v>
      </c>
      <c r="D326" s="10">
        <v>1</v>
      </c>
      <c r="E326" s="10" t="s">
        <v>1813</v>
      </c>
      <c r="F326" s="10" t="s">
        <v>25</v>
      </c>
      <c r="G326" s="10" t="s">
        <v>1812</v>
      </c>
      <c r="H326" s="10" t="s">
        <v>84</v>
      </c>
      <c r="I326" s="10" t="s">
        <v>6503</v>
      </c>
      <c r="J326" s="10" t="s">
        <v>3036</v>
      </c>
      <c r="K326" s="66">
        <v>116000</v>
      </c>
      <c r="L326" s="10">
        <v>3</v>
      </c>
      <c r="M326" s="10">
        <v>348000</v>
      </c>
      <c r="O326" s="67">
        <v>45443</v>
      </c>
      <c r="P326" s="10">
        <v>2024</v>
      </c>
      <c r="Q326" s="10">
        <v>5</v>
      </c>
      <c r="R326" s="10" t="s">
        <v>3043</v>
      </c>
      <c r="S326" s="10" t="s">
        <v>6504</v>
      </c>
      <c r="T326" s="10" t="s">
        <v>6505</v>
      </c>
      <c r="U326" s="10">
        <v>0</v>
      </c>
      <c r="V326" s="10">
        <v>9</v>
      </c>
      <c r="W326" s="67"/>
      <c r="X326" s="11" t="s">
        <v>3055</v>
      </c>
      <c r="Y326" s="11" t="s">
        <v>3990</v>
      </c>
      <c r="Z326" s="11" t="s">
        <v>4365</v>
      </c>
      <c r="AA326" s="67">
        <v>45412</v>
      </c>
      <c r="AB326" s="67">
        <v>45413</v>
      </c>
      <c r="AC326" s="67">
        <v>45443</v>
      </c>
      <c r="AD326" s="67">
        <v>45442</v>
      </c>
      <c r="AE326" s="67">
        <v>45443</v>
      </c>
    </row>
    <row r="327" spans="1:31" ht="12.5">
      <c r="A327" s="10">
        <v>610422040059</v>
      </c>
      <c r="B327" s="10" t="s">
        <v>32</v>
      </c>
      <c r="D327" s="10">
        <v>1</v>
      </c>
      <c r="E327" s="10" t="s">
        <v>365</v>
      </c>
      <c r="F327" s="10" t="s">
        <v>25</v>
      </c>
      <c r="G327" s="10" t="s">
        <v>364</v>
      </c>
      <c r="H327" s="10" t="s">
        <v>84</v>
      </c>
      <c r="I327" s="10" t="s">
        <v>6503</v>
      </c>
      <c r="J327" s="10" t="s">
        <v>3036</v>
      </c>
      <c r="K327" s="66">
        <v>116000</v>
      </c>
      <c r="L327" s="10">
        <v>4</v>
      </c>
      <c r="M327" s="10">
        <v>464000</v>
      </c>
      <c r="O327" s="67">
        <v>45443</v>
      </c>
      <c r="P327" s="10">
        <v>2024</v>
      </c>
      <c r="Q327" s="10">
        <v>5</v>
      </c>
      <c r="R327" s="10" t="s">
        <v>3043</v>
      </c>
      <c r="S327" s="10" t="s">
        <v>6506</v>
      </c>
      <c r="T327" s="10" t="s">
        <v>6507</v>
      </c>
      <c r="U327" s="10">
        <v>0</v>
      </c>
      <c r="V327" s="10">
        <v>9</v>
      </c>
      <c r="W327" s="67"/>
      <c r="X327" s="11" t="s">
        <v>3055</v>
      </c>
      <c r="Y327" s="11" t="s">
        <v>4572</v>
      </c>
      <c r="Z327" s="11" t="s">
        <v>4656</v>
      </c>
      <c r="AA327" s="67">
        <v>45412</v>
      </c>
      <c r="AB327" s="67">
        <v>45413</v>
      </c>
      <c r="AC327" s="67">
        <v>45443</v>
      </c>
      <c r="AD327" s="67">
        <v>45442</v>
      </c>
      <c r="AE327" s="67">
        <v>45443</v>
      </c>
    </row>
    <row r="328" spans="1:31" ht="12.5">
      <c r="A328" s="10">
        <v>610422040061</v>
      </c>
      <c r="B328" s="10" t="s">
        <v>32</v>
      </c>
      <c r="D328" s="10">
        <v>1</v>
      </c>
      <c r="E328" s="10" t="s">
        <v>2440</v>
      </c>
      <c r="F328" s="10" t="s">
        <v>25</v>
      </c>
      <c r="G328" s="10" t="s">
        <v>2439</v>
      </c>
      <c r="H328" s="10" t="s">
        <v>84</v>
      </c>
      <c r="I328" s="10" t="s">
        <v>6503</v>
      </c>
      <c r="J328" s="10" t="s">
        <v>3036</v>
      </c>
      <c r="K328" s="66">
        <v>116000</v>
      </c>
      <c r="L328" s="10">
        <v>3</v>
      </c>
      <c r="M328" s="10">
        <v>348000</v>
      </c>
      <c r="O328" s="67">
        <v>45443</v>
      </c>
      <c r="P328" s="10">
        <v>2024</v>
      </c>
      <c r="Q328" s="10">
        <v>5</v>
      </c>
      <c r="R328" s="10" t="s">
        <v>3043</v>
      </c>
      <c r="S328" s="10" t="s">
        <v>6508</v>
      </c>
      <c r="T328" s="10" t="s">
        <v>6509</v>
      </c>
      <c r="U328" s="10">
        <v>0</v>
      </c>
      <c r="V328" s="10">
        <v>9</v>
      </c>
      <c r="W328" s="67"/>
      <c r="X328" s="11" t="s">
        <v>3055</v>
      </c>
      <c r="Y328" s="11" t="s">
        <v>3715</v>
      </c>
      <c r="Z328" s="11" t="s">
        <v>3862</v>
      </c>
      <c r="AA328" s="67">
        <v>45412</v>
      </c>
      <c r="AB328" s="67">
        <v>45413</v>
      </c>
      <c r="AC328" s="67">
        <v>45443</v>
      </c>
      <c r="AD328" s="67">
        <v>45442</v>
      </c>
      <c r="AE328" s="67">
        <v>45443</v>
      </c>
    </row>
    <row r="329" spans="1:31" ht="12.5">
      <c r="A329" s="10">
        <v>610422100131</v>
      </c>
      <c r="B329" s="10" t="s">
        <v>32</v>
      </c>
      <c r="D329" s="10">
        <v>1</v>
      </c>
      <c r="E329" s="10" t="s">
        <v>6046</v>
      </c>
      <c r="F329" s="10" t="s">
        <v>25</v>
      </c>
      <c r="G329" s="10" t="s">
        <v>2683</v>
      </c>
      <c r="H329" s="10" t="s">
        <v>84</v>
      </c>
      <c r="I329" s="10" t="s">
        <v>6503</v>
      </c>
      <c r="J329" s="10" t="s">
        <v>3036</v>
      </c>
      <c r="K329" s="66">
        <v>116000</v>
      </c>
      <c r="L329" s="10">
        <v>3</v>
      </c>
      <c r="M329" s="10">
        <v>348000</v>
      </c>
      <c r="O329" s="67">
        <v>45443</v>
      </c>
      <c r="P329" s="10">
        <v>2024</v>
      </c>
      <c r="Q329" s="10">
        <v>5</v>
      </c>
      <c r="R329" s="10" t="s">
        <v>3043</v>
      </c>
      <c r="S329" s="10" t="s">
        <v>6510</v>
      </c>
      <c r="T329" s="10" t="s">
        <v>6511</v>
      </c>
      <c r="U329" s="10">
        <v>0</v>
      </c>
      <c r="V329" s="10">
        <v>9</v>
      </c>
      <c r="W329" s="67"/>
      <c r="X329" s="11" t="s">
        <v>3055</v>
      </c>
      <c r="Y329" s="11" t="s">
        <v>5250</v>
      </c>
      <c r="Z329" s="11" t="s">
        <v>5365</v>
      </c>
      <c r="AA329" s="67">
        <v>45412</v>
      </c>
      <c r="AB329" s="67">
        <v>45413</v>
      </c>
      <c r="AC329" s="67">
        <v>45443</v>
      </c>
      <c r="AD329" s="67">
        <v>45442</v>
      </c>
      <c r="AE329" s="67">
        <v>45443</v>
      </c>
    </row>
    <row r="330" spans="1:31" ht="12.5">
      <c r="A330" s="10">
        <v>610422100244</v>
      </c>
      <c r="B330" s="10" t="s">
        <v>32</v>
      </c>
      <c r="D330" s="10">
        <v>1</v>
      </c>
      <c r="E330" s="10" t="s">
        <v>2633</v>
      </c>
      <c r="F330" s="10" t="s">
        <v>25</v>
      </c>
      <c r="G330" s="10" t="s">
        <v>2632</v>
      </c>
      <c r="H330" s="10" t="s">
        <v>84</v>
      </c>
      <c r="I330" s="10" t="s">
        <v>6503</v>
      </c>
      <c r="J330" s="10" t="s">
        <v>3036</v>
      </c>
      <c r="K330" s="66">
        <v>116000</v>
      </c>
      <c r="L330" s="10">
        <v>3</v>
      </c>
      <c r="M330" s="10">
        <v>348000</v>
      </c>
      <c r="O330" s="67">
        <v>45443</v>
      </c>
      <c r="P330" s="10">
        <v>2024</v>
      </c>
      <c r="Q330" s="10">
        <v>5</v>
      </c>
      <c r="R330" s="10" t="s">
        <v>3043</v>
      </c>
      <c r="S330" s="10" t="s">
        <v>6483</v>
      </c>
      <c r="T330" s="10" t="s">
        <v>6484</v>
      </c>
      <c r="U330" s="10">
        <v>0</v>
      </c>
      <c r="V330" s="10">
        <v>9</v>
      </c>
      <c r="W330" s="67"/>
      <c r="X330" s="11" t="s">
        <v>3055</v>
      </c>
      <c r="Y330" s="11" t="s">
        <v>5741</v>
      </c>
      <c r="Z330" s="11" t="s">
        <v>5796</v>
      </c>
      <c r="AA330" s="67">
        <v>45412</v>
      </c>
      <c r="AB330" s="67">
        <v>45413</v>
      </c>
      <c r="AC330" s="67">
        <v>45443</v>
      </c>
      <c r="AD330" s="67">
        <v>45442</v>
      </c>
      <c r="AE330" s="67">
        <v>45443</v>
      </c>
    </row>
    <row r="331" spans="1:31" ht="12.5">
      <c r="A331" s="10">
        <v>610422100176</v>
      </c>
      <c r="B331" s="10" t="s">
        <v>32</v>
      </c>
      <c r="D331" s="10">
        <v>1</v>
      </c>
      <c r="E331" s="10" t="s">
        <v>1190</v>
      </c>
      <c r="F331" s="10" t="s">
        <v>25</v>
      </c>
      <c r="G331" s="10" t="s">
        <v>1189</v>
      </c>
      <c r="H331" s="10" t="s">
        <v>84</v>
      </c>
      <c r="I331" s="10" t="s">
        <v>6503</v>
      </c>
      <c r="J331" s="10" t="s">
        <v>3036</v>
      </c>
      <c r="K331" s="66">
        <v>116000</v>
      </c>
      <c r="L331" s="10">
        <v>3</v>
      </c>
      <c r="M331" s="10">
        <v>348000</v>
      </c>
      <c r="O331" s="67">
        <v>45443</v>
      </c>
      <c r="P331" s="10">
        <v>2024</v>
      </c>
      <c r="Q331" s="10">
        <v>5</v>
      </c>
      <c r="R331" s="10" t="s">
        <v>3043</v>
      </c>
      <c r="S331" s="10" t="s">
        <v>6512</v>
      </c>
      <c r="T331" s="10" t="s">
        <v>6513</v>
      </c>
      <c r="U331" s="10">
        <v>0</v>
      </c>
      <c r="V331" s="10">
        <v>9</v>
      </c>
      <c r="W331" s="67"/>
      <c r="X331" s="11" t="s">
        <v>3055</v>
      </c>
      <c r="Y331" s="11" t="s">
        <v>3715</v>
      </c>
      <c r="Z331" s="11" t="s">
        <v>3765</v>
      </c>
      <c r="AA331" s="67">
        <v>45412</v>
      </c>
      <c r="AB331" s="67">
        <v>45413</v>
      </c>
      <c r="AC331" s="67">
        <v>45443</v>
      </c>
      <c r="AD331" s="67">
        <v>45442</v>
      </c>
      <c r="AE331" s="67">
        <v>45443</v>
      </c>
    </row>
    <row r="332" spans="1:31" ht="12.5">
      <c r="A332" s="10">
        <v>610423110183</v>
      </c>
      <c r="B332" s="10" t="s">
        <v>32</v>
      </c>
      <c r="D332" s="10">
        <v>1</v>
      </c>
      <c r="E332" s="10" t="s">
        <v>5924</v>
      </c>
      <c r="F332" s="10" t="s">
        <v>25</v>
      </c>
      <c r="G332" s="10" t="s">
        <v>742</v>
      </c>
      <c r="H332" s="10" t="s">
        <v>84</v>
      </c>
      <c r="I332" s="10" t="s">
        <v>6503</v>
      </c>
      <c r="J332" s="10" t="s">
        <v>3036</v>
      </c>
      <c r="K332" s="66">
        <v>116000</v>
      </c>
      <c r="L332" s="10">
        <v>6</v>
      </c>
      <c r="M332" s="10">
        <v>696000</v>
      </c>
      <c r="O332" s="67">
        <v>45443</v>
      </c>
      <c r="P332" s="10">
        <v>2024</v>
      </c>
      <c r="Q332" s="10">
        <v>5</v>
      </c>
      <c r="R332" s="10" t="s">
        <v>3043</v>
      </c>
      <c r="S332" s="10" t="s">
        <v>6514</v>
      </c>
      <c r="T332" s="10" t="s">
        <v>6515</v>
      </c>
      <c r="U332" s="10">
        <v>0</v>
      </c>
      <c r="V332" s="10">
        <v>9</v>
      </c>
      <c r="W332" s="67"/>
      <c r="X332" s="11" t="s">
        <v>3055</v>
      </c>
      <c r="Y332" s="11" t="s">
        <v>3241</v>
      </c>
      <c r="Z332" s="11" t="s">
        <v>3242</v>
      </c>
      <c r="AA332" s="67">
        <v>45412</v>
      </c>
      <c r="AB332" s="67">
        <v>45413</v>
      </c>
      <c r="AC332" s="67">
        <v>45443</v>
      </c>
      <c r="AD332" s="67">
        <v>45442</v>
      </c>
      <c r="AE332" s="67">
        <v>45443</v>
      </c>
    </row>
    <row r="333" spans="1:31" ht="12.5">
      <c r="A333" s="10">
        <v>610423040018</v>
      </c>
      <c r="B333" s="10" t="s">
        <v>32</v>
      </c>
      <c r="D333" s="10">
        <v>1</v>
      </c>
      <c r="E333" s="10" t="s">
        <v>1301</v>
      </c>
      <c r="F333" s="10" t="s">
        <v>25</v>
      </c>
      <c r="G333" s="10" t="s">
        <v>1300</v>
      </c>
      <c r="H333" s="10" t="s">
        <v>84</v>
      </c>
      <c r="I333" s="10" t="s">
        <v>6503</v>
      </c>
      <c r="J333" s="10" t="s">
        <v>3036</v>
      </c>
      <c r="K333" s="66">
        <v>116000</v>
      </c>
      <c r="L333" s="10">
        <v>4</v>
      </c>
      <c r="M333" s="10">
        <v>464000</v>
      </c>
      <c r="O333" s="67">
        <v>45443</v>
      </c>
      <c r="P333" s="10">
        <v>2024</v>
      </c>
      <c r="Q333" s="10">
        <v>5</v>
      </c>
      <c r="R333" s="10" t="s">
        <v>3043</v>
      </c>
      <c r="S333" s="10" t="s">
        <v>6516</v>
      </c>
      <c r="T333" s="10" t="s">
        <v>6517</v>
      </c>
      <c r="U333" s="10">
        <v>0</v>
      </c>
      <c r="V333" s="10">
        <v>9</v>
      </c>
      <c r="W333" s="67"/>
      <c r="X333" s="11" t="s">
        <v>3055</v>
      </c>
      <c r="Y333" s="11" t="s">
        <v>5534</v>
      </c>
      <c r="Z333" s="11" t="s">
        <v>5647</v>
      </c>
      <c r="AA333" s="67">
        <v>45412</v>
      </c>
      <c r="AB333" s="67">
        <v>45413</v>
      </c>
      <c r="AC333" s="67">
        <v>45443</v>
      </c>
      <c r="AD333" s="67">
        <v>45442</v>
      </c>
      <c r="AE333" s="67">
        <v>45443</v>
      </c>
    </row>
    <row r="334" spans="1:31" ht="12.5">
      <c r="A334" s="10">
        <v>610422040059</v>
      </c>
      <c r="B334" s="10" t="s">
        <v>32</v>
      </c>
      <c r="D334" s="10">
        <v>1</v>
      </c>
      <c r="E334" s="10" t="s">
        <v>365</v>
      </c>
      <c r="F334" s="10" t="s">
        <v>25</v>
      </c>
      <c r="G334" s="10" t="s">
        <v>364</v>
      </c>
      <c r="H334" s="10" t="s">
        <v>85</v>
      </c>
      <c r="I334" s="10" t="s">
        <v>6518</v>
      </c>
      <c r="J334" s="10" t="s">
        <v>3036</v>
      </c>
      <c r="K334" s="66">
        <v>59000</v>
      </c>
      <c r="L334" s="10">
        <v>6</v>
      </c>
      <c r="M334" s="10">
        <v>354000</v>
      </c>
      <c r="O334" s="67">
        <v>45443</v>
      </c>
      <c r="P334" s="10">
        <v>2024</v>
      </c>
      <c r="Q334" s="10">
        <v>5</v>
      </c>
      <c r="R334" s="10" t="s">
        <v>3043</v>
      </c>
      <c r="S334" s="10" t="s">
        <v>6506</v>
      </c>
      <c r="T334" s="10" t="s">
        <v>6507</v>
      </c>
      <c r="U334" s="10">
        <v>0</v>
      </c>
      <c r="V334" s="10">
        <v>9</v>
      </c>
      <c r="W334" s="67"/>
      <c r="X334" s="11" t="s">
        <v>3055</v>
      </c>
      <c r="Y334" s="11" t="s">
        <v>4572</v>
      </c>
      <c r="Z334" s="11" t="s">
        <v>4656</v>
      </c>
      <c r="AA334" s="67">
        <v>45412</v>
      </c>
      <c r="AB334" s="67">
        <v>45413</v>
      </c>
      <c r="AC334" s="67">
        <v>45443</v>
      </c>
      <c r="AD334" s="67">
        <v>45442</v>
      </c>
      <c r="AE334" s="67">
        <v>45443</v>
      </c>
    </row>
    <row r="335" spans="1:31" ht="12.5">
      <c r="A335" s="10">
        <v>610422020048</v>
      </c>
      <c r="B335" s="10" t="s">
        <v>32</v>
      </c>
      <c r="D335" s="10">
        <v>1</v>
      </c>
      <c r="E335" s="10" t="s">
        <v>1359</v>
      </c>
      <c r="F335" s="10" t="s">
        <v>25</v>
      </c>
      <c r="G335" s="10" t="s">
        <v>1358</v>
      </c>
      <c r="H335" s="10" t="s">
        <v>85</v>
      </c>
      <c r="I335" s="10" t="s">
        <v>6518</v>
      </c>
      <c r="J335" s="10" t="s">
        <v>3036</v>
      </c>
      <c r="K335" s="66">
        <v>59000</v>
      </c>
      <c r="L335" s="10">
        <v>6</v>
      </c>
      <c r="M335" s="10">
        <v>354000</v>
      </c>
      <c r="O335" s="67">
        <v>45443</v>
      </c>
      <c r="P335" s="10">
        <v>2024</v>
      </c>
      <c r="Q335" s="10">
        <v>5</v>
      </c>
      <c r="R335" s="10" t="s">
        <v>3043</v>
      </c>
      <c r="S335" s="10" t="s">
        <v>6495</v>
      </c>
      <c r="T335" s="10" t="s">
        <v>6496</v>
      </c>
      <c r="U335" s="10">
        <v>0</v>
      </c>
      <c r="V335" s="10">
        <v>9</v>
      </c>
      <c r="W335" s="67"/>
      <c r="X335" s="11" t="s">
        <v>3055</v>
      </c>
      <c r="Y335" s="11" t="s">
        <v>4931</v>
      </c>
      <c r="Z335" s="11" t="s">
        <v>5171</v>
      </c>
      <c r="AA335" s="67">
        <v>45412</v>
      </c>
      <c r="AB335" s="67">
        <v>45413</v>
      </c>
      <c r="AC335" s="67">
        <v>45443</v>
      </c>
      <c r="AD335" s="67">
        <v>45442</v>
      </c>
      <c r="AE335" s="67">
        <v>45443</v>
      </c>
    </row>
    <row r="336" spans="1:31" ht="12.5">
      <c r="A336" s="10">
        <v>610422040058</v>
      </c>
      <c r="B336" s="10" t="s">
        <v>32</v>
      </c>
      <c r="D336" s="10">
        <v>1</v>
      </c>
      <c r="E336" s="10" t="s">
        <v>5976</v>
      </c>
      <c r="F336" s="10" t="s">
        <v>25</v>
      </c>
      <c r="G336" s="10" t="s">
        <v>1547</v>
      </c>
      <c r="H336" s="10" t="s">
        <v>85</v>
      </c>
      <c r="I336" s="10" t="s">
        <v>6518</v>
      </c>
      <c r="J336" s="10" t="s">
        <v>3036</v>
      </c>
      <c r="K336" s="66">
        <v>59000</v>
      </c>
      <c r="L336" s="10">
        <v>10</v>
      </c>
      <c r="M336" s="10">
        <v>590000</v>
      </c>
      <c r="O336" s="67">
        <v>45443</v>
      </c>
      <c r="P336" s="10">
        <v>2024</v>
      </c>
      <c r="Q336" s="10">
        <v>5</v>
      </c>
      <c r="R336" s="10" t="s">
        <v>3043</v>
      </c>
      <c r="S336" s="10" t="s">
        <v>6519</v>
      </c>
      <c r="T336" s="10" t="s">
        <v>6520</v>
      </c>
      <c r="U336" s="10">
        <v>0</v>
      </c>
      <c r="V336" s="10">
        <v>9</v>
      </c>
      <c r="W336" s="67"/>
      <c r="X336" s="11" t="s">
        <v>3055</v>
      </c>
      <c r="Y336" s="11" t="s">
        <v>3715</v>
      </c>
      <c r="Z336" s="11" t="s">
        <v>3716</v>
      </c>
      <c r="AA336" s="67">
        <v>45412</v>
      </c>
      <c r="AB336" s="67">
        <v>45413</v>
      </c>
      <c r="AC336" s="67">
        <v>45443</v>
      </c>
      <c r="AD336" s="67">
        <v>45442</v>
      </c>
      <c r="AE336" s="67">
        <v>45443</v>
      </c>
    </row>
    <row r="337" spans="1:31" ht="12.5">
      <c r="A337" s="10">
        <v>610423110183</v>
      </c>
      <c r="B337" s="10" t="s">
        <v>32</v>
      </c>
      <c r="D337" s="10">
        <v>1</v>
      </c>
      <c r="E337" s="10" t="s">
        <v>5924</v>
      </c>
      <c r="F337" s="10" t="s">
        <v>25</v>
      </c>
      <c r="G337" s="10" t="s">
        <v>742</v>
      </c>
      <c r="H337" s="10" t="s">
        <v>85</v>
      </c>
      <c r="I337" s="10" t="s">
        <v>6518</v>
      </c>
      <c r="J337" s="10" t="s">
        <v>3036</v>
      </c>
      <c r="K337" s="66">
        <v>59000</v>
      </c>
      <c r="L337" s="10">
        <v>6</v>
      </c>
      <c r="M337" s="10">
        <v>354000</v>
      </c>
      <c r="O337" s="67">
        <v>45443</v>
      </c>
      <c r="P337" s="10">
        <v>2024</v>
      </c>
      <c r="Q337" s="10">
        <v>5</v>
      </c>
      <c r="R337" s="10" t="s">
        <v>3043</v>
      </c>
      <c r="S337" s="10" t="s">
        <v>6514</v>
      </c>
      <c r="T337" s="10" t="s">
        <v>6515</v>
      </c>
      <c r="U337" s="10">
        <v>0</v>
      </c>
      <c r="V337" s="10">
        <v>9</v>
      </c>
      <c r="W337" s="67"/>
      <c r="X337" s="11" t="s">
        <v>3055</v>
      </c>
      <c r="Y337" s="11" t="s">
        <v>3241</v>
      </c>
      <c r="Z337" s="11" t="s">
        <v>3242</v>
      </c>
      <c r="AA337" s="67">
        <v>45412</v>
      </c>
      <c r="AB337" s="67">
        <v>45413</v>
      </c>
      <c r="AC337" s="67">
        <v>45443</v>
      </c>
      <c r="AD337" s="67">
        <v>45442</v>
      </c>
      <c r="AE337" s="67">
        <v>45443</v>
      </c>
    </row>
    <row r="338" spans="1:31" ht="12.5">
      <c r="A338" s="10">
        <v>610422100244</v>
      </c>
      <c r="B338" s="10" t="s">
        <v>32</v>
      </c>
      <c r="D338" s="10">
        <v>1</v>
      </c>
      <c r="E338" s="10" t="s">
        <v>2633</v>
      </c>
      <c r="F338" s="10" t="s">
        <v>25</v>
      </c>
      <c r="G338" s="10" t="s">
        <v>2632</v>
      </c>
      <c r="H338" s="10" t="s">
        <v>85</v>
      </c>
      <c r="I338" s="10" t="s">
        <v>6518</v>
      </c>
      <c r="J338" s="10" t="s">
        <v>3036</v>
      </c>
      <c r="K338" s="66">
        <v>59000</v>
      </c>
      <c r="L338" s="10">
        <v>8</v>
      </c>
      <c r="M338" s="10">
        <v>472000</v>
      </c>
      <c r="O338" s="67">
        <v>45443</v>
      </c>
      <c r="P338" s="10">
        <v>2024</v>
      </c>
      <c r="Q338" s="10">
        <v>5</v>
      </c>
      <c r="R338" s="10" t="s">
        <v>3043</v>
      </c>
      <c r="S338" s="10" t="s">
        <v>6483</v>
      </c>
      <c r="T338" s="10" t="s">
        <v>6484</v>
      </c>
      <c r="U338" s="10">
        <v>0</v>
      </c>
      <c r="V338" s="10">
        <v>9</v>
      </c>
      <c r="W338" s="67"/>
      <c r="X338" s="11" t="s">
        <v>3055</v>
      </c>
      <c r="Y338" s="11" t="s">
        <v>5741</v>
      </c>
      <c r="Z338" s="11" t="s">
        <v>5796</v>
      </c>
      <c r="AA338" s="67">
        <v>45412</v>
      </c>
      <c r="AB338" s="67">
        <v>45413</v>
      </c>
      <c r="AC338" s="67">
        <v>45443</v>
      </c>
      <c r="AD338" s="67">
        <v>45442</v>
      </c>
      <c r="AE338" s="67">
        <v>45443</v>
      </c>
    </row>
    <row r="339" spans="1:31" ht="12.5">
      <c r="A339" s="10">
        <v>610422030002</v>
      </c>
      <c r="B339" s="10" t="s">
        <v>167</v>
      </c>
      <c r="D339" s="10">
        <v>1</v>
      </c>
      <c r="E339" s="10" t="s">
        <v>5934</v>
      </c>
      <c r="F339" s="10" t="s">
        <v>25</v>
      </c>
      <c r="G339" s="10" t="s">
        <v>929</v>
      </c>
      <c r="H339" s="10" t="s">
        <v>67</v>
      </c>
      <c r="I339" s="10" t="s">
        <v>168</v>
      </c>
      <c r="J339" s="10" t="s">
        <v>164</v>
      </c>
      <c r="K339" s="66">
        <v>50000</v>
      </c>
      <c r="L339" s="10">
        <v>15</v>
      </c>
      <c r="M339" s="10">
        <v>750000</v>
      </c>
      <c r="O339" s="67">
        <v>45463</v>
      </c>
      <c r="P339" s="10">
        <v>2024</v>
      </c>
      <c r="Q339" s="10">
        <v>6</v>
      </c>
      <c r="R339" s="10" t="s">
        <v>3043</v>
      </c>
      <c r="S339" s="10" t="s">
        <v>6521</v>
      </c>
      <c r="T339" s="10" t="s">
        <v>6522</v>
      </c>
      <c r="U339" s="10">
        <v>0</v>
      </c>
      <c r="V339" s="10">
        <v>29</v>
      </c>
      <c r="W339" s="67"/>
      <c r="X339" s="11" t="s">
        <v>3092</v>
      </c>
      <c r="Y339" s="11" t="s">
        <v>3715</v>
      </c>
      <c r="Z339" s="11" t="s">
        <v>3716</v>
      </c>
      <c r="AA339" s="67">
        <v>45443</v>
      </c>
      <c r="AB339" s="67">
        <v>45444</v>
      </c>
      <c r="AC339" s="67">
        <v>45473</v>
      </c>
      <c r="AD339" s="67">
        <v>45472</v>
      </c>
      <c r="AE339" s="67">
        <v>45473</v>
      </c>
    </row>
    <row r="340" spans="1:31" ht="12.5">
      <c r="A340" s="10">
        <v>610422100244</v>
      </c>
      <c r="B340" s="10" t="s">
        <v>169</v>
      </c>
      <c r="D340" s="10">
        <v>1</v>
      </c>
      <c r="E340" s="10" t="s">
        <v>2633</v>
      </c>
      <c r="F340" s="10" t="s">
        <v>25</v>
      </c>
      <c r="G340" s="10" t="s">
        <v>2632</v>
      </c>
      <c r="H340" s="10" t="s">
        <v>67</v>
      </c>
      <c r="I340" s="10" t="s">
        <v>170</v>
      </c>
      <c r="J340" s="10" t="s">
        <v>164</v>
      </c>
      <c r="K340" s="66">
        <v>50000</v>
      </c>
      <c r="L340" s="10">
        <v>1</v>
      </c>
      <c r="M340" s="10">
        <v>50000</v>
      </c>
      <c r="O340" s="67">
        <v>45463</v>
      </c>
      <c r="P340" s="10">
        <v>2024</v>
      </c>
      <c r="Q340" s="10">
        <v>6</v>
      </c>
      <c r="R340" s="10" t="s">
        <v>3043</v>
      </c>
      <c r="S340" s="10" t="s">
        <v>6523</v>
      </c>
      <c r="T340" s="10" t="s">
        <v>6524</v>
      </c>
      <c r="U340" s="10">
        <v>0</v>
      </c>
      <c r="V340" s="10">
        <v>29</v>
      </c>
      <c r="W340" s="67"/>
      <c r="X340" s="11" t="s">
        <v>3078</v>
      </c>
      <c r="Y340" s="11" t="s">
        <v>5741</v>
      </c>
      <c r="Z340" s="11" t="s">
        <v>5796</v>
      </c>
      <c r="AA340" s="67">
        <v>45443</v>
      </c>
      <c r="AB340" s="67">
        <v>45444</v>
      </c>
      <c r="AC340" s="67">
        <v>45473</v>
      </c>
      <c r="AD340" s="67">
        <v>45472</v>
      </c>
      <c r="AE340" s="67">
        <v>45473</v>
      </c>
    </row>
    <row r="341" spans="1:31" ht="12.5">
      <c r="A341" s="10">
        <v>610422100124</v>
      </c>
      <c r="B341" s="10" t="s">
        <v>169</v>
      </c>
      <c r="D341" s="10">
        <v>1</v>
      </c>
      <c r="E341" s="10" t="s">
        <v>2237</v>
      </c>
      <c r="F341" s="10" t="s">
        <v>25</v>
      </c>
      <c r="G341" s="10" t="s">
        <v>2236</v>
      </c>
      <c r="H341" s="10" t="s">
        <v>67</v>
      </c>
      <c r="I341" s="10" t="s">
        <v>170</v>
      </c>
      <c r="J341" s="10" t="s">
        <v>164</v>
      </c>
      <c r="K341" s="66">
        <v>50000</v>
      </c>
      <c r="L341" s="10">
        <v>1</v>
      </c>
      <c r="M341" s="10">
        <v>50000</v>
      </c>
      <c r="O341" s="67">
        <v>45463</v>
      </c>
      <c r="P341" s="10">
        <v>2024</v>
      </c>
      <c r="Q341" s="10">
        <v>6</v>
      </c>
      <c r="R341" s="10" t="s">
        <v>3043</v>
      </c>
      <c r="S341" s="10" t="s">
        <v>6525</v>
      </c>
      <c r="T341" s="10" t="s">
        <v>6526</v>
      </c>
      <c r="U341" s="10">
        <v>0</v>
      </c>
      <c r="V341" s="10">
        <v>29</v>
      </c>
      <c r="W341" s="67"/>
      <c r="X341" s="11" t="s">
        <v>3078</v>
      </c>
      <c r="Y341" s="11" t="s">
        <v>1921</v>
      </c>
      <c r="Z341" s="11" t="s">
        <v>2140</v>
      </c>
      <c r="AA341" s="67">
        <v>45443</v>
      </c>
      <c r="AB341" s="67">
        <v>45444</v>
      </c>
      <c r="AC341" s="67">
        <v>45473</v>
      </c>
      <c r="AD341" s="67">
        <v>45472</v>
      </c>
      <c r="AE341" s="67">
        <v>45473</v>
      </c>
    </row>
    <row r="342" spans="1:31" ht="12.5">
      <c r="A342" s="10">
        <v>610422100016</v>
      </c>
      <c r="B342" s="10" t="s">
        <v>171</v>
      </c>
      <c r="D342" s="10">
        <v>1</v>
      </c>
      <c r="E342" s="10" t="s">
        <v>550</v>
      </c>
      <c r="F342" s="10" t="s">
        <v>25</v>
      </c>
      <c r="G342" s="10" t="s">
        <v>549</v>
      </c>
      <c r="H342" s="10" t="s">
        <v>72</v>
      </c>
      <c r="I342" s="10" t="s">
        <v>172</v>
      </c>
      <c r="J342" s="10" t="s">
        <v>164</v>
      </c>
      <c r="K342" s="66">
        <v>65000</v>
      </c>
      <c r="L342" s="10">
        <v>3</v>
      </c>
      <c r="M342" s="10">
        <v>195000</v>
      </c>
      <c r="O342" s="67">
        <v>45463</v>
      </c>
      <c r="P342" s="10">
        <v>2024</v>
      </c>
      <c r="Q342" s="10">
        <v>6</v>
      </c>
      <c r="R342" s="10" t="s">
        <v>3043</v>
      </c>
      <c r="S342" s="10" t="s">
        <v>6965</v>
      </c>
      <c r="T342" s="10" t="s">
        <v>6966</v>
      </c>
      <c r="U342" s="10">
        <v>0</v>
      </c>
      <c r="V342" s="10">
        <v>29</v>
      </c>
      <c r="W342" s="67"/>
      <c r="X342" s="11" t="s">
        <v>3109</v>
      </c>
      <c r="Y342" s="11" t="s">
        <v>5250</v>
      </c>
      <c r="Z342" s="11" t="s">
        <v>5365</v>
      </c>
      <c r="AA342" s="67">
        <v>45443</v>
      </c>
      <c r="AB342" s="67">
        <v>45444</v>
      </c>
      <c r="AC342" s="67">
        <v>45473</v>
      </c>
      <c r="AD342" s="67">
        <v>45472</v>
      </c>
      <c r="AE342" s="67">
        <v>45473</v>
      </c>
    </row>
    <row r="343" spans="1:31" ht="12.5">
      <c r="A343" s="10">
        <v>610422020016</v>
      </c>
      <c r="B343" s="10" t="s">
        <v>171</v>
      </c>
      <c r="D343" s="10">
        <v>1</v>
      </c>
      <c r="E343" s="10" t="s">
        <v>380</v>
      </c>
      <c r="F343" s="10" t="s">
        <v>25</v>
      </c>
      <c r="G343" s="10" t="s">
        <v>379</v>
      </c>
      <c r="H343" s="10" t="s">
        <v>72</v>
      </c>
      <c r="I343" s="10" t="s">
        <v>172</v>
      </c>
      <c r="J343" s="10" t="s">
        <v>164</v>
      </c>
      <c r="K343" s="66">
        <v>65000</v>
      </c>
      <c r="L343" s="10">
        <v>3</v>
      </c>
      <c r="M343" s="10">
        <v>195000</v>
      </c>
      <c r="O343" s="67">
        <v>45463</v>
      </c>
      <c r="P343" s="10">
        <v>2024</v>
      </c>
      <c r="Q343" s="10">
        <v>6</v>
      </c>
      <c r="R343" s="10" t="s">
        <v>3043</v>
      </c>
      <c r="S343" s="10" t="s">
        <v>6528</v>
      </c>
      <c r="T343" s="10" t="s">
        <v>6529</v>
      </c>
      <c r="U343" s="10">
        <v>0</v>
      </c>
      <c r="V343" s="10">
        <v>29</v>
      </c>
      <c r="W343" s="67"/>
      <c r="X343" s="11" t="s">
        <v>3109</v>
      </c>
      <c r="Y343" s="11" t="s">
        <v>5534</v>
      </c>
      <c r="Z343" s="11" t="s">
        <v>5535</v>
      </c>
      <c r="AA343" s="67">
        <v>45443</v>
      </c>
      <c r="AB343" s="67">
        <v>45444</v>
      </c>
      <c r="AC343" s="67">
        <v>45473</v>
      </c>
      <c r="AD343" s="67">
        <v>45472</v>
      </c>
      <c r="AE343" s="67">
        <v>45473</v>
      </c>
    </row>
    <row r="344" spans="1:31" ht="12.5">
      <c r="A344" s="10">
        <v>610422040030</v>
      </c>
      <c r="B344" s="10" t="s">
        <v>171</v>
      </c>
      <c r="D344" s="10">
        <v>1</v>
      </c>
      <c r="E344" s="10" t="s">
        <v>2697</v>
      </c>
      <c r="F344" s="10" t="s">
        <v>25</v>
      </c>
      <c r="G344" s="10" t="s">
        <v>2696</v>
      </c>
      <c r="H344" s="10" t="s">
        <v>74</v>
      </c>
      <c r="I344" s="10" t="s">
        <v>173</v>
      </c>
      <c r="J344" s="10" t="s">
        <v>164</v>
      </c>
      <c r="K344" s="66">
        <v>55000</v>
      </c>
      <c r="L344" s="10">
        <v>1</v>
      </c>
      <c r="M344" s="10">
        <v>55000</v>
      </c>
      <c r="O344" s="67">
        <v>45463</v>
      </c>
      <c r="P344" s="10">
        <v>2024</v>
      </c>
      <c r="Q344" s="10">
        <v>6</v>
      </c>
      <c r="R344" s="10" t="s">
        <v>3043</v>
      </c>
      <c r="S344" s="10" t="s">
        <v>6530</v>
      </c>
      <c r="T344" s="10" t="s">
        <v>6531</v>
      </c>
      <c r="U344" s="10">
        <v>0</v>
      </c>
      <c r="V344" s="10">
        <v>29</v>
      </c>
      <c r="W344" s="67"/>
      <c r="X344" s="11" t="s">
        <v>3109</v>
      </c>
      <c r="Y344" s="11" t="s">
        <v>3241</v>
      </c>
      <c r="Z344" s="11" t="s">
        <v>3289</v>
      </c>
      <c r="AA344" s="67">
        <v>45443</v>
      </c>
      <c r="AB344" s="67">
        <v>45444</v>
      </c>
      <c r="AC344" s="67">
        <v>45473</v>
      </c>
      <c r="AD344" s="67">
        <v>45472</v>
      </c>
      <c r="AE344" s="67">
        <v>45473</v>
      </c>
    </row>
    <row r="345" spans="1:31" ht="12.5">
      <c r="A345" s="10">
        <v>610422100124</v>
      </c>
      <c r="B345" s="10" t="s">
        <v>171</v>
      </c>
      <c r="D345" s="10">
        <v>1</v>
      </c>
      <c r="E345" s="10" t="s">
        <v>2237</v>
      </c>
      <c r="F345" s="10" t="s">
        <v>25</v>
      </c>
      <c r="G345" s="10" t="s">
        <v>2236</v>
      </c>
      <c r="H345" s="10" t="s">
        <v>74</v>
      </c>
      <c r="I345" s="10" t="s">
        <v>173</v>
      </c>
      <c r="J345" s="10" t="s">
        <v>164</v>
      </c>
      <c r="K345" s="66">
        <v>55000</v>
      </c>
      <c r="L345" s="10">
        <v>3</v>
      </c>
      <c r="M345" s="10">
        <v>165000</v>
      </c>
      <c r="O345" s="67">
        <v>45463</v>
      </c>
      <c r="P345" s="10">
        <v>2024</v>
      </c>
      <c r="Q345" s="10">
        <v>6</v>
      </c>
      <c r="R345" s="10" t="s">
        <v>3043</v>
      </c>
      <c r="S345" s="10" t="s">
        <v>6525</v>
      </c>
      <c r="T345" s="10" t="s">
        <v>6526</v>
      </c>
      <c r="U345" s="10">
        <v>0</v>
      </c>
      <c r="V345" s="10">
        <v>29</v>
      </c>
      <c r="W345" s="67"/>
      <c r="X345" s="11" t="s">
        <v>3109</v>
      </c>
      <c r="Y345" s="11" t="s">
        <v>1921</v>
      </c>
      <c r="Z345" s="11" t="s">
        <v>2140</v>
      </c>
      <c r="AA345" s="67">
        <v>45443</v>
      </c>
      <c r="AB345" s="67">
        <v>45444</v>
      </c>
      <c r="AC345" s="67">
        <v>45473</v>
      </c>
      <c r="AD345" s="67">
        <v>45472</v>
      </c>
      <c r="AE345" s="67">
        <v>45473</v>
      </c>
    </row>
    <row r="346" spans="1:31" ht="12.5">
      <c r="A346" s="10">
        <v>610422100244</v>
      </c>
      <c r="B346" s="10" t="s">
        <v>171</v>
      </c>
      <c r="D346" s="10">
        <v>1</v>
      </c>
      <c r="E346" s="10" t="s">
        <v>2633</v>
      </c>
      <c r="F346" s="10" t="s">
        <v>25</v>
      </c>
      <c r="G346" s="10" t="s">
        <v>2632</v>
      </c>
      <c r="H346" s="10" t="s">
        <v>74</v>
      </c>
      <c r="I346" s="10" t="s">
        <v>173</v>
      </c>
      <c r="J346" s="10" t="s">
        <v>164</v>
      </c>
      <c r="K346" s="66">
        <v>55000</v>
      </c>
      <c r="L346" s="10">
        <v>2</v>
      </c>
      <c r="M346" s="10">
        <v>110000</v>
      </c>
      <c r="O346" s="67">
        <v>45463</v>
      </c>
      <c r="P346" s="10">
        <v>2024</v>
      </c>
      <c r="Q346" s="10">
        <v>6</v>
      </c>
      <c r="R346" s="10" t="s">
        <v>3043</v>
      </c>
      <c r="S346" s="10" t="s">
        <v>6523</v>
      </c>
      <c r="T346" s="10" t="s">
        <v>6524</v>
      </c>
      <c r="U346" s="10">
        <v>0</v>
      </c>
      <c r="V346" s="10">
        <v>29</v>
      </c>
      <c r="W346" s="67"/>
      <c r="X346" s="11" t="s">
        <v>3109</v>
      </c>
      <c r="Y346" s="11" t="s">
        <v>5741</v>
      </c>
      <c r="Z346" s="11" t="s">
        <v>5796</v>
      </c>
      <c r="AA346" s="67">
        <v>45443</v>
      </c>
      <c r="AB346" s="67">
        <v>45444</v>
      </c>
      <c r="AC346" s="67">
        <v>45473</v>
      </c>
      <c r="AD346" s="67">
        <v>45472</v>
      </c>
      <c r="AE346" s="67">
        <v>45473</v>
      </c>
    </row>
    <row r="347" spans="1:31" ht="12.5">
      <c r="A347" s="10">
        <v>610422020016</v>
      </c>
      <c r="B347" s="10" t="s">
        <v>171</v>
      </c>
      <c r="D347" s="10">
        <v>1</v>
      </c>
      <c r="E347" s="10" t="s">
        <v>380</v>
      </c>
      <c r="F347" s="10" t="s">
        <v>25</v>
      </c>
      <c r="G347" s="10" t="s">
        <v>379</v>
      </c>
      <c r="H347" s="10" t="s">
        <v>74</v>
      </c>
      <c r="I347" s="10" t="s">
        <v>173</v>
      </c>
      <c r="J347" s="10" t="s">
        <v>164</v>
      </c>
      <c r="K347" s="66">
        <v>55000</v>
      </c>
      <c r="L347" s="10">
        <v>3</v>
      </c>
      <c r="M347" s="10">
        <v>165000</v>
      </c>
      <c r="O347" s="67">
        <v>45463</v>
      </c>
      <c r="P347" s="10">
        <v>2024</v>
      </c>
      <c r="Q347" s="10">
        <v>6</v>
      </c>
      <c r="R347" s="10" t="s">
        <v>3043</v>
      </c>
      <c r="S347" s="10" t="s">
        <v>6528</v>
      </c>
      <c r="T347" s="10" t="s">
        <v>6529</v>
      </c>
      <c r="U347" s="10">
        <v>0</v>
      </c>
      <c r="V347" s="10">
        <v>29</v>
      </c>
      <c r="W347" s="67"/>
      <c r="X347" s="11" t="s">
        <v>3109</v>
      </c>
      <c r="Y347" s="11" t="s">
        <v>5534</v>
      </c>
      <c r="Z347" s="11" t="s">
        <v>5535</v>
      </c>
      <c r="AA347" s="67">
        <v>45443</v>
      </c>
      <c r="AB347" s="67">
        <v>45444</v>
      </c>
      <c r="AC347" s="67">
        <v>45473</v>
      </c>
      <c r="AD347" s="67">
        <v>45472</v>
      </c>
      <c r="AE347" s="67">
        <v>45473</v>
      </c>
    </row>
    <row r="348" spans="1:31" ht="12.5">
      <c r="A348" s="10">
        <v>610422100016</v>
      </c>
      <c r="B348" s="10" t="s">
        <v>171</v>
      </c>
      <c r="D348" s="10">
        <v>1</v>
      </c>
      <c r="E348" s="10" t="s">
        <v>550</v>
      </c>
      <c r="F348" s="10" t="s">
        <v>25</v>
      </c>
      <c r="G348" s="10" t="s">
        <v>549</v>
      </c>
      <c r="H348" s="10" t="s">
        <v>74</v>
      </c>
      <c r="I348" s="10" t="s">
        <v>173</v>
      </c>
      <c r="J348" s="10" t="s">
        <v>164</v>
      </c>
      <c r="K348" s="66">
        <v>55000</v>
      </c>
      <c r="L348" s="10">
        <v>1</v>
      </c>
      <c r="M348" s="10">
        <v>55000</v>
      </c>
      <c r="O348" s="67">
        <v>45463</v>
      </c>
      <c r="P348" s="10">
        <v>2024</v>
      </c>
      <c r="Q348" s="10">
        <v>6</v>
      </c>
      <c r="R348" s="10" t="s">
        <v>3043</v>
      </c>
      <c r="S348" s="10" t="s">
        <v>6965</v>
      </c>
      <c r="T348" s="10" t="s">
        <v>6966</v>
      </c>
      <c r="U348" s="10">
        <v>0</v>
      </c>
      <c r="V348" s="10">
        <v>29</v>
      </c>
      <c r="W348" s="67"/>
      <c r="X348" s="11" t="s">
        <v>3109</v>
      </c>
      <c r="Y348" s="11" t="s">
        <v>5250</v>
      </c>
      <c r="Z348" s="11" t="s">
        <v>5365</v>
      </c>
      <c r="AA348" s="67">
        <v>45443</v>
      </c>
      <c r="AB348" s="67">
        <v>45444</v>
      </c>
      <c r="AC348" s="67">
        <v>45473</v>
      </c>
      <c r="AD348" s="67">
        <v>45472</v>
      </c>
      <c r="AE348" s="67">
        <v>45473</v>
      </c>
    </row>
    <row r="349" spans="1:31" ht="12.5">
      <c r="A349" s="10">
        <v>610422020048</v>
      </c>
      <c r="B349" s="10" t="s">
        <v>171</v>
      </c>
      <c r="D349" s="10">
        <v>1</v>
      </c>
      <c r="E349" s="10" t="s">
        <v>1359</v>
      </c>
      <c r="F349" s="10" t="s">
        <v>25</v>
      </c>
      <c r="G349" s="10" t="s">
        <v>1358</v>
      </c>
      <c r="H349" s="10" t="s">
        <v>74</v>
      </c>
      <c r="I349" s="10" t="s">
        <v>173</v>
      </c>
      <c r="J349" s="10" t="s">
        <v>164</v>
      </c>
      <c r="K349" s="66">
        <v>55000</v>
      </c>
      <c r="L349" s="10">
        <v>3</v>
      </c>
      <c r="M349" s="10">
        <v>165000</v>
      </c>
      <c r="O349" s="67">
        <v>45463</v>
      </c>
      <c r="P349" s="10">
        <v>2024</v>
      </c>
      <c r="Q349" s="10">
        <v>6</v>
      </c>
      <c r="R349" s="10" t="s">
        <v>3043</v>
      </c>
      <c r="S349" s="10" t="s">
        <v>6532</v>
      </c>
      <c r="T349" s="10" t="s">
        <v>6533</v>
      </c>
      <c r="U349" s="10">
        <v>0</v>
      </c>
      <c r="V349" s="10">
        <v>29</v>
      </c>
      <c r="W349" s="67"/>
      <c r="X349" s="11" t="s">
        <v>3109</v>
      </c>
      <c r="Y349" s="11" t="s">
        <v>4931</v>
      </c>
      <c r="Z349" s="11" t="s">
        <v>5171</v>
      </c>
      <c r="AA349" s="67">
        <v>45443</v>
      </c>
      <c r="AB349" s="67">
        <v>45444</v>
      </c>
      <c r="AC349" s="67">
        <v>45473</v>
      </c>
      <c r="AD349" s="67">
        <v>45472</v>
      </c>
      <c r="AE349" s="67">
        <v>45473</v>
      </c>
    </row>
    <row r="350" spans="1:31" ht="12.5">
      <c r="A350" s="10">
        <v>610422040029</v>
      </c>
      <c r="B350" s="10" t="s">
        <v>171</v>
      </c>
      <c r="D350" s="10">
        <v>1</v>
      </c>
      <c r="E350" s="10" t="s">
        <v>3000</v>
      </c>
      <c r="F350" s="10" t="s">
        <v>25</v>
      </c>
      <c r="G350" s="10" t="s">
        <v>2999</v>
      </c>
      <c r="H350" s="10" t="s">
        <v>74</v>
      </c>
      <c r="I350" s="10" t="s">
        <v>173</v>
      </c>
      <c r="J350" s="10" t="s">
        <v>164</v>
      </c>
      <c r="K350" s="66">
        <v>55000</v>
      </c>
      <c r="L350" s="10">
        <v>4</v>
      </c>
      <c r="M350" s="10">
        <v>220000</v>
      </c>
      <c r="O350" s="67">
        <v>45463</v>
      </c>
      <c r="P350" s="10">
        <v>2024</v>
      </c>
      <c r="Q350" s="10">
        <v>6</v>
      </c>
      <c r="R350" s="10" t="s">
        <v>3043</v>
      </c>
      <c r="S350" s="10" t="s">
        <v>6534</v>
      </c>
      <c r="T350" s="10" t="s">
        <v>6535</v>
      </c>
      <c r="U350" s="10">
        <v>0</v>
      </c>
      <c r="V350" s="10">
        <v>29</v>
      </c>
      <c r="W350" s="67"/>
      <c r="X350" s="11" t="s">
        <v>3109</v>
      </c>
      <c r="Y350" s="11" t="s">
        <v>4572</v>
      </c>
      <c r="Z350" s="11" t="s">
        <v>4619</v>
      </c>
      <c r="AA350" s="67">
        <v>45443</v>
      </c>
      <c r="AB350" s="67">
        <v>45444</v>
      </c>
      <c r="AC350" s="67">
        <v>45473</v>
      </c>
      <c r="AD350" s="67">
        <v>45472</v>
      </c>
      <c r="AE350" s="67">
        <v>45473</v>
      </c>
    </row>
    <row r="351" spans="1:31" ht="12.5">
      <c r="A351" s="10">
        <v>610422020016</v>
      </c>
      <c r="B351" s="10" t="s">
        <v>171</v>
      </c>
      <c r="D351" s="10">
        <v>1</v>
      </c>
      <c r="E351" s="10" t="s">
        <v>380</v>
      </c>
      <c r="F351" s="10" t="s">
        <v>25</v>
      </c>
      <c r="G351" s="10" t="s">
        <v>379</v>
      </c>
      <c r="H351" s="10" t="s">
        <v>74</v>
      </c>
      <c r="I351" s="10" t="s">
        <v>173</v>
      </c>
      <c r="J351" s="10" t="s">
        <v>164</v>
      </c>
      <c r="K351" s="66">
        <v>55000</v>
      </c>
      <c r="L351" s="10">
        <v>1</v>
      </c>
      <c r="M351" s="10">
        <v>55000</v>
      </c>
      <c r="O351" s="67">
        <v>45463</v>
      </c>
      <c r="P351" s="10">
        <v>2024</v>
      </c>
      <c r="Q351" s="10">
        <v>6</v>
      </c>
      <c r="R351" s="10" t="s">
        <v>3043</v>
      </c>
      <c r="S351" s="10" t="s">
        <v>6528</v>
      </c>
      <c r="T351" s="10" t="s">
        <v>6529</v>
      </c>
      <c r="U351" s="10">
        <v>0</v>
      </c>
      <c r="V351" s="10">
        <v>29</v>
      </c>
      <c r="W351" s="67"/>
      <c r="X351" s="11" t="s">
        <v>3109</v>
      </c>
      <c r="Y351" s="11" t="s">
        <v>5534</v>
      </c>
      <c r="Z351" s="11" t="s">
        <v>5535</v>
      </c>
      <c r="AA351" s="67">
        <v>45443</v>
      </c>
      <c r="AB351" s="67">
        <v>45444</v>
      </c>
      <c r="AC351" s="67">
        <v>45473</v>
      </c>
      <c r="AD351" s="67">
        <v>45472</v>
      </c>
      <c r="AE351" s="67">
        <v>45473</v>
      </c>
    </row>
    <row r="352" spans="1:31" ht="12.5">
      <c r="A352" s="10">
        <v>610422100124</v>
      </c>
      <c r="B352" s="10" t="s">
        <v>174</v>
      </c>
      <c r="D352" s="10">
        <v>1</v>
      </c>
      <c r="E352" s="10" t="s">
        <v>2237</v>
      </c>
      <c r="F352" s="10" t="s">
        <v>25</v>
      </c>
      <c r="G352" s="10" t="s">
        <v>2236</v>
      </c>
      <c r="H352" s="10" t="s">
        <v>67</v>
      </c>
      <c r="I352" s="10" t="s">
        <v>175</v>
      </c>
      <c r="J352" s="10" t="s">
        <v>164</v>
      </c>
      <c r="K352" s="66">
        <v>55000</v>
      </c>
      <c r="L352" s="10">
        <v>2</v>
      </c>
      <c r="M352" s="10">
        <v>110000</v>
      </c>
      <c r="O352" s="67">
        <v>45463</v>
      </c>
      <c r="P352" s="10">
        <v>2024</v>
      </c>
      <c r="Q352" s="10">
        <v>6</v>
      </c>
      <c r="R352" s="10" t="s">
        <v>3043</v>
      </c>
      <c r="S352" s="10" t="s">
        <v>6525</v>
      </c>
      <c r="T352" s="10" t="s">
        <v>6526</v>
      </c>
      <c r="U352" s="10">
        <v>0</v>
      </c>
      <c r="V352" s="10">
        <v>29</v>
      </c>
      <c r="W352" s="67"/>
      <c r="X352" s="11" t="s">
        <v>6967</v>
      </c>
      <c r="Y352" s="11" t="s">
        <v>1921</v>
      </c>
      <c r="Z352" s="11" t="s">
        <v>2140</v>
      </c>
      <c r="AA352" s="67">
        <v>45443</v>
      </c>
      <c r="AB352" s="67">
        <v>45444</v>
      </c>
      <c r="AC352" s="67">
        <v>45473</v>
      </c>
      <c r="AD352" s="67">
        <v>45472</v>
      </c>
      <c r="AE352" s="67">
        <v>45473</v>
      </c>
    </row>
    <row r="353" spans="1:31" ht="12.5">
      <c r="A353" s="10">
        <v>610422100244</v>
      </c>
      <c r="B353" s="10" t="s">
        <v>174</v>
      </c>
      <c r="D353" s="10">
        <v>1</v>
      </c>
      <c r="E353" s="10" t="s">
        <v>2633</v>
      </c>
      <c r="F353" s="10" t="s">
        <v>25</v>
      </c>
      <c r="G353" s="10" t="s">
        <v>2632</v>
      </c>
      <c r="H353" s="10" t="s">
        <v>67</v>
      </c>
      <c r="I353" s="10" t="s">
        <v>175</v>
      </c>
      <c r="J353" s="10" t="s">
        <v>164</v>
      </c>
      <c r="K353" s="66">
        <v>55000</v>
      </c>
      <c r="L353" s="10">
        <v>2</v>
      </c>
      <c r="M353" s="10">
        <v>110000</v>
      </c>
      <c r="O353" s="67">
        <v>45463</v>
      </c>
      <c r="P353" s="10">
        <v>2024</v>
      </c>
      <c r="Q353" s="10">
        <v>6</v>
      </c>
      <c r="R353" s="10" t="s">
        <v>3043</v>
      </c>
      <c r="S353" s="10" t="s">
        <v>6523</v>
      </c>
      <c r="T353" s="10" t="s">
        <v>6524</v>
      </c>
      <c r="U353" s="10">
        <v>0</v>
      </c>
      <c r="V353" s="10">
        <v>29</v>
      </c>
      <c r="W353" s="67"/>
      <c r="X353" s="11" t="s">
        <v>6967</v>
      </c>
      <c r="Y353" s="11" t="s">
        <v>5741</v>
      </c>
      <c r="Z353" s="11" t="s">
        <v>5796</v>
      </c>
      <c r="AA353" s="67">
        <v>45443</v>
      </c>
      <c r="AB353" s="67">
        <v>45444</v>
      </c>
      <c r="AC353" s="67">
        <v>45473</v>
      </c>
      <c r="AD353" s="67">
        <v>45472</v>
      </c>
      <c r="AE353" s="67">
        <v>45473</v>
      </c>
    </row>
    <row r="354" spans="1:31" ht="12.5">
      <c r="A354" s="10">
        <v>610422100165</v>
      </c>
      <c r="B354" s="10" t="s">
        <v>174</v>
      </c>
      <c r="D354" s="10">
        <v>1</v>
      </c>
      <c r="E354" s="10" t="s">
        <v>2855</v>
      </c>
      <c r="F354" s="10" t="s">
        <v>25</v>
      </c>
      <c r="G354" s="10" t="s">
        <v>2854</v>
      </c>
      <c r="H354" s="10" t="s">
        <v>67</v>
      </c>
      <c r="I354" s="10" t="s">
        <v>175</v>
      </c>
      <c r="J354" s="10" t="s">
        <v>164</v>
      </c>
      <c r="K354" s="66">
        <v>55000</v>
      </c>
      <c r="L354" s="10">
        <v>2</v>
      </c>
      <c r="M354" s="10">
        <v>110000</v>
      </c>
      <c r="O354" s="67">
        <v>45463</v>
      </c>
      <c r="P354" s="10">
        <v>2024</v>
      </c>
      <c r="Q354" s="10">
        <v>6</v>
      </c>
      <c r="R354" s="10" t="s">
        <v>3043</v>
      </c>
      <c r="S354" s="10" t="s">
        <v>6536</v>
      </c>
      <c r="T354" s="10" t="s">
        <v>6537</v>
      </c>
      <c r="U354" s="10">
        <v>0</v>
      </c>
      <c r="V354" s="10">
        <v>29</v>
      </c>
      <c r="W354" s="67"/>
      <c r="X354" s="11" t="s">
        <v>6967</v>
      </c>
      <c r="Y354" s="11" t="s">
        <v>3990</v>
      </c>
      <c r="Z354" s="11" t="s">
        <v>4332</v>
      </c>
      <c r="AA354" s="67">
        <v>45443</v>
      </c>
      <c r="AB354" s="67">
        <v>45444</v>
      </c>
      <c r="AC354" s="67">
        <v>45473</v>
      </c>
      <c r="AD354" s="67">
        <v>45472</v>
      </c>
      <c r="AE354" s="67">
        <v>45473</v>
      </c>
    </row>
    <row r="355" spans="1:31" ht="12.5">
      <c r="A355" s="10">
        <v>610422100165</v>
      </c>
      <c r="B355" s="10" t="s">
        <v>176</v>
      </c>
      <c r="D355" s="10">
        <v>1</v>
      </c>
      <c r="E355" s="10" t="s">
        <v>2855</v>
      </c>
      <c r="F355" s="10" t="s">
        <v>25</v>
      </c>
      <c r="G355" s="10" t="s">
        <v>2854</v>
      </c>
      <c r="H355" s="10" t="s">
        <v>67</v>
      </c>
      <c r="I355" s="10" t="s">
        <v>177</v>
      </c>
      <c r="J355" s="10" t="s">
        <v>164</v>
      </c>
      <c r="K355" s="66">
        <v>50000</v>
      </c>
      <c r="L355" s="10">
        <v>1</v>
      </c>
      <c r="M355" s="10">
        <v>50000</v>
      </c>
      <c r="O355" s="67">
        <v>45463</v>
      </c>
      <c r="P355" s="10">
        <v>2024</v>
      </c>
      <c r="Q355" s="10">
        <v>6</v>
      </c>
      <c r="R355" s="10" t="s">
        <v>3043</v>
      </c>
      <c r="S355" s="10" t="s">
        <v>6536</v>
      </c>
      <c r="T355" s="10" t="s">
        <v>6537</v>
      </c>
      <c r="U355" s="10">
        <v>0</v>
      </c>
      <c r="V355" s="10">
        <v>29</v>
      </c>
      <c r="W355" s="67"/>
      <c r="X355" s="11" t="s">
        <v>3133</v>
      </c>
      <c r="Y355" s="11" t="s">
        <v>3990</v>
      </c>
      <c r="Z355" s="11" t="s">
        <v>4332</v>
      </c>
      <c r="AA355" s="67">
        <v>45443</v>
      </c>
      <c r="AB355" s="67">
        <v>45444</v>
      </c>
      <c r="AC355" s="67">
        <v>45473</v>
      </c>
      <c r="AD355" s="67">
        <v>45472</v>
      </c>
      <c r="AE355" s="67">
        <v>45473</v>
      </c>
    </row>
    <row r="356" spans="1:31" ht="12.5">
      <c r="A356" s="10">
        <v>610422040029</v>
      </c>
      <c r="B356" s="10" t="s">
        <v>178</v>
      </c>
      <c r="D356" s="10">
        <v>1</v>
      </c>
      <c r="E356" s="10" t="s">
        <v>3000</v>
      </c>
      <c r="F356" s="10" t="s">
        <v>25</v>
      </c>
      <c r="G356" s="10" t="s">
        <v>2999</v>
      </c>
      <c r="H356" s="10" t="s">
        <v>67</v>
      </c>
      <c r="I356" s="10" t="s">
        <v>179</v>
      </c>
      <c r="J356" s="10" t="s">
        <v>164</v>
      </c>
      <c r="K356" s="66">
        <v>55000</v>
      </c>
      <c r="L356" s="10">
        <v>3</v>
      </c>
      <c r="M356" s="10">
        <v>165000</v>
      </c>
      <c r="O356" s="67">
        <v>45463</v>
      </c>
      <c r="P356" s="10">
        <v>2024</v>
      </c>
      <c r="Q356" s="10">
        <v>6</v>
      </c>
      <c r="R356" s="10" t="s">
        <v>3043</v>
      </c>
      <c r="S356" s="10" t="s">
        <v>6534</v>
      </c>
      <c r="T356" s="10" t="s">
        <v>6535</v>
      </c>
      <c r="U356" s="10">
        <v>0</v>
      </c>
      <c r="V356" s="10">
        <v>29</v>
      </c>
      <c r="W356" s="67"/>
      <c r="X356" s="11" t="s">
        <v>3155</v>
      </c>
      <c r="Y356" s="11" t="s">
        <v>4572</v>
      </c>
      <c r="Z356" s="11" t="s">
        <v>4619</v>
      </c>
      <c r="AA356" s="67">
        <v>45443</v>
      </c>
      <c r="AB356" s="67">
        <v>45444</v>
      </c>
      <c r="AC356" s="67">
        <v>45473</v>
      </c>
      <c r="AD356" s="67">
        <v>45472</v>
      </c>
      <c r="AE356" s="67">
        <v>45473</v>
      </c>
    </row>
    <row r="357" spans="1:31" ht="12.5">
      <c r="A357" s="10">
        <v>610422100165</v>
      </c>
      <c r="B357" s="10" t="s">
        <v>178</v>
      </c>
      <c r="D357" s="10">
        <v>1</v>
      </c>
      <c r="E357" s="10" t="s">
        <v>2855</v>
      </c>
      <c r="F357" s="10" t="s">
        <v>25</v>
      </c>
      <c r="G357" s="10" t="s">
        <v>2854</v>
      </c>
      <c r="H357" s="10" t="s">
        <v>67</v>
      </c>
      <c r="I357" s="10" t="s">
        <v>179</v>
      </c>
      <c r="J357" s="10" t="s">
        <v>164</v>
      </c>
      <c r="K357" s="66">
        <v>55000</v>
      </c>
      <c r="L357" s="10">
        <v>3</v>
      </c>
      <c r="M357" s="10">
        <v>165000</v>
      </c>
      <c r="O357" s="67">
        <v>45463</v>
      </c>
      <c r="P357" s="10">
        <v>2024</v>
      </c>
      <c r="Q357" s="10">
        <v>6</v>
      </c>
      <c r="R357" s="10" t="s">
        <v>3043</v>
      </c>
      <c r="S357" s="10" t="s">
        <v>6536</v>
      </c>
      <c r="T357" s="10" t="s">
        <v>6537</v>
      </c>
      <c r="U357" s="10">
        <v>0</v>
      </c>
      <c r="V357" s="10">
        <v>29</v>
      </c>
      <c r="W357" s="67"/>
      <c r="X357" s="11" t="s">
        <v>3155</v>
      </c>
      <c r="Y357" s="11" t="s">
        <v>3990</v>
      </c>
      <c r="Z357" s="11" t="s">
        <v>4332</v>
      </c>
      <c r="AA357" s="67">
        <v>45443</v>
      </c>
      <c r="AB357" s="67">
        <v>45444</v>
      </c>
      <c r="AC357" s="67">
        <v>45473</v>
      </c>
      <c r="AD357" s="67">
        <v>45472</v>
      </c>
      <c r="AE357" s="67">
        <v>45473</v>
      </c>
    </row>
    <row r="358" spans="1:31" ht="12.5">
      <c r="A358" s="10">
        <v>610422040056</v>
      </c>
      <c r="B358" s="10" t="s">
        <v>178</v>
      </c>
      <c r="D358" s="10">
        <v>1</v>
      </c>
      <c r="E358" s="10" t="s">
        <v>2825</v>
      </c>
      <c r="F358" s="10" t="s">
        <v>25</v>
      </c>
      <c r="G358" s="10" t="s">
        <v>2824</v>
      </c>
      <c r="H358" s="10" t="s">
        <v>67</v>
      </c>
      <c r="I358" s="10" t="s">
        <v>179</v>
      </c>
      <c r="J358" s="10" t="s">
        <v>164</v>
      </c>
      <c r="K358" s="66">
        <v>55000</v>
      </c>
      <c r="L358" s="10">
        <v>3</v>
      </c>
      <c r="M358" s="10">
        <v>165000</v>
      </c>
      <c r="O358" s="67">
        <v>45463</v>
      </c>
      <c r="P358" s="10">
        <v>2024</v>
      </c>
      <c r="Q358" s="10">
        <v>6</v>
      </c>
      <c r="R358" s="10" t="s">
        <v>3043</v>
      </c>
      <c r="S358" s="10" t="s">
        <v>6538</v>
      </c>
      <c r="T358" s="10" t="s">
        <v>6539</v>
      </c>
      <c r="U358" s="10">
        <v>0</v>
      </c>
      <c r="V358" s="10">
        <v>29</v>
      </c>
      <c r="W358" s="67"/>
      <c r="X358" s="11" t="s">
        <v>3155</v>
      </c>
      <c r="Y358" s="11" t="s">
        <v>4572</v>
      </c>
      <c r="Z358" s="11" t="s">
        <v>4656</v>
      </c>
      <c r="AA358" s="67">
        <v>45443</v>
      </c>
      <c r="AB358" s="67">
        <v>45444</v>
      </c>
      <c r="AC358" s="67">
        <v>45473</v>
      </c>
      <c r="AD358" s="67">
        <v>45472</v>
      </c>
      <c r="AE358" s="67">
        <v>45473</v>
      </c>
    </row>
    <row r="359" spans="1:31" ht="12.5">
      <c r="A359" s="10">
        <v>610422040056</v>
      </c>
      <c r="B359" s="10" t="s">
        <v>178</v>
      </c>
      <c r="D359" s="10">
        <v>1</v>
      </c>
      <c r="E359" s="10" t="s">
        <v>2825</v>
      </c>
      <c r="F359" s="10" t="s">
        <v>25</v>
      </c>
      <c r="G359" s="10" t="s">
        <v>2824</v>
      </c>
      <c r="H359" s="10" t="s">
        <v>67</v>
      </c>
      <c r="I359" s="10" t="s">
        <v>179</v>
      </c>
      <c r="J359" s="10" t="s">
        <v>164</v>
      </c>
      <c r="K359" s="66">
        <v>55000</v>
      </c>
      <c r="L359" s="10">
        <v>2</v>
      </c>
      <c r="M359" s="10">
        <v>110000</v>
      </c>
      <c r="O359" s="67">
        <v>45463</v>
      </c>
      <c r="P359" s="10">
        <v>2024</v>
      </c>
      <c r="Q359" s="10">
        <v>6</v>
      </c>
      <c r="R359" s="10" t="s">
        <v>3043</v>
      </c>
      <c r="S359" s="10" t="s">
        <v>6538</v>
      </c>
      <c r="T359" s="10" t="s">
        <v>6539</v>
      </c>
      <c r="U359" s="10">
        <v>0</v>
      </c>
      <c r="V359" s="10">
        <v>29</v>
      </c>
      <c r="W359" s="67"/>
      <c r="X359" s="11" t="s">
        <v>3155</v>
      </c>
      <c r="Y359" s="11" t="s">
        <v>4572</v>
      </c>
      <c r="Z359" s="11" t="s">
        <v>4656</v>
      </c>
      <c r="AA359" s="67">
        <v>45443</v>
      </c>
      <c r="AB359" s="67">
        <v>45444</v>
      </c>
      <c r="AC359" s="67">
        <v>45473</v>
      </c>
      <c r="AD359" s="67">
        <v>45472</v>
      </c>
      <c r="AE359" s="67">
        <v>45473</v>
      </c>
    </row>
    <row r="360" spans="1:31" ht="12.5">
      <c r="A360" s="10">
        <v>610422020016</v>
      </c>
      <c r="B360" s="10" t="s">
        <v>180</v>
      </c>
      <c r="D360" s="10">
        <v>1</v>
      </c>
      <c r="E360" s="10" t="s">
        <v>380</v>
      </c>
      <c r="F360" s="10" t="s">
        <v>25</v>
      </c>
      <c r="G360" s="10" t="s">
        <v>379</v>
      </c>
      <c r="H360" s="10" t="s">
        <v>84</v>
      </c>
      <c r="I360" s="10" t="s">
        <v>6540</v>
      </c>
      <c r="J360" s="10" t="s">
        <v>3036</v>
      </c>
      <c r="K360" s="66">
        <v>116000</v>
      </c>
      <c r="L360" s="10">
        <v>3</v>
      </c>
      <c r="M360" s="10">
        <v>348000</v>
      </c>
      <c r="O360" s="67">
        <v>45473</v>
      </c>
      <c r="P360" s="10">
        <v>2024</v>
      </c>
      <c r="Q360" s="10">
        <v>6</v>
      </c>
      <c r="R360" s="10" t="s">
        <v>3043</v>
      </c>
      <c r="S360" s="10" t="s">
        <v>6528</v>
      </c>
      <c r="T360" s="10" t="s">
        <v>6529</v>
      </c>
      <c r="U360" s="10">
        <v>0</v>
      </c>
      <c r="V360" s="10">
        <v>39</v>
      </c>
      <c r="W360" s="67"/>
      <c r="X360" s="11" t="s">
        <v>3056</v>
      </c>
      <c r="Y360" s="11" t="s">
        <v>5534</v>
      </c>
      <c r="Z360" s="11" t="s">
        <v>5535</v>
      </c>
      <c r="AA360" s="67">
        <v>45443</v>
      </c>
      <c r="AB360" s="67">
        <v>45444</v>
      </c>
      <c r="AC360" s="67">
        <v>45473</v>
      </c>
      <c r="AD360" s="67">
        <v>45472</v>
      </c>
      <c r="AE360" s="67">
        <v>45473</v>
      </c>
    </row>
    <row r="361" spans="1:31" ht="12.5">
      <c r="A361" s="10">
        <v>610422040012</v>
      </c>
      <c r="B361" s="10" t="s">
        <v>180</v>
      </c>
      <c r="D361" s="10">
        <v>1</v>
      </c>
      <c r="E361" s="10" t="s">
        <v>1813</v>
      </c>
      <c r="F361" s="10" t="s">
        <v>25</v>
      </c>
      <c r="G361" s="10" t="s">
        <v>1812</v>
      </c>
      <c r="H361" s="10" t="s">
        <v>84</v>
      </c>
      <c r="I361" s="10" t="s">
        <v>6540</v>
      </c>
      <c r="J361" s="10" t="s">
        <v>3036</v>
      </c>
      <c r="K361" s="66">
        <v>116000</v>
      </c>
      <c r="L361" s="10">
        <v>3</v>
      </c>
      <c r="M361" s="10">
        <v>348000</v>
      </c>
      <c r="O361" s="67">
        <v>45473</v>
      </c>
      <c r="P361" s="10">
        <v>2024</v>
      </c>
      <c r="Q361" s="10">
        <v>6</v>
      </c>
      <c r="R361" s="10" t="s">
        <v>3043</v>
      </c>
      <c r="S361" s="10" t="s">
        <v>6541</v>
      </c>
      <c r="T361" s="10" t="s">
        <v>6542</v>
      </c>
      <c r="U361" s="10">
        <v>0</v>
      </c>
      <c r="V361" s="10">
        <v>39</v>
      </c>
      <c r="W361" s="67"/>
      <c r="X361" s="11" t="s">
        <v>3056</v>
      </c>
      <c r="Y361" s="11" t="s">
        <v>3990</v>
      </c>
      <c r="Z361" s="11" t="s">
        <v>4365</v>
      </c>
      <c r="AA361" s="67">
        <v>45443</v>
      </c>
      <c r="AB361" s="67">
        <v>45444</v>
      </c>
      <c r="AC361" s="67">
        <v>45473</v>
      </c>
      <c r="AD361" s="67">
        <v>45472</v>
      </c>
      <c r="AE361" s="67">
        <v>45473</v>
      </c>
    </row>
    <row r="362" spans="1:31" ht="12.5">
      <c r="A362" s="10">
        <v>610422020048</v>
      </c>
      <c r="B362" s="10" t="s">
        <v>180</v>
      </c>
      <c r="D362" s="10">
        <v>1</v>
      </c>
      <c r="E362" s="10" t="s">
        <v>1359</v>
      </c>
      <c r="F362" s="10" t="s">
        <v>25</v>
      </c>
      <c r="G362" s="10" t="s">
        <v>1358</v>
      </c>
      <c r="H362" s="10" t="s">
        <v>84</v>
      </c>
      <c r="I362" s="10" t="s">
        <v>6540</v>
      </c>
      <c r="J362" s="10" t="s">
        <v>3036</v>
      </c>
      <c r="K362" s="66">
        <v>116000</v>
      </c>
      <c r="L362" s="10">
        <v>4</v>
      </c>
      <c r="M362" s="10">
        <v>464000</v>
      </c>
      <c r="O362" s="67">
        <v>45473</v>
      </c>
      <c r="P362" s="10">
        <v>2024</v>
      </c>
      <c r="Q362" s="10">
        <v>6</v>
      </c>
      <c r="R362" s="10" t="s">
        <v>3043</v>
      </c>
      <c r="S362" s="10" t="s">
        <v>6532</v>
      </c>
      <c r="T362" s="10" t="s">
        <v>6533</v>
      </c>
      <c r="U362" s="10">
        <v>0</v>
      </c>
      <c r="V362" s="10">
        <v>39</v>
      </c>
      <c r="W362" s="67"/>
      <c r="X362" s="11" t="s">
        <v>3056</v>
      </c>
      <c r="Y362" s="11" t="s">
        <v>4931</v>
      </c>
      <c r="Z362" s="11" t="s">
        <v>5171</v>
      </c>
      <c r="AA362" s="67">
        <v>45443</v>
      </c>
      <c r="AB362" s="67">
        <v>45444</v>
      </c>
      <c r="AC362" s="67">
        <v>45473</v>
      </c>
      <c r="AD362" s="67">
        <v>45472</v>
      </c>
      <c r="AE362" s="67">
        <v>45473</v>
      </c>
    </row>
    <row r="363" spans="1:31" ht="12.5">
      <c r="A363" s="10">
        <v>610422040061</v>
      </c>
      <c r="B363" s="10" t="s">
        <v>180</v>
      </c>
      <c r="D363" s="10">
        <v>1</v>
      </c>
      <c r="E363" s="10" t="s">
        <v>2440</v>
      </c>
      <c r="F363" s="10" t="s">
        <v>25</v>
      </c>
      <c r="G363" s="10" t="s">
        <v>2439</v>
      </c>
      <c r="H363" s="10" t="s">
        <v>84</v>
      </c>
      <c r="I363" s="10" t="s">
        <v>6540</v>
      </c>
      <c r="J363" s="10" t="s">
        <v>3036</v>
      </c>
      <c r="K363" s="66">
        <v>116000</v>
      </c>
      <c r="L363" s="10">
        <v>6</v>
      </c>
      <c r="M363" s="10">
        <v>696000</v>
      </c>
      <c r="O363" s="67">
        <v>45473</v>
      </c>
      <c r="P363" s="10">
        <v>2024</v>
      </c>
      <c r="Q363" s="10">
        <v>6</v>
      </c>
      <c r="R363" s="10" t="s">
        <v>3043</v>
      </c>
      <c r="S363" s="10" t="s">
        <v>6543</v>
      </c>
      <c r="T363" s="10" t="s">
        <v>6544</v>
      </c>
      <c r="U363" s="10">
        <v>0</v>
      </c>
      <c r="V363" s="10">
        <v>39</v>
      </c>
      <c r="W363" s="67"/>
      <c r="X363" s="11" t="s">
        <v>3056</v>
      </c>
      <c r="Y363" s="11" t="s">
        <v>3715</v>
      </c>
      <c r="Z363" s="11" t="s">
        <v>3862</v>
      </c>
      <c r="AA363" s="67">
        <v>45443</v>
      </c>
      <c r="AB363" s="67">
        <v>45444</v>
      </c>
      <c r="AC363" s="67">
        <v>45473</v>
      </c>
      <c r="AD363" s="67">
        <v>45472</v>
      </c>
      <c r="AE363" s="67">
        <v>45473</v>
      </c>
    </row>
    <row r="364" spans="1:31" ht="12.5">
      <c r="A364" s="10">
        <v>610422100244</v>
      </c>
      <c r="B364" s="10" t="s">
        <v>180</v>
      </c>
      <c r="D364" s="10">
        <v>1</v>
      </c>
      <c r="E364" s="10" t="s">
        <v>2633</v>
      </c>
      <c r="F364" s="10" t="s">
        <v>25</v>
      </c>
      <c r="G364" s="10" t="s">
        <v>2632</v>
      </c>
      <c r="H364" s="10" t="s">
        <v>84</v>
      </c>
      <c r="I364" s="10" t="s">
        <v>6540</v>
      </c>
      <c r="J364" s="10" t="s">
        <v>3036</v>
      </c>
      <c r="K364" s="66">
        <v>116000</v>
      </c>
      <c r="L364" s="10">
        <v>7</v>
      </c>
      <c r="M364" s="10">
        <v>812000</v>
      </c>
      <c r="O364" s="67">
        <v>45473</v>
      </c>
      <c r="P364" s="10">
        <v>2024</v>
      </c>
      <c r="Q364" s="10">
        <v>6</v>
      </c>
      <c r="R364" s="10" t="s">
        <v>3043</v>
      </c>
      <c r="S364" s="10" t="s">
        <v>6523</v>
      </c>
      <c r="T364" s="10" t="s">
        <v>6524</v>
      </c>
      <c r="U364" s="10">
        <v>0</v>
      </c>
      <c r="V364" s="10">
        <v>39</v>
      </c>
      <c r="W364" s="67"/>
      <c r="X364" s="11" t="s">
        <v>3056</v>
      </c>
      <c r="Y364" s="11" t="s">
        <v>5741</v>
      </c>
      <c r="Z364" s="11" t="s">
        <v>5796</v>
      </c>
      <c r="AA364" s="67">
        <v>45443</v>
      </c>
      <c r="AB364" s="67">
        <v>45444</v>
      </c>
      <c r="AC364" s="67">
        <v>45473</v>
      </c>
      <c r="AD364" s="67">
        <v>45472</v>
      </c>
      <c r="AE364" s="67">
        <v>45473</v>
      </c>
    </row>
    <row r="365" spans="1:31" ht="12.5">
      <c r="A365" s="10">
        <v>610422100176</v>
      </c>
      <c r="B365" s="10" t="s">
        <v>180</v>
      </c>
      <c r="D365" s="10">
        <v>1</v>
      </c>
      <c r="E365" s="10" t="s">
        <v>1190</v>
      </c>
      <c r="F365" s="10" t="s">
        <v>25</v>
      </c>
      <c r="G365" s="10" t="s">
        <v>1189</v>
      </c>
      <c r="H365" s="10" t="s">
        <v>84</v>
      </c>
      <c r="I365" s="10" t="s">
        <v>6540</v>
      </c>
      <c r="J365" s="10" t="s">
        <v>3036</v>
      </c>
      <c r="K365" s="66">
        <v>116000</v>
      </c>
      <c r="L365" s="10">
        <v>3</v>
      </c>
      <c r="M365" s="10">
        <v>348000</v>
      </c>
      <c r="O365" s="67">
        <v>45473</v>
      </c>
      <c r="P365" s="10">
        <v>2024</v>
      </c>
      <c r="Q365" s="10">
        <v>6</v>
      </c>
      <c r="R365" s="10" t="s">
        <v>3043</v>
      </c>
      <c r="S365" s="10" t="s">
        <v>6545</v>
      </c>
      <c r="T365" s="10" t="s">
        <v>6546</v>
      </c>
      <c r="U365" s="10">
        <v>0</v>
      </c>
      <c r="V365" s="10">
        <v>39</v>
      </c>
      <c r="W365" s="67"/>
      <c r="X365" s="11" t="s">
        <v>3056</v>
      </c>
      <c r="Y365" s="11" t="s">
        <v>3715</v>
      </c>
      <c r="Z365" s="11" t="s">
        <v>3765</v>
      </c>
      <c r="AA365" s="67">
        <v>45443</v>
      </c>
      <c r="AB365" s="67">
        <v>45444</v>
      </c>
      <c r="AC365" s="67">
        <v>45473</v>
      </c>
      <c r="AD365" s="67">
        <v>45472</v>
      </c>
      <c r="AE365" s="67">
        <v>45473</v>
      </c>
    </row>
    <row r="366" spans="1:31" ht="12.5">
      <c r="A366" s="10">
        <v>610423110183</v>
      </c>
      <c r="B366" s="10" t="s">
        <v>180</v>
      </c>
      <c r="D366" s="10">
        <v>1</v>
      </c>
      <c r="E366" s="10" t="s">
        <v>5924</v>
      </c>
      <c r="F366" s="10" t="s">
        <v>25</v>
      </c>
      <c r="G366" s="10" t="s">
        <v>742</v>
      </c>
      <c r="H366" s="10" t="s">
        <v>84</v>
      </c>
      <c r="I366" s="10" t="s">
        <v>6540</v>
      </c>
      <c r="J366" s="10" t="s">
        <v>3036</v>
      </c>
      <c r="K366" s="66">
        <v>116000</v>
      </c>
      <c r="L366" s="10">
        <v>6</v>
      </c>
      <c r="M366" s="10">
        <v>696000</v>
      </c>
      <c r="O366" s="67">
        <v>45473</v>
      </c>
      <c r="P366" s="10">
        <v>2024</v>
      </c>
      <c r="Q366" s="10">
        <v>6</v>
      </c>
      <c r="R366" s="10" t="s">
        <v>3043</v>
      </c>
      <c r="S366" s="10" t="s">
        <v>6547</v>
      </c>
      <c r="T366" s="10" t="s">
        <v>6548</v>
      </c>
      <c r="U366" s="10">
        <v>0</v>
      </c>
      <c r="V366" s="10">
        <v>39</v>
      </c>
      <c r="W366" s="67"/>
      <c r="X366" s="11" t="s">
        <v>3056</v>
      </c>
      <c r="Y366" s="11" t="s">
        <v>3241</v>
      </c>
      <c r="Z366" s="11" t="s">
        <v>3242</v>
      </c>
      <c r="AA366" s="67">
        <v>45443</v>
      </c>
      <c r="AB366" s="67">
        <v>45444</v>
      </c>
      <c r="AC366" s="67">
        <v>45473</v>
      </c>
      <c r="AD366" s="67">
        <v>45472</v>
      </c>
      <c r="AE366" s="67">
        <v>45473</v>
      </c>
    </row>
    <row r="367" spans="1:31" ht="12.5">
      <c r="A367" s="10">
        <v>610422020048</v>
      </c>
      <c r="B367" s="10" t="s">
        <v>180</v>
      </c>
      <c r="D367" s="10">
        <v>1</v>
      </c>
      <c r="E367" s="10" t="s">
        <v>1359</v>
      </c>
      <c r="F367" s="10" t="s">
        <v>25</v>
      </c>
      <c r="G367" s="10" t="s">
        <v>1358</v>
      </c>
      <c r="H367" s="10" t="s">
        <v>85</v>
      </c>
      <c r="I367" s="10" t="s">
        <v>6549</v>
      </c>
      <c r="J367" s="10" t="s">
        <v>3036</v>
      </c>
      <c r="K367" s="66">
        <v>59000</v>
      </c>
      <c r="L367" s="10">
        <v>12</v>
      </c>
      <c r="M367" s="10">
        <v>708000</v>
      </c>
      <c r="O367" s="67">
        <v>45473</v>
      </c>
      <c r="P367" s="10">
        <v>2024</v>
      </c>
      <c r="Q367" s="10">
        <v>6</v>
      </c>
      <c r="R367" s="10" t="s">
        <v>3043</v>
      </c>
      <c r="S367" s="10" t="s">
        <v>6532</v>
      </c>
      <c r="T367" s="10" t="s">
        <v>6533</v>
      </c>
      <c r="U367" s="10">
        <v>0</v>
      </c>
      <c r="V367" s="10">
        <v>39</v>
      </c>
      <c r="W367" s="67"/>
      <c r="X367" s="11" t="s">
        <v>3056</v>
      </c>
      <c r="Y367" s="11" t="s">
        <v>4931</v>
      </c>
      <c r="Z367" s="11" t="s">
        <v>5171</v>
      </c>
      <c r="AA367" s="67">
        <v>45443</v>
      </c>
      <c r="AB367" s="67">
        <v>45444</v>
      </c>
      <c r="AC367" s="67">
        <v>45473</v>
      </c>
      <c r="AD367" s="67">
        <v>45472</v>
      </c>
      <c r="AE367" s="67">
        <v>45473</v>
      </c>
    </row>
    <row r="368" spans="1:31" ht="12.5">
      <c r="A368" s="10">
        <v>610422040058</v>
      </c>
      <c r="B368" s="10" t="s">
        <v>180</v>
      </c>
      <c r="D368" s="10">
        <v>1</v>
      </c>
      <c r="E368" s="10" t="s">
        <v>5976</v>
      </c>
      <c r="F368" s="10" t="s">
        <v>25</v>
      </c>
      <c r="G368" s="10" t="s">
        <v>1547</v>
      </c>
      <c r="H368" s="10" t="s">
        <v>85</v>
      </c>
      <c r="I368" s="10" t="s">
        <v>6549</v>
      </c>
      <c r="J368" s="10" t="s">
        <v>3036</v>
      </c>
      <c r="K368" s="66">
        <v>59000</v>
      </c>
      <c r="L368" s="10">
        <v>10</v>
      </c>
      <c r="M368" s="10">
        <v>590000</v>
      </c>
      <c r="O368" s="67">
        <v>45473</v>
      </c>
      <c r="P368" s="10">
        <v>2024</v>
      </c>
      <c r="Q368" s="10">
        <v>6</v>
      </c>
      <c r="R368" s="10" t="s">
        <v>3043</v>
      </c>
      <c r="S368" s="10" t="s">
        <v>6550</v>
      </c>
      <c r="T368" s="10" t="s">
        <v>6551</v>
      </c>
      <c r="U368" s="10">
        <v>0</v>
      </c>
      <c r="V368" s="10">
        <v>39</v>
      </c>
      <c r="W368" s="67"/>
      <c r="X368" s="11" t="s">
        <v>3056</v>
      </c>
      <c r="Y368" s="11" t="s">
        <v>3715</v>
      </c>
      <c r="Z368" s="11" t="s">
        <v>3716</v>
      </c>
      <c r="AA368" s="67">
        <v>45443</v>
      </c>
      <c r="AB368" s="67">
        <v>45444</v>
      </c>
      <c r="AC368" s="67">
        <v>45473</v>
      </c>
      <c r="AD368" s="67">
        <v>45472</v>
      </c>
      <c r="AE368" s="67">
        <v>45473</v>
      </c>
    </row>
    <row r="369" spans="1:31" ht="12.5">
      <c r="A369" s="10">
        <v>610423110183</v>
      </c>
      <c r="B369" s="10" t="s">
        <v>180</v>
      </c>
      <c r="D369" s="10">
        <v>1</v>
      </c>
      <c r="E369" s="10" t="s">
        <v>5924</v>
      </c>
      <c r="F369" s="10" t="s">
        <v>25</v>
      </c>
      <c r="G369" s="10" t="s">
        <v>742</v>
      </c>
      <c r="H369" s="10" t="s">
        <v>85</v>
      </c>
      <c r="I369" s="10" t="s">
        <v>6549</v>
      </c>
      <c r="J369" s="10" t="s">
        <v>3036</v>
      </c>
      <c r="K369" s="66">
        <v>59000</v>
      </c>
      <c r="L369" s="10">
        <v>6</v>
      </c>
      <c r="M369" s="10">
        <v>354000</v>
      </c>
      <c r="O369" s="67">
        <v>45473</v>
      </c>
      <c r="P369" s="10">
        <v>2024</v>
      </c>
      <c r="Q369" s="10">
        <v>6</v>
      </c>
      <c r="R369" s="10" t="s">
        <v>3043</v>
      </c>
      <c r="S369" s="10" t="s">
        <v>6547</v>
      </c>
      <c r="T369" s="10" t="s">
        <v>6548</v>
      </c>
      <c r="U369" s="10">
        <v>0</v>
      </c>
      <c r="V369" s="10">
        <v>39</v>
      </c>
      <c r="W369" s="67"/>
      <c r="X369" s="11" t="s">
        <v>3056</v>
      </c>
      <c r="Y369" s="11" t="s">
        <v>3241</v>
      </c>
      <c r="Z369" s="11" t="s">
        <v>3242</v>
      </c>
      <c r="AA369" s="67">
        <v>45443</v>
      </c>
      <c r="AB369" s="67">
        <v>45444</v>
      </c>
      <c r="AC369" s="67">
        <v>45473</v>
      </c>
      <c r="AD369" s="67">
        <v>45472</v>
      </c>
      <c r="AE369" s="67">
        <v>45473</v>
      </c>
    </row>
    <row r="370" spans="1:31" ht="12.5">
      <c r="A370" s="10">
        <v>610422100244</v>
      </c>
      <c r="B370" s="10" t="s">
        <v>180</v>
      </c>
      <c r="D370" s="10">
        <v>1</v>
      </c>
      <c r="E370" s="10" t="s">
        <v>2633</v>
      </c>
      <c r="F370" s="10" t="s">
        <v>25</v>
      </c>
      <c r="G370" s="10" t="s">
        <v>2632</v>
      </c>
      <c r="H370" s="10" t="s">
        <v>85</v>
      </c>
      <c r="I370" s="10" t="s">
        <v>6549</v>
      </c>
      <c r="J370" s="10" t="s">
        <v>3036</v>
      </c>
      <c r="K370" s="66">
        <v>59000</v>
      </c>
      <c r="L370" s="10">
        <v>8</v>
      </c>
      <c r="M370" s="10">
        <v>472000</v>
      </c>
      <c r="O370" s="67">
        <v>45473</v>
      </c>
      <c r="P370" s="10">
        <v>2024</v>
      </c>
      <c r="Q370" s="10">
        <v>6</v>
      </c>
      <c r="R370" s="10" t="s">
        <v>3043</v>
      </c>
      <c r="S370" s="10" t="s">
        <v>6523</v>
      </c>
      <c r="T370" s="10" t="s">
        <v>6524</v>
      </c>
      <c r="U370" s="10">
        <v>0</v>
      </c>
      <c r="V370" s="10">
        <v>39</v>
      </c>
      <c r="W370" s="67"/>
      <c r="X370" s="11" t="s">
        <v>3056</v>
      </c>
      <c r="Y370" s="11" t="s">
        <v>5741</v>
      </c>
      <c r="Z370" s="11" t="s">
        <v>5796</v>
      </c>
      <c r="AA370" s="67">
        <v>45443</v>
      </c>
      <c r="AB370" s="67">
        <v>45444</v>
      </c>
      <c r="AC370" s="67">
        <v>45473</v>
      </c>
      <c r="AD370" s="67">
        <v>45472</v>
      </c>
      <c r="AE370" s="67">
        <v>45473</v>
      </c>
    </row>
    <row r="371" spans="1:31" ht="12.5">
      <c r="A371" s="10">
        <v>610423040004</v>
      </c>
      <c r="B371" s="10" t="s">
        <v>186</v>
      </c>
      <c r="D371" s="10">
        <v>1</v>
      </c>
      <c r="E371" s="10" t="s">
        <v>731</v>
      </c>
      <c r="F371" s="10" t="s">
        <v>25</v>
      </c>
      <c r="G371" s="10" t="s">
        <v>730</v>
      </c>
      <c r="H371" s="10" t="s">
        <v>67</v>
      </c>
      <c r="I371" s="10" t="s">
        <v>187</v>
      </c>
      <c r="J371" s="10" t="s">
        <v>164</v>
      </c>
      <c r="K371" s="66">
        <v>91000</v>
      </c>
      <c r="L371" s="10">
        <v>10</v>
      </c>
      <c r="M371" s="10">
        <v>910000</v>
      </c>
      <c r="O371" s="67">
        <v>45482</v>
      </c>
      <c r="P371" s="10">
        <v>2024</v>
      </c>
      <c r="Q371" s="10">
        <v>7</v>
      </c>
      <c r="R371" s="10" t="s">
        <v>3043</v>
      </c>
      <c r="S371" s="10" t="s">
        <v>6586</v>
      </c>
      <c r="T371" s="10" t="s">
        <v>6587</v>
      </c>
      <c r="U371" s="10">
        <v>0</v>
      </c>
      <c r="V371" s="10">
        <v>48</v>
      </c>
      <c r="W371" s="67"/>
      <c r="X371" s="11" t="s">
        <v>3143</v>
      </c>
      <c r="Y371" s="11" t="s">
        <v>4408</v>
      </c>
      <c r="Z371" s="11" t="s">
        <v>4531</v>
      </c>
      <c r="AA371" s="67">
        <v>45473</v>
      </c>
      <c r="AB371" s="67">
        <v>45474</v>
      </c>
      <c r="AC371" s="67">
        <v>45504</v>
      </c>
      <c r="AD371" s="67">
        <v>45503</v>
      </c>
      <c r="AE371" s="67">
        <v>45504</v>
      </c>
    </row>
    <row r="372" spans="1:31" ht="12.5">
      <c r="A372" s="10">
        <v>610422100144</v>
      </c>
      <c r="B372" s="10" t="s">
        <v>186</v>
      </c>
      <c r="D372" s="10">
        <v>1</v>
      </c>
      <c r="E372" s="10" t="s">
        <v>5970</v>
      </c>
      <c r="F372" s="10" t="s">
        <v>25</v>
      </c>
      <c r="G372" s="10" t="s">
        <v>1513</v>
      </c>
      <c r="H372" s="10" t="s">
        <v>67</v>
      </c>
      <c r="I372" s="10" t="s">
        <v>187</v>
      </c>
      <c r="J372" s="10" t="s">
        <v>164</v>
      </c>
      <c r="K372" s="66">
        <v>91000</v>
      </c>
      <c r="L372" s="10">
        <v>10</v>
      </c>
      <c r="M372" s="10">
        <v>910000</v>
      </c>
      <c r="O372" s="67">
        <v>45482</v>
      </c>
      <c r="P372" s="10">
        <v>2024</v>
      </c>
      <c r="Q372" s="10">
        <v>7</v>
      </c>
      <c r="R372" s="10" t="s">
        <v>3043</v>
      </c>
      <c r="S372" s="10" t="s">
        <v>6588</v>
      </c>
      <c r="T372" s="10" t="s">
        <v>6589</v>
      </c>
      <c r="U372" s="10">
        <v>0</v>
      </c>
      <c r="V372" s="10">
        <v>48</v>
      </c>
      <c r="W372" s="67"/>
      <c r="X372" s="11" t="s">
        <v>3143</v>
      </c>
      <c r="Y372" s="11" t="s">
        <v>5250</v>
      </c>
      <c r="Z372" s="11" t="s">
        <v>5488</v>
      </c>
      <c r="AA372" s="67">
        <v>45473</v>
      </c>
      <c r="AB372" s="67">
        <v>45474</v>
      </c>
      <c r="AC372" s="67">
        <v>45504</v>
      </c>
      <c r="AD372" s="67">
        <v>45503</v>
      </c>
      <c r="AE372" s="67">
        <v>45504</v>
      </c>
    </row>
    <row r="373" spans="1:31" ht="12.5">
      <c r="A373" s="10">
        <v>610422020032</v>
      </c>
      <c r="B373" s="10" t="s">
        <v>186</v>
      </c>
      <c r="D373" s="10">
        <v>1</v>
      </c>
      <c r="E373" s="10" t="s">
        <v>1640</v>
      </c>
      <c r="F373" s="10" t="s">
        <v>25</v>
      </c>
      <c r="G373" s="10" t="s">
        <v>1639</v>
      </c>
      <c r="H373" s="10" t="s">
        <v>67</v>
      </c>
      <c r="I373" s="10" t="s">
        <v>187</v>
      </c>
      <c r="J373" s="10" t="s">
        <v>164</v>
      </c>
      <c r="K373" s="66">
        <v>91000</v>
      </c>
      <c r="L373" s="10">
        <v>10</v>
      </c>
      <c r="M373" s="10">
        <v>910000</v>
      </c>
      <c r="O373" s="67">
        <v>45482</v>
      </c>
      <c r="P373" s="10">
        <v>2024</v>
      </c>
      <c r="Q373" s="10">
        <v>7</v>
      </c>
      <c r="R373" s="10" t="s">
        <v>3043</v>
      </c>
      <c r="S373" s="10" t="s">
        <v>6590</v>
      </c>
      <c r="T373" s="10" t="s">
        <v>6591</v>
      </c>
      <c r="U373" s="10">
        <v>0</v>
      </c>
      <c r="V373" s="10">
        <v>48</v>
      </c>
      <c r="W373" s="67"/>
      <c r="X373" s="11" t="s">
        <v>3143</v>
      </c>
      <c r="Y373" s="11" t="s">
        <v>4931</v>
      </c>
      <c r="Z373" s="11" t="s">
        <v>5209</v>
      </c>
      <c r="AA373" s="67">
        <v>45473</v>
      </c>
      <c r="AB373" s="67">
        <v>45474</v>
      </c>
      <c r="AC373" s="67">
        <v>45504</v>
      </c>
      <c r="AD373" s="67">
        <v>45503</v>
      </c>
      <c r="AE373" s="67">
        <v>45504</v>
      </c>
    </row>
    <row r="374" spans="1:31" ht="12.5">
      <c r="A374" s="10">
        <v>610422100085</v>
      </c>
      <c r="B374" s="10" t="s">
        <v>186</v>
      </c>
      <c r="D374" s="10">
        <v>1</v>
      </c>
      <c r="E374" s="10" t="s">
        <v>5981</v>
      </c>
      <c r="F374" s="10" t="s">
        <v>25</v>
      </c>
      <c r="G374" s="10" t="s">
        <v>1646</v>
      </c>
      <c r="H374" s="10" t="s">
        <v>67</v>
      </c>
      <c r="I374" s="10" t="s">
        <v>187</v>
      </c>
      <c r="J374" s="10" t="s">
        <v>164</v>
      </c>
      <c r="K374" s="66">
        <v>91000</v>
      </c>
      <c r="L374" s="10">
        <v>10</v>
      </c>
      <c r="M374" s="10">
        <v>910000</v>
      </c>
      <c r="O374" s="67">
        <v>45482</v>
      </c>
      <c r="P374" s="10">
        <v>2024</v>
      </c>
      <c r="Q374" s="10">
        <v>7</v>
      </c>
      <c r="R374" s="10" t="s">
        <v>3043</v>
      </c>
      <c r="S374" s="10" t="s">
        <v>6592</v>
      </c>
      <c r="T374" s="10" t="s">
        <v>6593</v>
      </c>
      <c r="U374" s="10">
        <v>0</v>
      </c>
      <c r="V374" s="10">
        <v>48</v>
      </c>
      <c r="W374" s="67"/>
      <c r="X374" s="11" t="s">
        <v>3143</v>
      </c>
      <c r="Y374" s="11" t="s">
        <v>3990</v>
      </c>
      <c r="Z374" s="11" t="s">
        <v>4087</v>
      </c>
      <c r="AA374" s="67">
        <v>45473</v>
      </c>
      <c r="AB374" s="67">
        <v>45474</v>
      </c>
      <c r="AC374" s="67">
        <v>45504</v>
      </c>
      <c r="AD374" s="67">
        <v>45503</v>
      </c>
      <c r="AE374" s="67">
        <v>45504</v>
      </c>
    </row>
    <row r="375" spans="1:31" ht="12.5">
      <c r="A375" s="10">
        <v>610423040013</v>
      </c>
      <c r="B375" s="10" t="s">
        <v>186</v>
      </c>
      <c r="D375" s="10">
        <v>1</v>
      </c>
      <c r="E375" s="10" t="s">
        <v>1658</v>
      </c>
      <c r="F375" s="10" t="s">
        <v>25</v>
      </c>
      <c r="G375" s="10" t="s">
        <v>1657</v>
      </c>
      <c r="H375" s="10" t="s">
        <v>67</v>
      </c>
      <c r="I375" s="10" t="s">
        <v>187</v>
      </c>
      <c r="J375" s="10" t="s">
        <v>164</v>
      </c>
      <c r="K375" s="66">
        <v>91000</v>
      </c>
      <c r="L375" s="10">
        <v>10</v>
      </c>
      <c r="M375" s="10">
        <v>910000</v>
      </c>
      <c r="O375" s="67">
        <v>45482</v>
      </c>
      <c r="P375" s="10">
        <v>2024</v>
      </c>
      <c r="Q375" s="10">
        <v>7</v>
      </c>
      <c r="R375" s="10" t="s">
        <v>3043</v>
      </c>
      <c r="S375" s="10" t="s">
        <v>6594</v>
      </c>
      <c r="T375" s="10" t="s">
        <v>6595</v>
      </c>
      <c r="U375" s="10">
        <v>0</v>
      </c>
      <c r="V375" s="10">
        <v>48</v>
      </c>
      <c r="W375" s="67"/>
      <c r="X375" s="11" t="s">
        <v>3143</v>
      </c>
      <c r="Y375" s="11" t="s">
        <v>5250</v>
      </c>
      <c r="Z375" s="11" t="s">
        <v>5304</v>
      </c>
      <c r="AA375" s="67">
        <v>45473</v>
      </c>
      <c r="AB375" s="67">
        <v>45474</v>
      </c>
      <c r="AC375" s="67">
        <v>45504</v>
      </c>
      <c r="AD375" s="67">
        <v>45503</v>
      </c>
      <c r="AE375" s="67">
        <v>45504</v>
      </c>
    </row>
    <row r="376" spans="1:31" ht="12.5">
      <c r="A376" s="10">
        <v>610422100137</v>
      </c>
      <c r="B376" s="10" t="s">
        <v>186</v>
      </c>
      <c r="D376" s="10">
        <v>1</v>
      </c>
      <c r="E376" s="10" t="s">
        <v>5985</v>
      </c>
      <c r="F376" s="10" t="s">
        <v>25</v>
      </c>
      <c r="G376" s="10" t="s">
        <v>1719</v>
      </c>
      <c r="H376" s="10" t="s">
        <v>67</v>
      </c>
      <c r="I376" s="10" t="s">
        <v>187</v>
      </c>
      <c r="J376" s="10" t="s">
        <v>164</v>
      </c>
      <c r="K376" s="66">
        <v>91000</v>
      </c>
      <c r="L376" s="10">
        <v>10</v>
      </c>
      <c r="M376" s="10">
        <v>910000</v>
      </c>
      <c r="O376" s="67">
        <v>45482</v>
      </c>
      <c r="P376" s="10">
        <v>2024</v>
      </c>
      <c r="Q376" s="10">
        <v>7</v>
      </c>
      <c r="R376" s="10" t="s">
        <v>3043</v>
      </c>
      <c r="S376" s="10" t="s">
        <v>6596</v>
      </c>
      <c r="T376" s="10" t="s">
        <v>6597</v>
      </c>
      <c r="U376" s="10">
        <v>0</v>
      </c>
      <c r="V376" s="10">
        <v>48</v>
      </c>
      <c r="W376" s="67"/>
      <c r="X376" s="11" t="s">
        <v>3143</v>
      </c>
      <c r="Y376" s="11" t="s">
        <v>5534</v>
      </c>
      <c r="Z376" s="11" t="s">
        <v>5535</v>
      </c>
      <c r="AA376" s="67">
        <v>45473</v>
      </c>
      <c r="AB376" s="67">
        <v>45474</v>
      </c>
      <c r="AC376" s="67">
        <v>45504</v>
      </c>
      <c r="AD376" s="67">
        <v>45503</v>
      </c>
      <c r="AE376" s="67">
        <v>45504</v>
      </c>
    </row>
    <row r="377" spans="1:31" ht="12.5">
      <c r="A377" s="10">
        <v>610422100256</v>
      </c>
      <c r="B377" s="10" t="s">
        <v>186</v>
      </c>
      <c r="D377" s="10">
        <v>1</v>
      </c>
      <c r="E377" s="10" t="s">
        <v>1778</v>
      </c>
      <c r="F377" s="10" t="s">
        <v>25</v>
      </c>
      <c r="G377" s="10" t="s">
        <v>1777</v>
      </c>
      <c r="H377" s="10" t="s">
        <v>67</v>
      </c>
      <c r="I377" s="10" t="s">
        <v>187</v>
      </c>
      <c r="J377" s="10" t="s">
        <v>164</v>
      </c>
      <c r="K377" s="66">
        <v>91000</v>
      </c>
      <c r="L377" s="10">
        <v>10</v>
      </c>
      <c r="M377" s="10">
        <v>910000</v>
      </c>
      <c r="O377" s="67">
        <v>45482</v>
      </c>
      <c r="P377" s="10">
        <v>2024</v>
      </c>
      <c r="Q377" s="10">
        <v>7</v>
      </c>
      <c r="R377" s="10" t="s">
        <v>3043</v>
      </c>
      <c r="S377" s="10" t="s">
        <v>6598</v>
      </c>
      <c r="T377" s="10" t="s">
        <v>6599</v>
      </c>
      <c r="U377" s="10">
        <v>0</v>
      </c>
      <c r="V377" s="10">
        <v>48</v>
      </c>
      <c r="W377" s="67"/>
      <c r="X377" s="11" t="s">
        <v>3143</v>
      </c>
      <c r="Y377" s="11" t="s">
        <v>5741</v>
      </c>
      <c r="Z377" s="11" t="s">
        <v>5742</v>
      </c>
      <c r="AA377" s="67">
        <v>45473</v>
      </c>
      <c r="AB377" s="67">
        <v>45474</v>
      </c>
      <c r="AC377" s="67">
        <v>45504</v>
      </c>
      <c r="AD377" s="67">
        <v>45503</v>
      </c>
      <c r="AE377" s="67">
        <v>45504</v>
      </c>
    </row>
    <row r="378" spans="1:31" ht="12.5">
      <c r="A378" s="10">
        <v>610422040050</v>
      </c>
      <c r="B378" s="10" t="s">
        <v>186</v>
      </c>
      <c r="D378" s="10">
        <v>1</v>
      </c>
      <c r="E378" s="10" t="s">
        <v>6010</v>
      </c>
      <c r="F378" s="10" t="s">
        <v>25</v>
      </c>
      <c r="G378" s="10" t="s">
        <v>2154</v>
      </c>
      <c r="H378" s="10" t="s">
        <v>67</v>
      </c>
      <c r="I378" s="10" t="s">
        <v>187</v>
      </c>
      <c r="J378" s="10" t="s">
        <v>164</v>
      </c>
      <c r="K378" s="66">
        <v>91000</v>
      </c>
      <c r="L378" s="10">
        <v>10</v>
      </c>
      <c r="M378" s="10">
        <v>910000</v>
      </c>
      <c r="O378" s="67">
        <v>45482</v>
      </c>
      <c r="P378" s="10">
        <v>2024</v>
      </c>
      <c r="Q378" s="10">
        <v>7</v>
      </c>
      <c r="R378" s="10" t="s">
        <v>3043</v>
      </c>
      <c r="S378" s="10" t="s">
        <v>6600</v>
      </c>
      <c r="T378" s="10" t="s">
        <v>6601</v>
      </c>
      <c r="U378" s="10">
        <v>0</v>
      </c>
      <c r="V378" s="10">
        <v>48</v>
      </c>
      <c r="W378" s="67"/>
      <c r="X378" s="11" t="s">
        <v>3143</v>
      </c>
      <c r="Y378" s="11" t="s">
        <v>3241</v>
      </c>
      <c r="Z378" s="11" t="s">
        <v>3289</v>
      </c>
      <c r="AA378" s="67">
        <v>45473</v>
      </c>
      <c r="AB378" s="67">
        <v>45474</v>
      </c>
      <c r="AC378" s="67">
        <v>45504</v>
      </c>
      <c r="AD378" s="67">
        <v>45503</v>
      </c>
      <c r="AE378" s="67">
        <v>45504</v>
      </c>
    </row>
    <row r="379" spans="1:31" ht="12.5">
      <c r="A379" s="10">
        <v>610422040035</v>
      </c>
      <c r="B379" s="10" t="s">
        <v>186</v>
      </c>
      <c r="D379" s="10">
        <v>1</v>
      </c>
      <c r="E379" s="10" t="s">
        <v>2281</v>
      </c>
      <c r="F379" s="10" t="s">
        <v>25</v>
      </c>
      <c r="G379" s="10" t="s">
        <v>2280</v>
      </c>
      <c r="H379" s="10" t="s">
        <v>67</v>
      </c>
      <c r="I379" s="10" t="s">
        <v>187</v>
      </c>
      <c r="J379" s="10" t="s">
        <v>164</v>
      </c>
      <c r="K379" s="66">
        <v>91000</v>
      </c>
      <c r="L379" s="10">
        <v>10</v>
      </c>
      <c r="M379" s="10">
        <v>910000</v>
      </c>
      <c r="O379" s="67">
        <v>45482</v>
      </c>
      <c r="P379" s="10">
        <v>2024</v>
      </c>
      <c r="Q379" s="10">
        <v>7</v>
      </c>
      <c r="R379" s="10" t="s">
        <v>3043</v>
      </c>
      <c r="S379" s="10" t="s">
        <v>6602</v>
      </c>
      <c r="T379" s="10" t="s">
        <v>6603</v>
      </c>
      <c r="U379" s="10">
        <v>0</v>
      </c>
      <c r="V379" s="10">
        <v>48</v>
      </c>
      <c r="W379" s="67"/>
      <c r="X379" s="11" t="s">
        <v>3143</v>
      </c>
      <c r="Y379" s="11" t="s">
        <v>4931</v>
      </c>
      <c r="Z379" s="11" t="s">
        <v>5171</v>
      </c>
      <c r="AA379" s="67">
        <v>45473</v>
      </c>
      <c r="AB379" s="67">
        <v>45474</v>
      </c>
      <c r="AC379" s="67">
        <v>45504</v>
      </c>
      <c r="AD379" s="67">
        <v>45503</v>
      </c>
      <c r="AE379" s="67">
        <v>45504</v>
      </c>
    </row>
    <row r="380" spans="1:31" ht="12.5">
      <c r="A380" s="10">
        <v>610422040061</v>
      </c>
      <c r="B380" s="10" t="s">
        <v>186</v>
      </c>
      <c r="D380" s="10">
        <v>1</v>
      </c>
      <c r="E380" s="10" t="s">
        <v>2440</v>
      </c>
      <c r="F380" s="10" t="s">
        <v>25</v>
      </c>
      <c r="G380" s="10" t="s">
        <v>2439</v>
      </c>
      <c r="H380" s="10" t="s">
        <v>67</v>
      </c>
      <c r="I380" s="10" t="s">
        <v>187</v>
      </c>
      <c r="J380" s="10" t="s">
        <v>164</v>
      </c>
      <c r="K380" s="66">
        <v>91000</v>
      </c>
      <c r="L380" s="10">
        <v>10</v>
      </c>
      <c r="M380" s="10">
        <v>910000</v>
      </c>
      <c r="O380" s="67">
        <v>45482</v>
      </c>
      <c r="P380" s="10">
        <v>2024</v>
      </c>
      <c r="Q380" s="10">
        <v>7</v>
      </c>
      <c r="R380" s="10" t="s">
        <v>3043</v>
      </c>
      <c r="S380" s="10" t="s">
        <v>6604</v>
      </c>
      <c r="T380" s="10" t="s">
        <v>6605</v>
      </c>
      <c r="U380" s="10">
        <v>0</v>
      </c>
      <c r="V380" s="10">
        <v>48</v>
      </c>
      <c r="W380" s="67"/>
      <c r="X380" s="11" t="s">
        <v>3143</v>
      </c>
      <c r="Y380" s="11" t="s">
        <v>3715</v>
      </c>
      <c r="Z380" s="11" t="s">
        <v>3862</v>
      </c>
      <c r="AA380" s="67">
        <v>45473</v>
      </c>
      <c r="AB380" s="67">
        <v>45474</v>
      </c>
      <c r="AC380" s="67">
        <v>45504</v>
      </c>
      <c r="AD380" s="67">
        <v>45503</v>
      </c>
      <c r="AE380" s="67">
        <v>45504</v>
      </c>
    </row>
    <row r="381" spans="1:31" ht="12.5">
      <c r="A381" s="10">
        <v>610422040053</v>
      </c>
      <c r="B381" s="10" t="s">
        <v>186</v>
      </c>
      <c r="D381" s="10">
        <v>1</v>
      </c>
      <c r="E381" s="10" t="s">
        <v>2781</v>
      </c>
      <c r="F381" s="10" t="s">
        <v>25</v>
      </c>
      <c r="G381" s="10" t="s">
        <v>2780</v>
      </c>
      <c r="H381" s="10" t="s">
        <v>67</v>
      </c>
      <c r="I381" s="10" t="s">
        <v>187</v>
      </c>
      <c r="J381" s="10" t="s">
        <v>164</v>
      </c>
      <c r="K381" s="66">
        <v>91000</v>
      </c>
      <c r="L381" s="10">
        <v>10</v>
      </c>
      <c r="M381" s="10">
        <v>910000</v>
      </c>
      <c r="O381" s="67">
        <v>45482</v>
      </c>
      <c r="P381" s="10">
        <v>2024</v>
      </c>
      <c r="Q381" s="10">
        <v>7</v>
      </c>
      <c r="R381" s="10" t="s">
        <v>3043</v>
      </c>
      <c r="S381" s="10" t="s">
        <v>6606</v>
      </c>
      <c r="T381" s="10" t="s">
        <v>6607</v>
      </c>
      <c r="U381" s="10">
        <v>0</v>
      </c>
      <c r="V381" s="10">
        <v>48</v>
      </c>
      <c r="W381" s="67"/>
      <c r="X381" s="11" t="s">
        <v>3143</v>
      </c>
      <c r="Y381" s="11" t="s">
        <v>5250</v>
      </c>
      <c r="Z381" s="11" t="s">
        <v>5464</v>
      </c>
      <c r="AA381" s="67">
        <v>45473</v>
      </c>
      <c r="AB381" s="67">
        <v>45474</v>
      </c>
      <c r="AC381" s="67">
        <v>45504</v>
      </c>
      <c r="AD381" s="67">
        <v>45503</v>
      </c>
      <c r="AE381" s="67">
        <v>45504</v>
      </c>
    </row>
    <row r="382" spans="1:31" ht="12.5">
      <c r="A382" s="10">
        <v>610422100055</v>
      </c>
      <c r="B382" s="10" t="s">
        <v>186</v>
      </c>
      <c r="D382" s="10">
        <v>1</v>
      </c>
      <c r="E382" s="10" t="s">
        <v>2791</v>
      </c>
      <c r="F382" s="10" t="s">
        <v>25</v>
      </c>
      <c r="G382" s="10" t="s">
        <v>2790</v>
      </c>
      <c r="H382" s="10" t="s">
        <v>67</v>
      </c>
      <c r="I382" s="10" t="s">
        <v>187</v>
      </c>
      <c r="J382" s="10" t="s">
        <v>164</v>
      </c>
      <c r="K382" s="66">
        <v>91000</v>
      </c>
      <c r="L382" s="10">
        <v>10</v>
      </c>
      <c r="M382" s="10">
        <v>910000</v>
      </c>
      <c r="O382" s="67">
        <v>45482</v>
      </c>
      <c r="P382" s="10">
        <v>2024</v>
      </c>
      <c r="Q382" s="10">
        <v>7</v>
      </c>
      <c r="R382" s="10" t="s">
        <v>3043</v>
      </c>
      <c r="S382" s="10" t="s">
        <v>6608</v>
      </c>
      <c r="T382" s="10" t="s">
        <v>6609</v>
      </c>
      <c r="U382" s="10">
        <v>0</v>
      </c>
      <c r="V382" s="10">
        <v>48</v>
      </c>
      <c r="W382" s="67"/>
      <c r="X382" s="11" t="s">
        <v>3143</v>
      </c>
      <c r="Y382" s="11" t="s">
        <v>3241</v>
      </c>
      <c r="Z382" s="11" t="s">
        <v>3289</v>
      </c>
      <c r="AA382" s="67">
        <v>45473</v>
      </c>
      <c r="AB382" s="67">
        <v>45474</v>
      </c>
      <c r="AC382" s="67">
        <v>45504</v>
      </c>
      <c r="AD382" s="67">
        <v>45503</v>
      </c>
      <c r="AE382" s="67">
        <v>45504</v>
      </c>
    </row>
    <row r="383" spans="1:31" ht="12.5">
      <c r="A383" s="10">
        <v>610422100139</v>
      </c>
      <c r="B383" s="10" t="s">
        <v>186</v>
      </c>
      <c r="D383" s="10">
        <v>1</v>
      </c>
      <c r="E383" s="10" t="s">
        <v>2842</v>
      </c>
      <c r="F383" s="10" t="s">
        <v>25</v>
      </c>
      <c r="G383" s="10" t="s">
        <v>2841</v>
      </c>
      <c r="H383" s="10" t="s">
        <v>67</v>
      </c>
      <c r="I383" s="10" t="s">
        <v>187</v>
      </c>
      <c r="J383" s="10" t="s">
        <v>164</v>
      </c>
      <c r="K383" s="66">
        <v>91000</v>
      </c>
      <c r="L383" s="10">
        <v>10</v>
      </c>
      <c r="M383" s="10">
        <v>910000</v>
      </c>
      <c r="O383" s="67">
        <v>45482</v>
      </c>
      <c r="P383" s="10">
        <v>2024</v>
      </c>
      <c r="Q383" s="10">
        <v>7</v>
      </c>
      <c r="R383" s="10" t="s">
        <v>3043</v>
      </c>
      <c r="S383" s="10" t="s">
        <v>6610</v>
      </c>
      <c r="T383" s="10" t="s">
        <v>6611</v>
      </c>
      <c r="U383" s="10">
        <v>0</v>
      </c>
      <c r="V383" s="10">
        <v>48</v>
      </c>
      <c r="W383" s="67"/>
      <c r="X383" s="11" t="s">
        <v>3143</v>
      </c>
      <c r="Y383" s="11" t="s">
        <v>4572</v>
      </c>
      <c r="Z383" s="11" t="s">
        <v>4814</v>
      </c>
      <c r="AA383" s="67">
        <v>45473</v>
      </c>
      <c r="AB383" s="67">
        <v>45474</v>
      </c>
      <c r="AC383" s="67">
        <v>45504</v>
      </c>
      <c r="AD383" s="67">
        <v>45503</v>
      </c>
      <c r="AE383" s="67">
        <v>45504</v>
      </c>
    </row>
    <row r="384" spans="1:31" ht="12.5">
      <c r="A384" s="10">
        <v>610422040052</v>
      </c>
      <c r="B384" s="10" t="s">
        <v>186</v>
      </c>
      <c r="D384" s="10">
        <v>1</v>
      </c>
      <c r="E384" s="10" t="s">
        <v>2952</v>
      </c>
      <c r="F384" s="10" t="s">
        <v>25</v>
      </c>
      <c r="G384" s="10" t="s">
        <v>2951</v>
      </c>
      <c r="H384" s="10" t="s">
        <v>67</v>
      </c>
      <c r="I384" s="10" t="s">
        <v>187</v>
      </c>
      <c r="J384" s="10" t="s">
        <v>164</v>
      </c>
      <c r="K384" s="66">
        <v>91000</v>
      </c>
      <c r="L384" s="10">
        <v>10</v>
      </c>
      <c r="M384" s="10">
        <v>910000</v>
      </c>
      <c r="O384" s="67">
        <v>45482</v>
      </c>
      <c r="P384" s="10">
        <v>2024</v>
      </c>
      <c r="Q384" s="10">
        <v>7</v>
      </c>
      <c r="R384" s="10" t="s">
        <v>3043</v>
      </c>
      <c r="S384" s="10" t="s">
        <v>6612</v>
      </c>
      <c r="T384" s="10" t="s">
        <v>6613</v>
      </c>
      <c r="U384" s="10">
        <v>0</v>
      </c>
      <c r="V384" s="10">
        <v>48</v>
      </c>
      <c r="W384" s="67"/>
      <c r="X384" s="11" t="s">
        <v>3143</v>
      </c>
      <c r="Y384" s="11" t="s">
        <v>4408</v>
      </c>
      <c r="Z384" s="11" t="s">
        <v>4487</v>
      </c>
      <c r="AA384" s="67">
        <v>45473</v>
      </c>
      <c r="AB384" s="67">
        <v>45474</v>
      </c>
      <c r="AC384" s="67">
        <v>45504</v>
      </c>
      <c r="AD384" s="67">
        <v>45503</v>
      </c>
      <c r="AE384" s="67">
        <v>45504</v>
      </c>
    </row>
    <row r="385" spans="1:31" ht="12.5">
      <c r="A385" s="10">
        <v>610422020006</v>
      </c>
      <c r="B385" s="10" t="s">
        <v>188</v>
      </c>
      <c r="D385" s="10">
        <v>1</v>
      </c>
      <c r="E385" s="10" t="s">
        <v>2098</v>
      </c>
      <c r="F385" s="10" t="s">
        <v>90</v>
      </c>
      <c r="G385" s="10" t="s">
        <v>2097</v>
      </c>
      <c r="H385" s="10" t="s">
        <v>108</v>
      </c>
      <c r="I385" s="10" t="s">
        <v>189</v>
      </c>
      <c r="J385" s="10" t="s">
        <v>164</v>
      </c>
      <c r="K385" s="66">
        <v>17000</v>
      </c>
      <c r="L385" s="10">
        <v>13</v>
      </c>
      <c r="M385" s="10">
        <v>221000</v>
      </c>
      <c r="O385" s="67">
        <v>45482</v>
      </c>
      <c r="P385" s="10">
        <v>2024</v>
      </c>
      <c r="Q385" s="10">
        <v>7</v>
      </c>
      <c r="R385" s="10" t="s">
        <v>6237</v>
      </c>
      <c r="S385" s="10" t="s">
        <v>6968</v>
      </c>
      <c r="T385" s="10" t="s">
        <v>6969</v>
      </c>
      <c r="U385" s="10">
        <v>0</v>
      </c>
      <c r="V385" s="10">
        <v>48</v>
      </c>
      <c r="W385" s="67"/>
      <c r="X385" s="11" t="s">
        <v>3147</v>
      </c>
      <c r="Y385" s="11" t="s">
        <v>4572</v>
      </c>
      <c r="Z385" s="11" t="s">
        <v>4874</v>
      </c>
      <c r="AA385" s="67">
        <v>45473</v>
      </c>
      <c r="AB385" s="67">
        <v>45474</v>
      </c>
      <c r="AC385" s="67">
        <v>45504</v>
      </c>
      <c r="AD385" s="67">
        <v>45503</v>
      </c>
      <c r="AE385" s="67">
        <v>45504</v>
      </c>
    </row>
    <row r="386" spans="1:31" ht="12.5">
      <c r="A386" s="10">
        <v>617122110049</v>
      </c>
      <c r="B386" s="10" t="s">
        <v>188</v>
      </c>
      <c r="D386" s="10">
        <v>1</v>
      </c>
      <c r="E386" s="10" t="s">
        <v>1874</v>
      </c>
      <c r="F386" s="10" t="s">
        <v>90</v>
      </c>
      <c r="G386" s="10" t="s">
        <v>1873</v>
      </c>
      <c r="H386" s="10" t="s">
        <v>108</v>
      </c>
      <c r="I386" s="10" t="s">
        <v>189</v>
      </c>
      <c r="J386" s="10" t="s">
        <v>164</v>
      </c>
      <c r="K386" s="66">
        <v>17000</v>
      </c>
      <c r="L386" s="10">
        <v>13</v>
      </c>
      <c r="M386" s="10">
        <v>221000</v>
      </c>
      <c r="O386" s="67">
        <v>45482</v>
      </c>
      <c r="P386" s="10">
        <v>2024</v>
      </c>
      <c r="Q386" s="10">
        <v>7</v>
      </c>
      <c r="R386" s="10" t="s">
        <v>6237</v>
      </c>
      <c r="S386" s="10" t="s">
        <v>6970</v>
      </c>
      <c r="T386" s="10" t="s">
        <v>6971</v>
      </c>
      <c r="U386" s="10">
        <v>0</v>
      </c>
      <c r="V386" s="10">
        <v>48</v>
      </c>
      <c r="W386" s="67"/>
      <c r="X386" s="11" t="s">
        <v>3147</v>
      </c>
      <c r="Y386" s="11" t="s">
        <v>4931</v>
      </c>
      <c r="Z386" s="11" t="s">
        <v>4960</v>
      </c>
      <c r="AA386" s="67">
        <v>45473</v>
      </c>
      <c r="AB386" s="67">
        <v>45474</v>
      </c>
      <c r="AC386" s="67">
        <v>45504</v>
      </c>
      <c r="AD386" s="67">
        <v>45503</v>
      </c>
      <c r="AE386" s="67">
        <v>45504</v>
      </c>
    </row>
    <row r="387" spans="1:31" ht="12.5">
      <c r="A387" s="10">
        <v>610422100010</v>
      </c>
      <c r="B387" s="10" t="s">
        <v>188</v>
      </c>
      <c r="D387" s="10">
        <v>1</v>
      </c>
      <c r="E387" s="10" t="s">
        <v>1936</v>
      </c>
      <c r="F387" s="10" t="s">
        <v>90</v>
      </c>
      <c r="G387" s="10" t="s">
        <v>1935</v>
      </c>
      <c r="H387" s="10" t="s">
        <v>108</v>
      </c>
      <c r="I387" s="10" t="s">
        <v>189</v>
      </c>
      <c r="J387" s="10" t="s">
        <v>164</v>
      </c>
      <c r="K387" s="66">
        <v>17000</v>
      </c>
      <c r="L387" s="10">
        <v>13</v>
      </c>
      <c r="M387" s="10">
        <v>221000</v>
      </c>
      <c r="O387" s="67">
        <v>45482</v>
      </c>
      <c r="P387" s="10">
        <v>2024</v>
      </c>
      <c r="Q387" s="10">
        <v>7</v>
      </c>
      <c r="R387" s="10" t="s">
        <v>6237</v>
      </c>
      <c r="S387" s="10" t="s">
        <v>6972</v>
      </c>
      <c r="T387" s="10" t="s">
        <v>6973</v>
      </c>
      <c r="U387" s="10">
        <v>0</v>
      </c>
      <c r="V387" s="10">
        <v>48</v>
      </c>
      <c r="W387" s="67"/>
      <c r="X387" s="11" t="s">
        <v>3147</v>
      </c>
      <c r="Y387" s="11" t="s">
        <v>4572</v>
      </c>
      <c r="Z387" s="11" t="s">
        <v>4619</v>
      </c>
      <c r="AA387" s="67">
        <v>45473</v>
      </c>
      <c r="AB387" s="67">
        <v>45474</v>
      </c>
      <c r="AC387" s="67">
        <v>45504</v>
      </c>
      <c r="AD387" s="67">
        <v>45503</v>
      </c>
      <c r="AE387" s="67">
        <v>45504</v>
      </c>
    </row>
    <row r="388" spans="1:31" ht="12.5">
      <c r="A388" s="10">
        <v>610422100177</v>
      </c>
      <c r="B388" s="10" t="s">
        <v>188</v>
      </c>
      <c r="D388" s="10">
        <v>1</v>
      </c>
      <c r="E388" s="10" t="s">
        <v>571</v>
      </c>
      <c r="F388" s="10" t="s">
        <v>90</v>
      </c>
      <c r="G388" s="10" t="s">
        <v>570</v>
      </c>
      <c r="H388" s="10" t="s">
        <v>108</v>
      </c>
      <c r="I388" s="10" t="s">
        <v>189</v>
      </c>
      <c r="J388" s="10" t="s">
        <v>164</v>
      </c>
      <c r="K388" s="66">
        <v>17000</v>
      </c>
      <c r="L388" s="10">
        <v>13</v>
      </c>
      <c r="M388" s="10">
        <v>221000</v>
      </c>
      <c r="O388" s="67">
        <v>45482</v>
      </c>
      <c r="P388" s="10">
        <v>2024</v>
      </c>
      <c r="Q388" s="10">
        <v>7</v>
      </c>
      <c r="R388" s="10" t="s">
        <v>6237</v>
      </c>
      <c r="S388" s="10" t="s">
        <v>6974</v>
      </c>
      <c r="T388" s="10" t="s">
        <v>6975</v>
      </c>
      <c r="U388" s="10">
        <v>0</v>
      </c>
      <c r="V388" s="10">
        <v>48</v>
      </c>
      <c r="W388" s="67"/>
      <c r="X388" s="11" t="s">
        <v>3147</v>
      </c>
      <c r="Y388" s="11" t="s">
        <v>4572</v>
      </c>
      <c r="Z388" s="11" t="s">
        <v>4656</v>
      </c>
      <c r="AA388" s="67">
        <v>45473</v>
      </c>
      <c r="AB388" s="67">
        <v>45474</v>
      </c>
      <c r="AC388" s="67">
        <v>45504</v>
      </c>
      <c r="AD388" s="67">
        <v>45503</v>
      </c>
      <c r="AE388" s="67">
        <v>45504</v>
      </c>
    </row>
    <row r="389" spans="1:31" ht="12.5">
      <c r="A389" s="10">
        <v>610422100083</v>
      </c>
      <c r="B389" s="10" t="s">
        <v>188</v>
      </c>
      <c r="D389" s="10">
        <v>1</v>
      </c>
      <c r="E389" s="10" t="s">
        <v>5962</v>
      </c>
      <c r="F389" s="10" t="s">
        <v>90</v>
      </c>
      <c r="G389" s="10" t="s">
        <v>1429</v>
      </c>
      <c r="H389" s="10" t="s">
        <v>108</v>
      </c>
      <c r="I389" s="10" t="s">
        <v>189</v>
      </c>
      <c r="J389" s="10" t="s">
        <v>164</v>
      </c>
      <c r="K389" s="66">
        <v>17000</v>
      </c>
      <c r="L389" s="10">
        <v>13</v>
      </c>
      <c r="M389" s="10">
        <v>221000</v>
      </c>
      <c r="O389" s="67">
        <v>45482</v>
      </c>
      <c r="P389" s="10">
        <v>2024</v>
      </c>
      <c r="Q389" s="10">
        <v>7</v>
      </c>
      <c r="R389" s="10" t="s">
        <v>6237</v>
      </c>
      <c r="S389" s="10" t="s">
        <v>6584</v>
      </c>
      <c r="T389" s="10" t="s">
        <v>6976</v>
      </c>
      <c r="U389" s="10">
        <v>0</v>
      </c>
      <c r="V389" s="10">
        <v>48</v>
      </c>
      <c r="W389" s="67"/>
      <c r="X389" s="11" t="s">
        <v>3147</v>
      </c>
      <c r="Y389" s="11" t="s">
        <v>4572</v>
      </c>
      <c r="Z389" s="11" t="s">
        <v>4619</v>
      </c>
      <c r="AA389" s="67">
        <v>45473</v>
      </c>
      <c r="AB389" s="67">
        <v>45474</v>
      </c>
      <c r="AC389" s="67">
        <v>45504</v>
      </c>
      <c r="AD389" s="67">
        <v>45503</v>
      </c>
      <c r="AE389" s="67">
        <v>45504</v>
      </c>
    </row>
    <row r="390" spans="1:31" ht="12.5">
      <c r="A390" s="10">
        <v>610422110006</v>
      </c>
      <c r="B390" s="10" t="s">
        <v>188</v>
      </c>
      <c r="D390" s="10">
        <v>1</v>
      </c>
      <c r="E390" s="10" t="s">
        <v>1898</v>
      </c>
      <c r="F390" s="10" t="s">
        <v>90</v>
      </c>
      <c r="G390" s="10" t="s">
        <v>1897</v>
      </c>
      <c r="H390" s="10" t="s">
        <v>108</v>
      </c>
      <c r="I390" s="10" t="s">
        <v>189</v>
      </c>
      <c r="J390" s="10" t="s">
        <v>164</v>
      </c>
      <c r="K390" s="66">
        <v>17000</v>
      </c>
      <c r="L390" s="10">
        <v>13</v>
      </c>
      <c r="M390" s="10">
        <v>221000</v>
      </c>
      <c r="O390" s="67">
        <v>45482</v>
      </c>
      <c r="P390" s="10">
        <v>2024</v>
      </c>
      <c r="Q390" s="10">
        <v>7</v>
      </c>
      <c r="R390" s="10" t="s">
        <v>6237</v>
      </c>
      <c r="S390" s="10" t="s">
        <v>6977</v>
      </c>
      <c r="T390" s="10" t="s">
        <v>6978</v>
      </c>
      <c r="U390" s="10">
        <v>0</v>
      </c>
      <c r="V390" s="10">
        <v>48</v>
      </c>
      <c r="W390" s="67"/>
      <c r="X390" s="11" t="s">
        <v>3147</v>
      </c>
      <c r="Y390" s="11" t="s">
        <v>4572</v>
      </c>
      <c r="Z390" s="11" t="s">
        <v>4656</v>
      </c>
      <c r="AA390" s="67">
        <v>45473</v>
      </c>
      <c r="AB390" s="67">
        <v>45474</v>
      </c>
      <c r="AC390" s="67">
        <v>45504</v>
      </c>
      <c r="AD390" s="67">
        <v>45503</v>
      </c>
      <c r="AE390" s="67">
        <v>45504</v>
      </c>
    </row>
    <row r="391" spans="1:31" ht="12.5">
      <c r="A391" s="10">
        <v>610422110005</v>
      </c>
      <c r="B391" s="10" t="s">
        <v>188</v>
      </c>
      <c r="D391" s="10">
        <v>1</v>
      </c>
      <c r="E391" s="10" t="s">
        <v>5967</v>
      </c>
      <c r="F391" s="10" t="s">
        <v>90</v>
      </c>
      <c r="G391" s="10" t="s">
        <v>1481</v>
      </c>
      <c r="H391" s="10" t="s">
        <v>108</v>
      </c>
      <c r="I391" s="10" t="s">
        <v>189</v>
      </c>
      <c r="J391" s="10" t="s">
        <v>164</v>
      </c>
      <c r="K391" s="66">
        <v>17000</v>
      </c>
      <c r="L391" s="10">
        <v>13</v>
      </c>
      <c r="M391" s="10">
        <v>221000</v>
      </c>
      <c r="O391" s="67">
        <v>45482</v>
      </c>
      <c r="P391" s="10">
        <v>2024</v>
      </c>
      <c r="Q391" s="10">
        <v>7</v>
      </c>
      <c r="R391" s="10" t="s">
        <v>6237</v>
      </c>
      <c r="S391" s="10" t="s">
        <v>6979</v>
      </c>
      <c r="T391" s="10" t="s">
        <v>6980</v>
      </c>
      <c r="U391" s="10">
        <v>0</v>
      </c>
      <c r="V391" s="10">
        <v>48</v>
      </c>
      <c r="W391" s="67"/>
      <c r="X391" s="11" t="s">
        <v>3147</v>
      </c>
      <c r="Y391" s="11" t="s">
        <v>4572</v>
      </c>
      <c r="Z391" s="11" t="s">
        <v>4874</v>
      </c>
      <c r="AA391" s="67">
        <v>45473</v>
      </c>
      <c r="AB391" s="67">
        <v>45474</v>
      </c>
      <c r="AC391" s="67">
        <v>45504</v>
      </c>
      <c r="AD391" s="67">
        <v>45503</v>
      </c>
      <c r="AE391" s="67">
        <v>45504</v>
      </c>
    </row>
    <row r="392" spans="1:31" ht="12.5">
      <c r="A392" s="10">
        <v>610423090021</v>
      </c>
      <c r="B392" s="10" t="s">
        <v>188</v>
      </c>
      <c r="D392" s="10">
        <v>1</v>
      </c>
      <c r="E392" s="10" t="s">
        <v>2731</v>
      </c>
      <c r="F392" s="10" t="s">
        <v>90</v>
      </c>
      <c r="G392" s="10" t="s">
        <v>2730</v>
      </c>
      <c r="H392" s="10" t="s">
        <v>108</v>
      </c>
      <c r="I392" s="10" t="s">
        <v>189</v>
      </c>
      <c r="J392" s="10" t="s">
        <v>164</v>
      </c>
      <c r="K392" s="66">
        <v>17000</v>
      </c>
      <c r="L392" s="10">
        <v>13</v>
      </c>
      <c r="M392" s="10">
        <v>221000</v>
      </c>
      <c r="O392" s="67">
        <v>45482</v>
      </c>
      <c r="P392" s="10">
        <v>2024</v>
      </c>
      <c r="Q392" s="10">
        <v>7</v>
      </c>
      <c r="R392" s="10" t="s">
        <v>6237</v>
      </c>
      <c r="S392" s="10" t="s">
        <v>6981</v>
      </c>
      <c r="T392" s="10" t="s">
        <v>6982</v>
      </c>
      <c r="U392" s="10">
        <v>0</v>
      </c>
      <c r="V392" s="10">
        <v>48</v>
      </c>
      <c r="W392" s="67"/>
      <c r="X392" s="11" t="s">
        <v>3147</v>
      </c>
      <c r="Y392" s="11" t="s">
        <v>4572</v>
      </c>
      <c r="Z392" s="11" t="s">
        <v>4656</v>
      </c>
      <c r="AA392" s="67">
        <v>45473</v>
      </c>
      <c r="AB392" s="67">
        <v>45474</v>
      </c>
      <c r="AC392" s="67">
        <v>45504</v>
      </c>
      <c r="AD392" s="67">
        <v>45503</v>
      </c>
      <c r="AE392" s="67">
        <v>45504</v>
      </c>
    </row>
    <row r="393" spans="1:31" ht="12.5">
      <c r="A393" s="10">
        <v>610423110150</v>
      </c>
      <c r="B393" s="10" t="s">
        <v>188</v>
      </c>
      <c r="D393" s="10">
        <v>1</v>
      </c>
      <c r="E393" s="10" t="s">
        <v>2364</v>
      </c>
      <c r="F393" s="10" t="s">
        <v>90</v>
      </c>
      <c r="G393" s="10" t="s">
        <v>2363</v>
      </c>
      <c r="H393" s="10" t="s">
        <v>108</v>
      </c>
      <c r="I393" s="10" t="s">
        <v>189</v>
      </c>
      <c r="J393" s="10" t="s">
        <v>164</v>
      </c>
      <c r="K393" s="66">
        <v>17000</v>
      </c>
      <c r="L393" s="10">
        <v>12</v>
      </c>
      <c r="M393" s="10">
        <v>204000</v>
      </c>
      <c r="O393" s="67">
        <v>45482</v>
      </c>
      <c r="P393" s="10">
        <v>2024</v>
      </c>
      <c r="Q393" s="10">
        <v>7</v>
      </c>
      <c r="R393" s="10" t="s">
        <v>6237</v>
      </c>
      <c r="S393" s="10" t="s">
        <v>6983</v>
      </c>
      <c r="T393" s="10" t="s">
        <v>6984</v>
      </c>
      <c r="U393" s="10">
        <v>0</v>
      </c>
      <c r="V393" s="10">
        <v>48</v>
      </c>
      <c r="W393" s="67"/>
      <c r="X393" s="11" t="s">
        <v>3147</v>
      </c>
      <c r="Y393" s="11" t="s">
        <v>4572</v>
      </c>
      <c r="Z393" s="11" t="s">
        <v>4619</v>
      </c>
      <c r="AA393" s="67">
        <v>45473</v>
      </c>
      <c r="AB393" s="67">
        <v>45474</v>
      </c>
      <c r="AC393" s="67">
        <v>45504</v>
      </c>
      <c r="AD393" s="67">
        <v>45503</v>
      </c>
      <c r="AE393" s="67">
        <v>45504</v>
      </c>
    </row>
    <row r="394" spans="1:31" ht="12.5">
      <c r="A394" s="10">
        <v>610423110129</v>
      </c>
      <c r="B394" s="10" t="s">
        <v>188</v>
      </c>
      <c r="D394" s="10">
        <v>1</v>
      </c>
      <c r="E394" s="10" t="s">
        <v>721</v>
      </c>
      <c r="F394" s="10" t="s">
        <v>90</v>
      </c>
      <c r="G394" s="10" t="s">
        <v>720</v>
      </c>
      <c r="H394" s="10" t="s">
        <v>108</v>
      </c>
      <c r="I394" s="10" t="s">
        <v>189</v>
      </c>
      <c r="J394" s="10" t="s">
        <v>164</v>
      </c>
      <c r="K394" s="66">
        <v>17000</v>
      </c>
      <c r="L394" s="10">
        <v>12</v>
      </c>
      <c r="M394" s="10">
        <v>204000</v>
      </c>
      <c r="O394" s="67">
        <v>45482</v>
      </c>
      <c r="P394" s="10">
        <v>2024</v>
      </c>
      <c r="Q394" s="10">
        <v>7</v>
      </c>
      <c r="R394" s="10" t="s">
        <v>6237</v>
      </c>
      <c r="S394" s="10" t="s">
        <v>6985</v>
      </c>
      <c r="T394" s="10" t="s">
        <v>6986</v>
      </c>
      <c r="U394" s="10">
        <v>0</v>
      </c>
      <c r="V394" s="10">
        <v>48</v>
      </c>
      <c r="W394" s="67"/>
      <c r="X394" s="11" t="s">
        <v>3147</v>
      </c>
      <c r="Y394" s="11" t="s">
        <v>4572</v>
      </c>
      <c r="Z394" s="11" t="s">
        <v>4656</v>
      </c>
      <c r="AA394" s="67">
        <v>45473</v>
      </c>
      <c r="AB394" s="67">
        <v>45474</v>
      </c>
      <c r="AC394" s="67">
        <v>45504</v>
      </c>
      <c r="AD394" s="67">
        <v>45503</v>
      </c>
      <c r="AE394" s="67">
        <v>45504</v>
      </c>
    </row>
    <row r="395" spans="1:31" ht="12.5">
      <c r="A395" s="10">
        <v>610422030002</v>
      </c>
      <c r="B395" s="10" t="s">
        <v>190</v>
      </c>
      <c r="D395" s="10">
        <v>1</v>
      </c>
      <c r="E395" s="10" t="s">
        <v>5934</v>
      </c>
      <c r="F395" s="10" t="s">
        <v>25</v>
      </c>
      <c r="G395" s="10" t="s">
        <v>929</v>
      </c>
      <c r="H395" s="10" t="s">
        <v>67</v>
      </c>
      <c r="I395" s="10" t="s">
        <v>191</v>
      </c>
      <c r="J395" s="10" t="s">
        <v>164</v>
      </c>
      <c r="K395" s="66">
        <v>50000</v>
      </c>
      <c r="L395" s="10">
        <v>15</v>
      </c>
      <c r="M395" s="10">
        <v>750000</v>
      </c>
      <c r="O395" s="67">
        <v>45493</v>
      </c>
      <c r="P395" s="10">
        <v>2024</v>
      </c>
      <c r="Q395" s="10">
        <v>7</v>
      </c>
      <c r="R395" s="10" t="s">
        <v>3043</v>
      </c>
      <c r="S395" s="10" t="s">
        <v>6614</v>
      </c>
      <c r="T395" s="10" t="s">
        <v>6615</v>
      </c>
      <c r="U395" s="10">
        <v>0</v>
      </c>
      <c r="V395" s="10">
        <v>59</v>
      </c>
      <c r="W395" s="67"/>
      <c r="X395" s="11" t="s">
        <v>3093</v>
      </c>
      <c r="Y395" s="11" t="s">
        <v>3715</v>
      </c>
      <c r="Z395" s="11" t="s">
        <v>3716</v>
      </c>
      <c r="AA395" s="67">
        <v>45473</v>
      </c>
      <c r="AB395" s="67">
        <v>45474</v>
      </c>
      <c r="AC395" s="67">
        <v>45504</v>
      </c>
      <c r="AD395" s="67">
        <v>45503</v>
      </c>
      <c r="AE395" s="67">
        <v>45504</v>
      </c>
    </row>
    <row r="396" spans="1:31" ht="12.5">
      <c r="A396" s="10">
        <v>610422100244</v>
      </c>
      <c r="B396" s="10" t="s">
        <v>192</v>
      </c>
      <c r="D396" s="10">
        <v>1</v>
      </c>
      <c r="E396" s="10" t="s">
        <v>2633</v>
      </c>
      <c r="F396" s="10" t="s">
        <v>25</v>
      </c>
      <c r="G396" s="10" t="s">
        <v>2632</v>
      </c>
      <c r="H396" s="10" t="s">
        <v>67</v>
      </c>
      <c r="I396" s="10" t="s">
        <v>193</v>
      </c>
      <c r="J396" s="10" t="s">
        <v>164</v>
      </c>
      <c r="K396" s="66">
        <v>50000</v>
      </c>
      <c r="L396" s="10">
        <v>1</v>
      </c>
      <c r="M396" s="10">
        <v>50000</v>
      </c>
      <c r="O396" s="67">
        <v>45493</v>
      </c>
      <c r="P396" s="10">
        <v>2024</v>
      </c>
      <c r="Q396" s="10">
        <v>7</v>
      </c>
      <c r="R396" s="10" t="s">
        <v>3043</v>
      </c>
      <c r="S396" s="10" t="s">
        <v>6616</v>
      </c>
      <c r="T396" s="10" t="s">
        <v>6617</v>
      </c>
      <c r="U396" s="10">
        <v>0</v>
      </c>
      <c r="V396" s="10">
        <v>59</v>
      </c>
      <c r="W396" s="67"/>
      <c r="X396" s="11" t="s">
        <v>3080</v>
      </c>
      <c r="Y396" s="11" t="s">
        <v>5741</v>
      </c>
      <c r="Z396" s="11" t="s">
        <v>5796</v>
      </c>
      <c r="AA396" s="67">
        <v>45473</v>
      </c>
      <c r="AB396" s="67">
        <v>45474</v>
      </c>
      <c r="AC396" s="67">
        <v>45504</v>
      </c>
      <c r="AD396" s="67">
        <v>45503</v>
      </c>
      <c r="AE396" s="67">
        <v>45504</v>
      </c>
    </row>
    <row r="397" spans="1:31" ht="12.5">
      <c r="A397" s="10">
        <v>610422100124</v>
      </c>
      <c r="B397" s="10" t="s">
        <v>192</v>
      </c>
      <c r="D397" s="10">
        <v>1</v>
      </c>
      <c r="E397" s="10" t="s">
        <v>2237</v>
      </c>
      <c r="F397" s="10" t="s">
        <v>25</v>
      </c>
      <c r="G397" s="10" t="s">
        <v>2236</v>
      </c>
      <c r="H397" s="10" t="s">
        <v>67</v>
      </c>
      <c r="I397" s="10" t="s">
        <v>193</v>
      </c>
      <c r="J397" s="10" t="s">
        <v>164</v>
      </c>
      <c r="K397" s="66">
        <v>50000</v>
      </c>
      <c r="L397" s="10">
        <v>1</v>
      </c>
      <c r="M397" s="10">
        <v>50000</v>
      </c>
      <c r="O397" s="67">
        <v>45493</v>
      </c>
      <c r="P397" s="10">
        <v>2024</v>
      </c>
      <c r="Q397" s="10">
        <v>7</v>
      </c>
      <c r="R397" s="10" t="s">
        <v>3043</v>
      </c>
      <c r="S397" s="10" t="s">
        <v>6618</v>
      </c>
      <c r="T397" s="10" t="s">
        <v>6619</v>
      </c>
      <c r="U397" s="10">
        <v>0</v>
      </c>
      <c r="V397" s="10">
        <v>59</v>
      </c>
      <c r="W397" s="67"/>
      <c r="X397" s="11" t="s">
        <v>3080</v>
      </c>
      <c r="Y397" s="11" t="s">
        <v>1921</v>
      </c>
      <c r="Z397" s="11" t="s">
        <v>2140</v>
      </c>
      <c r="AA397" s="67">
        <v>45473</v>
      </c>
      <c r="AB397" s="67">
        <v>45474</v>
      </c>
      <c r="AC397" s="67">
        <v>45504</v>
      </c>
      <c r="AD397" s="67">
        <v>45503</v>
      </c>
      <c r="AE397" s="67">
        <v>45504</v>
      </c>
    </row>
    <row r="398" spans="1:31" ht="12.5">
      <c r="A398" s="10">
        <v>610422040029</v>
      </c>
      <c r="B398" s="10" t="s">
        <v>194</v>
      </c>
      <c r="D398" s="10">
        <v>1</v>
      </c>
      <c r="E398" s="10" t="s">
        <v>3000</v>
      </c>
      <c r="F398" s="10" t="s">
        <v>25</v>
      </c>
      <c r="G398" s="10" t="s">
        <v>2999</v>
      </c>
      <c r="H398" s="10" t="s">
        <v>67</v>
      </c>
      <c r="I398" s="10" t="s">
        <v>195</v>
      </c>
      <c r="J398" s="10" t="s">
        <v>164</v>
      </c>
      <c r="K398" s="66">
        <v>60000</v>
      </c>
      <c r="L398" s="10">
        <v>16</v>
      </c>
      <c r="M398" s="10">
        <v>960000</v>
      </c>
      <c r="O398" s="67">
        <v>45493</v>
      </c>
      <c r="P398" s="10">
        <v>2024</v>
      </c>
      <c r="Q398" s="10">
        <v>7</v>
      </c>
      <c r="R398" s="10" t="s">
        <v>3043</v>
      </c>
      <c r="S398" s="10" t="s">
        <v>6620</v>
      </c>
      <c r="T398" s="10" t="s">
        <v>6621</v>
      </c>
      <c r="U398" s="10">
        <v>0</v>
      </c>
      <c r="V398" s="10">
        <v>59</v>
      </c>
      <c r="W398" s="67"/>
      <c r="X398" s="11" t="s">
        <v>3102</v>
      </c>
      <c r="Y398" s="11" t="s">
        <v>4572</v>
      </c>
      <c r="Z398" s="11" t="s">
        <v>4619</v>
      </c>
      <c r="AA398" s="67">
        <v>45473</v>
      </c>
      <c r="AB398" s="67">
        <v>45474</v>
      </c>
      <c r="AC398" s="67">
        <v>45504</v>
      </c>
      <c r="AD398" s="67">
        <v>45503</v>
      </c>
      <c r="AE398" s="67">
        <v>45504</v>
      </c>
    </row>
    <row r="399" spans="1:31" ht="12.5">
      <c r="A399" s="10">
        <v>610422020048</v>
      </c>
      <c r="B399" s="10" t="s">
        <v>194</v>
      </c>
      <c r="D399" s="10">
        <v>1</v>
      </c>
      <c r="E399" s="10" t="s">
        <v>1359</v>
      </c>
      <c r="F399" s="10" t="s">
        <v>25</v>
      </c>
      <c r="G399" s="10" t="s">
        <v>1358</v>
      </c>
      <c r="H399" s="10" t="s">
        <v>67</v>
      </c>
      <c r="I399" s="10" t="s">
        <v>195</v>
      </c>
      <c r="J399" s="10" t="s">
        <v>164</v>
      </c>
      <c r="K399" s="66">
        <v>60000</v>
      </c>
      <c r="L399" s="10">
        <v>10</v>
      </c>
      <c r="M399" s="10">
        <v>600000</v>
      </c>
      <c r="O399" s="67">
        <v>45493</v>
      </c>
      <c r="P399" s="10">
        <v>2024</v>
      </c>
      <c r="Q399" s="10">
        <v>7</v>
      </c>
      <c r="R399" s="10" t="s">
        <v>3043</v>
      </c>
      <c r="S399" s="10" t="s">
        <v>6622</v>
      </c>
      <c r="T399" s="10" t="s">
        <v>6623</v>
      </c>
      <c r="U399" s="10">
        <v>0</v>
      </c>
      <c r="V399" s="10">
        <v>59</v>
      </c>
      <c r="W399" s="67"/>
      <c r="X399" s="11" t="s">
        <v>3102</v>
      </c>
      <c r="Y399" s="11" t="s">
        <v>4931</v>
      </c>
      <c r="Z399" s="11" t="s">
        <v>5171</v>
      </c>
      <c r="AA399" s="67">
        <v>45473</v>
      </c>
      <c r="AB399" s="67">
        <v>45474</v>
      </c>
      <c r="AC399" s="67">
        <v>45504</v>
      </c>
      <c r="AD399" s="67">
        <v>45503</v>
      </c>
      <c r="AE399" s="67">
        <v>45504</v>
      </c>
    </row>
    <row r="400" spans="1:31" ht="12.5">
      <c r="A400" s="10">
        <v>610422100165</v>
      </c>
      <c r="B400" s="10" t="s">
        <v>194</v>
      </c>
      <c r="D400" s="10">
        <v>1</v>
      </c>
      <c r="E400" s="10" t="s">
        <v>2855</v>
      </c>
      <c r="F400" s="10" t="s">
        <v>25</v>
      </c>
      <c r="G400" s="10" t="s">
        <v>2854</v>
      </c>
      <c r="H400" s="10" t="s">
        <v>67</v>
      </c>
      <c r="I400" s="10" t="s">
        <v>195</v>
      </c>
      <c r="J400" s="10" t="s">
        <v>164</v>
      </c>
      <c r="K400" s="66">
        <v>60000</v>
      </c>
      <c r="L400" s="10">
        <v>6</v>
      </c>
      <c r="M400" s="10">
        <v>360000</v>
      </c>
      <c r="O400" s="67">
        <v>45493</v>
      </c>
      <c r="P400" s="10">
        <v>2024</v>
      </c>
      <c r="Q400" s="10">
        <v>7</v>
      </c>
      <c r="R400" s="10" t="s">
        <v>3043</v>
      </c>
      <c r="S400" s="10" t="s">
        <v>6624</v>
      </c>
      <c r="T400" s="10" t="s">
        <v>6625</v>
      </c>
      <c r="U400" s="10">
        <v>0</v>
      </c>
      <c r="V400" s="10">
        <v>59</v>
      </c>
      <c r="W400" s="67"/>
      <c r="X400" s="11" t="s">
        <v>3102</v>
      </c>
      <c r="Y400" s="11" t="s">
        <v>3990</v>
      </c>
      <c r="Z400" s="11" t="s">
        <v>4332</v>
      </c>
      <c r="AA400" s="67">
        <v>45473</v>
      </c>
      <c r="AB400" s="67">
        <v>45474</v>
      </c>
      <c r="AC400" s="67">
        <v>45504</v>
      </c>
      <c r="AD400" s="67">
        <v>45503</v>
      </c>
      <c r="AE400" s="67">
        <v>45504</v>
      </c>
    </row>
    <row r="401" spans="1:31" ht="12.5">
      <c r="A401" s="10">
        <v>610422020052</v>
      </c>
      <c r="B401" s="10" t="s">
        <v>194</v>
      </c>
      <c r="D401" s="10">
        <v>1</v>
      </c>
      <c r="E401" s="10" t="s">
        <v>498</v>
      </c>
      <c r="F401" s="10" t="s">
        <v>25</v>
      </c>
      <c r="G401" s="10" t="s">
        <v>497</v>
      </c>
      <c r="H401" s="10" t="s">
        <v>67</v>
      </c>
      <c r="I401" s="10" t="s">
        <v>195</v>
      </c>
      <c r="J401" s="10" t="s">
        <v>164</v>
      </c>
      <c r="K401" s="66">
        <v>60000</v>
      </c>
      <c r="L401" s="10">
        <v>7</v>
      </c>
      <c r="M401" s="10">
        <v>420000</v>
      </c>
      <c r="O401" s="67">
        <v>45493</v>
      </c>
      <c r="P401" s="10">
        <v>2024</v>
      </c>
      <c r="Q401" s="10">
        <v>7</v>
      </c>
      <c r="R401" s="10" t="s">
        <v>3043</v>
      </c>
      <c r="S401" s="10" t="s">
        <v>6626</v>
      </c>
      <c r="T401" s="10" t="s">
        <v>6627</v>
      </c>
      <c r="U401" s="10">
        <v>0</v>
      </c>
      <c r="V401" s="10">
        <v>59</v>
      </c>
      <c r="W401" s="67"/>
      <c r="X401" s="11" t="s">
        <v>3102</v>
      </c>
      <c r="Y401" s="11" t="s">
        <v>3990</v>
      </c>
      <c r="Z401" s="11" t="s">
        <v>4087</v>
      </c>
      <c r="AA401" s="67">
        <v>45473</v>
      </c>
      <c r="AB401" s="67">
        <v>45474</v>
      </c>
      <c r="AC401" s="67">
        <v>45504</v>
      </c>
      <c r="AD401" s="67">
        <v>45503</v>
      </c>
      <c r="AE401" s="67">
        <v>45504</v>
      </c>
    </row>
    <row r="402" spans="1:31" ht="12.5">
      <c r="A402" s="10">
        <v>610422100016</v>
      </c>
      <c r="B402" s="10" t="s">
        <v>196</v>
      </c>
      <c r="D402" s="10">
        <v>1</v>
      </c>
      <c r="E402" s="10" t="s">
        <v>550</v>
      </c>
      <c r="F402" s="10" t="s">
        <v>25</v>
      </c>
      <c r="G402" s="10" t="s">
        <v>549</v>
      </c>
      <c r="H402" s="10" t="s">
        <v>72</v>
      </c>
      <c r="I402" s="10" t="s">
        <v>197</v>
      </c>
      <c r="J402" s="10" t="s">
        <v>164</v>
      </c>
      <c r="K402" s="66">
        <v>65000</v>
      </c>
      <c r="L402" s="10">
        <v>3</v>
      </c>
      <c r="M402" s="10">
        <v>195000</v>
      </c>
      <c r="O402" s="67">
        <v>45493</v>
      </c>
      <c r="P402" s="10">
        <v>2024</v>
      </c>
      <c r="Q402" s="10">
        <v>7</v>
      </c>
      <c r="R402" s="10" t="s">
        <v>3043</v>
      </c>
      <c r="S402" s="10" t="s">
        <v>6585</v>
      </c>
      <c r="T402" s="10" t="s">
        <v>6628</v>
      </c>
      <c r="U402" s="10">
        <v>0</v>
      </c>
      <c r="V402" s="10">
        <v>59</v>
      </c>
      <c r="W402" s="67"/>
      <c r="X402" s="11" t="s">
        <v>3110</v>
      </c>
      <c r="Y402" s="11" t="s">
        <v>5250</v>
      </c>
      <c r="Z402" s="11" t="s">
        <v>5365</v>
      </c>
      <c r="AA402" s="67">
        <v>45473</v>
      </c>
      <c r="AB402" s="67">
        <v>45474</v>
      </c>
      <c r="AC402" s="67">
        <v>45504</v>
      </c>
      <c r="AD402" s="67">
        <v>45503</v>
      </c>
      <c r="AE402" s="67">
        <v>45504</v>
      </c>
    </row>
    <row r="403" spans="1:31" ht="12.5">
      <c r="A403" s="10">
        <v>610422050001</v>
      </c>
      <c r="B403" s="10" t="s">
        <v>196</v>
      </c>
      <c r="D403" s="10">
        <v>1</v>
      </c>
      <c r="E403" s="10" t="s">
        <v>5949</v>
      </c>
      <c r="F403" s="10" t="s">
        <v>25</v>
      </c>
      <c r="G403" s="10" t="s">
        <v>1127</v>
      </c>
      <c r="H403" s="10" t="s">
        <v>72</v>
      </c>
      <c r="I403" s="10" t="s">
        <v>197</v>
      </c>
      <c r="J403" s="10" t="s">
        <v>164</v>
      </c>
      <c r="K403" s="66">
        <v>65000</v>
      </c>
      <c r="L403" s="10">
        <v>3</v>
      </c>
      <c r="M403" s="10">
        <v>195000</v>
      </c>
      <c r="O403" s="67">
        <v>45493</v>
      </c>
      <c r="P403" s="10">
        <v>2024</v>
      </c>
      <c r="Q403" s="10">
        <v>7</v>
      </c>
      <c r="R403" s="10" t="s">
        <v>3043</v>
      </c>
      <c r="S403" s="10" t="s">
        <v>6629</v>
      </c>
      <c r="T403" s="10" t="s">
        <v>6630</v>
      </c>
      <c r="U403" s="10">
        <v>0</v>
      </c>
      <c r="V403" s="10">
        <v>59</v>
      </c>
      <c r="W403" s="67"/>
      <c r="X403" s="11" t="s">
        <v>3110</v>
      </c>
      <c r="Y403" s="11" t="s">
        <v>4408</v>
      </c>
      <c r="Z403" s="11" t="s">
        <v>4409</v>
      </c>
      <c r="AA403" s="67">
        <v>45473</v>
      </c>
      <c r="AB403" s="67">
        <v>45474</v>
      </c>
      <c r="AC403" s="67">
        <v>45504</v>
      </c>
      <c r="AD403" s="67">
        <v>45503</v>
      </c>
      <c r="AE403" s="67">
        <v>45504</v>
      </c>
    </row>
    <row r="404" spans="1:31" ht="12.5">
      <c r="A404" s="10">
        <v>610422040030</v>
      </c>
      <c r="B404" s="10" t="s">
        <v>196</v>
      </c>
      <c r="D404" s="10">
        <v>1</v>
      </c>
      <c r="E404" s="10" t="s">
        <v>2697</v>
      </c>
      <c r="F404" s="10" t="s">
        <v>25</v>
      </c>
      <c r="G404" s="10" t="s">
        <v>2696</v>
      </c>
      <c r="H404" s="10" t="s">
        <v>74</v>
      </c>
      <c r="I404" s="10" t="s">
        <v>198</v>
      </c>
      <c r="J404" s="10" t="s">
        <v>164</v>
      </c>
      <c r="K404" s="66">
        <v>55000</v>
      </c>
      <c r="L404" s="10">
        <v>1</v>
      </c>
      <c r="M404" s="10">
        <v>55000</v>
      </c>
      <c r="O404" s="67">
        <v>45493</v>
      </c>
      <c r="P404" s="10">
        <v>2024</v>
      </c>
      <c r="Q404" s="10">
        <v>7</v>
      </c>
      <c r="R404" s="10" t="s">
        <v>3043</v>
      </c>
      <c r="S404" s="10" t="s">
        <v>6631</v>
      </c>
      <c r="T404" s="10" t="s">
        <v>6632</v>
      </c>
      <c r="U404" s="10">
        <v>0</v>
      </c>
      <c r="V404" s="10">
        <v>59</v>
      </c>
      <c r="W404" s="67"/>
      <c r="X404" s="11" t="s">
        <v>3110</v>
      </c>
      <c r="Y404" s="11" t="s">
        <v>3241</v>
      </c>
      <c r="Z404" s="11" t="s">
        <v>3289</v>
      </c>
      <c r="AA404" s="67">
        <v>45473</v>
      </c>
      <c r="AB404" s="67">
        <v>45474</v>
      </c>
      <c r="AC404" s="67">
        <v>45504</v>
      </c>
      <c r="AD404" s="67">
        <v>45503</v>
      </c>
      <c r="AE404" s="67">
        <v>45504</v>
      </c>
    </row>
    <row r="405" spans="1:31" ht="12.5">
      <c r="A405" s="10">
        <v>610422100124</v>
      </c>
      <c r="B405" s="10" t="s">
        <v>196</v>
      </c>
      <c r="D405" s="10">
        <v>1</v>
      </c>
      <c r="E405" s="10" t="s">
        <v>2237</v>
      </c>
      <c r="F405" s="10" t="s">
        <v>25</v>
      </c>
      <c r="G405" s="10" t="s">
        <v>2236</v>
      </c>
      <c r="H405" s="10" t="s">
        <v>74</v>
      </c>
      <c r="I405" s="10" t="s">
        <v>198</v>
      </c>
      <c r="J405" s="10" t="s">
        <v>164</v>
      </c>
      <c r="K405" s="66">
        <v>55000</v>
      </c>
      <c r="L405" s="10">
        <v>3</v>
      </c>
      <c r="M405" s="10">
        <v>165000</v>
      </c>
      <c r="O405" s="67">
        <v>45493</v>
      </c>
      <c r="P405" s="10">
        <v>2024</v>
      </c>
      <c r="Q405" s="10">
        <v>7</v>
      </c>
      <c r="R405" s="10" t="s">
        <v>3043</v>
      </c>
      <c r="S405" s="10" t="s">
        <v>6618</v>
      </c>
      <c r="T405" s="10" t="s">
        <v>6619</v>
      </c>
      <c r="U405" s="10">
        <v>0</v>
      </c>
      <c r="V405" s="10">
        <v>59</v>
      </c>
      <c r="W405" s="67"/>
      <c r="X405" s="11" t="s">
        <v>3110</v>
      </c>
      <c r="Y405" s="11" t="s">
        <v>1921</v>
      </c>
      <c r="Z405" s="11" t="s">
        <v>2140</v>
      </c>
      <c r="AA405" s="67">
        <v>45473</v>
      </c>
      <c r="AB405" s="67">
        <v>45474</v>
      </c>
      <c r="AC405" s="67">
        <v>45504</v>
      </c>
      <c r="AD405" s="67">
        <v>45503</v>
      </c>
      <c r="AE405" s="67">
        <v>45504</v>
      </c>
    </row>
    <row r="406" spans="1:31" ht="12.5">
      <c r="A406" s="10">
        <v>610422100244</v>
      </c>
      <c r="B406" s="10" t="s">
        <v>196</v>
      </c>
      <c r="D406" s="10">
        <v>1</v>
      </c>
      <c r="E406" s="10" t="s">
        <v>2633</v>
      </c>
      <c r="F406" s="10" t="s">
        <v>25</v>
      </c>
      <c r="G406" s="10" t="s">
        <v>2632</v>
      </c>
      <c r="H406" s="10" t="s">
        <v>74</v>
      </c>
      <c r="I406" s="10" t="s">
        <v>198</v>
      </c>
      <c r="J406" s="10" t="s">
        <v>164</v>
      </c>
      <c r="K406" s="66">
        <v>55000</v>
      </c>
      <c r="L406" s="10">
        <v>2</v>
      </c>
      <c r="M406" s="10">
        <v>110000</v>
      </c>
      <c r="O406" s="67">
        <v>45493</v>
      </c>
      <c r="P406" s="10">
        <v>2024</v>
      </c>
      <c r="Q406" s="10">
        <v>7</v>
      </c>
      <c r="R406" s="10" t="s">
        <v>3043</v>
      </c>
      <c r="S406" s="10" t="s">
        <v>6616</v>
      </c>
      <c r="T406" s="10" t="s">
        <v>6617</v>
      </c>
      <c r="U406" s="10">
        <v>0</v>
      </c>
      <c r="V406" s="10">
        <v>59</v>
      </c>
      <c r="W406" s="67"/>
      <c r="X406" s="11" t="s">
        <v>3110</v>
      </c>
      <c r="Y406" s="11" t="s">
        <v>5741</v>
      </c>
      <c r="Z406" s="11" t="s">
        <v>5796</v>
      </c>
      <c r="AA406" s="67">
        <v>45473</v>
      </c>
      <c r="AB406" s="67">
        <v>45474</v>
      </c>
      <c r="AC406" s="67">
        <v>45504</v>
      </c>
      <c r="AD406" s="67">
        <v>45503</v>
      </c>
      <c r="AE406" s="67">
        <v>45504</v>
      </c>
    </row>
    <row r="407" spans="1:31" ht="12.5">
      <c r="A407" s="10">
        <v>610422020016</v>
      </c>
      <c r="B407" s="10" t="s">
        <v>196</v>
      </c>
      <c r="D407" s="10">
        <v>1</v>
      </c>
      <c r="E407" s="10" t="s">
        <v>380</v>
      </c>
      <c r="F407" s="10" t="s">
        <v>25</v>
      </c>
      <c r="G407" s="10" t="s">
        <v>379</v>
      </c>
      <c r="H407" s="10" t="s">
        <v>74</v>
      </c>
      <c r="I407" s="10" t="s">
        <v>198</v>
      </c>
      <c r="J407" s="10" t="s">
        <v>164</v>
      </c>
      <c r="K407" s="66">
        <v>55000</v>
      </c>
      <c r="L407" s="10">
        <v>3</v>
      </c>
      <c r="M407" s="10">
        <v>165000</v>
      </c>
      <c r="O407" s="67">
        <v>45493</v>
      </c>
      <c r="P407" s="10">
        <v>2024</v>
      </c>
      <c r="Q407" s="10">
        <v>7</v>
      </c>
      <c r="R407" s="10" t="s">
        <v>3043</v>
      </c>
      <c r="S407" s="10" t="s">
        <v>6633</v>
      </c>
      <c r="T407" s="10" t="s">
        <v>6634</v>
      </c>
      <c r="U407" s="10">
        <v>0</v>
      </c>
      <c r="V407" s="10">
        <v>59</v>
      </c>
      <c r="W407" s="67"/>
      <c r="X407" s="11" t="s">
        <v>3110</v>
      </c>
      <c r="Y407" s="11" t="s">
        <v>5534</v>
      </c>
      <c r="Z407" s="11" t="s">
        <v>5535</v>
      </c>
      <c r="AA407" s="67">
        <v>45473</v>
      </c>
      <c r="AB407" s="67">
        <v>45474</v>
      </c>
      <c r="AC407" s="67">
        <v>45504</v>
      </c>
      <c r="AD407" s="67">
        <v>45503</v>
      </c>
      <c r="AE407" s="67">
        <v>45504</v>
      </c>
    </row>
    <row r="408" spans="1:31" ht="12.5">
      <c r="A408" s="10">
        <v>610422100016</v>
      </c>
      <c r="B408" s="10" t="s">
        <v>196</v>
      </c>
      <c r="D408" s="10">
        <v>1</v>
      </c>
      <c r="E408" s="10" t="s">
        <v>550</v>
      </c>
      <c r="F408" s="10" t="s">
        <v>25</v>
      </c>
      <c r="G408" s="10" t="s">
        <v>549</v>
      </c>
      <c r="H408" s="10" t="s">
        <v>74</v>
      </c>
      <c r="I408" s="10" t="s">
        <v>198</v>
      </c>
      <c r="J408" s="10" t="s">
        <v>164</v>
      </c>
      <c r="K408" s="66">
        <v>55000</v>
      </c>
      <c r="L408" s="10">
        <v>1</v>
      </c>
      <c r="M408" s="10">
        <v>55000</v>
      </c>
      <c r="O408" s="67">
        <v>45493</v>
      </c>
      <c r="P408" s="10">
        <v>2024</v>
      </c>
      <c r="Q408" s="10">
        <v>7</v>
      </c>
      <c r="R408" s="10" t="s">
        <v>3043</v>
      </c>
      <c r="S408" s="10" t="s">
        <v>6585</v>
      </c>
      <c r="T408" s="10" t="s">
        <v>6628</v>
      </c>
      <c r="U408" s="10">
        <v>0</v>
      </c>
      <c r="V408" s="10">
        <v>59</v>
      </c>
      <c r="W408" s="67"/>
      <c r="X408" s="11" t="s">
        <v>3110</v>
      </c>
      <c r="Y408" s="11" t="s">
        <v>5250</v>
      </c>
      <c r="Z408" s="11" t="s">
        <v>5365</v>
      </c>
      <c r="AA408" s="67">
        <v>45473</v>
      </c>
      <c r="AB408" s="67">
        <v>45474</v>
      </c>
      <c r="AC408" s="67">
        <v>45504</v>
      </c>
      <c r="AD408" s="67">
        <v>45503</v>
      </c>
      <c r="AE408" s="67">
        <v>45504</v>
      </c>
    </row>
    <row r="409" spans="1:31" ht="12.5">
      <c r="A409" s="10">
        <v>610422020048</v>
      </c>
      <c r="B409" s="10" t="s">
        <v>196</v>
      </c>
      <c r="D409" s="10">
        <v>1</v>
      </c>
      <c r="E409" s="10" t="s">
        <v>1359</v>
      </c>
      <c r="F409" s="10" t="s">
        <v>25</v>
      </c>
      <c r="G409" s="10" t="s">
        <v>1358</v>
      </c>
      <c r="H409" s="10" t="s">
        <v>74</v>
      </c>
      <c r="I409" s="10" t="s">
        <v>198</v>
      </c>
      <c r="J409" s="10" t="s">
        <v>164</v>
      </c>
      <c r="K409" s="66">
        <v>55000</v>
      </c>
      <c r="L409" s="10">
        <v>3</v>
      </c>
      <c r="M409" s="10">
        <v>165000</v>
      </c>
      <c r="O409" s="67">
        <v>45493</v>
      </c>
      <c r="P409" s="10">
        <v>2024</v>
      </c>
      <c r="Q409" s="10">
        <v>7</v>
      </c>
      <c r="R409" s="10" t="s">
        <v>3043</v>
      </c>
      <c r="S409" s="10" t="s">
        <v>6622</v>
      </c>
      <c r="T409" s="10" t="s">
        <v>6623</v>
      </c>
      <c r="U409" s="10">
        <v>0</v>
      </c>
      <c r="V409" s="10">
        <v>59</v>
      </c>
      <c r="W409" s="67"/>
      <c r="X409" s="11" t="s">
        <v>3110</v>
      </c>
      <c r="Y409" s="11" t="s">
        <v>4931</v>
      </c>
      <c r="Z409" s="11" t="s">
        <v>5171</v>
      </c>
      <c r="AA409" s="67">
        <v>45473</v>
      </c>
      <c r="AB409" s="67">
        <v>45474</v>
      </c>
      <c r="AC409" s="67">
        <v>45504</v>
      </c>
      <c r="AD409" s="67">
        <v>45503</v>
      </c>
      <c r="AE409" s="67">
        <v>45504</v>
      </c>
    </row>
    <row r="410" spans="1:31" ht="12.5">
      <c r="A410" s="10">
        <v>610422040029</v>
      </c>
      <c r="B410" s="10" t="s">
        <v>196</v>
      </c>
      <c r="D410" s="10">
        <v>1</v>
      </c>
      <c r="E410" s="10" t="s">
        <v>3000</v>
      </c>
      <c r="F410" s="10" t="s">
        <v>25</v>
      </c>
      <c r="G410" s="10" t="s">
        <v>2999</v>
      </c>
      <c r="H410" s="10" t="s">
        <v>74</v>
      </c>
      <c r="I410" s="10" t="s">
        <v>198</v>
      </c>
      <c r="J410" s="10" t="s">
        <v>164</v>
      </c>
      <c r="K410" s="66">
        <v>55000</v>
      </c>
      <c r="L410" s="10">
        <v>4</v>
      </c>
      <c r="M410" s="10">
        <v>220000</v>
      </c>
      <c r="O410" s="67">
        <v>45493</v>
      </c>
      <c r="P410" s="10">
        <v>2024</v>
      </c>
      <c r="Q410" s="10">
        <v>7</v>
      </c>
      <c r="R410" s="10" t="s">
        <v>3043</v>
      </c>
      <c r="S410" s="10" t="s">
        <v>6620</v>
      </c>
      <c r="T410" s="10" t="s">
        <v>6621</v>
      </c>
      <c r="U410" s="10">
        <v>0</v>
      </c>
      <c r="V410" s="10">
        <v>59</v>
      </c>
      <c r="W410" s="67"/>
      <c r="X410" s="11" t="s">
        <v>3110</v>
      </c>
      <c r="Y410" s="11" t="s">
        <v>4572</v>
      </c>
      <c r="Z410" s="11" t="s">
        <v>4619</v>
      </c>
      <c r="AA410" s="67">
        <v>45473</v>
      </c>
      <c r="AB410" s="67">
        <v>45474</v>
      </c>
      <c r="AC410" s="67">
        <v>45504</v>
      </c>
      <c r="AD410" s="67">
        <v>45503</v>
      </c>
      <c r="AE410" s="67">
        <v>45504</v>
      </c>
    </row>
    <row r="411" spans="1:31" ht="12.5">
      <c r="A411" s="10">
        <v>610422050001</v>
      </c>
      <c r="B411" s="10" t="s">
        <v>196</v>
      </c>
      <c r="D411" s="10">
        <v>1</v>
      </c>
      <c r="E411" s="10" t="s">
        <v>5949</v>
      </c>
      <c r="F411" s="10" t="s">
        <v>25</v>
      </c>
      <c r="G411" s="10" t="s">
        <v>1127</v>
      </c>
      <c r="H411" s="10" t="s">
        <v>74</v>
      </c>
      <c r="I411" s="10" t="s">
        <v>198</v>
      </c>
      <c r="J411" s="10" t="s">
        <v>164</v>
      </c>
      <c r="K411" s="66">
        <v>55000</v>
      </c>
      <c r="L411" s="10">
        <v>1</v>
      </c>
      <c r="M411" s="10">
        <v>55000</v>
      </c>
      <c r="O411" s="67">
        <v>45493</v>
      </c>
      <c r="P411" s="10">
        <v>2024</v>
      </c>
      <c r="Q411" s="10">
        <v>7</v>
      </c>
      <c r="R411" s="10" t="s">
        <v>3043</v>
      </c>
      <c r="S411" s="10" t="s">
        <v>6629</v>
      </c>
      <c r="T411" s="10" t="s">
        <v>6630</v>
      </c>
      <c r="U411" s="10">
        <v>0</v>
      </c>
      <c r="V411" s="10">
        <v>59</v>
      </c>
      <c r="W411" s="67"/>
      <c r="X411" s="11" t="s">
        <v>3110</v>
      </c>
      <c r="Y411" s="11" t="s">
        <v>4408</v>
      </c>
      <c r="Z411" s="11" t="s">
        <v>4409</v>
      </c>
      <c r="AA411" s="67">
        <v>45473</v>
      </c>
      <c r="AB411" s="67">
        <v>45474</v>
      </c>
      <c r="AC411" s="67">
        <v>45504</v>
      </c>
      <c r="AD411" s="67">
        <v>45503</v>
      </c>
      <c r="AE411" s="67">
        <v>45504</v>
      </c>
    </row>
    <row r="412" spans="1:31" ht="12.5">
      <c r="A412" s="10">
        <v>610422100124</v>
      </c>
      <c r="B412" s="10" t="s">
        <v>199</v>
      </c>
      <c r="D412" s="10">
        <v>1</v>
      </c>
      <c r="E412" s="10" t="s">
        <v>2237</v>
      </c>
      <c r="F412" s="10" t="s">
        <v>25</v>
      </c>
      <c r="G412" s="10" t="s">
        <v>2236</v>
      </c>
      <c r="H412" s="10" t="s">
        <v>67</v>
      </c>
      <c r="I412" s="10" t="s">
        <v>200</v>
      </c>
      <c r="J412" s="10" t="s">
        <v>164</v>
      </c>
      <c r="K412" s="66">
        <v>55000</v>
      </c>
      <c r="L412" s="10">
        <v>2</v>
      </c>
      <c r="M412" s="10">
        <v>110000</v>
      </c>
      <c r="O412" s="67">
        <v>45493</v>
      </c>
      <c r="P412" s="10">
        <v>2024</v>
      </c>
      <c r="Q412" s="10">
        <v>7</v>
      </c>
      <c r="R412" s="10" t="s">
        <v>3043</v>
      </c>
      <c r="S412" s="10" t="s">
        <v>6618</v>
      </c>
      <c r="T412" s="10" t="s">
        <v>6619</v>
      </c>
      <c r="U412" s="10">
        <v>0</v>
      </c>
      <c r="V412" s="10">
        <v>59</v>
      </c>
      <c r="W412" s="67"/>
      <c r="X412" s="11" t="s">
        <v>6987</v>
      </c>
      <c r="Y412" s="11" t="s">
        <v>1921</v>
      </c>
      <c r="Z412" s="11" t="s">
        <v>2140</v>
      </c>
      <c r="AA412" s="67">
        <v>45473</v>
      </c>
      <c r="AB412" s="67">
        <v>45474</v>
      </c>
      <c r="AC412" s="67">
        <v>45504</v>
      </c>
      <c r="AD412" s="67">
        <v>45503</v>
      </c>
      <c r="AE412" s="67">
        <v>45504</v>
      </c>
    </row>
    <row r="413" spans="1:31" ht="12.5">
      <c r="A413" s="10">
        <v>610422100244</v>
      </c>
      <c r="B413" s="10" t="s">
        <v>199</v>
      </c>
      <c r="D413" s="10">
        <v>1</v>
      </c>
      <c r="E413" s="10" t="s">
        <v>2633</v>
      </c>
      <c r="F413" s="10" t="s">
        <v>25</v>
      </c>
      <c r="G413" s="10" t="s">
        <v>2632</v>
      </c>
      <c r="H413" s="10" t="s">
        <v>67</v>
      </c>
      <c r="I413" s="10" t="s">
        <v>200</v>
      </c>
      <c r="J413" s="10" t="s">
        <v>164</v>
      </c>
      <c r="K413" s="66">
        <v>55000</v>
      </c>
      <c r="L413" s="10">
        <v>2</v>
      </c>
      <c r="M413" s="10">
        <v>110000</v>
      </c>
      <c r="O413" s="67">
        <v>45493</v>
      </c>
      <c r="P413" s="10">
        <v>2024</v>
      </c>
      <c r="Q413" s="10">
        <v>7</v>
      </c>
      <c r="R413" s="10" t="s">
        <v>3043</v>
      </c>
      <c r="S413" s="10" t="s">
        <v>6616</v>
      </c>
      <c r="T413" s="10" t="s">
        <v>6617</v>
      </c>
      <c r="U413" s="10">
        <v>0</v>
      </c>
      <c r="V413" s="10">
        <v>59</v>
      </c>
      <c r="W413" s="67"/>
      <c r="X413" s="11" t="s">
        <v>6987</v>
      </c>
      <c r="Y413" s="11" t="s">
        <v>5741</v>
      </c>
      <c r="Z413" s="11" t="s">
        <v>5796</v>
      </c>
      <c r="AA413" s="67">
        <v>45473</v>
      </c>
      <c r="AB413" s="67">
        <v>45474</v>
      </c>
      <c r="AC413" s="67">
        <v>45504</v>
      </c>
      <c r="AD413" s="67">
        <v>45503</v>
      </c>
      <c r="AE413" s="67">
        <v>45504</v>
      </c>
    </row>
    <row r="414" spans="1:31" ht="12.5">
      <c r="A414" s="10">
        <v>610422100165</v>
      </c>
      <c r="B414" s="10" t="s">
        <v>199</v>
      </c>
      <c r="D414" s="10">
        <v>1</v>
      </c>
      <c r="E414" s="10" t="s">
        <v>2855</v>
      </c>
      <c r="F414" s="10" t="s">
        <v>25</v>
      </c>
      <c r="G414" s="10" t="s">
        <v>2854</v>
      </c>
      <c r="H414" s="10" t="s">
        <v>67</v>
      </c>
      <c r="I414" s="10" t="s">
        <v>200</v>
      </c>
      <c r="J414" s="10" t="s">
        <v>164</v>
      </c>
      <c r="K414" s="66">
        <v>55000</v>
      </c>
      <c r="L414" s="10">
        <v>2</v>
      </c>
      <c r="M414" s="10">
        <v>110000</v>
      </c>
      <c r="O414" s="67">
        <v>45493</v>
      </c>
      <c r="P414" s="10">
        <v>2024</v>
      </c>
      <c r="Q414" s="10">
        <v>7</v>
      </c>
      <c r="R414" s="10" t="s">
        <v>3043</v>
      </c>
      <c r="S414" s="10" t="s">
        <v>6624</v>
      </c>
      <c r="T414" s="10" t="s">
        <v>6625</v>
      </c>
      <c r="U414" s="10">
        <v>0</v>
      </c>
      <c r="V414" s="10">
        <v>59</v>
      </c>
      <c r="W414" s="67"/>
      <c r="X414" s="11" t="s">
        <v>6987</v>
      </c>
      <c r="Y414" s="11" t="s">
        <v>3990</v>
      </c>
      <c r="Z414" s="11" t="s">
        <v>4332</v>
      </c>
      <c r="AA414" s="67">
        <v>45473</v>
      </c>
      <c r="AB414" s="67">
        <v>45474</v>
      </c>
      <c r="AC414" s="67">
        <v>45504</v>
      </c>
      <c r="AD414" s="67">
        <v>45503</v>
      </c>
      <c r="AE414" s="67">
        <v>45504</v>
      </c>
    </row>
    <row r="415" spans="1:31" ht="12.5">
      <c r="A415" s="10">
        <v>610422100165</v>
      </c>
      <c r="B415" s="10" t="s">
        <v>201</v>
      </c>
      <c r="D415" s="10">
        <v>1</v>
      </c>
      <c r="E415" s="10" t="s">
        <v>2855</v>
      </c>
      <c r="F415" s="10" t="s">
        <v>25</v>
      </c>
      <c r="G415" s="10" t="s">
        <v>2854</v>
      </c>
      <c r="H415" s="10" t="s">
        <v>67</v>
      </c>
      <c r="I415" s="10" t="s">
        <v>202</v>
      </c>
      <c r="J415" s="10" t="s">
        <v>164</v>
      </c>
      <c r="K415" s="66">
        <v>50000</v>
      </c>
      <c r="L415" s="10">
        <v>1</v>
      </c>
      <c r="M415" s="10">
        <v>50000</v>
      </c>
      <c r="O415" s="67">
        <v>45493</v>
      </c>
      <c r="P415" s="10">
        <v>2024</v>
      </c>
      <c r="Q415" s="10">
        <v>7</v>
      </c>
      <c r="R415" s="10" t="s">
        <v>3043</v>
      </c>
      <c r="S415" s="10" t="s">
        <v>6624</v>
      </c>
      <c r="T415" s="10" t="s">
        <v>6625</v>
      </c>
      <c r="U415" s="10">
        <v>0</v>
      </c>
      <c r="V415" s="10">
        <v>59</v>
      </c>
      <c r="W415" s="67"/>
      <c r="X415" s="11" t="s">
        <v>3134</v>
      </c>
      <c r="Y415" s="11" t="s">
        <v>3990</v>
      </c>
      <c r="Z415" s="11" t="s">
        <v>4332</v>
      </c>
      <c r="AA415" s="67">
        <v>45473</v>
      </c>
      <c r="AB415" s="67">
        <v>45474</v>
      </c>
      <c r="AC415" s="67">
        <v>45504</v>
      </c>
      <c r="AD415" s="67">
        <v>45503</v>
      </c>
      <c r="AE415" s="67">
        <v>45504</v>
      </c>
    </row>
    <row r="416" spans="1:31" ht="12.5">
      <c r="A416" s="10">
        <v>610422040029</v>
      </c>
      <c r="B416" s="10" t="s">
        <v>203</v>
      </c>
      <c r="D416" s="10">
        <v>1</v>
      </c>
      <c r="E416" s="10" t="s">
        <v>3000</v>
      </c>
      <c r="F416" s="10" t="s">
        <v>25</v>
      </c>
      <c r="G416" s="10" t="s">
        <v>2999</v>
      </c>
      <c r="H416" s="10" t="s">
        <v>67</v>
      </c>
      <c r="I416" s="10" t="s">
        <v>204</v>
      </c>
      <c r="J416" s="10" t="s">
        <v>164</v>
      </c>
      <c r="K416" s="66">
        <v>55000</v>
      </c>
      <c r="L416" s="10">
        <v>3</v>
      </c>
      <c r="M416" s="10">
        <v>165000</v>
      </c>
      <c r="O416" s="67">
        <v>45493</v>
      </c>
      <c r="P416" s="10">
        <v>2024</v>
      </c>
      <c r="Q416" s="10">
        <v>7</v>
      </c>
      <c r="R416" s="10" t="s">
        <v>3043</v>
      </c>
      <c r="S416" s="10" t="s">
        <v>6620</v>
      </c>
      <c r="T416" s="10" t="s">
        <v>6621</v>
      </c>
      <c r="U416" s="10">
        <v>0</v>
      </c>
      <c r="V416" s="10">
        <v>59</v>
      </c>
      <c r="W416" s="67"/>
      <c r="X416" s="11" t="s">
        <v>3156</v>
      </c>
      <c r="Y416" s="11" t="s">
        <v>4572</v>
      </c>
      <c r="Z416" s="11" t="s">
        <v>4619</v>
      </c>
      <c r="AA416" s="67">
        <v>45473</v>
      </c>
      <c r="AB416" s="67">
        <v>45474</v>
      </c>
      <c r="AC416" s="67">
        <v>45504</v>
      </c>
      <c r="AD416" s="67">
        <v>45503</v>
      </c>
      <c r="AE416" s="67">
        <v>45504</v>
      </c>
    </row>
    <row r="417" spans="1:31" ht="12.5">
      <c r="A417" s="10">
        <v>610422100165</v>
      </c>
      <c r="B417" s="10" t="s">
        <v>203</v>
      </c>
      <c r="D417" s="10">
        <v>1</v>
      </c>
      <c r="E417" s="10" t="s">
        <v>2855</v>
      </c>
      <c r="F417" s="10" t="s">
        <v>25</v>
      </c>
      <c r="G417" s="10" t="s">
        <v>2854</v>
      </c>
      <c r="H417" s="10" t="s">
        <v>67</v>
      </c>
      <c r="I417" s="10" t="s">
        <v>204</v>
      </c>
      <c r="J417" s="10" t="s">
        <v>164</v>
      </c>
      <c r="K417" s="66">
        <v>55000</v>
      </c>
      <c r="L417" s="10">
        <v>3</v>
      </c>
      <c r="M417" s="10">
        <v>165000</v>
      </c>
      <c r="O417" s="67">
        <v>45493</v>
      </c>
      <c r="P417" s="10">
        <v>2024</v>
      </c>
      <c r="Q417" s="10">
        <v>7</v>
      </c>
      <c r="R417" s="10" t="s">
        <v>3043</v>
      </c>
      <c r="S417" s="10" t="s">
        <v>6624</v>
      </c>
      <c r="T417" s="10" t="s">
        <v>6625</v>
      </c>
      <c r="U417" s="10">
        <v>0</v>
      </c>
      <c r="V417" s="10">
        <v>59</v>
      </c>
      <c r="W417" s="67"/>
      <c r="X417" s="11" t="s">
        <v>3156</v>
      </c>
      <c r="Y417" s="11" t="s">
        <v>3990</v>
      </c>
      <c r="Z417" s="11" t="s">
        <v>4332</v>
      </c>
      <c r="AA417" s="67">
        <v>45473</v>
      </c>
      <c r="AB417" s="67">
        <v>45474</v>
      </c>
      <c r="AC417" s="67">
        <v>45504</v>
      </c>
      <c r="AD417" s="67">
        <v>45503</v>
      </c>
      <c r="AE417" s="67">
        <v>45504</v>
      </c>
    </row>
    <row r="418" spans="1:31" ht="12.5">
      <c r="A418" s="10">
        <v>610422050001</v>
      </c>
      <c r="B418" s="10" t="s">
        <v>203</v>
      </c>
      <c r="D418" s="10">
        <v>1</v>
      </c>
      <c r="E418" s="10" t="s">
        <v>5949</v>
      </c>
      <c r="F418" s="10" t="s">
        <v>25</v>
      </c>
      <c r="G418" s="10" t="s">
        <v>1127</v>
      </c>
      <c r="H418" s="10" t="s">
        <v>67</v>
      </c>
      <c r="I418" s="10" t="s">
        <v>204</v>
      </c>
      <c r="J418" s="10" t="s">
        <v>164</v>
      </c>
      <c r="K418" s="66">
        <v>55000</v>
      </c>
      <c r="L418" s="10">
        <v>3</v>
      </c>
      <c r="M418" s="10">
        <v>165000</v>
      </c>
      <c r="O418" s="67">
        <v>45493</v>
      </c>
      <c r="P418" s="10">
        <v>2024</v>
      </c>
      <c r="Q418" s="10">
        <v>7</v>
      </c>
      <c r="R418" s="10" t="s">
        <v>3043</v>
      </c>
      <c r="S418" s="10" t="s">
        <v>6629</v>
      </c>
      <c r="T418" s="10" t="s">
        <v>6630</v>
      </c>
      <c r="U418" s="10">
        <v>0</v>
      </c>
      <c r="V418" s="10">
        <v>59</v>
      </c>
      <c r="W418" s="67"/>
      <c r="X418" s="11" t="s">
        <v>3156</v>
      </c>
      <c r="Y418" s="11" t="s">
        <v>4408</v>
      </c>
      <c r="Z418" s="11" t="s">
        <v>4409</v>
      </c>
      <c r="AA418" s="67">
        <v>45473</v>
      </c>
      <c r="AB418" s="67">
        <v>45474</v>
      </c>
      <c r="AC418" s="67">
        <v>45504</v>
      </c>
      <c r="AD418" s="67">
        <v>45503</v>
      </c>
      <c r="AE418" s="67">
        <v>45504</v>
      </c>
    </row>
    <row r="419" spans="1:31" ht="12.5">
      <c r="A419" s="10">
        <v>610422040056</v>
      </c>
      <c r="B419" s="10" t="s">
        <v>203</v>
      </c>
      <c r="D419" s="10">
        <v>1</v>
      </c>
      <c r="E419" s="10" t="s">
        <v>2825</v>
      </c>
      <c r="F419" s="10" t="s">
        <v>25</v>
      </c>
      <c r="G419" s="10" t="s">
        <v>2824</v>
      </c>
      <c r="H419" s="10" t="s">
        <v>67</v>
      </c>
      <c r="I419" s="10" t="s">
        <v>204</v>
      </c>
      <c r="J419" s="10" t="s">
        <v>164</v>
      </c>
      <c r="K419" s="66">
        <v>55000</v>
      </c>
      <c r="L419" s="10">
        <v>2</v>
      </c>
      <c r="M419" s="10">
        <v>110000</v>
      </c>
      <c r="O419" s="67">
        <v>45493</v>
      </c>
      <c r="P419" s="10">
        <v>2024</v>
      </c>
      <c r="Q419" s="10">
        <v>7</v>
      </c>
      <c r="R419" s="10" t="s">
        <v>3043</v>
      </c>
      <c r="S419" s="10" t="s">
        <v>6635</v>
      </c>
      <c r="T419" s="10" t="s">
        <v>6636</v>
      </c>
      <c r="U419" s="10">
        <v>0</v>
      </c>
      <c r="V419" s="10">
        <v>59</v>
      </c>
      <c r="W419" s="67"/>
      <c r="X419" s="11" t="s">
        <v>3156</v>
      </c>
      <c r="Y419" s="11" t="s">
        <v>4572</v>
      </c>
      <c r="Z419" s="11" t="s">
        <v>4656</v>
      </c>
      <c r="AA419" s="67">
        <v>45473</v>
      </c>
      <c r="AB419" s="67">
        <v>45474</v>
      </c>
      <c r="AC419" s="67">
        <v>45504</v>
      </c>
      <c r="AD419" s="67">
        <v>45503</v>
      </c>
      <c r="AE419" s="67">
        <v>45504</v>
      </c>
    </row>
    <row r="420" spans="1:31" ht="12.5">
      <c r="A420" s="10">
        <v>610422020016</v>
      </c>
      <c r="B420" s="10" t="s">
        <v>33</v>
      </c>
      <c r="D420" s="10">
        <v>1</v>
      </c>
      <c r="E420" s="10" t="s">
        <v>380</v>
      </c>
      <c r="F420" s="10" t="s">
        <v>25</v>
      </c>
      <c r="G420" s="10" t="s">
        <v>379</v>
      </c>
      <c r="H420" s="10" t="s">
        <v>84</v>
      </c>
      <c r="I420" s="10" t="s">
        <v>6637</v>
      </c>
      <c r="J420" s="10" t="s">
        <v>3036</v>
      </c>
      <c r="K420" s="66">
        <v>116000</v>
      </c>
      <c r="L420" s="10">
        <v>3</v>
      </c>
      <c r="M420" s="10">
        <v>348000</v>
      </c>
      <c r="O420" s="67">
        <v>45504</v>
      </c>
      <c r="P420" s="10">
        <v>2024</v>
      </c>
      <c r="Q420" s="10">
        <v>7</v>
      </c>
      <c r="R420" s="10" t="s">
        <v>3043</v>
      </c>
      <c r="S420" s="10" t="s">
        <v>6633</v>
      </c>
      <c r="T420" s="10" t="s">
        <v>6634</v>
      </c>
      <c r="U420" s="10">
        <v>0</v>
      </c>
      <c r="V420" s="10">
        <v>70</v>
      </c>
      <c r="W420" s="67"/>
      <c r="X420" s="11" t="s">
        <v>3057</v>
      </c>
      <c r="Y420" s="11" t="s">
        <v>5534</v>
      </c>
      <c r="Z420" s="11" t="s">
        <v>5535</v>
      </c>
      <c r="AA420" s="67">
        <v>45473</v>
      </c>
      <c r="AB420" s="67">
        <v>45474</v>
      </c>
      <c r="AC420" s="67">
        <v>45504</v>
      </c>
      <c r="AD420" s="67">
        <v>45503</v>
      </c>
      <c r="AE420" s="67">
        <v>45504</v>
      </c>
    </row>
    <row r="421" spans="1:31" ht="12.5">
      <c r="A421" s="10">
        <v>610422040012</v>
      </c>
      <c r="B421" s="10" t="s">
        <v>33</v>
      </c>
      <c r="D421" s="10">
        <v>1</v>
      </c>
      <c r="E421" s="10" t="s">
        <v>1813</v>
      </c>
      <c r="F421" s="10" t="s">
        <v>25</v>
      </c>
      <c r="G421" s="10" t="s">
        <v>1812</v>
      </c>
      <c r="H421" s="10" t="s">
        <v>84</v>
      </c>
      <c r="I421" s="10" t="s">
        <v>6637</v>
      </c>
      <c r="J421" s="10" t="s">
        <v>3036</v>
      </c>
      <c r="K421" s="66">
        <v>116000</v>
      </c>
      <c r="L421" s="10">
        <v>3</v>
      </c>
      <c r="M421" s="10">
        <v>348000</v>
      </c>
      <c r="O421" s="67">
        <v>45504</v>
      </c>
      <c r="P421" s="10">
        <v>2024</v>
      </c>
      <c r="Q421" s="10">
        <v>7</v>
      </c>
      <c r="R421" s="10" t="s">
        <v>3043</v>
      </c>
      <c r="S421" s="10" t="s">
        <v>6638</v>
      </c>
      <c r="T421" s="10" t="s">
        <v>6639</v>
      </c>
      <c r="U421" s="10">
        <v>0</v>
      </c>
      <c r="V421" s="10">
        <v>70</v>
      </c>
      <c r="W421" s="67"/>
      <c r="X421" s="11" t="s">
        <v>3057</v>
      </c>
      <c r="Y421" s="11" t="s">
        <v>3990</v>
      </c>
      <c r="Z421" s="11" t="s">
        <v>4365</v>
      </c>
      <c r="AA421" s="67">
        <v>45473</v>
      </c>
      <c r="AB421" s="67">
        <v>45474</v>
      </c>
      <c r="AC421" s="67">
        <v>45504</v>
      </c>
      <c r="AD421" s="67">
        <v>45503</v>
      </c>
      <c r="AE421" s="67">
        <v>45504</v>
      </c>
    </row>
    <row r="422" spans="1:31" ht="12.5">
      <c r="A422" s="10">
        <v>610422040059</v>
      </c>
      <c r="B422" s="10" t="s">
        <v>33</v>
      </c>
      <c r="D422" s="10">
        <v>1</v>
      </c>
      <c r="E422" s="10" t="s">
        <v>365</v>
      </c>
      <c r="F422" s="10" t="s">
        <v>25</v>
      </c>
      <c r="G422" s="10" t="s">
        <v>364</v>
      </c>
      <c r="H422" s="10" t="s">
        <v>84</v>
      </c>
      <c r="I422" s="10" t="s">
        <v>6637</v>
      </c>
      <c r="J422" s="10" t="s">
        <v>3036</v>
      </c>
      <c r="K422" s="66">
        <v>116000</v>
      </c>
      <c r="L422" s="10">
        <v>4</v>
      </c>
      <c r="M422" s="10">
        <v>464000</v>
      </c>
      <c r="O422" s="67">
        <v>45504</v>
      </c>
      <c r="P422" s="10">
        <v>2024</v>
      </c>
      <c r="Q422" s="10">
        <v>7</v>
      </c>
      <c r="R422" s="10" t="s">
        <v>3043</v>
      </c>
      <c r="S422" s="10" t="s">
        <v>6649</v>
      </c>
      <c r="T422" s="10" t="s">
        <v>6650</v>
      </c>
      <c r="U422" s="10">
        <v>0</v>
      </c>
      <c r="V422" s="10">
        <v>70</v>
      </c>
      <c r="W422" s="67"/>
      <c r="X422" s="11" t="s">
        <v>3057</v>
      </c>
      <c r="Y422" s="11" t="s">
        <v>4572</v>
      </c>
      <c r="Z422" s="11" t="s">
        <v>4656</v>
      </c>
      <c r="AA422" s="67">
        <v>45473</v>
      </c>
      <c r="AB422" s="67">
        <v>45474</v>
      </c>
      <c r="AC422" s="67">
        <v>45504</v>
      </c>
      <c r="AD422" s="67">
        <v>45503</v>
      </c>
      <c r="AE422" s="67">
        <v>45504</v>
      </c>
    </row>
    <row r="423" spans="1:31" ht="12.5">
      <c r="A423" s="10">
        <v>610422040061</v>
      </c>
      <c r="B423" s="10" t="s">
        <v>33</v>
      </c>
      <c r="D423" s="10">
        <v>1</v>
      </c>
      <c r="E423" s="10" t="s">
        <v>2440</v>
      </c>
      <c r="F423" s="10" t="s">
        <v>25</v>
      </c>
      <c r="G423" s="10" t="s">
        <v>2439</v>
      </c>
      <c r="H423" s="10" t="s">
        <v>84</v>
      </c>
      <c r="I423" s="10" t="s">
        <v>6637</v>
      </c>
      <c r="J423" s="10" t="s">
        <v>3036</v>
      </c>
      <c r="K423" s="66">
        <v>116000</v>
      </c>
      <c r="L423" s="10">
        <v>3</v>
      </c>
      <c r="M423" s="10">
        <v>348000</v>
      </c>
      <c r="O423" s="67">
        <v>45504</v>
      </c>
      <c r="P423" s="10">
        <v>2024</v>
      </c>
      <c r="Q423" s="10">
        <v>7</v>
      </c>
      <c r="R423" s="10" t="s">
        <v>3043</v>
      </c>
      <c r="S423" s="10" t="s">
        <v>6604</v>
      </c>
      <c r="T423" s="10" t="s">
        <v>6605</v>
      </c>
      <c r="U423" s="10">
        <v>0</v>
      </c>
      <c r="V423" s="10">
        <v>70</v>
      </c>
      <c r="W423" s="67"/>
      <c r="X423" s="11" t="s">
        <v>3057</v>
      </c>
      <c r="Y423" s="11" t="s">
        <v>3715</v>
      </c>
      <c r="Z423" s="11" t="s">
        <v>3862</v>
      </c>
      <c r="AA423" s="67">
        <v>45473</v>
      </c>
      <c r="AB423" s="67">
        <v>45474</v>
      </c>
      <c r="AC423" s="67">
        <v>45504</v>
      </c>
      <c r="AD423" s="67">
        <v>45503</v>
      </c>
      <c r="AE423" s="67">
        <v>45504</v>
      </c>
    </row>
    <row r="424" spans="1:31" ht="12.5">
      <c r="A424" s="10">
        <v>610422100131</v>
      </c>
      <c r="B424" s="10" t="s">
        <v>33</v>
      </c>
      <c r="D424" s="10">
        <v>1</v>
      </c>
      <c r="E424" s="10" t="s">
        <v>6046</v>
      </c>
      <c r="F424" s="10" t="s">
        <v>25</v>
      </c>
      <c r="G424" s="10" t="s">
        <v>2683</v>
      </c>
      <c r="H424" s="10" t="s">
        <v>84</v>
      </c>
      <c r="I424" s="10" t="s">
        <v>6637</v>
      </c>
      <c r="J424" s="10" t="s">
        <v>3036</v>
      </c>
      <c r="K424" s="66">
        <v>116000</v>
      </c>
      <c r="L424" s="10">
        <v>3</v>
      </c>
      <c r="M424" s="10">
        <v>348000</v>
      </c>
      <c r="O424" s="67">
        <v>45504</v>
      </c>
      <c r="P424" s="10">
        <v>2024</v>
      </c>
      <c r="Q424" s="10">
        <v>7</v>
      </c>
      <c r="R424" s="10" t="s">
        <v>3043</v>
      </c>
      <c r="S424" s="10" t="s">
        <v>6640</v>
      </c>
      <c r="T424" s="10" t="s">
        <v>6641</v>
      </c>
      <c r="U424" s="10">
        <v>0</v>
      </c>
      <c r="V424" s="10">
        <v>70</v>
      </c>
      <c r="W424" s="67"/>
      <c r="X424" s="11" t="s">
        <v>3057</v>
      </c>
      <c r="Y424" s="11" t="s">
        <v>5250</v>
      </c>
      <c r="Z424" s="11" t="s">
        <v>5365</v>
      </c>
      <c r="AA424" s="67">
        <v>45473</v>
      </c>
      <c r="AB424" s="67">
        <v>45474</v>
      </c>
      <c r="AC424" s="67">
        <v>45504</v>
      </c>
      <c r="AD424" s="67">
        <v>45503</v>
      </c>
      <c r="AE424" s="67">
        <v>45504</v>
      </c>
    </row>
    <row r="425" spans="1:31" ht="12.5">
      <c r="A425" s="10">
        <v>610422100244</v>
      </c>
      <c r="B425" s="10" t="s">
        <v>33</v>
      </c>
      <c r="D425" s="10">
        <v>1</v>
      </c>
      <c r="E425" s="10" t="s">
        <v>2633</v>
      </c>
      <c r="F425" s="10" t="s">
        <v>25</v>
      </c>
      <c r="G425" s="10" t="s">
        <v>2632</v>
      </c>
      <c r="H425" s="10" t="s">
        <v>84</v>
      </c>
      <c r="I425" s="10" t="s">
        <v>6637</v>
      </c>
      <c r="J425" s="10" t="s">
        <v>3036</v>
      </c>
      <c r="K425" s="66">
        <v>116000</v>
      </c>
      <c r="L425" s="10">
        <v>3</v>
      </c>
      <c r="M425" s="10">
        <v>348000</v>
      </c>
      <c r="O425" s="67">
        <v>45504</v>
      </c>
      <c r="P425" s="10">
        <v>2024</v>
      </c>
      <c r="Q425" s="10">
        <v>7</v>
      </c>
      <c r="R425" s="10" t="s">
        <v>3043</v>
      </c>
      <c r="S425" s="10" t="s">
        <v>6616</v>
      </c>
      <c r="T425" s="10" t="s">
        <v>6617</v>
      </c>
      <c r="U425" s="10">
        <v>0</v>
      </c>
      <c r="V425" s="10">
        <v>70</v>
      </c>
      <c r="W425" s="67"/>
      <c r="X425" s="11" t="s">
        <v>3057</v>
      </c>
      <c r="Y425" s="11" t="s">
        <v>5741</v>
      </c>
      <c r="Z425" s="11" t="s">
        <v>5796</v>
      </c>
      <c r="AA425" s="67">
        <v>45473</v>
      </c>
      <c r="AB425" s="67">
        <v>45474</v>
      </c>
      <c r="AC425" s="67">
        <v>45504</v>
      </c>
      <c r="AD425" s="67">
        <v>45503</v>
      </c>
      <c r="AE425" s="67">
        <v>45504</v>
      </c>
    </row>
    <row r="426" spans="1:31" ht="12.5">
      <c r="A426" s="10">
        <v>610422100176</v>
      </c>
      <c r="B426" s="10" t="s">
        <v>33</v>
      </c>
      <c r="D426" s="10">
        <v>1</v>
      </c>
      <c r="E426" s="10" t="s">
        <v>1190</v>
      </c>
      <c r="F426" s="10" t="s">
        <v>25</v>
      </c>
      <c r="G426" s="10" t="s">
        <v>1189</v>
      </c>
      <c r="H426" s="10" t="s">
        <v>84</v>
      </c>
      <c r="I426" s="10" t="s">
        <v>6637</v>
      </c>
      <c r="J426" s="10" t="s">
        <v>3036</v>
      </c>
      <c r="K426" s="66">
        <v>116000</v>
      </c>
      <c r="L426" s="10">
        <v>3</v>
      </c>
      <c r="M426" s="10">
        <v>348000</v>
      </c>
      <c r="O426" s="67">
        <v>45504</v>
      </c>
      <c r="P426" s="10">
        <v>2024</v>
      </c>
      <c r="Q426" s="10">
        <v>7</v>
      </c>
      <c r="R426" s="10" t="s">
        <v>3043</v>
      </c>
      <c r="S426" s="10" t="s">
        <v>6642</v>
      </c>
      <c r="T426" s="10" t="s">
        <v>6643</v>
      </c>
      <c r="U426" s="10">
        <v>0</v>
      </c>
      <c r="V426" s="10">
        <v>70</v>
      </c>
      <c r="W426" s="67"/>
      <c r="X426" s="11" t="s">
        <v>3057</v>
      </c>
      <c r="Y426" s="11" t="s">
        <v>3715</v>
      </c>
      <c r="Z426" s="11" t="s">
        <v>3765</v>
      </c>
      <c r="AA426" s="67">
        <v>45473</v>
      </c>
      <c r="AB426" s="67">
        <v>45474</v>
      </c>
      <c r="AC426" s="67">
        <v>45504</v>
      </c>
      <c r="AD426" s="67">
        <v>45503</v>
      </c>
      <c r="AE426" s="67">
        <v>45504</v>
      </c>
    </row>
    <row r="427" spans="1:31" ht="12.5">
      <c r="A427" s="10">
        <v>610423110183</v>
      </c>
      <c r="B427" s="10" t="s">
        <v>33</v>
      </c>
      <c r="D427" s="10">
        <v>1</v>
      </c>
      <c r="E427" s="10" t="s">
        <v>5924</v>
      </c>
      <c r="F427" s="10" t="s">
        <v>25</v>
      </c>
      <c r="G427" s="10" t="s">
        <v>742</v>
      </c>
      <c r="H427" s="10" t="s">
        <v>84</v>
      </c>
      <c r="I427" s="10" t="s">
        <v>6637</v>
      </c>
      <c r="J427" s="10" t="s">
        <v>3036</v>
      </c>
      <c r="K427" s="66">
        <v>116000</v>
      </c>
      <c r="L427" s="10">
        <v>6</v>
      </c>
      <c r="M427" s="10">
        <v>696000</v>
      </c>
      <c r="O427" s="67">
        <v>45504</v>
      </c>
      <c r="P427" s="10">
        <v>2024</v>
      </c>
      <c r="Q427" s="10">
        <v>7</v>
      </c>
      <c r="R427" s="10" t="s">
        <v>3043</v>
      </c>
      <c r="S427" s="10" t="s">
        <v>6644</v>
      </c>
      <c r="T427" s="10" t="s">
        <v>6645</v>
      </c>
      <c r="U427" s="10">
        <v>0</v>
      </c>
      <c r="V427" s="10">
        <v>70</v>
      </c>
      <c r="W427" s="67"/>
      <c r="X427" s="11" t="s">
        <v>3057</v>
      </c>
      <c r="Y427" s="11" t="s">
        <v>3241</v>
      </c>
      <c r="Z427" s="11" t="s">
        <v>3242</v>
      </c>
      <c r="AA427" s="67">
        <v>45473</v>
      </c>
      <c r="AB427" s="67">
        <v>45474</v>
      </c>
      <c r="AC427" s="67">
        <v>45504</v>
      </c>
      <c r="AD427" s="67">
        <v>45503</v>
      </c>
      <c r="AE427" s="67">
        <v>45504</v>
      </c>
    </row>
    <row r="428" spans="1:31" ht="12.5">
      <c r="A428" s="10">
        <v>610423040018</v>
      </c>
      <c r="B428" s="10" t="s">
        <v>33</v>
      </c>
      <c r="D428" s="10">
        <v>1</v>
      </c>
      <c r="E428" s="10" t="s">
        <v>1301</v>
      </c>
      <c r="F428" s="10" t="s">
        <v>25</v>
      </c>
      <c r="G428" s="10" t="s">
        <v>1300</v>
      </c>
      <c r="H428" s="10" t="s">
        <v>84</v>
      </c>
      <c r="I428" s="10" t="s">
        <v>6637</v>
      </c>
      <c r="J428" s="10" t="s">
        <v>3036</v>
      </c>
      <c r="K428" s="66">
        <v>116000</v>
      </c>
      <c r="L428" s="10">
        <v>4</v>
      </c>
      <c r="M428" s="10">
        <v>464000</v>
      </c>
      <c r="O428" s="67">
        <v>45504</v>
      </c>
      <c r="P428" s="10">
        <v>2024</v>
      </c>
      <c r="Q428" s="10">
        <v>7</v>
      </c>
      <c r="R428" s="10" t="s">
        <v>3043</v>
      </c>
      <c r="S428" s="10" t="s">
        <v>6646</v>
      </c>
      <c r="T428" s="10" t="s">
        <v>6647</v>
      </c>
      <c r="U428" s="10">
        <v>0</v>
      </c>
      <c r="V428" s="10">
        <v>70</v>
      </c>
      <c r="W428" s="67"/>
      <c r="X428" s="11" t="s">
        <v>3057</v>
      </c>
      <c r="Y428" s="11" t="s">
        <v>5534</v>
      </c>
      <c r="Z428" s="11" t="s">
        <v>5647</v>
      </c>
      <c r="AA428" s="67">
        <v>45473</v>
      </c>
      <c r="AB428" s="67">
        <v>45474</v>
      </c>
      <c r="AC428" s="67">
        <v>45504</v>
      </c>
      <c r="AD428" s="67">
        <v>45503</v>
      </c>
      <c r="AE428" s="67">
        <v>45504</v>
      </c>
    </row>
    <row r="429" spans="1:31" ht="12.5">
      <c r="A429" s="10">
        <v>610422040059</v>
      </c>
      <c r="B429" s="10" t="s">
        <v>33</v>
      </c>
      <c r="D429" s="10">
        <v>1</v>
      </c>
      <c r="E429" s="10" t="s">
        <v>365</v>
      </c>
      <c r="F429" s="10" t="s">
        <v>25</v>
      </c>
      <c r="G429" s="10" t="s">
        <v>364</v>
      </c>
      <c r="H429" s="10" t="s">
        <v>85</v>
      </c>
      <c r="I429" s="10" t="s">
        <v>6648</v>
      </c>
      <c r="J429" s="10" t="s">
        <v>3036</v>
      </c>
      <c r="K429" s="66">
        <v>59000</v>
      </c>
      <c r="L429" s="10">
        <v>6</v>
      </c>
      <c r="M429" s="10">
        <v>354000</v>
      </c>
      <c r="O429" s="67">
        <v>45504</v>
      </c>
      <c r="P429" s="10">
        <v>2024</v>
      </c>
      <c r="Q429" s="10">
        <v>7</v>
      </c>
      <c r="R429" s="10" t="s">
        <v>3043</v>
      </c>
      <c r="S429" s="10" t="s">
        <v>6649</v>
      </c>
      <c r="T429" s="10" t="s">
        <v>6650</v>
      </c>
      <c r="U429" s="10">
        <v>0</v>
      </c>
      <c r="V429" s="10">
        <v>70</v>
      </c>
      <c r="W429" s="67"/>
      <c r="X429" s="11" t="s">
        <v>3057</v>
      </c>
      <c r="Y429" s="11" t="s">
        <v>4572</v>
      </c>
      <c r="Z429" s="11" t="s">
        <v>4656</v>
      </c>
      <c r="AA429" s="67">
        <v>45473</v>
      </c>
      <c r="AB429" s="67">
        <v>45474</v>
      </c>
      <c r="AC429" s="67">
        <v>45504</v>
      </c>
      <c r="AD429" s="67">
        <v>45503</v>
      </c>
      <c r="AE429" s="67">
        <v>45504</v>
      </c>
    </row>
    <row r="430" spans="1:31" ht="12.5">
      <c r="A430" s="10">
        <v>610422020048</v>
      </c>
      <c r="B430" s="10" t="s">
        <v>33</v>
      </c>
      <c r="D430" s="10">
        <v>1</v>
      </c>
      <c r="E430" s="10" t="s">
        <v>1359</v>
      </c>
      <c r="F430" s="10" t="s">
        <v>25</v>
      </c>
      <c r="G430" s="10" t="s">
        <v>1358</v>
      </c>
      <c r="H430" s="10" t="s">
        <v>85</v>
      </c>
      <c r="I430" s="10" t="s">
        <v>6648</v>
      </c>
      <c r="J430" s="10" t="s">
        <v>3036</v>
      </c>
      <c r="K430" s="66">
        <v>59000</v>
      </c>
      <c r="L430" s="10">
        <v>6</v>
      </c>
      <c r="M430" s="10">
        <v>354000</v>
      </c>
      <c r="O430" s="67">
        <v>45504</v>
      </c>
      <c r="P430" s="10">
        <v>2024</v>
      </c>
      <c r="Q430" s="10">
        <v>7</v>
      </c>
      <c r="R430" s="10" t="s">
        <v>3043</v>
      </c>
      <c r="S430" s="10" t="s">
        <v>6622</v>
      </c>
      <c r="T430" s="10" t="s">
        <v>6623</v>
      </c>
      <c r="U430" s="10">
        <v>0</v>
      </c>
      <c r="V430" s="10">
        <v>70</v>
      </c>
      <c r="W430" s="67"/>
      <c r="X430" s="11" t="s">
        <v>3057</v>
      </c>
      <c r="Y430" s="11" t="s">
        <v>4931</v>
      </c>
      <c r="Z430" s="11" t="s">
        <v>5171</v>
      </c>
      <c r="AA430" s="67">
        <v>45473</v>
      </c>
      <c r="AB430" s="67">
        <v>45474</v>
      </c>
      <c r="AC430" s="67">
        <v>45504</v>
      </c>
      <c r="AD430" s="67">
        <v>45503</v>
      </c>
      <c r="AE430" s="67">
        <v>45504</v>
      </c>
    </row>
    <row r="431" spans="1:31" ht="12.5">
      <c r="A431" s="10">
        <v>610422040058</v>
      </c>
      <c r="B431" s="10" t="s">
        <v>33</v>
      </c>
      <c r="D431" s="10">
        <v>1</v>
      </c>
      <c r="E431" s="10" t="s">
        <v>5976</v>
      </c>
      <c r="F431" s="10" t="s">
        <v>25</v>
      </c>
      <c r="G431" s="10" t="s">
        <v>1547</v>
      </c>
      <c r="H431" s="10" t="s">
        <v>85</v>
      </c>
      <c r="I431" s="10" t="s">
        <v>6648</v>
      </c>
      <c r="J431" s="10" t="s">
        <v>3036</v>
      </c>
      <c r="K431" s="66">
        <v>59000</v>
      </c>
      <c r="L431" s="10">
        <v>10</v>
      </c>
      <c r="M431" s="10">
        <v>590000</v>
      </c>
      <c r="O431" s="67">
        <v>45504</v>
      </c>
      <c r="P431" s="10">
        <v>2024</v>
      </c>
      <c r="Q431" s="10">
        <v>7</v>
      </c>
      <c r="R431" s="10" t="s">
        <v>3043</v>
      </c>
      <c r="S431" s="10" t="s">
        <v>6651</v>
      </c>
      <c r="T431" s="10" t="s">
        <v>6652</v>
      </c>
      <c r="U431" s="10">
        <v>0</v>
      </c>
      <c r="V431" s="10">
        <v>70</v>
      </c>
      <c r="W431" s="67"/>
      <c r="X431" s="11" t="s">
        <v>3057</v>
      </c>
      <c r="Y431" s="11" t="s">
        <v>3715</v>
      </c>
      <c r="Z431" s="11" t="s">
        <v>3716</v>
      </c>
      <c r="AA431" s="67">
        <v>45473</v>
      </c>
      <c r="AB431" s="67">
        <v>45474</v>
      </c>
      <c r="AC431" s="67">
        <v>45504</v>
      </c>
      <c r="AD431" s="67">
        <v>45503</v>
      </c>
      <c r="AE431" s="67">
        <v>45504</v>
      </c>
    </row>
    <row r="432" spans="1:31" ht="12.5">
      <c r="A432" s="10">
        <v>610423110183</v>
      </c>
      <c r="B432" s="10" t="s">
        <v>33</v>
      </c>
      <c r="D432" s="10">
        <v>1</v>
      </c>
      <c r="E432" s="10" t="s">
        <v>5924</v>
      </c>
      <c r="F432" s="10" t="s">
        <v>25</v>
      </c>
      <c r="G432" s="10" t="s">
        <v>742</v>
      </c>
      <c r="H432" s="10" t="s">
        <v>85</v>
      </c>
      <c r="I432" s="10" t="s">
        <v>6648</v>
      </c>
      <c r="J432" s="10" t="s">
        <v>3036</v>
      </c>
      <c r="K432" s="66">
        <v>59000</v>
      </c>
      <c r="L432" s="10">
        <v>6</v>
      </c>
      <c r="M432" s="10">
        <v>354000</v>
      </c>
      <c r="O432" s="67">
        <v>45504</v>
      </c>
      <c r="P432" s="10">
        <v>2024</v>
      </c>
      <c r="Q432" s="10">
        <v>7</v>
      </c>
      <c r="R432" s="10" t="s">
        <v>3043</v>
      </c>
      <c r="S432" s="10" t="s">
        <v>6644</v>
      </c>
      <c r="T432" s="10" t="s">
        <v>6645</v>
      </c>
      <c r="U432" s="10">
        <v>0</v>
      </c>
      <c r="V432" s="10">
        <v>70</v>
      </c>
      <c r="W432" s="67"/>
      <c r="X432" s="11" t="s">
        <v>3057</v>
      </c>
      <c r="Y432" s="11" t="s">
        <v>3241</v>
      </c>
      <c r="Z432" s="11" t="s">
        <v>3242</v>
      </c>
      <c r="AA432" s="67">
        <v>45473</v>
      </c>
      <c r="AB432" s="67">
        <v>45474</v>
      </c>
      <c r="AC432" s="67">
        <v>45504</v>
      </c>
      <c r="AD432" s="67">
        <v>45503</v>
      </c>
      <c r="AE432" s="67">
        <v>45504</v>
      </c>
    </row>
    <row r="433" spans="1:31" ht="12.5">
      <c r="A433" s="10">
        <v>610422100244</v>
      </c>
      <c r="B433" s="10" t="s">
        <v>33</v>
      </c>
      <c r="D433" s="10">
        <v>1</v>
      </c>
      <c r="E433" s="10" t="s">
        <v>2633</v>
      </c>
      <c r="F433" s="10" t="s">
        <v>25</v>
      </c>
      <c r="G433" s="10" t="s">
        <v>2632</v>
      </c>
      <c r="H433" s="10" t="s">
        <v>85</v>
      </c>
      <c r="I433" s="10" t="s">
        <v>6648</v>
      </c>
      <c r="J433" s="10" t="s">
        <v>3036</v>
      </c>
      <c r="K433" s="66">
        <v>59000</v>
      </c>
      <c r="L433" s="10">
        <v>8</v>
      </c>
      <c r="M433" s="10">
        <v>472000</v>
      </c>
      <c r="O433" s="67">
        <v>45504</v>
      </c>
      <c r="P433" s="10">
        <v>2024</v>
      </c>
      <c r="Q433" s="10">
        <v>7</v>
      </c>
      <c r="R433" s="10" t="s">
        <v>3043</v>
      </c>
      <c r="S433" s="10" t="s">
        <v>6616</v>
      </c>
      <c r="T433" s="10" t="s">
        <v>6617</v>
      </c>
      <c r="U433" s="10">
        <v>0</v>
      </c>
      <c r="V433" s="10">
        <v>70</v>
      </c>
      <c r="W433" s="67"/>
      <c r="X433" s="11" t="s">
        <v>3057</v>
      </c>
      <c r="Y433" s="11" t="s">
        <v>5741</v>
      </c>
      <c r="Z433" s="11" t="s">
        <v>5796</v>
      </c>
      <c r="AA433" s="67">
        <v>45473</v>
      </c>
      <c r="AB433" s="67">
        <v>45474</v>
      </c>
      <c r="AC433" s="67">
        <v>45504</v>
      </c>
      <c r="AD433" s="67">
        <v>45503</v>
      </c>
      <c r="AE433" s="67">
        <v>45504</v>
      </c>
    </row>
    <row r="434" spans="1:31" ht="12.5">
      <c r="A434" s="10">
        <v>610422040056</v>
      </c>
      <c r="B434" s="10" t="s">
        <v>205</v>
      </c>
      <c r="D434" s="10">
        <v>1</v>
      </c>
      <c r="E434" s="10" t="s">
        <v>2825</v>
      </c>
      <c r="F434" s="10" t="s">
        <v>25</v>
      </c>
      <c r="G434" s="10" t="s">
        <v>2824</v>
      </c>
      <c r="H434" s="10" t="s">
        <v>67</v>
      </c>
      <c r="I434" s="10" t="s">
        <v>206</v>
      </c>
      <c r="J434" s="10" t="s">
        <v>164</v>
      </c>
      <c r="K434" s="66">
        <v>65000</v>
      </c>
      <c r="L434" s="10">
        <v>10</v>
      </c>
      <c r="M434" s="10">
        <v>650000</v>
      </c>
      <c r="O434" s="67">
        <v>45504</v>
      </c>
      <c r="P434" s="10">
        <v>2024</v>
      </c>
      <c r="Q434" s="10">
        <v>7</v>
      </c>
      <c r="R434" s="10" t="s">
        <v>3043</v>
      </c>
      <c r="S434" s="10" t="s">
        <v>6635</v>
      </c>
      <c r="T434" s="10" t="s">
        <v>6636</v>
      </c>
      <c r="U434" s="10">
        <v>0</v>
      </c>
      <c r="V434" s="10">
        <v>70</v>
      </c>
      <c r="W434" s="67"/>
      <c r="X434" s="11" t="s">
        <v>3163</v>
      </c>
      <c r="Y434" s="11" t="s">
        <v>4572</v>
      </c>
      <c r="Z434" s="11" t="s">
        <v>4656</v>
      </c>
      <c r="AA434" s="67">
        <v>45473</v>
      </c>
      <c r="AB434" s="67">
        <v>45474</v>
      </c>
      <c r="AC434" s="67">
        <v>45504</v>
      </c>
      <c r="AD434" s="67">
        <v>45503</v>
      </c>
      <c r="AE434" s="67">
        <v>45504</v>
      </c>
    </row>
    <row r="435" spans="1:31" ht="12.5">
      <c r="A435" s="10">
        <v>610422040029</v>
      </c>
      <c r="B435" s="10" t="s">
        <v>207</v>
      </c>
      <c r="D435" s="10">
        <v>1</v>
      </c>
      <c r="E435" s="10" t="s">
        <v>3000</v>
      </c>
      <c r="F435" s="10" t="s">
        <v>25</v>
      </c>
      <c r="G435" s="10" t="s">
        <v>2999</v>
      </c>
      <c r="H435" s="10" t="s">
        <v>67</v>
      </c>
      <c r="I435" s="10" t="s">
        <v>208</v>
      </c>
      <c r="J435" s="10" t="s">
        <v>164</v>
      </c>
      <c r="K435" s="66">
        <v>55000</v>
      </c>
      <c r="L435" s="10">
        <v>1</v>
      </c>
      <c r="M435" s="10">
        <v>55000</v>
      </c>
      <c r="O435" s="67">
        <v>45504</v>
      </c>
      <c r="P435" s="10">
        <v>2024</v>
      </c>
      <c r="Q435" s="10">
        <v>7</v>
      </c>
      <c r="R435" s="10" t="s">
        <v>3043</v>
      </c>
      <c r="S435" s="10" t="s">
        <v>6620</v>
      </c>
      <c r="T435" s="10" t="s">
        <v>6621</v>
      </c>
      <c r="U435" s="10">
        <v>0</v>
      </c>
      <c r="V435" s="10">
        <v>70</v>
      </c>
      <c r="W435" s="67"/>
      <c r="X435" s="11" t="s">
        <v>3167</v>
      </c>
      <c r="Y435" s="11" t="s">
        <v>4572</v>
      </c>
      <c r="Z435" s="11" t="s">
        <v>4619</v>
      </c>
      <c r="AA435" s="67">
        <v>45473</v>
      </c>
      <c r="AB435" s="67">
        <v>45474</v>
      </c>
      <c r="AC435" s="67">
        <v>45504</v>
      </c>
      <c r="AD435" s="67">
        <v>45503</v>
      </c>
      <c r="AE435" s="67">
        <v>45504</v>
      </c>
    </row>
    <row r="436" spans="1:31" ht="12.5">
      <c r="A436" s="10">
        <v>610422040029</v>
      </c>
      <c r="B436" s="10" t="s">
        <v>207</v>
      </c>
      <c r="D436" s="10">
        <v>1</v>
      </c>
      <c r="E436" s="10" t="s">
        <v>3000</v>
      </c>
      <c r="F436" s="10" t="s">
        <v>25</v>
      </c>
      <c r="G436" s="10" t="s">
        <v>2999</v>
      </c>
      <c r="H436" s="10" t="s">
        <v>67</v>
      </c>
      <c r="I436" s="10" t="s">
        <v>209</v>
      </c>
      <c r="J436" s="10" t="s">
        <v>164</v>
      </c>
      <c r="K436" s="66">
        <v>55000</v>
      </c>
      <c r="L436" s="10">
        <v>2</v>
      </c>
      <c r="M436" s="10">
        <v>110000</v>
      </c>
      <c r="O436" s="67">
        <v>45504</v>
      </c>
      <c r="P436" s="10">
        <v>2024</v>
      </c>
      <c r="Q436" s="10">
        <v>7</v>
      </c>
      <c r="R436" s="10" t="s">
        <v>3043</v>
      </c>
      <c r="S436" s="10" t="s">
        <v>6620</v>
      </c>
      <c r="T436" s="10" t="s">
        <v>6621</v>
      </c>
      <c r="U436" s="10">
        <v>0</v>
      </c>
      <c r="V436" s="10">
        <v>70</v>
      </c>
      <c r="W436" s="67"/>
      <c r="X436" s="11" t="s">
        <v>3167</v>
      </c>
      <c r="Y436" s="11" t="s">
        <v>4572</v>
      </c>
      <c r="Z436" s="11" t="s">
        <v>4619</v>
      </c>
      <c r="AA436" s="67">
        <v>45473</v>
      </c>
      <c r="AB436" s="67">
        <v>45474</v>
      </c>
      <c r="AC436" s="67">
        <v>45504</v>
      </c>
      <c r="AD436" s="67">
        <v>45503</v>
      </c>
      <c r="AE436" s="67">
        <v>45504</v>
      </c>
    </row>
    <row r="437" spans="1:31" ht="12.5">
      <c r="A437" s="10">
        <v>610422030002</v>
      </c>
      <c r="B437" s="10" t="s">
        <v>214</v>
      </c>
      <c r="D437" s="10">
        <v>1</v>
      </c>
      <c r="E437" s="10" t="s">
        <v>5934</v>
      </c>
      <c r="F437" s="10" t="s">
        <v>25</v>
      </c>
      <c r="G437" s="10" t="s">
        <v>929</v>
      </c>
      <c r="H437" s="10" t="s">
        <v>67</v>
      </c>
      <c r="I437" s="10" t="s">
        <v>215</v>
      </c>
      <c r="J437" s="10" t="s">
        <v>164</v>
      </c>
      <c r="K437" s="66">
        <v>50000</v>
      </c>
      <c r="L437" s="10">
        <v>15</v>
      </c>
      <c r="M437" s="10">
        <v>750000</v>
      </c>
      <c r="O437" s="67">
        <v>45524</v>
      </c>
      <c r="P437" s="10">
        <v>2024</v>
      </c>
      <c r="Q437" s="10">
        <v>8</v>
      </c>
      <c r="R437" s="10" t="s">
        <v>3043</v>
      </c>
      <c r="S437" s="10" t="s">
        <v>6655</v>
      </c>
      <c r="T437" s="10" t="s">
        <v>6656</v>
      </c>
      <c r="U437" s="10">
        <v>0</v>
      </c>
      <c r="V437" s="10">
        <v>90</v>
      </c>
      <c r="W437" s="67"/>
      <c r="X437" s="11" t="s">
        <v>3094</v>
      </c>
      <c r="Y437" s="11" t="s">
        <v>3715</v>
      </c>
      <c r="Z437" s="11" t="s">
        <v>3716</v>
      </c>
      <c r="AA437" s="67">
        <v>45504</v>
      </c>
      <c r="AB437" s="67">
        <v>45505</v>
      </c>
      <c r="AC437" s="67">
        <v>45535</v>
      </c>
      <c r="AD437" s="67">
        <v>45534</v>
      </c>
      <c r="AE437" s="67">
        <v>45535</v>
      </c>
    </row>
    <row r="438" spans="1:31" ht="12.5">
      <c r="A438" s="10">
        <v>610422100244</v>
      </c>
      <c r="B438" s="10" t="s">
        <v>216</v>
      </c>
      <c r="D438" s="10">
        <v>1</v>
      </c>
      <c r="E438" s="10" t="s">
        <v>2633</v>
      </c>
      <c r="F438" s="10" t="s">
        <v>25</v>
      </c>
      <c r="G438" s="10" t="s">
        <v>2632</v>
      </c>
      <c r="H438" s="10" t="s">
        <v>67</v>
      </c>
      <c r="I438" s="10" t="s">
        <v>217</v>
      </c>
      <c r="J438" s="10" t="s">
        <v>164</v>
      </c>
      <c r="K438" s="66">
        <v>50000</v>
      </c>
      <c r="L438" s="10">
        <v>1</v>
      </c>
      <c r="M438" s="10">
        <v>50000</v>
      </c>
      <c r="O438" s="67">
        <v>45524</v>
      </c>
      <c r="P438" s="10">
        <v>2024</v>
      </c>
      <c r="Q438" s="10">
        <v>8</v>
      </c>
      <c r="R438" s="10" t="s">
        <v>3043</v>
      </c>
      <c r="S438" s="10" t="s">
        <v>6657</v>
      </c>
      <c r="T438" s="10" t="s">
        <v>6658</v>
      </c>
      <c r="U438" s="10">
        <v>0</v>
      </c>
      <c r="V438" s="10">
        <v>90</v>
      </c>
      <c r="W438" s="67"/>
      <c r="X438" s="11" t="s">
        <v>3082</v>
      </c>
      <c r="Y438" s="11" t="s">
        <v>5741</v>
      </c>
      <c r="Z438" s="11" t="s">
        <v>5796</v>
      </c>
      <c r="AA438" s="67">
        <v>45504</v>
      </c>
      <c r="AB438" s="67">
        <v>45505</v>
      </c>
      <c r="AC438" s="67">
        <v>45535</v>
      </c>
      <c r="AD438" s="67">
        <v>45534</v>
      </c>
      <c r="AE438" s="67">
        <v>45535</v>
      </c>
    </row>
    <row r="439" spans="1:31" ht="12.5">
      <c r="A439" s="10">
        <v>610422100124</v>
      </c>
      <c r="B439" s="10" t="s">
        <v>216</v>
      </c>
      <c r="D439" s="10">
        <v>1</v>
      </c>
      <c r="E439" s="10" t="s">
        <v>2237</v>
      </c>
      <c r="F439" s="10" t="s">
        <v>25</v>
      </c>
      <c r="G439" s="10" t="s">
        <v>2236</v>
      </c>
      <c r="H439" s="10" t="s">
        <v>67</v>
      </c>
      <c r="I439" s="10" t="s">
        <v>217</v>
      </c>
      <c r="J439" s="10" t="s">
        <v>164</v>
      </c>
      <c r="K439" s="66">
        <v>50000</v>
      </c>
      <c r="L439" s="10">
        <v>1</v>
      </c>
      <c r="M439" s="10">
        <v>50000</v>
      </c>
      <c r="O439" s="67">
        <v>45524</v>
      </c>
      <c r="P439" s="10">
        <v>2024</v>
      </c>
      <c r="Q439" s="10">
        <v>8</v>
      </c>
      <c r="R439" s="10" t="s">
        <v>3043</v>
      </c>
      <c r="S439" s="10" t="s">
        <v>6659</v>
      </c>
      <c r="T439" s="10" t="s">
        <v>6660</v>
      </c>
      <c r="U439" s="10">
        <v>0</v>
      </c>
      <c r="V439" s="10">
        <v>90</v>
      </c>
      <c r="W439" s="67"/>
      <c r="X439" s="11" t="s">
        <v>3082</v>
      </c>
      <c r="Y439" s="11" t="s">
        <v>1921</v>
      </c>
      <c r="Z439" s="11" t="s">
        <v>2140</v>
      </c>
      <c r="AA439" s="67">
        <v>45504</v>
      </c>
      <c r="AB439" s="67">
        <v>45505</v>
      </c>
      <c r="AC439" s="67">
        <v>45535</v>
      </c>
      <c r="AD439" s="67">
        <v>45534</v>
      </c>
      <c r="AE439" s="67">
        <v>45535</v>
      </c>
    </row>
    <row r="440" spans="1:31" ht="12.5">
      <c r="A440" s="10">
        <v>610422100016</v>
      </c>
      <c r="B440" s="10" t="s">
        <v>218</v>
      </c>
      <c r="D440" s="10">
        <v>1</v>
      </c>
      <c r="E440" s="10" t="s">
        <v>550</v>
      </c>
      <c r="F440" s="10" t="s">
        <v>25</v>
      </c>
      <c r="G440" s="10" t="s">
        <v>549</v>
      </c>
      <c r="H440" s="10" t="s">
        <v>72</v>
      </c>
      <c r="I440" s="10" t="s">
        <v>219</v>
      </c>
      <c r="J440" s="10" t="s">
        <v>164</v>
      </c>
      <c r="K440" s="66">
        <v>65000</v>
      </c>
      <c r="L440" s="10">
        <v>3</v>
      </c>
      <c r="M440" s="10">
        <v>195000</v>
      </c>
      <c r="O440" s="67">
        <v>45524</v>
      </c>
      <c r="P440" s="10">
        <v>2024</v>
      </c>
      <c r="Q440" s="10">
        <v>8</v>
      </c>
      <c r="R440" s="10" t="s">
        <v>3043</v>
      </c>
      <c r="S440" s="10" t="s">
        <v>6661</v>
      </c>
      <c r="T440" s="10" t="s">
        <v>6662</v>
      </c>
      <c r="U440" s="10">
        <v>0</v>
      </c>
      <c r="V440" s="10">
        <v>90</v>
      </c>
      <c r="W440" s="67"/>
      <c r="X440" s="11" t="s">
        <v>3111</v>
      </c>
      <c r="Y440" s="11" t="s">
        <v>5250</v>
      </c>
      <c r="Z440" s="11" t="s">
        <v>5365</v>
      </c>
      <c r="AA440" s="67">
        <v>45504</v>
      </c>
      <c r="AB440" s="67">
        <v>45505</v>
      </c>
      <c r="AC440" s="67">
        <v>45535</v>
      </c>
      <c r="AD440" s="67">
        <v>45534</v>
      </c>
      <c r="AE440" s="67">
        <v>45535</v>
      </c>
    </row>
    <row r="441" spans="1:31" ht="12.5">
      <c r="A441" s="10">
        <v>610422050001</v>
      </c>
      <c r="B441" s="10" t="s">
        <v>218</v>
      </c>
      <c r="D441" s="10">
        <v>1</v>
      </c>
      <c r="E441" s="10" t="s">
        <v>5949</v>
      </c>
      <c r="F441" s="10" t="s">
        <v>25</v>
      </c>
      <c r="G441" s="10" t="s">
        <v>1127</v>
      </c>
      <c r="H441" s="10" t="s">
        <v>72</v>
      </c>
      <c r="I441" s="10" t="s">
        <v>219</v>
      </c>
      <c r="J441" s="10" t="s">
        <v>164</v>
      </c>
      <c r="K441" s="66">
        <v>65000</v>
      </c>
      <c r="L441" s="10">
        <v>3</v>
      </c>
      <c r="M441" s="10">
        <v>195000</v>
      </c>
      <c r="O441" s="67">
        <v>45524</v>
      </c>
      <c r="P441" s="10">
        <v>2024</v>
      </c>
      <c r="Q441" s="10">
        <v>8</v>
      </c>
      <c r="R441" s="10" t="s">
        <v>3043</v>
      </c>
      <c r="S441" s="10" t="s">
        <v>6663</v>
      </c>
      <c r="T441" s="10" t="s">
        <v>6664</v>
      </c>
      <c r="U441" s="10">
        <v>0</v>
      </c>
      <c r="V441" s="10">
        <v>90</v>
      </c>
      <c r="W441" s="67"/>
      <c r="X441" s="11" t="s">
        <v>3111</v>
      </c>
      <c r="Y441" s="11" t="s">
        <v>4408</v>
      </c>
      <c r="Z441" s="11" t="s">
        <v>4409</v>
      </c>
      <c r="AA441" s="67">
        <v>45504</v>
      </c>
      <c r="AB441" s="67">
        <v>45505</v>
      </c>
      <c r="AC441" s="67">
        <v>45535</v>
      </c>
      <c r="AD441" s="67">
        <v>45534</v>
      </c>
      <c r="AE441" s="67">
        <v>45535</v>
      </c>
    </row>
    <row r="442" spans="1:31" ht="12.5">
      <c r="A442" s="10">
        <v>610422040030</v>
      </c>
      <c r="B442" s="10" t="s">
        <v>218</v>
      </c>
      <c r="D442" s="10">
        <v>1</v>
      </c>
      <c r="E442" s="10" t="s">
        <v>2697</v>
      </c>
      <c r="F442" s="10" t="s">
        <v>25</v>
      </c>
      <c r="G442" s="10" t="s">
        <v>2696</v>
      </c>
      <c r="H442" s="10" t="s">
        <v>74</v>
      </c>
      <c r="I442" s="10" t="s">
        <v>220</v>
      </c>
      <c r="J442" s="10" t="s">
        <v>164</v>
      </c>
      <c r="K442" s="66">
        <v>55000</v>
      </c>
      <c r="L442" s="10">
        <v>1</v>
      </c>
      <c r="M442" s="10">
        <v>55000</v>
      </c>
      <c r="O442" s="67">
        <v>45524</v>
      </c>
      <c r="P442" s="10">
        <v>2024</v>
      </c>
      <c r="Q442" s="10">
        <v>8</v>
      </c>
      <c r="R442" s="10" t="s">
        <v>3043</v>
      </c>
      <c r="S442" s="10" t="s">
        <v>6665</v>
      </c>
      <c r="T442" s="10" t="s">
        <v>6666</v>
      </c>
      <c r="U442" s="10">
        <v>0</v>
      </c>
      <c r="V442" s="10">
        <v>90</v>
      </c>
      <c r="W442" s="67"/>
      <c r="X442" s="11" t="s">
        <v>3111</v>
      </c>
      <c r="Y442" s="11" t="s">
        <v>3241</v>
      </c>
      <c r="Z442" s="11" t="s">
        <v>3289</v>
      </c>
      <c r="AA442" s="67">
        <v>45504</v>
      </c>
      <c r="AB442" s="67">
        <v>45505</v>
      </c>
      <c r="AC442" s="67">
        <v>45535</v>
      </c>
      <c r="AD442" s="67">
        <v>45534</v>
      </c>
      <c r="AE442" s="67">
        <v>45535</v>
      </c>
    </row>
    <row r="443" spans="1:31" ht="12.5">
      <c r="A443" s="10">
        <v>610422100124</v>
      </c>
      <c r="B443" s="10" t="s">
        <v>218</v>
      </c>
      <c r="D443" s="10">
        <v>1</v>
      </c>
      <c r="E443" s="10" t="s">
        <v>2237</v>
      </c>
      <c r="F443" s="10" t="s">
        <v>25</v>
      </c>
      <c r="G443" s="10" t="s">
        <v>2236</v>
      </c>
      <c r="H443" s="10" t="s">
        <v>74</v>
      </c>
      <c r="I443" s="10" t="s">
        <v>220</v>
      </c>
      <c r="J443" s="10" t="s">
        <v>164</v>
      </c>
      <c r="K443" s="66">
        <v>55000</v>
      </c>
      <c r="L443" s="10">
        <v>3</v>
      </c>
      <c r="M443" s="10">
        <v>165000</v>
      </c>
      <c r="O443" s="67">
        <v>45524</v>
      </c>
      <c r="P443" s="10">
        <v>2024</v>
      </c>
      <c r="Q443" s="10">
        <v>8</v>
      </c>
      <c r="R443" s="10" t="s">
        <v>3043</v>
      </c>
      <c r="S443" s="10" t="s">
        <v>6659</v>
      </c>
      <c r="T443" s="10" t="s">
        <v>6660</v>
      </c>
      <c r="U443" s="10">
        <v>0</v>
      </c>
      <c r="V443" s="10">
        <v>90</v>
      </c>
      <c r="W443" s="67"/>
      <c r="X443" s="11" t="s">
        <v>3111</v>
      </c>
      <c r="Y443" s="11" t="s">
        <v>1921</v>
      </c>
      <c r="Z443" s="11" t="s">
        <v>2140</v>
      </c>
      <c r="AA443" s="67">
        <v>45504</v>
      </c>
      <c r="AB443" s="67">
        <v>45505</v>
      </c>
      <c r="AC443" s="67">
        <v>45535</v>
      </c>
      <c r="AD443" s="67">
        <v>45534</v>
      </c>
      <c r="AE443" s="67">
        <v>45535</v>
      </c>
    </row>
    <row r="444" spans="1:31" ht="12.5">
      <c r="A444" s="10">
        <v>610422100244</v>
      </c>
      <c r="B444" s="10" t="s">
        <v>218</v>
      </c>
      <c r="D444" s="10">
        <v>1</v>
      </c>
      <c r="E444" s="10" t="s">
        <v>2633</v>
      </c>
      <c r="F444" s="10" t="s">
        <v>25</v>
      </c>
      <c r="G444" s="10" t="s">
        <v>2632</v>
      </c>
      <c r="H444" s="10" t="s">
        <v>74</v>
      </c>
      <c r="I444" s="10" t="s">
        <v>220</v>
      </c>
      <c r="J444" s="10" t="s">
        <v>164</v>
      </c>
      <c r="K444" s="66">
        <v>55000</v>
      </c>
      <c r="L444" s="10">
        <v>2</v>
      </c>
      <c r="M444" s="10">
        <v>110000</v>
      </c>
      <c r="O444" s="67">
        <v>45524</v>
      </c>
      <c r="P444" s="10">
        <v>2024</v>
      </c>
      <c r="Q444" s="10">
        <v>8</v>
      </c>
      <c r="R444" s="10" t="s">
        <v>3043</v>
      </c>
      <c r="S444" s="10" t="s">
        <v>6657</v>
      </c>
      <c r="T444" s="10" t="s">
        <v>6658</v>
      </c>
      <c r="U444" s="10">
        <v>0</v>
      </c>
      <c r="V444" s="10">
        <v>90</v>
      </c>
      <c r="W444" s="67"/>
      <c r="X444" s="11" t="s">
        <v>3111</v>
      </c>
      <c r="Y444" s="11" t="s">
        <v>5741</v>
      </c>
      <c r="Z444" s="11" t="s">
        <v>5796</v>
      </c>
      <c r="AA444" s="67">
        <v>45504</v>
      </c>
      <c r="AB444" s="67">
        <v>45505</v>
      </c>
      <c r="AC444" s="67">
        <v>45535</v>
      </c>
      <c r="AD444" s="67">
        <v>45534</v>
      </c>
      <c r="AE444" s="67">
        <v>45535</v>
      </c>
    </row>
    <row r="445" spans="1:31" ht="12.5">
      <c r="A445" s="10">
        <v>610422020016</v>
      </c>
      <c r="B445" s="10" t="s">
        <v>218</v>
      </c>
      <c r="D445" s="10">
        <v>1</v>
      </c>
      <c r="E445" s="10" t="s">
        <v>380</v>
      </c>
      <c r="F445" s="10" t="s">
        <v>25</v>
      </c>
      <c r="G445" s="10" t="s">
        <v>379</v>
      </c>
      <c r="H445" s="10" t="s">
        <v>74</v>
      </c>
      <c r="I445" s="10" t="s">
        <v>220</v>
      </c>
      <c r="J445" s="10" t="s">
        <v>164</v>
      </c>
      <c r="K445" s="66">
        <v>55000</v>
      </c>
      <c r="L445" s="10">
        <v>3</v>
      </c>
      <c r="M445" s="10">
        <v>165000</v>
      </c>
      <c r="O445" s="67">
        <v>45524</v>
      </c>
      <c r="P445" s="10">
        <v>2024</v>
      </c>
      <c r="Q445" s="10">
        <v>8</v>
      </c>
      <c r="R445" s="10" t="s">
        <v>3043</v>
      </c>
      <c r="S445" s="10" t="s">
        <v>6667</v>
      </c>
      <c r="T445" s="10" t="s">
        <v>6668</v>
      </c>
      <c r="U445" s="10">
        <v>0</v>
      </c>
      <c r="V445" s="10">
        <v>90</v>
      </c>
      <c r="W445" s="67"/>
      <c r="X445" s="11" t="s">
        <v>3111</v>
      </c>
      <c r="Y445" s="11" t="s">
        <v>5534</v>
      </c>
      <c r="Z445" s="11" t="s">
        <v>5535</v>
      </c>
      <c r="AA445" s="67">
        <v>45504</v>
      </c>
      <c r="AB445" s="67">
        <v>45505</v>
      </c>
      <c r="AC445" s="67">
        <v>45535</v>
      </c>
      <c r="AD445" s="67">
        <v>45534</v>
      </c>
      <c r="AE445" s="67">
        <v>45535</v>
      </c>
    </row>
    <row r="446" spans="1:31" ht="12.5">
      <c r="A446" s="10">
        <v>610422100016</v>
      </c>
      <c r="B446" s="10" t="s">
        <v>218</v>
      </c>
      <c r="D446" s="10">
        <v>1</v>
      </c>
      <c r="E446" s="10" t="s">
        <v>550</v>
      </c>
      <c r="F446" s="10" t="s">
        <v>25</v>
      </c>
      <c r="G446" s="10" t="s">
        <v>549</v>
      </c>
      <c r="H446" s="10" t="s">
        <v>74</v>
      </c>
      <c r="I446" s="10" t="s">
        <v>220</v>
      </c>
      <c r="J446" s="10" t="s">
        <v>164</v>
      </c>
      <c r="K446" s="66">
        <v>55000</v>
      </c>
      <c r="L446" s="10">
        <v>1</v>
      </c>
      <c r="M446" s="10">
        <v>55000</v>
      </c>
      <c r="O446" s="67">
        <v>45524</v>
      </c>
      <c r="P446" s="10">
        <v>2024</v>
      </c>
      <c r="Q446" s="10">
        <v>8</v>
      </c>
      <c r="R446" s="10" t="s">
        <v>3043</v>
      </c>
      <c r="S446" s="10" t="s">
        <v>6661</v>
      </c>
      <c r="T446" s="10" t="s">
        <v>6662</v>
      </c>
      <c r="U446" s="10">
        <v>0</v>
      </c>
      <c r="V446" s="10">
        <v>90</v>
      </c>
      <c r="W446" s="67"/>
      <c r="X446" s="11" t="s">
        <v>3111</v>
      </c>
      <c r="Y446" s="11" t="s">
        <v>5250</v>
      </c>
      <c r="Z446" s="11" t="s">
        <v>5365</v>
      </c>
      <c r="AA446" s="67">
        <v>45504</v>
      </c>
      <c r="AB446" s="67">
        <v>45505</v>
      </c>
      <c r="AC446" s="67">
        <v>45535</v>
      </c>
      <c r="AD446" s="67">
        <v>45534</v>
      </c>
      <c r="AE446" s="67">
        <v>45535</v>
      </c>
    </row>
    <row r="447" spans="1:31" ht="12.5">
      <c r="A447" s="10">
        <v>610422020048</v>
      </c>
      <c r="B447" s="10" t="s">
        <v>218</v>
      </c>
      <c r="D447" s="10">
        <v>1</v>
      </c>
      <c r="E447" s="10" t="s">
        <v>1359</v>
      </c>
      <c r="F447" s="10" t="s">
        <v>25</v>
      </c>
      <c r="G447" s="10" t="s">
        <v>1358</v>
      </c>
      <c r="H447" s="10" t="s">
        <v>74</v>
      </c>
      <c r="I447" s="10" t="s">
        <v>220</v>
      </c>
      <c r="J447" s="10" t="s">
        <v>164</v>
      </c>
      <c r="K447" s="66">
        <v>55000</v>
      </c>
      <c r="L447" s="10">
        <v>3</v>
      </c>
      <c r="M447" s="10">
        <v>165000</v>
      </c>
      <c r="O447" s="67">
        <v>45524</v>
      </c>
      <c r="P447" s="10">
        <v>2024</v>
      </c>
      <c r="Q447" s="10">
        <v>8</v>
      </c>
      <c r="R447" s="10" t="s">
        <v>3043</v>
      </c>
      <c r="S447" s="10" t="s">
        <v>6653</v>
      </c>
      <c r="T447" s="10" t="s">
        <v>6654</v>
      </c>
      <c r="U447" s="10">
        <v>0</v>
      </c>
      <c r="V447" s="10">
        <v>90</v>
      </c>
      <c r="W447" s="67"/>
      <c r="X447" s="11" t="s">
        <v>3111</v>
      </c>
      <c r="Y447" s="11" t="s">
        <v>4931</v>
      </c>
      <c r="Z447" s="11" t="s">
        <v>5171</v>
      </c>
      <c r="AA447" s="67">
        <v>45504</v>
      </c>
      <c r="AB447" s="67">
        <v>45505</v>
      </c>
      <c r="AC447" s="67">
        <v>45535</v>
      </c>
      <c r="AD447" s="67">
        <v>45534</v>
      </c>
      <c r="AE447" s="67">
        <v>45535</v>
      </c>
    </row>
    <row r="448" spans="1:31" ht="12.5">
      <c r="A448" s="10">
        <v>610422040029</v>
      </c>
      <c r="B448" s="10" t="s">
        <v>218</v>
      </c>
      <c r="D448" s="10">
        <v>1</v>
      </c>
      <c r="E448" s="10" t="s">
        <v>3000</v>
      </c>
      <c r="F448" s="10" t="s">
        <v>25</v>
      </c>
      <c r="G448" s="10" t="s">
        <v>2999</v>
      </c>
      <c r="H448" s="10" t="s">
        <v>74</v>
      </c>
      <c r="I448" s="10" t="s">
        <v>220</v>
      </c>
      <c r="J448" s="10" t="s">
        <v>164</v>
      </c>
      <c r="K448" s="66">
        <v>55000</v>
      </c>
      <c r="L448" s="10">
        <v>4</v>
      </c>
      <c r="M448" s="10">
        <v>220000</v>
      </c>
      <c r="O448" s="67">
        <v>45524</v>
      </c>
      <c r="P448" s="10">
        <v>2024</v>
      </c>
      <c r="Q448" s="10">
        <v>8</v>
      </c>
      <c r="R448" s="10" t="s">
        <v>3043</v>
      </c>
      <c r="S448" s="10" t="s">
        <v>6669</v>
      </c>
      <c r="T448" s="10" t="s">
        <v>6670</v>
      </c>
      <c r="U448" s="10">
        <v>0</v>
      </c>
      <c r="V448" s="10">
        <v>90</v>
      </c>
      <c r="W448" s="67"/>
      <c r="X448" s="11" t="s">
        <v>3111</v>
      </c>
      <c r="Y448" s="11" t="s">
        <v>4572</v>
      </c>
      <c r="Z448" s="11" t="s">
        <v>4619</v>
      </c>
      <c r="AA448" s="67">
        <v>45504</v>
      </c>
      <c r="AB448" s="67">
        <v>45505</v>
      </c>
      <c r="AC448" s="67">
        <v>45535</v>
      </c>
      <c r="AD448" s="67">
        <v>45534</v>
      </c>
      <c r="AE448" s="67">
        <v>45535</v>
      </c>
    </row>
    <row r="449" spans="1:31" ht="12.5">
      <c r="A449" s="10">
        <v>610422050001</v>
      </c>
      <c r="B449" s="10" t="s">
        <v>218</v>
      </c>
      <c r="D449" s="10">
        <v>1</v>
      </c>
      <c r="E449" s="10" t="s">
        <v>5949</v>
      </c>
      <c r="F449" s="10" t="s">
        <v>25</v>
      </c>
      <c r="G449" s="10" t="s">
        <v>1127</v>
      </c>
      <c r="H449" s="10" t="s">
        <v>74</v>
      </c>
      <c r="I449" s="10" t="s">
        <v>220</v>
      </c>
      <c r="J449" s="10" t="s">
        <v>164</v>
      </c>
      <c r="K449" s="66">
        <v>55000</v>
      </c>
      <c r="L449" s="10">
        <v>1</v>
      </c>
      <c r="M449" s="10">
        <v>55000</v>
      </c>
      <c r="O449" s="67">
        <v>45524</v>
      </c>
      <c r="P449" s="10">
        <v>2024</v>
      </c>
      <c r="Q449" s="10">
        <v>8</v>
      </c>
      <c r="R449" s="10" t="s">
        <v>3043</v>
      </c>
      <c r="S449" s="10" t="s">
        <v>6663</v>
      </c>
      <c r="T449" s="10" t="s">
        <v>6664</v>
      </c>
      <c r="U449" s="10">
        <v>0</v>
      </c>
      <c r="V449" s="10">
        <v>90</v>
      </c>
      <c r="W449" s="67"/>
      <c r="X449" s="11" t="s">
        <v>3111</v>
      </c>
      <c r="Y449" s="11" t="s">
        <v>4408</v>
      </c>
      <c r="Z449" s="11" t="s">
        <v>4409</v>
      </c>
      <c r="AA449" s="67">
        <v>45504</v>
      </c>
      <c r="AB449" s="67">
        <v>45505</v>
      </c>
      <c r="AC449" s="67">
        <v>45535</v>
      </c>
      <c r="AD449" s="67">
        <v>45534</v>
      </c>
      <c r="AE449" s="67">
        <v>45535</v>
      </c>
    </row>
    <row r="450" spans="1:31" ht="12.5">
      <c r="A450" s="10">
        <v>610422100124</v>
      </c>
      <c r="B450" s="10" t="s">
        <v>221</v>
      </c>
      <c r="D450" s="10">
        <v>1</v>
      </c>
      <c r="E450" s="10" t="s">
        <v>2237</v>
      </c>
      <c r="F450" s="10" t="s">
        <v>25</v>
      </c>
      <c r="G450" s="10" t="s">
        <v>2236</v>
      </c>
      <c r="H450" s="10" t="s">
        <v>67</v>
      </c>
      <c r="I450" s="10" t="s">
        <v>222</v>
      </c>
      <c r="J450" s="10" t="s">
        <v>164</v>
      </c>
      <c r="K450" s="66">
        <v>55000</v>
      </c>
      <c r="L450" s="10">
        <v>2</v>
      </c>
      <c r="M450" s="10">
        <v>110000</v>
      </c>
      <c r="O450" s="67">
        <v>45524</v>
      </c>
      <c r="P450" s="10">
        <v>2024</v>
      </c>
      <c r="Q450" s="10">
        <v>8</v>
      </c>
      <c r="R450" s="10" t="s">
        <v>3043</v>
      </c>
      <c r="S450" s="10" t="s">
        <v>6659</v>
      </c>
      <c r="T450" s="10" t="s">
        <v>6660</v>
      </c>
      <c r="U450" s="10">
        <v>0</v>
      </c>
      <c r="V450" s="10">
        <v>90</v>
      </c>
      <c r="W450" s="67"/>
      <c r="X450" s="11" t="s">
        <v>6988</v>
      </c>
      <c r="Y450" s="11" t="s">
        <v>1921</v>
      </c>
      <c r="Z450" s="11" t="s">
        <v>2140</v>
      </c>
      <c r="AA450" s="67">
        <v>45504</v>
      </c>
      <c r="AB450" s="67">
        <v>45505</v>
      </c>
      <c r="AC450" s="67">
        <v>45535</v>
      </c>
      <c r="AD450" s="67">
        <v>45534</v>
      </c>
      <c r="AE450" s="67">
        <v>45535</v>
      </c>
    </row>
    <row r="451" spans="1:31" ht="12.5">
      <c r="A451" s="10">
        <v>610422100244</v>
      </c>
      <c r="B451" s="10" t="s">
        <v>221</v>
      </c>
      <c r="D451" s="10">
        <v>1</v>
      </c>
      <c r="E451" s="10" t="s">
        <v>2633</v>
      </c>
      <c r="F451" s="10" t="s">
        <v>25</v>
      </c>
      <c r="G451" s="10" t="s">
        <v>2632</v>
      </c>
      <c r="H451" s="10" t="s">
        <v>67</v>
      </c>
      <c r="I451" s="10" t="s">
        <v>222</v>
      </c>
      <c r="J451" s="10" t="s">
        <v>164</v>
      </c>
      <c r="K451" s="66">
        <v>55000</v>
      </c>
      <c r="L451" s="10">
        <v>2</v>
      </c>
      <c r="M451" s="10">
        <v>110000</v>
      </c>
      <c r="O451" s="67">
        <v>45524</v>
      </c>
      <c r="P451" s="10">
        <v>2024</v>
      </c>
      <c r="Q451" s="10">
        <v>8</v>
      </c>
      <c r="R451" s="10" t="s">
        <v>3043</v>
      </c>
      <c r="S451" s="10" t="s">
        <v>6657</v>
      </c>
      <c r="T451" s="10" t="s">
        <v>6658</v>
      </c>
      <c r="U451" s="10">
        <v>0</v>
      </c>
      <c r="V451" s="10">
        <v>90</v>
      </c>
      <c r="W451" s="67"/>
      <c r="X451" s="11" t="s">
        <v>6988</v>
      </c>
      <c r="Y451" s="11" t="s">
        <v>5741</v>
      </c>
      <c r="Z451" s="11" t="s">
        <v>5796</v>
      </c>
      <c r="AA451" s="67">
        <v>45504</v>
      </c>
      <c r="AB451" s="67">
        <v>45505</v>
      </c>
      <c r="AC451" s="67">
        <v>45535</v>
      </c>
      <c r="AD451" s="67">
        <v>45534</v>
      </c>
      <c r="AE451" s="67">
        <v>45535</v>
      </c>
    </row>
    <row r="452" spans="1:31" ht="12.5">
      <c r="A452" s="10">
        <v>610422100165</v>
      </c>
      <c r="B452" s="10" t="s">
        <v>221</v>
      </c>
      <c r="D452" s="10">
        <v>1</v>
      </c>
      <c r="E452" s="10" t="s">
        <v>2855</v>
      </c>
      <c r="F452" s="10" t="s">
        <v>25</v>
      </c>
      <c r="G452" s="10" t="s">
        <v>2854</v>
      </c>
      <c r="H452" s="10" t="s">
        <v>67</v>
      </c>
      <c r="I452" s="10" t="s">
        <v>222</v>
      </c>
      <c r="J452" s="10" t="s">
        <v>164</v>
      </c>
      <c r="K452" s="66">
        <v>55000</v>
      </c>
      <c r="L452" s="10">
        <v>2</v>
      </c>
      <c r="M452" s="10">
        <v>110000</v>
      </c>
      <c r="O452" s="67">
        <v>45524</v>
      </c>
      <c r="P452" s="10">
        <v>2024</v>
      </c>
      <c r="Q452" s="10">
        <v>8</v>
      </c>
      <c r="R452" s="10" t="s">
        <v>3043</v>
      </c>
      <c r="S452" s="10" t="s">
        <v>6671</v>
      </c>
      <c r="T452" s="10" t="s">
        <v>6672</v>
      </c>
      <c r="U452" s="10">
        <v>0</v>
      </c>
      <c r="V452" s="10">
        <v>90</v>
      </c>
      <c r="W452" s="67"/>
      <c r="X452" s="11" t="s">
        <v>6988</v>
      </c>
      <c r="Y452" s="11" t="s">
        <v>3990</v>
      </c>
      <c r="Z452" s="11" t="s">
        <v>4332</v>
      </c>
      <c r="AA452" s="67">
        <v>45504</v>
      </c>
      <c r="AB452" s="67">
        <v>45505</v>
      </c>
      <c r="AC452" s="67">
        <v>45535</v>
      </c>
      <c r="AD452" s="67">
        <v>45534</v>
      </c>
      <c r="AE452" s="67">
        <v>45535</v>
      </c>
    </row>
    <row r="453" spans="1:31" ht="12.5">
      <c r="A453" s="10">
        <v>610422100165</v>
      </c>
      <c r="B453" s="10" t="s">
        <v>223</v>
      </c>
      <c r="D453" s="10">
        <v>1</v>
      </c>
      <c r="E453" s="10" t="s">
        <v>2855</v>
      </c>
      <c r="F453" s="10" t="s">
        <v>25</v>
      </c>
      <c r="G453" s="10" t="s">
        <v>2854</v>
      </c>
      <c r="H453" s="10" t="s">
        <v>67</v>
      </c>
      <c r="I453" s="10" t="s">
        <v>224</v>
      </c>
      <c r="J453" s="10" t="s">
        <v>164</v>
      </c>
      <c r="K453" s="66">
        <v>50000</v>
      </c>
      <c r="L453" s="10">
        <v>1</v>
      </c>
      <c r="M453" s="10">
        <v>50000</v>
      </c>
      <c r="O453" s="67">
        <v>45524</v>
      </c>
      <c r="P453" s="10">
        <v>2024</v>
      </c>
      <c r="Q453" s="10">
        <v>8</v>
      </c>
      <c r="R453" s="10" t="s">
        <v>3043</v>
      </c>
      <c r="S453" s="10" t="s">
        <v>6671</v>
      </c>
      <c r="T453" s="10" t="s">
        <v>6672</v>
      </c>
      <c r="U453" s="10">
        <v>0</v>
      </c>
      <c r="V453" s="10">
        <v>90</v>
      </c>
      <c r="W453" s="67"/>
      <c r="X453" s="11" t="s">
        <v>3135</v>
      </c>
      <c r="Y453" s="11" t="s">
        <v>3990</v>
      </c>
      <c r="Z453" s="11" t="s">
        <v>4332</v>
      </c>
      <c r="AA453" s="67">
        <v>45504</v>
      </c>
      <c r="AB453" s="67">
        <v>45505</v>
      </c>
      <c r="AC453" s="67">
        <v>45535</v>
      </c>
      <c r="AD453" s="67">
        <v>45534</v>
      </c>
      <c r="AE453" s="67">
        <v>45535</v>
      </c>
    </row>
    <row r="454" spans="1:31" ht="12.5">
      <c r="A454" s="10">
        <v>610422040029</v>
      </c>
      <c r="B454" s="10" t="s">
        <v>225</v>
      </c>
      <c r="D454" s="10">
        <v>1</v>
      </c>
      <c r="E454" s="10" t="s">
        <v>3000</v>
      </c>
      <c r="F454" s="10" t="s">
        <v>25</v>
      </c>
      <c r="G454" s="10" t="s">
        <v>2999</v>
      </c>
      <c r="H454" s="10" t="s">
        <v>67</v>
      </c>
      <c r="I454" s="10" t="s">
        <v>226</v>
      </c>
      <c r="J454" s="10" t="s">
        <v>164</v>
      </c>
      <c r="K454" s="66">
        <v>55000</v>
      </c>
      <c r="L454" s="10">
        <v>3</v>
      </c>
      <c r="M454" s="10">
        <v>165000</v>
      </c>
      <c r="O454" s="67">
        <v>45524</v>
      </c>
      <c r="P454" s="10">
        <v>2024</v>
      </c>
      <c r="Q454" s="10">
        <v>8</v>
      </c>
      <c r="R454" s="10" t="s">
        <v>3043</v>
      </c>
      <c r="S454" s="10" t="s">
        <v>6669</v>
      </c>
      <c r="T454" s="10" t="s">
        <v>6670</v>
      </c>
      <c r="U454" s="10">
        <v>0</v>
      </c>
      <c r="V454" s="10">
        <v>90</v>
      </c>
      <c r="W454" s="67"/>
      <c r="X454" s="11" t="s">
        <v>3157</v>
      </c>
      <c r="Y454" s="11" t="s">
        <v>4572</v>
      </c>
      <c r="Z454" s="11" t="s">
        <v>4619</v>
      </c>
      <c r="AA454" s="67">
        <v>45504</v>
      </c>
      <c r="AB454" s="67">
        <v>45505</v>
      </c>
      <c r="AC454" s="67">
        <v>45535</v>
      </c>
      <c r="AD454" s="67">
        <v>45534</v>
      </c>
      <c r="AE454" s="67">
        <v>45535</v>
      </c>
    </row>
    <row r="455" spans="1:31" ht="12.5">
      <c r="A455" s="10">
        <v>610422100165</v>
      </c>
      <c r="B455" s="10" t="s">
        <v>225</v>
      </c>
      <c r="D455" s="10">
        <v>1</v>
      </c>
      <c r="E455" s="10" t="s">
        <v>2855</v>
      </c>
      <c r="F455" s="10" t="s">
        <v>25</v>
      </c>
      <c r="G455" s="10" t="s">
        <v>2854</v>
      </c>
      <c r="H455" s="10" t="s">
        <v>67</v>
      </c>
      <c r="I455" s="10" t="s">
        <v>226</v>
      </c>
      <c r="J455" s="10" t="s">
        <v>164</v>
      </c>
      <c r="K455" s="66">
        <v>55000</v>
      </c>
      <c r="L455" s="10">
        <v>3</v>
      </c>
      <c r="M455" s="10">
        <v>165000</v>
      </c>
      <c r="O455" s="67">
        <v>45524</v>
      </c>
      <c r="P455" s="10">
        <v>2024</v>
      </c>
      <c r="Q455" s="10">
        <v>8</v>
      </c>
      <c r="R455" s="10" t="s">
        <v>3043</v>
      </c>
      <c r="S455" s="10" t="s">
        <v>6671</v>
      </c>
      <c r="T455" s="10" t="s">
        <v>6672</v>
      </c>
      <c r="U455" s="10">
        <v>0</v>
      </c>
      <c r="V455" s="10">
        <v>90</v>
      </c>
      <c r="W455" s="67"/>
      <c r="X455" s="11" t="s">
        <v>3157</v>
      </c>
      <c r="Y455" s="11" t="s">
        <v>3990</v>
      </c>
      <c r="Z455" s="11" t="s">
        <v>4332</v>
      </c>
      <c r="AA455" s="67">
        <v>45504</v>
      </c>
      <c r="AB455" s="67">
        <v>45505</v>
      </c>
      <c r="AC455" s="67">
        <v>45535</v>
      </c>
      <c r="AD455" s="67">
        <v>45534</v>
      </c>
      <c r="AE455" s="67">
        <v>45535</v>
      </c>
    </row>
    <row r="456" spans="1:31" ht="12.5">
      <c r="A456" s="10">
        <v>610422050001</v>
      </c>
      <c r="B456" s="10" t="s">
        <v>225</v>
      </c>
      <c r="D456" s="10">
        <v>1</v>
      </c>
      <c r="E456" s="10" t="s">
        <v>5949</v>
      </c>
      <c r="F456" s="10" t="s">
        <v>25</v>
      </c>
      <c r="G456" s="10" t="s">
        <v>1127</v>
      </c>
      <c r="H456" s="10" t="s">
        <v>67</v>
      </c>
      <c r="I456" s="10" t="s">
        <v>226</v>
      </c>
      <c r="J456" s="10" t="s">
        <v>164</v>
      </c>
      <c r="K456" s="66">
        <v>55000</v>
      </c>
      <c r="L456" s="10">
        <v>3</v>
      </c>
      <c r="M456" s="10">
        <v>165000</v>
      </c>
      <c r="O456" s="67">
        <v>45524</v>
      </c>
      <c r="P456" s="10">
        <v>2024</v>
      </c>
      <c r="Q456" s="10">
        <v>8</v>
      </c>
      <c r="R456" s="10" t="s">
        <v>3043</v>
      </c>
      <c r="S456" s="10" t="s">
        <v>6663</v>
      </c>
      <c r="T456" s="10" t="s">
        <v>6664</v>
      </c>
      <c r="U456" s="10">
        <v>0</v>
      </c>
      <c r="V456" s="10">
        <v>90</v>
      </c>
      <c r="W456" s="67"/>
      <c r="X456" s="11" t="s">
        <v>3157</v>
      </c>
      <c r="Y456" s="11" t="s">
        <v>4408</v>
      </c>
      <c r="Z456" s="11" t="s">
        <v>4409</v>
      </c>
      <c r="AA456" s="67">
        <v>45504</v>
      </c>
      <c r="AB456" s="67">
        <v>45505</v>
      </c>
      <c r="AC456" s="67">
        <v>45535</v>
      </c>
      <c r="AD456" s="67">
        <v>45534</v>
      </c>
      <c r="AE456" s="67">
        <v>45535</v>
      </c>
    </row>
    <row r="457" spans="1:31" ht="12.5">
      <c r="A457" s="10">
        <v>610422040056</v>
      </c>
      <c r="B457" s="10" t="s">
        <v>225</v>
      </c>
      <c r="D457" s="10">
        <v>1</v>
      </c>
      <c r="E457" s="10" t="s">
        <v>2825</v>
      </c>
      <c r="F457" s="10" t="s">
        <v>25</v>
      </c>
      <c r="G457" s="10" t="s">
        <v>2824</v>
      </c>
      <c r="H457" s="10" t="s">
        <v>67</v>
      </c>
      <c r="I457" s="10" t="s">
        <v>226</v>
      </c>
      <c r="J457" s="10" t="s">
        <v>164</v>
      </c>
      <c r="K457" s="66">
        <v>55000</v>
      </c>
      <c r="L457" s="10">
        <v>2</v>
      </c>
      <c r="M457" s="10">
        <v>110000</v>
      </c>
      <c r="O457" s="67">
        <v>45524</v>
      </c>
      <c r="P457" s="10">
        <v>2024</v>
      </c>
      <c r="Q457" s="10">
        <v>8</v>
      </c>
      <c r="R457" s="10" t="s">
        <v>3043</v>
      </c>
      <c r="S457" s="10" t="s">
        <v>6673</v>
      </c>
      <c r="T457" s="10" t="s">
        <v>6674</v>
      </c>
      <c r="U457" s="10">
        <v>0</v>
      </c>
      <c r="V457" s="10">
        <v>90</v>
      </c>
      <c r="W457" s="67"/>
      <c r="X457" s="11" t="s">
        <v>3157</v>
      </c>
      <c r="Y457" s="11" t="s">
        <v>4572</v>
      </c>
      <c r="Z457" s="11" t="s">
        <v>4656</v>
      </c>
      <c r="AA457" s="67">
        <v>45504</v>
      </c>
      <c r="AB457" s="67">
        <v>45505</v>
      </c>
      <c r="AC457" s="67">
        <v>45535</v>
      </c>
      <c r="AD457" s="67">
        <v>45534</v>
      </c>
      <c r="AE457" s="67">
        <v>45535</v>
      </c>
    </row>
    <row r="458" spans="1:31" ht="12.5">
      <c r="A458" s="10">
        <v>610422020016</v>
      </c>
      <c r="B458" s="10" t="s">
        <v>34</v>
      </c>
      <c r="D458" s="10">
        <v>1</v>
      </c>
      <c r="E458" s="10" t="s">
        <v>380</v>
      </c>
      <c r="F458" s="10" t="s">
        <v>25</v>
      </c>
      <c r="G458" s="10" t="s">
        <v>379</v>
      </c>
      <c r="H458" s="10" t="s">
        <v>84</v>
      </c>
      <c r="I458" s="10" t="s">
        <v>6675</v>
      </c>
      <c r="J458" s="10" t="s">
        <v>3036</v>
      </c>
      <c r="K458" s="66">
        <v>116000</v>
      </c>
      <c r="L458" s="10">
        <v>3</v>
      </c>
      <c r="M458" s="10">
        <v>348000</v>
      </c>
      <c r="O458" s="67">
        <v>45535</v>
      </c>
      <c r="P458" s="10">
        <v>2024</v>
      </c>
      <c r="Q458" s="10">
        <v>8</v>
      </c>
      <c r="R458" s="10" t="s">
        <v>3043</v>
      </c>
      <c r="S458" s="10" t="s">
        <v>6667</v>
      </c>
      <c r="T458" s="10" t="s">
        <v>6668</v>
      </c>
      <c r="U458" s="10">
        <v>0</v>
      </c>
      <c r="V458" s="10">
        <v>101</v>
      </c>
      <c r="W458" s="67"/>
      <c r="X458" s="11" t="s">
        <v>3058</v>
      </c>
      <c r="Y458" s="11" t="s">
        <v>5534</v>
      </c>
      <c r="Z458" s="11" t="s">
        <v>5535</v>
      </c>
      <c r="AA458" s="67">
        <v>45504</v>
      </c>
      <c r="AB458" s="67">
        <v>45505</v>
      </c>
      <c r="AC458" s="67">
        <v>45535</v>
      </c>
      <c r="AD458" s="67">
        <v>45534</v>
      </c>
      <c r="AE458" s="67">
        <v>45535</v>
      </c>
    </row>
    <row r="459" spans="1:31" ht="12.5">
      <c r="A459" s="10">
        <v>610422040012</v>
      </c>
      <c r="B459" s="10" t="s">
        <v>34</v>
      </c>
      <c r="D459" s="10">
        <v>1</v>
      </c>
      <c r="E459" s="10" t="s">
        <v>1813</v>
      </c>
      <c r="F459" s="10" t="s">
        <v>25</v>
      </c>
      <c r="G459" s="10" t="s">
        <v>1812</v>
      </c>
      <c r="H459" s="10" t="s">
        <v>84</v>
      </c>
      <c r="I459" s="10" t="s">
        <v>6675</v>
      </c>
      <c r="J459" s="10" t="s">
        <v>3036</v>
      </c>
      <c r="K459" s="66">
        <v>116000</v>
      </c>
      <c r="L459" s="10">
        <v>3</v>
      </c>
      <c r="M459" s="10">
        <v>348000</v>
      </c>
      <c r="O459" s="67">
        <v>45535</v>
      </c>
      <c r="P459" s="10">
        <v>2024</v>
      </c>
      <c r="Q459" s="10">
        <v>8</v>
      </c>
      <c r="R459" s="10" t="s">
        <v>3043</v>
      </c>
      <c r="S459" s="10" t="s">
        <v>6676</v>
      </c>
      <c r="T459" s="10" t="s">
        <v>6677</v>
      </c>
      <c r="U459" s="10">
        <v>0</v>
      </c>
      <c r="V459" s="10">
        <v>101</v>
      </c>
      <c r="W459" s="67"/>
      <c r="X459" s="11" t="s">
        <v>3058</v>
      </c>
      <c r="Y459" s="11" t="s">
        <v>3990</v>
      </c>
      <c r="Z459" s="11" t="s">
        <v>4365</v>
      </c>
      <c r="AA459" s="67">
        <v>45504</v>
      </c>
      <c r="AB459" s="67">
        <v>45505</v>
      </c>
      <c r="AC459" s="67">
        <v>45535</v>
      </c>
      <c r="AD459" s="67">
        <v>45534</v>
      </c>
      <c r="AE459" s="67">
        <v>45535</v>
      </c>
    </row>
    <row r="460" spans="1:31" ht="12.5">
      <c r="A460" s="10">
        <v>610422040059</v>
      </c>
      <c r="B460" s="10" t="s">
        <v>34</v>
      </c>
      <c r="D460" s="10">
        <v>1</v>
      </c>
      <c r="E460" s="10" t="s">
        <v>365</v>
      </c>
      <c r="F460" s="10" t="s">
        <v>25</v>
      </c>
      <c r="G460" s="10" t="s">
        <v>364</v>
      </c>
      <c r="H460" s="10" t="s">
        <v>84</v>
      </c>
      <c r="I460" s="10" t="s">
        <v>6675</v>
      </c>
      <c r="J460" s="10" t="s">
        <v>3036</v>
      </c>
      <c r="K460" s="66">
        <v>116000</v>
      </c>
      <c r="L460" s="10">
        <v>4</v>
      </c>
      <c r="M460" s="10">
        <v>464000</v>
      </c>
      <c r="O460" s="67">
        <v>45535</v>
      </c>
      <c r="P460" s="10">
        <v>2024</v>
      </c>
      <c r="Q460" s="10">
        <v>8</v>
      </c>
      <c r="R460" s="10" t="s">
        <v>3043</v>
      </c>
      <c r="S460" s="10" t="s">
        <v>6678</v>
      </c>
      <c r="T460" s="10" t="s">
        <v>6679</v>
      </c>
      <c r="U460" s="10">
        <v>0</v>
      </c>
      <c r="V460" s="10">
        <v>101</v>
      </c>
      <c r="W460" s="67"/>
      <c r="X460" s="11" t="s">
        <v>3058</v>
      </c>
      <c r="Y460" s="11" t="s">
        <v>4572</v>
      </c>
      <c r="Z460" s="11" t="s">
        <v>4656</v>
      </c>
      <c r="AA460" s="67">
        <v>45504</v>
      </c>
      <c r="AB460" s="67">
        <v>45505</v>
      </c>
      <c r="AC460" s="67">
        <v>45535</v>
      </c>
      <c r="AD460" s="67">
        <v>45534</v>
      </c>
      <c r="AE460" s="67">
        <v>45535</v>
      </c>
    </row>
    <row r="461" spans="1:31" ht="12.5">
      <c r="A461" s="10">
        <v>610422040061</v>
      </c>
      <c r="B461" s="10" t="s">
        <v>34</v>
      </c>
      <c r="D461" s="10">
        <v>1</v>
      </c>
      <c r="E461" s="10" t="s">
        <v>2440</v>
      </c>
      <c r="F461" s="10" t="s">
        <v>25</v>
      </c>
      <c r="G461" s="10" t="s">
        <v>2439</v>
      </c>
      <c r="H461" s="10" t="s">
        <v>84</v>
      </c>
      <c r="I461" s="10" t="s">
        <v>6675</v>
      </c>
      <c r="J461" s="10" t="s">
        <v>3036</v>
      </c>
      <c r="K461" s="66">
        <v>116000</v>
      </c>
      <c r="L461" s="10">
        <v>3</v>
      </c>
      <c r="M461" s="10">
        <v>348000</v>
      </c>
      <c r="O461" s="67">
        <v>45535</v>
      </c>
      <c r="P461" s="10">
        <v>2024</v>
      </c>
      <c r="Q461" s="10">
        <v>8</v>
      </c>
      <c r="R461" s="10" t="s">
        <v>3043</v>
      </c>
      <c r="S461" s="10" t="s">
        <v>6680</v>
      </c>
      <c r="T461" s="10" t="s">
        <v>6681</v>
      </c>
      <c r="U461" s="10">
        <v>0</v>
      </c>
      <c r="V461" s="10">
        <v>101</v>
      </c>
      <c r="W461" s="67"/>
      <c r="X461" s="11" t="s">
        <v>3058</v>
      </c>
      <c r="Y461" s="11" t="s">
        <v>3715</v>
      </c>
      <c r="Z461" s="11" t="s">
        <v>3862</v>
      </c>
      <c r="AA461" s="67">
        <v>45504</v>
      </c>
      <c r="AB461" s="67">
        <v>45505</v>
      </c>
      <c r="AC461" s="67">
        <v>45535</v>
      </c>
      <c r="AD461" s="67">
        <v>45534</v>
      </c>
      <c r="AE461" s="67">
        <v>45535</v>
      </c>
    </row>
    <row r="462" spans="1:31" ht="12.5">
      <c r="A462" s="10">
        <v>610422100131</v>
      </c>
      <c r="B462" s="10" t="s">
        <v>34</v>
      </c>
      <c r="D462" s="10">
        <v>1</v>
      </c>
      <c r="E462" s="10" t="s">
        <v>6046</v>
      </c>
      <c r="F462" s="10" t="s">
        <v>25</v>
      </c>
      <c r="G462" s="10" t="s">
        <v>2683</v>
      </c>
      <c r="H462" s="10" t="s">
        <v>84</v>
      </c>
      <c r="I462" s="10" t="s">
        <v>6675</v>
      </c>
      <c r="J462" s="10" t="s">
        <v>3036</v>
      </c>
      <c r="K462" s="66">
        <v>116000</v>
      </c>
      <c r="L462" s="10">
        <v>3</v>
      </c>
      <c r="M462" s="10">
        <v>348000</v>
      </c>
      <c r="O462" s="67">
        <v>45535</v>
      </c>
      <c r="P462" s="10">
        <v>2024</v>
      </c>
      <c r="Q462" s="10">
        <v>8</v>
      </c>
      <c r="R462" s="10" t="s">
        <v>3043</v>
      </c>
      <c r="S462" s="10" t="s">
        <v>6682</v>
      </c>
      <c r="T462" s="10" t="s">
        <v>6683</v>
      </c>
      <c r="U462" s="10">
        <v>0</v>
      </c>
      <c r="V462" s="10">
        <v>101</v>
      </c>
      <c r="W462" s="67"/>
      <c r="X462" s="11" t="s">
        <v>3058</v>
      </c>
      <c r="Y462" s="11" t="s">
        <v>5250</v>
      </c>
      <c r="Z462" s="11" t="s">
        <v>5365</v>
      </c>
      <c r="AA462" s="67">
        <v>45504</v>
      </c>
      <c r="AB462" s="67">
        <v>45505</v>
      </c>
      <c r="AC462" s="67">
        <v>45535</v>
      </c>
      <c r="AD462" s="67">
        <v>45534</v>
      </c>
      <c r="AE462" s="67">
        <v>45535</v>
      </c>
    </row>
    <row r="463" spans="1:31" ht="12.5">
      <c r="A463" s="10">
        <v>610422100244</v>
      </c>
      <c r="B463" s="10" t="s">
        <v>34</v>
      </c>
      <c r="D463" s="10">
        <v>1</v>
      </c>
      <c r="E463" s="10" t="s">
        <v>2633</v>
      </c>
      <c r="F463" s="10" t="s">
        <v>25</v>
      </c>
      <c r="G463" s="10" t="s">
        <v>2632</v>
      </c>
      <c r="H463" s="10" t="s">
        <v>84</v>
      </c>
      <c r="I463" s="10" t="s">
        <v>6675</v>
      </c>
      <c r="J463" s="10" t="s">
        <v>3036</v>
      </c>
      <c r="K463" s="66">
        <v>116000</v>
      </c>
      <c r="L463" s="10">
        <v>3</v>
      </c>
      <c r="M463" s="10">
        <v>348000</v>
      </c>
      <c r="O463" s="67">
        <v>45535</v>
      </c>
      <c r="P463" s="10">
        <v>2024</v>
      </c>
      <c r="Q463" s="10">
        <v>8</v>
      </c>
      <c r="R463" s="10" t="s">
        <v>3043</v>
      </c>
      <c r="S463" s="10" t="s">
        <v>6657</v>
      </c>
      <c r="T463" s="10" t="s">
        <v>6658</v>
      </c>
      <c r="U463" s="10">
        <v>0</v>
      </c>
      <c r="V463" s="10">
        <v>101</v>
      </c>
      <c r="W463" s="67"/>
      <c r="X463" s="11" t="s">
        <v>3058</v>
      </c>
      <c r="Y463" s="11" t="s">
        <v>5741</v>
      </c>
      <c r="Z463" s="11" t="s">
        <v>5796</v>
      </c>
      <c r="AA463" s="67">
        <v>45504</v>
      </c>
      <c r="AB463" s="67">
        <v>45505</v>
      </c>
      <c r="AC463" s="67">
        <v>45535</v>
      </c>
      <c r="AD463" s="67">
        <v>45534</v>
      </c>
      <c r="AE463" s="67">
        <v>45535</v>
      </c>
    </row>
    <row r="464" spans="1:31" ht="12.5">
      <c r="A464" s="10">
        <v>610422100176</v>
      </c>
      <c r="B464" s="10" t="s">
        <v>34</v>
      </c>
      <c r="D464" s="10">
        <v>1</v>
      </c>
      <c r="E464" s="10" t="s">
        <v>1190</v>
      </c>
      <c r="F464" s="10" t="s">
        <v>25</v>
      </c>
      <c r="G464" s="10" t="s">
        <v>1189</v>
      </c>
      <c r="H464" s="10" t="s">
        <v>84</v>
      </c>
      <c r="I464" s="10" t="s">
        <v>6675</v>
      </c>
      <c r="J464" s="10" t="s">
        <v>3036</v>
      </c>
      <c r="K464" s="66">
        <v>116000</v>
      </c>
      <c r="L464" s="10">
        <v>3</v>
      </c>
      <c r="M464" s="10">
        <v>348000</v>
      </c>
      <c r="O464" s="67">
        <v>45535</v>
      </c>
      <c r="P464" s="10">
        <v>2024</v>
      </c>
      <c r="Q464" s="10">
        <v>8</v>
      </c>
      <c r="R464" s="10" t="s">
        <v>3043</v>
      </c>
      <c r="S464" s="10" t="s">
        <v>6684</v>
      </c>
      <c r="T464" s="10" t="s">
        <v>6685</v>
      </c>
      <c r="U464" s="10">
        <v>0</v>
      </c>
      <c r="V464" s="10">
        <v>101</v>
      </c>
      <c r="W464" s="67"/>
      <c r="X464" s="11" t="s">
        <v>3058</v>
      </c>
      <c r="Y464" s="11" t="s">
        <v>3715</v>
      </c>
      <c r="Z464" s="11" t="s">
        <v>3765</v>
      </c>
      <c r="AA464" s="67">
        <v>45504</v>
      </c>
      <c r="AB464" s="67">
        <v>45505</v>
      </c>
      <c r="AC464" s="67">
        <v>45535</v>
      </c>
      <c r="AD464" s="67">
        <v>45534</v>
      </c>
      <c r="AE464" s="67">
        <v>45535</v>
      </c>
    </row>
    <row r="465" spans="1:31" ht="12.5">
      <c r="A465" s="10">
        <v>610423110183</v>
      </c>
      <c r="B465" s="10" t="s">
        <v>34</v>
      </c>
      <c r="D465" s="10">
        <v>1</v>
      </c>
      <c r="E465" s="10" t="s">
        <v>5924</v>
      </c>
      <c r="F465" s="10" t="s">
        <v>25</v>
      </c>
      <c r="G465" s="10" t="s">
        <v>742</v>
      </c>
      <c r="H465" s="10" t="s">
        <v>84</v>
      </c>
      <c r="I465" s="10" t="s">
        <v>6675</v>
      </c>
      <c r="J465" s="10" t="s">
        <v>3036</v>
      </c>
      <c r="K465" s="66">
        <v>116000</v>
      </c>
      <c r="L465" s="10">
        <v>6</v>
      </c>
      <c r="M465" s="10">
        <v>696000</v>
      </c>
      <c r="O465" s="67">
        <v>45535</v>
      </c>
      <c r="P465" s="10">
        <v>2024</v>
      </c>
      <c r="Q465" s="10">
        <v>8</v>
      </c>
      <c r="R465" s="10" t="s">
        <v>3043</v>
      </c>
      <c r="S465" s="10" t="s">
        <v>6686</v>
      </c>
      <c r="T465" s="10" t="s">
        <v>6687</v>
      </c>
      <c r="U465" s="10">
        <v>0</v>
      </c>
      <c r="V465" s="10">
        <v>101</v>
      </c>
      <c r="W465" s="67"/>
      <c r="X465" s="11" t="s">
        <v>3058</v>
      </c>
      <c r="Y465" s="11" t="s">
        <v>3241</v>
      </c>
      <c r="Z465" s="11" t="s">
        <v>3242</v>
      </c>
      <c r="AA465" s="67">
        <v>45504</v>
      </c>
      <c r="AB465" s="67">
        <v>45505</v>
      </c>
      <c r="AC465" s="67">
        <v>45535</v>
      </c>
      <c r="AD465" s="67">
        <v>45534</v>
      </c>
      <c r="AE465" s="67">
        <v>45535</v>
      </c>
    </row>
    <row r="466" spans="1:31" ht="12.5">
      <c r="A466" s="10">
        <v>610423040018</v>
      </c>
      <c r="B466" s="10" t="s">
        <v>34</v>
      </c>
      <c r="D466" s="10">
        <v>1</v>
      </c>
      <c r="E466" s="10" t="s">
        <v>1301</v>
      </c>
      <c r="F466" s="10" t="s">
        <v>25</v>
      </c>
      <c r="G466" s="10" t="s">
        <v>1300</v>
      </c>
      <c r="H466" s="10" t="s">
        <v>84</v>
      </c>
      <c r="I466" s="10" t="s">
        <v>6675</v>
      </c>
      <c r="J466" s="10" t="s">
        <v>3036</v>
      </c>
      <c r="K466" s="66">
        <v>116000</v>
      </c>
      <c r="L466" s="10">
        <v>4</v>
      </c>
      <c r="M466" s="10">
        <v>464000</v>
      </c>
      <c r="O466" s="67">
        <v>45535</v>
      </c>
      <c r="P466" s="10">
        <v>2024</v>
      </c>
      <c r="Q466" s="10">
        <v>8</v>
      </c>
      <c r="R466" s="10" t="s">
        <v>3043</v>
      </c>
      <c r="S466" s="10" t="s">
        <v>6688</v>
      </c>
      <c r="T466" s="10" t="s">
        <v>6689</v>
      </c>
      <c r="U466" s="10">
        <v>0</v>
      </c>
      <c r="V466" s="10">
        <v>101</v>
      </c>
      <c r="W466" s="67"/>
      <c r="X466" s="11" t="s">
        <v>3058</v>
      </c>
      <c r="Y466" s="11" t="s">
        <v>5534</v>
      </c>
      <c r="Z466" s="11" t="s">
        <v>5647</v>
      </c>
      <c r="AA466" s="67">
        <v>45504</v>
      </c>
      <c r="AB466" s="67">
        <v>45505</v>
      </c>
      <c r="AC466" s="67">
        <v>45535</v>
      </c>
      <c r="AD466" s="67">
        <v>45534</v>
      </c>
      <c r="AE466" s="67">
        <v>45535</v>
      </c>
    </row>
    <row r="467" spans="1:31" ht="12.5">
      <c r="A467" s="10">
        <v>610422040059</v>
      </c>
      <c r="B467" s="10" t="s">
        <v>34</v>
      </c>
      <c r="D467" s="10">
        <v>1</v>
      </c>
      <c r="E467" s="10" t="s">
        <v>365</v>
      </c>
      <c r="F467" s="10" t="s">
        <v>25</v>
      </c>
      <c r="G467" s="10" t="s">
        <v>364</v>
      </c>
      <c r="H467" s="10" t="s">
        <v>85</v>
      </c>
      <c r="I467" s="10" t="s">
        <v>6690</v>
      </c>
      <c r="J467" s="10" t="s">
        <v>3036</v>
      </c>
      <c r="K467" s="66">
        <v>59000</v>
      </c>
      <c r="L467" s="10">
        <v>6</v>
      </c>
      <c r="M467" s="10">
        <v>354000</v>
      </c>
      <c r="O467" s="67">
        <v>45535</v>
      </c>
      <c r="P467" s="10">
        <v>2024</v>
      </c>
      <c r="Q467" s="10">
        <v>8</v>
      </c>
      <c r="R467" s="10" t="s">
        <v>3043</v>
      </c>
      <c r="S467" s="10" t="s">
        <v>6678</v>
      </c>
      <c r="T467" s="10" t="s">
        <v>6679</v>
      </c>
      <c r="U467" s="10">
        <v>0</v>
      </c>
      <c r="V467" s="10">
        <v>101</v>
      </c>
      <c r="W467" s="67"/>
      <c r="X467" s="11" t="s">
        <v>3058</v>
      </c>
      <c r="Y467" s="11" t="s">
        <v>4572</v>
      </c>
      <c r="Z467" s="11" t="s">
        <v>4656</v>
      </c>
      <c r="AA467" s="67">
        <v>45504</v>
      </c>
      <c r="AB467" s="67">
        <v>45505</v>
      </c>
      <c r="AC467" s="67">
        <v>45535</v>
      </c>
      <c r="AD467" s="67">
        <v>45534</v>
      </c>
      <c r="AE467" s="67">
        <v>45535</v>
      </c>
    </row>
    <row r="468" spans="1:31" ht="12.5">
      <c r="A468" s="10">
        <v>610422020048</v>
      </c>
      <c r="B468" s="10" t="s">
        <v>34</v>
      </c>
      <c r="D468" s="10">
        <v>1</v>
      </c>
      <c r="E468" s="10" t="s">
        <v>1359</v>
      </c>
      <c r="F468" s="10" t="s">
        <v>25</v>
      </c>
      <c r="G468" s="10" t="s">
        <v>1358</v>
      </c>
      <c r="H468" s="10" t="s">
        <v>85</v>
      </c>
      <c r="I468" s="10" t="s">
        <v>6690</v>
      </c>
      <c r="J468" s="10" t="s">
        <v>3036</v>
      </c>
      <c r="K468" s="66">
        <v>59000</v>
      </c>
      <c r="L468" s="10">
        <v>6</v>
      </c>
      <c r="M468" s="10">
        <v>354000</v>
      </c>
      <c r="O468" s="67">
        <v>45535</v>
      </c>
      <c r="P468" s="10">
        <v>2024</v>
      </c>
      <c r="Q468" s="10">
        <v>8</v>
      </c>
      <c r="R468" s="10" t="s">
        <v>3043</v>
      </c>
      <c r="S468" s="10" t="s">
        <v>6653</v>
      </c>
      <c r="T468" s="10" t="s">
        <v>6654</v>
      </c>
      <c r="U468" s="10">
        <v>0</v>
      </c>
      <c r="V468" s="10">
        <v>101</v>
      </c>
      <c r="W468" s="67"/>
      <c r="X468" s="11" t="s">
        <v>3058</v>
      </c>
      <c r="Y468" s="11" t="s">
        <v>4931</v>
      </c>
      <c r="Z468" s="11" t="s">
        <v>5171</v>
      </c>
      <c r="AA468" s="67">
        <v>45504</v>
      </c>
      <c r="AB468" s="67">
        <v>45505</v>
      </c>
      <c r="AC468" s="67">
        <v>45535</v>
      </c>
      <c r="AD468" s="67">
        <v>45534</v>
      </c>
      <c r="AE468" s="67">
        <v>45535</v>
      </c>
    </row>
    <row r="469" spans="1:31" ht="12.5">
      <c r="A469" s="10">
        <v>610422040058</v>
      </c>
      <c r="B469" s="10" t="s">
        <v>34</v>
      </c>
      <c r="D469" s="10">
        <v>1</v>
      </c>
      <c r="E469" s="10" t="s">
        <v>5976</v>
      </c>
      <c r="F469" s="10" t="s">
        <v>25</v>
      </c>
      <c r="G469" s="10" t="s">
        <v>1547</v>
      </c>
      <c r="H469" s="10" t="s">
        <v>85</v>
      </c>
      <c r="I469" s="10" t="s">
        <v>6690</v>
      </c>
      <c r="J469" s="10" t="s">
        <v>3036</v>
      </c>
      <c r="K469" s="66">
        <v>59000</v>
      </c>
      <c r="L469" s="10">
        <v>10</v>
      </c>
      <c r="M469" s="10">
        <v>590000</v>
      </c>
      <c r="O469" s="67">
        <v>45535</v>
      </c>
      <c r="P469" s="10">
        <v>2024</v>
      </c>
      <c r="Q469" s="10">
        <v>8</v>
      </c>
      <c r="R469" s="10" t="s">
        <v>3043</v>
      </c>
      <c r="S469" s="10" t="s">
        <v>6691</v>
      </c>
      <c r="T469" s="10" t="s">
        <v>6692</v>
      </c>
      <c r="U469" s="10">
        <v>0</v>
      </c>
      <c r="V469" s="10">
        <v>101</v>
      </c>
      <c r="W469" s="67"/>
      <c r="X469" s="11" t="s">
        <v>3058</v>
      </c>
      <c r="Y469" s="11" t="s">
        <v>3715</v>
      </c>
      <c r="Z469" s="11" t="s">
        <v>3716</v>
      </c>
      <c r="AA469" s="67">
        <v>45504</v>
      </c>
      <c r="AB469" s="67">
        <v>45505</v>
      </c>
      <c r="AC469" s="67">
        <v>45535</v>
      </c>
      <c r="AD469" s="67">
        <v>45534</v>
      </c>
      <c r="AE469" s="67">
        <v>45535</v>
      </c>
    </row>
    <row r="470" spans="1:31" ht="12.5">
      <c r="A470" s="10">
        <v>610423110183</v>
      </c>
      <c r="B470" s="10" t="s">
        <v>34</v>
      </c>
      <c r="D470" s="10">
        <v>1</v>
      </c>
      <c r="E470" s="10" t="s">
        <v>5924</v>
      </c>
      <c r="F470" s="10" t="s">
        <v>25</v>
      </c>
      <c r="G470" s="10" t="s">
        <v>742</v>
      </c>
      <c r="H470" s="10" t="s">
        <v>85</v>
      </c>
      <c r="I470" s="10" t="s">
        <v>6690</v>
      </c>
      <c r="J470" s="10" t="s">
        <v>3036</v>
      </c>
      <c r="K470" s="66">
        <v>59000</v>
      </c>
      <c r="L470" s="10">
        <v>6</v>
      </c>
      <c r="M470" s="10">
        <v>354000</v>
      </c>
      <c r="O470" s="67">
        <v>45535</v>
      </c>
      <c r="P470" s="10">
        <v>2024</v>
      </c>
      <c r="Q470" s="10">
        <v>8</v>
      </c>
      <c r="R470" s="10" t="s">
        <v>3043</v>
      </c>
      <c r="S470" s="10" t="s">
        <v>6686</v>
      </c>
      <c r="T470" s="10" t="s">
        <v>6687</v>
      </c>
      <c r="U470" s="10">
        <v>0</v>
      </c>
      <c r="V470" s="10">
        <v>101</v>
      </c>
      <c r="W470" s="67"/>
      <c r="X470" s="11" t="s">
        <v>3058</v>
      </c>
      <c r="Y470" s="11" t="s">
        <v>3241</v>
      </c>
      <c r="Z470" s="11" t="s">
        <v>3242</v>
      </c>
      <c r="AA470" s="67">
        <v>45504</v>
      </c>
      <c r="AB470" s="67">
        <v>45505</v>
      </c>
      <c r="AC470" s="67">
        <v>45535</v>
      </c>
      <c r="AD470" s="67">
        <v>45534</v>
      </c>
      <c r="AE470" s="67">
        <v>45535</v>
      </c>
    </row>
    <row r="471" spans="1:31" ht="12.5">
      <c r="A471" s="10">
        <v>610422100244</v>
      </c>
      <c r="B471" s="10" t="s">
        <v>34</v>
      </c>
      <c r="D471" s="10">
        <v>1</v>
      </c>
      <c r="E471" s="10" t="s">
        <v>2633</v>
      </c>
      <c r="F471" s="10" t="s">
        <v>25</v>
      </c>
      <c r="G471" s="10" t="s">
        <v>2632</v>
      </c>
      <c r="H471" s="10" t="s">
        <v>85</v>
      </c>
      <c r="I471" s="10" t="s">
        <v>6690</v>
      </c>
      <c r="J471" s="10" t="s">
        <v>3036</v>
      </c>
      <c r="K471" s="66">
        <v>59000</v>
      </c>
      <c r="L471" s="10">
        <v>8</v>
      </c>
      <c r="M471" s="10">
        <v>472000</v>
      </c>
      <c r="O471" s="67">
        <v>45535</v>
      </c>
      <c r="P471" s="10">
        <v>2024</v>
      </c>
      <c r="Q471" s="10">
        <v>8</v>
      </c>
      <c r="R471" s="10" t="s">
        <v>3043</v>
      </c>
      <c r="S471" s="10" t="s">
        <v>6657</v>
      </c>
      <c r="T471" s="10" t="s">
        <v>6658</v>
      </c>
      <c r="U471" s="10">
        <v>0</v>
      </c>
      <c r="V471" s="10">
        <v>101</v>
      </c>
      <c r="W471" s="67"/>
      <c r="X471" s="11" t="s">
        <v>3058</v>
      </c>
      <c r="Y471" s="11" t="s">
        <v>5741</v>
      </c>
      <c r="Z471" s="11" t="s">
        <v>5796</v>
      </c>
      <c r="AA471" s="67">
        <v>45504</v>
      </c>
      <c r="AB471" s="67">
        <v>45505</v>
      </c>
      <c r="AC471" s="67">
        <v>45535</v>
      </c>
      <c r="AD471" s="67">
        <v>45534</v>
      </c>
      <c r="AE471" s="67">
        <v>45535</v>
      </c>
    </row>
    <row r="472" spans="1:31" ht="12.5">
      <c r="A472" s="10">
        <v>610422030002</v>
      </c>
      <c r="B472" s="10" t="s">
        <v>251</v>
      </c>
      <c r="D472" s="10">
        <v>1</v>
      </c>
      <c r="E472" s="10" t="s">
        <v>5934</v>
      </c>
      <c r="F472" s="10" t="s">
        <v>25</v>
      </c>
      <c r="G472" s="10" t="s">
        <v>929</v>
      </c>
      <c r="H472" s="10" t="s">
        <v>67</v>
      </c>
      <c r="I472" s="10" t="s">
        <v>252</v>
      </c>
      <c r="J472" s="10" t="s">
        <v>164</v>
      </c>
      <c r="K472" s="66">
        <v>50000</v>
      </c>
      <c r="L472" s="10">
        <v>15</v>
      </c>
      <c r="M472" s="10">
        <v>750000</v>
      </c>
      <c r="O472" s="67">
        <v>45555</v>
      </c>
      <c r="P472" s="10">
        <v>2024</v>
      </c>
      <c r="Q472" s="10">
        <v>9</v>
      </c>
      <c r="R472" s="10" t="s">
        <v>3043</v>
      </c>
      <c r="S472" s="10" t="s">
        <v>6723</v>
      </c>
      <c r="T472" s="10" t="s">
        <v>6724</v>
      </c>
      <c r="U472" s="10">
        <v>0</v>
      </c>
      <c r="V472" s="10">
        <v>121</v>
      </c>
      <c r="W472" s="67"/>
      <c r="X472" s="11" t="s">
        <v>3095</v>
      </c>
      <c r="Y472" s="11" t="s">
        <v>3715</v>
      </c>
      <c r="Z472" s="11" t="s">
        <v>3716</v>
      </c>
      <c r="AA472" s="67">
        <v>45535</v>
      </c>
      <c r="AB472" s="67">
        <v>45536</v>
      </c>
      <c r="AC472" s="67">
        <v>45565</v>
      </c>
      <c r="AD472" s="67">
        <v>45564</v>
      </c>
      <c r="AE472" s="67">
        <v>45565</v>
      </c>
    </row>
    <row r="473" spans="1:31" ht="12.5">
      <c r="A473" s="10">
        <v>610422100244</v>
      </c>
      <c r="B473" s="10" t="s">
        <v>253</v>
      </c>
      <c r="D473" s="10">
        <v>1</v>
      </c>
      <c r="E473" s="10" t="s">
        <v>2633</v>
      </c>
      <c r="F473" s="10" t="s">
        <v>25</v>
      </c>
      <c r="G473" s="10" t="s">
        <v>2632</v>
      </c>
      <c r="H473" s="10" t="s">
        <v>67</v>
      </c>
      <c r="I473" s="10" t="s">
        <v>254</v>
      </c>
      <c r="J473" s="10" t="s">
        <v>164</v>
      </c>
      <c r="K473" s="66">
        <v>50000</v>
      </c>
      <c r="L473" s="10">
        <v>1</v>
      </c>
      <c r="M473" s="10">
        <v>50000</v>
      </c>
      <c r="O473" s="67">
        <v>45555</v>
      </c>
      <c r="P473" s="10">
        <v>2024</v>
      </c>
      <c r="Q473" s="10">
        <v>9</v>
      </c>
      <c r="R473" s="10" t="s">
        <v>3043</v>
      </c>
      <c r="S473" s="10" t="s">
        <v>6703</v>
      </c>
      <c r="T473" s="10" t="s">
        <v>6704</v>
      </c>
      <c r="U473" s="10">
        <v>0</v>
      </c>
      <c r="V473" s="10">
        <v>121</v>
      </c>
      <c r="W473" s="67"/>
      <c r="X473" s="11" t="s">
        <v>3083</v>
      </c>
      <c r="Y473" s="11" t="s">
        <v>5741</v>
      </c>
      <c r="Z473" s="11" t="s">
        <v>5796</v>
      </c>
      <c r="AA473" s="67">
        <v>45535</v>
      </c>
      <c r="AB473" s="67">
        <v>45536</v>
      </c>
      <c r="AC473" s="67">
        <v>45565</v>
      </c>
      <c r="AD473" s="67">
        <v>45564</v>
      </c>
      <c r="AE473" s="67">
        <v>45565</v>
      </c>
    </row>
    <row r="474" spans="1:31" ht="12.5">
      <c r="A474" s="10">
        <v>610422100124</v>
      </c>
      <c r="B474" s="10" t="s">
        <v>253</v>
      </c>
      <c r="D474" s="10">
        <v>1</v>
      </c>
      <c r="E474" s="10" t="s">
        <v>2237</v>
      </c>
      <c r="F474" s="10" t="s">
        <v>25</v>
      </c>
      <c r="G474" s="10" t="s">
        <v>2236</v>
      </c>
      <c r="H474" s="10" t="s">
        <v>67</v>
      </c>
      <c r="I474" s="10" t="s">
        <v>254</v>
      </c>
      <c r="J474" s="10" t="s">
        <v>164</v>
      </c>
      <c r="K474" s="66">
        <v>50000</v>
      </c>
      <c r="L474" s="10">
        <v>1</v>
      </c>
      <c r="M474" s="10">
        <v>50000</v>
      </c>
      <c r="O474" s="67">
        <v>45555</v>
      </c>
      <c r="P474" s="10">
        <v>2024</v>
      </c>
      <c r="Q474" s="10">
        <v>9</v>
      </c>
      <c r="R474" s="10" t="s">
        <v>3043</v>
      </c>
      <c r="S474" s="10" t="s">
        <v>6725</v>
      </c>
      <c r="T474" s="10" t="s">
        <v>6726</v>
      </c>
      <c r="U474" s="10">
        <v>0</v>
      </c>
      <c r="V474" s="10">
        <v>121</v>
      </c>
      <c r="W474" s="67"/>
      <c r="X474" s="11" t="s">
        <v>3083</v>
      </c>
      <c r="Y474" s="11" t="s">
        <v>1921</v>
      </c>
      <c r="Z474" s="11" t="s">
        <v>2140</v>
      </c>
      <c r="AA474" s="67">
        <v>45535</v>
      </c>
      <c r="AB474" s="67">
        <v>45536</v>
      </c>
      <c r="AC474" s="67">
        <v>45565</v>
      </c>
      <c r="AD474" s="67">
        <v>45564</v>
      </c>
      <c r="AE474" s="67">
        <v>45565</v>
      </c>
    </row>
    <row r="475" spans="1:31" ht="12.5">
      <c r="A475" s="10">
        <v>610422100016</v>
      </c>
      <c r="B475" s="10" t="s">
        <v>255</v>
      </c>
      <c r="D475" s="10">
        <v>1</v>
      </c>
      <c r="E475" s="10" t="s">
        <v>550</v>
      </c>
      <c r="F475" s="10" t="s">
        <v>25</v>
      </c>
      <c r="G475" s="10" t="s">
        <v>549</v>
      </c>
      <c r="H475" s="10" t="s">
        <v>72</v>
      </c>
      <c r="I475" s="10" t="s">
        <v>256</v>
      </c>
      <c r="J475" s="10" t="s">
        <v>164</v>
      </c>
      <c r="K475" s="66">
        <v>65000</v>
      </c>
      <c r="L475" s="10">
        <v>3</v>
      </c>
      <c r="M475" s="10">
        <v>195000</v>
      </c>
      <c r="O475" s="67">
        <v>45555</v>
      </c>
      <c r="P475" s="10">
        <v>2024</v>
      </c>
      <c r="Q475" s="10">
        <v>9</v>
      </c>
      <c r="R475" s="10" t="s">
        <v>3043</v>
      </c>
      <c r="S475" s="10" t="s">
        <v>6727</v>
      </c>
      <c r="T475" s="10" t="s">
        <v>6728</v>
      </c>
      <c r="U475" s="10">
        <v>0</v>
      </c>
      <c r="V475" s="10">
        <v>121</v>
      </c>
      <c r="W475" s="67"/>
      <c r="X475" s="11" t="s">
        <v>3112</v>
      </c>
      <c r="Y475" s="11" t="s">
        <v>5250</v>
      </c>
      <c r="Z475" s="11" t="s">
        <v>5365</v>
      </c>
      <c r="AA475" s="67">
        <v>45535</v>
      </c>
      <c r="AB475" s="67">
        <v>45536</v>
      </c>
      <c r="AC475" s="67">
        <v>45565</v>
      </c>
      <c r="AD475" s="67">
        <v>45564</v>
      </c>
      <c r="AE475" s="67">
        <v>45565</v>
      </c>
    </row>
    <row r="476" spans="1:31" ht="12.5">
      <c r="A476" s="10">
        <v>610422050001</v>
      </c>
      <c r="B476" s="10" t="s">
        <v>255</v>
      </c>
      <c r="D476" s="10">
        <v>1</v>
      </c>
      <c r="E476" s="10" t="s">
        <v>5949</v>
      </c>
      <c r="F476" s="10" t="s">
        <v>25</v>
      </c>
      <c r="G476" s="10" t="s">
        <v>1127</v>
      </c>
      <c r="H476" s="10" t="s">
        <v>72</v>
      </c>
      <c r="I476" s="10" t="s">
        <v>256</v>
      </c>
      <c r="J476" s="10" t="s">
        <v>164</v>
      </c>
      <c r="K476" s="66">
        <v>65000</v>
      </c>
      <c r="L476" s="10">
        <v>3</v>
      </c>
      <c r="M476" s="10">
        <v>195000</v>
      </c>
      <c r="O476" s="67">
        <v>45555</v>
      </c>
      <c r="P476" s="10">
        <v>2024</v>
      </c>
      <c r="Q476" s="10">
        <v>9</v>
      </c>
      <c r="R476" s="10" t="s">
        <v>3043</v>
      </c>
      <c r="S476" s="10" t="s">
        <v>6729</v>
      </c>
      <c r="T476" s="10" t="s">
        <v>6730</v>
      </c>
      <c r="U476" s="10">
        <v>0</v>
      </c>
      <c r="V476" s="10">
        <v>121</v>
      </c>
      <c r="W476" s="67"/>
      <c r="X476" s="11" t="s">
        <v>3112</v>
      </c>
      <c r="Y476" s="11" t="s">
        <v>4408</v>
      </c>
      <c r="Z476" s="11" t="s">
        <v>4409</v>
      </c>
      <c r="AA476" s="67">
        <v>45535</v>
      </c>
      <c r="AB476" s="67">
        <v>45536</v>
      </c>
      <c r="AC476" s="67">
        <v>45565</v>
      </c>
      <c r="AD476" s="67">
        <v>45564</v>
      </c>
      <c r="AE476" s="67">
        <v>45565</v>
      </c>
    </row>
    <row r="477" spans="1:31" ht="12.5">
      <c r="A477" s="10">
        <v>610422040030</v>
      </c>
      <c r="B477" s="10" t="s">
        <v>255</v>
      </c>
      <c r="D477" s="10">
        <v>1</v>
      </c>
      <c r="E477" s="10" t="s">
        <v>2697</v>
      </c>
      <c r="F477" s="10" t="s">
        <v>25</v>
      </c>
      <c r="G477" s="10" t="s">
        <v>2696</v>
      </c>
      <c r="H477" s="10" t="s">
        <v>74</v>
      </c>
      <c r="I477" s="10" t="s">
        <v>257</v>
      </c>
      <c r="J477" s="10" t="s">
        <v>164</v>
      </c>
      <c r="K477" s="66">
        <v>55000</v>
      </c>
      <c r="L477" s="10">
        <v>1</v>
      </c>
      <c r="M477" s="10">
        <v>55000</v>
      </c>
      <c r="O477" s="67">
        <v>45555</v>
      </c>
      <c r="P477" s="10">
        <v>2024</v>
      </c>
      <c r="Q477" s="10">
        <v>9</v>
      </c>
      <c r="R477" s="10" t="s">
        <v>3043</v>
      </c>
      <c r="S477" s="10" t="s">
        <v>6717</v>
      </c>
      <c r="T477" s="10" t="s">
        <v>6718</v>
      </c>
      <c r="U477" s="10">
        <v>0</v>
      </c>
      <c r="V477" s="10">
        <v>121</v>
      </c>
      <c r="W477" s="67"/>
      <c r="X477" s="11" t="s">
        <v>3112</v>
      </c>
      <c r="Y477" s="11" t="s">
        <v>3241</v>
      </c>
      <c r="Z477" s="11" t="s">
        <v>3289</v>
      </c>
      <c r="AA477" s="67">
        <v>45535</v>
      </c>
      <c r="AB477" s="67">
        <v>45536</v>
      </c>
      <c r="AC477" s="67">
        <v>45565</v>
      </c>
      <c r="AD477" s="67">
        <v>45564</v>
      </c>
      <c r="AE477" s="67">
        <v>45565</v>
      </c>
    </row>
    <row r="478" spans="1:31" ht="12.5">
      <c r="A478" s="10">
        <v>610422100124</v>
      </c>
      <c r="B478" s="10" t="s">
        <v>255</v>
      </c>
      <c r="D478" s="10">
        <v>1</v>
      </c>
      <c r="E478" s="10" t="s">
        <v>2237</v>
      </c>
      <c r="F478" s="10" t="s">
        <v>25</v>
      </c>
      <c r="G478" s="10" t="s">
        <v>2236</v>
      </c>
      <c r="H478" s="10" t="s">
        <v>74</v>
      </c>
      <c r="I478" s="10" t="s">
        <v>257</v>
      </c>
      <c r="J478" s="10" t="s">
        <v>164</v>
      </c>
      <c r="K478" s="66">
        <v>55000</v>
      </c>
      <c r="L478" s="10">
        <v>3</v>
      </c>
      <c r="M478" s="10">
        <v>165000</v>
      </c>
      <c r="O478" s="67">
        <v>45555</v>
      </c>
      <c r="P478" s="10">
        <v>2024</v>
      </c>
      <c r="Q478" s="10">
        <v>9</v>
      </c>
      <c r="R478" s="10" t="s">
        <v>3043</v>
      </c>
      <c r="S478" s="10" t="s">
        <v>6725</v>
      </c>
      <c r="T478" s="10" t="s">
        <v>6726</v>
      </c>
      <c r="U478" s="10">
        <v>0</v>
      </c>
      <c r="V478" s="10">
        <v>121</v>
      </c>
      <c r="W478" s="67"/>
      <c r="X478" s="11" t="s">
        <v>3112</v>
      </c>
      <c r="Y478" s="11" t="s">
        <v>1921</v>
      </c>
      <c r="Z478" s="11" t="s">
        <v>2140</v>
      </c>
      <c r="AA478" s="67">
        <v>45535</v>
      </c>
      <c r="AB478" s="67">
        <v>45536</v>
      </c>
      <c r="AC478" s="67">
        <v>45565</v>
      </c>
      <c r="AD478" s="67">
        <v>45564</v>
      </c>
      <c r="AE478" s="67">
        <v>45565</v>
      </c>
    </row>
    <row r="479" spans="1:31" ht="12.5">
      <c r="A479" s="10">
        <v>610422100244</v>
      </c>
      <c r="B479" s="10" t="s">
        <v>255</v>
      </c>
      <c r="D479" s="10">
        <v>1</v>
      </c>
      <c r="E479" s="10" t="s">
        <v>2633</v>
      </c>
      <c r="F479" s="10" t="s">
        <v>25</v>
      </c>
      <c r="G479" s="10" t="s">
        <v>2632</v>
      </c>
      <c r="H479" s="10" t="s">
        <v>74</v>
      </c>
      <c r="I479" s="10" t="s">
        <v>257</v>
      </c>
      <c r="J479" s="10" t="s">
        <v>164</v>
      </c>
      <c r="K479" s="66">
        <v>55000</v>
      </c>
      <c r="L479" s="10">
        <v>2</v>
      </c>
      <c r="M479" s="10">
        <v>110000</v>
      </c>
      <c r="O479" s="67">
        <v>45555</v>
      </c>
      <c r="P479" s="10">
        <v>2024</v>
      </c>
      <c r="Q479" s="10">
        <v>9</v>
      </c>
      <c r="R479" s="10" t="s">
        <v>3043</v>
      </c>
      <c r="S479" s="10" t="s">
        <v>6703</v>
      </c>
      <c r="T479" s="10" t="s">
        <v>6704</v>
      </c>
      <c r="U479" s="10">
        <v>0</v>
      </c>
      <c r="V479" s="10">
        <v>121</v>
      </c>
      <c r="W479" s="67"/>
      <c r="X479" s="11" t="s">
        <v>3112</v>
      </c>
      <c r="Y479" s="11" t="s">
        <v>5741</v>
      </c>
      <c r="Z479" s="11" t="s">
        <v>5796</v>
      </c>
      <c r="AA479" s="67">
        <v>45535</v>
      </c>
      <c r="AB479" s="67">
        <v>45536</v>
      </c>
      <c r="AC479" s="67">
        <v>45565</v>
      </c>
      <c r="AD479" s="67">
        <v>45564</v>
      </c>
      <c r="AE479" s="67">
        <v>45565</v>
      </c>
    </row>
    <row r="480" spans="1:31" ht="12.5">
      <c r="A480" s="10">
        <v>610422020016</v>
      </c>
      <c r="B480" s="10" t="s">
        <v>255</v>
      </c>
      <c r="D480" s="10">
        <v>1</v>
      </c>
      <c r="E480" s="10" t="s">
        <v>380</v>
      </c>
      <c r="F480" s="10" t="s">
        <v>25</v>
      </c>
      <c r="G480" s="10" t="s">
        <v>379</v>
      </c>
      <c r="H480" s="10" t="s">
        <v>74</v>
      </c>
      <c r="I480" s="10" t="s">
        <v>257</v>
      </c>
      <c r="J480" s="10" t="s">
        <v>164</v>
      </c>
      <c r="K480" s="66">
        <v>55000</v>
      </c>
      <c r="L480" s="10">
        <v>3</v>
      </c>
      <c r="M480" s="10">
        <v>165000</v>
      </c>
      <c r="O480" s="67">
        <v>45555</v>
      </c>
      <c r="P480" s="10">
        <v>2024</v>
      </c>
      <c r="Q480" s="10">
        <v>9</v>
      </c>
      <c r="R480" s="10" t="s">
        <v>3043</v>
      </c>
      <c r="S480" s="10" t="s">
        <v>6701</v>
      </c>
      <c r="T480" s="10" t="s">
        <v>6702</v>
      </c>
      <c r="U480" s="10">
        <v>0</v>
      </c>
      <c r="V480" s="10">
        <v>121</v>
      </c>
      <c r="W480" s="67"/>
      <c r="X480" s="11" t="s">
        <v>3112</v>
      </c>
      <c r="Y480" s="11" t="s">
        <v>5534</v>
      </c>
      <c r="Z480" s="11" t="s">
        <v>5535</v>
      </c>
      <c r="AA480" s="67">
        <v>45535</v>
      </c>
      <c r="AB480" s="67">
        <v>45536</v>
      </c>
      <c r="AC480" s="67">
        <v>45565</v>
      </c>
      <c r="AD480" s="67">
        <v>45564</v>
      </c>
      <c r="AE480" s="67">
        <v>45565</v>
      </c>
    </row>
    <row r="481" spans="1:31" ht="12.5">
      <c r="A481" s="10">
        <v>610422100016</v>
      </c>
      <c r="B481" s="10" t="s">
        <v>255</v>
      </c>
      <c r="D481" s="10">
        <v>1</v>
      </c>
      <c r="E481" s="10" t="s">
        <v>550</v>
      </c>
      <c r="F481" s="10" t="s">
        <v>25</v>
      </c>
      <c r="G481" s="10" t="s">
        <v>549</v>
      </c>
      <c r="H481" s="10" t="s">
        <v>74</v>
      </c>
      <c r="I481" s="10" t="s">
        <v>257</v>
      </c>
      <c r="J481" s="10" t="s">
        <v>164</v>
      </c>
      <c r="K481" s="66">
        <v>55000</v>
      </c>
      <c r="L481" s="10">
        <v>1</v>
      </c>
      <c r="M481" s="10">
        <v>55000</v>
      </c>
      <c r="O481" s="67">
        <v>45555</v>
      </c>
      <c r="P481" s="10">
        <v>2024</v>
      </c>
      <c r="Q481" s="10">
        <v>9</v>
      </c>
      <c r="R481" s="10" t="s">
        <v>3043</v>
      </c>
      <c r="S481" s="10" t="s">
        <v>6727</v>
      </c>
      <c r="T481" s="10" t="s">
        <v>6728</v>
      </c>
      <c r="U481" s="10">
        <v>0</v>
      </c>
      <c r="V481" s="10">
        <v>121</v>
      </c>
      <c r="W481" s="67"/>
      <c r="X481" s="11" t="s">
        <v>3112</v>
      </c>
      <c r="Y481" s="11" t="s">
        <v>5250</v>
      </c>
      <c r="Z481" s="11" t="s">
        <v>5365</v>
      </c>
      <c r="AA481" s="67">
        <v>45535</v>
      </c>
      <c r="AB481" s="67">
        <v>45536</v>
      </c>
      <c r="AC481" s="67">
        <v>45565</v>
      </c>
      <c r="AD481" s="67">
        <v>45564</v>
      </c>
      <c r="AE481" s="67">
        <v>45565</v>
      </c>
    </row>
    <row r="482" spans="1:31" ht="12.5">
      <c r="A482" s="10">
        <v>610422020048</v>
      </c>
      <c r="B482" s="10" t="s">
        <v>255</v>
      </c>
      <c r="D482" s="10">
        <v>1</v>
      </c>
      <c r="E482" s="10" t="s">
        <v>1359</v>
      </c>
      <c r="F482" s="10" t="s">
        <v>25</v>
      </c>
      <c r="G482" s="10" t="s">
        <v>1358</v>
      </c>
      <c r="H482" s="10" t="s">
        <v>74</v>
      </c>
      <c r="I482" s="10" t="s">
        <v>257</v>
      </c>
      <c r="J482" s="10" t="s">
        <v>164</v>
      </c>
      <c r="K482" s="66">
        <v>55000</v>
      </c>
      <c r="L482" s="10">
        <v>3</v>
      </c>
      <c r="M482" s="10">
        <v>165000</v>
      </c>
      <c r="O482" s="67">
        <v>45555</v>
      </c>
      <c r="P482" s="10">
        <v>2024</v>
      </c>
      <c r="Q482" s="10">
        <v>9</v>
      </c>
      <c r="R482" s="10" t="s">
        <v>3043</v>
      </c>
      <c r="S482" s="10" t="s">
        <v>6715</v>
      </c>
      <c r="T482" s="10" t="s">
        <v>6716</v>
      </c>
      <c r="U482" s="10">
        <v>0</v>
      </c>
      <c r="V482" s="10">
        <v>121</v>
      </c>
      <c r="W482" s="67"/>
      <c r="X482" s="11" t="s">
        <v>3112</v>
      </c>
      <c r="Y482" s="11" t="s">
        <v>4931</v>
      </c>
      <c r="Z482" s="11" t="s">
        <v>5171</v>
      </c>
      <c r="AA482" s="67">
        <v>45535</v>
      </c>
      <c r="AB482" s="67">
        <v>45536</v>
      </c>
      <c r="AC482" s="67">
        <v>45565</v>
      </c>
      <c r="AD482" s="67">
        <v>45564</v>
      </c>
      <c r="AE482" s="67">
        <v>45565</v>
      </c>
    </row>
    <row r="483" spans="1:31" ht="12.5">
      <c r="A483" s="10">
        <v>610422040029</v>
      </c>
      <c r="B483" s="10" t="s">
        <v>255</v>
      </c>
      <c r="D483" s="10">
        <v>1</v>
      </c>
      <c r="E483" s="10" t="s">
        <v>3000</v>
      </c>
      <c r="F483" s="10" t="s">
        <v>25</v>
      </c>
      <c r="G483" s="10" t="s">
        <v>2999</v>
      </c>
      <c r="H483" s="10" t="s">
        <v>74</v>
      </c>
      <c r="I483" s="10" t="s">
        <v>257</v>
      </c>
      <c r="J483" s="10" t="s">
        <v>164</v>
      </c>
      <c r="K483" s="66">
        <v>55000</v>
      </c>
      <c r="L483" s="10">
        <v>4</v>
      </c>
      <c r="M483" s="10">
        <v>220000</v>
      </c>
      <c r="O483" s="67">
        <v>45555</v>
      </c>
      <c r="P483" s="10">
        <v>2024</v>
      </c>
      <c r="Q483" s="10">
        <v>9</v>
      </c>
      <c r="R483" s="10" t="s">
        <v>3043</v>
      </c>
      <c r="S483" s="10" t="s">
        <v>6693</v>
      </c>
      <c r="T483" s="10" t="s">
        <v>6694</v>
      </c>
      <c r="U483" s="10">
        <v>0</v>
      </c>
      <c r="V483" s="10">
        <v>121</v>
      </c>
      <c r="W483" s="67"/>
      <c r="X483" s="11" t="s">
        <v>3112</v>
      </c>
      <c r="Y483" s="11" t="s">
        <v>4572</v>
      </c>
      <c r="Z483" s="11" t="s">
        <v>4619</v>
      </c>
      <c r="AA483" s="67">
        <v>45535</v>
      </c>
      <c r="AB483" s="67">
        <v>45536</v>
      </c>
      <c r="AC483" s="67">
        <v>45565</v>
      </c>
      <c r="AD483" s="67">
        <v>45564</v>
      </c>
      <c r="AE483" s="67">
        <v>45565</v>
      </c>
    </row>
    <row r="484" spans="1:31" ht="12.5">
      <c r="A484" s="10">
        <v>610422050001</v>
      </c>
      <c r="B484" s="10" t="s">
        <v>255</v>
      </c>
      <c r="D484" s="10">
        <v>1</v>
      </c>
      <c r="E484" s="10" t="s">
        <v>5949</v>
      </c>
      <c r="F484" s="10" t="s">
        <v>25</v>
      </c>
      <c r="G484" s="10" t="s">
        <v>1127</v>
      </c>
      <c r="H484" s="10" t="s">
        <v>74</v>
      </c>
      <c r="I484" s="10" t="s">
        <v>257</v>
      </c>
      <c r="J484" s="10" t="s">
        <v>164</v>
      </c>
      <c r="K484" s="66">
        <v>55000</v>
      </c>
      <c r="L484" s="10">
        <v>1</v>
      </c>
      <c r="M484" s="10">
        <v>55000</v>
      </c>
      <c r="O484" s="67">
        <v>45555</v>
      </c>
      <c r="P484" s="10">
        <v>2024</v>
      </c>
      <c r="Q484" s="10">
        <v>9</v>
      </c>
      <c r="R484" s="10" t="s">
        <v>3043</v>
      </c>
      <c r="S484" s="10" t="s">
        <v>6729</v>
      </c>
      <c r="T484" s="10" t="s">
        <v>6730</v>
      </c>
      <c r="U484" s="10">
        <v>0</v>
      </c>
      <c r="V484" s="10">
        <v>121</v>
      </c>
      <c r="W484" s="67"/>
      <c r="X484" s="11" t="s">
        <v>3112</v>
      </c>
      <c r="Y484" s="11" t="s">
        <v>4408</v>
      </c>
      <c r="Z484" s="11" t="s">
        <v>4409</v>
      </c>
      <c r="AA484" s="67">
        <v>45535</v>
      </c>
      <c r="AB484" s="67">
        <v>45536</v>
      </c>
      <c r="AC484" s="67">
        <v>45565</v>
      </c>
      <c r="AD484" s="67">
        <v>45564</v>
      </c>
      <c r="AE484" s="67">
        <v>45565</v>
      </c>
    </row>
    <row r="485" spans="1:31" ht="12.5">
      <c r="A485" s="10">
        <v>610422100124</v>
      </c>
      <c r="B485" s="10" t="s">
        <v>258</v>
      </c>
      <c r="D485" s="10">
        <v>1</v>
      </c>
      <c r="E485" s="10" t="s">
        <v>2237</v>
      </c>
      <c r="F485" s="10" t="s">
        <v>25</v>
      </c>
      <c r="G485" s="10" t="s">
        <v>2236</v>
      </c>
      <c r="H485" s="10" t="s">
        <v>67</v>
      </c>
      <c r="I485" s="10" t="s">
        <v>259</v>
      </c>
      <c r="J485" s="10" t="s">
        <v>164</v>
      </c>
      <c r="K485" s="66">
        <v>55000</v>
      </c>
      <c r="L485" s="10">
        <v>2</v>
      </c>
      <c r="M485" s="10">
        <v>110000</v>
      </c>
      <c r="O485" s="67">
        <v>45555</v>
      </c>
      <c r="P485" s="10">
        <v>2024</v>
      </c>
      <c r="Q485" s="10">
        <v>9</v>
      </c>
      <c r="R485" s="10" t="s">
        <v>3043</v>
      </c>
      <c r="S485" s="10" t="s">
        <v>6725</v>
      </c>
      <c r="T485" s="10" t="s">
        <v>6726</v>
      </c>
      <c r="U485" s="10">
        <v>0</v>
      </c>
      <c r="V485" s="10">
        <v>121</v>
      </c>
      <c r="W485" s="67"/>
      <c r="X485" s="11" t="s">
        <v>6989</v>
      </c>
      <c r="Y485" s="11" t="s">
        <v>1921</v>
      </c>
      <c r="Z485" s="11" t="s">
        <v>2140</v>
      </c>
      <c r="AA485" s="67">
        <v>45535</v>
      </c>
      <c r="AB485" s="67">
        <v>45536</v>
      </c>
      <c r="AC485" s="67">
        <v>45565</v>
      </c>
      <c r="AD485" s="67">
        <v>45564</v>
      </c>
      <c r="AE485" s="67">
        <v>45565</v>
      </c>
    </row>
    <row r="486" spans="1:31" ht="12.5">
      <c r="A486" s="10">
        <v>610422100244</v>
      </c>
      <c r="B486" s="10" t="s">
        <v>258</v>
      </c>
      <c r="D486" s="10">
        <v>1</v>
      </c>
      <c r="E486" s="10" t="s">
        <v>2633</v>
      </c>
      <c r="F486" s="10" t="s">
        <v>25</v>
      </c>
      <c r="G486" s="10" t="s">
        <v>2632</v>
      </c>
      <c r="H486" s="10" t="s">
        <v>67</v>
      </c>
      <c r="I486" s="10" t="s">
        <v>259</v>
      </c>
      <c r="J486" s="10" t="s">
        <v>164</v>
      </c>
      <c r="K486" s="66">
        <v>55000</v>
      </c>
      <c r="L486" s="10">
        <v>2</v>
      </c>
      <c r="M486" s="10">
        <v>110000</v>
      </c>
      <c r="O486" s="67">
        <v>45555</v>
      </c>
      <c r="P486" s="10">
        <v>2024</v>
      </c>
      <c r="Q486" s="10">
        <v>9</v>
      </c>
      <c r="R486" s="10" t="s">
        <v>3043</v>
      </c>
      <c r="S486" s="10" t="s">
        <v>6703</v>
      </c>
      <c r="T486" s="10" t="s">
        <v>6704</v>
      </c>
      <c r="U486" s="10">
        <v>0</v>
      </c>
      <c r="V486" s="10">
        <v>121</v>
      </c>
      <c r="W486" s="67"/>
      <c r="X486" s="11" t="s">
        <v>6989</v>
      </c>
      <c r="Y486" s="11" t="s">
        <v>5741</v>
      </c>
      <c r="Z486" s="11" t="s">
        <v>5796</v>
      </c>
      <c r="AA486" s="67">
        <v>45535</v>
      </c>
      <c r="AB486" s="67">
        <v>45536</v>
      </c>
      <c r="AC486" s="67">
        <v>45565</v>
      </c>
      <c r="AD486" s="67">
        <v>45564</v>
      </c>
      <c r="AE486" s="67">
        <v>45565</v>
      </c>
    </row>
    <row r="487" spans="1:31" ht="12.5">
      <c r="A487" s="10">
        <v>610422100165</v>
      </c>
      <c r="B487" s="10" t="s">
        <v>258</v>
      </c>
      <c r="D487" s="10">
        <v>1</v>
      </c>
      <c r="E487" s="10" t="s">
        <v>2855</v>
      </c>
      <c r="F487" s="10" t="s">
        <v>25</v>
      </c>
      <c r="G487" s="10" t="s">
        <v>2854</v>
      </c>
      <c r="H487" s="10" t="s">
        <v>67</v>
      </c>
      <c r="I487" s="10" t="s">
        <v>259</v>
      </c>
      <c r="J487" s="10" t="s">
        <v>164</v>
      </c>
      <c r="K487" s="66">
        <v>55000</v>
      </c>
      <c r="L487" s="10">
        <v>2</v>
      </c>
      <c r="M487" s="10">
        <v>110000</v>
      </c>
      <c r="O487" s="67">
        <v>45555</v>
      </c>
      <c r="P487" s="10">
        <v>2024</v>
      </c>
      <c r="Q487" s="10">
        <v>9</v>
      </c>
      <c r="R487" s="10" t="s">
        <v>3043</v>
      </c>
      <c r="S487" s="10" t="s">
        <v>6719</v>
      </c>
      <c r="T487" s="10" t="s">
        <v>6720</v>
      </c>
      <c r="U487" s="10">
        <v>0</v>
      </c>
      <c r="V487" s="10">
        <v>121</v>
      </c>
      <c r="W487" s="67"/>
      <c r="X487" s="11" t="s">
        <v>6989</v>
      </c>
      <c r="Y487" s="11" t="s">
        <v>3990</v>
      </c>
      <c r="Z487" s="11" t="s">
        <v>4332</v>
      </c>
      <c r="AA487" s="67">
        <v>45535</v>
      </c>
      <c r="AB487" s="67">
        <v>45536</v>
      </c>
      <c r="AC487" s="67">
        <v>45565</v>
      </c>
      <c r="AD487" s="67">
        <v>45564</v>
      </c>
      <c r="AE487" s="67">
        <v>45565</v>
      </c>
    </row>
    <row r="488" spans="1:31" ht="12.5">
      <c r="A488" s="10">
        <v>610422100165</v>
      </c>
      <c r="B488" s="10" t="s">
        <v>260</v>
      </c>
      <c r="D488" s="10">
        <v>1</v>
      </c>
      <c r="E488" s="10" t="s">
        <v>2855</v>
      </c>
      <c r="F488" s="10" t="s">
        <v>25</v>
      </c>
      <c r="G488" s="10" t="s">
        <v>2854</v>
      </c>
      <c r="H488" s="10" t="s">
        <v>67</v>
      </c>
      <c r="I488" s="10" t="s">
        <v>261</v>
      </c>
      <c r="J488" s="10" t="s">
        <v>164</v>
      </c>
      <c r="K488" s="66">
        <v>50000</v>
      </c>
      <c r="L488" s="10">
        <v>1</v>
      </c>
      <c r="M488" s="10">
        <v>50000</v>
      </c>
      <c r="O488" s="67">
        <v>45555</v>
      </c>
      <c r="P488" s="10">
        <v>2024</v>
      </c>
      <c r="Q488" s="10">
        <v>9</v>
      </c>
      <c r="R488" s="10" t="s">
        <v>3043</v>
      </c>
      <c r="S488" s="10" t="s">
        <v>6719</v>
      </c>
      <c r="T488" s="10" t="s">
        <v>6720</v>
      </c>
      <c r="U488" s="10">
        <v>0</v>
      </c>
      <c r="V488" s="10">
        <v>121</v>
      </c>
      <c r="W488" s="67"/>
      <c r="X488" s="11" t="s">
        <v>3136</v>
      </c>
      <c r="Y488" s="11" t="s">
        <v>3990</v>
      </c>
      <c r="Z488" s="11" t="s">
        <v>4332</v>
      </c>
      <c r="AA488" s="67">
        <v>45535</v>
      </c>
      <c r="AB488" s="67">
        <v>45536</v>
      </c>
      <c r="AC488" s="67">
        <v>45565</v>
      </c>
      <c r="AD488" s="67">
        <v>45564</v>
      </c>
      <c r="AE488" s="67">
        <v>45565</v>
      </c>
    </row>
    <row r="489" spans="1:31" ht="12.5">
      <c r="A489" s="10">
        <v>610422040029</v>
      </c>
      <c r="B489" s="10" t="s">
        <v>262</v>
      </c>
      <c r="D489" s="10">
        <v>1</v>
      </c>
      <c r="E489" s="10" t="s">
        <v>3000</v>
      </c>
      <c r="F489" s="10" t="s">
        <v>25</v>
      </c>
      <c r="G489" s="10" t="s">
        <v>2999</v>
      </c>
      <c r="H489" s="10" t="s">
        <v>67</v>
      </c>
      <c r="I489" s="10" t="s">
        <v>263</v>
      </c>
      <c r="J489" s="10" t="s">
        <v>164</v>
      </c>
      <c r="K489" s="66">
        <v>55000</v>
      </c>
      <c r="L489" s="10">
        <v>3</v>
      </c>
      <c r="M489" s="10">
        <v>165000</v>
      </c>
      <c r="O489" s="67">
        <v>45555</v>
      </c>
      <c r="P489" s="10">
        <v>2024</v>
      </c>
      <c r="Q489" s="10">
        <v>9</v>
      </c>
      <c r="R489" s="10" t="s">
        <v>3043</v>
      </c>
      <c r="S489" s="10" t="s">
        <v>6693</v>
      </c>
      <c r="T489" s="10" t="s">
        <v>6694</v>
      </c>
      <c r="U489" s="10">
        <v>0</v>
      </c>
      <c r="V489" s="10">
        <v>121</v>
      </c>
      <c r="W489" s="67"/>
      <c r="X489" s="11" t="s">
        <v>3158</v>
      </c>
      <c r="Y489" s="11" t="s">
        <v>4572</v>
      </c>
      <c r="Z489" s="11" t="s">
        <v>4619</v>
      </c>
      <c r="AA489" s="67">
        <v>45535</v>
      </c>
      <c r="AB489" s="67">
        <v>45536</v>
      </c>
      <c r="AC489" s="67">
        <v>45565</v>
      </c>
      <c r="AD489" s="67">
        <v>45564</v>
      </c>
      <c r="AE489" s="67">
        <v>45565</v>
      </c>
    </row>
    <row r="490" spans="1:31" ht="12.5">
      <c r="A490" s="10">
        <v>610422100165</v>
      </c>
      <c r="B490" s="10" t="s">
        <v>262</v>
      </c>
      <c r="D490" s="10">
        <v>1</v>
      </c>
      <c r="E490" s="10" t="s">
        <v>2855</v>
      </c>
      <c r="F490" s="10" t="s">
        <v>25</v>
      </c>
      <c r="G490" s="10" t="s">
        <v>2854</v>
      </c>
      <c r="H490" s="10" t="s">
        <v>67</v>
      </c>
      <c r="I490" s="10" t="s">
        <v>263</v>
      </c>
      <c r="J490" s="10" t="s">
        <v>164</v>
      </c>
      <c r="K490" s="66">
        <v>55000</v>
      </c>
      <c r="L490" s="10">
        <v>3</v>
      </c>
      <c r="M490" s="10">
        <v>165000</v>
      </c>
      <c r="O490" s="67">
        <v>45555</v>
      </c>
      <c r="P490" s="10">
        <v>2024</v>
      </c>
      <c r="Q490" s="10">
        <v>9</v>
      </c>
      <c r="R490" s="10" t="s">
        <v>3043</v>
      </c>
      <c r="S490" s="10" t="s">
        <v>6719</v>
      </c>
      <c r="T490" s="10" t="s">
        <v>6720</v>
      </c>
      <c r="U490" s="10">
        <v>0</v>
      </c>
      <c r="V490" s="10">
        <v>121</v>
      </c>
      <c r="W490" s="67"/>
      <c r="X490" s="11" t="s">
        <v>3158</v>
      </c>
      <c r="Y490" s="11" t="s">
        <v>3990</v>
      </c>
      <c r="Z490" s="11" t="s">
        <v>4332</v>
      </c>
      <c r="AA490" s="67">
        <v>45535</v>
      </c>
      <c r="AB490" s="67">
        <v>45536</v>
      </c>
      <c r="AC490" s="67">
        <v>45565</v>
      </c>
      <c r="AD490" s="67">
        <v>45564</v>
      </c>
      <c r="AE490" s="67">
        <v>45565</v>
      </c>
    </row>
    <row r="491" spans="1:31" ht="12.5">
      <c r="A491" s="10">
        <v>610422050001</v>
      </c>
      <c r="B491" s="10" t="s">
        <v>262</v>
      </c>
      <c r="D491" s="10">
        <v>1</v>
      </c>
      <c r="E491" s="10" t="s">
        <v>5949</v>
      </c>
      <c r="F491" s="10" t="s">
        <v>25</v>
      </c>
      <c r="G491" s="10" t="s">
        <v>1127</v>
      </c>
      <c r="H491" s="10" t="s">
        <v>67</v>
      </c>
      <c r="I491" s="10" t="s">
        <v>263</v>
      </c>
      <c r="J491" s="10" t="s">
        <v>164</v>
      </c>
      <c r="K491" s="66">
        <v>55000</v>
      </c>
      <c r="L491" s="10">
        <v>3</v>
      </c>
      <c r="M491" s="10">
        <v>165000</v>
      </c>
      <c r="O491" s="67">
        <v>45555</v>
      </c>
      <c r="P491" s="10">
        <v>2024</v>
      </c>
      <c r="Q491" s="10">
        <v>9</v>
      </c>
      <c r="R491" s="10" t="s">
        <v>3043</v>
      </c>
      <c r="S491" s="10" t="s">
        <v>6729</v>
      </c>
      <c r="T491" s="10" t="s">
        <v>6730</v>
      </c>
      <c r="U491" s="10">
        <v>0</v>
      </c>
      <c r="V491" s="10">
        <v>121</v>
      </c>
      <c r="W491" s="67"/>
      <c r="X491" s="11" t="s">
        <v>3158</v>
      </c>
      <c r="Y491" s="11" t="s">
        <v>4408</v>
      </c>
      <c r="Z491" s="11" t="s">
        <v>4409</v>
      </c>
      <c r="AA491" s="67">
        <v>45535</v>
      </c>
      <c r="AB491" s="67">
        <v>45536</v>
      </c>
      <c r="AC491" s="67">
        <v>45565</v>
      </c>
      <c r="AD491" s="67">
        <v>45564</v>
      </c>
      <c r="AE491" s="67">
        <v>45565</v>
      </c>
    </row>
    <row r="492" spans="1:31" ht="12.5">
      <c r="A492" s="10">
        <v>610422040056</v>
      </c>
      <c r="B492" s="10" t="s">
        <v>262</v>
      </c>
      <c r="D492" s="10">
        <v>1</v>
      </c>
      <c r="E492" s="10" t="s">
        <v>2825</v>
      </c>
      <c r="F492" s="10" t="s">
        <v>25</v>
      </c>
      <c r="G492" s="10" t="s">
        <v>2824</v>
      </c>
      <c r="H492" s="10" t="s">
        <v>67</v>
      </c>
      <c r="I492" s="10" t="s">
        <v>263</v>
      </c>
      <c r="J492" s="10" t="s">
        <v>164</v>
      </c>
      <c r="K492" s="66">
        <v>55000</v>
      </c>
      <c r="L492" s="10">
        <v>2</v>
      </c>
      <c r="M492" s="10">
        <v>110000</v>
      </c>
      <c r="O492" s="67">
        <v>45555</v>
      </c>
      <c r="P492" s="10">
        <v>2024</v>
      </c>
      <c r="Q492" s="10">
        <v>9</v>
      </c>
      <c r="R492" s="10" t="s">
        <v>3043</v>
      </c>
      <c r="S492" s="10" t="s">
        <v>6705</v>
      </c>
      <c r="T492" s="10" t="s">
        <v>6706</v>
      </c>
      <c r="U492" s="10">
        <v>0</v>
      </c>
      <c r="V492" s="10">
        <v>121</v>
      </c>
      <c r="W492" s="67"/>
      <c r="X492" s="11" t="s">
        <v>3158</v>
      </c>
      <c r="Y492" s="11" t="s">
        <v>4572</v>
      </c>
      <c r="Z492" s="11" t="s">
        <v>4656</v>
      </c>
      <c r="AA492" s="67">
        <v>45535</v>
      </c>
      <c r="AB492" s="67">
        <v>45536</v>
      </c>
      <c r="AC492" s="67">
        <v>45565</v>
      </c>
      <c r="AD492" s="67">
        <v>45564</v>
      </c>
      <c r="AE492" s="67">
        <v>45565</v>
      </c>
    </row>
    <row r="493" spans="1:31" ht="12.5">
      <c r="A493" s="10">
        <v>610422020016</v>
      </c>
      <c r="B493" s="10" t="s">
        <v>35</v>
      </c>
      <c r="D493" s="10">
        <v>1</v>
      </c>
      <c r="E493" s="10" t="s">
        <v>380</v>
      </c>
      <c r="F493" s="10" t="s">
        <v>25</v>
      </c>
      <c r="G493" s="10" t="s">
        <v>379</v>
      </c>
      <c r="H493" s="10" t="s">
        <v>84</v>
      </c>
      <c r="I493" s="10" t="s">
        <v>6731</v>
      </c>
      <c r="J493" s="10" t="s">
        <v>3036</v>
      </c>
      <c r="K493" s="66">
        <v>116000</v>
      </c>
      <c r="L493" s="10">
        <v>3</v>
      </c>
      <c r="M493" s="10">
        <v>348000</v>
      </c>
      <c r="O493" s="67">
        <v>45565</v>
      </c>
      <c r="P493" s="10">
        <v>2024</v>
      </c>
      <c r="Q493" s="10">
        <v>9</v>
      </c>
      <c r="R493" s="10" t="s">
        <v>3043</v>
      </c>
      <c r="S493" s="10" t="s">
        <v>6701</v>
      </c>
      <c r="T493" s="10" t="s">
        <v>6702</v>
      </c>
      <c r="U493" s="10">
        <v>0</v>
      </c>
      <c r="V493" s="10">
        <v>131</v>
      </c>
      <c r="W493" s="67"/>
      <c r="X493" s="11" t="s">
        <v>3060</v>
      </c>
      <c r="Y493" s="11" t="s">
        <v>5534</v>
      </c>
      <c r="Z493" s="11" t="s">
        <v>5535</v>
      </c>
      <c r="AA493" s="67">
        <v>45535</v>
      </c>
      <c r="AB493" s="67">
        <v>45536</v>
      </c>
      <c r="AC493" s="67">
        <v>45565</v>
      </c>
      <c r="AD493" s="67">
        <v>45564</v>
      </c>
      <c r="AE493" s="67">
        <v>45565</v>
      </c>
    </row>
    <row r="494" spans="1:31" ht="12.5">
      <c r="A494" s="10">
        <v>610422040012</v>
      </c>
      <c r="B494" s="10" t="s">
        <v>35</v>
      </c>
      <c r="D494" s="10">
        <v>1</v>
      </c>
      <c r="E494" s="10" t="s">
        <v>1813</v>
      </c>
      <c r="F494" s="10" t="s">
        <v>25</v>
      </c>
      <c r="G494" s="10" t="s">
        <v>1812</v>
      </c>
      <c r="H494" s="10" t="s">
        <v>84</v>
      </c>
      <c r="I494" s="10" t="s">
        <v>6731</v>
      </c>
      <c r="J494" s="10" t="s">
        <v>3036</v>
      </c>
      <c r="K494" s="66">
        <v>116000</v>
      </c>
      <c r="L494" s="10">
        <v>3</v>
      </c>
      <c r="M494" s="10">
        <v>348000</v>
      </c>
      <c r="O494" s="67">
        <v>45565</v>
      </c>
      <c r="P494" s="10">
        <v>2024</v>
      </c>
      <c r="Q494" s="10">
        <v>9</v>
      </c>
      <c r="R494" s="10" t="s">
        <v>3043</v>
      </c>
      <c r="S494" s="10" t="s">
        <v>6732</v>
      </c>
      <c r="T494" s="10" t="s">
        <v>6733</v>
      </c>
      <c r="U494" s="10">
        <v>0</v>
      </c>
      <c r="V494" s="10">
        <v>131</v>
      </c>
      <c r="W494" s="67"/>
      <c r="X494" s="11" t="s">
        <v>3060</v>
      </c>
      <c r="Y494" s="11" t="s">
        <v>3990</v>
      </c>
      <c r="Z494" s="11" t="s">
        <v>4365</v>
      </c>
      <c r="AA494" s="67">
        <v>45535</v>
      </c>
      <c r="AB494" s="67">
        <v>45536</v>
      </c>
      <c r="AC494" s="67">
        <v>45565</v>
      </c>
      <c r="AD494" s="67">
        <v>45564</v>
      </c>
      <c r="AE494" s="67">
        <v>45565</v>
      </c>
    </row>
    <row r="495" spans="1:31" ht="12.5">
      <c r="A495" s="10">
        <v>610422040059</v>
      </c>
      <c r="B495" s="10" t="s">
        <v>35</v>
      </c>
      <c r="D495" s="10">
        <v>1</v>
      </c>
      <c r="E495" s="10" t="s">
        <v>365</v>
      </c>
      <c r="F495" s="10" t="s">
        <v>25</v>
      </c>
      <c r="G495" s="10" t="s">
        <v>364</v>
      </c>
      <c r="H495" s="10" t="s">
        <v>84</v>
      </c>
      <c r="I495" s="10" t="s">
        <v>6731</v>
      </c>
      <c r="J495" s="10" t="s">
        <v>3036</v>
      </c>
      <c r="K495" s="66">
        <v>116000</v>
      </c>
      <c r="L495" s="10">
        <v>4</v>
      </c>
      <c r="M495" s="10">
        <v>464000</v>
      </c>
      <c r="O495" s="67">
        <v>45565</v>
      </c>
      <c r="P495" s="10">
        <v>2024</v>
      </c>
      <c r="Q495" s="10">
        <v>9</v>
      </c>
      <c r="R495" s="10" t="s">
        <v>3043</v>
      </c>
      <c r="S495" s="10" t="s">
        <v>6734</v>
      </c>
      <c r="T495" s="10" t="s">
        <v>6735</v>
      </c>
      <c r="U495" s="10">
        <v>0</v>
      </c>
      <c r="V495" s="10">
        <v>131</v>
      </c>
      <c r="W495" s="67"/>
      <c r="X495" s="11" t="s">
        <v>3060</v>
      </c>
      <c r="Y495" s="11" t="s">
        <v>4572</v>
      </c>
      <c r="Z495" s="11" t="s">
        <v>4656</v>
      </c>
      <c r="AA495" s="67">
        <v>45535</v>
      </c>
      <c r="AB495" s="67">
        <v>45536</v>
      </c>
      <c r="AC495" s="67">
        <v>45565</v>
      </c>
      <c r="AD495" s="67">
        <v>45564</v>
      </c>
      <c r="AE495" s="67">
        <v>45565</v>
      </c>
    </row>
    <row r="496" spans="1:31" ht="12.5">
      <c r="A496" s="10">
        <v>610422040061</v>
      </c>
      <c r="B496" s="10" t="s">
        <v>35</v>
      </c>
      <c r="D496" s="10">
        <v>1</v>
      </c>
      <c r="E496" s="10" t="s">
        <v>2440</v>
      </c>
      <c r="F496" s="10" t="s">
        <v>25</v>
      </c>
      <c r="G496" s="10" t="s">
        <v>2439</v>
      </c>
      <c r="H496" s="10" t="s">
        <v>84</v>
      </c>
      <c r="I496" s="10" t="s">
        <v>6731</v>
      </c>
      <c r="J496" s="10" t="s">
        <v>3036</v>
      </c>
      <c r="K496" s="66">
        <v>116000</v>
      </c>
      <c r="L496" s="10">
        <v>3</v>
      </c>
      <c r="M496" s="10">
        <v>348000</v>
      </c>
      <c r="O496" s="67">
        <v>45565</v>
      </c>
      <c r="P496" s="10">
        <v>2024</v>
      </c>
      <c r="Q496" s="10">
        <v>9</v>
      </c>
      <c r="R496" s="10" t="s">
        <v>3043</v>
      </c>
      <c r="S496" s="10" t="s">
        <v>6736</v>
      </c>
      <c r="T496" s="10" t="s">
        <v>6737</v>
      </c>
      <c r="U496" s="10">
        <v>0</v>
      </c>
      <c r="V496" s="10">
        <v>131</v>
      </c>
      <c r="W496" s="67"/>
      <c r="X496" s="11" t="s">
        <v>3060</v>
      </c>
      <c r="Y496" s="11" t="s">
        <v>3715</v>
      </c>
      <c r="Z496" s="11" t="s">
        <v>3862</v>
      </c>
      <c r="AA496" s="67">
        <v>45535</v>
      </c>
      <c r="AB496" s="67">
        <v>45536</v>
      </c>
      <c r="AC496" s="67">
        <v>45565</v>
      </c>
      <c r="AD496" s="67">
        <v>45564</v>
      </c>
      <c r="AE496" s="67">
        <v>45565</v>
      </c>
    </row>
    <row r="497" spans="1:31" ht="12.5">
      <c r="A497" s="10">
        <v>610422100131</v>
      </c>
      <c r="B497" s="10" t="s">
        <v>35</v>
      </c>
      <c r="D497" s="10">
        <v>1</v>
      </c>
      <c r="E497" s="10" t="s">
        <v>6046</v>
      </c>
      <c r="F497" s="10" t="s">
        <v>25</v>
      </c>
      <c r="G497" s="10" t="s">
        <v>2683</v>
      </c>
      <c r="H497" s="10" t="s">
        <v>84</v>
      </c>
      <c r="I497" s="10" t="s">
        <v>6731</v>
      </c>
      <c r="J497" s="10" t="s">
        <v>3036</v>
      </c>
      <c r="K497" s="66">
        <v>116000</v>
      </c>
      <c r="L497" s="10">
        <v>3</v>
      </c>
      <c r="M497" s="10">
        <v>348000</v>
      </c>
      <c r="O497" s="67">
        <v>45565</v>
      </c>
      <c r="P497" s="10">
        <v>2024</v>
      </c>
      <c r="Q497" s="10">
        <v>9</v>
      </c>
      <c r="R497" s="10" t="s">
        <v>3043</v>
      </c>
      <c r="S497" s="10" t="s">
        <v>6738</v>
      </c>
      <c r="T497" s="10" t="s">
        <v>6739</v>
      </c>
      <c r="U497" s="10">
        <v>0</v>
      </c>
      <c r="V497" s="10">
        <v>131</v>
      </c>
      <c r="W497" s="67"/>
      <c r="X497" s="11" t="s">
        <v>3060</v>
      </c>
      <c r="Y497" s="11" t="s">
        <v>5250</v>
      </c>
      <c r="Z497" s="11" t="s">
        <v>5365</v>
      </c>
      <c r="AA497" s="67">
        <v>45535</v>
      </c>
      <c r="AB497" s="67">
        <v>45536</v>
      </c>
      <c r="AC497" s="67">
        <v>45565</v>
      </c>
      <c r="AD497" s="67">
        <v>45564</v>
      </c>
      <c r="AE497" s="67">
        <v>45565</v>
      </c>
    </row>
    <row r="498" spans="1:31" ht="12.5">
      <c r="A498" s="10">
        <v>610422100244</v>
      </c>
      <c r="B498" s="10" t="s">
        <v>35</v>
      </c>
      <c r="D498" s="10">
        <v>1</v>
      </c>
      <c r="E498" s="10" t="s">
        <v>2633</v>
      </c>
      <c r="F498" s="10" t="s">
        <v>25</v>
      </c>
      <c r="G498" s="10" t="s">
        <v>2632</v>
      </c>
      <c r="H498" s="10" t="s">
        <v>84</v>
      </c>
      <c r="I498" s="10" t="s">
        <v>6731</v>
      </c>
      <c r="J498" s="10" t="s">
        <v>3036</v>
      </c>
      <c r="K498" s="66">
        <v>116000</v>
      </c>
      <c r="L498" s="10">
        <v>3</v>
      </c>
      <c r="M498" s="10">
        <v>348000</v>
      </c>
      <c r="O498" s="67">
        <v>45565</v>
      </c>
      <c r="P498" s="10">
        <v>2024</v>
      </c>
      <c r="Q498" s="10">
        <v>9</v>
      </c>
      <c r="R498" s="10" t="s">
        <v>3043</v>
      </c>
      <c r="S498" s="10" t="s">
        <v>6703</v>
      </c>
      <c r="T498" s="10" t="s">
        <v>6704</v>
      </c>
      <c r="U498" s="10">
        <v>0</v>
      </c>
      <c r="V498" s="10">
        <v>131</v>
      </c>
      <c r="W498" s="67"/>
      <c r="X498" s="11" t="s">
        <v>3060</v>
      </c>
      <c r="Y498" s="11" t="s">
        <v>5741</v>
      </c>
      <c r="Z498" s="11" t="s">
        <v>5796</v>
      </c>
      <c r="AA498" s="67">
        <v>45535</v>
      </c>
      <c r="AB498" s="67">
        <v>45536</v>
      </c>
      <c r="AC498" s="67">
        <v>45565</v>
      </c>
      <c r="AD498" s="67">
        <v>45564</v>
      </c>
      <c r="AE498" s="67">
        <v>45565</v>
      </c>
    </row>
    <row r="499" spans="1:31" ht="12.5">
      <c r="A499" s="10">
        <v>610422100176</v>
      </c>
      <c r="B499" s="10" t="s">
        <v>35</v>
      </c>
      <c r="D499" s="10">
        <v>1</v>
      </c>
      <c r="E499" s="10" t="s">
        <v>1190</v>
      </c>
      <c r="F499" s="10" t="s">
        <v>25</v>
      </c>
      <c r="G499" s="10" t="s">
        <v>1189</v>
      </c>
      <c r="H499" s="10" t="s">
        <v>84</v>
      </c>
      <c r="I499" s="10" t="s">
        <v>6731</v>
      </c>
      <c r="J499" s="10" t="s">
        <v>3036</v>
      </c>
      <c r="K499" s="66">
        <v>116000</v>
      </c>
      <c r="L499" s="10">
        <v>3</v>
      </c>
      <c r="M499" s="10">
        <v>348000</v>
      </c>
      <c r="O499" s="67">
        <v>45565</v>
      </c>
      <c r="P499" s="10">
        <v>2024</v>
      </c>
      <c r="Q499" s="10">
        <v>9</v>
      </c>
      <c r="R499" s="10" t="s">
        <v>3043</v>
      </c>
      <c r="S499" s="10" t="s">
        <v>6740</v>
      </c>
      <c r="T499" s="10" t="s">
        <v>6741</v>
      </c>
      <c r="U499" s="10">
        <v>0</v>
      </c>
      <c r="V499" s="10">
        <v>131</v>
      </c>
      <c r="W499" s="67"/>
      <c r="X499" s="11" t="s">
        <v>3060</v>
      </c>
      <c r="Y499" s="11" t="s">
        <v>3715</v>
      </c>
      <c r="Z499" s="11" t="s">
        <v>3765</v>
      </c>
      <c r="AA499" s="67">
        <v>45535</v>
      </c>
      <c r="AB499" s="67">
        <v>45536</v>
      </c>
      <c r="AC499" s="67">
        <v>45565</v>
      </c>
      <c r="AD499" s="67">
        <v>45564</v>
      </c>
      <c r="AE499" s="67">
        <v>45565</v>
      </c>
    </row>
    <row r="500" spans="1:31" ht="12.5">
      <c r="A500" s="10">
        <v>610423110183</v>
      </c>
      <c r="B500" s="10" t="s">
        <v>35</v>
      </c>
      <c r="D500" s="10">
        <v>1</v>
      </c>
      <c r="E500" s="10" t="s">
        <v>5924</v>
      </c>
      <c r="F500" s="10" t="s">
        <v>25</v>
      </c>
      <c r="G500" s="10" t="s">
        <v>742</v>
      </c>
      <c r="H500" s="10" t="s">
        <v>84</v>
      </c>
      <c r="I500" s="10" t="s">
        <v>6731</v>
      </c>
      <c r="J500" s="10" t="s">
        <v>3036</v>
      </c>
      <c r="K500" s="66">
        <v>116000</v>
      </c>
      <c r="L500" s="10">
        <v>6</v>
      </c>
      <c r="M500" s="10">
        <v>696000</v>
      </c>
      <c r="O500" s="67">
        <v>45565</v>
      </c>
      <c r="P500" s="10">
        <v>2024</v>
      </c>
      <c r="Q500" s="10">
        <v>9</v>
      </c>
      <c r="R500" s="10" t="s">
        <v>3043</v>
      </c>
      <c r="S500" s="10" t="s">
        <v>6742</v>
      </c>
      <c r="T500" s="10" t="s">
        <v>6743</v>
      </c>
      <c r="U500" s="10">
        <v>0</v>
      </c>
      <c r="V500" s="10">
        <v>131</v>
      </c>
      <c r="W500" s="67"/>
      <c r="X500" s="11" t="s">
        <v>3060</v>
      </c>
      <c r="Y500" s="11" t="s">
        <v>3241</v>
      </c>
      <c r="Z500" s="11" t="s">
        <v>3242</v>
      </c>
      <c r="AA500" s="67">
        <v>45535</v>
      </c>
      <c r="AB500" s="67">
        <v>45536</v>
      </c>
      <c r="AC500" s="67">
        <v>45565</v>
      </c>
      <c r="AD500" s="67">
        <v>45564</v>
      </c>
      <c r="AE500" s="67">
        <v>45565</v>
      </c>
    </row>
    <row r="501" spans="1:31" ht="12.5">
      <c r="A501" s="10">
        <v>610423040018</v>
      </c>
      <c r="B501" s="10" t="s">
        <v>35</v>
      </c>
      <c r="D501" s="10">
        <v>1</v>
      </c>
      <c r="E501" s="10" t="s">
        <v>1301</v>
      </c>
      <c r="F501" s="10" t="s">
        <v>25</v>
      </c>
      <c r="G501" s="10" t="s">
        <v>1300</v>
      </c>
      <c r="H501" s="10" t="s">
        <v>84</v>
      </c>
      <c r="I501" s="10" t="s">
        <v>6731</v>
      </c>
      <c r="J501" s="10" t="s">
        <v>3036</v>
      </c>
      <c r="K501" s="66">
        <v>116000</v>
      </c>
      <c r="L501" s="10">
        <v>4</v>
      </c>
      <c r="M501" s="10">
        <v>464000</v>
      </c>
      <c r="O501" s="67">
        <v>45565</v>
      </c>
      <c r="P501" s="10">
        <v>2024</v>
      </c>
      <c r="Q501" s="10">
        <v>9</v>
      </c>
      <c r="R501" s="10" t="s">
        <v>3043</v>
      </c>
      <c r="S501" s="10" t="s">
        <v>6744</v>
      </c>
      <c r="T501" s="10" t="s">
        <v>6745</v>
      </c>
      <c r="U501" s="10">
        <v>0</v>
      </c>
      <c r="V501" s="10">
        <v>131</v>
      </c>
      <c r="W501" s="67"/>
      <c r="X501" s="11" t="s">
        <v>3060</v>
      </c>
      <c r="Y501" s="11" t="s">
        <v>5534</v>
      </c>
      <c r="Z501" s="11" t="s">
        <v>5647</v>
      </c>
      <c r="AA501" s="67">
        <v>45535</v>
      </c>
      <c r="AB501" s="67">
        <v>45536</v>
      </c>
      <c r="AC501" s="67">
        <v>45565</v>
      </c>
      <c r="AD501" s="67">
        <v>45564</v>
      </c>
      <c r="AE501" s="67">
        <v>45565</v>
      </c>
    </row>
    <row r="502" spans="1:31" ht="12.5">
      <c r="A502" s="10">
        <v>610422040059</v>
      </c>
      <c r="B502" s="10" t="s">
        <v>35</v>
      </c>
      <c r="D502" s="10">
        <v>1</v>
      </c>
      <c r="E502" s="10" t="s">
        <v>365</v>
      </c>
      <c r="F502" s="10" t="s">
        <v>25</v>
      </c>
      <c r="G502" s="10" t="s">
        <v>364</v>
      </c>
      <c r="H502" s="10" t="s">
        <v>85</v>
      </c>
      <c r="I502" s="10" t="s">
        <v>6746</v>
      </c>
      <c r="J502" s="10" t="s">
        <v>3036</v>
      </c>
      <c r="K502" s="66">
        <v>59000</v>
      </c>
      <c r="L502" s="10">
        <v>6</v>
      </c>
      <c r="M502" s="10">
        <v>354000</v>
      </c>
      <c r="O502" s="67">
        <v>45565</v>
      </c>
      <c r="P502" s="10">
        <v>2024</v>
      </c>
      <c r="Q502" s="10">
        <v>9</v>
      </c>
      <c r="R502" s="10" t="s">
        <v>3043</v>
      </c>
      <c r="S502" s="10" t="s">
        <v>6734</v>
      </c>
      <c r="T502" s="10" t="s">
        <v>6735</v>
      </c>
      <c r="U502" s="10">
        <v>0</v>
      </c>
      <c r="V502" s="10">
        <v>131</v>
      </c>
      <c r="W502" s="67"/>
      <c r="X502" s="11" t="s">
        <v>3060</v>
      </c>
      <c r="Y502" s="11" t="s">
        <v>4572</v>
      </c>
      <c r="Z502" s="11" t="s">
        <v>4656</v>
      </c>
      <c r="AA502" s="67">
        <v>45535</v>
      </c>
      <c r="AB502" s="67">
        <v>45536</v>
      </c>
      <c r="AC502" s="67">
        <v>45565</v>
      </c>
      <c r="AD502" s="67">
        <v>45564</v>
      </c>
      <c r="AE502" s="67">
        <v>45565</v>
      </c>
    </row>
    <row r="503" spans="1:31" ht="12.5">
      <c r="A503" s="10">
        <v>610422020048</v>
      </c>
      <c r="B503" s="10" t="s">
        <v>35</v>
      </c>
      <c r="D503" s="10">
        <v>1</v>
      </c>
      <c r="E503" s="10" t="s">
        <v>1359</v>
      </c>
      <c r="F503" s="10" t="s">
        <v>25</v>
      </c>
      <c r="G503" s="10" t="s">
        <v>1358</v>
      </c>
      <c r="H503" s="10" t="s">
        <v>85</v>
      </c>
      <c r="I503" s="10" t="s">
        <v>6746</v>
      </c>
      <c r="J503" s="10" t="s">
        <v>3036</v>
      </c>
      <c r="K503" s="66">
        <v>59000</v>
      </c>
      <c r="L503" s="10">
        <v>6</v>
      </c>
      <c r="M503" s="10">
        <v>354000</v>
      </c>
      <c r="O503" s="67">
        <v>45565</v>
      </c>
      <c r="P503" s="10">
        <v>2024</v>
      </c>
      <c r="Q503" s="10">
        <v>9</v>
      </c>
      <c r="R503" s="10" t="s">
        <v>3043</v>
      </c>
      <c r="S503" s="10" t="s">
        <v>6715</v>
      </c>
      <c r="T503" s="10" t="s">
        <v>6716</v>
      </c>
      <c r="U503" s="10">
        <v>0</v>
      </c>
      <c r="V503" s="10">
        <v>131</v>
      </c>
      <c r="W503" s="67"/>
      <c r="X503" s="11" t="s">
        <v>3060</v>
      </c>
      <c r="Y503" s="11" t="s">
        <v>4931</v>
      </c>
      <c r="Z503" s="11" t="s">
        <v>5171</v>
      </c>
      <c r="AA503" s="67">
        <v>45535</v>
      </c>
      <c r="AB503" s="67">
        <v>45536</v>
      </c>
      <c r="AC503" s="67">
        <v>45565</v>
      </c>
      <c r="AD503" s="67">
        <v>45564</v>
      </c>
      <c r="AE503" s="67">
        <v>45565</v>
      </c>
    </row>
    <row r="504" spans="1:31" ht="12.5">
      <c r="A504" s="10">
        <v>610422040058</v>
      </c>
      <c r="B504" s="10" t="s">
        <v>35</v>
      </c>
      <c r="D504" s="10">
        <v>1</v>
      </c>
      <c r="E504" s="10" t="s">
        <v>5976</v>
      </c>
      <c r="F504" s="10" t="s">
        <v>25</v>
      </c>
      <c r="G504" s="10" t="s">
        <v>1547</v>
      </c>
      <c r="H504" s="10" t="s">
        <v>85</v>
      </c>
      <c r="I504" s="10" t="s">
        <v>6746</v>
      </c>
      <c r="J504" s="10" t="s">
        <v>3036</v>
      </c>
      <c r="K504" s="66">
        <v>59000</v>
      </c>
      <c r="L504" s="10">
        <v>10</v>
      </c>
      <c r="M504" s="10">
        <v>590000</v>
      </c>
      <c r="O504" s="67">
        <v>45565</v>
      </c>
      <c r="P504" s="10">
        <v>2024</v>
      </c>
      <c r="Q504" s="10">
        <v>9</v>
      </c>
      <c r="R504" s="10" t="s">
        <v>3043</v>
      </c>
      <c r="S504" s="10" t="s">
        <v>6707</v>
      </c>
      <c r="T504" s="10" t="s">
        <v>6708</v>
      </c>
      <c r="U504" s="10">
        <v>0</v>
      </c>
      <c r="V504" s="10">
        <v>131</v>
      </c>
      <c r="W504" s="67"/>
      <c r="X504" s="11" t="s">
        <v>3060</v>
      </c>
      <c r="Y504" s="11" t="s">
        <v>3715</v>
      </c>
      <c r="Z504" s="11" t="s">
        <v>3716</v>
      </c>
      <c r="AA504" s="67">
        <v>45535</v>
      </c>
      <c r="AB504" s="67">
        <v>45536</v>
      </c>
      <c r="AC504" s="67">
        <v>45565</v>
      </c>
      <c r="AD504" s="67">
        <v>45564</v>
      </c>
      <c r="AE504" s="67">
        <v>45565</v>
      </c>
    </row>
    <row r="505" spans="1:31" ht="12.5">
      <c r="A505" s="10">
        <v>610423110183</v>
      </c>
      <c r="B505" s="10" t="s">
        <v>35</v>
      </c>
      <c r="D505" s="10">
        <v>1</v>
      </c>
      <c r="E505" s="10" t="s">
        <v>5924</v>
      </c>
      <c r="F505" s="10" t="s">
        <v>25</v>
      </c>
      <c r="G505" s="10" t="s">
        <v>742</v>
      </c>
      <c r="H505" s="10" t="s">
        <v>85</v>
      </c>
      <c r="I505" s="10" t="s">
        <v>6746</v>
      </c>
      <c r="J505" s="10" t="s">
        <v>3036</v>
      </c>
      <c r="K505" s="66">
        <v>59000</v>
      </c>
      <c r="L505" s="10">
        <v>6</v>
      </c>
      <c r="M505" s="10">
        <v>354000</v>
      </c>
      <c r="O505" s="67">
        <v>45565</v>
      </c>
      <c r="P505" s="10">
        <v>2024</v>
      </c>
      <c r="Q505" s="10">
        <v>9</v>
      </c>
      <c r="R505" s="10" t="s">
        <v>3043</v>
      </c>
      <c r="S505" s="10" t="s">
        <v>6742</v>
      </c>
      <c r="T505" s="10" t="s">
        <v>6743</v>
      </c>
      <c r="U505" s="10">
        <v>0</v>
      </c>
      <c r="V505" s="10">
        <v>131</v>
      </c>
      <c r="W505" s="67"/>
      <c r="X505" s="11" t="s">
        <v>3060</v>
      </c>
      <c r="Y505" s="11" t="s">
        <v>3241</v>
      </c>
      <c r="Z505" s="11" t="s">
        <v>3242</v>
      </c>
      <c r="AA505" s="67">
        <v>45535</v>
      </c>
      <c r="AB505" s="67">
        <v>45536</v>
      </c>
      <c r="AC505" s="67">
        <v>45565</v>
      </c>
      <c r="AD505" s="67">
        <v>45564</v>
      </c>
      <c r="AE505" s="67">
        <v>45565</v>
      </c>
    </row>
    <row r="506" spans="1:31" ht="12.5">
      <c r="A506" s="10">
        <v>610422100244</v>
      </c>
      <c r="B506" s="10" t="s">
        <v>35</v>
      </c>
      <c r="D506" s="10">
        <v>1</v>
      </c>
      <c r="E506" s="10" t="s">
        <v>2633</v>
      </c>
      <c r="F506" s="10" t="s">
        <v>25</v>
      </c>
      <c r="G506" s="10" t="s">
        <v>2632</v>
      </c>
      <c r="H506" s="10" t="s">
        <v>85</v>
      </c>
      <c r="I506" s="10" t="s">
        <v>6746</v>
      </c>
      <c r="J506" s="10" t="s">
        <v>3036</v>
      </c>
      <c r="K506" s="66">
        <v>59000</v>
      </c>
      <c r="L506" s="10">
        <v>8</v>
      </c>
      <c r="M506" s="10">
        <v>472000</v>
      </c>
      <c r="O506" s="67">
        <v>45565</v>
      </c>
      <c r="P506" s="10">
        <v>2024</v>
      </c>
      <c r="Q506" s="10">
        <v>9</v>
      </c>
      <c r="R506" s="10" t="s">
        <v>3043</v>
      </c>
      <c r="S506" s="10" t="s">
        <v>6703</v>
      </c>
      <c r="T506" s="10" t="s">
        <v>6704</v>
      </c>
      <c r="U506" s="10">
        <v>0</v>
      </c>
      <c r="V506" s="10">
        <v>131</v>
      </c>
      <c r="W506" s="67"/>
      <c r="X506" s="11" t="s">
        <v>3060</v>
      </c>
      <c r="Y506" s="11" t="s">
        <v>5741</v>
      </c>
      <c r="Z506" s="11" t="s">
        <v>5796</v>
      </c>
      <c r="AA506" s="67">
        <v>45535</v>
      </c>
      <c r="AB506" s="67">
        <v>45536</v>
      </c>
      <c r="AC506" s="67">
        <v>45565</v>
      </c>
      <c r="AD506" s="67">
        <v>45564</v>
      </c>
      <c r="AE506" s="67">
        <v>45565</v>
      </c>
    </row>
    <row r="507" spans="1:31" ht="12.5">
      <c r="A507" s="10">
        <v>610423040004</v>
      </c>
      <c r="B507" s="10" t="s">
        <v>266</v>
      </c>
      <c r="D507" s="10">
        <v>1</v>
      </c>
      <c r="E507" s="10" t="s">
        <v>731</v>
      </c>
      <c r="F507" s="10" t="s">
        <v>25</v>
      </c>
      <c r="G507" s="10" t="s">
        <v>730</v>
      </c>
      <c r="H507" s="10" t="s">
        <v>67</v>
      </c>
      <c r="I507" s="10" t="s">
        <v>267</v>
      </c>
      <c r="J507" s="10" t="s">
        <v>164</v>
      </c>
      <c r="K507" s="66">
        <v>60000</v>
      </c>
      <c r="L507" s="10">
        <v>10</v>
      </c>
      <c r="M507" s="10">
        <v>600000</v>
      </c>
      <c r="O507" s="67">
        <v>45565</v>
      </c>
      <c r="P507" s="10">
        <v>2024</v>
      </c>
      <c r="Q507" s="10">
        <v>9</v>
      </c>
      <c r="R507" s="10" t="s">
        <v>3043</v>
      </c>
      <c r="S507" s="10" t="s">
        <v>6747</v>
      </c>
      <c r="T507" s="10" t="s">
        <v>6748</v>
      </c>
      <c r="U507" s="10">
        <v>0</v>
      </c>
      <c r="V507" s="10">
        <v>131</v>
      </c>
      <c r="W507" s="67"/>
      <c r="X507" s="11" t="s">
        <v>3144</v>
      </c>
      <c r="Y507" s="11" t="s">
        <v>4408</v>
      </c>
      <c r="Z507" s="11" t="s">
        <v>4531</v>
      </c>
      <c r="AA507" s="67">
        <v>45535</v>
      </c>
      <c r="AB507" s="67">
        <v>45536</v>
      </c>
      <c r="AC507" s="67">
        <v>45565</v>
      </c>
      <c r="AD507" s="67">
        <v>45564</v>
      </c>
      <c r="AE507" s="67">
        <v>45565</v>
      </c>
    </row>
    <row r="508" spans="1:31" ht="12.5">
      <c r="A508" s="10">
        <v>610422100144</v>
      </c>
      <c r="B508" s="10" t="s">
        <v>266</v>
      </c>
      <c r="D508" s="10">
        <v>1</v>
      </c>
      <c r="E508" s="10" t="s">
        <v>5970</v>
      </c>
      <c r="F508" s="10" t="s">
        <v>25</v>
      </c>
      <c r="G508" s="10" t="s">
        <v>1513</v>
      </c>
      <c r="H508" s="10" t="s">
        <v>67</v>
      </c>
      <c r="I508" s="10" t="s">
        <v>267</v>
      </c>
      <c r="J508" s="10" t="s">
        <v>164</v>
      </c>
      <c r="K508" s="66">
        <v>60000</v>
      </c>
      <c r="L508" s="10">
        <v>10</v>
      </c>
      <c r="M508" s="10">
        <v>600000</v>
      </c>
      <c r="O508" s="67">
        <v>45565</v>
      </c>
      <c r="P508" s="10">
        <v>2024</v>
      </c>
      <c r="Q508" s="10">
        <v>9</v>
      </c>
      <c r="R508" s="10" t="s">
        <v>3043</v>
      </c>
      <c r="S508" s="10" t="s">
        <v>6749</v>
      </c>
      <c r="T508" s="10" t="s">
        <v>6750</v>
      </c>
      <c r="U508" s="10">
        <v>0</v>
      </c>
      <c r="V508" s="10">
        <v>131</v>
      </c>
      <c r="W508" s="67"/>
      <c r="X508" s="11" t="s">
        <v>3144</v>
      </c>
      <c r="Y508" s="11" t="s">
        <v>5250</v>
      </c>
      <c r="Z508" s="11" t="s">
        <v>5488</v>
      </c>
      <c r="AA508" s="67">
        <v>45535</v>
      </c>
      <c r="AB508" s="67">
        <v>45536</v>
      </c>
      <c r="AC508" s="67">
        <v>45565</v>
      </c>
      <c r="AD508" s="67">
        <v>45564</v>
      </c>
      <c r="AE508" s="67">
        <v>45565</v>
      </c>
    </row>
    <row r="509" spans="1:31" ht="12.5">
      <c r="A509" s="10">
        <v>610422020032</v>
      </c>
      <c r="B509" s="10" t="s">
        <v>266</v>
      </c>
      <c r="D509" s="10">
        <v>1</v>
      </c>
      <c r="E509" s="10" t="s">
        <v>1640</v>
      </c>
      <c r="F509" s="10" t="s">
        <v>25</v>
      </c>
      <c r="G509" s="10" t="s">
        <v>1639</v>
      </c>
      <c r="H509" s="10" t="s">
        <v>67</v>
      </c>
      <c r="I509" s="10" t="s">
        <v>267</v>
      </c>
      <c r="J509" s="10" t="s">
        <v>164</v>
      </c>
      <c r="K509" s="66">
        <v>60000</v>
      </c>
      <c r="L509" s="10">
        <v>10</v>
      </c>
      <c r="M509" s="10">
        <v>600000</v>
      </c>
      <c r="O509" s="67">
        <v>45565</v>
      </c>
      <c r="P509" s="10">
        <v>2024</v>
      </c>
      <c r="Q509" s="10">
        <v>9</v>
      </c>
      <c r="R509" s="10" t="s">
        <v>3043</v>
      </c>
      <c r="S509" s="10" t="s">
        <v>6709</v>
      </c>
      <c r="T509" s="10" t="s">
        <v>6710</v>
      </c>
      <c r="U509" s="10">
        <v>0</v>
      </c>
      <c r="V509" s="10">
        <v>131</v>
      </c>
      <c r="W509" s="67"/>
      <c r="X509" s="11" t="s">
        <v>3144</v>
      </c>
      <c r="Y509" s="11" t="s">
        <v>4931</v>
      </c>
      <c r="Z509" s="11" t="s">
        <v>5209</v>
      </c>
      <c r="AA509" s="67">
        <v>45535</v>
      </c>
      <c r="AB509" s="67">
        <v>45536</v>
      </c>
      <c r="AC509" s="67">
        <v>45565</v>
      </c>
      <c r="AD509" s="67">
        <v>45564</v>
      </c>
      <c r="AE509" s="67">
        <v>45565</v>
      </c>
    </row>
    <row r="510" spans="1:31" ht="12.5">
      <c r="A510" s="10">
        <v>610422100085</v>
      </c>
      <c r="B510" s="10" t="s">
        <v>266</v>
      </c>
      <c r="D510" s="10">
        <v>1</v>
      </c>
      <c r="E510" s="10" t="s">
        <v>5981</v>
      </c>
      <c r="F510" s="10" t="s">
        <v>25</v>
      </c>
      <c r="G510" s="10" t="s">
        <v>1646</v>
      </c>
      <c r="H510" s="10" t="s">
        <v>67</v>
      </c>
      <c r="I510" s="10" t="s">
        <v>267</v>
      </c>
      <c r="J510" s="10" t="s">
        <v>164</v>
      </c>
      <c r="K510" s="66">
        <v>60000</v>
      </c>
      <c r="L510" s="10">
        <v>10</v>
      </c>
      <c r="M510" s="10">
        <v>600000</v>
      </c>
      <c r="O510" s="67">
        <v>45565</v>
      </c>
      <c r="P510" s="10">
        <v>2024</v>
      </c>
      <c r="Q510" s="10">
        <v>9</v>
      </c>
      <c r="R510" s="10" t="s">
        <v>3043</v>
      </c>
      <c r="S510" s="10" t="s">
        <v>6721</v>
      </c>
      <c r="T510" s="10" t="s">
        <v>6722</v>
      </c>
      <c r="U510" s="10">
        <v>0</v>
      </c>
      <c r="V510" s="10">
        <v>131</v>
      </c>
      <c r="W510" s="67"/>
      <c r="X510" s="11" t="s">
        <v>3144</v>
      </c>
      <c r="Y510" s="11" t="s">
        <v>3990</v>
      </c>
      <c r="Z510" s="11" t="s">
        <v>4087</v>
      </c>
      <c r="AA510" s="67">
        <v>45535</v>
      </c>
      <c r="AB510" s="67">
        <v>45536</v>
      </c>
      <c r="AC510" s="67">
        <v>45565</v>
      </c>
      <c r="AD510" s="67">
        <v>45564</v>
      </c>
      <c r="AE510" s="67">
        <v>45565</v>
      </c>
    </row>
    <row r="511" spans="1:31" ht="12.5">
      <c r="A511" s="10">
        <v>610423040013</v>
      </c>
      <c r="B511" s="10" t="s">
        <v>266</v>
      </c>
      <c r="D511" s="10">
        <v>1</v>
      </c>
      <c r="E511" s="10" t="s">
        <v>1658</v>
      </c>
      <c r="F511" s="10" t="s">
        <v>25</v>
      </c>
      <c r="G511" s="10" t="s">
        <v>1657</v>
      </c>
      <c r="H511" s="10" t="s">
        <v>67</v>
      </c>
      <c r="I511" s="10" t="s">
        <v>267</v>
      </c>
      <c r="J511" s="10" t="s">
        <v>164</v>
      </c>
      <c r="K511" s="66">
        <v>60000</v>
      </c>
      <c r="L511" s="10">
        <v>10</v>
      </c>
      <c r="M511" s="10">
        <v>600000</v>
      </c>
      <c r="O511" s="67">
        <v>45565</v>
      </c>
      <c r="P511" s="10">
        <v>2024</v>
      </c>
      <c r="Q511" s="10">
        <v>9</v>
      </c>
      <c r="R511" s="10" t="s">
        <v>3043</v>
      </c>
      <c r="S511" s="10" t="s">
        <v>6711</v>
      </c>
      <c r="T511" s="10" t="s">
        <v>6712</v>
      </c>
      <c r="U511" s="10">
        <v>0</v>
      </c>
      <c r="V511" s="10">
        <v>131</v>
      </c>
      <c r="W511" s="67"/>
      <c r="X511" s="11" t="s">
        <v>3144</v>
      </c>
      <c r="Y511" s="11" t="s">
        <v>5250</v>
      </c>
      <c r="Z511" s="11" t="s">
        <v>5304</v>
      </c>
      <c r="AA511" s="67">
        <v>45535</v>
      </c>
      <c r="AB511" s="67">
        <v>45536</v>
      </c>
      <c r="AC511" s="67">
        <v>45565</v>
      </c>
      <c r="AD511" s="67">
        <v>45564</v>
      </c>
      <c r="AE511" s="67">
        <v>45565</v>
      </c>
    </row>
    <row r="512" spans="1:31" ht="12.5">
      <c r="A512" s="10">
        <v>610422100137</v>
      </c>
      <c r="B512" s="10" t="s">
        <v>266</v>
      </c>
      <c r="D512" s="10">
        <v>1</v>
      </c>
      <c r="E512" s="10" t="s">
        <v>5985</v>
      </c>
      <c r="F512" s="10" t="s">
        <v>25</v>
      </c>
      <c r="G512" s="10" t="s">
        <v>1719</v>
      </c>
      <c r="H512" s="10" t="s">
        <v>67</v>
      </c>
      <c r="I512" s="10" t="s">
        <v>267</v>
      </c>
      <c r="J512" s="10" t="s">
        <v>164</v>
      </c>
      <c r="K512" s="66">
        <v>60000</v>
      </c>
      <c r="L512" s="10">
        <v>10</v>
      </c>
      <c r="M512" s="10">
        <v>600000</v>
      </c>
      <c r="O512" s="67">
        <v>45565</v>
      </c>
      <c r="P512" s="10">
        <v>2024</v>
      </c>
      <c r="Q512" s="10">
        <v>9</v>
      </c>
      <c r="R512" s="10" t="s">
        <v>3043</v>
      </c>
      <c r="S512" s="10" t="s">
        <v>6751</v>
      </c>
      <c r="T512" s="10" t="s">
        <v>6752</v>
      </c>
      <c r="U512" s="10">
        <v>0</v>
      </c>
      <c r="V512" s="10">
        <v>131</v>
      </c>
      <c r="W512" s="67"/>
      <c r="X512" s="11" t="s">
        <v>3144</v>
      </c>
      <c r="Y512" s="11" t="s">
        <v>5534</v>
      </c>
      <c r="Z512" s="11" t="s">
        <v>5535</v>
      </c>
      <c r="AA512" s="67">
        <v>45535</v>
      </c>
      <c r="AB512" s="67">
        <v>45536</v>
      </c>
      <c r="AC512" s="67">
        <v>45565</v>
      </c>
      <c r="AD512" s="67">
        <v>45564</v>
      </c>
      <c r="AE512" s="67">
        <v>45565</v>
      </c>
    </row>
    <row r="513" spans="1:31" ht="12.5">
      <c r="A513" s="10">
        <v>610422100256</v>
      </c>
      <c r="B513" s="10" t="s">
        <v>266</v>
      </c>
      <c r="D513" s="10">
        <v>1</v>
      </c>
      <c r="E513" s="10" t="s">
        <v>1778</v>
      </c>
      <c r="F513" s="10" t="s">
        <v>25</v>
      </c>
      <c r="G513" s="10" t="s">
        <v>1777</v>
      </c>
      <c r="H513" s="10" t="s">
        <v>67</v>
      </c>
      <c r="I513" s="10" t="s">
        <v>267</v>
      </c>
      <c r="J513" s="10" t="s">
        <v>164</v>
      </c>
      <c r="K513" s="66">
        <v>60000</v>
      </c>
      <c r="L513" s="10">
        <v>10</v>
      </c>
      <c r="M513" s="10">
        <v>600000</v>
      </c>
      <c r="O513" s="67">
        <v>45565</v>
      </c>
      <c r="P513" s="10">
        <v>2024</v>
      </c>
      <c r="Q513" s="10">
        <v>9</v>
      </c>
      <c r="R513" s="10" t="s">
        <v>3043</v>
      </c>
      <c r="S513" s="10" t="s">
        <v>6753</v>
      </c>
      <c r="T513" s="10" t="s">
        <v>6754</v>
      </c>
      <c r="U513" s="10">
        <v>0</v>
      </c>
      <c r="V513" s="10">
        <v>131</v>
      </c>
      <c r="W513" s="67"/>
      <c r="X513" s="11" t="s">
        <v>3144</v>
      </c>
      <c r="Y513" s="11" t="s">
        <v>5741</v>
      </c>
      <c r="Z513" s="11" t="s">
        <v>5742</v>
      </c>
      <c r="AA513" s="67">
        <v>45535</v>
      </c>
      <c r="AB513" s="67">
        <v>45536</v>
      </c>
      <c r="AC513" s="67">
        <v>45565</v>
      </c>
      <c r="AD513" s="67">
        <v>45564</v>
      </c>
      <c r="AE513" s="67">
        <v>45565</v>
      </c>
    </row>
    <row r="514" spans="1:31" ht="12.5">
      <c r="A514" s="10">
        <v>610422040050</v>
      </c>
      <c r="B514" s="10" t="s">
        <v>266</v>
      </c>
      <c r="D514" s="10">
        <v>1</v>
      </c>
      <c r="E514" s="10" t="s">
        <v>6010</v>
      </c>
      <c r="F514" s="10" t="s">
        <v>25</v>
      </c>
      <c r="G514" s="10" t="s">
        <v>2154</v>
      </c>
      <c r="H514" s="10" t="s">
        <v>67</v>
      </c>
      <c r="I514" s="10" t="s">
        <v>267</v>
      </c>
      <c r="J514" s="10" t="s">
        <v>164</v>
      </c>
      <c r="K514" s="66">
        <v>60000</v>
      </c>
      <c r="L514" s="10">
        <v>10</v>
      </c>
      <c r="M514" s="10">
        <v>600000</v>
      </c>
      <c r="O514" s="67">
        <v>45565</v>
      </c>
      <c r="P514" s="10">
        <v>2024</v>
      </c>
      <c r="Q514" s="10">
        <v>9</v>
      </c>
      <c r="R514" s="10" t="s">
        <v>3043</v>
      </c>
      <c r="S514" s="10" t="s">
        <v>6755</v>
      </c>
      <c r="T514" s="10" t="s">
        <v>6756</v>
      </c>
      <c r="U514" s="10">
        <v>0</v>
      </c>
      <c r="V514" s="10">
        <v>131</v>
      </c>
      <c r="W514" s="67"/>
      <c r="X514" s="11" t="s">
        <v>3144</v>
      </c>
      <c r="Y514" s="11" t="s">
        <v>3241</v>
      </c>
      <c r="Z514" s="11" t="s">
        <v>3289</v>
      </c>
      <c r="AA514" s="67">
        <v>45535</v>
      </c>
      <c r="AB514" s="67">
        <v>45536</v>
      </c>
      <c r="AC514" s="67">
        <v>45565</v>
      </c>
      <c r="AD514" s="67">
        <v>45564</v>
      </c>
      <c r="AE514" s="67">
        <v>45565</v>
      </c>
    </row>
    <row r="515" spans="1:31" ht="12.5">
      <c r="A515" s="10">
        <v>610422040035</v>
      </c>
      <c r="B515" s="10" t="s">
        <v>266</v>
      </c>
      <c r="D515" s="10">
        <v>1</v>
      </c>
      <c r="E515" s="10" t="s">
        <v>2281</v>
      </c>
      <c r="F515" s="10" t="s">
        <v>25</v>
      </c>
      <c r="G515" s="10" t="s">
        <v>2280</v>
      </c>
      <c r="H515" s="10" t="s">
        <v>67</v>
      </c>
      <c r="I515" s="10" t="s">
        <v>267</v>
      </c>
      <c r="J515" s="10" t="s">
        <v>164</v>
      </c>
      <c r="K515" s="66">
        <v>60000</v>
      </c>
      <c r="L515" s="10">
        <v>10</v>
      </c>
      <c r="M515" s="10">
        <v>600000</v>
      </c>
      <c r="O515" s="67">
        <v>45565</v>
      </c>
      <c r="P515" s="10">
        <v>2024</v>
      </c>
      <c r="Q515" s="10">
        <v>9</v>
      </c>
      <c r="R515" s="10" t="s">
        <v>3043</v>
      </c>
      <c r="S515" s="10" t="s">
        <v>6695</v>
      </c>
      <c r="T515" s="10" t="s">
        <v>6696</v>
      </c>
      <c r="U515" s="10">
        <v>0</v>
      </c>
      <c r="V515" s="10">
        <v>131</v>
      </c>
      <c r="W515" s="67"/>
      <c r="X515" s="11" t="s">
        <v>3144</v>
      </c>
      <c r="Y515" s="11" t="s">
        <v>4931</v>
      </c>
      <c r="Z515" s="11" t="s">
        <v>5171</v>
      </c>
      <c r="AA515" s="67">
        <v>45535</v>
      </c>
      <c r="AB515" s="67">
        <v>45536</v>
      </c>
      <c r="AC515" s="67">
        <v>45565</v>
      </c>
      <c r="AD515" s="67">
        <v>45564</v>
      </c>
      <c r="AE515" s="67">
        <v>45565</v>
      </c>
    </row>
    <row r="516" spans="1:31" ht="12.5">
      <c r="A516" s="10">
        <v>610422040061</v>
      </c>
      <c r="B516" s="10" t="s">
        <v>266</v>
      </c>
      <c r="D516" s="10">
        <v>1</v>
      </c>
      <c r="E516" s="10" t="s">
        <v>2440</v>
      </c>
      <c r="F516" s="10" t="s">
        <v>25</v>
      </c>
      <c r="G516" s="10" t="s">
        <v>2439</v>
      </c>
      <c r="H516" s="10" t="s">
        <v>67</v>
      </c>
      <c r="I516" s="10" t="s">
        <v>267</v>
      </c>
      <c r="J516" s="10" t="s">
        <v>164</v>
      </c>
      <c r="K516" s="66">
        <v>60000</v>
      </c>
      <c r="L516" s="10">
        <v>10</v>
      </c>
      <c r="M516" s="10">
        <v>600000</v>
      </c>
      <c r="O516" s="67">
        <v>45565</v>
      </c>
      <c r="P516" s="10">
        <v>2024</v>
      </c>
      <c r="Q516" s="10">
        <v>9</v>
      </c>
      <c r="R516" s="10" t="s">
        <v>3043</v>
      </c>
      <c r="S516" s="10" t="s">
        <v>6736</v>
      </c>
      <c r="T516" s="10" t="s">
        <v>6737</v>
      </c>
      <c r="U516" s="10">
        <v>0</v>
      </c>
      <c r="V516" s="10">
        <v>131</v>
      </c>
      <c r="W516" s="67"/>
      <c r="X516" s="11" t="s">
        <v>3144</v>
      </c>
      <c r="Y516" s="11" t="s">
        <v>3715</v>
      </c>
      <c r="Z516" s="11" t="s">
        <v>3862</v>
      </c>
      <c r="AA516" s="67">
        <v>45535</v>
      </c>
      <c r="AB516" s="67">
        <v>45536</v>
      </c>
      <c r="AC516" s="67">
        <v>45565</v>
      </c>
      <c r="AD516" s="67">
        <v>45564</v>
      </c>
      <c r="AE516" s="67">
        <v>45565</v>
      </c>
    </row>
    <row r="517" spans="1:31" ht="12.5">
      <c r="A517" s="10">
        <v>610422040053</v>
      </c>
      <c r="B517" s="10" t="s">
        <v>266</v>
      </c>
      <c r="D517" s="10">
        <v>1</v>
      </c>
      <c r="E517" s="10" t="s">
        <v>2781</v>
      </c>
      <c r="F517" s="10" t="s">
        <v>25</v>
      </c>
      <c r="G517" s="10" t="s">
        <v>2780</v>
      </c>
      <c r="H517" s="10" t="s">
        <v>67</v>
      </c>
      <c r="I517" s="10" t="s">
        <v>267</v>
      </c>
      <c r="J517" s="10" t="s">
        <v>164</v>
      </c>
      <c r="K517" s="66">
        <v>60000</v>
      </c>
      <c r="L517" s="10">
        <v>10</v>
      </c>
      <c r="M517" s="10">
        <v>600000</v>
      </c>
      <c r="O517" s="67">
        <v>45565</v>
      </c>
      <c r="P517" s="10">
        <v>2024</v>
      </c>
      <c r="Q517" s="10">
        <v>9</v>
      </c>
      <c r="R517" s="10" t="s">
        <v>3043</v>
      </c>
      <c r="S517" s="10" t="s">
        <v>6713</v>
      </c>
      <c r="T517" s="10" t="s">
        <v>6714</v>
      </c>
      <c r="U517" s="10">
        <v>0</v>
      </c>
      <c r="V517" s="10">
        <v>131</v>
      </c>
      <c r="W517" s="67"/>
      <c r="X517" s="11" t="s">
        <v>3144</v>
      </c>
      <c r="Y517" s="11" t="s">
        <v>5250</v>
      </c>
      <c r="Z517" s="11" t="s">
        <v>5464</v>
      </c>
      <c r="AA517" s="67">
        <v>45535</v>
      </c>
      <c r="AB517" s="67">
        <v>45536</v>
      </c>
      <c r="AC517" s="67">
        <v>45565</v>
      </c>
      <c r="AD517" s="67">
        <v>45564</v>
      </c>
      <c r="AE517" s="67">
        <v>45565</v>
      </c>
    </row>
    <row r="518" spans="1:31" ht="12.5">
      <c r="A518" s="10">
        <v>610422100055</v>
      </c>
      <c r="B518" s="10" t="s">
        <v>266</v>
      </c>
      <c r="D518" s="10">
        <v>1</v>
      </c>
      <c r="E518" s="10" t="s">
        <v>2791</v>
      </c>
      <c r="F518" s="10" t="s">
        <v>25</v>
      </c>
      <c r="G518" s="10" t="s">
        <v>2790</v>
      </c>
      <c r="H518" s="10" t="s">
        <v>67</v>
      </c>
      <c r="I518" s="10" t="s">
        <v>267</v>
      </c>
      <c r="J518" s="10" t="s">
        <v>164</v>
      </c>
      <c r="K518" s="66">
        <v>60000</v>
      </c>
      <c r="L518" s="10">
        <v>10</v>
      </c>
      <c r="M518" s="10">
        <v>600000</v>
      </c>
      <c r="O518" s="67">
        <v>45565</v>
      </c>
      <c r="P518" s="10">
        <v>2024</v>
      </c>
      <c r="Q518" s="10">
        <v>9</v>
      </c>
      <c r="R518" s="10" t="s">
        <v>3043</v>
      </c>
      <c r="S518" s="10" t="s">
        <v>6697</v>
      </c>
      <c r="T518" s="10" t="s">
        <v>6698</v>
      </c>
      <c r="U518" s="10">
        <v>0</v>
      </c>
      <c r="V518" s="10">
        <v>131</v>
      </c>
      <c r="W518" s="67"/>
      <c r="X518" s="11" t="s">
        <v>3144</v>
      </c>
      <c r="Y518" s="11" t="s">
        <v>3241</v>
      </c>
      <c r="Z518" s="11" t="s">
        <v>3289</v>
      </c>
      <c r="AA518" s="67">
        <v>45535</v>
      </c>
      <c r="AB518" s="67">
        <v>45536</v>
      </c>
      <c r="AC518" s="67">
        <v>45565</v>
      </c>
      <c r="AD518" s="67">
        <v>45564</v>
      </c>
      <c r="AE518" s="67">
        <v>45565</v>
      </c>
    </row>
    <row r="519" spans="1:31" ht="12.5">
      <c r="A519" s="10">
        <v>610422100139</v>
      </c>
      <c r="B519" s="10" t="s">
        <v>266</v>
      </c>
      <c r="D519" s="10">
        <v>1</v>
      </c>
      <c r="E519" s="10" t="s">
        <v>2842</v>
      </c>
      <c r="F519" s="10" t="s">
        <v>25</v>
      </c>
      <c r="G519" s="10" t="s">
        <v>2841</v>
      </c>
      <c r="H519" s="10" t="s">
        <v>67</v>
      </c>
      <c r="I519" s="10" t="s">
        <v>267</v>
      </c>
      <c r="J519" s="10" t="s">
        <v>164</v>
      </c>
      <c r="K519" s="66">
        <v>60000</v>
      </c>
      <c r="L519" s="10">
        <v>10</v>
      </c>
      <c r="M519" s="10">
        <v>600000</v>
      </c>
      <c r="O519" s="67">
        <v>45565</v>
      </c>
      <c r="P519" s="10">
        <v>2024</v>
      </c>
      <c r="Q519" s="10">
        <v>9</v>
      </c>
      <c r="R519" s="10" t="s">
        <v>3043</v>
      </c>
      <c r="S519" s="10" t="s">
        <v>6757</v>
      </c>
      <c r="T519" s="10" t="s">
        <v>6758</v>
      </c>
      <c r="U519" s="10">
        <v>0</v>
      </c>
      <c r="V519" s="10">
        <v>131</v>
      </c>
      <c r="W519" s="67"/>
      <c r="X519" s="11" t="s">
        <v>3144</v>
      </c>
      <c r="Y519" s="11" t="s">
        <v>4572</v>
      </c>
      <c r="Z519" s="11" t="s">
        <v>4814</v>
      </c>
      <c r="AA519" s="67">
        <v>45535</v>
      </c>
      <c r="AB519" s="67">
        <v>45536</v>
      </c>
      <c r="AC519" s="67">
        <v>45565</v>
      </c>
      <c r="AD519" s="67">
        <v>45564</v>
      </c>
      <c r="AE519" s="67">
        <v>45565</v>
      </c>
    </row>
    <row r="520" spans="1:31" ht="12.5">
      <c r="A520" s="10">
        <v>610422040052</v>
      </c>
      <c r="B520" s="10" t="s">
        <v>266</v>
      </c>
      <c r="D520" s="10">
        <v>1</v>
      </c>
      <c r="E520" s="10" t="s">
        <v>2952</v>
      </c>
      <c r="F520" s="10" t="s">
        <v>25</v>
      </c>
      <c r="G520" s="10" t="s">
        <v>2951</v>
      </c>
      <c r="H520" s="10" t="s">
        <v>67</v>
      </c>
      <c r="I520" s="10" t="s">
        <v>267</v>
      </c>
      <c r="J520" s="10" t="s">
        <v>164</v>
      </c>
      <c r="K520" s="66">
        <v>60000</v>
      </c>
      <c r="L520" s="10">
        <v>10</v>
      </c>
      <c r="M520" s="10">
        <v>600000</v>
      </c>
      <c r="O520" s="67">
        <v>45565</v>
      </c>
      <c r="P520" s="10">
        <v>2024</v>
      </c>
      <c r="Q520" s="10">
        <v>9</v>
      </c>
      <c r="R520" s="10" t="s">
        <v>3043</v>
      </c>
      <c r="S520" s="10" t="s">
        <v>6699</v>
      </c>
      <c r="T520" s="10" t="s">
        <v>6700</v>
      </c>
      <c r="U520" s="10">
        <v>0</v>
      </c>
      <c r="V520" s="10">
        <v>131</v>
      </c>
      <c r="W520" s="67"/>
      <c r="X520" s="11" t="s">
        <v>3144</v>
      </c>
      <c r="Y520" s="11" t="s">
        <v>4408</v>
      </c>
      <c r="Z520" s="11" t="s">
        <v>4487</v>
      </c>
      <c r="AA520" s="67">
        <v>45535</v>
      </c>
      <c r="AB520" s="67">
        <v>45536</v>
      </c>
      <c r="AC520" s="67">
        <v>45565</v>
      </c>
      <c r="AD520" s="67">
        <v>45564</v>
      </c>
      <c r="AE520" s="67">
        <v>45565</v>
      </c>
    </row>
    <row r="521" spans="1:31" ht="12.5">
      <c r="A521" s="10">
        <v>610422020006</v>
      </c>
      <c r="B521" s="10" t="s">
        <v>273</v>
      </c>
      <c r="D521" s="10">
        <v>1</v>
      </c>
      <c r="E521" s="10" t="s">
        <v>2098</v>
      </c>
      <c r="F521" s="10" t="s">
        <v>90</v>
      </c>
      <c r="G521" s="10" t="s">
        <v>2097</v>
      </c>
      <c r="H521" s="10" t="s">
        <v>108</v>
      </c>
      <c r="I521" s="10" t="s">
        <v>274</v>
      </c>
      <c r="J521" s="10" t="s">
        <v>164</v>
      </c>
      <c r="K521" s="66">
        <v>12000</v>
      </c>
      <c r="L521" s="10">
        <v>13</v>
      </c>
      <c r="M521" s="10">
        <v>156000</v>
      </c>
      <c r="O521" s="67">
        <v>45574</v>
      </c>
      <c r="P521" s="10">
        <v>2024</v>
      </c>
      <c r="Q521" s="10">
        <v>10</v>
      </c>
      <c r="R521" s="10" t="s">
        <v>6237</v>
      </c>
      <c r="S521" s="10" t="s">
        <v>6990</v>
      </c>
      <c r="T521" s="10" t="s">
        <v>6991</v>
      </c>
      <c r="U521" s="10">
        <v>0</v>
      </c>
      <c r="V521" s="10">
        <v>140</v>
      </c>
      <c r="W521" s="67"/>
      <c r="X521" s="11" t="s">
        <v>3148</v>
      </c>
      <c r="Y521" s="11" t="s">
        <v>4572</v>
      </c>
      <c r="Z521" s="11" t="s">
        <v>4874</v>
      </c>
      <c r="AA521" s="67">
        <v>45565</v>
      </c>
      <c r="AB521" s="67">
        <v>45566</v>
      </c>
      <c r="AC521" s="67">
        <v>45596</v>
      </c>
      <c r="AD521" s="67">
        <v>45595</v>
      </c>
      <c r="AE521" s="67">
        <v>45596</v>
      </c>
    </row>
    <row r="522" spans="1:31" ht="12.5">
      <c r="A522" s="10">
        <v>617122110049</v>
      </c>
      <c r="B522" s="10" t="s">
        <v>273</v>
      </c>
      <c r="D522" s="10">
        <v>1</v>
      </c>
      <c r="E522" s="10" t="s">
        <v>1874</v>
      </c>
      <c r="F522" s="10" t="s">
        <v>90</v>
      </c>
      <c r="G522" s="10" t="s">
        <v>1873</v>
      </c>
      <c r="H522" s="10" t="s">
        <v>108</v>
      </c>
      <c r="I522" s="10" t="s">
        <v>274</v>
      </c>
      <c r="J522" s="10" t="s">
        <v>164</v>
      </c>
      <c r="K522" s="66">
        <v>12000</v>
      </c>
      <c r="L522" s="10">
        <v>13</v>
      </c>
      <c r="M522" s="10">
        <v>156000</v>
      </c>
      <c r="O522" s="67">
        <v>45574</v>
      </c>
      <c r="P522" s="10">
        <v>2024</v>
      </c>
      <c r="Q522" s="10">
        <v>10</v>
      </c>
      <c r="R522" s="10" t="s">
        <v>6237</v>
      </c>
      <c r="S522" s="10" t="s">
        <v>6992</v>
      </c>
      <c r="T522" s="10" t="s">
        <v>6993</v>
      </c>
      <c r="U522" s="10">
        <v>0</v>
      </c>
      <c r="V522" s="10">
        <v>140</v>
      </c>
      <c r="W522" s="67"/>
      <c r="X522" s="11" t="s">
        <v>3148</v>
      </c>
      <c r="Y522" s="11" t="s">
        <v>4931</v>
      </c>
      <c r="Z522" s="11" t="s">
        <v>4960</v>
      </c>
      <c r="AA522" s="67">
        <v>45565</v>
      </c>
      <c r="AB522" s="67">
        <v>45566</v>
      </c>
      <c r="AC522" s="67">
        <v>45596</v>
      </c>
      <c r="AD522" s="67">
        <v>45595</v>
      </c>
      <c r="AE522" s="67">
        <v>45596</v>
      </c>
    </row>
    <row r="523" spans="1:31" ht="12.5">
      <c r="A523" s="10">
        <v>610422100010</v>
      </c>
      <c r="B523" s="10" t="s">
        <v>273</v>
      </c>
      <c r="D523" s="10">
        <v>1</v>
      </c>
      <c r="E523" s="10" t="s">
        <v>1936</v>
      </c>
      <c r="F523" s="10" t="s">
        <v>90</v>
      </c>
      <c r="G523" s="10" t="s">
        <v>1935</v>
      </c>
      <c r="H523" s="10" t="s">
        <v>108</v>
      </c>
      <c r="I523" s="10" t="s">
        <v>274</v>
      </c>
      <c r="J523" s="10" t="s">
        <v>164</v>
      </c>
      <c r="K523" s="66">
        <v>12000</v>
      </c>
      <c r="L523" s="10">
        <v>13</v>
      </c>
      <c r="M523" s="10">
        <v>156000</v>
      </c>
      <c r="O523" s="67">
        <v>45574</v>
      </c>
      <c r="P523" s="10">
        <v>2024</v>
      </c>
      <c r="Q523" s="10">
        <v>10</v>
      </c>
      <c r="R523" s="10" t="s">
        <v>6237</v>
      </c>
      <c r="S523" s="10" t="s">
        <v>6994</v>
      </c>
      <c r="T523" s="10" t="s">
        <v>6995</v>
      </c>
      <c r="U523" s="10">
        <v>0</v>
      </c>
      <c r="V523" s="10">
        <v>140</v>
      </c>
      <c r="W523" s="67"/>
      <c r="X523" s="11" t="s">
        <v>3148</v>
      </c>
      <c r="Y523" s="11" t="s">
        <v>4572</v>
      </c>
      <c r="Z523" s="11" t="s">
        <v>4619</v>
      </c>
      <c r="AA523" s="67">
        <v>45565</v>
      </c>
      <c r="AB523" s="67">
        <v>45566</v>
      </c>
      <c r="AC523" s="67">
        <v>45596</v>
      </c>
      <c r="AD523" s="67">
        <v>45595</v>
      </c>
      <c r="AE523" s="67">
        <v>45596</v>
      </c>
    </row>
    <row r="524" spans="1:31" ht="12.5">
      <c r="A524" s="10">
        <v>610422100177</v>
      </c>
      <c r="B524" s="10" t="s">
        <v>273</v>
      </c>
      <c r="D524" s="10">
        <v>1</v>
      </c>
      <c r="E524" s="10" t="s">
        <v>571</v>
      </c>
      <c r="F524" s="10" t="s">
        <v>90</v>
      </c>
      <c r="G524" s="10" t="s">
        <v>570</v>
      </c>
      <c r="H524" s="10" t="s">
        <v>108</v>
      </c>
      <c r="I524" s="10" t="s">
        <v>274</v>
      </c>
      <c r="J524" s="10" t="s">
        <v>164</v>
      </c>
      <c r="K524" s="66">
        <v>12000</v>
      </c>
      <c r="L524" s="10">
        <v>13</v>
      </c>
      <c r="M524" s="10">
        <v>156000</v>
      </c>
      <c r="O524" s="67">
        <v>45574</v>
      </c>
      <c r="P524" s="10">
        <v>2024</v>
      </c>
      <c r="Q524" s="10">
        <v>10</v>
      </c>
      <c r="R524" s="10" t="s">
        <v>6237</v>
      </c>
      <c r="S524" s="10" t="s">
        <v>6996</v>
      </c>
      <c r="T524" s="10" t="s">
        <v>6997</v>
      </c>
      <c r="U524" s="10">
        <v>0</v>
      </c>
      <c r="V524" s="10">
        <v>140</v>
      </c>
      <c r="W524" s="67"/>
      <c r="X524" s="11" t="s">
        <v>3148</v>
      </c>
      <c r="Y524" s="11" t="s">
        <v>4572</v>
      </c>
      <c r="Z524" s="11" t="s">
        <v>4656</v>
      </c>
      <c r="AA524" s="67">
        <v>45565</v>
      </c>
      <c r="AB524" s="67">
        <v>45566</v>
      </c>
      <c r="AC524" s="67">
        <v>45596</v>
      </c>
      <c r="AD524" s="67">
        <v>45595</v>
      </c>
      <c r="AE524" s="67">
        <v>45596</v>
      </c>
    </row>
    <row r="525" spans="1:31" ht="12.5">
      <c r="A525" s="10">
        <v>610422100083</v>
      </c>
      <c r="B525" s="10" t="s">
        <v>273</v>
      </c>
      <c r="D525" s="10">
        <v>1</v>
      </c>
      <c r="E525" s="10" t="s">
        <v>5962</v>
      </c>
      <c r="F525" s="10" t="s">
        <v>90</v>
      </c>
      <c r="G525" s="10" t="s">
        <v>1429</v>
      </c>
      <c r="H525" s="10" t="s">
        <v>108</v>
      </c>
      <c r="I525" s="10" t="s">
        <v>274</v>
      </c>
      <c r="J525" s="10" t="s">
        <v>164</v>
      </c>
      <c r="K525" s="66">
        <v>12000</v>
      </c>
      <c r="L525" s="10">
        <v>13</v>
      </c>
      <c r="M525" s="10">
        <v>156000</v>
      </c>
      <c r="O525" s="67">
        <v>45574</v>
      </c>
      <c r="P525" s="10">
        <v>2024</v>
      </c>
      <c r="Q525" s="10">
        <v>10</v>
      </c>
      <c r="R525" s="10" t="s">
        <v>6237</v>
      </c>
      <c r="S525" s="10" t="s">
        <v>6998</v>
      </c>
      <c r="T525" s="10" t="s">
        <v>6999</v>
      </c>
      <c r="U525" s="10">
        <v>0</v>
      </c>
      <c r="V525" s="10">
        <v>140</v>
      </c>
      <c r="W525" s="67"/>
      <c r="X525" s="11" t="s">
        <v>3148</v>
      </c>
      <c r="Y525" s="11" t="s">
        <v>4572</v>
      </c>
      <c r="Z525" s="11" t="s">
        <v>4619</v>
      </c>
      <c r="AA525" s="67">
        <v>45565</v>
      </c>
      <c r="AB525" s="67">
        <v>45566</v>
      </c>
      <c r="AC525" s="67">
        <v>45596</v>
      </c>
      <c r="AD525" s="67">
        <v>45595</v>
      </c>
      <c r="AE525" s="67">
        <v>45596</v>
      </c>
    </row>
    <row r="526" spans="1:31" ht="12.5">
      <c r="A526" s="10">
        <v>610422110006</v>
      </c>
      <c r="B526" s="10" t="s">
        <v>273</v>
      </c>
      <c r="D526" s="10">
        <v>1</v>
      </c>
      <c r="E526" s="10" t="s">
        <v>1898</v>
      </c>
      <c r="F526" s="10" t="s">
        <v>90</v>
      </c>
      <c r="G526" s="10" t="s">
        <v>1897</v>
      </c>
      <c r="H526" s="10" t="s">
        <v>108</v>
      </c>
      <c r="I526" s="10" t="s">
        <v>274</v>
      </c>
      <c r="J526" s="10" t="s">
        <v>164</v>
      </c>
      <c r="K526" s="66">
        <v>12000</v>
      </c>
      <c r="L526" s="10">
        <v>13</v>
      </c>
      <c r="M526" s="10">
        <v>156000</v>
      </c>
      <c r="O526" s="67">
        <v>45574</v>
      </c>
      <c r="P526" s="10">
        <v>2024</v>
      </c>
      <c r="Q526" s="10">
        <v>10</v>
      </c>
      <c r="R526" s="10" t="s">
        <v>6237</v>
      </c>
      <c r="S526" s="10" t="s">
        <v>7000</v>
      </c>
      <c r="T526" s="10" t="s">
        <v>7001</v>
      </c>
      <c r="U526" s="10">
        <v>0</v>
      </c>
      <c r="V526" s="10">
        <v>140</v>
      </c>
      <c r="W526" s="67"/>
      <c r="X526" s="11" t="s">
        <v>3148</v>
      </c>
      <c r="Y526" s="11" t="s">
        <v>4572</v>
      </c>
      <c r="Z526" s="11" t="s">
        <v>4656</v>
      </c>
      <c r="AA526" s="67">
        <v>45565</v>
      </c>
      <c r="AB526" s="67">
        <v>45566</v>
      </c>
      <c r="AC526" s="67">
        <v>45596</v>
      </c>
      <c r="AD526" s="67">
        <v>45595</v>
      </c>
      <c r="AE526" s="67">
        <v>45596</v>
      </c>
    </row>
    <row r="527" spans="1:31" ht="12.5">
      <c r="A527" s="10">
        <v>610422110005</v>
      </c>
      <c r="B527" s="10" t="s">
        <v>273</v>
      </c>
      <c r="D527" s="10">
        <v>1</v>
      </c>
      <c r="E527" s="10" t="s">
        <v>5967</v>
      </c>
      <c r="F527" s="10" t="s">
        <v>90</v>
      </c>
      <c r="G527" s="10" t="s">
        <v>1481</v>
      </c>
      <c r="H527" s="10" t="s">
        <v>108</v>
      </c>
      <c r="I527" s="10" t="s">
        <v>274</v>
      </c>
      <c r="J527" s="10" t="s">
        <v>164</v>
      </c>
      <c r="K527" s="66">
        <v>12000</v>
      </c>
      <c r="L527" s="10">
        <v>13</v>
      </c>
      <c r="M527" s="10">
        <v>156000</v>
      </c>
      <c r="O527" s="67">
        <v>45574</v>
      </c>
      <c r="P527" s="10">
        <v>2024</v>
      </c>
      <c r="Q527" s="10">
        <v>10</v>
      </c>
      <c r="R527" s="10" t="s">
        <v>6237</v>
      </c>
      <c r="S527" s="10" t="s">
        <v>7002</v>
      </c>
      <c r="T527" s="10" t="s">
        <v>7003</v>
      </c>
      <c r="U527" s="10">
        <v>0</v>
      </c>
      <c r="V527" s="10">
        <v>140</v>
      </c>
      <c r="W527" s="67"/>
      <c r="X527" s="11" t="s">
        <v>3148</v>
      </c>
      <c r="Y527" s="11" t="s">
        <v>4572</v>
      </c>
      <c r="Z527" s="11" t="s">
        <v>4874</v>
      </c>
      <c r="AA527" s="67">
        <v>45565</v>
      </c>
      <c r="AB527" s="67">
        <v>45566</v>
      </c>
      <c r="AC527" s="67">
        <v>45596</v>
      </c>
      <c r="AD527" s="67">
        <v>45595</v>
      </c>
      <c r="AE527" s="67">
        <v>45596</v>
      </c>
    </row>
    <row r="528" spans="1:31" ht="12.5">
      <c r="A528" s="10">
        <v>610423090021</v>
      </c>
      <c r="B528" s="10" t="s">
        <v>273</v>
      </c>
      <c r="D528" s="10">
        <v>1</v>
      </c>
      <c r="E528" s="10" t="s">
        <v>2731</v>
      </c>
      <c r="F528" s="10" t="s">
        <v>90</v>
      </c>
      <c r="G528" s="10" t="s">
        <v>2730</v>
      </c>
      <c r="H528" s="10" t="s">
        <v>108</v>
      </c>
      <c r="I528" s="10" t="s">
        <v>274</v>
      </c>
      <c r="J528" s="10" t="s">
        <v>164</v>
      </c>
      <c r="K528" s="66">
        <v>12000</v>
      </c>
      <c r="L528" s="10">
        <v>13</v>
      </c>
      <c r="M528" s="10">
        <v>156000</v>
      </c>
      <c r="O528" s="67">
        <v>45574</v>
      </c>
      <c r="P528" s="10">
        <v>2024</v>
      </c>
      <c r="Q528" s="10">
        <v>10</v>
      </c>
      <c r="R528" s="10" t="s">
        <v>6237</v>
      </c>
      <c r="S528" s="10" t="s">
        <v>7004</v>
      </c>
      <c r="T528" s="10" t="s">
        <v>7005</v>
      </c>
      <c r="U528" s="10">
        <v>0</v>
      </c>
      <c r="V528" s="10">
        <v>140</v>
      </c>
      <c r="W528" s="67"/>
      <c r="X528" s="11" t="s">
        <v>3148</v>
      </c>
      <c r="Y528" s="11" t="s">
        <v>4572</v>
      </c>
      <c r="Z528" s="11" t="s">
        <v>4656</v>
      </c>
      <c r="AA528" s="67">
        <v>45565</v>
      </c>
      <c r="AB528" s="67">
        <v>45566</v>
      </c>
      <c r="AC528" s="67">
        <v>45596</v>
      </c>
      <c r="AD528" s="67">
        <v>45595</v>
      </c>
      <c r="AE528" s="67">
        <v>45596</v>
      </c>
    </row>
    <row r="529" spans="1:31" ht="12.5">
      <c r="A529" s="10">
        <v>610423110150</v>
      </c>
      <c r="B529" s="10" t="s">
        <v>273</v>
      </c>
      <c r="D529" s="10">
        <v>1</v>
      </c>
      <c r="E529" s="10" t="s">
        <v>2364</v>
      </c>
      <c r="F529" s="10" t="s">
        <v>90</v>
      </c>
      <c r="G529" s="10" t="s">
        <v>2363</v>
      </c>
      <c r="H529" s="10" t="s">
        <v>108</v>
      </c>
      <c r="I529" s="10" t="s">
        <v>274</v>
      </c>
      <c r="J529" s="10" t="s">
        <v>164</v>
      </c>
      <c r="K529" s="66">
        <v>12000</v>
      </c>
      <c r="L529" s="10">
        <v>13</v>
      </c>
      <c r="M529" s="10">
        <v>156000</v>
      </c>
      <c r="O529" s="67">
        <v>45574</v>
      </c>
      <c r="P529" s="10">
        <v>2024</v>
      </c>
      <c r="Q529" s="10">
        <v>10</v>
      </c>
      <c r="R529" s="10" t="s">
        <v>6237</v>
      </c>
      <c r="S529" s="10" t="s">
        <v>7006</v>
      </c>
      <c r="T529" s="10" t="s">
        <v>7007</v>
      </c>
      <c r="U529" s="10">
        <v>0</v>
      </c>
      <c r="V529" s="10">
        <v>140</v>
      </c>
      <c r="W529" s="67"/>
      <c r="X529" s="11" t="s">
        <v>3148</v>
      </c>
      <c r="Y529" s="11" t="s">
        <v>4572</v>
      </c>
      <c r="Z529" s="11" t="s">
        <v>4619</v>
      </c>
      <c r="AA529" s="67">
        <v>45565</v>
      </c>
      <c r="AB529" s="67">
        <v>45566</v>
      </c>
      <c r="AC529" s="67">
        <v>45596</v>
      </c>
      <c r="AD529" s="67">
        <v>45595</v>
      </c>
      <c r="AE529" s="67">
        <v>45596</v>
      </c>
    </row>
    <row r="530" spans="1:31" ht="12.5">
      <c r="A530" s="10">
        <v>610423110129</v>
      </c>
      <c r="B530" s="10" t="s">
        <v>273</v>
      </c>
      <c r="D530" s="10">
        <v>1</v>
      </c>
      <c r="E530" s="10" t="s">
        <v>721</v>
      </c>
      <c r="F530" s="10" t="s">
        <v>90</v>
      </c>
      <c r="G530" s="10" t="s">
        <v>720</v>
      </c>
      <c r="H530" s="10" t="s">
        <v>108</v>
      </c>
      <c r="I530" s="10" t="s">
        <v>274</v>
      </c>
      <c r="J530" s="10" t="s">
        <v>164</v>
      </c>
      <c r="K530" s="66">
        <v>12000</v>
      </c>
      <c r="L530" s="10">
        <v>12</v>
      </c>
      <c r="M530" s="10">
        <v>144000</v>
      </c>
      <c r="O530" s="67">
        <v>45574</v>
      </c>
      <c r="P530" s="10">
        <v>2024</v>
      </c>
      <c r="Q530" s="10">
        <v>10</v>
      </c>
      <c r="R530" s="10" t="s">
        <v>6237</v>
      </c>
      <c r="S530" s="10" t="s">
        <v>7008</v>
      </c>
      <c r="T530" s="10" t="s">
        <v>7009</v>
      </c>
      <c r="U530" s="10">
        <v>0</v>
      </c>
      <c r="V530" s="10">
        <v>140</v>
      </c>
      <c r="W530" s="67"/>
      <c r="X530" s="11" t="s">
        <v>3148</v>
      </c>
      <c r="Y530" s="11" t="s">
        <v>4572</v>
      </c>
      <c r="Z530" s="11" t="s">
        <v>4656</v>
      </c>
      <c r="AA530" s="67">
        <v>45565</v>
      </c>
      <c r="AB530" s="67">
        <v>45566</v>
      </c>
      <c r="AC530" s="67">
        <v>45596</v>
      </c>
      <c r="AD530" s="67">
        <v>45595</v>
      </c>
      <c r="AE530" s="67">
        <v>45596</v>
      </c>
    </row>
    <row r="531" spans="1:31" ht="12.5">
      <c r="A531" s="10">
        <v>610422030002</v>
      </c>
      <c r="B531" s="10" t="s">
        <v>275</v>
      </c>
      <c r="D531" s="10">
        <v>1</v>
      </c>
      <c r="E531" s="10" t="s">
        <v>5934</v>
      </c>
      <c r="F531" s="10" t="s">
        <v>25</v>
      </c>
      <c r="G531" s="10" t="s">
        <v>929</v>
      </c>
      <c r="H531" s="10" t="s">
        <v>67</v>
      </c>
      <c r="I531" s="10" t="s">
        <v>276</v>
      </c>
      <c r="J531" s="10" t="s">
        <v>164</v>
      </c>
      <c r="K531" s="66">
        <v>50000</v>
      </c>
      <c r="L531" s="10">
        <v>15</v>
      </c>
      <c r="M531" s="10">
        <v>750000</v>
      </c>
      <c r="O531" s="67">
        <v>45585</v>
      </c>
      <c r="P531" s="10">
        <v>2024</v>
      </c>
      <c r="Q531" s="10">
        <v>10</v>
      </c>
      <c r="R531" s="10" t="s">
        <v>3043</v>
      </c>
      <c r="S531" s="10" t="s">
        <v>6761</v>
      </c>
      <c r="T531" s="10" t="s">
        <v>6762</v>
      </c>
      <c r="U531" s="10">
        <v>0</v>
      </c>
      <c r="V531" s="10">
        <v>151</v>
      </c>
      <c r="W531" s="67"/>
      <c r="X531" s="11" t="s">
        <v>3096</v>
      </c>
      <c r="Y531" s="11" t="s">
        <v>3715</v>
      </c>
      <c r="Z531" s="11" t="s">
        <v>3716</v>
      </c>
      <c r="AA531" s="67">
        <v>45565</v>
      </c>
      <c r="AB531" s="67">
        <v>45566</v>
      </c>
      <c r="AC531" s="67">
        <v>45596</v>
      </c>
      <c r="AD531" s="67">
        <v>45595</v>
      </c>
      <c r="AE531" s="67">
        <v>45596</v>
      </c>
    </row>
    <row r="532" spans="1:31" ht="12.5">
      <c r="A532" s="10">
        <v>610422100244</v>
      </c>
      <c r="B532" s="10" t="s">
        <v>277</v>
      </c>
      <c r="D532" s="10">
        <v>1</v>
      </c>
      <c r="E532" s="10" t="s">
        <v>2633</v>
      </c>
      <c r="F532" s="10" t="s">
        <v>25</v>
      </c>
      <c r="G532" s="10" t="s">
        <v>2632</v>
      </c>
      <c r="H532" s="10" t="s">
        <v>67</v>
      </c>
      <c r="I532" s="10" t="s">
        <v>278</v>
      </c>
      <c r="J532" s="10" t="s">
        <v>164</v>
      </c>
      <c r="K532" s="66">
        <v>50000</v>
      </c>
      <c r="L532" s="10">
        <v>1</v>
      </c>
      <c r="M532" s="10">
        <v>50000</v>
      </c>
      <c r="O532" s="67">
        <v>45585</v>
      </c>
      <c r="P532" s="10">
        <v>2024</v>
      </c>
      <c r="Q532" s="10">
        <v>10</v>
      </c>
      <c r="R532" s="10" t="s">
        <v>3043</v>
      </c>
      <c r="S532" s="10" t="s">
        <v>6763</v>
      </c>
      <c r="T532" s="10" t="s">
        <v>6764</v>
      </c>
      <c r="U532" s="10">
        <v>0</v>
      </c>
      <c r="V532" s="10">
        <v>151</v>
      </c>
      <c r="W532" s="67"/>
      <c r="X532" s="11" t="s">
        <v>3084</v>
      </c>
      <c r="Y532" s="11" t="s">
        <v>5741</v>
      </c>
      <c r="Z532" s="11" t="s">
        <v>5796</v>
      </c>
      <c r="AA532" s="67">
        <v>45565</v>
      </c>
      <c r="AB532" s="67">
        <v>45566</v>
      </c>
      <c r="AC532" s="67">
        <v>45596</v>
      </c>
      <c r="AD532" s="67">
        <v>45595</v>
      </c>
      <c r="AE532" s="67">
        <v>45596</v>
      </c>
    </row>
    <row r="533" spans="1:31" ht="12.5">
      <c r="A533" s="10">
        <v>610422100124</v>
      </c>
      <c r="B533" s="10" t="s">
        <v>277</v>
      </c>
      <c r="D533" s="10">
        <v>1</v>
      </c>
      <c r="E533" s="10" t="s">
        <v>2237</v>
      </c>
      <c r="F533" s="10" t="s">
        <v>25</v>
      </c>
      <c r="G533" s="10" t="s">
        <v>2236</v>
      </c>
      <c r="H533" s="10" t="s">
        <v>67</v>
      </c>
      <c r="I533" s="10" t="s">
        <v>278</v>
      </c>
      <c r="J533" s="10" t="s">
        <v>164</v>
      </c>
      <c r="K533" s="66">
        <v>50000</v>
      </c>
      <c r="L533" s="10">
        <v>1</v>
      </c>
      <c r="M533" s="10">
        <v>50000</v>
      </c>
      <c r="O533" s="67">
        <v>45585</v>
      </c>
      <c r="P533" s="10">
        <v>2024</v>
      </c>
      <c r="Q533" s="10">
        <v>10</v>
      </c>
      <c r="R533" s="10" t="s">
        <v>3043</v>
      </c>
      <c r="S533" s="10" t="s">
        <v>6765</v>
      </c>
      <c r="T533" s="10" t="s">
        <v>6766</v>
      </c>
      <c r="U533" s="10">
        <v>0</v>
      </c>
      <c r="V533" s="10">
        <v>151</v>
      </c>
      <c r="W533" s="67"/>
      <c r="X533" s="11" t="s">
        <v>3084</v>
      </c>
      <c r="Y533" s="11" t="s">
        <v>1921</v>
      </c>
      <c r="Z533" s="11" t="s">
        <v>2140</v>
      </c>
      <c r="AA533" s="67">
        <v>45565</v>
      </c>
      <c r="AB533" s="67">
        <v>45566</v>
      </c>
      <c r="AC533" s="67">
        <v>45596</v>
      </c>
      <c r="AD533" s="67">
        <v>45595</v>
      </c>
      <c r="AE533" s="67">
        <v>45596</v>
      </c>
    </row>
    <row r="534" spans="1:31" ht="12.5">
      <c r="A534" s="10">
        <v>610422040029</v>
      </c>
      <c r="B534" s="10" t="s">
        <v>279</v>
      </c>
      <c r="D534" s="10">
        <v>1</v>
      </c>
      <c r="E534" s="10" t="s">
        <v>3000</v>
      </c>
      <c r="F534" s="10" t="s">
        <v>25</v>
      </c>
      <c r="G534" s="10" t="s">
        <v>2999</v>
      </c>
      <c r="H534" s="10" t="s">
        <v>67</v>
      </c>
      <c r="I534" s="10" t="s">
        <v>280</v>
      </c>
      <c r="J534" s="10" t="s">
        <v>164</v>
      </c>
      <c r="K534" s="66">
        <v>60000</v>
      </c>
      <c r="L534" s="10">
        <v>16</v>
      </c>
      <c r="M534" s="10">
        <v>960000</v>
      </c>
      <c r="O534" s="67">
        <v>45585</v>
      </c>
      <c r="P534" s="10">
        <v>2024</v>
      </c>
      <c r="Q534" s="10">
        <v>10</v>
      </c>
      <c r="R534" s="10" t="s">
        <v>3043</v>
      </c>
      <c r="S534" s="10" t="s">
        <v>6767</v>
      </c>
      <c r="T534" s="10" t="s">
        <v>6768</v>
      </c>
      <c r="U534" s="10">
        <v>0</v>
      </c>
      <c r="V534" s="10">
        <v>151</v>
      </c>
      <c r="W534" s="67"/>
      <c r="X534" s="11" t="s">
        <v>3103</v>
      </c>
      <c r="Y534" s="11" t="s">
        <v>4572</v>
      </c>
      <c r="Z534" s="11" t="s">
        <v>4619</v>
      </c>
      <c r="AA534" s="67">
        <v>45565</v>
      </c>
      <c r="AB534" s="67">
        <v>45566</v>
      </c>
      <c r="AC534" s="67">
        <v>45596</v>
      </c>
      <c r="AD534" s="67">
        <v>45595</v>
      </c>
      <c r="AE534" s="67">
        <v>45596</v>
      </c>
    </row>
    <row r="535" spans="1:31" ht="12.5">
      <c r="A535" s="10">
        <v>610422020048</v>
      </c>
      <c r="B535" s="10" t="s">
        <v>279</v>
      </c>
      <c r="D535" s="10">
        <v>1</v>
      </c>
      <c r="E535" s="10" t="s">
        <v>1359</v>
      </c>
      <c r="F535" s="10" t="s">
        <v>25</v>
      </c>
      <c r="G535" s="10" t="s">
        <v>1358</v>
      </c>
      <c r="H535" s="10" t="s">
        <v>67</v>
      </c>
      <c r="I535" s="10" t="s">
        <v>280</v>
      </c>
      <c r="J535" s="10" t="s">
        <v>164</v>
      </c>
      <c r="K535" s="66">
        <v>60000</v>
      </c>
      <c r="L535" s="10">
        <v>10</v>
      </c>
      <c r="M535" s="10">
        <v>600000</v>
      </c>
      <c r="O535" s="67">
        <v>45585</v>
      </c>
      <c r="P535" s="10">
        <v>2024</v>
      </c>
      <c r="Q535" s="10">
        <v>10</v>
      </c>
      <c r="R535" s="10" t="s">
        <v>3043</v>
      </c>
      <c r="S535" s="10" t="s">
        <v>6769</v>
      </c>
      <c r="T535" s="10" t="s">
        <v>6770</v>
      </c>
      <c r="U535" s="10">
        <v>0</v>
      </c>
      <c r="V535" s="10">
        <v>151</v>
      </c>
      <c r="W535" s="67"/>
      <c r="X535" s="11" t="s">
        <v>3103</v>
      </c>
      <c r="Y535" s="11" t="s">
        <v>4931</v>
      </c>
      <c r="Z535" s="11" t="s">
        <v>5171</v>
      </c>
      <c r="AA535" s="67">
        <v>45565</v>
      </c>
      <c r="AB535" s="67">
        <v>45566</v>
      </c>
      <c r="AC535" s="67">
        <v>45596</v>
      </c>
      <c r="AD535" s="67">
        <v>45595</v>
      </c>
      <c r="AE535" s="67">
        <v>45596</v>
      </c>
    </row>
    <row r="536" spans="1:31" ht="12.5">
      <c r="A536" s="10">
        <v>610422100165</v>
      </c>
      <c r="B536" s="10" t="s">
        <v>279</v>
      </c>
      <c r="D536" s="10">
        <v>1</v>
      </c>
      <c r="E536" s="10" t="s">
        <v>2855</v>
      </c>
      <c r="F536" s="10" t="s">
        <v>25</v>
      </c>
      <c r="G536" s="10" t="s">
        <v>2854</v>
      </c>
      <c r="H536" s="10" t="s">
        <v>67</v>
      </c>
      <c r="I536" s="10" t="s">
        <v>280</v>
      </c>
      <c r="J536" s="10" t="s">
        <v>164</v>
      </c>
      <c r="K536" s="66">
        <v>60000</v>
      </c>
      <c r="L536" s="10">
        <v>6</v>
      </c>
      <c r="M536" s="10">
        <v>360000</v>
      </c>
      <c r="O536" s="67">
        <v>45585</v>
      </c>
      <c r="P536" s="10">
        <v>2024</v>
      </c>
      <c r="Q536" s="10">
        <v>10</v>
      </c>
      <c r="R536" s="10" t="s">
        <v>3043</v>
      </c>
      <c r="S536" s="10" t="s">
        <v>6771</v>
      </c>
      <c r="T536" s="10" t="s">
        <v>6772</v>
      </c>
      <c r="U536" s="10">
        <v>0</v>
      </c>
      <c r="V536" s="10">
        <v>151</v>
      </c>
      <c r="W536" s="67"/>
      <c r="X536" s="11" t="s">
        <v>3103</v>
      </c>
      <c r="Y536" s="11" t="s">
        <v>3990</v>
      </c>
      <c r="Z536" s="11" t="s">
        <v>4332</v>
      </c>
      <c r="AA536" s="67">
        <v>45565</v>
      </c>
      <c r="AB536" s="67">
        <v>45566</v>
      </c>
      <c r="AC536" s="67">
        <v>45596</v>
      </c>
      <c r="AD536" s="67">
        <v>45595</v>
      </c>
      <c r="AE536" s="67">
        <v>45596</v>
      </c>
    </row>
    <row r="537" spans="1:31" ht="12.5">
      <c r="A537" s="10">
        <v>610422020052</v>
      </c>
      <c r="B537" s="10" t="s">
        <v>279</v>
      </c>
      <c r="D537" s="10">
        <v>1</v>
      </c>
      <c r="E537" s="10" t="s">
        <v>498</v>
      </c>
      <c r="F537" s="10" t="s">
        <v>25</v>
      </c>
      <c r="G537" s="10" t="s">
        <v>497</v>
      </c>
      <c r="H537" s="10" t="s">
        <v>67</v>
      </c>
      <c r="I537" s="10" t="s">
        <v>280</v>
      </c>
      <c r="J537" s="10" t="s">
        <v>164</v>
      </c>
      <c r="K537" s="66">
        <v>60000</v>
      </c>
      <c r="L537" s="10">
        <v>7</v>
      </c>
      <c r="M537" s="10">
        <v>420000</v>
      </c>
      <c r="O537" s="67">
        <v>45585</v>
      </c>
      <c r="P537" s="10">
        <v>2024</v>
      </c>
      <c r="Q537" s="10">
        <v>10</v>
      </c>
      <c r="R537" s="10" t="s">
        <v>3043</v>
      </c>
      <c r="S537" s="10" t="s">
        <v>6773</v>
      </c>
      <c r="T537" s="10" t="s">
        <v>6774</v>
      </c>
      <c r="U537" s="10">
        <v>0</v>
      </c>
      <c r="V537" s="10">
        <v>151</v>
      </c>
      <c r="W537" s="67"/>
      <c r="X537" s="11" t="s">
        <v>3103</v>
      </c>
      <c r="Y537" s="11" t="s">
        <v>3990</v>
      </c>
      <c r="Z537" s="11" t="s">
        <v>4087</v>
      </c>
      <c r="AA537" s="67">
        <v>45565</v>
      </c>
      <c r="AB537" s="67">
        <v>45566</v>
      </c>
      <c r="AC537" s="67">
        <v>45596</v>
      </c>
      <c r="AD537" s="67">
        <v>45595</v>
      </c>
      <c r="AE537" s="67">
        <v>45596</v>
      </c>
    </row>
    <row r="538" spans="1:31" ht="12.5">
      <c r="A538" s="10">
        <v>610422100016</v>
      </c>
      <c r="B538" s="10" t="s">
        <v>281</v>
      </c>
      <c r="D538" s="10">
        <v>1</v>
      </c>
      <c r="E538" s="10" t="s">
        <v>550</v>
      </c>
      <c r="F538" s="10" t="s">
        <v>25</v>
      </c>
      <c r="G538" s="10" t="s">
        <v>549</v>
      </c>
      <c r="H538" s="10" t="s">
        <v>72</v>
      </c>
      <c r="I538" s="10" t="s">
        <v>282</v>
      </c>
      <c r="J538" s="10" t="s">
        <v>164</v>
      </c>
      <c r="K538" s="66">
        <v>65000</v>
      </c>
      <c r="L538" s="10">
        <v>3</v>
      </c>
      <c r="M538" s="10">
        <v>195000</v>
      </c>
      <c r="O538" s="67">
        <v>45585</v>
      </c>
      <c r="P538" s="10">
        <v>2024</v>
      </c>
      <c r="Q538" s="10">
        <v>10</v>
      </c>
      <c r="R538" s="10" t="s">
        <v>3043</v>
      </c>
      <c r="S538" s="10" t="s">
        <v>6759</v>
      </c>
      <c r="T538" s="10" t="s">
        <v>6760</v>
      </c>
      <c r="U538" s="10">
        <v>0</v>
      </c>
      <c r="V538" s="10">
        <v>151</v>
      </c>
      <c r="W538" s="67"/>
      <c r="X538" s="11" t="s">
        <v>3113</v>
      </c>
      <c r="Y538" s="11" t="s">
        <v>5250</v>
      </c>
      <c r="Z538" s="11" t="s">
        <v>5365</v>
      </c>
      <c r="AA538" s="67">
        <v>45565</v>
      </c>
      <c r="AB538" s="67">
        <v>45566</v>
      </c>
      <c r="AC538" s="67">
        <v>45596</v>
      </c>
      <c r="AD538" s="67">
        <v>45595</v>
      </c>
      <c r="AE538" s="67">
        <v>45596</v>
      </c>
    </row>
    <row r="539" spans="1:31" ht="12.5">
      <c r="A539" s="10">
        <v>610422050001</v>
      </c>
      <c r="B539" s="10" t="s">
        <v>281</v>
      </c>
      <c r="D539" s="10">
        <v>1</v>
      </c>
      <c r="E539" s="10" t="s">
        <v>5949</v>
      </c>
      <c r="F539" s="10" t="s">
        <v>25</v>
      </c>
      <c r="G539" s="10" t="s">
        <v>1127</v>
      </c>
      <c r="H539" s="10" t="s">
        <v>72</v>
      </c>
      <c r="I539" s="10" t="s">
        <v>282</v>
      </c>
      <c r="J539" s="10" t="s">
        <v>164</v>
      </c>
      <c r="K539" s="66">
        <v>65000</v>
      </c>
      <c r="L539" s="10">
        <v>3</v>
      </c>
      <c r="M539" s="10">
        <v>195000</v>
      </c>
      <c r="O539" s="67">
        <v>45585</v>
      </c>
      <c r="P539" s="10">
        <v>2024</v>
      </c>
      <c r="Q539" s="10">
        <v>10</v>
      </c>
      <c r="R539" s="10" t="s">
        <v>3043</v>
      </c>
      <c r="S539" s="10" t="s">
        <v>6775</v>
      </c>
      <c r="T539" s="10" t="s">
        <v>6776</v>
      </c>
      <c r="U539" s="10">
        <v>0</v>
      </c>
      <c r="V539" s="10">
        <v>151</v>
      </c>
      <c r="W539" s="67"/>
      <c r="X539" s="11" t="s">
        <v>3113</v>
      </c>
      <c r="Y539" s="11" t="s">
        <v>4408</v>
      </c>
      <c r="Z539" s="11" t="s">
        <v>4409</v>
      </c>
      <c r="AA539" s="67">
        <v>45565</v>
      </c>
      <c r="AB539" s="67">
        <v>45566</v>
      </c>
      <c r="AC539" s="67">
        <v>45596</v>
      </c>
      <c r="AD539" s="67">
        <v>45595</v>
      </c>
      <c r="AE539" s="67">
        <v>45596</v>
      </c>
    </row>
    <row r="540" spans="1:31" ht="12.5">
      <c r="A540" s="10">
        <v>610422040030</v>
      </c>
      <c r="B540" s="10" t="s">
        <v>281</v>
      </c>
      <c r="D540" s="10">
        <v>1</v>
      </c>
      <c r="E540" s="10" t="s">
        <v>2697</v>
      </c>
      <c r="F540" s="10" t="s">
        <v>25</v>
      </c>
      <c r="G540" s="10" t="s">
        <v>2696</v>
      </c>
      <c r="H540" s="10" t="s">
        <v>74</v>
      </c>
      <c r="I540" s="10" t="s">
        <v>283</v>
      </c>
      <c r="J540" s="10" t="s">
        <v>164</v>
      </c>
      <c r="K540" s="66">
        <v>55000</v>
      </c>
      <c r="L540" s="10">
        <v>1</v>
      </c>
      <c r="M540" s="10">
        <v>55000</v>
      </c>
      <c r="O540" s="67">
        <v>45585</v>
      </c>
      <c r="P540" s="10">
        <v>2024</v>
      </c>
      <c r="Q540" s="10">
        <v>10</v>
      </c>
      <c r="R540" s="10" t="s">
        <v>3043</v>
      </c>
      <c r="S540" s="10" t="s">
        <v>6777</v>
      </c>
      <c r="T540" s="10" t="s">
        <v>6778</v>
      </c>
      <c r="U540" s="10">
        <v>0</v>
      </c>
      <c r="V540" s="10">
        <v>151</v>
      </c>
      <c r="W540" s="67"/>
      <c r="X540" s="11" t="s">
        <v>3113</v>
      </c>
      <c r="Y540" s="11" t="s">
        <v>3241</v>
      </c>
      <c r="Z540" s="11" t="s">
        <v>3289</v>
      </c>
      <c r="AA540" s="67">
        <v>45565</v>
      </c>
      <c r="AB540" s="67">
        <v>45566</v>
      </c>
      <c r="AC540" s="67">
        <v>45596</v>
      </c>
      <c r="AD540" s="67">
        <v>45595</v>
      </c>
      <c r="AE540" s="67">
        <v>45596</v>
      </c>
    </row>
    <row r="541" spans="1:31" ht="12.5">
      <c r="A541" s="10">
        <v>610422100124</v>
      </c>
      <c r="B541" s="10" t="s">
        <v>281</v>
      </c>
      <c r="D541" s="10">
        <v>1</v>
      </c>
      <c r="E541" s="10" t="s">
        <v>2237</v>
      </c>
      <c r="F541" s="10" t="s">
        <v>25</v>
      </c>
      <c r="G541" s="10" t="s">
        <v>2236</v>
      </c>
      <c r="H541" s="10" t="s">
        <v>74</v>
      </c>
      <c r="I541" s="10" t="s">
        <v>283</v>
      </c>
      <c r="J541" s="10" t="s">
        <v>164</v>
      </c>
      <c r="K541" s="66">
        <v>55000</v>
      </c>
      <c r="L541" s="10">
        <v>3</v>
      </c>
      <c r="M541" s="10">
        <v>165000</v>
      </c>
      <c r="O541" s="67">
        <v>45585</v>
      </c>
      <c r="P541" s="10">
        <v>2024</v>
      </c>
      <c r="Q541" s="10">
        <v>10</v>
      </c>
      <c r="R541" s="10" t="s">
        <v>3043</v>
      </c>
      <c r="S541" s="10" t="s">
        <v>6765</v>
      </c>
      <c r="T541" s="10" t="s">
        <v>6766</v>
      </c>
      <c r="U541" s="10">
        <v>0</v>
      </c>
      <c r="V541" s="10">
        <v>151</v>
      </c>
      <c r="W541" s="67"/>
      <c r="X541" s="11" t="s">
        <v>3113</v>
      </c>
      <c r="Y541" s="11" t="s">
        <v>1921</v>
      </c>
      <c r="Z541" s="11" t="s">
        <v>2140</v>
      </c>
      <c r="AA541" s="67">
        <v>45565</v>
      </c>
      <c r="AB541" s="67">
        <v>45566</v>
      </c>
      <c r="AC541" s="67">
        <v>45596</v>
      </c>
      <c r="AD541" s="67">
        <v>45595</v>
      </c>
      <c r="AE541" s="67">
        <v>45596</v>
      </c>
    </row>
    <row r="542" spans="1:31" ht="12.5">
      <c r="A542" s="10">
        <v>610422100244</v>
      </c>
      <c r="B542" s="10" t="s">
        <v>281</v>
      </c>
      <c r="D542" s="10">
        <v>1</v>
      </c>
      <c r="E542" s="10" t="s">
        <v>2633</v>
      </c>
      <c r="F542" s="10" t="s">
        <v>25</v>
      </c>
      <c r="G542" s="10" t="s">
        <v>2632</v>
      </c>
      <c r="H542" s="10" t="s">
        <v>74</v>
      </c>
      <c r="I542" s="10" t="s">
        <v>283</v>
      </c>
      <c r="J542" s="10" t="s">
        <v>164</v>
      </c>
      <c r="K542" s="66">
        <v>55000</v>
      </c>
      <c r="L542" s="10">
        <v>2</v>
      </c>
      <c r="M542" s="10">
        <v>110000</v>
      </c>
      <c r="O542" s="67">
        <v>45585</v>
      </c>
      <c r="P542" s="10">
        <v>2024</v>
      </c>
      <c r="Q542" s="10">
        <v>10</v>
      </c>
      <c r="R542" s="10" t="s">
        <v>3043</v>
      </c>
      <c r="S542" s="10" t="s">
        <v>6763</v>
      </c>
      <c r="T542" s="10" t="s">
        <v>6764</v>
      </c>
      <c r="U542" s="10">
        <v>0</v>
      </c>
      <c r="V542" s="10">
        <v>151</v>
      </c>
      <c r="W542" s="67"/>
      <c r="X542" s="11" t="s">
        <v>3113</v>
      </c>
      <c r="Y542" s="11" t="s">
        <v>5741</v>
      </c>
      <c r="Z542" s="11" t="s">
        <v>5796</v>
      </c>
      <c r="AA542" s="67">
        <v>45565</v>
      </c>
      <c r="AB542" s="67">
        <v>45566</v>
      </c>
      <c r="AC542" s="67">
        <v>45596</v>
      </c>
      <c r="AD542" s="67">
        <v>45595</v>
      </c>
      <c r="AE542" s="67">
        <v>45596</v>
      </c>
    </row>
    <row r="543" spans="1:31" ht="12.5">
      <c r="A543" s="10">
        <v>610422020016</v>
      </c>
      <c r="B543" s="10" t="s">
        <v>281</v>
      </c>
      <c r="D543" s="10">
        <v>1</v>
      </c>
      <c r="E543" s="10" t="s">
        <v>380</v>
      </c>
      <c r="F543" s="10" t="s">
        <v>25</v>
      </c>
      <c r="G543" s="10" t="s">
        <v>379</v>
      </c>
      <c r="H543" s="10" t="s">
        <v>74</v>
      </c>
      <c r="I543" s="10" t="s">
        <v>283</v>
      </c>
      <c r="J543" s="10" t="s">
        <v>164</v>
      </c>
      <c r="K543" s="66">
        <v>55000</v>
      </c>
      <c r="L543" s="10">
        <v>3</v>
      </c>
      <c r="M543" s="10">
        <v>165000</v>
      </c>
      <c r="O543" s="67">
        <v>45585</v>
      </c>
      <c r="P543" s="10">
        <v>2024</v>
      </c>
      <c r="Q543" s="10">
        <v>10</v>
      </c>
      <c r="R543" s="10" t="s">
        <v>3043</v>
      </c>
      <c r="S543" s="10" t="s">
        <v>6779</v>
      </c>
      <c r="T543" s="10" t="s">
        <v>6780</v>
      </c>
      <c r="U543" s="10">
        <v>0</v>
      </c>
      <c r="V543" s="10">
        <v>151</v>
      </c>
      <c r="W543" s="67"/>
      <c r="X543" s="11" t="s">
        <v>3113</v>
      </c>
      <c r="Y543" s="11" t="s">
        <v>5534</v>
      </c>
      <c r="Z543" s="11" t="s">
        <v>5535</v>
      </c>
      <c r="AA543" s="67">
        <v>45565</v>
      </c>
      <c r="AB543" s="67">
        <v>45566</v>
      </c>
      <c r="AC543" s="67">
        <v>45596</v>
      </c>
      <c r="AD543" s="67">
        <v>45595</v>
      </c>
      <c r="AE543" s="67">
        <v>45596</v>
      </c>
    </row>
    <row r="544" spans="1:31" ht="12.5">
      <c r="A544" s="10">
        <v>610422100016</v>
      </c>
      <c r="B544" s="10" t="s">
        <v>281</v>
      </c>
      <c r="D544" s="10">
        <v>1</v>
      </c>
      <c r="E544" s="10" t="s">
        <v>550</v>
      </c>
      <c r="F544" s="10" t="s">
        <v>25</v>
      </c>
      <c r="G544" s="10" t="s">
        <v>549</v>
      </c>
      <c r="H544" s="10" t="s">
        <v>74</v>
      </c>
      <c r="I544" s="10" t="s">
        <v>283</v>
      </c>
      <c r="J544" s="10" t="s">
        <v>164</v>
      </c>
      <c r="K544" s="66">
        <v>55000</v>
      </c>
      <c r="L544" s="10">
        <v>1</v>
      </c>
      <c r="M544" s="10">
        <v>55000</v>
      </c>
      <c r="O544" s="67">
        <v>45585</v>
      </c>
      <c r="P544" s="10">
        <v>2024</v>
      </c>
      <c r="Q544" s="10">
        <v>10</v>
      </c>
      <c r="R544" s="10" t="s">
        <v>3043</v>
      </c>
      <c r="S544" s="10" t="s">
        <v>6759</v>
      </c>
      <c r="T544" s="10" t="s">
        <v>6760</v>
      </c>
      <c r="U544" s="10">
        <v>0</v>
      </c>
      <c r="V544" s="10">
        <v>151</v>
      </c>
      <c r="W544" s="67"/>
      <c r="X544" s="11" t="s">
        <v>3113</v>
      </c>
      <c r="Y544" s="11" t="s">
        <v>5250</v>
      </c>
      <c r="Z544" s="11" t="s">
        <v>5365</v>
      </c>
      <c r="AA544" s="67">
        <v>45565</v>
      </c>
      <c r="AB544" s="67">
        <v>45566</v>
      </c>
      <c r="AC544" s="67">
        <v>45596</v>
      </c>
      <c r="AD544" s="67">
        <v>45595</v>
      </c>
      <c r="AE544" s="67">
        <v>45596</v>
      </c>
    </row>
    <row r="545" spans="1:31" ht="12.5">
      <c r="A545" s="10">
        <v>610422020048</v>
      </c>
      <c r="B545" s="10" t="s">
        <v>281</v>
      </c>
      <c r="D545" s="10">
        <v>1</v>
      </c>
      <c r="E545" s="10" t="s">
        <v>1359</v>
      </c>
      <c r="F545" s="10" t="s">
        <v>25</v>
      </c>
      <c r="G545" s="10" t="s">
        <v>1358</v>
      </c>
      <c r="H545" s="10" t="s">
        <v>74</v>
      </c>
      <c r="I545" s="10" t="s">
        <v>283</v>
      </c>
      <c r="J545" s="10" t="s">
        <v>164</v>
      </c>
      <c r="K545" s="66">
        <v>55000</v>
      </c>
      <c r="L545" s="10">
        <v>3</v>
      </c>
      <c r="M545" s="10">
        <v>165000</v>
      </c>
      <c r="O545" s="67">
        <v>45585</v>
      </c>
      <c r="P545" s="10">
        <v>2024</v>
      </c>
      <c r="Q545" s="10">
        <v>10</v>
      </c>
      <c r="R545" s="10" t="s">
        <v>3043</v>
      </c>
      <c r="S545" s="10" t="s">
        <v>6769</v>
      </c>
      <c r="T545" s="10" t="s">
        <v>6770</v>
      </c>
      <c r="U545" s="10">
        <v>0</v>
      </c>
      <c r="V545" s="10">
        <v>151</v>
      </c>
      <c r="W545" s="67"/>
      <c r="X545" s="11" t="s">
        <v>3113</v>
      </c>
      <c r="Y545" s="11" t="s">
        <v>4931</v>
      </c>
      <c r="Z545" s="11" t="s">
        <v>5171</v>
      </c>
      <c r="AA545" s="67">
        <v>45565</v>
      </c>
      <c r="AB545" s="67">
        <v>45566</v>
      </c>
      <c r="AC545" s="67">
        <v>45596</v>
      </c>
      <c r="AD545" s="67">
        <v>45595</v>
      </c>
      <c r="AE545" s="67">
        <v>45596</v>
      </c>
    </row>
    <row r="546" spans="1:31" ht="12.5">
      <c r="A546" s="10">
        <v>610422040029</v>
      </c>
      <c r="B546" s="10" t="s">
        <v>281</v>
      </c>
      <c r="D546" s="10">
        <v>1</v>
      </c>
      <c r="E546" s="10" t="s">
        <v>3000</v>
      </c>
      <c r="F546" s="10" t="s">
        <v>25</v>
      </c>
      <c r="G546" s="10" t="s">
        <v>2999</v>
      </c>
      <c r="H546" s="10" t="s">
        <v>74</v>
      </c>
      <c r="I546" s="10" t="s">
        <v>283</v>
      </c>
      <c r="J546" s="10" t="s">
        <v>164</v>
      </c>
      <c r="K546" s="66">
        <v>55000</v>
      </c>
      <c r="L546" s="10">
        <v>4</v>
      </c>
      <c r="M546" s="10">
        <v>220000</v>
      </c>
      <c r="O546" s="67">
        <v>45585</v>
      </c>
      <c r="P546" s="10">
        <v>2024</v>
      </c>
      <c r="Q546" s="10">
        <v>10</v>
      </c>
      <c r="R546" s="10" t="s">
        <v>3043</v>
      </c>
      <c r="S546" s="10" t="s">
        <v>6767</v>
      </c>
      <c r="T546" s="10" t="s">
        <v>6768</v>
      </c>
      <c r="U546" s="10">
        <v>0</v>
      </c>
      <c r="V546" s="10">
        <v>151</v>
      </c>
      <c r="W546" s="67"/>
      <c r="X546" s="11" t="s">
        <v>3113</v>
      </c>
      <c r="Y546" s="11" t="s">
        <v>4572</v>
      </c>
      <c r="Z546" s="11" t="s">
        <v>4619</v>
      </c>
      <c r="AA546" s="67">
        <v>45565</v>
      </c>
      <c r="AB546" s="67">
        <v>45566</v>
      </c>
      <c r="AC546" s="67">
        <v>45596</v>
      </c>
      <c r="AD546" s="67">
        <v>45595</v>
      </c>
      <c r="AE546" s="67">
        <v>45596</v>
      </c>
    </row>
    <row r="547" spans="1:31" ht="12.5">
      <c r="A547" s="10">
        <v>610422050001</v>
      </c>
      <c r="B547" s="10" t="s">
        <v>281</v>
      </c>
      <c r="D547" s="10">
        <v>1</v>
      </c>
      <c r="E547" s="10" t="s">
        <v>5949</v>
      </c>
      <c r="F547" s="10" t="s">
        <v>25</v>
      </c>
      <c r="G547" s="10" t="s">
        <v>1127</v>
      </c>
      <c r="H547" s="10" t="s">
        <v>74</v>
      </c>
      <c r="I547" s="10" t="s">
        <v>283</v>
      </c>
      <c r="J547" s="10" t="s">
        <v>164</v>
      </c>
      <c r="K547" s="66">
        <v>55000</v>
      </c>
      <c r="L547" s="10">
        <v>1</v>
      </c>
      <c r="M547" s="10">
        <v>55000</v>
      </c>
      <c r="O547" s="67">
        <v>45585</v>
      </c>
      <c r="P547" s="10">
        <v>2024</v>
      </c>
      <c r="Q547" s="10">
        <v>10</v>
      </c>
      <c r="R547" s="10" t="s">
        <v>3043</v>
      </c>
      <c r="S547" s="10" t="s">
        <v>6775</v>
      </c>
      <c r="T547" s="10" t="s">
        <v>6776</v>
      </c>
      <c r="U547" s="10">
        <v>0</v>
      </c>
      <c r="V547" s="10">
        <v>151</v>
      </c>
      <c r="W547" s="67"/>
      <c r="X547" s="11" t="s">
        <v>3113</v>
      </c>
      <c r="Y547" s="11" t="s">
        <v>4408</v>
      </c>
      <c r="Z547" s="11" t="s">
        <v>4409</v>
      </c>
      <c r="AA547" s="67">
        <v>45565</v>
      </c>
      <c r="AB547" s="67">
        <v>45566</v>
      </c>
      <c r="AC547" s="67">
        <v>45596</v>
      </c>
      <c r="AD547" s="67">
        <v>45595</v>
      </c>
      <c r="AE547" s="67">
        <v>45596</v>
      </c>
    </row>
    <row r="548" spans="1:31" ht="12.5">
      <c r="A548" s="10">
        <v>610422100124</v>
      </c>
      <c r="B548" s="10" t="s">
        <v>284</v>
      </c>
      <c r="D548" s="10">
        <v>1</v>
      </c>
      <c r="E548" s="10" t="s">
        <v>2237</v>
      </c>
      <c r="F548" s="10" t="s">
        <v>25</v>
      </c>
      <c r="G548" s="10" t="s">
        <v>2236</v>
      </c>
      <c r="H548" s="10" t="s">
        <v>67</v>
      </c>
      <c r="I548" s="10" t="s">
        <v>285</v>
      </c>
      <c r="J548" s="10" t="s">
        <v>164</v>
      </c>
      <c r="K548" s="66">
        <v>55000</v>
      </c>
      <c r="L548" s="10">
        <v>2</v>
      </c>
      <c r="M548" s="10">
        <v>110000</v>
      </c>
      <c r="O548" s="67">
        <v>45585</v>
      </c>
      <c r="P548" s="10">
        <v>2024</v>
      </c>
      <c r="Q548" s="10">
        <v>10</v>
      </c>
      <c r="R548" s="10" t="s">
        <v>3043</v>
      </c>
      <c r="S548" s="10" t="s">
        <v>6765</v>
      </c>
      <c r="T548" s="10" t="s">
        <v>6766</v>
      </c>
      <c r="U548" s="10">
        <v>0</v>
      </c>
      <c r="V548" s="10">
        <v>151</v>
      </c>
      <c r="W548" s="67"/>
      <c r="X548" s="11" t="s">
        <v>7010</v>
      </c>
      <c r="Y548" s="11" t="s">
        <v>1921</v>
      </c>
      <c r="Z548" s="11" t="s">
        <v>2140</v>
      </c>
      <c r="AA548" s="67">
        <v>45565</v>
      </c>
      <c r="AB548" s="67">
        <v>45566</v>
      </c>
      <c r="AC548" s="67">
        <v>45596</v>
      </c>
      <c r="AD548" s="67">
        <v>45595</v>
      </c>
      <c r="AE548" s="67">
        <v>45596</v>
      </c>
    </row>
    <row r="549" spans="1:31" ht="12.5">
      <c r="A549" s="10">
        <v>610422100244</v>
      </c>
      <c r="B549" s="10" t="s">
        <v>284</v>
      </c>
      <c r="D549" s="10">
        <v>1</v>
      </c>
      <c r="E549" s="10" t="s">
        <v>2633</v>
      </c>
      <c r="F549" s="10" t="s">
        <v>25</v>
      </c>
      <c r="G549" s="10" t="s">
        <v>2632</v>
      </c>
      <c r="H549" s="10" t="s">
        <v>67</v>
      </c>
      <c r="I549" s="10" t="s">
        <v>285</v>
      </c>
      <c r="J549" s="10" t="s">
        <v>164</v>
      </c>
      <c r="K549" s="66">
        <v>55000</v>
      </c>
      <c r="L549" s="10">
        <v>2</v>
      </c>
      <c r="M549" s="10">
        <v>110000</v>
      </c>
      <c r="O549" s="67">
        <v>45585</v>
      </c>
      <c r="P549" s="10">
        <v>2024</v>
      </c>
      <c r="Q549" s="10">
        <v>10</v>
      </c>
      <c r="R549" s="10" t="s">
        <v>3043</v>
      </c>
      <c r="S549" s="10" t="s">
        <v>6763</v>
      </c>
      <c r="T549" s="10" t="s">
        <v>6764</v>
      </c>
      <c r="U549" s="10">
        <v>0</v>
      </c>
      <c r="V549" s="10">
        <v>151</v>
      </c>
      <c r="W549" s="67"/>
      <c r="X549" s="11" t="s">
        <v>7010</v>
      </c>
      <c r="Y549" s="11" t="s">
        <v>5741</v>
      </c>
      <c r="Z549" s="11" t="s">
        <v>5796</v>
      </c>
      <c r="AA549" s="67">
        <v>45565</v>
      </c>
      <c r="AB549" s="67">
        <v>45566</v>
      </c>
      <c r="AC549" s="67">
        <v>45596</v>
      </c>
      <c r="AD549" s="67">
        <v>45595</v>
      </c>
      <c r="AE549" s="67">
        <v>45596</v>
      </c>
    </row>
    <row r="550" spans="1:31" ht="12.5">
      <c r="A550" s="10">
        <v>610422100165</v>
      </c>
      <c r="B550" s="10" t="s">
        <v>284</v>
      </c>
      <c r="D550" s="10">
        <v>1</v>
      </c>
      <c r="E550" s="10" t="s">
        <v>2855</v>
      </c>
      <c r="F550" s="10" t="s">
        <v>25</v>
      </c>
      <c r="G550" s="10" t="s">
        <v>2854</v>
      </c>
      <c r="H550" s="10" t="s">
        <v>67</v>
      </c>
      <c r="I550" s="10" t="s">
        <v>285</v>
      </c>
      <c r="J550" s="10" t="s">
        <v>164</v>
      </c>
      <c r="K550" s="66">
        <v>55000</v>
      </c>
      <c r="L550" s="10">
        <v>2</v>
      </c>
      <c r="M550" s="10">
        <v>110000</v>
      </c>
      <c r="O550" s="67">
        <v>45585</v>
      </c>
      <c r="P550" s="10">
        <v>2024</v>
      </c>
      <c r="Q550" s="10">
        <v>10</v>
      </c>
      <c r="R550" s="10" t="s">
        <v>3043</v>
      </c>
      <c r="S550" s="10" t="s">
        <v>6771</v>
      </c>
      <c r="T550" s="10" t="s">
        <v>6772</v>
      </c>
      <c r="U550" s="10">
        <v>0</v>
      </c>
      <c r="V550" s="10">
        <v>151</v>
      </c>
      <c r="W550" s="67"/>
      <c r="X550" s="11" t="s">
        <v>7010</v>
      </c>
      <c r="Y550" s="11" t="s">
        <v>3990</v>
      </c>
      <c r="Z550" s="11" t="s">
        <v>4332</v>
      </c>
      <c r="AA550" s="67">
        <v>45565</v>
      </c>
      <c r="AB550" s="67">
        <v>45566</v>
      </c>
      <c r="AC550" s="67">
        <v>45596</v>
      </c>
      <c r="AD550" s="67">
        <v>45595</v>
      </c>
      <c r="AE550" s="67">
        <v>45596</v>
      </c>
    </row>
    <row r="551" spans="1:31" ht="12.5">
      <c r="A551" s="10">
        <v>610422100165</v>
      </c>
      <c r="B551" s="10" t="s">
        <v>286</v>
      </c>
      <c r="D551" s="10">
        <v>1</v>
      </c>
      <c r="E551" s="10" t="s">
        <v>2855</v>
      </c>
      <c r="F551" s="10" t="s">
        <v>25</v>
      </c>
      <c r="G551" s="10" t="s">
        <v>2854</v>
      </c>
      <c r="H551" s="10" t="s">
        <v>67</v>
      </c>
      <c r="I551" s="10" t="s">
        <v>287</v>
      </c>
      <c r="J551" s="10" t="s">
        <v>164</v>
      </c>
      <c r="K551" s="66">
        <v>50000</v>
      </c>
      <c r="L551" s="10">
        <v>1</v>
      </c>
      <c r="M551" s="10">
        <v>50000</v>
      </c>
      <c r="O551" s="67">
        <v>45585</v>
      </c>
      <c r="P551" s="10">
        <v>2024</v>
      </c>
      <c r="Q551" s="10">
        <v>10</v>
      </c>
      <c r="R551" s="10" t="s">
        <v>3043</v>
      </c>
      <c r="S551" s="10" t="s">
        <v>6771</v>
      </c>
      <c r="T551" s="10" t="s">
        <v>6772</v>
      </c>
      <c r="U551" s="10">
        <v>0</v>
      </c>
      <c r="V551" s="10">
        <v>151</v>
      </c>
      <c r="W551" s="67"/>
      <c r="X551" s="11" t="s">
        <v>3137</v>
      </c>
      <c r="Y551" s="11" t="s">
        <v>3990</v>
      </c>
      <c r="Z551" s="11" t="s">
        <v>4332</v>
      </c>
      <c r="AA551" s="67">
        <v>45565</v>
      </c>
      <c r="AB551" s="67">
        <v>45566</v>
      </c>
      <c r="AC551" s="67">
        <v>45596</v>
      </c>
      <c r="AD551" s="67">
        <v>45595</v>
      </c>
      <c r="AE551" s="67">
        <v>45596</v>
      </c>
    </row>
    <row r="552" spans="1:31" ht="12.5">
      <c r="A552" s="10">
        <v>610422040029</v>
      </c>
      <c r="B552" s="10" t="s">
        <v>288</v>
      </c>
      <c r="D552" s="10">
        <v>1</v>
      </c>
      <c r="E552" s="10" t="s">
        <v>3000</v>
      </c>
      <c r="F552" s="10" t="s">
        <v>25</v>
      </c>
      <c r="G552" s="10" t="s">
        <v>2999</v>
      </c>
      <c r="H552" s="10" t="s">
        <v>67</v>
      </c>
      <c r="I552" s="10" t="s">
        <v>289</v>
      </c>
      <c r="J552" s="10" t="s">
        <v>164</v>
      </c>
      <c r="K552" s="66">
        <v>55000</v>
      </c>
      <c r="L552" s="10">
        <v>3</v>
      </c>
      <c r="M552" s="10">
        <v>165000</v>
      </c>
      <c r="O552" s="67">
        <v>45585</v>
      </c>
      <c r="P552" s="10">
        <v>2024</v>
      </c>
      <c r="Q552" s="10">
        <v>10</v>
      </c>
      <c r="R552" s="10" t="s">
        <v>3043</v>
      </c>
      <c r="S552" s="10" t="s">
        <v>6767</v>
      </c>
      <c r="T552" s="10" t="s">
        <v>6768</v>
      </c>
      <c r="U552" s="10">
        <v>0</v>
      </c>
      <c r="V552" s="10">
        <v>151</v>
      </c>
      <c r="W552" s="67"/>
      <c r="X552" s="11" t="s">
        <v>3159</v>
      </c>
      <c r="Y552" s="11" t="s">
        <v>4572</v>
      </c>
      <c r="Z552" s="11" t="s">
        <v>4619</v>
      </c>
      <c r="AA552" s="67">
        <v>45565</v>
      </c>
      <c r="AB552" s="67">
        <v>45566</v>
      </c>
      <c r="AC552" s="67">
        <v>45596</v>
      </c>
      <c r="AD552" s="67">
        <v>45595</v>
      </c>
      <c r="AE552" s="67">
        <v>45596</v>
      </c>
    </row>
    <row r="553" spans="1:31" ht="12.5">
      <c r="A553" s="10">
        <v>610422100165</v>
      </c>
      <c r="B553" s="10" t="s">
        <v>288</v>
      </c>
      <c r="D553" s="10">
        <v>1</v>
      </c>
      <c r="E553" s="10" t="s">
        <v>2855</v>
      </c>
      <c r="F553" s="10" t="s">
        <v>25</v>
      </c>
      <c r="G553" s="10" t="s">
        <v>2854</v>
      </c>
      <c r="H553" s="10" t="s">
        <v>67</v>
      </c>
      <c r="I553" s="10" t="s">
        <v>289</v>
      </c>
      <c r="J553" s="10" t="s">
        <v>164</v>
      </c>
      <c r="K553" s="66">
        <v>55000</v>
      </c>
      <c r="L553" s="10">
        <v>3</v>
      </c>
      <c r="M553" s="10">
        <v>165000</v>
      </c>
      <c r="O553" s="67">
        <v>45585</v>
      </c>
      <c r="P553" s="10">
        <v>2024</v>
      </c>
      <c r="Q553" s="10">
        <v>10</v>
      </c>
      <c r="R553" s="10" t="s">
        <v>3043</v>
      </c>
      <c r="S553" s="10" t="s">
        <v>6771</v>
      </c>
      <c r="T553" s="10" t="s">
        <v>6772</v>
      </c>
      <c r="U553" s="10">
        <v>0</v>
      </c>
      <c r="V553" s="10">
        <v>151</v>
      </c>
      <c r="W553" s="67"/>
      <c r="X553" s="11" t="s">
        <v>3159</v>
      </c>
      <c r="Y553" s="11" t="s">
        <v>3990</v>
      </c>
      <c r="Z553" s="11" t="s">
        <v>4332</v>
      </c>
      <c r="AA553" s="67">
        <v>45565</v>
      </c>
      <c r="AB553" s="67">
        <v>45566</v>
      </c>
      <c r="AC553" s="67">
        <v>45596</v>
      </c>
      <c r="AD553" s="67">
        <v>45595</v>
      </c>
      <c r="AE553" s="67">
        <v>45596</v>
      </c>
    </row>
    <row r="554" spans="1:31" ht="12.5">
      <c r="A554" s="10">
        <v>610422050001</v>
      </c>
      <c r="B554" s="10" t="s">
        <v>288</v>
      </c>
      <c r="D554" s="10">
        <v>1</v>
      </c>
      <c r="E554" s="10" t="s">
        <v>5949</v>
      </c>
      <c r="F554" s="10" t="s">
        <v>25</v>
      </c>
      <c r="G554" s="10" t="s">
        <v>1127</v>
      </c>
      <c r="H554" s="10" t="s">
        <v>67</v>
      </c>
      <c r="I554" s="10" t="s">
        <v>289</v>
      </c>
      <c r="J554" s="10" t="s">
        <v>164</v>
      </c>
      <c r="K554" s="66">
        <v>55000</v>
      </c>
      <c r="L554" s="10">
        <v>3</v>
      </c>
      <c r="M554" s="10">
        <v>165000</v>
      </c>
      <c r="O554" s="67">
        <v>45585</v>
      </c>
      <c r="P554" s="10">
        <v>2024</v>
      </c>
      <c r="Q554" s="10">
        <v>10</v>
      </c>
      <c r="R554" s="10" t="s">
        <v>3043</v>
      </c>
      <c r="S554" s="10" t="s">
        <v>6775</v>
      </c>
      <c r="T554" s="10" t="s">
        <v>6776</v>
      </c>
      <c r="U554" s="10">
        <v>0</v>
      </c>
      <c r="V554" s="10">
        <v>151</v>
      </c>
      <c r="W554" s="67"/>
      <c r="X554" s="11" t="s">
        <v>3159</v>
      </c>
      <c r="Y554" s="11" t="s">
        <v>4408</v>
      </c>
      <c r="Z554" s="11" t="s">
        <v>4409</v>
      </c>
      <c r="AA554" s="67">
        <v>45565</v>
      </c>
      <c r="AB554" s="67">
        <v>45566</v>
      </c>
      <c r="AC554" s="67">
        <v>45596</v>
      </c>
      <c r="AD554" s="67">
        <v>45595</v>
      </c>
      <c r="AE554" s="67">
        <v>45596</v>
      </c>
    </row>
    <row r="555" spans="1:31" ht="12.5">
      <c r="A555" s="10">
        <v>610422040056</v>
      </c>
      <c r="B555" s="10" t="s">
        <v>288</v>
      </c>
      <c r="D555" s="10">
        <v>1</v>
      </c>
      <c r="E555" s="10" t="s">
        <v>2825</v>
      </c>
      <c r="F555" s="10" t="s">
        <v>25</v>
      </c>
      <c r="G555" s="10" t="s">
        <v>2824</v>
      </c>
      <c r="H555" s="10" t="s">
        <v>67</v>
      </c>
      <c r="I555" s="10" t="s">
        <v>289</v>
      </c>
      <c r="J555" s="10" t="s">
        <v>164</v>
      </c>
      <c r="K555" s="66">
        <v>55000</v>
      </c>
      <c r="L555" s="10">
        <v>2</v>
      </c>
      <c r="M555" s="10">
        <v>110000</v>
      </c>
      <c r="O555" s="67">
        <v>45585</v>
      </c>
      <c r="P555" s="10">
        <v>2024</v>
      </c>
      <c r="Q555" s="10">
        <v>10</v>
      </c>
      <c r="R555" s="10" t="s">
        <v>3043</v>
      </c>
      <c r="S555" s="10" t="s">
        <v>6781</v>
      </c>
      <c r="T555" s="10" t="s">
        <v>6782</v>
      </c>
      <c r="U555" s="10">
        <v>0</v>
      </c>
      <c r="V555" s="10">
        <v>151</v>
      </c>
      <c r="W555" s="67"/>
      <c r="X555" s="11" t="s">
        <v>3159</v>
      </c>
      <c r="Y555" s="11" t="s">
        <v>4572</v>
      </c>
      <c r="Z555" s="11" t="s">
        <v>4656</v>
      </c>
      <c r="AA555" s="67">
        <v>45565</v>
      </c>
      <c r="AB555" s="67">
        <v>45566</v>
      </c>
      <c r="AC555" s="67">
        <v>45596</v>
      </c>
      <c r="AD555" s="67">
        <v>45595</v>
      </c>
      <c r="AE555" s="67">
        <v>45596</v>
      </c>
    </row>
    <row r="556" spans="1:31" ht="12.5">
      <c r="A556" s="10">
        <v>610422020016</v>
      </c>
      <c r="B556" s="10" t="s">
        <v>36</v>
      </c>
      <c r="D556" s="10">
        <v>1</v>
      </c>
      <c r="E556" s="10" t="s">
        <v>380</v>
      </c>
      <c r="F556" s="10" t="s">
        <v>25</v>
      </c>
      <c r="G556" s="10" t="s">
        <v>379</v>
      </c>
      <c r="H556" s="10" t="s">
        <v>84</v>
      </c>
      <c r="I556" s="10" t="s">
        <v>6783</v>
      </c>
      <c r="J556" s="10" t="s">
        <v>3036</v>
      </c>
      <c r="K556" s="66">
        <v>116000</v>
      </c>
      <c r="L556" s="10">
        <v>3</v>
      </c>
      <c r="M556" s="10">
        <v>348000</v>
      </c>
      <c r="O556" s="67">
        <v>45596</v>
      </c>
      <c r="P556" s="10">
        <v>2024</v>
      </c>
      <c r="Q556" s="10">
        <v>10</v>
      </c>
      <c r="R556" s="10" t="s">
        <v>3043</v>
      </c>
      <c r="S556" s="10" t="s">
        <v>6779</v>
      </c>
      <c r="T556" s="10" t="s">
        <v>6780</v>
      </c>
      <c r="U556" s="10">
        <v>0</v>
      </c>
      <c r="V556" s="10">
        <v>162</v>
      </c>
      <c r="W556" s="67"/>
      <c r="X556" s="11" t="s">
        <v>3062</v>
      </c>
      <c r="Y556" s="11" t="s">
        <v>5534</v>
      </c>
      <c r="Z556" s="11" t="s">
        <v>5535</v>
      </c>
      <c r="AA556" s="67">
        <v>45565</v>
      </c>
      <c r="AB556" s="67">
        <v>45566</v>
      </c>
      <c r="AC556" s="67">
        <v>45596</v>
      </c>
      <c r="AD556" s="67">
        <v>45595</v>
      </c>
      <c r="AE556" s="67">
        <v>45596</v>
      </c>
    </row>
    <row r="557" spans="1:31" ht="12.5">
      <c r="A557" s="10">
        <v>610422040012</v>
      </c>
      <c r="B557" s="10" t="s">
        <v>36</v>
      </c>
      <c r="D557" s="10">
        <v>1</v>
      </c>
      <c r="E557" s="10" t="s">
        <v>1813</v>
      </c>
      <c r="F557" s="10" t="s">
        <v>25</v>
      </c>
      <c r="G557" s="10" t="s">
        <v>1812</v>
      </c>
      <c r="H557" s="10" t="s">
        <v>84</v>
      </c>
      <c r="I557" s="10" t="s">
        <v>6783</v>
      </c>
      <c r="J557" s="10" t="s">
        <v>3036</v>
      </c>
      <c r="K557" s="66">
        <v>116000</v>
      </c>
      <c r="L557" s="10">
        <v>3</v>
      </c>
      <c r="M557" s="10">
        <v>348000</v>
      </c>
      <c r="O557" s="67">
        <v>45596</v>
      </c>
      <c r="P557" s="10">
        <v>2024</v>
      </c>
      <c r="Q557" s="10">
        <v>10</v>
      </c>
      <c r="R557" s="10" t="s">
        <v>3043</v>
      </c>
      <c r="S557" s="10" t="s">
        <v>6784</v>
      </c>
      <c r="T557" s="10" t="s">
        <v>6785</v>
      </c>
      <c r="U557" s="10">
        <v>0</v>
      </c>
      <c r="V557" s="10">
        <v>162</v>
      </c>
      <c r="W557" s="67"/>
      <c r="X557" s="11" t="s">
        <v>3062</v>
      </c>
      <c r="Y557" s="11" t="s">
        <v>3990</v>
      </c>
      <c r="Z557" s="11" t="s">
        <v>4365</v>
      </c>
      <c r="AA557" s="67">
        <v>45565</v>
      </c>
      <c r="AB557" s="67">
        <v>45566</v>
      </c>
      <c r="AC557" s="67">
        <v>45596</v>
      </c>
      <c r="AD557" s="67">
        <v>45595</v>
      </c>
      <c r="AE557" s="67">
        <v>45596</v>
      </c>
    </row>
    <row r="558" spans="1:31" ht="12.5">
      <c r="A558" s="10">
        <v>610422040059</v>
      </c>
      <c r="B558" s="10" t="s">
        <v>36</v>
      </c>
      <c r="D558" s="10">
        <v>1</v>
      </c>
      <c r="E558" s="10" t="s">
        <v>365</v>
      </c>
      <c r="F558" s="10" t="s">
        <v>25</v>
      </c>
      <c r="G558" s="10" t="s">
        <v>364</v>
      </c>
      <c r="H558" s="10" t="s">
        <v>84</v>
      </c>
      <c r="I558" s="10" t="s">
        <v>6783</v>
      </c>
      <c r="J558" s="10" t="s">
        <v>3036</v>
      </c>
      <c r="K558" s="66">
        <v>116000</v>
      </c>
      <c r="L558" s="10">
        <v>4</v>
      </c>
      <c r="M558" s="10">
        <v>464000</v>
      </c>
      <c r="O558" s="67">
        <v>45596</v>
      </c>
      <c r="P558" s="10">
        <v>2024</v>
      </c>
      <c r="Q558" s="10">
        <v>10</v>
      </c>
      <c r="R558" s="10" t="s">
        <v>3043</v>
      </c>
      <c r="S558" s="10" t="s">
        <v>6786</v>
      </c>
      <c r="T558" s="10" t="s">
        <v>6787</v>
      </c>
      <c r="U558" s="10">
        <v>0</v>
      </c>
      <c r="V558" s="10">
        <v>162</v>
      </c>
      <c r="W558" s="67"/>
      <c r="X558" s="11" t="s">
        <v>3062</v>
      </c>
      <c r="Y558" s="11" t="s">
        <v>4572</v>
      </c>
      <c r="Z558" s="11" t="s">
        <v>4656</v>
      </c>
      <c r="AA558" s="67">
        <v>45565</v>
      </c>
      <c r="AB558" s="67">
        <v>45566</v>
      </c>
      <c r="AC558" s="67">
        <v>45596</v>
      </c>
      <c r="AD558" s="67">
        <v>45595</v>
      </c>
      <c r="AE558" s="67">
        <v>45596</v>
      </c>
    </row>
    <row r="559" spans="1:31" ht="12.5">
      <c r="A559" s="10">
        <v>610422040061</v>
      </c>
      <c r="B559" s="10" t="s">
        <v>36</v>
      </c>
      <c r="D559" s="10">
        <v>1</v>
      </c>
      <c r="E559" s="10" t="s">
        <v>2440</v>
      </c>
      <c r="F559" s="10" t="s">
        <v>25</v>
      </c>
      <c r="G559" s="10" t="s">
        <v>2439</v>
      </c>
      <c r="H559" s="10" t="s">
        <v>84</v>
      </c>
      <c r="I559" s="10" t="s">
        <v>6783</v>
      </c>
      <c r="J559" s="10" t="s">
        <v>3036</v>
      </c>
      <c r="K559" s="66">
        <v>116000</v>
      </c>
      <c r="L559" s="10">
        <v>3</v>
      </c>
      <c r="M559" s="10">
        <v>348000</v>
      </c>
      <c r="O559" s="67">
        <v>45596</v>
      </c>
      <c r="P559" s="10">
        <v>2024</v>
      </c>
      <c r="Q559" s="10">
        <v>10</v>
      </c>
      <c r="R559" s="10" t="s">
        <v>3043</v>
      </c>
      <c r="S559" s="10" t="s">
        <v>6788</v>
      </c>
      <c r="T559" s="10" t="s">
        <v>6789</v>
      </c>
      <c r="U559" s="10">
        <v>0</v>
      </c>
      <c r="V559" s="10">
        <v>162</v>
      </c>
      <c r="W559" s="67"/>
      <c r="X559" s="11" t="s">
        <v>3062</v>
      </c>
      <c r="Y559" s="11" t="s">
        <v>3715</v>
      </c>
      <c r="Z559" s="11" t="s">
        <v>3862</v>
      </c>
      <c r="AA559" s="67">
        <v>45565</v>
      </c>
      <c r="AB559" s="67">
        <v>45566</v>
      </c>
      <c r="AC559" s="67">
        <v>45596</v>
      </c>
      <c r="AD559" s="67">
        <v>45595</v>
      </c>
      <c r="AE559" s="67">
        <v>45596</v>
      </c>
    </row>
    <row r="560" spans="1:31" ht="12.5">
      <c r="A560" s="10">
        <v>610422100131</v>
      </c>
      <c r="B560" s="10" t="s">
        <v>36</v>
      </c>
      <c r="D560" s="10">
        <v>1</v>
      </c>
      <c r="E560" s="10" t="s">
        <v>6046</v>
      </c>
      <c r="F560" s="10" t="s">
        <v>25</v>
      </c>
      <c r="G560" s="10" t="s">
        <v>2683</v>
      </c>
      <c r="H560" s="10" t="s">
        <v>84</v>
      </c>
      <c r="I560" s="10" t="s">
        <v>6783</v>
      </c>
      <c r="J560" s="10" t="s">
        <v>3036</v>
      </c>
      <c r="K560" s="66">
        <v>116000</v>
      </c>
      <c r="L560" s="10">
        <v>3</v>
      </c>
      <c r="M560" s="10">
        <v>348000</v>
      </c>
      <c r="O560" s="67">
        <v>45596</v>
      </c>
      <c r="P560" s="10">
        <v>2024</v>
      </c>
      <c r="Q560" s="10">
        <v>10</v>
      </c>
      <c r="R560" s="10" t="s">
        <v>3043</v>
      </c>
      <c r="S560" s="10" t="s">
        <v>6790</v>
      </c>
      <c r="T560" s="10" t="s">
        <v>6791</v>
      </c>
      <c r="U560" s="10">
        <v>0</v>
      </c>
      <c r="V560" s="10">
        <v>162</v>
      </c>
      <c r="W560" s="67"/>
      <c r="X560" s="11" t="s">
        <v>3062</v>
      </c>
      <c r="Y560" s="11" t="s">
        <v>5250</v>
      </c>
      <c r="Z560" s="11" t="s">
        <v>5365</v>
      </c>
      <c r="AA560" s="67">
        <v>45565</v>
      </c>
      <c r="AB560" s="67">
        <v>45566</v>
      </c>
      <c r="AC560" s="67">
        <v>45596</v>
      </c>
      <c r="AD560" s="67">
        <v>45595</v>
      </c>
      <c r="AE560" s="67">
        <v>45596</v>
      </c>
    </row>
    <row r="561" spans="1:31" ht="12.5">
      <c r="A561" s="10">
        <v>610422100244</v>
      </c>
      <c r="B561" s="10" t="s">
        <v>36</v>
      </c>
      <c r="D561" s="10">
        <v>1</v>
      </c>
      <c r="E561" s="10" t="s">
        <v>2633</v>
      </c>
      <c r="F561" s="10" t="s">
        <v>25</v>
      </c>
      <c r="G561" s="10" t="s">
        <v>2632</v>
      </c>
      <c r="H561" s="10" t="s">
        <v>84</v>
      </c>
      <c r="I561" s="10" t="s">
        <v>6783</v>
      </c>
      <c r="J561" s="10" t="s">
        <v>3036</v>
      </c>
      <c r="K561" s="66">
        <v>116000</v>
      </c>
      <c r="L561" s="10">
        <v>3</v>
      </c>
      <c r="M561" s="10">
        <v>348000</v>
      </c>
      <c r="O561" s="67">
        <v>45596</v>
      </c>
      <c r="P561" s="10">
        <v>2024</v>
      </c>
      <c r="Q561" s="10">
        <v>10</v>
      </c>
      <c r="R561" s="10" t="s">
        <v>3043</v>
      </c>
      <c r="S561" s="10" t="s">
        <v>6763</v>
      </c>
      <c r="T561" s="10" t="s">
        <v>6764</v>
      </c>
      <c r="U561" s="10">
        <v>0</v>
      </c>
      <c r="V561" s="10">
        <v>162</v>
      </c>
      <c r="W561" s="67"/>
      <c r="X561" s="11" t="s">
        <v>3062</v>
      </c>
      <c r="Y561" s="11" t="s">
        <v>5741</v>
      </c>
      <c r="Z561" s="11" t="s">
        <v>5796</v>
      </c>
      <c r="AA561" s="67">
        <v>45565</v>
      </c>
      <c r="AB561" s="67">
        <v>45566</v>
      </c>
      <c r="AC561" s="67">
        <v>45596</v>
      </c>
      <c r="AD561" s="67">
        <v>45595</v>
      </c>
      <c r="AE561" s="67">
        <v>45596</v>
      </c>
    </row>
    <row r="562" spans="1:31" ht="12.5">
      <c r="A562" s="10">
        <v>610422100176</v>
      </c>
      <c r="B562" s="10" t="s">
        <v>36</v>
      </c>
      <c r="D562" s="10">
        <v>1</v>
      </c>
      <c r="E562" s="10" t="s">
        <v>1190</v>
      </c>
      <c r="F562" s="10" t="s">
        <v>25</v>
      </c>
      <c r="G562" s="10" t="s">
        <v>1189</v>
      </c>
      <c r="H562" s="10" t="s">
        <v>84</v>
      </c>
      <c r="I562" s="10" t="s">
        <v>6783</v>
      </c>
      <c r="J562" s="10" t="s">
        <v>3036</v>
      </c>
      <c r="K562" s="66">
        <v>116000</v>
      </c>
      <c r="L562" s="10">
        <v>3</v>
      </c>
      <c r="M562" s="10">
        <v>348000</v>
      </c>
      <c r="O562" s="67">
        <v>45596</v>
      </c>
      <c r="P562" s="10">
        <v>2024</v>
      </c>
      <c r="Q562" s="10">
        <v>10</v>
      </c>
      <c r="R562" s="10" t="s">
        <v>3043</v>
      </c>
      <c r="S562" s="10" t="s">
        <v>6792</v>
      </c>
      <c r="T562" s="10" t="s">
        <v>6793</v>
      </c>
      <c r="U562" s="10">
        <v>0</v>
      </c>
      <c r="V562" s="10">
        <v>162</v>
      </c>
      <c r="W562" s="67"/>
      <c r="X562" s="11" t="s">
        <v>3062</v>
      </c>
      <c r="Y562" s="11" t="s">
        <v>3715</v>
      </c>
      <c r="Z562" s="11" t="s">
        <v>3765</v>
      </c>
      <c r="AA562" s="67">
        <v>45565</v>
      </c>
      <c r="AB562" s="67">
        <v>45566</v>
      </c>
      <c r="AC562" s="67">
        <v>45596</v>
      </c>
      <c r="AD562" s="67">
        <v>45595</v>
      </c>
      <c r="AE562" s="67">
        <v>45596</v>
      </c>
    </row>
    <row r="563" spans="1:31" ht="12.5">
      <c r="A563" s="10">
        <v>610423110183</v>
      </c>
      <c r="B563" s="10" t="s">
        <v>36</v>
      </c>
      <c r="D563" s="10">
        <v>1</v>
      </c>
      <c r="E563" s="10" t="s">
        <v>5924</v>
      </c>
      <c r="F563" s="10" t="s">
        <v>25</v>
      </c>
      <c r="G563" s="10" t="s">
        <v>742</v>
      </c>
      <c r="H563" s="10" t="s">
        <v>84</v>
      </c>
      <c r="I563" s="10" t="s">
        <v>6783</v>
      </c>
      <c r="J563" s="10" t="s">
        <v>3036</v>
      </c>
      <c r="K563" s="66">
        <v>116000</v>
      </c>
      <c r="L563" s="10">
        <v>6</v>
      </c>
      <c r="M563" s="10">
        <v>696000</v>
      </c>
      <c r="O563" s="67">
        <v>45596</v>
      </c>
      <c r="P563" s="10">
        <v>2024</v>
      </c>
      <c r="Q563" s="10">
        <v>10</v>
      </c>
      <c r="R563" s="10" t="s">
        <v>3043</v>
      </c>
      <c r="S563" s="10" t="s">
        <v>6794</v>
      </c>
      <c r="T563" s="10" t="s">
        <v>6795</v>
      </c>
      <c r="U563" s="10">
        <v>0</v>
      </c>
      <c r="V563" s="10">
        <v>162</v>
      </c>
      <c r="W563" s="67"/>
      <c r="X563" s="11" t="s">
        <v>3062</v>
      </c>
      <c r="Y563" s="11" t="s">
        <v>3241</v>
      </c>
      <c r="Z563" s="11" t="s">
        <v>3242</v>
      </c>
      <c r="AA563" s="67">
        <v>45565</v>
      </c>
      <c r="AB563" s="67">
        <v>45566</v>
      </c>
      <c r="AC563" s="67">
        <v>45596</v>
      </c>
      <c r="AD563" s="67">
        <v>45595</v>
      </c>
      <c r="AE563" s="67">
        <v>45596</v>
      </c>
    </row>
    <row r="564" spans="1:31" ht="12.5">
      <c r="A564" s="10">
        <v>610423040018</v>
      </c>
      <c r="B564" s="10" t="s">
        <v>36</v>
      </c>
      <c r="D564" s="10">
        <v>1</v>
      </c>
      <c r="E564" s="10" t="s">
        <v>1301</v>
      </c>
      <c r="F564" s="10" t="s">
        <v>25</v>
      </c>
      <c r="G564" s="10" t="s">
        <v>1300</v>
      </c>
      <c r="H564" s="10" t="s">
        <v>84</v>
      </c>
      <c r="I564" s="10" t="s">
        <v>6783</v>
      </c>
      <c r="J564" s="10" t="s">
        <v>3036</v>
      </c>
      <c r="K564" s="66">
        <v>116000</v>
      </c>
      <c r="L564" s="10">
        <v>4</v>
      </c>
      <c r="M564" s="10">
        <v>464000</v>
      </c>
      <c r="O564" s="67">
        <v>45596</v>
      </c>
      <c r="P564" s="10">
        <v>2024</v>
      </c>
      <c r="Q564" s="10">
        <v>10</v>
      </c>
      <c r="R564" s="10" t="s">
        <v>3043</v>
      </c>
      <c r="S564" s="10" t="s">
        <v>6796</v>
      </c>
      <c r="T564" s="10" t="s">
        <v>6797</v>
      </c>
      <c r="U564" s="10">
        <v>0</v>
      </c>
      <c r="V564" s="10">
        <v>162</v>
      </c>
      <c r="W564" s="67"/>
      <c r="X564" s="11" t="s">
        <v>3062</v>
      </c>
      <c r="Y564" s="11" t="s">
        <v>5534</v>
      </c>
      <c r="Z564" s="11" t="s">
        <v>5647</v>
      </c>
      <c r="AA564" s="67">
        <v>45565</v>
      </c>
      <c r="AB564" s="67">
        <v>45566</v>
      </c>
      <c r="AC564" s="67">
        <v>45596</v>
      </c>
      <c r="AD564" s="67">
        <v>45595</v>
      </c>
      <c r="AE564" s="67">
        <v>45596</v>
      </c>
    </row>
    <row r="565" spans="1:31" ht="12.5">
      <c r="A565" s="10">
        <v>610422040059</v>
      </c>
      <c r="B565" s="10" t="s">
        <v>36</v>
      </c>
      <c r="D565" s="10">
        <v>1</v>
      </c>
      <c r="E565" s="10" t="s">
        <v>365</v>
      </c>
      <c r="F565" s="10" t="s">
        <v>25</v>
      </c>
      <c r="G565" s="10" t="s">
        <v>364</v>
      </c>
      <c r="H565" s="10" t="s">
        <v>85</v>
      </c>
      <c r="I565" s="10" t="s">
        <v>6798</v>
      </c>
      <c r="J565" s="10" t="s">
        <v>3036</v>
      </c>
      <c r="K565" s="66">
        <v>59000</v>
      </c>
      <c r="L565" s="10">
        <v>6</v>
      </c>
      <c r="M565" s="10">
        <v>354000</v>
      </c>
      <c r="O565" s="67">
        <v>45596</v>
      </c>
      <c r="P565" s="10">
        <v>2024</v>
      </c>
      <c r="Q565" s="10">
        <v>10</v>
      </c>
      <c r="R565" s="10" t="s">
        <v>3043</v>
      </c>
      <c r="S565" s="10" t="s">
        <v>6786</v>
      </c>
      <c r="T565" s="10" t="s">
        <v>6787</v>
      </c>
      <c r="U565" s="10">
        <v>0</v>
      </c>
      <c r="V565" s="10">
        <v>162</v>
      </c>
      <c r="W565" s="67"/>
      <c r="X565" s="11" t="s">
        <v>3062</v>
      </c>
      <c r="Y565" s="11" t="s">
        <v>4572</v>
      </c>
      <c r="Z565" s="11" t="s">
        <v>4656</v>
      </c>
      <c r="AA565" s="67">
        <v>45565</v>
      </c>
      <c r="AB565" s="67">
        <v>45566</v>
      </c>
      <c r="AC565" s="67">
        <v>45596</v>
      </c>
      <c r="AD565" s="67">
        <v>45595</v>
      </c>
      <c r="AE565" s="67">
        <v>45596</v>
      </c>
    </row>
    <row r="566" spans="1:31" ht="12.5">
      <c r="A566" s="10">
        <v>610422020048</v>
      </c>
      <c r="B566" s="10" t="s">
        <v>36</v>
      </c>
      <c r="D566" s="10">
        <v>1</v>
      </c>
      <c r="E566" s="10" t="s">
        <v>1359</v>
      </c>
      <c r="F566" s="10" t="s">
        <v>25</v>
      </c>
      <c r="G566" s="10" t="s">
        <v>1358</v>
      </c>
      <c r="H566" s="10" t="s">
        <v>85</v>
      </c>
      <c r="I566" s="10" t="s">
        <v>6798</v>
      </c>
      <c r="J566" s="10" t="s">
        <v>3036</v>
      </c>
      <c r="K566" s="66">
        <v>59000</v>
      </c>
      <c r="L566" s="10">
        <v>6</v>
      </c>
      <c r="M566" s="10">
        <v>354000</v>
      </c>
      <c r="O566" s="67">
        <v>45596</v>
      </c>
      <c r="P566" s="10">
        <v>2024</v>
      </c>
      <c r="Q566" s="10">
        <v>10</v>
      </c>
      <c r="R566" s="10" t="s">
        <v>3043</v>
      </c>
      <c r="S566" s="10" t="s">
        <v>6769</v>
      </c>
      <c r="T566" s="10" t="s">
        <v>6770</v>
      </c>
      <c r="U566" s="10">
        <v>0</v>
      </c>
      <c r="V566" s="10">
        <v>162</v>
      </c>
      <c r="W566" s="67"/>
      <c r="X566" s="11" t="s">
        <v>3062</v>
      </c>
      <c r="Y566" s="11" t="s">
        <v>4931</v>
      </c>
      <c r="Z566" s="11" t="s">
        <v>5171</v>
      </c>
      <c r="AA566" s="67">
        <v>45565</v>
      </c>
      <c r="AB566" s="67">
        <v>45566</v>
      </c>
      <c r="AC566" s="67">
        <v>45596</v>
      </c>
      <c r="AD566" s="67">
        <v>45595</v>
      </c>
      <c r="AE566" s="67">
        <v>45596</v>
      </c>
    </row>
    <row r="567" spans="1:31" ht="12.5">
      <c r="A567" s="10">
        <v>610422040058</v>
      </c>
      <c r="B567" s="10" t="s">
        <v>36</v>
      </c>
      <c r="D567" s="10">
        <v>1</v>
      </c>
      <c r="E567" s="10" t="s">
        <v>5976</v>
      </c>
      <c r="F567" s="10" t="s">
        <v>25</v>
      </c>
      <c r="G567" s="10" t="s">
        <v>1547</v>
      </c>
      <c r="H567" s="10" t="s">
        <v>85</v>
      </c>
      <c r="I567" s="10" t="s">
        <v>6798</v>
      </c>
      <c r="J567" s="10" t="s">
        <v>3036</v>
      </c>
      <c r="K567" s="66">
        <v>59000</v>
      </c>
      <c r="L567" s="10">
        <v>10</v>
      </c>
      <c r="M567" s="10">
        <v>590000</v>
      </c>
      <c r="O567" s="67">
        <v>45596</v>
      </c>
      <c r="P567" s="10">
        <v>2024</v>
      </c>
      <c r="Q567" s="10">
        <v>10</v>
      </c>
      <c r="R567" s="10" t="s">
        <v>3043</v>
      </c>
      <c r="S567" s="10" t="s">
        <v>6799</v>
      </c>
      <c r="T567" s="10" t="s">
        <v>6800</v>
      </c>
      <c r="U567" s="10">
        <v>0</v>
      </c>
      <c r="V567" s="10">
        <v>162</v>
      </c>
      <c r="W567" s="67"/>
      <c r="X567" s="11" t="s">
        <v>3062</v>
      </c>
      <c r="Y567" s="11" t="s">
        <v>3715</v>
      </c>
      <c r="Z567" s="11" t="s">
        <v>3716</v>
      </c>
      <c r="AA567" s="67">
        <v>45565</v>
      </c>
      <c r="AB567" s="67">
        <v>45566</v>
      </c>
      <c r="AC567" s="67">
        <v>45596</v>
      </c>
      <c r="AD567" s="67">
        <v>45595</v>
      </c>
      <c r="AE567" s="67">
        <v>45596</v>
      </c>
    </row>
    <row r="568" spans="1:31" ht="12.5">
      <c r="A568" s="10">
        <v>610423110183</v>
      </c>
      <c r="B568" s="10" t="s">
        <v>36</v>
      </c>
      <c r="D568" s="10">
        <v>1</v>
      </c>
      <c r="E568" s="10" t="s">
        <v>5924</v>
      </c>
      <c r="F568" s="10" t="s">
        <v>25</v>
      </c>
      <c r="G568" s="10" t="s">
        <v>742</v>
      </c>
      <c r="H568" s="10" t="s">
        <v>85</v>
      </c>
      <c r="I568" s="10" t="s">
        <v>6798</v>
      </c>
      <c r="J568" s="10" t="s">
        <v>3036</v>
      </c>
      <c r="K568" s="66">
        <v>59000</v>
      </c>
      <c r="L568" s="10">
        <v>6</v>
      </c>
      <c r="M568" s="10">
        <v>354000</v>
      </c>
      <c r="O568" s="67">
        <v>45596</v>
      </c>
      <c r="P568" s="10">
        <v>2024</v>
      </c>
      <c r="Q568" s="10">
        <v>10</v>
      </c>
      <c r="R568" s="10" t="s">
        <v>3043</v>
      </c>
      <c r="S568" s="10" t="s">
        <v>6794</v>
      </c>
      <c r="T568" s="10" t="s">
        <v>6795</v>
      </c>
      <c r="U568" s="10">
        <v>0</v>
      </c>
      <c r="V568" s="10">
        <v>162</v>
      </c>
      <c r="W568" s="67"/>
      <c r="X568" s="11" t="s">
        <v>3062</v>
      </c>
      <c r="Y568" s="11" t="s">
        <v>3241</v>
      </c>
      <c r="Z568" s="11" t="s">
        <v>3242</v>
      </c>
      <c r="AA568" s="67">
        <v>45565</v>
      </c>
      <c r="AB568" s="67">
        <v>45566</v>
      </c>
      <c r="AC568" s="67">
        <v>45596</v>
      </c>
      <c r="AD568" s="67">
        <v>45595</v>
      </c>
      <c r="AE568" s="67">
        <v>45596</v>
      </c>
    </row>
    <row r="569" spans="1:31" ht="12.5">
      <c r="A569" s="10">
        <v>610422100244</v>
      </c>
      <c r="B569" s="10" t="s">
        <v>36</v>
      </c>
      <c r="D569" s="10">
        <v>1</v>
      </c>
      <c r="E569" s="10" t="s">
        <v>2633</v>
      </c>
      <c r="F569" s="10" t="s">
        <v>25</v>
      </c>
      <c r="G569" s="10" t="s">
        <v>2632</v>
      </c>
      <c r="H569" s="10" t="s">
        <v>85</v>
      </c>
      <c r="I569" s="10" t="s">
        <v>6798</v>
      </c>
      <c r="J569" s="10" t="s">
        <v>3036</v>
      </c>
      <c r="K569" s="66">
        <v>59000</v>
      </c>
      <c r="L569" s="10">
        <v>8</v>
      </c>
      <c r="M569" s="10">
        <v>472000</v>
      </c>
      <c r="O569" s="67">
        <v>45596</v>
      </c>
      <c r="P569" s="10">
        <v>2024</v>
      </c>
      <c r="Q569" s="10">
        <v>10</v>
      </c>
      <c r="R569" s="10" t="s">
        <v>3043</v>
      </c>
      <c r="S569" s="10" t="s">
        <v>6763</v>
      </c>
      <c r="T569" s="10" t="s">
        <v>6764</v>
      </c>
      <c r="U569" s="10">
        <v>0</v>
      </c>
      <c r="V569" s="10">
        <v>162</v>
      </c>
      <c r="W569" s="67"/>
      <c r="X569" s="11" t="s">
        <v>3062</v>
      </c>
      <c r="Y569" s="11" t="s">
        <v>5741</v>
      </c>
      <c r="Z569" s="11" t="s">
        <v>5796</v>
      </c>
      <c r="AA569" s="67">
        <v>45565</v>
      </c>
      <c r="AB569" s="67">
        <v>45566</v>
      </c>
      <c r="AC569" s="67">
        <v>45596</v>
      </c>
      <c r="AD569" s="67">
        <v>45595</v>
      </c>
      <c r="AE569" s="67">
        <v>45596</v>
      </c>
    </row>
    <row r="570" spans="1:31" ht="12.5">
      <c r="A570" s="10">
        <v>610422040056</v>
      </c>
      <c r="B570" s="10" t="s">
        <v>290</v>
      </c>
      <c r="D570" s="10">
        <v>1</v>
      </c>
      <c r="E570" s="10" t="s">
        <v>2825</v>
      </c>
      <c r="F570" s="10" t="s">
        <v>25</v>
      </c>
      <c r="G570" s="10" t="s">
        <v>2824</v>
      </c>
      <c r="H570" s="10" t="s">
        <v>67</v>
      </c>
      <c r="I570" s="10" t="s">
        <v>291</v>
      </c>
      <c r="J570" s="10" t="s">
        <v>164</v>
      </c>
      <c r="K570" s="66">
        <v>65000</v>
      </c>
      <c r="L570" s="10">
        <v>10</v>
      </c>
      <c r="M570" s="10">
        <v>650000</v>
      </c>
      <c r="O570" s="67">
        <v>45596</v>
      </c>
      <c r="P570" s="10">
        <v>2024</v>
      </c>
      <c r="Q570" s="10">
        <v>10</v>
      </c>
      <c r="R570" s="10" t="s">
        <v>3043</v>
      </c>
      <c r="S570" s="10" t="s">
        <v>6781</v>
      </c>
      <c r="T570" s="10" t="s">
        <v>6782</v>
      </c>
      <c r="U570" s="10">
        <v>0</v>
      </c>
      <c r="V570" s="10">
        <v>162</v>
      </c>
      <c r="W570" s="67"/>
      <c r="X570" s="11" t="s">
        <v>3164</v>
      </c>
      <c r="Y570" s="11" t="s">
        <v>4572</v>
      </c>
      <c r="Z570" s="11" t="s">
        <v>4656</v>
      </c>
      <c r="AA570" s="67">
        <v>45565</v>
      </c>
      <c r="AB570" s="67">
        <v>45566</v>
      </c>
      <c r="AC570" s="67">
        <v>45596</v>
      </c>
      <c r="AD570" s="67">
        <v>45595</v>
      </c>
      <c r="AE570" s="67">
        <v>45596</v>
      </c>
    </row>
    <row r="571" spans="1:31" ht="12.5">
      <c r="A571" s="10">
        <v>610422040029</v>
      </c>
      <c r="B571" s="10" t="s">
        <v>292</v>
      </c>
      <c r="D571" s="10">
        <v>1</v>
      </c>
      <c r="E571" s="10" t="s">
        <v>3000</v>
      </c>
      <c r="F571" s="10" t="s">
        <v>25</v>
      </c>
      <c r="G571" s="10" t="s">
        <v>2999</v>
      </c>
      <c r="H571" s="10" t="s">
        <v>67</v>
      </c>
      <c r="I571" s="10" t="s">
        <v>293</v>
      </c>
      <c r="J571" s="10" t="s">
        <v>164</v>
      </c>
      <c r="K571" s="66">
        <v>55000</v>
      </c>
      <c r="L571" s="10">
        <v>1</v>
      </c>
      <c r="M571" s="10">
        <v>55000</v>
      </c>
      <c r="O571" s="67">
        <v>45596</v>
      </c>
      <c r="P571" s="10">
        <v>2024</v>
      </c>
      <c r="Q571" s="10">
        <v>10</v>
      </c>
      <c r="R571" s="10" t="s">
        <v>3043</v>
      </c>
      <c r="S571" s="10" t="s">
        <v>6767</v>
      </c>
      <c r="T571" s="10" t="s">
        <v>6768</v>
      </c>
      <c r="U571" s="10">
        <v>0</v>
      </c>
      <c r="V571" s="10">
        <v>162</v>
      </c>
      <c r="W571" s="67"/>
      <c r="X571" s="11" t="s">
        <v>3168</v>
      </c>
      <c r="Y571" s="11" t="s">
        <v>4572</v>
      </c>
      <c r="Z571" s="11" t="s">
        <v>4619</v>
      </c>
      <c r="AA571" s="67">
        <v>45565</v>
      </c>
      <c r="AB571" s="67">
        <v>45566</v>
      </c>
      <c r="AC571" s="67">
        <v>45596</v>
      </c>
      <c r="AD571" s="67">
        <v>45595</v>
      </c>
      <c r="AE571" s="67">
        <v>45596</v>
      </c>
    </row>
    <row r="572" spans="1:31" ht="12.5">
      <c r="A572" s="10">
        <v>610422040029</v>
      </c>
      <c r="B572" s="10" t="s">
        <v>292</v>
      </c>
      <c r="D572" s="10">
        <v>1</v>
      </c>
      <c r="E572" s="10" t="s">
        <v>3000</v>
      </c>
      <c r="F572" s="10" t="s">
        <v>25</v>
      </c>
      <c r="G572" s="10" t="s">
        <v>2999</v>
      </c>
      <c r="H572" s="10" t="s">
        <v>67</v>
      </c>
      <c r="I572" s="10" t="s">
        <v>294</v>
      </c>
      <c r="J572" s="10" t="s">
        <v>164</v>
      </c>
      <c r="K572" s="66">
        <v>55000</v>
      </c>
      <c r="L572" s="10">
        <v>2</v>
      </c>
      <c r="M572" s="10">
        <v>110000</v>
      </c>
      <c r="O572" s="67">
        <v>45596</v>
      </c>
      <c r="P572" s="10">
        <v>2024</v>
      </c>
      <c r="Q572" s="10">
        <v>10</v>
      </c>
      <c r="R572" s="10" t="s">
        <v>3043</v>
      </c>
      <c r="S572" s="10" t="s">
        <v>6767</v>
      </c>
      <c r="T572" s="10" t="s">
        <v>6768</v>
      </c>
      <c r="U572" s="10">
        <v>0</v>
      </c>
      <c r="V572" s="10">
        <v>162</v>
      </c>
      <c r="W572" s="67"/>
      <c r="X572" s="11" t="s">
        <v>3168</v>
      </c>
      <c r="Y572" s="11" t="s">
        <v>4572</v>
      </c>
      <c r="Z572" s="11" t="s">
        <v>4619</v>
      </c>
      <c r="AA572" s="67">
        <v>45565</v>
      </c>
      <c r="AB572" s="67">
        <v>45566</v>
      </c>
      <c r="AC572" s="67">
        <v>45596</v>
      </c>
      <c r="AD572" s="67">
        <v>45595</v>
      </c>
      <c r="AE572" s="67">
        <v>45596</v>
      </c>
    </row>
    <row r="573" spans="1:31" ht="12.5">
      <c r="A573" s="10">
        <v>610422030002</v>
      </c>
      <c r="B573" s="10" t="s">
        <v>295</v>
      </c>
      <c r="D573" s="10">
        <v>1</v>
      </c>
      <c r="E573" s="10" t="s">
        <v>5934</v>
      </c>
      <c r="F573" s="10" t="s">
        <v>25</v>
      </c>
      <c r="G573" s="10" t="s">
        <v>929</v>
      </c>
      <c r="H573" s="10" t="s">
        <v>67</v>
      </c>
      <c r="I573" s="10" t="s">
        <v>296</v>
      </c>
      <c r="J573" s="10" t="s">
        <v>164</v>
      </c>
      <c r="K573" s="66">
        <v>50000</v>
      </c>
      <c r="L573" s="10">
        <v>15</v>
      </c>
      <c r="M573" s="10">
        <v>750000</v>
      </c>
      <c r="O573" s="67">
        <v>45616</v>
      </c>
      <c r="P573" s="10">
        <v>2024</v>
      </c>
      <c r="Q573" s="10">
        <v>11</v>
      </c>
      <c r="R573" s="10" t="s">
        <v>3043</v>
      </c>
      <c r="S573" s="10" t="s">
        <v>6801</v>
      </c>
      <c r="T573" s="10" t="s">
        <v>6802</v>
      </c>
      <c r="U573" s="10">
        <v>0</v>
      </c>
      <c r="V573" s="10">
        <v>182</v>
      </c>
      <c r="W573" s="67"/>
      <c r="X573" s="11" t="s">
        <v>3097</v>
      </c>
      <c r="Y573" s="11" t="s">
        <v>3715</v>
      </c>
      <c r="Z573" s="11" t="s">
        <v>3716</v>
      </c>
      <c r="AA573" s="67">
        <v>45596</v>
      </c>
      <c r="AB573" s="67">
        <v>45597</v>
      </c>
      <c r="AC573" s="67">
        <v>45626</v>
      </c>
      <c r="AD573" s="67">
        <v>45625</v>
      </c>
      <c r="AE573" s="67">
        <v>45626</v>
      </c>
    </row>
    <row r="574" spans="1:31" ht="12.5">
      <c r="A574" s="10">
        <v>610422100244</v>
      </c>
      <c r="B574" s="10" t="s">
        <v>297</v>
      </c>
      <c r="D574" s="10">
        <v>1</v>
      </c>
      <c r="E574" s="10" t="s">
        <v>2633</v>
      </c>
      <c r="F574" s="10" t="s">
        <v>25</v>
      </c>
      <c r="G574" s="10" t="s">
        <v>2632</v>
      </c>
      <c r="H574" s="10" t="s">
        <v>67</v>
      </c>
      <c r="I574" s="10" t="s">
        <v>298</v>
      </c>
      <c r="J574" s="10" t="s">
        <v>164</v>
      </c>
      <c r="K574" s="66">
        <v>50000</v>
      </c>
      <c r="L574" s="10">
        <v>1</v>
      </c>
      <c r="M574" s="10">
        <v>50000</v>
      </c>
      <c r="O574" s="67">
        <v>45616</v>
      </c>
      <c r="P574" s="10">
        <v>2024</v>
      </c>
      <c r="Q574" s="10">
        <v>11</v>
      </c>
      <c r="R574" s="10" t="s">
        <v>3043</v>
      </c>
      <c r="S574" s="10" t="s">
        <v>6803</v>
      </c>
      <c r="T574" s="10" t="s">
        <v>6804</v>
      </c>
      <c r="U574" s="10">
        <v>0</v>
      </c>
      <c r="V574" s="10">
        <v>182</v>
      </c>
      <c r="W574" s="67"/>
      <c r="X574" s="11" t="s">
        <v>3085</v>
      </c>
      <c r="Y574" s="11" t="s">
        <v>5741</v>
      </c>
      <c r="Z574" s="11" t="s">
        <v>5796</v>
      </c>
      <c r="AA574" s="67">
        <v>45596</v>
      </c>
      <c r="AB574" s="67">
        <v>45597</v>
      </c>
      <c r="AC574" s="67">
        <v>45626</v>
      </c>
      <c r="AD574" s="67">
        <v>45625</v>
      </c>
      <c r="AE574" s="67">
        <v>45626</v>
      </c>
    </row>
    <row r="575" spans="1:31" ht="12.5">
      <c r="A575" s="10">
        <v>610422100124</v>
      </c>
      <c r="B575" s="10" t="s">
        <v>297</v>
      </c>
      <c r="D575" s="10">
        <v>1</v>
      </c>
      <c r="E575" s="10" t="s">
        <v>2237</v>
      </c>
      <c r="F575" s="10" t="s">
        <v>25</v>
      </c>
      <c r="G575" s="10" t="s">
        <v>2236</v>
      </c>
      <c r="H575" s="10" t="s">
        <v>67</v>
      </c>
      <c r="I575" s="10" t="s">
        <v>298</v>
      </c>
      <c r="J575" s="10" t="s">
        <v>164</v>
      </c>
      <c r="K575" s="66">
        <v>50000</v>
      </c>
      <c r="L575" s="10">
        <v>1</v>
      </c>
      <c r="M575" s="10">
        <v>50000</v>
      </c>
      <c r="O575" s="67">
        <v>45616</v>
      </c>
      <c r="P575" s="10">
        <v>2024</v>
      </c>
      <c r="Q575" s="10">
        <v>11</v>
      </c>
      <c r="R575" s="10" t="s">
        <v>3043</v>
      </c>
      <c r="S575" s="10" t="s">
        <v>6805</v>
      </c>
      <c r="T575" s="10" t="s">
        <v>6806</v>
      </c>
      <c r="U575" s="10">
        <v>0</v>
      </c>
      <c r="V575" s="10">
        <v>182</v>
      </c>
      <c r="W575" s="67"/>
      <c r="X575" s="11" t="s">
        <v>3085</v>
      </c>
      <c r="Y575" s="11" t="s">
        <v>1921</v>
      </c>
      <c r="Z575" s="11" t="s">
        <v>2140</v>
      </c>
      <c r="AA575" s="67">
        <v>45596</v>
      </c>
      <c r="AB575" s="67">
        <v>45597</v>
      </c>
      <c r="AC575" s="67">
        <v>45626</v>
      </c>
      <c r="AD575" s="67">
        <v>45625</v>
      </c>
      <c r="AE575" s="67">
        <v>45626</v>
      </c>
    </row>
    <row r="576" spans="1:31" ht="12.5">
      <c r="A576" s="10">
        <v>610422100016</v>
      </c>
      <c r="B576" s="10" t="s">
        <v>299</v>
      </c>
      <c r="D576" s="10">
        <v>1</v>
      </c>
      <c r="E576" s="10" t="s">
        <v>550</v>
      </c>
      <c r="F576" s="10" t="s">
        <v>25</v>
      </c>
      <c r="G576" s="10" t="s">
        <v>549</v>
      </c>
      <c r="H576" s="10" t="s">
        <v>72</v>
      </c>
      <c r="I576" s="10" t="s">
        <v>300</v>
      </c>
      <c r="J576" s="10" t="s">
        <v>164</v>
      </c>
      <c r="K576" s="66">
        <v>65000</v>
      </c>
      <c r="L576" s="10">
        <v>3</v>
      </c>
      <c r="M576" s="10">
        <v>195000</v>
      </c>
      <c r="O576" s="67">
        <v>45616</v>
      </c>
      <c r="P576" s="10">
        <v>2024</v>
      </c>
      <c r="Q576" s="10">
        <v>11</v>
      </c>
      <c r="R576" s="10" t="s">
        <v>3043</v>
      </c>
      <c r="S576" s="10" t="s">
        <v>6807</v>
      </c>
      <c r="T576" s="10" t="s">
        <v>6808</v>
      </c>
      <c r="U576" s="10">
        <v>0</v>
      </c>
      <c r="V576" s="10">
        <v>182</v>
      </c>
      <c r="W576" s="67"/>
      <c r="X576" s="11" t="s">
        <v>3114</v>
      </c>
      <c r="Y576" s="11" t="s">
        <v>5250</v>
      </c>
      <c r="Z576" s="11" t="s">
        <v>5365</v>
      </c>
      <c r="AA576" s="67">
        <v>45596</v>
      </c>
      <c r="AB576" s="67">
        <v>45597</v>
      </c>
      <c r="AC576" s="67">
        <v>45626</v>
      </c>
      <c r="AD576" s="67">
        <v>45625</v>
      </c>
      <c r="AE576" s="67">
        <v>45626</v>
      </c>
    </row>
    <row r="577" spans="1:31" ht="12.5">
      <c r="A577" s="10">
        <v>610422050001</v>
      </c>
      <c r="B577" s="10" t="s">
        <v>299</v>
      </c>
      <c r="D577" s="10">
        <v>1</v>
      </c>
      <c r="E577" s="10" t="s">
        <v>5949</v>
      </c>
      <c r="F577" s="10" t="s">
        <v>25</v>
      </c>
      <c r="G577" s="10" t="s">
        <v>1127</v>
      </c>
      <c r="H577" s="10" t="s">
        <v>72</v>
      </c>
      <c r="I577" s="10" t="s">
        <v>300</v>
      </c>
      <c r="J577" s="10" t="s">
        <v>164</v>
      </c>
      <c r="K577" s="66">
        <v>65000</v>
      </c>
      <c r="L577" s="10">
        <v>3</v>
      </c>
      <c r="M577" s="10">
        <v>195000</v>
      </c>
      <c r="O577" s="67">
        <v>45616</v>
      </c>
      <c r="P577" s="10">
        <v>2024</v>
      </c>
      <c r="Q577" s="10">
        <v>11</v>
      </c>
      <c r="R577" s="10" t="s">
        <v>3043</v>
      </c>
      <c r="S577" s="10" t="s">
        <v>6809</v>
      </c>
      <c r="T577" s="10" t="s">
        <v>6810</v>
      </c>
      <c r="U577" s="10">
        <v>0</v>
      </c>
      <c r="V577" s="10">
        <v>182</v>
      </c>
      <c r="W577" s="67"/>
      <c r="X577" s="11" t="s">
        <v>3114</v>
      </c>
      <c r="Y577" s="11" t="s">
        <v>4408</v>
      </c>
      <c r="Z577" s="11" t="s">
        <v>4409</v>
      </c>
      <c r="AA577" s="67">
        <v>45596</v>
      </c>
      <c r="AB577" s="67">
        <v>45597</v>
      </c>
      <c r="AC577" s="67">
        <v>45626</v>
      </c>
      <c r="AD577" s="67">
        <v>45625</v>
      </c>
      <c r="AE577" s="67">
        <v>45626</v>
      </c>
    </row>
    <row r="578" spans="1:31" ht="12.5">
      <c r="A578" s="10">
        <v>610422040030</v>
      </c>
      <c r="B578" s="10" t="s">
        <v>299</v>
      </c>
      <c r="D578" s="10">
        <v>1</v>
      </c>
      <c r="E578" s="10" t="s">
        <v>2697</v>
      </c>
      <c r="F578" s="10" t="s">
        <v>25</v>
      </c>
      <c r="G578" s="10" t="s">
        <v>2696</v>
      </c>
      <c r="H578" s="10" t="s">
        <v>74</v>
      </c>
      <c r="I578" s="10" t="s">
        <v>301</v>
      </c>
      <c r="J578" s="10" t="s">
        <v>164</v>
      </c>
      <c r="K578" s="66">
        <v>55000</v>
      </c>
      <c r="L578" s="10">
        <v>1</v>
      </c>
      <c r="M578" s="10">
        <v>55000</v>
      </c>
      <c r="O578" s="67">
        <v>45616</v>
      </c>
      <c r="P578" s="10">
        <v>2024</v>
      </c>
      <c r="Q578" s="10">
        <v>11</v>
      </c>
      <c r="R578" s="10" t="s">
        <v>3043</v>
      </c>
      <c r="S578" s="10" t="s">
        <v>6811</v>
      </c>
      <c r="T578" s="10" t="s">
        <v>6812</v>
      </c>
      <c r="U578" s="10">
        <v>0</v>
      </c>
      <c r="V578" s="10">
        <v>182</v>
      </c>
      <c r="W578" s="67"/>
      <c r="X578" s="11" t="s">
        <v>3114</v>
      </c>
      <c r="Y578" s="11" t="s">
        <v>3241</v>
      </c>
      <c r="Z578" s="11" t="s">
        <v>3289</v>
      </c>
      <c r="AA578" s="67">
        <v>45596</v>
      </c>
      <c r="AB578" s="67">
        <v>45597</v>
      </c>
      <c r="AC578" s="67">
        <v>45626</v>
      </c>
      <c r="AD578" s="67">
        <v>45625</v>
      </c>
      <c r="AE578" s="67">
        <v>45626</v>
      </c>
    </row>
    <row r="579" spans="1:31" ht="12.5">
      <c r="A579" s="10">
        <v>610422100124</v>
      </c>
      <c r="B579" s="10" t="s">
        <v>299</v>
      </c>
      <c r="D579" s="10">
        <v>1</v>
      </c>
      <c r="E579" s="10" t="s">
        <v>2237</v>
      </c>
      <c r="F579" s="10" t="s">
        <v>25</v>
      </c>
      <c r="G579" s="10" t="s">
        <v>2236</v>
      </c>
      <c r="H579" s="10" t="s">
        <v>74</v>
      </c>
      <c r="I579" s="10" t="s">
        <v>301</v>
      </c>
      <c r="J579" s="10" t="s">
        <v>164</v>
      </c>
      <c r="K579" s="66">
        <v>55000</v>
      </c>
      <c r="L579" s="10">
        <v>3</v>
      </c>
      <c r="M579" s="10">
        <v>165000</v>
      </c>
      <c r="O579" s="67">
        <v>45616</v>
      </c>
      <c r="P579" s="10">
        <v>2024</v>
      </c>
      <c r="Q579" s="10">
        <v>11</v>
      </c>
      <c r="R579" s="10" t="s">
        <v>3043</v>
      </c>
      <c r="S579" s="10" t="s">
        <v>6805</v>
      </c>
      <c r="T579" s="10" t="s">
        <v>6806</v>
      </c>
      <c r="U579" s="10">
        <v>0</v>
      </c>
      <c r="V579" s="10">
        <v>182</v>
      </c>
      <c r="W579" s="67"/>
      <c r="X579" s="11" t="s">
        <v>3114</v>
      </c>
      <c r="Y579" s="11" t="s">
        <v>1921</v>
      </c>
      <c r="Z579" s="11" t="s">
        <v>2140</v>
      </c>
      <c r="AA579" s="67">
        <v>45596</v>
      </c>
      <c r="AB579" s="67">
        <v>45597</v>
      </c>
      <c r="AC579" s="67">
        <v>45626</v>
      </c>
      <c r="AD579" s="67">
        <v>45625</v>
      </c>
      <c r="AE579" s="67">
        <v>45626</v>
      </c>
    </row>
    <row r="580" spans="1:31" ht="12.5">
      <c r="A580" s="10">
        <v>610422100244</v>
      </c>
      <c r="B580" s="10" t="s">
        <v>299</v>
      </c>
      <c r="D580" s="10">
        <v>1</v>
      </c>
      <c r="E580" s="10" t="s">
        <v>2633</v>
      </c>
      <c r="F580" s="10" t="s">
        <v>25</v>
      </c>
      <c r="G580" s="10" t="s">
        <v>2632</v>
      </c>
      <c r="H580" s="10" t="s">
        <v>74</v>
      </c>
      <c r="I580" s="10" t="s">
        <v>301</v>
      </c>
      <c r="J580" s="10" t="s">
        <v>164</v>
      </c>
      <c r="K580" s="66">
        <v>55000</v>
      </c>
      <c r="L580" s="10">
        <v>2</v>
      </c>
      <c r="M580" s="10">
        <v>110000</v>
      </c>
      <c r="O580" s="67">
        <v>45616</v>
      </c>
      <c r="P580" s="10">
        <v>2024</v>
      </c>
      <c r="Q580" s="10">
        <v>11</v>
      </c>
      <c r="R580" s="10" t="s">
        <v>3043</v>
      </c>
      <c r="S580" s="10" t="s">
        <v>6803</v>
      </c>
      <c r="T580" s="10" t="s">
        <v>6804</v>
      </c>
      <c r="U580" s="10">
        <v>0</v>
      </c>
      <c r="V580" s="10">
        <v>182</v>
      </c>
      <c r="W580" s="67"/>
      <c r="X580" s="11" t="s">
        <v>3114</v>
      </c>
      <c r="Y580" s="11" t="s">
        <v>5741</v>
      </c>
      <c r="Z580" s="11" t="s">
        <v>5796</v>
      </c>
      <c r="AA580" s="67">
        <v>45596</v>
      </c>
      <c r="AB580" s="67">
        <v>45597</v>
      </c>
      <c r="AC580" s="67">
        <v>45626</v>
      </c>
      <c r="AD580" s="67">
        <v>45625</v>
      </c>
      <c r="AE580" s="67">
        <v>45626</v>
      </c>
    </row>
    <row r="581" spans="1:31" ht="12.5">
      <c r="A581" s="10">
        <v>610422020016</v>
      </c>
      <c r="B581" s="10" t="s">
        <v>299</v>
      </c>
      <c r="D581" s="10">
        <v>1</v>
      </c>
      <c r="E581" s="10" t="s">
        <v>380</v>
      </c>
      <c r="F581" s="10" t="s">
        <v>25</v>
      </c>
      <c r="G581" s="10" t="s">
        <v>379</v>
      </c>
      <c r="H581" s="10" t="s">
        <v>74</v>
      </c>
      <c r="I581" s="10" t="s">
        <v>301</v>
      </c>
      <c r="J581" s="10" t="s">
        <v>164</v>
      </c>
      <c r="K581" s="66">
        <v>55000</v>
      </c>
      <c r="L581" s="10">
        <v>3</v>
      </c>
      <c r="M581" s="10">
        <v>165000</v>
      </c>
      <c r="O581" s="67">
        <v>45616</v>
      </c>
      <c r="P581" s="10">
        <v>2024</v>
      </c>
      <c r="Q581" s="10">
        <v>11</v>
      </c>
      <c r="R581" s="10" t="s">
        <v>3043</v>
      </c>
      <c r="S581" s="10" t="s">
        <v>6813</v>
      </c>
      <c r="T581" s="10" t="s">
        <v>6814</v>
      </c>
      <c r="U581" s="10">
        <v>0</v>
      </c>
      <c r="V581" s="10">
        <v>182</v>
      </c>
      <c r="W581" s="67"/>
      <c r="X581" s="11" t="s">
        <v>3114</v>
      </c>
      <c r="Y581" s="11" t="s">
        <v>5534</v>
      </c>
      <c r="Z581" s="11" t="s">
        <v>5535</v>
      </c>
      <c r="AA581" s="67">
        <v>45596</v>
      </c>
      <c r="AB581" s="67">
        <v>45597</v>
      </c>
      <c r="AC581" s="67">
        <v>45626</v>
      </c>
      <c r="AD581" s="67">
        <v>45625</v>
      </c>
      <c r="AE581" s="67">
        <v>45626</v>
      </c>
    </row>
    <row r="582" spans="1:31" ht="12.5">
      <c r="A582" s="10">
        <v>610422100016</v>
      </c>
      <c r="B582" s="10" t="s">
        <v>299</v>
      </c>
      <c r="D582" s="10">
        <v>1</v>
      </c>
      <c r="E582" s="10" t="s">
        <v>550</v>
      </c>
      <c r="F582" s="10" t="s">
        <v>25</v>
      </c>
      <c r="G582" s="10" t="s">
        <v>549</v>
      </c>
      <c r="H582" s="10" t="s">
        <v>74</v>
      </c>
      <c r="I582" s="10" t="s">
        <v>301</v>
      </c>
      <c r="J582" s="10" t="s">
        <v>164</v>
      </c>
      <c r="K582" s="66">
        <v>55000</v>
      </c>
      <c r="L582" s="10">
        <v>1</v>
      </c>
      <c r="M582" s="10">
        <v>55000</v>
      </c>
      <c r="O582" s="67">
        <v>45616</v>
      </c>
      <c r="P582" s="10">
        <v>2024</v>
      </c>
      <c r="Q582" s="10">
        <v>11</v>
      </c>
      <c r="R582" s="10" t="s">
        <v>3043</v>
      </c>
      <c r="S582" s="10" t="s">
        <v>6807</v>
      </c>
      <c r="T582" s="10" t="s">
        <v>6808</v>
      </c>
      <c r="U582" s="10">
        <v>0</v>
      </c>
      <c r="V582" s="10">
        <v>182</v>
      </c>
      <c r="W582" s="67"/>
      <c r="X582" s="11" t="s">
        <v>3114</v>
      </c>
      <c r="Y582" s="11" t="s">
        <v>5250</v>
      </c>
      <c r="Z582" s="11" t="s">
        <v>5365</v>
      </c>
      <c r="AA582" s="67">
        <v>45596</v>
      </c>
      <c r="AB582" s="67">
        <v>45597</v>
      </c>
      <c r="AC582" s="67">
        <v>45626</v>
      </c>
      <c r="AD582" s="67">
        <v>45625</v>
      </c>
      <c r="AE582" s="67">
        <v>45626</v>
      </c>
    </row>
    <row r="583" spans="1:31" ht="12.5">
      <c r="A583" s="10">
        <v>610422020048</v>
      </c>
      <c r="B583" s="10" t="s">
        <v>299</v>
      </c>
      <c r="D583" s="10">
        <v>1</v>
      </c>
      <c r="E583" s="10" t="s">
        <v>1359</v>
      </c>
      <c r="F583" s="10" t="s">
        <v>25</v>
      </c>
      <c r="G583" s="10" t="s">
        <v>1358</v>
      </c>
      <c r="H583" s="10" t="s">
        <v>74</v>
      </c>
      <c r="I583" s="10" t="s">
        <v>301</v>
      </c>
      <c r="J583" s="10" t="s">
        <v>164</v>
      </c>
      <c r="K583" s="66">
        <v>55000</v>
      </c>
      <c r="L583" s="10">
        <v>3</v>
      </c>
      <c r="M583" s="10">
        <v>165000</v>
      </c>
      <c r="O583" s="67">
        <v>45616</v>
      </c>
      <c r="P583" s="10">
        <v>2024</v>
      </c>
      <c r="Q583" s="10">
        <v>11</v>
      </c>
      <c r="R583" s="10" t="s">
        <v>3043</v>
      </c>
      <c r="S583" s="10" t="s">
        <v>6815</v>
      </c>
      <c r="T583" s="10" t="s">
        <v>6816</v>
      </c>
      <c r="U583" s="10">
        <v>0</v>
      </c>
      <c r="V583" s="10">
        <v>182</v>
      </c>
      <c r="W583" s="67"/>
      <c r="X583" s="11" t="s">
        <v>3114</v>
      </c>
      <c r="Y583" s="11" t="s">
        <v>4931</v>
      </c>
      <c r="Z583" s="11" t="s">
        <v>5171</v>
      </c>
      <c r="AA583" s="67">
        <v>45596</v>
      </c>
      <c r="AB583" s="67">
        <v>45597</v>
      </c>
      <c r="AC583" s="67">
        <v>45626</v>
      </c>
      <c r="AD583" s="67">
        <v>45625</v>
      </c>
      <c r="AE583" s="67">
        <v>45626</v>
      </c>
    </row>
    <row r="584" spans="1:31" ht="12.5">
      <c r="A584" s="10">
        <v>610422040029</v>
      </c>
      <c r="B584" s="10" t="s">
        <v>299</v>
      </c>
      <c r="D584" s="10">
        <v>1</v>
      </c>
      <c r="E584" s="10" t="s">
        <v>3000</v>
      </c>
      <c r="F584" s="10" t="s">
        <v>25</v>
      </c>
      <c r="G584" s="10" t="s">
        <v>2999</v>
      </c>
      <c r="H584" s="10" t="s">
        <v>74</v>
      </c>
      <c r="I584" s="10" t="s">
        <v>301</v>
      </c>
      <c r="J584" s="10" t="s">
        <v>164</v>
      </c>
      <c r="K584" s="66">
        <v>55000</v>
      </c>
      <c r="L584" s="10">
        <v>4</v>
      </c>
      <c r="M584" s="10">
        <v>220000</v>
      </c>
      <c r="O584" s="67">
        <v>45616</v>
      </c>
      <c r="P584" s="10">
        <v>2024</v>
      </c>
      <c r="Q584" s="10">
        <v>11</v>
      </c>
      <c r="R584" s="10" t="s">
        <v>3043</v>
      </c>
      <c r="S584" s="10" t="s">
        <v>6817</v>
      </c>
      <c r="T584" s="10" t="s">
        <v>6818</v>
      </c>
      <c r="U584" s="10">
        <v>0</v>
      </c>
      <c r="V584" s="10">
        <v>182</v>
      </c>
      <c r="W584" s="67"/>
      <c r="X584" s="11" t="s">
        <v>3114</v>
      </c>
      <c r="Y584" s="11" t="s">
        <v>4572</v>
      </c>
      <c r="Z584" s="11" t="s">
        <v>4619</v>
      </c>
      <c r="AA584" s="67">
        <v>45596</v>
      </c>
      <c r="AB584" s="67">
        <v>45597</v>
      </c>
      <c r="AC584" s="67">
        <v>45626</v>
      </c>
      <c r="AD584" s="67">
        <v>45625</v>
      </c>
      <c r="AE584" s="67">
        <v>45626</v>
      </c>
    </row>
    <row r="585" spans="1:31" ht="12.5">
      <c r="A585" s="10">
        <v>610422050001</v>
      </c>
      <c r="B585" s="10" t="s">
        <v>299</v>
      </c>
      <c r="D585" s="10">
        <v>1</v>
      </c>
      <c r="E585" s="10" t="s">
        <v>5949</v>
      </c>
      <c r="F585" s="10" t="s">
        <v>25</v>
      </c>
      <c r="G585" s="10" t="s">
        <v>1127</v>
      </c>
      <c r="H585" s="10" t="s">
        <v>74</v>
      </c>
      <c r="I585" s="10" t="s">
        <v>301</v>
      </c>
      <c r="J585" s="10" t="s">
        <v>164</v>
      </c>
      <c r="K585" s="66">
        <v>55000</v>
      </c>
      <c r="L585" s="10">
        <v>1</v>
      </c>
      <c r="M585" s="10">
        <v>55000</v>
      </c>
      <c r="O585" s="67">
        <v>45616</v>
      </c>
      <c r="P585" s="10">
        <v>2024</v>
      </c>
      <c r="Q585" s="10">
        <v>11</v>
      </c>
      <c r="R585" s="10" t="s">
        <v>3043</v>
      </c>
      <c r="S585" s="10" t="s">
        <v>6809</v>
      </c>
      <c r="T585" s="10" t="s">
        <v>6810</v>
      </c>
      <c r="U585" s="10">
        <v>0</v>
      </c>
      <c r="V585" s="10">
        <v>182</v>
      </c>
      <c r="W585" s="67"/>
      <c r="X585" s="11" t="s">
        <v>3114</v>
      </c>
      <c r="Y585" s="11" t="s">
        <v>4408</v>
      </c>
      <c r="Z585" s="11" t="s">
        <v>4409</v>
      </c>
      <c r="AA585" s="67">
        <v>45596</v>
      </c>
      <c r="AB585" s="67">
        <v>45597</v>
      </c>
      <c r="AC585" s="67">
        <v>45626</v>
      </c>
      <c r="AD585" s="67">
        <v>45625</v>
      </c>
      <c r="AE585" s="67">
        <v>45626</v>
      </c>
    </row>
    <row r="586" spans="1:31" ht="12.5">
      <c r="A586" s="10">
        <v>610422100124</v>
      </c>
      <c r="B586" s="10" t="s">
        <v>302</v>
      </c>
      <c r="D586" s="10">
        <v>1</v>
      </c>
      <c r="E586" s="10" t="s">
        <v>2237</v>
      </c>
      <c r="F586" s="10" t="s">
        <v>25</v>
      </c>
      <c r="G586" s="10" t="s">
        <v>2236</v>
      </c>
      <c r="H586" s="10" t="s">
        <v>67</v>
      </c>
      <c r="I586" s="10" t="s">
        <v>303</v>
      </c>
      <c r="J586" s="10" t="s">
        <v>164</v>
      </c>
      <c r="K586" s="66">
        <v>55000</v>
      </c>
      <c r="L586" s="10">
        <v>2</v>
      </c>
      <c r="M586" s="10">
        <v>110000</v>
      </c>
      <c r="O586" s="67">
        <v>45616</v>
      </c>
      <c r="P586" s="10">
        <v>2024</v>
      </c>
      <c r="Q586" s="10">
        <v>11</v>
      </c>
      <c r="R586" s="10" t="s">
        <v>3043</v>
      </c>
      <c r="S586" s="10" t="s">
        <v>6805</v>
      </c>
      <c r="T586" s="10" t="s">
        <v>6806</v>
      </c>
      <c r="U586" s="10">
        <v>0</v>
      </c>
      <c r="V586" s="10">
        <v>182</v>
      </c>
      <c r="W586" s="67"/>
      <c r="X586" s="11" t="s">
        <v>7011</v>
      </c>
      <c r="Y586" s="11" t="s">
        <v>1921</v>
      </c>
      <c r="Z586" s="11" t="s">
        <v>2140</v>
      </c>
      <c r="AA586" s="67">
        <v>45596</v>
      </c>
      <c r="AB586" s="67">
        <v>45597</v>
      </c>
      <c r="AC586" s="67">
        <v>45626</v>
      </c>
      <c r="AD586" s="67">
        <v>45625</v>
      </c>
      <c r="AE586" s="67">
        <v>45626</v>
      </c>
    </row>
    <row r="587" spans="1:31" ht="12.5">
      <c r="A587" s="10">
        <v>610422100244</v>
      </c>
      <c r="B587" s="10" t="s">
        <v>302</v>
      </c>
      <c r="D587" s="10">
        <v>1</v>
      </c>
      <c r="E587" s="10" t="s">
        <v>2633</v>
      </c>
      <c r="F587" s="10" t="s">
        <v>25</v>
      </c>
      <c r="G587" s="10" t="s">
        <v>2632</v>
      </c>
      <c r="H587" s="10" t="s">
        <v>67</v>
      </c>
      <c r="I587" s="10" t="s">
        <v>303</v>
      </c>
      <c r="J587" s="10" t="s">
        <v>164</v>
      </c>
      <c r="K587" s="66">
        <v>55000</v>
      </c>
      <c r="L587" s="10">
        <v>2</v>
      </c>
      <c r="M587" s="10">
        <v>110000</v>
      </c>
      <c r="O587" s="67">
        <v>45616</v>
      </c>
      <c r="P587" s="10">
        <v>2024</v>
      </c>
      <c r="Q587" s="10">
        <v>11</v>
      </c>
      <c r="R587" s="10" t="s">
        <v>3043</v>
      </c>
      <c r="S587" s="10" t="s">
        <v>6803</v>
      </c>
      <c r="T587" s="10" t="s">
        <v>6804</v>
      </c>
      <c r="U587" s="10">
        <v>0</v>
      </c>
      <c r="V587" s="10">
        <v>182</v>
      </c>
      <c r="W587" s="67"/>
      <c r="X587" s="11" t="s">
        <v>7011</v>
      </c>
      <c r="Y587" s="11" t="s">
        <v>5741</v>
      </c>
      <c r="Z587" s="11" t="s">
        <v>5796</v>
      </c>
      <c r="AA587" s="67">
        <v>45596</v>
      </c>
      <c r="AB587" s="67">
        <v>45597</v>
      </c>
      <c r="AC587" s="67">
        <v>45626</v>
      </c>
      <c r="AD587" s="67">
        <v>45625</v>
      </c>
      <c r="AE587" s="67">
        <v>45626</v>
      </c>
    </row>
    <row r="588" spans="1:31" ht="12.5">
      <c r="A588" s="10">
        <v>610422100165</v>
      </c>
      <c r="B588" s="10" t="s">
        <v>302</v>
      </c>
      <c r="D588" s="10">
        <v>1</v>
      </c>
      <c r="E588" s="10" t="s">
        <v>2855</v>
      </c>
      <c r="F588" s="10" t="s">
        <v>25</v>
      </c>
      <c r="G588" s="10" t="s">
        <v>2854</v>
      </c>
      <c r="H588" s="10" t="s">
        <v>67</v>
      </c>
      <c r="I588" s="10" t="s">
        <v>303</v>
      </c>
      <c r="J588" s="10" t="s">
        <v>164</v>
      </c>
      <c r="K588" s="66">
        <v>55000</v>
      </c>
      <c r="L588" s="10">
        <v>2</v>
      </c>
      <c r="M588" s="10">
        <v>110000</v>
      </c>
      <c r="O588" s="67">
        <v>45616</v>
      </c>
      <c r="P588" s="10">
        <v>2024</v>
      </c>
      <c r="Q588" s="10">
        <v>11</v>
      </c>
      <c r="R588" s="10" t="s">
        <v>3043</v>
      </c>
      <c r="S588" s="10" t="s">
        <v>6819</v>
      </c>
      <c r="T588" s="10" t="s">
        <v>6820</v>
      </c>
      <c r="U588" s="10">
        <v>0</v>
      </c>
      <c r="V588" s="10">
        <v>182</v>
      </c>
      <c r="W588" s="67"/>
      <c r="X588" s="11" t="s">
        <v>7011</v>
      </c>
      <c r="Y588" s="11" t="s">
        <v>3990</v>
      </c>
      <c r="Z588" s="11" t="s">
        <v>4332</v>
      </c>
      <c r="AA588" s="67">
        <v>45596</v>
      </c>
      <c r="AB588" s="67">
        <v>45597</v>
      </c>
      <c r="AC588" s="67">
        <v>45626</v>
      </c>
      <c r="AD588" s="67">
        <v>45625</v>
      </c>
      <c r="AE588" s="67">
        <v>45626</v>
      </c>
    </row>
    <row r="589" spans="1:31" ht="12.5">
      <c r="A589" s="10">
        <v>610422100165</v>
      </c>
      <c r="B589" s="10" t="s">
        <v>304</v>
      </c>
      <c r="D589" s="10">
        <v>1</v>
      </c>
      <c r="E589" s="10" t="s">
        <v>2855</v>
      </c>
      <c r="F589" s="10" t="s">
        <v>25</v>
      </c>
      <c r="G589" s="10" t="s">
        <v>2854</v>
      </c>
      <c r="H589" s="10" t="s">
        <v>67</v>
      </c>
      <c r="I589" s="10" t="s">
        <v>305</v>
      </c>
      <c r="J589" s="10" t="s">
        <v>164</v>
      </c>
      <c r="K589" s="66">
        <v>50000</v>
      </c>
      <c r="L589" s="10">
        <v>1</v>
      </c>
      <c r="M589" s="10">
        <v>50000</v>
      </c>
      <c r="O589" s="67">
        <v>45616</v>
      </c>
      <c r="P589" s="10">
        <v>2024</v>
      </c>
      <c r="Q589" s="10">
        <v>11</v>
      </c>
      <c r="R589" s="10" t="s">
        <v>3043</v>
      </c>
      <c r="S589" s="10" t="s">
        <v>6819</v>
      </c>
      <c r="T589" s="10" t="s">
        <v>6820</v>
      </c>
      <c r="U589" s="10">
        <v>0</v>
      </c>
      <c r="V589" s="10">
        <v>182</v>
      </c>
      <c r="W589" s="67"/>
      <c r="X589" s="11" t="s">
        <v>3138</v>
      </c>
      <c r="Y589" s="11" t="s">
        <v>3990</v>
      </c>
      <c r="Z589" s="11" t="s">
        <v>4332</v>
      </c>
      <c r="AA589" s="67">
        <v>45596</v>
      </c>
      <c r="AB589" s="67">
        <v>45597</v>
      </c>
      <c r="AC589" s="67">
        <v>45626</v>
      </c>
      <c r="AD589" s="67">
        <v>45625</v>
      </c>
      <c r="AE589" s="67">
        <v>45626</v>
      </c>
    </row>
    <row r="590" spans="1:31" ht="12.5">
      <c r="A590" s="10">
        <v>610422040029</v>
      </c>
      <c r="B590" s="10" t="s">
        <v>306</v>
      </c>
      <c r="D590" s="10">
        <v>1</v>
      </c>
      <c r="E590" s="10" t="s">
        <v>3000</v>
      </c>
      <c r="F590" s="10" t="s">
        <v>25</v>
      </c>
      <c r="G590" s="10" t="s">
        <v>2999</v>
      </c>
      <c r="H590" s="10" t="s">
        <v>67</v>
      </c>
      <c r="I590" s="10" t="s">
        <v>307</v>
      </c>
      <c r="J590" s="10" t="s">
        <v>164</v>
      </c>
      <c r="K590" s="66">
        <v>55000</v>
      </c>
      <c r="L590" s="10">
        <v>3</v>
      </c>
      <c r="M590" s="10">
        <v>165000</v>
      </c>
      <c r="O590" s="67">
        <v>45616</v>
      </c>
      <c r="P590" s="10">
        <v>2024</v>
      </c>
      <c r="Q590" s="10">
        <v>11</v>
      </c>
      <c r="R590" s="10" t="s">
        <v>3043</v>
      </c>
      <c r="S590" s="10" t="s">
        <v>6817</v>
      </c>
      <c r="T590" s="10" t="s">
        <v>6818</v>
      </c>
      <c r="U590" s="10">
        <v>0</v>
      </c>
      <c r="V590" s="10">
        <v>182</v>
      </c>
      <c r="W590" s="67"/>
      <c r="X590" s="11" t="s">
        <v>3160</v>
      </c>
      <c r="Y590" s="11" t="s">
        <v>4572</v>
      </c>
      <c r="Z590" s="11" t="s">
        <v>4619</v>
      </c>
      <c r="AA590" s="67">
        <v>45596</v>
      </c>
      <c r="AB590" s="67">
        <v>45597</v>
      </c>
      <c r="AC590" s="67">
        <v>45626</v>
      </c>
      <c r="AD590" s="67">
        <v>45625</v>
      </c>
      <c r="AE590" s="67">
        <v>45626</v>
      </c>
    </row>
    <row r="591" spans="1:31" ht="12.5">
      <c r="A591" s="10">
        <v>610422100165</v>
      </c>
      <c r="B591" s="10" t="s">
        <v>306</v>
      </c>
      <c r="D591" s="10">
        <v>1</v>
      </c>
      <c r="E591" s="10" t="s">
        <v>2855</v>
      </c>
      <c r="F591" s="10" t="s">
        <v>25</v>
      </c>
      <c r="G591" s="10" t="s">
        <v>2854</v>
      </c>
      <c r="H591" s="10" t="s">
        <v>67</v>
      </c>
      <c r="I591" s="10" t="s">
        <v>307</v>
      </c>
      <c r="J591" s="10" t="s">
        <v>164</v>
      </c>
      <c r="K591" s="66">
        <v>55000</v>
      </c>
      <c r="L591" s="10">
        <v>3</v>
      </c>
      <c r="M591" s="10">
        <v>165000</v>
      </c>
      <c r="O591" s="67">
        <v>45616</v>
      </c>
      <c r="P591" s="10">
        <v>2024</v>
      </c>
      <c r="Q591" s="10">
        <v>11</v>
      </c>
      <c r="R591" s="10" t="s">
        <v>3043</v>
      </c>
      <c r="S591" s="10" t="s">
        <v>6819</v>
      </c>
      <c r="T591" s="10" t="s">
        <v>6820</v>
      </c>
      <c r="U591" s="10">
        <v>0</v>
      </c>
      <c r="V591" s="10">
        <v>182</v>
      </c>
      <c r="W591" s="67"/>
      <c r="X591" s="11" t="s">
        <v>3160</v>
      </c>
      <c r="Y591" s="11" t="s">
        <v>3990</v>
      </c>
      <c r="Z591" s="11" t="s">
        <v>4332</v>
      </c>
      <c r="AA591" s="67">
        <v>45596</v>
      </c>
      <c r="AB591" s="67">
        <v>45597</v>
      </c>
      <c r="AC591" s="67">
        <v>45626</v>
      </c>
      <c r="AD591" s="67">
        <v>45625</v>
      </c>
      <c r="AE591" s="67">
        <v>45626</v>
      </c>
    </row>
    <row r="592" spans="1:31" ht="12.5">
      <c r="A592" s="10">
        <v>610422050001</v>
      </c>
      <c r="B592" s="10" t="s">
        <v>306</v>
      </c>
      <c r="D592" s="10">
        <v>1</v>
      </c>
      <c r="E592" s="10" t="s">
        <v>5949</v>
      </c>
      <c r="F592" s="10" t="s">
        <v>25</v>
      </c>
      <c r="G592" s="10" t="s">
        <v>1127</v>
      </c>
      <c r="H592" s="10" t="s">
        <v>67</v>
      </c>
      <c r="I592" s="10" t="s">
        <v>307</v>
      </c>
      <c r="J592" s="10" t="s">
        <v>164</v>
      </c>
      <c r="K592" s="66">
        <v>55000</v>
      </c>
      <c r="L592" s="10">
        <v>3</v>
      </c>
      <c r="M592" s="10">
        <v>165000</v>
      </c>
      <c r="O592" s="67">
        <v>45616</v>
      </c>
      <c r="P592" s="10">
        <v>2024</v>
      </c>
      <c r="Q592" s="10">
        <v>11</v>
      </c>
      <c r="R592" s="10" t="s">
        <v>3043</v>
      </c>
      <c r="S592" s="10" t="s">
        <v>6809</v>
      </c>
      <c r="T592" s="10" t="s">
        <v>6810</v>
      </c>
      <c r="U592" s="10">
        <v>0</v>
      </c>
      <c r="V592" s="10">
        <v>182</v>
      </c>
      <c r="W592" s="67"/>
      <c r="X592" s="11" t="s">
        <v>3160</v>
      </c>
      <c r="Y592" s="11" t="s">
        <v>4408</v>
      </c>
      <c r="Z592" s="11" t="s">
        <v>4409</v>
      </c>
      <c r="AA592" s="67">
        <v>45596</v>
      </c>
      <c r="AB592" s="67">
        <v>45597</v>
      </c>
      <c r="AC592" s="67">
        <v>45626</v>
      </c>
      <c r="AD592" s="67">
        <v>45625</v>
      </c>
      <c r="AE592" s="67">
        <v>45626</v>
      </c>
    </row>
    <row r="593" spans="1:31" ht="12.5">
      <c r="A593" s="10">
        <v>610422040056</v>
      </c>
      <c r="B593" s="10" t="s">
        <v>306</v>
      </c>
      <c r="D593" s="10">
        <v>1</v>
      </c>
      <c r="E593" s="10" t="s">
        <v>2825</v>
      </c>
      <c r="F593" s="10" t="s">
        <v>25</v>
      </c>
      <c r="G593" s="10" t="s">
        <v>2824</v>
      </c>
      <c r="H593" s="10" t="s">
        <v>67</v>
      </c>
      <c r="I593" s="10" t="s">
        <v>307</v>
      </c>
      <c r="J593" s="10" t="s">
        <v>164</v>
      </c>
      <c r="K593" s="66">
        <v>55000</v>
      </c>
      <c r="L593" s="10">
        <v>2</v>
      </c>
      <c r="M593" s="10">
        <v>110000</v>
      </c>
      <c r="O593" s="67">
        <v>45616</v>
      </c>
      <c r="P593" s="10">
        <v>2024</v>
      </c>
      <c r="Q593" s="10">
        <v>11</v>
      </c>
      <c r="R593" s="10" t="s">
        <v>3043</v>
      </c>
      <c r="S593" s="10" t="s">
        <v>6821</v>
      </c>
      <c r="T593" s="10" t="s">
        <v>6822</v>
      </c>
      <c r="U593" s="10">
        <v>0</v>
      </c>
      <c r="V593" s="10">
        <v>182</v>
      </c>
      <c r="W593" s="67"/>
      <c r="X593" s="11" t="s">
        <v>3160</v>
      </c>
      <c r="Y593" s="11" t="s">
        <v>4572</v>
      </c>
      <c r="Z593" s="11" t="s">
        <v>4656</v>
      </c>
      <c r="AA593" s="67">
        <v>45596</v>
      </c>
      <c r="AB593" s="67">
        <v>45597</v>
      </c>
      <c r="AC593" s="67">
        <v>45626</v>
      </c>
      <c r="AD593" s="67">
        <v>45625</v>
      </c>
      <c r="AE593" s="67">
        <v>45626</v>
      </c>
    </row>
    <row r="594" spans="1:31" ht="12.5">
      <c r="A594" s="10">
        <v>610422020016</v>
      </c>
      <c r="B594" s="10" t="s">
        <v>37</v>
      </c>
      <c r="D594" s="10">
        <v>1</v>
      </c>
      <c r="E594" s="10" t="s">
        <v>380</v>
      </c>
      <c r="F594" s="10" t="s">
        <v>25</v>
      </c>
      <c r="G594" s="10" t="s">
        <v>379</v>
      </c>
      <c r="H594" s="10" t="s">
        <v>84</v>
      </c>
      <c r="I594" s="10" t="s">
        <v>6823</v>
      </c>
      <c r="J594" s="10" t="s">
        <v>3036</v>
      </c>
      <c r="K594" s="66">
        <v>116000</v>
      </c>
      <c r="L594" s="10">
        <v>3</v>
      </c>
      <c r="M594" s="10">
        <v>348000</v>
      </c>
      <c r="O594" s="67">
        <v>45626</v>
      </c>
      <c r="P594" s="10">
        <v>2024</v>
      </c>
      <c r="Q594" s="10">
        <v>11</v>
      </c>
      <c r="R594" s="10" t="s">
        <v>3043</v>
      </c>
      <c r="S594" s="10" t="s">
        <v>6813</v>
      </c>
      <c r="T594" s="10" t="s">
        <v>6814</v>
      </c>
      <c r="U594" s="10">
        <v>0</v>
      </c>
      <c r="V594" s="10">
        <v>192</v>
      </c>
      <c r="W594" s="67"/>
      <c r="X594" s="11" t="s">
        <v>3064</v>
      </c>
      <c r="Y594" s="11" t="s">
        <v>5534</v>
      </c>
      <c r="Z594" s="11" t="s">
        <v>5535</v>
      </c>
      <c r="AA594" s="67">
        <v>45596</v>
      </c>
      <c r="AB594" s="67">
        <v>45597</v>
      </c>
      <c r="AC594" s="67">
        <v>45626</v>
      </c>
      <c r="AD594" s="67">
        <v>45625</v>
      </c>
      <c r="AE594" s="67">
        <v>45626</v>
      </c>
    </row>
    <row r="595" spans="1:31" ht="12.5">
      <c r="A595" s="10">
        <v>610422040012</v>
      </c>
      <c r="B595" s="10" t="s">
        <v>37</v>
      </c>
      <c r="D595" s="10">
        <v>1</v>
      </c>
      <c r="E595" s="10" t="s">
        <v>1813</v>
      </c>
      <c r="F595" s="10" t="s">
        <v>25</v>
      </c>
      <c r="G595" s="10" t="s">
        <v>1812</v>
      </c>
      <c r="H595" s="10" t="s">
        <v>84</v>
      </c>
      <c r="I595" s="10" t="s">
        <v>6823</v>
      </c>
      <c r="J595" s="10" t="s">
        <v>3036</v>
      </c>
      <c r="K595" s="66">
        <v>116000</v>
      </c>
      <c r="L595" s="10">
        <v>3</v>
      </c>
      <c r="M595" s="10">
        <v>348000</v>
      </c>
      <c r="O595" s="67">
        <v>45626</v>
      </c>
      <c r="P595" s="10">
        <v>2024</v>
      </c>
      <c r="Q595" s="10">
        <v>11</v>
      </c>
      <c r="R595" s="10" t="s">
        <v>3043</v>
      </c>
      <c r="S595" s="10" t="s">
        <v>6824</v>
      </c>
      <c r="T595" s="10" t="s">
        <v>6825</v>
      </c>
      <c r="U595" s="10">
        <v>0</v>
      </c>
      <c r="V595" s="10">
        <v>192</v>
      </c>
      <c r="W595" s="67"/>
      <c r="X595" s="11" t="s">
        <v>3064</v>
      </c>
      <c r="Y595" s="11" t="s">
        <v>3990</v>
      </c>
      <c r="Z595" s="11" t="s">
        <v>4365</v>
      </c>
      <c r="AA595" s="67">
        <v>45596</v>
      </c>
      <c r="AB595" s="67">
        <v>45597</v>
      </c>
      <c r="AC595" s="67">
        <v>45626</v>
      </c>
      <c r="AD595" s="67">
        <v>45625</v>
      </c>
      <c r="AE595" s="67">
        <v>45626</v>
      </c>
    </row>
    <row r="596" spans="1:31" ht="12.5">
      <c r="A596" s="10">
        <v>610422040059</v>
      </c>
      <c r="B596" s="10" t="s">
        <v>37</v>
      </c>
      <c r="D596" s="10">
        <v>1</v>
      </c>
      <c r="E596" s="10" t="s">
        <v>365</v>
      </c>
      <c r="F596" s="10" t="s">
        <v>25</v>
      </c>
      <c r="G596" s="10" t="s">
        <v>364</v>
      </c>
      <c r="H596" s="10" t="s">
        <v>84</v>
      </c>
      <c r="I596" s="10" t="s">
        <v>6823</v>
      </c>
      <c r="J596" s="10" t="s">
        <v>3036</v>
      </c>
      <c r="K596" s="66">
        <v>116000</v>
      </c>
      <c r="L596" s="10">
        <v>4</v>
      </c>
      <c r="M596" s="10">
        <v>464000</v>
      </c>
      <c r="O596" s="67">
        <v>45626</v>
      </c>
      <c r="P596" s="10">
        <v>2024</v>
      </c>
      <c r="Q596" s="10">
        <v>11</v>
      </c>
      <c r="R596" s="10" t="s">
        <v>3043</v>
      </c>
      <c r="S596" s="10" t="s">
        <v>6826</v>
      </c>
      <c r="T596" s="10" t="s">
        <v>6827</v>
      </c>
      <c r="U596" s="10">
        <v>0</v>
      </c>
      <c r="V596" s="10">
        <v>192</v>
      </c>
      <c r="W596" s="67"/>
      <c r="X596" s="11" t="s">
        <v>3064</v>
      </c>
      <c r="Y596" s="11" t="s">
        <v>4572</v>
      </c>
      <c r="Z596" s="11" t="s">
        <v>4656</v>
      </c>
      <c r="AA596" s="67">
        <v>45596</v>
      </c>
      <c r="AB596" s="67">
        <v>45597</v>
      </c>
      <c r="AC596" s="67">
        <v>45626</v>
      </c>
      <c r="AD596" s="67">
        <v>45625</v>
      </c>
      <c r="AE596" s="67">
        <v>45626</v>
      </c>
    </row>
    <row r="597" spans="1:31" ht="12.5">
      <c r="A597" s="10">
        <v>610422040061</v>
      </c>
      <c r="B597" s="10" t="s">
        <v>37</v>
      </c>
      <c r="D597" s="10">
        <v>1</v>
      </c>
      <c r="E597" s="10" t="s">
        <v>2440</v>
      </c>
      <c r="F597" s="10" t="s">
        <v>25</v>
      </c>
      <c r="G597" s="10" t="s">
        <v>2439</v>
      </c>
      <c r="H597" s="10" t="s">
        <v>84</v>
      </c>
      <c r="I597" s="10" t="s">
        <v>6823</v>
      </c>
      <c r="J597" s="10" t="s">
        <v>3036</v>
      </c>
      <c r="K597" s="66">
        <v>116000</v>
      </c>
      <c r="L597" s="10">
        <v>3</v>
      </c>
      <c r="M597" s="10">
        <v>348000</v>
      </c>
      <c r="O597" s="67">
        <v>45626</v>
      </c>
      <c r="P597" s="10">
        <v>2024</v>
      </c>
      <c r="Q597" s="10">
        <v>11</v>
      </c>
      <c r="R597" s="10" t="s">
        <v>3043</v>
      </c>
      <c r="S597" s="10" t="s">
        <v>6828</v>
      </c>
      <c r="T597" s="10" t="s">
        <v>6829</v>
      </c>
      <c r="U597" s="10">
        <v>0</v>
      </c>
      <c r="V597" s="10">
        <v>192</v>
      </c>
      <c r="W597" s="67"/>
      <c r="X597" s="11" t="s">
        <v>3064</v>
      </c>
      <c r="Y597" s="11" t="s">
        <v>3715</v>
      </c>
      <c r="Z597" s="11" t="s">
        <v>3862</v>
      </c>
      <c r="AA597" s="67">
        <v>45596</v>
      </c>
      <c r="AB597" s="67">
        <v>45597</v>
      </c>
      <c r="AC597" s="67">
        <v>45626</v>
      </c>
      <c r="AD597" s="67">
        <v>45625</v>
      </c>
      <c r="AE597" s="67">
        <v>45626</v>
      </c>
    </row>
    <row r="598" spans="1:31" ht="12.5">
      <c r="A598" s="10">
        <v>610422100131</v>
      </c>
      <c r="B598" s="10" t="s">
        <v>37</v>
      </c>
      <c r="D598" s="10">
        <v>1</v>
      </c>
      <c r="E598" s="10" t="s">
        <v>6046</v>
      </c>
      <c r="F598" s="10" t="s">
        <v>25</v>
      </c>
      <c r="G598" s="10" t="s">
        <v>2683</v>
      </c>
      <c r="H598" s="10" t="s">
        <v>84</v>
      </c>
      <c r="I598" s="10" t="s">
        <v>6823</v>
      </c>
      <c r="J598" s="10" t="s">
        <v>3036</v>
      </c>
      <c r="K598" s="66">
        <v>116000</v>
      </c>
      <c r="L598" s="10">
        <v>3</v>
      </c>
      <c r="M598" s="10">
        <v>348000</v>
      </c>
      <c r="O598" s="67">
        <v>45626</v>
      </c>
      <c r="P598" s="10">
        <v>2024</v>
      </c>
      <c r="Q598" s="10">
        <v>11</v>
      </c>
      <c r="R598" s="10" t="s">
        <v>3043</v>
      </c>
      <c r="S598" s="10" t="s">
        <v>6830</v>
      </c>
      <c r="T598" s="10" t="s">
        <v>6831</v>
      </c>
      <c r="U598" s="10">
        <v>0</v>
      </c>
      <c r="V598" s="10">
        <v>192</v>
      </c>
      <c r="W598" s="67"/>
      <c r="X598" s="11" t="s">
        <v>3064</v>
      </c>
      <c r="Y598" s="11" t="s">
        <v>5250</v>
      </c>
      <c r="Z598" s="11" t="s">
        <v>5365</v>
      </c>
      <c r="AA598" s="67">
        <v>45596</v>
      </c>
      <c r="AB598" s="67">
        <v>45597</v>
      </c>
      <c r="AC598" s="67">
        <v>45626</v>
      </c>
      <c r="AD598" s="67">
        <v>45625</v>
      </c>
      <c r="AE598" s="67">
        <v>45626</v>
      </c>
    </row>
    <row r="599" spans="1:31" ht="12.5">
      <c r="A599" s="10">
        <v>610422100244</v>
      </c>
      <c r="B599" s="10" t="s">
        <v>37</v>
      </c>
      <c r="D599" s="10">
        <v>1</v>
      </c>
      <c r="E599" s="10" t="s">
        <v>2633</v>
      </c>
      <c r="F599" s="10" t="s">
        <v>25</v>
      </c>
      <c r="G599" s="10" t="s">
        <v>2632</v>
      </c>
      <c r="H599" s="10" t="s">
        <v>84</v>
      </c>
      <c r="I599" s="10" t="s">
        <v>6823</v>
      </c>
      <c r="J599" s="10" t="s">
        <v>3036</v>
      </c>
      <c r="K599" s="66">
        <v>116000</v>
      </c>
      <c r="L599" s="10">
        <v>3</v>
      </c>
      <c r="M599" s="10">
        <v>348000</v>
      </c>
      <c r="O599" s="67">
        <v>45626</v>
      </c>
      <c r="P599" s="10">
        <v>2024</v>
      </c>
      <c r="Q599" s="10">
        <v>11</v>
      </c>
      <c r="R599" s="10" t="s">
        <v>3043</v>
      </c>
      <c r="S599" s="10" t="s">
        <v>6803</v>
      </c>
      <c r="T599" s="10" t="s">
        <v>6804</v>
      </c>
      <c r="U599" s="10">
        <v>0</v>
      </c>
      <c r="V599" s="10">
        <v>192</v>
      </c>
      <c r="W599" s="67"/>
      <c r="X599" s="11" t="s">
        <v>3064</v>
      </c>
      <c r="Y599" s="11" t="s">
        <v>5741</v>
      </c>
      <c r="Z599" s="11" t="s">
        <v>5796</v>
      </c>
      <c r="AA599" s="67">
        <v>45596</v>
      </c>
      <c r="AB599" s="67">
        <v>45597</v>
      </c>
      <c r="AC599" s="67">
        <v>45626</v>
      </c>
      <c r="AD599" s="67">
        <v>45625</v>
      </c>
      <c r="AE599" s="67">
        <v>45626</v>
      </c>
    </row>
    <row r="600" spans="1:31" ht="12.5">
      <c r="A600" s="10">
        <v>610422100176</v>
      </c>
      <c r="B600" s="10" t="s">
        <v>37</v>
      </c>
      <c r="D600" s="10">
        <v>1</v>
      </c>
      <c r="E600" s="10" t="s">
        <v>1190</v>
      </c>
      <c r="F600" s="10" t="s">
        <v>25</v>
      </c>
      <c r="G600" s="10" t="s">
        <v>1189</v>
      </c>
      <c r="H600" s="10" t="s">
        <v>84</v>
      </c>
      <c r="I600" s="10" t="s">
        <v>6823</v>
      </c>
      <c r="J600" s="10" t="s">
        <v>3036</v>
      </c>
      <c r="K600" s="66">
        <v>116000</v>
      </c>
      <c r="L600" s="10">
        <v>3</v>
      </c>
      <c r="M600" s="10">
        <v>348000</v>
      </c>
      <c r="O600" s="67">
        <v>45626</v>
      </c>
      <c r="P600" s="10">
        <v>2024</v>
      </c>
      <c r="Q600" s="10">
        <v>11</v>
      </c>
      <c r="R600" s="10" t="s">
        <v>3043</v>
      </c>
      <c r="S600" s="10" t="s">
        <v>6832</v>
      </c>
      <c r="T600" s="10" t="s">
        <v>6833</v>
      </c>
      <c r="U600" s="10">
        <v>0</v>
      </c>
      <c r="V600" s="10">
        <v>192</v>
      </c>
      <c r="W600" s="67"/>
      <c r="X600" s="11" t="s">
        <v>3064</v>
      </c>
      <c r="Y600" s="11" t="s">
        <v>3715</v>
      </c>
      <c r="Z600" s="11" t="s">
        <v>3765</v>
      </c>
      <c r="AA600" s="67">
        <v>45596</v>
      </c>
      <c r="AB600" s="67">
        <v>45597</v>
      </c>
      <c r="AC600" s="67">
        <v>45626</v>
      </c>
      <c r="AD600" s="67">
        <v>45625</v>
      </c>
      <c r="AE600" s="67">
        <v>45626</v>
      </c>
    </row>
    <row r="601" spans="1:31" ht="12.5">
      <c r="A601" s="10">
        <v>610423110183</v>
      </c>
      <c r="B601" s="10" t="s">
        <v>37</v>
      </c>
      <c r="D601" s="10">
        <v>1</v>
      </c>
      <c r="E601" s="10" t="s">
        <v>5924</v>
      </c>
      <c r="F601" s="10" t="s">
        <v>25</v>
      </c>
      <c r="G601" s="10" t="s">
        <v>742</v>
      </c>
      <c r="H601" s="10" t="s">
        <v>84</v>
      </c>
      <c r="I601" s="10" t="s">
        <v>6823</v>
      </c>
      <c r="J601" s="10" t="s">
        <v>3036</v>
      </c>
      <c r="K601" s="66">
        <v>116000</v>
      </c>
      <c r="L601" s="10">
        <v>6</v>
      </c>
      <c r="M601" s="10">
        <v>696000</v>
      </c>
      <c r="O601" s="67">
        <v>45626</v>
      </c>
      <c r="P601" s="10">
        <v>2024</v>
      </c>
      <c r="Q601" s="10">
        <v>11</v>
      </c>
      <c r="R601" s="10" t="s">
        <v>3043</v>
      </c>
      <c r="S601" s="10" t="s">
        <v>6834</v>
      </c>
      <c r="T601" s="10" t="s">
        <v>6835</v>
      </c>
      <c r="U601" s="10">
        <v>0</v>
      </c>
      <c r="V601" s="10">
        <v>192</v>
      </c>
      <c r="W601" s="67"/>
      <c r="X601" s="11" t="s">
        <v>3064</v>
      </c>
      <c r="Y601" s="11" t="s">
        <v>3241</v>
      </c>
      <c r="Z601" s="11" t="s">
        <v>3242</v>
      </c>
      <c r="AA601" s="67">
        <v>45596</v>
      </c>
      <c r="AB601" s="67">
        <v>45597</v>
      </c>
      <c r="AC601" s="67">
        <v>45626</v>
      </c>
      <c r="AD601" s="67">
        <v>45625</v>
      </c>
      <c r="AE601" s="67">
        <v>45626</v>
      </c>
    </row>
    <row r="602" spans="1:31" ht="12.5">
      <c r="A602" s="10">
        <v>610423040018</v>
      </c>
      <c r="B602" s="10" t="s">
        <v>37</v>
      </c>
      <c r="D602" s="10">
        <v>1</v>
      </c>
      <c r="E602" s="10" t="s">
        <v>1301</v>
      </c>
      <c r="F602" s="10" t="s">
        <v>25</v>
      </c>
      <c r="G602" s="10" t="s">
        <v>1300</v>
      </c>
      <c r="H602" s="10" t="s">
        <v>84</v>
      </c>
      <c r="I602" s="10" t="s">
        <v>6823</v>
      </c>
      <c r="J602" s="10" t="s">
        <v>3036</v>
      </c>
      <c r="K602" s="66">
        <v>116000</v>
      </c>
      <c r="L602" s="10">
        <v>4</v>
      </c>
      <c r="M602" s="10">
        <v>464000</v>
      </c>
      <c r="O602" s="67">
        <v>45626</v>
      </c>
      <c r="P602" s="10">
        <v>2024</v>
      </c>
      <c r="Q602" s="10">
        <v>11</v>
      </c>
      <c r="R602" s="10" t="s">
        <v>3043</v>
      </c>
      <c r="S602" s="10" t="s">
        <v>6836</v>
      </c>
      <c r="T602" s="10" t="s">
        <v>6837</v>
      </c>
      <c r="U602" s="10">
        <v>0</v>
      </c>
      <c r="V602" s="10">
        <v>192</v>
      </c>
      <c r="W602" s="67"/>
      <c r="X602" s="11" t="s">
        <v>3064</v>
      </c>
      <c r="Y602" s="11" t="s">
        <v>5534</v>
      </c>
      <c r="Z602" s="11" t="s">
        <v>5647</v>
      </c>
      <c r="AA602" s="67">
        <v>45596</v>
      </c>
      <c r="AB602" s="67">
        <v>45597</v>
      </c>
      <c r="AC602" s="67">
        <v>45626</v>
      </c>
      <c r="AD602" s="67">
        <v>45625</v>
      </c>
      <c r="AE602" s="67">
        <v>45626</v>
      </c>
    </row>
    <row r="603" spans="1:31" ht="12.5">
      <c r="A603" s="10">
        <v>610422040059</v>
      </c>
      <c r="B603" s="10" t="s">
        <v>37</v>
      </c>
      <c r="D603" s="10">
        <v>1</v>
      </c>
      <c r="E603" s="10" t="s">
        <v>365</v>
      </c>
      <c r="F603" s="10" t="s">
        <v>25</v>
      </c>
      <c r="G603" s="10" t="s">
        <v>364</v>
      </c>
      <c r="H603" s="10" t="s">
        <v>85</v>
      </c>
      <c r="I603" s="10" t="s">
        <v>6838</v>
      </c>
      <c r="J603" s="10" t="s">
        <v>3036</v>
      </c>
      <c r="K603" s="66">
        <v>59000</v>
      </c>
      <c r="L603" s="10">
        <v>6</v>
      </c>
      <c r="M603" s="10">
        <v>354000</v>
      </c>
      <c r="O603" s="67">
        <v>45626</v>
      </c>
      <c r="P603" s="10">
        <v>2024</v>
      </c>
      <c r="Q603" s="10">
        <v>11</v>
      </c>
      <c r="R603" s="10" t="s">
        <v>3043</v>
      </c>
      <c r="S603" s="10" t="s">
        <v>6826</v>
      </c>
      <c r="T603" s="10" t="s">
        <v>6827</v>
      </c>
      <c r="U603" s="10">
        <v>0</v>
      </c>
      <c r="V603" s="10">
        <v>192</v>
      </c>
      <c r="W603" s="67"/>
      <c r="X603" s="11" t="s">
        <v>3064</v>
      </c>
      <c r="Y603" s="11" t="s">
        <v>4572</v>
      </c>
      <c r="Z603" s="11" t="s">
        <v>4656</v>
      </c>
      <c r="AA603" s="67">
        <v>45596</v>
      </c>
      <c r="AB603" s="67">
        <v>45597</v>
      </c>
      <c r="AC603" s="67">
        <v>45626</v>
      </c>
      <c r="AD603" s="67">
        <v>45625</v>
      </c>
      <c r="AE603" s="67">
        <v>45626</v>
      </c>
    </row>
    <row r="604" spans="1:31" ht="12.5">
      <c r="A604" s="10">
        <v>610422020048</v>
      </c>
      <c r="B604" s="10" t="s">
        <v>37</v>
      </c>
      <c r="D604" s="10">
        <v>1</v>
      </c>
      <c r="E604" s="10" t="s">
        <v>1359</v>
      </c>
      <c r="F604" s="10" t="s">
        <v>25</v>
      </c>
      <c r="G604" s="10" t="s">
        <v>1358</v>
      </c>
      <c r="H604" s="10" t="s">
        <v>85</v>
      </c>
      <c r="I604" s="10" t="s">
        <v>6838</v>
      </c>
      <c r="J604" s="10" t="s">
        <v>3036</v>
      </c>
      <c r="K604" s="66">
        <v>59000</v>
      </c>
      <c r="L604" s="10">
        <v>6</v>
      </c>
      <c r="M604" s="10">
        <v>354000</v>
      </c>
      <c r="O604" s="67">
        <v>45626</v>
      </c>
      <c r="P604" s="10">
        <v>2024</v>
      </c>
      <c r="Q604" s="10">
        <v>11</v>
      </c>
      <c r="R604" s="10" t="s">
        <v>3043</v>
      </c>
      <c r="S604" s="10" t="s">
        <v>6815</v>
      </c>
      <c r="T604" s="10" t="s">
        <v>6816</v>
      </c>
      <c r="U604" s="10">
        <v>0</v>
      </c>
      <c r="V604" s="10">
        <v>192</v>
      </c>
      <c r="W604" s="67"/>
      <c r="X604" s="11" t="s">
        <v>3064</v>
      </c>
      <c r="Y604" s="11" t="s">
        <v>4931</v>
      </c>
      <c r="Z604" s="11" t="s">
        <v>5171</v>
      </c>
      <c r="AA604" s="67">
        <v>45596</v>
      </c>
      <c r="AB604" s="67">
        <v>45597</v>
      </c>
      <c r="AC604" s="67">
        <v>45626</v>
      </c>
      <c r="AD604" s="67">
        <v>45625</v>
      </c>
      <c r="AE604" s="67">
        <v>45626</v>
      </c>
    </row>
    <row r="605" spans="1:31" ht="12.5">
      <c r="A605" s="10">
        <v>610422040058</v>
      </c>
      <c r="B605" s="10" t="s">
        <v>37</v>
      </c>
      <c r="D605" s="10">
        <v>1</v>
      </c>
      <c r="E605" s="10" t="s">
        <v>5976</v>
      </c>
      <c r="F605" s="10" t="s">
        <v>25</v>
      </c>
      <c r="G605" s="10" t="s">
        <v>1547</v>
      </c>
      <c r="H605" s="10" t="s">
        <v>85</v>
      </c>
      <c r="I605" s="10" t="s">
        <v>6838</v>
      </c>
      <c r="J605" s="10" t="s">
        <v>3036</v>
      </c>
      <c r="K605" s="66">
        <v>59000</v>
      </c>
      <c r="L605" s="10">
        <v>10</v>
      </c>
      <c r="M605" s="10">
        <v>590000</v>
      </c>
      <c r="O605" s="67">
        <v>45626</v>
      </c>
      <c r="P605" s="10">
        <v>2024</v>
      </c>
      <c r="Q605" s="10">
        <v>11</v>
      </c>
      <c r="R605" s="10" t="s">
        <v>3043</v>
      </c>
      <c r="S605" s="10" t="s">
        <v>6839</v>
      </c>
      <c r="T605" s="10" t="s">
        <v>6840</v>
      </c>
      <c r="U605" s="10">
        <v>0</v>
      </c>
      <c r="V605" s="10">
        <v>192</v>
      </c>
      <c r="W605" s="67"/>
      <c r="X605" s="11" t="s">
        <v>3064</v>
      </c>
      <c r="Y605" s="11" t="s">
        <v>3715</v>
      </c>
      <c r="Z605" s="11" t="s">
        <v>3716</v>
      </c>
      <c r="AA605" s="67">
        <v>45596</v>
      </c>
      <c r="AB605" s="67">
        <v>45597</v>
      </c>
      <c r="AC605" s="67">
        <v>45626</v>
      </c>
      <c r="AD605" s="67">
        <v>45625</v>
      </c>
      <c r="AE605" s="67">
        <v>45626</v>
      </c>
    </row>
    <row r="606" spans="1:31" ht="12.5">
      <c r="A606" s="10">
        <v>610423110183</v>
      </c>
      <c r="B606" s="10" t="s">
        <v>37</v>
      </c>
      <c r="D606" s="10">
        <v>1</v>
      </c>
      <c r="E606" s="10" t="s">
        <v>5924</v>
      </c>
      <c r="F606" s="10" t="s">
        <v>25</v>
      </c>
      <c r="G606" s="10" t="s">
        <v>742</v>
      </c>
      <c r="H606" s="10" t="s">
        <v>85</v>
      </c>
      <c r="I606" s="10" t="s">
        <v>6838</v>
      </c>
      <c r="J606" s="10" t="s">
        <v>3036</v>
      </c>
      <c r="K606" s="66">
        <v>59000</v>
      </c>
      <c r="L606" s="10">
        <v>6</v>
      </c>
      <c r="M606" s="10">
        <v>354000</v>
      </c>
      <c r="O606" s="67">
        <v>45626</v>
      </c>
      <c r="P606" s="10">
        <v>2024</v>
      </c>
      <c r="Q606" s="10">
        <v>11</v>
      </c>
      <c r="R606" s="10" t="s">
        <v>3043</v>
      </c>
      <c r="S606" s="10" t="s">
        <v>6834</v>
      </c>
      <c r="T606" s="10" t="s">
        <v>6835</v>
      </c>
      <c r="U606" s="10">
        <v>0</v>
      </c>
      <c r="V606" s="10">
        <v>192</v>
      </c>
      <c r="W606" s="67"/>
      <c r="X606" s="11" t="s">
        <v>3064</v>
      </c>
      <c r="Y606" s="11" t="s">
        <v>3241</v>
      </c>
      <c r="Z606" s="11" t="s">
        <v>3242</v>
      </c>
      <c r="AA606" s="67">
        <v>45596</v>
      </c>
      <c r="AB606" s="67">
        <v>45597</v>
      </c>
      <c r="AC606" s="67">
        <v>45626</v>
      </c>
      <c r="AD606" s="67">
        <v>45625</v>
      </c>
      <c r="AE606" s="67">
        <v>45626</v>
      </c>
    </row>
    <row r="607" spans="1:31" ht="12.5">
      <c r="A607" s="10">
        <v>610422100244</v>
      </c>
      <c r="B607" s="10" t="s">
        <v>37</v>
      </c>
      <c r="D607" s="10">
        <v>1</v>
      </c>
      <c r="E607" s="10" t="s">
        <v>2633</v>
      </c>
      <c r="F607" s="10" t="s">
        <v>25</v>
      </c>
      <c r="G607" s="10" t="s">
        <v>2632</v>
      </c>
      <c r="H607" s="10" t="s">
        <v>85</v>
      </c>
      <c r="I607" s="10" t="s">
        <v>6838</v>
      </c>
      <c r="J607" s="10" t="s">
        <v>3036</v>
      </c>
      <c r="K607" s="66">
        <v>59000</v>
      </c>
      <c r="L607" s="10">
        <v>8</v>
      </c>
      <c r="M607" s="10">
        <v>472000</v>
      </c>
      <c r="O607" s="67">
        <v>45626</v>
      </c>
      <c r="P607" s="10">
        <v>2024</v>
      </c>
      <c r="Q607" s="10">
        <v>11</v>
      </c>
      <c r="R607" s="10" t="s">
        <v>3043</v>
      </c>
      <c r="S607" s="10" t="s">
        <v>6803</v>
      </c>
      <c r="T607" s="10" t="s">
        <v>6804</v>
      </c>
      <c r="U607" s="10">
        <v>0</v>
      </c>
      <c r="V607" s="10">
        <v>192</v>
      </c>
      <c r="W607" s="67"/>
      <c r="X607" s="11" t="s">
        <v>3064</v>
      </c>
      <c r="Y607" s="11" t="s">
        <v>5741</v>
      </c>
      <c r="Z607" s="11" t="s">
        <v>5796</v>
      </c>
      <c r="AA607" s="67">
        <v>45596</v>
      </c>
      <c r="AB607" s="67">
        <v>45597</v>
      </c>
      <c r="AC607" s="67">
        <v>45626</v>
      </c>
      <c r="AD607" s="67">
        <v>45625</v>
      </c>
      <c r="AE607" s="67">
        <v>45626</v>
      </c>
    </row>
    <row r="608" spans="1:31" ht="12.5">
      <c r="A608" s="10">
        <v>610423040004</v>
      </c>
      <c r="B608" s="10" t="s">
        <v>308</v>
      </c>
      <c r="D608" s="10">
        <v>1</v>
      </c>
      <c r="E608" s="10" t="s">
        <v>731</v>
      </c>
      <c r="F608" s="10" t="s">
        <v>25</v>
      </c>
      <c r="G608" s="10" t="s">
        <v>730</v>
      </c>
      <c r="H608" s="10" t="s">
        <v>67</v>
      </c>
      <c r="I608" s="10" t="s">
        <v>309</v>
      </c>
      <c r="J608" s="10" t="s">
        <v>164</v>
      </c>
      <c r="K608" s="66">
        <v>91000</v>
      </c>
      <c r="L608" s="10">
        <v>10</v>
      </c>
      <c r="M608" s="10">
        <v>910000</v>
      </c>
      <c r="O608" s="67">
        <v>45626</v>
      </c>
      <c r="P608" s="10">
        <v>2024</v>
      </c>
      <c r="Q608" s="10">
        <v>11</v>
      </c>
      <c r="R608" s="10" t="s">
        <v>3043</v>
      </c>
      <c r="S608" s="10" t="s">
        <v>6841</v>
      </c>
      <c r="T608" s="10" t="s">
        <v>6842</v>
      </c>
      <c r="U608" s="10">
        <v>0</v>
      </c>
      <c r="V608" s="10">
        <v>192</v>
      </c>
      <c r="W608" s="67"/>
      <c r="X608" s="11" t="s">
        <v>3145</v>
      </c>
      <c r="Y608" s="11" t="s">
        <v>4408</v>
      </c>
      <c r="Z608" s="11" t="s">
        <v>4531</v>
      </c>
      <c r="AA608" s="67">
        <v>45596</v>
      </c>
      <c r="AB608" s="67">
        <v>45597</v>
      </c>
      <c r="AC608" s="67">
        <v>45626</v>
      </c>
      <c r="AD608" s="67">
        <v>45625</v>
      </c>
      <c r="AE608" s="67">
        <v>45626</v>
      </c>
    </row>
    <row r="609" spans="1:31" ht="12.5">
      <c r="A609" s="10">
        <v>610422100144</v>
      </c>
      <c r="B609" s="10" t="s">
        <v>308</v>
      </c>
      <c r="D609" s="10">
        <v>1</v>
      </c>
      <c r="E609" s="10" t="s">
        <v>5970</v>
      </c>
      <c r="F609" s="10" t="s">
        <v>25</v>
      </c>
      <c r="G609" s="10" t="s">
        <v>1513</v>
      </c>
      <c r="H609" s="10" t="s">
        <v>67</v>
      </c>
      <c r="I609" s="10" t="s">
        <v>309</v>
      </c>
      <c r="J609" s="10" t="s">
        <v>164</v>
      </c>
      <c r="K609" s="66">
        <v>91000</v>
      </c>
      <c r="L609" s="10">
        <v>10</v>
      </c>
      <c r="M609" s="10">
        <v>910000</v>
      </c>
      <c r="O609" s="67">
        <v>45626</v>
      </c>
      <c r="P609" s="10">
        <v>2024</v>
      </c>
      <c r="Q609" s="10">
        <v>11</v>
      </c>
      <c r="R609" s="10" t="s">
        <v>3043</v>
      </c>
      <c r="S609" s="10" t="s">
        <v>6843</v>
      </c>
      <c r="T609" s="10" t="s">
        <v>6844</v>
      </c>
      <c r="U609" s="10">
        <v>0</v>
      </c>
      <c r="V609" s="10">
        <v>192</v>
      </c>
      <c r="W609" s="67"/>
      <c r="X609" s="11" t="s">
        <v>3145</v>
      </c>
      <c r="Y609" s="11" t="s">
        <v>5250</v>
      </c>
      <c r="Z609" s="11" t="s">
        <v>5488</v>
      </c>
      <c r="AA609" s="67">
        <v>45596</v>
      </c>
      <c r="AB609" s="67">
        <v>45597</v>
      </c>
      <c r="AC609" s="67">
        <v>45626</v>
      </c>
      <c r="AD609" s="67">
        <v>45625</v>
      </c>
      <c r="AE609" s="67">
        <v>45626</v>
      </c>
    </row>
    <row r="610" spans="1:31" ht="12.5">
      <c r="A610" s="10">
        <v>610422020032</v>
      </c>
      <c r="B610" s="10" t="s">
        <v>308</v>
      </c>
      <c r="D610" s="10">
        <v>1</v>
      </c>
      <c r="E610" s="10" t="s">
        <v>1640</v>
      </c>
      <c r="F610" s="10" t="s">
        <v>25</v>
      </c>
      <c r="G610" s="10" t="s">
        <v>1639</v>
      </c>
      <c r="H610" s="10" t="s">
        <v>67</v>
      </c>
      <c r="I610" s="10" t="s">
        <v>309</v>
      </c>
      <c r="J610" s="10" t="s">
        <v>164</v>
      </c>
      <c r="K610" s="66">
        <v>91000</v>
      </c>
      <c r="L610" s="10">
        <v>10</v>
      </c>
      <c r="M610" s="10">
        <v>910000</v>
      </c>
      <c r="O610" s="67">
        <v>45626</v>
      </c>
      <c r="P610" s="10">
        <v>2024</v>
      </c>
      <c r="Q610" s="10">
        <v>11</v>
      </c>
      <c r="R610" s="10" t="s">
        <v>3043</v>
      </c>
      <c r="S610" s="10" t="s">
        <v>6845</v>
      </c>
      <c r="T610" s="10" t="s">
        <v>6846</v>
      </c>
      <c r="U610" s="10">
        <v>0</v>
      </c>
      <c r="V610" s="10">
        <v>192</v>
      </c>
      <c r="W610" s="67"/>
      <c r="X610" s="11" t="s">
        <v>3145</v>
      </c>
      <c r="Y610" s="11" t="s">
        <v>4931</v>
      </c>
      <c r="Z610" s="11" t="s">
        <v>5209</v>
      </c>
      <c r="AA610" s="67">
        <v>45596</v>
      </c>
      <c r="AB610" s="67">
        <v>45597</v>
      </c>
      <c r="AC610" s="67">
        <v>45626</v>
      </c>
      <c r="AD610" s="67">
        <v>45625</v>
      </c>
      <c r="AE610" s="67">
        <v>45626</v>
      </c>
    </row>
    <row r="611" spans="1:31" ht="12.5">
      <c r="A611" s="10">
        <v>610422100085</v>
      </c>
      <c r="B611" s="10" t="s">
        <v>308</v>
      </c>
      <c r="D611" s="10">
        <v>1</v>
      </c>
      <c r="E611" s="10" t="s">
        <v>5981</v>
      </c>
      <c r="F611" s="10" t="s">
        <v>25</v>
      </c>
      <c r="G611" s="10" t="s">
        <v>1646</v>
      </c>
      <c r="H611" s="10" t="s">
        <v>67</v>
      </c>
      <c r="I611" s="10" t="s">
        <v>309</v>
      </c>
      <c r="J611" s="10" t="s">
        <v>164</v>
      </c>
      <c r="K611" s="66">
        <v>91000</v>
      </c>
      <c r="L611" s="10">
        <v>10</v>
      </c>
      <c r="M611" s="10">
        <v>910000</v>
      </c>
      <c r="O611" s="67">
        <v>45626</v>
      </c>
      <c r="P611" s="10">
        <v>2024</v>
      </c>
      <c r="Q611" s="10">
        <v>11</v>
      </c>
      <c r="R611" s="10" t="s">
        <v>3043</v>
      </c>
      <c r="S611" s="10" t="s">
        <v>6847</v>
      </c>
      <c r="T611" s="10" t="s">
        <v>6848</v>
      </c>
      <c r="U611" s="10">
        <v>0</v>
      </c>
      <c r="V611" s="10">
        <v>192</v>
      </c>
      <c r="W611" s="67"/>
      <c r="X611" s="11" t="s">
        <v>3145</v>
      </c>
      <c r="Y611" s="11" t="s">
        <v>3990</v>
      </c>
      <c r="Z611" s="11" t="s">
        <v>4087</v>
      </c>
      <c r="AA611" s="67">
        <v>45596</v>
      </c>
      <c r="AB611" s="67">
        <v>45597</v>
      </c>
      <c r="AC611" s="67">
        <v>45626</v>
      </c>
      <c r="AD611" s="67">
        <v>45625</v>
      </c>
      <c r="AE611" s="67">
        <v>45626</v>
      </c>
    </row>
    <row r="612" spans="1:31" ht="12.5">
      <c r="A612" s="10">
        <v>610423040013</v>
      </c>
      <c r="B612" s="10" t="s">
        <v>308</v>
      </c>
      <c r="D612" s="10">
        <v>1</v>
      </c>
      <c r="E612" s="10" t="s">
        <v>1658</v>
      </c>
      <c r="F612" s="10" t="s">
        <v>25</v>
      </c>
      <c r="G612" s="10" t="s">
        <v>1657</v>
      </c>
      <c r="H612" s="10" t="s">
        <v>67</v>
      </c>
      <c r="I612" s="10" t="s">
        <v>309</v>
      </c>
      <c r="J612" s="10" t="s">
        <v>164</v>
      </c>
      <c r="K612" s="66">
        <v>91000</v>
      </c>
      <c r="L612" s="10">
        <v>10</v>
      </c>
      <c r="M612" s="10">
        <v>910000</v>
      </c>
      <c r="O612" s="67">
        <v>45626</v>
      </c>
      <c r="P612" s="10">
        <v>2024</v>
      </c>
      <c r="Q612" s="10">
        <v>11</v>
      </c>
      <c r="R612" s="10" t="s">
        <v>3043</v>
      </c>
      <c r="S612" s="10" t="s">
        <v>6849</v>
      </c>
      <c r="T612" s="10" t="s">
        <v>6850</v>
      </c>
      <c r="U612" s="10">
        <v>0</v>
      </c>
      <c r="V612" s="10">
        <v>192</v>
      </c>
      <c r="W612" s="67"/>
      <c r="X612" s="11" t="s">
        <v>3145</v>
      </c>
      <c r="Y612" s="11" t="s">
        <v>5250</v>
      </c>
      <c r="Z612" s="11" t="s">
        <v>5304</v>
      </c>
      <c r="AA612" s="67">
        <v>45596</v>
      </c>
      <c r="AB612" s="67">
        <v>45597</v>
      </c>
      <c r="AC612" s="67">
        <v>45626</v>
      </c>
      <c r="AD612" s="67">
        <v>45625</v>
      </c>
      <c r="AE612" s="67">
        <v>45626</v>
      </c>
    </row>
    <row r="613" spans="1:31" ht="12.5">
      <c r="A613" s="10">
        <v>610422100137</v>
      </c>
      <c r="B613" s="10" t="s">
        <v>308</v>
      </c>
      <c r="D613" s="10">
        <v>1</v>
      </c>
      <c r="E613" s="10" t="s">
        <v>5985</v>
      </c>
      <c r="F613" s="10" t="s">
        <v>25</v>
      </c>
      <c r="G613" s="10" t="s">
        <v>1719</v>
      </c>
      <c r="H613" s="10" t="s">
        <v>67</v>
      </c>
      <c r="I613" s="10" t="s">
        <v>309</v>
      </c>
      <c r="J613" s="10" t="s">
        <v>164</v>
      </c>
      <c r="K613" s="66">
        <v>91000</v>
      </c>
      <c r="L613" s="10">
        <v>10</v>
      </c>
      <c r="M613" s="10">
        <v>910000</v>
      </c>
      <c r="O613" s="67">
        <v>45626</v>
      </c>
      <c r="P613" s="10">
        <v>2024</v>
      </c>
      <c r="Q613" s="10">
        <v>11</v>
      </c>
      <c r="R613" s="10" t="s">
        <v>3043</v>
      </c>
      <c r="S613" s="10" t="s">
        <v>6851</v>
      </c>
      <c r="T613" s="10" t="s">
        <v>6852</v>
      </c>
      <c r="U613" s="10">
        <v>0</v>
      </c>
      <c r="V613" s="10">
        <v>192</v>
      </c>
      <c r="W613" s="67"/>
      <c r="X613" s="11" t="s">
        <v>3145</v>
      </c>
      <c r="Y613" s="11" t="s">
        <v>5534</v>
      </c>
      <c r="Z613" s="11" t="s">
        <v>5535</v>
      </c>
      <c r="AA613" s="67">
        <v>45596</v>
      </c>
      <c r="AB613" s="67">
        <v>45597</v>
      </c>
      <c r="AC613" s="67">
        <v>45626</v>
      </c>
      <c r="AD613" s="67">
        <v>45625</v>
      </c>
      <c r="AE613" s="67">
        <v>45626</v>
      </c>
    </row>
    <row r="614" spans="1:31" ht="12.5">
      <c r="A614" s="10">
        <v>610422100256</v>
      </c>
      <c r="B614" s="10" t="s">
        <v>308</v>
      </c>
      <c r="D614" s="10">
        <v>1</v>
      </c>
      <c r="E614" s="10" t="s">
        <v>1778</v>
      </c>
      <c r="F614" s="10" t="s">
        <v>25</v>
      </c>
      <c r="G614" s="10" t="s">
        <v>1777</v>
      </c>
      <c r="H614" s="10" t="s">
        <v>67</v>
      </c>
      <c r="I614" s="10" t="s">
        <v>309</v>
      </c>
      <c r="J614" s="10" t="s">
        <v>164</v>
      </c>
      <c r="K614" s="66">
        <v>91000</v>
      </c>
      <c r="L614" s="10">
        <v>10</v>
      </c>
      <c r="M614" s="10">
        <v>910000</v>
      </c>
      <c r="O614" s="67">
        <v>45626</v>
      </c>
      <c r="P614" s="10">
        <v>2024</v>
      </c>
      <c r="Q614" s="10">
        <v>11</v>
      </c>
      <c r="R614" s="10" t="s">
        <v>3043</v>
      </c>
      <c r="S614" s="10" t="s">
        <v>6853</v>
      </c>
      <c r="T614" s="10" t="s">
        <v>6854</v>
      </c>
      <c r="U614" s="10">
        <v>0</v>
      </c>
      <c r="V614" s="10">
        <v>192</v>
      </c>
      <c r="W614" s="67"/>
      <c r="X614" s="11" t="s">
        <v>3145</v>
      </c>
      <c r="Y614" s="11" t="s">
        <v>5741</v>
      </c>
      <c r="Z614" s="11" t="s">
        <v>5742</v>
      </c>
      <c r="AA614" s="67">
        <v>45596</v>
      </c>
      <c r="AB614" s="67">
        <v>45597</v>
      </c>
      <c r="AC614" s="67">
        <v>45626</v>
      </c>
      <c r="AD614" s="67">
        <v>45625</v>
      </c>
      <c r="AE614" s="67">
        <v>45626</v>
      </c>
    </row>
    <row r="615" spans="1:31" ht="12.5">
      <c r="A615" s="10">
        <v>610422040050</v>
      </c>
      <c r="B615" s="10" t="s">
        <v>308</v>
      </c>
      <c r="D615" s="10">
        <v>1</v>
      </c>
      <c r="E615" s="10" t="s">
        <v>6010</v>
      </c>
      <c r="F615" s="10" t="s">
        <v>25</v>
      </c>
      <c r="G615" s="10" t="s">
        <v>2154</v>
      </c>
      <c r="H615" s="10" t="s">
        <v>67</v>
      </c>
      <c r="I615" s="10" t="s">
        <v>309</v>
      </c>
      <c r="J615" s="10" t="s">
        <v>164</v>
      </c>
      <c r="K615" s="66">
        <v>91000</v>
      </c>
      <c r="L615" s="10">
        <v>10</v>
      </c>
      <c r="M615" s="10">
        <v>910000</v>
      </c>
      <c r="O615" s="67">
        <v>45626</v>
      </c>
      <c r="P615" s="10">
        <v>2024</v>
      </c>
      <c r="Q615" s="10">
        <v>11</v>
      </c>
      <c r="R615" s="10" t="s">
        <v>3043</v>
      </c>
      <c r="S615" s="10" t="s">
        <v>6855</v>
      </c>
      <c r="T615" s="10" t="s">
        <v>6856</v>
      </c>
      <c r="U615" s="10">
        <v>0</v>
      </c>
      <c r="V615" s="10">
        <v>192</v>
      </c>
      <c r="W615" s="67"/>
      <c r="X615" s="11" t="s">
        <v>3145</v>
      </c>
      <c r="Y615" s="11" t="s">
        <v>3241</v>
      </c>
      <c r="Z615" s="11" t="s">
        <v>3289</v>
      </c>
      <c r="AA615" s="67">
        <v>45596</v>
      </c>
      <c r="AB615" s="67">
        <v>45597</v>
      </c>
      <c r="AC615" s="67">
        <v>45626</v>
      </c>
      <c r="AD615" s="67">
        <v>45625</v>
      </c>
      <c r="AE615" s="67">
        <v>45626</v>
      </c>
    </row>
    <row r="616" spans="1:31" ht="12.5">
      <c r="A616" s="10">
        <v>610422040035</v>
      </c>
      <c r="B616" s="10" t="s">
        <v>308</v>
      </c>
      <c r="D616" s="10">
        <v>1</v>
      </c>
      <c r="E616" s="10" t="s">
        <v>2281</v>
      </c>
      <c r="F616" s="10" t="s">
        <v>25</v>
      </c>
      <c r="G616" s="10" t="s">
        <v>2280</v>
      </c>
      <c r="H616" s="10" t="s">
        <v>67</v>
      </c>
      <c r="I616" s="10" t="s">
        <v>309</v>
      </c>
      <c r="J616" s="10" t="s">
        <v>164</v>
      </c>
      <c r="K616" s="66">
        <v>91000</v>
      </c>
      <c r="L616" s="10">
        <v>10</v>
      </c>
      <c r="M616" s="10">
        <v>910000</v>
      </c>
      <c r="O616" s="67">
        <v>45626</v>
      </c>
      <c r="P616" s="10">
        <v>2024</v>
      </c>
      <c r="Q616" s="10">
        <v>11</v>
      </c>
      <c r="R616" s="10" t="s">
        <v>3043</v>
      </c>
      <c r="S616" s="10" t="s">
        <v>6857</v>
      </c>
      <c r="T616" s="10" t="s">
        <v>6858</v>
      </c>
      <c r="U616" s="10">
        <v>0</v>
      </c>
      <c r="V616" s="10">
        <v>192</v>
      </c>
      <c r="W616" s="67"/>
      <c r="X616" s="11" t="s">
        <v>3145</v>
      </c>
      <c r="Y616" s="11" t="s">
        <v>4931</v>
      </c>
      <c r="Z616" s="11" t="s">
        <v>5171</v>
      </c>
      <c r="AA616" s="67">
        <v>45596</v>
      </c>
      <c r="AB616" s="67">
        <v>45597</v>
      </c>
      <c r="AC616" s="67">
        <v>45626</v>
      </c>
      <c r="AD616" s="67">
        <v>45625</v>
      </c>
      <c r="AE616" s="67">
        <v>45626</v>
      </c>
    </row>
    <row r="617" spans="1:31" ht="12.5">
      <c r="A617" s="10">
        <v>610422040061</v>
      </c>
      <c r="B617" s="10" t="s">
        <v>308</v>
      </c>
      <c r="D617" s="10">
        <v>1</v>
      </c>
      <c r="E617" s="10" t="s">
        <v>2440</v>
      </c>
      <c r="F617" s="10" t="s">
        <v>25</v>
      </c>
      <c r="G617" s="10" t="s">
        <v>2439</v>
      </c>
      <c r="H617" s="10" t="s">
        <v>67</v>
      </c>
      <c r="I617" s="10" t="s">
        <v>309</v>
      </c>
      <c r="J617" s="10" t="s">
        <v>164</v>
      </c>
      <c r="K617" s="66">
        <v>91000</v>
      </c>
      <c r="L617" s="10">
        <v>10</v>
      </c>
      <c r="M617" s="10">
        <v>910000</v>
      </c>
      <c r="O617" s="67">
        <v>45626</v>
      </c>
      <c r="P617" s="10">
        <v>2024</v>
      </c>
      <c r="Q617" s="10">
        <v>11</v>
      </c>
      <c r="R617" s="10" t="s">
        <v>3043</v>
      </c>
      <c r="S617" s="10" t="s">
        <v>6828</v>
      </c>
      <c r="T617" s="10" t="s">
        <v>6829</v>
      </c>
      <c r="U617" s="10">
        <v>0</v>
      </c>
      <c r="V617" s="10">
        <v>192</v>
      </c>
      <c r="W617" s="67"/>
      <c r="X617" s="11" t="s">
        <v>3145</v>
      </c>
      <c r="Y617" s="11" t="s">
        <v>3715</v>
      </c>
      <c r="Z617" s="11" t="s">
        <v>3862</v>
      </c>
      <c r="AA617" s="67">
        <v>45596</v>
      </c>
      <c r="AB617" s="67">
        <v>45597</v>
      </c>
      <c r="AC617" s="67">
        <v>45626</v>
      </c>
      <c r="AD617" s="67">
        <v>45625</v>
      </c>
      <c r="AE617" s="67">
        <v>45626</v>
      </c>
    </row>
    <row r="618" spans="1:31" ht="12.5">
      <c r="A618" s="10">
        <v>610422040053</v>
      </c>
      <c r="B618" s="10" t="s">
        <v>308</v>
      </c>
      <c r="D618" s="10">
        <v>1</v>
      </c>
      <c r="E618" s="10" t="s">
        <v>2781</v>
      </c>
      <c r="F618" s="10" t="s">
        <v>25</v>
      </c>
      <c r="G618" s="10" t="s">
        <v>2780</v>
      </c>
      <c r="H618" s="10" t="s">
        <v>67</v>
      </c>
      <c r="I618" s="10" t="s">
        <v>309</v>
      </c>
      <c r="J618" s="10" t="s">
        <v>164</v>
      </c>
      <c r="K618" s="66">
        <v>91000</v>
      </c>
      <c r="L618" s="10">
        <v>10</v>
      </c>
      <c r="M618" s="10">
        <v>910000</v>
      </c>
      <c r="O618" s="67">
        <v>45626</v>
      </c>
      <c r="P618" s="10">
        <v>2024</v>
      </c>
      <c r="Q618" s="10">
        <v>11</v>
      </c>
      <c r="R618" s="10" t="s">
        <v>3043</v>
      </c>
      <c r="S618" s="10" t="s">
        <v>6859</v>
      </c>
      <c r="T618" s="10" t="s">
        <v>6860</v>
      </c>
      <c r="U618" s="10">
        <v>0</v>
      </c>
      <c r="V618" s="10">
        <v>192</v>
      </c>
      <c r="W618" s="67"/>
      <c r="X618" s="11" t="s">
        <v>3145</v>
      </c>
      <c r="Y618" s="11" t="s">
        <v>5250</v>
      </c>
      <c r="Z618" s="11" t="s">
        <v>5464</v>
      </c>
      <c r="AA618" s="67">
        <v>45596</v>
      </c>
      <c r="AB618" s="67">
        <v>45597</v>
      </c>
      <c r="AC618" s="67">
        <v>45626</v>
      </c>
      <c r="AD618" s="67">
        <v>45625</v>
      </c>
      <c r="AE618" s="67">
        <v>45626</v>
      </c>
    </row>
    <row r="619" spans="1:31" ht="12.5">
      <c r="A619" s="10">
        <v>610422100055</v>
      </c>
      <c r="B619" s="10" t="s">
        <v>308</v>
      </c>
      <c r="D619" s="10">
        <v>1</v>
      </c>
      <c r="E619" s="10" t="s">
        <v>2791</v>
      </c>
      <c r="F619" s="10" t="s">
        <v>25</v>
      </c>
      <c r="G619" s="10" t="s">
        <v>2790</v>
      </c>
      <c r="H619" s="10" t="s">
        <v>67</v>
      </c>
      <c r="I619" s="10" t="s">
        <v>309</v>
      </c>
      <c r="J619" s="10" t="s">
        <v>164</v>
      </c>
      <c r="K619" s="66">
        <v>91000</v>
      </c>
      <c r="L619" s="10">
        <v>10</v>
      </c>
      <c r="M619" s="10">
        <v>910000</v>
      </c>
      <c r="O619" s="67">
        <v>45626</v>
      </c>
      <c r="P619" s="10">
        <v>2024</v>
      </c>
      <c r="Q619" s="10">
        <v>11</v>
      </c>
      <c r="R619" s="10" t="s">
        <v>3043</v>
      </c>
      <c r="S619" s="10" t="s">
        <v>6861</v>
      </c>
      <c r="T619" s="10" t="s">
        <v>6862</v>
      </c>
      <c r="U619" s="10">
        <v>0</v>
      </c>
      <c r="V619" s="10">
        <v>192</v>
      </c>
      <c r="W619" s="67"/>
      <c r="X619" s="11" t="s">
        <v>3145</v>
      </c>
      <c r="Y619" s="11" t="s">
        <v>3241</v>
      </c>
      <c r="Z619" s="11" t="s">
        <v>3289</v>
      </c>
      <c r="AA619" s="67">
        <v>45596</v>
      </c>
      <c r="AB619" s="67">
        <v>45597</v>
      </c>
      <c r="AC619" s="67">
        <v>45626</v>
      </c>
      <c r="AD619" s="67">
        <v>45625</v>
      </c>
      <c r="AE619" s="67">
        <v>45626</v>
      </c>
    </row>
    <row r="620" spans="1:31" ht="12.5">
      <c r="A620" s="10">
        <v>610422100139</v>
      </c>
      <c r="B620" s="10" t="s">
        <v>308</v>
      </c>
      <c r="D620" s="10">
        <v>1</v>
      </c>
      <c r="E620" s="10" t="s">
        <v>2842</v>
      </c>
      <c r="F620" s="10" t="s">
        <v>25</v>
      </c>
      <c r="G620" s="10" t="s">
        <v>2841</v>
      </c>
      <c r="H620" s="10" t="s">
        <v>67</v>
      </c>
      <c r="I620" s="10" t="s">
        <v>309</v>
      </c>
      <c r="J620" s="10" t="s">
        <v>164</v>
      </c>
      <c r="K620" s="66">
        <v>91000</v>
      </c>
      <c r="L620" s="10">
        <v>10</v>
      </c>
      <c r="M620" s="10">
        <v>910000</v>
      </c>
      <c r="O620" s="67">
        <v>45626</v>
      </c>
      <c r="P620" s="10">
        <v>2024</v>
      </c>
      <c r="Q620" s="10">
        <v>11</v>
      </c>
      <c r="R620" s="10" t="s">
        <v>3043</v>
      </c>
      <c r="S620" s="10" t="s">
        <v>6863</v>
      </c>
      <c r="T620" s="10" t="s">
        <v>6864</v>
      </c>
      <c r="U620" s="10">
        <v>0</v>
      </c>
      <c r="V620" s="10">
        <v>192</v>
      </c>
      <c r="W620" s="67"/>
      <c r="X620" s="11" t="s">
        <v>3145</v>
      </c>
      <c r="Y620" s="11" t="s">
        <v>4572</v>
      </c>
      <c r="Z620" s="11" t="s">
        <v>4814</v>
      </c>
      <c r="AA620" s="67">
        <v>45596</v>
      </c>
      <c r="AB620" s="67">
        <v>45597</v>
      </c>
      <c r="AC620" s="67">
        <v>45626</v>
      </c>
      <c r="AD620" s="67">
        <v>45625</v>
      </c>
      <c r="AE620" s="67">
        <v>45626</v>
      </c>
    </row>
    <row r="621" spans="1:31" ht="12.5">
      <c r="A621" s="10">
        <v>610422040052</v>
      </c>
      <c r="B621" s="10" t="s">
        <v>308</v>
      </c>
      <c r="D621" s="10">
        <v>1</v>
      </c>
      <c r="E621" s="10" t="s">
        <v>2952</v>
      </c>
      <c r="F621" s="10" t="s">
        <v>25</v>
      </c>
      <c r="G621" s="10" t="s">
        <v>2951</v>
      </c>
      <c r="H621" s="10" t="s">
        <v>67</v>
      </c>
      <c r="I621" s="10" t="s">
        <v>309</v>
      </c>
      <c r="J621" s="10" t="s">
        <v>164</v>
      </c>
      <c r="K621" s="66">
        <v>91000</v>
      </c>
      <c r="L621" s="10">
        <v>10</v>
      </c>
      <c r="M621" s="10">
        <v>910000</v>
      </c>
      <c r="O621" s="67">
        <v>45626</v>
      </c>
      <c r="P621" s="10">
        <v>2024</v>
      </c>
      <c r="Q621" s="10">
        <v>11</v>
      </c>
      <c r="R621" s="10" t="s">
        <v>3043</v>
      </c>
      <c r="S621" s="10" t="s">
        <v>6865</v>
      </c>
      <c r="T621" s="10" t="s">
        <v>6866</v>
      </c>
      <c r="U621" s="10">
        <v>0</v>
      </c>
      <c r="V621" s="10">
        <v>192</v>
      </c>
      <c r="W621" s="67"/>
      <c r="X621" s="11" t="s">
        <v>3145</v>
      </c>
      <c r="Y621" s="11" t="s">
        <v>4408</v>
      </c>
      <c r="Z621" s="11" t="s">
        <v>4487</v>
      </c>
      <c r="AA621" s="67">
        <v>45596</v>
      </c>
      <c r="AB621" s="67">
        <v>45597</v>
      </c>
      <c r="AC621" s="67">
        <v>45626</v>
      </c>
      <c r="AD621" s="67">
        <v>45625</v>
      </c>
      <c r="AE621" s="67">
        <v>45626</v>
      </c>
    </row>
    <row r="622" spans="1:31" ht="12.5">
      <c r="A622" s="10">
        <v>610422030002</v>
      </c>
      <c r="B622" s="10" t="s">
        <v>310</v>
      </c>
      <c r="D622" s="10">
        <v>1</v>
      </c>
      <c r="E622" s="10" t="s">
        <v>5934</v>
      </c>
      <c r="F622" s="10" t="s">
        <v>25</v>
      </c>
      <c r="G622" s="10" t="s">
        <v>929</v>
      </c>
      <c r="H622" s="10" t="s">
        <v>67</v>
      </c>
      <c r="I622" s="10" t="s">
        <v>311</v>
      </c>
      <c r="J622" s="10" t="s">
        <v>164</v>
      </c>
      <c r="K622" s="66">
        <v>50000</v>
      </c>
      <c r="L622" s="10">
        <v>15</v>
      </c>
      <c r="M622" s="10">
        <v>750000</v>
      </c>
      <c r="O622" s="67">
        <v>45646</v>
      </c>
      <c r="P622" s="10">
        <v>2024</v>
      </c>
      <c r="Q622" s="10">
        <v>12</v>
      </c>
      <c r="R622" s="10" t="s">
        <v>3043</v>
      </c>
      <c r="S622" s="10" t="s">
        <v>6867</v>
      </c>
      <c r="T622" s="10" t="s">
        <v>6868</v>
      </c>
      <c r="U622" s="10">
        <v>0</v>
      </c>
      <c r="V622" s="10">
        <v>212</v>
      </c>
      <c r="W622" s="67"/>
      <c r="X622" s="11" t="s">
        <v>3098</v>
      </c>
      <c r="Y622" s="11" t="s">
        <v>3715</v>
      </c>
      <c r="Z622" s="11" t="s">
        <v>3716</v>
      </c>
      <c r="AA622" s="67">
        <v>45626</v>
      </c>
      <c r="AB622" s="67">
        <v>45627</v>
      </c>
      <c r="AC622" s="67">
        <v>45657</v>
      </c>
      <c r="AD622" s="67">
        <v>45656</v>
      </c>
      <c r="AE622" s="67">
        <v>45657</v>
      </c>
    </row>
    <row r="623" spans="1:31" ht="12.5">
      <c r="A623" s="10">
        <v>610422100244</v>
      </c>
      <c r="B623" s="10" t="s">
        <v>312</v>
      </c>
      <c r="D623" s="10">
        <v>1</v>
      </c>
      <c r="E623" s="10" t="s">
        <v>2633</v>
      </c>
      <c r="F623" s="10" t="s">
        <v>25</v>
      </c>
      <c r="G623" s="10" t="s">
        <v>2632</v>
      </c>
      <c r="H623" s="10" t="s">
        <v>67</v>
      </c>
      <c r="I623" s="10" t="s">
        <v>313</v>
      </c>
      <c r="J623" s="10" t="s">
        <v>164</v>
      </c>
      <c r="K623" s="66">
        <v>50000</v>
      </c>
      <c r="L623" s="10">
        <v>1</v>
      </c>
      <c r="M623" s="10">
        <v>50000</v>
      </c>
      <c r="O623" s="67">
        <v>45646</v>
      </c>
      <c r="P623" s="10">
        <v>2024</v>
      </c>
      <c r="Q623" s="10">
        <v>12</v>
      </c>
      <c r="R623" s="10" t="s">
        <v>3043</v>
      </c>
      <c r="S623" s="10" t="s">
        <v>6869</v>
      </c>
      <c r="T623" s="10" t="s">
        <v>6870</v>
      </c>
      <c r="U623" s="10">
        <v>0</v>
      </c>
      <c r="V623" s="10">
        <v>212</v>
      </c>
      <c r="W623" s="67"/>
      <c r="X623" s="11" t="s">
        <v>3086</v>
      </c>
      <c r="Y623" s="11" t="s">
        <v>5741</v>
      </c>
      <c r="Z623" s="11" t="s">
        <v>5796</v>
      </c>
      <c r="AA623" s="67">
        <v>45626</v>
      </c>
      <c r="AB623" s="67">
        <v>45627</v>
      </c>
      <c r="AC623" s="67">
        <v>45657</v>
      </c>
      <c r="AD623" s="67">
        <v>45656</v>
      </c>
      <c r="AE623" s="67">
        <v>45657</v>
      </c>
    </row>
    <row r="624" spans="1:31" ht="12.5">
      <c r="A624" s="10">
        <v>610422100124</v>
      </c>
      <c r="B624" s="10" t="s">
        <v>312</v>
      </c>
      <c r="D624" s="10">
        <v>1</v>
      </c>
      <c r="E624" s="10" t="s">
        <v>2237</v>
      </c>
      <c r="F624" s="10" t="s">
        <v>25</v>
      </c>
      <c r="G624" s="10" t="s">
        <v>2236</v>
      </c>
      <c r="H624" s="10" t="s">
        <v>67</v>
      </c>
      <c r="I624" s="10" t="s">
        <v>313</v>
      </c>
      <c r="J624" s="10" t="s">
        <v>164</v>
      </c>
      <c r="K624" s="66">
        <v>50000</v>
      </c>
      <c r="L624" s="10">
        <v>1</v>
      </c>
      <c r="M624" s="10">
        <v>50000</v>
      </c>
      <c r="O624" s="67">
        <v>45646</v>
      </c>
      <c r="P624" s="10">
        <v>2024</v>
      </c>
      <c r="Q624" s="10">
        <v>12</v>
      </c>
      <c r="R624" s="10" t="s">
        <v>3043</v>
      </c>
      <c r="S624" s="10" t="s">
        <v>6871</v>
      </c>
      <c r="T624" s="10" t="s">
        <v>6872</v>
      </c>
      <c r="U624" s="10">
        <v>0</v>
      </c>
      <c r="V624" s="10">
        <v>212</v>
      </c>
      <c r="W624" s="67"/>
      <c r="X624" s="11" t="s">
        <v>3086</v>
      </c>
      <c r="Y624" s="11" t="s">
        <v>1921</v>
      </c>
      <c r="Z624" s="11" t="s">
        <v>2140</v>
      </c>
      <c r="AA624" s="67">
        <v>45626</v>
      </c>
      <c r="AB624" s="67">
        <v>45627</v>
      </c>
      <c r="AC624" s="67">
        <v>45657</v>
      </c>
      <c r="AD624" s="67">
        <v>45656</v>
      </c>
      <c r="AE624" s="67">
        <v>45657</v>
      </c>
    </row>
    <row r="625" spans="1:31" ht="12.5">
      <c r="A625" s="10">
        <v>610422100016</v>
      </c>
      <c r="B625" s="10" t="s">
        <v>314</v>
      </c>
      <c r="D625" s="10">
        <v>1</v>
      </c>
      <c r="E625" s="10" t="s">
        <v>550</v>
      </c>
      <c r="F625" s="10" t="s">
        <v>25</v>
      </c>
      <c r="G625" s="10" t="s">
        <v>549</v>
      </c>
      <c r="H625" s="10" t="s">
        <v>72</v>
      </c>
      <c r="I625" s="10" t="s">
        <v>315</v>
      </c>
      <c r="J625" s="10" t="s">
        <v>164</v>
      </c>
      <c r="K625" s="66">
        <v>65000</v>
      </c>
      <c r="L625" s="10">
        <v>3</v>
      </c>
      <c r="M625" s="10">
        <v>195000</v>
      </c>
      <c r="O625" s="67">
        <v>45646</v>
      </c>
      <c r="P625" s="10">
        <v>2024</v>
      </c>
      <c r="Q625" s="10">
        <v>12</v>
      </c>
      <c r="R625" s="10" t="s">
        <v>3043</v>
      </c>
      <c r="S625" s="10" t="s">
        <v>6873</v>
      </c>
      <c r="T625" s="10" t="s">
        <v>6874</v>
      </c>
      <c r="U625" s="10">
        <v>0</v>
      </c>
      <c r="V625" s="10">
        <v>212</v>
      </c>
      <c r="W625" s="67"/>
      <c r="X625" s="11" t="s">
        <v>3115</v>
      </c>
      <c r="Y625" s="11" t="s">
        <v>5250</v>
      </c>
      <c r="Z625" s="11" t="s">
        <v>5365</v>
      </c>
      <c r="AA625" s="67">
        <v>45626</v>
      </c>
      <c r="AB625" s="67">
        <v>45627</v>
      </c>
      <c r="AC625" s="67">
        <v>45657</v>
      </c>
      <c r="AD625" s="67">
        <v>45656</v>
      </c>
      <c r="AE625" s="67">
        <v>45657</v>
      </c>
    </row>
    <row r="626" spans="1:31" ht="12.5">
      <c r="A626" s="10">
        <v>610422050001</v>
      </c>
      <c r="B626" s="10" t="s">
        <v>314</v>
      </c>
      <c r="D626" s="10">
        <v>1</v>
      </c>
      <c r="E626" s="10" t="s">
        <v>5949</v>
      </c>
      <c r="F626" s="10" t="s">
        <v>25</v>
      </c>
      <c r="G626" s="10" t="s">
        <v>1127</v>
      </c>
      <c r="H626" s="10" t="s">
        <v>72</v>
      </c>
      <c r="I626" s="10" t="s">
        <v>315</v>
      </c>
      <c r="J626" s="10" t="s">
        <v>164</v>
      </c>
      <c r="K626" s="66">
        <v>65000</v>
      </c>
      <c r="L626" s="10">
        <v>3</v>
      </c>
      <c r="M626" s="10">
        <v>195000</v>
      </c>
      <c r="O626" s="67">
        <v>45646</v>
      </c>
      <c r="P626" s="10">
        <v>2024</v>
      </c>
      <c r="Q626" s="10">
        <v>12</v>
      </c>
      <c r="R626" s="10" t="s">
        <v>3043</v>
      </c>
      <c r="S626" s="10" t="s">
        <v>6875</v>
      </c>
      <c r="T626" s="10" t="s">
        <v>6876</v>
      </c>
      <c r="U626" s="10">
        <v>0</v>
      </c>
      <c r="V626" s="10">
        <v>212</v>
      </c>
      <c r="W626" s="67"/>
      <c r="X626" s="11" t="s">
        <v>3115</v>
      </c>
      <c r="Y626" s="11" t="s">
        <v>4408</v>
      </c>
      <c r="Z626" s="11" t="s">
        <v>4409</v>
      </c>
      <c r="AA626" s="67">
        <v>45626</v>
      </c>
      <c r="AB626" s="67">
        <v>45627</v>
      </c>
      <c r="AC626" s="67">
        <v>45657</v>
      </c>
      <c r="AD626" s="67">
        <v>45656</v>
      </c>
      <c r="AE626" s="67">
        <v>45657</v>
      </c>
    </row>
    <row r="627" spans="1:31" ht="12.5">
      <c r="A627" s="10">
        <v>610422040030</v>
      </c>
      <c r="B627" s="10" t="s">
        <v>314</v>
      </c>
      <c r="D627" s="10">
        <v>1</v>
      </c>
      <c r="E627" s="10" t="s">
        <v>2697</v>
      </c>
      <c r="F627" s="10" t="s">
        <v>25</v>
      </c>
      <c r="G627" s="10" t="s">
        <v>2696</v>
      </c>
      <c r="H627" s="10" t="s">
        <v>74</v>
      </c>
      <c r="I627" s="10" t="s">
        <v>316</v>
      </c>
      <c r="J627" s="10" t="s">
        <v>164</v>
      </c>
      <c r="K627" s="66">
        <v>55000</v>
      </c>
      <c r="L627" s="10">
        <v>1</v>
      </c>
      <c r="M627" s="10">
        <v>55000</v>
      </c>
      <c r="O627" s="67">
        <v>45646</v>
      </c>
      <c r="P627" s="10">
        <v>2024</v>
      </c>
      <c r="Q627" s="10">
        <v>12</v>
      </c>
      <c r="R627" s="10" t="s">
        <v>3043</v>
      </c>
      <c r="S627" s="10" t="s">
        <v>6877</v>
      </c>
      <c r="T627" s="10" t="s">
        <v>6878</v>
      </c>
      <c r="U627" s="10">
        <v>0</v>
      </c>
      <c r="V627" s="10">
        <v>212</v>
      </c>
      <c r="W627" s="67"/>
      <c r="X627" s="11" t="s">
        <v>3115</v>
      </c>
      <c r="Y627" s="11" t="s">
        <v>3241</v>
      </c>
      <c r="Z627" s="11" t="s">
        <v>3289</v>
      </c>
      <c r="AA627" s="67">
        <v>45626</v>
      </c>
      <c r="AB627" s="67">
        <v>45627</v>
      </c>
      <c r="AC627" s="67">
        <v>45657</v>
      </c>
      <c r="AD627" s="67">
        <v>45656</v>
      </c>
      <c r="AE627" s="67">
        <v>45657</v>
      </c>
    </row>
    <row r="628" spans="1:31" ht="12.5">
      <c r="A628" s="10">
        <v>610422100124</v>
      </c>
      <c r="B628" s="10" t="s">
        <v>314</v>
      </c>
      <c r="D628" s="10">
        <v>1</v>
      </c>
      <c r="E628" s="10" t="s">
        <v>2237</v>
      </c>
      <c r="F628" s="10" t="s">
        <v>25</v>
      </c>
      <c r="G628" s="10" t="s">
        <v>2236</v>
      </c>
      <c r="H628" s="10" t="s">
        <v>74</v>
      </c>
      <c r="I628" s="10" t="s">
        <v>316</v>
      </c>
      <c r="J628" s="10" t="s">
        <v>164</v>
      </c>
      <c r="K628" s="66">
        <v>55000</v>
      </c>
      <c r="L628" s="10">
        <v>3</v>
      </c>
      <c r="M628" s="10">
        <v>165000</v>
      </c>
      <c r="O628" s="67">
        <v>45646</v>
      </c>
      <c r="P628" s="10">
        <v>2024</v>
      </c>
      <c r="Q628" s="10">
        <v>12</v>
      </c>
      <c r="R628" s="10" t="s">
        <v>3043</v>
      </c>
      <c r="S628" s="10" t="s">
        <v>6871</v>
      </c>
      <c r="T628" s="10" t="s">
        <v>6872</v>
      </c>
      <c r="U628" s="10">
        <v>0</v>
      </c>
      <c r="V628" s="10">
        <v>212</v>
      </c>
      <c r="W628" s="67"/>
      <c r="X628" s="11" t="s">
        <v>3115</v>
      </c>
      <c r="Y628" s="11" t="s">
        <v>1921</v>
      </c>
      <c r="Z628" s="11" t="s">
        <v>2140</v>
      </c>
      <c r="AA628" s="67">
        <v>45626</v>
      </c>
      <c r="AB628" s="67">
        <v>45627</v>
      </c>
      <c r="AC628" s="67">
        <v>45657</v>
      </c>
      <c r="AD628" s="67">
        <v>45656</v>
      </c>
      <c r="AE628" s="67">
        <v>45657</v>
      </c>
    </row>
    <row r="629" spans="1:31" ht="12.5">
      <c r="A629" s="10">
        <v>610422100244</v>
      </c>
      <c r="B629" s="10" t="s">
        <v>314</v>
      </c>
      <c r="D629" s="10">
        <v>1</v>
      </c>
      <c r="E629" s="10" t="s">
        <v>2633</v>
      </c>
      <c r="F629" s="10" t="s">
        <v>25</v>
      </c>
      <c r="G629" s="10" t="s">
        <v>2632</v>
      </c>
      <c r="H629" s="10" t="s">
        <v>74</v>
      </c>
      <c r="I629" s="10" t="s">
        <v>316</v>
      </c>
      <c r="J629" s="10" t="s">
        <v>164</v>
      </c>
      <c r="K629" s="66">
        <v>55000</v>
      </c>
      <c r="L629" s="10">
        <v>2</v>
      </c>
      <c r="M629" s="10">
        <v>110000</v>
      </c>
      <c r="O629" s="67">
        <v>45646</v>
      </c>
      <c r="P629" s="10">
        <v>2024</v>
      </c>
      <c r="Q629" s="10">
        <v>12</v>
      </c>
      <c r="R629" s="10" t="s">
        <v>3043</v>
      </c>
      <c r="S629" s="10" t="s">
        <v>6869</v>
      </c>
      <c r="T629" s="10" t="s">
        <v>6870</v>
      </c>
      <c r="U629" s="10">
        <v>0</v>
      </c>
      <c r="V629" s="10">
        <v>212</v>
      </c>
      <c r="W629" s="67"/>
      <c r="X629" s="11" t="s">
        <v>3115</v>
      </c>
      <c r="Y629" s="11" t="s">
        <v>5741</v>
      </c>
      <c r="Z629" s="11" t="s">
        <v>5796</v>
      </c>
      <c r="AA629" s="67">
        <v>45626</v>
      </c>
      <c r="AB629" s="67">
        <v>45627</v>
      </c>
      <c r="AC629" s="67">
        <v>45657</v>
      </c>
      <c r="AD629" s="67">
        <v>45656</v>
      </c>
      <c r="AE629" s="67">
        <v>45657</v>
      </c>
    </row>
    <row r="630" spans="1:31" ht="12.5">
      <c r="A630" s="10">
        <v>610422020016</v>
      </c>
      <c r="B630" s="10" t="s">
        <v>314</v>
      </c>
      <c r="D630" s="10">
        <v>1</v>
      </c>
      <c r="E630" s="10" t="s">
        <v>380</v>
      </c>
      <c r="F630" s="10" t="s">
        <v>25</v>
      </c>
      <c r="G630" s="10" t="s">
        <v>379</v>
      </c>
      <c r="H630" s="10" t="s">
        <v>74</v>
      </c>
      <c r="I630" s="10" t="s">
        <v>316</v>
      </c>
      <c r="J630" s="10" t="s">
        <v>164</v>
      </c>
      <c r="K630" s="66">
        <v>55000</v>
      </c>
      <c r="L630" s="10">
        <v>3</v>
      </c>
      <c r="M630" s="10">
        <v>165000</v>
      </c>
      <c r="O630" s="67">
        <v>45646</v>
      </c>
      <c r="P630" s="10">
        <v>2024</v>
      </c>
      <c r="Q630" s="10">
        <v>12</v>
      </c>
      <c r="R630" s="10" t="s">
        <v>3043</v>
      </c>
      <c r="S630" s="10" t="s">
        <v>6879</v>
      </c>
      <c r="T630" s="10" t="s">
        <v>6880</v>
      </c>
      <c r="U630" s="10">
        <v>0</v>
      </c>
      <c r="V630" s="10">
        <v>212</v>
      </c>
      <c r="W630" s="67"/>
      <c r="X630" s="11" t="s">
        <v>3115</v>
      </c>
      <c r="Y630" s="11" t="s">
        <v>5534</v>
      </c>
      <c r="Z630" s="11" t="s">
        <v>5535</v>
      </c>
      <c r="AA630" s="67">
        <v>45626</v>
      </c>
      <c r="AB630" s="67">
        <v>45627</v>
      </c>
      <c r="AC630" s="67">
        <v>45657</v>
      </c>
      <c r="AD630" s="67">
        <v>45656</v>
      </c>
      <c r="AE630" s="67">
        <v>45657</v>
      </c>
    </row>
    <row r="631" spans="1:31" ht="12.5">
      <c r="A631" s="10">
        <v>610422100016</v>
      </c>
      <c r="B631" s="10" t="s">
        <v>314</v>
      </c>
      <c r="D631" s="10">
        <v>1</v>
      </c>
      <c r="E631" s="10" t="s">
        <v>550</v>
      </c>
      <c r="F631" s="10" t="s">
        <v>25</v>
      </c>
      <c r="G631" s="10" t="s">
        <v>549</v>
      </c>
      <c r="H631" s="10" t="s">
        <v>74</v>
      </c>
      <c r="I631" s="10" t="s">
        <v>316</v>
      </c>
      <c r="J631" s="10" t="s">
        <v>164</v>
      </c>
      <c r="K631" s="66">
        <v>55000</v>
      </c>
      <c r="L631" s="10">
        <v>1</v>
      </c>
      <c r="M631" s="10">
        <v>55000</v>
      </c>
      <c r="O631" s="67">
        <v>45646</v>
      </c>
      <c r="P631" s="10">
        <v>2024</v>
      </c>
      <c r="Q631" s="10">
        <v>12</v>
      </c>
      <c r="R631" s="10" t="s">
        <v>3043</v>
      </c>
      <c r="S631" s="10" t="s">
        <v>6873</v>
      </c>
      <c r="T631" s="10" t="s">
        <v>6874</v>
      </c>
      <c r="U631" s="10">
        <v>0</v>
      </c>
      <c r="V631" s="10">
        <v>212</v>
      </c>
      <c r="W631" s="67"/>
      <c r="X631" s="11" t="s">
        <v>3115</v>
      </c>
      <c r="Y631" s="11" t="s">
        <v>5250</v>
      </c>
      <c r="Z631" s="11" t="s">
        <v>5365</v>
      </c>
      <c r="AA631" s="67">
        <v>45626</v>
      </c>
      <c r="AB631" s="67">
        <v>45627</v>
      </c>
      <c r="AC631" s="67">
        <v>45657</v>
      </c>
      <c r="AD631" s="67">
        <v>45656</v>
      </c>
      <c r="AE631" s="67">
        <v>45657</v>
      </c>
    </row>
    <row r="632" spans="1:31" ht="12.5">
      <c r="A632" s="10">
        <v>610422020048</v>
      </c>
      <c r="B632" s="10" t="s">
        <v>314</v>
      </c>
      <c r="D632" s="10">
        <v>1</v>
      </c>
      <c r="E632" s="10" t="s">
        <v>1359</v>
      </c>
      <c r="F632" s="10" t="s">
        <v>25</v>
      </c>
      <c r="G632" s="10" t="s">
        <v>1358</v>
      </c>
      <c r="H632" s="10" t="s">
        <v>74</v>
      </c>
      <c r="I632" s="10" t="s">
        <v>316</v>
      </c>
      <c r="J632" s="10" t="s">
        <v>164</v>
      </c>
      <c r="K632" s="66">
        <v>55000</v>
      </c>
      <c r="L632" s="10">
        <v>3</v>
      </c>
      <c r="M632" s="10">
        <v>165000</v>
      </c>
      <c r="O632" s="67">
        <v>45646</v>
      </c>
      <c r="P632" s="10">
        <v>2024</v>
      </c>
      <c r="Q632" s="10">
        <v>12</v>
      </c>
      <c r="R632" s="10" t="s">
        <v>3043</v>
      </c>
      <c r="S632" s="10" t="s">
        <v>6881</v>
      </c>
      <c r="T632" s="10" t="s">
        <v>6882</v>
      </c>
      <c r="U632" s="10">
        <v>0</v>
      </c>
      <c r="V632" s="10">
        <v>212</v>
      </c>
      <c r="W632" s="67"/>
      <c r="X632" s="11" t="s">
        <v>3115</v>
      </c>
      <c r="Y632" s="11" t="s">
        <v>4931</v>
      </c>
      <c r="Z632" s="11" t="s">
        <v>5171</v>
      </c>
      <c r="AA632" s="67">
        <v>45626</v>
      </c>
      <c r="AB632" s="67">
        <v>45627</v>
      </c>
      <c r="AC632" s="67">
        <v>45657</v>
      </c>
      <c r="AD632" s="67">
        <v>45656</v>
      </c>
      <c r="AE632" s="67">
        <v>45657</v>
      </c>
    </row>
    <row r="633" spans="1:31" ht="12.5">
      <c r="A633" s="10">
        <v>610422040029</v>
      </c>
      <c r="B633" s="10" t="s">
        <v>314</v>
      </c>
      <c r="D633" s="10">
        <v>1</v>
      </c>
      <c r="E633" s="10" t="s">
        <v>3000</v>
      </c>
      <c r="F633" s="10" t="s">
        <v>25</v>
      </c>
      <c r="G633" s="10" t="s">
        <v>2999</v>
      </c>
      <c r="H633" s="10" t="s">
        <v>74</v>
      </c>
      <c r="I633" s="10" t="s">
        <v>316</v>
      </c>
      <c r="J633" s="10" t="s">
        <v>164</v>
      </c>
      <c r="K633" s="66">
        <v>55000</v>
      </c>
      <c r="L633" s="10">
        <v>4</v>
      </c>
      <c r="M633" s="10">
        <v>220000</v>
      </c>
      <c r="O633" s="67">
        <v>45646</v>
      </c>
      <c r="P633" s="10">
        <v>2024</v>
      </c>
      <c r="Q633" s="10">
        <v>12</v>
      </c>
      <c r="R633" s="10" t="s">
        <v>3043</v>
      </c>
      <c r="S633" s="10" t="s">
        <v>6883</v>
      </c>
      <c r="T633" s="10" t="s">
        <v>6884</v>
      </c>
      <c r="U633" s="10">
        <v>0</v>
      </c>
      <c r="V633" s="10">
        <v>212</v>
      </c>
      <c r="W633" s="67"/>
      <c r="X633" s="11" t="s">
        <v>3115</v>
      </c>
      <c r="Y633" s="11" t="s">
        <v>4572</v>
      </c>
      <c r="Z633" s="11" t="s">
        <v>4619</v>
      </c>
      <c r="AA633" s="67">
        <v>45626</v>
      </c>
      <c r="AB633" s="67">
        <v>45627</v>
      </c>
      <c r="AC633" s="67">
        <v>45657</v>
      </c>
      <c r="AD633" s="67">
        <v>45656</v>
      </c>
      <c r="AE633" s="67">
        <v>45657</v>
      </c>
    </row>
    <row r="634" spans="1:31" ht="12.5">
      <c r="A634" s="10">
        <v>610422050001</v>
      </c>
      <c r="B634" s="10" t="s">
        <v>314</v>
      </c>
      <c r="D634" s="10">
        <v>1</v>
      </c>
      <c r="E634" s="10" t="s">
        <v>5949</v>
      </c>
      <c r="F634" s="10" t="s">
        <v>25</v>
      </c>
      <c r="G634" s="10" t="s">
        <v>1127</v>
      </c>
      <c r="H634" s="10" t="s">
        <v>74</v>
      </c>
      <c r="I634" s="10" t="s">
        <v>316</v>
      </c>
      <c r="J634" s="10" t="s">
        <v>164</v>
      </c>
      <c r="K634" s="66">
        <v>55000</v>
      </c>
      <c r="L634" s="10">
        <v>1</v>
      </c>
      <c r="M634" s="10">
        <v>55000</v>
      </c>
      <c r="O634" s="67">
        <v>45646</v>
      </c>
      <c r="P634" s="10">
        <v>2024</v>
      </c>
      <c r="Q634" s="10">
        <v>12</v>
      </c>
      <c r="R634" s="10" t="s">
        <v>3043</v>
      </c>
      <c r="S634" s="10" t="s">
        <v>6875</v>
      </c>
      <c r="T634" s="10" t="s">
        <v>6876</v>
      </c>
      <c r="U634" s="10">
        <v>0</v>
      </c>
      <c r="V634" s="10">
        <v>212</v>
      </c>
      <c r="W634" s="67"/>
      <c r="X634" s="11" t="s">
        <v>3115</v>
      </c>
      <c r="Y634" s="11" t="s">
        <v>4408</v>
      </c>
      <c r="Z634" s="11" t="s">
        <v>4409</v>
      </c>
      <c r="AA634" s="67">
        <v>45626</v>
      </c>
      <c r="AB634" s="67">
        <v>45627</v>
      </c>
      <c r="AC634" s="67">
        <v>45657</v>
      </c>
      <c r="AD634" s="67">
        <v>45656</v>
      </c>
      <c r="AE634" s="67">
        <v>45657</v>
      </c>
    </row>
    <row r="635" spans="1:31" ht="12.5">
      <c r="A635" s="10">
        <v>610422100124</v>
      </c>
      <c r="B635" s="10" t="s">
        <v>317</v>
      </c>
      <c r="D635" s="10">
        <v>1</v>
      </c>
      <c r="E635" s="10" t="s">
        <v>2237</v>
      </c>
      <c r="F635" s="10" t="s">
        <v>25</v>
      </c>
      <c r="G635" s="10" t="s">
        <v>2236</v>
      </c>
      <c r="H635" s="10" t="s">
        <v>67</v>
      </c>
      <c r="I635" s="10" t="s">
        <v>318</v>
      </c>
      <c r="J635" s="10" t="s">
        <v>164</v>
      </c>
      <c r="K635" s="66">
        <v>55000</v>
      </c>
      <c r="L635" s="10">
        <v>2</v>
      </c>
      <c r="M635" s="10">
        <v>110000</v>
      </c>
      <c r="O635" s="67">
        <v>45646</v>
      </c>
      <c r="P635" s="10">
        <v>2024</v>
      </c>
      <c r="Q635" s="10">
        <v>12</v>
      </c>
      <c r="R635" s="10" t="s">
        <v>3043</v>
      </c>
      <c r="S635" s="10" t="s">
        <v>6871</v>
      </c>
      <c r="T635" s="10" t="s">
        <v>6872</v>
      </c>
      <c r="U635" s="10">
        <v>0</v>
      </c>
      <c r="V635" s="10">
        <v>212</v>
      </c>
      <c r="W635" s="67"/>
      <c r="X635" s="11" t="s">
        <v>7012</v>
      </c>
      <c r="Y635" s="11" t="s">
        <v>1921</v>
      </c>
      <c r="Z635" s="11" t="s">
        <v>2140</v>
      </c>
      <c r="AA635" s="67">
        <v>45626</v>
      </c>
      <c r="AB635" s="67">
        <v>45627</v>
      </c>
      <c r="AC635" s="67">
        <v>45657</v>
      </c>
      <c r="AD635" s="67">
        <v>45656</v>
      </c>
      <c r="AE635" s="67">
        <v>45657</v>
      </c>
    </row>
    <row r="636" spans="1:31" ht="12.5">
      <c r="A636" s="10">
        <v>610422100244</v>
      </c>
      <c r="B636" s="10" t="s">
        <v>317</v>
      </c>
      <c r="D636" s="10">
        <v>1</v>
      </c>
      <c r="E636" s="10" t="s">
        <v>2633</v>
      </c>
      <c r="F636" s="10" t="s">
        <v>25</v>
      </c>
      <c r="G636" s="10" t="s">
        <v>2632</v>
      </c>
      <c r="H636" s="10" t="s">
        <v>67</v>
      </c>
      <c r="I636" s="10" t="s">
        <v>318</v>
      </c>
      <c r="J636" s="10" t="s">
        <v>164</v>
      </c>
      <c r="K636" s="66">
        <v>55000</v>
      </c>
      <c r="L636" s="10">
        <v>2</v>
      </c>
      <c r="M636" s="10">
        <v>110000</v>
      </c>
      <c r="O636" s="67">
        <v>45646</v>
      </c>
      <c r="P636" s="10">
        <v>2024</v>
      </c>
      <c r="Q636" s="10">
        <v>12</v>
      </c>
      <c r="R636" s="10" t="s">
        <v>3043</v>
      </c>
      <c r="S636" s="10" t="s">
        <v>6869</v>
      </c>
      <c r="T636" s="10" t="s">
        <v>6870</v>
      </c>
      <c r="U636" s="10">
        <v>0</v>
      </c>
      <c r="V636" s="10">
        <v>212</v>
      </c>
      <c r="W636" s="67"/>
      <c r="X636" s="11" t="s">
        <v>7012</v>
      </c>
      <c r="Y636" s="11" t="s">
        <v>5741</v>
      </c>
      <c r="Z636" s="11" t="s">
        <v>5796</v>
      </c>
      <c r="AA636" s="67">
        <v>45626</v>
      </c>
      <c r="AB636" s="67">
        <v>45627</v>
      </c>
      <c r="AC636" s="67">
        <v>45657</v>
      </c>
      <c r="AD636" s="67">
        <v>45656</v>
      </c>
      <c r="AE636" s="67">
        <v>45657</v>
      </c>
    </row>
    <row r="637" spans="1:31" ht="12.5">
      <c r="A637" s="10">
        <v>610422100165</v>
      </c>
      <c r="B637" s="10" t="s">
        <v>317</v>
      </c>
      <c r="D637" s="10">
        <v>1</v>
      </c>
      <c r="E637" s="10" t="s">
        <v>2855</v>
      </c>
      <c r="F637" s="10" t="s">
        <v>25</v>
      </c>
      <c r="G637" s="10" t="s">
        <v>2854</v>
      </c>
      <c r="H637" s="10" t="s">
        <v>67</v>
      </c>
      <c r="I637" s="10" t="s">
        <v>318</v>
      </c>
      <c r="J637" s="10" t="s">
        <v>164</v>
      </c>
      <c r="K637" s="66">
        <v>55000</v>
      </c>
      <c r="L637" s="10">
        <v>2</v>
      </c>
      <c r="M637" s="10">
        <v>110000</v>
      </c>
      <c r="O637" s="67">
        <v>45646</v>
      </c>
      <c r="P637" s="10">
        <v>2024</v>
      </c>
      <c r="Q637" s="10">
        <v>12</v>
      </c>
      <c r="R637" s="10" t="s">
        <v>3043</v>
      </c>
      <c r="S637" s="10" t="s">
        <v>6885</v>
      </c>
      <c r="T637" s="10" t="s">
        <v>6886</v>
      </c>
      <c r="U637" s="10">
        <v>0</v>
      </c>
      <c r="V637" s="10">
        <v>212</v>
      </c>
      <c r="W637" s="67"/>
      <c r="X637" s="11" t="s">
        <v>7012</v>
      </c>
      <c r="Y637" s="11" t="s">
        <v>3990</v>
      </c>
      <c r="Z637" s="11" t="s">
        <v>4332</v>
      </c>
      <c r="AA637" s="67">
        <v>45626</v>
      </c>
      <c r="AB637" s="67">
        <v>45627</v>
      </c>
      <c r="AC637" s="67">
        <v>45657</v>
      </c>
      <c r="AD637" s="67">
        <v>45656</v>
      </c>
      <c r="AE637" s="67">
        <v>45657</v>
      </c>
    </row>
    <row r="638" spans="1:31" ht="12.5">
      <c r="A638" s="10">
        <v>610422100165</v>
      </c>
      <c r="B638" s="10" t="s">
        <v>319</v>
      </c>
      <c r="D638" s="10">
        <v>1</v>
      </c>
      <c r="E638" s="10" t="s">
        <v>2855</v>
      </c>
      <c r="F638" s="10" t="s">
        <v>25</v>
      </c>
      <c r="G638" s="10" t="s">
        <v>2854</v>
      </c>
      <c r="H638" s="10" t="s">
        <v>67</v>
      </c>
      <c r="I638" s="10" t="s">
        <v>320</v>
      </c>
      <c r="J638" s="10" t="s">
        <v>164</v>
      </c>
      <c r="K638" s="66">
        <v>50000</v>
      </c>
      <c r="L638" s="10">
        <v>1</v>
      </c>
      <c r="M638" s="10">
        <v>50000</v>
      </c>
      <c r="O638" s="67">
        <v>45646</v>
      </c>
      <c r="P638" s="10">
        <v>2024</v>
      </c>
      <c r="Q638" s="10">
        <v>12</v>
      </c>
      <c r="R638" s="10" t="s">
        <v>3043</v>
      </c>
      <c r="S638" s="10" t="s">
        <v>6885</v>
      </c>
      <c r="T638" s="10" t="s">
        <v>6886</v>
      </c>
      <c r="U638" s="10">
        <v>0</v>
      </c>
      <c r="V638" s="10">
        <v>212</v>
      </c>
      <c r="W638" s="67"/>
      <c r="X638" s="11" t="s">
        <v>3139</v>
      </c>
      <c r="Y638" s="11" t="s">
        <v>3990</v>
      </c>
      <c r="Z638" s="11" t="s">
        <v>4332</v>
      </c>
      <c r="AA638" s="67">
        <v>45626</v>
      </c>
      <c r="AB638" s="67">
        <v>45627</v>
      </c>
      <c r="AC638" s="67">
        <v>45657</v>
      </c>
      <c r="AD638" s="67">
        <v>45656</v>
      </c>
      <c r="AE638" s="67">
        <v>45657</v>
      </c>
    </row>
    <row r="639" spans="1:31" ht="12.5">
      <c r="A639" s="10">
        <v>610422040029</v>
      </c>
      <c r="B639" s="10" t="s">
        <v>321</v>
      </c>
      <c r="D639" s="10">
        <v>1</v>
      </c>
      <c r="E639" s="10" t="s">
        <v>3000</v>
      </c>
      <c r="F639" s="10" t="s">
        <v>25</v>
      </c>
      <c r="G639" s="10" t="s">
        <v>2999</v>
      </c>
      <c r="H639" s="10" t="s">
        <v>67</v>
      </c>
      <c r="I639" s="10" t="s">
        <v>322</v>
      </c>
      <c r="J639" s="10" t="s">
        <v>164</v>
      </c>
      <c r="K639" s="66">
        <v>55000</v>
      </c>
      <c r="L639" s="10">
        <v>3</v>
      </c>
      <c r="M639" s="10">
        <v>165000</v>
      </c>
      <c r="O639" s="67">
        <v>45646</v>
      </c>
      <c r="P639" s="10">
        <v>2024</v>
      </c>
      <c r="Q639" s="10">
        <v>12</v>
      </c>
      <c r="R639" s="10" t="s">
        <v>3043</v>
      </c>
      <c r="S639" s="10" t="s">
        <v>6883</v>
      </c>
      <c r="T639" s="10" t="s">
        <v>6884</v>
      </c>
      <c r="U639" s="10">
        <v>0</v>
      </c>
      <c r="V639" s="10">
        <v>212</v>
      </c>
      <c r="W639" s="67"/>
      <c r="X639" s="11" t="s">
        <v>3161</v>
      </c>
      <c r="Y639" s="11" t="s">
        <v>4572</v>
      </c>
      <c r="Z639" s="11" t="s">
        <v>4619</v>
      </c>
      <c r="AA639" s="67">
        <v>45626</v>
      </c>
      <c r="AB639" s="67">
        <v>45627</v>
      </c>
      <c r="AC639" s="67">
        <v>45657</v>
      </c>
      <c r="AD639" s="67">
        <v>45656</v>
      </c>
      <c r="AE639" s="67">
        <v>45657</v>
      </c>
    </row>
    <row r="640" spans="1:31" ht="12.5">
      <c r="A640" s="10">
        <v>610422100165</v>
      </c>
      <c r="B640" s="10" t="s">
        <v>321</v>
      </c>
      <c r="D640" s="10">
        <v>1</v>
      </c>
      <c r="E640" s="10" t="s">
        <v>2855</v>
      </c>
      <c r="F640" s="10" t="s">
        <v>25</v>
      </c>
      <c r="G640" s="10" t="s">
        <v>2854</v>
      </c>
      <c r="H640" s="10" t="s">
        <v>67</v>
      </c>
      <c r="I640" s="10" t="s">
        <v>322</v>
      </c>
      <c r="J640" s="10" t="s">
        <v>164</v>
      </c>
      <c r="K640" s="66">
        <v>55000</v>
      </c>
      <c r="L640" s="10">
        <v>3</v>
      </c>
      <c r="M640" s="10">
        <v>165000</v>
      </c>
      <c r="O640" s="67">
        <v>45646</v>
      </c>
      <c r="P640" s="10">
        <v>2024</v>
      </c>
      <c r="Q640" s="10">
        <v>12</v>
      </c>
      <c r="R640" s="10" t="s">
        <v>3043</v>
      </c>
      <c r="S640" s="10" t="s">
        <v>6885</v>
      </c>
      <c r="T640" s="10" t="s">
        <v>6886</v>
      </c>
      <c r="U640" s="10">
        <v>0</v>
      </c>
      <c r="V640" s="10">
        <v>212</v>
      </c>
      <c r="W640" s="67"/>
      <c r="X640" s="11" t="s">
        <v>3161</v>
      </c>
      <c r="Y640" s="11" t="s">
        <v>3990</v>
      </c>
      <c r="Z640" s="11" t="s">
        <v>4332</v>
      </c>
      <c r="AA640" s="67">
        <v>45626</v>
      </c>
      <c r="AB640" s="67">
        <v>45627</v>
      </c>
      <c r="AC640" s="67">
        <v>45657</v>
      </c>
      <c r="AD640" s="67">
        <v>45656</v>
      </c>
      <c r="AE640" s="67">
        <v>45657</v>
      </c>
    </row>
    <row r="641" spans="1:31" ht="12.5">
      <c r="A641" s="10">
        <v>610422050001</v>
      </c>
      <c r="B641" s="10" t="s">
        <v>321</v>
      </c>
      <c r="D641" s="10">
        <v>1</v>
      </c>
      <c r="E641" s="10" t="s">
        <v>5949</v>
      </c>
      <c r="F641" s="10" t="s">
        <v>25</v>
      </c>
      <c r="G641" s="10" t="s">
        <v>1127</v>
      </c>
      <c r="H641" s="10" t="s">
        <v>67</v>
      </c>
      <c r="I641" s="10" t="s">
        <v>322</v>
      </c>
      <c r="J641" s="10" t="s">
        <v>164</v>
      </c>
      <c r="K641" s="66">
        <v>55000</v>
      </c>
      <c r="L641" s="10">
        <v>3</v>
      </c>
      <c r="M641" s="10">
        <v>165000</v>
      </c>
      <c r="O641" s="67">
        <v>45646</v>
      </c>
      <c r="P641" s="10">
        <v>2024</v>
      </c>
      <c r="Q641" s="10">
        <v>12</v>
      </c>
      <c r="R641" s="10" t="s">
        <v>3043</v>
      </c>
      <c r="S641" s="10" t="s">
        <v>6875</v>
      </c>
      <c r="T641" s="10" t="s">
        <v>6876</v>
      </c>
      <c r="U641" s="10">
        <v>0</v>
      </c>
      <c r="V641" s="10">
        <v>212</v>
      </c>
      <c r="W641" s="67"/>
      <c r="X641" s="11" t="s">
        <v>3161</v>
      </c>
      <c r="Y641" s="11" t="s">
        <v>4408</v>
      </c>
      <c r="Z641" s="11" t="s">
        <v>4409</v>
      </c>
      <c r="AA641" s="67">
        <v>45626</v>
      </c>
      <c r="AB641" s="67">
        <v>45627</v>
      </c>
      <c r="AC641" s="67">
        <v>45657</v>
      </c>
      <c r="AD641" s="67">
        <v>45656</v>
      </c>
      <c r="AE641" s="67">
        <v>45657</v>
      </c>
    </row>
    <row r="642" spans="1:31" ht="12.5">
      <c r="A642" s="10">
        <v>610422040056</v>
      </c>
      <c r="B642" s="10" t="s">
        <v>321</v>
      </c>
      <c r="D642" s="10">
        <v>1</v>
      </c>
      <c r="E642" s="10" t="s">
        <v>2825</v>
      </c>
      <c r="F642" s="10" t="s">
        <v>25</v>
      </c>
      <c r="G642" s="10" t="s">
        <v>2824</v>
      </c>
      <c r="H642" s="10" t="s">
        <v>67</v>
      </c>
      <c r="I642" s="10" t="s">
        <v>322</v>
      </c>
      <c r="J642" s="10" t="s">
        <v>164</v>
      </c>
      <c r="K642" s="66">
        <v>55000</v>
      </c>
      <c r="L642" s="10">
        <v>2</v>
      </c>
      <c r="M642" s="10">
        <v>110000</v>
      </c>
      <c r="O642" s="67">
        <v>45646</v>
      </c>
      <c r="P642" s="10">
        <v>2024</v>
      </c>
      <c r="Q642" s="10">
        <v>12</v>
      </c>
      <c r="R642" s="10" t="s">
        <v>3043</v>
      </c>
      <c r="S642" s="10" t="s">
        <v>6887</v>
      </c>
      <c r="T642" s="10" t="s">
        <v>6888</v>
      </c>
      <c r="U642" s="10">
        <v>0</v>
      </c>
      <c r="V642" s="10">
        <v>212</v>
      </c>
      <c r="W642" s="67"/>
      <c r="X642" s="11" t="s">
        <v>3161</v>
      </c>
      <c r="Y642" s="11" t="s">
        <v>4572</v>
      </c>
      <c r="Z642" s="11" t="s">
        <v>4656</v>
      </c>
      <c r="AA642" s="67">
        <v>45626</v>
      </c>
      <c r="AB642" s="67">
        <v>45627</v>
      </c>
      <c r="AC642" s="67">
        <v>45657</v>
      </c>
      <c r="AD642" s="67">
        <v>45656</v>
      </c>
      <c r="AE642" s="67">
        <v>45657</v>
      </c>
    </row>
    <row r="643" spans="1:31" ht="12.5">
      <c r="A643" s="10">
        <v>610422020006</v>
      </c>
      <c r="B643" s="10" t="s">
        <v>323</v>
      </c>
      <c r="D643" s="10">
        <v>1</v>
      </c>
      <c r="E643" s="10" t="s">
        <v>2098</v>
      </c>
      <c r="F643" s="10" t="s">
        <v>90</v>
      </c>
      <c r="G643" s="10" t="s">
        <v>2097</v>
      </c>
      <c r="H643" s="10" t="s">
        <v>108</v>
      </c>
      <c r="I643" s="10" t="s">
        <v>324</v>
      </c>
      <c r="J643" s="10" t="s">
        <v>164</v>
      </c>
      <c r="K643" s="66">
        <v>17000</v>
      </c>
      <c r="L643" s="10">
        <v>13</v>
      </c>
      <c r="M643" s="10">
        <v>221000</v>
      </c>
      <c r="O643" s="67">
        <v>45649</v>
      </c>
      <c r="P643" s="10">
        <v>2024</v>
      </c>
      <c r="Q643" s="10">
        <v>12</v>
      </c>
      <c r="R643" s="10" t="s">
        <v>6237</v>
      </c>
      <c r="S643" s="10" t="s">
        <v>6889</v>
      </c>
      <c r="T643" s="10" t="s">
        <v>6890</v>
      </c>
      <c r="U643" s="10">
        <v>0</v>
      </c>
      <c r="V643" s="10">
        <v>215</v>
      </c>
      <c r="W643" s="67"/>
      <c r="X643" s="11" t="s">
        <v>3149</v>
      </c>
      <c r="Y643" s="11" t="s">
        <v>4572</v>
      </c>
      <c r="Z643" s="11" t="s">
        <v>4874</v>
      </c>
      <c r="AA643" s="67">
        <v>45626</v>
      </c>
      <c r="AB643" s="67">
        <v>45627</v>
      </c>
      <c r="AC643" s="67">
        <v>45657</v>
      </c>
      <c r="AD643" s="67">
        <v>45656</v>
      </c>
      <c r="AE643" s="67">
        <v>45657</v>
      </c>
    </row>
    <row r="644" spans="1:31" ht="12.5">
      <c r="A644" s="10">
        <v>617122110049</v>
      </c>
      <c r="B644" s="10" t="s">
        <v>323</v>
      </c>
      <c r="D644" s="10">
        <v>1</v>
      </c>
      <c r="E644" s="10" t="s">
        <v>1874</v>
      </c>
      <c r="F644" s="10" t="s">
        <v>90</v>
      </c>
      <c r="G644" s="10" t="s">
        <v>1873</v>
      </c>
      <c r="H644" s="10" t="s">
        <v>108</v>
      </c>
      <c r="I644" s="10" t="s">
        <v>324</v>
      </c>
      <c r="J644" s="10" t="s">
        <v>164</v>
      </c>
      <c r="K644" s="66">
        <v>17000</v>
      </c>
      <c r="L644" s="10">
        <v>13</v>
      </c>
      <c r="M644" s="10">
        <v>221000</v>
      </c>
      <c r="O644" s="67">
        <v>45649</v>
      </c>
      <c r="P644" s="10">
        <v>2024</v>
      </c>
      <c r="Q644" s="10">
        <v>12</v>
      </c>
      <c r="R644" s="10" t="s">
        <v>6237</v>
      </c>
      <c r="S644" s="10" t="s">
        <v>6891</v>
      </c>
      <c r="T644" s="10" t="s">
        <v>6892</v>
      </c>
      <c r="U644" s="10">
        <v>0</v>
      </c>
      <c r="V644" s="10">
        <v>215</v>
      </c>
      <c r="W644" s="67"/>
      <c r="X644" s="11" t="s">
        <v>3149</v>
      </c>
      <c r="Y644" s="11" t="s">
        <v>4931</v>
      </c>
      <c r="Z644" s="11" t="s">
        <v>4960</v>
      </c>
      <c r="AA644" s="67">
        <v>45626</v>
      </c>
      <c r="AB644" s="67">
        <v>45627</v>
      </c>
      <c r="AC644" s="67">
        <v>45657</v>
      </c>
      <c r="AD644" s="67">
        <v>45656</v>
      </c>
      <c r="AE644" s="67">
        <v>45657</v>
      </c>
    </row>
    <row r="645" spans="1:31" ht="12.5">
      <c r="A645" s="10">
        <v>610422100010</v>
      </c>
      <c r="B645" s="10" t="s">
        <v>323</v>
      </c>
      <c r="D645" s="10">
        <v>1</v>
      </c>
      <c r="E645" s="10" t="s">
        <v>1936</v>
      </c>
      <c r="F645" s="10" t="s">
        <v>90</v>
      </c>
      <c r="G645" s="10" t="s">
        <v>1935</v>
      </c>
      <c r="H645" s="10" t="s">
        <v>108</v>
      </c>
      <c r="I645" s="10" t="s">
        <v>324</v>
      </c>
      <c r="J645" s="10" t="s">
        <v>164</v>
      </c>
      <c r="K645" s="66">
        <v>17000</v>
      </c>
      <c r="L645" s="10">
        <v>13</v>
      </c>
      <c r="M645" s="10">
        <v>221000</v>
      </c>
      <c r="O645" s="67">
        <v>45649</v>
      </c>
      <c r="P645" s="10">
        <v>2024</v>
      </c>
      <c r="Q645" s="10">
        <v>12</v>
      </c>
      <c r="R645" s="10" t="s">
        <v>6237</v>
      </c>
      <c r="S645" s="10" t="s">
        <v>6893</v>
      </c>
      <c r="T645" s="10" t="s">
        <v>6894</v>
      </c>
      <c r="U645" s="10">
        <v>0</v>
      </c>
      <c r="V645" s="10">
        <v>215</v>
      </c>
      <c r="W645" s="67"/>
      <c r="X645" s="11" t="s">
        <v>3149</v>
      </c>
      <c r="Y645" s="11" t="s">
        <v>4572</v>
      </c>
      <c r="Z645" s="11" t="s">
        <v>4619</v>
      </c>
      <c r="AA645" s="67">
        <v>45626</v>
      </c>
      <c r="AB645" s="67">
        <v>45627</v>
      </c>
      <c r="AC645" s="67">
        <v>45657</v>
      </c>
      <c r="AD645" s="67">
        <v>45656</v>
      </c>
      <c r="AE645" s="67">
        <v>45657</v>
      </c>
    </row>
    <row r="646" spans="1:31" ht="12.5">
      <c r="A646" s="10">
        <v>610422100177</v>
      </c>
      <c r="B646" s="10" t="s">
        <v>323</v>
      </c>
      <c r="D646" s="10">
        <v>1</v>
      </c>
      <c r="E646" s="10" t="s">
        <v>571</v>
      </c>
      <c r="F646" s="10" t="s">
        <v>90</v>
      </c>
      <c r="G646" s="10" t="s">
        <v>570</v>
      </c>
      <c r="H646" s="10" t="s">
        <v>108</v>
      </c>
      <c r="I646" s="10" t="s">
        <v>324</v>
      </c>
      <c r="J646" s="10" t="s">
        <v>164</v>
      </c>
      <c r="K646" s="66">
        <v>17000</v>
      </c>
      <c r="L646" s="10">
        <v>13</v>
      </c>
      <c r="M646" s="10">
        <v>221000</v>
      </c>
      <c r="O646" s="67">
        <v>45649</v>
      </c>
      <c r="P646" s="10">
        <v>2024</v>
      </c>
      <c r="Q646" s="10">
        <v>12</v>
      </c>
      <c r="R646" s="10" t="s">
        <v>6237</v>
      </c>
      <c r="S646" s="10" t="s">
        <v>6895</v>
      </c>
      <c r="T646" s="10" t="s">
        <v>6896</v>
      </c>
      <c r="U646" s="10">
        <v>0</v>
      </c>
      <c r="V646" s="10">
        <v>215</v>
      </c>
      <c r="W646" s="67"/>
      <c r="X646" s="11" t="s">
        <v>3149</v>
      </c>
      <c r="Y646" s="11" t="s">
        <v>4572</v>
      </c>
      <c r="Z646" s="11" t="s">
        <v>4656</v>
      </c>
      <c r="AA646" s="67">
        <v>45626</v>
      </c>
      <c r="AB646" s="67">
        <v>45627</v>
      </c>
      <c r="AC646" s="67">
        <v>45657</v>
      </c>
      <c r="AD646" s="67">
        <v>45656</v>
      </c>
      <c r="AE646" s="67">
        <v>45657</v>
      </c>
    </row>
    <row r="647" spans="1:31" ht="12.5">
      <c r="A647" s="10">
        <v>610422100083</v>
      </c>
      <c r="B647" s="10" t="s">
        <v>323</v>
      </c>
      <c r="D647" s="10">
        <v>1</v>
      </c>
      <c r="E647" s="10" t="s">
        <v>5962</v>
      </c>
      <c r="F647" s="10" t="s">
        <v>90</v>
      </c>
      <c r="G647" s="10" t="s">
        <v>1429</v>
      </c>
      <c r="H647" s="10" t="s">
        <v>108</v>
      </c>
      <c r="I647" s="10" t="s">
        <v>324</v>
      </c>
      <c r="J647" s="10" t="s">
        <v>164</v>
      </c>
      <c r="K647" s="66">
        <v>17000</v>
      </c>
      <c r="L647" s="10">
        <v>13</v>
      </c>
      <c r="M647" s="10">
        <v>221000</v>
      </c>
      <c r="O647" s="67">
        <v>45649</v>
      </c>
      <c r="P647" s="10">
        <v>2024</v>
      </c>
      <c r="Q647" s="10">
        <v>12</v>
      </c>
      <c r="R647" s="10" t="s">
        <v>6237</v>
      </c>
      <c r="S647" s="10" t="s">
        <v>6897</v>
      </c>
      <c r="T647" s="10" t="s">
        <v>6898</v>
      </c>
      <c r="U647" s="10">
        <v>0</v>
      </c>
      <c r="V647" s="10">
        <v>215</v>
      </c>
      <c r="W647" s="67"/>
      <c r="X647" s="11" t="s">
        <v>3149</v>
      </c>
      <c r="Y647" s="11" t="s">
        <v>4572</v>
      </c>
      <c r="Z647" s="11" t="s">
        <v>4619</v>
      </c>
      <c r="AA647" s="67">
        <v>45626</v>
      </c>
      <c r="AB647" s="67">
        <v>45627</v>
      </c>
      <c r="AC647" s="67">
        <v>45657</v>
      </c>
      <c r="AD647" s="67">
        <v>45656</v>
      </c>
      <c r="AE647" s="67">
        <v>45657</v>
      </c>
    </row>
    <row r="648" spans="1:31" ht="12.5">
      <c r="A648" s="10">
        <v>610422110006</v>
      </c>
      <c r="B648" s="10" t="s">
        <v>323</v>
      </c>
      <c r="D648" s="10">
        <v>1</v>
      </c>
      <c r="E648" s="10" t="s">
        <v>1898</v>
      </c>
      <c r="F648" s="10" t="s">
        <v>90</v>
      </c>
      <c r="G648" s="10" t="s">
        <v>1897</v>
      </c>
      <c r="H648" s="10" t="s">
        <v>108</v>
      </c>
      <c r="I648" s="10" t="s">
        <v>324</v>
      </c>
      <c r="J648" s="10" t="s">
        <v>164</v>
      </c>
      <c r="K648" s="66">
        <v>17000</v>
      </c>
      <c r="L648" s="10">
        <v>13</v>
      </c>
      <c r="M648" s="10">
        <v>221000</v>
      </c>
      <c r="O648" s="67">
        <v>45649</v>
      </c>
      <c r="P648" s="10">
        <v>2024</v>
      </c>
      <c r="Q648" s="10">
        <v>12</v>
      </c>
      <c r="R648" s="10" t="s">
        <v>6237</v>
      </c>
      <c r="S648" s="10" t="s">
        <v>6899</v>
      </c>
      <c r="T648" s="10" t="s">
        <v>6900</v>
      </c>
      <c r="U648" s="10">
        <v>0</v>
      </c>
      <c r="V648" s="10">
        <v>215</v>
      </c>
      <c r="W648" s="67"/>
      <c r="X648" s="11" t="s">
        <v>3149</v>
      </c>
      <c r="Y648" s="11" t="s">
        <v>4572</v>
      </c>
      <c r="Z648" s="11" t="s">
        <v>4656</v>
      </c>
      <c r="AA648" s="67">
        <v>45626</v>
      </c>
      <c r="AB648" s="67">
        <v>45627</v>
      </c>
      <c r="AC648" s="67">
        <v>45657</v>
      </c>
      <c r="AD648" s="67">
        <v>45656</v>
      </c>
      <c r="AE648" s="67">
        <v>45657</v>
      </c>
    </row>
    <row r="649" spans="1:31" ht="12.5">
      <c r="A649" s="10">
        <v>610422110005</v>
      </c>
      <c r="B649" s="10" t="s">
        <v>323</v>
      </c>
      <c r="D649" s="10">
        <v>1</v>
      </c>
      <c r="E649" s="10" t="s">
        <v>5967</v>
      </c>
      <c r="F649" s="10" t="s">
        <v>90</v>
      </c>
      <c r="G649" s="10" t="s">
        <v>1481</v>
      </c>
      <c r="H649" s="10" t="s">
        <v>108</v>
      </c>
      <c r="I649" s="10" t="s">
        <v>324</v>
      </c>
      <c r="J649" s="10" t="s">
        <v>164</v>
      </c>
      <c r="K649" s="66">
        <v>17000</v>
      </c>
      <c r="L649" s="10">
        <v>13</v>
      </c>
      <c r="M649" s="10">
        <v>221000</v>
      </c>
      <c r="O649" s="67">
        <v>45649</v>
      </c>
      <c r="P649" s="10">
        <v>2024</v>
      </c>
      <c r="Q649" s="10">
        <v>12</v>
      </c>
      <c r="R649" s="10" t="s">
        <v>6237</v>
      </c>
      <c r="S649" s="10" t="s">
        <v>6901</v>
      </c>
      <c r="T649" s="10" t="s">
        <v>6902</v>
      </c>
      <c r="U649" s="10">
        <v>0</v>
      </c>
      <c r="V649" s="10">
        <v>215</v>
      </c>
      <c r="W649" s="67"/>
      <c r="X649" s="11" t="s">
        <v>3149</v>
      </c>
      <c r="Y649" s="11" t="s">
        <v>4572</v>
      </c>
      <c r="Z649" s="11" t="s">
        <v>4874</v>
      </c>
      <c r="AA649" s="67">
        <v>45626</v>
      </c>
      <c r="AB649" s="67">
        <v>45627</v>
      </c>
      <c r="AC649" s="67">
        <v>45657</v>
      </c>
      <c r="AD649" s="67">
        <v>45656</v>
      </c>
      <c r="AE649" s="67">
        <v>45657</v>
      </c>
    </row>
    <row r="650" spans="1:31" ht="12.5">
      <c r="A650" s="10">
        <v>610423090021</v>
      </c>
      <c r="B650" s="10" t="s">
        <v>323</v>
      </c>
      <c r="D650" s="10">
        <v>1</v>
      </c>
      <c r="E650" s="10" t="s">
        <v>2731</v>
      </c>
      <c r="F650" s="10" t="s">
        <v>90</v>
      </c>
      <c r="G650" s="10" t="s">
        <v>2730</v>
      </c>
      <c r="H650" s="10" t="s">
        <v>108</v>
      </c>
      <c r="I650" s="10" t="s">
        <v>324</v>
      </c>
      <c r="J650" s="10" t="s">
        <v>164</v>
      </c>
      <c r="K650" s="66">
        <v>17000</v>
      </c>
      <c r="L650" s="10">
        <v>13</v>
      </c>
      <c r="M650" s="10">
        <v>221000</v>
      </c>
      <c r="O650" s="67">
        <v>45649</v>
      </c>
      <c r="P650" s="10">
        <v>2024</v>
      </c>
      <c r="Q650" s="10">
        <v>12</v>
      </c>
      <c r="R650" s="10" t="s">
        <v>6237</v>
      </c>
      <c r="S650" s="10" t="s">
        <v>6903</v>
      </c>
      <c r="T650" s="10" t="s">
        <v>6904</v>
      </c>
      <c r="U650" s="10">
        <v>0</v>
      </c>
      <c r="V650" s="10">
        <v>215</v>
      </c>
      <c r="W650" s="67"/>
      <c r="X650" s="11" t="s">
        <v>3149</v>
      </c>
      <c r="Y650" s="11" t="s">
        <v>4572</v>
      </c>
      <c r="Z650" s="11" t="s">
        <v>4656</v>
      </c>
      <c r="AA650" s="67">
        <v>45626</v>
      </c>
      <c r="AB650" s="67">
        <v>45627</v>
      </c>
      <c r="AC650" s="67">
        <v>45657</v>
      </c>
      <c r="AD650" s="67">
        <v>45656</v>
      </c>
      <c r="AE650" s="67">
        <v>45657</v>
      </c>
    </row>
    <row r="651" spans="1:31" ht="12.5">
      <c r="A651" s="10">
        <v>610423110150</v>
      </c>
      <c r="B651" s="10" t="s">
        <v>323</v>
      </c>
      <c r="D651" s="10">
        <v>1</v>
      </c>
      <c r="E651" s="10" t="s">
        <v>2364</v>
      </c>
      <c r="F651" s="10" t="s">
        <v>90</v>
      </c>
      <c r="G651" s="10" t="s">
        <v>2363</v>
      </c>
      <c r="H651" s="10" t="s">
        <v>108</v>
      </c>
      <c r="I651" s="10" t="s">
        <v>324</v>
      </c>
      <c r="J651" s="10" t="s">
        <v>164</v>
      </c>
      <c r="K651" s="66">
        <v>17000</v>
      </c>
      <c r="L651" s="10">
        <v>13</v>
      </c>
      <c r="M651" s="10">
        <v>221000</v>
      </c>
      <c r="O651" s="67">
        <v>45649</v>
      </c>
      <c r="P651" s="10">
        <v>2024</v>
      </c>
      <c r="Q651" s="10">
        <v>12</v>
      </c>
      <c r="R651" s="10" t="s">
        <v>6237</v>
      </c>
      <c r="S651" s="10" t="s">
        <v>6905</v>
      </c>
      <c r="T651" s="10" t="s">
        <v>6906</v>
      </c>
      <c r="U651" s="10">
        <v>0</v>
      </c>
      <c r="V651" s="10">
        <v>215</v>
      </c>
      <c r="W651" s="67"/>
      <c r="X651" s="11" t="s">
        <v>3149</v>
      </c>
      <c r="Y651" s="11" t="s">
        <v>4572</v>
      </c>
      <c r="Z651" s="11" t="s">
        <v>4619</v>
      </c>
      <c r="AA651" s="67">
        <v>45626</v>
      </c>
      <c r="AB651" s="67">
        <v>45627</v>
      </c>
      <c r="AC651" s="67">
        <v>45657</v>
      </c>
      <c r="AD651" s="67">
        <v>45656</v>
      </c>
      <c r="AE651" s="67">
        <v>45657</v>
      </c>
    </row>
    <row r="652" spans="1:31" ht="12.5">
      <c r="A652" s="10">
        <v>610423110129</v>
      </c>
      <c r="B652" s="10" t="s">
        <v>323</v>
      </c>
      <c r="D652" s="10">
        <v>1</v>
      </c>
      <c r="E652" s="10" t="s">
        <v>721</v>
      </c>
      <c r="F652" s="10" t="s">
        <v>90</v>
      </c>
      <c r="G652" s="10" t="s">
        <v>720</v>
      </c>
      <c r="H652" s="10" t="s">
        <v>108</v>
      </c>
      <c r="I652" s="10" t="s">
        <v>324</v>
      </c>
      <c r="J652" s="10" t="s">
        <v>164</v>
      </c>
      <c r="K652" s="66">
        <v>17000</v>
      </c>
      <c r="L652" s="10">
        <v>12</v>
      </c>
      <c r="M652" s="10">
        <v>204000</v>
      </c>
      <c r="O652" s="67">
        <v>45649</v>
      </c>
      <c r="P652" s="10">
        <v>2024</v>
      </c>
      <c r="Q652" s="10">
        <v>12</v>
      </c>
      <c r="R652" s="10" t="s">
        <v>6237</v>
      </c>
      <c r="S652" s="10" t="s">
        <v>6907</v>
      </c>
      <c r="T652" s="10" t="s">
        <v>6908</v>
      </c>
      <c r="U652" s="10">
        <v>0</v>
      </c>
      <c r="V652" s="10">
        <v>215</v>
      </c>
      <c r="W652" s="67"/>
      <c r="X652" s="11" t="s">
        <v>3149</v>
      </c>
      <c r="Y652" s="11" t="s">
        <v>4572</v>
      </c>
      <c r="Z652" s="11" t="s">
        <v>4656</v>
      </c>
      <c r="AA652" s="67">
        <v>45626</v>
      </c>
      <c r="AB652" s="67">
        <v>45627</v>
      </c>
      <c r="AC652" s="67">
        <v>45657</v>
      </c>
      <c r="AD652" s="67">
        <v>45656</v>
      </c>
      <c r="AE652" s="67">
        <v>45657</v>
      </c>
    </row>
    <row r="653" spans="1:31" ht="12.5">
      <c r="A653" s="10">
        <v>610422020016</v>
      </c>
      <c r="B653" s="10" t="s">
        <v>38</v>
      </c>
      <c r="D653" s="10">
        <v>1</v>
      </c>
      <c r="E653" s="10" t="s">
        <v>380</v>
      </c>
      <c r="F653" s="10" t="s">
        <v>25</v>
      </c>
      <c r="G653" s="10" t="s">
        <v>379</v>
      </c>
      <c r="H653" s="10" t="s">
        <v>84</v>
      </c>
      <c r="I653" s="10" t="s">
        <v>6909</v>
      </c>
      <c r="J653" s="10" t="s">
        <v>3036</v>
      </c>
      <c r="K653" s="66">
        <v>116000</v>
      </c>
      <c r="L653" s="10">
        <v>3</v>
      </c>
      <c r="M653" s="10">
        <v>348000</v>
      </c>
      <c r="O653" s="67">
        <v>45657</v>
      </c>
      <c r="P653" s="10">
        <v>2024</v>
      </c>
      <c r="Q653" s="10">
        <v>12</v>
      </c>
      <c r="R653" s="10" t="s">
        <v>3043</v>
      </c>
      <c r="S653" s="10" t="s">
        <v>6879</v>
      </c>
      <c r="T653" s="10" t="s">
        <v>6880</v>
      </c>
      <c r="U653" s="10">
        <v>0</v>
      </c>
      <c r="V653" s="10">
        <v>223</v>
      </c>
      <c r="W653" s="67"/>
      <c r="X653" s="11" t="s">
        <v>3066</v>
      </c>
      <c r="Y653" s="11" t="s">
        <v>5534</v>
      </c>
      <c r="Z653" s="11" t="s">
        <v>5535</v>
      </c>
      <c r="AA653" s="67">
        <v>45626</v>
      </c>
      <c r="AB653" s="67">
        <v>45627</v>
      </c>
      <c r="AC653" s="67">
        <v>45657</v>
      </c>
      <c r="AD653" s="67">
        <v>45656</v>
      </c>
      <c r="AE653" s="67">
        <v>45657</v>
      </c>
    </row>
    <row r="654" spans="1:31" ht="12.5">
      <c r="A654" s="10">
        <v>610422040012</v>
      </c>
      <c r="B654" s="10" t="s">
        <v>38</v>
      </c>
      <c r="D654" s="10">
        <v>1</v>
      </c>
      <c r="E654" s="10" t="s">
        <v>1813</v>
      </c>
      <c r="F654" s="10" t="s">
        <v>25</v>
      </c>
      <c r="G654" s="10" t="s">
        <v>1812</v>
      </c>
      <c r="H654" s="10" t="s">
        <v>84</v>
      </c>
      <c r="I654" s="10" t="s">
        <v>6909</v>
      </c>
      <c r="J654" s="10" t="s">
        <v>3036</v>
      </c>
      <c r="K654" s="66">
        <v>116000</v>
      </c>
      <c r="L654" s="10">
        <v>3</v>
      </c>
      <c r="M654" s="10">
        <v>348000</v>
      </c>
      <c r="O654" s="67">
        <v>45657</v>
      </c>
      <c r="P654" s="10">
        <v>2024</v>
      </c>
      <c r="Q654" s="10">
        <v>12</v>
      </c>
      <c r="R654" s="10" t="s">
        <v>3043</v>
      </c>
      <c r="S654" s="10" t="s">
        <v>6910</v>
      </c>
      <c r="T654" s="10" t="s">
        <v>6911</v>
      </c>
      <c r="U654" s="10">
        <v>0</v>
      </c>
      <c r="V654" s="10">
        <v>223</v>
      </c>
      <c r="W654" s="67"/>
      <c r="X654" s="11" t="s">
        <v>3066</v>
      </c>
      <c r="Y654" s="11" t="s">
        <v>3990</v>
      </c>
      <c r="Z654" s="11" t="s">
        <v>4365</v>
      </c>
      <c r="AA654" s="67">
        <v>45626</v>
      </c>
      <c r="AB654" s="67">
        <v>45627</v>
      </c>
      <c r="AC654" s="67">
        <v>45657</v>
      </c>
      <c r="AD654" s="67">
        <v>45656</v>
      </c>
      <c r="AE654" s="67">
        <v>45657</v>
      </c>
    </row>
    <row r="655" spans="1:31" ht="12.5">
      <c r="A655" s="10">
        <v>610422040059</v>
      </c>
      <c r="B655" s="10" t="s">
        <v>38</v>
      </c>
      <c r="D655" s="10">
        <v>1</v>
      </c>
      <c r="E655" s="10" t="s">
        <v>365</v>
      </c>
      <c r="F655" s="10" t="s">
        <v>25</v>
      </c>
      <c r="G655" s="10" t="s">
        <v>364</v>
      </c>
      <c r="H655" s="10" t="s">
        <v>84</v>
      </c>
      <c r="I655" s="10" t="s">
        <v>6909</v>
      </c>
      <c r="J655" s="10" t="s">
        <v>3036</v>
      </c>
      <c r="K655" s="66">
        <v>116000</v>
      </c>
      <c r="L655" s="10">
        <v>4</v>
      </c>
      <c r="M655" s="10">
        <v>464000</v>
      </c>
      <c r="O655" s="67">
        <v>45657</v>
      </c>
      <c r="P655" s="10">
        <v>2024</v>
      </c>
      <c r="Q655" s="10">
        <v>12</v>
      </c>
      <c r="R655" s="10" t="s">
        <v>3043</v>
      </c>
      <c r="S655" s="10" t="s">
        <v>6912</v>
      </c>
      <c r="T655" s="10" t="s">
        <v>6913</v>
      </c>
      <c r="U655" s="10">
        <v>0</v>
      </c>
      <c r="V655" s="10">
        <v>223</v>
      </c>
      <c r="W655" s="67"/>
      <c r="X655" s="11" t="s">
        <v>3066</v>
      </c>
      <c r="Y655" s="11" t="s">
        <v>4572</v>
      </c>
      <c r="Z655" s="11" t="s">
        <v>4656</v>
      </c>
      <c r="AA655" s="67">
        <v>45626</v>
      </c>
      <c r="AB655" s="67">
        <v>45627</v>
      </c>
      <c r="AC655" s="67">
        <v>45657</v>
      </c>
      <c r="AD655" s="67">
        <v>45656</v>
      </c>
      <c r="AE655" s="67">
        <v>45657</v>
      </c>
    </row>
    <row r="656" spans="1:31" ht="12.5">
      <c r="A656" s="10">
        <v>610422040061</v>
      </c>
      <c r="B656" s="10" t="s">
        <v>38</v>
      </c>
      <c r="D656" s="10">
        <v>1</v>
      </c>
      <c r="E656" s="10" t="s">
        <v>2440</v>
      </c>
      <c r="F656" s="10" t="s">
        <v>25</v>
      </c>
      <c r="G656" s="10" t="s">
        <v>2439</v>
      </c>
      <c r="H656" s="10" t="s">
        <v>84</v>
      </c>
      <c r="I656" s="10" t="s">
        <v>6909</v>
      </c>
      <c r="J656" s="10" t="s">
        <v>3036</v>
      </c>
      <c r="K656" s="66">
        <v>116000</v>
      </c>
      <c r="L656" s="10">
        <v>3</v>
      </c>
      <c r="M656" s="10">
        <v>348000</v>
      </c>
      <c r="O656" s="67">
        <v>45657</v>
      </c>
      <c r="P656" s="10">
        <v>2024</v>
      </c>
      <c r="Q656" s="10">
        <v>12</v>
      </c>
      <c r="R656" s="10" t="s">
        <v>3043</v>
      </c>
      <c r="S656" s="10" t="s">
        <v>6914</v>
      </c>
      <c r="T656" s="10" t="s">
        <v>6915</v>
      </c>
      <c r="U656" s="10">
        <v>0</v>
      </c>
      <c r="V656" s="10">
        <v>223</v>
      </c>
      <c r="W656" s="67"/>
      <c r="X656" s="11" t="s">
        <v>3066</v>
      </c>
      <c r="Y656" s="11" t="s">
        <v>3715</v>
      </c>
      <c r="Z656" s="11" t="s">
        <v>3862</v>
      </c>
      <c r="AA656" s="67">
        <v>45626</v>
      </c>
      <c r="AB656" s="67">
        <v>45627</v>
      </c>
      <c r="AC656" s="67">
        <v>45657</v>
      </c>
      <c r="AD656" s="67">
        <v>45656</v>
      </c>
      <c r="AE656" s="67">
        <v>45657</v>
      </c>
    </row>
    <row r="657" spans="1:31" ht="12.5">
      <c r="A657" s="10">
        <v>610422100131</v>
      </c>
      <c r="B657" s="10" t="s">
        <v>38</v>
      </c>
      <c r="D657" s="10">
        <v>1</v>
      </c>
      <c r="E657" s="10" t="s">
        <v>6046</v>
      </c>
      <c r="F657" s="10" t="s">
        <v>25</v>
      </c>
      <c r="G657" s="10" t="s">
        <v>2683</v>
      </c>
      <c r="H657" s="10" t="s">
        <v>84</v>
      </c>
      <c r="I657" s="10" t="s">
        <v>6909</v>
      </c>
      <c r="J657" s="10" t="s">
        <v>3036</v>
      </c>
      <c r="K657" s="66">
        <v>116000</v>
      </c>
      <c r="L657" s="10">
        <v>3</v>
      </c>
      <c r="M657" s="10">
        <v>348000</v>
      </c>
      <c r="O657" s="67">
        <v>45657</v>
      </c>
      <c r="P657" s="10">
        <v>2024</v>
      </c>
      <c r="Q657" s="10">
        <v>12</v>
      </c>
      <c r="R657" s="10" t="s">
        <v>3043</v>
      </c>
      <c r="S657" s="10" t="s">
        <v>6916</v>
      </c>
      <c r="T657" s="10" t="s">
        <v>6917</v>
      </c>
      <c r="U657" s="10">
        <v>0</v>
      </c>
      <c r="V657" s="10">
        <v>223</v>
      </c>
      <c r="W657" s="67"/>
      <c r="X657" s="11" t="s">
        <v>3066</v>
      </c>
      <c r="Y657" s="11" t="s">
        <v>5250</v>
      </c>
      <c r="Z657" s="11" t="s">
        <v>5365</v>
      </c>
      <c r="AA657" s="67">
        <v>45626</v>
      </c>
      <c r="AB657" s="67">
        <v>45627</v>
      </c>
      <c r="AC657" s="67">
        <v>45657</v>
      </c>
      <c r="AD657" s="67">
        <v>45656</v>
      </c>
      <c r="AE657" s="67">
        <v>45657</v>
      </c>
    </row>
    <row r="658" spans="1:31" ht="12.5">
      <c r="A658" s="10">
        <v>610422100244</v>
      </c>
      <c r="B658" s="10" t="s">
        <v>38</v>
      </c>
      <c r="D658" s="10">
        <v>1</v>
      </c>
      <c r="E658" s="10" t="s">
        <v>2633</v>
      </c>
      <c r="F658" s="10" t="s">
        <v>25</v>
      </c>
      <c r="G658" s="10" t="s">
        <v>2632</v>
      </c>
      <c r="H658" s="10" t="s">
        <v>84</v>
      </c>
      <c r="I658" s="10" t="s">
        <v>6909</v>
      </c>
      <c r="J658" s="10" t="s">
        <v>3036</v>
      </c>
      <c r="K658" s="66">
        <v>116000</v>
      </c>
      <c r="L658" s="10">
        <v>3</v>
      </c>
      <c r="M658" s="10">
        <v>348000</v>
      </c>
      <c r="O658" s="67">
        <v>45657</v>
      </c>
      <c r="P658" s="10">
        <v>2024</v>
      </c>
      <c r="Q658" s="10">
        <v>12</v>
      </c>
      <c r="R658" s="10" t="s">
        <v>3043</v>
      </c>
      <c r="S658" s="10" t="s">
        <v>6869</v>
      </c>
      <c r="T658" s="10" t="s">
        <v>6870</v>
      </c>
      <c r="U658" s="10">
        <v>0</v>
      </c>
      <c r="V658" s="10">
        <v>223</v>
      </c>
      <c r="W658" s="67"/>
      <c r="X658" s="11" t="s">
        <v>3066</v>
      </c>
      <c r="Y658" s="11" t="s">
        <v>5741</v>
      </c>
      <c r="Z658" s="11" t="s">
        <v>5796</v>
      </c>
      <c r="AA658" s="67">
        <v>45626</v>
      </c>
      <c r="AB658" s="67">
        <v>45627</v>
      </c>
      <c r="AC658" s="67">
        <v>45657</v>
      </c>
      <c r="AD658" s="67">
        <v>45656</v>
      </c>
      <c r="AE658" s="67">
        <v>45657</v>
      </c>
    </row>
    <row r="659" spans="1:31" ht="12.5">
      <c r="A659" s="10">
        <v>610422100176</v>
      </c>
      <c r="B659" s="10" t="s">
        <v>38</v>
      </c>
      <c r="D659" s="10">
        <v>1</v>
      </c>
      <c r="E659" s="10" t="s">
        <v>1190</v>
      </c>
      <c r="F659" s="10" t="s">
        <v>25</v>
      </c>
      <c r="G659" s="10" t="s">
        <v>1189</v>
      </c>
      <c r="H659" s="10" t="s">
        <v>84</v>
      </c>
      <c r="I659" s="10" t="s">
        <v>6909</v>
      </c>
      <c r="J659" s="10" t="s">
        <v>3036</v>
      </c>
      <c r="K659" s="66">
        <v>116000</v>
      </c>
      <c r="L659" s="10">
        <v>3</v>
      </c>
      <c r="M659" s="10">
        <v>348000</v>
      </c>
      <c r="O659" s="67">
        <v>45657</v>
      </c>
      <c r="P659" s="10">
        <v>2024</v>
      </c>
      <c r="Q659" s="10">
        <v>12</v>
      </c>
      <c r="R659" s="10" t="s">
        <v>3043</v>
      </c>
      <c r="S659" s="10" t="s">
        <v>6918</v>
      </c>
      <c r="T659" s="10" t="s">
        <v>6919</v>
      </c>
      <c r="U659" s="10">
        <v>0</v>
      </c>
      <c r="V659" s="10">
        <v>223</v>
      </c>
      <c r="W659" s="67"/>
      <c r="X659" s="11" t="s">
        <v>3066</v>
      </c>
      <c r="Y659" s="11" t="s">
        <v>3715</v>
      </c>
      <c r="Z659" s="11" t="s">
        <v>3765</v>
      </c>
      <c r="AA659" s="67">
        <v>45626</v>
      </c>
      <c r="AB659" s="67">
        <v>45627</v>
      </c>
      <c r="AC659" s="67">
        <v>45657</v>
      </c>
      <c r="AD659" s="67">
        <v>45656</v>
      </c>
      <c r="AE659" s="67">
        <v>45657</v>
      </c>
    </row>
    <row r="660" spans="1:31" ht="12.5">
      <c r="A660" s="10">
        <v>610423110183</v>
      </c>
      <c r="B660" s="10" t="s">
        <v>38</v>
      </c>
      <c r="D660" s="10">
        <v>1</v>
      </c>
      <c r="E660" s="10" t="s">
        <v>5924</v>
      </c>
      <c r="F660" s="10" t="s">
        <v>25</v>
      </c>
      <c r="G660" s="10" t="s">
        <v>742</v>
      </c>
      <c r="H660" s="10" t="s">
        <v>84</v>
      </c>
      <c r="I660" s="10" t="s">
        <v>6909</v>
      </c>
      <c r="J660" s="10" t="s">
        <v>3036</v>
      </c>
      <c r="K660" s="66">
        <v>116000</v>
      </c>
      <c r="L660" s="10">
        <v>6</v>
      </c>
      <c r="M660" s="10">
        <v>696000</v>
      </c>
      <c r="O660" s="67">
        <v>45657</v>
      </c>
      <c r="P660" s="10">
        <v>2024</v>
      </c>
      <c r="Q660" s="10">
        <v>12</v>
      </c>
      <c r="R660" s="10" t="s">
        <v>3043</v>
      </c>
      <c r="S660" s="10" t="s">
        <v>6920</v>
      </c>
      <c r="T660" s="10" t="s">
        <v>6921</v>
      </c>
      <c r="U660" s="10">
        <v>0</v>
      </c>
      <c r="V660" s="10">
        <v>223</v>
      </c>
      <c r="W660" s="67"/>
      <c r="X660" s="11" t="s">
        <v>3066</v>
      </c>
      <c r="Y660" s="11" t="s">
        <v>3241</v>
      </c>
      <c r="Z660" s="11" t="s">
        <v>3242</v>
      </c>
      <c r="AA660" s="67">
        <v>45626</v>
      </c>
      <c r="AB660" s="67">
        <v>45627</v>
      </c>
      <c r="AC660" s="67">
        <v>45657</v>
      </c>
      <c r="AD660" s="67">
        <v>45656</v>
      </c>
      <c r="AE660" s="67">
        <v>45657</v>
      </c>
    </row>
    <row r="661" spans="1:31" ht="12.5">
      <c r="A661" s="10">
        <v>610423040018</v>
      </c>
      <c r="B661" s="10" t="s">
        <v>38</v>
      </c>
      <c r="D661" s="10">
        <v>1</v>
      </c>
      <c r="E661" s="10" t="s">
        <v>1301</v>
      </c>
      <c r="F661" s="10" t="s">
        <v>25</v>
      </c>
      <c r="G661" s="10" t="s">
        <v>1300</v>
      </c>
      <c r="H661" s="10" t="s">
        <v>84</v>
      </c>
      <c r="I661" s="10" t="s">
        <v>6909</v>
      </c>
      <c r="J661" s="10" t="s">
        <v>3036</v>
      </c>
      <c r="K661" s="66">
        <v>116000</v>
      </c>
      <c r="L661" s="10">
        <v>4</v>
      </c>
      <c r="M661" s="10">
        <v>464000</v>
      </c>
      <c r="O661" s="67">
        <v>45657</v>
      </c>
      <c r="P661" s="10">
        <v>2024</v>
      </c>
      <c r="Q661" s="10">
        <v>12</v>
      </c>
      <c r="R661" s="10" t="s">
        <v>3043</v>
      </c>
      <c r="S661" s="10" t="s">
        <v>6922</v>
      </c>
      <c r="T661" s="10" t="s">
        <v>6923</v>
      </c>
      <c r="U661" s="10">
        <v>0</v>
      </c>
      <c r="V661" s="10">
        <v>223</v>
      </c>
      <c r="W661" s="67"/>
      <c r="X661" s="11" t="s">
        <v>3066</v>
      </c>
      <c r="Y661" s="11" t="s">
        <v>5534</v>
      </c>
      <c r="Z661" s="11" t="s">
        <v>5647</v>
      </c>
      <c r="AA661" s="67">
        <v>45626</v>
      </c>
      <c r="AB661" s="67">
        <v>45627</v>
      </c>
      <c r="AC661" s="67">
        <v>45657</v>
      </c>
      <c r="AD661" s="67">
        <v>45656</v>
      </c>
      <c r="AE661" s="67">
        <v>45657</v>
      </c>
    </row>
    <row r="662" spans="1:31" ht="12.5">
      <c r="A662" s="10">
        <v>610422040059</v>
      </c>
      <c r="B662" s="10" t="s">
        <v>38</v>
      </c>
      <c r="D662" s="10">
        <v>1</v>
      </c>
      <c r="E662" s="10" t="s">
        <v>365</v>
      </c>
      <c r="F662" s="10" t="s">
        <v>25</v>
      </c>
      <c r="G662" s="10" t="s">
        <v>364</v>
      </c>
      <c r="H662" s="10" t="s">
        <v>85</v>
      </c>
      <c r="I662" s="10" t="s">
        <v>6924</v>
      </c>
      <c r="J662" s="10" t="s">
        <v>3036</v>
      </c>
      <c r="K662" s="66">
        <v>59000</v>
      </c>
      <c r="L662" s="10">
        <v>6</v>
      </c>
      <c r="M662" s="10">
        <v>354000</v>
      </c>
      <c r="O662" s="67">
        <v>45657</v>
      </c>
      <c r="P662" s="10">
        <v>2024</v>
      </c>
      <c r="Q662" s="10">
        <v>12</v>
      </c>
      <c r="R662" s="10" t="s">
        <v>3043</v>
      </c>
      <c r="S662" s="10" t="s">
        <v>6912</v>
      </c>
      <c r="T662" s="10" t="s">
        <v>6913</v>
      </c>
      <c r="U662" s="10">
        <v>0</v>
      </c>
      <c r="V662" s="10">
        <v>223</v>
      </c>
      <c r="W662" s="67"/>
      <c r="X662" s="11" t="s">
        <v>3066</v>
      </c>
      <c r="Y662" s="11" t="s">
        <v>4572</v>
      </c>
      <c r="Z662" s="11" t="s">
        <v>4656</v>
      </c>
      <c r="AA662" s="67">
        <v>45626</v>
      </c>
      <c r="AB662" s="67">
        <v>45627</v>
      </c>
      <c r="AC662" s="67">
        <v>45657</v>
      </c>
      <c r="AD662" s="67">
        <v>45656</v>
      </c>
      <c r="AE662" s="67">
        <v>45657</v>
      </c>
    </row>
    <row r="663" spans="1:31" ht="12.5">
      <c r="A663" s="10">
        <v>610422020048</v>
      </c>
      <c r="B663" s="10" t="s">
        <v>38</v>
      </c>
      <c r="D663" s="10">
        <v>1</v>
      </c>
      <c r="E663" s="10" t="s">
        <v>1359</v>
      </c>
      <c r="F663" s="10" t="s">
        <v>25</v>
      </c>
      <c r="G663" s="10" t="s">
        <v>1358</v>
      </c>
      <c r="H663" s="10" t="s">
        <v>85</v>
      </c>
      <c r="I663" s="10" t="s">
        <v>6924</v>
      </c>
      <c r="J663" s="10" t="s">
        <v>3036</v>
      </c>
      <c r="K663" s="66">
        <v>59000</v>
      </c>
      <c r="L663" s="10">
        <v>6</v>
      </c>
      <c r="M663" s="10">
        <v>354000</v>
      </c>
      <c r="O663" s="67">
        <v>45657</v>
      </c>
      <c r="P663" s="10">
        <v>2024</v>
      </c>
      <c r="Q663" s="10">
        <v>12</v>
      </c>
      <c r="R663" s="10" t="s">
        <v>3043</v>
      </c>
      <c r="S663" s="10" t="s">
        <v>6881</v>
      </c>
      <c r="T663" s="10" t="s">
        <v>6882</v>
      </c>
      <c r="U663" s="10">
        <v>0</v>
      </c>
      <c r="V663" s="10">
        <v>223</v>
      </c>
      <c r="W663" s="67"/>
      <c r="X663" s="11" t="s">
        <v>3066</v>
      </c>
      <c r="Y663" s="11" t="s">
        <v>4931</v>
      </c>
      <c r="Z663" s="11" t="s">
        <v>5171</v>
      </c>
      <c r="AA663" s="67">
        <v>45626</v>
      </c>
      <c r="AB663" s="67">
        <v>45627</v>
      </c>
      <c r="AC663" s="67">
        <v>45657</v>
      </c>
      <c r="AD663" s="67">
        <v>45656</v>
      </c>
      <c r="AE663" s="67">
        <v>45657</v>
      </c>
    </row>
    <row r="664" spans="1:31" ht="12.5">
      <c r="A664" s="10">
        <v>610422040058</v>
      </c>
      <c r="B664" s="10" t="s">
        <v>38</v>
      </c>
      <c r="D664" s="10">
        <v>1</v>
      </c>
      <c r="E664" s="10" t="s">
        <v>5976</v>
      </c>
      <c r="F664" s="10" t="s">
        <v>25</v>
      </c>
      <c r="G664" s="10" t="s">
        <v>1547</v>
      </c>
      <c r="H664" s="10" t="s">
        <v>85</v>
      </c>
      <c r="I664" s="10" t="s">
        <v>6924</v>
      </c>
      <c r="J664" s="10" t="s">
        <v>3036</v>
      </c>
      <c r="K664" s="66">
        <v>59000</v>
      </c>
      <c r="L664" s="10">
        <v>10</v>
      </c>
      <c r="M664" s="10">
        <v>590000</v>
      </c>
      <c r="O664" s="67">
        <v>45657</v>
      </c>
      <c r="P664" s="10">
        <v>2024</v>
      </c>
      <c r="Q664" s="10">
        <v>12</v>
      </c>
      <c r="R664" s="10" t="s">
        <v>3043</v>
      </c>
      <c r="S664" s="10" t="s">
        <v>6925</v>
      </c>
      <c r="T664" s="10" t="s">
        <v>6926</v>
      </c>
      <c r="U664" s="10">
        <v>0</v>
      </c>
      <c r="V664" s="10">
        <v>223</v>
      </c>
      <c r="W664" s="67"/>
      <c r="X664" s="11" t="s">
        <v>3066</v>
      </c>
      <c r="Y664" s="11" t="s">
        <v>3715</v>
      </c>
      <c r="Z664" s="11" t="s">
        <v>3716</v>
      </c>
      <c r="AA664" s="67">
        <v>45626</v>
      </c>
      <c r="AB664" s="67">
        <v>45627</v>
      </c>
      <c r="AC664" s="67">
        <v>45657</v>
      </c>
      <c r="AD664" s="67">
        <v>45656</v>
      </c>
      <c r="AE664" s="67">
        <v>45657</v>
      </c>
    </row>
    <row r="665" spans="1:31" ht="12.5">
      <c r="A665" s="10">
        <v>610423110183</v>
      </c>
      <c r="B665" s="10" t="s">
        <v>38</v>
      </c>
      <c r="D665" s="10">
        <v>1</v>
      </c>
      <c r="E665" s="10" t="s">
        <v>5924</v>
      </c>
      <c r="F665" s="10" t="s">
        <v>25</v>
      </c>
      <c r="G665" s="10" t="s">
        <v>742</v>
      </c>
      <c r="H665" s="10" t="s">
        <v>85</v>
      </c>
      <c r="I665" s="10" t="s">
        <v>6924</v>
      </c>
      <c r="J665" s="10" t="s">
        <v>3036</v>
      </c>
      <c r="K665" s="66">
        <v>59000</v>
      </c>
      <c r="L665" s="10">
        <v>6</v>
      </c>
      <c r="M665" s="10">
        <v>354000</v>
      </c>
      <c r="O665" s="67">
        <v>45657</v>
      </c>
      <c r="P665" s="10">
        <v>2024</v>
      </c>
      <c r="Q665" s="10">
        <v>12</v>
      </c>
      <c r="R665" s="10" t="s">
        <v>3043</v>
      </c>
      <c r="S665" s="10" t="s">
        <v>6920</v>
      </c>
      <c r="T665" s="10" t="s">
        <v>6921</v>
      </c>
      <c r="U665" s="10">
        <v>0</v>
      </c>
      <c r="V665" s="10">
        <v>223</v>
      </c>
      <c r="W665" s="67"/>
      <c r="X665" s="11" t="s">
        <v>3066</v>
      </c>
      <c r="Y665" s="11" t="s">
        <v>3241</v>
      </c>
      <c r="Z665" s="11" t="s">
        <v>3242</v>
      </c>
      <c r="AA665" s="67">
        <v>45626</v>
      </c>
      <c r="AB665" s="67">
        <v>45627</v>
      </c>
      <c r="AC665" s="67">
        <v>45657</v>
      </c>
      <c r="AD665" s="67">
        <v>45656</v>
      </c>
      <c r="AE665" s="67">
        <v>45657</v>
      </c>
    </row>
    <row r="666" spans="1:31" ht="12.5">
      <c r="A666" s="10">
        <v>610422100244</v>
      </c>
      <c r="B666" s="10" t="s">
        <v>38</v>
      </c>
      <c r="D666" s="10">
        <v>1</v>
      </c>
      <c r="E666" s="10" t="s">
        <v>2633</v>
      </c>
      <c r="F666" s="10" t="s">
        <v>25</v>
      </c>
      <c r="G666" s="10" t="s">
        <v>2632</v>
      </c>
      <c r="H666" s="10" t="s">
        <v>85</v>
      </c>
      <c r="I666" s="10" t="s">
        <v>6924</v>
      </c>
      <c r="J666" s="10" t="s">
        <v>3036</v>
      </c>
      <c r="K666" s="66">
        <v>59000</v>
      </c>
      <c r="L666" s="10">
        <v>8</v>
      </c>
      <c r="M666" s="10">
        <v>472000</v>
      </c>
      <c r="O666" s="67">
        <v>45657</v>
      </c>
      <c r="P666" s="10">
        <v>2024</v>
      </c>
      <c r="Q666" s="10">
        <v>12</v>
      </c>
      <c r="R666" s="10" t="s">
        <v>3043</v>
      </c>
      <c r="S666" s="10" t="s">
        <v>6869</v>
      </c>
      <c r="T666" s="10" t="s">
        <v>6870</v>
      </c>
      <c r="U666" s="10">
        <v>0</v>
      </c>
      <c r="V666" s="10">
        <v>223</v>
      </c>
      <c r="W666" s="67"/>
      <c r="X666" s="11" t="s">
        <v>3066</v>
      </c>
      <c r="Y666" s="11" t="s">
        <v>5741</v>
      </c>
      <c r="Z666" s="11" t="s">
        <v>5796</v>
      </c>
      <c r="AA666" s="67">
        <v>45626</v>
      </c>
      <c r="AB666" s="67">
        <v>45627</v>
      </c>
      <c r="AC666" s="67">
        <v>45657</v>
      </c>
      <c r="AD666" s="67">
        <v>45656</v>
      </c>
      <c r="AE666" s="67">
        <v>45657</v>
      </c>
    </row>
    <row r="667" spans="1:31" ht="12.5">
      <c r="A667" s="10">
        <v>610422040056</v>
      </c>
      <c r="B667" s="10" t="s">
        <v>325</v>
      </c>
      <c r="D667" s="10">
        <v>1</v>
      </c>
      <c r="E667" s="10" t="s">
        <v>2825</v>
      </c>
      <c r="F667" s="10" t="s">
        <v>25</v>
      </c>
      <c r="G667" s="10" t="s">
        <v>2824</v>
      </c>
      <c r="H667" s="10" t="s">
        <v>67</v>
      </c>
      <c r="I667" s="10" t="s">
        <v>326</v>
      </c>
      <c r="J667" s="10" t="s">
        <v>164</v>
      </c>
      <c r="K667" s="66">
        <v>65000</v>
      </c>
      <c r="L667" s="10">
        <v>10</v>
      </c>
      <c r="M667" s="10">
        <v>650000</v>
      </c>
      <c r="O667" s="67">
        <v>45657</v>
      </c>
      <c r="P667" s="10">
        <v>2024</v>
      </c>
      <c r="Q667" s="10">
        <v>12</v>
      </c>
      <c r="R667" s="10" t="s">
        <v>3043</v>
      </c>
      <c r="S667" s="10" t="s">
        <v>6887</v>
      </c>
      <c r="T667" s="10" t="s">
        <v>6888</v>
      </c>
      <c r="U667" s="10">
        <v>0</v>
      </c>
      <c r="V667" s="10">
        <v>223</v>
      </c>
      <c r="W667" s="67"/>
      <c r="X667" s="11" t="s">
        <v>3165</v>
      </c>
      <c r="Y667" s="11" t="s">
        <v>4572</v>
      </c>
      <c r="Z667" s="11" t="s">
        <v>4656</v>
      </c>
      <c r="AA667" s="67">
        <v>45626</v>
      </c>
      <c r="AB667" s="67">
        <v>45627</v>
      </c>
      <c r="AC667" s="67">
        <v>45657</v>
      </c>
      <c r="AD667" s="67">
        <v>45656</v>
      </c>
      <c r="AE667" s="67">
        <v>45657</v>
      </c>
    </row>
    <row r="668" spans="1:31" ht="12.5">
      <c r="A668" s="10">
        <v>610422040029</v>
      </c>
      <c r="B668" s="10" t="s">
        <v>82</v>
      </c>
      <c r="D668" s="10">
        <v>1</v>
      </c>
      <c r="E668" s="10" t="s">
        <v>3000</v>
      </c>
      <c r="F668" s="10" t="s">
        <v>25</v>
      </c>
      <c r="G668" s="10" t="s">
        <v>2999</v>
      </c>
      <c r="H668" s="10" t="s">
        <v>67</v>
      </c>
      <c r="I668" s="10" t="s">
        <v>83</v>
      </c>
      <c r="J668" s="10" t="s">
        <v>164</v>
      </c>
      <c r="K668" s="66">
        <v>60000</v>
      </c>
      <c r="L668" s="10">
        <v>16</v>
      </c>
      <c r="M668" s="10">
        <v>960000</v>
      </c>
      <c r="O668" s="67">
        <v>45311</v>
      </c>
      <c r="P668" s="10">
        <v>2024</v>
      </c>
      <c r="Q668" s="10">
        <v>1</v>
      </c>
      <c r="R668" s="10" t="s">
        <v>3043</v>
      </c>
      <c r="S668" s="10" t="s">
        <v>6085</v>
      </c>
      <c r="T668" s="10" t="s">
        <v>6086</v>
      </c>
      <c r="U668" s="10">
        <v>1</v>
      </c>
      <c r="V668" s="10">
        <v>-123</v>
      </c>
      <c r="W668" s="67">
        <v>45347</v>
      </c>
      <c r="X668" s="11" t="s">
        <v>3099</v>
      </c>
      <c r="Y668" s="11" t="s">
        <v>4572</v>
      </c>
      <c r="Z668" s="11" t="s">
        <v>4619</v>
      </c>
      <c r="AA668" s="67">
        <v>45291</v>
      </c>
      <c r="AB668" s="67">
        <v>45292</v>
      </c>
      <c r="AC668" s="67">
        <v>45322</v>
      </c>
      <c r="AD668" s="67">
        <v>45321</v>
      </c>
      <c r="AE668" s="67">
        <v>45322</v>
      </c>
    </row>
    <row r="669" spans="1:31" ht="12.5">
      <c r="A669" s="10">
        <v>610422020048</v>
      </c>
      <c r="B669" s="10" t="s">
        <v>82</v>
      </c>
      <c r="D669" s="10">
        <v>1</v>
      </c>
      <c r="E669" s="10" t="s">
        <v>1359</v>
      </c>
      <c r="F669" s="10" t="s">
        <v>25</v>
      </c>
      <c r="G669" s="10" t="s">
        <v>1358</v>
      </c>
      <c r="H669" s="10" t="s">
        <v>67</v>
      </c>
      <c r="I669" s="10" t="s">
        <v>83</v>
      </c>
      <c r="J669" s="10" t="s">
        <v>164</v>
      </c>
      <c r="K669" s="66">
        <v>60000</v>
      </c>
      <c r="L669" s="10">
        <v>10</v>
      </c>
      <c r="M669" s="10">
        <v>600000</v>
      </c>
      <c r="O669" s="67">
        <v>45311</v>
      </c>
      <c r="P669" s="10">
        <v>2024</v>
      </c>
      <c r="Q669" s="10">
        <v>1</v>
      </c>
      <c r="R669" s="10" t="s">
        <v>3043</v>
      </c>
      <c r="S669" s="10" t="s">
        <v>6083</v>
      </c>
      <c r="T669" s="10" t="s">
        <v>6084</v>
      </c>
      <c r="U669" s="10">
        <v>1</v>
      </c>
      <c r="V669" s="10">
        <v>-123</v>
      </c>
      <c r="W669" s="67">
        <v>45347</v>
      </c>
      <c r="X669" s="11" t="s">
        <v>3099</v>
      </c>
      <c r="Y669" s="11" t="s">
        <v>4931</v>
      </c>
      <c r="Z669" s="11" t="s">
        <v>5171</v>
      </c>
      <c r="AA669" s="67">
        <v>45291</v>
      </c>
      <c r="AB669" s="67">
        <v>45292</v>
      </c>
      <c r="AC669" s="67">
        <v>45322</v>
      </c>
      <c r="AD669" s="67">
        <v>45321</v>
      </c>
      <c r="AE669" s="67">
        <v>45322</v>
      </c>
    </row>
    <row r="670" spans="1:31" ht="12.5">
      <c r="A670" s="10">
        <v>610422100165</v>
      </c>
      <c r="B670" s="10" t="s">
        <v>82</v>
      </c>
      <c r="D670" s="10">
        <v>1</v>
      </c>
      <c r="E670" s="10" t="s">
        <v>2855</v>
      </c>
      <c r="F670" s="10" t="s">
        <v>25</v>
      </c>
      <c r="G670" s="10" t="s">
        <v>2854</v>
      </c>
      <c r="H670" s="10" t="s">
        <v>67</v>
      </c>
      <c r="I670" s="10" t="s">
        <v>83</v>
      </c>
      <c r="J670" s="10" t="s">
        <v>164</v>
      </c>
      <c r="K670" s="66">
        <v>60000</v>
      </c>
      <c r="L670" s="10">
        <v>6</v>
      </c>
      <c r="M670" s="10">
        <v>360000</v>
      </c>
      <c r="O670" s="67">
        <v>45311</v>
      </c>
      <c r="P670" s="10">
        <v>2024</v>
      </c>
      <c r="Q670" s="10">
        <v>1</v>
      </c>
      <c r="R670" s="10" t="s">
        <v>3043</v>
      </c>
      <c r="S670" s="10" t="s">
        <v>6087</v>
      </c>
      <c r="T670" s="10" t="s">
        <v>6088</v>
      </c>
      <c r="U670" s="10">
        <v>1</v>
      </c>
      <c r="V670" s="10">
        <v>-123</v>
      </c>
      <c r="W670" s="67">
        <v>45347</v>
      </c>
      <c r="X670" s="11" t="s">
        <v>3099</v>
      </c>
      <c r="Y670" s="11" t="s">
        <v>3990</v>
      </c>
      <c r="Z670" s="11" t="s">
        <v>4332</v>
      </c>
      <c r="AA670" s="67">
        <v>45291</v>
      </c>
      <c r="AB670" s="67">
        <v>45292</v>
      </c>
      <c r="AC670" s="67">
        <v>45322</v>
      </c>
      <c r="AD670" s="67">
        <v>45321</v>
      </c>
      <c r="AE670" s="67">
        <v>45322</v>
      </c>
    </row>
    <row r="671" spans="1:31" ht="12.5">
      <c r="A671" s="10">
        <v>610422020052</v>
      </c>
      <c r="B671" s="10" t="s">
        <v>82</v>
      </c>
      <c r="D671" s="10">
        <v>1</v>
      </c>
      <c r="E671" s="10" t="s">
        <v>498</v>
      </c>
      <c r="F671" s="10" t="s">
        <v>25</v>
      </c>
      <c r="G671" s="10" t="s">
        <v>497</v>
      </c>
      <c r="H671" s="10" t="s">
        <v>67</v>
      </c>
      <c r="I671" s="10" t="s">
        <v>83</v>
      </c>
      <c r="J671" s="10" t="s">
        <v>164</v>
      </c>
      <c r="K671" s="66">
        <v>60000</v>
      </c>
      <c r="L671" s="10">
        <v>7</v>
      </c>
      <c r="M671" s="10">
        <v>420000</v>
      </c>
      <c r="O671" s="67">
        <v>45311</v>
      </c>
      <c r="P671" s="10">
        <v>2024</v>
      </c>
      <c r="Q671" s="10">
        <v>1</v>
      </c>
      <c r="R671" s="10" t="s">
        <v>3043</v>
      </c>
      <c r="S671" s="10" t="s">
        <v>6091</v>
      </c>
      <c r="T671" s="10" t="s">
        <v>6092</v>
      </c>
      <c r="U671" s="10">
        <v>1</v>
      </c>
      <c r="V671" s="10">
        <v>-123</v>
      </c>
      <c r="W671" s="67">
        <v>45347</v>
      </c>
      <c r="X671" s="11" t="s">
        <v>3099</v>
      </c>
      <c r="Y671" s="11" t="s">
        <v>3990</v>
      </c>
      <c r="Z671" s="11" t="s">
        <v>4087</v>
      </c>
      <c r="AA671" s="67">
        <v>45291</v>
      </c>
      <c r="AB671" s="67">
        <v>45292</v>
      </c>
      <c r="AC671" s="67">
        <v>45322</v>
      </c>
      <c r="AD671" s="67">
        <v>45321</v>
      </c>
      <c r="AE671" s="67">
        <v>45322</v>
      </c>
    </row>
    <row r="672" spans="1:31" ht="12.5">
      <c r="A672" s="10">
        <v>610422040029</v>
      </c>
      <c r="B672" s="10" t="s">
        <v>327</v>
      </c>
      <c r="D672" s="10">
        <v>1</v>
      </c>
      <c r="E672" s="10" t="s">
        <v>3000</v>
      </c>
      <c r="F672" s="10" t="s">
        <v>25</v>
      </c>
      <c r="G672" s="10" t="s">
        <v>2999</v>
      </c>
      <c r="H672" s="10" t="s">
        <v>67</v>
      </c>
      <c r="I672" s="10" t="s">
        <v>328</v>
      </c>
      <c r="J672" s="10" t="s">
        <v>164</v>
      </c>
      <c r="K672" s="66">
        <v>55000</v>
      </c>
      <c r="L672" s="10">
        <v>1</v>
      </c>
      <c r="M672" s="10">
        <v>55000</v>
      </c>
      <c r="O672" s="67">
        <v>45688</v>
      </c>
      <c r="P672" s="10">
        <v>2025</v>
      </c>
      <c r="Q672" s="10">
        <v>1</v>
      </c>
      <c r="R672" s="10" t="s">
        <v>3043</v>
      </c>
      <c r="S672" s="10" t="s">
        <v>6927</v>
      </c>
      <c r="T672" s="10" t="s">
        <v>6928</v>
      </c>
      <c r="U672" s="10">
        <v>0</v>
      </c>
      <c r="V672" s="10">
        <v>254</v>
      </c>
      <c r="W672" s="67"/>
      <c r="X672" s="11" t="s">
        <v>3169</v>
      </c>
      <c r="Y672" s="11" t="s">
        <v>4572</v>
      </c>
      <c r="Z672" s="11" t="s">
        <v>4619</v>
      </c>
      <c r="AA672" s="67">
        <v>45657</v>
      </c>
      <c r="AB672" s="67">
        <v>45658</v>
      </c>
      <c r="AC672" s="67">
        <v>45688</v>
      </c>
      <c r="AD672" s="67">
        <v>45687</v>
      </c>
      <c r="AE672" s="67">
        <v>45688</v>
      </c>
    </row>
    <row r="673" spans="1:31" ht="12.5">
      <c r="A673" s="10">
        <v>610422040029</v>
      </c>
      <c r="B673" s="10" t="s">
        <v>327</v>
      </c>
      <c r="D673" s="10">
        <v>1</v>
      </c>
      <c r="E673" s="10" t="s">
        <v>3000</v>
      </c>
      <c r="F673" s="10" t="s">
        <v>25</v>
      </c>
      <c r="G673" s="10" t="s">
        <v>2999</v>
      </c>
      <c r="H673" s="10" t="s">
        <v>67</v>
      </c>
      <c r="I673" s="10" t="s">
        <v>329</v>
      </c>
      <c r="J673" s="10" t="s">
        <v>164</v>
      </c>
      <c r="K673" s="66">
        <v>55000</v>
      </c>
      <c r="L673" s="10">
        <v>2</v>
      </c>
      <c r="M673" s="10">
        <v>110000</v>
      </c>
      <c r="O673" s="67">
        <v>45688</v>
      </c>
      <c r="P673" s="10">
        <v>2025</v>
      </c>
      <c r="Q673" s="10">
        <v>1</v>
      </c>
      <c r="R673" s="10" t="s">
        <v>3043</v>
      </c>
      <c r="S673" s="10" t="s">
        <v>6927</v>
      </c>
      <c r="T673" s="10" t="s">
        <v>6928</v>
      </c>
      <c r="U673" s="10">
        <v>0</v>
      </c>
      <c r="V673" s="10">
        <v>254</v>
      </c>
      <c r="W673" s="67"/>
      <c r="X673" s="11" t="s">
        <v>3169</v>
      </c>
      <c r="Y673" s="11" t="s">
        <v>4572</v>
      </c>
      <c r="Z673" s="11" t="s">
        <v>4619</v>
      </c>
      <c r="AA673" s="67">
        <v>45657</v>
      </c>
      <c r="AB673" s="67">
        <v>45658</v>
      </c>
      <c r="AC673" s="67">
        <v>45688</v>
      </c>
      <c r="AD673" s="67">
        <v>45687</v>
      </c>
      <c r="AE673" s="67">
        <v>45688</v>
      </c>
    </row>
    <row r="674" spans="1:31" ht="12.5">
      <c r="A674" s="10">
        <v>610422020045</v>
      </c>
      <c r="B674" s="10" t="s">
        <v>181</v>
      </c>
      <c r="D674" s="10">
        <v>1</v>
      </c>
      <c r="E674" s="10" t="s">
        <v>1352</v>
      </c>
      <c r="F674" s="10" t="s">
        <v>25</v>
      </c>
      <c r="G674" s="10" t="s">
        <v>1351</v>
      </c>
      <c r="H674" s="10" t="s">
        <v>182</v>
      </c>
      <c r="I674" s="10" t="s">
        <v>183</v>
      </c>
      <c r="J674" s="10" t="s">
        <v>182</v>
      </c>
      <c r="K674" s="66">
        <v>4694000</v>
      </c>
      <c r="L674" s="10">
        <v>1</v>
      </c>
      <c r="M674" s="10">
        <v>4694000</v>
      </c>
      <c r="O674" s="67">
        <v>45473</v>
      </c>
      <c r="P674" s="10">
        <v>2024</v>
      </c>
      <c r="Q674" s="10">
        <v>6</v>
      </c>
      <c r="R674" s="10" t="s">
        <v>6552</v>
      </c>
      <c r="S674" s="10" t="s">
        <v>6553</v>
      </c>
      <c r="T674" s="10" t="s">
        <v>6554</v>
      </c>
      <c r="U674" s="10">
        <v>0</v>
      </c>
      <c r="V674" s="10">
        <v>39</v>
      </c>
      <c r="W674" s="67"/>
      <c r="X674" s="11" t="s">
        <v>3175</v>
      </c>
      <c r="Y674" s="11" t="s">
        <v>3241</v>
      </c>
      <c r="Z674" s="11" t="s">
        <v>3430</v>
      </c>
      <c r="AA674" s="67">
        <v>45443</v>
      </c>
      <c r="AB674" s="67">
        <v>45444</v>
      </c>
      <c r="AC674" s="67">
        <v>45473</v>
      </c>
      <c r="AD674" s="67">
        <v>45472</v>
      </c>
      <c r="AE674" s="67">
        <v>45473</v>
      </c>
    </row>
    <row r="675" spans="1:31" ht="12.5">
      <c r="A675" s="10">
        <v>610422020012</v>
      </c>
      <c r="B675" s="10" t="s">
        <v>181</v>
      </c>
      <c r="D675" s="10">
        <v>1</v>
      </c>
      <c r="E675" s="10" t="s">
        <v>5974</v>
      </c>
      <c r="F675" s="10" t="s">
        <v>25</v>
      </c>
      <c r="G675" s="10" t="s">
        <v>1535</v>
      </c>
      <c r="H675" s="10" t="s">
        <v>182</v>
      </c>
      <c r="I675" s="10" t="s">
        <v>183</v>
      </c>
      <c r="J675" s="10" t="s">
        <v>182</v>
      </c>
      <c r="K675" s="66">
        <v>4694000</v>
      </c>
      <c r="L675" s="10">
        <v>1</v>
      </c>
      <c r="M675" s="10">
        <v>4694000</v>
      </c>
      <c r="O675" s="67">
        <v>45473</v>
      </c>
      <c r="P675" s="10">
        <v>2024</v>
      </c>
      <c r="Q675" s="10">
        <v>6</v>
      </c>
      <c r="R675" s="10" t="s">
        <v>6552</v>
      </c>
      <c r="S675" s="10" t="s">
        <v>6555</v>
      </c>
      <c r="T675" s="10" t="s">
        <v>6556</v>
      </c>
      <c r="U675" s="10">
        <v>0</v>
      </c>
      <c r="V675" s="10">
        <v>39</v>
      </c>
      <c r="W675" s="67"/>
      <c r="X675" s="11" t="s">
        <v>3175</v>
      </c>
      <c r="Y675" s="11" t="s">
        <v>5741</v>
      </c>
      <c r="Z675" s="11" t="s">
        <v>5796</v>
      </c>
      <c r="AA675" s="67">
        <v>45443</v>
      </c>
      <c r="AB675" s="67">
        <v>45444</v>
      </c>
      <c r="AC675" s="67">
        <v>45473</v>
      </c>
      <c r="AD675" s="67">
        <v>45472</v>
      </c>
      <c r="AE675" s="67">
        <v>45473</v>
      </c>
    </row>
    <row r="676" spans="1:31" ht="12.5">
      <c r="A676" s="10">
        <v>610422020032</v>
      </c>
      <c r="B676" s="10" t="s">
        <v>181</v>
      </c>
      <c r="D676" s="10">
        <v>1</v>
      </c>
      <c r="E676" s="10" t="s">
        <v>1640</v>
      </c>
      <c r="F676" s="10" t="s">
        <v>25</v>
      </c>
      <c r="G676" s="10" t="s">
        <v>1639</v>
      </c>
      <c r="H676" s="10" t="s">
        <v>182</v>
      </c>
      <c r="I676" s="10" t="s">
        <v>183</v>
      </c>
      <c r="J676" s="10" t="s">
        <v>182</v>
      </c>
      <c r="K676" s="66">
        <v>4694000</v>
      </c>
      <c r="L676" s="10">
        <v>1</v>
      </c>
      <c r="M676" s="10">
        <v>4694000</v>
      </c>
      <c r="O676" s="67">
        <v>45473</v>
      </c>
      <c r="P676" s="10">
        <v>2024</v>
      </c>
      <c r="Q676" s="10">
        <v>6</v>
      </c>
      <c r="R676" s="10" t="s">
        <v>6552</v>
      </c>
      <c r="S676" s="10" t="s">
        <v>6557</v>
      </c>
      <c r="T676" s="10" t="s">
        <v>6558</v>
      </c>
      <c r="U676" s="10">
        <v>0</v>
      </c>
      <c r="V676" s="10">
        <v>39</v>
      </c>
      <c r="W676" s="67"/>
      <c r="X676" s="11" t="s">
        <v>3175</v>
      </c>
      <c r="Y676" s="11" t="s">
        <v>4931</v>
      </c>
      <c r="Z676" s="11" t="s">
        <v>5209</v>
      </c>
      <c r="AA676" s="67">
        <v>45443</v>
      </c>
      <c r="AB676" s="67">
        <v>45444</v>
      </c>
      <c r="AC676" s="67">
        <v>45473</v>
      </c>
      <c r="AD676" s="67">
        <v>45472</v>
      </c>
      <c r="AE676" s="67">
        <v>45473</v>
      </c>
    </row>
    <row r="677" spans="1:31" ht="12.5">
      <c r="A677" s="10">
        <v>610422030001</v>
      </c>
      <c r="B677" s="10" t="s">
        <v>181</v>
      </c>
      <c r="D677" s="10">
        <v>1</v>
      </c>
      <c r="E677" s="10" t="s">
        <v>6014</v>
      </c>
      <c r="F677" s="10" t="s">
        <v>25</v>
      </c>
      <c r="G677" s="10" t="s">
        <v>2230</v>
      </c>
      <c r="H677" s="10" t="s">
        <v>182</v>
      </c>
      <c r="I677" s="10" t="s">
        <v>183</v>
      </c>
      <c r="J677" s="10" t="s">
        <v>182</v>
      </c>
      <c r="K677" s="66">
        <v>4694000</v>
      </c>
      <c r="L677" s="10">
        <v>1</v>
      </c>
      <c r="M677" s="10">
        <v>4694000</v>
      </c>
      <c r="O677" s="67">
        <v>45473</v>
      </c>
      <c r="P677" s="10">
        <v>2024</v>
      </c>
      <c r="Q677" s="10">
        <v>6</v>
      </c>
      <c r="R677" s="10" t="s">
        <v>6552</v>
      </c>
      <c r="S677" s="10" t="s">
        <v>6559</v>
      </c>
      <c r="T677" s="10" t="s">
        <v>6560</v>
      </c>
      <c r="U677" s="10">
        <v>0</v>
      </c>
      <c r="V677" s="10">
        <v>39</v>
      </c>
      <c r="W677" s="67"/>
      <c r="X677" s="11" t="s">
        <v>3175</v>
      </c>
      <c r="Y677" s="11" t="s">
        <v>3715</v>
      </c>
      <c r="Z677" s="11" t="s">
        <v>3716</v>
      </c>
      <c r="AA677" s="67">
        <v>45443</v>
      </c>
      <c r="AB677" s="67">
        <v>45444</v>
      </c>
      <c r="AC677" s="67">
        <v>45473</v>
      </c>
      <c r="AD677" s="67">
        <v>45472</v>
      </c>
      <c r="AE677" s="67">
        <v>45473</v>
      </c>
    </row>
    <row r="678" spans="1:31" ht="12.5">
      <c r="A678" s="10">
        <v>610422040053</v>
      </c>
      <c r="B678" s="10" t="s">
        <v>181</v>
      </c>
      <c r="D678" s="10">
        <v>1</v>
      </c>
      <c r="E678" s="10" t="s">
        <v>2781</v>
      </c>
      <c r="F678" s="10" t="s">
        <v>25</v>
      </c>
      <c r="G678" s="10" t="s">
        <v>2780</v>
      </c>
      <c r="H678" s="10" t="s">
        <v>182</v>
      </c>
      <c r="I678" s="10" t="s">
        <v>183</v>
      </c>
      <c r="J678" s="10" t="s">
        <v>182</v>
      </c>
      <c r="K678" s="66">
        <v>4694000</v>
      </c>
      <c r="L678" s="10">
        <v>1</v>
      </c>
      <c r="M678" s="10">
        <v>4694000</v>
      </c>
      <c r="O678" s="67">
        <v>45473</v>
      </c>
      <c r="P678" s="10">
        <v>2024</v>
      </c>
      <c r="Q678" s="10">
        <v>6</v>
      </c>
      <c r="R678" s="10" t="s">
        <v>6552</v>
      </c>
      <c r="S678" s="10" t="s">
        <v>6561</v>
      </c>
      <c r="T678" s="10" t="s">
        <v>6562</v>
      </c>
      <c r="U678" s="10">
        <v>0</v>
      </c>
      <c r="V678" s="10">
        <v>39</v>
      </c>
      <c r="W678" s="67"/>
      <c r="X678" s="11" t="s">
        <v>3175</v>
      </c>
      <c r="Y678" s="11" t="s">
        <v>5250</v>
      </c>
      <c r="Z678" s="11" t="s">
        <v>5464</v>
      </c>
      <c r="AA678" s="67">
        <v>45443</v>
      </c>
      <c r="AB678" s="67">
        <v>45444</v>
      </c>
      <c r="AC678" s="67">
        <v>45473</v>
      </c>
      <c r="AD678" s="67">
        <v>45472</v>
      </c>
      <c r="AE678" s="67">
        <v>45473</v>
      </c>
    </row>
    <row r="679" spans="1:31" ht="12.5">
      <c r="A679" s="10">
        <v>610422040034</v>
      </c>
      <c r="B679" s="10" t="s">
        <v>181</v>
      </c>
      <c r="D679" s="10">
        <v>1</v>
      </c>
      <c r="E679" s="10" t="s">
        <v>2110</v>
      </c>
      <c r="F679" s="10" t="s">
        <v>25</v>
      </c>
      <c r="G679" s="10" t="s">
        <v>2109</v>
      </c>
      <c r="H679" s="10" t="s">
        <v>182</v>
      </c>
      <c r="I679" s="10" t="s">
        <v>183</v>
      </c>
      <c r="J679" s="10" t="s">
        <v>182</v>
      </c>
      <c r="K679" s="66">
        <v>4694000</v>
      </c>
      <c r="L679" s="10">
        <v>1</v>
      </c>
      <c r="M679" s="10">
        <v>4694000</v>
      </c>
      <c r="O679" s="67">
        <v>45473</v>
      </c>
      <c r="P679" s="10">
        <v>2024</v>
      </c>
      <c r="Q679" s="10">
        <v>6</v>
      </c>
      <c r="R679" s="10" t="s">
        <v>6552</v>
      </c>
      <c r="S679" s="10" t="s">
        <v>6563</v>
      </c>
      <c r="T679" s="10" t="s">
        <v>6564</v>
      </c>
      <c r="U679" s="10">
        <v>0</v>
      </c>
      <c r="V679" s="10">
        <v>39</v>
      </c>
      <c r="W679" s="67"/>
      <c r="X679" s="11" t="s">
        <v>3175</v>
      </c>
      <c r="Y679" s="11" t="s">
        <v>4572</v>
      </c>
      <c r="Z679" s="11" t="s">
        <v>4841</v>
      </c>
      <c r="AA679" s="67">
        <v>45443</v>
      </c>
      <c r="AB679" s="67">
        <v>45444</v>
      </c>
      <c r="AC679" s="67">
        <v>45473</v>
      </c>
      <c r="AD679" s="67">
        <v>45472</v>
      </c>
      <c r="AE679" s="67">
        <v>45473</v>
      </c>
    </row>
    <row r="680" spans="1:31" ht="12.5">
      <c r="A680" s="10">
        <v>610422040051</v>
      </c>
      <c r="B680" s="10" t="s">
        <v>181</v>
      </c>
      <c r="D680" s="10">
        <v>1</v>
      </c>
      <c r="E680" s="10" t="s">
        <v>5931</v>
      </c>
      <c r="F680" s="10" t="s">
        <v>25</v>
      </c>
      <c r="G680" s="10" t="s">
        <v>886</v>
      </c>
      <c r="H680" s="10" t="s">
        <v>182</v>
      </c>
      <c r="I680" s="10" t="s">
        <v>183</v>
      </c>
      <c r="J680" s="10" t="s">
        <v>182</v>
      </c>
      <c r="K680" s="66">
        <v>4694000</v>
      </c>
      <c r="L680" s="10">
        <v>1</v>
      </c>
      <c r="M680" s="10">
        <v>4694000</v>
      </c>
      <c r="O680" s="67">
        <v>45473</v>
      </c>
      <c r="P680" s="10">
        <v>2024</v>
      </c>
      <c r="Q680" s="10">
        <v>6</v>
      </c>
      <c r="R680" s="10" t="s">
        <v>6552</v>
      </c>
      <c r="S680" s="10" t="s">
        <v>6565</v>
      </c>
      <c r="T680" s="10" t="s">
        <v>6566</v>
      </c>
      <c r="U680" s="10">
        <v>0</v>
      </c>
      <c r="V680" s="10">
        <v>39</v>
      </c>
      <c r="W680" s="67"/>
      <c r="X680" s="11" t="s">
        <v>3175</v>
      </c>
      <c r="Y680" s="11" t="s">
        <v>3715</v>
      </c>
      <c r="Z680" s="11" t="s">
        <v>3794</v>
      </c>
      <c r="AA680" s="67">
        <v>45443</v>
      </c>
      <c r="AB680" s="67">
        <v>45444</v>
      </c>
      <c r="AC680" s="67">
        <v>45473</v>
      </c>
      <c r="AD680" s="67">
        <v>45472</v>
      </c>
      <c r="AE680" s="67">
        <v>45473</v>
      </c>
    </row>
    <row r="681" spans="1:31" ht="12.5">
      <c r="A681" s="10">
        <v>610422040052</v>
      </c>
      <c r="B681" s="10" t="s">
        <v>181</v>
      </c>
      <c r="D681" s="10">
        <v>1</v>
      </c>
      <c r="E681" s="10" t="s">
        <v>2952</v>
      </c>
      <c r="F681" s="10" t="s">
        <v>25</v>
      </c>
      <c r="G681" s="10" t="s">
        <v>2951</v>
      </c>
      <c r="H681" s="10" t="s">
        <v>182</v>
      </c>
      <c r="I681" s="10" t="s">
        <v>183</v>
      </c>
      <c r="J681" s="10" t="s">
        <v>182</v>
      </c>
      <c r="K681" s="66">
        <v>4694000</v>
      </c>
      <c r="L681" s="10">
        <v>1</v>
      </c>
      <c r="M681" s="10">
        <v>4694000</v>
      </c>
      <c r="O681" s="67">
        <v>45473</v>
      </c>
      <c r="P681" s="10">
        <v>2024</v>
      </c>
      <c r="Q681" s="10">
        <v>6</v>
      </c>
      <c r="R681" s="10" t="s">
        <v>6552</v>
      </c>
      <c r="S681" s="10" t="s">
        <v>6567</v>
      </c>
      <c r="T681" s="10" t="s">
        <v>6568</v>
      </c>
      <c r="U681" s="10">
        <v>0</v>
      </c>
      <c r="V681" s="10">
        <v>39</v>
      </c>
      <c r="W681" s="67"/>
      <c r="X681" s="11" t="s">
        <v>3175</v>
      </c>
      <c r="Y681" s="11" t="s">
        <v>4408</v>
      </c>
      <c r="Z681" s="11" t="s">
        <v>4487</v>
      </c>
      <c r="AA681" s="67">
        <v>45443</v>
      </c>
      <c r="AB681" s="67">
        <v>45444</v>
      </c>
      <c r="AC681" s="67">
        <v>45473</v>
      </c>
      <c r="AD681" s="67">
        <v>45472</v>
      </c>
      <c r="AE681" s="67">
        <v>45473</v>
      </c>
    </row>
    <row r="682" spans="1:31" ht="12.5">
      <c r="A682" s="10">
        <v>610422040059</v>
      </c>
      <c r="B682" s="10" t="s">
        <v>181</v>
      </c>
      <c r="D682" s="10">
        <v>1</v>
      </c>
      <c r="E682" s="10" t="s">
        <v>365</v>
      </c>
      <c r="F682" s="10" t="s">
        <v>25</v>
      </c>
      <c r="G682" s="10" t="s">
        <v>364</v>
      </c>
      <c r="H682" s="10" t="s">
        <v>182</v>
      </c>
      <c r="I682" s="10" t="s">
        <v>183</v>
      </c>
      <c r="J682" s="10" t="s">
        <v>182</v>
      </c>
      <c r="K682" s="66">
        <v>4694000</v>
      </c>
      <c r="L682" s="10">
        <v>1</v>
      </c>
      <c r="M682" s="10">
        <v>4694000</v>
      </c>
      <c r="O682" s="67">
        <v>45473</v>
      </c>
      <c r="P682" s="10">
        <v>2024</v>
      </c>
      <c r="Q682" s="10">
        <v>6</v>
      </c>
      <c r="R682" s="10" t="s">
        <v>6552</v>
      </c>
      <c r="S682" s="10" t="s">
        <v>6569</v>
      </c>
      <c r="T682" s="10" t="s">
        <v>6570</v>
      </c>
      <c r="U682" s="10">
        <v>0</v>
      </c>
      <c r="V682" s="10">
        <v>39</v>
      </c>
      <c r="W682" s="67"/>
      <c r="X682" s="11" t="s">
        <v>3175</v>
      </c>
      <c r="Y682" s="11" t="s">
        <v>4572</v>
      </c>
      <c r="Z682" s="11" t="s">
        <v>4656</v>
      </c>
      <c r="AA682" s="67">
        <v>45443</v>
      </c>
      <c r="AB682" s="67">
        <v>45444</v>
      </c>
      <c r="AC682" s="67">
        <v>45473</v>
      </c>
      <c r="AD682" s="67">
        <v>45472</v>
      </c>
      <c r="AE682" s="67">
        <v>45473</v>
      </c>
    </row>
    <row r="683" spans="1:31" ht="12.5">
      <c r="A683" s="10">
        <v>610422050001</v>
      </c>
      <c r="B683" s="10" t="s">
        <v>181</v>
      </c>
      <c r="D683" s="10">
        <v>1</v>
      </c>
      <c r="E683" s="10" t="s">
        <v>5949</v>
      </c>
      <c r="F683" s="10" t="s">
        <v>25</v>
      </c>
      <c r="G683" s="10" t="s">
        <v>1127</v>
      </c>
      <c r="H683" s="10" t="s">
        <v>182</v>
      </c>
      <c r="I683" s="10" t="s">
        <v>183</v>
      </c>
      <c r="J683" s="10" t="s">
        <v>182</v>
      </c>
      <c r="K683" s="66">
        <v>4694000</v>
      </c>
      <c r="L683" s="10">
        <v>1</v>
      </c>
      <c r="M683" s="10">
        <v>4694000</v>
      </c>
      <c r="O683" s="67">
        <v>45473</v>
      </c>
      <c r="P683" s="10">
        <v>2024</v>
      </c>
      <c r="Q683" s="10">
        <v>6</v>
      </c>
      <c r="R683" s="10" t="s">
        <v>6552</v>
      </c>
      <c r="S683" s="10" t="s">
        <v>6527</v>
      </c>
      <c r="T683" s="10" t="s">
        <v>6571</v>
      </c>
      <c r="U683" s="10">
        <v>0</v>
      </c>
      <c r="V683" s="10">
        <v>39</v>
      </c>
      <c r="W683" s="67"/>
      <c r="X683" s="11" t="s">
        <v>3175</v>
      </c>
      <c r="Y683" s="11" t="s">
        <v>4408</v>
      </c>
      <c r="Z683" s="11" t="s">
        <v>4409</v>
      </c>
      <c r="AA683" s="67">
        <v>45443</v>
      </c>
      <c r="AB683" s="67">
        <v>45444</v>
      </c>
      <c r="AC683" s="67">
        <v>45473</v>
      </c>
      <c r="AD683" s="67">
        <v>45472</v>
      </c>
      <c r="AE683" s="67">
        <v>45473</v>
      </c>
    </row>
    <row r="684" spans="1:31" ht="12.5">
      <c r="A684" s="10">
        <v>610422100006</v>
      </c>
      <c r="B684" s="10" t="s">
        <v>181</v>
      </c>
      <c r="D684" s="10">
        <v>1</v>
      </c>
      <c r="E684" s="10" t="s">
        <v>854</v>
      </c>
      <c r="F684" s="10" t="s">
        <v>25</v>
      </c>
      <c r="G684" s="10" t="s">
        <v>853</v>
      </c>
      <c r="H684" s="10" t="s">
        <v>182</v>
      </c>
      <c r="I684" s="10" t="s">
        <v>183</v>
      </c>
      <c r="J684" s="10" t="s">
        <v>182</v>
      </c>
      <c r="K684" s="66">
        <v>4694000</v>
      </c>
      <c r="L684" s="10">
        <v>1</v>
      </c>
      <c r="M684" s="10">
        <v>4694000</v>
      </c>
      <c r="O684" s="67">
        <v>45473</v>
      </c>
      <c r="P684" s="10">
        <v>2024</v>
      </c>
      <c r="Q684" s="10">
        <v>6</v>
      </c>
      <c r="R684" s="10" t="s">
        <v>6552</v>
      </c>
      <c r="S684" s="10" t="s">
        <v>6572</v>
      </c>
      <c r="T684" s="10" t="s">
        <v>6573</v>
      </c>
      <c r="U684" s="10">
        <v>0</v>
      </c>
      <c r="V684" s="10">
        <v>39</v>
      </c>
      <c r="W684" s="67"/>
      <c r="X684" s="11" t="s">
        <v>3175</v>
      </c>
      <c r="Y684" s="11" t="s">
        <v>3241</v>
      </c>
      <c r="Z684" s="11" t="s">
        <v>3676</v>
      </c>
      <c r="AA684" s="67">
        <v>45443</v>
      </c>
      <c r="AB684" s="67">
        <v>45444</v>
      </c>
      <c r="AC684" s="67">
        <v>45473</v>
      </c>
      <c r="AD684" s="67">
        <v>45472</v>
      </c>
      <c r="AE684" s="67">
        <v>45473</v>
      </c>
    </row>
    <row r="685" spans="1:31" ht="12.5">
      <c r="A685" s="10">
        <v>610422100101</v>
      </c>
      <c r="B685" s="10" t="s">
        <v>181</v>
      </c>
      <c r="D685" s="10">
        <v>1</v>
      </c>
      <c r="E685" s="10" t="s">
        <v>6043</v>
      </c>
      <c r="F685" s="10" t="s">
        <v>25</v>
      </c>
      <c r="G685" s="10" t="s">
        <v>2644</v>
      </c>
      <c r="H685" s="10" t="s">
        <v>182</v>
      </c>
      <c r="I685" s="10" t="s">
        <v>183</v>
      </c>
      <c r="J685" s="10" t="s">
        <v>182</v>
      </c>
      <c r="K685" s="66">
        <v>4694000</v>
      </c>
      <c r="L685" s="10">
        <v>1</v>
      </c>
      <c r="M685" s="10">
        <v>4694000</v>
      </c>
      <c r="O685" s="67">
        <v>45473</v>
      </c>
      <c r="P685" s="10">
        <v>2024</v>
      </c>
      <c r="Q685" s="10">
        <v>6</v>
      </c>
      <c r="R685" s="10" t="s">
        <v>6552</v>
      </c>
      <c r="S685" s="10" t="s">
        <v>6574</v>
      </c>
      <c r="T685" s="10" t="s">
        <v>6575</v>
      </c>
      <c r="U685" s="10">
        <v>0</v>
      </c>
      <c r="V685" s="10">
        <v>39</v>
      </c>
      <c r="W685" s="67"/>
      <c r="X685" s="11" t="s">
        <v>3175</v>
      </c>
      <c r="Y685" s="11" t="s">
        <v>4408</v>
      </c>
      <c r="Z685" s="11" t="s">
        <v>4409</v>
      </c>
      <c r="AA685" s="67">
        <v>45443</v>
      </c>
      <c r="AB685" s="67">
        <v>45444</v>
      </c>
      <c r="AC685" s="67">
        <v>45473</v>
      </c>
      <c r="AD685" s="67">
        <v>45472</v>
      </c>
      <c r="AE685" s="67">
        <v>45473</v>
      </c>
    </row>
    <row r="686" spans="1:31" ht="12.5">
      <c r="A686" s="10">
        <v>610422100131</v>
      </c>
      <c r="B686" s="10" t="s">
        <v>181</v>
      </c>
      <c r="D686" s="10">
        <v>1</v>
      </c>
      <c r="E686" s="10" t="s">
        <v>6046</v>
      </c>
      <c r="F686" s="10" t="s">
        <v>25</v>
      </c>
      <c r="G686" s="10" t="s">
        <v>2683</v>
      </c>
      <c r="H686" s="10" t="s">
        <v>182</v>
      </c>
      <c r="I686" s="10" t="s">
        <v>183</v>
      </c>
      <c r="J686" s="10" t="s">
        <v>182</v>
      </c>
      <c r="K686" s="66">
        <v>4694000</v>
      </c>
      <c r="L686" s="10">
        <v>1</v>
      </c>
      <c r="M686" s="10">
        <v>4694000</v>
      </c>
      <c r="O686" s="67">
        <v>45473</v>
      </c>
      <c r="P686" s="10">
        <v>2024</v>
      </c>
      <c r="Q686" s="10">
        <v>6</v>
      </c>
      <c r="R686" s="10" t="s">
        <v>6552</v>
      </c>
      <c r="S686" s="10" t="s">
        <v>6576</v>
      </c>
      <c r="T686" s="10" t="s">
        <v>6577</v>
      </c>
      <c r="U686" s="10">
        <v>0</v>
      </c>
      <c r="V686" s="10">
        <v>39</v>
      </c>
      <c r="W686" s="67"/>
      <c r="X686" s="11" t="s">
        <v>3175</v>
      </c>
      <c r="Y686" s="11" t="s">
        <v>5250</v>
      </c>
      <c r="Z686" s="11" t="s">
        <v>5365</v>
      </c>
      <c r="AA686" s="67">
        <v>45443</v>
      </c>
      <c r="AB686" s="67">
        <v>45444</v>
      </c>
      <c r="AC686" s="67">
        <v>45473</v>
      </c>
      <c r="AD686" s="67">
        <v>45472</v>
      </c>
      <c r="AE686" s="67">
        <v>45473</v>
      </c>
    </row>
    <row r="687" spans="1:31" ht="12.5">
      <c r="A687" s="10">
        <v>610423040014</v>
      </c>
      <c r="B687" s="10" t="s">
        <v>181</v>
      </c>
      <c r="D687" s="10">
        <v>1</v>
      </c>
      <c r="E687" s="10" t="s">
        <v>5955</v>
      </c>
      <c r="F687" s="10" t="s">
        <v>25</v>
      </c>
      <c r="G687" s="10" t="s">
        <v>1232</v>
      </c>
      <c r="H687" s="10" t="s">
        <v>182</v>
      </c>
      <c r="I687" s="10" t="s">
        <v>183</v>
      </c>
      <c r="J687" s="10" t="s">
        <v>182</v>
      </c>
      <c r="K687" s="66">
        <v>4694000</v>
      </c>
      <c r="L687" s="10">
        <v>1</v>
      </c>
      <c r="M687" s="10">
        <v>4694000</v>
      </c>
      <c r="O687" s="67">
        <v>45473</v>
      </c>
      <c r="P687" s="10">
        <v>2024</v>
      </c>
      <c r="Q687" s="10">
        <v>6</v>
      </c>
      <c r="R687" s="10" t="s">
        <v>6552</v>
      </c>
      <c r="S687" s="10" t="s">
        <v>6578</v>
      </c>
      <c r="T687" s="10" t="s">
        <v>6579</v>
      </c>
      <c r="U687" s="10">
        <v>0</v>
      </c>
      <c r="V687" s="10">
        <v>39</v>
      </c>
      <c r="W687" s="67"/>
      <c r="X687" s="11" t="s">
        <v>3175</v>
      </c>
      <c r="Y687" s="11" t="s">
        <v>5534</v>
      </c>
      <c r="Z687" s="11" t="s">
        <v>5714</v>
      </c>
      <c r="AA687" s="67">
        <v>45443</v>
      </c>
      <c r="AB687" s="67">
        <v>45444</v>
      </c>
      <c r="AC687" s="67">
        <v>45473</v>
      </c>
      <c r="AD687" s="67">
        <v>45472</v>
      </c>
      <c r="AE687" s="67">
        <v>45473</v>
      </c>
    </row>
    <row r="688" spans="1:31" ht="12.5">
      <c r="A688" s="10">
        <v>610423040013</v>
      </c>
      <c r="B688" s="10" t="s">
        <v>181</v>
      </c>
      <c r="D688" s="10">
        <v>1</v>
      </c>
      <c r="E688" s="10" t="s">
        <v>1658</v>
      </c>
      <c r="F688" s="10" t="s">
        <v>25</v>
      </c>
      <c r="G688" s="10" t="s">
        <v>1657</v>
      </c>
      <c r="H688" s="10" t="s">
        <v>182</v>
      </c>
      <c r="I688" s="10" t="s">
        <v>183</v>
      </c>
      <c r="J688" s="10" t="s">
        <v>182</v>
      </c>
      <c r="K688" s="66">
        <v>4694000</v>
      </c>
      <c r="L688" s="10">
        <v>1</v>
      </c>
      <c r="M688" s="10">
        <v>4694000</v>
      </c>
      <c r="O688" s="67">
        <v>45473</v>
      </c>
      <c r="P688" s="10">
        <v>2024</v>
      </c>
      <c r="Q688" s="10">
        <v>6</v>
      </c>
      <c r="R688" s="10" t="s">
        <v>6552</v>
      </c>
      <c r="S688" s="10" t="s">
        <v>6580</v>
      </c>
      <c r="T688" s="10" t="s">
        <v>6581</v>
      </c>
      <c r="U688" s="10">
        <v>0</v>
      </c>
      <c r="V688" s="10">
        <v>39</v>
      </c>
      <c r="W688" s="67"/>
      <c r="X688" s="11" t="s">
        <v>3175</v>
      </c>
      <c r="Y688" s="11" t="s">
        <v>5250</v>
      </c>
      <c r="Z688" s="11" t="s">
        <v>5304</v>
      </c>
      <c r="AA688" s="67">
        <v>45443</v>
      </c>
      <c r="AB688" s="67">
        <v>45444</v>
      </c>
      <c r="AC688" s="67">
        <v>45473</v>
      </c>
      <c r="AD688" s="67">
        <v>45472</v>
      </c>
      <c r="AE688" s="67">
        <v>45473</v>
      </c>
    </row>
    <row r="689" spans="1:31" ht="12.5">
      <c r="A689" s="10">
        <v>610423040018</v>
      </c>
      <c r="B689" s="10" t="s">
        <v>181</v>
      </c>
      <c r="D689" s="10">
        <v>1</v>
      </c>
      <c r="E689" s="10" t="s">
        <v>1301</v>
      </c>
      <c r="F689" s="10" t="s">
        <v>25</v>
      </c>
      <c r="G689" s="10" t="s">
        <v>1300</v>
      </c>
      <c r="H689" s="10" t="s">
        <v>182</v>
      </c>
      <c r="I689" s="10" t="s">
        <v>183</v>
      </c>
      <c r="J689" s="10" t="s">
        <v>182</v>
      </c>
      <c r="K689" s="66">
        <v>4694000</v>
      </c>
      <c r="L689" s="10">
        <v>1</v>
      </c>
      <c r="M689" s="10">
        <v>4694000</v>
      </c>
      <c r="O689" s="67">
        <v>45473</v>
      </c>
      <c r="P689" s="10">
        <v>2024</v>
      </c>
      <c r="Q689" s="10">
        <v>6</v>
      </c>
      <c r="R689" s="10" t="s">
        <v>6552</v>
      </c>
      <c r="S689" s="10" t="s">
        <v>6582</v>
      </c>
      <c r="T689" s="10" t="s">
        <v>6583</v>
      </c>
      <c r="U689" s="10">
        <v>0</v>
      </c>
      <c r="V689" s="10">
        <v>39</v>
      </c>
      <c r="W689" s="67"/>
      <c r="X689" s="11" t="s">
        <v>3175</v>
      </c>
      <c r="Y689" s="11" t="s">
        <v>5534</v>
      </c>
      <c r="Z689" s="11" t="s">
        <v>5647</v>
      </c>
      <c r="AA689" s="67">
        <v>45443</v>
      </c>
      <c r="AB689" s="67">
        <v>45444</v>
      </c>
      <c r="AC689" s="67">
        <v>45473</v>
      </c>
      <c r="AD689" s="67">
        <v>45472</v>
      </c>
      <c r="AE689" s="67">
        <v>45473</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outlinePr summaryBelow="0" summaryRight="0"/>
  </sheetPr>
  <dimension ref="A1:O980"/>
  <sheetViews>
    <sheetView workbookViewId="0"/>
  </sheetViews>
  <sheetFormatPr defaultColWidth="12.6328125" defaultRowHeight="15.75" customHeight="1"/>
  <cols>
    <col min="4" max="4" width="39.26953125" customWidth="1"/>
    <col min="5" max="5" width="71.6328125" customWidth="1"/>
    <col min="6" max="6" width="52.7265625" customWidth="1"/>
  </cols>
  <sheetData>
    <row r="1" spans="1:15" ht="15.75" customHeight="1">
      <c r="O1" s="5" t="s">
        <v>7013</v>
      </c>
    </row>
    <row r="2" spans="1:15" ht="15.75" customHeight="1">
      <c r="A2" s="122" t="s">
        <v>7014</v>
      </c>
      <c r="D2" s="5" t="s">
        <v>7015</v>
      </c>
      <c r="J2" s="123">
        <v>1573578000</v>
      </c>
    </row>
    <row r="3" spans="1:15" ht="15.75" customHeight="1">
      <c r="A3" s="5">
        <v>2896</v>
      </c>
      <c r="D3" s="5" t="s">
        <v>7016</v>
      </c>
      <c r="J3" s="123">
        <v>3000000</v>
      </c>
    </row>
    <row r="4" spans="1:15" ht="15.75" customHeight="1">
      <c r="A4" s="5" t="s">
        <v>7017</v>
      </c>
      <c r="D4" s="5" t="s">
        <v>7018</v>
      </c>
      <c r="G4" s="5" t="s">
        <v>7019</v>
      </c>
      <c r="J4" s="123">
        <v>3000000</v>
      </c>
    </row>
    <row r="5" spans="1:15" ht="15.75" customHeight="1">
      <c r="D5" s="5" t="s">
        <v>7020</v>
      </c>
    </row>
    <row r="6" spans="1:15" ht="15.75" customHeight="1">
      <c r="A6" s="5" t="s">
        <v>7021</v>
      </c>
      <c r="D6" s="5" t="s">
        <v>7022</v>
      </c>
      <c r="G6" s="5" t="s">
        <v>7023</v>
      </c>
      <c r="J6" s="123">
        <v>3000000</v>
      </c>
    </row>
    <row r="7" spans="1:15" ht="15.75" customHeight="1">
      <c r="A7" s="5">
        <v>5</v>
      </c>
      <c r="D7" s="5" t="s">
        <v>7024</v>
      </c>
      <c r="J7" s="123">
        <v>300000</v>
      </c>
      <c r="K7" s="5" t="s">
        <v>7025</v>
      </c>
    </row>
    <row r="8" spans="1:15" ht="15.75" customHeight="1">
      <c r="A8" s="5" t="s">
        <v>7026</v>
      </c>
      <c r="D8" s="5" t="s">
        <v>7027</v>
      </c>
      <c r="J8" s="123">
        <v>300000</v>
      </c>
    </row>
    <row r="9" spans="1:15" ht="15.75" customHeight="1">
      <c r="A9" s="5">
        <v>524113</v>
      </c>
      <c r="D9" s="5" t="s">
        <v>7028</v>
      </c>
      <c r="J9" s="123">
        <v>300000</v>
      </c>
      <c r="L9" s="5" t="s">
        <v>7029</v>
      </c>
    </row>
    <row r="10" spans="1:15" ht="15.75" customHeight="1">
      <c r="D10" s="5" t="s">
        <v>7030</v>
      </c>
    </row>
    <row r="11" spans="1:15" ht="15.75" customHeight="1">
      <c r="D11" s="5" t="s">
        <v>369</v>
      </c>
      <c r="E11" s="5" t="s">
        <v>7031</v>
      </c>
      <c r="G11" s="5" t="s">
        <v>7032</v>
      </c>
      <c r="H11" s="123">
        <v>150000</v>
      </c>
      <c r="J11" s="123">
        <v>300000</v>
      </c>
    </row>
    <row r="12" spans="1:15" ht="15.75" customHeight="1">
      <c r="A12" s="5">
        <v>54</v>
      </c>
      <c r="D12" s="5" t="s">
        <v>7033</v>
      </c>
      <c r="J12" s="123">
        <v>2700000</v>
      </c>
      <c r="K12" s="5" t="s">
        <v>7025</v>
      </c>
    </row>
    <row r="13" spans="1:15" ht="15.75" customHeight="1">
      <c r="A13" s="5" t="s">
        <v>7026</v>
      </c>
      <c r="D13" s="5" t="s">
        <v>7027</v>
      </c>
      <c r="J13" s="123">
        <v>2700000</v>
      </c>
    </row>
    <row r="14" spans="1:15" ht="15.75" customHeight="1">
      <c r="A14" s="5">
        <v>521811</v>
      </c>
      <c r="D14" s="5" t="s">
        <v>7034</v>
      </c>
      <c r="J14" s="123">
        <v>2700000</v>
      </c>
      <c r="L14" s="5" t="s">
        <v>7029</v>
      </c>
    </row>
    <row r="15" spans="1:15" ht="15.75" customHeight="1">
      <c r="D15" s="5" t="s">
        <v>7030</v>
      </c>
    </row>
    <row r="16" spans="1:15" ht="15.75" customHeight="1">
      <c r="D16" s="5" t="s">
        <v>369</v>
      </c>
      <c r="E16" s="5" t="s">
        <v>7035</v>
      </c>
      <c r="G16" s="5" t="s">
        <v>7036</v>
      </c>
      <c r="H16" s="123">
        <v>2700000</v>
      </c>
      <c r="J16" s="123">
        <v>2700000</v>
      </c>
    </row>
    <row r="17" spans="1:12" ht="15.75" customHeight="1">
      <c r="A17" s="5">
        <v>2897</v>
      </c>
      <c r="D17" s="5" t="s">
        <v>7037</v>
      </c>
      <c r="J17" s="123">
        <v>38073000</v>
      </c>
    </row>
    <row r="18" spans="1:12" ht="15.75" customHeight="1">
      <c r="A18" s="5" t="s">
        <v>7038</v>
      </c>
      <c r="D18" s="5" t="s">
        <v>7039</v>
      </c>
      <c r="G18" s="5" t="s">
        <v>7040</v>
      </c>
      <c r="J18" s="123">
        <v>5700000</v>
      </c>
    </row>
    <row r="19" spans="1:12" ht="15.75" customHeight="1">
      <c r="D19" s="5" t="s">
        <v>7020</v>
      </c>
    </row>
    <row r="20" spans="1:12" ht="15.75" customHeight="1">
      <c r="A20" s="5" t="s">
        <v>7041</v>
      </c>
      <c r="D20" s="5" t="s">
        <v>7042</v>
      </c>
      <c r="G20" s="5" t="s">
        <v>7043</v>
      </c>
      <c r="J20" s="123">
        <v>5700000</v>
      </c>
    </row>
    <row r="21" spans="1:12" ht="15.75" customHeight="1">
      <c r="A21" s="5">
        <v>52</v>
      </c>
      <c r="D21" s="5" t="s">
        <v>7044</v>
      </c>
      <c r="J21" s="123">
        <v>1800000</v>
      </c>
      <c r="K21" s="5" t="s">
        <v>7025</v>
      </c>
    </row>
    <row r="22" spans="1:12" ht="15.75" customHeight="1">
      <c r="A22" s="5" t="s">
        <v>7026</v>
      </c>
      <c r="D22" s="5" t="s">
        <v>7027</v>
      </c>
      <c r="J22" s="123">
        <v>1800000</v>
      </c>
    </row>
    <row r="23" spans="1:12" ht="15.75" customHeight="1">
      <c r="A23" s="5">
        <v>522151</v>
      </c>
      <c r="D23" s="5" t="s">
        <v>7045</v>
      </c>
      <c r="J23" s="123">
        <v>1800000</v>
      </c>
      <c r="L23" s="5" t="s">
        <v>7029</v>
      </c>
    </row>
    <row r="24" spans="1:12" ht="15.75" customHeight="1">
      <c r="D24" s="5" t="s">
        <v>7030</v>
      </c>
    </row>
    <row r="25" spans="1:12" ht="15.75" customHeight="1">
      <c r="D25" s="5" t="s">
        <v>369</v>
      </c>
      <c r="E25" s="5" t="s">
        <v>7046</v>
      </c>
      <c r="G25" s="5" t="s">
        <v>7047</v>
      </c>
      <c r="H25" s="123">
        <v>900000</v>
      </c>
      <c r="J25" s="123">
        <v>1800000</v>
      </c>
    </row>
    <row r="26" spans="1:12" ht="15.75" customHeight="1">
      <c r="A26" s="5">
        <v>54</v>
      </c>
      <c r="D26" s="5" t="s">
        <v>7033</v>
      </c>
      <c r="J26" s="123">
        <v>3900000</v>
      </c>
      <c r="K26" s="5" t="s">
        <v>7025</v>
      </c>
    </row>
    <row r="27" spans="1:12" ht="15.75" customHeight="1">
      <c r="A27" s="5" t="s">
        <v>7026</v>
      </c>
      <c r="D27" s="5" t="s">
        <v>7027</v>
      </c>
      <c r="J27" s="123">
        <v>3900000</v>
      </c>
    </row>
    <row r="28" spans="1:12" ht="15.75" customHeight="1">
      <c r="A28" s="5">
        <v>524114</v>
      </c>
      <c r="D28" s="5" t="s">
        <v>7048</v>
      </c>
      <c r="J28" s="123">
        <v>3900000</v>
      </c>
      <c r="L28" s="5" t="s">
        <v>7029</v>
      </c>
    </row>
    <row r="29" spans="1:12" ht="12.5">
      <c r="D29" s="5" t="s">
        <v>7030</v>
      </c>
    </row>
    <row r="30" spans="1:12" ht="12.5">
      <c r="D30" s="5" t="s">
        <v>369</v>
      </c>
      <c r="E30" s="5" t="s">
        <v>7049</v>
      </c>
      <c r="G30" s="5" t="s">
        <v>7050</v>
      </c>
      <c r="H30" s="123">
        <v>195000</v>
      </c>
      <c r="J30" s="123">
        <v>3900000</v>
      </c>
    </row>
    <row r="31" spans="1:12" ht="12.5">
      <c r="A31" s="5" t="s">
        <v>7051</v>
      </c>
      <c r="D31" s="5" t="s">
        <v>7018</v>
      </c>
      <c r="G31" s="5" t="s">
        <v>7019</v>
      </c>
      <c r="J31" s="123">
        <v>32373000</v>
      </c>
    </row>
    <row r="32" spans="1:12" ht="12.5">
      <c r="D32" s="5" t="s">
        <v>7020</v>
      </c>
    </row>
    <row r="33" spans="1:12" ht="12.5">
      <c r="A33" s="5" t="s">
        <v>7052</v>
      </c>
      <c r="D33" s="5" t="s">
        <v>7053</v>
      </c>
      <c r="G33" s="5" t="s">
        <v>7023</v>
      </c>
      <c r="J33" s="123">
        <v>32373000</v>
      </c>
    </row>
    <row r="34" spans="1:12" ht="12.5">
      <c r="A34" s="5">
        <v>5</v>
      </c>
      <c r="D34" s="5" t="s">
        <v>7024</v>
      </c>
      <c r="J34" s="123">
        <v>450000</v>
      </c>
      <c r="K34" s="5" t="s">
        <v>7025</v>
      </c>
    </row>
    <row r="35" spans="1:12" ht="12.5">
      <c r="A35" s="5" t="s">
        <v>7026</v>
      </c>
      <c r="D35" s="5" t="s">
        <v>7027</v>
      </c>
      <c r="J35" s="123">
        <v>450000</v>
      </c>
    </row>
    <row r="36" spans="1:12" ht="12.5">
      <c r="A36" s="5">
        <v>524113</v>
      </c>
      <c r="D36" s="5" t="s">
        <v>7028</v>
      </c>
      <c r="J36" s="123">
        <v>450000</v>
      </c>
      <c r="L36" s="5" t="s">
        <v>7029</v>
      </c>
    </row>
    <row r="37" spans="1:12" ht="12.5">
      <c r="D37" s="5" t="s">
        <v>7030</v>
      </c>
    </row>
    <row r="38" spans="1:12" ht="12.5">
      <c r="D38" s="5" t="s">
        <v>369</v>
      </c>
      <c r="E38" s="5" t="s">
        <v>7054</v>
      </c>
      <c r="G38" s="5" t="s">
        <v>7055</v>
      </c>
      <c r="H38" s="123">
        <v>150000</v>
      </c>
      <c r="J38" s="123">
        <v>450000</v>
      </c>
    </row>
    <row r="39" spans="1:12" ht="12.5">
      <c r="A39" s="5">
        <v>52</v>
      </c>
      <c r="D39" s="5" t="s">
        <v>7044</v>
      </c>
      <c r="J39" s="123">
        <v>12910000</v>
      </c>
      <c r="K39" s="5" t="s">
        <v>7025</v>
      </c>
    </row>
    <row r="40" spans="1:12" ht="12.5">
      <c r="A40" s="5" t="s">
        <v>7026</v>
      </c>
      <c r="D40" s="5" t="s">
        <v>7027</v>
      </c>
      <c r="J40" s="123">
        <v>12910000</v>
      </c>
    </row>
    <row r="41" spans="1:12" ht="12.5">
      <c r="A41" s="5">
        <v>521211</v>
      </c>
      <c r="D41" s="5" t="s">
        <v>7056</v>
      </c>
      <c r="J41" s="123">
        <v>5782000</v>
      </c>
      <c r="L41" s="5" t="s">
        <v>7029</v>
      </c>
    </row>
    <row r="42" spans="1:12" ht="12.5">
      <c r="D42" s="5" t="s">
        <v>7030</v>
      </c>
    </row>
    <row r="43" spans="1:12" ht="12.5">
      <c r="D43" s="5" t="s">
        <v>369</v>
      </c>
      <c r="E43" s="5" t="s">
        <v>7057</v>
      </c>
      <c r="G43" s="5" t="s">
        <v>7058</v>
      </c>
      <c r="H43" s="123">
        <v>50000</v>
      </c>
      <c r="J43" s="123">
        <v>1750000</v>
      </c>
    </row>
    <row r="44" spans="1:12" ht="12.5">
      <c r="D44" s="5" t="s">
        <v>369</v>
      </c>
      <c r="E44" s="5" t="s">
        <v>7059</v>
      </c>
      <c r="G44" s="5" t="s">
        <v>7060</v>
      </c>
      <c r="H44" s="123">
        <v>72000</v>
      </c>
      <c r="J44" s="123">
        <v>4032000</v>
      </c>
    </row>
    <row r="45" spans="1:12" ht="12.5">
      <c r="A45" s="5">
        <v>524113</v>
      </c>
      <c r="D45" s="5" t="s">
        <v>7028</v>
      </c>
      <c r="J45" s="123">
        <v>303000</v>
      </c>
      <c r="L45" s="5" t="s">
        <v>7029</v>
      </c>
    </row>
    <row r="46" spans="1:12" ht="12.5">
      <c r="D46" s="5" t="s">
        <v>7030</v>
      </c>
    </row>
    <row r="47" spans="1:12" ht="12.5">
      <c r="D47" s="5" t="s">
        <v>369</v>
      </c>
      <c r="E47" s="5" t="s">
        <v>7061</v>
      </c>
      <c r="G47" s="5" t="s">
        <v>7062</v>
      </c>
      <c r="H47" s="123">
        <v>303000</v>
      </c>
      <c r="J47" s="123">
        <v>303000</v>
      </c>
    </row>
    <row r="48" spans="1:12" ht="12.5">
      <c r="A48" s="5">
        <v>524114</v>
      </c>
      <c r="D48" s="5" t="s">
        <v>7048</v>
      </c>
      <c r="J48" s="123">
        <v>6825000</v>
      </c>
      <c r="L48" s="5" t="s">
        <v>7029</v>
      </c>
    </row>
    <row r="49" spans="1:12" ht="12.5">
      <c r="D49" s="5" t="s">
        <v>7030</v>
      </c>
    </row>
    <row r="50" spans="1:12" ht="12.5">
      <c r="D50" s="5" t="s">
        <v>369</v>
      </c>
      <c r="E50" s="5" t="s">
        <v>7063</v>
      </c>
      <c r="G50" s="5" t="s">
        <v>7064</v>
      </c>
      <c r="H50" s="123">
        <v>195000</v>
      </c>
      <c r="J50" s="123">
        <v>6825000</v>
      </c>
    </row>
    <row r="51" spans="1:12" ht="12.5">
      <c r="A51" s="5">
        <v>53</v>
      </c>
      <c r="D51" s="5" t="s">
        <v>7065</v>
      </c>
      <c r="J51" s="123">
        <v>150000</v>
      </c>
      <c r="K51" s="5" t="s">
        <v>7025</v>
      </c>
    </row>
    <row r="52" spans="1:12" ht="12.5">
      <c r="A52" s="5" t="s">
        <v>7026</v>
      </c>
      <c r="D52" s="5" t="s">
        <v>7027</v>
      </c>
      <c r="J52" s="123">
        <v>150000</v>
      </c>
    </row>
    <row r="53" spans="1:12" ht="12.5">
      <c r="A53" s="5">
        <v>524113</v>
      </c>
      <c r="D53" s="5" t="s">
        <v>7028</v>
      </c>
      <c r="J53" s="123">
        <v>150000</v>
      </c>
      <c r="L53" s="5" t="s">
        <v>7029</v>
      </c>
    </row>
    <row r="54" spans="1:12" ht="12.5">
      <c r="D54" s="5" t="s">
        <v>7030</v>
      </c>
    </row>
    <row r="55" spans="1:12" ht="12.5">
      <c r="D55" s="5" t="s">
        <v>369</v>
      </c>
      <c r="E55" s="5" t="s">
        <v>7066</v>
      </c>
      <c r="G55" s="5" t="s">
        <v>7067</v>
      </c>
      <c r="H55" s="123">
        <v>150000</v>
      </c>
      <c r="J55" s="123">
        <v>150000</v>
      </c>
    </row>
    <row r="56" spans="1:12" ht="12.5">
      <c r="A56" s="5">
        <v>54</v>
      </c>
      <c r="D56" s="5" t="s">
        <v>7033</v>
      </c>
      <c r="J56" s="123">
        <v>18863000</v>
      </c>
      <c r="K56" s="5" t="s">
        <v>7025</v>
      </c>
    </row>
    <row r="57" spans="1:12" ht="12.5">
      <c r="A57" s="5" t="s">
        <v>7026</v>
      </c>
      <c r="D57" s="5" t="s">
        <v>7027</v>
      </c>
      <c r="J57" s="123">
        <v>18863000</v>
      </c>
    </row>
    <row r="58" spans="1:12" ht="12.5">
      <c r="A58" s="5">
        <v>521811</v>
      </c>
      <c r="D58" s="5" t="s">
        <v>7034</v>
      </c>
      <c r="J58" s="123">
        <v>18863000</v>
      </c>
      <c r="L58" s="5" t="s">
        <v>7029</v>
      </c>
    </row>
    <row r="59" spans="1:12" ht="12.5">
      <c r="D59" s="5" t="s">
        <v>7030</v>
      </c>
    </row>
    <row r="60" spans="1:12" ht="12.5">
      <c r="D60" s="5" t="s">
        <v>369</v>
      </c>
      <c r="E60" s="5" t="s">
        <v>7035</v>
      </c>
      <c r="G60" s="5" t="s">
        <v>7036</v>
      </c>
      <c r="H60" s="123">
        <v>18863000</v>
      </c>
      <c r="J60" s="123">
        <v>18863000</v>
      </c>
    </row>
    <row r="61" spans="1:12" ht="12.5">
      <c r="A61" s="5">
        <v>2898</v>
      </c>
      <c r="D61" s="5" t="s">
        <v>7068</v>
      </c>
      <c r="J61" s="123">
        <v>41999000</v>
      </c>
    </row>
    <row r="62" spans="1:12" ht="12.5">
      <c r="A62" s="5" t="s">
        <v>7069</v>
      </c>
      <c r="D62" s="5" t="s">
        <v>7018</v>
      </c>
      <c r="G62" s="5" t="s">
        <v>7019</v>
      </c>
      <c r="J62" s="123">
        <v>40649000</v>
      </c>
    </row>
    <row r="63" spans="1:12" ht="12.5">
      <c r="D63" s="5" t="s">
        <v>7020</v>
      </c>
    </row>
    <row r="64" spans="1:12" ht="12.5">
      <c r="A64" s="5" t="s">
        <v>7070</v>
      </c>
      <c r="D64" s="5" t="s">
        <v>7071</v>
      </c>
      <c r="G64" s="5" t="s">
        <v>7023</v>
      </c>
      <c r="J64" s="123">
        <v>40649000</v>
      </c>
    </row>
    <row r="65" spans="1:15" ht="12.5">
      <c r="A65" s="5">
        <v>5</v>
      </c>
      <c r="D65" s="5" t="s">
        <v>7024</v>
      </c>
      <c r="J65" s="123">
        <v>21836000</v>
      </c>
      <c r="K65" s="5" t="s">
        <v>7025</v>
      </c>
    </row>
    <row r="66" spans="1:15" ht="12.5">
      <c r="A66" s="5" t="s">
        <v>7026</v>
      </c>
      <c r="D66" s="5" t="s">
        <v>7027</v>
      </c>
      <c r="J66" s="123">
        <v>21836000</v>
      </c>
    </row>
    <row r="67" spans="1:15" ht="12.5">
      <c r="A67" s="5">
        <v>521213</v>
      </c>
      <c r="D67" s="5" t="s">
        <v>7072</v>
      </c>
      <c r="J67" s="123">
        <v>7424000</v>
      </c>
      <c r="L67" s="5" t="s">
        <v>7029</v>
      </c>
    </row>
    <row r="68" spans="1:15" ht="12.5">
      <c r="D68" s="5" t="s">
        <v>7030</v>
      </c>
    </row>
    <row r="69" spans="1:15" ht="12.5">
      <c r="D69" s="5" t="s">
        <v>369</v>
      </c>
      <c r="E69" s="5" t="s">
        <v>7073</v>
      </c>
      <c r="G69" s="5" t="s">
        <v>7074</v>
      </c>
      <c r="H69" s="123">
        <v>75000</v>
      </c>
      <c r="J69" s="123">
        <v>2250000</v>
      </c>
      <c r="O69" s="5">
        <v>1</v>
      </c>
    </row>
    <row r="70" spans="1:15" ht="12.5">
      <c r="D70" s="5" t="s">
        <v>369</v>
      </c>
      <c r="E70" s="5" t="s">
        <v>7075</v>
      </c>
      <c r="G70" s="5" t="s">
        <v>7076</v>
      </c>
      <c r="H70" s="123">
        <v>73000</v>
      </c>
      <c r="J70" s="123">
        <v>438000</v>
      </c>
      <c r="O70" s="5">
        <v>1</v>
      </c>
    </row>
    <row r="71" spans="1:15" ht="12.5">
      <c r="D71" s="5" t="s">
        <v>369</v>
      </c>
      <c r="E71" s="5" t="s">
        <v>7077</v>
      </c>
      <c r="G71" s="5" t="s">
        <v>7078</v>
      </c>
      <c r="H71" s="123">
        <v>65000</v>
      </c>
      <c r="J71" s="123">
        <v>2600000</v>
      </c>
      <c r="O71" s="5">
        <v>1</v>
      </c>
    </row>
    <row r="72" spans="1:15" ht="12.5">
      <c r="D72" s="5" t="s">
        <v>369</v>
      </c>
      <c r="E72" s="5" t="s">
        <v>7079</v>
      </c>
      <c r="G72" s="5" t="s">
        <v>7080</v>
      </c>
      <c r="H72" s="123">
        <v>68000</v>
      </c>
      <c r="J72" s="123">
        <v>136000</v>
      </c>
      <c r="O72" s="5">
        <v>1</v>
      </c>
    </row>
    <row r="73" spans="1:15" ht="12.5">
      <c r="D73" s="5" t="s">
        <v>369</v>
      </c>
      <c r="E73" s="5" t="s">
        <v>7081</v>
      </c>
      <c r="G73" s="5" t="s">
        <v>7082</v>
      </c>
      <c r="H73" s="123">
        <v>75000</v>
      </c>
      <c r="J73" s="123">
        <v>1500000</v>
      </c>
      <c r="O73" s="5">
        <v>1</v>
      </c>
    </row>
    <row r="74" spans="1:15" ht="12.5">
      <c r="D74" s="5" t="s">
        <v>369</v>
      </c>
      <c r="E74" s="5" t="s">
        <v>7083</v>
      </c>
      <c r="G74" s="5" t="s">
        <v>7084</v>
      </c>
      <c r="H74" s="123">
        <v>50000</v>
      </c>
      <c r="J74" s="123">
        <v>500000</v>
      </c>
      <c r="O74" s="5">
        <v>1</v>
      </c>
    </row>
    <row r="75" spans="1:15" ht="12.5">
      <c r="A75" s="5">
        <v>524113</v>
      </c>
      <c r="D75" s="5" t="s">
        <v>7028</v>
      </c>
      <c r="J75" s="123">
        <v>14412000</v>
      </c>
      <c r="L75" s="5" t="s">
        <v>7029</v>
      </c>
    </row>
    <row r="76" spans="1:15" ht="12.5">
      <c r="D76" s="5" t="s">
        <v>7030</v>
      </c>
    </row>
    <row r="77" spans="1:15" ht="12.5">
      <c r="D77" s="5" t="s">
        <v>369</v>
      </c>
      <c r="E77" s="5" t="s">
        <v>7031</v>
      </c>
      <c r="G77" s="5" t="s">
        <v>7085</v>
      </c>
      <c r="H77" s="123">
        <v>150000</v>
      </c>
      <c r="J77" s="123">
        <v>4200000</v>
      </c>
    </row>
    <row r="78" spans="1:15" ht="12.5">
      <c r="D78" s="5" t="s">
        <v>369</v>
      </c>
      <c r="E78" s="5" t="s">
        <v>7086</v>
      </c>
      <c r="G78" s="5" t="s">
        <v>7067</v>
      </c>
      <c r="H78" s="123">
        <v>150000</v>
      </c>
      <c r="J78" s="123">
        <v>150000</v>
      </c>
    </row>
    <row r="79" spans="1:15" ht="12.5">
      <c r="D79" s="5" t="s">
        <v>369</v>
      </c>
      <c r="E79" s="5" t="s">
        <v>7087</v>
      </c>
      <c r="G79" s="5" t="s">
        <v>7067</v>
      </c>
      <c r="H79" s="123">
        <v>150000</v>
      </c>
      <c r="J79" s="123">
        <v>150000</v>
      </c>
    </row>
    <row r="80" spans="1:15" ht="12.5">
      <c r="D80" s="5" t="s">
        <v>369</v>
      </c>
      <c r="E80" s="5" t="s">
        <v>7088</v>
      </c>
      <c r="G80" s="5" t="s">
        <v>7089</v>
      </c>
      <c r="H80" s="123">
        <v>150000</v>
      </c>
      <c r="J80" s="123">
        <v>150000</v>
      </c>
    </row>
    <row r="81" spans="1:12" ht="12.5">
      <c r="D81" s="5" t="s">
        <v>369</v>
      </c>
      <c r="E81" s="5" t="s">
        <v>7090</v>
      </c>
      <c r="G81" s="5" t="s">
        <v>7067</v>
      </c>
      <c r="H81" s="123">
        <v>150000</v>
      </c>
      <c r="J81" s="123">
        <v>150000</v>
      </c>
    </row>
    <row r="82" spans="1:12" ht="12.5">
      <c r="D82" s="5" t="s">
        <v>369</v>
      </c>
      <c r="E82" s="5" t="s">
        <v>7091</v>
      </c>
      <c r="G82" s="5" t="s">
        <v>7067</v>
      </c>
      <c r="H82" s="123">
        <v>150000</v>
      </c>
      <c r="J82" s="123">
        <v>150000</v>
      </c>
    </row>
    <row r="83" spans="1:12" ht="12.5">
      <c r="D83" s="5" t="s">
        <v>369</v>
      </c>
      <c r="E83" s="5" t="s">
        <v>7035</v>
      </c>
      <c r="G83" s="5" t="s">
        <v>7036</v>
      </c>
      <c r="H83" s="123">
        <v>9462000</v>
      </c>
      <c r="J83" s="123">
        <v>9462000</v>
      </c>
    </row>
    <row r="84" spans="1:12" ht="12.5">
      <c r="A84" s="5">
        <v>51</v>
      </c>
      <c r="D84" s="5" t="s">
        <v>7092</v>
      </c>
      <c r="J84" s="123">
        <v>9578000</v>
      </c>
      <c r="K84" s="5" t="s">
        <v>7025</v>
      </c>
    </row>
    <row r="85" spans="1:12" ht="12.5">
      <c r="A85" s="5" t="s">
        <v>7026</v>
      </c>
      <c r="D85" s="5" t="s">
        <v>7027</v>
      </c>
      <c r="J85" s="123">
        <v>9578000</v>
      </c>
    </row>
    <row r="86" spans="1:12" ht="12.5">
      <c r="A86" s="5">
        <v>521211</v>
      </c>
      <c r="D86" s="5" t="s">
        <v>7056</v>
      </c>
      <c r="J86" s="123">
        <v>3500000</v>
      </c>
      <c r="L86" s="5" t="s">
        <v>7029</v>
      </c>
    </row>
    <row r="87" spans="1:12" ht="12.5">
      <c r="D87" s="5" t="s">
        <v>7030</v>
      </c>
    </row>
    <row r="88" spans="1:12" ht="12.5">
      <c r="D88" s="5" t="s">
        <v>369</v>
      </c>
      <c r="E88" s="5" t="s">
        <v>7093</v>
      </c>
      <c r="G88" s="5" t="s">
        <v>7094</v>
      </c>
      <c r="H88" s="123">
        <v>50000</v>
      </c>
      <c r="J88" s="123">
        <v>750000</v>
      </c>
    </row>
    <row r="89" spans="1:12" ht="12.5">
      <c r="D89" s="5" t="s">
        <v>369</v>
      </c>
      <c r="E89" s="5" t="s">
        <v>7095</v>
      </c>
      <c r="G89" s="5" t="s">
        <v>7096</v>
      </c>
      <c r="H89" s="123">
        <v>50000</v>
      </c>
      <c r="J89" s="123">
        <v>500000</v>
      </c>
    </row>
    <row r="90" spans="1:12" ht="12.5">
      <c r="D90" s="5" t="s">
        <v>369</v>
      </c>
      <c r="E90" s="5" t="s">
        <v>7097</v>
      </c>
      <c r="G90" s="5" t="s">
        <v>7098</v>
      </c>
      <c r="H90" s="123">
        <v>150000</v>
      </c>
      <c r="J90" s="123">
        <v>2250000</v>
      </c>
    </row>
    <row r="91" spans="1:12" ht="12.5">
      <c r="A91" s="5">
        <v>521213</v>
      </c>
      <c r="D91" s="5" t="s">
        <v>7072</v>
      </c>
      <c r="J91" s="123">
        <v>4428000</v>
      </c>
      <c r="L91" s="5" t="s">
        <v>7029</v>
      </c>
    </row>
    <row r="92" spans="1:12" ht="12.5">
      <c r="D92" s="5" t="s">
        <v>7030</v>
      </c>
    </row>
    <row r="93" spans="1:12" ht="12.5">
      <c r="D93" s="5" t="s">
        <v>369</v>
      </c>
      <c r="E93" s="5" t="s">
        <v>7099</v>
      </c>
      <c r="G93" s="5" t="s">
        <v>7100</v>
      </c>
      <c r="H93" s="123">
        <v>123000</v>
      </c>
      <c r="J93" s="123">
        <v>1107000</v>
      </c>
    </row>
    <row r="94" spans="1:12" ht="12.5">
      <c r="D94" s="5" t="s">
        <v>369</v>
      </c>
      <c r="E94" s="5" t="s">
        <v>7101</v>
      </c>
      <c r="G94" s="5" t="s">
        <v>7102</v>
      </c>
      <c r="H94" s="123">
        <v>123000</v>
      </c>
      <c r="J94" s="123">
        <v>3321000</v>
      </c>
    </row>
    <row r="95" spans="1:12" ht="12.5">
      <c r="A95" s="5">
        <v>524114</v>
      </c>
      <c r="D95" s="5" t="s">
        <v>7048</v>
      </c>
      <c r="J95" s="123">
        <v>1650000</v>
      </c>
      <c r="L95" s="5" t="s">
        <v>7029</v>
      </c>
    </row>
    <row r="96" spans="1:12" ht="12.5">
      <c r="D96" s="5" t="s">
        <v>7030</v>
      </c>
    </row>
    <row r="97" spans="1:12" ht="12.5">
      <c r="D97" s="5" t="s">
        <v>369</v>
      </c>
      <c r="E97" s="5" t="s">
        <v>7103</v>
      </c>
      <c r="G97" s="5" t="s">
        <v>7104</v>
      </c>
      <c r="H97" s="123">
        <v>150000</v>
      </c>
      <c r="J97" s="123">
        <v>1350000</v>
      </c>
    </row>
    <row r="98" spans="1:12" ht="12.5">
      <c r="D98" s="5" t="s">
        <v>369</v>
      </c>
      <c r="E98" s="5" t="s">
        <v>7105</v>
      </c>
      <c r="G98" s="5" t="s">
        <v>7106</v>
      </c>
      <c r="H98" s="123">
        <v>150000</v>
      </c>
      <c r="J98" s="123">
        <v>300000</v>
      </c>
    </row>
    <row r="99" spans="1:12" ht="12.5">
      <c r="A99" s="5">
        <v>52</v>
      </c>
      <c r="D99" s="5" t="s">
        <v>7044</v>
      </c>
      <c r="J99" s="123">
        <v>1800000</v>
      </c>
      <c r="K99" s="5" t="s">
        <v>7025</v>
      </c>
    </row>
    <row r="100" spans="1:12" ht="12.5">
      <c r="A100" s="5" t="s">
        <v>7026</v>
      </c>
      <c r="D100" s="5" t="s">
        <v>7027</v>
      </c>
      <c r="J100" s="123">
        <v>1800000</v>
      </c>
    </row>
    <row r="101" spans="1:12" ht="12.5">
      <c r="A101" s="5">
        <v>522151</v>
      </c>
      <c r="D101" s="5" t="s">
        <v>7045</v>
      </c>
      <c r="J101" s="123">
        <v>1800000</v>
      </c>
      <c r="L101" s="5" t="s">
        <v>7029</v>
      </c>
    </row>
    <row r="102" spans="1:12" ht="12.5">
      <c r="D102" s="5" t="s">
        <v>7030</v>
      </c>
    </row>
    <row r="103" spans="1:12" ht="12.5">
      <c r="D103" s="5" t="s">
        <v>369</v>
      </c>
      <c r="E103" s="5" t="s">
        <v>7107</v>
      </c>
      <c r="G103" s="5" t="s">
        <v>7047</v>
      </c>
      <c r="H103" s="123">
        <v>900000</v>
      </c>
      <c r="J103" s="123">
        <v>1800000</v>
      </c>
    </row>
    <row r="104" spans="1:12" ht="12.5">
      <c r="A104" s="5">
        <v>53</v>
      </c>
      <c r="D104" s="5" t="s">
        <v>7065</v>
      </c>
      <c r="J104" s="123">
        <v>1800000</v>
      </c>
      <c r="K104" s="5" t="s">
        <v>7025</v>
      </c>
    </row>
    <row r="105" spans="1:12" ht="12.5">
      <c r="A105" s="5" t="s">
        <v>7026</v>
      </c>
      <c r="D105" s="5" t="s">
        <v>7027</v>
      </c>
      <c r="J105" s="123">
        <v>1800000</v>
      </c>
    </row>
    <row r="106" spans="1:12" ht="12.5">
      <c r="A106" s="5">
        <v>522151</v>
      </c>
      <c r="D106" s="5" t="s">
        <v>7045</v>
      </c>
      <c r="J106" s="123">
        <v>1800000</v>
      </c>
      <c r="L106" s="5" t="s">
        <v>7029</v>
      </c>
    </row>
    <row r="107" spans="1:12" ht="12.5">
      <c r="D107" s="5" t="s">
        <v>7030</v>
      </c>
    </row>
    <row r="108" spans="1:12" ht="12.5">
      <c r="D108" s="5" t="s">
        <v>369</v>
      </c>
      <c r="E108" s="5" t="s">
        <v>7107</v>
      </c>
      <c r="G108" s="5" t="s">
        <v>7047</v>
      </c>
      <c r="H108" s="123">
        <v>900000</v>
      </c>
      <c r="J108" s="123">
        <v>1800000</v>
      </c>
    </row>
    <row r="109" spans="1:12" ht="12.5">
      <c r="A109" s="5">
        <v>54</v>
      </c>
      <c r="D109" s="5" t="s">
        <v>7033</v>
      </c>
      <c r="J109" s="123">
        <v>5635000</v>
      </c>
      <c r="K109" s="5" t="s">
        <v>7025</v>
      </c>
    </row>
    <row r="110" spans="1:12" ht="12.5">
      <c r="A110" s="5" t="s">
        <v>7026</v>
      </c>
      <c r="D110" s="5" t="s">
        <v>7027</v>
      </c>
      <c r="J110" s="123">
        <v>5635000</v>
      </c>
    </row>
    <row r="111" spans="1:12" ht="12.5">
      <c r="A111" s="5">
        <v>521811</v>
      </c>
      <c r="D111" s="5" t="s">
        <v>7034</v>
      </c>
      <c r="J111" s="123">
        <v>5635000</v>
      </c>
      <c r="L111" s="5" t="s">
        <v>7029</v>
      </c>
    </row>
    <row r="112" spans="1:12" ht="12.5">
      <c r="D112" s="5" t="s">
        <v>7030</v>
      </c>
    </row>
    <row r="113" spans="1:12" ht="12.5">
      <c r="D113" s="5" t="s">
        <v>369</v>
      </c>
      <c r="E113" s="5" t="s">
        <v>7035</v>
      </c>
      <c r="G113" s="5" t="s">
        <v>7036</v>
      </c>
      <c r="H113" s="123">
        <v>5635000</v>
      </c>
      <c r="J113" s="123">
        <v>5635000</v>
      </c>
    </row>
    <row r="114" spans="1:12" ht="12.5">
      <c r="A114" s="5" t="s">
        <v>7108</v>
      </c>
      <c r="D114" s="5" t="s">
        <v>7018</v>
      </c>
      <c r="G114" s="5" t="s">
        <v>7019</v>
      </c>
      <c r="J114" s="123">
        <v>1350000</v>
      </c>
    </row>
    <row r="115" spans="1:12" ht="12.5">
      <c r="D115" s="5" t="s">
        <v>7020</v>
      </c>
    </row>
    <row r="116" spans="1:12" ht="12.5">
      <c r="A116" s="5" t="s">
        <v>7109</v>
      </c>
      <c r="D116" s="5" t="s">
        <v>7110</v>
      </c>
      <c r="G116" s="5" t="s">
        <v>7023</v>
      </c>
      <c r="J116" s="123">
        <v>1350000</v>
      </c>
    </row>
    <row r="117" spans="1:12" ht="12.5">
      <c r="A117" s="5">
        <v>5</v>
      </c>
      <c r="D117" s="5" t="s">
        <v>7024</v>
      </c>
      <c r="J117" s="123">
        <v>1350000</v>
      </c>
      <c r="K117" s="5" t="s">
        <v>7025</v>
      </c>
    </row>
    <row r="118" spans="1:12" ht="12.5">
      <c r="A118" s="5" t="s">
        <v>7026</v>
      </c>
      <c r="D118" s="5" t="s">
        <v>7027</v>
      </c>
      <c r="J118" s="123">
        <v>1350000</v>
      </c>
    </row>
    <row r="119" spans="1:12" ht="12.5">
      <c r="A119" s="5">
        <v>521213</v>
      </c>
      <c r="D119" s="5" t="s">
        <v>7072</v>
      </c>
      <c r="J119" s="123">
        <v>450000</v>
      </c>
      <c r="L119" s="5" t="s">
        <v>7029</v>
      </c>
    </row>
    <row r="120" spans="1:12" ht="12.5">
      <c r="D120" s="5" t="s">
        <v>7030</v>
      </c>
    </row>
    <row r="121" spans="1:12" ht="12.5">
      <c r="D121" s="5" t="s">
        <v>369</v>
      </c>
      <c r="E121" s="5" t="s">
        <v>7111</v>
      </c>
      <c r="G121" s="5" t="s">
        <v>7112</v>
      </c>
      <c r="H121" s="123">
        <v>75000</v>
      </c>
      <c r="J121" s="123">
        <v>450000</v>
      </c>
    </row>
    <row r="122" spans="1:12" ht="12.5">
      <c r="A122" s="5">
        <v>524113</v>
      </c>
      <c r="D122" s="5" t="s">
        <v>7028</v>
      </c>
      <c r="J122" s="123">
        <v>900000</v>
      </c>
      <c r="L122" s="5" t="s">
        <v>7029</v>
      </c>
    </row>
    <row r="123" spans="1:12" ht="12.5">
      <c r="D123" s="5" t="s">
        <v>7030</v>
      </c>
    </row>
    <row r="124" spans="1:12" ht="12.5">
      <c r="D124" s="5" t="s">
        <v>369</v>
      </c>
      <c r="E124" s="5" t="s">
        <v>7031</v>
      </c>
      <c r="G124" s="5" t="s">
        <v>7032</v>
      </c>
      <c r="H124" s="123">
        <v>150000</v>
      </c>
      <c r="J124" s="123">
        <v>300000</v>
      </c>
    </row>
    <row r="125" spans="1:12" ht="12.5">
      <c r="D125" s="5" t="s">
        <v>369</v>
      </c>
      <c r="E125" s="5" t="s">
        <v>7113</v>
      </c>
      <c r="G125" s="5" t="s">
        <v>7067</v>
      </c>
      <c r="H125" s="123">
        <v>150000</v>
      </c>
      <c r="J125" s="123">
        <v>150000</v>
      </c>
    </row>
    <row r="126" spans="1:12" ht="12.5">
      <c r="D126" s="5" t="s">
        <v>369</v>
      </c>
      <c r="E126" s="5" t="s">
        <v>7035</v>
      </c>
      <c r="G126" s="5" t="s">
        <v>7036</v>
      </c>
      <c r="H126" s="123">
        <v>450000</v>
      </c>
      <c r="J126" s="123">
        <v>450000</v>
      </c>
    </row>
    <row r="127" spans="1:12" ht="12.5">
      <c r="A127" s="5">
        <v>2899</v>
      </c>
      <c r="D127" s="5" t="s">
        <v>7114</v>
      </c>
      <c r="J127" s="123">
        <v>11607000</v>
      </c>
    </row>
    <row r="128" spans="1:12" ht="12.5">
      <c r="A128" s="5" t="s">
        <v>7115</v>
      </c>
      <c r="D128" s="5" t="s">
        <v>7018</v>
      </c>
      <c r="G128" s="5" t="s">
        <v>7019</v>
      </c>
      <c r="J128" s="123">
        <v>11607000</v>
      </c>
    </row>
    <row r="129" spans="1:15" ht="12.5">
      <c r="D129" s="5" t="s">
        <v>7020</v>
      </c>
    </row>
    <row r="130" spans="1:15" ht="12.5">
      <c r="A130" s="5" t="s">
        <v>7116</v>
      </c>
      <c r="D130" s="5" t="s">
        <v>7117</v>
      </c>
      <c r="G130" s="5" t="s">
        <v>7023</v>
      </c>
      <c r="J130" s="123">
        <v>11607000</v>
      </c>
    </row>
    <row r="131" spans="1:15" ht="12.5">
      <c r="A131" s="5">
        <v>5</v>
      </c>
      <c r="D131" s="5" t="s">
        <v>7024</v>
      </c>
      <c r="J131" s="123">
        <v>5490000</v>
      </c>
      <c r="K131" s="5" t="s">
        <v>7025</v>
      </c>
    </row>
    <row r="132" spans="1:15" ht="12.5">
      <c r="A132" s="5" t="s">
        <v>7026</v>
      </c>
      <c r="D132" s="5" t="s">
        <v>7027</v>
      </c>
      <c r="J132" s="123">
        <v>5490000</v>
      </c>
    </row>
    <row r="133" spans="1:15" ht="12.5">
      <c r="A133" s="5">
        <v>521213</v>
      </c>
      <c r="D133" s="5" t="s">
        <v>7072</v>
      </c>
      <c r="J133" s="123">
        <v>3540000</v>
      </c>
      <c r="L133" s="5" t="s">
        <v>7029</v>
      </c>
    </row>
    <row r="134" spans="1:15" ht="12.5">
      <c r="D134" s="5" t="s">
        <v>7030</v>
      </c>
    </row>
    <row r="135" spans="1:15" ht="12.5">
      <c r="D135" s="5" t="s">
        <v>369</v>
      </c>
      <c r="E135" s="5" t="s">
        <v>7118</v>
      </c>
      <c r="G135" s="5" t="s">
        <v>7119</v>
      </c>
      <c r="H135" s="123">
        <v>75000</v>
      </c>
      <c r="J135" s="123">
        <v>300000</v>
      </c>
      <c r="O135" s="5">
        <v>1</v>
      </c>
    </row>
    <row r="136" spans="1:15" ht="12.5">
      <c r="D136" s="5" t="s">
        <v>369</v>
      </c>
      <c r="E136" s="5" t="s">
        <v>7120</v>
      </c>
      <c r="G136" s="5" t="s">
        <v>7080</v>
      </c>
      <c r="H136" s="123">
        <v>60000</v>
      </c>
      <c r="J136" s="123">
        <v>120000</v>
      </c>
      <c r="O136" s="5">
        <v>1</v>
      </c>
    </row>
    <row r="137" spans="1:15" ht="12.5">
      <c r="D137" s="5" t="s">
        <v>369</v>
      </c>
      <c r="E137" s="5" t="s">
        <v>7121</v>
      </c>
      <c r="G137" s="5" t="s">
        <v>7122</v>
      </c>
      <c r="H137" s="123">
        <v>55000</v>
      </c>
      <c r="J137" s="123">
        <v>220000</v>
      </c>
      <c r="O137" s="5">
        <v>1</v>
      </c>
    </row>
    <row r="138" spans="1:15" ht="12.5">
      <c r="D138" s="5" t="s">
        <v>369</v>
      </c>
      <c r="E138" s="5" t="s">
        <v>7123</v>
      </c>
      <c r="G138" s="5" t="s">
        <v>7124</v>
      </c>
      <c r="H138" s="123">
        <v>55000</v>
      </c>
      <c r="J138" s="123">
        <v>440000</v>
      </c>
      <c r="O138" s="5">
        <v>1</v>
      </c>
    </row>
    <row r="139" spans="1:15" ht="12.5">
      <c r="D139" s="5" t="s">
        <v>369</v>
      </c>
      <c r="E139" s="5" t="s">
        <v>7125</v>
      </c>
      <c r="G139" s="5" t="s">
        <v>7126</v>
      </c>
      <c r="H139" s="123">
        <v>60000</v>
      </c>
      <c r="J139" s="123">
        <v>2460000</v>
      </c>
      <c r="O139" s="5">
        <v>1</v>
      </c>
    </row>
    <row r="140" spans="1:15" ht="12.5">
      <c r="A140" s="5">
        <v>524113</v>
      </c>
      <c r="D140" s="5" t="s">
        <v>7028</v>
      </c>
      <c r="J140" s="123">
        <v>1950000</v>
      </c>
      <c r="L140" s="5" t="s">
        <v>7029</v>
      </c>
    </row>
    <row r="141" spans="1:15" ht="12.5">
      <c r="D141" s="5" t="s">
        <v>7030</v>
      </c>
    </row>
    <row r="142" spans="1:15" ht="12.5">
      <c r="D142" s="5" t="s">
        <v>369</v>
      </c>
      <c r="E142" s="5" t="s">
        <v>7031</v>
      </c>
      <c r="G142" s="5" t="s">
        <v>7127</v>
      </c>
      <c r="H142" s="123">
        <v>150000</v>
      </c>
      <c r="J142" s="123">
        <v>1200000</v>
      </c>
    </row>
    <row r="143" spans="1:15" ht="12.5">
      <c r="D143" s="5" t="s">
        <v>369</v>
      </c>
      <c r="E143" s="5" t="s">
        <v>7128</v>
      </c>
      <c r="G143" s="5" t="s">
        <v>7089</v>
      </c>
      <c r="H143" s="123">
        <v>150000</v>
      </c>
      <c r="J143" s="123">
        <v>150000</v>
      </c>
    </row>
    <row r="144" spans="1:15" ht="12.5">
      <c r="D144" s="5" t="s">
        <v>369</v>
      </c>
      <c r="E144" s="5" t="s">
        <v>7129</v>
      </c>
      <c r="G144" s="5" t="s">
        <v>7067</v>
      </c>
      <c r="H144" s="123">
        <v>150000</v>
      </c>
      <c r="J144" s="123">
        <v>150000</v>
      </c>
    </row>
    <row r="145" spans="1:12" ht="12.5">
      <c r="D145" s="5" t="s">
        <v>369</v>
      </c>
      <c r="E145" s="5" t="s">
        <v>7130</v>
      </c>
      <c r="G145" s="5" t="s">
        <v>7067</v>
      </c>
      <c r="H145" s="123">
        <v>150000</v>
      </c>
      <c r="J145" s="123">
        <v>150000</v>
      </c>
    </row>
    <row r="146" spans="1:12" ht="12.5">
      <c r="D146" s="5" t="s">
        <v>369</v>
      </c>
      <c r="E146" s="5" t="s">
        <v>7131</v>
      </c>
      <c r="G146" s="5" t="s">
        <v>7067</v>
      </c>
      <c r="H146" s="123">
        <v>150000</v>
      </c>
      <c r="J146" s="123">
        <v>150000</v>
      </c>
    </row>
    <row r="147" spans="1:12" ht="12.5">
      <c r="D147" s="5" t="s">
        <v>369</v>
      </c>
      <c r="E147" s="5" t="s">
        <v>7132</v>
      </c>
      <c r="G147" s="5" t="s">
        <v>7089</v>
      </c>
      <c r="H147" s="123">
        <v>150000</v>
      </c>
      <c r="J147" s="123">
        <v>150000</v>
      </c>
    </row>
    <row r="148" spans="1:12" ht="12.5">
      <c r="A148" s="5">
        <v>51</v>
      </c>
      <c r="D148" s="5" t="s">
        <v>7092</v>
      </c>
      <c r="J148" s="123">
        <v>2700000</v>
      </c>
      <c r="K148" s="5" t="s">
        <v>7025</v>
      </c>
    </row>
    <row r="149" spans="1:12" ht="12.5">
      <c r="A149" s="5" t="s">
        <v>7026</v>
      </c>
      <c r="D149" s="5" t="s">
        <v>7027</v>
      </c>
      <c r="J149" s="123">
        <v>2700000</v>
      </c>
    </row>
    <row r="150" spans="1:12" ht="12.5">
      <c r="A150" s="5">
        <v>522151</v>
      </c>
      <c r="D150" s="5" t="s">
        <v>7045</v>
      </c>
      <c r="J150" s="123">
        <v>2700000</v>
      </c>
      <c r="L150" s="5" t="s">
        <v>7029</v>
      </c>
    </row>
    <row r="151" spans="1:12" ht="12.5">
      <c r="D151" s="5" t="s">
        <v>7030</v>
      </c>
    </row>
    <row r="152" spans="1:12" ht="12.5">
      <c r="D152" s="5" t="s">
        <v>369</v>
      </c>
      <c r="E152" s="5" t="s">
        <v>7133</v>
      </c>
      <c r="G152" s="5" t="s">
        <v>7134</v>
      </c>
      <c r="H152" s="123">
        <v>900000</v>
      </c>
      <c r="J152" s="123">
        <v>2700000</v>
      </c>
    </row>
    <row r="153" spans="1:12" ht="12.5">
      <c r="A153" s="5">
        <v>52</v>
      </c>
      <c r="D153" s="5" t="s">
        <v>7044</v>
      </c>
      <c r="J153" s="123">
        <v>303000</v>
      </c>
      <c r="K153" s="5" t="s">
        <v>7025</v>
      </c>
    </row>
    <row r="154" spans="1:12" ht="12.5">
      <c r="A154" s="5" t="s">
        <v>7026</v>
      </c>
      <c r="D154" s="5" t="s">
        <v>7027</v>
      </c>
      <c r="J154" s="123">
        <v>303000</v>
      </c>
    </row>
    <row r="155" spans="1:12" ht="12.5">
      <c r="A155" s="5">
        <v>524113</v>
      </c>
      <c r="D155" s="5" t="s">
        <v>7028</v>
      </c>
      <c r="J155" s="123">
        <v>303000</v>
      </c>
      <c r="L155" s="5" t="s">
        <v>7029</v>
      </c>
    </row>
    <row r="156" spans="1:12" ht="12.5">
      <c r="D156" s="5" t="s">
        <v>7030</v>
      </c>
    </row>
    <row r="157" spans="1:12" ht="12.5">
      <c r="D157" s="5" t="s">
        <v>369</v>
      </c>
      <c r="E157" s="5" t="s">
        <v>7135</v>
      </c>
      <c r="G157" s="5" t="s">
        <v>7062</v>
      </c>
      <c r="H157" s="123">
        <v>153000</v>
      </c>
      <c r="J157" s="123">
        <v>153000</v>
      </c>
    </row>
    <row r="158" spans="1:12" ht="12.5">
      <c r="D158" s="5" t="s">
        <v>369</v>
      </c>
      <c r="E158" s="5" t="s">
        <v>7136</v>
      </c>
      <c r="G158" s="5" t="s">
        <v>7137</v>
      </c>
      <c r="H158" s="123">
        <v>150000</v>
      </c>
      <c r="J158" s="123">
        <v>150000</v>
      </c>
    </row>
    <row r="159" spans="1:12" ht="12.5">
      <c r="A159" s="5">
        <v>54</v>
      </c>
      <c r="D159" s="5" t="s">
        <v>7033</v>
      </c>
      <c r="J159" s="123">
        <v>3114000</v>
      </c>
      <c r="K159" s="5" t="s">
        <v>7025</v>
      </c>
    </row>
    <row r="160" spans="1:12" ht="12.5">
      <c r="A160" s="5" t="s">
        <v>7026</v>
      </c>
      <c r="D160" s="5" t="s">
        <v>7027</v>
      </c>
      <c r="J160" s="123">
        <v>3114000</v>
      </c>
    </row>
    <row r="161" spans="1:15" ht="12.5">
      <c r="A161" s="5">
        <v>521811</v>
      </c>
      <c r="D161" s="5" t="s">
        <v>7034</v>
      </c>
      <c r="J161" s="123">
        <v>3114000</v>
      </c>
      <c r="L161" s="5" t="s">
        <v>7029</v>
      </c>
    </row>
    <row r="162" spans="1:15" ht="12.5">
      <c r="D162" s="5" t="s">
        <v>7030</v>
      </c>
    </row>
    <row r="163" spans="1:15" ht="12.5">
      <c r="D163" s="5" t="s">
        <v>369</v>
      </c>
      <c r="E163" s="5" t="s">
        <v>7035</v>
      </c>
      <c r="G163" s="5" t="s">
        <v>7036</v>
      </c>
      <c r="H163" s="123">
        <v>3114000</v>
      </c>
      <c r="J163" s="123">
        <v>3114000</v>
      </c>
    </row>
    <row r="164" spans="1:15" ht="12.5">
      <c r="A164" s="5">
        <v>2900</v>
      </c>
      <c r="D164" s="5" t="s">
        <v>7138</v>
      </c>
      <c r="J164" s="123">
        <v>2403000</v>
      </c>
    </row>
    <row r="165" spans="1:15" ht="12.5">
      <c r="A165" s="5" t="s">
        <v>7139</v>
      </c>
      <c r="D165" s="5" t="s">
        <v>7018</v>
      </c>
      <c r="G165" s="5" t="s">
        <v>7019</v>
      </c>
      <c r="J165" s="123">
        <v>2403000</v>
      </c>
    </row>
    <row r="166" spans="1:15" ht="12.5">
      <c r="D166" s="5" t="s">
        <v>7020</v>
      </c>
    </row>
    <row r="167" spans="1:15" ht="12.5">
      <c r="A167" s="5" t="s">
        <v>7140</v>
      </c>
      <c r="D167" s="5" t="s">
        <v>7141</v>
      </c>
      <c r="G167" s="5" t="s">
        <v>7023</v>
      </c>
      <c r="J167" s="123">
        <v>2403000</v>
      </c>
    </row>
    <row r="168" spans="1:15" ht="12.5">
      <c r="A168" s="5">
        <v>5</v>
      </c>
      <c r="D168" s="5" t="s">
        <v>7024</v>
      </c>
      <c r="J168" s="123">
        <v>301000</v>
      </c>
      <c r="K168" s="5" t="s">
        <v>7025</v>
      </c>
    </row>
    <row r="169" spans="1:15" ht="12.5">
      <c r="A169" s="5" t="s">
        <v>7026</v>
      </c>
      <c r="D169" s="5" t="s">
        <v>7027</v>
      </c>
      <c r="J169" s="123">
        <v>301000</v>
      </c>
    </row>
    <row r="170" spans="1:15" ht="12.5">
      <c r="A170" s="5">
        <v>521213</v>
      </c>
      <c r="D170" s="5" t="s">
        <v>7072</v>
      </c>
      <c r="J170" s="123">
        <v>301000</v>
      </c>
      <c r="L170" s="5" t="s">
        <v>7029</v>
      </c>
    </row>
    <row r="171" spans="1:15" ht="12.5">
      <c r="D171" s="5" t="s">
        <v>7030</v>
      </c>
    </row>
    <row r="172" spans="1:15" ht="12.5">
      <c r="D172" s="5" t="s">
        <v>369</v>
      </c>
      <c r="E172" s="5" t="s">
        <v>7142</v>
      </c>
      <c r="G172" s="5" t="s">
        <v>7143</v>
      </c>
      <c r="H172" s="123">
        <v>17000</v>
      </c>
      <c r="J172" s="123">
        <v>119000</v>
      </c>
      <c r="O172" s="5">
        <v>1</v>
      </c>
    </row>
    <row r="173" spans="1:15" ht="12.5">
      <c r="D173" s="5" t="s">
        <v>369</v>
      </c>
      <c r="E173" s="5" t="s">
        <v>7144</v>
      </c>
      <c r="G173" s="5" t="s">
        <v>7145</v>
      </c>
      <c r="H173" s="123">
        <v>91000</v>
      </c>
      <c r="J173" s="123">
        <v>182000</v>
      </c>
      <c r="O173" s="5">
        <v>1</v>
      </c>
    </row>
    <row r="174" spans="1:15" ht="12.5">
      <c r="A174" s="5">
        <v>51</v>
      </c>
      <c r="D174" s="5" t="s">
        <v>7092</v>
      </c>
      <c r="J174" s="123">
        <v>1496000</v>
      </c>
      <c r="K174" s="5" t="s">
        <v>7025</v>
      </c>
    </row>
    <row r="175" spans="1:15" ht="12.5">
      <c r="A175" s="5" t="s">
        <v>7026</v>
      </c>
      <c r="D175" s="5" t="s">
        <v>7027</v>
      </c>
      <c r="J175" s="123">
        <v>1496000</v>
      </c>
    </row>
    <row r="176" spans="1:15" ht="12.5">
      <c r="A176" s="5">
        <v>521211</v>
      </c>
      <c r="D176" s="5" t="s">
        <v>7056</v>
      </c>
      <c r="J176" s="123">
        <v>1190000</v>
      </c>
      <c r="L176" s="5" t="s">
        <v>7029</v>
      </c>
    </row>
    <row r="177" spans="1:12" ht="12.5">
      <c r="D177" s="5" t="s">
        <v>7030</v>
      </c>
    </row>
    <row r="178" spans="1:12" ht="12.5">
      <c r="D178" s="5" t="s">
        <v>369</v>
      </c>
      <c r="E178" s="5" t="s">
        <v>7146</v>
      </c>
      <c r="G178" s="5" t="s">
        <v>7147</v>
      </c>
      <c r="H178" s="123">
        <v>85000</v>
      </c>
      <c r="J178" s="123">
        <v>1020000</v>
      </c>
    </row>
    <row r="179" spans="1:12" ht="12.5">
      <c r="D179" s="5" t="s">
        <v>369</v>
      </c>
      <c r="E179" s="5" t="s">
        <v>7148</v>
      </c>
      <c r="G179" s="5" t="s">
        <v>7032</v>
      </c>
      <c r="H179" s="123">
        <v>85000</v>
      </c>
      <c r="J179" s="123">
        <v>170000</v>
      </c>
    </row>
    <row r="180" spans="1:12" ht="12.5">
      <c r="A180" s="5">
        <v>524113</v>
      </c>
      <c r="D180" s="5" t="s">
        <v>7028</v>
      </c>
      <c r="J180" s="123">
        <v>306000</v>
      </c>
      <c r="L180" s="5" t="s">
        <v>7029</v>
      </c>
    </row>
    <row r="181" spans="1:12" ht="12.5">
      <c r="D181" s="5" t="s">
        <v>7030</v>
      </c>
    </row>
    <row r="182" spans="1:12" ht="12.5">
      <c r="D182" s="5" t="s">
        <v>369</v>
      </c>
      <c r="E182" s="5" t="s">
        <v>7149</v>
      </c>
      <c r="G182" s="5" t="s">
        <v>7147</v>
      </c>
      <c r="H182" s="123">
        <v>12750</v>
      </c>
      <c r="J182" s="123">
        <v>153000</v>
      </c>
    </row>
    <row r="183" spans="1:12" ht="12.5">
      <c r="D183" s="5" t="s">
        <v>369</v>
      </c>
      <c r="E183" s="5" t="s">
        <v>7150</v>
      </c>
      <c r="G183" s="5" t="s">
        <v>7032</v>
      </c>
      <c r="H183" s="123">
        <v>76500</v>
      </c>
      <c r="J183" s="123">
        <v>153000</v>
      </c>
    </row>
    <row r="184" spans="1:12" ht="12.5">
      <c r="A184" s="5">
        <v>52</v>
      </c>
      <c r="D184" s="5" t="s">
        <v>7044</v>
      </c>
      <c r="J184" s="123">
        <v>606000</v>
      </c>
      <c r="K184" s="5" t="s">
        <v>7025</v>
      </c>
    </row>
    <row r="185" spans="1:12" ht="12.5">
      <c r="A185" s="5" t="s">
        <v>7026</v>
      </c>
      <c r="D185" s="5" t="s">
        <v>7027</v>
      </c>
      <c r="J185" s="123">
        <v>606000</v>
      </c>
    </row>
    <row r="186" spans="1:12" ht="12.5">
      <c r="A186" s="5">
        <v>524113</v>
      </c>
      <c r="D186" s="5" t="s">
        <v>7028</v>
      </c>
      <c r="J186" s="123">
        <v>606000</v>
      </c>
      <c r="L186" s="5" t="s">
        <v>7029</v>
      </c>
    </row>
    <row r="187" spans="1:12" ht="12.5">
      <c r="D187" s="5" t="s">
        <v>7030</v>
      </c>
    </row>
    <row r="188" spans="1:12" ht="12.5">
      <c r="D188" s="5" t="s">
        <v>369</v>
      </c>
      <c r="E188" s="5" t="s">
        <v>7151</v>
      </c>
      <c r="G188" s="5" t="s">
        <v>7062</v>
      </c>
      <c r="H188" s="123">
        <v>303000</v>
      </c>
      <c r="J188" s="123">
        <v>303000</v>
      </c>
    </row>
    <row r="189" spans="1:12" ht="12.5">
      <c r="D189" s="5" t="s">
        <v>369</v>
      </c>
      <c r="E189" s="5" t="s">
        <v>7035</v>
      </c>
      <c r="G189" s="5" t="s">
        <v>7152</v>
      </c>
      <c r="H189" s="123">
        <v>303000</v>
      </c>
      <c r="J189" s="123">
        <v>303000</v>
      </c>
    </row>
    <row r="190" spans="1:12" ht="12.5">
      <c r="A190" s="5">
        <v>2902</v>
      </c>
      <c r="D190" s="5" t="s">
        <v>7153</v>
      </c>
      <c r="J190" s="123">
        <v>29535000</v>
      </c>
    </row>
    <row r="191" spans="1:12" ht="12.5">
      <c r="A191" s="5" t="s">
        <v>7154</v>
      </c>
      <c r="D191" s="5" t="s">
        <v>7018</v>
      </c>
      <c r="G191" s="5" t="s">
        <v>7019</v>
      </c>
      <c r="J191" s="123">
        <v>18509000</v>
      </c>
    </row>
    <row r="192" spans="1:12" ht="12.5">
      <c r="D192" s="5" t="s">
        <v>7020</v>
      </c>
    </row>
    <row r="193" spans="1:15" ht="12.5">
      <c r="A193" s="5" t="s">
        <v>7155</v>
      </c>
      <c r="D193" s="5" t="s">
        <v>7156</v>
      </c>
      <c r="G193" s="5" t="s">
        <v>7023</v>
      </c>
      <c r="J193" s="123">
        <v>18509000</v>
      </c>
    </row>
    <row r="194" spans="1:15" ht="12.5">
      <c r="A194" s="5">
        <v>5</v>
      </c>
      <c r="D194" s="5" t="s">
        <v>7024</v>
      </c>
      <c r="J194" s="123">
        <v>8648000</v>
      </c>
      <c r="K194" s="5" t="s">
        <v>7025</v>
      </c>
    </row>
    <row r="195" spans="1:15" ht="12.5">
      <c r="A195" s="5" t="s">
        <v>7026</v>
      </c>
      <c r="D195" s="5" t="s">
        <v>7027</v>
      </c>
      <c r="J195" s="123">
        <v>8648000</v>
      </c>
    </row>
    <row r="196" spans="1:15" ht="12.5">
      <c r="A196" s="5">
        <v>521213</v>
      </c>
      <c r="D196" s="5" t="s">
        <v>7072</v>
      </c>
      <c r="J196" s="123">
        <v>7148000</v>
      </c>
      <c r="K196" s="5">
        <v>9</v>
      </c>
      <c r="L196" s="5" t="s">
        <v>7029</v>
      </c>
    </row>
    <row r="197" spans="1:15" ht="12.5">
      <c r="D197" s="5" t="s">
        <v>7030</v>
      </c>
    </row>
    <row r="198" spans="1:15" ht="12.5">
      <c r="D198" s="5" t="s">
        <v>369</v>
      </c>
      <c r="E198" s="5" t="s">
        <v>7157</v>
      </c>
      <c r="G198" s="5" t="s">
        <v>7158</v>
      </c>
      <c r="H198" s="123">
        <v>50000</v>
      </c>
      <c r="J198" s="123">
        <v>450000</v>
      </c>
      <c r="O198" s="5">
        <v>1</v>
      </c>
    </row>
    <row r="199" spans="1:15" ht="12.5">
      <c r="D199" s="5" t="s">
        <v>369</v>
      </c>
      <c r="E199" s="5" t="s">
        <v>7159</v>
      </c>
      <c r="G199" s="5" t="s">
        <v>7160</v>
      </c>
      <c r="H199" s="123">
        <v>60000</v>
      </c>
      <c r="J199" s="123">
        <v>1620000</v>
      </c>
      <c r="O199" s="5">
        <v>1</v>
      </c>
    </row>
    <row r="200" spans="1:15" ht="12.5">
      <c r="D200" s="5" t="s">
        <v>369</v>
      </c>
      <c r="E200" s="5" t="s">
        <v>7161</v>
      </c>
      <c r="G200" s="5" t="s">
        <v>7162</v>
      </c>
      <c r="H200" s="123">
        <v>60000</v>
      </c>
      <c r="J200" s="123">
        <v>540000</v>
      </c>
      <c r="O200" s="5">
        <v>1</v>
      </c>
    </row>
    <row r="201" spans="1:15" ht="12.5">
      <c r="D201" s="5" t="s">
        <v>369</v>
      </c>
      <c r="E201" s="5" t="s">
        <v>7163</v>
      </c>
      <c r="G201" s="5" t="s">
        <v>7164</v>
      </c>
      <c r="H201" s="123">
        <v>60000</v>
      </c>
      <c r="J201" s="123">
        <v>3000000</v>
      </c>
      <c r="K201" s="5" t="s">
        <v>7165</v>
      </c>
      <c r="O201" s="5">
        <v>1</v>
      </c>
    </row>
    <row r="202" spans="1:15" ht="12.5">
      <c r="D202" s="5" t="s">
        <v>369</v>
      </c>
      <c r="E202" s="5" t="s">
        <v>7166</v>
      </c>
      <c r="G202" s="5" t="s">
        <v>7167</v>
      </c>
      <c r="H202" s="123">
        <v>73000</v>
      </c>
      <c r="J202" s="123">
        <v>730000</v>
      </c>
      <c r="O202" s="5">
        <v>1</v>
      </c>
    </row>
    <row r="203" spans="1:15" ht="12.5">
      <c r="D203" s="5" t="s">
        <v>369</v>
      </c>
      <c r="E203" s="5" t="s">
        <v>7168</v>
      </c>
      <c r="G203" s="5" t="s">
        <v>7169</v>
      </c>
      <c r="H203" s="123">
        <v>73000</v>
      </c>
      <c r="J203" s="123">
        <v>438000</v>
      </c>
      <c r="O203" s="5">
        <v>1</v>
      </c>
    </row>
    <row r="204" spans="1:15" ht="12.5">
      <c r="D204" s="5" t="s">
        <v>369</v>
      </c>
      <c r="E204" s="5" t="s">
        <v>7035</v>
      </c>
      <c r="G204" s="5" t="s">
        <v>7036</v>
      </c>
      <c r="H204" s="123">
        <v>370000</v>
      </c>
      <c r="J204" s="123">
        <v>370000</v>
      </c>
    </row>
    <row r="205" spans="1:15" ht="12.5">
      <c r="A205" s="5">
        <v>524113</v>
      </c>
      <c r="D205" s="5" t="s">
        <v>7028</v>
      </c>
      <c r="J205" s="123">
        <v>1500000</v>
      </c>
      <c r="K205" s="5">
        <v>9</v>
      </c>
      <c r="L205" s="5" t="s">
        <v>7029</v>
      </c>
    </row>
    <row r="206" spans="1:15" ht="12.5">
      <c r="D206" s="5" t="s">
        <v>7030</v>
      </c>
    </row>
    <row r="207" spans="1:15" ht="12.5">
      <c r="D207" s="5" t="s">
        <v>369</v>
      </c>
      <c r="E207" s="5" t="s">
        <v>7170</v>
      </c>
      <c r="G207" s="5" t="s">
        <v>7067</v>
      </c>
      <c r="H207" s="123">
        <v>150000</v>
      </c>
      <c r="J207" s="123">
        <v>150000</v>
      </c>
    </row>
    <row r="208" spans="1:15" ht="12.5">
      <c r="D208" s="5" t="s">
        <v>369</v>
      </c>
      <c r="E208" s="5" t="s">
        <v>7171</v>
      </c>
      <c r="G208" s="5" t="s">
        <v>7067</v>
      </c>
      <c r="H208" s="123">
        <v>150000</v>
      </c>
      <c r="J208" s="123">
        <v>150000</v>
      </c>
    </row>
    <row r="209" spans="1:12" ht="12.5">
      <c r="D209" s="5" t="s">
        <v>369</v>
      </c>
      <c r="E209" s="5" t="s">
        <v>7172</v>
      </c>
      <c r="G209" s="5" t="s">
        <v>7067</v>
      </c>
      <c r="H209" s="123">
        <v>150000</v>
      </c>
      <c r="J209" s="123">
        <v>150000</v>
      </c>
    </row>
    <row r="210" spans="1:12" ht="12.5">
      <c r="D210" s="5" t="s">
        <v>369</v>
      </c>
      <c r="E210" s="5" t="s">
        <v>7173</v>
      </c>
      <c r="G210" s="5" t="s">
        <v>7067</v>
      </c>
      <c r="H210" s="123">
        <v>150000</v>
      </c>
      <c r="J210" s="123">
        <v>150000</v>
      </c>
    </row>
    <row r="211" spans="1:12" ht="12.5">
      <c r="D211" s="5" t="s">
        <v>369</v>
      </c>
      <c r="E211" s="5" t="s">
        <v>7174</v>
      </c>
      <c r="G211" s="5" t="s">
        <v>7175</v>
      </c>
      <c r="H211" s="123">
        <v>150000</v>
      </c>
      <c r="J211" s="123">
        <v>600000</v>
      </c>
      <c r="K211" s="5" t="s">
        <v>7165</v>
      </c>
    </row>
    <row r="212" spans="1:12" ht="12.5">
      <c r="D212" s="5" t="s">
        <v>369</v>
      </c>
      <c r="E212" s="5" t="s">
        <v>7176</v>
      </c>
      <c r="G212" s="5" t="s">
        <v>7067</v>
      </c>
      <c r="H212" s="123">
        <v>150000</v>
      </c>
      <c r="J212" s="123">
        <v>150000</v>
      </c>
    </row>
    <row r="213" spans="1:12" ht="12.5">
      <c r="D213" s="5" t="s">
        <v>369</v>
      </c>
      <c r="E213" s="5" t="s">
        <v>7177</v>
      </c>
      <c r="G213" s="5" t="s">
        <v>7067</v>
      </c>
      <c r="H213" s="123">
        <v>150000</v>
      </c>
      <c r="J213" s="123">
        <v>150000</v>
      </c>
    </row>
    <row r="214" spans="1:12" ht="12.5">
      <c r="A214" s="5">
        <v>51</v>
      </c>
      <c r="D214" s="5" t="s">
        <v>7092</v>
      </c>
      <c r="J214" s="123">
        <v>9861000</v>
      </c>
      <c r="K214" s="5" t="s">
        <v>7025</v>
      </c>
    </row>
    <row r="215" spans="1:12" ht="12.5">
      <c r="A215" s="5" t="s">
        <v>7026</v>
      </c>
      <c r="D215" s="5" t="s">
        <v>7027</v>
      </c>
      <c r="J215" s="123">
        <v>9861000</v>
      </c>
    </row>
    <row r="216" spans="1:12" ht="12.5">
      <c r="A216" s="5">
        <v>521211</v>
      </c>
      <c r="D216" s="5" t="s">
        <v>7056</v>
      </c>
      <c r="J216" s="123">
        <v>2880000</v>
      </c>
      <c r="K216" s="5">
        <v>9</v>
      </c>
      <c r="L216" s="5" t="s">
        <v>7029</v>
      </c>
    </row>
    <row r="217" spans="1:12" ht="12.5">
      <c r="D217" s="5" t="s">
        <v>7030</v>
      </c>
    </row>
    <row r="218" spans="1:12" ht="12.5">
      <c r="D218" s="5" t="s">
        <v>369</v>
      </c>
      <c r="E218" s="5" t="s">
        <v>7178</v>
      </c>
      <c r="G218" s="5" t="s">
        <v>7179</v>
      </c>
      <c r="H218" s="123">
        <v>50000</v>
      </c>
      <c r="J218" s="123">
        <v>550000</v>
      </c>
    </row>
    <row r="219" spans="1:12" ht="12.5">
      <c r="D219" s="5" t="s">
        <v>369</v>
      </c>
      <c r="E219" s="5" t="s">
        <v>7180</v>
      </c>
      <c r="G219" s="5" t="s">
        <v>7181</v>
      </c>
      <c r="H219" s="123">
        <v>170000</v>
      </c>
      <c r="J219" s="123">
        <v>1530000</v>
      </c>
      <c r="K219" s="5" t="s">
        <v>7165</v>
      </c>
    </row>
    <row r="220" spans="1:12" ht="12.5">
      <c r="D220" s="5" t="s">
        <v>369</v>
      </c>
      <c r="E220" s="5" t="s">
        <v>7182</v>
      </c>
      <c r="G220" s="5" t="s">
        <v>7183</v>
      </c>
      <c r="H220" s="123">
        <v>100000</v>
      </c>
      <c r="J220" s="123">
        <v>800000</v>
      </c>
    </row>
    <row r="221" spans="1:12" ht="12.5">
      <c r="A221" s="5">
        <v>521213</v>
      </c>
      <c r="D221" s="5" t="s">
        <v>7072</v>
      </c>
      <c r="J221" s="123">
        <v>2214000</v>
      </c>
      <c r="K221" s="5">
        <v>9</v>
      </c>
      <c r="L221" s="5" t="s">
        <v>7029</v>
      </c>
    </row>
    <row r="222" spans="1:12" ht="12.5">
      <c r="D222" s="5" t="s">
        <v>7030</v>
      </c>
    </row>
    <row r="223" spans="1:12" ht="12.5">
      <c r="D223" s="5" t="s">
        <v>369</v>
      </c>
      <c r="E223" s="5" t="s">
        <v>7184</v>
      </c>
      <c r="G223" s="5" t="s">
        <v>7185</v>
      </c>
      <c r="H223" s="123">
        <v>123000</v>
      </c>
      <c r="J223" s="123">
        <v>2214000</v>
      </c>
      <c r="K223" s="5" t="s">
        <v>7165</v>
      </c>
    </row>
    <row r="224" spans="1:12" ht="12.5">
      <c r="A224" s="5">
        <v>524113</v>
      </c>
      <c r="D224" s="5" t="s">
        <v>7028</v>
      </c>
      <c r="J224" s="123">
        <v>4767000</v>
      </c>
      <c r="K224" s="5">
        <v>9</v>
      </c>
      <c r="L224" s="5" t="s">
        <v>7029</v>
      </c>
    </row>
    <row r="225" spans="1:15" ht="12.5">
      <c r="D225" s="5" t="s">
        <v>7030</v>
      </c>
    </row>
    <row r="226" spans="1:15" ht="12.5">
      <c r="D226" s="5" t="s">
        <v>369</v>
      </c>
      <c r="E226" s="5" t="s">
        <v>7186</v>
      </c>
      <c r="G226" s="5" t="s">
        <v>7181</v>
      </c>
      <c r="H226" s="123">
        <v>529667</v>
      </c>
      <c r="J226" s="123">
        <v>4767000</v>
      </c>
      <c r="K226" s="5" t="s">
        <v>7165</v>
      </c>
    </row>
    <row r="227" spans="1:15" ht="12.5">
      <c r="A227" s="5" t="s">
        <v>7187</v>
      </c>
      <c r="D227" s="5" t="s">
        <v>7018</v>
      </c>
      <c r="G227" s="5" t="s">
        <v>7019</v>
      </c>
      <c r="J227" s="123">
        <v>11026000</v>
      </c>
    </row>
    <row r="228" spans="1:15" ht="12.5">
      <c r="D228" s="5" t="s">
        <v>7020</v>
      </c>
    </row>
    <row r="229" spans="1:15" ht="12.5">
      <c r="A229" s="5" t="s">
        <v>7188</v>
      </c>
      <c r="D229" s="5" t="s">
        <v>7189</v>
      </c>
      <c r="G229" s="5" t="s">
        <v>7023</v>
      </c>
      <c r="J229" s="123">
        <v>11026000</v>
      </c>
    </row>
    <row r="230" spans="1:15" ht="12.5">
      <c r="A230" s="5">
        <v>5</v>
      </c>
      <c r="D230" s="5" t="s">
        <v>7024</v>
      </c>
      <c r="J230" s="123">
        <v>7909000</v>
      </c>
      <c r="K230" s="5" t="s">
        <v>7025</v>
      </c>
    </row>
    <row r="231" spans="1:15" ht="12.5">
      <c r="A231" s="5" t="s">
        <v>7026</v>
      </c>
      <c r="D231" s="5" t="s">
        <v>7027</v>
      </c>
      <c r="J231" s="123">
        <v>7909000</v>
      </c>
    </row>
    <row r="232" spans="1:15" ht="12.5">
      <c r="A232" s="5">
        <v>521213</v>
      </c>
      <c r="D232" s="5" t="s">
        <v>7072</v>
      </c>
      <c r="J232" s="123">
        <v>5700000</v>
      </c>
      <c r="L232" s="5" t="s">
        <v>7029</v>
      </c>
    </row>
    <row r="233" spans="1:15" ht="12.5">
      <c r="D233" s="5" t="s">
        <v>7030</v>
      </c>
    </row>
    <row r="234" spans="1:15" ht="12.5">
      <c r="D234" s="5" t="s">
        <v>369</v>
      </c>
      <c r="E234" s="5" t="s">
        <v>7190</v>
      </c>
      <c r="G234" s="5" t="s">
        <v>7191</v>
      </c>
      <c r="H234" s="123">
        <v>50000</v>
      </c>
      <c r="J234" s="123">
        <v>5700000</v>
      </c>
      <c r="O234" s="5">
        <v>1</v>
      </c>
    </row>
    <row r="235" spans="1:15" ht="12.5">
      <c r="A235" s="5">
        <v>524113</v>
      </c>
      <c r="D235" s="5" t="s">
        <v>7028</v>
      </c>
      <c r="J235" s="123">
        <v>2209000</v>
      </c>
      <c r="L235" s="5" t="s">
        <v>7029</v>
      </c>
    </row>
    <row r="236" spans="1:15" ht="12.5">
      <c r="D236" s="5" t="s">
        <v>7030</v>
      </c>
    </row>
    <row r="237" spans="1:15" ht="12.5">
      <c r="D237" s="5" t="s">
        <v>369</v>
      </c>
      <c r="E237" s="5" t="s">
        <v>7192</v>
      </c>
      <c r="G237" s="5" t="s">
        <v>7032</v>
      </c>
      <c r="H237" s="123">
        <v>150000</v>
      </c>
      <c r="J237" s="123">
        <v>300000</v>
      </c>
    </row>
    <row r="238" spans="1:15" ht="12.5">
      <c r="D238" s="5" t="s">
        <v>369</v>
      </c>
      <c r="E238" s="5" t="s">
        <v>7193</v>
      </c>
      <c r="G238" s="5" t="s">
        <v>7194</v>
      </c>
      <c r="H238" s="123">
        <v>150000</v>
      </c>
      <c r="J238" s="123">
        <v>900000</v>
      </c>
    </row>
    <row r="239" spans="1:15" ht="12.5">
      <c r="D239" s="5" t="s">
        <v>369</v>
      </c>
      <c r="E239" s="5" t="s">
        <v>7035</v>
      </c>
      <c r="G239" s="5" t="s">
        <v>7036</v>
      </c>
      <c r="H239" s="123">
        <v>1009000</v>
      </c>
      <c r="J239" s="123">
        <v>1009000</v>
      </c>
    </row>
    <row r="240" spans="1:15" ht="12.5">
      <c r="A240" s="5">
        <v>503</v>
      </c>
      <c r="D240" s="5" t="s">
        <v>7195</v>
      </c>
      <c r="J240" s="123">
        <v>3117000</v>
      </c>
      <c r="K240" s="5" t="s">
        <v>7025</v>
      </c>
    </row>
    <row r="241" spans="1:12" ht="12.5">
      <c r="A241" s="5" t="s">
        <v>7026</v>
      </c>
      <c r="D241" s="5" t="s">
        <v>7027</v>
      </c>
      <c r="J241" s="123">
        <v>3117000</v>
      </c>
    </row>
    <row r="242" spans="1:12" ht="12.5">
      <c r="A242" s="5">
        <v>521211</v>
      </c>
      <c r="D242" s="5" t="s">
        <v>7056</v>
      </c>
      <c r="J242" s="123">
        <v>600000</v>
      </c>
      <c r="L242" s="5" t="s">
        <v>7029</v>
      </c>
    </row>
    <row r="243" spans="1:12" ht="12.5">
      <c r="D243" s="5" t="s">
        <v>7030</v>
      </c>
    </row>
    <row r="244" spans="1:12" ht="12.5">
      <c r="D244" s="5" t="s">
        <v>369</v>
      </c>
      <c r="E244" s="5" t="s">
        <v>7196</v>
      </c>
      <c r="G244" s="5" t="s">
        <v>7197</v>
      </c>
      <c r="H244" s="123">
        <v>150000</v>
      </c>
      <c r="J244" s="123">
        <v>600000</v>
      </c>
    </row>
    <row r="245" spans="1:12" ht="12.5">
      <c r="A245" s="5">
        <v>521213</v>
      </c>
      <c r="D245" s="5" t="s">
        <v>7072</v>
      </c>
      <c r="J245" s="123">
        <v>2214000</v>
      </c>
      <c r="L245" s="5" t="s">
        <v>7029</v>
      </c>
    </row>
    <row r="246" spans="1:12" ht="12.5">
      <c r="D246" s="5" t="s">
        <v>7030</v>
      </c>
    </row>
    <row r="247" spans="1:12" ht="12.5">
      <c r="D247" s="5" t="s">
        <v>369</v>
      </c>
      <c r="E247" s="5" t="s">
        <v>7198</v>
      </c>
      <c r="G247" s="5" t="s">
        <v>7185</v>
      </c>
      <c r="H247" s="123">
        <v>123000</v>
      </c>
      <c r="J247" s="123">
        <v>2214000</v>
      </c>
    </row>
    <row r="248" spans="1:12" ht="12.5">
      <c r="A248" s="5">
        <v>524113</v>
      </c>
      <c r="D248" s="5" t="s">
        <v>7028</v>
      </c>
      <c r="J248" s="123">
        <v>303000</v>
      </c>
      <c r="L248" s="5" t="s">
        <v>7029</v>
      </c>
    </row>
    <row r="249" spans="1:12" ht="12.5">
      <c r="D249" s="5" t="s">
        <v>7030</v>
      </c>
    </row>
    <row r="250" spans="1:12" ht="12.5">
      <c r="D250" s="5" t="s">
        <v>369</v>
      </c>
      <c r="E250" s="5" t="s">
        <v>7199</v>
      </c>
      <c r="G250" s="5" t="s">
        <v>7089</v>
      </c>
      <c r="H250" s="123">
        <v>150000</v>
      </c>
      <c r="J250" s="123">
        <v>150000</v>
      </c>
    </row>
    <row r="251" spans="1:12" ht="12.5">
      <c r="D251" s="5" t="s">
        <v>369</v>
      </c>
      <c r="E251" s="5" t="s">
        <v>7200</v>
      </c>
      <c r="G251" s="5" t="s">
        <v>7067</v>
      </c>
      <c r="H251" s="123">
        <v>153000</v>
      </c>
      <c r="J251" s="123">
        <v>153000</v>
      </c>
    </row>
    <row r="252" spans="1:12" ht="12.5">
      <c r="A252" s="5">
        <v>2903</v>
      </c>
      <c r="D252" s="5" t="s">
        <v>7201</v>
      </c>
      <c r="J252" s="123">
        <v>100846000</v>
      </c>
    </row>
    <row r="253" spans="1:12" ht="12.5">
      <c r="A253" s="5" t="s">
        <v>7202</v>
      </c>
      <c r="D253" s="5" t="s">
        <v>7018</v>
      </c>
      <c r="G253" s="5" t="s">
        <v>7019</v>
      </c>
      <c r="J253" s="123">
        <v>100846000</v>
      </c>
    </row>
    <row r="254" spans="1:12" ht="12.5">
      <c r="D254" s="5" t="s">
        <v>7020</v>
      </c>
    </row>
    <row r="255" spans="1:12" ht="12.5">
      <c r="A255" s="5" t="s">
        <v>7203</v>
      </c>
      <c r="D255" s="5" t="s">
        <v>7204</v>
      </c>
      <c r="G255" s="5" t="s">
        <v>7023</v>
      </c>
      <c r="J255" s="123">
        <v>100846000</v>
      </c>
    </row>
    <row r="256" spans="1:12" ht="12.5">
      <c r="A256" s="5">
        <v>5</v>
      </c>
      <c r="D256" s="5" t="s">
        <v>7024</v>
      </c>
      <c r="J256" s="123">
        <v>66451000</v>
      </c>
      <c r="K256" s="5" t="s">
        <v>7025</v>
      </c>
    </row>
    <row r="257" spans="1:15" ht="12.5">
      <c r="A257" s="5" t="s">
        <v>7026</v>
      </c>
      <c r="D257" s="5" t="s">
        <v>7027</v>
      </c>
      <c r="J257" s="123">
        <v>66451000</v>
      </c>
    </row>
    <row r="258" spans="1:15" ht="12.5">
      <c r="A258" s="5">
        <v>521213</v>
      </c>
      <c r="D258" s="5" t="s">
        <v>7072</v>
      </c>
      <c r="J258" s="123">
        <v>55601000</v>
      </c>
      <c r="K258" s="5">
        <v>9</v>
      </c>
      <c r="L258" s="5" t="s">
        <v>7029</v>
      </c>
    </row>
    <row r="259" spans="1:15" ht="12.5">
      <c r="D259" s="5" t="s">
        <v>7030</v>
      </c>
    </row>
    <row r="260" spans="1:15" ht="12.5">
      <c r="D260" s="5" t="s">
        <v>369</v>
      </c>
      <c r="E260" s="5" t="s">
        <v>7205</v>
      </c>
      <c r="G260" s="5" t="s">
        <v>7206</v>
      </c>
      <c r="H260" s="123">
        <v>63000</v>
      </c>
      <c r="J260" s="123">
        <v>13671000</v>
      </c>
      <c r="K260" s="5" t="s">
        <v>7165</v>
      </c>
      <c r="O260" s="5">
        <v>1</v>
      </c>
    </row>
    <row r="261" spans="1:15" ht="12.5">
      <c r="D261" s="5" t="s">
        <v>369</v>
      </c>
      <c r="E261" s="5" t="s">
        <v>7207</v>
      </c>
      <c r="G261" s="5" t="s">
        <v>7208</v>
      </c>
      <c r="H261" s="123">
        <v>50000</v>
      </c>
      <c r="J261" s="123">
        <v>2400000</v>
      </c>
      <c r="O261" s="5">
        <v>1</v>
      </c>
    </row>
    <row r="262" spans="1:15" ht="12.5">
      <c r="D262" s="5" t="s">
        <v>369</v>
      </c>
      <c r="E262" s="5" t="s">
        <v>7209</v>
      </c>
      <c r="G262" s="5" t="s">
        <v>7210</v>
      </c>
      <c r="H262" s="123">
        <v>60000</v>
      </c>
      <c r="J262" s="123">
        <v>9360000</v>
      </c>
      <c r="O262" s="5">
        <v>1</v>
      </c>
    </row>
    <row r="263" spans="1:15" ht="12.5">
      <c r="D263" s="5" t="s">
        <v>369</v>
      </c>
      <c r="E263" s="5" t="s">
        <v>7211</v>
      </c>
      <c r="G263" s="5" t="s">
        <v>7212</v>
      </c>
      <c r="H263" s="123">
        <v>50000</v>
      </c>
      <c r="J263" s="123">
        <v>9000000</v>
      </c>
      <c r="O263" s="5">
        <v>1</v>
      </c>
    </row>
    <row r="264" spans="1:15" ht="12.5">
      <c r="D264" s="5" t="s">
        <v>369</v>
      </c>
      <c r="E264" s="5" t="s">
        <v>7213</v>
      </c>
      <c r="G264" s="5" t="s">
        <v>7214</v>
      </c>
      <c r="H264" s="123">
        <v>65000</v>
      </c>
      <c r="J264" s="123">
        <v>4680000</v>
      </c>
      <c r="O264" s="5">
        <v>1</v>
      </c>
    </row>
    <row r="265" spans="1:15" ht="12.5">
      <c r="D265" s="5" t="s">
        <v>369</v>
      </c>
      <c r="E265" s="5" t="s">
        <v>7215</v>
      </c>
      <c r="G265" s="5" t="s">
        <v>7216</v>
      </c>
      <c r="H265" s="123">
        <v>55000</v>
      </c>
      <c r="J265" s="123">
        <v>11880000</v>
      </c>
      <c r="O265" s="5">
        <v>1</v>
      </c>
    </row>
    <row r="266" spans="1:15" ht="12.5">
      <c r="D266" s="5" t="s">
        <v>369</v>
      </c>
      <c r="E266" s="5" t="s">
        <v>7217</v>
      </c>
      <c r="G266" s="5" t="s">
        <v>7218</v>
      </c>
      <c r="H266" s="123">
        <v>50000</v>
      </c>
      <c r="J266" s="123">
        <v>50000</v>
      </c>
      <c r="O266" s="5">
        <v>1</v>
      </c>
    </row>
    <row r="267" spans="1:15" ht="12.5">
      <c r="D267" s="5" t="s">
        <v>369</v>
      </c>
      <c r="E267" s="5" t="s">
        <v>7219</v>
      </c>
      <c r="G267" s="5" t="s">
        <v>7214</v>
      </c>
      <c r="H267" s="123">
        <v>55000</v>
      </c>
      <c r="J267" s="123">
        <v>3960000</v>
      </c>
      <c r="O267" s="5">
        <v>1</v>
      </c>
    </row>
    <row r="268" spans="1:15" ht="12.5">
      <c r="D268" s="5" t="s">
        <v>369</v>
      </c>
      <c r="E268" s="5" t="s">
        <v>7220</v>
      </c>
      <c r="G268" s="5" t="s">
        <v>7214</v>
      </c>
      <c r="H268" s="123">
        <v>50000</v>
      </c>
      <c r="J268" s="123">
        <v>600000</v>
      </c>
      <c r="O268" s="5">
        <v>1</v>
      </c>
    </row>
    <row r="269" spans="1:15" ht="12.5">
      <c r="A269" s="5">
        <v>524113</v>
      </c>
      <c r="D269" s="5" t="s">
        <v>7028</v>
      </c>
      <c r="J269" s="123">
        <v>10850000</v>
      </c>
      <c r="K269" s="5">
        <v>9</v>
      </c>
      <c r="L269" s="5" t="s">
        <v>7029</v>
      </c>
    </row>
    <row r="270" spans="1:15" ht="12.5">
      <c r="D270" s="5" t="s">
        <v>7030</v>
      </c>
    </row>
    <row r="271" spans="1:15" ht="12.5">
      <c r="D271" s="5" t="s">
        <v>369</v>
      </c>
      <c r="E271" s="5" t="s">
        <v>7221</v>
      </c>
      <c r="G271" s="5" t="s">
        <v>7222</v>
      </c>
      <c r="H271" s="123">
        <v>150000</v>
      </c>
      <c r="J271" s="123">
        <v>3750000</v>
      </c>
      <c r="K271" s="5" t="s">
        <v>7165</v>
      </c>
    </row>
    <row r="272" spans="1:15" ht="12.5">
      <c r="D272" s="5" t="s">
        <v>369</v>
      </c>
      <c r="E272" s="5" t="s">
        <v>7223</v>
      </c>
      <c r="G272" s="5" t="s">
        <v>7032</v>
      </c>
      <c r="H272" s="123">
        <v>150000</v>
      </c>
      <c r="J272" s="123">
        <v>300000</v>
      </c>
    </row>
    <row r="273" spans="1:12" ht="12.5">
      <c r="D273" s="5" t="s">
        <v>369</v>
      </c>
      <c r="E273" s="5" t="s">
        <v>7224</v>
      </c>
      <c r="G273" s="5" t="s">
        <v>7175</v>
      </c>
      <c r="H273" s="123">
        <v>150000</v>
      </c>
      <c r="J273" s="123">
        <v>600000</v>
      </c>
    </row>
    <row r="274" spans="1:12" ht="12.5">
      <c r="D274" s="5" t="s">
        <v>369</v>
      </c>
      <c r="E274" s="5" t="s">
        <v>7225</v>
      </c>
      <c r="G274" s="5" t="s">
        <v>7055</v>
      </c>
      <c r="H274" s="123">
        <v>150000</v>
      </c>
      <c r="J274" s="123">
        <v>450000</v>
      </c>
    </row>
    <row r="275" spans="1:12" ht="12.5">
      <c r="D275" s="5" t="s">
        <v>369</v>
      </c>
      <c r="E275" s="5" t="s">
        <v>7226</v>
      </c>
      <c r="G275" s="5" t="s">
        <v>7032</v>
      </c>
      <c r="H275" s="123">
        <v>150000</v>
      </c>
      <c r="J275" s="123">
        <v>300000</v>
      </c>
    </row>
    <row r="276" spans="1:12" ht="12.5">
      <c r="D276" s="5" t="s">
        <v>369</v>
      </c>
      <c r="E276" s="5" t="s">
        <v>7227</v>
      </c>
      <c r="G276" s="5" t="s">
        <v>7175</v>
      </c>
      <c r="H276" s="123">
        <v>150000</v>
      </c>
      <c r="J276" s="123">
        <v>600000</v>
      </c>
    </row>
    <row r="277" spans="1:12" ht="12.5">
      <c r="D277" s="5" t="s">
        <v>369</v>
      </c>
      <c r="E277" s="5" t="s">
        <v>7228</v>
      </c>
      <c r="G277" s="5" t="s">
        <v>7032</v>
      </c>
      <c r="H277" s="123">
        <v>150000</v>
      </c>
      <c r="J277" s="123">
        <v>300000</v>
      </c>
    </row>
    <row r="278" spans="1:12" ht="12.5">
      <c r="D278" s="5" t="s">
        <v>369</v>
      </c>
      <c r="E278" s="5" t="s">
        <v>7229</v>
      </c>
      <c r="G278" s="5" t="s">
        <v>7067</v>
      </c>
      <c r="H278" s="123">
        <v>150000</v>
      </c>
      <c r="J278" s="123">
        <v>150000</v>
      </c>
    </row>
    <row r="279" spans="1:12" ht="12.5">
      <c r="D279" s="5" t="s">
        <v>369</v>
      </c>
      <c r="E279" s="5" t="s">
        <v>7230</v>
      </c>
      <c r="G279" s="5" t="s">
        <v>7231</v>
      </c>
      <c r="H279" s="123">
        <v>100000</v>
      </c>
      <c r="J279" s="123">
        <v>4400000</v>
      </c>
    </row>
    <row r="280" spans="1:12" ht="12.5">
      <c r="A280" s="5">
        <v>51</v>
      </c>
      <c r="D280" s="5" t="s">
        <v>7092</v>
      </c>
      <c r="J280" s="123">
        <v>29654000</v>
      </c>
      <c r="K280" s="5" t="s">
        <v>7025</v>
      </c>
    </row>
    <row r="281" spans="1:12" ht="12.5">
      <c r="A281" s="5" t="s">
        <v>7026</v>
      </c>
      <c r="D281" s="5" t="s">
        <v>7027</v>
      </c>
      <c r="J281" s="123">
        <v>29654000</v>
      </c>
    </row>
    <row r="282" spans="1:12" ht="12.5">
      <c r="A282" s="5">
        <v>521211</v>
      </c>
      <c r="D282" s="5" t="s">
        <v>7056</v>
      </c>
      <c r="J282" s="123">
        <v>3360000</v>
      </c>
      <c r="K282" s="5">
        <v>9</v>
      </c>
      <c r="L282" s="5" t="s">
        <v>7029</v>
      </c>
    </row>
    <row r="283" spans="1:12" ht="12.5">
      <c r="D283" s="5" t="s">
        <v>7030</v>
      </c>
    </row>
    <row r="284" spans="1:12" ht="12.5">
      <c r="D284" s="5" t="s">
        <v>369</v>
      </c>
      <c r="E284" s="5" t="s">
        <v>7232</v>
      </c>
      <c r="G284" s="5" t="s">
        <v>7233</v>
      </c>
      <c r="H284" s="123">
        <v>150000</v>
      </c>
      <c r="J284" s="123">
        <v>2100000</v>
      </c>
      <c r="K284" s="5" t="s">
        <v>7165</v>
      </c>
    </row>
    <row r="285" spans="1:12" ht="12.5">
      <c r="D285" s="5" t="s">
        <v>369</v>
      </c>
      <c r="E285" s="5" t="s">
        <v>7234</v>
      </c>
      <c r="G285" s="5" t="s">
        <v>7235</v>
      </c>
      <c r="H285" s="123">
        <v>20000</v>
      </c>
      <c r="J285" s="123">
        <v>80000</v>
      </c>
    </row>
    <row r="286" spans="1:12" ht="12.5">
      <c r="D286" s="5" t="s">
        <v>369</v>
      </c>
      <c r="E286" s="5" t="s">
        <v>7236</v>
      </c>
      <c r="G286" s="5" t="s">
        <v>7237</v>
      </c>
      <c r="H286" s="123">
        <v>20000</v>
      </c>
      <c r="J286" s="123">
        <v>180000</v>
      </c>
    </row>
    <row r="287" spans="1:12" ht="12.5">
      <c r="D287" s="5" t="s">
        <v>369</v>
      </c>
      <c r="E287" s="5" t="s">
        <v>7238</v>
      </c>
      <c r="G287" s="5" t="s">
        <v>7239</v>
      </c>
      <c r="H287" s="123">
        <v>50000</v>
      </c>
      <c r="J287" s="123">
        <v>250000</v>
      </c>
    </row>
    <row r="288" spans="1:12" ht="12.5">
      <c r="D288" s="5" t="s">
        <v>369</v>
      </c>
      <c r="E288" s="5" t="s">
        <v>7240</v>
      </c>
      <c r="G288" s="5" t="s">
        <v>7241</v>
      </c>
      <c r="H288" s="123">
        <v>150000</v>
      </c>
      <c r="J288" s="123">
        <v>750000</v>
      </c>
    </row>
    <row r="289" spans="1:12" ht="12.5">
      <c r="A289" s="5">
        <v>521213</v>
      </c>
      <c r="D289" s="5" t="s">
        <v>7072</v>
      </c>
      <c r="J289" s="123">
        <v>4428000</v>
      </c>
      <c r="K289" s="5">
        <v>9</v>
      </c>
      <c r="L289" s="5" t="s">
        <v>7029</v>
      </c>
    </row>
    <row r="290" spans="1:12" ht="12.5">
      <c r="D290" s="5" t="s">
        <v>7030</v>
      </c>
    </row>
    <row r="291" spans="1:12" ht="12.5">
      <c r="D291" s="5" t="s">
        <v>369</v>
      </c>
      <c r="E291" s="5" t="s">
        <v>7242</v>
      </c>
      <c r="G291" s="5" t="s">
        <v>7185</v>
      </c>
      <c r="H291" s="123">
        <v>123000</v>
      </c>
      <c r="J291" s="123">
        <v>2214000</v>
      </c>
      <c r="K291" s="5" t="s">
        <v>7165</v>
      </c>
    </row>
    <row r="292" spans="1:12" ht="12.5">
      <c r="D292" s="5" t="s">
        <v>369</v>
      </c>
      <c r="E292" s="5" t="s">
        <v>7243</v>
      </c>
      <c r="G292" s="5" t="s">
        <v>7185</v>
      </c>
      <c r="H292" s="123">
        <v>123000</v>
      </c>
      <c r="J292" s="123">
        <v>2214000</v>
      </c>
    </row>
    <row r="293" spans="1:12" ht="12.5">
      <c r="A293" s="5">
        <v>521219</v>
      </c>
      <c r="D293" s="5" t="s">
        <v>7244</v>
      </c>
      <c r="J293" s="123">
        <v>840000</v>
      </c>
      <c r="L293" s="5" t="s">
        <v>7029</v>
      </c>
    </row>
    <row r="294" spans="1:12" ht="12.5">
      <c r="D294" s="5" t="s">
        <v>7030</v>
      </c>
    </row>
    <row r="295" spans="1:12" ht="12.5">
      <c r="D295" s="5" t="s">
        <v>369</v>
      </c>
      <c r="E295" s="5" t="s">
        <v>7245</v>
      </c>
      <c r="G295" s="5" t="s">
        <v>7246</v>
      </c>
      <c r="H295" s="123">
        <v>10000</v>
      </c>
      <c r="J295" s="123">
        <v>840000</v>
      </c>
    </row>
    <row r="296" spans="1:12" ht="12.5">
      <c r="A296" s="5">
        <v>524114</v>
      </c>
      <c r="D296" s="5" t="s">
        <v>7048</v>
      </c>
      <c r="J296" s="123">
        <v>21026000</v>
      </c>
      <c r="K296" s="5">
        <v>9</v>
      </c>
      <c r="L296" s="5" t="s">
        <v>7029</v>
      </c>
    </row>
    <row r="297" spans="1:12" ht="12.5">
      <c r="D297" s="5" t="s">
        <v>7030</v>
      </c>
    </row>
    <row r="298" spans="1:12" ht="12.5">
      <c r="D298" s="5" t="s">
        <v>369</v>
      </c>
      <c r="E298" s="5" t="s">
        <v>7247</v>
      </c>
      <c r="G298" s="5" t="s">
        <v>7248</v>
      </c>
      <c r="H298" s="123">
        <v>968000</v>
      </c>
      <c r="J298" s="123">
        <v>13552000</v>
      </c>
      <c r="K298" s="5" t="s">
        <v>7165</v>
      </c>
    </row>
    <row r="299" spans="1:12" ht="12.5">
      <c r="D299" s="5" t="s">
        <v>369</v>
      </c>
      <c r="E299" s="5" t="s">
        <v>7249</v>
      </c>
      <c r="G299" s="5" t="s">
        <v>7248</v>
      </c>
      <c r="H299" s="123">
        <v>413000</v>
      </c>
      <c r="J299" s="123">
        <v>5782000</v>
      </c>
      <c r="K299" s="5" t="s">
        <v>7165</v>
      </c>
    </row>
    <row r="300" spans="1:12" ht="12.5">
      <c r="D300" s="5" t="s">
        <v>369</v>
      </c>
      <c r="E300" s="5" t="s">
        <v>7250</v>
      </c>
      <c r="G300" s="5" t="s">
        <v>7106</v>
      </c>
      <c r="H300" s="123">
        <v>150000</v>
      </c>
      <c r="J300" s="123">
        <v>300000</v>
      </c>
    </row>
    <row r="301" spans="1:12" ht="12.5">
      <c r="D301" s="5" t="s">
        <v>369</v>
      </c>
      <c r="E301" s="5" t="s">
        <v>7251</v>
      </c>
      <c r="G301" s="5" t="s">
        <v>7252</v>
      </c>
      <c r="H301" s="123">
        <v>232000</v>
      </c>
      <c r="J301" s="123">
        <v>1392000</v>
      </c>
    </row>
    <row r="302" spans="1:12" ht="12.5">
      <c r="A302" s="5">
        <v>52</v>
      </c>
      <c r="D302" s="5" t="s">
        <v>7044</v>
      </c>
      <c r="J302" s="123">
        <v>2231000</v>
      </c>
      <c r="K302" s="5" t="s">
        <v>7025</v>
      </c>
    </row>
    <row r="303" spans="1:12" ht="12.5">
      <c r="A303" s="5" t="s">
        <v>7026</v>
      </c>
      <c r="D303" s="5" t="s">
        <v>7027</v>
      </c>
      <c r="J303" s="123">
        <v>2231000</v>
      </c>
    </row>
    <row r="304" spans="1:12" ht="12.5">
      <c r="A304" s="5">
        <v>524113</v>
      </c>
      <c r="D304" s="5" t="s">
        <v>7028</v>
      </c>
      <c r="J304" s="123">
        <v>2231000</v>
      </c>
      <c r="L304" s="5" t="s">
        <v>7029</v>
      </c>
    </row>
    <row r="305" spans="1:12" ht="12.5">
      <c r="D305" s="5" t="s">
        <v>7030</v>
      </c>
    </row>
    <row r="306" spans="1:12" ht="12.5">
      <c r="D306" s="5" t="s">
        <v>369</v>
      </c>
      <c r="E306" s="5" t="s">
        <v>7253</v>
      </c>
      <c r="G306" s="5" t="s">
        <v>7062</v>
      </c>
      <c r="H306" s="123">
        <v>303000</v>
      </c>
      <c r="J306" s="123">
        <v>303000</v>
      </c>
    </row>
    <row r="307" spans="1:12" ht="12.5">
      <c r="D307" s="5" t="s">
        <v>369</v>
      </c>
      <c r="E307" s="5" t="s">
        <v>7254</v>
      </c>
      <c r="G307" s="5" t="s">
        <v>7106</v>
      </c>
      <c r="H307" s="123">
        <v>303000</v>
      </c>
      <c r="J307" s="123">
        <v>606000</v>
      </c>
    </row>
    <row r="308" spans="1:12" ht="12.5">
      <c r="D308" s="5" t="s">
        <v>369</v>
      </c>
      <c r="E308" s="5" t="s">
        <v>7255</v>
      </c>
      <c r="G308" s="5" t="s">
        <v>7062</v>
      </c>
      <c r="H308" s="123">
        <v>716000</v>
      </c>
      <c r="J308" s="123">
        <v>716000</v>
      </c>
    </row>
    <row r="309" spans="1:12" ht="12.5">
      <c r="D309" s="5" t="s">
        <v>369</v>
      </c>
      <c r="E309" s="5" t="s">
        <v>7256</v>
      </c>
      <c r="G309" s="5" t="s">
        <v>7062</v>
      </c>
      <c r="H309" s="123">
        <v>303000</v>
      </c>
      <c r="J309" s="123">
        <v>303000</v>
      </c>
    </row>
    <row r="310" spans="1:12" ht="12.5">
      <c r="D310" s="5" t="s">
        <v>369</v>
      </c>
      <c r="E310" s="5" t="s">
        <v>7257</v>
      </c>
      <c r="G310" s="5" t="s">
        <v>7062</v>
      </c>
      <c r="H310" s="123">
        <v>303000</v>
      </c>
      <c r="J310" s="123">
        <v>303000</v>
      </c>
    </row>
    <row r="311" spans="1:12" ht="12.5">
      <c r="A311" s="5">
        <v>54</v>
      </c>
      <c r="D311" s="5" t="s">
        <v>7033</v>
      </c>
      <c r="J311" s="123">
        <v>2510000</v>
      </c>
      <c r="K311" s="5" t="s">
        <v>7025</v>
      </c>
    </row>
    <row r="312" spans="1:12" ht="12.5">
      <c r="A312" s="5" t="s">
        <v>7026</v>
      </c>
      <c r="D312" s="5" t="s">
        <v>7027</v>
      </c>
      <c r="J312" s="123">
        <v>2510000</v>
      </c>
    </row>
    <row r="313" spans="1:12" ht="12.5">
      <c r="A313" s="5">
        <v>521811</v>
      </c>
      <c r="D313" s="5" t="s">
        <v>7034</v>
      </c>
      <c r="J313" s="123">
        <v>2510000</v>
      </c>
      <c r="L313" s="5" t="s">
        <v>7029</v>
      </c>
    </row>
    <row r="314" spans="1:12" ht="12.5">
      <c r="D314" s="5" t="s">
        <v>7030</v>
      </c>
    </row>
    <row r="315" spans="1:12" ht="12.5">
      <c r="D315" s="5" t="s">
        <v>369</v>
      </c>
      <c r="E315" s="5" t="s">
        <v>7035</v>
      </c>
      <c r="G315" s="5" t="s">
        <v>7036</v>
      </c>
      <c r="H315" s="123">
        <v>2510000</v>
      </c>
      <c r="J315" s="123">
        <v>2510000</v>
      </c>
    </row>
    <row r="316" spans="1:12" ht="12.5">
      <c r="A316" s="5">
        <v>2904</v>
      </c>
      <c r="D316" s="5" t="s">
        <v>7258</v>
      </c>
      <c r="J316" s="123">
        <v>45311000</v>
      </c>
    </row>
    <row r="317" spans="1:12" ht="12.5">
      <c r="A317" s="5" t="s">
        <v>7259</v>
      </c>
      <c r="D317" s="5" t="s">
        <v>7018</v>
      </c>
      <c r="G317" s="5" t="s">
        <v>7019</v>
      </c>
      <c r="J317" s="123">
        <v>45311000</v>
      </c>
    </row>
    <row r="318" spans="1:12" ht="12.5">
      <c r="D318" s="5" t="s">
        <v>7020</v>
      </c>
    </row>
    <row r="319" spans="1:12" ht="12.5">
      <c r="A319" s="5" t="s">
        <v>7260</v>
      </c>
      <c r="D319" s="5" t="s">
        <v>7261</v>
      </c>
      <c r="G319" s="5" t="s">
        <v>7023</v>
      </c>
      <c r="J319" s="123">
        <v>45311000</v>
      </c>
    </row>
    <row r="320" spans="1:12" ht="12.5">
      <c r="A320" s="5">
        <v>5</v>
      </c>
      <c r="D320" s="5" t="s">
        <v>7024</v>
      </c>
      <c r="J320" s="123">
        <v>40839000</v>
      </c>
      <c r="K320" s="5" t="s">
        <v>7025</v>
      </c>
    </row>
    <row r="321" spans="1:15" ht="12.5">
      <c r="A321" s="5" t="s">
        <v>7026</v>
      </c>
      <c r="D321" s="5" t="s">
        <v>7027</v>
      </c>
      <c r="J321" s="123">
        <v>40839000</v>
      </c>
    </row>
    <row r="322" spans="1:15" ht="12.5">
      <c r="A322" s="5">
        <v>521213</v>
      </c>
      <c r="D322" s="5" t="s">
        <v>7072</v>
      </c>
      <c r="J322" s="123">
        <v>35889000</v>
      </c>
      <c r="K322" s="5">
        <v>9</v>
      </c>
      <c r="L322" s="5" t="s">
        <v>7029</v>
      </c>
    </row>
    <row r="323" spans="1:15" ht="12.5">
      <c r="D323" s="5" t="s">
        <v>7030</v>
      </c>
    </row>
    <row r="324" spans="1:15" ht="12.5">
      <c r="D324" s="5" t="s">
        <v>369</v>
      </c>
      <c r="E324" s="5" t="s">
        <v>7262</v>
      </c>
      <c r="G324" s="5" t="s">
        <v>7263</v>
      </c>
      <c r="H324" s="123">
        <v>68000</v>
      </c>
      <c r="J324" s="123">
        <v>3264000</v>
      </c>
      <c r="K324" s="5" t="s">
        <v>7165</v>
      </c>
      <c r="O324" s="5">
        <v>1</v>
      </c>
    </row>
    <row r="325" spans="1:15" ht="12.5">
      <c r="D325" s="5" t="s">
        <v>369</v>
      </c>
      <c r="E325" s="5" t="s">
        <v>7264</v>
      </c>
      <c r="G325" s="5" t="s">
        <v>7265</v>
      </c>
      <c r="H325" s="123">
        <v>30000</v>
      </c>
      <c r="J325" s="123">
        <v>810000</v>
      </c>
      <c r="O325" s="5">
        <v>1</v>
      </c>
    </row>
    <row r="326" spans="1:15" ht="12.5">
      <c r="D326" s="5" t="s">
        <v>369</v>
      </c>
      <c r="E326" s="5" t="s">
        <v>7266</v>
      </c>
      <c r="G326" s="5" t="s">
        <v>7267</v>
      </c>
      <c r="H326" s="123">
        <v>78000</v>
      </c>
      <c r="J326" s="123">
        <v>1794000</v>
      </c>
      <c r="O326" s="5">
        <v>1</v>
      </c>
    </row>
    <row r="327" spans="1:15" ht="12.5">
      <c r="D327" s="5" t="s">
        <v>369</v>
      </c>
      <c r="E327" s="5" t="s">
        <v>7268</v>
      </c>
      <c r="G327" s="5" t="s">
        <v>7269</v>
      </c>
      <c r="H327" s="123">
        <v>230000</v>
      </c>
      <c r="J327" s="123">
        <v>6210000</v>
      </c>
      <c r="O327" s="5">
        <v>1</v>
      </c>
    </row>
    <row r="328" spans="1:15" ht="12.5">
      <c r="D328" s="5" t="s">
        <v>369</v>
      </c>
      <c r="E328" s="5" t="s">
        <v>7270</v>
      </c>
      <c r="G328" s="5" t="s">
        <v>7271</v>
      </c>
      <c r="H328" s="123">
        <v>55000</v>
      </c>
      <c r="J328" s="123">
        <v>6325000</v>
      </c>
      <c r="O328" s="5">
        <v>1</v>
      </c>
    </row>
    <row r="329" spans="1:15" ht="12.5">
      <c r="D329" s="5" t="s">
        <v>369</v>
      </c>
      <c r="E329" s="5" t="s">
        <v>7272</v>
      </c>
      <c r="G329" s="5" t="s">
        <v>7273</v>
      </c>
      <c r="H329" s="123">
        <v>230000</v>
      </c>
      <c r="J329" s="123">
        <v>1610000</v>
      </c>
      <c r="K329" s="5" t="s">
        <v>7165</v>
      </c>
      <c r="O329" s="5">
        <v>1</v>
      </c>
    </row>
    <row r="330" spans="1:15" ht="12.5">
      <c r="D330" s="5" t="s">
        <v>369</v>
      </c>
      <c r="E330" s="5" t="s">
        <v>7274</v>
      </c>
      <c r="G330" s="5" t="s">
        <v>7275</v>
      </c>
      <c r="H330" s="123">
        <v>55000</v>
      </c>
      <c r="J330" s="123">
        <v>1595000</v>
      </c>
      <c r="O330" s="5">
        <v>1</v>
      </c>
    </row>
    <row r="331" spans="1:15" ht="12.5">
      <c r="D331" s="5" t="s">
        <v>369</v>
      </c>
      <c r="E331" s="5" t="s">
        <v>7276</v>
      </c>
      <c r="G331" s="5" t="s">
        <v>7277</v>
      </c>
      <c r="H331" s="123">
        <v>55000</v>
      </c>
      <c r="J331" s="123">
        <v>4620000</v>
      </c>
      <c r="K331" s="5" t="s">
        <v>7165</v>
      </c>
      <c r="O331" s="5">
        <v>1</v>
      </c>
    </row>
    <row r="332" spans="1:15" ht="12.5">
      <c r="D332" s="5" t="s">
        <v>369</v>
      </c>
      <c r="E332" s="5" t="s">
        <v>7278</v>
      </c>
      <c r="G332" s="5" t="s">
        <v>7279</v>
      </c>
      <c r="H332" s="123">
        <v>50000</v>
      </c>
      <c r="J332" s="123">
        <v>2500000</v>
      </c>
      <c r="O332" s="5">
        <v>1</v>
      </c>
    </row>
    <row r="333" spans="1:15" ht="12.5">
      <c r="D333" s="5" t="s">
        <v>369</v>
      </c>
      <c r="E333" s="5" t="s">
        <v>7280</v>
      </c>
      <c r="G333" s="5" t="s">
        <v>7281</v>
      </c>
      <c r="H333" s="123">
        <v>73000</v>
      </c>
      <c r="J333" s="123">
        <v>1095000</v>
      </c>
      <c r="O333" s="5">
        <v>1</v>
      </c>
    </row>
    <row r="334" spans="1:15" ht="12.5">
      <c r="D334" s="5" t="s">
        <v>369</v>
      </c>
      <c r="E334" s="5" t="s">
        <v>7282</v>
      </c>
      <c r="G334" s="5" t="s">
        <v>7283</v>
      </c>
      <c r="H334" s="123">
        <v>60000</v>
      </c>
      <c r="J334" s="123">
        <v>720000</v>
      </c>
      <c r="O334" s="5">
        <v>1</v>
      </c>
    </row>
    <row r="335" spans="1:15" ht="12.5">
      <c r="D335" s="5" t="s">
        <v>369</v>
      </c>
      <c r="E335" s="5" t="s">
        <v>7284</v>
      </c>
      <c r="G335" s="5" t="s">
        <v>7082</v>
      </c>
      <c r="H335" s="123">
        <v>50000</v>
      </c>
      <c r="J335" s="123">
        <v>1000000</v>
      </c>
      <c r="O335" s="5">
        <v>1</v>
      </c>
    </row>
    <row r="336" spans="1:15" ht="12.5">
      <c r="D336" s="5" t="s">
        <v>369</v>
      </c>
      <c r="E336" s="5" t="s">
        <v>7285</v>
      </c>
      <c r="G336" s="5" t="s">
        <v>7218</v>
      </c>
      <c r="H336" s="123">
        <v>80000</v>
      </c>
      <c r="J336" s="123">
        <v>80000</v>
      </c>
      <c r="O336" s="5">
        <v>1</v>
      </c>
    </row>
    <row r="337" spans="1:15" ht="12.5">
      <c r="D337" s="5" t="s">
        <v>369</v>
      </c>
      <c r="E337" s="5" t="s">
        <v>7286</v>
      </c>
      <c r="G337" s="5" t="s">
        <v>7218</v>
      </c>
      <c r="H337" s="123">
        <v>26000</v>
      </c>
      <c r="J337" s="123">
        <v>26000</v>
      </c>
      <c r="O337" s="5">
        <v>1</v>
      </c>
    </row>
    <row r="338" spans="1:15" ht="12.5">
      <c r="D338" s="5" t="s">
        <v>369</v>
      </c>
      <c r="E338" s="5" t="s">
        <v>7287</v>
      </c>
      <c r="G338" s="5" t="s">
        <v>7288</v>
      </c>
      <c r="H338" s="123">
        <v>75000</v>
      </c>
      <c r="J338" s="123">
        <v>225000</v>
      </c>
      <c r="O338" s="5">
        <v>1</v>
      </c>
    </row>
    <row r="339" spans="1:15" ht="12.5">
      <c r="D339" s="5" t="s">
        <v>369</v>
      </c>
      <c r="E339" s="5" t="s">
        <v>7289</v>
      </c>
      <c r="G339" s="5" t="s">
        <v>7290</v>
      </c>
      <c r="H339" s="123">
        <v>50000</v>
      </c>
      <c r="J339" s="123">
        <v>1600000</v>
      </c>
      <c r="O339" s="5">
        <v>1</v>
      </c>
    </row>
    <row r="340" spans="1:15" ht="12.5">
      <c r="D340" s="5" t="s">
        <v>369</v>
      </c>
      <c r="E340" s="5" t="s">
        <v>7291</v>
      </c>
      <c r="G340" s="5" t="s">
        <v>7292</v>
      </c>
      <c r="H340" s="123">
        <v>55000</v>
      </c>
      <c r="J340" s="123">
        <v>2365000</v>
      </c>
      <c r="O340" s="5">
        <v>1</v>
      </c>
    </row>
    <row r="341" spans="1:15" ht="12.5">
      <c r="D341" s="5" t="s">
        <v>369</v>
      </c>
      <c r="E341" s="5" t="s">
        <v>7293</v>
      </c>
      <c r="G341" s="5" t="s">
        <v>7218</v>
      </c>
      <c r="H341" s="123">
        <v>50000</v>
      </c>
      <c r="J341" s="123">
        <v>50000</v>
      </c>
      <c r="O341" s="5">
        <v>1</v>
      </c>
    </row>
    <row r="342" spans="1:15" ht="12.5">
      <c r="A342" s="5">
        <v>524113</v>
      </c>
      <c r="D342" s="5" t="s">
        <v>7028</v>
      </c>
      <c r="J342" s="123">
        <v>4950000</v>
      </c>
      <c r="K342" s="5">
        <v>9</v>
      </c>
      <c r="L342" s="5" t="s">
        <v>7029</v>
      </c>
    </row>
    <row r="343" spans="1:15" ht="12.5">
      <c r="D343" s="5" t="s">
        <v>7030</v>
      </c>
    </row>
    <row r="344" spans="1:15" ht="12.5">
      <c r="D344" s="5" t="s">
        <v>369</v>
      </c>
      <c r="E344" s="5" t="s">
        <v>7294</v>
      </c>
      <c r="G344" s="5" t="s">
        <v>7295</v>
      </c>
      <c r="H344" s="123">
        <v>150000</v>
      </c>
      <c r="J344" s="123">
        <v>600000</v>
      </c>
      <c r="K344" s="5" t="s">
        <v>7165</v>
      </c>
    </row>
    <row r="345" spans="1:15" ht="12.5">
      <c r="D345" s="5" t="s">
        <v>369</v>
      </c>
      <c r="E345" s="5" t="s">
        <v>7296</v>
      </c>
      <c r="G345" s="5" t="s">
        <v>7067</v>
      </c>
      <c r="H345" s="123">
        <v>150000</v>
      </c>
      <c r="J345" s="123">
        <v>150000</v>
      </c>
    </row>
    <row r="346" spans="1:15" ht="12.5">
      <c r="D346" s="5" t="s">
        <v>369</v>
      </c>
      <c r="E346" s="5" t="s">
        <v>7297</v>
      </c>
      <c r="G346" s="5" t="s">
        <v>7067</v>
      </c>
      <c r="H346" s="123">
        <v>150000</v>
      </c>
      <c r="J346" s="123">
        <v>150000</v>
      </c>
    </row>
    <row r="347" spans="1:15" ht="12.5">
      <c r="D347" s="5" t="s">
        <v>369</v>
      </c>
      <c r="E347" s="5" t="s">
        <v>7298</v>
      </c>
      <c r="G347" s="5" t="s">
        <v>7055</v>
      </c>
      <c r="H347" s="123">
        <v>150000</v>
      </c>
      <c r="J347" s="123">
        <v>450000</v>
      </c>
    </row>
    <row r="348" spans="1:15" ht="12.5">
      <c r="D348" s="5" t="s">
        <v>369</v>
      </c>
      <c r="E348" s="5" t="s">
        <v>7299</v>
      </c>
      <c r="G348" s="5" t="s">
        <v>7055</v>
      </c>
      <c r="H348" s="123">
        <v>150000</v>
      </c>
      <c r="J348" s="123">
        <v>450000</v>
      </c>
    </row>
    <row r="349" spans="1:15" ht="12.5">
      <c r="D349" s="5" t="s">
        <v>369</v>
      </c>
      <c r="E349" s="5" t="s">
        <v>7300</v>
      </c>
      <c r="G349" s="5" t="s">
        <v>7032</v>
      </c>
      <c r="H349" s="123">
        <v>150000</v>
      </c>
      <c r="J349" s="123">
        <v>300000</v>
      </c>
      <c r="K349" s="5" t="s">
        <v>7165</v>
      </c>
    </row>
    <row r="350" spans="1:15" ht="12.5">
      <c r="D350" s="5" t="s">
        <v>369</v>
      </c>
      <c r="E350" s="5" t="s">
        <v>7301</v>
      </c>
      <c r="G350" s="5" t="s">
        <v>7055</v>
      </c>
      <c r="H350" s="123">
        <v>150000</v>
      </c>
      <c r="J350" s="123">
        <v>450000</v>
      </c>
    </row>
    <row r="351" spans="1:15" ht="12.5">
      <c r="D351" s="5" t="s">
        <v>369</v>
      </c>
      <c r="E351" s="5" t="s">
        <v>7302</v>
      </c>
      <c r="G351" s="5" t="s">
        <v>7303</v>
      </c>
      <c r="H351" s="123">
        <v>150000</v>
      </c>
      <c r="J351" s="123">
        <v>900000</v>
      </c>
      <c r="K351" s="5" t="s">
        <v>7165</v>
      </c>
    </row>
    <row r="352" spans="1:15" ht="12.5">
      <c r="D352" s="5" t="s">
        <v>369</v>
      </c>
      <c r="E352" s="5" t="s">
        <v>7304</v>
      </c>
      <c r="G352" s="5" t="s">
        <v>7067</v>
      </c>
      <c r="H352" s="123">
        <v>150000</v>
      </c>
      <c r="J352" s="123">
        <v>150000</v>
      </c>
    </row>
    <row r="353" spans="1:12" ht="12.5">
      <c r="D353" s="5" t="s">
        <v>369</v>
      </c>
      <c r="E353" s="5" t="s">
        <v>7305</v>
      </c>
      <c r="G353" s="5" t="s">
        <v>7067</v>
      </c>
      <c r="H353" s="123">
        <v>150000</v>
      </c>
      <c r="J353" s="123">
        <v>150000</v>
      </c>
    </row>
    <row r="354" spans="1:12" ht="12.5">
      <c r="D354" s="5" t="s">
        <v>369</v>
      </c>
      <c r="E354" s="5" t="s">
        <v>7306</v>
      </c>
      <c r="G354" s="5" t="s">
        <v>7067</v>
      </c>
      <c r="H354" s="123">
        <v>150000</v>
      </c>
      <c r="J354" s="123">
        <v>150000</v>
      </c>
    </row>
    <row r="355" spans="1:12" ht="12.5">
      <c r="D355" s="5" t="s">
        <v>369</v>
      </c>
      <c r="E355" s="5" t="s">
        <v>7307</v>
      </c>
      <c r="G355" s="5" t="s">
        <v>7067</v>
      </c>
      <c r="H355" s="123">
        <v>150000</v>
      </c>
      <c r="J355" s="123">
        <v>150000</v>
      </c>
    </row>
    <row r="356" spans="1:12" ht="12.5">
      <c r="D356" s="5" t="s">
        <v>369</v>
      </c>
      <c r="E356" s="5" t="s">
        <v>7308</v>
      </c>
      <c r="G356" s="5" t="s">
        <v>7067</v>
      </c>
      <c r="H356" s="123">
        <v>150000</v>
      </c>
      <c r="J356" s="123">
        <v>150000</v>
      </c>
    </row>
    <row r="357" spans="1:12" ht="12.5">
      <c r="D357" s="5" t="s">
        <v>369</v>
      </c>
      <c r="E357" s="5" t="s">
        <v>7309</v>
      </c>
      <c r="G357" s="5" t="s">
        <v>7067</v>
      </c>
      <c r="H357" s="123">
        <v>150000</v>
      </c>
      <c r="J357" s="123">
        <v>150000</v>
      </c>
    </row>
    <row r="358" spans="1:12" ht="12.5">
      <c r="D358" s="5" t="s">
        <v>369</v>
      </c>
      <c r="E358" s="5" t="s">
        <v>7310</v>
      </c>
      <c r="G358" s="5" t="s">
        <v>7067</v>
      </c>
      <c r="H358" s="123">
        <v>150000</v>
      </c>
      <c r="J358" s="123">
        <v>150000</v>
      </c>
    </row>
    <row r="359" spans="1:12" ht="12.5">
      <c r="D359" s="5" t="s">
        <v>369</v>
      </c>
      <c r="E359" s="5" t="s">
        <v>7311</v>
      </c>
      <c r="G359" s="5" t="s">
        <v>7067</v>
      </c>
      <c r="H359" s="123">
        <v>150000</v>
      </c>
      <c r="J359" s="123">
        <v>150000</v>
      </c>
    </row>
    <row r="360" spans="1:12" ht="12.5">
      <c r="D360" s="5" t="s">
        <v>369</v>
      </c>
      <c r="E360" s="5" t="s">
        <v>7312</v>
      </c>
      <c r="G360" s="5" t="s">
        <v>7067</v>
      </c>
      <c r="H360" s="123">
        <v>150000</v>
      </c>
      <c r="J360" s="123">
        <v>150000</v>
      </c>
    </row>
    <row r="361" spans="1:12" ht="12.5">
      <c r="D361" s="5" t="s">
        <v>369</v>
      </c>
      <c r="E361" s="5" t="s">
        <v>7313</v>
      </c>
      <c r="G361" s="5" t="s">
        <v>7067</v>
      </c>
      <c r="H361" s="123">
        <v>150000</v>
      </c>
      <c r="J361" s="123">
        <v>150000</v>
      </c>
    </row>
    <row r="362" spans="1:12" ht="12.5">
      <c r="A362" s="5">
        <v>51</v>
      </c>
      <c r="D362" s="5" t="s">
        <v>7092</v>
      </c>
      <c r="J362" s="123">
        <v>3839000</v>
      </c>
      <c r="K362" s="5" t="s">
        <v>7025</v>
      </c>
    </row>
    <row r="363" spans="1:12" ht="12.5">
      <c r="A363" s="5" t="s">
        <v>7026</v>
      </c>
      <c r="D363" s="5" t="s">
        <v>7027</v>
      </c>
      <c r="J363" s="123">
        <v>3839000</v>
      </c>
    </row>
    <row r="364" spans="1:12" ht="12.5">
      <c r="A364" s="5">
        <v>521811</v>
      </c>
      <c r="D364" s="5" t="s">
        <v>7034</v>
      </c>
      <c r="J364" s="123">
        <v>3839000</v>
      </c>
      <c r="L364" s="5" t="s">
        <v>7029</v>
      </c>
    </row>
    <row r="365" spans="1:12" ht="12.5">
      <c r="D365" s="5" t="s">
        <v>7030</v>
      </c>
    </row>
    <row r="366" spans="1:12" ht="12.5">
      <c r="D366" s="5" t="s">
        <v>369</v>
      </c>
      <c r="E366" s="5" t="s">
        <v>7035</v>
      </c>
      <c r="G366" s="5" t="s">
        <v>7036</v>
      </c>
      <c r="H366" s="123">
        <v>3839000</v>
      </c>
      <c r="J366" s="123">
        <v>3839000</v>
      </c>
    </row>
    <row r="367" spans="1:12" ht="12.5">
      <c r="A367" s="5">
        <v>52</v>
      </c>
      <c r="D367" s="5" t="s">
        <v>7044</v>
      </c>
      <c r="J367" s="123">
        <v>393000</v>
      </c>
      <c r="K367" s="5" t="s">
        <v>7025</v>
      </c>
    </row>
    <row r="368" spans="1:12" ht="12.5">
      <c r="A368" s="5" t="s">
        <v>7026</v>
      </c>
      <c r="D368" s="5" t="s">
        <v>7027</v>
      </c>
      <c r="J368" s="123">
        <v>393000</v>
      </c>
    </row>
    <row r="369" spans="1:12" ht="12.5">
      <c r="A369" s="5">
        <v>524113</v>
      </c>
      <c r="D369" s="5" t="s">
        <v>7028</v>
      </c>
      <c r="J369" s="123">
        <v>393000</v>
      </c>
      <c r="K369" s="5">
        <v>9</v>
      </c>
      <c r="L369" s="5" t="s">
        <v>7029</v>
      </c>
    </row>
    <row r="370" spans="1:12" ht="12.5">
      <c r="D370" s="5" t="s">
        <v>7030</v>
      </c>
    </row>
    <row r="371" spans="1:12" ht="12.5">
      <c r="D371" s="5" t="s">
        <v>369</v>
      </c>
      <c r="E371" s="5" t="s">
        <v>7314</v>
      </c>
      <c r="G371" s="5" t="s">
        <v>7067</v>
      </c>
      <c r="H371" s="123">
        <v>90000</v>
      </c>
      <c r="J371" s="123">
        <v>90000</v>
      </c>
    </row>
    <row r="372" spans="1:12" ht="12.5">
      <c r="D372" s="5" t="s">
        <v>369</v>
      </c>
      <c r="E372" s="5" t="s">
        <v>7315</v>
      </c>
      <c r="G372" s="5" t="s">
        <v>7062</v>
      </c>
      <c r="H372" s="123">
        <v>303000</v>
      </c>
      <c r="J372" s="123">
        <v>303000</v>
      </c>
      <c r="K372" s="5" t="s">
        <v>7165</v>
      </c>
    </row>
    <row r="373" spans="1:12" ht="12.5">
      <c r="A373" s="5">
        <v>53</v>
      </c>
      <c r="D373" s="5" t="s">
        <v>7065</v>
      </c>
      <c r="J373" s="123">
        <v>240000</v>
      </c>
      <c r="K373" s="5" t="s">
        <v>7025</v>
      </c>
    </row>
    <row r="374" spans="1:12" ht="12.5">
      <c r="A374" s="5" t="s">
        <v>7026</v>
      </c>
      <c r="D374" s="5" t="s">
        <v>7027</v>
      </c>
      <c r="J374" s="123">
        <v>240000</v>
      </c>
    </row>
    <row r="375" spans="1:12" ht="12.5">
      <c r="A375" s="5">
        <v>524113</v>
      </c>
      <c r="D375" s="5" t="s">
        <v>7028</v>
      </c>
      <c r="J375" s="123">
        <v>240000</v>
      </c>
      <c r="L375" s="5" t="s">
        <v>7029</v>
      </c>
    </row>
    <row r="376" spans="1:12" ht="12.5">
      <c r="D376" s="5" t="s">
        <v>7030</v>
      </c>
    </row>
    <row r="377" spans="1:12" ht="12.5">
      <c r="D377" s="5" t="s">
        <v>369</v>
      </c>
      <c r="E377" s="5" t="s">
        <v>7316</v>
      </c>
      <c r="G377" s="5" t="s">
        <v>7062</v>
      </c>
      <c r="H377" s="123">
        <v>240000</v>
      </c>
      <c r="J377" s="123">
        <v>240000</v>
      </c>
    </row>
    <row r="378" spans="1:12" ht="12.5">
      <c r="A378" s="5">
        <v>2905</v>
      </c>
      <c r="D378" s="5" t="s">
        <v>7317</v>
      </c>
      <c r="J378" s="123">
        <v>152929000</v>
      </c>
    </row>
    <row r="379" spans="1:12" ht="12.5">
      <c r="A379" s="5" t="s">
        <v>7318</v>
      </c>
      <c r="D379" s="5" t="s">
        <v>7018</v>
      </c>
      <c r="G379" s="5" t="s">
        <v>7019</v>
      </c>
      <c r="J379" s="123">
        <v>152929000</v>
      </c>
    </row>
    <row r="380" spans="1:12" ht="12.5">
      <c r="D380" s="5" t="s">
        <v>7020</v>
      </c>
    </row>
    <row r="381" spans="1:12" ht="12.5">
      <c r="A381" s="5" t="s">
        <v>7319</v>
      </c>
      <c r="D381" s="5" t="s">
        <v>7320</v>
      </c>
      <c r="G381" s="5" t="s">
        <v>7023</v>
      </c>
      <c r="J381" s="123">
        <v>152929000</v>
      </c>
    </row>
    <row r="382" spans="1:12" ht="12.5">
      <c r="A382" s="5">
        <v>5</v>
      </c>
      <c r="D382" s="5" t="s">
        <v>7024</v>
      </c>
      <c r="J382" s="123">
        <v>98963000</v>
      </c>
      <c r="K382" s="5" t="s">
        <v>7025</v>
      </c>
    </row>
    <row r="383" spans="1:12" ht="12.5">
      <c r="A383" s="5" t="s">
        <v>7026</v>
      </c>
      <c r="D383" s="5" t="s">
        <v>7027</v>
      </c>
      <c r="J383" s="123">
        <v>98963000</v>
      </c>
    </row>
    <row r="384" spans="1:12" ht="12.5">
      <c r="A384" s="5">
        <v>521213</v>
      </c>
      <c r="D384" s="5" t="s">
        <v>7072</v>
      </c>
      <c r="J384" s="123">
        <v>70994000</v>
      </c>
      <c r="L384" s="5" t="s">
        <v>7029</v>
      </c>
    </row>
    <row r="385" spans="1:12" ht="12.5">
      <c r="D385" s="5" t="s">
        <v>7030</v>
      </c>
    </row>
    <row r="386" spans="1:12" ht="12.5">
      <c r="D386" s="5" t="s">
        <v>369</v>
      </c>
      <c r="E386" s="5" t="s">
        <v>7321</v>
      </c>
      <c r="G386" s="5" t="s">
        <v>7322</v>
      </c>
      <c r="H386" s="123">
        <v>168000</v>
      </c>
      <c r="J386" s="123">
        <v>2352000</v>
      </c>
    </row>
    <row r="387" spans="1:12" ht="12.5">
      <c r="D387" s="5" t="s">
        <v>369</v>
      </c>
      <c r="E387" s="5" t="s">
        <v>7323</v>
      </c>
      <c r="G387" s="5" t="s">
        <v>7324</v>
      </c>
      <c r="H387" s="123">
        <v>66000</v>
      </c>
      <c r="J387" s="123">
        <v>9240000</v>
      </c>
    </row>
    <row r="388" spans="1:12" ht="12.5">
      <c r="D388" s="5" t="s">
        <v>369</v>
      </c>
      <c r="E388" s="5" t="s">
        <v>7325</v>
      </c>
      <c r="G388" s="5" t="s">
        <v>7326</v>
      </c>
      <c r="H388" s="123">
        <v>168000</v>
      </c>
      <c r="J388" s="123">
        <v>9408000</v>
      </c>
    </row>
    <row r="389" spans="1:12" ht="12.5">
      <c r="D389" s="5" t="s">
        <v>369</v>
      </c>
      <c r="E389" s="5" t="s">
        <v>7327</v>
      </c>
      <c r="G389" s="5" t="s">
        <v>7326</v>
      </c>
      <c r="H389" s="123">
        <v>34000</v>
      </c>
      <c r="J389" s="123">
        <v>1904000</v>
      </c>
    </row>
    <row r="390" spans="1:12" ht="12.5">
      <c r="D390" s="5" t="s">
        <v>369</v>
      </c>
      <c r="E390" s="5" t="s">
        <v>7328</v>
      </c>
      <c r="G390" s="5" t="s">
        <v>7329</v>
      </c>
      <c r="H390" s="123">
        <v>66000</v>
      </c>
      <c r="J390" s="123">
        <v>36960000</v>
      </c>
    </row>
    <row r="391" spans="1:12" ht="12.5">
      <c r="D391" s="5" t="s">
        <v>369</v>
      </c>
      <c r="E391" s="5" t="s">
        <v>7330</v>
      </c>
      <c r="G391" s="5" t="s">
        <v>7331</v>
      </c>
      <c r="H391" s="123">
        <v>15000</v>
      </c>
      <c r="J391" s="123">
        <v>7140000</v>
      </c>
    </row>
    <row r="392" spans="1:12" ht="12.5">
      <c r="D392" s="5" t="s">
        <v>369</v>
      </c>
      <c r="E392" s="5" t="s">
        <v>7332</v>
      </c>
      <c r="G392" s="5" t="s">
        <v>7333</v>
      </c>
      <c r="H392" s="123">
        <v>55000</v>
      </c>
      <c r="J392" s="123">
        <v>770000</v>
      </c>
    </row>
    <row r="393" spans="1:12" ht="12.5">
      <c r="D393" s="5" t="s">
        <v>369</v>
      </c>
      <c r="E393" s="5" t="s">
        <v>7334</v>
      </c>
      <c r="G393" s="5" t="s">
        <v>7335</v>
      </c>
      <c r="H393" s="123">
        <v>23000</v>
      </c>
      <c r="J393" s="123">
        <v>3220000</v>
      </c>
    </row>
    <row r="394" spans="1:12" ht="12.5">
      <c r="A394" s="5">
        <v>524113</v>
      </c>
      <c r="D394" s="5" t="s">
        <v>7028</v>
      </c>
      <c r="J394" s="123">
        <v>27969000</v>
      </c>
      <c r="L394" s="5" t="s">
        <v>7029</v>
      </c>
    </row>
    <row r="395" spans="1:12" ht="12.5">
      <c r="D395" s="5" t="s">
        <v>7030</v>
      </c>
    </row>
    <row r="396" spans="1:12" ht="12.5">
      <c r="D396" s="5" t="s">
        <v>369</v>
      </c>
      <c r="E396" s="5" t="s">
        <v>7336</v>
      </c>
      <c r="G396" s="5" t="s">
        <v>7175</v>
      </c>
      <c r="H396" s="123">
        <v>150000</v>
      </c>
      <c r="J396" s="123">
        <v>600000</v>
      </c>
    </row>
    <row r="397" spans="1:12" ht="12.5">
      <c r="D397" s="5" t="s">
        <v>369</v>
      </c>
      <c r="E397" s="5" t="s">
        <v>7337</v>
      </c>
      <c r="G397" s="5" t="s">
        <v>7147</v>
      </c>
      <c r="H397" s="123">
        <v>100000</v>
      </c>
      <c r="J397" s="123">
        <v>1200000</v>
      </c>
    </row>
    <row r="398" spans="1:12" ht="12.5">
      <c r="D398" s="5" t="s">
        <v>369</v>
      </c>
      <c r="E398" s="5" t="s">
        <v>7338</v>
      </c>
      <c r="G398" s="5" t="s">
        <v>7175</v>
      </c>
      <c r="H398" s="123">
        <v>150000</v>
      </c>
      <c r="J398" s="123">
        <v>600000</v>
      </c>
    </row>
    <row r="399" spans="1:12" ht="12.5">
      <c r="D399" s="5" t="s">
        <v>369</v>
      </c>
      <c r="E399" s="5" t="s">
        <v>7339</v>
      </c>
      <c r="G399" s="5" t="s">
        <v>7147</v>
      </c>
      <c r="H399" s="123">
        <v>150000</v>
      </c>
      <c r="J399" s="123">
        <v>1800000</v>
      </c>
    </row>
    <row r="400" spans="1:12" ht="12.5">
      <c r="D400" s="5" t="s">
        <v>369</v>
      </c>
      <c r="E400" s="5" t="s">
        <v>7340</v>
      </c>
      <c r="G400" s="5" t="s">
        <v>7341</v>
      </c>
      <c r="H400" s="123">
        <v>150000</v>
      </c>
      <c r="J400" s="123">
        <v>5400000</v>
      </c>
    </row>
    <row r="401" spans="1:12" ht="12.5">
      <c r="D401" s="5" t="s">
        <v>369</v>
      </c>
      <c r="E401" s="5" t="s">
        <v>7035</v>
      </c>
      <c r="G401" s="5" t="s">
        <v>7036</v>
      </c>
      <c r="H401" s="123">
        <v>18369000</v>
      </c>
      <c r="J401" s="123">
        <v>18369000</v>
      </c>
    </row>
    <row r="402" spans="1:12" ht="12.5">
      <c r="A402" s="5">
        <v>51</v>
      </c>
      <c r="D402" s="5" t="s">
        <v>7092</v>
      </c>
      <c r="J402" s="123">
        <v>49372000</v>
      </c>
      <c r="K402" s="5" t="s">
        <v>7025</v>
      </c>
    </row>
    <row r="403" spans="1:12" ht="12.5">
      <c r="A403" s="5" t="s">
        <v>7026</v>
      </c>
      <c r="D403" s="5" t="s">
        <v>7027</v>
      </c>
      <c r="J403" s="123">
        <v>49372000</v>
      </c>
    </row>
    <row r="404" spans="1:12" ht="12.5">
      <c r="A404" s="5">
        <v>521211</v>
      </c>
      <c r="D404" s="5" t="s">
        <v>7056</v>
      </c>
      <c r="J404" s="123">
        <v>7900000</v>
      </c>
      <c r="L404" s="5" t="s">
        <v>7029</v>
      </c>
    </row>
    <row r="405" spans="1:12" ht="12.5">
      <c r="D405" s="5" t="s">
        <v>7030</v>
      </c>
    </row>
    <row r="406" spans="1:12" ht="12.5">
      <c r="D406" s="5" t="s">
        <v>369</v>
      </c>
      <c r="E406" s="5" t="s">
        <v>7342</v>
      </c>
      <c r="G406" s="5" t="s">
        <v>7096</v>
      </c>
      <c r="H406" s="123">
        <v>50000</v>
      </c>
      <c r="J406" s="123">
        <v>500000</v>
      </c>
    </row>
    <row r="407" spans="1:12" ht="12.5">
      <c r="D407" s="5" t="s">
        <v>369</v>
      </c>
      <c r="E407" s="5" t="s">
        <v>7343</v>
      </c>
      <c r="G407" s="5" t="s">
        <v>7183</v>
      </c>
      <c r="H407" s="123">
        <v>150000</v>
      </c>
      <c r="J407" s="123">
        <v>1200000</v>
      </c>
    </row>
    <row r="408" spans="1:12" ht="12.5">
      <c r="D408" s="5" t="s">
        <v>369</v>
      </c>
      <c r="E408" s="5" t="s">
        <v>7344</v>
      </c>
      <c r="G408" s="5" t="s">
        <v>7345</v>
      </c>
      <c r="H408" s="123">
        <v>50000</v>
      </c>
      <c r="J408" s="123">
        <v>1550000</v>
      </c>
    </row>
    <row r="409" spans="1:12" ht="12.5">
      <c r="D409" s="5" t="s">
        <v>369</v>
      </c>
      <c r="E409" s="5" t="s">
        <v>7346</v>
      </c>
      <c r="G409" s="5" t="s">
        <v>7347</v>
      </c>
      <c r="H409" s="123">
        <v>150000</v>
      </c>
      <c r="J409" s="123">
        <v>4650000</v>
      </c>
    </row>
    <row r="410" spans="1:12" ht="12.5">
      <c r="A410" s="5">
        <v>521213</v>
      </c>
      <c r="D410" s="5" t="s">
        <v>7072</v>
      </c>
      <c r="J410" s="123">
        <v>7314000</v>
      </c>
      <c r="L410" s="5" t="s">
        <v>7029</v>
      </c>
    </row>
    <row r="411" spans="1:12" ht="12.5">
      <c r="D411" s="5" t="s">
        <v>7030</v>
      </c>
    </row>
    <row r="412" spans="1:12" ht="12.5">
      <c r="D412" s="5" t="s">
        <v>369</v>
      </c>
      <c r="E412" s="5" t="s">
        <v>7348</v>
      </c>
      <c r="G412" s="5" t="s">
        <v>7349</v>
      </c>
      <c r="H412" s="123">
        <v>120250</v>
      </c>
      <c r="J412" s="123">
        <v>2886000</v>
      </c>
    </row>
    <row r="413" spans="1:12" ht="12.5">
      <c r="D413" s="5" t="s">
        <v>369</v>
      </c>
      <c r="E413" s="5" t="s">
        <v>7350</v>
      </c>
      <c r="G413" s="5" t="s">
        <v>7351</v>
      </c>
      <c r="H413" s="123">
        <v>123000</v>
      </c>
      <c r="J413" s="123">
        <v>4428000</v>
      </c>
    </row>
    <row r="414" spans="1:12" ht="12.5">
      <c r="A414" s="5">
        <v>524114</v>
      </c>
      <c r="D414" s="5" t="s">
        <v>7048</v>
      </c>
      <c r="J414" s="123">
        <v>34158000</v>
      </c>
      <c r="L414" s="5" t="s">
        <v>7029</v>
      </c>
    </row>
    <row r="415" spans="1:12" ht="12.5">
      <c r="D415" s="5" t="s">
        <v>7030</v>
      </c>
    </row>
    <row r="416" spans="1:12" ht="12.5">
      <c r="D416" s="5" t="s">
        <v>369</v>
      </c>
      <c r="E416" s="5" t="s">
        <v>7352</v>
      </c>
      <c r="G416" s="5" t="s">
        <v>7353</v>
      </c>
      <c r="H416" s="123">
        <v>484000</v>
      </c>
      <c r="J416" s="123">
        <v>6292000</v>
      </c>
    </row>
    <row r="417" spans="1:12" ht="12.5">
      <c r="D417" s="5" t="s">
        <v>369</v>
      </c>
      <c r="E417" s="5" t="s">
        <v>7354</v>
      </c>
      <c r="G417" s="5" t="s">
        <v>7355</v>
      </c>
      <c r="H417" s="123">
        <v>257000</v>
      </c>
      <c r="J417" s="123">
        <v>2827000</v>
      </c>
    </row>
    <row r="418" spans="1:12" ht="12.5">
      <c r="D418" s="5" t="s">
        <v>369</v>
      </c>
      <c r="E418" s="5" t="s">
        <v>7356</v>
      </c>
      <c r="G418" s="5" t="s">
        <v>7357</v>
      </c>
      <c r="H418" s="123">
        <v>484000</v>
      </c>
      <c r="J418" s="123">
        <v>15972000</v>
      </c>
    </row>
    <row r="419" spans="1:12" ht="12.5">
      <c r="D419" s="5" t="s">
        <v>369</v>
      </c>
      <c r="E419" s="5" t="s">
        <v>7358</v>
      </c>
      <c r="G419" s="5" t="s">
        <v>7357</v>
      </c>
      <c r="H419" s="123">
        <v>274758</v>
      </c>
      <c r="J419" s="123">
        <v>9067000</v>
      </c>
    </row>
    <row r="420" spans="1:12" ht="12.5">
      <c r="A420" s="5">
        <v>52</v>
      </c>
      <c r="D420" s="5" t="s">
        <v>7044</v>
      </c>
      <c r="J420" s="123">
        <v>4594000</v>
      </c>
      <c r="K420" s="5" t="s">
        <v>7025</v>
      </c>
    </row>
    <row r="421" spans="1:12" ht="12.5">
      <c r="A421" s="5" t="s">
        <v>7026</v>
      </c>
      <c r="D421" s="5" t="s">
        <v>7027</v>
      </c>
      <c r="J421" s="123">
        <v>4594000</v>
      </c>
    </row>
    <row r="422" spans="1:12" ht="12.5">
      <c r="A422" s="5">
        <v>521211</v>
      </c>
      <c r="D422" s="5" t="s">
        <v>7056</v>
      </c>
      <c r="J422" s="123">
        <v>3900000</v>
      </c>
      <c r="L422" s="5" t="s">
        <v>7029</v>
      </c>
    </row>
    <row r="423" spans="1:12" ht="12.5">
      <c r="D423" s="5" t="s">
        <v>7030</v>
      </c>
    </row>
    <row r="424" spans="1:12" ht="12.5">
      <c r="D424" s="5" t="s">
        <v>369</v>
      </c>
      <c r="E424" s="5" t="s">
        <v>7343</v>
      </c>
      <c r="G424" s="5" t="s">
        <v>7183</v>
      </c>
      <c r="H424" s="123">
        <v>100000</v>
      </c>
      <c r="J424" s="123">
        <v>800000</v>
      </c>
    </row>
    <row r="425" spans="1:12" ht="12.5">
      <c r="D425" s="5" t="s">
        <v>369</v>
      </c>
      <c r="E425" s="5" t="s">
        <v>7346</v>
      </c>
      <c r="G425" s="5" t="s">
        <v>7347</v>
      </c>
      <c r="H425" s="123">
        <v>100000</v>
      </c>
      <c r="J425" s="123">
        <v>3100000</v>
      </c>
    </row>
    <row r="426" spans="1:12" ht="12.5">
      <c r="A426" s="5">
        <v>524113</v>
      </c>
      <c r="D426" s="5" t="s">
        <v>7028</v>
      </c>
      <c r="J426" s="123">
        <v>694000</v>
      </c>
      <c r="L426" s="5" t="s">
        <v>7029</v>
      </c>
    </row>
    <row r="427" spans="1:12" ht="12.5">
      <c r="D427" s="5" t="s">
        <v>7030</v>
      </c>
    </row>
    <row r="428" spans="1:12" ht="12.5">
      <c r="D428" s="5" t="s">
        <v>369</v>
      </c>
      <c r="E428" s="5" t="s">
        <v>7359</v>
      </c>
      <c r="G428" s="5" t="s">
        <v>7062</v>
      </c>
      <c r="H428" s="123">
        <v>303000</v>
      </c>
      <c r="J428" s="123">
        <v>303000</v>
      </c>
    </row>
    <row r="429" spans="1:12" ht="12.5">
      <c r="D429" s="5" t="s">
        <v>369</v>
      </c>
      <c r="E429" s="5" t="s">
        <v>7360</v>
      </c>
      <c r="G429" s="5" t="s">
        <v>7062</v>
      </c>
      <c r="H429" s="123">
        <v>303000</v>
      </c>
      <c r="J429" s="123">
        <v>303000</v>
      </c>
    </row>
    <row r="430" spans="1:12" ht="12.5">
      <c r="D430" s="5" t="s">
        <v>369</v>
      </c>
      <c r="E430" s="5" t="s">
        <v>7361</v>
      </c>
      <c r="G430" s="5" t="s">
        <v>7067</v>
      </c>
      <c r="H430" s="123">
        <v>88000</v>
      </c>
      <c r="J430" s="123">
        <v>88000</v>
      </c>
    </row>
    <row r="431" spans="1:12" ht="12.5">
      <c r="A431" s="5">
        <v>2906</v>
      </c>
      <c r="D431" s="5" t="s">
        <v>7362</v>
      </c>
      <c r="J431" s="123">
        <v>338234000</v>
      </c>
    </row>
    <row r="432" spans="1:12" ht="12.5">
      <c r="A432" s="5" t="s">
        <v>7363</v>
      </c>
      <c r="D432" s="5" t="s">
        <v>7018</v>
      </c>
      <c r="G432" s="5" t="s">
        <v>7019</v>
      </c>
      <c r="J432" s="123">
        <v>338234000</v>
      </c>
    </row>
    <row r="433" spans="1:12" ht="12.5">
      <c r="D433" s="5" t="s">
        <v>7020</v>
      </c>
    </row>
    <row r="434" spans="1:12" ht="12.5">
      <c r="A434" s="5" t="s">
        <v>7364</v>
      </c>
      <c r="D434" s="5" t="s">
        <v>7365</v>
      </c>
      <c r="G434" s="5" t="s">
        <v>7023</v>
      </c>
      <c r="J434" s="123">
        <v>338234000</v>
      </c>
    </row>
    <row r="435" spans="1:12" ht="12.5">
      <c r="A435" s="5">
        <v>5</v>
      </c>
      <c r="D435" s="5" t="s">
        <v>7024</v>
      </c>
      <c r="J435" s="123">
        <v>243395000</v>
      </c>
      <c r="K435" s="5" t="s">
        <v>7025</v>
      </c>
    </row>
    <row r="436" spans="1:12" ht="12.5">
      <c r="A436" s="5" t="s">
        <v>7026</v>
      </c>
      <c r="D436" s="5" t="s">
        <v>7027</v>
      </c>
      <c r="J436" s="123">
        <v>243395000</v>
      </c>
    </row>
    <row r="437" spans="1:12" ht="12.5">
      <c r="A437" s="5">
        <v>521213</v>
      </c>
      <c r="D437" s="5" t="s">
        <v>7072</v>
      </c>
      <c r="J437" s="123">
        <v>208495000</v>
      </c>
      <c r="K437" s="5">
        <v>9</v>
      </c>
      <c r="L437" s="5" t="s">
        <v>7029</v>
      </c>
    </row>
    <row r="438" spans="1:12" ht="12.5">
      <c r="D438" s="5" t="s">
        <v>7030</v>
      </c>
    </row>
    <row r="439" spans="1:12" ht="12.5">
      <c r="D439" s="5" t="s">
        <v>369</v>
      </c>
      <c r="E439" s="5" t="s">
        <v>7366</v>
      </c>
      <c r="G439" s="5" t="s">
        <v>7367</v>
      </c>
      <c r="H439" s="123">
        <v>168000</v>
      </c>
      <c r="J439" s="123">
        <v>2352000</v>
      </c>
      <c r="K439" s="5" t="s">
        <v>7165</v>
      </c>
    </row>
    <row r="440" spans="1:12" ht="12.5">
      <c r="D440" s="5" t="s">
        <v>369</v>
      </c>
      <c r="E440" s="5" t="s">
        <v>7368</v>
      </c>
      <c r="G440" s="5" t="s">
        <v>7369</v>
      </c>
      <c r="H440" s="123">
        <v>34000</v>
      </c>
      <c r="J440" s="123">
        <v>476000</v>
      </c>
      <c r="K440" s="5" t="s">
        <v>7165</v>
      </c>
    </row>
    <row r="441" spans="1:12" ht="12.5">
      <c r="D441" s="5" t="s">
        <v>369</v>
      </c>
      <c r="E441" s="5" t="s">
        <v>7370</v>
      </c>
      <c r="G441" s="5" t="s">
        <v>7324</v>
      </c>
      <c r="H441" s="123">
        <v>119000</v>
      </c>
      <c r="J441" s="123">
        <v>16660000</v>
      </c>
      <c r="K441" s="5" t="s">
        <v>7165</v>
      </c>
    </row>
    <row r="442" spans="1:12" ht="12.5">
      <c r="D442" s="5" t="s">
        <v>369</v>
      </c>
      <c r="E442" s="5" t="s">
        <v>7371</v>
      </c>
      <c r="G442" s="5" t="s">
        <v>7372</v>
      </c>
      <c r="H442" s="123">
        <v>27500</v>
      </c>
      <c r="J442" s="123">
        <v>3520000</v>
      </c>
      <c r="K442" s="5" t="s">
        <v>7165</v>
      </c>
    </row>
    <row r="443" spans="1:12" ht="12.5">
      <c r="D443" s="5" t="s">
        <v>369</v>
      </c>
      <c r="E443" s="5" t="s">
        <v>7373</v>
      </c>
      <c r="G443" s="5" t="s">
        <v>7374</v>
      </c>
      <c r="H443" s="123">
        <v>168000</v>
      </c>
      <c r="J443" s="123">
        <v>10416000</v>
      </c>
    </row>
    <row r="444" spans="1:12" ht="12.5">
      <c r="D444" s="5" t="s">
        <v>369</v>
      </c>
      <c r="E444" s="5" t="s">
        <v>7375</v>
      </c>
      <c r="G444" s="5" t="s">
        <v>7376</v>
      </c>
      <c r="H444" s="123">
        <v>34000</v>
      </c>
      <c r="J444" s="123">
        <v>2108000</v>
      </c>
    </row>
    <row r="445" spans="1:12" ht="12.5">
      <c r="D445" s="5" t="s">
        <v>369</v>
      </c>
      <c r="E445" s="5" t="s">
        <v>7377</v>
      </c>
      <c r="G445" s="5" t="s">
        <v>7378</v>
      </c>
      <c r="H445" s="123">
        <v>119000</v>
      </c>
      <c r="J445" s="123">
        <v>73780000</v>
      </c>
    </row>
    <row r="446" spans="1:12" ht="12.5">
      <c r="D446" s="5" t="s">
        <v>369</v>
      </c>
      <c r="E446" s="5" t="s">
        <v>7379</v>
      </c>
      <c r="G446" s="5" t="s">
        <v>7378</v>
      </c>
      <c r="H446" s="123">
        <v>27500</v>
      </c>
      <c r="J446" s="123">
        <v>17050000</v>
      </c>
    </row>
    <row r="447" spans="1:12" ht="12.5">
      <c r="D447" s="5" t="s">
        <v>369</v>
      </c>
      <c r="E447" s="5" t="s">
        <v>7380</v>
      </c>
      <c r="G447" s="5" t="s">
        <v>7381</v>
      </c>
      <c r="H447" s="123">
        <v>60000</v>
      </c>
      <c r="J447" s="123">
        <v>16800000</v>
      </c>
      <c r="K447" s="5" t="s">
        <v>7165</v>
      </c>
    </row>
    <row r="448" spans="1:12" ht="12.5">
      <c r="D448" s="5" t="s">
        <v>369</v>
      </c>
      <c r="E448" s="5" t="s">
        <v>7382</v>
      </c>
      <c r="G448" s="5" t="s">
        <v>7381</v>
      </c>
      <c r="H448" s="123">
        <v>91000</v>
      </c>
      <c r="J448" s="123">
        <v>25480000</v>
      </c>
      <c r="K448" s="5" t="s">
        <v>7165</v>
      </c>
    </row>
    <row r="449" spans="1:12" ht="12.5">
      <c r="D449" s="5" t="s">
        <v>369</v>
      </c>
      <c r="E449" s="5" t="s">
        <v>7383</v>
      </c>
      <c r="G449" s="5" t="s">
        <v>7384</v>
      </c>
      <c r="H449" s="123">
        <v>12000</v>
      </c>
      <c r="J449" s="123">
        <v>3084000</v>
      </c>
      <c r="K449" s="5" t="s">
        <v>7165</v>
      </c>
    </row>
    <row r="450" spans="1:12" ht="12.5">
      <c r="D450" s="5" t="s">
        <v>369</v>
      </c>
      <c r="E450" s="5" t="s">
        <v>7385</v>
      </c>
      <c r="G450" s="5" t="s">
        <v>7384</v>
      </c>
      <c r="H450" s="123">
        <v>17000</v>
      </c>
      <c r="J450" s="123">
        <v>4369000</v>
      </c>
      <c r="K450" s="5" t="s">
        <v>7165</v>
      </c>
    </row>
    <row r="451" spans="1:12" ht="12.5">
      <c r="D451" s="5" t="s">
        <v>369</v>
      </c>
      <c r="E451" s="5" t="s">
        <v>7386</v>
      </c>
      <c r="G451" s="5" t="s">
        <v>7387</v>
      </c>
      <c r="H451" s="123">
        <v>55000</v>
      </c>
      <c r="J451" s="123">
        <v>2640000</v>
      </c>
    </row>
    <row r="452" spans="1:12" ht="12.5">
      <c r="D452" s="5" t="s">
        <v>369</v>
      </c>
      <c r="E452" s="5" t="s">
        <v>7388</v>
      </c>
      <c r="G452" s="5" t="s">
        <v>7389</v>
      </c>
      <c r="H452" s="123">
        <v>62000</v>
      </c>
      <c r="J452" s="123">
        <v>29760000</v>
      </c>
    </row>
    <row r="453" spans="1:12" ht="12.5">
      <c r="A453" s="5">
        <v>524113</v>
      </c>
      <c r="D453" s="5" t="s">
        <v>7028</v>
      </c>
      <c r="J453" s="123">
        <v>34900000</v>
      </c>
      <c r="K453" s="5">
        <v>9</v>
      </c>
      <c r="L453" s="5" t="s">
        <v>7029</v>
      </c>
    </row>
    <row r="454" spans="1:12" ht="12.5">
      <c r="D454" s="5" t="s">
        <v>7030</v>
      </c>
    </row>
    <row r="455" spans="1:12" ht="12.5">
      <c r="D455" s="5" t="s">
        <v>369</v>
      </c>
      <c r="E455" s="5" t="s">
        <v>7390</v>
      </c>
      <c r="G455" s="5" t="s">
        <v>7055</v>
      </c>
      <c r="H455" s="123">
        <v>150000</v>
      </c>
      <c r="J455" s="123">
        <v>450000</v>
      </c>
      <c r="K455" s="5" t="s">
        <v>7165</v>
      </c>
    </row>
    <row r="456" spans="1:12" ht="12.5">
      <c r="D456" s="5" t="s">
        <v>369</v>
      </c>
      <c r="E456" s="5" t="s">
        <v>7391</v>
      </c>
      <c r="G456" s="5" t="s">
        <v>7085</v>
      </c>
      <c r="H456" s="123">
        <v>150000</v>
      </c>
      <c r="J456" s="123">
        <v>4200000</v>
      </c>
      <c r="K456" s="5" t="s">
        <v>7165</v>
      </c>
    </row>
    <row r="457" spans="1:12" ht="12.5">
      <c r="D457" s="5" t="s">
        <v>369</v>
      </c>
      <c r="E457" s="5" t="s">
        <v>7392</v>
      </c>
      <c r="G457" s="5" t="s">
        <v>7032</v>
      </c>
      <c r="H457" s="123">
        <v>150000</v>
      </c>
      <c r="J457" s="123">
        <v>300000</v>
      </c>
      <c r="K457" s="5" t="s">
        <v>7165</v>
      </c>
    </row>
    <row r="458" spans="1:12" ht="12.5">
      <c r="D458" s="5" t="s">
        <v>369</v>
      </c>
      <c r="E458" s="5" t="s">
        <v>7393</v>
      </c>
      <c r="G458" s="5" t="s">
        <v>7394</v>
      </c>
      <c r="H458" s="123">
        <v>150000</v>
      </c>
      <c r="J458" s="123">
        <v>2100000</v>
      </c>
      <c r="K458" s="5" t="s">
        <v>7165</v>
      </c>
    </row>
    <row r="459" spans="1:12" ht="12.5">
      <c r="D459" s="5" t="s">
        <v>369</v>
      </c>
      <c r="E459" s="5" t="s">
        <v>7395</v>
      </c>
      <c r="G459" s="5" t="s">
        <v>7394</v>
      </c>
      <c r="H459" s="123">
        <v>150000</v>
      </c>
      <c r="J459" s="123">
        <v>2100000</v>
      </c>
      <c r="K459" s="5" t="s">
        <v>7165</v>
      </c>
    </row>
    <row r="460" spans="1:12" ht="12.5">
      <c r="D460" s="5" t="s">
        <v>369</v>
      </c>
      <c r="E460" s="5" t="s">
        <v>7396</v>
      </c>
      <c r="G460" s="5" t="s">
        <v>7127</v>
      </c>
      <c r="H460" s="123">
        <v>150000</v>
      </c>
      <c r="J460" s="123">
        <v>1200000</v>
      </c>
    </row>
    <row r="461" spans="1:12" ht="12.5">
      <c r="D461" s="5" t="s">
        <v>369</v>
      </c>
      <c r="E461" s="5" t="s">
        <v>7397</v>
      </c>
      <c r="G461" s="5" t="s">
        <v>7398</v>
      </c>
      <c r="H461" s="123">
        <v>100000</v>
      </c>
      <c r="J461" s="123">
        <v>7000000</v>
      </c>
    </row>
    <row r="462" spans="1:12" ht="12.5">
      <c r="D462" s="5" t="s">
        <v>369</v>
      </c>
      <c r="E462" s="5" t="s">
        <v>7399</v>
      </c>
      <c r="G462" s="5" t="s">
        <v>7400</v>
      </c>
      <c r="H462" s="123">
        <v>150000</v>
      </c>
      <c r="J462" s="123">
        <v>9300000</v>
      </c>
    </row>
    <row r="463" spans="1:12" ht="12.5">
      <c r="D463" s="5" t="s">
        <v>369</v>
      </c>
      <c r="E463" s="5" t="s">
        <v>7401</v>
      </c>
      <c r="G463" s="5" t="s">
        <v>7127</v>
      </c>
      <c r="H463" s="123">
        <v>150000</v>
      </c>
      <c r="J463" s="123">
        <v>1200000</v>
      </c>
    </row>
    <row r="464" spans="1:12" ht="12.5">
      <c r="D464" s="5" t="s">
        <v>369</v>
      </c>
      <c r="E464" s="5" t="s">
        <v>7402</v>
      </c>
      <c r="G464" s="5" t="s">
        <v>7403</v>
      </c>
      <c r="H464" s="123">
        <v>150000</v>
      </c>
      <c r="J464" s="123">
        <v>2700000</v>
      </c>
      <c r="K464" s="5" t="s">
        <v>7165</v>
      </c>
    </row>
    <row r="465" spans="1:12" ht="12.5">
      <c r="D465" s="5" t="s">
        <v>369</v>
      </c>
      <c r="E465" s="5" t="s">
        <v>7404</v>
      </c>
      <c r="G465" s="5" t="s">
        <v>7222</v>
      </c>
      <c r="H465" s="123">
        <v>150000</v>
      </c>
      <c r="J465" s="123">
        <v>3750000</v>
      </c>
      <c r="K465" s="5" t="s">
        <v>7165</v>
      </c>
    </row>
    <row r="466" spans="1:12" ht="12.5">
      <c r="D466" s="5" t="s">
        <v>369</v>
      </c>
      <c r="E466" s="5" t="s">
        <v>7405</v>
      </c>
      <c r="G466" s="5" t="s">
        <v>7032</v>
      </c>
      <c r="H466" s="123">
        <v>150000</v>
      </c>
      <c r="J466" s="123">
        <v>300000</v>
      </c>
      <c r="K466" s="5" t="s">
        <v>7165</v>
      </c>
    </row>
    <row r="467" spans="1:12" ht="12.5">
      <c r="D467" s="5" t="s">
        <v>369</v>
      </c>
      <c r="E467" s="5" t="s">
        <v>7406</v>
      </c>
      <c r="G467" s="5" t="s">
        <v>7032</v>
      </c>
      <c r="H467" s="123">
        <v>150000</v>
      </c>
      <c r="J467" s="123">
        <v>300000</v>
      </c>
      <c r="K467" s="5" t="s">
        <v>7165</v>
      </c>
    </row>
    <row r="468" spans="1:12" ht="12.5">
      <c r="A468" s="5">
        <v>51</v>
      </c>
      <c r="D468" s="5" t="s">
        <v>7092</v>
      </c>
      <c r="J468" s="123">
        <v>57354000</v>
      </c>
      <c r="K468" s="5" t="s">
        <v>7025</v>
      </c>
    </row>
    <row r="469" spans="1:12" ht="12.5">
      <c r="A469" s="5" t="s">
        <v>7026</v>
      </c>
      <c r="D469" s="5" t="s">
        <v>7027</v>
      </c>
      <c r="J469" s="123">
        <v>57354000</v>
      </c>
    </row>
    <row r="470" spans="1:12" ht="12.5">
      <c r="A470" s="5">
        <v>521211</v>
      </c>
      <c r="D470" s="5" t="s">
        <v>7056</v>
      </c>
      <c r="J470" s="123">
        <v>7700000</v>
      </c>
      <c r="L470" s="5" t="s">
        <v>7029</v>
      </c>
    </row>
    <row r="471" spans="1:12" ht="12.5">
      <c r="D471" s="5" t="s">
        <v>7030</v>
      </c>
    </row>
    <row r="472" spans="1:12" ht="12.5">
      <c r="D472" s="5" t="s">
        <v>369</v>
      </c>
      <c r="E472" s="5" t="s">
        <v>7407</v>
      </c>
      <c r="G472" s="5" t="s">
        <v>7408</v>
      </c>
      <c r="H472" s="123">
        <v>50000</v>
      </c>
      <c r="J472" s="123">
        <v>2850000</v>
      </c>
    </row>
    <row r="473" spans="1:12" ht="12.5">
      <c r="D473" s="5" t="s">
        <v>369</v>
      </c>
      <c r="E473" s="5" t="s">
        <v>7409</v>
      </c>
      <c r="G473" s="5" t="s">
        <v>7410</v>
      </c>
      <c r="H473" s="123">
        <v>97000</v>
      </c>
      <c r="J473" s="123">
        <v>4850000</v>
      </c>
    </row>
    <row r="474" spans="1:12" ht="12.5">
      <c r="A474" s="5">
        <v>521213</v>
      </c>
      <c r="D474" s="5" t="s">
        <v>7072</v>
      </c>
      <c r="J474" s="123">
        <v>5994000</v>
      </c>
      <c r="L474" s="5" t="s">
        <v>7029</v>
      </c>
    </row>
    <row r="475" spans="1:12" ht="12.5">
      <c r="D475" s="5" t="s">
        <v>7030</v>
      </c>
    </row>
    <row r="476" spans="1:12" ht="12.5">
      <c r="D476" s="5" t="s">
        <v>369</v>
      </c>
      <c r="E476" s="5" t="s">
        <v>7411</v>
      </c>
      <c r="G476" s="5" t="s">
        <v>7412</v>
      </c>
      <c r="H476" s="123">
        <v>111000</v>
      </c>
      <c r="J476" s="123">
        <v>5994000</v>
      </c>
    </row>
    <row r="477" spans="1:12" ht="12.5">
      <c r="A477" s="5">
        <v>524114</v>
      </c>
      <c r="D477" s="5" t="s">
        <v>7048</v>
      </c>
      <c r="J477" s="123">
        <v>43660000</v>
      </c>
      <c r="L477" s="5" t="s">
        <v>7029</v>
      </c>
    </row>
    <row r="478" spans="1:12" ht="12.5">
      <c r="D478" s="5" t="s">
        <v>7030</v>
      </c>
    </row>
    <row r="479" spans="1:12" ht="12.5">
      <c r="D479" s="5" t="s">
        <v>369</v>
      </c>
      <c r="E479" s="5" t="s">
        <v>7413</v>
      </c>
      <c r="G479" s="5" t="s">
        <v>7414</v>
      </c>
      <c r="H479" s="123">
        <v>484000</v>
      </c>
      <c r="J479" s="123">
        <v>29040000</v>
      </c>
    </row>
    <row r="480" spans="1:12" ht="12.5">
      <c r="D480" s="5" t="s">
        <v>369</v>
      </c>
      <c r="E480" s="5" t="s">
        <v>7415</v>
      </c>
      <c r="G480" s="5" t="s">
        <v>7416</v>
      </c>
      <c r="H480" s="123">
        <v>286667</v>
      </c>
      <c r="J480" s="123">
        <v>14620000</v>
      </c>
    </row>
    <row r="481" spans="1:12" ht="12.5">
      <c r="A481" s="5">
        <v>52</v>
      </c>
      <c r="D481" s="5" t="s">
        <v>7044</v>
      </c>
      <c r="J481" s="123">
        <v>6012000</v>
      </c>
      <c r="K481" s="5" t="s">
        <v>7025</v>
      </c>
    </row>
    <row r="482" spans="1:12" ht="12.5">
      <c r="A482" s="5" t="s">
        <v>7026</v>
      </c>
      <c r="D482" s="5" t="s">
        <v>7027</v>
      </c>
      <c r="J482" s="123">
        <v>6012000</v>
      </c>
    </row>
    <row r="483" spans="1:12" ht="12.5">
      <c r="A483" s="5">
        <v>524113</v>
      </c>
      <c r="D483" s="5" t="s">
        <v>7028</v>
      </c>
      <c r="J483" s="123">
        <v>6012000</v>
      </c>
      <c r="K483" s="5">
        <v>9</v>
      </c>
      <c r="L483" s="5" t="s">
        <v>7029</v>
      </c>
    </row>
    <row r="484" spans="1:12" ht="12.5">
      <c r="D484" s="5" t="s">
        <v>7030</v>
      </c>
    </row>
    <row r="485" spans="1:12" ht="12.5">
      <c r="D485" s="5" t="s">
        <v>369</v>
      </c>
      <c r="E485" s="5" t="s">
        <v>7417</v>
      </c>
      <c r="G485" s="5" t="s">
        <v>7106</v>
      </c>
      <c r="H485" s="123">
        <v>303000</v>
      </c>
      <c r="J485" s="123">
        <v>606000</v>
      </c>
      <c r="K485" s="5" t="s">
        <v>7165</v>
      </c>
    </row>
    <row r="486" spans="1:12" ht="12.5">
      <c r="D486" s="5" t="s">
        <v>369</v>
      </c>
      <c r="E486" s="5" t="s">
        <v>7418</v>
      </c>
      <c r="G486" s="5" t="s">
        <v>7419</v>
      </c>
      <c r="H486" s="123">
        <v>150000</v>
      </c>
      <c r="J486" s="123">
        <v>4800000</v>
      </c>
    </row>
    <row r="487" spans="1:12" ht="12.5">
      <c r="D487" s="5" t="s">
        <v>369</v>
      </c>
      <c r="E487" s="5" t="s">
        <v>7420</v>
      </c>
      <c r="G487" s="5" t="s">
        <v>7106</v>
      </c>
      <c r="H487" s="123">
        <v>303000</v>
      </c>
      <c r="J487" s="123">
        <v>606000</v>
      </c>
      <c r="K487" s="5" t="s">
        <v>7165</v>
      </c>
    </row>
    <row r="488" spans="1:12" ht="12.5">
      <c r="A488" s="5">
        <v>54</v>
      </c>
      <c r="D488" s="5" t="s">
        <v>7033</v>
      </c>
      <c r="J488" s="123">
        <v>31473000</v>
      </c>
      <c r="K488" s="5" t="s">
        <v>7025</v>
      </c>
    </row>
    <row r="489" spans="1:12" ht="12.5">
      <c r="A489" s="5" t="s">
        <v>7026</v>
      </c>
      <c r="D489" s="5" t="s">
        <v>7027</v>
      </c>
      <c r="J489" s="123">
        <v>31473000</v>
      </c>
    </row>
    <row r="490" spans="1:12" ht="12.5">
      <c r="A490" s="5">
        <v>521811</v>
      </c>
      <c r="D490" s="5" t="s">
        <v>7034</v>
      </c>
      <c r="J490" s="123">
        <v>31473000</v>
      </c>
      <c r="L490" s="5" t="s">
        <v>7029</v>
      </c>
    </row>
    <row r="491" spans="1:12" ht="12.5">
      <c r="D491" s="5" t="s">
        <v>7030</v>
      </c>
    </row>
    <row r="492" spans="1:12" ht="12.5">
      <c r="D492" s="5" t="s">
        <v>369</v>
      </c>
      <c r="E492" s="5" t="s">
        <v>7035</v>
      </c>
      <c r="G492" s="5" t="s">
        <v>7036</v>
      </c>
      <c r="H492" s="123">
        <v>31473000</v>
      </c>
      <c r="J492" s="123">
        <v>31473000</v>
      </c>
    </row>
    <row r="493" spans="1:12" ht="12.5">
      <c r="A493" s="5">
        <v>2907</v>
      </c>
      <c r="D493" s="5" t="s">
        <v>7421</v>
      </c>
      <c r="J493" s="123">
        <v>61417000</v>
      </c>
    </row>
    <row r="494" spans="1:12" ht="12.5">
      <c r="A494" s="5" t="s">
        <v>7422</v>
      </c>
      <c r="D494" s="5" t="s">
        <v>7018</v>
      </c>
      <c r="G494" s="5" t="s">
        <v>7423</v>
      </c>
      <c r="J494" s="123">
        <v>61417000</v>
      </c>
    </row>
    <row r="495" spans="1:12" ht="12.5">
      <c r="D495" s="5" t="s">
        <v>7020</v>
      </c>
    </row>
    <row r="496" spans="1:12" ht="12.5">
      <c r="A496" s="5" t="s">
        <v>7424</v>
      </c>
      <c r="D496" s="5" t="s">
        <v>7425</v>
      </c>
      <c r="G496" s="5" t="s">
        <v>7023</v>
      </c>
      <c r="J496" s="123">
        <v>6140000</v>
      </c>
    </row>
    <row r="497" spans="1:12" ht="12.5">
      <c r="A497" s="5">
        <v>5</v>
      </c>
      <c r="D497" s="5" t="s">
        <v>7024</v>
      </c>
      <c r="J497" s="123">
        <v>4350000</v>
      </c>
      <c r="K497" s="5" t="s">
        <v>7025</v>
      </c>
    </row>
    <row r="498" spans="1:12" ht="12.5">
      <c r="A498" s="5" t="s">
        <v>7026</v>
      </c>
      <c r="D498" s="5" t="s">
        <v>7027</v>
      </c>
      <c r="J498" s="123">
        <v>4350000</v>
      </c>
    </row>
    <row r="499" spans="1:12" ht="12.5">
      <c r="A499" s="5">
        <v>521213</v>
      </c>
      <c r="D499" s="5" t="s">
        <v>7072</v>
      </c>
      <c r="J499" s="123">
        <v>1100000</v>
      </c>
      <c r="L499" s="5" t="s">
        <v>7029</v>
      </c>
    </row>
    <row r="500" spans="1:12" ht="12.5">
      <c r="D500" s="5" t="s">
        <v>7030</v>
      </c>
    </row>
    <row r="501" spans="1:12" ht="12.5">
      <c r="D501" s="5" t="s">
        <v>369</v>
      </c>
      <c r="E501" s="5" t="s">
        <v>7426</v>
      </c>
      <c r="G501" s="5" t="s">
        <v>7082</v>
      </c>
      <c r="H501" s="123">
        <v>55000</v>
      </c>
      <c r="J501" s="123">
        <v>1100000</v>
      </c>
    </row>
    <row r="502" spans="1:12" ht="12.5">
      <c r="A502" s="5">
        <v>524113</v>
      </c>
      <c r="D502" s="5" t="s">
        <v>7028</v>
      </c>
      <c r="J502" s="123">
        <v>3250000</v>
      </c>
      <c r="L502" s="5" t="s">
        <v>7029</v>
      </c>
    </row>
    <row r="503" spans="1:12" ht="12.5">
      <c r="D503" s="5" t="s">
        <v>7030</v>
      </c>
    </row>
    <row r="504" spans="1:12" ht="12.5">
      <c r="D504" s="5" t="s">
        <v>369</v>
      </c>
      <c r="E504" s="5" t="s">
        <v>7427</v>
      </c>
      <c r="G504" s="5" t="s">
        <v>7303</v>
      </c>
      <c r="H504" s="123">
        <v>250000</v>
      </c>
      <c r="J504" s="123">
        <v>1500000</v>
      </c>
    </row>
    <row r="505" spans="1:12" ht="12.5">
      <c r="D505" s="5" t="s">
        <v>369</v>
      </c>
      <c r="E505" s="5" t="s">
        <v>7428</v>
      </c>
      <c r="G505" s="5" t="s">
        <v>7429</v>
      </c>
      <c r="H505" s="123">
        <v>250000</v>
      </c>
      <c r="J505" s="123">
        <v>1250000</v>
      </c>
    </row>
    <row r="506" spans="1:12" ht="12.5">
      <c r="D506" s="5" t="s">
        <v>369</v>
      </c>
      <c r="E506" s="5" t="s">
        <v>7430</v>
      </c>
      <c r="G506" s="5" t="s">
        <v>7429</v>
      </c>
      <c r="H506" s="123">
        <v>100000</v>
      </c>
      <c r="J506" s="123">
        <v>500000</v>
      </c>
    </row>
    <row r="507" spans="1:12" ht="12.5">
      <c r="A507" s="5">
        <v>54</v>
      </c>
      <c r="D507" s="5" t="s">
        <v>7033</v>
      </c>
      <c r="J507" s="123">
        <v>1790000</v>
      </c>
      <c r="K507" s="5" t="s">
        <v>7025</v>
      </c>
    </row>
    <row r="508" spans="1:12" ht="12.5">
      <c r="A508" s="5" t="s">
        <v>7026</v>
      </c>
      <c r="D508" s="5" t="s">
        <v>7027</v>
      </c>
      <c r="J508" s="123">
        <v>1790000</v>
      </c>
    </row>
    <row r="509" spans="1:12" ht="12.5">
      <c r="A509" s="5">
        <v>521811</v>
      </c>
      <c r="D509" s="5" t="s">
        <v>7034</v>
      </c>
      <c r="J509" s="123">
        <v>1790000</v>
      </c>
      <c r="L509" s="5" t="s">
        <v>7029</v>
      </c>
    </row>
    <row r="510" spans="1:12" ht="12.5">
      <c r="D510" s="5" t="s">
        <v>7030</v>
      </c>
    </row>
    <row r="511" spans="1:12" ht="12.5">
      <c r="D511" s="5" t="s">
        <v>369</v>
      </c>
      <c r="E511" s="5" t="s">
        <v>7431</v>
      </c>
      <c r="G511" s="5" t="s">
        <v>7432</v>
      </c>
      <c r="H511" s="123">
        <v>50000</v>
      </c>
      <c r="J511" s="123">
        <v>50000</v>
      </c>
    </row>
    <row r="512" spans="1:12" ht="12.5">
      <c r="D512" s="5" t="s">
        <v>369</v>
      </c>
      <c r="E512" s="5" t="s">
        <v>7035</v>
      </c>
      <c r="G512" s="5" t="s">
        <v>7036</v>
      </c>
      <c r="H512" s="123">
        <v>1740000</v>
      </c>
      <c r="J512" s="123">
        <v>1740000</v>
      </c>
    </row>
    <row r="513" spans="1:12" ht="12.5">
      <c r="A513" s="5" t="s">
        <v>7433</v>
      </c>
      <c r="D513" s="5" t="s">
        <v>7434</v>
      </c>
      <c r="G513" s="5" t="s">
        <v>7023</v>
      </c>
      <c r="J513" s="123">
        <v>55277000</v>
      </c>
    </row>
    <row r="514" spans="1:12" ht="12.5">
      <c r="A514" s="5">
        <v>5</v>
      </c>
      <c r="D514" s="5" t="s">
        <v>7024</v>
      </c>
      <c r="J514" s="123">
        <v>24892000</v>
      </c>
      <c r="K514" s="5" t="s">
        <v>7025</v>
      </c>
    </row>
    <row r="515" spans="1:12" ht="12.5">
      <c r="A515" s="5" t="s">
        <v>7026</v>
      </c>
      <c r="D515" s="5" t="s">
        <v>7027</v>
      </c>
      <c r="J515" s="123">
        <v>24892000</v>
      </c>
    </row>
    <row r="516" spans="1:12" ht="12.5">
      <c r="A516" s="5">
        <v>521213</v>
      </c>
      <c r="D516" s="5" t="s">
        <v>7072</v>
      </c>
      <c r="J516" s="123">
        <v>4692000</v>
      </c>
      <c r="L516" s="5" t="s">
        <v>7029</v>
      </c>
    </row>
    <row r="517" spans="1:12" ht="12.5">
      <c r="D517" s="5" t="s">
        <v>7030</v>
      </c>
    </row>
    <row r="518" spans="1:12" ht="12.5">
      <c r="D518" s="5" t="s">
        <v>369</v>
      </c>
      <c r="E518" s="5" t="s">
        <v>7435</v>
      </c>
      <c r="G518" s="5" t="s">
        <v>7436</v>
      </c>
      <c r="H518" s="123">
        <v>102000</v>
      </c>
      <c r="J518" s="123">
        <v>4692000</v>
      </c>
    </row>
    <row r="519" spans="1:12" ht="12.5">
      <c r="A519" s="5">
        <v>524113</v>
      </c>
      <c r="D519" s="5" t="s">
        <v>7028</v>
      </c>
      <c r="J519" s="123">
        <v>20200000</v>
      </c>
      <c r="L519" s="5" t="s">
        <v>7029</v>
      </c>
    </row>
    <row r="520" spans="1:12" ht="12.5">
      <c r="D520" s="5" t="s">
        <v>7030</v>
      </c>
    </row>
    <row r="521" spans="1:12" ht="12.5">
      <c r="D521" s="5" t="s">
        <v>369</v>
      </c>
      <c r="E521" s="5" t="s">
        <v>7437</v>
      </c>
      <c r="G521" s="5" t="s">
        <v>7175</v>
      </c>
      <c r="H521" s="123">
        <v>250000</v>
      </c>
      <c r="J521" s="123">
        <v>1000000</v>
      </c>
    </row>
    <row r="522" spans="1:12" ht="12.5">
      <c r="D522" s="5" t="s">
        <v>369</v>
      </c>
      <c r="E522" s="5" t="s">
        <v>7438</v>
      </c>
      <c r="G522" s="5" t="s">
        <v>7067</v>
      </c>
      <c r="H522" s="123">
        <v>250000</v>
      </c>
      <c r="J522" s="123">
        <v>250000</v>
      </c>
    </row>
    <row r="523" spans="1:12" ht="12.5">
      <c r="D523" s="5" t="s">
        <v>369</v>
      </c>
      <c r="E523" s="5" t="s">
        <v>7439</v>
      </c>
      <c r="G523" s="5" t="s">
        <v>7440</v>
      </c>
      <c r="H523" s="123">
        <v>100000</v>
      </c>
      <c r="J523" s="123">
        <v>1000000</v>
      </c>
    </row>
    <row r="524" spans="1:12" ht="12.5">
      <c r="D524" s="5" t="s">
        <v>369</v>
      </c>
      <c r="E524" s="5" t="s">
        <v>7441</v>
      </c>
      <c r="G524" s="5" t="s">
        <v>7442</v>
      </c>
      <c r="H524" s="123">
        <v>100000</v>
      </c>
      <c r="J524" s="123">
        <v>8200000</v>
      </c>
    </row>
    <row r="525" spans="1:12" ht="12.5">
      <c r="D525" s="5" t="s">
        <v>369</v>
      </c>
      <c r="E525" s="5" t="s">
        <v>7443</v>
      </c>
      <c r="G525" s="5" t="s">
        <v>7444</v>
      </c>
      <c r="H525" s="123">
        <v>250000</v>
      </c>
      <c r="J525" s="123">
        <v>3750000</v>
      </c>
    </row>
    <row r="526" spans="1:12" ht="12.5">
      <c r="D526" s="5" t="s">
        <v>369</v>
      </c>
      <c r="E526" s="5" t="s">
        <v>7445</v>
      </c>
      <c r="G526" s="5" t="s">
        <v>7446</v>
      </c>
      <c r="H526" s="123">
        <v>250000</v>
      </c>
      <c r="J526" s="123">
        <v>6000000</v>
      </c>
    </row>
    <row r="527" spans="1:12" ht="12.5">
      <c r="A527" s="5">
        <v>51</v>
      </c>
      <c r="D527" s="5" t="s">
        <v>7092</v>
      </c>
      <c r="J527" s="123">
        <v>23691000</v>
      </c>
      <c r="K527" s="5" t="s">
        <v>7025</v>
      </c>
    </row>
    <row r="528" spans="1:12" ht="12.5">
      <c r="A528" s="5" t="s">
        <v>7026</v>
      </c>
      <c r="D528" s="5" t="s">
        <v>7027</v>
      </c>
      <c r="J528" s="123">
        <v>23691000</v>
      </c>
    </row>
    <row r="529" spans="1:12" ht="12.5">
      <c r="A529" s="5">
        <v>521211</v>
      </c>
      <c r="D529" s="5" t="s">
        <v>7056</v>
      </c>
      <c r="J529" s="123">
        <v>3210000</v>
      </c>
      <c r="L529" s="5" t="s">
        <v>7029</v>
      </c>
    </row>
    <row r="530" spans="1:12" ht="12.5">
      <c r="D530" s="5" t="s">
        <v>7030</v>
      </c>
    </row>
    <row r="531" spans="1:12" ht="12.5">
      <c r="D531" s="5" t="s">
        <v>369</v>
      </c>
      <c r="E531" s="5" t="s">
        <v>7447</v>
      </c>
      <c r="G531" s="5" t="s">
        <v>7448</v>
      </c>
      <c r="H531" s="123">
        <v>50000</v>
      </c>
      <c r="J531" s="123">
        <v>800000</v>
      </c>
    </row>
    <row r="532" spans="1:12" ht="12.5">
      <c r="D532" s="5" t="s">
        <v>369</v>
      </c>
      <c r="E532" s="5" t="s">
        <v>7449</v>
      </c>
      <c r="G532" s="5" t="s">
        <v>7450</v>
      </c>
      <c r="H532" s="123">
        <v>150000</v>
      </c>
      <c r="J532" s="123">
        <v>1050000</v>
      </c>
    </row>
    <row r="533" spans="1:12" ht="12.5">
      <c r="D533" s="5" t="s">
        <v>369</v>
      </c>
      <c r="E533" s="5" t="s">
        <v>7451</v>
      </c>
      <c r="G533" s="5" t="s">
        <v>7452</v>
      </c>
      <c r="H533" s="123">
        <v>85000</v>
      </c>
      <c r="J533" s="123">
        <v>1360000</v>
      </c>
    </row>
    <row r="534" spans="1:12" ht="12.5">
      <c r="A534" s="5">
        <v>521213</v>
      </c>
      <c r="D534" s="5" t="s">
        <v>7072</v>
      </c>
      <c r="J534" s="123">
        <v>2214000</v>
      </c>
      <c r="L534" s="5" t="s">
        <v>7029</v>
      </c>
    </row>
    <row r="535" spans="1:12" ht="12.5">
      <c r="D535" s="5" t="s">
        <v>7030</v>
      </c>
    </row>
    <row r="536" spans="1:12" ht="12.5">
      <c r="D536" s="5" t="s">
        <v>369</v>
      </c>
      <c r="E536" s="5" t="s">
        <v>7453</v>
      </c>
      <c r="G536" s="5" t="s">
        <v>7185</v>
      </c>
      <c r="H536" s="123">
        <v>123000</v>
      </c>
      <c r="J536" s="123">
        <v>2214000</v>
      </c>
    </row>
    <row r="537" spans="1:12" ht="12.5">
      <c r="A537" s="5">
        <v>524114</v>
      </c>
      <c r="D537" s="5" t="s">
        <v>7048</v>
      </c>
      <c r="J537" s="123">
        <v>18267000</v>
      </c>
      <c r="L537" s="5" t="s">
        <v>7029</v>
      </c>
    </row>
    <row r="538" spans="1:12" ht="12.5">
      <c r="D538" s="5" t="s">
        <v>7030</v>
      </c>
    </row>
    <row r="539" spans="1:12" ht="12.5">
      <c r="D539" s="5" t="s">
        <v>369</v>
      </c>
      <c r="E539" s="5" t="s">
        <v>7454</v>
      </c>
      <c r="G539" s="5" t="s">
        <v>7455</v>
      </c>
      <c r="H539" s="123">
        <v>484000</v>
      </c>
      <c r="J539" s="123">
        <v>7744000</v>
      </c>
    </row>
    <row r="540" spans="1:12" ht="12.5">
      <c r="D540" s="5" t="s">
        <v>369</v>
      </c>
      <c r="E540" s="5" t="s">
        <v>7456</v>
      </c>
      <c r="G540" s="5" t="s">
        <v>7455</v>
      </c>
      <c r="H540" s="123">
        <v>480000</v>
      </c>
      <c r="J540" s="123">
        <v>7680000</v>
      </c>
    </row>
    <row r="541" spans="1:12" ht="12.5">
      <c r="D541" s="5" t="s">
        <v>369</v>
      </c>
      <c r="E541" s="5" t="s">
        <v>7035</v>
      </c>
      <c r="G541" s="5" t="s">
        <v>7036</v>
      </c>
      <c r="H541" s="123">
        <v>2843000</v>
      </c>
      <c r="J541" s="123">
        <v>2843000</v>
      </c>
    </row>
    <row r="542" spans="1:12" ht="12.5">
      <c r="A542" s="5">
        <v>52</v>
      </c>
      <c r="D542" s="5" t="s">
        <v>7044</v>
      </c>
      <c r="J542" s="123">
        <v>6694000</v>
      </c>
      <c r="K542" s="5" t="s">
        <v>7025</v>
      </c>
    </row>
    <row r="543" spans="1:12" ht="12.5">
      <c r="A543" s="5" t="s">
        <v>7026</v>
      </c>
      <c r="D543" s="5" t="s">
        <v>7027</v>
      </c>
      <c r="J543" s="123">
        <v>6694000</v>
      </c>
    </row>
    <row r="544" spans="1:12" ht="12.5">
      <c r="A544" s="5">
        <v>524113</v>
      </c>
      <c r="D544" s="5" t="s">
        <v>7028</v>
      </c>
      <c r="J544" s="123">
        <v>6694000</v>
      </c>
      <c r="L544" s="5" t="s">
        <v>7029</v>
      </c>
    </row>
    <row r="545" spans="1:12" ht="12.5">
      <c r="D545" s="5" t="s">
        <v>7030</v>
      </c>
    </row>
    <row r="546" spans="1:12" ht="12.5">
      <c r="D546" s="5" t="s">
        <v>369</v>
      </c>
      <c r="E546" s="5" t="s">
        <v>7457</v>
      </c>
      <c r="G546" s="5" t="s">
        <v>7106</v>
      </c>
      <c r="H546" s="123">
        <v>303000</v>
      </c>
      <c r="J546" s="123">
        <v>606000</v>
      </c>
    </row>
    <row r="547" spans="1:12" ht="12.5">
      <c r="D547" s="5" t="s">
        <v>369</v>
      </c>
      <c r="E547" s="5" t="s">
        <v>7458</v>
      </c>
      <c r="G547" s="5" t="s">
        <v>7036</v>
      </c>
      <c r="H547" s="123">
        <v>1838000</v>
      </c>
      <c r="J547" s="123">
        <v>1838000</v>
      </c>
    </row>
    <row r="548" spans="1:12" ht="12.5">
      <c r="D548" s="5" t="s">
        <v>369</v>
      </c>
      <c r="E548" s="5" t="s">
        <v>7459</v>
      </c>
      <c r="G548" s="5" t="s">
        <v>7460</v>
      </c>
      <c r="H548" s="123">
        <v>250000</v>
      </c>
      <c r="J548" s="123">
        <v>4250000</v>
      </c>
    </row>
    <row r="549" spans="1:12" ht="12.5">
      <c r="A549" s="5">
        <v>2908</v>
      </c>
      <c r="D549" s="5" t="s">
        <v>7461</v>
      </c>
      <c r="J549" s="123">
        <v>22864000</v>
      </c>
    </row>
    <row r="550" spans="1:12" ht="12.5">
      <c r="A550" s="5" t="s">
        <v>7462</v>
      </c>
      <c r="D550" s="5" t="s">
        <v>7018</v>
      </c>
      <c r="G550" s="5" t="s">
        <v>7019</v>
      </c>
      <c r="J550" s="123">
        <v>22864000</v>
      </c>
    </row>
    <row r="551" spans="1:12" ht="12.5">
      <c r="D551" s="5" t="s">
        <v>7020</v>
      </c>
    </row>
    <row r="552" spans="1:12" ht="12.5">
      <c r="A552" s="5" t="s">
        <v>7463</v>
      </c>
      <c r="D552" s="5" t="s">
        <v>7464</v>
      </c>
      <c r="G552" s="5" t="s">
        <v>7023</v>
      </c>
      <c r="J552" s="123">
        <v>22864000</v>
      </c>
    </row>
    <row r="553" spans="1:12" ht="12.5">
      <c r="A553" s="5">
        <v>5</v>
      </c>
      <c r="D553" s="5" t="s">
        <v>7024</v>
      </c>
      <c r="J553" s="123">
        <v>16040000</v>
      </c>
      <c r="K553" s="5" t="s">
        <v>7025</v>
      </c>
    </row>
    <row r="554" spans="1:12" ht="12.5">
      <c r="A554" s="5" t="s">
        <v>7026</v>
      </c>
      <c r="D554" s="5" t="s">
        <v>7027</v>
      </c>
      <c r="J554" s="123">
        <v>16040000</v>
      </c>
    </row>
    <row r="555" spans="1:12" ht="12.5">
      <c r="A555" s="5">
        <v>521213</v>
      </c>
      <c r="D555" s="5" t="s">
        <v>7072</v>
      </c>
      <c r="J555" s="123">
        <v>14240000</v>
      </c>
      <c r="L555" s="5" t="s">
        <v>7029</v>
      </c>
    </row>
    <row r="556" spans="1:12" ht="12.5">
      <c r="D556" s="5" t="s">
        <v>7030</v>
      </c>
    </row>
    <row r="557" spans="1:12" ht="12.5">
      <c r="D557" s="5" t="s">
        <v>369</v>
      </c>
      <c r="E557" s="5" t="s">
        <v>7465</v>
      </c>
      <c r="G557" s="5" t="s">
        <v>7275</v>
      </c>
      <c r="H557" s="123">
        <v>60000</v>
      </c>
      <c r="J557" s="123">
        <v>1740000</v>
      </c>
    </row>
    <row r="558" spans="1:12" ht="12.5">
      <c r="D558" s="5" t="s">
        <v>369</v>
      </c>
      <c r="E558" s="5" t="s">
        <v>7466</v>
      </c>
      <c r="G558" s="5" t="s">
        <v>7080</v>
      </c>
      <c r="H558" s="123">
        <v>60000</v>
      </c>
      <c r="J558" s="123">
        <v>120000</v>
      </c>
    </row>
    <row r="559" spans="1:12" ht="12.5">
      <c r="D559" s="5" t="s">
        <v>369</v>
      </c>
      <c r="E559" s="5" t="s">
        <v>7467</v>
      </c>
      <c r="G559" s="5" t="s">
        <v>7468</v>
      </c>
      <c r="H559" s="123">
        <v>55000</v>
      </c>
      <c r="J559" s="123">
        <v>9240000</v>
      </c>
    </row>
    <row r="560" spans="1:12" ht="12.5">
      <c r="D560" s="5" t="s">
        <v>369</v>
      </c>
      <c r="E560" s="5" t="s">
        <v>7469</v>
      </c>
      <c r="G560" s="5" t="s">
        <v>7288</v>
      </c>
      <c r="H560" s="123">
        <v>60000</v>
      </c>
      <c r="J560" s="123">
        <v>180000</v>
      </c>
    </row>
    <row r="561" spans="1:12" ht="12.5">
      <c r="D561" s="5" t="s">
        <v>369</v>
      </c>
      <c r="E561" s="5" t="s">
        <v>7470</v>
      </c>
      <c r="G561" s="5" t="s">
        <v>7471</v>
      </c>
      <c r="H561" s="123">
        <v>55000</v>
      </c>
      <c r="J561" s="123">
        <v>605000</v>
      </c>
    </row>
    <row r="562" spans="1:12" ht="12.5">
      <c r="D562" s="5" t="s">
        <v>369</v>
      </c>
      <c r="E562" s="5" t="s">
        <v>7472</v>
      </c>
      <c r="G562" s="5" t="s">
        <v>7473</v>
      </c>
      <c r="H562" s="123">
        <v>50000</v>
      </c>
      <c r="J562" s="123">
        <v>100000</v>
      </c>
    </row>
    <row r="563" spans="1:12" ht="12.5">
      <c r="D563" s="5" t="s">
        <v>369</v>
      </c>
      <c r="E563" s="5" t="s">
        <v>7474</v>
      </c>
      <c r="G563" s="5" t="s">
        <v>7283</v>
      </c>
      <c r="H563" s="123">
        <v>55000</v>
      </c>
      <c r="J563" s="123">
        <v>660000</v>
      </c>
    </row>
    <row r="564" spans="1:12" ht="12.5">
      <c r="D564" s="5" t="s">
        <v>369</v>
      </c>
      <c r="E564" s="5" t="s">
        <v>7475</v>
      </c>
      <c r="G564" s="5" t="s">
        <v>7275</v>
      </c>
      <c r="H564" s="123">
        <v>55000</v>
      </c>
      <c r="J564" s="123">
        <v>1595000</v>
      </c>
    </row>
    <row r="565" spans="1:12" ht="12.5">
      <c r="A565" s="5">
        <v>524113</v>
      </c>
      <c r="D565" s="5" t="s">
        <v>7028</v>
      </c>
      <c r="J565" s="123">
        <v>1800000</v>
      </c>
      <c r="L565" s="5" t="s">
        <v>7029</v>
      </c>
    </row>
    <row r="566" spans="1:12" ht="12.5">
      <c r="D566" s="5" t="s">
        <v>7030</v>
      </c>
    </row>
    <row r="567" spans="1:12" ht="12.5">
      <c r="D567" s="5" t="s">
        <v>369</v>
      </c>
      <c r="E567" s="5" t="s">
        <v>7476</v>
      </c>
      <c r="G567" s="5" t="s">
        <v>7067</v>
      </c>
      <c r="H567" s="123">
        <v>150000</v>
      </c>
      <c r="J567" s="123">
        <v>150000</v>
      </c>
    </row>
    <row r="568" spans="1:12" ht="12.5">
      <c r="D568" s="5" t="s">
        <v>369</v>
      </c>
      <c r="E568" s="5" t="s">
        <v>7477</v>
      </c>
      <c r="G568" s="5" t="s">
        <v>7067</v>
      </c>
      <c r="H568" s="123">
        <v>150000</v>
      </c>
      <c r="J568" s="123">
        <v>150000</v>
      </c>
    </row>
    <row r="569" spans="1:12" ht="12.5">
      <c r="D569" s="5" t="s">
        <v>369</v>
      </c>
      <c r="E569" s="5" t="s">
        <v>7478</v>
      </c>
      <c r="G569" s="5" t="s">
        <v>7032</v>
      </c>
      <c r="H569" s="123">
        <v>150000</v>
      </c>
      <c r="J569" s="123">
        <v>300000</v>
      </c>
    </row>
    <row r="570" spans="1:12" ht="12.5">
      <c r="D570" s="5" t="s">
        <v>369</v>
      </c>
      <c r="E570" s="5" t="s">
        <v>7479</v>
      </c>
      <c r="G570" s="5" t="s">
        <v>7067</v>
      </c>
      <c r="H570" s="123">
        <v>150000</v>
      </c>
      <c r="J570" s="123">
        <v>150000</v>
      </c>
    </row>
    <row r="571" spans="1:12" ht="12.5">
      <c r="D571" s="5" t="s">
        <v>369</v>
      </c>
      <c r="E571" s="5" t="s">
        <v>7480</v>
      </c>
      <c r="G571" s="5" t="s">
        <v>7067</v>
      </c>
      <c r="H571" s="123">
        <v>150000</v>
      </c>
      <c r="J571" s="123">
        <v>150000</v>
      </c>
    </row>
    <row r="572" spans="1:12" ht="12.5">
      <c r="D572" s="5" t="s">
        <v>369</v>
      </c>
      <c r="E572" s="5" t="s">
        <v>7481</v>
      </c>
      <c r="G572" s="5" t="s">
        <v>7067</v>
      </c>
      <c r="H572" s="123">
        <v>150000</v>
      </c>
      <c r="J572" s="123">
        <v>150000</v>
      </c>
    </row>
    <row r="573" spans="1:12" ht="12.5">
      <c r="D573" s="5" t="s">
        <v>369</v>
      </c>
      <c r="E573" s="5" t="s">
        <v>7482</v>
      </c>
      <c r="G573" s="5" t="s">
        <v>7089</v>
      </c>
      <c r="H573" s="123">
        <v>150000</v>
      </c>
      <c r="J573" s="123">
        <v>150000</v>
      </c>
    </row>
    <row r="574" spans="1:12" ht="12.5">
      <c r="D574" s="5" t="s">
        <v>369</v>
      </c>
      <c r="E574" s="5" t="s">
        <v>7483</v>
      </c>
      <c r="G574" s="5" t="s">
        <v>7067</v>
      </c>
      <c r="H574" s="123">
        <v>150000</v>
      </c>
      <c r="J574" s="123">
        <v>150000</v>
      </c>
    </row>
    <row r="575" spans="1:12" ht="12.5">
      <c r="D575" s="5" t="s">
        <v>369</v>
      </c>
      <c r="E575" s="5" t="s">
        <v>7484</v>
      </c>
      <c r="G575" s="5" t="s">
        <v>7067</v>
      </c>
      <c r="H575" s="123">
        <v>150000</v>
      </c>
      <c r="J575" s="123">
        <v>150000</v>
      </c>
    </row>
    <row r="576" spans="1:12" ht="12.5">
      <c r="D576" s="5" t="s">
        <v>369</v>
      </c>
      <c r="E576" s="5" t="s">
        <v>7485</v>
      </c>
      <c r="G576" s="5" t="s">
        <v>7067</v>
      </c>
      <c r="H576" s="123">
        <v>150000</v>
      </c>
      <c r="J576" s="123">
        <v>150000</v>
      </c>
    </row>
    <row r="577" spans="1:12" ht="12.5">
      <c r="D577" s="5" t="s">
        <v>369</v>
      </c>
      <c r="E577" s="5" t="s">
        <v>7486</v>
      </c>
      <c r="G577" s="5" t="s">
        <v>7067</v>
      </c>
      <c r="H577" s="123">
        <v>150000</v>
      </c>
      <c r="J577" s="123">
        <v>150000</v>
      </c>
    </row>
    <row r="578" spans="1:12" ht="12.5">
      <c r="A578" s="5">
        <v>51</v>
      </c>
      <c r="D578" s="5" t="s">
        <v>7092</v>
      </c>
      <c r="J578" s="123">
        <v>600000</v>
      </c>
      <c r="K578" s="5" t="s">
        <v>7025</v>
      </c>
    </row>
    <row r="579" spans="1:12" ht="12.5">
      <c r="A579" s="5" t="s">
        <v>7026</v>
      </c>
      <c r="D579" s="5" t="s">
        <v>7027</v>
      </c>
      <c r="J579" s="123">
        <v>600000</v>
      </c>
    </row>
    <row r="580" spans="1:12" ht="12.5">
      <c r="A580" s="5">
        <v>521211</v>
      </c>
      <c r="D580" s="5" t="s">
        <v>7056</v>
      </c>
      <c r="J580" s="123">
        <v>600000</v>
      </c>
      <c r="L580" s="5" t="s">
        <v>7029</v>
      </c>
    </row>
    <row r="581" spans="1:12" ht="12.5">
      <c r="D581" s="5" t="s">
        <v>7030</v>
      </c>
    </row>
    <row r="582" spans="1:12" ht="12.5">
      <c r="D582" s="5" t="s">
        <v>369</v>
      </c>
      <c r="E582" s="5" t="s">
        <v>7487</v>
      </c>
      <c r="G582" s="5" t="s">
        <v>7488</v>
      </c>
      <c r="H582" s="123">
        <v>150000</v>
      </c>
      <c r="J582" s="123">
        <v>300000</v>
      </c>
    </row>
    <row r="583" spans="1:12" ht="12.5">
      <c r="D583" s="5" t="s">
        <v>369</v>
      </c>
      <c r="E583" s="5" t="s">
        <v>7489</v>
      </c>
      <c r="G583" s="5" t="s">
        <v>7488</v>
      </c>
      <c r="H583" s="123">
        <v>150000</v>
      </c>
      <c r="J583" s="123">
        <v>300000</v>
      </c>
    </row>
    <row r="584" spans="1:12" ht="12.5">
      <c r="A584" s="5">
        <v>52</v>
      </c>
      <c r="D584" s="5" t="s">
        <v>7044</v>
      </c>
      <c r="J584" s="123">
        <v>6224000</v>
      </c>
      <c r="K584" s="5" t="s">
        <v>7025</v>
      </c>
    </row>
    <row r="585" spans="1:12" ht="12.5">
      <c r="A585" s="5" t="s">
        <v>7026</v>
      </c>
      <c r="D585" s="5" t="s">
        <v>7027</v>
      </c>
      <c r="J585" s="123">
        <v>6224000</v>
      </c>
    </row>
    <row r="586" spans="1:12" ht="12.5">
      <c r="A586" s="5">
        <v>524113</v>
      </c>
      <c r="D586" s="5" t="s">
        <v>7028</v>
      </c>
      <c r="J586" s="123">
        <v>6224000</v>
      </c>
      <c r="L586" s="5" t="s">
        <v>7029</v>
      </c>
    </row>
    <row r="587" spans="1:12" ht="12.5">
      <c r="D587" s="5" t="s">
        <v>7030</v>
      </c>
    </row>
    <row r="588" spans="1:12" ht="12.5">
      <c r="D588" s="5" t="s">
        <v>369</v>
      </c>
      <c r="E588" s="5" t="s">
        <v>7490</v>
      </c>
      <c r="G588" s="5" t="s">
        <v>7062</v>
      </c>
      <c r="H588" s="123">
        <v>437000</v>
      </c>
      <c r="J588" s="123">
        <v>437000</v>
      </c>
    </row>
    <row r="589" spans="1:12" ht="12.5">
      <c r="D589" s="5" t="s">
        <v>369</v>
      </c>
      <c r="E589" s="5" t="s">
        <v>7491</v>
      </c>
      <c r="G589" s="5" t="s">
        <v>7492</v>
      </c>
      <c r="H589" s="123">
        <v>150000</v>
      </c>
      <c r="J589" s="123">
        <v>450000</v>
      </c>
    </row>
    <row r="590" spans="1:12" ht="12.5">
      <c r="D590" s="5" t="s">
        <v>369</v>
      </c>
      <c r="E590" s="5" t="s">
        <v>7035</v>
      </c>
      <c r="G590" s="5" t="s">
        <v>7036</v>
      </c>
      <c r="H590" s="123">
        <v>5337000</v>
      </c>
      <c r="J590" s="123">
        <v>5337000</v>
      </c>
    </row>
    <row r="591" spans="1:12" ht="12.5">
      <c r="A591" s="5">
        <v>2909</v>
      </c>
      <c r="D591" s="5" t="s">
        <v>7493</v>
      </c>
      <c r="J591" s="123">
        <v>7722000</v>
      </c>
    </row>
    <row r="592" spans="1:12" ht="12.5">
      <c r="A592" s="5" t="s">
        <v>7494</v>
      </c>
      <c r="D592" s="5" t="s">
        <v>7018</v>
      </c>
      <c r="G592" s="5" t="s">
        <v>7019</v>
      </c>
      <c r="J592" s="123">
        <v>7722000</v>
      </c>
    </row>
    <row r="593" spans="1:12" ht="12.5">
      <c r="D593" s="5" t="s">
        <v>7020</v>
      </c>
    </row>
    <row r="594" spans="1:12" ht="12.5">
      <c r="A594" s="5" t="s">
        <v>7495</v>
      </c>
      <c r="D594" s="5" t="s">
        <v>7496</v>
      </c>
      <c r="G594" s="5" t="s">
        <v>7023</v>
      </c>
      <c r="J594" s="123">
        <v>7722000</v>
      </c>
    </row>
    <row r="595" spans="1:12" ht="12.5">
      <c r="A595" s="5">
        <v>5</v>
      </c>
      <c r="D595" s="5" t="s">
        <v>7024</v>
      </c>
      <c r="J595" s="123">
        <v>5995000</v>
      </c>
      <c r="K595" s="5" t="s">
        <v>7025</v>
      </c>
    </row>
    <row r="596" spans="1:12" ht="12.5">
      <c r="A596" s="5" t="s">
        <v>7026</v>
      </c>
      <c r="D596" s="5" t="s">
        <v>7027</v>
      </c>
      <c r="J596" s="123">
        <v>5995000</v>
      </c>
    </row>
    <row r="597" spans="1:12" ht="12.5">
      <c r="A597" s="5">
        <v>521213</v>
      </c>
      <c r="D597" s="5" t="s">
        <v>7072</v>
      </c>
      <c r="J597" s="123">
        <v>4945000</v>
      </c>
      <c r="L597" s="5" t="s">
        <v>7029</v>
      </c>
    </row>
    <row r="598" spans="1:12" ht="12.5">
      <c r="D598" s="5" t="s">
        <v>7030</v>
      </c>
    </row>
    <row r="599" spans="1:12" ht="12.5">
      <c r="D599" s="5" t="s">
        <v>369</v>
      </c>
      <c r="E599" s="5" t="s">
        <v>7497</v>
      </c>
      <c r="G599" s="5" t="s">
        <v>7080</v>
      </c>
      <c r="H599" s="123">
        <v>65000</v>
      </c>
      <c r="J599" s="123">
        <v>130000</v>
      </c>
    </row>
    <row r="600" spans="1:12" ht="12.5">
      <c r="D600" s="5" t="s">
        <v>369</v>
      </c>
      <c r="E600" s="5" t="s">
        <v>7498</v>
      </c>
      <c r="G600" s="5" t="s">
        <v>7499</v>
      </c>
      <c r="H600" s="123">
        <v>55000</v>
      </c>
      <c r="J600" s="123">
        <v>1540000</v>
      </c>
    </row>
    <row r="601" spans="1:12" ht="12.5">
      <c r="D601" s="5" t="s">
        <v>369</v>
      </c>
      <c r="E601" s="5" t="s">
        <v>7500</v>
      </c>
      <c r="G601" s="5" t="s">
        <v>7080</v>
      </c>
      <c r="H601" s="123">
        <v>55000</v>
      </c>
      <c r="J601" s="123">
        <v>110000</v>
      </c>
    </row>
    <row r="602" spans="1:12" ht="12.5">
      <c r="D602" s="5" t="s">
        <v>369</v>
      </c>
      <c r="E602" s="5" t="s">
        <v>7501</v>
      </c>
      <c r="G602" s="5" t="s">
        <v>7288</v>
      </c>
      <c r="H602" s="123">
        <v>55000</v>
      </c>
      <c r="J602" s="123">
        <v>165000</v>
      </c>
    </row>
    <row r="603" spans="1:12" ht="12.5">
      <c r="D603" s="5" t="s">
        <v>369</v>
      </c>
      <c r="E603" s="5" t="s">
        <v>7502</v>
      </c>
      <c r="G603" s="5" t="s">
        <v>7279</v>
      </c>
      <c r="H603" s="123">
        <v>60000</v>
      </c>
      <c r="J603" s="123">
        <v>3000000</v>
      </c>
    </row>
    <row r="604" spans="1:12" ht="12.5">
      <c r="A604" s="5">
        <v>524113</v>
      </c>
      <c r="D604" s="5" t="s">
        <v>7028</v>
      </c>
      <c r="J604" s="123">
        <v>1050000</v>
      </c>
      <c r="L604" s="5" t="s">
        <v>7029</v>
      </c>
    </row>
    <row r="605" spans="1:12" ht="12.5">
      <c r="D605" s="5" t="s">
        <v>7030</v>
      </c>
    </row>
    <row r="606" spans="1:12" ht="12.5">
      <c r="D606" s="5" t="s">
        <v>369</v>
      </c>
      <c r="E606" s="5" t="s">
        <v>7503</v>
      </c>
      <c r="G606" s="5" t="s">
        <v>7067</v>
      </c>
      <c r="H606" s="123">
        <v>150000</v>
      </c>
      <c r="J606" s="123">
        <v>150000</v>
      </c>
    </row>
    <row r="607" spans="1:12" ht="12.5">
      <c r="D607" s="5" t="s">
        <v>369</v>
      </c>
      <c r="E607" s="5" t="s">
        <v>7504</v>
      </c>
      <c r="G607" s="5" t="s">
        <v>7429</v>
      </c>
      <c r="H607" s="123">
        <v>150000</v>
      </c>
      <c r="J607" s="123">
        <v>750000</v>
      </c>
    </row>
    <row r="608" spans="1:12" ht="12.5">
      <c r="D608" s="5" t="s">
        <v>369</v>
      </c>
      <c r="E608" s="5" t="s">
        <v>7505</v>
      </c>
      <c r="G608" s="5" t="s">
        <v>7067</v>
      </c>
      <c r="H608" s="123">
        <v>150000</v>
      </c>
      <c r="J608" s="123">
        <v>150000</v>
      </c>
    </row>
    <row r="609" spans="1:12" ht="12.5">
      <c r="A609" s="5">
        <v>52</v>
      </c>
      <c r="D609" s="5" t="s">
        <v>7044</v>
      </c>
      <c r="J609" s="123">
        <v>1727000</v>
      </c>
      <c r="K609" s="5" t="s">
        <v>7025</v>
      </c>
    </row>
    <row r="610" spans="1:12" ht="12.5">
      <c r="A610" s="5" t="s">
        <v>7026</v>
      </c>
      <c r="D610" s="5" t="s">
        <v>7027</v>
      </c>
      <c r="J610" s="123">
        <v>1727000</v>
      </c>
    </row>
    <row r="611" spans="1:12" ht="12.5">
      <c r="A611" s="5">
        <v>524113</v>
      </c>
      <c r="D611" s="5" t="s">
        <v>7028</v>
      </c>
      <c r="J611" s="123">
        <v>1727000</v>
      </c>
      <c r="L611" s="5" t="s">
        <v>7029</v>
      </c>
    </row>
    <row r="612" spans="1:12" ht="12.5">
      <c r="D612" s="5" t="s">
        <v>7030</v>
      </c>
    </row>
    <row r="613" spans="1:12" ht="12.5">
      <c r="D613" s="5" t="s">
        <v>369</v>
      </c>
      <c r="E613" s="5" t="s">
        <v>7506</v>
      </c>
      <c r="G613" s="5" t="s">
        <v>7106</v>
      </c>
      <c r="H613" s="123">
        <v>161000</v>
      </c>
      <c r="J613" s="123">
        <v>322000</v>
      </c>
    </row>
    <row r="614" spans="1:12" ht="12.5">
      <c r="D614" s="5" t="s">
        <v>369</v>
      </c>
      <c r="E614" s="5" t="s">
        <v>7507</v>
      </c>
      <c r="G614" s="5" t="s">
        <v>7067</v>
      </c>
      <c r="H614" s="123">
        <v>150000</v>
      </c>
      <c r="J614" s="123">
        <v>150000</v>
      </c>
    </row>
    <row r="615" spans="1:12" ht="12.5">
      <c r="D615" s="5" t="s">
        <v>369</v>
      </c>
      <c r="E615" s="5" t="s">
        <v>7035</v>
      </c>
      <c r="G615" s="5" t="s">
        <v>7036</v>
      </c>
      <c r="H615" s="123">
        <v>1255000</v>
      </c>
      <c r="J615" s="123">
        <v>1255000</v>
      </c>
    </row>
    <row r="616" spans="1:12" ht="12.5">
      <c r="A616" s="5">
        <v>2910</v>
      </c>
      <c r="D616" s="5" t="s">
        <v>7508</v>
      </c>
      <c r="J616" s="123">
        <v>717638000</v>
      </c>
    </row>
    <row r="617" spans="1:12" ht="12.5">
      <c r="A617" s="5" t="s">
        <v>7509</v>
      </c>
      <c r="D617" s="5" t="s">
        <v>7018</v>
      </c>
      <c r="G617" s="5" t="s">
        <v>7019</v>
      </c>
      <c r="J617" s="123">
        <v>38404000</v>
      </c>
    </row>
    <row r="618" spans="1:12" ht="12.5">
      <c r="D618" s="5" t="s">
        <v>7020</v>
      </c>
    </row>
    <row r="619" spans="1:12" ht="12.5">
      <c r="A619" s="5" t="s">
        <v>7510</v>
      </c>
      <c r="D619" s="5" t="s">
        <v>7511</v>
      </c>
      <c r="G619" s="5" t="s">
        <v>7023</v>
      </c>
      <c r="J619" s="123">
        <v>38404000</v>
      </c>
    </row>
    <row r="620" spans="1:12" ht="12.5">
      <c r="A620" s="5">
        <v>5</v>
      </c>
      <c r="D620" s="5" t="s">
        <v>7024</v>
      </c>
      <c r="J620" s="123">
        <v>13156000</v>
      </c>
      <c r="K620" s="5" t="s">
        <v>7025</v>
      </c>
    </row>
    <row r="621" spans="1:12" ht="12.5">
      <c r="A621" s="5" t="s">
        <v>7026</v>
      </c>
      <c r="D621" s="5" t="s">
        <v>7027</v>
      </c>
      <c r="J621" s="123">
        <v>13156000</v>
      </c>
    </row>
    <row r="622" spans="1:12" ht="12.5">
      <c r="A622" s="5">
        <v>521213</v>
      </c>
      <c r="D622" s="5" t="s">
        <v>7072</v>
      </c>
      <c r="J622" s="123">
        <v>8557000</v>
      </c>
      <c r="K622" s="5">
        <v>9</v>
      </c>
      <c r="L622" s="5" t="s">
        <v>7029</v>
      </c>
    </row>
    <row r="623" spans="1:12" ht="12.5">
      <c r="D623" s="5" t="s">
        <v>7030</v>
      </c>
    </row>
    <row r="624" spans="1:12" ht="12.5">
      <c r="D624" s="5" t="s">
        <v>369</v>
      </c>
      <c r="E624" s="5" t="s">
        <v>7512</v>
      </c>
      <c r="G624" s="5" t="s">
        <v>7513</v>
      </c>
      <c r="H624" s="123">
        <v>230000</v>
      </c>
      <c r="J624" s="123">
        <v>920000</v>
      </c>
      <c r="K624" s="5" t="s">
        <v>7165</v>
      </c>
    </row>
    <row r="625" spans="1:12" ht="12.5">
      <c r="D625" s="5" t="s">
        <v>369</v>
      </c>
      <c r="E625" s="5" t="s">
        <v>7514</v>
      </c>
      <c r="G625" s="5" t="s">
        <v>7122</v>
      </c>
      <c r="H625" s="123">
        <v>230000</v>
      </c>
      <c r="J625" s="123">
        <v>920000</v>
      </c>
      <c r="K625" s="5" t="s">
        <v>7165</v>
      </c>
    </row>
    <row r="626" spans="1:12" ht="12.5">
      <c r="D626" s="5" t="s">
        <v>369</v>
      </c>
      <c r="E626" s="5" t="s">
        <v>7515</v>
      </c>
      <c r="G626" s="5" t="s">
        <v>7516</v>
      </c>
      <c r="H626" s="123">
        <v>65000</v>
      </c>
      <c r="J626" s="123">
        <v>2600000</v>
      </c>
      <c r="K626" s="5" t="s">
        <v>7165</v>
      </c>
    </row>
    <row r="627" spans="1:12" ht="12.5">
      <c r="D627" s="5" t="s">
        <v>369</v>
      </c>
      <c r="E627" s="5" t="s">
        <v>7514</v>
      </c>
      <c r="G627" s="5" t="s">
        <v>7516</v>
      </c>
      <c r="H627" s="123">
        <v>65000</v>
      </c>
      <c r="J627" s="123">
        <v>2600000</v>
      </c>
      <c r="K627" s="5" t="s">
        <v>7165</v>
      </c>
    </row>
    <row r="628" spans="1:12" ht="12.5">
      <c r="D628" s="5" t="s">
        <v>369</v>
      </c>
      <c r="E628" s="5" t="s">
        <v>7517</v>
      </c>
      <c r="G628" s="5" t="s">
        <v>7122</v>
      </c>
      <c r="H628" s="123">
        <v>55000</v>
      </c>
      <c r="J628" s="123">
        <v>220000</v>
      </c>
    </row>
    <row r="629" spans="1:12" ht="12.5">
      <c r="D629" s="5" t="s">
        <v>369</v>
      </c>
      <c r="E629" s="5" t="s">
        <v>7518</v>
      </c>
      <c r="G629" s="5" t="s">
        <v>7218</v>
      </c>
      <c r="H629" s="123">
        <v>87200</v>
      </c>
      <c r="J629" s="123">
        <v>87000</v>
      </c>
    </row>
    <row r="630" spans="1:12" ht="12.5">
      <c r="D630" s="5" t="s">
        <v>369</v>
      </c>
      <c r="E630" s="5" t="s">
        <v>7519</v>
      </c>
      <c r="G630" s="5" t="s">
        <v>7520</v>
      </c>
      <c r="H630" s="123">
        <v>55000</v>
      </c>
      <c r="J630" s="123">
        <v>1210000</v>
      </c>
    </row>
    <row r="631" spans="1:12" ht="12.5">
      <c r="A631" s="5">
        <v>524113</v>
      </c>
      <c r="D631" s="5" t="s">
        <v>7028</v>
      </c>
      <c r="J631" s="123">
        <v>4599000</v>
      </c>
      <c r="K631" s="5">
        <v>9</v>
      </c>
      <c r="L631" s="5" t="s">
        <v>7029</v>
      </c>
    </row>
    <row r="632" spans="1:12" ht="12.5">
      <c r="D632" s="5" t="s">
        <v>7030</v>
      </c>
    </row>
    <row r="633" spans="1:12" ht="12.5">
      <c r="D633" s="5" t="s">
        <v>369</v>
      </c>
      <c r="E633" s="5" t="s">
        <v>7521</v>
      </c>
      <c r="G633" s="5" t="s">
        <v>7032</v>
      </c>
      <c r="H633" s="123">
        <v>150000</v>
      </c>
      <c r="J633" s="123">
        <v>300000</v>
      </c>
      <c r="K633" s="5" t="s">
        <v>7165</v>
      </c>
    </row>
    <row r="634" spans="1:12" ht="12.5">
      <c r="D634" s="5" t="s">
        <v>369</v>
      </c>
      <c r="E634" s="5" t="s">
        <v>7522</v>
      </c>
      <c r="G634" s="5" t="s">
        <v>7523</v>
      </c>
      <c r="H634" s="123">
        <v>150000</v>
      </c>
      <c r="J634" s="123">
        <v>300000</v>
      </c>
      <c r="K634" s="5" t="s">
        <v>7165</v>
      </c>
    </row>
    <row r="635" spans="1:12" ht="12.5">
      <c r="D635" s="5" t="s">
        <v>369</v>
      </c>
      <c r="E635" s="5" t="s">
        <v>7524</v>
      </c>
      <c r="G635" s="5" t="s">
        <v>7492</v>
      </c>
      <c r="H635" s="123">
        <v>150000</v>
      </c>
      <c r="J635" s="123">
        <v>450000</v>
      </c>
      <c r="K635" s="5" t="s">
        <v>7165</v>
      </c>
    </row>
    <row r="636" spans="1:12" ht="12.5">
      <c r="D636" s="5" t="s">
        <v>369</v>
      </c>
      <c r="E636" s="5" t="s">
        <v>7525</v>
      </c>
      <c r="G636" s="5" t="s">
        <v>7523</v>
      </c>
      <c r="H636" s="123">
        <v>150000</v>
      </c>
      <c r="J636" s="123">
        <v>300000</v>
      </c>
    </row>
    <row r="637" spans="1:12" ht="12.5">
      <c r="D637" s="5" t="s">
        <v>369</v>
      </c>
      <c r="E637" s="5" t="s">
        <v>7526</v>
      </c>
      <c r="G637" s="5" t="s">
        <v>7055</v>
      </c>
      <c r="H637" s="123">
        <v>150000</v>
      </c>
      <c r="J637" s="123">
        <v>450000</v>
      </c>
      <c r="K637" s="5" t="s">
        <v>7165</v>
      </c>
    </row>
    <row r="638" spans="1:12" ht="12.5">
      <c r="D638" s="5" t="s">
        <v>369</v>
      </c>
      <c r="E638" s="5" t="s">
        <v>7527</v>
      </c>
      <c r="G638" s="5" t="s">
        <v>7032</v>
      </c>
      <c r="H638" s="123">
        <v>167500</v>
      </c>
      <c r="J638" s="123">
        <v>335000</v>
      </c>
    </row>
    <row r="639" spans="1:12" ht="12.5">
      <c r="D639" s="5" t="s">
        <v>369</v>
      </c>
      <c r="E639" s="5" t="s">
        <v>7528</v>
      </c>
      <c r="G639" s="5" t="s">
        <v>7032</v>
      </c>
      <c r="H639" s="123">
        <v>150000</v>
      </c>
      <c r="J639" s="123">
        <v>300000</v>
      </c>
    </row>
    <row r="640" spans="1:12" ht="12.5">
      <c r="D640" s="5" t="s">
        <v>369</v>
      </c>
      <c r="E640" s="5" t="s">
        <v>7529</v>
      </c>
      <c r="G640" s="5" t="s">
        <v>7032</v>
      </c>
      <c r="H640" s="123">
        <v>150000</v>
      </c>
      <c r="J640" s="123">
        <v>300000</v>
      </c>
    </row>
    <row r="641" spans="1:12" ht="12.5">
      <c r="D641" s="5" t="s">
        <v>369</v>
      </c>
      <c r="E641" s="5" t="s">
        <v>7530</v>
      </c>
      <c r="G641" s="5" t="s">
        <v>7032</v>
      </c>
      <c r="H641" s="123">
        <v>150000</v>
      </c>
      <c r="J641" s="123">
        <v>300000</v>
      </c>
    </row>
    <row r="642" spans="1:12" ht="12.5">
      <c r="D642" s="5" t="s">
        <v>369</v>
      </c>
      <c r="E642" s="5" t="s">
        <v>7527</v>
      </c>
      <c r="G642" s="5" t="s">
        <v>7089</v>
      </c>
      <c r="H642" s="123">
        <v>150000</v>
      </c>
      <c r="J642" s="123">
        <v>150000</v>
      </c>
    </row>
    <row r="643" spans="1:12" ht="12.5">
      <c r="D643" s="5" t="s">
        <v>369</v>
      </c>
      <c r="E643" s="5" t="s">
        <v>7035</v>
      </c>
      <c r="G643" s="5" t="s">
        <v>7036</v>
      </c>
      <c r="H643" s="123">
        <v>1414000</v>
      </c>
      <c r="J643" s="123">
        <v>1414000</v>
      </c>
    </row>
    <row r="644" spans="1:12" ht="12.5">
      <c r="A644" s="5">
        <v>51</v>
      </c>
      <c r="D644" s="5" t="s">
        <v>7092</v>
      </c>
      <c r="J644" s="123">
        <v>23039000</v>
      </c>
      <c r="K644" s="5" t="s">
        <v>7025</v>
      </c>
    </row>
    <row r="645" spans="1:12" ht="12.5">
      <c r="A645" s="5" t="s">
        <v>7026</v>
      </c>
      <c r="D645" s="5" t="s">
        <v>7027</v>
      </c>
      <c r="J645" s="123">
        <v>23039000</v>
      </c>
    </row>
    <row r="646" spans="1:12" ht="12.5">
      <c r="A646" s="5">
        <v>521211</v>
      </c>
      <c r="D646" s="5" t="s">
        <v>7056</v>
      </c>
      <c r="J646" s="123">
        <v>1950000</v>
      </c>
      <c r="K646" s="5">
        <v>9</v>
      </c>
      <c r="L646" s="5" t="s">
        <v>7029</v>
      </c>
    </row>
    <row r="647" spans="1:12" ht="12.5">
      <c r="D647" s="5" t="s">
        <v>7030</v>
      </c>
    </row>
    <row r="648" spans="1:12" ht="12.5">
      <c r="D648" s="5" t="s">
        <v>369</v>
      </c>
      <c r="E648" s="5" t="s">
        <v>7531</v>
      </c>
      <c r="G648" s="5" t="s">
        <v>7532</v>
      </c>
      <c r="H648" s="123">
        <v>150000</v>
      </c>
      <c r="J648" s="123">
        <v>1950000</v>
      </c>
      <c r="K648" s="5" t="s">
        <v>7165</v>
      </c>
    </row>
    <row r="649" spans="1:12" ht="12.5">
      <c r="A649" s="5">
        <v>521213</v>
      </c>
      <c r="D649" s="5" t="s">
        <v>7072</v>
      </c>
      <c r="J649" s="123">
        <v>2214000</v>
      </c>
      <c r="K649" s="5">
        <v>9</v>
      </c>
      <c r="L649" s="5" t="s">
        <v>7029</v>
      </c>
    </row>
    <row r="650" spans="1:12" ht="12.5">
      <c r="D650" s="5" t="s">
        <v>7030</v>
      </c>
    </row>
    <row r="651" spans="1:12" ht="12.5">
      <c r="D651" s="5" t="s">
        <v>369</v>
      </c>
      <c r="E651" s="5" t="s">
        <v>7533</v>
      </c>
      <c r="G651" s="5" t="s">
        <v>7185</v>
      </c>
      <c r="H651" s="123">
        <v>123000</v>
      </c>
      <c r="J651" s="123">
        <v>2214000</v>
      </c>
      <c r="K651" s="5" t="s">
        <v>7165</v>
      </c>
    </row>
    <row r="652" spans="1:12" ht="12.5">
      <c r="A652" s="5">
        <v>524114</v>
      </c>
      <c r="D652" s="5" t="s">
        <v>7048</v>
      </c>
      <c r="J652" s="123">
        <v>18875000</v>
      </c>
      <c r="K652" s="5">
        <v>9</v>
      </c>
      <c r="L652" s="5" t="s">
        <v>7029</v>
      </c>
    </row>
    <row r="653" spans="1:12" ht="12.5">
      <c r="D653" s="5" t="s">
        <v>7030</v>
      </c>
    </row>
    <row r="654" spans="1:12" ht="12.5">
      <c r="D654" s="5" t="s">
        <v>369</v>
      </c>
      <c r="E654" s="5" t="s">
        <v>7534</v>
      </c>
      <c r="G654" s="5" t="s">
        <v>7535</v>
      </c>
      <c r="H654" s="123">
        <v>484000</v>
      </c>
      <c r="J654" s="123">
        <v>13552000</v>
      </c>
      <c r="K654" s="5" t="s">
        <v>7165</v>
      </c>
    </row>
    <row r="655" spans="1:12" ht="12.5">
      <c r="D655" s="5" t="s">
        <v>369</v>
      </c>
      <c r="E655" s="5" t="s">
        <v>7536</v>
      </c>
      <c r="G655" s="5" t="s">
        <v>7355</v>
      </c>
      <c r="H655" s="123">
        <v>483910</v>
      </c>
      <c r="J655" s="123">
        <v>5323000</v>
      </c>
      <c r="K655" s="5" t="s">
        <v>7165</v>
      </c>
    </row>
    <row r="656" spans="1:12" ht="12.5">
      <c r="A656" s="5">
        <v>52</v>
      </c>
      <c r="D656" s="5" t="s">
        <v>7044</v>
      </c>
      <c r="J656" s="123">
        <v>2209000</v>
      </c>
      <c r="K656" s="5" t="s">
        <v>7025</v>
      </c>
    </row>
    <row r="657" spans="1:12" ht="12.5">
      <c r="A657" s="5" t="s">
        <v>7026</v>
      </c>
      <c r="D657" s="5" t="s">
        <v>7027</v>
      </c>
      <c r="J657" s="123">
        <v>2209000</v>
      </c>
    </row>
    <row r="658" spans="1:12" ht="12.5">
      <c r="A658" s="5">
        <v>524113</v>
      </c>
      <c r="D658" s="5" t="s">
        <v>7028</v>
      </c>
      <c r="J658" s="123">
        <v>2209000</v>
      </c>
      <c r="K658" s="5">
        <v>9</v>
      </c>
      <c r="L658" s="5" t="s">
        <v>7029</v>
      </c>
    </row>
    <row r="659" spans="1:12" ht="12.5">
      <c r="D659" s="5" t="s">
        <v>7030</v>
      </c>
    </row>
    <row r="660" spans="1:12" ht="12.5">
      <c r="D660" s="5" t="s">
        <v>369</v>
      </c>
      <c r="E660" s="5" t="s">
        <v>7537</v>
      </c>
      <c r="G660" s="5" t="s">
        <v>7538</v>
      </c>
      <c r="H660" s="123">
        <v>303000</v>
      </c>
      <c r="J660" s="123">
        <v>909000</v>
      </c>
      <c r="K660" s="5" t="s">
        <v>7165</v>
      </c>
    </row>
    <row r="661" spans="1:12" ht="12.5">
      <c r="D661" s="5" t="s">
        <v>369</v>
      </c>
      <c r="E661" s="5" t="s">
        <v>7539</v>
      </c>
      <c r="G661" s="5" t="s">
        <v>7152</v>
      </c>
      <c r="H661" s="123">
        <v>1300000</v>
      </c>
      <c r="J661" s="123">
        <v>1300000</v>
      </c>
    </row>
    <row r="662" spans="1:12" ht="12.5">
      <c r="A662" s="5" t="s">
        <v>7540</v>
      </c>
      <c r="D662" s="5" t="s">
        <v>7018</v>
      </c>
      <c r="G662" s="5" t="s">
        <v>7541</v>
      </c>
      <c r="J662" s="123">
        <v>679234000</v>
      </c>
    </row>
    <row r="663" spans="1:12" ht="12.5">
      <c r="D663" s="5" t="s">
        <v>7020</v>
      </c>
    </row>
    <row r="664" spans="1:12" ht="12.5">
      <c r="A664" s="5" t="s">
        <v>7542</v>
      </c>
      <c r="D664" s="5" t="s">
        <v>7543</v>
      </c>
      <c r="G664" s="5" t="s">
        <v>7023</v>
      </c>
      <c r="J664" s="123">
        <v>509214000</v>
      </c>
    </row>
    <row r="665" spans="1:12" ht="12.5">
      <c r="A665" s="5">
        <v>5</v>
      </c>
      <c r="D665" s="5" t="s">
        <v>7024</v>
      </c>
      <c r="J665" s="123">
        <v>241684000</v>
      </c>
      <c r="K665" s="5" t="s">
        <v>7025</v>
      </c>
    </row>
    <row r="666" spans="1:12" ht="12.5">
      <c r="A666" s="5" t="s">
        <v>7026</v>
      </c>
      <c r="D666" s="5" t="s">
        <v>7027</v>
      </c>
      <c r="J666" s="123">
        <v>241684000</v>
      </c>
    </row>
    <row r="667" spans="1:12" ht="12.5">
      <c r="A667" s="5">
        <v>521213</v>
      </c>
      <c r="D667" s="5" t="s">
        <v>7072</v>
      </c>
      <c r="J667" s="123">
        <v>232234000</v>
      </c>
      <c r="K667" s="5">
        <v>9</v>
      </c>
      <c r="L667" s="5" t="s">
        <v>7029</v>
      </c>
    </row>
    <row r="668" spans="1:12" ht="12.5">
      <c r="D668" s="5" t="s">
        <v>7030</v>
      </c>
    </row>
    <row r="669" spans="1:12" ht="12.5">
      <c r="D669" s="5" t="s">
        <v>369</v>
      </c>
      <c r="E669" s="5" t="s">
        <v>7544</v>
      </c>
      <c r="G669" s="5" t="s">
        <v>7545</v>
      </c>
      <c r="H669" s="123">
        <v>168000</v>
      </c>
      <c r="J669" s="123">
        <v>14448000</v>
      </c>
      <c r="K669" s="5" t="s">
        <v>7165</v>
      </c>
    </row>
    <row r="670" spans="1:12" ht="12.5">
      <c r="D670" s="5" t="s">
        <v>369</v>
      </c>
      <c r="E670" s="5" t="s">
        <v>7546</v>
      </c>
      <c r="G670" s="5" t="s">
        <v>7547</v>
      </c>
      <c r="H670" s="123">
        <v>34000</v>
      </c>
      <c r="J670" s="123">
        <v>2924000</v>
      </c>
      <c r="K670" s="5" t="s">
        <v>7165</v>
      </c>
    </row>
    <row r="671" spans="1:12" ht="12.5">
      <c r="D671" s="5" t="s">
        <v>369</v>
      </c>
      <c r="E671" s="5" t="s">
        <v>7548</v>
      </c>
      <c r="G671" s="5" t="s">
        <v>7549</v>
      </c>
      <c r="H671" s="123">
        <v>4594000</v>
      </c>
      <c r="J671" s="123">
        <v>82692000</v>
      </c>
      <c r="K671" s="5" t="s">
        <v>7165</v>
      </c>
    </row>
    <row r="672" spans="1:12" ht="12.5">
      <c r="D672" s="5" t="s">
        <v>369</v>
      </c>
      <c r="E672" s="5" t="s">
        <v>7550</v>
      </c>
      <c r="G672" s="5" t="s">
        <v>7551</v>
      </c>
      <c r="H672" s="123">
        <v>2434834</v>
      </c>
      <c r="J672" s="123">
        <v>14609000</v>
      </c>
      <c r="K672" s="5" t="s">
        <v>7165</v>
      </c>
    </row>
    <row r="673" spans="1:12" ht="12.5">
      <c r="D673" s="5" t="s">
        <v>369</v>
      </c>
      <c r="E673" s="5" t="s">
        <v>7552</v>
      </c>
      <c r="G673" s="5" t="s">
        <v>7553</v>
      </c>
      <c r="H673" s="123">
        <v>3437000</v>
      </c>
      <c r="J673" s="123">
        <v>17185000</v>
      </c>
      <c r="K673" s="5" t="s">
        <v>7165</v>
      </c>
    </row>
    <row r="674" spans="1:12" ht="12.5">
      <c r="D674" s="5" t="s">
        <v>369</v>
      </c>
      <c r="E674" s="5" t="s">
        <v>7554</v>
      </c>
      <c r="G674" s="5" t="s">
        <v>7555</v>
      </c>
      <c r="H674" s="123">
        <v>4540000</v>
      </c>
      <c r="J674" s="123">
        <v>72640000</v>
      </c>
    </row>
    <row r="675" spans="1:12" ht="12.5">
      <c r="D675" s="5" t="s">
        <v>369</v>
      </c>
      <c r="E675" s="5" t="s">
        <v>7556</v>
      </c>
      <c r="G675" s="5" t="s">
        <v>7551</v>
      </c>
      <c r="H675" s="123">
        <v>2424000</v>
      </c>
      <c r="J675" s="123">
        <v>14544000</v>
      </c>
    </row>
    <row r="676" spans="1:12" ht="12.5">
      <c r="D676" s="5" t="s">
        <v>369</v>
      </c>
      <c r="E676" s="5" t="s">
        <v>7557</v>
      </c>
      <c r="G676" s="5" t="s">
        <v>7558</v>
      </c>
      <c r="H676" s="123">
        <v>3298000</v>
      </c>
      <c r="J676" s="123">
        <v>13192000</v>
      </c>
    </row>
    <row r="677" spans="1:12" ht="12.5">
      <c r="A677" s="5">
        <v>524113</v>
      </c>
      <c r="D677" s="5" t="s">
        <v>7028</v>
      </c>
      <c r="J677" s="123">
        <v>9450000</v>
      </c>
      <c r="K677" s="5">
        <v>9</v>
      </c>
      <c r="L677" s="5" t="s">
        <v>7029</v>
      </c>
    </row>
    <row r="678" spans="1:12" ht="12.5">
      <c r="D678" s="5" t="s">
        <v>7030</v>
      </c>
    </row>
    <row r="679" spans="1:12" ht="12.5">
      <c r="D679" s="5" t="s">
        <v>369</v>
      </c>
      <c r="E679" s="5" t="s">
        <v>7559</v>
      </c>
      <c r="G679" s="5" t="s">
        <v>7560</v>
      </c>
      <c r="H679" s="123">
        <v>150000</v>
      </c>
      <c r="J679" s="123">
        <v>2550000</v>
      </c>
      <c r="K679" s="5" t="s">
        <v>7165</v>
      </c>
    </row>
    <row r="680" spans="1:12" ht="12.5">
      <c r="D680" s="5" t="s">
        <v>369</v>
      </c>
      <c r="E680" s="5" t="s">
        <v>7561</v>
      </c>
      <c r="G680" s="5" t="s">
        <v>7562</v>
      </c>
      <c r="H680" s="123">
        <v>150000</v>
      </c>
      <c r="J680" s="123">
        <v>4950000</v>
      </c>
      <c r="K680" s="5" t="s">
        <v>7165</v>
      </c>
    </row>
    <row r="681" spans="1:12" ht="12.5">
      <c r="D681" s="5" t="s">
        <v>369</v>
      </c>
      <c r="E681" s="5" t="s">
        <v>7563</v>
      </c>
      <c r="G681" s="5" t="s">
        <v>7564</v>
      </c>
      <c r="H681" s="123">
        <v>150000</v>
      </c>
      <c r="J681" s="123">
        <v>1950000</v>
      </c>
    </row>
    <row r="682" spans="1:12" ht="12.5">
      <c r="A682" s="5">
        <v>716</v>
      </c>
      <c r="D682" s="5" t="s">
        <v>7565</v>
      </c>
      <c r="J682" s="123">
        <v>139487000</v>
      </c>
      <c r="K682" s="5" t="s">
        <v>7025</v>
      </c>
    </row>
    <row r="683" spans="1:12" ht="12.5">
      <c r="A683" s="5" t="s">
        <v>7026</v>
      </c>
      <c r="D683" s="5" t="s">
        <v>7027</v>
      </c>
      <c r="J683" s="123">
        <v>139487000</v>
      </c>
    </row>
    <row r="684" spans="1:12" ht="12.5">
      <c r="A684" s="5">
        <v>521211</v>
      </c>
      <c r="D684" s="5" t="s">
        <v>7056</v>
      </c>
      <c r="J684" s="123">
        <v>7600000</v>
      </c>
      <c r="L684" s="5" t="s">
        <v>7029</v>
      </c>
    </row>
    <row r="685" spans="1:12" ht="12.5">
      <c r="D685" s="5" t="s">
        <v>7030</v>
      </c>
    </row>
    <row r="686" spans="1:12" ht="12.5">
      <c r="D686" s="5" t="s">
        <v>369</v>
      </c>
      <c r="E686" s="5" t="s">
        <v>7566</v>
      </c>
      <c r="G686" s="5" t="s">
        <v>7567</v>
      </c>
      <c r="H686" s="123">
        <v>150000</v>
      </c>
      <c r="J686" s="123">
        <v>5700000</v>
      </c>
    </row>
    <row r="687" spans="1:12" ht="12.5">
      <c r="D687" s="5" t="s">
        <v>369</v>
      </c>
      <c r="E687" s="5" t="s">
        <v>7568</v>
      </c>
      <c r="G687" s="5" t="s">
        <v>7569</v>
      </c>
      <c r="H687" s="123">
        <v>50000</v>
      </c>
      <c r="J687" s="123">
        <v>1900000</v>
      </c>
    </row>
    <row r="688" spans="1:12" ht="12.5">
      <c r="A688" s="5">
        <v>521213</v>
      </c>
      <c r="D688" s="5" t="s">
        <v>7072</v>
      </c>
      <c r="J688" s="123">
        <v>3996000</v>
      </c>
      <c r="L688" s="5" t="s">
        <v>7029</v>
      </c>
    </row>
    <row r="689" spans="1:12" ht="12.5">
      <c r="D689" s="5" t="s">
        <v>7030</v>
      </c>
    </row>
    <row r="690" spans="1:12" ht="12.5">
      <c r="D690" s="5" t="s">
        <v>369</v>
      </c>
      <c r="E690" s="5" t="s">
        <v>7570</v>
      </c>
      <c r="G690" s="5" t="s">
        <v>7351</v>
      </c>
      <c r="H690" s="123">
        <v>111000</v>
      </c>
      <c r="J690" s="123">
        <v>3996000</v>
      </c>
    </row>
    <row r="691" spans="1:12" ht="12.5">
      <c r="A691" s="5">
        <v>521219</v>
      </c>
      <c r="D691" s="5" t="s">
        <v>7244</v>
      </c>
      <c r="J691" s="123">
        <v>1254000</v>
      </c>
      <c r="L691" s="5" t="s">
        <v>7029</v>
      </c>
    </row>
    <row r="692" spans="1:12" ht="12.5">
      <c r="D692" s="5" t="s">
        <v>7030</v>
      </c>
    </row>
    <row r="693" spans="1:12" ht="12.5">
      <c r="D693" s="5" t="s">
        <v>369</v>
      </c>
      <c r="E693" s="5" t="s">
        <v>7571</v>
      </c>
      <c r="G693" s="5" t="s">
        <v>7572</v>
      </c>
      <c r="H693" s="123">
        <v>57000</v>
      </c>
      <c r="J693" s="123">
        <v>1254000</v>
      </c>
    </row>
    <row r="694" spans="1:12" ht="12.5">
      <c r="A694" s="5">
        <v>521811</v>
      </c>
      <c r="D694" s="5" t="s">
        <v>7034</v>
      </c>
      <c r="J694" s="123">
        <v>73288000</v>
      </c>
      <c r="L694" s="5" t="s">
        <v>7029</v>
      </c>
    </row>
    <row r="695" spans="1:12" ht="12.5">
      <c r="D695" s="5" t="s">
        <v>7030</v>
      </c>
    </row>
    <row r="696" spans="1:12" ht="12.5">
      <c r="D696" s="5" t="s">
        <v>369</v>
      </c>
      <c r="E696" s="5" t="s">
        <v>7573</v>
      </c>
      <c r="G696" s="5" t="s">
        <v>7036</v>
      </c>
      <c r="H696" s="123">
        <v>73288000</v>
      </c>
      <c r="J696" s="123">
        <v>73288000</v>
      </c>
    </row>
    <row r="697" spans="1:12" ht="12.5">
      <c r="A697" s="5">
        <v>524113</v>
      </c>
      <c r="D697" s="5" t="s">
        <v>7028</v>
      </c>
      <c r="J697" s="123">
        <v>2448000</v>
      </c>
      <c r="L697" s="5" t="s">
        <v>7029</v>
      </c>
    </row>
    <row r="698" spans="1:12" ht="12.5">
      <c r="D698" s="5" t="s">
        <v>7030</v>
      </c>
    </row>
    <row r="699" spans="1:12" ht="12.5">
      <c r="D699" s="5" t="s">
        <v>369</v>
      </c>
      <c r="E699" s="5" t="s">
        <v>7574</v>
      </c>
      <c r="G699" s="5" t="s">
        <v>7062</v>
      </c>
      <c r="H699" s="123">
        <v>303000</v>
      </c>
      <c r="J699" s="123">
        <v>303000</v>
      </c>
    </row>
    <row r="700" spans="1:12" ht="12.5">
      <c r="D700" s="5" t="s">
        <v>369</v>
      </c>
      <c r="E700" s="5" t="s">
        <v>7575</v>
      </c>
      <c r="G700" s="5" t="s">
        <v>7152</v>
      </c>
      <c r="H700" s="123">
        <v>1389000</v>
      </c>
      <c r="J700" s="123">
        <v>1389000</v>
      </c>
    </row>
    <row r="701" spans="1:12" ht="12.5">
      <c r="D701" s="5" t="s">
        <v>369</v>
      </c>
      <c r="E701" s="5" t="s">
        <v>7576</v>
      </c>
      <c r="G701" s="5" t="s">
        <v>7067</v>
      </c>
      <c r="H701" s="123">
        <v>150000</v>
      </c>
      <c r="J701" s="123">
        <v>150000</v>
      </c>
    </row>
    <row r="702" spans="1:12" ht="12.5">
      <c r="D702" s="5" t="s">
        <v>369</v>
      </c>
      <c r="E702" s="5" t="s">
        <v>7577</v>
      </c>
      <c r="G702" s="5" t="s">
        <v>7578</v>
      </c>
      <c r="H702" s="123">
        <v>303000</v>
      </c>
      <c r="J702" s="123">
        <v>606000</v>
      </c>
    </row>
    <row r="703" spans="1:12" ht="12.5">
      <c r="A703" s="5">
        <v>524114</v>
      </c>
      <c r="D703" s="5" t="s">
        <v>7048</v>
      </c>
      <c r="J703" s="123">
        <v>50901000</v>
      </c>
      <c r="L703" s="5" t="s">
        <v>7029</v>
      </c>
    </row>
    <row r="704" spans="1:12" ht="12.5">
      <c r="D704" s="5" t="s">
        <v>7030</v>
      </c>
    </row>
    <row r="705" spans="1:12" ht="12.5">
      <c r="D705" s="5" t="s">
        <v>369</v>
      </c>
      <c r="E705" s="5" t="s">
        <v>7579</v>
      </c>
      <c r="G705" s="5" t="s">
        <v>7580</v>
      </c>
      <c r="H705" s="123">
        <v>649700</v>
      </c>
      <c r="J705" s="123">
        <v>32485000</v>
      </c>
    </row>
    <row r="706" spans="1:12" ht="12.5">
      <c r="D706" s="5" t="s">
        <v>369</v>
      </c>
      <c r="E706" s="5" t="s">
        <v>7581</v>
      </c>
      <c r="G706" s="5" t="s">
        <v>7582</v>
      </c>
      <c r="H706" s="123">
        <v>736640</v>
      </c>
      <c r="J706" s="123">
        <v>18416000</v>
      </c>
    </row>
    <row r="707" spans="1:12" ht="12.5">
      <c r="A707" s="5">
        <v>717</v>
      </c>
      <c r="D707" s="5" t="s">
        <v>7583</v>
      </c>
      <c r="J707" s="123">
        <v>60800000</v>
      </c>
      <c r="K707" s="5" t="s">
        <v>7025</v>
      </c>
    </row>
    <row r="708" spans="1:12" ht="12.5">
      <c r="A708" s="5" t="s">
        <v>7026</v>
      </c>
      <c r="D708" s="5" t="s">
        <v>7027</v>
      </c>
      <c r="J708" s="123">
        <v>60800000</v>
      </c>
    </row>
    <row r="709" spans="1:12" ht="12.5">
      <c r="A709" s="5">
        <v>521211</v>
      </c>
      <c r="D709" s="5" t="s">
        <v>7056</v>
      </c>
      <c r="J709" s="123">
        <v>60200000</v>
      </c>
      <c r="L709" s="5" t="s">
        <v>7029</v>
      </c>
    </row>
    <row r="710" spans="1:12" ht="12.5">
      <c r="D710" s="5" t="s">
        <v>7030</v>
      </c>
    </row>
    <row r="711" spans="1:12" ht="12.5">
      <c r="D711" s="5" t="s">
        <v>369</v>
      </c>
      <c r="E711" s="5" t="s">
        <v>7035</v>
      </c>
      <c r="G711" s="5" t="s">
        <v>7036</v>
      </c>
      <c r="H711" s="123">
        <v>60200000</v>
      </c>
      <c r="J711" s="123">
        <v>60200000</v>
      </c>
    </row>
    <row r="712" spans="1:12" ht="12.5">
      <c r="A712" s="5">
        <v>524113</v>
      </c>
      <c r="D712" s="5" t="s">
        <v>7028</v>
      </c>
      <c r="J712" s="123">
        <v>600000</v>
      </c>
      <c r="L712" s="5" t="s">
        <v>7029</v>
      </c>
    </row>
    <row r="713" spans="1:12" ht="12.5">
      <c r="D713" s="5" t="s">
        <v>7030</v>
      </c>
    </row>
    <row r="714" spans="1:12" ht="12.5">
      <c r="D714" s="5" t="s">
        <v>369</v>
      </c>
      <c r="E714" s="5" t="s">
        <v>7584</v>
      </c>
      <c r="G714" s="5" t="s">
        <v>7295</v>
      </c>
      <c r="H714" s="123">
        <v>150000</v>
      </c>
      <c r="J714" s="123">
        <v>600000</v>
      </c>
    </row>
    <row r="715" spans="1:12" ht="12.5">
      <c r="A715" s="5">
        <v>724</v>
      </c>
      <c r="D715" s="5" t="s">
        <v>7585</v>
      </c>
      <c r="J715" s="123">
        <v>64026000</v>
      </c>
      <c r="K715" s="5" t="s">
        <v>7025</v>
      </c>
    </row>
    <row r="716" spans="1:12" ht="12.5">
      <c r="A716" s="5" t="s">
        <v>7026</v>
      </c>
      <c r="D716" s="5" t="s">
        <v>7027</v>
      </c>
      <c r="J716" s="123">
        <v>64026000</v>
      </c>
    </row>
    <row r="717" spans="1:12" ht="12.5">
      <c r="A717" s="5">
        <v>521213</v>
      </c>
      <c r="D717" s="5" t="s">
        <v>7072</v>
      </c>
      <c r="J717" s="123">
        <v>3321000</v>
      </c>
      <c r="K717" s="5">
        <v>9</v>
      </c>
      <c r="L717" s="5" t="s">
        <v>7029</v>
      </c>
    </row>
    <row r="718" spans="1:12" ht="12.5">
      <c r="D718" s="5" t="s">
        <v>7030</v>
      </c>
    </row>
    <row r="719" spans="1:12" ht="12.5">
      <c r="D719" s="5" t="s">
        <v>369</v>
      </c>
      <c r="E719" s="5" t="s">
        <v>7586</v>
      </c>
      <c r="G719" s="5" t="s">
        <v>7102</v>
      </c>
      <c r="H719" s="123">
        <v>123000</v>
      </c>
      <c r="J719" s="123">
        <v>3321000</v>
      </c>
      <c r="K719" s="5" t="s">
        <v>7165</v>
      </c>
    </row>
    <row r="720" spans="1:12" ht="12.5">
      <c r="A720" s="5">
        <v>521219</v>
      </c>
      <c r="D720" s="5" t="s">
        <v>7244</v>
      </c>
      <c r="J720" s="123">
        <v>1026000</v>
      </c>
      <c r="K720" s="5">
        <v>9</v>
      </c>
      <c r="L720" s="5" t="s">
        <v>7029</v>
      </c>
    </row>
    <row r="721" spans="1:12" ht="12.5">
      <c r="D721" s="5" t="s">
        <v>7030</v>
      </c>
    </row>
    <row r="722" spans="1:12" ht="12.5">
      <c r="D722" s="5" t="s">
        <v>369</v>
      </c>
      <c r="E722" s="5" t="s">
        <v>7571</v>
      </c>
      <c r="G722" s="5" t="s">
        <v>7549</v>
      </c>
      <c r="H722" s="123">
        <v>57000</v>
      </c>
      <c r="J722" s="123">
        <v>1026000</v>
      </c>
      <c r="K722" s="5" t="s">
        <v>7165</v>
      </c>
    </row>
    <row r="723" spans="1:12" ht="12.5">
      <c r="A723" s="5">
        <v>521811</v>
      </c>
      <c r="D723" s="5" t="s">
        <v>7034</v>
      </c>
      <c r="J723" s="123">
        <v>560000</v>
      </c>
      <c r="K723" s="5">
        <v>9</v>
      </c>
      <c r="L723" s="5" t="s">
        <v>7029</v>
      </c>
    </row>
    <row r="724" spans="1:12" ht="12.5">
      <c r="D724" s="5" t="s">
        <v>7030</v>
      </c>
    </row>
    <row r="725" spans="1:12" ht="12.5">
      <c r="D725" s="5" t="s">
        <v>369</v>
      </c>
      <c r="E725" s="5" t="s">
        <v>7587</v>
      </c>
      <c r="G725" s="5" t="s">
        <v>7588</v>
      </c>
      <c r="H725" s="5">
        <v>800</v>
      </c>
      <c r="J725" s="123">
        <v>560000</v>
      </c>
      <c r="K725" s="5" t="s">
        <v>7165</v>
      </c>
    </row>
    <row r="726" spans="1:12" ht="12.5">
      <c r="A726" s="5">
        <v>524113</v>
      </c>
      <c r="D726" s="5" t="s">
        <v>7028</v>
      </c>
      <c r="J726" s="123">
        <v>4005000</v>
      </c>
      <c r="K726" s="5">
        <v>9</v>
      </c>
      <c r="L726" s="5" t="s">
        <v>7029</v>
      </c>
    </row>
    <row r="727" spans="1:12" ht="12.5">
      <c r="D727" s="5" t="s">
        <v>7030</v>
      </c>
    </row>
    <row r="728" spans="1:12" ht="12.5">
      <c r="D728" s="5" t="s">
        <v>369</v>
      </c>
      <c r="E728" s="5" t="s">
        <v>7574</v>
      </c>
      <c r="G728" s="5" t="s">
        <v>7589</v>
      </c>
      <c r="H728" s="123">
        <v>303000</v>
      </c>
      <c r="J728" s="123">
        <v>1515000</v>
      </c>
      <c r="K728" s="5" t="s">
        <v>7165</v>
      </c>
    </row>
    <row r="729" spans="1:12" ht="12.5">
      <c r="D729" s="5" t="s">
        <v>369</v>
      </c>
      <c r="E729" s="5" t="s">
        <v>7458</v>
      </c>
      <c r="G729" s="5" t="s">
        <v>7032</v>
      </c>
      <c r="H729" s="123">
        <v>1020000</v>
      </c>
      <c r="J729" s="123">
        <v>2040000</v>
      </c>
      <c r="K729" s="5" t="s">
        <v>7165</v>
      </c>
    </row>
    <row r="730" spans="1:12" ht="12.5">
      <c r="D730" s="5" t="s">
        <v>369</v>
      </c>
      <c r="E730" s="5" t="s">
        <v>7576</v>
      </c>
      <c r="G730" s="5" t="s">
        <v>7055</v>
      </c>
      <c r="H730" s="123">
        <v>150000</v>
      </c>
      <c r="J730" s="123">
        <v>450000</v>
      </c>
      <c r="K730" s="5" t="s">
        <v>7165</v>
      </c>
    </row>
    <row r="731" spans="1:12" ht="12.5">
      <c r="A731" s="5">
        <v>524114</v>
      </c>
      <c r="D731" s="5" t="s">
        <v>7048</v>
      </c>
      <c r="J731" s="123">
        <v>55114000</v>
      </c>
      <c r="K731" s="5">
        <v>9</v>
      </c>
      <c r="L731" s="5" t="s">
        <v>7029</v>
      </c>
    </row>
    <row r="732" spans="1:12" ht="12.5">
      <c r="D732" s="5" t="s">
        <v>7030</v>
      </c>
    </row>
    <row r="733" spans="1:12" ht="12.5">
      <c r="D733" s="5" t="s">
        <v>369</v>
      </c>
      <c r="E733" s="5" t="s">
        <v>7590</v>
      </c>
      <c r="G733" s="5" t="s">
        <v>7591</v>
      </c>
      <c r="H733" s="123">
        <v>591588</v>
      </c>
      <c r="J733" s="123">
        <v>37270000</v>
      </c>
      <c r="K733" s="5" t="s">
        <v>7165</v>
      </c>
    </row>
    <row r="734" spans="1:12" ht="12.5">
      <c r="D734" s="5" t="s">
        <v>369</v>
      </c>
      <c r="E734" s="5" t="s">
        <v>7592</v>
      </c>
      <c r="G734" s="5" t="s">
        <v>7593</v>
      </c>
      <c r="H734" s="123">
        <v>849715</v>
      </c>
      <c r="J734" s="123">
        <v>17844000</v>
      </c>
      <c r="K734" s="5" t="s">
        <v>7165</v>
      </c>
    </row>
    <row r="735" spans="1:12" ht="12.5">
      <c r="A735" s="5">
        <v>725</v>
      </c>
      <c r="D735" s="5" t="s">
        <v>7594</v>
      </c>
      <c r="J735" s="123">
        <v>3217000</v>
      </c>
      <c r="K735" s="5" t="s">
        <v>7025</v>
      </c>
    </row>
    <row r="736" spans="1:12" ht="12.5">
      <c r="A736" s="5" t="s">
        <v>7026</v>
      </c>
      <c r="D736" s="5" t="s">
        <v>7027</v>
      </c>
      <c r="J736" s="123">
        <v>3217000</v>
      </c>
    </row>
    <row r="737" spans="1:12" ht="12.5">
      <c r="A737" s="5">
        <v>521211</v>
      </c>
      <c r="D737" s="5" t="s">
        <v>7056</v>
      </c>
      <c r="J737" s="123">
        <v>1360000</v>
      </c>
      <c r="K737" s="5">
        <v>9</v>
      </c>
      <c r="L737" s="5" t="s">
        <v>7029</v>
      </c>
    </row>
    <row r="738" spans="1:12" ht="12.5">
      <c r="D738" s="5" t="s">
        <v>7030</v>
      </c>
    </row>
    <row r="739" spans="1:12" ht="12.5">
      <c r="D739" s="5" t="s">
        <v>369</v>
      </c>
      <c r="E739" s="5" t="s">
        <v>7595</v>
      </c>
      <c r="G739" s="5" t="s">
        <v>7596</v>
      </c>
      <c r="H739" s="123">
        <v>68000</v>
      </c>
      <c r="J739" s="123">
        <v>1360000</v>
      </c>
      <c r="K739" s="5" t="s">
        <v>7165</v>
      </c>
    </row>
    <row r="740" spans="1:12" ht="12.5">
      <c r="A740" s="5">
        <v>521213</v>
      </c>
      <c r="D740" s="5" t="s">
        <v>7072</v>
      </c>
      <c r="J740" s="123">
        <v>1107000</v>
      </c>
      <c r="K740" s="5">
        <v>9</v>
      </c>
      <c r="L740" s="5" t="s">
        <v>7029</v>
      </c>
    </row>
    <row r="741" spans="1:12" ht="12.5">
      <c r="D741" s="5" t="s">
        <v>7030</v>
      </c>
    </row>
    <row r="742" spans="1:12" ht="12.5">
      <c r="D742" s="5" t="s">
        <v>369</v>
      </c>
      <c r="E742" s="5" t="s">
        <v>7597</v>
      </c>
      <c r="G742" s="5" t="s">
        <v>7100</v>
      </c>
      <c r="H742" s="123">
        <v>123000</v>
      </c>
      <c r="J742" s="123">
        <v>1107000</v>
      </c>
      <c r="K742" s="5" t="s">
        <v>7165</v>
      </c>
    </row>
    <row r="743" spans="1:12" ht="12.5">
      <c r="A743" s="5">
        <v>524113</v>
      </c>
      <c r="D743" s="5" t="s">
        <v>7028</v>
      </c>
      <c r="J743" s="123">
        <v>750000</v>
      </c>
      <c r="K743" s="5">
        <v>9</v>
      </c>
      <c r="L743" s="5" t="s">
        <v>7029</v>
      </c>
    </row>
    <row r="744" spans="1:12" ht="12.5">
      <c r="D744" s="5" t="s">
        <v>7030</v>
      </c>
    </row>
    <row r="745" spans="1:12" ht="12.5">
      <c r="D745" s="5" t="s">
        <v>369</v>
      </c>
      <c r="E745" s="5" t="s">
        <v>7598</v>
      </c>
      <c r="G745" s="5" t="s">
        <v>7429</v>
      </c>
      <c r="H745" s="123">
        <v>150000</v>
      </c>
      <c r="J745" s="123">
        <v>750000</v>
      </c>
      <c r="K745" s="5" t="s">
        <v>7165</v>
      </c>
    </row>
    <row r="746" spans="1:12" ht="12.5">
      <c r="A746" s="5" t="s">
        <v>7599</v>
      </c>
      <c r="D746" s="5" t="s">
        <v>7600</v>
      </c>
      <c r="G746" s="5" t="s">
        <v>7023</v>
      </c>
      <c r="J746" s="123">
        <v>69404000</v>
      </c>
    </row>
    <row r="747" spans="1:12" ht="12.5">
      <c r="A747" s="5">
        <v>5</v>
      </c>
      <c r="D747" s="5" t="s">
        <v>7024</v>
      </c>
      <c r="J747" s="123">
        <v>62778000</v>
      </c>
      <c r="K747" s="5" t="s">
        <v>7025</v>
      </c>
    </row>
    <row r="748" spans="1:12" ht="12.5">
      <c r="A748" s="5" t="s">
        <v>7026</v>
      </c>
      <c r="D748" s="5" t="s">
        <v>7027</v>
      </c>
      <c r="J748" s="123">
        <v>62778000</v>
      </c>
    </row>
    <row r="749" spans="1:12" ht="12.5">
      <c r="A749" s="5">
        <v>521213</v>
      </c>
      <c r="D749" s="5" t="s">
        <v>7072</v>
      </c>
      <c r="J749" s="123">
        <v>37488000</v>
      </c>
      <c r="L749" s="5" t="s">
        <v>7029</v>
      </c>
    </row>
    <row r="750" spans="1:12" ht="12.5">
      <c r="D750" s="5" t="s">
        <v>7030</v>
      </c>
    </row>
    <row r="751" spans="1:12" ht="12.5">
      <c r="D751" s="5" t="s">
        <v>369</v>
      </c>
      <c r="E751" s="5" t="s">
        <v>7601</v>
      </c>
      <c r="G751" s="5" t="s">
        <v>7602</v>
      </c>
      <c r="H751" s="123">
        <v>168000</v>
      </c>
      <c r="J751" s="123">
        <v>9408000</v>
      </c>
    </row>
    <row r="752" spans="1:12" ht="12.5">
      <c r="D752" s="5" t="s">
        <v>369</v>
      </c>
      <c r="E752" s="5" t="s">
        <v>7603</v>
      </c>
      <c r="G752" s="5" t="s">
        <v>7604</v>
      </c>
      <c r="H752" s="123">
        <v>78000</v>
      </c>
      <c r="J752" s="123">
        <v>28080000</v>
      </c>
    </row>
    <row r="753" spans="1:12" ht="12.5">
      <c r="A753" s="5">
        <v>521219</v>
      </c>
      <c r="D753" s="5" t="s">
        <v>7244</v>
      </c>
      <c r="J753" s="123">
        <v>21240000</v>
      </c>
      <c r="L753" s="5" t="s">
        <v>7029</v>
      </c>
    </row>
    <row r="754" spans="1:12" ht="12.5">
      <c r="D754" s="5" t="s">
        <v>7030</v>
      </c>
    </row>
    <row r="755" spans="1:12" ht="12.5">
      <c r="D755" s="5" t="s">
        <v>369</v>
      </c>
      <c r="E755" s="5" t="s">
        <v>7605</v>
      </c>
      <c r="G755" s="5" t="s">
        <v>7606</v>
      </c>
      <c r="H755" s="123">
        <v>59000</v>
      </c>
      <c r="J755" s="123">
        <v>21240000</v>
      </c>
    </row>
    <row r="756" spans="1:12" ht="12.5">
      <c r="A756" s="5">
        <v>524113</v>
      </c>
      <c r="D756" s="5" t="s">
        <v>7028</v>
      </c>
      <c r="J756" s="123">
        <v>4050000</v>
      </c>
      <c r="L756" s="5" t="s">
        <v>7029</v>
      </c>
    </row>
    <row r="757" spans="1:12" ht="12.5">
      <c r="D757" s="5" t="s">
        <v>7030</v>
      </c>
    </row>
    <row r="758" spans="1:12" ht="12.5">
      <c r="D758" s="5" t="s">
        <v>369</v>
      </c>
      <c r="E758" s="5" t="s">
        <v>7607</v>
      </c>
      <c r="G758" s="5" t="s">
        <v>7608</v>
      </c>
      <c r="H758" s="123">
        <v>150000</v>
      </c>
      <c r="J758" s="123">
        <v>1050000</v>
      </c>
    </row>
    <row r="759" spans="1:12" ht="12.5">
      <c r="D759" s="5" t="s">
        <v>369</v>
      </c>
      <c r="E759" s="5" t="s">
        <v>7609</v>
      </c>
      <c r="G759" s="5" t="s">
        <v>7394</v>
      </c>
      <c r="H759" s="123">
        <v>150000</v>
      </c>
      <c r="J759" s="123">
        <v>2100000</v>
      </c>
    </row>
    <row r="760" spans="1:12" ht="12.5">
      <c r="D760" s="5" t="s">
        <v>369</v>
      </c>
      <c r="E760" s="5" t="s">
        <v>7610</v>
      </c>
      <c r="G760" s="5" t="s">
        <v>7303</v>
      </c>
      <c r="H760" s="123">
        <v>150000</v>
      </c>
      <c r="J760" s="123">
        <v>900000</v>
      </c>
    </row>
    <row r="761" spans="1:12" ht="12.5">
      <c r="A761" s="5">
        <v>52</v>
      </c>
      <c r="D761" s="5" t="s">
        <v>7044</v>
      </c>
      <c r="J761" s="123">
        <v>2223000</v>
      </c>
      <c r="K761" s="5" t="s">
        <v>7025</v>
      </c>
    </row>
    <row r="762" spans="1:12" ht="12.5">
      <c r="A762" s="5" t="s">
        <v>7026</v>
      </c>
      <c r="D762" s="5" t="s">
        <v>7027</v>
      </c>
      <c r="J762" s="123">
        <v>2223000</v>
      </c>
    </row>
    <row r="763" spans="1:12" ht="12.5">
      <c r="A763" s="5">
        <v>524113</v>
      </c>
      <c r="D763" s="5" t="s">
        <v>7028</v>
      </c>
      <c r="J763" s="123">
        <v>2223000</v>
      </c>
      <c r="L763" s="5" t="s">
        <v>7029</v>
      </c>
    </row>
    <row r="764" spans="1:12" ht="12.5">
      <c r="D764" s="5" t="s">
        <v>7030</v>
      </c>
    </row>
    <row r="765" spans="1:12" ht="12.5">
      <c r="D765" s="5" t="s">
        <v>369</v>
      </c>
      <c r="E765" s="5" t="s">
        <v>7611</v>
      </c>
      <c r="G765" s="5" t="s">
        <v>7106</v>
      </c>
      <c r="H765" s="123">
        <v>150000</v>
      </c>
      <c r="J765" s="123">
        <v>300000</v>
      </c>
    </row>
    <row r="766" spans="1:12" ht="12.5">
      <c r="D766" s="5" t="s">
        <v>369</v>
      </c>
      <c r="E766" s="5" t="s">
        <v>7612</v>
      </c>
      <c r="G766" s="5" t="s">
        <v>7147</v>
      </c>
      <c r="H766" s="123">
        <v>150000</v>
      </c>
      <c r="J766" s="123">
        <v>1800000</v>
      </c>
    </row>
    <row r="767" spans="1:12" ht="12.5">
      <c r="D767" s="5" t="s">
        <v>369</v>
      </c>
      <c r="E767" s="5" t="s">
        <v>7613</v>
      </c>
      <c r="G767" s="5" t="s">
        <v>7067</v>
      </c>
      <c r="H767" s="123">
        <v>123000</v>
      </c>
      <c r="J767" s="123">
        <v>123000</v>
      </c>
    </row>
    <row r="768" spans="1:12" ht="12.5">
      <c r="A768" s="5">
        <v>54</v>
      </c>
      <c r="D768" s="5" t="s">
        <v>7033</v>
      </c>
      <c r="J768" s="123">
        <v>4403000</v>
      </c>
      <c r="K768" s="5" t="s">
        <v>7025</v>
      </c>
    </row>
    <row r="769" spans="1:12" ht="12.5">
      <c r="A769" s="5" t="s">
        <v>7026</v>
      </c>
      <c r="D769" s="5" t="s">
        <v>7027</v>
      </c>
      <c r="J769" s="123">
        <v>4403000</v>
      </c>
    </row>
    <row r="770" spans="1:12" ht="12.5">
      <c r="A770" s="5">
        <v>521811</v>
      </c>
      <c r="D770" s="5" t="s">
        <v>7034</v>
      </c>
      <c r="J770" s="123">
        <v>4403000</v>
      </c>
      <c r="L770" s="5" t="s">
        <v>7029</v>
      </c>
    </row>
    <row r="771" spans="1:12" ht="12.5">
      <c r="D771" s="5" t="s">
        <v>7030</v>
      </c>
    </row>
    <row r="772" spans="1:12" ht="12.5">
      <c r="D772" s="5" t="s">
        <v>369</v>
      </c>
      <c r="E772" s="5" t="s">
        <v>7035</v>
      </c>
      <c r="G772" s="5" t="s">
        <v>7036</v>
      </c>
      <c r="H772" s="123">
        <v>4403000</v>
      </c>
      <c r="J772" s="123">
        <v>4403000</v>
      </c>
    </row>
    <row r="773" spans="1:12" ht="12.5">
      <c r="A773" s="5" t="s">
        <v>7614</v>
      </c>
      <c r="D773" s="5" t="s">
        <v>7615</v>
      </c>
      <c r="G773" s="5" t="s">
        <v>7023</v>
      </c>
      <c r="J773" s="123">
        <v>100616000</v>
      </c>
    </row>
    <row r="774" spans="1:12" ht="12.5">
      <c r="A774" s="5">
        <v>5</v>
      </c>
      <c r="D774" s="5" t="s">
        <v>7024</v>
      </c>
      <c r="J774" s="123">
        <v>75282000</v>
      </c>
      <c r="K774" s="5" t="s">
        <v>7025</v>
      </c>
    </row>
    <row r="775" spans="1:12" ht="12.5">
      <c r="A775" s="5" t="s">
        <v>7026</v>
      </c>
      <c r="D775" s="5" t="s">
        <v>7027</v>
      </c>
      <c r="J775" s="123">
        <v>75282000</v>
      </c>
    </row>
    <row r="776" spans="1:12" ht="12.5">
      <c r="A776" s="5">
        <v>521213</v>
      </c>
      <c r="D776" s="5" t="s">
        <v>7072</v>
      </c>
      <c r="J776" s="123">
        <v>70032000</v>
      </c>
      <c r="L776" s="5" t="s">
        <v>7029</v>
      </c>
    </row>
    <row r="777" spans="1:12" ht="12.5">
      <c r="D777" s="5" t="s">
        <v>7030</v>
      </c>
    </row>
    <row r="778" spans="1:12" ht="12.5">
      <c r="D778" s="5" t="s">
        <v>369</v>
      </c>
      <c r="E778" s="5" t="s">
        <v>7616</v>
      </c>
      <c r="G778" s="5" t="s">
        <v>7617</v>
      </c>
      <c r="H778" s="123">
        <v>59000</v>
      </c>
      <c r="J778" s="123">
        <v>25488000</v>
      </c>
    </row>
    <row r="779" spans="1:12" ht="12.5">
      <c r="D779" s="5" t="s">
        <v>369</v>
      </c>
      <c r="E779" s="5" t="s">
        <v>7618</v>
      </c>
      <c r="G779" s="5" t="s">
        <v>7619</v>
      </c>
      <c r="H779" s="123">
        <v>116000</v>
      </c>
      <c r="J779" s="123">
        <v>44544000</v>
      </c>
    </row>
    <row r="780" spans="1:12" ht="12.5">
      <c r="A780" s="5">
        <v>524113</v>
      </c>
      <c r="D780" s="5" t="s">
        <v>7028</v>
      </c>
      <c r="J780" s="123">
        <v>5250000</v>
      </c>
      <c r="L780" s="5" t="s">
        <v>7029</v>
      </c>
    </row>
    <row r="781" spans="1:12" ht="12.5">
      <c r="D781" s="5" t="s">
        <v>7030</v>
      </c>
    </row>
    <row r="782" spans="1:12" ht="12.5">
      <c r="D782" s="5" t="s">
        <v>369</v>
      </c>
      <c r="E782" s="5" t="s">
        <v>7620</v>
      </c>
      <c r="G782" s="5" t="s">
        <v>7621</v>
      </c>
      <c r="H782" s="123">
        <v>150000</v>
      </c>
      <c r="J782" s="123">
        <v>3150000</v>
      </c>
    </row>
    <row r="783" spans="1:12" ht="12.5">
      <c r="D783" s="5" t="s">
        <v>369</v>
      </c>
      <c r="E783" s="5" t="s">
        <v>7622</v>
      </c>
      <c r="G783" s="5" t="s">
        <v>7394</v>
      </c>
      <c r="H783" s="123">
        <v>150000</v>
      </c>
      <c r="J783" s="123">
        <v>2100000</v>
      </c>
    </row>
    <row r="784" spans="1:12" ht="12.5">
      <c r="A784" s="5">
        <v>51</v>
      </c>
      <c r="D784" s="5" t="s">
        <v>7092</v>
      </c>
      <c r="J784" s="123">
        <v>6984000</v>
      </c>
      <c r="K784" s="5" t="s">
        <v>7025</v>
      </c>
    </row>
    <row r="785" spans="1:12" ht="12.5">
      <c r="A785" s="5" t="s">
        <v>7026</v>
      </c>
      <c r="D785" s="5" t="s">
        <v>7027</v>
      </c>
      <c r="J785" s="123">
        <v>6984000</v>
      </c>
    </row>
    <row r="786" spans="1:12" ht="12.5">
      <c r="A786" s="5">
        <v>521211</v>
      </c>
      <c r="D786" s="5" t="s">
        <v>7056</v>
      </c>
      <c r="J786" s="123">
        <v>4185000</v>
      </c>
      <c r="L786" s="5" t="s">
        <v>7029</v>
      </c>
    </row>
    <row r="787" spans="1:12" ht="12.5">
      <c r="D787" s="5" t="s">
        <v>7030</v>
      </c>
    </row>
    <row r="788" spans="1:12" ht="12.5">
      <c r="D788" s="5" t="s">
        <v>369</v>
      </c>
      <c r="E788" s="5" t="s">
        <v>7623</v>
      </c>
      <c r="G788" s="5" t="s">
        <v>7345</v>
      </c>
      <c r="H788" s="123">
        <v>50000</v>
      </c>
      <c r="J788" s="123">
        <v>1550000</v>
      </c>
    </row>
    <row r="789" spans="1:12" ht="12.5">
      <c r="D789" s="5" t="s">
        <v>369</v>
      </c>
      <c r="E789" s="5" t="s">
        <v>7624</v>
      </c>
      <c r="G789" s="5" t="s">
        <v>7625</v>
      </c>
      <c r="H789" s="123">
        <v>85000</v>
      </c>
      <c r="J789" s="123">
        <v>2635000</v>
      </c>
    </row>
    <row r="790" spans="1:12" ht="12.5">
      <c r="A790" s="5">
        <v>521213</v>
      </c>
      <c r="D790" s="5" t="s">
        <v>7072</v>
      </c>
      <c r="J790" s="123">
        <v>999000</v>
      </c>
      <c r="L790" s="5" t="s">
        <v>7029</v>
      </c>
    </row>
    <row r="791" spans="1:12" ht="12.5">
      <c r="D791" s="5" t="s">
        <v>7030</v>
      </c>
    </row>
    <row r="792" spans="1:12" ht="12.5">
      <c r="D792" s="5" t="s">
        <v>369</v>
      </c>
      <c r="E792" s="5" t="s">
        <v>7626</v>
      </c>
      <c r="G792" s="5" t="s">
        <v>7100</v>
      </c>
      <c r="H792" s="123">
        <v>111000</v>
      </c>
      <c r="J792" s="123">
        <v>999000</v>
      </c>
    </row>
    <row r="793" spans="1:12" ht="12.5">
      <c r="A793" s="5">
        <v>524113</v>
      </c>
      <c r="D793" s="5" t="s">
        <v>7028</v>
      </c>
      <c r="J793" s="123">
        <v>1800000</v>
      </c>
      <c r="L793" s="5" t="s">
        <v>7029</v>
      </c>
    </row>
    <row r="794" spans="1:12" ht="12.5">
      <c r="D794" s="5" t="s">
        <v>7030</v>
      </c>
    </row>
    <row r="795" spans="1:12" ht="12.5">
      <c r="D795" s="5" t="s">
        <v>369</v>
      </c>
      <c r="E795" s="5" t="s">
        <v>7627</v>
      </c>
      <c r="G795" s="5" t="s">
        <v>7147</v>
      </c>
      <c r="H795" s="123">
        <v>150000</v>
      </c>
      <c r="J795" s="123">
        <v>1800000</v>
      </c>
    </row>
    <row r="796" spans="1:12" ht="12.5">
      <c r="A796" s="5">
        <v>52</v>
      </c>
      <c r="D796" s="5" t="s">
        <v>7044</v>
      </c>
      <c r="J796" s="123">
        <v>3812000</v>
      </c>
      <c r="K796" s="5" t="s">
        <v>7025</v>
      </c>
    </row>
    <row r="797" spans="1:12" ht="12.5">
      <c r="A797" s="5" t="s">
        <v>7026</v>
      </c>
      <c r="D797" s="5" t="s">
        <v>7027</v>
      </c>
      <c r="J797" s="123">
        <v>3812000</v>
      </c>
    </row>
    <row r="798" spans="1:12" ht="12.5">
      <c r="A798" s="5">
        <v>524113</v>
      </c>
      <c r="D798" s="5" t="s">
        <v>7028</v>
      </c>
      <c r="J798" s="123">
        <v>3812000</v>
      </c>
      <c r="L798" s="5" t="s">
        <v>7029</v>
      </c>
    </row>
    <row r="799" spans="1:12" ht="12.5">
      <c r="D799" s="5" t="s">
        <v>7030</v>
      </c>
    </row>
    <row r="800" spans="1:12" ht="12.5">
      <c r="D800" s="5" t="s">
        <v>369</v>
      </c>
      <c r="E800" s="5" t="s">
        <v>7628</v>
      </c>
      <c r="G800" s="5" t="s">
        <v>7106</v>
      </c>
      <c r="H800" s="123">
        <v>163500</v>
      </c>
      <c r="J800" s="123">
        <v>327000</v>
      </c>
    </row>
    <row r="801" spans="1:12" ht="12.5">
      <c r="D801" s="5" t="s">
        <v>369</v>
      </c>
      <c r="E801" s="5" t="s">
        <v>7613</v>
      </c>
      <c r="G801" s="5" t="s">
        <v>7241</v>
      </c>
      <c r="H801" s="123">
        <v>697000</v>
      </c>
      <c r="J801" s="123">
        <v>3485000</v>
      </c>
    </row>
    <row r="802" spans="1:12" ht="12.5">
      <c r="A802" s="5">
        <v>54</v>
      </c>
      <c r="D802" s="5" t="s">
        <v>7033</v>
      </c>
      <c r="J802" s="123">
        <v>14538000</v>
      </c>
      <c r="K802" s="5" t="s">
        <v>7025</v>
      </c>
    </row>
    <row r="803" spans="1:12" ht="12.5">
      <c r="A803" s="5" t="s">
        <v>7026</v>
      </c>
      <c r="D803" s="5" t="s">
        <v>7027</v>
      </c>
      <c r="J803" s="123">
        <v>14538000</v>
      </c>
    </row>
    <row r="804" spans="1:12" ht="12.5">
      <c r="A804" s="5">
        <v>521811</v>
      </c>
      <c r="D804" s="5" t="s">
        <v>7034</v>
      </c>
      <c r="J804" s="123">
        <v>14538000</v>
      </c>
      <c r="L804" s="5" t="s">
        <v>7029</v>
      </c>
    </row>
    <row r="805" spans="1:12" ht="12.5">
      <c r="D805" s="5" t="s">
        <v>7030</v>
      </c>
    </row>
    <row r="806" spans="1:12" ht="12.5">
      <c r="D806" s="5" t="s">
        <v>369</v>
      </c>
      <c r="E806" s="5" t="s">
        <v>7035</v>
      </c>
      <c r="G806" s="5" t="s">
        <v>7036</v>
      </c>
      <c r="H806" s="123">
        <v>14538000</v>
      </c>
      <c r="J806" s="123">
        <v>14538000</v>
      </c>
    </row>
    <row r="807" spans="1:12" ht="12.5">
      <c r="A807" s="5" t="s">
        <v>7629</v>
      </c>
      <c r="D807" s="5" t="s">
        <v>7630</v>
      </c>
      <c r="J807" s="123">
        <v>3970343000</v>
      </c>
    </row>
    <row r="808" spans="1:12" ht="12.5">
      <c r="A808" s="5">
        <v>2886</v>
      </c>
      <c r="D808" s="5" t="s">
        <v>7631</v>
      </c>
      <c r="J808" s="123">
        <v>3970343000</v>
      </c>
    </row>
    <row r="809" spans="1:12" ht="12.5">
      <c r="A809" s="5" t="s">
        <v>7632</v>
      </c>
      <c r="D809" s="5" t="s">
        <v>7633</v>
      </c>
      <c r="G809" s="5" t="s">
        <v>7634</v>
      </c>
      <c r="J809" s="123">
        <v>3565996000</v>
      </c>
    </row>
    <row r="810" spans="1:12" ht="12.5">
      <c r="D810" s="5" t="s">
        <v>7020</v>
      </c>
    </row>
    <row r="811" spans="1:12" ht="12.5">
      <c r="A811" s="5" t="s">
        <v>7635</v>
      </c>
      <c r="D811" s="5" t="s">
        <v>7636</v>
      </c>
      <c r="G811" s="5" t="s">
        <v>7637</v>
      </c>
      <c r="J811" s="123">
        <v>2386000</v>
      </c>
    </row>
    <row r="812" spans="1:12" ht="12.5">
      <c r="A812" s="5">
        <v>51</v>
      </c>
      <c r="D812" s="5" t="s">
        <v>7638</v>
      </c>
      <c r="J812" s="123">
        <v>2386000</v>
      </c>
      <c r="K812" s="5" t="s">
        <v>7025</v>
      </c>
    </row>
    <row r="813" spans="1:12" ht="12.5">
      <c r="A813" s="5" t="s">
        <v>7026</v>
      </c>
      <c r="D813" s="5" t="s">
        <v>7027</v>
      </c>
      <c r="J813" s="123">
        <v>2386000</v>
      </c>
    </row>
    <row r="814" spans="1:12" ht="12.5">
      <c r="A814" s="5">
        <v>524111</v>
      </c>
      <c r="D814" s="5" t="s">
        <v>7639</v>
      </c>
      <c r="J814" s="123">
        <v>2386000</v>
      </c>
      <c r="L814" s="5" t="s">
        <v>7029</v>
      </c>
    </row>
    <row r="815" spans="1:12" ht="12.5">
      <c r="D815" s="5" t="s">
        <v>7030</v>
      </c>
    </row>
    <row r="816" spans="1:12" ht="12.5">
      <c r="D816" s="5" t="s">
        <v>369</v>
      </c>
      <c r="E816" s="5" t="s">
        <v>7640</v>
      </c>
      <c r="G816" s="5" t="s">
        <v>7152</v>
      </c>
      <c r="H816" s="123">
        <v>2386000</v>
      </c>
      <c r="J816" s="123">
        <v>2386000</v>
      </c>
    </row>
    <row r="817" spans="1:12" ht="12.5">
      <c r="A817" s="5" t="s">
        <v>7641</v>
      </c>
      <c r="D817" s="5" t="s">
        <v>7642</v>
      </c>
      <c r="G817" s="5" t="s">
        <v>7637</v>
      </c>
      <c r="J817" s="123">
        <v>14875000</v>
      </c>
    </row>
    <row r="818" spans="1:12" ht="12.5">
      <c r="A818" s="5">
        <v>51</v>
      </c>
      <c r="D818" s="5" t="s">
        <v>7638</v>
      </c>
      <c r="J818" s="123">
        <v>14875000</v>
      </c>
      <c r="K818" s="5" t="s">
        <v>7025</v>
      </c>
    </row>
    <row r="819" spans="1:12" ht="12.5">
      <c r="A819" s="5" t="s">
        <v>7026</v>
      </c>
      <c r="D819" s="5" t="s">
        <v>7027</v>
      </c>
      <c r="J819" s="123">
        <v>14875000</v>
      </c>
    </row>
    <row r="820" spans="1:12" ht="12.5">
      <c r="A820" s="5">
        <v>521211</v>
      </c>
      <c r="D820" s="5" t="s">
        <v>7056</v>
      </c>
      <c r="J820" s="123">
        <v>14875000</v>
      </c>
      <c r="L820" s="5" t="s">
        <v>7029</v>
      </c>
    </row>
    <row r="821" spans="1:12" ht="12.5">
      <c r="D821" s="5" t="s">
        <v>7030</v>
      </c>
    </row>
    <row r="822" spans="1:12" ht="12.5">
      <c r="D822" s="5" t="s">
        <v>369</v>
      </c>
      <c r="E822" s="5" t="s">
        <v>7643</v>
      </c>
      <c r="G822" s="5" t="s">
        <v>7644</v>
      </c>
      <c r="H822" s="123">
        <v>85000</v>
      </c>
      <c r="J822" s="123">
        <v>14875000</v>
      </c>
    </row>
    <row r="823" spans="1:12" ht="12.5">
      <c r="A823" s="5" t="s">
        <v>7645</v>
      </c>
      <c r="D823" s="5" t="s">
        <v>7646</v>
      </c>
      <c r="G823" s="5" t="s">
        <v>7647</v>
      </c>
      <c r="J823" s="123">
        <v>3548735000</v>
      </c>
    </row>
    <row r="824" spans="1:12" ht="12.5">
      <c r="A824" s="5">
        <v>1</v>
      </c>
      <c r="D824" s="5" t="s">
        <v>7648</v>
      </c>
      <c r="J824" s="123">
        <v>2957304000</v>
      </c>
      <c r="K824" s="5" t="s">
        <v>7025</v>
      </c>
    </row>
    <row r="825" spans="1:12" ht="12.5">
      <c r="A825" s="5" t="s">
        <v>7026</v>
      </c>
      <c r="D825" s="5" t="s">
        <v>7027</v>
      </c>
      <c r="J825" s="123">
        <v>2957304000</v>
      </c>
    </row>
    <row r="826" spans="1:12" ht="12.5">
      <c r="A826" s="5">
        <v>511111</v>
      </c>
      <c r="D826" s="5" t="s">
        <v>7649</v>
      </c>
      <c r="J826" s="123">
        <v>1100078000</v>
      </c>
      <c r="L826" s="5" t="s">
        <v>7029</v>
      </c>
    </row>
    <row r="827" spans="1:12" ht="12.5">
      <c r="D827" s="5" t="s">
        <v>7030</v>
      </c>
    </row>
    <row r="828" spans="1:12" ht="12.5">
      <c r="D828" s="5" t="s">
        <v>369</v>
      </c>
      <c r="E828" s="5" t="s">
        <v>7650</v>
      </c>
      <c r="G828" s="5" t="s">
        <v>7651</v>
      </c>
      <c r="H828" s="123">
        <v>916584000</v>
      </c>
      <c r="J828" s="123">
        <v>916584000</v>
      </c>
    </row>
    <row r="829" spans="1:12" ht="12.5">
      <c r="D829" s="5" t="s">
        <v>369</v>
      </c>
      <c r="E829" s="5" t="s">
        <v>7652</v>
      </c>
      <c r="G829" s="5" t="s">
        <v>7653</v>
      </c>
      <c r="H829" s="123">
        <v>91747000</v>
      </c>
      <c r="J829" s="123">
        <v>91747000</v>
      </c>
    </row>
    <row r="830" spans="1:12" ht="12.5">
      <c r="D830" s="5" t="s">
        <v>369</v>
      </c>
      <c r="E830" s="5" t="s">
        <v>7654</v>
      </c>
      <c r="G830" s="5" t="s">
        <v>7653</v>
      </c>
      <c r="H830" s="123">
        <v>91747000</v>
      </c>
      <c r="J830" s="123">
        <v>91747000</v>
      </c>
    </row>
    <row r="831" spans="1:12" ht="12.5">
      <c r="A831" s="5">
        <v>511119</v>
      </c>
      <c r="D831" s="5" t="s">
        <v>7655</v>
      </c>
      <c r="J831" s="123">
        <v>24000</v>
      </c>
      <c r="L831" s="5" t="s">
        <v>7029</v>
      </c>
    </row>
    <row r="832" spans="1:12" ht="12.5">
      <c r="D832" s="5" t="s">
        <v>7030</v>
      </c>
    </row>
    <row r="833" spans="1:12" ht="12.5">
      <c r="D833" s="5" t="s">
        <v>369</v>
      </c>
      <c r="E833" s="5" t="s">
        <v>7656</v>
      </c>
      <c r="G833" s="5" t="s">
        <v>7651</v>
      </c>
      <c r="H833" s="123">
        <v>20000</v>
      </c>
      <c r="J833" s="123">
        <v>20000</v>
      </c>
    </row>
    <row r="834" spans="1:12" ht="12.5">
      <c r="D834" s="5" t="s">
        <v>369</v>
      </c>
      <c r="E834" s="5" t="s">
        <v>7657</v>
      </c>
      <c r="G834" s="5" t="s">
        <v>7653</v>
      </c>
      <c r="H834" s="123">
        <v>2000</v>
      </c>
      <c r="J834" s="123">
        <v>2000</v>
      </c>
    </row>
    <row r="835" spans="1:12" ht="12.5">
      <c r="D835" s="5" t="s">
        <v>369</v>
      </c>
      <c r="E835" s="5" t="s">
        <v>7658</v>
      </c>
      <c r="G835" s="5" t="s">
        <v>7653</v>
      </c>
      <c r="H835" s="123">
        <v>2000</v>
      </c>
      <c r="J835" s="123">
        <v>2000</v>
      </c>
    </row>
    <row r="836" spans="1:12" ht="12.5">
      <c r="A836" s="5">
        <v>511121</v>
      </c>
      <c r="D836" s="5" t="s">
        <v>7659</v>
      </c>
      <c r="J836" s="123">
        <v>90040000</v>
      </c>
      <c r="L836" s="5" t="s">
        <v>7029</v>
      </c>
    </row>
    <row r="837" spans="1:12" ht="12.5">
      <c r="D837" s="5" t="s">
        <v>7030</v>
      </c>
    </row>
    <row r="838" spans="1:12" ht="12.5">
      <c r="D838" s="5" t="s">
        <v>369</v>
      </c>
      <c r="E838" s="5" t="s">
        <v>7660</v>
      </c>
      <c r="G838" s="5" t="s">
        <v>7651</v>
      </c>
      <c r="H838" s="123">
        <v>77176000</v>
      </c>
      <c r="J838" s="123">
        <v>77176000</v>
      </c>
    </row>
    <row r="839" spans="1:12" ht="12.5">
      <c r="D839" s="5" t="s">
        <v>369</v>
      </c>
      <c r="E839" s="5" t="s">
        <v>7661</v>
      </c>
      <c r="G839" s="5" t="s">
        <v>7653</v>
      </c>
      <c r="H839" s="123">
        <v>6432000</v>
      </c>
      <c r="J839" s="123">
        <v>6432000</v>
      </c>
    </row>
    <row r="840" spans="1:12" ht="12.5">
      <c r="D840" s="5" t="s">
        <v>369</v>
      </c>
      <c r="E840" s="5" t="s">
        <v>7662</v>
      </c>
      <c r="G840" s="5" t="s">
        <v>7653</v>
      </c>
      <c r="H840" s="123">
        <v>6432000</v>
      </c>
      <c r="J840" s="123">
        <v>6432000</v>
      </c>
    </row>
    <row r="841" spans="1:12" ht="12.5">
      <c r="A841" s="5">
        <v>511122</v>
      </c>
      <c r="D841" s="5" t="s">
        <v>7663</v>
      </c>
      <c r="J841" s="123">
        <v>34205000</v>
      </c>
      <c r="L841" s="5" t="s">
        <v>7029</v>
      </c>
    </row>
    <row r="842" spans="1:12" ht="12.5">
      <c r="D842" s="5" t="s">
        <v>7030</v>
      </c>
    </row>
    <row r="843" spans="1:12" ht="12.5">
      <c r="D843" s="5" t="s">
        <v>369</v>
      </c>
      <c r="E843" s="5" t="s">
        <v>7664</v>
      </c>
      <c r="G843" s="5" t="s">
        <v>7651</v>
      </c>
      <c r="H843" s="123">
        <v>29319000</v>
      </c>
      <c r="J843" s="123">
        <v>29319000</v>
      </c>
    </row>
    <row r="844" spans="1:12" ht="12.5">
      <c r="D844" s="5" t="s">
        <v>369</v>
      </c>
      <c r="E844" s="5" t="s">
        <v>7665</v>
      </c>
      <c r="G844" s="5" t="s">
        <v>7653</v>
      </c>
      <c r="H844" s="123">
        <v>2443000</v>
      </c>
      <c r="J844" s="123">
        <v>2443000</v>
      </c>
    </row>
    <row r="845" spans="1:12" ht="12.5">
      <c r="D845" s="5" t="s">
        <v>369</v>
      </c>
      <c r="E845" s="5" t="s">
        <v>7666</v>
      </c>
      <c r="G845" s="5" t="s">
        <v>7653</v>
      </c>
      <c r="H845" s="123">
        <v>2443000</v>
      </c>
      <c r="J845" s="123">
        <v>2443000</v>
      </c>
    </row>
    <row r="846" spans="1:12" ht="12.5">
      <c r="A846" s="5">
        <v>511123</v>
      </c>
      <c r="D846" s="5" t="s">
        <v>7667</v>
      </c>
      <c r="J846" s="123">
        <v>32256000</v>
      </c>
      <c r="L846" s="5" t="s">
        <v>7029</v>
      </c>
    </row>
    <row r="847" spans="1:12" ht="12.5">
      <c r="D847" s="5" t="s">
        <v>7030</v>
      </c>
    </row>
    <row r="848" spans="1:12" ht="12.5">
      <c r="D848" s="5" t="s">
        <v>369</v>
      </c>
      <c r="E848" s="5" t="s">
        <v>7668</v>
      </c>
      <c r="G848" s="5" t="s">
        <v>7651</v>
      </c>
      <c r="H848" s="123">
        <v>28224000</v>
      </c>
      <c r="J848" s="123">
        <v>28224000</v>
      </c>
    </row>
    <row r="849" spans="1:12" ht="12.5">
      <c r="D849" s="5" t="s">
        <v>369</v>
      </c>
      <c r="E849" s="5" t="s">
        <v>7669</v>
      </c>
      <c r="G849" s="5" t="s">
        <v>7653</v>
      </c>
      <c r="H849" s="123">
        <v>2016000</v>
      </c>
      <c r="J849" s="123">
        <v>2016000</v>
      </c>
    </row>
    <row r="850" spans="1:12" ht="12.5">
      <c r="D850" s="5" t="s">
        <v>369</v>
      </c>
      <c r="E850" s="5" t="s">
        <v>7670</v>
      </c>
      <c r="G850" s="5" t="s">
        <v>7653</v>
      </c>
      <c r="H850" s="123">
        <v>2016000</v>
      </c>
      <c r="J850" s="123">
        <v>2016000</v>
      </c>
    </row>
    <row r="851" spans="1:12" ht="12.5">
      <c r="A851" s="5">
        <v>511124</v>
      </c>
      <c r="D851" s="5" t="s">
        <v>7671</v>
      </c>
      <c r="J851" s="123">
        <v>122101000</v>
      </c>
      <c r="L851" s="5" t="s">
        <v>7029</v>
      </c>
    </row>
    <row r="852" spans="1:12" ht="12.5">
      <c r="D852" s="5" t="s">
        <v>7030</v>
      </c>
    </row>
    <row r="853" spans="1:12" ht="12.5">
      <c r="D853" s="5" t="s">
        <v>369</v>
      </c>
      <c r="E853" s="5" t="s">
        <v>7672</v>
      </c>
      <c r="G853" s="5" t="s">
        <v>7651</v>
      </c>
      <c r="H853" s="123">
        <v>106310000</v>
      </c>
      <c r="J853" s="123">
        <v>106310000</v>
      </c>
    </row>
    <row r="854" spans="1:12" ht="12.5">
      <c r="D854" s="5" t="s">
        <v>369</v>
      </c>
      <c r="E854" s="5" t="s">
        <v>7673</v>
      </c>
      <c r="G854" s="5" t="s">
        <v>7653</v>
      </c>
      <c r="H854" s="123">
        <v>7593000</v>
      </c>
      <c r="J854" s="123">
        <v>7593000</v>
      </c>
    </row>
    <row r="855" spans="1:12" ht="12.5">
      <c r="D855" s="5" t="s">
        <v>369</v>
      </c>
      <c r="E855" s="5" t="s">
        <v>7674</v>
      </c>
      <c r="G855" s="5" t="s">
        <v>7653</v>
      </c>
      <c r="H855" s="123">
        <v>8198000</v>
      </c>
      <c r="J855" s="123">
        <v>8198000</v>
      </c>
    </row>
    <row r="856" spans="1:12" ht="12.5">
      <c r="A856" s="5">
        <v>511125</v>
      </c>
      <c r="D856" s="5" t="s">
        <v>7675</v>
      </c>
      <c r="J856" s="123">
        <v>2198000</v>
      </c>
      <c r="L856" s="5" t="s">
        <v>7029</v>
      </c>
    </row>
    <row r="857" spans="1:12" ht="12.5">
      <c r="D857" s="5" t="s">
        <v>7030</v>
      </c>
    </row>
    <row r="858" spans="1:12" ht="12.5">
      <c r="D858" s="5" t="s">
        <v>369</v>
      </c>
      <c r="E858" s="5" t="s">
        <v>7676</v>
      </c>
      <c r="G858" s="5" t="s">
        <v>7651</v>
      </c>
      <c r="H858" s="123">
        <v>1536000</v>
      </c>
      <c r="J858" s="123">
        <v>1536000</v>
      </c>
    </row>
    <row r="859" spans="1:12" ht="12.5">
      <c r="D859" s="5" t="s">
        <v>369</v>
      </c>
      <c r="E859" s="5" t="s">
        <v>7677</v>
      </c>
      <c r="G859" s="5" t="s">
        <v>7653</v>
      </c>
      <c r="H859" s="123">
        <v>331000</v>
      </c>
      <c r="J859" s="123">
        <v>331000</v>
      </c>
    </row>
    <row r="860" spans="1:12" ht="12.5">
      <c r="D860" s="5" t="s">
        <v>369</v>
      </c>
      <c r="E860" s="5" t="s">
        <v>7678</v>
      </c>
      <c r="G860" s="5" t="s">
        <v>7653</v>
      </c>
      <c r="H860" s="123">
        <v>331000</v>
      </c>
      <c r="J860" s="123">
        <v>331000</v>
      </c>
    </row>
    <row r="861" spans="1:12" ht="12.5">
      <c r="A861" s="5">
        <v>511126</v>
      </c>
      <c r="D861" s="5" t="s">
        <v>7679</v>
      </c>
      <c r="J861" s="123">
        <v>75638000</v>
      </c>
      <c r="L861" s="5" t="s">
        <v>7029</v>
      </c>
    </row>
    <row r="862" spans="1:12" ht="12.5">
      <c r="D862" s="5" t="s">
        <v>7030</v>
      </c>
    </row>
    <row r="863" spans="1:12" ht="12.5">
      <c r="D863" s="5" t="s">
        <v>369</v>
      </c>
      <c r="E863" s="5" t="s">
        <v>7680</v>
      </c>
      <c r="G863" s="5" t="s">
        <v>7651</v>
      </c>
      <c r="H863" s="123">
        <v>75638000</v>
      </c>
      <c r="J863" s="123">
        <v>75638000</v>
      </c>
    </row>
    <row r="864" spans="1:12" ht="12.5">
      <c r="A864" s="5">
        <v>511129</v>
      </c>
      <c r="D864" s="5" t="s">
        <v>7681</v>
      </c>
      <c r="J864" s="123">
        <v>194994000</v>
      </c>
      <c r="L864" s="5" t="s">
        <v>7029</v>
      </c>
    </row>
    <row r="865" spans="1:12" ht="12.5">
      <c r="D865" s="5" t="s">
        <v>7030</v>
      </c>
    </row>
    <row r="866" spans="1:12" ht="12.5">
      <c r="D866" s="5" t="s">
        <v>369</v>
      </c>
      <c r="E866" s="5" t="s">
        <v>7682</v>
      </c>
      <c r="G866" s="5" t="s">
        <v>7651</v>
      </c>
      <c r="H866" s="123">
        <v>194994000</v>
      </c>
      <c r="J866" s="123">
        <v>194994000</v>
      </c>
    </row>
    <row r="867" spans="1:12" ht="12.5">
      <c r="A867" s="5">
        <v>511151</v>
      </c>
      <c r="D867" s="5" t="s">
        <v>7683</v>
      </c>
      <c r="J867" s="123">
        <v>47250000</v>
      </c>
      <c r="L867" s="5" t="s">
        <v>7029</v>
      </c>
    </row>
    <row r="868" spans="1:12" ht="12.5">
      <c r="D868" s="5" t="s">
        <v>7030</v>
      </c>
    </row>
    <row r="869" spans="1:12" ht="12.5">
      <c r="D869" s="5" t="s">
        <v>369</v>
      </c>
      <c r="E869" s="5" t="s">
        <v>7684</v>
      </c>
      <c r="G869" s="5" t="s">
        <v>7651</v>
      </c>
      <c r="H869" s="123">
        <v>40500000</v>
      </c>
      <c r="J869" s="123">
        <v>40500000</v>
      </c>
    </row>
    <row r="870" spans="1:12" ht="12.5">
      <c r="D870" s="5" t="s">
        <v>369</v>
      </c>
      <c r="E870" s="5" t="s">
        <v>7685</v>
      </c>
      <c r="G870" s="5" t="s">
        <v>7653</v>
      </c>
      <c r="H870" s="123">
        <v>3375000</v>
      </c>
      <c r="J870" s="123">
        <v>3375000</v>
      </c>
    </row>
    <row r="871" spans="1:12" ht="12.5">
      <c r="D871" s="5" t="s">
        <v>369</v>
      </c>
      <c r="E871" s="5" t="s">
        <v>7686</v>
      </c>
      <c r="G871" s="5" t="s">
        <v>7653</v>
      </c>
      <c r="H871" s="123">
        <v>3375000</v>
      </c>
      <c r="J871" s="123">
        <v>3375000</v>
      </c>
    </row>
    <row r="872" spans="1:12" ht="12.5">
      <c r="A872" s="5">
        <v>512211</v>
      </c>
      <c r="D872" s="5" t="s">
        <v>7687</v>
      </c>
      <c r="J872" s="123">
        <v>17458000</v>
      </c>
      <c r="L872" s="5" t="s">
        <v>7029</v>
      </c>
    </row>
    <row r="873" spans="1:12" ht="12.5">
      <c r="D873" s="5" t="s">
        <v>7030</v>
      </c>
    </row>
    <row r="874" spans="1:12" ht="12.5">
      <c r="D874" s="5" t="s">
        <v>369</v>
      </c>
      <c r="E874" s="5" t="s">
        <v>7688</v>
      </c>
      <c r="G874" s="5" t="s">
        <v>7651</v>
      </c>
      <c r="H874" s="123">
        <v>17458000</v>
      </c>
      <c r="J874" s="123">
        <v>17458000</v>
      </c>
    </row>
    <row r="875" spans="1:12" ht="12.5">
      <c r="A875" s="5">
        <v>512411</v>
      </c>
      <c r="D875" s="5" t="s">
        <v>7689</v>
      </c>
      <c r="J875" s="123">
        <v>1241062000</v>
      </c>
      <c r="L875" s="5" t="s">
        <v>7029</v>
      </c>
    </row>
    <row r="876" spans="1:12" ht="12.5">
      <c r="D876" s="5" t="s">
        <v>7030</v>
      </c>
    </row>
    <row r="877" spans="1:12" ht="12.5">
      <c r="D877" s="5" t="s">
        <v>369</v>
      </c>
      <c r="E877" s="5" t="s">
        <v>7690</v>
      </c>
      <c r="G877" s="5" t="s">
        <v>7651</v>
      </c>
      <c r="H877" s="123">
        <v>1241062000</v>
      </c>
      <c r="J877" s="123">
        <v>1241062000</v>
      </c>
    </row>
    <row r="878" spans="1:12" ht="12.5">
      <c r="A878" s="5">
        <v>2</v>
      </c>
      <c r="D878" s="5" t="s">
        <v>7691</v>
      </c>
      <c r="J878" s="123">
        <v>591431000</v>
      </c>
      <c r="K878" s="5" t="s">
        <v>7025</v>
      </c>
    </row>
    <row r="879" spans="1:12" ht="12.5">
      <c r="A879" s="5" t="s">
        <v>7026</v>
      </c>
      <c r="D879" s="5" t="s">
        <v>7027</v>
      </c>
      <c r="J879" s="123">
        <v>591431000</v>
      </c>
    </row>
    <row r="880" spans="1:12" ht="12.5">
      <c r="A880" s="5">
        <v>521111</v>
      </c>
      <c r="D880" s="5" t="s">
        <v>7692</v>
      </c>
      <c r="J880" s="123">
        <v>10922000</v>
      </c>
      <c r="L880" s="5" t="s">
        <v>7029</v>
      </c>
    </row>
    <row r="881" spans="1:12" ht="12.5">
      <c r="D881" s="5" t="s">
        <v>7030</v>
      </c>
    </row>
    <row r="882" spans="1:12" ht="12.5">
      <c r="D882" s="5" t="s">
        <v>369</v>
      </c>
      <c r="E882" s="5" t="s">
        <v>7693</v>
      </c>
      <c r="G882" s="5" t="s">
        <v>7694</v>
      </c>
      <c r="H882" s="123">
        <v>1100000</v>
      </c>
      <c r="J882" s="123">
        <v>1100000</v>
      </c>
    </row>
    <row r="883" spans="1:12" ht="12.5">
      <c r="D883" s="5" t="s">
        <v>369</v>
      </c>
      <c r="E883" s="5" t="s">
        <v>7695</v>
      </c>
      <c r="G883" s="5" t="s">
        <v>7694</v>
      </c>
      <c r="H883" s="123">
        <v>120000</v>
      </c>
      <c r="J883" s="123">
        <v>120000</v>
      </c>
    </row>
    <row r="884" spans="1:12" ht="12.5">
      <c r="D884" s="5" t="s">
        <v>369</v>
      </c>
      <c r="E884" s="5" t="s">
        <v>7696</v>
      </c>
      <c r="G884" s="5" t="s">
        <v>7697</v>
      </c>
      <c r="H884" s="123">
        <v>8702000</v>
      </c>
      <c r="J884" s="123">
        <v>8702000</v>
      </c>
    </row>
    <row r="885" spans="1:12" ht="12.5">
      <c r="D885" s="5" t="s">
        <v>369</v>
      </c>
      <c r="E885" s="5" t="s">
        <v>7698</v>
      </c>
      <c r="G885" s="5" t="s">
        <v>7036</v>
      </c>
      <c r="H885" s="123">
        <v>1000000</v>
      </c>
      <c r="J885" s="123">
        <v>1000000</v>
      </c>
    </row>
    <row r="886" spans="1:12" ht="12.5">
      <c r="A886" s="5">
        <v>521115</v>
      </c>
      <c r="D886" s="5" t="s">
        <v>7699</v>
      </c>
      <c r="J886" s="123">
        <v>55104000</v>
      </c>
      <c r="L886" s="5" t="s">
        <v>7029</v>
      </c>
    </row>
    <row r="887" spans="1:12" ht="12.5">
      <c r="D887" s="5" t="s">
        <v>7030</v>
      </c>
    </row>
    <row r="888" spans="1:12" ht="12.5">
      <c r="D888" s="5" t="s">
        <v>369</v>
      </c>
      <c r="E888" s="5" t="s">
        <v>7700</v>
      </c>
      <c r="G888" s="5" t="s">
        <v>7701</v>
      </c>
      <c r="H888" s="123">
        <v>516000</v>
      </c>
      <c r="J888" s="123">
        <v>6192000</v>
      </c>
    </row>
    <row r="889" spans="1:12" ht="12.5">
      <c r="D889" s="5" t="s">
        <v>369</v>
      </c>
      <c r="E889" s="5" t="s">
        <v>7702</v>
      </c>
      <c r="G889" s="5" t="s">
        <v>7701</v>
      </c>
      <c r="H889" s="123">
        <v>1036000</v>
      </c>
      <c r="J889" s="123">
        <v>12432000</v>
      </c>
    </row>
    <row r="890" spans="1:12" ht="12.5">
      <c r="D890" s="5" t="s">
        <v>369</v>
      </c>
      <c r="E890" s="5" t="s">
        <v>7703</v>
      </c>
      <c r="G890" s="5" t="s">
        <v>7701</v>
      </c>
      <c r="H890" s="123">
        <v>1512000</v>
      </c>
      <c r="J890" s="123">
        <v>18144000</v>
      </c>
    </row>
    <row r="891" spans="1:12" ht="12.5">
      <c r="D891" s="5" t="s">
        <v>369</v>
      </c>
      <c r="E891" s="5" t="s">
        <v>7704</v>
      </c>
      <c r="G891" s="5" t="s">
        <v>7701</v>
      </c>
      <c r="H891" s="123">
        <v>396000</v>
      </c>
      <c r="J891" s="123">
        <v>4752000</v>
      </c>
    </row>
    <row r="892" spans="1:12" ht="12.5">
      <c r="D892" s="5" t="s">
        <v>369</v>
      </c>
      <c r="E892" s="5" t="s">
        <v>7705</v>
      </c>
      <c r="G892" s="5" t="s">
        <v>7701</v>
      </c>
      <c r="H892" s="123">
        <v>408000</v>
      </c>
      <c r="J892" s="123">
        <v>4896000</v>
      </c>
    </row>
    <row r="893" spans="1:12" ht="12.5">
      <c r="D893" s="5" t="s">
        <v>369</v>
      </c>
      <c r="E893" s="5" t="s">
        <v>7706</v>
      </c>
      <c r="G893" s="5" t="s">
        <v>7701</v>
      </c>
      <c r="H893" s="123">
        <v>408000</v>
      </c>
      <c r="J893" s="123">
        <v>4896000</v>
      </c>
    </row>
    <row r="894" spans="1:12" ht="12.5">
      <c r="D894" s="5" t="s">
        <v>369</v>
      </c>
      <c r="E894" s="5" t="s">
        <v>7707</v>
      </c>
      <c r="G894" s="5" t="s">
        <v>7551</v>
      </c>
      <c r="H894" s="123">
        <v>272000</v>
      </c>
      <c r="J894" s="123">
        <v>1632000</v>
      </c>
    </row>
    <row r="895" spans="1:12" ht="12.5">
      <c r="D895" s="5" t="s">
        <v>369</v>
      </c>
      <c r="E895" s="5" t="s">
        <v>7708</v>
      </c>
      <c r="G895" s="5" t="s">
        <v>7701</v>
      </c>
      <c r="H895" s="123">
        <v>180000</v>
      </c>
      <c r="J895" s="123">
        <v>2160000</v>
      </c>
    </row>
    <row r="896" spans="1:12" ht="12.5">
      <c r="A896" s="5">
        <v>521119</v>
      </c>
      <c r="D896" s="5" t="s">
        <v>7709</v>
      </c>
      <c r="J896" s="123">
        <v>31500000</v>
      </c>
      <c r="L896" s="5" t="s">
        <v>7029</v>
      </c>
    </row>
    <row r="897" spans="1:12" ht="12.5">
      <c r="D897" s="5" t="s">
        <v>7030</v>
      </c>
    </row>
    <row r="898" spans="1:12" ht="12.5">
      <c r="D898" s="5" t="s">
        <v>369</v>
      </c>
      <c r="E898" s="5" t="s">
        <v>7710</v>
      </c>
      <c r="G898" s="5" t="s">
        <v>7711</v>
      </c>
      <c r="H898" s="123">
        <v>750000</v>
      </c>
      <c r="J898" s="123">
        <v>31500000</v>
      </c>
    </row>
    <row r="899" spans="1:12" ht="12.5">
      <c r="A899" s="5">
        <v>521213</v>
      </c>
      <c r="D899" s="5" t="s">
        <v>7072</v>
      </c>
      <c r="J899" s="123">
        <v>800000</v>
      </c>
      <c r="L899" s="5" t="s">
        <v>7029</v>
      </c>
    </row>
    <row r="900" spans="1:12" ht="12.5">
      <c r="D900" s="5" t="s">
        <v>7030</v>
      </c>
    </row>
    <row r="901" spans="1:12" ht="12.5">
      <c r="D901" s="5" t="s">
        <v>369</v>
      </c>
      <c r="E901" s="5" t="s">
        <v>7712</v>
      </c>
      <c r="G901" s="5" t="s">
        <v>7523</v>
      </c>
      <c r="H901" s="123">
        <v>400000</v>
      </c>
      <c r="J901" s="123">
        <v>800000</v>
      </c>
    </row>
    <row r="902" spans="1:12" ht="12.5">
      <c r="A902" s="5">
        <v>521252</v>
      </c>
      <c r="D902" s="5" t="s">
        <v>7713</v>
      </c>
      <c r="J902" s="123">
        <v>6000000</v>
      </c>
      <c r="L902" s="5" t="s">
        <v>7029</v>
      </c>
    </row>
    <row r="903" spans="1:12" ht="12.5">
      <c r="D903" s="5" t="s">
        <v>7030</v>
      </c>
    </row>
    <row r="904" spans="1:12" ht="12.5">
      <c r="D904" s="5" t="s">
        <v>369</v>
      </c>
      <c r="E904" s="5" t="s">
        <v>7714</v>
      </c>
      <c r="G904" s="5" t="s">
        <v>7715</v>
      </c>
      <c r="H904" s="123">
        <v>750000</v>
      </c>
      <c r="J904" s="123">
        <v>4500000</v>
      </c>
    </row>
    <row r="905" spans="1:12" ht="12.5">
      <c r="D905" s="5" t="s">
        <v>369</v>
      </c>
      <c r="E905" s="5" t="s">
        <v>7716</v>
      </c>
      <c r="G905" s="5" t="s">
        <v>7717</v>
      </c>
      <c r="H905" s="123">
        <v>750000</v>
      </c>
      <c r="J905" s="123">
        <v>1500000</v>
      </c>
    </row>
    <row r="906" spans="1:12" ht="12.5">
      <c r="A906" s="5">
        <v>521811</v>
      </c>
      <c r="D906" s="5" t="s">
        <v>7034</v>
      </c>
      <c r="J906" s="123">
        <v>60000000</v>
      </c>
      <c r="L906" s="5" t="s">
        <v>7029</v>
      </c>
    </row>
    <row r="907" spans="1:12" ht="12.5">
      <c r="D907" s="5" t="s">
        <v>7030</v>
      </c>
    </row>
    <row r="908" spans="1:12" ht="12.5">
      <c r="D908" s="5" t="s">
        <v>369</v>
      </c>
      <c r="E908" s="5" t="s">
        <v>7718</v>
      </c>
      <c r="G908" s="5" t="s">
        <v>7036</v>
      </c>
      <c r="H908" s="123">
        <v>30000000</v>
      </c>
      <c r="J908" s="123">
        <v>30000000</v>
      </c>
    </row>
    <row r="909" spans="1:12" ht="12.5">
      <c r="D909" s="5" t="s">
        <v>369</v>
      </c>
      <c r="E909" s="5" t="s">
        <v>7719</v>
      </c>
      <c r="G909" s="5" t="s">
        <v>7036</v>
      </c>
      <c r="H909" s="123">
        <v>20000000</v>
      </c>
      <c r="J909" s="123">
        <v>20000000</v>
      </c>
    </row>
    <row r="910" spans="1:12" ht="12.5">
      <c r="D910" s="5" t="s">
        <v>369</v>
      </c>
      <c r="E910" s="5" t="s">
        <v>7720</v>
      </c>
      <c r="G910" s="5" t="s">
        <v>7036</v>
      </c>
      <c r="H910" s="123">
        <v>10000000</v>
      </c>
      <c r="J910" s="123">
        <v>10000000</v>
      </c>
    </row>
    <row r="911" spans="1:12" ht="12.5">
      <c r="A911" s="5">
        <v>522111</v>
      </c>
      <c r="D911" s="5" t="s">
        <v>7721</v>
      </c>
      <c r="J911" s="123">
        <v>47285000</v>
      </c>
      <c r="L911" s="5" t="s">
        <v>7029</v>
      </c>
    </row>
    <row r="912" spans="1:12" ht="12.5">
      <c r="D912" s="5" t="s">
        <v>7030</v>
      </c>
    </row>
    <row r="913" spans="1:12" ht="12.5">
      <c r="D913" s="5" t="s">
        <v>369</v>
      </c>
      <c r="E913" s="5" t="s">
        <v>7722</v>
      </c>
      <c r="G913" s="5" t="s">
        <v>7651</v>
      </c>
      <c r="H913" s="123">
        <v>47285000</v>
      </c>
      <c r="J913" s="123">
        <v>47285000</v>
      </c>
    </row>
    <row r="914" spans="1:12" ht="12.5">
      <c r="A914" s="5">
        <v>522112</v>
      </c>
      <c r="D914" s="5" t="s">
        <v>7723</v>
      </c>
      <c r="J914" s="123">
        <v>925000</v>
      </c>
      <c r="L914" s="5" t="s">
        <v>7029</v>
      </c>
    </row>
    <row r="915" spans="1:12" ht="12.5">
      <c r="D915" s="5" t="s">
        <v>7030</v>
      </c>
    </row>
    <row r="916" spans="1:12" ht="12.5">
      <c r="D916" s="5" t="s">
        <v>369</v>
      </c>
      <c r="E916" s="5" t="s">
        <v>7724</v>
      </c>
      <c r="G916" s="5" t="s">
        <v>7651</v>
      </c>
      <c r="H916" s="123">
        <v>925000</v>
      </c>
      <c r="J916" s="123">
        <v>925000</v>
      </c>
    </row>
    <row r="917" spans="1:12" ht="12.5">
      <c r="A917" s="5">
        <v>522113</v>
      </c>
      <c r="D917" s="5" t="s">
        <v>7725</v>
      </c>
      <c r="J917" s="123">
        <v>1858000</v>
      </c>
      <c r="L917" s="5" t="s">
        <v>7029</v>
      </c>
    </row>
    <row r="918" spans="1:12" ht="12.5">
      <c r="D918" s="5" t="s">
        <v>7030</v>
      </c>
    </row>
    <row r="919" spans="1:12" ht="12.5">
      <c r="D919" s="5" t="s">
        <v>369</v>
      </c>
      <c r="E919" s="5" t="s">
        <v>7726</v>
      </c>
      <c r="G919" s="5" t="s">
        <v>7651</v>
      </c>
      <c r="H919" s="123">
        <v>1858000</v>
      </c>
      <c r="J919" s="123">
        <v>1858000</v>
      </c>
    </row>
    <row r="920" spans="1:12" ht="12.5">
      <c r="A920" s="5">
        <v>522119</v>
      </c>
      <c r="D920" s="5" t="s">
        <v>7727</v>
      </c>
      <c r="J920" s="123">
        <v>23597000</v>
      </c>
      <c r="L920" s="5" t="s">
        <v>7029</v>
      </c>
    </row>
    <row r="921" spans="1:12" ht="12.5">
      <c r="D921" s="5" t="s">
        <v>7030</v>
      </c>
    </row>
    <row r="922" spans="1:12" ht="12.5">
      <c r="D922" s="5" t="s">
        <v>369</v>
      </c>
      <c r="E922" s="5" t="s">
        <v>7728</v>
      </c>
      <c r="G922" s="5" t="s">
        <v>7697</v>
      </c>
      <c r="H922" s="123">
        <v>23597000</v>
      </c>
      <c r="J922" s="123">
        <v>23597000</v>
      </c>
    </row>
    <row r="923" spans="1:12" ht="12.5">
      <c r="A923" s="5">
        <v>522191</v>
      </c>
      <c r="D923" s="5" t="s">
        <v>7729</v>
      </c>
      <c r="J923" s="123">
        <v>252500000</v>
      </c>
      <c r="L923" s="5" t="s">
        <v>7029</v>
      </c>
    </row>
    <row r="924" spans="1:12" ht="12.5">
      <c r="D924" s="5" t="s">
        <v>7030</v>
      </c>
    </row>
    <row r="925" spans="1:12" ht="12.5">
      <c r="D925" s="5" t="s">
        <v>369</v>
      </c>
      <c r="E925" s="5" t="s">
        <v>7730</v>
      </c>
      <c r="G925" s="5" t="s">
        <v>7036</v>
      </c>
      <c r="H925" s="123">
        <v>252500000</v>
      </c>
      <c r="J925" s="123">
        <v>252500000</v>
      </c>
    </row>
    <row r="926" spans="1:12" ht="12.5">
      <c r="A926" s="5">
        <v>523111</v>
      </c>
      <c r="D926" s="5" t="s">
        <v>7731</v>
      </c>
      <c r="J926" s="123">
        <v>33939000</v>
      </c>
      <c r="L926" s="5" t="s">
        <v>7029</v>
      </c>
    </row>
    <row r="927" spans="1:12" ht="12.5">
      <c r="D927" s="5" t="s">
        <v>7030</v>
      </c>
    </row>
    <row r="928" spans="1:12" ht="12.5">
      <c r="D928" s="5" t="s">
        <v>369</v>
      </c>
      <c r="E928" s="5" t="s">
        <v>7732</v>
      </c>
      <c r="G928" s="5" t="s">
        <v>7733</v>
      </c>
      <c r="H928" s="123">
        <v>1000</v>
      </c>
      <c r="J928" s="123">
        <v>1139000</v>
      </c>
    </row>
    <row r="929" spans="1:12" ht="12.5">
      <c r="D929" s="5" t="s">
        <v>369</v>
      </c>
      <c r="E929" s="5" t="s">
        <v>7734</v>
      </c>
      <c r="G929" s="5" t="s">
        <v>7735</v>
      </c>
      <c r="H929" s="123">
        <v>80000</v>
      </c>
      <c r="J929" s="123">
        <v>32800000</v>
      </c>
    </row>
    <row r="930" spans="1:12" ht="12.5">
      <c r="A930" s="5">
        <v>523121</v>
      </c>
      <c r="D930" s="5" t="s">
        <v>7736</v>
      </c>
      <c r="J930" s="123">
        <v>58922000</v>
      </c>
      <c r="L930" s="5" t="s">
        <v>7029</v>
      </c>
    </row>
    <row r="931" spans="1:12" ht="12.5">
      <c r="D931" s="5" t="s">
        <v>7030</v>
      </c>
    </row>
    <row r="932" spans="1:12" ht="12.5">
      <c r="D932" s="5" t="s">
        <v>369</v>
      </c>
      <c r="E932" s="5" t="s">
        <v>7737</v>
      </c>
      <c r="G932" s="5" t="s">
        <v>7738</v>
      </c>
      <c r="H932" s="123">
        <v>465858</v>
      </c>
      <c r="J932" s="123">
        <v>3261000</v>
      </c>
    </row>
    <row r="933" spans="1:12" ht="12.5">
      <c r="D933" s="5" t="s">
        <v>369</v>
      </c>
      <c r="E933" s="5" t="s">
        <v>7739</v>
      </c>
      <c r="G933" s="5" t="s">
        <v>7694</v>
      </c>
      <c r="H933" s="123">
        <v>30000000</v>
      </c>
      <c r="J933" s="123">
        <v>30000000</v>
      </c>
    </row>
    <row r="934" spans="1:12" ht="12.5">
      <c r="D934" s="5" t="s">
        <v>369</v>
      </c>
      <c r="E934" s="5" t="s">
        <v>7740</v>
      </c>
      <c r="G934" s="5" t="s">
        <v>7694</v>
      </c>
      <c r="H934" s="123">
        <v>20000000</v>
      </c>
      <c r="J934" s="123">
        <v>20000000</v>
      </c>
    </row>
    <row r="935" spans="1:12" ht="12.5">
      <c r="D935" s="5" t="s">
        <v>369</v>
      </c>
      <c r="E935" s="5" t="s">
        <v>7741</v>
      </c>
      <c r="G935" s="5" t="s">
        <v>7694</v>
      </c>
      <c r="H935" s="123">
        <v>2056000</v>
      </c>
      <c r="J935" s="123">
        <v>2056000</v>
      </c>
    </row>
    <row r="936" spans="1:12" ht="12.5">
      <c r="D936" s="5" t="s">
        <v>369</v>
      </c>
      <c r="E936" s="5" t="s">
        <v>7742</v>
      </c>
      <c r="G936" s="5" t="s">
        <v>7743</v>
      </c>
      <c r="H936" s="123">
        <v>100000</v>
      </c>
      <c r="J936" s="123">
        <v>1600000</v>
      </c>
    </row>
    <row r="937" spans="1:12" ht="12.5">
      <c r="D937" s="5" t="s">
        <v>369</v>
      </c>
      <c r="E937" s="5" t="s">
        <v>7744</v>
      </c>
      <c r="G937" s="5" t="s">
        <v>7745</v>
      </c>
      <c r="H937" s="123">
        <v>72546</v>
      </c>
      <c r="J937" s="123">
        <v>798000</v>
      </c>
    </row>
    <row r="938" spans="1:12" ht="12.5">
      <c r="D938" s="5" t="s">
        <v>369</v>
      </c>
      <c r="E938" s="5" t="s">
        <v>7746</v>
      </c>
      <c r="G938" s="5" t="s">
        <v>7651</v>
      </c>
      <c r="H938" s="123">
        <v>1207000</v>
      </c>
      <c r="J938" s="123">
        <v>1207000</v>
      </c>
    </row>
    <row r="939" spans="1:12" ht="12.5">
      <c r="A939" s="5">
        <v>524111</v>
      </c>
      <c r="D939" s="5" t="s">
        <v>7639</v>
      </c>
      <c r="J939" s="123">
        <v>8079000</v>
      </c>
      <c r="L939" s="5" t="s">
        <v>7029</v>
      </c>
    </row>
    <row r="940" spans="1:12" ht="12.5">
      <c r="D940" s="5" t="s">
        <v>7030</v>
      </c>
    </row>
    <row r="941" spans="1:12" ht="12.5">
      <c r="D941" s="5" t="s">
        <v>369</v>
      </c>
      <c r="E941" s="5" t="s">
        <v>7747</v>
      </c>
      <c r="G941" s="5" t="s">
        <v>7252</v>
      </c>
      <c r="H941" s="123">
        <v>1346500</v>
      </c>
      <c r="J941" s="123">
        <v>8079000</v>
      </c>
    </row>
    <row r="942" spans="1:12" ht="12.5">
      <c r="A942" s="5" t="s">
        <v>7748</v>
      </c>
      <c r="D942" s="5" t="s">
        <v>7749</v>
      </c>
      <c r="G942" s="5" t="s">
        <v>7750</v>
      </c>
      <c r="K942" s="123">
        <v>374200000</v>
      </c>
    </row>
    <row r="943" spans="1:12" ht="12.5">
      <c r="D943" s="5" t="s">
        <v>7020</v>
      </c>
    </row>
    <row r="944" spans="1:12" ht="12.5">
      <c r="A944" s="5" t="s">
        <v>7751</v>
      </c>
      <c r="D944" s="5" t="s">
        <v>7752</v>
      </c>
      <c r="G944" s="5" t="s">
        <v>7036</v>
      </c>
      <c r="K944" s="123">
        <v>374200000</v>
      </c>
    </row>
    <row r="945" spans="1:14" ht="12.5">
      <c r="A945" s="5">
        <v>51</v>
      </c>
      <c r="D945" s="5" t="s">
        <v>7753</v>
      </c>
      <c r="K945" s="123">
        <v>374200000</v>
      </c>
      <c r="L945" s="5" t="s">
        <v>7025</v>
      </c>
    </row>
    <row r="946" spans="1:14" ht="12.5">
      <c r="A946" s="5" t="s">
        <v>7026</v>
      </c>
      <c r="D946" s="5" t="s">
        <v>7027</v>
      </c>
      <c r="K946" s="123">
        <v>374200000</v>
      </c>
    </row>
    <row r="947" spans="1:14" ht="12.5">
      <c r="A947" s="5">
        <v>532111</v>
      </c>
      <c r="D947" s="5" t="s">
        <v>7754</v>
      </c>
      <c r="K947" s="123">
        <v>374200000</v>
      </c>
      <c r="N947" s="5" t="s">
        <v>7029</v>
      </c>
    </row>
    <row r="948" spans="1:14" ht="12.5">
      <c r="D948" s="5" t="s">
        <v>7030</v>
      </c>
    </row>
    <row r="949" spans="1:14" ht="12.5">
      <c r="D949" s="5" t="s">
        <v>369</v>
      </c>
      <c r="E949" s="5" t="s">
        <v>7755</v>
      </c>
      <c r="G949" s="5" t="s">
        <v>7756</v>
      </c>
      <c r="H949" s="123">
        <v>374200000</v>
      </c>
      <c r="K949" s="123">
        <v>374200000</v>
      </c>
      <c r="N949" s="5" t="s">
        <v>7757</v>
      </c>
    </row>
    <row r="950" spans="1:14" ht="12.5">
      <c r="A950" s="5" t="s">
        <v>7758</v>
      </c>
      <c r="D950" s="5" t="s">
        <v>7759</v>
      </c>
      <c r="G950" s="5" t="s">
        <v>7760</v>
      </c>
      <c r="K950" s="123">
        <v>30147000</v>
      </c>
    </row>
    <row r="951" spans="1:14" ht="12.5">
      <c r="D951" s="5" t="s">
        <v>7020</v>
      </c>
    </row>
    <row r="952" spans="1:14" ht="12.5">
      <c r="A952" s="5" t="s">
        <v>7761</v>
      </c>
      <c r="D952" s="5" t="s">
        <v>7762</v>
      </c>
      <c r="G952" s="5" t="s">
        <v>7763</v>
      </c>
      <c r="K952" s="123">
        <v>5523000</v>
      </c>
    </row>
    <row r="953" spans="1:14" ht="12.5">
      <c r="A953" s="5">
        <v>51</v>
      </c>
      <c r="D953" s="5" t="s">
        <v>7638</v>
      </c>
      <c r="K953" s="123">
        <v>5523000</v>
      </c>
      <c r="L953" s="5" t="s">
        <v>7025</v>
      </c>
    </row>
    <row r="954" spans="1:14" ht="12.5">
      <c r="A954" s="5" t="s">
        <v>7026</v>
      </c>
      <c r="D954" s="5" t="s">
        <v>7027</v>
      </c>
      <c r="K954" s="123">
        <v>5523000</v>
      </c>
    </row>
    <row r="955" spans="1:14" ht="12.5">
      <c r="A955" s="5">
        <v>522151</v>
      </c>
      <c r="D955" s="5" t="s">
        <v>7045</v>
      </c>
      <c r="K955" s="123">
        <v>1800000</v>
      </c>
      <c r="N955" s="5" t="s">
        <v>7029</v>
      </c>
    </row>
    <row r="956" spans="1:14" ht="12.5">
      <c r="D956" s="5" t="s">
        <v>7030</v>
      </c>
    </row>
    <row r="957" spans="1:14" ht="12.5">
      <c r="D957" s="5" t="s">
        <v>369</v>
      </c>
      <c r="E957" s="5" t="s">
        <v>7764</v>
      </c>
      <c r="G957" s="5" t="s">
        <v>7047</v>
      </c>
      <c r="H957" s="123">
        <v>900000</v>
      </c>
      <c r="K957" s="123">
        <v>1800000</v>
      </c>
    </row>
    <row r="958" spans="1:14" ht="12.5">
      <c r="A958" s="5">
        <v>524111</v>
      </c>
      <c r="D958" s="5" t="s">
        <v>7639</v>
      </c>
      <c r="K958" s="123">
        <v>3723000</v>
      </c>
      <c r="N958" s="5" t="s">
        <v>7029</v>
      </c>
    </row>
    <row r="959" spans="1:14" ht="12.5">
      <c r="D959" s="5" t="s">
        <v>7030</v>
      </c>
    </row>
    <row r="960" spans="1:14" ht="12.5">
      <c r="D960" s="5" t="s">
        <v>369</v>
      </c>
      <c r="E960" s="5" t="s">
        <v>7765</v>
      </c>
      <c r="G960" s="5" t="s">
        <v>7578</v>
      </c>
      <c r="H960" s="123">
        <v>1861500</v>
      </c>
      <c r="K960" s="123">
        <v>3723000</v>
      </c>
    </row>
    <row r="961" spans="1:14" ht="12.5">
      <c r="A961" s="5" t="s">
        <v>7766</v>
      </c>
      <c r="D961" s="5" t="s">
        <v>7767</v>
      </c>
      <c r="G961" s="5" t="s">
        <v>7768</v>
      </c>
      <c r="K961" s="123">
        <v>24624000</v>
      </c>
    </row>
    <row r="962" spans="1:14" ht="12.5">
      <c r="A962" s="5">
        <v>51</v>
      </c>
      <c r="D962" s="5" t="s">
        <v>7638</v>
      </c>
      <c r="K962" s="123">
        <v>24624000</v>
      </c>
      <c r="L962" s="5" t="s">
        <v>7025</v>
      </c>
    </row>
    <row r="963" spans="1:14" ht="12.5">
      <c r="A963" s="5" t="s">
        <v>7026</v>
      </c>
      <c r="D963" s="5" t="s">
        <v>7027</v>
      </c>
      <c r="K963" s="123">
        <v>24624000</v>
      </c>
    </row>
    <row r="964" spans="1:14" ht="12.5">
      <c r="A964" s="5">
        <v>521115</v>
      </c>
      <c r="D964" s="5" t="s">
        <v>7699</v>
      </c>
      <c r="K964" s="123">
        <v>5400000</v>
      </c>
      <c r="N964" s="5" t="s">
        <v>7029</v>
      </c>
    </row>
    <row r="965" spans="1:14" ht="12.5">
      <c r="D965" s="5" t="s">
        <v>7030</v>
      </c>
    </row>
    <row r="966" spans="1:14" ht="12.5">
      <c r="D966" s="5" t="s">
        <v>369</v>
      </c>
      <c r="E966" s="5" t="s">
        <v>7769</v>
      </c>
      <c r="G966" s="5" t="s">
        <v>7701</v>
      </c>
      <c r="H966" s="123">
        <v>150000</v>
      </c>
      <c r="K966" s="123">
        <v>1800000</v>
      </c>
    </row>
    <row r="967" spans="1:14" ht="12.5">
      <c r="D967" s="5" t="s">
        <v>369</v>
      </c>
      <c r="E967" s="5" t="s">
        <v>7770</v>
      </c>
      <c r="G967" s="5" t="s">
        <v>7701</v>
      </c>
      <c r="H967" s="123">
        <v>120000</v>
      </c>
      <c r="K967" s="123">
        <v>1440000</v>
      </c>
    </row>
    <row r="968" spans="1:14" ht="12.5">
      <c r="D968" s="5" t="s">
        <v>369</v>
      </c>
      <c r="E968" s="5" t="s">
        <v>7771</v>
      </c>
      <c r="G968" s="5" t="s">
        <v>7772</v>
      </c>
      <c r="H968" s="123">
        <v>90000</v>
      </c>
      <c r="K968" s="123">
        <v>2160000</v>
      </c>
    </row>
    <row r="969" spans="1:14" ht="12.5">
      <c r="A969" s="5">
        <v>524111</v>
      </c>
      <c r="D969" s="5" t="s">
        <v>7639</v>
      </c>
      <c r="K969" s="123">
        <v>19074000</v>
      </c>
      <c r="N969" s="5" t="s">
        <v>7029</v>
      </c>
    </row>
    <row r="970" spans="1:14" ht="12.5">
      <c r="D970" s="5" t="s">
        <v>7030</v>
      </c>
    </row>
    <row r="971" spans="1:14" ht="12.5">
      <c r="D971" s="5" t="s">
        <v>369</v>
      </c>
      <c r="E971" s="5" t="s">
        <v>7773</v>
      </c>
      <c r="G971" s="5" t="s">
        <v>7774</v>
      </c>
      <c r="H971" s="123">
        <v>1589500</v>
      </c>
      <c r="K971" s="123">
        <v>19074000</v>
      </c>
    </row>
    <row r="972" spans="1:14" ht="12.5">
      <c r="A972" s="5">
        <v>524113</v>
      </c>
      <c r="D972" s="5" t="s">
        <v>7028</v>
      </c>
      <c r="K972" s="123">
        <v>150000</v>
      </c>
      <c r="N972" s="5" t="s">
        <v>7029</v>
      </c>
    </row>
    <row r="973" spans="1:14" ht="12.5">
      <c r="D973" s="5" t="s">
        <v>7030</v>
      </c>
    </row>
    <row r="974" spans="1:14" ht="12.5">
      <c r="D974" s="5" t="s">
        <v>369</v>
      </c>
      <c r="E974" s="5" t="s">
        <v>7775</v>
      </c>
      <c r="G974" s="5" t="s">
        <v>7067</v>
      </c>
      <c r="H974" s="123">
        <v>150000</v>
      </c>
      <c r="K974" s="123">
        <v>150000</v>
      </c>
    </row>
    <row r="975" spans="1:14" ht="12.5">
      <c r="I975" s="5" t="s">
        <v>7776</v>
      </c>
    </row>
    <row r="976" spans="1:14" ht="12.5">
      <c r="B976" s="5" t="s">
        <v>7777</v>
      </c>
      <c r="C976" s="5" t="s">
        <v>7778</v>
      </c>
    </row>
    <row r="977" spans="3:9" ht="12.5">
      <c r="C977" s="5" t="s">
        <v>7779</v>
      </c>
    </row>
    <row r="978" spans="3:9" ht="12.5">
      <c r="C978" s="5" t="s">
        <v>7780</v>
      </c>
    </row>
    <row r="979" spans="3:9" ht="12.5">
      <c r="I979" s="5" t="s">
        <v>7781</v>
      </c>
    </row>
    <row r="980" spans="3:9" ht="12.5">
      <c r="I980" s="5" t="s">
        <v>7781</v>
      </c>
    </row>
  </sheetData>
  <hyperlinks>
    <hyperlink ref="A2" r:id="rId1" xr:uid="{00000000-0004-0000-1200-00000000000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19</vt:i4>
      </vt:variant>
    </vt:vector>
  </HeadingPairs>
  <TitlesOfParts>
    <vt:vector size="19" baseType="lpstr">
      <vt:lpstr>Alokasi</vt:lpstr>
      <vt:lpstr>Dashboard</vt:lpstr>
      <vt:lpstr>Alokasi Honor</vt:lpstr>
      <vt:lpstr>Database Mitra</vt:lpstr>
      <vt:lpstr>Alokasi Honor Hingga Sekarang</vt:lpstr>
      <vt:lpstr>Honor</vt:lpstr>
      <vt:lpstr>Input Kegiatan</vt:lpstr>
      <vt:lpstr>Batasan Honor</vt:lpstr>
      <vt:lpstr>Old Batasan Honor</vt:lpstr>
      <vt:lpstr>Matriks Bulanan</vt:lpstr>
      <vt:lpstr>Mitra per Bulan</vt:lpstr>
      <vt:lpstr>Rule</vt:lpstr>
      <vt:lpstr>Master SLS</vt:lpstr>
      <vt:lpstr>Rangking Keterlibatan Mitra</vt:lpstr>
      <vt:lpstr>Sheet18</vt:lpstr>
      <vt:lpstr>Scratch</vt:lpstr>
      <vt:lpstr>Cleaned Alokasi Honor</vt:lpstr>
      <vt:lpstr>Copy of Cleaned Alokasi Honor</vt:lpstr>
      <vt:lpstr>POK</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Ihza Karunia</dc:creator>
  <cp:lastModifiedBy>Ihza Karunia</cp:lastModifiedBy>
  <dcterms:created xsi:type="dcterms:W3CDTF">2024-10-10T02:56:58Z</dcterms:created>
  <dcterms:modified xsi:type="dcterms:W3CDTF">2024-10-10T02:56:58Z</dcterms:modified>
</cp:coreProperties>
</file>